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○在庫帳○19～27期\"/>
    </mc:Choice>
  </mc:AlternateContent>
  <xr:revisionPtr revIDLastSave="0" documentId="13_ncr:1_{2EF1EC49-F116-49CD-88C5-521F0AE249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7期" sheetId="1" r:id="rId1"/>
    <sheet name="27期－R" sheetId="4" r:id="rId2"/>
    <sheet name="代車" sheetId="6" r:id="rId3"/>
  </sheets>
  <definedNames>
    <definedName name="_xlnm.Print_Area" localSheetId="0">'27期'!$A$5696:$G$5715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414" i="1" l="1"/>
  <c r="K9410" i="1"/>
  <c r="Y9370" i="1"/>
  <c r="AA9370" i="1" s="1"/>
  <c r="J9370" i="1"/>
  <c r="N9370" i="1" s="1"/>
  <c r="Y9364" i="1"/>
  <c r="AA9364" i="1" s="1"/>
  <c r="J9364" i="1"/>
  <c r="N9364" i="1" s="1"/>
  <c r="Y9358" i="1"/>
  <c r="AA9358" i="1" s="1"/>
  <c r="J9358" i="1"/>
  <c r="N9358" i="1" s="1"/>
  <c r="Y9356" i="1"/>
  <c r="AA9356" i="1" s="1"/>
  <c r="J9356" i="1"/>
  <c r="N9356" i="1" s="1"/>
  <c r="Y9354" i="1"/>
  <c r="AA9354" i="1" s="1"/>
  <c r="J9354" i="1"/>
  <c r="N9354" i="1" s="1"/>
  <c r="Y9352" i="1"/>
  <c r="AA9352" i="1" s="1"/>
  <c r="J9352" i="1"/>
  <c r="N9352" i="1" s="1"/>
  <c r="K9402" i="1"/>
  <c r="K9384" i="1"/>
  <c r="K9374" i="1"/>
  <c r="K9332" i="1"/>
  <c r="K9330" i="1"/>
  <c r="K9302" i="1"/>
  <c r="K9294" i="1"/>
  <c r="Y9274" i="1"/>
  <c r="AA9274" i="1" s="1"/>
  <c r="J9274" i="1"/>
  <c r="N9274" i="1" s="1"/>
  <c r="Y9252" i="1"/>
  <c r="AA9252" i="1" s="1"/>
  <c r="J9252" i="1"/>
  <c r="N9252" i="1" s="1"/>
  <c r="Y9250" i="1"/>
  <c r="AA9250" i="1" s="1"/>
  <c r="J9250" i="1"/>
  <c r="N9250" i="1" s="1"/>
  <c r="Y9248" i="1"/>
  <c r="AA9248" i="1" s="1"/>
  <c r="J9248" i="1"/>
  <c r="N9248" i="1" s="1"/>
  <c r="K9276" i="1"/>
  <c r="M9222" i="1"/>
  <c r="K9242" i="1"/>
  <c r="K9236" i="1"/>
  <c r="K9228" i="1"/>
  <c r="K9224" i="1"/>
  <c r="M9216" i="1"/>
  <c r="K9216" i="1"/>
  <c r="Y9218" i="1"/>
  <c r="AA9218" i="1" s="1"/>
  <c r="J9218" i="1"/>
  <c r="N9218" i="1" s="1"/>
  <c r="Y9524" i="1"/>
  <c r="AA9524" i="1" s="1"/>
  <c r="J9524" i="1"/>
  <c r="N9524" i="1" s="1"/>
  <c r="Y9522" i="1"/>
  <c r="AA9522" i="1" s="1"/>
  <c r="J9522" i="1"/>
  <c r="N9522" i="1" s="1"/>
  <c r="Y9520" i="1"/>
  <c r="AA9520" i="1" s="1"/>
  <c r="J9520" i="1"/>
  <c r="N9520" i="1" s="1"/>
  <c r="Y9518" i="1"/>
  <c r="AA9518" i="1" s="1"/>
  <c r="J9518" i="1"/>
  <c r="N9518" i="1" s="1"/>
  <c r="Y9516" i="1"/>
  <c r="AA9516" i="1" s="1"/>
  <c r="J9516" i="1"/>
  <c r="N9516" i="1" s="1"/>
  <c r="Y9514" i="1"/>
  <c r="AA9514" i="1" s="1"/>
  <c r="J9514" i="1"/>
  <c r="N9514" i="1" s="1"/>
  <c r="Y9512" i="1"/>
  <c r="AA9512" i="1" s="1"/>
  <c r="J9512" i="1"/>
  <c r="N9512" i="1" s="1"/>
  <c r="Y9510" i="1"/>
  <c r="AA9510" i="1" s="1"/>
  <c r="J9510" i="1"/>
  <c r="N9510" i="1" s="1"/>
  <c r="Y9508" i="1"/>
  <c r="AA9508" i="1" s="1"/>
  <c r="J9508" i="1"/>
  <c r="N9508" i="1" s="1"/>
  <c r="Y9506" i="1"/>
  <c r="AA9506" i="1" s="1"/>
  <c r="J9506" i="1"/>
  <c r="N9506" i="1" s="1"/>
  <c r="Y9504" i="1"/>
  <c r="AA9504" i="1" s="1"/>
  <c r="J9504" i="1"/>
  <c r="N9504" i="1" s="1"/>
  <c r="Y9502" i="1"/>
  <c r="AA9502" i="1" s="1"/>
  <c r="J9502" i="1"/>
  <c r="N9502" i="1" s="1"/>
  <c r="Y9500" i="1"/>
  <c r="AA9500" i="1" s="1"/>
  <c r="J9500" i="1"/>
  <c r="N9500" i="1" s="1"/>
  <c r="Y9498" i="1"/>
  <c r="AA9498" i="1" s="1"/>
  <c r="J9498" i="1"/>
  <c r="N9498" i="1" s="1"/>
  <c r="Y9496" i="1"/>
  <c r="AA9496" i="1" s="1"/>
  <c r="J9496" i="1"/>
  <c r="N9496" i="1" s="1"/>
  <c r="Y9494" i="1"/>
  <c r="AA9494" i="1" s="1"/>
  <c r="J9494" i="1"/>
  <c r="N9494" i="1" s="1"/>
  <c r="Y9492" i="1"/>
  <c r="AA9492" i="1" s="1"/>
  <c r="J9492" i="1"/>
  <c r="N9492" i="1" s="1"/>
  <c r="Y9490" i="1"/>
  <c r="AA9490" i="1" s="1"/>
  <c r="J9490" i="1"/>
  <c r="N9490" i="1" s="1"/>
  <c r="Y9488" i="1"/>
  <c r="AA9488" i="1" s="1"/>
  <c r="J9488" i="1"/>
  <c r="N9488" i="1" s="1"/>
  <c r="Y9486" i="1"/>
  <c r="AA9486" i="1" s="1"/>
  <c r="J9486" i="1"/>
  <c r="N9486" i="1" s="1"/>
  <c r="Y9484" i="1"/>
  <c r="AA9484" i="1" s="1"/>
  <c r="J9484" i="1"/>
  <c r="N9484" i="1" s="1"/>
  <c r="Y9482" i="1"/>
  <c r="AA9482" i="1" s="1"/>
  <c r="J9482" i="1"/>
  <c r="N9482" i="1" s="1"/>
  <c r="Y9480" i="1"/>
  <c r="AA9480" i="1" s="1"/>
  <c r="J9480" i="1"/>
  <c r="N9480" i="1" s="1"/>
  <c r="Y9478" i="1"/>
  <c r="AA9478" i="1" s="1"/>
  <c r="J9478" i="1"/>
  <c r="N9478" i="1" s="1"/>
  <c r="Y9476" i="1"/>
  <c r="AA9476" i="1" s="1"/>
  <c r="J9476" i="1"/>
  <c r="N9476" i="1" s="1"/>
  <c r="Y9474" i="1"/>
  <c r="AA9474" i="1" s="1"/>
  <c r="J9474" i="1"/>
  <c r="N9474" i="1" s="1"/>
  <c r="Y9472" i="1"/>
  <c r="AA9472" i="1" s="1"/>
  <c r="J9472" i="1"/>
  <c r="N9472" i="1" s="1"/>
  <c r="Y9470" i="1"/>
  <c r="AA9470" i="1" s="1"/>
  <c r="J9470" i="1"/>
  <c r="N9470" i="1" s="1"/>
  <c r="Y9468" i="1"/>
  <c r="AA9468" i="1" s="1"/>
  <c r="J9468" i="1"/>
  <c r="N9468" i="1" s="1"/>
  <c r="Y9466" i="1"/>
  <c r="AA9466" i="1" s="1"/>
  <c r="J9466" i="1"/>
  <c r="N9466" i="1" s="1"/>
  <c r="Y9464" i="1"/>
  <c r="AA9464" i="1" s="1"/>
  <c r="J9464" i="1"/>
  <c r="N9464" i="1" s="1"/>
  <c r="Y9462" i="1"/>
  <c r="AA9462" i="1" s="1"/>
  <c r="J9462" i="1"/>
  <c r="N9462" i="1" s="1"/>
  <c r="Y9460" i="1"/>
  <c r="AA9460" i="1" s="1"/>
  <c r="J9460" i="1"/>
  <c r="N9460" i="1" s="1"/>
  <c r="Y9458" i="1"/>
  <c r="AA9458" i="1" s="1"/>
  <c r="J9458" i="1"/>
  <c r="N9458" i="1" s="1"/>
  <c r="Y9456" i="1"/>
  <c r="AA9456" i="1" s="1"/>
  <c r="J9456" i="1"/>
  <c r="N9456" i="1" s="1"/>
  <c r="Y9454" i="1"/>
  <c r="AA9454" i="1" s="1"/>
  <c r="J9454" i="1"/>
  <c r="N9454" i="1" s="1"/>
  <c r="Y9452" i="1"/>
  <c r="AA9452" i="1" s="1"/>
  <c r="J9452" i="1"/>
  <c r="N9452" i="1" s="1"/>
  <c r="Y9450" i="1"/>
  <c r="AA9450" i="1" s="1"/>
  <c r="J9450" i="1"/>
  <c r="N9450" i="1" s="1"/>
  <c r="Y9448" i="1"/>
  <c r="AA9448" i="1" s="1"/>
  <c r="J9448" i="1"/>
  <c r="N9448" i="1" s="1"/>
  <c r="Y9446" i="1"/>
  <c r="AA9446" i="1" s="1"/>
  <c r="J9446" i="1"/>
  <c r="N9446" i="1" s="1"/>
  <c r="Y9444" i="1"/>
  <c r="AA9444" i="1" s="1"/>
  <c r="J9444" i="1"/>
  <c r="N9444" i="1" s="1"/>
  <c r="Y9442" i="1"/>
  <c r="AA9442" i="1" s="1"/>
  <c r="J9442" i="1"/>
  <c r="N9442" i="1" s="1"/>
  <c r="Y9440" i="1"/>
  <c r="AA9440" i="1" s="1"/>
  <c r="J9440" i="1"/>
  <c r="N9440" i="1" s="1"/>
  <c r="Y9438" i="1"/>
  <c r="AA9438" i="1" s="1"/>
  <c r="J9438" i="1"/>
  <c r="N9438" i="1" s="1"/>
  <c r="Y9436" i="1"/>
  <c r="AA9436" i="1" s="1"/>
  <c r="J9436" i="1"/>
  <c r="N9436" i="1" s="1"/>
  <c r="Y9434" i="1"/>
  <c r="AA9434" i="1" s="1"/>
  <c r="J9434" i="1"/>
  <c r="N9434" i="1" s="1"/>
  <c r="Y9432" i="1"/>
  <c r="AA9432" i="1" s="1"/>
  <c r="J9432" i="1"/>
  <c r="N9432" i="1" s="1"/>
  <c r="Y9430" i="1"/>
  <c r="AA9430" i="1" s="1"/>
  <c r="J9430" i="1"/>
  <c r="N9430" i="1" s="1"/>
  <c r="Y9428" i="1"/>
  <c r="AA9428" i="1" s="1"/>
  <c r="J9428" i="1"/>
  <c r="N9428" i="1" s="1"/>
  <c r="Y9426" i="1"/>
  <c r="AA9426" i="1" s="1"/>
  <c r="J9426" i="1"/>
  <c r="N9426" i="1" s="1"/>
  <c r="Y9424" i="1"/>
  <c r="AA9424" i="1" s="1"/>
  <c r="J9424" i="1"/>
  <c r="N9424" i="1" s="1"/>
  <c r="Y9422" i="1"/>
  <c r="AA9422" i="1" s="1"/>
  <c r="J9422" i="1"/>
  <c r="N9422" i="1" s="1"/>
  <c r="Y9420" i="1"/>
  <c r="AA9420" i="1" s="1"/>
  <c r="J9420" i="1"/>
  <c r="N9420" i="1" s="1"/>
  <c r="Y9418" i="1"/>
  <c r="AA9418" i="1" s="1"/>
  <c r="J9418" i="1"/>
  <c r="N9418" i="1" s="1"/>
  <c r="Y9416" i="1"/>
  <c r="AA9416" i="1" s="1"/>
  <c r="J9416" i="1"/>
  <c r="N9416" i="1" s="1"/>
  <c r="Y9414" i="1"/>
  <c r="AA9414" i="1" s="1"/>
  <c r="J9414" i="1"/>
  <c r="Y9412" i="1"/>
  <c r="AA9412" i="1" s="1"/>
  <c r="J9412" i="1"/>
  <c r="N9412" i="1" s="1"/>
  <c r="Y9410" i="1"/>
  <c r="AA9410" i="1" s="1"/>
  <c r="J9410" i="1"/>
  <c r="N9410" i="1" s="1"/>
  <c r="Y9408" i="1"/>
  <c r="AA9408" i="1" s="1"/>
  <c r="J9408" i="1"/>
  <c r="N9408" i="1" s="1"/>
  <c r="Y9406" i="1"/>
  <c r="AA9406" i="1" s="1"/>
  <c r="J9406" i="1"/>
  <c r="N9406" i="1" s="1"/>
  <c r="Y9404" i="1"/>
  <c r="AA9404" i="1" s="1"/>
  <c r="J9404" i="1"/>
  <c r="N9404" i="1" s="1"/>
  <c r="Y9402" i="1"/>
  <c r="AA9402" i="1" s="1"/>
  <c r="J9402" i="1"/>
  <c r="Y9400" i="1"/>
  <c r="AA9400" i="1" s="1"/>
  <c r="N9400" i="1"/>
  <c r="Y9398" i="1"/>
  <c r="AA9398" i="1" s="1"/>
  <c r="J9398" i="1"/>
  <c r="N9398" i="1" s="1"/>
  <c r="Y9396" i="1"/>
  <c r="AA9396" i="1" s="1"/>
  <c r="J9396" i="1"/>
  <c r="N9396" i="1" s="1"/>
  <c r="Y9394" i="1"/>
  <c r="AA9394" i="1" s="1"/>
  <c r="J9394" i="1"/>
  <c r="N9394" i="1" s="1"/>
  <c r="Y9392" i="1"/>
  <c r="AA9392" i="1" s="1"/>
  <c r="J9392" i="1"/>
  <c r="N9392" i="1" s="1"/>
  <c r="Y9390" i="1"/>
  <c r="AA9390" i="1" s="1"/>
  <c r="J9390" i="1"/>
  <c r="N9390" i="1" s="1"/>
  <c r="Y9388" i="1"/>
  <c r="AA9388" i="1" s="1"/>
  <c r="J9388" i="1"/>
  <c r="N9388" i="1" s="1"/>
  <c r="Y9386" i="1"/>
  <c r="AA9386" i="1" s="1"/>
  <c r="J9386" i="1"/>
  <c r="N9386" i="1" s="1"/>
  <c r="Y9384" i="1"/>
  <c r="AA9384" i="1" s="1"/>
  <c r="J9384" i="1"/>
  <c r="Y9382" i="1"/>
  <c r="AA9382" i="1" s="1"/>
  <c r="J9382" i="1"/>
  <c r="N9382" i="1" s="1"/>
  <c r="Y9380" i="1"/>
  <c r="AA9380" i="1" s="1"/>
  <c r="J9380" i="1"/>
  <c r="N9380" i="1" s="1"/>
  <c r="Y9378" i="1"/>
  <c r="AA9378" i="1" s="1"/>
  <c r="J9378" i="1"/>
  <c r="N9378" i="1" s="1"/>
  <c r="Y9376" i="1"/>
  <c r="AA9376" i="1" s="1"/>
  <c r="J9376" i="1"/>
  <c r="N9376" i="1" s="1"/>
  <c r="Y9374" i="1"/>
  <c r="AA9374" i="1" s="1"/>
  <c r="J9374" i="1"/>
  <c r="Y9372" i="1"/>
  <c r="AA9372" i="1" s="1"/>
  <c r="J9372" i="1"/>
  <c r="N9372" i="1" s="1"/>
  <c r="Y9368" i="1"/>
  <c r="AA9368" i="1" s="1"/>
  <c r="J9368" i="1"/>
  <c r="N9368" i="1" s="1"/>
  <c r="Y9366" i="1"/>
  <c r="AA9366" i="1" s="1"/>
  <c r="J9366" i="1"/>
  <c r="N9366" i="1" s="1"/>
  <c r="Y9362" i="1"/>
  <c r="AA9362" i="1" s="1"/>
  <c r="J9362" i="1"/>
  <c r="N9362" i="1" s="1"/>
  <c r="Y9360" i="1"/>
  <c r="AA9360" i="1" s="1"/>
  <c r="J9360" i="1"/>
  <c r="N9360" i="1" s="1"/>
  <c r="Y9350" i="1"/>
  <c r="AA9350" i="1" s="1"/>
  <c r="J9350" i="1"/>
  <c r="N9350" i="1" s="1"/>
  <c r="Y9348" i="1"/>
  <c r="AA9348" i="1" s="1"/>
  <c r="J9348" i="1"/>
  <c r="N9348" i="1" s="1"/>
  <c r="Y9346" i="1"/>
  <c r="AA9346" i="1" s="1"/>
  <c r="J9346" i="1"/>
  <c r="N9346" i="1" s="1"/>
  <c r="Y9344" i="1"/>
  <c r="AA9344" i="1" s="1"/>
  <c r="J9344" i="1"/>
  <c r="N9344" i="1" s="1"/>
  <c r="Y9342" i="1"/>
  <c r="AA9342" i="1" s="1"/>
  <c r="J9342" i="1"/>
  <c r="N9342" i="1" s="1"/>
  <c r="Y9340" i="1"/>
  <c r="AA9340" i="1" s="1"/>
  <c r="J9340" i="1"/>
  <c r="N9340" i="1" s="1"/>
  <c r="Y9338" i="1"/>
  <c r="AA9338" i="1" s="1"/>
  <c r="J9338" i="1"/>
  <c r="N9338" i="1" s="1"/>
  <c r="Y9336" i="1"/>
  <c r="AA9336" i="1" s="1"/>
  <c r="J9336" i="1"/>
  <c r="N9336" i="1" s="1"/>
  <c r="Y9334" i="1"/>
  <c r="AA9334" i="1" s="1"/>
  <c r="J9334" i="1"/>
  <c r="N9334" i="1" s="1"/>
  <c r="Y9332" i="1"/>
  <c r="AA9332" i="1" s="1"/>
  <c r="J9332" i="1"/>
  <c r="Y9330" i="1"/>
  <c r="AA9330" i="1" s="1"/>
  <c r="J9330" i="1"/>
  <c r="N9330" i="1" s="1"/>
  <c r="Y9328" i="1"/>
  <c r="AA9328" i="1" s="1"/>
  <c r="J9328" i="1"/>
  <c r="N9328" i="1" s="1"/>
  <c r="Y9326" i="1"/>
  <c r="AA9326" i="1" s="1"/>
  <c r="J9326" i="1"/>
  <c r="N9326" i="1" s="1"/>
  <c r="Y9324" i="1"/>
  <c r="AA9324" i="1" s="1"/>
  <c r="J9324" i="1"/>
  <c r="N9324" i="1" s="1"/>
  <c r="Y9322" i="1"/>
  <c r="AA9322" i="1" s="1"/>
  <c r="J9322" i="1"/>
  <c r="N9322" i="1" s="1"/>
  <c r="Y9320" i="1"/>
  <c r="AA9320" i="1" s="1"/>
  <c r="J9320" i="1"/>
  <c r="N9320" i="1" s="1"/>
  <c r="Y9318" i="1"/>
  <c r="AA9318" i="1" s="1"/>
  <c r="J9318" i="1"/>
  <c r="N9318" i="1" s="1"/>
  <c r="Y9316" i="1"/>
  <c r="AA9316" i="1" s="1"/>
  <c r="J9316" i="1"/>
  <c r="N9316" i="1" s="1"/>
  <c r="Y9314" i="1"/>
  <c r="AA9314" i="1" s="1"/>
  <c r="J9314" i="1"/>
  <c r="N9314" i="1" s="1"/>
  <c r="Y9312" i="1"/>
  <c r="AA9312" i="1" s="1"/>
  <c r="J9312" i="1"/>
  <c r="N9312" i="1" s="1"/>
  <c r="Y9310" i="1"/>
  <c r="AA9310" i="1" s="1"/>
  <c r="J9310" i="1"/>
  <c r="N9310" i="1" s="1"/>
  <c r="Y9308" i="1"/>
  <c r="AA9308" i="1" s="1"/>
  <c r="J9308" i="1"/>
  <c r="N9308" i="1" s="1"/>
  <c r="Y9306" i="1"/>
  <c r="AA9306" i="1" s="1"/>
  <c r="J9306" i="1"/>
  <c r="N9306" i="1" s="1"/>
  <c r="Y9304" i="1"/>
  <c r="AA9304" i="1" s="1"/>
  <c r="J9304" i="1"/>
  <c r="N9304" i="1" s="1"/>
  <c r="Y9302" i="1"/>
  <c r="AA9302" i="1" s="1"/>
  <c r="J9302" i="1"/>
  <c r="Y9300" i="1"/>
  <c r="AA9300" i="1" s="1"/>
  <c r="J9300" i="1"/>
  <c r="N9300" i="1" s="1"/>
  <c r="Y9298" i="1"/>
  <c r="AA9298" i="1" s="1"/>
  <c r="J9298" i="1"/>
  <c r="N9298" i="1" s="1"/>
  <c r="Y9296" i="1"/>
  <c r="AA9296" i="1" s="1"/>
  <c r="J9296" i="1"/>
  <c r="N9296" i="1" s="1"/>
  <c r="Y9294" i="1"/>
  <c r="AA9294" i="1" s="1"/>
  <c r="J9294" i="1"/>
  <c r="Y9292" i="1"/>
  <c r="AA9292" i="1" s="1"/>
  <c r="J9292" i="1"/>
  <c r="N9292" i="1" s="1"/>
  <c r="Y9290" i="1"/>
  <c r="AA9290" i="1" s="1"/>
  <c r="J9290" i="1"/>
  <c r="N9290" i="1" s="1"/>
  <c r="Y9288" i="1"/>
  <c r="AA9288" i="1" s="1"/>
  <c r="J9288" i="1"/>
  <c r="N9288" i="1" s="1"/>
  <c r="Y9286" i="1"/>
  <c r="AA9286" i="1" s="1"/>
  <c r="J9286" i="1"/>
  <c r="N9286" i="1" s="1"/>
  <c r="Y9284" i="1"/>
  <c r="AA9284" i="1" s="1"/>
  <c r="J9284" i="1"/>
  <c r="N9284" i="1" s="1"/>
  <c r="Y9282" i="1"/>
  <c r="AA9282" i="1" s="1"/>
  <c r="J9282" i="1"/>
  <c r="N9282" i="1" s="1"/>
  <c r="Y9280" i="1"/>
  <c r="AA9280" i="1" s="1"/>
  <c r="J9280" i="1"/>
  <c r="N9280" i="1" s="1"/>
  <c r="Y9278" i="1"/>
  <c r="AA9278" i="1" s="1"/>
  <c r="J9278" i="1"/>
  <c r="N9278" i="1" s="1"/>
  <c r="Y9276" i="1"/>
  <c r="AA9276" i="1" s="1"/>
  <c r="J9276" i="1"/>
  <c r="K9130" i="1"/>
  <c r="K9144" i="1"/>
  <c r="Y9272" i="1"/>
  <c r="AA9272" i="1" s="1"/>
  <c r="J9272" i="1"/>
  <c r="N9272" i="1" s="1"/>
  <c r="Y9270" i="1"/>
  <c r="AA9270" i="1" s="1"/>
  <c r="N9270" i="1"/>
  <c r="Y9268" i="1"/>
  <c r="AA9268" i="1" s="1"/>
  <c r="J9268" i="1"/>
  <c r="N9268" i="1" s="1"/>
  <c r="Y9266" i="1"/>
  <c r="AA9266" i="1" s="1"/>
  <c r="J9266" i="1"/>
  <c r="N9266" i="1" s="1"/>
  <c r="Y9264" i="1"/>
  <c r="AA9264" i="1" s="1"/>
  <c r="J9264" i="1"/>
  <c r="N9264" i="1" s="1"/>
  <c r="Y9262" i="1"/>
  <c r="AA9262" i="1" s="1"/>
  <c r="J9262" i="1"/>
  <c r="N9262" i="1" s="1"/>
  <c r="Y9260" i="1"/>
  <c r="AA9260" i="1" s="1"/>
  <c r="J9260" i="1"/>
  <c r="N9260" i="1" s="1"/>
  <c r="Y9258" i="1"/>
  <c r="AA9258" i="1" s="1"/>
  <c r="J9258" i="1"/>
  <c r="N9258" i="1" s="1"/>
  <c r="Y9256" i="1"/>
  <c r="AA9256" i="1" s="1"/>
  <c r="J9256" i="1"/>
  <c r="N9256" i="1" s="1"/>
  <c r="Y9254" i="1"/>
  <c r="AA9254" i="1" s="1"/>
  <c r="J9254" i="1"/>
  <c r="N9254" i="1" s="1"/>
  <c r="Y9246" i="1"/>
  <c r="AA9246" i="1" s="1"/>
  <c r="J9246" i="1"/>
  <c r="N9246" i="1" s="1"/>
  <c r="Y9244" i="1"/>
  <c r="AA9244" i="1" s="1"/>
  <c r="J9244" i="1"/>
  <c r="N9244" i="1" s="1"/>
  <c r="Y9242" i="1"/>
  <c r="AA9242" i="1" s="1"/>
  <c r="J9242" i="1"/>
  <c r="Y9240" i="1"/>
  <c r="AA9240" i="1" s="1"/>
  <c r="J9240" i="1"/>
  <c r="N9240" i="1" s="1"/>
  <c r="Y9238" i="1"/>
  <c r="AA9238" i="1" s="1"/>
  <c r="J9238" i="1"/>
  <c r="N9238" i="1" s="1"/>
  <c r="Y9236" i="1"/>
  <c r="AA9236" i="1" s="1"/>
  <c r="J9236" i="1"/>
  <c r="Y9234" i="1"/>
  <c r="AA9234" i="1" s="1"/>
  <c r="J9234" i="1"/>
  <c r="N9234" i="1" s="1"/>
  <c r="Y9232" i="1"/>
  <c r="AA9232" i="1" s="1"/>
  <c r="J9232" i="1"/>
  <c r="N9232" i="1" s="1"/>
  <c r="Y9230" i="1"/>
  <c r="AA9230" i="1" s="1"/>
  <c r="J9230" i="1"/>
  <c r="N9230" i="1" s="1"/>
  <c r="Y9228" i="1"/>
  <c r="AA9228" i="1" s="1"/>
  <c r="J9228" i="1"/>
  <c r="Y9226" i="1"/>
  <c r="AA9226" i="1" s="1"/>
  <c r="J9226" i="1"/>
  <c r="N9226" i="1" s="1"/>
  <c r="Y9224" i="1"/>
  <c r="AA9224" i="1" s="1"/>
  <c r="J9224" i="1"/>
  <c r="Y9222" i="1"/>
  <c r="AA9222" i="1" s="1"/>
  <c r="J9222" i="1"/>
  <c r="Y9220" i="1"/>
  <c r="AA9220" i="1" s="1"/>
  <c r="J9220" i="1"/>
  <c r="N9220" i="1" s="1"/>
  <c r="Y9216" i="1"/>
  <c r="AA9216" i="1" s="1"/>
  <c r="J9216" i="1"/>
  <c r="Y9214" i="1"/>
  <c r="AA9214" i="1" s="1"/>
  <c r="J9214" i="1"/>
  <c r="N9214" i="1" s="1"/>
  <c r="Y9212" i="1"/>
  <c r="AA9212" i="1" s="1"/>
  <c r="J9212" i="1"/>
  <c r="N9212" i="1" s="1"/>
  <c r="Y9210" i="1"/>
  <c r="AA9210" i="1" s="1"/>
  <c r="J9210" i="1"/>
  <c r="N9210" i="1" s="1"/>
  <c r="Y9208" i="1"/>
  <c r="AA9208" i="1" s="1"/>
  <c r="J9208" i="1"/>
  <c r="N9208" i="1" s="1"/>
  <c r="Y9206" i="1"/>
  <c r="AA9206" i="1" s="1"/>
  <c r="J9206" i="1"/>
  <c r="N9206" i="1" s="1"/>
  <c r="Y9204" i="1"/>
  <c r="AA9204" i="1" s="1"/>
  <c r="J9204" i="1"/>
  <c r="N9204" i="1" s="1"/>
  <c r="Y9202" i="1"/>
  <c r="AA9202" i="1" s="1"/>
  <c r="J9202" i="1"/>
  <c r="N9202" i="1" s="1"/>
  <c r="Y9200" i="1"/>
  <c r="AA9200" i="1" s="1"/>
  <c r="J9200" i="1"/>
  <c r="N9200" i="1" s="1"/>
  <c r="Y9198" i="1"/>
  <c r="AA9198" i="1" s="1"/>
  <c r="J9198" i="1"/>
  <c r="N9198" i="1" s="1"/>
  <c r="Y9196" i="1"/>
  <c r="AA9196" i="1" s="1"/>
  <c r="J9196" i="1"/>
  <c r="N9196" i="1" s="1"/>
  <c r="Y9194" i="1"/>
  <c r="AA9194" i="1" s="1"/>
  <c r="J9194" i="1"/>
  <c r="N9194" i="1" s="1"/>
  <c r="Y9192" i="1"/>
  <c r="AA9192" i="1" s="1"/>
  <c r="J9192" i="1"/>
  <c r="N9192" i="1" s="1"/>
  <c r="Y9190" i="1"/>
  <c r="AA9190" i="1" s="1"/>
  <c r="J9190" i="1"/>
  <c r="N9190" i="1" s="1"/>
  <c r="Y9188" i="1"/>
  <c r="AA9188" i="1" s="1"/>
  <c r="J9188" i="1"/>
  <c r="N9188" i="1" s="1"/>
  <c r="Y9186" i="1"/>
  <c r="AA9186" i="1" s="1"/>
  <c r="J9186" i="1"/>
  <c r="N9186" i="1" s="1"/>
  <c r="Y9184" i="1"/>
  <c r="AA9184" i="1" s="1"/>
  <c r="J9184" i="1"/>
  <c r="N9184" i="1" s="1"/>
  <c r="Y9182" i="1"/>
  <c r="AA9182" i="1" s="1"/>
  <c r="J9182" i="1"/>
  <c r="N9182" i="1" s="1"/>
  <c r="Y9180" i="1"/>
  <c r="AA9180" i="1" s="1"/>
  <c r="J9180" i="1"/>
  <c r="N9180" i="1" s="1"/>
  <c r="Y9178" i="1"/>
  <c r="AA9178" i="1" s="1"/>
  <c r="J9178" i="1"/>
  <c r="N9178" i="1" s="1"/>
  <c r="Y9176" i="1"/>
  <c r="AA9176" i="1" s="1"/>
  <c r="J9176" i="1"/>
  <c r="N9176" i="1" s="1"/>
  <c r="Y9174" i="1"/>
  <c r="AA9174" i="1" s="1"/>
  <c r="J9174" i="1"/>
  <c r="N9174" i="1" s="1"/>
  <c r="Y9172" i="1"/>
  <c r="AA9172" i="1" s="1"/>
  <c r="J9172" i="1"/>
  <c r="N9172" i="1" s="1"/>
  <c r="Y9170" i="1"/>
  <c r="AA9170" i="1" s="1"/>
  <c r="J9170" i="1"/>
  <c r="N9170" i="1" s="1"/>
  <c r="N9118" i="1"/>
  <c r="K9128" i="1"/>
  <c r="K9126" i="1"/>
  <c r="K9124" i="1"/>
  <c r="K9120" i="1"/>
  <c r="K9092" i="1"/>
  <c r="M9088" i="1"/>
  <c r="K9086" i="1"/>
  <c r="Y9074" i="1"/>
  <c r="AA9074" i="1" s="1"/>
  <c r="J9074" i="1"/>
  <c r="N9074" i="1" s="1"/>
  <c r="K9072" i="1"/>
  <c r="K9068" i="1"/>
  <c r="K9066" i="1"/>
  <c r="K9060" i="1"/>
  <c r="K9058" i="1"/>
  <c r="Y9168" i="1"/>
  <c r="AA9168" i="1" s="1"/>
  <c r="J9168" i="1"/>
  <c r="N9168" i="1" s="1"/>
  <c r="Y9166" i="1"/>
  <c r="AA9166" i="1" s="1"/>
  <c r="J9166" i="1"/>
  <c r="N9166" i="1" s="1"/>
  <c r="Y9164" i="1"/>
  <c r="AA9164" i="1" s="1"/>
  <c r="J9164" i="1"/>
  <c r="N9164" i="1" s="1"/>
  <c r="Y9162" i="1"/>
  <c r="AA9162" i="1" s="1"/>
  <c r="J9162" i="1"/>
  <c r="N9162" i="1" s="1"/>
  <c r="Y9160" i="1"/>
  <c r="AA9160" i="1" s="1"/>
  <c r="J9160" i="1"/>
  <c r="N9160" i="1" s="1"/>
  <c r="Y9158" i="1"/>
  <c r="AA9158" i="1" s="1"/>
  <c r="J9158" i="1"/>
  <c r="N9158" i="1" s="1"/>
  <c r="Y9156" i="1"/>
  <c r="AA9156" i="1" s="1"/>
  <c r="J9156" i="1"/>
  <c r="N9156" i="1" s="1"/>
  <c r="Y9154" i="1"/>
  <c r="AA9154" i="1" s="1"/>
  <c r="J9154" i="1"/>
  <c r="N9154" i="1" s="1"/>
  <c r="Y9152" i="1"/>
  <c r="AA9152" i="1" s="1"/>
  <c r="J9152" i="1"/>
  <c r="N9152" i="1" s="1"/>
  <c r="Y9150" i="1"/>
  <c r="AA9150" i="1" s="1"/>
  <c r="J9150" i="1"/>
  <c r="Y9148" i="1"/>
  <c r="AA9148" i="1" s="1"/>
  <c r="J9148" i="1"/>
  <c r="N9148" i="1" s="1"/>
  <c r="Y9146" i="1"/>
  <c r="AA9146" i="1" s="1"/>
  <c r="J9146" i="1"/>
  <c r="N9146" i="1" s="1"/>
  <c r="Y9144" i="1"/>
  <c r="AA9144" i="1" s="1"/>
  <c r="J9144" i="1"/>
  <c r="Y9142" i="1"/>
  <c r="AA9142" i="1" s="1"/>
  <c r="J9142" i="1"/>
  <c r="N9142" i="1" s="1"/>
  <c r="Y9140" i="1"/>
  <c r="AA9140" i="1" s="1"/>
  <c r="J9140" i="1"/>
  <c r="N9140" i="1" s="1"/>
  <c r="Y9138" i="1"/>
  <c r="AA9138" i="1" s="1"/>
  <c r="J9138" i="1"/>
  <c r="N9138" i="1" s="1"/>
  <c r="Y9136" i="1"/>
  <c r="AA9136" i="1" s="1"/>
  <c r="J9136" i="1"/>
  <c r="N9136" i="1" s="1"/>
  <c r="Y9134" i="1"/>
  <c r="AA9134" i="1" s="1"/>
  <c r="J9134" i="1"/>
  <c r="N9134" i="1" s="1"/>
  <c r="Y9132" i="1"/>
  <c r="AA9132" i="1" s="1"/>
  <c r="J9132" i="1"/>
  <c r="N9132" i="1" s="1"/>
  <c r="Y9130" i="1"/>
  <c r="AA9130" i="1" s="1"/>
  <c r="J9130" i="1"/>
  <c r="Y9128" i="1"/>
  <c r="AA9128" i="1" s="1"/>
  <c r="J9128" i="1"/>
  <c r="Y9126" i="1"/>
  <c r="AA9126" i="1" s="1"/>
  <c r="J9126" i="1"/>
  <c r="Y9124" i="1"/>
  <c r="AA9124" i="1" s="1"/>
  <c r="J9124" i="1"/>
  <c r="Y9122" i="1"/>
  <c r="AA9122" i="1" s="1"/>
  <c r="J9122" i="1"/>
  <c r="N9122" i="1" s="1"/>
  <c r="Y9120" i="1"/>
  <c r="AA9120" i="1" s="1"/>
  <c r="J9120" i="1"/>
  <c r="Y9118" i="1"/>
  <c r="AA9118" i="1" s="1"/>
  <c r="J9118" i="1"/>
  <c r="Y9116" i="1"/>
  <c r="AA9116" i="1" s="1"/>
  <c r="J9116" i="1"/>
  <c r="N9116" i="1" s="1"/>
  <c r="Y9114" i="1"/>
  <c r="AA9114" i="1" s="1"/>
  <c r="J9114" i="1"/>
  <c r="N9114" i="1" s="1"/>
  <c r="Y9112" i="1"/>
  <c r="AA9112" i="1" s="1"/>
  <c r="J9112" i="1"/>
  <c r="N9112" i="1" s="1"/>
  <c r="Y9110" i="1"/>
  <c r="AA9110" i="1" s="1"/>
  <c r="J9110" i="1"/>
  <c r="N9110" i="1" s="1"/>
  <c r="Y9108" i="1"/>
  <c r="AA9108" i="1" s="1"/>
  <c r="J9108" i="1"/>
  <c r="N9108" i="1" s="1"/>
  <c r="Y9106" i="1"/>
  <c r="AA9106" i="1" s="1"/>
  <c r="J9106" i="1"/>
  <c r="N9106" i="1" s="1"/>
  <c r="Y9104" i="1"/>
  <c r="AA9104" i="1" s="1"/>
  <c r="J9104" i="1"/>
  <c r="N9104" i="1" s="1"/>
  <c r="Y9102" i="1"/>
  <c r="AA9102" i="1" s="1"/>
  <c r="J9102" i="1"/>
  <c r="N9102" i="1" s="1"/>
  <c r="Y9100" i="1"/>
  <c r="AA9100" i="1" s="1"/>
  <c r="J9100" i="1"/>
  <c r="N9100" i="1" s="1"/>
  <c r="Y9098" i="1"/>
  <c r="AA9098" i="1" s="1"/>
  <c r="J9098" i="1"/>
  <c r="N9098" i="1" s="1"/>
  <c r="Y9096" i="1"/>
  <c r="AA9096" i="1" s="1"/>
  <c r="J9096" i="1"/>
  <c r="N9096" i="1" s="1"/>
  <c r="Y9094" i="1"/>
  <c r="AA9094" i="1" s="1"/>
  <c r="J9094" i="1"/>
  <c r="N9094" i="1" s="1"/>
  <c r="Y9092" i="1"/>
  <c r="AA9092" i="1" s="1"/>
  <c r="J9092" i="1"/>
  <c r="Y9090" i="1"/>
  <c r="AA9090" i="1" s="1"/>
  <c r="J9090" i="1"/>
  <c r="N9090" i="1" s="1"/>
  <c r="Y9088" i="1"/>
  <c r="AA9088" i="1" s="1"/>
  <c r="J9088" i="1"/>
  <c r="Y9086" i="1"/>
  <c r="AA9086" i="1" s="1"/>
  <c r="J9086" i="1"/>
  <c r="Y9084" i="1"/>
  <c r="AA9084" i="1" s="1"/>
  <c r="J9084" i="1"/>
  <c r="N9084" i="1" s="1"/>
  <c r="Y9082" i="1"/>
  <c r="AA9082" i="1" s="1"/>
  <c r="J9082" i="1"/>
  <c r="N9082" i="1" s="1"/>
  <c r="Y9080" i="1"/>
  <c r="AA9080" i="1" s="1"/>
  <c r="J9080" i="1"/>
  <c r="N9080" i="1" s="1"/>
  <c r="Y9078" i="1"/>
  <c r="AA9078" i="1" s="1"/>
  <c r="J9078" i="1"/>
  <c r="N9078" i="1" s="1"/>
  <c r="Y9076" i="1"/>
  <c r="AA9076" i="1" s="1"/>
  <c r="J9076" i="1"/>
  <c r="N9076" i="1" s="1"/>
  <c r="Y9072" i="1"/>
  <c r="AA9072" i="1" s="1"/>
  <c r="J9072" i="1"/>
  <c r="Y9070" i="1"/>
  <c r="AA9070" i="1" s="1"/>
  <c r="J9070" i="1"/>
  <c r="N9070" i="1" s="1"/>
  <c r="Y9068" i="1"/>
  <c r="AA9068" i="1" s="1"/>
  <c r="J9068" i="1"/>
  <c r="K9000" i="1"/>
  <c r="K8998" i="1"/>
  <c r="K8964" i="1"/>
  <c r="K8952" i="1"/>
  <c r="M8952" i="1"/>
  <c r="M8950" i="1"/>
  <c r="M8948" i="1"/>
  <c r="M8946" i="1"/>
  <c r="K8946" i="1"/>
  <c r="M8928" i="1"/>
  <c r="K8928" i="1"/>
  <c r="K8872" i="1"/>
  <c r="K8870" i="1"/>
  <c r="Y8870" i="1"/>
  <c r="AA8870" i="1" s="1"/>
  <c r="J8870" i="1"/>
  <c r="K8866" i="1"/>
  <c r="K8864" i="1"/>
  <c r="M8858" i="1"/>
  <c r="I8874" i="1"/>
  <c r="Y8858" i="1"/>
  <c r="AA8858" i="1" s="1"/>
  <c r="J8858" i="1"/>
  <c r="J8860" i="1"/>
  <c r="N8860" i="1" s="1"/>
  <c r="Y8860" i="1"/>
  <c r="AA8860" i="1" s="1"/>
  <c r="Y8856" i="1"/>
  <c r="AA8856" i="1" s="1"/>
  <c r="J8856" i="1"/>
  <c r="N8856" i="1" s="1"/>
  <c r="Y8872" i="1"/>
  <c r="AA8872" i="1" s="1"/>
  <c r="J8872" i="1"/>
  <c r="Y8830" i="1"/>
  <c r="AA8830" i="1" s="1"/>
  <c r="J8830" i="1"/>
  <c r="N8830" i="1" s="1"/>
  <c r="Y8846" i="1"/>
  <c r="AA8846" i="1" s="1"/>
  <c r="J8846" i="1"/>
  <c r="N8846" i="1" s="1"/>
  <c r="Y8806" i="1"/>
  <c r="AA8806" i="1" s="1"/>
  <c r="J8806" i="1"/>
  <c r="N8806" i="1" s="1"/>
  <c r="N9414" i="1" l="1"/>
  <c r="N9402" i="1"/>
  <c r="N9384" i="1"/>
  <c r="N9236" i="1"/>
  <c r="N9374" i="1"/>
  <c r="N9332" i="1"/>
  <c r="N9302" i="1"/>
  <c r="N9294" i="1"/>
  <c r="N9222" i="1"/>
  <c r="N9276" i="1"/>
  <c r="N9242" i="1"/>
  <c r="N9228" i="1"/>
  <c r="N9224" i="1"/>
  <c r="N9216" i="1"/>
  <c r="N9130" i="1"/>
  <c r="N9126" i="1"/>
  <c r="N9068" i="1"/>
  <c r="N9120" i="1"/>
  <c r="N9144" i="1"/>
  <c r="N9072" i="1"/>
  <c r="N9124" i="1"/>
  <c r="N9086" i="1"/>
  <c r="N8870" i="1"/>
  <c r="N8872" i="1"/>
  <c r="N9092" i="1"/>
  <c r="N9088" i="1"/>
  <c r="N9128" i="1"/>
  <c r="N8858" i="1"/>
  <c r="J8758" i="1"/>
  <c r="N8758" i="1" s="1"/>
  <c r="K8746" i="1"/>
  <c r="Y8756" i="1"/>
  <c r="AA8756" i="1" s="1"/>
  <c r="J8756" i="1"/>
  <c r="N8756" i="1" s="1"/>
  <c r="K8726" i="1"/>
  <c r="K8718" i="1"/>
  <c r="M8702" i="1"/>
  <c r="M8700" i="1"/>
  <c r="M8694" i="1"/>
  <c r="K8694" i="1"/>
  <c r="K8690" i="1"/>
  <c r="K8630" i="1"/>
  <c r="K8626" i="1"/>
  <c r="I8644" i="1"/>
  <c r="J8644" i="1" s="1"/>
  <c r="N8644" i="1" s="1"/>
  <c r="I8642" i="1"/>
  <c r="J8642" i="1" s="1"/>
  <c r="N8642" i="1" s="1"/>
  <c r="I8640" i="1"/>
  <c r="J8640" i="1" s="1"/>
  <c r="N8640" i="1" s="1"/>
  <c r="I8638" i="1"/>
  <c r="J8638" i="1" s="1"/>
  <c r="N8638" i="1" s="1"/>
  <c r="X584" i="1"/>
  <c r="K8492" i="1"/>
  <c r="K8490" i="1"/>
  <c r="K8470" i="1"/>
  <c r="M8468" i="1"/>
  <c r="M8466" i="1"/>
  <c r="M8452" i="1"/>
  <c r="Y8452" i="1"/>
  <c r="AA8452" i="1" s="1"/>
  <c r="J8452" i="1"/>
  <c r="K8400" i="1"/>
  <c r="K8388" i="1"/>
  <c r="K8386" i="1"/>
  <c r="K8378" i="1"/>
  <c r="Y8376" i="1"/>
  <c r="AA8376" i="1" s="1"/>
  <c r="J8376" i="1"/>
  <c r="N8376" i="1" s="1"/>
  <c r="I8398" i="1"/>
  <c r="J8398" i="1" s="1"/>
  <c r="N8398" i="1" s="1"/>
  <c r="I8396" i="1"/>
  <c r="J8396" i="1" s="1"/>
  <c r="N8396" i="1" s="1"/>
  <c r="I8394" i="1"/>
  <c r="J8394" i="1" s="1"/>
  <c r="N8394" i="1" s="1"/>
  <c r="Y8374" i="1"/>
  <c r="AA8374" i="1" s="1"/>
  <c r="J8374" i="1"/>
  <c r="N8374" i="1" s="1"/>
  <c r="Y8380" i="1"/>
  <c r="AA8380" i="1" s="1"/>
  <c r="J8380" i="1"/>
  <c r="N8380" i="1" s="1"/>
  <c r="Y8382" i="1"/>
  <c r="AA8382" i="1" s="1"/>
  <c r="J8382" i="1"/>
  <c r="N8382" i="1" s="1"/>
  <c r="J8288" i="1"/>
  <c r="N8288" i="1" s="1"/>
  <c r="K8246" i="1"/>
  <c r="K8216" i="1"/>
  <c r="K8214" i="1"/>
  <c r="M8208" i="1"/>
  <c r="N8208" i="1" s="1"/>
  <c r="M8206" i="1"/>
  <c r="I8144" i="1"/>
  <c r="J8144" i="1" s="1"/>
  <c r="I8142" i="1"/>
  <c r="J8142" i="1" s="1"/>
  <c r="N8142" i="1" s="1"/>
  <c r="I8140" i="1"/>
  <c r="J8140" i="1" s="1"/>
  <c r="N8140" i="1" s="1"/>
  <c r="I8136" i="1"/>
  <c r="J8136" i="1" s="1"/>
  <c r="N8136" i="1" s="1"/>
  <c r="Y8136" i="1"/>
  <c r="AA8136" i="1" s="1"/>
  <c r="K8126" i="1"/>
  <c r="K8124" i="1"/>
  <c r="I8138" i="1"/>
  <c r="J8138" i="1" s="1"/>
  <c r="N8138" i="1" s="1"/>
  <c r="I8134" i="1"/>
  <c r="J8134" i="1" s="1"/>
  <c r="N8134" i="1" s="1"/>
  <c r="I8132" i="1"/>
  <c r="J8132" i="1" s="1"/>
  <c r="N8132" i="1" s="1"/>
  <c r="Y6914" i="1"/>
  <c r="AA6914" i="1" s="1"/>
  <c r="M7964" i="1"/>
  <c r="M7962" i="1"/>
  <c r="K7960" i="1"/>
  <c r="M7952" i="1"/>
  <c r="K7948" i="1"/>
  <c r="I7868" i="1"/>
  <c r="J7868" i="1" s="1"/>
  <c r="N7868" i="1" s="1"/>
  <c r="I7866" i="1"/>
  <c r="J7866" i="1" s="1"/>
  <c r="N7866" i="1" s="1"/>
  <c r="J7824" i="1"/>
  <c r="N7824" i="1" s="1"/>
  <c r="Y9066" i="1"/>
  <c r="AA9066" i="1" s="1"/>
  <c r="J9066" i="1"/>
  <c r="N9066" i="1" s="1"/>
  <c r="Y9064" i="1"/>
  <c r="AA9064" i="1" s="1"/>
  <c r="J9064" i="1"/>
  <c r="N9064" i="1" s="1"/>
  <c r="Y9062" i="1"/>
  <c r="AA9062" i="1" s="1"/>
  <c r="J9062" i="1"/>
  <c r="N9062" i="1" s="1"/>
  <c r="Y9060" i="1"/>
  <c r="AA9060" i="1" s="1"/>
  <c r="J9060" i="1"/>
  <c r="N9060" i="1" s="1"/>
  <c r="Y9058" i="1"/>
  <c r="AA9058" i="1" s="1"/>
  <c r="J9058" i="1"/>
  <c r="N9058" i="1" s="1"/>
  <c r="Y9056" i="1"/>
  <c r="AA9056" i="1" s="1"/>
  <c r="J9056" i="1"/>
  <c r="N9056" i="1" s="1"/>
  <c r="Y9054" i="1"/>
  <c r="AA9054" i="1" s="1"/>
  <c r="J9054" i="1"/>
  <c r="N9054" i="1" s="1"/>
  <c r="Y9052" i="1"/>
  <c r="AA9052" i="1" s="1"/>
  <c r="J9052" i="1"/>
  <c r="N9052" i="1" s="1"/>
  <c r="Y9050" i="1"/>
  <c r="AA9050" i="1" s="1"/>
  <c r="J9050" i="1"/>
  <c r="N9050" i="1" s="1"/>
  <c r="Y9048" i="1"/>
  <c r="AA9048" i="1" s="1"/>
  <c r="J9048" i="1"/>
  <c r="N9048" i="1" s="1"/>
  <c r="Y9046" i="1"/>
  <c r="AA9046" i="1" s="1"/>
  <c r="J9046" i="1"/>
  <c r="N9046" i="1" s="1"/>
  <c r="Y9044" i="1"/>
  <c r="AA9044" i="1" s="1"/>
  <c r="J9044" i="1"/>
  <c r="N9044" i="1" s="1"/>
  <c r="Y9042" i="1"/>
  <c r="AA9042" i="1" s="1"/>
  <c r="J9042" i="1"/>
  <c r="N9042" i="1" s="1"/>
  <c r="Y9040" i="1"/>
  <c r="AA9040" i="1" s="1"/>
  <c r="J9040" i="1"/>
  <c r="N9040" i="1" s="1"/>
  <c r="Y9038" i="1"/>
  <c r="AA9038" i="1" s="1"/>
  <c r="J9038" i="1"/>
  <c r="N9038" i="1" s="1"/>
  <c r="Y9036" i="1"/>
  <c r="AA9036" i="1" s="1"/>
  <c r="J9036" i="1"/>
  <c r="N9036" i="1" s="1"/>
  <c r="Y9034" i="1"/>
  <c r="AA9034" i="1" s="1"/>
  <c r="J9034" i="1"/>
  <c r="N9034" i="1" s="1"/>
  <c r="Y9032" i="1"/>
  <c r="AA9032" i="1" s="1"/>
  <c r="J9032" i="1"/>
  <c r="N9032" i="1" s="1"/>
  <c r="Y9030" i="1"/>
  <c r="AA9030" i="1" s="1"/>
  <c r="J9030" i="1"/>
  <c r="N9030" i="1" s="1"/>
  <c r="Y9028" i="1"/>
  <c r="AA9028" i="1" s="1"/>
  <c r="J9028" i="1"/>
  <c r="N9028" i="1" s="1"/>
  <c r="Y9026" i="1"/>
  <c r="AA9026" i="1" s="1"/>
  <c r="J9026" i="1"/>
  <c r="N9026" i="1" s="1"/>
  <c r="Y9024" i="1"/>
  <c r="AA9024" i="1" s="1"/>
  <c r="J9024" i="1"/>
  <c r="N9024" i="1" s="1"/>
  <c r="Y9022" i="1"/>
  <c r="AA9022" i="1" s="1"/>
  <c r="J9022" i="1"/>
  <c r="N9022" i="1" s="1"/>
  <c r="Y9020" i="1"/>
  <c r="AA9020" i="1" s="1"/>
  <c r="J9020" i="1"/>
  <c r="N9020" i="1" s="1"/>
  <c r="Y9018" i="1"/>
  <c r="AA9018" i="1" s="1"/>
  <c r="J9018" i="1"/>
  <c r="N9018" i="1" s="1"/>
  <c r="Y9016" i="1"/>
  <c r="AA9016" i="1" s="1"/>
  <c r="N9016" i="1"/>
  <c r="Y9014" i="1"/>
  <c r="AA9014" i="1" s="1"/>
  <c r="J9014" i="1"/>
  <c r="N9014" i="1" s="1"/>
  <c r="AA9012" i="1"/>
  <c r="J9012" i="1"/>
  <c r="N9012" i="1" s="1"/>
  <c r="Y9010" i="1"/>
  <c r="AA9010" i="1" s="1"/>
  <c r="J9010" i="1"/>
  <c r="N9010" i="1" s="1"/>
  <c r="Y9008" i="1"/>
  <c r="AA9008" i="1" s="1"/>
  <c r="J9008" i="1"/>
  <c r="N9008" i="1" s="1"/>
  <c r="Y9006" i="1"/>
  <c r="AA9006" i="1" s="1"/>
  <c r="J9006" i="1"/>
  <c r="N9006" i="1" s="1"/>
  <c r="Y9004" i="1"/>
  <c r="AA9004" i="1" s="1"/>
  <c r="J9004" i="1"/>
  <c r="N9004" i="1" s="1"/>
  <c r="Y9002" i="1"/>
  <c r="AA9002" i="1" s="1"/>
  <c r="J9002" i="1"/>
  <c r="N9002" i="1" s="1"/>
  <c r="Y9000" i="1"/>
  <c r="AA9000" i="1" s="1"/>
  <c r="J9000" i="1"/>
  <c r="N9000" i="1" s="1"/>
  <c r="Y8998" i="1"/>
  <c r="AA8998" i="1" s="1"/>
  <c r="J8998" i="1"/>
  <c r="N8998" i="1" s="1"/>
  <c r="Y8996" i="1"/>
  <c r="AA8996" i="1" s="1"/>
  <c r="J8996" i="1"/>
  <c r="N8996" i="1" s="1"/>
  <c r="Y8994" i="1"/>
  <c r="AA8994" i="1" s="1"/>
  <c r="J8994" i="1"/>
  <c r="N8994" i="1" s="1"/>
  <c r="Y8992" i="1"/>
  <c r="AA8992" i="1" s="1"/>
  <c r="J8992" i="1"/>
  <c r="N8992" i="1" s="1"/>
  <c r="Y8990" i="1"/>
  <c r="AA8990" i="1" s="1"/>
  <c r="J8990" i="1"/>
  <c r="N8990" i="1" s="1"/>
  <c r="Y8988" i="1"/>
  <c r="AA8988" i="1" s="1"/>
  <c r="J8988" i="1"/>
  <c r="N8988" i="1" s="1"/>
  <c r="Y8986" i="1"/>
  <c r="AA8986" i="1" s="1"/>
  <c r="J8986" i="1"/>
  <c r="N8986" i="1" s="1"/>
  <c r="Y8984" i="1"/>
  <c r="AA8984" i="1" s="1"/>
  <c r="J8984" i="1"/>
  <c r="N8984" i="1" s="1"/>
  <c r="Y8982" i="1"/>
  <c r="AA8982" i="1" s="1"/>
  <c r="J8982" i="1"/>
  <c r="N8982" i="1" s="1"/>
  <c r="Y8980" i="1"/>
  <c r="AA8980" i="1" s="1"/>
  <c r="J8980" i="1"/>
  <c r="N8980" i="1" s="1"/>
  <c r="Y8978" i="1"/>
  <c r="AA8978" i="1" s="1"/>
  <c r="J8978" i="1"/>
  <c r="N8978" i="1" s="1"/>
  <c r="Y8976" i="1"/>
  <c r="AA8976" i="1" s="1"/>
  <c r="J8976" i="1"/>
  <c r="N8976" i="1" s="1"/>
  <c r="Y8974" i="1"/>
  <c r="AA8974" i="1" s="1"/>
  <c r="J8974" i="1"/>
  <c r="N8974" i="1" s="1"/>
  <c r="Y8972" i="1"/>
  <c r="AA8972" i="1" s="1"/>
  <c r="N8972" i="1"/>
  <c r="Y8970" i="1"/>
  <c r="AA8970" i="1" s="1"/>
  <c r="J8970" i="1"/>
  <c r="N8970" i="1" s="1"/>
  <c r="Y8968" i="1"/>
  <c r="AA8968" i="1" s="1"/>
  <c r="J8968" i="1"/>
  <c r="N8968" i="1" s="1"/>
  <c r="Y8966" i="1"/>
  <c r="AA8966" i="1" s="1"/>
  <c r="J8966" i="1"/>
  <c r="N8966" i="1" s="1"/>
  <c r="Y8964" i="1"/>
  <c r="AA8964" i="1" s="1"/>
  <c r="J8964" i="1"/>
  <c r="N8964" i="1" s="1"/>
  <c r="Y8962" i="1"/>
  <c r="AA8962" i="1" s="1"/>
  <c r="J8962" i="1"/>
  <c r="N8962" i="1" s="1"/>
  <c r="Y8960" i="1"/>
  <c r="AA8960" i="1" s="1"/>
  <c r="J8960" i="1"/>
  <c r="N8960" i="1" s="1"/>
  <c r="Y8958" i="1"/>
  <c r="AA8958" i="1" s="1"/>
  <c r="J8958" i="1"/>
  <c r="N8958" i="1" s="1"/>
  <c r="Y8956" i="1"/>
  <c r="AA8956" i="1" s="1"/>
  <c r="J8956" i="1"/>
  <c r="N8956" i="1" s="1"/>
  <c r="Y8954" i="1"/>
  <c r="AA8954" i="1" s="1"/>
  <c r="J8954" i="1"/>
  <c r="N8954" i="1" s="1"/>
  <c r="Y8952" i="1"/>
  <c r="AA8952" i="1" s="1"/>
  <c r="J8952" i="1"/>
  <c r="N8952" i="1" s="1"/>
  <c r="Y8950" i="1"/>
  <c r="AA8950" i="1" s="1"/>
  <c r="J8950" i="1"/>
  <c r="N8950" i="1" s="1"/>
  <c r="Y8948" i="1"/>
  <c r="AA8948" i="1" s="1"/>
  <c r="J8948" i="1"/>
  <c r="N8948" i="1" s="1"/>
  <c r="Y8946" i="1"/>
  <c r="AA8946" i="1" s="1"/>
  <c r="J8946" i="1"/>
  <c r="N8946" i="1" s="1"/>
  <c r="Y8944" i="1"/>
  <c r="AA8944" i="1" s="1"/>
  <c r="J8944" i="1"/>
  <c r="N8944" i="1" s="1"/>
  <c r="Y8942" i="1"/>
  <c r="AA8942" i="1" s="1"/>
  <c r="J8942" i="1"/>
  <c r="N8942" i="1" s="1"/>
  <c r="Y8940" i="1"/>
  <c r="AA8940" i="1" s="1"/>
  <c r="J8940" i="1"/>
  <c r="N8940" i="1" s="1"/>
  <c r="Y8938" i="1"/>
  <c r="AA8938" i="1" s="1"/>
  <c r="J8938" i="1"/>
  <c r="N8938" i="1" s="1"/>
  <c r="Y8936" i="1"/>
  <c r="AA8936" i="1" s="1"/>
  <c r="J8936" i="1"/>
  <c r="N8936" i="1" s="1"/>
  <c r="Y8934" i="1"/>
  <c r="AA8934" i="1" s="1"/>
  <c r="J8934" i="1"/>
  <c r="N8934" i="1" s="1"/>
  <c r="Y8932" i="1"/>
  <c r="AA8932" i="1" s="1"/>
  <c r="J8932" i="1"/>
  <c r="N8932" i="1" s="1"/>
  <c r="Y8930" i="1"/>
  <c r="AA8930" i="1" s="1"/>
  <c r="J8930" i="1"/>
  <c r="N8930" i="1" s="1"/>
  <c r="Y8928" i="1"/>
  <c r="AA8928" i="1" s="1"/>
  <c r="J8928" i="1"/>
  <c r="N8928" i="1" s="1"/>
  <c r="Y8926" i="1"/>
  <c r="AA8926" i="1" s="1"/>
  <c r="J8926" i="1"/>
  <c r="N8926" i="1" s="1"/>
  <c r="Y8924" i="1"/>
  <c r="AA8924" i="1" s="1"/>
  <c r="J8924" i="1"/>
  <c r="N8924" i="1" s="1"/>
  <c r="Y8922" i="1"/>
  <c r="AA8922" i="1" s="1"/>
  <c r="J8922" i="1"/>
  <c r="N8922" i="1" s="1"/>
  <c r="Y8920" i="1"/>
  <c r="AA8920" i="1" s="1"/>
  <c r="J8920" i="1"/>
  <c r="N8920" i="1" s="1"/>
  <c r="Y8918" i="1"/>
  <c r="AA8918" i="1" s="1"/>
  <c r="J8918" i="1"/>
  <c r="N8918" i="1" s="1"/>
  <c r="Y8916" i="1"/>
  <c r="AA8916" i="1" s="1"/>
  <c r="J8916" i="1"/>
  <c r="N8916" i="1" s="1"/>
  <c r="Y8914" i="1"/>
  <c r="AA8914" i="1" s="1"/>
  <c r="J8914" i="1"/>
  <c r="N8914" i="1" s="1"/>
  <c r="Y8912" i="1"/>
  <c r="AA8912" i="1" s="1"/>
  <c r="J8912" i="1"/>
  <c r="N8912" i="1" s="1"/>
  <c r="Y8910" i="1"/>
  <c r="AA8910" i="1" s="1"/>
  <c r="J8910" i="1"/>
  <c r="N8910" i="1" s="1"/>
  <c r="Y8908" i="1"/>
  <c r="AA8908" i="1" s="1"/>
  <c r="J8908" i="1"/>
  <c r="N8908" i="1" s="1"/>
  <c r="Y8906" i="1"/>
  <c r="AA8906" i="1" s="1"/>
  <c r="J8906" i="1"/>
  <c r="N8906" i="1" s="1"/>
  <c r="Y8904" i="1"/>
  <c r="AA8904" i="1" s="1"/>
  <c r="J8904" i="1"/>
  <c r="N8904" i="1" s="1"/>
  <c r="Y8902" i="1"/>
  <c r="AA8902" i="1" s="1"/>
  <c r="J8902" i="1"/>
  <c r="N8902" i="1" s="1"/>
  <c r="Y8900" i="1"/>
  <c r="AA8900" i="1" s="1"/>
  <c r="J8900" i="1"/>
  <c r="N8900" i="1" s="1"/>
  <c r="Y8898" i="1"/>
  <c r="AA8898" i="1" s="1"/>
  <c r="J8898" i="1"/>
  <c r="N8898" i="1" s="1"/>
  <c r="Y8896" i="1"/>
  <c r="AA8896" i="1" s="1"/>
  <c r="J8896" i="1"/>
  <c r="N8896" i="1" s="1"/>
  <c r="Y8894" i="1"/>
  <c r="AA8894" i="1" s="1"/>
  <c r="J8894" i="1"/>
  <c r="N8894" i="1" s="1"/>
  <c r="Y8892" i="1"/>
  <c r="AA8892" i="1" s="1"/>
  <c r="J8892" i="1"/>
  <c r="N8892" i="1" s="1"/>
  <c r="Y8890" i="1"/>
  <c r="AA8890" i="1" s="1"/>
  <c r="J8890" i="1"/>
  <c r="N8890" i="1" s="1"/>
  <c r="Y8888" i="1"/>
  <c r="AA8888" i="1" s="1"/>
  <c r="J8888" i="1"/>
  <c r="N8888" i="1" s="1"/>
  <c r="Y8886" i="1"/>
  <c r="AA8886" i="1" s="1"/>
  <c r="J8886" i="1"/>
  <c r="N8886" i="1" s="1"/>
  <c r="Y8884" i="1"/>
  <c r="AA8884" i="1" s="1"/>
  <c r="J8884" i="1"/>
  <c r="N8884" i="1" s="1"/>
  <c r="Y8882" i="1"/>
  <c r="AA8882" i="1" s="1"/>
  <c r="J8882" i="1"/>
  <c r="N8882" i="1" s="1"/>
  <c r="Y8880" i="1"/>
  <c r="AA8880" i="1" s="1"/>
  <c r="J8880" i="1"/>
  <c r="N8880" i="1" s="1"/>
  <c r="Y8878" i="1"/>
  <c r="AA8878" i="1" s="1"/>
  <c r="J8878" i="1"/>
  <c r="N8878" i="1" s="1"/>
  <c r="Y8876" i="1"/>
  <c r="AA8876" i="1" s="1"/>
  <c r="J8876" i="1"/>
  <c r="N8876" i="1" s="1"/>
  <c r="Y8874" i="1"/>
  <c r="AA8874" i="1" s="1"/>
  <c r="J8874" i="1"/>
  <c r="N8874" i="1" s="1"/>
  <c r="Y8868" i="1"/>
  <c r="AA8868" i="1" s="1"/>
  <c r="J8868" i="1"/>
  <c r="N8868" i="1" s="1"/>
  <c r="Y8866" i="1"/>
  <c r="AA8866" i="1" s="1"/>
  <c r="J8866" i="1"/>
  <c r="N8866" i="1" s="1"/>
  <c r="Y8864" i="1"/>
  <c r="AA8864" i="1" s="1"/>
  <c r="J8864" i="1"/>
  <c r="N8864" i="1" s="1"/>
  <c r="Y8862" i="1"/>
  <c r="AA8862" i="1" s="1"/>
  <c r="J8862" i="1"/>
  <c r="N8862" i="1" s="1"/>
  <c r="Y8854" i="1"/>
  <c r="AA8854" i="1" s="1"/>
  <c r="J8854" i="1"/>
  <c r="N8854" i="1" s="1"/>
  <c r="Y8852" i="1"/>
  <c r="AA8852" i="1" s="1"/>
  <c r="J8852" i="1"/>
  <c r="N8852" i="1" s="1"/>
  <c r="Y8850" i="1"/>
  <c r="AA8850" i="1" s="1"/>
  <c r="J8850" i="1"/>
  <c r="N8850" i="1" s="1"/>
  <c r="Y8848" i="1"/>
  <c r="AA8848" i="1" s="1"/>
  <c r="J8848" i="1"/>
  <c r="N8848" i="1" s="1"/>
  <c r="Y8844" i="1"/>
  <c r="AA8844" i="1" s="1"/>
  <c r="J8844" i="1"/>
  <c r="N8844" i="1" s="1"/>
  <c r="Y8842" i="1"/>
  <c r="AA8842" i="1" s="1"/>
  <c r="J8842" i="1"/>
  <c r="N8842" i="1" s="1"/>
  <c r="Y8840" i="1"/>
  <c r="AA8840" i="1" s="1"/>
  <c r="J8840" i="1"/>
  <c r="N8840" i="1" s="1"/>
  <c r="Y8838" i="1"/>
  <c r="AA8838" i="1" s="1"/>
  <c r="J8838" i="1"/>
  <c r="N8838" i="1" s="1"/>
  <c r="Y8836" i="1"/>
  <c r="AA8836" i="1" s="1"/>
  <c r="J8836" i="1"/>
  <c r="N8836" i="1" s="1"/>
  <c r="Y8834" i="1"/>
  <c r="AA8834" i="1" s="1"/>
  <c r="J8834" i="1"/>
  <c r="N8834" i="1" s="1"/>
  <c r="Y8832" i="1"/>
  <c r="AA8832" i="1" s="1"/>
  <c r="J8832" i="1"/>
  <c r="N8832" i="1" s="1"/>
  <c r="Y8828" i="1"/>
  <c r="AA8828" i="1" s="1"/>
  <c r="J8828" i="1"/>
  <c r="N8828" i="1" s="1"/>
  <c r="Y8826" i="1"/>
  <c r="AA8826" i="1" s="1"/>
  <c r="J8826" i="1"/>
  <c r="N8826" i="1" s="1"/>
  <c r="Y8824" i="1"/>
  <c r="AA8824" i="1" s="1"/>
  <c r="J8824" i="1"/>
  <c r="N8824" i="1" s="1"/>
  <c r="Y8822" i="1"/>
  <c r="AA8822" i="1" s="1"/>
  <c r="J8822" i="1"/>
  <c r="N8822" i="1" s="1"/>
  <c r="Y8820" i="1"/>
  <c r="AA8820" i="1" s="1"/>
  <c r="J8820" i="1"/>
  <c r="N8820" i="1" s="1"/>
  <c r="Y8818" i="1"/>
  <c r="AA8818" i="1" s="1"/>
  <c r="J8818" i="1"/>
  <c r="N8818" i="1" s="1"/>
  <c r="Y8816" i="1"/>
  <c r="AA8816" i="1" s="1"/>
  <c r="J8816" i="1"/>
  <c r="N8816" i="1" s="1"/>
  <c r="Y8814" i="1"/>
  <c r="AA8814" i="1" s="1"/>
  <c r="J8814" i="1"/>
  <c r="N8814" i="1" s="1"/>
  <c r="Y8812" i="1"/>
  <c r="AA8812" i="1" s="1"/>
  <c r="J8812" i="1"/>
  <c r="N8812" i="1" s="1"/>
  <c r="Y8810" i="1"/>
  <c r="AA8810" i="1" s="1"/>
  <c r="J8810" i="1"/>
  <c r="N8810" i="1" s="1"/>
  <c r="Y8808" i="1"/>
  <c r="AA8808" i="1" s="1"/>
  <c r="J8808" i="1"/>
  <c r="N8808" i="1" s="1"/>
  <c r="Y8804" i="1"/>
  <c r="AA8804" i="1" s="1"/>
  <c r="J8804" i="1"/>
  <c r="N8804" i="1" s="1"/>
  <c r="Y8802" i="1"/>
  <c r="AA8802" i="1" s="1"/>
  <c r="J8802" i="1"/>
  <c r="N8802" i="1" s="1"/>
  <c r="Y8800" i="1"/>
  <c r="AA8800" i="1" s="1"/>
  <c r="J8800" i="1"/>
  <c r="N8800" i="1" s="1"/>
  <c r="Y8798" i="1"/>
  <c r="AA8798" i="1" s="1"/>
  <c r="J8798" i="1"/>
  <c r="N8798" i="1" s="1"/>
  <c r="Y8796" i="1"/>
  <c r="AA8796" i="1" s="1"/>
  <c r="J8796" i="1"/>
  <c r="N8796" i="1" s="1"/>
  <c r="Y8794" i="1"/>
  <c r="AA8794" i="1" s="1"/>
  <c r="J8794" i="1"/>
  <c r="N8794" i="1" s="1"/>
  <c r="Y8792" i="1"/>
  <c r="AA8792" i="1" s="1"/>
  <c r="J8792" i="1"/>
  <c r="N8792" i="1" s="1"/>
  <c r="Y8790" i="1"/>
  <c r="AA8790" i="1" s="1"/>
  <c r="J8790" i="1"/>
  <c r="N8790" i="1" s="1"/>
  <c r="Y8788" i="1"/>
  <c r="AA8788" i="1" s="1"/>
  <c r="J8788" i="1"/>
  <c r="N8788" i="1" s="1"/>
  <c r="Y8786" i="1"/>
  <c r="AA8786" i="1" s="1"/>
  <c r="J8786" i="1"/>
  <c r="N8786" i="1" s="1"/>
  <c r="Y8784" i="1"/>
  <c r="AA8784" i="1" s="1"/>
  <c r="J8784" i="1"/>
  <c r="N8784" i="1" s="1"/>
  <c r="Y8782" i="1"/>
  <c r="AA8782" i="1" s="1"/>
  <c r="J8782" i="1"/>
  <c r="N8782" i="1" s="1"/>
  <c r="Y8780" i="1"/>
  <c r="AA8780" i="1" s="1"/>
  <c r="J8780" i="1"/>
  <c r="N8780" i="1" s="1"/>
  <c r="Y8778" i="1"/>
  <c r="AA8778" i="1" s="1"/>
  <c r="J8778" i="1"/>
  <c r="N8778" i="1" s="1"/>
  <c r="Y8776" i="1"/>
  <c r="AA8776" i="1" s="1"/>
  <c r="J8776" i="1"/>
  <c r="N8776" i="1" s="1"/>
  <c r="Y8774" i="1"/>
  <c r="AA8774" i="1" s="1"/>
  <c r="J8774" i="1"/>
  <c r="N8774" i="1" s="1"/>
  <c r="Y8772" i="1"/>
  <c r="AA8772" i="1" s="1"/>
  <c r="J8772" i="1"/>
  <c r="N8772" i="1" s="1"/>
  <c r="Y8770" i="1"/>
  <c r="AA8770" i="1" s="1"/>
  <c r="J8770" i="1"/>
  <c r="N8770" i="1" s="1"/>
  <c r="Y8768" i="1"/>
  <c r="AA8768" i="1" s="1"/>
  <c r="J8768" i="1"/>
  <c r="N8768" i="1" s="1"/>
  <c r="Y8766" i="1"/>
  <c r="AA8766" i="1" s="1"/>
  <c r="J8766" i="1"/>
  <c r="N8766" i="1" s="1"/>
  <c r="Y8764" i="1"/>
  <c r="AA8764" i="1" s="1"/>
  <c r="J8764" i="1"/>
  <c r="N8764" i="1" s="1"/>
  <c r="Y8762" i="1"/>
  <c r="AA8762" i="1" s="1"/>
  <c r="J8762" i="1"/>
  <c r="N8762" i="1" s="1"/>
  <c r="Y8760" i="1"/>
  <c r="AA8760" i="1" s="1"/>
  <c r="J8760" i="1"/>
  <c r="N8760" i="1" s="1"/>
  <c r="Y8758" i="1"/>
  <c r="AA8758" i="1" s="1"/>
  <c r="Y8754" i="1"/>
  <c r="AA8754" i="1" s="1"/>
  <c r="J8754" i="1"/>
  <c r="N8754" i="1" s="1"/>
  <c r="Y8752" i="1"/>
  <c r="AA8752" i="1" s="1"/>
  <c r="J8752" i="1"/>
  <c r="N8752" i="1" s="1"/>
  <c r="Y8750" i="1"/>
  <c r="AA8750" i="1" s="1"/>
  <c r="J8750" i="1"/>
  <c r="N8750" i="1" s="1"/>
  <c r="Y8748" i="1"/>
  <c r="AA8748" i="1" s="1"/>
  <c r="J8748" i="1"/>
  <c r="N8748" i="1" s="1"/>
  <c r="Y8746" i="1"/>
  <c r="AA8746" i="1" s="1"/>
  <c r="J8746" i="1"/>
  <c r="Y8744" i="1"/>
  <c r="AA8744" i="1" s="1"/>
  <c r="J8744" i="1"/>
  <c r="N8744" i="1" s="1"/>
  <c r="Y8742" i="1"/>
  <c r="AA8742" i="1" s="1"/>
  <c r="J8742" i="1"/>
  <c r="N8742" i="1" s="1"/>
  <c r="Y8740" i="1"/>
  <c r="AA8740" i="1" s="1"/>
  <c r="J8740" i="1"/>
  <c r="N8740" i="1" s="1"/>
  <c r="Y8738" i="1"/>
  <c r="AA8738" i="1" s="1"/>
  <c r="J8738" i="1"/>
  <c r="N8738" i="1" s="1"/>
  <c r="Y8736" i="1"/>
  <c r="AA8736" i="1" s="1"/>
  <c r="J8736" i="1"/>
  <c r="N8736" i="1" s="1"/>
  <c r="Y8734" i="1"/>
  <c r="AA8734" i="1" s="1"/>
  <c r="J8734" i="1"/>
  <c r="N8734" i="1" s="1"/>
  <c r="Y8732" i="1"/>
  <c r="AA8732" i="1" s="1"/>
  <c r="J8732" i="1"/>
  <c r="N8732" i="1" s="1"/>
  <c r="Y8730" i="1"/>
  <c r="AA8730" i="1" s="1"/>
  <c r="J8730" i="1"/>
  <c r="N8730" i="1" s="1"/>
  <c r="Y8728" i="1"/>
  <c r="AA8728" i="1" s="1"/>
  <c r="J8728" i="1"/>
  <c r="N8728" i="1" s="1"/>
  <c r="Y8726" i="1"/>
  <c r="AA8726" i="1" s="1"/>
  <c r="J8726" i="1"/>
  <c r="N8726" i="1" s="1"/>
  <c r="Y8724" i="1"/>
  <c r="AA8724" i="1" s="1"/>
  <c r="J8724" i="1"/>
  <c r="N8724" i="1" s="1"/>
  <c r="Y8722" i="1"/>
  <c r="AA8722" i="1" s="1"/>
  <c r="J8722" i="1"/>
  <c r="N8722" i="1" s="1"/>
  <c r="Y8720" i="1"/>
  <c r="AA8720" i="1" s="1"/>
  <c r="J8720" i="1"/>
  <c r="N8720" i="1" s="1"/>
  <c r="Y8718" i="1"/>
  <c r="AA8718" i="1" s="1"/>
  <c r="J8718" i="1"/>
  <c r="Y8716" i="1"/>
  <c r="AA8716" i="1" s="1"/>
  <c r="J8716" i="1"/>
  <c r="N8716" i="1" s="1"/>
  <c r="Y8714" i="1"/>
  <c r="AA8714" i="1" s="1"/>
  <c r="J8714" i="1"/>
  <c r="N8714" i="1" s="1"/>
  <c r="Y8712" i="1"/>
  <c r="AA8712" i="1" s="1"/>
  <c r="J8712" i="1"/>
  <c r="N8712" i="1" s="1"/>
  <c r="Y8710" i="1"/>
  <c r="AA8710" i="1" s="1"/>
  <c r="J8710" i="1"/>
  <c r="N8710" i="1" s="1"/>
  <c r="Y8708" i="1"/>
  <c r="AA8708" i="1" s="1"/>
  <c r="J8708" i="1"/>
  <c r="N8708" i="1" s="1"/>
  <c r="Y8706" i="1"/>
  <c r="AA8706" i="1" s="1"/>
  <c r="J8706" i="1"/>
  <c r="N8706" i="1" s="1"/>
  <c r="Y8704" i="1"/>
  <c r="AA8704" i="1" s="1"/>
  <c r="J8704" i="1"/>
  <c r="N8704" i="1" s="1"/>
  <c r="Y8702" i="1"/>
  <c r="AA8702" i="1" s="1"/>
  <c r="J8702" i="1"/>
  <c r="Y8700" i="1"/>
  <c r="AA8700" i="1" s="1"/>
  <c r="J8700" i="1"/>
  <c r="Y8698" i="1"/>
  <c r="AA8698" i="1" s="1"/>
  <c r="J8698" i="1"/>
  <c r="N8698" i="1" s="1"/>
  <c r="Y8696" i="1"/>
  <c r="AA8696" i="1" s="1"/>
  <c r="J8696" i="1"/>
  <c r="N8696" i="1" s="1"/>
  <c r="Y8694" i="1"/>
  <c r="AA8694" i="1" s="1"/>
  <c r="J8694" i="1"/>
  <c r="Y8692" i="1"/>
  <c r="AA8692" i="1" s="1"/>
  <c r="N8692" i="1"/>
  <c r="Y8690" i="1"/>
  <c r="AA8690" i="1" s="1"/>
  <c r="J8690" i="1"/>
  <c r="Y8688" i="1"/>
  <c r="AA8688" i="1" s="1"/>
  <c r="J8688" i="1"/>
  <c r="N8688" i="1" s="1"/>
  <c r="Y8686" i="1"/>
  <c r="AA8686" i="1" s="1"/>
  <c r="J8686" i="1"/>
  <c r="N8686" i="1" s="1"/>
  <c r="Y8684" i="1"/>
  <c r="AA8684" i="1" s="1"/>
  <c r="J8684" i="1"/>
  <c r="N8684" i="1" s="1"/>
  <c r="Y8682" i="1"/>
  <c r="AA8682" i="1" s="1"/>
  <c r="J8682" i="1"/>
  <c r="N8682" i="1" s="1"/>
  <c r="Y8680" i="1"/>
  <c r="AA8680" i="1" s="1"/>
  <c r="J8680" i="1"/>
  <c r="N8680" i="1" s="1"/>
  <c r="Y8678" i="1"/>
  <c r="AA8678" i="1" s="1"/>
  <c r="J8678" i="1"/>
  <c r="N8678" i="1" s="1"/>
  <c r="Y8676" i="1"/>
  <c r="AA8676" i="1" s="1"/>
  <c r="J8676" i="1"/>
  <c r="N8676" i="1" s="1"/>
  <c r="Y8674" i="1"/>
  <c r="AA8674" i="1" s="1"/>
  <c r="J8674" i="1"/>
  <c r="N8674" i="1" s="1"/>
  <c r="Y8672" i="1"/>
  <c r="AA8672" i="1" s="1"/>
  <c r="J8672" i="1"/>
  <c r="N8672" i="1" s="1"/>
  <c r="Y8670" i="1"/>
  <c r="AA8670" i="1" s="1"/>
  <c r="J8670" i="1"/>
  <c r="N8670" i="1" s="1"/>
  <c r="Y8668" i="1"/>
  <c r="AA8668" i="1" s="1"/>
  <c r="J8668" i="1"/>
  <c r="N8668" i="1" s="1"/>
  <c r="Y8666" i="1"/>
  <c r="AA8666" i="1" s="1"/>
  <c r="J8666" i="1"/>
  <c r="N8666" i="1" s="1"/>
  <c r="Y8664" i="1"/>
  <c r="AA8664" i="1" s="1"/>
  <c r="J8664" i="1"/>
  <c r="N8664" i="1" s="1"/>
  <c r="Y8662" i="1"/>
  <c r="AA8662" i="1" s="1"/>
  <c r="J8662" i="1"/>
  <c r="N8662" i="1" s="1"/>
  <c r="Y8660" i="1"/>
  <c r="AA8660" i="1" s="1"/>
  <c r="J8660" i="1"/>
  <c r="N8660" i="1" s="1"/>
  <c r="Y8658" i="1"/>
  <c r="AA8658" i="1" s="1"/>
  <c r="J8658" i="1"/>
  <c r="N8658" i="1" s="1"/>
  <c r="Y8656" i="1"/>
  <c r="AA8656" i="1" s="1"/>
  <c r="J8656" i="1"/>
  <c r="N8656" i="1" s="1"/>
  <c r="Y8654" i="1"/>
  <c r="AA8654" i="1" s="1"/>
  <c r="J8654" i="1"/>
  <c r="N8654" i="1" s="1"/>
  <c r="Y8652" i="1"/>
  <c r="AA8652" i="1" s="1"/>
  <c r="J8652" i="1"/>
  <c r="N8652" i="1" s="1"/>
  <c r="Y8650" i="1"/>
  <c r="AA8650" i="1" s="1"/>
  <c r="J8650" i="1"/>
  <c r="N8650" i="1" s="1"/>
  <c r="Y8648" i="1"/>
  <c r="AA8648" i="1" s="1"/>
  <c r="J8648" i="1"/>
  <c r="N8648" i="1" s="1"/>
  <c r="Y8646" i="1"/>
  <c r="AA8646" i="1" s="1"/>
  <c r="J8646" i="1"/>
  <c r="N8646" i="1" s="1"/>
  <c r="Y8644" i="1"/>
  <c r="AA8644" i="1" s="1"/>
  <c r="Y8642" i="1"/>
  <c r="AA8642" i="1" s="1"/>
  <c r="Y8640" i="1"/>
  <c r="AA8640" i="1" s="1"/>
  <c r="Y8638" i="1"/>
  <c r="AA8638" i="1" s="1"/>
  <c r="Y8636" i="1"/>
  <c r="AA8636" i="1" s="1"/>
  <c r="J8636" i="1"/>
  <c r="N8636" i="1" s="1"/>
  <c r="Y8634" i="1"/>
  <c r="AA8634" i="1" s="1"/>
  <c r="J8634" i="1"/>
  <c r="N8634" i="1" s="1"/>
  <c r="Y8632" i="1"/>
  <c r="AA8632" i="1" s="1"/>
  <c r="J8632" i="1"/>
  <c r="N8632" i="1" s="1"/>
  <c r="Y8630" i="1"/>
  <c r="AA8630" i="1" s="1"/>
  <c r="J8630" i="1"/>
  <c r="Y8628" i="1"/>
  <c r="AA8628" i="1" s="1"/>
  <c r="J8628" i="1"/>
  <c r="N8628" i="1" s="1"/>
  <c r="Y8626" i="1"/>
  <c r="AA8626" i="1" s="1"/>
  <c r="J8626" i="1"/>
  <c r="Y8624" i="1"/>
  <c r="AA8624" i="1" s="1"/>
  <c r="J8624" i="1"/>
  <c r="N8624" i="1" s="1"/>
  <c r="Y8622" i="1"/>
  <c r="AA8622" i="1" s="1"/>
  <c r="J8622" i="1"/>
  <c r="N8622" i="1" s="1"/>
  <c r="Y8620" i="1"/>
  <c r="AA8620" i="1" s="1"/>
  <c r="J8620" i="1"/>
  <c r="N8620" i="1" s="1"/>
  <c r="Y8618" i="1"/>
  <c r="AA8618" i="1" s="1"/>
  <c r="J8618" i="1"/>
  <c r="N8618" i="1" s="1"/>
  <c r="Y8616" i="1"/>
  <c r="AA8616" i="1" s="1"/>
  <c r="J8616" i="1"/>
  <c r="N8616" i="1" s="1"/>
  <c r="Y8614" i="1"/>
  <c r="AA8614" i="1" s="1"/>
  <c r="J8614" i="1"/>
  <c r="N8614" i="1" s="1"/>
  <c r="Y8612" i="1"/>
  <c r="AA8612" i="1" s="1"/>
  <c r="J8612" i="1"/>
  <c r="N8612" i="1" s="1"/>
  <c r="Y8610" i="1"/>
  <c r="AA8610" i="1" s="1"/>
  <c r="J8610" i="1"/>
  <c r="N8610" i="1" s="1"/>
  <c r="Y8608" i="1"/>
  <c r="AA8608" i="1" s="1"/>
  <c r="J8608" i="1"/>
  <c r="N8608" i="1" s="1"/>
  <c r="Y8606" i="1"/>
  <c r="AA8606" i="1" s="1"/>
  <c r="J8606" i="1"/>
  <c r="N8606" i="1" s="1"/>
  <c r="Y8604" i="1"/>
  <c r="AA8604" i="1" s="1"/>
  <c r="J8604" i="1"/>
  <c r="N8604" i="1" s="1"/>
  <c r="Y8602" i="1"/>
  <c r="AA8602" i="1" s="1"/>
  <c r="J8602" i="1"/>
  <c r="N8602" i="1" s="1"/>
  <c r="Y8600" i="1"/>
  <c r="AA8600" i="1" s="1"/>
  <c r="J8600" i="1"/>
  <c r="N8600" i="1" s="1"/>
  <c r="Y8598" i="1"/>
  <c r="AA8598" i="1" s="1"/>
  <c r="J8598" i="1"/>
  <c r="N8598" i="1" s="1"/>
  <c r="Y8596" i="1"/>
  <c r="AA8596" i="1" s="1"/>
  <c r="J8596" i="1"/>
  <c r="N8596" i="1" s="1"/>
  <c r="Y8594" i="1"/>
  <c r="AA8594" i="1" s="1"/>
  <c r="J8594" i="1"/>
  <c r="N8594" i="1" s="1"/>
  <c r="Y8592" i="1"/>
  <c r="AA8592" i="1" s="1"/>
  <c r="J8592" i="1"/>
  <c r="N8592" i="1" s="1"/>
  <c r="Y8590" i="1"/>
  <c r="AA8590" i="1" s="1"/>
  <c r="J8590" i="1"/>
  <c r="N8590" i="1" s="1"/>
  <c r="Y8588" i="1"/>
  <c r="AA8588" i="1" s="1"/>
  <c r="J8588" i="1"/>
  <c r="N8588" i="1" s="1"/>
  <c r="Y8586" i="1"/>
  <c r="AA8586" i="1" s="1"/>
  <c r="J8586" i="1"/>
  <c r="N8586" i="1" s="1"/>
  <c r="Y8584" i="1"/>
  <c r="AA8584" i="1" s="1"/>
  <c r="J8584" i="1"/>
  <c r="N8584" i="1" s="1"/>
  <c r="Y8582" i="1"/>
  <c r="AA8582" i="1" s="1"/>
  <c r="J8582" i="1"/>
  <c r="N8582" i="1" s="1"/>
  <c r="Y8580" i="1"/>
  <c r="AA8580" i="1" s="1"/>
  <c r="J8580" i="1"/>
  <c r="N8580" i="1" s="1"/>
  <c r="Y8578" i="1"/>
  <c r="AA8578" i="1" s="1"/>
  <c r="J8578" i="1"/>
  <c r="N8578" i="1" s="1"/>
  <c r="Y8576" i="1"/>
  <c r="J8576" i="1"/>
  <c r="N8576" i="1" s="1"/>
  <c r="Y8574" i="1"/>
  <c r="AA8574" i="1" s="1"/>
  <c r="J8574" i="1"/>
  <c r="N8574" i="1" s="1"/>
  <c r="Y8572" i="1"/>
  <c r="AA8572" i="1" s="1"/>
  <c r="J8572" i="1"/>
  <c r="N8572" i="1" s="1"/>
  <c r="Y8570" i="1"/>
  <c r="AA8570" i="1" s="1"/>
  <c r="J8570" i="1"/>
  <c r="N8570" i="1" s="1"/>
  <c r="Y8568" i="1"/>
  <c r="AA8568" i="1" s="1"/>
  <c r="J8568" i="1"/>
  <c r="N8568" i="1" s="1"/>
  <c r="Y8566" i="1"/>
  <c r="AA8566" i="1" s="1"/>
  <c r="J8566" i="1"/>
  <c r="N8566" i="1" s="1"/>
  <c r="Y8564" i="1"/>
  <c r="AA8564" i="1" s="1"/>
  <c r="J8564" i="1"/>
  <c r="N8564" i="1" s="1"/>
  <c r="Y8562" i="1"/>
  <c r="AA8562" i="1" s="1"/>
  <c r="J8562" i="1"/>
  <c r="N8562" i="1" s="1"/>
  <c r="Y8560" i="1"/>
  <c r="AA8560" i="1" s="1"/>
  <c r="J8560" i="1"/>
  <c r="N8560" i="1" s="1"/>
  <c r="Y8558" i="1"/>
  <c r="AA8558" i="1" s="1"/>
  <c r="J8558" i="1"/>
  <c r="N8558" i="1" s="1"/>
  <c r="Y8556" i="1"/>
  <c r="AA8556" i="1" s="1"/>
  <c r="J8556" i="1"/>
  <c r="N8556" i="1" s="1"/>
  <c r="Y8554" i="1"/>
  <c r="AA8554" i="1" s="1"/>
  <c r="J8554" i="1"/>
  <c r="N8554" i="1" s="1"/>
  <c r="Y8552" i="1"/>
  <c r="AA8552" i="1" s="1"/>
  <c r="J8552" i="1"/>
  <c r="N8552" i="1" s="1"/>
  <c r="Y8550" i="1"/>
  <c r="AA8550" i="1" s="1"/>
  <c r="J8550" i="1"/>
  <c r="N8550" i="1" s="1"/>
  <c r="Y8548" i="1"/>
  <c r="AA8548" i="1" s="1"/>
  <c r="J8548" i="1"/>
  <c r="N8548" i="1" s="1"/>
  <c r="Y8546" i="1"/>
  <c r="AA8546" i="1" s="1"/>
  <c r="J8546" i="1"/>
  <c r="N8546" i="1" s="1"/>
  <c r="Y8544" i="1"/>
  <c r="AA8544" i="1" s="1"/>
  <c r="J8544" i="1"/>
  <c r="N8544" i="1" s="1"/>
  <c r="Y8542" i="1"/>
  <c r="AA8542" i="1" s="1"/>
  <c r="J8542" i="1"/>
  <c r="N8542" i="1" s="1"/>
  <c r="Y8540" i="1"/>
  <c r="AA8540" i="1" s="1"/>
  <c r="J8540" i="1"/>
  <c r="N8540" i="1" s="1"/>
  <c r="Y8538" i="1"/>
  <c r="AA8538" i="1" s="1"/>
  <c r="J8538" i="1"/>
  <c r="N8538" i="1" s="1"/>
  <c r="Y8536" i="1"/>
  <c r="AA8536" i="1" s="1"/>
  <c r="J8536" i="1"/>
  <c r="N8536" i="1" s="1"/>
  <c r="Y8534" i="1"/>
  <c r="AA8534" i="1" s="1"/>
  <c r="J8534" i="1"/>
  <c r="N8534" i="1" s="1"/>
  <c r="Y8532" i="1"/>
  <c r="AA8532" i="1" s="1"/>
  <c r="J8532" i="1"/>
  <c r="N8532" i="1" s="1"/>
  <c r="Y8530" i="1"/>
  <c r="AA8530" i="1" s="1"/>
  <c r="J8530" i="1"/>
  <c r="N8530" i="1" s="1"/>
  <c r="Y8528" i="1"/>
  <c r="AA8528" i="1" s="1"/>
  <c r="J8528" i="1"/>
  <c r="N8528" i="1" s="1"/>
  <c r="Y8526" i="1"/>
  <c r="AA8526" i="1" s="1"/>
  <c r="J8526" i="1"/>
  <c r="N8526" i="1" s="1"/>
  <c r="Y8524" i="1"/>
  <c r="AA8524" i="1" s="1"/>
  <c r="J8524" i="1"/>
  <c r="N8524" i="1" s="1"/>
  <c r="Y8522" i="1"/>
  <c r="AA8522" i="1" s="1"/>
  <c r="J8522" i="1"/>
  <c r="N8522" i="1" s="1"/>
  <c r="Y8520" i="1"/>
  <c r="AA8520" i="1" s="1"/>
  <c r="J8520" i="1"/>
  <c r="N8520" i="1" s="1"/>
  <c r="Y8518" i="1"/>
  <c r="AA8518" i="1" s="1"/>
  <c r="J8518" i="1"/>
  <c r="N8518" i="1" s="1"/>
  <c r="Y8516" i="1"/>
  <c r="AA8516" i="1" s="1"/>
  <c r="J8516" i="1"/>
  <c r="N8516" i="1" s="1"/>
  <c r="Y8514" i="1"/>
  <c r="AA8514" i="1" s="1"/>
  <c r="J8514" i="1"/>
  <c r="N8514" i="1" s="1"/>
  <c r="Y8512" i="1"/>
  <c r="AA8512" i="1" s="1"/>
  <c r="J8512" i="1"/>
  <c r="N8512" i="1" s="1"/>
  <c r="Y8510" i="1"/>
  <c r="AA8510" i="1" s="1"/>
  <c r="J8510" i="1"/>
  <c r="N8510" i="1" s="1"/>
  <c r="Y8508" i="1"/>
  <c r="AA8508" i="1" s="1"/>
  <c r="J8508" i="1"/>
  <c r="N8508" i="1" s="1"/>
  <c r="Y8506" i="1"/>
  <c r="AA8506" i="1" s="1"/>
  <c r="J8506" i="1"/>
  <c r="N8506" i="1" s="1"/>
  <c r="Y8504" i="1"/>
  <c r="AA8504" i="1" s="1"/>
  <c r="J8504" i="1"/>
  <c r="N8504" i="1" s="1"/>
  <c r="Y8502" i="1"/>
  <c r="AA8502" i="1" s="1"/>
  <c r="J8502" i="1"/>
  <c r="N8502" i="1" s="1"/>
  <c r="Y8500" i="1"/>
  <c r="AA8500" i="1" s="1"/>
  <c r="J8500" i="1"/>
  <c r="N8500" i="1" s="1"/>
  <c r="Y8498" i="1"/>
  <c r="AA8498" i="1" s="1"/>
  <c r="J8498" i="1"/>
  <c r="N8498" i="1" s="1"/>
  <c r="Y8496" i="1"/>
  <c r="AA8496" i="1" s="1"/>
  <c r="J8496" i="1"/>
  <c r="N8496" i="1" s="1"/>
  <c r="Y8494" i="1"/>
  <c r="AA8494" i="1" s="1"/>
  <c r="J8494" i="1"/>
  <c r="N8494" i="1" s="1"/>
  <c r="Y8492" i="1"/>
  <c r="AA8492" i="1" s="1"/>
  <c r="J8492" i="1"/>
  <c r="Y8490" i="1"/>
  <c r="AA8490" i="1" s="1"/>
  <c r="J8490" i="1"/>
  <c r="Y8488" i="1"/>
  <c r="AA8488" i="1" s="1"/>
  <c r="J8488" i="1"/>
  <c r="N8488" i="1" s="1"/>
  <c r="Y8486" i="1"/>
  <c r="AA8486" i="1" s="1"/>
  <c r="J8486" i="1"/>
  <c r="N8486" i="1" s="1"/>
  <c r="Y8484" i="1"/>
  <c r="AA8484" i="1" s="1"/>
  <c r="J8484" i="1"/>
  <c r="N8484" i="1" s="1"/>
  <c r="Y8482" i="1"/>
  <c r="AA8482" i="1" s="1"/>
  <c r="J8482" i="1"/>
  <c r="N8482" i="1" s="1"/>
  <c r="Y8480" i="1"/>
  <c r="AA8480" i="1" s="1"/>
  <c r="J8480" i="1"/>
  <c r="N8480" i="1" s="1"/>
  <c r="Y8478" i="1"/>
  <c r="AA8478" i="1" s="1"/>
  <c r="J8478" i="1"/>
  <c r="N8478" i="1" s="1"/>
  <c r="Y8476" i="1"/>
  <c r="AA8476" i="1" s="1"/>
  <c r="J8476" i="1"/>
  <c r="N8476" i="1" s="1"/>
  <c r="Y8474" i="1"/>
  <c r="AA8474" i="1" s="1"/>
  <c r="J8474" i="1"/>
  <c r="N8474" i="1" s="1"/>
  <c r="Y8472" i="1"/>
  <c r="AA8472" i="1" s="1"/>
  <c r="J8472" i="1"/>
  <c r="N8472" i="1" s="1"/>
  <c r="Y8470" i="1"/>
  <c r="AA8470" i="1" s="1"/>
  <c r="J8470" i="1"/>
  <c r="Y8468" i="1"/>
  <c r="AA8468" i="1" s="1"/>
  <c r="J8468" i="1"/>
  <c r="Y8466" i="1"/>
  <c r="AA8466" i="1" s="1"/>
  <c r="J8466" i="1"/>
  <c r="Y8464" i="1"/>
  <c r="AA8464" i="1" s="1"/>
  <c r="J8464" i="1"/>
  <c r="N8464" i="1" s="1"/>
  <c r="Y8462" i="1"/>
  <c r="AA8462" i="1" s="1"/>
  <c r="J8462" i="1"/>
  <c r="N8462" i="1" s="1"/>
  <c r="Y8460" i="1"/>
  <c r="AA8460" i="1" s="1"/>
  <c r="J8460" i="1"/>
  <c r="N8460" i="1" s="1"/>
  <c r="Y8458" i="1"/>
  <c r="AA8458" i="1" s="1"/>
  <c r="J8458" i="1"/>
  <c r="N8458" i="1" s="1"/>
  <c r="Y8456" i="1"/>
  <c r="AA8456" i="1" s="1"/>
  <c r="J8456" i="1"/>
  <c r="N8456" i="1" s="1"/>
  <c r="Y8454" i="1"/>
  <c r="AA8454" i="1" s="1"/>
  <c r="J8454" i="1"/>
  <c r="N8454" i="1" s="1"/>
  <c r="Y8450" i="1"/>
  <c r="AA8450" i="1" s="1"/>
  <c r="J8450" i="1"/>
  <c r="N8450" i="1" s="1"/>
  <c r="Y8448" i="1"/>
  <c r="AA8448" i="1" s="1"/>
  <c r="J8448" i="1"/>
  <c r="N8448" i="1" s="1"/>
  <c r="Y8446" i="1"/>
  <c r="AA8446" i="1" s="1"/>
  <c r="J8446" i="1"/>
  <c r="N8446" i="1" s="1"/>
  <c r="Y8444" i="1"/>
  <c r="AA8444" i="1" s="1"/>
  <c r="J8444" i="1"/>
  <c r="N8444" i="1" s="1"/>
  <c r="Y8442" i="1"/>
  <c r="AA8442" i="1" s="1"/>
  <c r="J8442" i="1"/>
  <c r="N8442" i="1" s="1"/>
  <c r="Y8440" i="1"/>
  <c r="AA8440" i="1" s="1"/>
  <c r="J8440" i="1"/>
  <c r="N8440" i="1" s="1"/>
  <c r="Y8438" i="1"/>
  <c r="AA8438" i="1" s="1"/>
  <c r="J8438" i="1"/>
  <c r="N8438" i="1" s="1"/>
  <c r="Y8436" i="1"/>
  <c r="AA8436" i="1" s="1"/>
  <c r="J8436" i="1"/>
  <c r="N8436" i="1" s="1"/>
  <c r="Y8434" i="1"/>
  <c r="AA8434" i="1" s="1"/>
  <c r="J8434" i="1"/>
  <c r="N8434" i="1" s="1"/>
  <c r="Y8432" i="1"/>
  <c r="AA8432" i="1" s="1"/>
  <c r="J8432" i="1"/>
  <c r="N8432" i="1" s="1"/>
  <c r="Y8430" i="1"/>
  <c r="AA8430" i="1" s="1"/>
  <c r="J8430" i="1"/>
  <c r="N8430" i="1" s="1"/>
  <c r="Y8428" i="1"/>
  <c r="AA8428" i="1" s="1"/>
  <c r="J8428" i="1"/>
  <c r="N8428" i="1" s="1"/>
  <c r="Y8426" i="1"/>
  <c r="AA8426" i="1" s="1"/>
  <c r="J8426" i="1"/>
  <c r="N8426" i="1" s="1"/>
  <c r="Y8424" i="1"/>
  <c r="AA8424" i="1" s="1"/>
  <c r="J8424" i="1"/>
  <c r="N8424" i="1" s="1"/>
  <c r="Y8422" i="1"/>
  <c r="AA8422" i="1" s="1"/>
  <c r="J8422" i="1"/>
  <c r="N8422" i="1" s="1"/>
  <c r="Y8420" i="1"/>
  <c r="AA8420" i="1" s="1"/>
  <c r="J8420" i="1"/>
  <c r="N8420" i="1" s="1"/>
  <c r="Y8418" i="1"/>
  <c r="AA8418" i="1" s="1"/>
  <c r="J8418" i="1"/>
  <c r="N8418" i="1" s="1"/>
  <c r="Y8416" i="1"/>
  <c r="AA8416" i="1" s="1"/>
  <c r="J8416" i="1"/>
  <c r="N8416" i="1" s="1"/>
  <c r="Y8414" i="1"/>
  <c r="AA8414" i="1" s="1"/>
  <c r="J8414" i="1"/>
  <c r="N8414" i="1" s="1"/>
  <c r="Y8412" i="1"/>
  <c r="AA8412" i="1" s="1"/>
  <c r="J8412" i="1"/>
  <c r="N8412" i="1" s="1"/>
  <c r="Y8410" i="1"/>
  <c r="AA8410" i="1" s="1"/>
  <c r="J8410" i="1"/>
  <c r="N8410" i="1" s="1"/>
  <c r="Y8408" i="1"/>
  <c r="AA8408" i="1" s="1"/>
  <c r="J8408" i="1"/>
  <c r="N8408" i="1" s="1"/>
  <c r="Y8406" i="1"/>
  <c r="AA8406" i="1" s="1"/>
  <c r="J8406" i="1"/>
  <c r="N8406" i="1" s="1"/>
  <c r="Y8404" i="1"/>
  <c r="AA8404" i="1" s="1"/>
  <c r="J8404" i="1"/>
  <c r="N8404" i="1" s="1"/>
  <c r="Y8402" i="1"/>
  <c r="AA8402" i="1" s="1"/>
  <c r="J8402" i="1"/>
  <c r="N8402" i="1" s="1"/>
  <c r="Y8400" i="1"/>
  <c r="AA8400" i="1" s="1"/>
  <c r="J8400" i="1"/>
  <c r="Y8398" i="1"/>
  <c r="AA8398" i="1" s="1"/>
  <c r="Y8396" i="1"/>
  <c r="AA8396" i="1" s="1"/>
  <c r="Y8394" i="1"/>
  <c r="AA8394" i="1" s="1"/>
  <c r="Y8392" i="1"/>
  <c r="AA8392" i="1" s="1"/>
  <c r="J8392" i="1"/>
  <c r="N8392" i="1" s="1"/>
  <c r="Y8390" i="1"/>
  <c r="AA8390" i="1" s="1"/>
  <c r="J8390" i="1"/>
  <c r="N8390" i="1" s="1"/>
  <c r="Y8388" i="1"/>
  <c r="AA8388" i="1" s="1"/>
  <c r="J8388" i="1"/>
  <c r="Y8386" i="1"/>
  <c r="AA8386" i="1" s="1"/>
  <c r="J8386" i="1"/>
  <c r="Y8384" i="1"/>
  <c r="AA8384" i="1" s="1"/>
  <c r="J8384" i="1"/>
  <c r="N8384" i="1" s="1"/>
  <c r="Y8378" i="1"/>
  <c r="AA8378" i="1" s="1"/>
  <c r="J8378" i="1"/>
  <c r="Y8372" i="1"/>
  <c r="AA8372" i="1" s="1"/>
  <c r="J8372" i="1"/>
  <c r="N8372" i="1" s="1"/>
  <c r="Y8370" i="1"/>
  <c r="AA8370" i="1" s="1"/>
  <c r="J8370" i="1"/>
  <c r="N8370" i="1" s="1"/>
  <c r="Y8368" i="1"/>
  <c r="AA8368" i="1" s="1"/>
  <c r="J8368" i="1"/>
  <c r="N8368" i="1" s="1"/>
  <c r="Y8366" i="1"/>
  <c r="AA8366" i="1" s="1"/>
  <c r="J8366" i="1"/>
  <c r="N8366" i="1" s="1"/>
  <c r="Y8364" i="1"/>
  <c r="AA8364" i="1" s="1"/>
  <c r="J8364" i="1"/>
  <c r="N8364" i="1" s="1"/>
  <c r="Y8362" i="1"/>
  <c r="AA8362" i="1" s="1"/>
  <c r="J8362" i="1"/>
  <c r="N8362" i="1" s="1"/>
  <c r="Y8360" i="1"/>
  <c r="AA8360" i="1" s="1"/>
  <c r="J8360" i="1"/>
  <c r="N8360" i="1" s="1"/>
  <c r="Y8358" i="1"/>
  <c r="AA8358" i="1" s="1"/>
  <c r="J8358" i="1"/>
  <c r="N8358" i="1" s="1"/>
  <c r="Y8356" i="1"/>
  <c r="AA8356" i="1" s="1"/>
  <c r="J8356" i="1"/>
  <c r="N8356" i="1" s="1"/>
  <c r="Y8354" i="1"/>
  <c r="AA8354" i="1" s="1"/>
  <c r="J8354" i="1"/>
  <c r="N8354" i="1" s="1"/>
  <c r="Y8352" i="1"/>
  <c r="AA8352" i="1" s="1"/>
  <c r="J8352" i="1"/>
  <c r="N8352" i="1" s="1"/>
  <c r="Y8350" i="1"/>
  <c r="AA8350" i="1" s="1"/>
  <c r="J8350" i="1"/>
  <c r="N8350" i="1" s="1"/>
  <c r="Y8348" i="1"/>
  <c r="AA8348" i="1" s="1"/>
  <c r="N8348" i="1"/>
  <c r="Y8346" i="1"/>
  <c r="AA8346" i="1" s="1"/>
  <c r="J8346" i="1"/>
  <c r="N8346" i="1" s="1"/>
  <c r="Y8344" i="1"/>
  <c r="AA8344" i="1" s="1"/>
  <c r="J8344" i="1"/>
  <c r="N8344" i="1" s="1"/>
  <c r="Y8342" i="1"/>
  <c r="AA8342" i="1" s="1"/>
  <c r="J8342" i="1"/>
  <c r="N8342" i="1" s="1"/>
  <c r="Y8340" i="1"/>
  <c r="AA8340" i="1" s="1"/>
  <c r="J8340" i="1"/>
  <c r="N8340" i="1" s="1"/>
  <c r="Y8338" i="1"/>
  <c r="AA8338" i="1" s="1"/>
  <c r="J8338" i="1"/>
  <c r="N8338" i="1" s="1"/>
  <c r="Y8336" i="1"/>
  <c r="AA8336" i="1" s="1"/>
  <c r="J8336" i="1"/>
  <c r="N8336" i="1" s="1"/>
  <c r="Y8334" i="1"/>
  <c r="AA8334" i="1" s="1"/>
  <c r="J8334" i="1"/>
  <c r="N8334" i="1" s="1"/>
  <c r="Y8332" i="1"/>
  <c r="AA8332" i="1" s="1"/>
  <c r="J8332" i="1"/>
  <c r="N8332" i="1" s="1"/>
  <c r="Y8330" i="1"/>
  <c r="AA8330" i="1" s="1"/>
  <c r="J8330" i="1"/>
  <c r="N8330" i="1" s="1"/>
  <c r="Y8328" i="1"/>
  <c r="AA8328" i="1" s="1"/>
  <c r="J8328" i="1"/>
  <c r="N8328" i="1" s="1"/>
  <c r="Y8326" i="1"/>
  <c r="AA8326" i="1" s="1"/>
  <c r="J8326" i="1"/>
  <c r="N8326" i="1" s="1"/>
  <c r="Y8324" i="1"/>
  <c r="AA8324" i="1" s="1"/>
  <c r="J8324" i="1"/>
  <c r="N8324" i="1" s="1"/>
  <c r="Y8322" i="1"/>
  <c r="AA8322" i="1" s="1"/>
  <c r="J8322" i="1"/>
  <c r="N8322" i="1" s="1"/>
  <c r="Y8320" i="1"/>
  <c r="AA8320" i="1" s="1"/>
  <c r="J8320" i="1"/>
  <c r="N8320" i="1" s="1"/>
  <c r="Y8318" i="1"/>
  <c r="AA8318" i="1" s="1"/>
  <c r="J8318" i="1"/>
  <c r="N8318" i="1" s="1"/>
  <c r="Y8316" i="1"/>
  <c r="AA8316" i="1" s="1"/>
  <c r="J8316" i="1"/>
  <c r="N8316" i="1" s="1"/>
  <c r="Y8314" i="1"/>
  <c r="AA8314" i="1" s="1"/>
  <c r="J8314" i="1"/>
  <c r="N8314" i="1" s="1"/>
  <c r="Y8312" i="1"/>
  <c r="AA8312" i="1" s="1"/>
  <c r="J8312" i="1"/>
  <c r="N8312" i="1" s="1"/>
  <c r="Y8310" i="1"/>
  <c r="AA8310" i="1" s="1"/>
  <c r="J8310" i="1"/>
  <c r="N8310" i="1" s="1"/>
  <c r="Y8308" i="1"/>
  <c r="AA8308" i="1" s="1"/>
  <c r="J8308" i="1"/>
  <c r="N8308" i="1" s="1"/>
  <c r="Y8306" i="1"/>
  <c r="AA8306" i="1" s="1"/>
  <c r="J8306" i="1"/>
  <c r="N8306" i="1" s="1"/>
  <c r="Y8304" i="1"/>
  <c r="AA8304" i="1" s="1"/>
  <c r="J8304" i="1"/>
  <c r="N8304" i="1" s="1"/>
  <c r="Y8302" i="1"/>
  <c r="AA8302" i="1" s="1"/>
  <c r="J8302" i="1"/>
  <c r="N8302" i="1" s="1"/>
  <c r="Y8300" i="1"/>
  <c r="AA8300" i="1" s="1"/>
  <c r="J8300" i="1"/>
  <c r="N8300" i="1" s="1"/>
  <c r="Y8298" i="1"/>
  <c r="AA8298" i="1" s="1"/>
  <c r="J8298" i="1"/>
  <c r="N8298" i="1" s="1"/>
  <c r="Y8296" i="1"/>
  <c r="AA8296" i="1" s="1"/>
  <c r="J8296" i="1"/>
  <c r="N8296" i="1" s="1"/>
  <c r="Y8294" i="1"/>
  <c r="AA8294" i="1" s="1"/>
  <c r="J8294" i="1"/>
  <c r="N8294" i="1" s="1"/>
  <c r="Y8292" i="1"/>
  <c r="AA8292" i="1" s="1"/>
  <c r="J8292" i="1"/>
  <c r="N8292" i="1" s="1"/>
  <c r="Y8290" i="1"/>
  <c r="AA8290" i="1" s="1"/>
  <c r="J8290" i="1"/>
  <c r="N8290" i="1" s="1"/>
  <c r="Y8288" i="1"/>
  <c r="AA8288" i="1" s="1"/>
  <c r="Y8286" i="1"/>
  <c r="AA8286" i="1" s="1"/>
  <c r="J8286" i="1"/>
  <c r="N8286" i="1" s="1"/>
  <c r="Y8284" i="1"/>
  <c r="AA8284" i="1" s="1"/>
  <c r="J8284" i="1"/>
  <c r="N8284" i="1" s="1"/>
  <c r="Y8282" i="1"/>
  <c r="AA8282" i="1" s="1"/>
  <c r="J8282" i="1"/>
  <c r="N8282" i="1" s="1"/>
  <c r="Y8280" i="1"/>
  <c r="AA8280" i="1" s="1"/>
  <c r="J8280" i="1"/>
  <c r="N8280" i="1" s="1"/>
  <c r="Y8278" i="1"/>
  <c r="AA8278" i="1" s="1"/>
  <c r="J8278" i="1"/>
  <c r="N8278" i="1" s="1"/>
  <c r="Y8276" i="1"/>
  <c r="AA8276" i="1" s="1"/>
  <c r="J8276" i="1"/>
  <c r="N8276" i="1" s="1"/>
  <c r="Y8274" i="1"/>
  <c r="AA8274" i="1" s="1"/>
  <c r="J8274" i="1"/>
  <c r="N8274" i="1" s="1"/>
  <c r="Y8272" i="1"/>
  <c r="AA8272" i="1" s="1"/>
  <c r="J8272" i="1"/>
  <c r="N8272" i="1" s="1"/>
  <c r="Y8270" i="1"/>
  <c r="AA8270" i="1" s="1"/>
  <c r="J8270" i="1"/>
  <c r="N8270" i="1" s="1"/>
  <c r="Y8268" i="1"/>
  <c r="AA8268" i="1" s="1"/>
  <c r="J8268" i="1"/>
  <c r="N8268" i="1" s="1"/>
  <c r="Y8266" i="1"/>
  <c r="AA8266" i="1" s="1"/>
  <c r="J8266" i="1"/>
  <c r="N8266" i="1" s="1"/>
  <c r="Y8264" i="1"/>
  <c r="AA8264" i="1" s="1"/>
  <c r="N8264" i="1"/>
  <c r="Y8262" i="1"/>
  <c r="AA8262" i="1" s="1"/>
  <c r="N8262" i="1"/>
  <c r="Y8260" i="1"/>
  <c r="AA8260" i="1" s="1"/>
  <c r="N8260" i="1"/>
  <c r="AA8258" i="1"/>
  <c r="N8258" i="1"/>
  <c r="AA8256" i="1"/>
  <c r="N8256" i="1"/>
  <c r="Y8254" i="1"/>
  <c r="AA8254" i="1" s="1"/>
  <c r="J8254" i="1"/>
  <c r="N8254" i="1" s="1"/>
  <c r="Y8252" i="1"/>
  <c r="AA8252" i="1" s="1"/>
  <c r="J8252" i="1"/>
  <c r="N8252" i="1" s="1"/>
  <c r="Y8250" i="1"/>
  <c r="AA8250" i="1" s="1"/>
  <c r="J8250" i="1"/>
  <c r="N8250" i="1" s="1"/>
  <c r="Y8248" i="1"/>
  <c r="AA8248" i="1" s="1"/>
  <c r="J8248" i="1"/>
  <c r="N8248" i="1" s="1"/>
  <c r="Y8246" i="1"/>
  <c r="AA8246" i="1" s="1"/>
  <c r="J8246" i="1"/>
  <c r="Y8244" i="1"/>
  <c r="AA8244" i="1" s="1"/>
  <c r="J8244" i="1"/>
  <c r="N8244" i="1" s="1"/>
  <c r="Y8242" i="1"/>
  <c r="AA8242" i="1" s="1"/>
  <c r="J8242" i="1"/>
  <c r="N8242" i="1" s="1"/>
  <c r="Y8240" i="1"/>
  <c r="AA8240" i="1" s="1"/>
  <c r="J8240" i="1"/>
  <c r="N8240" i="1" s="1"/>
  <c r="Y8238" i="1"/>
  <c r="AA8238" i="1" s="1"/>
  <c r="J8238" i="1"/>
  <c r="N8238" i="1" s="1"/>
  <c r="Y8236" i="1"/>
  <c r="AA8236" i="1" s="1"/>
  <c r="J8236" i="1"/>
  <c r="N8236" i="1" s="1"/>
  <c r="Y8234" i="1"/>
  <c r="AA8234" i="1" s="1"/>
  <c r="J8234" i="1"/>
  <c r="N8234" i="1" s="1"/>
  <c r="Y8232" i="1"/>
  <c r="AA8232" i="1" s="1"/>
  <c r="J8232" i="1"/>
  <c r="N8232" i="1" s="1"/>
  <c r="Y8230" i="1"/>
  <c r="AA8230" i="1" s="1"/>
  <c r="J8230" i="1"/>
  <c r="N8230" i="1" s="1"/>
  <c r="Y8228" i="1"/>
  <c r="AA8228" i="1" s="1"/>
  <c r="J8228" i="1"/>
  <c r="N8228" i="1" s="1"/>
  <c r="Y8226" i="1"/>
  <c r="AA8226" i="1" s="1"/>
  <c r="J8226" i="1"/>
  <c r="N8226" i="1" s="1"/>
  <c r="Y8224" i="1"/>
  <c r="AA8224" i="1" s="1"/>
  <c r="J8224" i="1"/>
  <c r="N8224" i="1" s="1"/>
  <c r="Y8222" i="1"/>
  <c r="AA8222" i="1" s="1"/>
  <c r="J8222" i="1"/>
  <c r="N8222" i="1" s="1"/>
  <c r="Y8220" i="1"/>
  <c r="AA8220" i="1" s="1"/>
  <c r="J8220" i="1"/>
  <c r="N8220" i="1" s="1"/>
  <c r="Y8218" i="1"/>
  <c r="AA8218" i="1" s="1"/>
  <c r="J8218" i="1"/>
  <c r="N8218" i="1" s="1"/>
  <c r="Y8216" i="1"/>
  <c r="AA8216" i="1" s="1"/>
  <c r="J8216" i="1"/>
  <c r="Y8214" i="1"/>
  <c r="AA8214" i="1" s="1"/>
  <c r="J8214" i="1"/>
  <c r="Y8212" i="1"/>
  <c r="AA8212" i="1" s="1"/>
  <c r="J8212" i="1"/>
  <c r="N8212" i="1" s="1"/>
  <c r="Y8210" i="1"/>
  <c r="AA8210" i="1" s="1"/>
  <c r="J8210" i="1"/>
  <c r="N8210" i="1" s="1"/>
  <c r="Y8208" i="1"/>
  <c r="AA8208" i="1" s="1"/>
  <c r="Y8206" i="1"/>
  <c r="AA8206" i="1" s="1"/>
  <c r="J8206" i="1"/>
  <c r="Y8204" i="1"/>
  <c r="AA8204" i="1" s="1"/>
  <c r="J8204" i="1"/>
  <c r="N8204" i="1" s="1"/>
  <c r="Y8202" i="1"/>
  <c r="AA8202" i="1" s="1"/>
  <c r="J8202" i="1"/>
  <c r="N8202" i="1" s="1"/>
  <c r="Y8200" i="1"/>
  <c r="AA8200" i="1" s="1"/>
  <c r="J8200" i="1"/>
  <c r="N8200" i="1" s="1"/>
  <c r="Y8198" i="1"/>
  <c r="AA8198" i="1" s="1"/>
  <c r="J8198" i="1"/>
  <c r="N8198" i="1" s="1"/>
  <c r="Y8196" i="1"/>
  <c r="AA8196" i="1" s="1"/>
  <c r="J8196" i="1"/>
  <c r="N8196" i="1" s="1"/>
  <c r="Y8194" i="1"/>
  <c r="AA8194" i="1" s="1"/>
  <c r="J8194" i="1"/>
  <c r="N8194" i="1" s="1"/>
  <c r="Y8192" i="1"/>
  <c r="AA8192" i="1" s="1"/>
  <c r="J8192" i="1"/>
  <c r="N8192" i="1" s="1"/>
  <c r="Y8190" i="1"/>
  <c r="AA8190" i="1" s="1"/>
  <c r="J8190" i="1"/>
  <c r="N8190" i="1" s="1"/>
  <c r="Y8188" i="1"/>
  <c r="AA8188" i="1" s="1"/>
  <c r="J8188" i="1"/>
  <c r="N8188" i="1" s="1"/>
  <c r="Y8186" i="1"/>
  <c r="AA8186" i="1" s="1"/>
  <c r="J8186" i="1"/>
  <c r="N8186" i="1" s="1"/>
  <c r="Y8184" i="1"/>
  <c r="AA8184" i="1" s="1"/>
  <c r="J8184" i="1"/>
  <c r="N8184" i="1" s="1"/>
  <c r="Y8182" i="1"/>
  <c r="AA8182" i="1" s="1"/>
  <c r="J8182" i="1"/>
  <c r="N8182" i="1" s="1"/>
  <c r="Y8180" i="1"/>
  <c r="AA8180" i="1" s="1"/>
  <c r="J8180" i="1"/>
  <c r="N8180" i="1" s="1"/>
  <c r="Y8178" i="1"/>
  <c r="AA8178" i="1" s="1"/>
  <c r="J8178" i="1"/>
  <c r="N8178" i="1" s="1"/>
  <c r="Y8176" i="1"/>
  <c r="AA8176" i="1" s="1"/>
  <c r="J8176" i="1"/>
  <c r="N8176" i="1" s="1"/>
  <c r="Y8174" i="1"/>
  <c r="AA8174" i="1" s="1"/>
  <c r="J8174" i="1"/>
  <c r="N8174" i="1" s="1"/>
  <c r="Y8172" i="1"/>
  <c r="AA8172" i="1" s="1"/>
  <c r="J8172" i="1"/>
  <c r="N8172" i="1" s="1"/>
  <c r="Y8170" i="1"/>
  <c r="AA8170" i="1" s="1"/>
  <c r="J8170" i="1"/>
  <c r="N8170" i="1" s="1"/>
  <c r="Y8168" i="1"/>
  <c r="AA8168" i="1" s="1"/>
  <c r="J8168" i="1"/>
  <c r="N8168" i="1" s="1"/>
  <c r="Y8166" i="1"/>
  <c r="AA8166" i="1" s="1"/>
  <c r="J8166" i="1"/>
  <c r="N8166" i="1" s="1"/>
  <c r="Y8164" i="1"/>
  <c r="AA8164" i="1" s="1"/>
  <c r="J8164" i="1"/>
  <c r="N8164" i="1" s="1"/>
  <c r="Y8162" i="1"/>
  <c r="AA8162" i="1" s="1"/>
  <c r="J8162" i="1"/>
  <c r="N8162" i="1" s="1"/>
  <c r="Y8160" i="1"/>
  <c r="AA8160" i="1" s="1"/>
  <c r="J8160" i="1"/>
  <c r="N8160" i="1" s="1"/>
  <c r="Y8158" i="1"/>
  <c r="AA8158" i="1" s="1"/>
  <c r="J8158" i="1"/>
  <c r="N8158" i="1" s="1"/>
  <c r="Y8156" i="1"/>
  <c r="AA8156" i="1" s="1"/>
  <c r="J8156" i="1"/>
  <c r="N8156" i="1" s="1"/>
  <c r="Y8154" i="1"/>
  <c r="AA8154" i="1" s="1"/>
  <c r="J8154" i="1"/>
  <c r="N8154" i="1" s="1"/>
  <c r="Y8152" i="1"/>
  <c r="AA8152" i="1" s="1"/>
  <c r="J8152" i="1"/>
  <c r="N8152" i="1" s="1"/>
  <c r="Y8150" i="1"/>
  <c r="AA8150" i="1" s="1"/>
  <c r="J8150" i="1"/>
  <c r="N8150" i="1" s="1"/>
  <c r="Y8148" i="1"/>
  <c r="AA8148" i="1" s="1"/>
  <c r="J8148" i="1"/>
  <c r="N8148" i="1" s="1"/>
  <c r="Y8146" i="1"/>
  <c r="AA8146" i="1" s="1"/>
  <c r="J8146" i="1"/>
  <c r="N8146" i="1" s="1"/>
  <c r="Y8144" i="1"/>
  <c r="AA8144" i="1" s="1"/>
  <c r="Y8142" i="1"/>
  <c r="AA8142" i="1" s="1"/>
  <c r="Y8140" i="1"/>
  <c r="AA8140" i="1" s="1"/>
  <c r="Y8138" i="1"/>
  <c r="AA8138" i="1" s="1"/>
  <c r="Y8134" i="1"/>
  <c r="AA8134" i="1" s="1"/>
  <c r="Y8132" i="1"/>
  <c r="AA8132" i="1" s="1"/>
  <c r="Y8130" i="1"/>
  <c r="AA8130" i="1" s="1"/>
  <c r="J8130" i="1"/>
  <c r="N8130" i="1" s="1"/>
  <c r="Y8128" i="1"/>
  <c r="AA8128" i="1" s="1"/>
  <c r="J8128" i="1"/>
  <c r="N8128" i="1" s="1"/>
  <c r="Y8126" i="1"/>
  <c r="AA8126" i="1" s="1"/>
  <c r="J8126" i="1"/>
  <c r="Y8124" i="1"/>
  <c r="AA8124" i="1" s="1"/>
  <c r="J8124" i="1"/>
  <c r="Y8122" i="1"/>
  <c r="AA8122" i="1" s="1"/>
  <c r="J8122" i="1"/>
  <c r="N8122" i="1" s="1"/>
  <c r="Y8120" i="1"/>
  <c r="AA8120" i="1" s="1"/>
  <c r="J8120" i="1"/>
  <c r="N8120" i="1" s="1"/>
  <c r="Y8118" i="1"/>
  <c r="AA8118" i="1" s="1"/>
  <c r="J8118" i="1"/>
  <c r="N8118" i="1" s="1"/>
  <c r="Y8116" i="1"/>
  <c r="AA8116" i="1" s="1"/>
  <c r="J8116" i="1"/>
  <c r="N8116" i="1" s="1"/>
  <c r="Y8114" i="1"/>
  <c r="AA8114" i="1" s="1"/>
  <c r="J8114" i="1"/>
  <c r="N8114" i="1" s="1"/>
  <c r="Y8112" i="1"/>
  <c r="AA8112" i="1" s="1"/>
  <c r="J8112" i="1"/>
  <c r="N8112" i="1" s="1"/>
  <c r="Y8110" i="1"/>
  <c r="AA8110" i="1" s="1"/>
  <c r="J8110" i="1"/>
  <c r="N8110" i="1" s="1"/>
  <c r="Y8108" i="1"/>
  <c r="AA8108" i="1" s="1"/>
  <c r="J8108" i="1"/>
  <c r="N8108" i="1" s="1"/>
  <c r="Y8106" i="1"/>
  <c r="AA8106" i="1" s="1"/>
  <c r="J8106" i="1"/>
  <c r="N8106" i="1" s="1"/>
  <c r="Y8104" i="1"/>
  <c r="AA8104" i="1" s="1"/>
  <c r="J8104" i="1"/>
  <c r="N8104" i="1" s="1"/>
  <c r="Y8102" i="1"/>
  <c r="AA8102" i="1" s="1"/>
  <c r="J8102" i="1"/>
  <c r="N8102" i="1" s="1"/>
  <c r="AA8100" i="1"/>
  <c r="J8100" i="1"/>
  <c r="N8100" i="1" s="1"/>
  <c r="Y8098" i="1"/>
  <c r="AA8098" i="1" s="1"/>
  <c r="J8098" i="1"/>
  <c r="N8098" i="1" s="1"/>
  <c r="Y8096" i="1"/>
  <c r="AA8096" i="1" s="1"/>
  <c r="J8096" i="1"/>
  <c r="N8096" i="1" s="1"/>
  <c r="Y8094" i="1"/>
  <c r="AA8094" i="1" s="1"/>
  <c r="J8094" i="1"/>
  <c r="N8094" i="1" s="1"/>
  <c r="Y8092" i="1"/>
  <c r="AA8092" i="1" s="1"/>
  <c r="J8092" i="1"/>
  <c r="N8092" i="1" s="1"/>
  <c r="Y8090" i="1"/>
  <c r="AA8090" i="1" s="1"/>
  <c r="J8090" i="1"/>
  <c r="N8090" i="1" s="1"/>
  <c r="Y8088" i="1"/>
  <c r="AA8088" i="1" s="1"/>
  <c r="J8088" i="1"/>
  <c r="N8088" i="1" s="1"/>
  <c r="Y8086" i="1"/>
  <c r="AA8086" i="1" s="1"/>
  <c r="J8086" i="1"/>
  <c r="N8086" i="1" s="1"/>
  <c r="Y8084" i="1"/>
  <c r="AA8084" i="1" s="1"/>
  <c r="J8084" i="1"/>
  <c r="N8084" i="1" s="1"/>
  <c r="Y8082" i="1"/>
  <c r="AA8082" i="1" s="1"/>
  <c r="J8082" i="1"/>
  <c r="N8082" i="1" s="1"/>
  <c r="Y8080" i="1"/>
  <c r="AA8080" i="1" s="1"/>
  <c r="J8080" i="1"/>
  <c r="N8080" i="1" s="1"/>
  <c r="Y8078" i="1"/>
  <c r="AA8078" i="1" s="1"/>
  <c r="J8078" i="1"/>
  <c r="N8078" i="1" s="1"/>
  <c r="Y8076" i="1"/>
  <c r="AA8076" i="1" s="1"/>
  <c r="J8076" i="1"/>
  <c r="N8076" i="1" s="1"/>
  <c r="Y8074" i="1"/>
  <c r="AA8074" i="1" s="1"/>
  <c r="J8074" i="1"/>
  <c r="N8074" i="1" s="1"/>
  <c r="Y8072" i="1"/>
  <c r="AA8072" i="1" s="1"/>
  <c r="J8072" i="1"/>
  <c r="N8072" i="1" s="1"/>
  <c r="Y8070" i="1"/>
  <c r="AA8070" i="1" s="1"/>
  <c r="J8070" i="1"/>
  <c r="N8070" i="1" s="1"/>
  <c r="Y8068" i="1"/>
  <c r="AA8068" i="1" s="1"/>
  <c r="J8068" i="1"/>
  <c r="N8068" i="1" s="1"/>
  <c r="Y8066" i="1"/>
  <c r="AA8066" i="1" s="1"/>
  <c r="J8066" i="1"/>
  <c r="N8066" i="1" s="1"/>
  <c r="Y8064" i="1"/>
  <c r="AA8064" i="1" s="1"/>
  <c r="J8064" i="1"/>
  <c r="N8064" i="1" s="1"/>
  <c r="Y8062" i="1"/>
  <c r="AA8062" i="1" s="1"/>
  <c r="J8062" i="1"/>
  <c r="N8062" i="1" s="1"/>
  <c r="Y8060" i="1"/>
  <c r="AA8060" i="1" s="1"/>
  <c r="J8060" i="1"/>
  <c r="N8060" i="1" s="1"/>
  <c r="Y8058" i="1"/>
  <c r="AA8058" i="1" s="1"/>
  <c r="J8058" i="1"/>
  <c r="N8058" i="1" s="1"/>
  <c r="Y8056" i="1"/>
  <c r="AA8056" i="1" s="1"/>
  <c r="J8056" i="1"/>
  <c r="N8056" i="1" s="1"/>
  <c r="Y8054" i="1"/>
  <c r="AA8054" i="1" s="1"/>
  <c r="J8054" i="1"/>
  <c r="N8054" i="1" s="1"/>
  <c r="Y8052" i="1"/>
  <c r="AA8052" i="1" s="1"/>
  <c r="J8052" i="1"/>
  <c r="N8052" i="1" s="1"/>
  <c r="Y8050" i="1"/>
  <c r="AA8050" i="1" s="1"/>
  <c r="J8050" i="1"/>
  <c r="N8050" i="1" s="1"/>
  <c r="Y8048" i="1"/>
  <c r="AA8048" i="1" s="1"/>
  <c r="J8048" i="1"/>
  <c r="N8048" i="1" s="1"/>
  <c r="Y8046" i="1"/>
  <c r="AA8046" i="1" s="1"/>
  <c r="J8046" i="1"/>
  <c r="N8046" i="1" s="1"/>
  <c r="Y8044" i="1"/>
  <c r="AA8044" i="1" s="1"/>
  <c r="J8044" i="1"/>
  <c r="N8044" i="1" s="1"/>
  <c r="Y8042" i="1"/>
  <c r="AA8042" i="1" s="1"/>
  <c r="J8042" i="1"/>
  <c r="N8042" i="1" s="1"/>
  <c r="Y8040" i="1"/>
  <c r="AA8040" i="1" s="1"/>
  <c r="J8040" i="1"/>
  <c r="N8040" i="1" s="1"/>
  <c r="Y8038" i="1"/>
  <c r="AA8038" i="1" s="1"/>
  <c r="J8038" i="1"/>
  <c r="N8038" i="1" s="1"/>
  <c r="Y8036" i="1"/>
  <c r="AA8036" i="1" s="1"/>
  <c r="J8036" i="1"/>
  <c r="N8036" i="1" s="1"/>
  <c r="Y8034" i="1"/>
  <c r="AA8034" i="1" s="1"/>
  <c r="J8034" i="1"/>
  <c r="N8034" i="1" s="1"/>
  <c r="Y8032" i="1"/>
  <c r="AA8032" i="1" s="1"/>
  <c r="J8032" i="1"/>
  <c r="N8032" i="1" s="1"/>
  <c r="Y8030" i="1"/>
  <c r="AA8030" i="1" s="1"/>
  <c r="J8030" i="1"/>
  <c r="N8030" i="1" s="1"/>
  <c r="Y8028" i="1"/>
  <c r="AA8028" i="1" s="1"/>
  <c r="J8028" i="1"/>
  <c r="N8028" i="1" s="1"/>
  <c r="Y8026" i="1"/>
  <c r="AA8026" i="1" s="1"/>
  <c r="J8026" i="1"/>
  <c r="N8026" i="1" s="1"/>
  <c r="Y8024" i="1"/>
  <c r="AA8024" i="1" s="1"/>
  <c r="J8024" i="1"/>
  <c r="N8024" i="1" s="1"/>
  <c r="Y8022" i="1"/>
  <c r="AA8022" i="1" s="1"/>
  <c r="J8022" i="1"/>
  <c r="N8022" i="1" s="1"/>
  <c r="Y8020" i="1"/>
  <c r="AA8020" i="1" s="1"/>
  <c r="J8020" i="1"/>
  <c r="N8020" i="1" s="1"/>
  <c r="Y8018" i="1"/>
  <c r="AA8018" i="1" s="1"/>
  <c r="J8018" i="1"/>
  <c r="N8018" i="1" s="1"/>
  <c r="Y8016" i="1"/>
  <c r="AA8016" i="1" s="1"/>
  <c r="J8016" i="1"/>
  <c r="N8016" i="1" s="1"/>
  <c r="Y8014" i="1"/>
  <c r="AA8014" i="1" s="1"/>
  <c r="J8014" i="1"/>
  <c r="N8014" i="1" s="1"/>
  <c r="Y8012" i="1"/>
  <c r="AA8012" i="1" s="1"/>
  <c r="J8012" i="1"/>
  <c r="N8012" i="1" s="1"/>
  <c r="Y8010" i="1"/>
  <c r="AA8010" i="1" s="1"/>
  <c r="J8010" i="1"/>
  <c r="N8010" i="1" s="1"/>
  <c r="Y8008" i="1"/>
  <c r="AA8008" i="1" s="1"/>
  <c r="J8008" i="1"/>
  <c r="N8008" i="1" s="1"/>
  <c r="Y8006" i="1"/>
  <c r="AA8006" i="1" s="1"/>
  <c r="J8006" i="1"/>
  <c r="N8006" i="1" s="1"/>
  <c r="Y8004" i="1"/>
  <c r="AA8004" i="1" s="1"/>
  <c r="J8004" i="1"/>
  <c r="N8004" i="1" s="1"/>
  <c r="Y8002" i="1"/>
  <c r="AA8002" i="1" s="1"/>
  <c r="J8002" i="1"/>
  <c r="N8002" i="1" s="1"/>
  <c r="Y8000" i="1"/>
  <c r="AA8000" i="1" s="1"/>
  <c r="J8000" i="1"/>
  <c r="N8000" i="1" s="1"/>
  <c r="Y7998" i="1"/>
  <c r="AA7998" i="1" s="1"/>
  <c r="J7998" i="1"/>
  <c r="N7998" i="1" s="1"/>
  <c r="Y7996" i="1"/>
  <c r="AA7996" i="1" s="1"/>
  <c r="J7996" i="1"/>
  <c r="N7996" i="1" s="1"/>
  <c r="Y7994" i="1"/>
  <c r="AA7994" i="1" s="1"/>
  <c r="J7994" i="1"/>
  <c r="N7994" i="1" s="1"/>
  <c r="Y7992" i="1"/>
  <c r="AA7992" i="1" s="1"/>
  <c r="J7992" i="1"/>
  <c r="N7992" i="1" s="1"/>
  <c r="Y7990" i="1"/>
  <c r="AA7990" i="1" s="1"/>
  <c r="J7990" i="1"/>
  <c r="N7990" i="1" s="1"/>
  <c r="Y7988" i="1"/>
  <c r="AA7988" i="1" s="1"/>
  <c r="J7988" i="1"/>
  <c r="N7988" i="1" s="1"/>
  <c r="Y7986" i="1"/>
  <c r="AA7986" i="1" s="1"/>
  <c r="J7986" i="1"/>
  <c r="N7986" i="1" s="1"/>
  <c r="Y7984" i="1"/>
  <c r="AA7984" i="1" s="1"/>
  <c r="J7984" i="1"/>
  <c r="N7984" i="1" s="1"/>
  <c r="Y7982" i="1"/>
  <c r="AA7982" i="1" s="1"/>
  <c r="J7982" i="1"/>
  <c r="N7982" i="1" s="1"/>
  <c r="Y7980" i="1"/>
  <c r="AA7980" i="1" s="1"/>
  <c r="J7980" i="1"/>
  <c r="N7980" i="1" s="1"/>
  <c r="Y7978" i="1"/>
  <c r="AA7978" i="1" s="1"/>
  <c r="J7978" i="1"/>
  <c r="N7978" i="1" s="1"/>
  <c r="Y7976" i="1"/>
  <c r="AA7976" i="1" s="1"/>
  <c r="J7976" i="1"/>
  <c r="N7976" i="1" s="1"/>
  <c r="Y7974" i="1"/>
  <c r="AA7974" i="1" s="1"/>
  <c r="J7974" i="1"/>
  <c r="N7974" i="1" s="1"/>
  <c r="Y7972" i="1"/>
  <c r="AA7972" i="1" s="1"/>
  <c r="J7972" i="1"/>
  <c r="N7972" i="1" s="1"/>
  <c r="Y7970" i="1"/>
  <c r="AA7970" i="1" s="1"/>
  <c r="J7970" i="1"/>
  <c r="N7970" i="1" s="1"/>
  <c r="Y7968" i="1"/>
  <c r="AA7968" i="1" s="1"/>
  <c r="J7968" i="1"/>
  <c r="N7968" i="1" s="1"/>
  <c r="Y7966" i="1"/>
  <c r="AA7966" i="1" s="1"/>
  <c r="J7966" i="1"/>
  <c r="N7966" i="1" s="1"/>
  <c r="Y7964" i="1"/>
  <c r="AA7964" i="1" s="1"/>
  <c r="J7964" i="1"/>
  <c r="Y7962" i="1"/>
  <c r="AA7962" i="1" s="1"/>
  <c r="J7962" i="1"/>
  <c r="Y7960" i="1"/>
  <c r="AA7960" i="1" s="1"/>
  <c r="J7960" i="1"/>
  <c r="Y7958" i="1"/>
  <c r="AA7958" i="1" s="1"/>
  <c r="J7958" i="1"/>
  <c r="N7958" i="1" s="1"/>
  <c r="Y7956" i="1"/>
  <c r="AA7956" i="1" s="1"/>
  <c r="J7956" i="1"/>
  <c r="N7956" i="1" s="1"/>
  <c r="Y7954" i="1"/>
  <c r="AA7954" i="1" s="1"/>
  <c r="J7954" i="1"/>
  <c r="N7954" i="1" s="1"/>
  <c r="Y7952" i="1"/>
  <c r="AA7952" i="1" s="1"/>
  <c r="J7952" i="1"/>
  <c r="AA7950" i="1"/>
  <c r="J7950" i="1"/>
  <c r="N7950" i="1" s="1"/>
  <c r="Y7948" i="1"/>
  <c r="AA7948" i="1" s="1"/>
  <c r="J7948" i="1"/>
  <c r="Y7946" i="1"/>
  <c r="AA7946" i="1" s="1"/>
  <c r="J7946" i="1"/>
  <c r="N7946" i="1" s="1"/>
  <c r="Y7944" i="1"/>
  <c r="AA7944" i="1" s="1"/>
  <c r="J7944" i="1"/>
  <c r="N7944" i="1" s="1"/>
  <c r="Y7942" i="1"/>
  <c r="AA7942" i="1" s="1"/>
  <c r="J7942" i="1"/>
  <c r="N7942" i="1" s="1"/>
  <c r="Y7940" i="1"/>
  <c r="AA7940" i="1" s="1"/>
  <c r="J7940" i="1"/>
  <c r="N7940" i="1" s="1"/>
  <c r="Y7938" i="1"/>
  <c r="AA7938" i="1" s="1"/>
  <c r="J7938" i="1"/>
  <c r="N7938" i="1" s="1"/>
  <c r="Y7936" i="1"/>
  <c r="AA7936" i="1" s="1"/>
  <c r="J7936" i="1"/>
  <c r="N7936" i="1" s="1"/>
  <c r="Y7934" i="1"/>
  <c r="AA7934" i="1" s="1"/>
  <c r="J7934" i="1"/>
  <c r="N7934" i="1" s="1"/>
  <c r="Y7932" i="1"/>
  <c r="AA7932" i="1" s="1"/>
  <c r="J7932" i="1"/>
  <c r="N7932" i="1" s="1"/>
  <c r="Y7930" i="1"/>
  <c r="AA7930" i="1" s="1"/>
  <c r="J7930" i="1"/>
  <c r="N7930" i="1" s="1"/>
  <c r="Y7928" i="1"/>
  <c r="AA7928" i="1" s="1"/>
  <c r="J7928" i="1"/>
  <c r="N7928" i="1" s="1"/>
  <c r="Y7926" i="1"/>
  <c r="AA7926" i="1" s="1"/>
  <c r="J7926" i="1"/>
  <c r="N7926" i="1" s="1"/>
  <c r="Y7924" i="1"/>
  <c r="AA7924" i="1" s="1"/>
  <c r="J7924" i="1"/>
  <c r="N7924" i="1" s="1"/>
  <c r="Y7922" i="1"/>
  <c r="AA7922" i="1" s="1"/>
  <c r="J7922" i="1"/>
  <c r="N7922" i="1" s="1"/>
  <c r="Y7920" i="1"/>
  <c r="AA7920" i="1" s="1"/>
  <c r="J7920" i="1"/>
  <c r="N7920" i="1" s="1"/>
  <c r="Y7918" i="1"/>
  <c r="AA7918" i="1" s="1"/>
  <c r="J7918" i="1"/>
  <c r="N7918" i="1" s="1"/>
  <c r="Y7916" i="1"/>
  <c r="AA7916" i="1" s="1"/>
  <c r="J7916" i="1"/>
  <c r="N7916" i="1" s="1"/>
  <c r="Y7914" i="1"/>
  <c r="AA7914" i="1" s="1"/>
  <c r="J7914" i="1"/>
  <c r="N7914" i="1" s="1"/>
  <c r="Y7912" i="1"/>
  <c r="AA7912" i="1" s="1"/>
  <c r="J7912" i="1"/>
  <c r="N7912" i="1" s="1"/>
  <c r="AA7910" i="1"/>
  <c r="J7910" i="1"/>
  <c r="N7910" i="1" s="1"/>
  <c r="Y7908" i="1"/>
  <c r="AA7908" i="1" s="1"/>
  <c r="J7908" i="1"/>
  <c r="N7908" i="1" s="1"/>
  <c r="Y7906" i="1"/>
  <c r="AA7906" i="1" s="1"/>
  <c r="J7906" i="1"/>
  <c r="N7906" i="1" s="1"/>
  <c r="Y7904" i="1"/>
  <c r="AA7904" i="1" s="1"/>
  <c r="J7904" i="1"/>
  <c r="N7904" i="1" s="1"/>
  <c r="Y7902" i="1"/>
  <c r="AA7902" i="1" s="1"/>
  <c r="J7902" i="1"/>
  <c r="N7902" i="1" s="1"/>
  <c r="Y7900" i="1"/>
  <c r="AA7900" i="1" s="1"/>
  <c r="J7900" i="1"/>
  <c r="N7900" i="1" s="1"/>
  <c r="Y7898" i="1"/>
  <c r="AA7898" i="1" s="1"/>
  <c r="J7898" i="1"/>
  <c r="N7898" i="1" s="1"/>
  <c r="Y7896" i="1"/>
  <c r="AA7896" i="1" s="1"/>
  <c r="J7896" i="1"/>
  <c r="N7896" i="1" s="1"/>
  <c r="Y7894" i="1"/>
  <c r="AA7894" i="1" s="1"/>
  <c r="J7894" i="1"/>
  <c r="N7894" i="1" s="1"/>
  <c r="Y7892" i="1"/>
  <c r="AA7892" i="1" s="1"/>
  <c r="J7892" i="1"/>
  <c r="N7892" i="1" s="1"/>
  <c r="Y7890" i="1"/>
  <c r="AA7890" i="1" s="1"/>
  <c r="J7890" i="1"/>
  <c r="N7890" i="1" s="1"/>
  <c r="Y7888" i="1"/>
  <c r="AA7888" i="1" s="1"/>
  <c r="J7888" i="1"/>
  <c r="N7888" i="1" s="1"/>
  <c r="Y7886" i="1"/>
  <c r="AA7886" i="1" s="1"/>
  <c r="J7886" i="1"/>
  <c r="N7886" i="1" s="1"/>
  <c r="Y7884" i="1"/>
  <c r="AA7884" i="1" s="1"/>
  <c r="J7884" i="1"/>
  <c r="N7884" i="1" s="1"/>
  <c r="Y7882" i="1"/>
  <c r="AA7882" i="1" s="1"/>
  <c r="J7882" i="1"/>
  <c r="N7882" i="1" s="1"/>
  <c r="Y7880" i="1"/>
  <c r="AA7880" i="1" s="1"/>
  <c r="J7880" i="1"/>
  <c r="N7880" i="1" s="1"/>
  <c r="Y7878" i="1"/>
  <c r="AA7878" i="1" s="1"/>
  <c r="J7878" i="1"/>
  <c r="N7878" i="1" s="1"/>
  <c r="Y7876" i="1"/>
  <c r="AA7876" i="1" s="1"/>
  <c r="J7876" i="1"/>
  <c r="N7876" i="1" s="1"/>
  <c r="Y7874" i="1"/>
  <c r="AA7874" i="1" s="1"/>
  <c r="J7874" i="1"/>
  <c r="N7874" i="1" s="1"/>
  <c r="Y7872" i="1"/>
  <c r="AA7872" i="1" s="1"/>
  <c r="J7872" i="1"/>
  <c r="N7872" i="1" s="1"/>
  <c r="Y7870" i="1"/>
  <c r="AA7870" i="1" s="1"/>
  <c r="J7870" i="1"/>
  <c r="N7870" i="1" s="1"/>
  <c r="Y7868" i="1"/>
  <c r="AA7868" i="1" s="1"/>
  <c r="Y7866" i="1"/>
  <c r="AA7866" i="1" s="1"/>
  <c r="Y7864" i="1"/>
  <c r="AA7864" i="1" s="1"/>
  <c r="J7864" i="1"/>
  <c r="N7864" i="1" s="1"/>
  <c r="Y7862" i="1"/>
  <c r="AA7862" i="1" s="1"/>
  <c r="J7862" i="1"/>
  <c r="N7862" i="1" s="1"/>
  <c r="Y7860" i="1"/>
  <c r="AA7860" i="1" s="1"/>
  <c r="J7860" i="1"/>
  <c r="N7860" i="1" s="1"/>
  <c r="Y7858" i="1"/>
  <c r="AA7858" i="1" s="1"/>
  <c r="J7858" i="1"/>
  <c r="N7858" i="1" s="1"/>
  <c r="Y7856" i="1"/>
  <c r="AA7856" i="1" s="1"/>
  <c r="J7856" i="1"/>
  <c r="N7856" i="1" s="1"/>
  <c r="AA7854" i="1"/>
  <c r="N7854" i="1"/>
  <c r="Y7852" i="1"/>
  <c r="AA7852" i="1" s="1"/>
  <c r="J7852" i="1"/>
  <c r="N7852" i="1" s="1"/>
  <c r="K7694" i="1"/>
  <c r="M7694" i="1"/>
  <c r="K7688" i="1"/>
  <c r="Y7682" i="1"/>
  <c r="AA7682" i="1" s="1"/>
  <c r="J7682" i="1"/>
  <c r="N7682" i="1" s="1"/>
  <c r="Y7634" i="1"/>
  <c r="AA7634" i="1" s="1"/>
  <c r="J7634" i="1"/>
  <c r="N7634" i="1" s="1"/>
  <c r="Y7632" i="1"/>
  <c r="AA7632" i="1" s="1"/>
  <c r="J7632" i="1"/>
  <c r="N7632" i="1" s="1"/>
  <c r="I7644" i="1"/>
  <c r="J7644" i="1" s="1"/>
  <c r="N7644" i="1" s="1"/>
  <c r="I7642" i="1"/>
  <c r="J7642" i="1" s="1"/>
  <c r="N7642" i="1" s="1"/>
  <c r="I7640" i="1"/>
  <c r="J7640" i="1" s="1"/>
  <c r="N7640" i="1" s="1"/>
  <c r="I7638" i="1"/>
  <c r="J7638" i="1" s="1"/>
  <c r="N7638" i="1" s="1"/>
  <c r="Y7850" i="1"/>
  <c r="AA7850" i="1" s="1"/>
  <c r="J7850" i="1"/>
  <c r="N7850" i="1" s="1"/>
  <c r="Y7848" i="1"/>
  <c r="AA7848" i="1" s="1"/>
  <c r="J7848" i="1"/>
  <c r="N7848" i="1" s="1"/>
  <c r="Y7846" i="1"/>
  <c r="AA7846" i="1" s="1"/>
  <c r="J7846" i="1"/>
  <c r="N7846" i="1" s="1"/>
  <c r="Y7844" i="1"/>
  <c r="AA7844" i="1" s="1"/>
  <c r="J7844" i="1"/>
  <c r="N7844" i="1" s="1"/>
  <c r="Y7842" i="1"/>
  <c r="AA7842" i="1" s="1"/>
  <c r="J7842" i="1"/>
  <c r="N7842" i="1" s="1"/>
  <c r="Y7840" i="1"/>
  <c r="AA7840" i="1" s="1"/>
  <c r="J7840" i="1"/>
  <c r="N7840" i="1" s="1"/>
  <c r="Y7838" i="1"/>
  <c r="AA7838" i="1" s="1"/>
  <c r="J7838" i="1"/>
  <c r="N7838" i="1" s="1"/>
  <c r="Y7836" i="1"/>
  <c r="AA7836" i="1" s="1"/>
  <c r="J7836" i="1"/>
  <c r="N7836" i="1" s="1"/>
  <c r="Y7834" i="1"/>
  <c r="AA7834" i="1" s="1"/>
  <c r="J7834" i="1"/>
  <c r="N7834" i="1" s="1"/>
  <c r="Y7832" i="1"/>
  <c r="AA7832" i="1" s="1"/>
  <c r="J7832" i="1"/>
  <c r="N7832" i="1" s="1"/>
  <c r="Y7830" i="1"/>
  <c r="AA7830" i="1" s="1"/>
  <c r="J7830" i="1"/>
  <c r="N7830" i="1" s="1"/>
  <c r="Y7828" i="1"/>
  <c r="AA7828" i="1" s="1"/>
  <c r="J7828" i="1"/>
  <c r="N7828" i="1" s="1"/>
  <c r="Y7826" i="1"/>
  <c r="AA7826" i="1" s="1"/>
  <c r="J7826" i="1"/>
  <c r="N7826" i="1" s="1"/>
  <c r="Y7824" i="1"/>
  <c r="AA7824" i="1" s="1"/>
  <c r="Y7822" i="1"/>
  <c r="AA7822" i="1" s="1"/>
  <c r="J7822" i="1"/>
  <c r="N7822" i="1" s="1"/>
  <c r="Y7820" i="1"/>
  <c r="AA7820" i="1" s="1"/>
  <c r="J7820" i="1"/>
  <c r="N7820" i="1" s="1"/>
  <c r="Y7818" i="1"/>
  <c r="AA7818" i="1" s="1"/>
  <c r="J7818" i="1"/>
  <c r="N7818" i="1" s="1"/>
  <c r="Y7816" i="1"/>
  <c r="AA7816" i="1" s="1"/>
  <c r="J7816" i="1"/>
  <c r="N7816" i="1" s="1"/>
  <c r="Y7814" i="1"/>
  <c r="AA7814" i="1" s="1"/>
  <c r="J7814" i="1"/>
  <c r="N7814" i="1" s="1"/>
  <c r="Y7812" i="1"/>
  <c r="AA7812" i="1" s="1"/>
  <c r="J7812" i="1"/>
  <c r="N7812" i="1" s="1"/>
  <c r="Y7810" i="1"/>
  <c r="AA7810" i="1" s="1"/>
  <c r="J7810" i="1"/>
  <c r="N7810" i="1" s="1"/>
  <c r="Y7808" i="1"/>
  <c r="AA7808" i="1" s="1"/>
  <c r="J7808" i="1"/>
  <c r="N7808" i="1" s="1"/>
  <c r="Y7806" i="1"/>
  <c r="AA7806" i="1" s="1"/>
  <c r="J7806" i="1"/>
  <c r="N7806" i="1" s="1"/>
  <c r="Y7804" i="1"/>
  <c r="AA7804" i="1" s="1"/>
  <c r="J7804" i="1"/>
  <c r="N7804" i="1" s="1"/>
  <c r="Y7802" i="1"/>
  <c r="AA7802" i="1" s="1"/>
  <c r="J7802" i="1"/>
  <c r="N7802" i="1" s="1"/>
  <c r="Y7800" i="1"/>
  <c r="AA7800" i="1" s="1"/>
  <c r="J7800" i="1"/>
  <c r="N7800" i="1" s="1"/>
  <c r="Y7798" i="1"/>
  <c r="AA7798" i="1" s="1"/>
  <c r="J7798" i="1"/>
  <c r="N7798" i="1" s="1"/>
  <c r="Y7796" i="1"/>
  <c r="AA7796" i="1" s="1"/>
  <c r="J7796" i="1"/>
  <c r="N7796" i="1" s="1"/>
  <c r="Y7794" i="1"/>
  <c r="AA7794" i="1" s="1"/>
  <c r="J7794" i="1"/>
  <c r="N7794" i="1" s="1"/>
  <c r="Y7792" i="1"/>
  <c r="AA7792" i="1" s="1"/>
  <c r="J7792" i="1"/>
  <c r="N7792" i="1" s="1"/>
  <c r="Y7790" i="1"/>
  <c r="AA7790" i="1" s="1"/>
  <c r="J7790" i="1"/>
  <c r="N7790" i="1" s="1"/>
  <c r="Y7788" i="1"/>
  <c r="AA7788" i="1" s="1"/>
  <c r="J7788" i="1"/>
  <c r="N7788" i="1" s="1"/>
  <c r="Y7786" i="1"/>
  <c r="AA7786" i="1" s="1"/>
  <c r="J7786" i="1"/>
  <c r="N7786" i="1" s="1"/>
  <c r="Y7784" i="1"/>
  <c r="AA7784" i="1" s="1"/>
  <c r="J7784" i="1"/>
  <c r="N7784" i="1" s="1"/>
  <c r="Y7782" i="1"/>
  <c r="AA7782" i="1" s="1"/>
  <c r="J7782" i="1"/>
  <c r="N7782" i="1" s="1"/>
  <c r="Y7780" i="1"/>
  <c r="AA7780" i="1" s="1"/>
  <c r="J7780" i="1"/>
  <c r="N7780" i="1" s="1"/>
  <c r="Y7778" i="1"/>
  <c r="AA7778" i="1" s="1"/>
  <c r="J7778" i="1"/>
  <c r="N7778" i="1" s="1"/>
  <c r="Y7776" i="1"/>
  <c r="AA7776" i="1" s="1"/>
  <c r="J7776" i="1"/>
  <c r="N7776" i="1" s="1"/>
  <c r="Y7774" i="1"/>
  <c r="AA7774" i="1" s="1"/>
  <c r="J7774" i="1"/>
  <c r="N7774" i="1" s="1"/>
  <c r="Y7772" i="1"/>
  <c r="AA7772" i="1" s="1"/>
  <c r="J7772" i="1"/>
  <c r="N7772" i="1" s="1"/>
  <c r="Y7770" i="1"/>
  <c r="AA7770" i="1" s="1"/>
  <c r="J7770" i="1"/>
  <c r="N7770" i="1" s="1"/>
  <c r="Y7768" i="1"/>
  <c r="AA7768" i="1" s="1"/>
  <c r="J7768" i="1"/>
  <c r="N7768" i="1" s="1"/>
  <c r="Y7766" i="1"/>
  <c r="AA7766" i="1" s="1"/>
  <c r="J7766" i="1"/>
  <c r="N7766" i="1" s="1"/>
  <c r="Y7764" i="1"/>
  <c r="AA7764" i="1" s="1"/>
  <c r="J7764" i="1"/>
  <c r="N7764" i="1" s="1"/>
  <c r="Y7762" i="1"/>
  <c r="AA7762" i="1" s="1"/>
  <c r="J7762" i="1"/>
  <c r="N7762" i="1" s="1"/>
  <c r="Y7760" i="1"/>
  <c r="AA7760" i="1" s="1"/>
  <c r="J7760" i="1"/>
  <c r="N7760" i="1" s="1"/>
  <c r="Y7758" i="1"/>
  <c r="AA7758" i="1" s="1"/>
  <c r="J7758" i="1"/>
  <c r="N7758" i="1" s="1"/>
  <c r="Y7756" i="1"/>
  <c r="AA7756" i="1" s="1"/>
  <c r="J7756" i="1"/>
  <c r="N7756" i="1" s="1"/>
  <c r="Y7754" i="1"/>
  <c r="AA7754" i="1" s="1"/>
  <c r="J7754" i="1"/>
  <c r="N7754" i="1" s="1"/>
  <c r="Y7752" i="1"/>
  <c r="AA7752" i="1" s="1"/>
  <c r="J7752" i="1"/>
  <c r="N7752" i="1" s="1"/>
  <c r="Y7750" i="1"/>
  <c r="AA7750" i="1" s="1"/>
  <c r="J7750" i="1"/>
  <c r="N7750" i="1" s="1"/>
  <c r="Y7748" i="1"/>
  <c r="AA7748" i="1" s="1"/>
  <c r="J7748" i="1"/>
  <c r="N7748" i="1" s="1"/>
  <c r="Y7746" i="1"/>
  <c r="AA7746" i="1" s="1"/>
  <c r="J7746" i="1"/>
  <c r="N7746" i="1" s="1"/>
  <c r="Y7744" i="1"/>
  <c r="AA7744" i="1" s="1"/>
  <c r="J7744" i="1"/>
  <c r="N7744" i="1" s="1"/>
  <c r="Y7742" i="1"/>
  <c r="AA7742" i="1" s="1"/>
  <c r="J7742" i="1"/>
  <c r="N7742" i="1" s="1"/>
  <c r="Y7740" i="1"/>
  <c r="AA7740" i="1" s="1"/>
  <c r="J7740" i="1"/>
  <c r="N7740" i="1" s="1"/>
  <c r="Y7738" i="1"/>
  <c r="AA7738" i="1" s="1"/>
  <c r="J7738" i="1"/>
  <c r="N7738" i="1" s="1"/>
  <c r="Y7736" i="1"/>
  <c r="AA7736" i="1" s="1"/>
  <c r="J7736" i="1"/>
  <c r="N7736" i="1" s="1"/>
  <c r="Y7734" i="1"/>
  <c r="AA7734" i="1" s="1"/>
  <c r="J7734" i="1"/>
  <c r="N7734" i="1" s="1"/>
  <c r="Y7732" i="1"/>
  <c r="AA7732" i="1" s="1"/>
  <c r="J7732" i="1"/>
  <c r="N7732" i="1" s="1"/>
  <c r="Y7730" i="1"/>
  <c r="AA7730" i="1" s="1"/>
  <c r="J7730" i="1"/>
  <c r="N7730" i="1" s="1"/>
  <c r="Y7728" i="1"/>
  <c r="AA7728" i="1" s="1"/>
  <c r="J7728" i="1"/>
  <c r="N7728" i="1" s="1"/>
  <c r="Y7726" i="1"/>
  <c r="AA7726" i="1" s="1"/>
  <c r="J7726" i="1"/>
  <c r="N7726" i="1" s="1"/>
  <c r="Y7724" i="1"/>
  <c r="AA7724" i="1" s="1"/>
  <c r="J7724" i="1"/>
  <c r="N7724" i="1" s="1"/>
  <c r="Y7722" i="1"/>
  <c r="AA7722" i="1" s="1"/>
  <c r="J7722" i="1"/>
  <c r="N7722" i="1" s="1"/>
  <c r="Y7720" i="1"/>
  <c r="AA7720" i="1" s="1"/>
  <c r="J7720" i="1"/>
  <c r="N7720" i="1" s="1"/>
  <c r="Y7718" i="1"/>
  <c r="AA7718" i="1" s="1"/>
  <c r="J7718" i="1"/>
  <c r="N7718" i="1" s="1"/>
  <c r="Y7716" i="1"/>
  <c r="AA7716" i="1" s="1"/>
  <c r="N7716" i="1"/>
  <c r="Y7714" i="1"/>
  <c r="AA7714" i="1" s="1"/>
  <c r="J7714" i="1"/>
  <c r="N7714" i="1" s="1"/>
  <c r="Y7712" i="1"/>
  <c r="AA7712" i="1" s="1"/>
  <c r="J7712" i="1"/>
  <c r="N7712" i="1" s="1"/>
  <c r="Y7710" i="1"/>
  <c r="AA7710" i="1" s="1"/>
  <c r="J7710" i="1"/>
  <c r="N7710" i="1" s="1"/>
  <c r="Y7708" i="1"/>
  <c r="AA7708" i="1" s="1"/>
  <c r="J7708" i="1"/>
  <c r="N7708" i="1" s="1"/>
  <c r="Y7706" i="1"/>
  <c r="AA7706" i="1" s="1"/>
  <c r="J7706" i="1"/>
  <c r="N7706" i="1" s="1"/>
  <c r="Y7704" i="1"/>
  <c r="AA7704" i="1" s="1"/>
  <c r="J7704" i="1"/>
  <c r="N7704" i="1" s="1"/>
  <c r="Y7702" i="1"/>
  <c r="AA7702" i="1" s="1"/>
  <c r="J7702" i="1"/>
  <c r="N7702" i="1" s="1"/>
  <c r="Y7700" i="1"/>
  <c r="AA7700" i="1" s="1"/>
  <c r="J7700" i="1"/>
  <c r="N7700" i="1" s="1"/>
  <c r="Y7698" i="1"/>
  <c r="AA7698" i="1" s="1"/>
  <c r="J7698" i="1"/>
  <c r="N7698" i="1" s="1"/>
  <c r="Y7696" i="1"/>
  <c r="AA7696" i="1" s="1"/>
  <c r="J7696" i="1"/>
  <c r="N7696" i="1" s="1"/>
  <c r="Y7694" i="1"/>
  <c r="AA7694" i="1" s="1"/>
  <c r="J7694" i="1"/>
  <c r="Y7692" i="1"/>
  <c r="AA7692" i="1" s="1"/>
  <c r="J7692" i="1"/>
  <c r="N7692" i="1" s="1"/>
  <c r="Y7690" i="1"/>
  <c r="AA7690" i="1" s="1"/>
  <c r="J7690" i="1"/>
  <c r="N7690" i="1" s="1"/>
  <c r="Y7688" i="1"/>
  <c r="AA7688" i="1" s="1"/>
  <c r="J7688" i="1"/>
  <c r="Y7686" i="1"/>
  <c r="AA7686" i="1" s="1"/>
  <c r="J7686" i="1"/>
  <c r="N7686" i="1" s="1"/>
  <c r="Y7684" i="1"/>
  <c r="AA7684" i="1" s="1"/>
  <c r="J7684" i="1"/>
  <c r="N7684" i="1" s="1"/>
  <c r="Y7680" i="1"/>
  <c r="AA7680" i="1" s="1"/>
  <c r="J7680" i="1"/>
  <c r="N7680" i="1" s="1"/>
  <c r="Y7678" i="1"/>
  <c r="AA7678" i="1" s="1"/>
  <c r="J7678" i="1"/>
  <c r="N7678" i="1" s="1"/>
  <c r="Y7676" i="1"/>
  <c r="AA7676" i="1" s="1"/>
  <c r="J7676" i="1"/>
  <c r="N7676" i="1" s="1"/>
  <c r="Y7674" i="1"/>
  <c r="AA7674" i="1" s="1"/>
  <c r="J7674" i="1"/>
  <c r="N7674" i="1" s="1"/>
  <c r="Y7672" i="1"/>
  <c r="AA7672" i="1" s="1"/>
  <c r="J7672" i="1"/>
  <c r="N7672" i="1" s="1"/>
  <c r="Y7670" i="1"/>
  <c r="AA7670" i="1" s="1"/>
  <c r="J7670" i="1"/>
  <c r="N7670" i="1" s="1"/>
  <c r="Y7668" i="1"/>
  <c r="AA7668" i="1" s="1"/>
  <c r="J7668" i="1"/>
  <c r="N7668" i="1" s="1"/>
  <c r="Y7666" i="1"/>
  <c r="AA7666" i="1" s="1"/>
  <c r="J7666" i="1"/>
  <c r="N7666" i="1" s="1"/>
  <c r="Y7664" i="1"/>
  <c r="AA7664" i="1" s="1"/>
  <c r="J7664" i="1"/>
  <c r="N7664" i="1" s="1"/>
  <c r="Y7662" i="1"/>
  <c r="AA7662" i="1" s="1"/>
  <c r="J7662" i="1"/>
  <c r="N7662" i="1" s="1"/>
  <c r="Y7660" i="1"/>
  <c r="AA7660" i="1" s="1"/>
  <c r="J7660" i="1"/>
  <c r="N7660" i="1" s="1"/>
  <c r="Y7658" i="1"/>
  <c r="AA7658" i="1" s="1"/>
  <c r="J7658" i="1"/>
  <c r="N7658" i="1" s="1"/>
  <c r="Y7656" i="1"/>
  <c r="AA7656" i="1" s="1"/>
  <c r="J7656" i="1"/>
  <c r="N7656" i="1" s="1"/>
  <c r="Y7654" i="1"/>
  <c r="AA7654" i="1" s="1"/>
  <c r="J7654" i="1"/>
  <c r="N7654" i="1" s="1"/>
  <c r="Y7652" i="1"/>
  <c r="AA7652" i="1" s="1"/>
  <c r="J7652" i="1"/>
  <c r="N7652" i="1" s="1"/>
  <c r="Y7650" i="1"/>
  <c r="AA7650" i="1" s="1"/>
  <c r="J7650" i="1"/>
  <c r="N7650" i="1" s="1"/>
  <c r="Y7648" i="1"/>
  <c r="AA7648" i="1" s="1"/>
  <c r="J7648" i="1"/>
  <c r="N7648" i="1" s="1"/>
  <c r="Y7646" i="1"/>
  <c r="AA7646" i="1" s="1"/>
  <c r="J7646" i="1"/>
  <c r="N7646" i="1" s="1"/>
  <c r="Y7644" i="1"/>
  <c r="AA7644" i="1" s="1"/>
  <c r="Y7642" i="1"/>
  <c r="AA7642" i="1" s="1"/>
  <c r="Y7640" i="1"/>
  <c r="AA7640" i="1" s="1"/>
  <c r="Y7638" i="1"/>
  <c r="AA7638" i="1" s="1"/>
  <c r="Y7636" i="1"/>
  <c r="AA7636" i="1" s="1"/>
  <c r="J7636" i="1"/>
  <c r="N7636" i="1" s="1"/>
  <c r="Y7630" i="1"/>
  <c r="AA7630" i="1" s="1"/>
  <c r="J7630" i="1"/>
  <c r="N7630" i="1" s="1"/>
  <c r="Y7628" i="1"/>
  <c r="AA7628" i="1" s="1"/>
  <c r="J7628" i="1"/>
  <c r="N7628" i="1" s="1"/>
  <c r="Y7626" i="1"/>
  <c r="AA7626" i="1" s="1"/>
  <c r="J7626" i="1"/>
  <c r="N7626" i="1" s="1"/>
  <c r="Y7624" i="1"/>
  <c r="AA7624" i="1" s="1"/>
  <c r="J7624" i="1"/>
  <c r="N7624" i="1" s="1"/>
  <c r="Y7622" i="1"/>
  <c r="AA7622" i="1" s="1"/>
  <c r="N7622" i="1"/>
  <c r="Y7620" i="1"/>
  <c r="AA7620" i="1" s="1"/>
  <c r="J7620" i="1"/>
  <c r="N7620" i="1" s="1"/>
  <c r="Y7618" i="1"/>
  <c r="AA7618" i="1" s="1"/>
  <c r="J7618" i="1"/>
  <c r="N7618" i="1" s="1"/>
  <c r="Y7616" i="1"/>
  <c r="AA7616" i="1" s="1"/>
  <c r="J7616" i="1"/>
  <c r="N7616" i="1" s="1"/>
  <c r="Y7614" i="1"/>
  <c r="AA7614" i="1" s="1"/>
  <c r="J7614" i="1"/>
  <c r="N7614" i="1" s="1"/>
  <c r="Y7612" i="1"/>
  <c r="AA7612" i="1" s="1"/>
  <c r="J7612" i="1"/>
  <c r="N7612" i="1" s="1"/>
  <c r="Y7610" i="1"/>
  <c r="AA7610" i="1" s="1"/>
  <c r="J7610" i="1"/>
  <c r="N7610" i="1" s="1"/>
  <c r="Y7608" i="1"/>
  <c r="AA7608" i="1" s="1"/>
  <c r="N7608" i="1"/>
  <c r="Y7606" i="1"/>
  <c r="AA7606" i="1" s="1"/>
  <c r="J7606" i="1"/>
  <c r="N7606" i="1" s="1"/>
  <c r="Y7604" i="1"/>
  <c r="AA7604" i="1" s="1"/>
  <c r="J7604" i="1"/>
  <c r="N7604" i="1" s="1"/>
  <c r="Y7602" i="1"/>
  <c r="AA7602" i="1" s="1"/>
  <c r="J7602" i="1"/>
  <c r="N7602" i="1" s="1"/>
  <c r="Y7600" i="1"/>
  <c r="AA7600" i="1" s="1"/>
  <c r="J7600" i="1"/>
  <c r="N7600" i="1" s="1"/>
  <c r="Y7598" i="1"/>
  <c r="AA7598" i="1" s="1"/>
  <c r="J7598" i="1"/>
  <c r="N7598" i="1" s="1"/>
  <c r="Y7596" i="1"/>
  <c r="AA7596" i="1" s="1"/>
  <c r="J7596" i="1"/>
  <c r="N7596" i="1" s="1"/>
  <c r="Y7594" i="1"/>
  <c r="AA7594" i="1" s="1"/>
  <c r="J7594" i="1"/>
  <c r="N7594" i="1" s="1"/>
  <c r="Y7592" i="1"/>
  <c r="AA7592" i="1" s="1"/>
  <c r="J7592" i="1"/>
  <c r="N7592" i="1" s="1"/>
  <c r="Y7590" i="1"/>
  <c r="AA7590" i="1" s="1"/>
  <c r="J7590" i="1"/>
  <c r="N7590" i="1" s="1"/>
  <c r="Y7588" i="1"/>
  <c r="AA7588" i="1" s="1"/>
  <c r="J7588" i="1"/>
  <c r="N7588" i="1" s="1"/>
  <c r="Y7586" i="1"/>
  <c r="AA7586" i="1" s="1"/>
  <c r="J7586" i="1"/>
  <c r="N7586" i="1" s="1"/>
  <c r="Y7584" i="1"/>
  <c r="AA7584" i="1" s="1"/>
  <c r="J7584" i="1"/>
  <c r="N7584" i="1" s="1"/>
  <c r="Y7582" i="1"/>
  <c r="AA7582" i="1" s="1"/>
  <c r="J7582" i="1"/>
  <c r="N7582" i="1" s="1"/>
  <c r="Y7580" i="1"/>
  <c r="AA7580" i="1" s="1"/>
  <c r="J7580" i="1"/>
  <c r="N7580" i="1" s="1"/>
  <c r="Y7578" i="1"/>
  <c r="AA7578" i="1" s="1"/>
  <c r="J7578" i="1"/>
  <c r="N7578" i="1" s="1"/>
  <c r="Y7576" i="1"/>
  <c r="AA7576" i="1" s="1"/>
  <c r="J7576" i="1"/>
  <c r="N7576" i="1" s="1"/>
  <c r="Y7574" i="1"/>
  <c r="AA7574" i="1" s="1"/>
  <c r="J7574" i="1"/>
  <c r="N7574" i="1" s="1"/>
  <c r="Y7572" i="1"/>
  <c r="AA7572" i="1" s="1"/>
  <c r="J7572" i="1"/>
  <c r="N7572" i="1" s="1"/>
  <c r="Y7570" i="1"/>
  <c r="AA7570" i="1" s="1"/>
  <c r="J7570" i="1"/>
  <c r="N7570" i="1" s="1"/>
  <c r="Y7568" i="1"/>
  <c r="AA7568" i="1" s="1"/>
  <c r="J7568" i="1"/>
  <c r="N7568" i="1" s="1"/>
  <c r="Y7566" i="1"/>
  <c r="AA7566" i="1" s="1"/>
  <c r="J7566" i="1"/>
  <c r="N7566" i="1" s="1"/>
  <c r="Y7564" i="1"/>
  <c r="AA7564" i="1" s="1"/>
  <c r="J7564" i="1"/>
  <c r="N7564" i="1" s="1"/>
  <c r="Y7562" i="1"/>
  <c r="AA7562" i="1" s="1"/>
  <c r="J7562" i="1"/>
  <c r="N7562" i="1" s="1"/>
  <c r="Y7560" i="1"/>
  <c r="AA7560" i="1" s="1"/>
  <c r="J7560" i="1"/>
  <c r="N7560" i="1" s="1"/>
  <c r="Y7558" i="1"/>
  <c r="AA7558" i="1" s="1"/>
  <c r="J7558" i="1"/>
  <c r="N7558" i="1" s="1"/>
  <c r="Y7556" i="1"/>
  <c r="AA7556" i="1" s="1"/>
  <c r="J7556" i="1"/>
  <c r="N7556" i="1" s="1"/>
  <c r="Y7554" i="1"/>
  <c r="AA7554" i="1" s="1"/>
  <c r="J7554" i="1"/>
  <c r="N7554" i="1" s="1"/>
  <c r="Y7552" i="1"/>
  <c r="AA7552" i="1" s="1"/>
  <c r="J7552" i="1"/>
  <c r="N7552" i="1" s="1"/>
  <c r="Y7550" i="1"/>
  <c r="AA7550" i="1" s="1"/>
  <c r="J7550" i="1"/>
  <c r="N7550" i="1" s="1"/>
  <c r="Y7548" i="1"/>
  <c r="AA7548" i="1" s="1"/>
  <c r="J7548" i="1"/>
  <c r="N7548" i="1" s="1"/>
  <c r="Y7546" i="1"/>
  <c r="AA7546" i="1" s="1"/>
  <c r="J7546" i="1"/>
  <c r="N7546" i="1" s="1"/>
  <c r="Y7544" i="1"/>
  <c r="AA7544" i="1" s="1"/>
  <c r="J7544" i="1"/>
  <c r="N7544" i="1" s="1"/>
  <c r="Y7542" i="1"/>
  <c r="AA7542" i="1" s="1"/>
  <c r="J7542" i="1"/>
  <c r="N7542" i="1" s="1"/>
  <c r="Y7540" i="1"/>
  <c r="AA7540" i="1" s="1"/>
  <c r="J7540" i="1"/>
  <c r="N7540" i="1" s="1"/>
  <c r="Y7538" i="1"/>
  <c r="AA7538" i="1" s="1"/>
  <c r="J7538" i="1"/>
  <c r="N7538" i="1" s="1"/>
  <c r="Y7536" i="1"/>
  <c r="AA7536" i="1" s="1"/>
  <c r="J7536" i="1"/>
  <c r="N7536" i="1" s="1"/>
  <c r="Y7534" i="1"/>
  <c r="AA7534" i="1" s="1"/>
  <c r="J7534" i="1"/>
  <c r="N7534" i="1" s="1"/>
  <c r="Y7532" i="1"/>
  <c r="AA7532" i="1" s="1"/>
  <c r="J7532" i="1"/>
  <c r="N7532" i="1" s="1"/>
  <c r="Y7530" i="1"/>
  <c r="AA7530" i="1" s="1"/>
  <c r="J7530" i="1"/>
  <c r="N7530" i="1" s="1"/>
  <c r="Y7528" i="1"/>
  <c r="AA7528" i="1" s="1"/>
  <c r="N7528" i="1"/>
  <c r="Y7526" i="1"/>
  <c r="AA7526" i="1" s="1"/>
  <c r="J7526" i="1"/>
  <c r="N7526" i="1" s="1"/>
  <c r="Y7524" i="1"/>
  <c r="AA7524" i="1" s="1"/>
  <c r="J7524" i="1"/>
  <c r="N7524" i="1" s="1"/>
  <c r="Y7522" i="1"/>
  <c r="AA7522" i="1" s="1"/>
  <c r="J7522" i="1"/>
  <c r="N7522" i="1" s="1"/>
  <c r="AA7520" i="1"/>
  <c r="N7520" i="1"/>
  <c r="Y7518" i="1"/>
  <c r="AA7518" i="1" s="1"/>
  <c r="J7518" i="1"/>
  <c r="N7518" i="1" s="1"/>
  <c r="Y7516" i="1"/>
  <c r="AA7516" i="1" s="1"/>
  <c r="J7516" i="1"/>
  <c r="N7516" i="1" s="1"/>
  <c r="Y7514" i="1"/>
  <c r="AA7514" i="1" s="1"/>
  <c r="J7514" i="1"/>
  <c r="N7514" i="1" s="1"/>
  <c r="Y7512" i="1"/>
  <c r="AA7512" i="1" s="1"/>
  <c r="J7512" i="1"/>
  <c r="N7512" i="1" s="1"/>
  <c r="AA7510" i="1"/>
  <c r="J7510" i="1"/>
  <c r="N7510" i="1" s="1"/>
  <c r="Y7508" i="1"/>
  <c r="AA7508" i="1" s="1"/>
  <c r="J7508" i="1"/>
  <c r="N7508" i="1" s="1"/>
  <c r="Y7506" i="1"/>
  <c r="AA7506" i="1" s="1"/>
  <c r="J7506" i="1"/>
  <c r="N7506" i="1" s="1"/>
  <c r="Y7504" i="1"/>
  <c r="AA7504" i="1" s="1"/>
  <c r="J7504" i="1"/>
  <c r="N7504" i="1" s="1"/>
  <c r="Y7502" i="1"/>
  <c r="AA7502" i="1" s="1"/>
  <c r="J7502" i="1"/>
  <c r="N7502" i="1" s="1"/>
  <c r="Y7500" i="1"/>
  <c r="AA7500" i="1" s="1"/>
  <c r="J7500" i="1"/>
  <c r="N7500" i="1" s="1"/>
  <c r="Y7498" i="1"/>
  <c r="AA7498" i="1" s="1"/>
  <c r="J7498" i="1"/>
  <c r="N7498" i="1" s="1"/>
  <c r="Y7496" i="1"/>
  <c r="AA7496" i="1" s="1"/>
  <c r="J7496" i="1"/>
  <c r="N7496" i="1" s="1"/>
  <c r="Y7494" i="1"/>
  <c r="AA7494" i="1" s="1"/>
  <c r="J7494" i="1"/>
  <c r="N7494" i="1" s="1"/>
  <c r="Y7492" i="1"/>
  <c r="AA7492" i="1" s="1"/>
  <c r="J7492" i="1"/>
  <c r="N7492" i="1" s="1"/>
  <c r="Y7490" i="1"/>
  <c r="AA7490" i="1" s="1"/>
  <c r="J7490" i="1"/>
  <c r="N7490" i="1" s="1"/>
  <c r="Y7488" i="1"/>
  <c r="AA7488" i="1" s="1"/>
  <c r="J7488" i="1"/>
  <c r="N7488" i="1" s="1"/>
  <c r="Y7486" i="1"/>
  <c r="AA7486" i="1" s="1"/>
  <c r="N7486" i="1"/>
  <c r="Y7484" i="1"/>
  <c r="AA7484" i="1" s="1"/>
  <c r="J7484" i="1"/>
  <c r="N7484" i="1" s="1"/>
  <c r="Y7482" i="1"/>
  <c r="AA7482" i="1" s="1"/>
  <c r="J7482" i="1"/>
  <c r="N7482" i="1" s="1"/>
  <c r="Y7408" i="1"/>
  <c r="AA7408" i="1" s="1"/>
  <c r="J7408" i="1"/>
  <c r="N7408" i="1" s="1"/>
  <c r="I7418" i="1"/>
  <c r="J7418" i="1" s="1"/>
  <c r="N7418" i="1" s="1"/>
  <c r="I7416" i="1"/>
  <c r="J7416" i="1" s="1"/>
  <c r="N7416" i="1" s="1"/>
  <c r="I7414" i="1"/>
  <c r="J7414" i="1" s="1"/>
  <c r="N7414" i="1" s="1"/>
  <c r="I7412" i="1"/>
  <c r="J7412" i="1" s="1"/>
  <c r="N7412" i="1" s="1"/>
  <c r="I7410" i="1"/>
  <c r="J7410" i="1" s="1"/>
  <c r="N7410" i="1" s="1"/>
  <c r="Y7198" i="1"/>
  <c r="AA7198" i="1" s="1"/>
  <c r="J7198" i="1"/>
  <c r="N7198" i="1" s="1"/>
  <c r="Y7196" i="1"/>
  <c r="AA7196" i="1" s="1"/>
  <c r="J7196" i="1"/>
  <c r="N7196" i="1" s="1"/>
  <c r="I7148" i="1"/>
  <c r="I7146" i="1"/>
  <c r="J7146" i="1" s="1"/>
  <c r="N7146" i="1" s="1"/>
  <c r="Y7480" i="1"/>
  <c r="AA7480" i="1" s="1"/>
  <c r="J7480" i="1"/>
  <c r="N7480" i="1" s="1"/>
  <c r="Y7478" i="1"/>
  <c r="AA7478" i="1" s="1"/>
  <c r="J7478" i="1"/>
  <c r="N7478" i="1" s="1"/>
  <c r="Y7476" i="1"/>
  <c r="AA7476" i="1" s="1"/>
  <c r="J7476" i="1"/>
  <c r="N7476" i="1" s="1"/>
  <c r="Y7474" i="1"/>
  <c r="AA7474" i="1" s="1"/>
  <c r="J7474" i="1"/>
  <c r="N7474" i="1" s="1"/>
  <c r="Y7472" i="1"/>
  <c r="AA7472" i="1" s="1"/>
  <c r="J7472" i="1"/>
  <c r="N7472" i="1" s="1"/>
  <c r="Y7470" i="1"/>
  <c r="AA7470" i="1" s="1"/>
  <c r="J7470" i="1"/>
  <c r="N7470" i="1" s="1"/>
  <c r="Y7468" i="1"/>
  <c r="AA7468" i="1" s="1"/>
  <c r="J7468" i="1"/>
  <c r="N7468" i="1" s="1"/>
  <c r="Y7466" i="1"/>
  <c r="AA7466" i="1" s="1"/>
  <c r="J7466" i="1"/>
  <c r="N7466" i="1" s="1"/>
  <c r="Y7464" i="1"/>
  <c r="AA7464" i="1" s="1"/>
  <c r="J7464" i="1"/>
  <c r="N7464" i="1" s="1"/>
  <c r="Y7462" i="1"/>
  <c r="AA7462" i="1" s="1"/>
  <c r="J7462" i="1"/>
  <c r="N7462" i="1" s="1"/>
  <c r="Y7460" i="1"/>
  <c r="AA7460" i="1" s="1"/>
  <c r="J7460" i="1"/>
  <c r="N7460" i="1" s="1"/>
  <c r="Y7458" i="1"/>
  <c r="AA7458" i="1" s="1"/>
  <c r="J7458" i="1"/>
  <c r="N7458" i="1" s="1"/>
  <c r="Y7456" i="1"/>
  <c r="AA7456" i="1" s="1"/>
  <c r="J7456" i="1"/>
  <c r="N7456" i="1" s="1"/>
  <c r="Y7454" i="1"/>
  <c r="AA7454" i="1" s="1"/>
  <c r="J7454" i="1"/>
  <c r="N7454" i="1" s="1"/>
  <c r="Y7452" i="1"/>
  <c r="AA7452" i="1" s="1"/>
  <c r="J7452" i="1"/>
  <c r="N7452" i="1" s="1"/>
  <c r="Y7450" i="1"/>
  <c r="AA7450" i="1" s="1"/>
  <c r="J7450" i="1"/>
  <c r="N7450" i="1" s="1"/>
  <c r="Y7448" i="1"/>
  <c r="AA7448" i="1" s="1"/>
  <c r="J7448" i="1"/>
  <c r="N7448" i="1" s="1"/>
  <c r="Y7446" i="1"/>
  <c r="AA7446" i="1" s="1"/>
  <c r="J7446" i="1"/>
  <c r="N7446" i="1" s="1"/>
  <c r="Y7444" i="1"/>
  <c r="AA7444" i="1" s="1"/>
  <c r="J7444" i="1"/>
  <c r="N7444" i="1" s="1"/>
  <c r="Y7442" i="1"/>
  <c r="AA7442" i="1" s="1"/>
  <c r="J7442" i="1"/>
  <c r="N7442" i="1" s="1"/>
  <c r="Y7440" i="1"/>
  <c r="AA7440" i="1" s="1"/>
  <c r="J7440" i="1"/>
  <c r="N7440" i="1" s="1"/>
  <c r="Y7438" i="1"/>
  <c r="AA7438" i="1" s="1"/>
  <c r="J7438" i="1"/>
  <c r="N7438" i="1" s="1"/>
  <c r="Y7436" i="1"/>
  <c r="AA7436" i="1" s="1"/>
  <c r="J7436" i="1"/>
  <c r="N7436" i="1" s="1"/>
  <c r="Y7434" i="1"/>
  <c r="AA7434" i="1" s="1"/>
  <c r="J7434" i="1"/>
  <c r="N7434" i="1" s="1"/>
  <c r="Y7432" i="1"/>
  <c r="AA7432" i="1" s="1"/>
  <c r="J7432" i="1"/>
  <c r="N7432" i="1" s="1"/>
  <c r="Y7430" i="1"/>
  <c r="AA7430" i="1" s="1"/>
  <c r="J7430" i="1"/>
  <c r="N7430" i="1" s="1"/>
  <c r="Y7428" i="1"/>
  <c r="AA7428" i="1" s="1"/>
  <c r="J7428" i="1"/>
  <c r="N7428" i="1" s="1"/>
  <c r="Y7426" i="1"/>
  <c r="AA7426" i="1" s="1"/>
  <c r="J7426" i="1"/>
  <c r="N7426" i="1" s="1"/>
  <c r="Y7424" i="1"/>
  <c r="AA7424" i="1" s="1"/>
  <c r="J7424" i="1"/>
  <c r="N7424" i="1" s="1"/>
  <c r="Y7422" i="1"/>
  <c r="AA7422" i="1" s="1"/>
  <c r="J7422" i="1"/>
  <c r="N7422" i="1" s="1"/>
  <c r="Y7420" i="1"/>
  <c r="AA7420" i="1" s="1"/>
  <c r="N7420" i="1"/>
  <c r="Y7418" i="1"/>
  <c r="AA7418" i="1" s="1"/>
  <c r="Y7416" i="1"/>
  <c r="AA7416" i="1" s="1"/>
  <c r="Y7414" i="1"/>
  <c r="AA7414" i="1" s="1"/>
  <c r="Y7412" i="1"/>
  <c r="AA7412" i="1" s="1"/>
  <c r="Y7410" i="1"/>
  <c r="AA7410" i="1" s="1"/>
  <c r="Y7406" i="1"/>
  <c r="AA7406" i="1" s="1"/>
  <c r="J7406" i="1"/>
  <c r="N7406" i="1" s="1"/>
  <c r="Y7404" i="1"/>
  <c r="AA7404" i="1" s="1"/>
  <c r="J7404" i="1"/>
  <c r="N7404" i="1" s="1"/>
  <c r="Y7402" i="1"/>
  <c r="AA7402" i="1" s="1"/>
  <c r="J7402" i="1"/>
  <c r="N7402" i="1" s="1"/>
  <c r="Y7400" i="1"/>
  <c r="AA7400" i="1" s="1"/>
  <c r="J7400" i="1"/>
  <c r="N7400" i="1" s="1"/>
  <c r="Y7398" i="1"/>
  <c r="AA7398" i="1" s="1"/>
  <c r="J7398" i="1"/>
  <c r="N7398" i="1" s="1"/>
  <c r="Y7396" i="1"/>
  <c r="AA7396" i="1" s="1"/>
  <c r="J7396" i="1"/>
  <c r="N7396" i="1" s="1"/>
  <c r="Y7394" i="1"/>
  <c r="AA7394" i="1" s="1"/>
  <c r="J7394" i="1"/>
  <c r="N7394" i="1" s="1"/>
  <c r="Y7392" i="1"/>
  <c r="AA7392" i="1" s="1"/>
  <c r="J7392" i="1"/>
  <c r="N7392" i="1" s="1"/>
  <c r="Y7390" i="1"/>
  <c r="AA7390" i="1" s="1"/>
  <c r="J7390" i="1"/>
  <c r="N7390" i="1" s="1"/>
  <c r="Y7388" i="1"/>
  <c r="AA7388" i="1" s="1"/>
  <c r="J7388" i="1"/>
  <c r="N7388" i="1" s="1"/>
  <c r="Y7386" i="1"/>
  <c r="AA7386" i="1" s="1"/>
  <c r="J7386" i="1"/>
  <c r="N7386" i="1" s="1"/>
  <c r="Y7384" i="1"/>
  <c r="AA7384" i="1" s="1"/>
  <c r="J7384" i="1"/>
  <c r="N7384" i="1" s="1"/>
  <c r="Y7382" i="1"/>
  <c r="AA7382" i="1" s="1"/>
  <c r="J7382" i="1"/>
  <c r="N7382" i="1" s="1"/>
  <c r="Y7380" i="1"/>
  <c r="AA7380" i="1" s="1"/>
  <c r="J7380" i="1"/>
  <c r="N7380" i="1" s="1"/>
  <c r="Y7378" i="1"/>
  <c r="AA7378" i="1" s="1"/>
  <c r="J7378" i="1"/>
  <c r="N7378" i="1" s="1"/>
  <c r="Y7376" i="1"/>
  <c r="AA7376" i="1" s="1"/>
  <c r="J7376" i="1"/>
  <c r="N7376" i="1" s="1"/>
  <c r="Y7374" i="1"/>
  <c r="AA7374" i="1" s="1"/>
  <c r="J7374" i="1"/>
  <c r="N7374" i="1" s="1"/>
  <c r="Y7372" i="1"/>
  <c r="AA7372" i="1" s="1"/>
  <c r="J7372" i="1"/>
  <c r="N7372" i="1" s="1"/>
  <c r="Y7370" i="1"/>
  <c r="AA7370" i="1" s="1"/>
  <c r="J7370" i="1"/>
  <c r="N7370" i="1" s="1"/>
  <c r="Y7368" i="1"/>
  <c r="AA7368" i="1" s="1"/>
  <c r="J7368" i="1"/>
  <c r="N7368" i="1" s="1"/>
  <c r="Y7366" i="1"/>
  <c r="AA7366" i="1" s="1"/>
  <c r="J7366" i="1"/>
  <c r="N7366" i="1" s="1"/>
  <c r="Y7364" i="1"/>
  <c r="AA7364" i="1" s="1"/>
  <c r="J7364" i="1"/>
  <c r="N7364" i="1" s="1"/>
  <c r="Y7362" i="1"/>
  <c r="AA7362" i="1" s="1"/>
  <c r="J7362" i="1"/>
  <c r="N7362" i="1" s="1"/>
  <c r="Y7360" i="1"/>
  <c r="AA7360" i="1" s="1"/>
  <c r="J7360" i="1"/>
  <c r="N7360" i="1" s="1"/>
  <c r="Y7358" i="1"/>
  <c r="AA7358" i="1" s="1"/>
  <c r="J7358" i="1"/>
  <c r="N7358" i="1" s="1"/>
  <c r="Y7356" i="1"/>
  <c r="AA7356" i="1" s="1"/>
  <c r="J7356" i="1"/>
  <c r="N7356" i="1" s="1"/>
  <c r="Y7354" i="1"/>
  <c r="AA7354" i="1" s="1"/>
  <c r="J7354" i="1"/>
  <c r="N7354" i="1" s="1"/>
  <c r="Y7352" i="1"/>
  <c r="AA7352" i="1" s="1"/>
  <c r="J7352" i="1"/>
  <c r="N7352" i="1" s="1"/>
  <c r="Y7350" i="1"/>
  <c r="AA7350" i="1" s="1"/>
  <c r="J7350" i="1"/>
  <c r="N7350" i="1" s="1"/>
  <c r="Y7348" i="1"/>
  <c r="AA7348" i="1" s="1"/>
  <c r="J7348" i="1"/>
  <c r="N7348" i="1" s="1"/>
  <c r="Y7346" i="1"/>
  <c r="AA7346" i="1" s="1"/>
  <c r="J7346" i="1"/>
  <c r="N7346" i="1" s="1"/>
  <c r="Y7344" i="1"/>
  <c r="AA7344" i="1" s="1"/>
  <c r="J7344" i="1"/>
  <c r="N7344" i="1" s="1"/>
  <c r="Y7342" i="1"/>
  <c r="AA7342" i="1" s="1"/>
  <c r="J7342" i="1"/>
  <c r="N7342" i="1" s="1"/>
  <c r="Y7340" i="1"/>
  <c r="AA7340" i="1" s="1"/>
  <c r="J7340" i="1"/>
  <c r="N7340" i="1" s="1"/>
  <c r="Y7338" i="1"/>
  <c r="AA7338" i="1" s="1"/>
  <c r="J7338" i="1"/>
  <c r="N7338" i="1" s="1"/>
  <c r="Y7336" i="1"/>
  <c r="AA7336" i="1" s="1"/>
  <c r="J7336" i="1"/>
  <c r="N7336" i="1" s="1"/>
  <c r="Y7334" i="1"/>
  <c r="AA7334" i="1" s="1"/>
  <c r="J7334" i="1"/>
  <c r="N7334" i="1" s="1"/>
  <c r="Y7332" i="1"/>
  <c r="AA7332" i="1" s="1"/>
  <c r="J7332" i="1"/>
  <c r="N7332" i="1" s="1"/>
  <c r="Y7330" i="1"/>
  <c r="AA7330" i="1" s="1"/>
  <c r="J7330" i="1"/>
  <c r="N7330" i="1" s="1"/>
  <c r="Y7328" i="1"/>
  <c r="AA7328" i="1" s="1"/>
  <c r="J7328" i="1"/>
  <c r="N7328" i="1" s="1"/>
  <c r="Y7326" i="1"/>
  <c r="AA7326" i="1" s="1"/>
  <c r="J7326" i="1"/>
  <c r="N7326" i="1" s="1"/>
  <c r="Y7324" i="1"/>
  <c r="AA7324" i="1" s="1"/>
  <c r="J7324" i="1"/>
  <c r="N7324" i="1" s="1"/>
  <c r="Y7322" i="1"/>
  <c r="AA7322" i="1" s="1"/>
  <c r="J7322" i="1"/>
  <c r="N7322" i="1" s="1"/>
  <c r="Y7320" i="1"/>
  <c r="AA7320" i="1" s="1"/>
  <c r="J7320" i="1"/>
  <c r="N7320" i="1" s="1"/>
  <c r="Y7318" i="1"/>
  <c r="AA7318" i="1" s="1"/>
  <c r="J7318" i="1"/>
  <c r="N7318" i="1" s="1"/>
  <c r="Y7316" i="1"/>
  <c r="AA7316" i="1" s="1"/>
  <c r="J7316" i="1"/>
  <c r="N7316" i="1" s="1"/>
  <c r="Y7314" i="1"/>
  <c r="AA7314" i="1" s="1"/>
  <c r="J7314" i="1"/>
  <c r="N7314" i="1" s="1"/>
  <c r="Y7312" i="1"/>
  <c r="AA7312" i="1" s="1"/>
  <c r="J7312" i="1"/>
  <c r="N7312" i="1" s="1"/>
  <c r="Y7310" i="1"/>
  <c r="AA7310" i="1" s="1"/>
  <c r="J7310" i="1"/>
  <c r="N7310" i="1" s="1"/>
  <c r="Y7308" i="1"/>
  <c r="AA7308" i="1" s="1"/>
  <c r="J7308" i="1"/>
  <c r="N7308" i="1" s="1"/>
  <c r="Y7306" i="1"/>
  <c r="AA7306" i="1" s="1"/>
  <c r="J7306" i="1"/>
  <c r="N7306" i="1" s="1"/>
  <c r="Y7304" i="1"/>
  <c r="AA7304" i="1" s="1"/>
  <c r="J7304" i="1"/>
  <c r="N7304" i="1" s="1"/>
  <c r="Y7302" i="1"/>
  <c r="AA7302" i="1" s="1"/>
  <c r="J7302" i="1"/>
  <c r="N7302" i="1" s="1"/>
  <c r="Y7300" i="1"/>
  <c r="AA7300" i="1" s="1"/>
  <c r="J7300" i="1"/>
  <c r="N7300" i="1" s="1"/>
  <c r="Y7298" i="1"/>
  <c r="AA7298" i="1" s="1"/>
  <c r="J7298" i="1"/>
  <c r="N7298" i="1" s="1"/>
  <c r="Y7296" i="1"/>
  <c r="AA7296" i="1" s="1"/>
  <c r="J7296" i="1"/>
  <c r="N7296" i="1" s="1"/>
  <c r="Y7294" i="1"/>
  <c r="AA7294" i="1" s="1"/>
  <c r="J7294" i="1"/>
  <c r="N7294" i="1" s="1"/>
  <c r="Y7292" i="1"/>
  <c r="AA7292" i="1" s="1"/>
  <c r="J7292" i="1"/>
  <c r="N7292" i="1" s="1"/>
  <c r="Y7290" i="1"/>
  <c r="AA7290" i="1" s="1"/>
  <c r="J7290" i="1"/>
  <c r="N7290" i="1" s="1"/>
  <c r="Y7288" i="1"/>
  <c r="AA7288" i="1" s="1"/>
  <c r="J7288" i="1"/>
  <c r="N7288" i="1" s="1"/>
  <c r="Y7286" i="1"/>
  <c r="AA7286" i="1" s="1"/>
  <c r="J7286" i="1"/>
  <c r="N7286" i="1" s="1"/>
  <c r="Y7284" i="1"/>
  <c r="AA7284" i="1" s="1"/>
  <c r="J7284" i="1"/>
  <c r="N7284" i="1" s="1"/>
  <c r="Y7282" i="1"/>
  <c r="AA7282" i="1" s="1"/>
  <c r="J7282" i="1"/>
  <c r="N7282" i="1" s="1"/>
  <c r="Y7280" i="1"/>
  <c r="AA7280" i="1" s="1"/>
  <c r="J7280" i="1"/>
  <c r="N7280" i="1" s="1"/>
  <c r="Y7278" i="1"/>
  <c r="AA7278" i="1" s="1"/>
  <c r="J7278" i="1"/>
  <c r="N7278" i="1" s="1"/>
  <c r="Y7276" i="1"/>
  <c r="AA7276" i="1" s="1"/>
  <c r="J7276" i="1"/>
  <c r="N7276" i="1" s="1"/>
  <c r="Y7274" i="1"/>
  <c r="AA7274" i="1" s="1"/>
  <c r="J7274" i="1"/>
  <c r="N7274" i="1" s="1"/>
  <c r="Y7272" i="1"/>
  <c r="AA7272" i="1" s="1"/>
  <c r="J7272" i="1"/>
  <c r="N7272" i="1" s="1"/>
  <c r="Y7270" i="1"/>
  <c r="AA7270" i="1" s="1"/>
  <c r="J7270" i="1"/>
  <c r="N7270" i="1" s="1"/>
  <c r="Y7268" i="1"/>
  <c r="AA7268" i="1" s="1"/>
  <c r="J7268" i="1"/>
  <c r="N7268" i="1" s="1"/>
  <c r="Y7266" i="1"/>
  <c r="AA7266" i="1" s="1"/>
  <c r="J7266" i="1"/>
  <c r="N7266" i="1" s="1"/>
  <c r="Y7264" i="1"/>
  <c r="AA7264" i="1" s="1"/>
  <c r="J7264" i="1"/>
  <c r="N7264" i="1" s="1"/>
  <c r="Y7262" i="1"/>
  <c r="AA7262" i="1" s="1"/>
  <c r="J7262" i="1"/>
  <c r="N7262" i="1" s="1"/>
  <c r="Y7260" i="1"/>
  <c r="AA7260" i="1" s="1"/>
  <c r="J7260" i="1"/>
  <c r="N7260" i="1" s="1"/>
  <c r="Y7258" i="1"/>
  <c r="AA7258" i="1" s="1"/>
  <c r="J7258" i="1"/>
  <c r="N7258" i="1" s="1"/>
  <c r="Y7256" i="1"/>
  <c r="AA7256" i="1" s="1"/>
  <c r="J7256" i="1"/>
  <c r="N7256" i="1" s="1"/>
  <c r="Y7254" i="1"/>
  <c r="AA7254" i="1" s="1"/>
  <c r="J7254" i="1"/>
  <c r="N7254" i="1" s="1"/>
  <c r="Y7252" i="1"/>
  <c r="AA7252" i="1" s="1"/>
  <c r="J7252" i="1"/>
  <c r="N7252" i="1" s="1"/>
  <c r="Y7250" i="1"/>
  <c r="AA7250" i="1" s="1"/>
  <c r="J7250" i="1"/>
  <c r="N7250" i="1" s="1"/>
  <c r="Y7248" i="1"/>
  <c r="AA7248" i="1" s="1"/>
  <c r="J7248" i="1"/>
  <c r="N7248" i="1" s="1"/>
  <c r="Y7246" i="1"/>
  <c r="AA7246" i="1" s="1"/>
  <c r="J7246" i="1"/>
  <c r="N7246" i="1" s="1"/>
  <c r="Y7244" i="1"/>
  <c r="AA7244" i="1" s="1"/>
  <c r="J7244" i="1"/>
  <c r="N7244" i="1" s="1"/>
  <c r="Y7242" i="1"/>
  <c r="AA7242" i="1" s="1"/>
  <c r="J7242" i="1"/>
  <c r="N7242" i="1" s="1"/>
  <c r="Y7240" i="1"/>
  <c r="AA7240" i="1" s="1"/>
  <c r="J7240" i="1"/>
  <c r="N7240" i="1" s="1"/>
  <c r="Y7238" i="1"/>
  <c r="AA7238" i="1" s="1"/>
  <c r="J7238" i="1"/>
  <c r="N7238" i="1" s="1"/>
  <c r="Y7236" i="1"/>
  <c r="AA7236" i="1" s="1"/>
  <c r="J7236" i="1"/>
  <c r="N7236" i="1" s="1"/>
  <c r="Y7234" i="1"/>
  <c r="AA7234" i="1" s="1"/>
  <c r="J7234" i="1"/>
  <c r="N7234" i="1" s="1"/>
  <c r="Y7232" i="1"/>
  <c r="AA7232" i="1" s="1"/>
  <c r="J7232" i="1"/>
  <c r="N7232" i="1" s="1"/>
  <c r="Y7230" i="1"/>
  <c r="AA7230" i="1" s="1"/>
  <c r="J7230" i="1"/>
  <c r="N7230" i="1" s="1"/>
  <c r="Y7228" i="1"/>
  <c r="AA7228" i="1" s="1"/>
  <c r="J7228" i="1"/>
  <c r="N7228" i="1" s="1"/>
  <c r="Y7226" i="1"/>
  <c r="AA7226" i="1" s="1"/>
  <c r="J7226" i="1"/>
  <c r="N7226" i="1" s="1"/>
  <c r="Y7224" i="1"/>
  <c r="AA7224" i="1" s="1"/>
  <c r="J7224" i="1"/>
  <c r="N7224" i="1" s="1"/>
  <c r="Y7222" i="1"/>
  <c r="AA7222" i="1" s="1"/>
  <c r="J7222" i="1"/>
  <c r="N7222" i="1" s="1"/>
  <c r="Y7220" i="1"/>
  <c r="AA7220" i="1" s="1"/>
  <c r="J7220" i="1"/>
  <c r="N7220" i="1" s="1"/>
  <c r="Y7218" i="1"/>
  <c r="AA7218" i="1" s="1"/>
  <c r="J7218" i="1"/>
  <c r="N7218" i="1" s="1"/>
  <c r="Y7216" i="1"/>
  <c r="AA7216" i="1" s="1"/>
  <c r="J7216" i="1"/>
  <c r="N7216" i="1" s="1"/>
  <c r="Y7214" i="1"/>
  <c r="AA7214" i="1" s="1"/>
  <c r="J7214" i="1"/>
  <c r="N7214" i="1" s="1"/>
  <c r="Y7212" i="1"/>
  <c r="AA7212" i="1" s="1"/>
  <c r="J7212" i="1"/>
  <c r="N7212" i="1" s="1"/>
  <c r="Y7210" i="1"/>
  <c r="AA7210" i="1" s="1"/>
  <c r="J7210" i="1"/>
  <c r="N7210" i="1" s="1"/>
  <c r="Y7208" i="1"/>
  <c r="AA7208" i="1" s="1"/>
  <c r="J7208" i="1"/>
  <c r="N7208" i="1" s="1"/>
  <c r="Y7206" i="1"/>
  <c r="AA7206" i="1" s="1"/>
  <c r="J7206" i="1"/>
  <c r="N7206" i="1" s="1"/>
  <c r="Y7204" i="1"/>
  <c r="AA7204" i="1" s="1"/>
  <c r="J7204" i="1"/>
  <c r="N7204" i="1" s="1"/>
  <c r="Y7202" i="1"/>
  <c r="AA7202" i="1" s="1"/>
  <c r="J7202" i="1"/>
  <c r="N7202" i="1" s="1"/>
  <c r="Y7200" i="1"/>
  <c r="AA7200" i="1" s="1"/>
  <c r="J7200" i="1"/>
  <c r="N7200" i="1" s="1"/>
  <c r="Y7194" i="1"/>
  <c r="AA7194" i="1" s="1"/>
  <c r="J7194" i="1"/>
  <c r="N7194" i="1" s="1"/>
  <c r="Y7192" i="1"/>
  <c r="AA7192" i="1" s="1"/>
  <c r="J7192" i="1"/>
  <c r="N7192" i="1" s="1"/>
  <c r="Y7190" i="1"/>
  <c r="AA7190" i="1" s="1"/>
  <c r="J7190" i="1"/>
  <c r="N7190" i="1" s="1"/>
  <c r="Y7188" i="1"/>
  <c r="AA7188" i="1" s="1"/>
  <c r="J7188" i="1"/>
  <c r="N7188" i="1" s="1"/>
  <c r="Y7186" i="1"/>
  <c r="AA7186" i="1" s="1"/>
  <c r="J7186" i="1"/>
  <c r="N7186" i="1" s="1"/>
  <c r="Y7184" i="1"/>
  <c r="AA7184" i="1" s="1"/>
  <c r="J7184" i="1"/>
  <c r="N7184" i="1" s="1"/>
  <c r="Y7182" i="1"/>
  <c r="AA7182" i="1" s="1"/>
  <c r="J7182" i="1"/>
  <c r="N7182" i="1" s="1"/>
  <c r="Y7180" i="1"/>
  <c r="AA7180" i="1" s="1"/>
  <c r="J7180" i="1"/>
  <c r="N7180" i="1" s="1"/>
  <c r="Y7178" i="1"/>
  <c r="AA7178" i="1" s="1"/>
  <c r="J7178" i="1"/>
  <c r="N7178" i="1" s="1"/>
  <c r="Y7176" i="1"/>
  <c r="AA7176" i="1" s="1"/>
  <c r="J7176" i="1"/>
  <c r="N7176" i="1" s="1"/>
  <c r="Y7174" i="1"/>
  <c r="AA7174" i="1" s="1"/>
  <c r="J7174" i="1"/>
  <c r="N7174" i="1" s="1"/>
  <c r="Y7172" i="1"/>
  <c r="AA7172" i="1" s="1"/>
  <c r="J7172" i="1"/>
  <c r="N7172" i="1" s="1"/>
  <c r="Y7170" i="1"/>
  <c r="AA7170" i="1" s="1"/>
  <c r="J7170" i="1"/>
  <c r="N7170" i="1" s="1"/>
  <c r="Y7168" i="1"/>
  <c r="AA7168" i="1" s="1"/>
  <c r="J7168" i="1"/>
  <c r="N7168" i="1" s="1"/>
  <c r="Y7166" i="1"/>
  <c r="AA7166" i="1" s="1"/>
  <c r="J7166" i="1"/>
  <c r="N7166" i="1" s="1"/>
  <c r="Y7164" i="1"/>
  <c r="AA7164" i="1" s="1"/>
  <c r="J7164" i="1"/>
  <c r="N7164" i="1" s="1"/>
  <c r="Y7162" i="1"/>
  <c r="AA7162" i="1" s="1"/>
  <c r="J7162" i="1"/>
  <c r="N7162" i="1" s="1"/>
  <c r="Y7160" i="1"/>
  <c r="AA7160" i="1" s="1"/>
  <c r="J7160" i="1"/>
  <c r="N7160" i="1" s="1"/>
  <c r="I7046" i="1"/>
  <c r="J7046" i="1" s="1"/>
  <c r="N7046" i="1" s="1"/>
  <c r="I7044" i="1"/>
  <c r="J7044" i="1" s="1"/>
  <c r="N7044" i="1" s="1"/>
  <c r="I7040" i="1"/>
  <c r="J7040" i="1" s="1"/>
  <c r="N7040" i="1" s="1"/>
  <c r="K6978" i="1"/>
  <c r="I6918" i="1"/>
  <c r="J6918" i="1" s="1"/>
  <c r="N6918" i="1" s="1"/>
  <c r="I6916" i="1"/>
  <c r="J6916" i="1" s="1"/>
  <c r="N6916" i="1" s="1"/>
  <c r="I6914" i="1"/>
  <c r="J6914" i="1" s="1"/>
  <c r="N6914" i="1" s="1"/>
  <c r="I6912" i="1"/>
  <c r="J6912" i="1" s="1"/>
  <c r="N6912" i="1" s="1"/>
  <c r="I6910" i="1"/>
  <c r="J6910" i="1" s="1"/>
  <c r="N6910" i="1" s="1"/>
  <c r="Y5382" i="1"/>
  <c r="Y6566" i="1"/>
  <c r="AA6566" i="1" s="1"/>
  <c r="Y7158" i="1"/>
  <c r="AA7158" i="1" s="1"/>
  <c r="J7158" i="1"/>
  <c r="N7158" i="1" s="1"/>
  <c r="Y7156" i="1"/>
  <c r="AA7156" i="1" s="1"/>
  <c r="J7156" i="1"/>
  <c r="N7156" i="1" s="1"/>
  <c r="Y7154" i="1"/>
  <c r="AA7154" i="1" s="1"/>
  <c r="J7154" i="1"/>
  <c r="N7154" i="1" s="1"/>
  <c r="Y7152" i="1"/>
  <c r="AA7152" i="1" s="1"/>
  <c r="J7152" i="1"/>
  <c r="N7152" i="1" s="1"/>
  <c r="Y7150" i="1"/>
  <c r="AA7150" i="1" s="1"/>
  <c r="J7150" i="1"/>
  <c r="N7150" i="1" s="1"/>
  <c r="Y7148" i="1"/>
  <c r="AA7148" i="1" s="1"/>
  <c r="Y7146" i="1"/>
  <c r="AA7146" i="1" s="1"/>
  <c r="Y7144" i="1"/>
  <c r="AA7144" i="1" s="1"/>
  <c r="J7144" i="1"/>
  <c r="N7144" i="1" s="1"/>
  <c r="Y7142" i="1"/>
  <c r="AA7142" i="1" s="1"/>
  <c r="J7142" i="1"/>
  <c r="N7142" i="1" s="1"/>
  <c r="Y7140" i="1"/>
  <c r="AA7140" i="1" s="1"/>
  <c r="J7140" i="1"/>
  <c r="N7140" i="1" s="1"/>
  <c r="Y7138" i="1"/>
  <c r="AA7138" i="1" s="1"/>
  <c r="J7138" i="1"/>
  <c r="N7138" i="1" s="1"/>
  <c r="Y7136" i="1"/>
  <c r="AA7136" i="1" s="1"/>
  <c r="J7136" i="1"/>
  <c r="N7136" i="1" s="1"/>
  <c r="Y7134" i="1"/>
  <c r="AA7134" i="1" s="1"/>
  <c r="J7134" i="1"/>
  <c r="N7134" i="1" s="1"/>
  <c r="Y7132" i="1"/>
  <c r="AA7132" i="1" s="1"/>
  <c r="J7132" i="1"/>
  <c r="N7132" i="1" s="1"/>
  <c r="Y7130" i="1"/>
  <c r="AA7130" i="1" s="1"/>
  <c r="N7130" i="1"/>
  <c r="Y7128" i="1"/>
  <c r="AA7128" i="1" s="1"/>
  <c r="N7128" i="1"/>
  <c r="Y7126" i="1"/>
  <c r="AA7126" i="1" s="1"/>
  <c r="J7126" i="1"/>
  <c r="N7126" i="1" s="1"/>
  <c r="Y7124" i="1"/>
  <c r="AA7124" i="1" s="1"/>
  <c r="J7124" i="1"/>
  <c r="N7124" i="1" s="1"/>
  <c r="Y7122" i="1"/>
  <c r="AA7122" i="1" s="1"/>
  <c r="J7122" i="1"/>
  <c r="N7122" i="1" s="1"/>
  <c r="Y7120" i="1"/>
  <c r="AA7120" i="1" s="1"/>
  <c r="J7120" i="1"/>
  <c r="N7120" i="1" s="1"/>
  <c r="Y7118" i="1"/>
  <c r="AA7118" i="1" s="1"/>
  <c r="J7118" i="1"/>
  <c r="N7118" i="1" s="1"/>
  <c r="Y7116" i="1"/>
  <c r="AA7116" i="1" s="1"/>
  <c r="J7116" i="1"/>
  <c r="N7116" i="1" s="1"/>
  <c r="Y7114" i="1"/>
  <c r="AA7114" i="1" s="1"/>
  <c r="J7114" i="1"/>
  <c r="N7114" i="1" s="1"/>
  <c r="Y7112" i="1"/>
  <c r="AA7112" i="1" s="1"/>
  <c r="J7112" i="1"/>
  <c r="N7112" i="1" s="1"/>
  <c r="Y7110" i="1"/>
  <c r="AA7110" i="1" s="1"/>
  <c r="J7110" i="1"/>
  <c r="N7110" i="1" s="1"/>
  <c r="Y7108" i="1"/>
  <c r="AA7108" i="1" s="1"/>
  <c r="J7108" i="1"/>
  <c r="N7108" i="1" s="1"/>
  <c r="Y7106" i="1"/>
  <c r="AA7106" i="1" s="1"/>
  <c r="J7106" i="1"/>
  <c r="N7106" i="1" s="1"/>
  <c r="Y7104" i="1"/>
  <c r="AA7104" i="1" s="1"/>
  <c r="J7104" i="1"/>
  <c r="N7104" i="1" s="1"/>
  <c r="Y7102" i="1"/>
  <c r="AA7102" i="1" s="1"/>
  <c r="J7102" i="1"/>
  <c r="N7102" i="1" s="1"/>
  <c r="Y7100" i="1"/>
  <c r="AA7100" i="1" s="1"/>
  <c r="J7100" i="1"/>
  <c r="N7100" i="1" s="1"/>
  <c r="Y7098" i="1"/>
  <c r="AA7098" i="1" s="1"/>
  <c r="J7098" i="1"/>
  <c r="N7098" i="1" s="1"/>
  <c r="Y7096" i="1"/>
  <c r="AA7096" i="1" s="1"/>
  <c r="J7096" i="1"/>
  <c r="N7096" i="1" s="1"/>
  <c r="Y7094" i="1"/>
  <c r="AA7094" i="1" s="1"/>
  <c r="J7094" i="1"/>
  <c r="N7094" i="1" s="1"/>
  <c r="Y7092" i="1"/>
  <c r="AA7092" i="1" s="1"/>
  <c r="J7092" i="1"/>
  <c r="N7092" i="1" s="1"/>
  <c r="Y7090" i="1"/>
  <c r="AA7090" i="1" s="1"/>
  <c r="J7090" i="1"/>
  <c r="N7090" i="1" s="1"/>
  <c r="Y7088" i="1"/>
  <c r="AA7088" i="1" s="1"/>
  <c r="J7088" i="1"/>
  <c r="N7088" i="1" s="1"/>
  <c r="Y7086" i="1"/>
  <c r="AA7086" i="1" s="1"/>
  <c r="J7086" i="1"/>
  <c r="N7086" i="1" s="1"/>
  <c r="Y7084" i="1"/>
  <c r="AA7084" i="1" s="1"/>
  <c r="J7084" i="1"/>
  <c r="N7084" i="1" s="1"/>
  <c r="Y7082" i="1"/>
  <c r="AA7082" i="1" s="1"/>
  <c r="J7082" i="1"/>
  <c r="N7082" i="1" s="1"/>
  <c r="Y7080" i="1"/>
  <c r="AA7080" i="1" s="1"/>
  <c r="J7080" i="1"/>
  <c r="N7080" i="1" s="1"/>
  <c r="Y7078" i="1"/>
  <c r="AA7078" i="1" s="1"/>
  <c r="J7078" i="1"/>
  <c r="N7078" i="1" s="1"/>
  <c r="Y7076" i="1"/>
  <c r="AA7076" i="1" s="1"/>
  <c r="J7076" i="1"/>
  <c r="N7076" i="1" s="1"/>
  <c r="Y7074" i="1"/>
  <c r="AA7074" i="1" s="1"/>
  <c r="J7074" i="1"/>
  <c r="N7074" i="1" s="1"/>
  <c r="Y7072" i="1"/>
  <c r="AA7072" i="1" s="1"/>
  <c r="J7072" i="1"/>
  <c r="N7072" i="1" s="1"/>
  <c r="Y7070" i="1"/>
  <c r="AA7070" i="1" s="1"/>
  <c r="J7070" i="1"/>
  <c r="N7070" i="1" s="1"/>
  <c r="Y7068" i="1"/>
  <c r="AA7068" i="1" s="1"/>
  <c r="J7068" i="1"/>
  <c r="N7068" i="1" s="1"/>
  <c r="Y7066" i="1"/>
  <c r="AA7066" i="1" s="1"/>
  <c r="J7066" i="1"/>
  <c r="N7066" i="1" s="1"/>
  <c r="Y7064" i="1"/>
  <c r="AA7064" i="1" s="1"/>
  <c r="J7064" i="1"/>
  <c r="N7064" i="1" s="1"/>
  <c r="Y7062" i="1"/>
  <c r="AA7062" i="1" s="1"/>
  <c r="J7062" i="1"/>
  <c r="N7062" i="1" s="1"/>
  <c r="Y7060" i="1"/>
  <c r="AA7060" i="1" s="1"/>
  <c r="J7060" i="1"/>
  <c r="N7060" i="1" s="1"/>
  <c r="Y7058" i="1"/>
  <c r="AA7058" i="1" s="1"/>
  <c r="J7058" i="1"/>
  <c r="N7058" i="1" s="1"/>
  <c r="Y7056" i="1"/>
  <c r="AA7056" i="1" s="1"/>
  <c r="J7056" i="1"/>
  <c r="N7056" i="1" s="1"/>
  <c r="Y7054" i="1"/>
  <c r="AA7054" i="1" s="1"/>
  <c r="J7054" i="1"/>
  <c r="N7054" i="1" s="1"/>
  <c r="Y7052" i="1"/>
  <c r="AA7052" i="1" s="1"/>
  <c r="J7052" i="1"/>
  <c r="N7052" i="1" s="1"/>
  <c r="Y7050" i="1"/>
  <c r="AA7050" i="1" s="1"/>
  <c r="J7050" i="1"/>
  <c r="N7050" i="1" s="1"/>
  <c r="Y7048" i="1"/>
  <c r="AA7048" i="1" s="1"/>
  <c r="J7048" i="1"/>
  <c r="N7048" i="1" s="1"/>
  <c r="Y7046" i="1"/>
  <c r="AA7046" i="1" s="1"/>
  <c r="Y7044" i="1"/>
  <c r="AA7044" i="1" s="1"/>
  <c r="Y7042" i="1"/>
  <c r="AA7042" i="1" s="1"/>
  <c r="N7042" i="1"/>
  <c r="Y7040" i="1"/>
  <c r="AA7040" i="1" s="1"/>
  <c r="Y7038" i="1"/>
  <c r="AA7038" i="1" s="1"/>
  <c r="J7038" i="1"/>
  <c r="N7038" i="1" s="1"/>
  <c r="Y7036" i="1"/>
  <c r="AA7036" i="1" s="1"/>
  <c r="J7036" i="1"/>
  <c r="N7036" i="1" s="1"/>
  <c r="Y7034" i="1"/>
  <c r="AA7034" i="1" s="1"/>
  <c r="J7034" i="1"/>
  <c r="N7034" i="1" s="1"/>
  <c r="Y7032" i="1"/>
  <c r="AA7032" i="1" s="1"/>
  <c r="J7032" i="1"/>
  <c r="N7032" i="1" s="1"/>
  <c r="Y7030" i="1"/>
  <c r="AA7030" i="1" s="1"/>
  <c r="J7030" i="1"/>
  <c r="N7030" i="1" s="1"/>
  <c r="Y7028" i="1"/>
  <c r="AA7028" i="1" s="1"/>
  <c r="J7028" i="1"/>
  <c r="N7028" i="1" s="1"/>
  <c r="Y7026" i="1"/>
  <c r="AA7026" i="1" s="1"/>
  <c r="J7026" i="1"/>
  <c r="N7026" i="1" s="1"/>
  <c r="Y7024" i="1"/>
  <c r="AA7024" i="1" s="1"/>
  <c r="J7024" i="1"/>
  <c r="N7024" i="1" s="1"/>
  <c r="Y7022" i="1"/>
  <c r="AA7022" i="1" s="1"/>
  <c r="J7022" i="1"/>
  <c r="N7022" i="1" s="1"/>
  <c r="Y7020" i="1"/>
  <c r="AA7020" i="1" s="1"/>
  <c r="J7020" i="1"/>
  <c r="N7020" i="1" s="1"/>
  <c r="Y7018" i="1"/>
  <c r="AA7018" i="1" s="1"/>
  <c r="J7018" i="1"/>
  <c r="N7018" i="1" s="1"/>
  <c r="Y7016" i="1"/>
  <c r="AA7016" i="1" s="1"/>
  <c r="J7016" i="1"/>
  <c r="N7016" i="1" s="1"/>
  <c r="Y7014" i="1"/>
  <c r="AA7014" i="1" s="1"/>
  <c r="J7014" i="1"/>
  <c r="N7014" i="1" s="1"/>
  <c r="Y7012" i="1"/>
  <c r="AA7012" i="1" s="1"/>
  <c r="J7012" i="1"/>
  <c r="N7012" i="1" s="1"/>
  <c r="Y7010" i="1"/>
  <c r="AA7010" i="1" s="1"/>
  <c r="J7010" i="1"/>
  <c r="N7010" i="1" s="1"/>
  <c r="Y7008" i="1"/>
  <c r="AA7008" i="1" s="1"/>
  <c r="J7008" i="1"/>
  <c r="N7008" i="1" s="1"/>
  <c r="Y7006" i="1"/>
  <c r="AA7006" i="1" s="1"/>
  <c r="J7006" i="1"/>
  <c r="N7006" i="1" s="1"/>
  <c r="Y7004" i="1"/>
  <c r="AA7004" i="1" s="1"/>
  <c r="J7004" i="1"/>
  <c r="N7004" i="1" s="1"/>
  <c r="Y7002" i="1"/>
  <c r="AA7002" i="1" s="1"/>
  <c r="J7002" i="1"/>
  <c r="N7002" i="1" s="1"/>
  <c r="Y7000" i="1"/>
  <c r="AA7000" i="1" s="1"/>
  <c r="J7000" i="1"/>
  <c r="N7000" i="1" s="1"/>
  <c r="Y6998" i="1"/>
  <c r="AA6998" i="1" s="1"/>
  <c r="J6998" i="1"/>
  <c r="N6998" i="1" s="1"/>
  <c r="Y6996" i="1"/>
  <c r="AA6996" i="1" s="1"/>
  <c r="J6996" i="1"/>
  <c r="N6996" i="1" s="1"/>
  <c r="Y6994" i="1"/>
  <c r="AA6994" i="1" s="1"/>
  <c r="J6994" i="1"/>
  <c r="N6994" i="1" s="1"/>
  <c r="Y6992" i="1"/>
  <c r="AA6992" i="1" s="1"/>
  <c r="J6992" i="1"/>
  <c r="N6992" i="1" s="1"/>
  <c r="Y6990" i="1"/>
  <c r="AA6990" i="1" s="1"/>
  <c r="J6990" i="1"/>
  <c r="N6990" i="1" s="1"/>
  <c r="Y6988" i="1"/>
  <c r="AA6988" i="1" s="1"/>
  <c r="J6988" i="1"/>
  <c r="N6988" i="1" s="1"/>
  <c r="Y6986" i="1"/>
  <c r="AA6986" i="1" s="1"/>
  <c r="J6986" i="1"/>
  <c r="N6986" i="1" s="1"/>
  <c r="Y6984" i="1"/>
  <c r="AA6984" i="1" s="1"/>
  <c r="J6984" i="1"/>
  <c r="N6984" i="1" s="1"/>
  <c r="Y6982" i="1"/>
  <c r="AA6982" i="1" s="1"/>
  <c r="J6982" i="1"/>
  <c r="N6982" i="1" s="1"/>
  <c r="Y6980" i="1"/>
  <c r="AA6980" i="1" s="1"/>
  <c r="J6980" i="1"/>
  <c r="N6980" i="1" s="1"/>
  <c r="Y6978" i="1"/>
  <c r="AA6978" i="1" s="1"/>
  <c r="J6978" i="1"/>
  <c r="Y6976" i="1"/>
  <c r="AA6976" i="1" s="1"/>
  <c r="J6976" i="1"/>
  <c r="N6976" i="1" s="1"/>
  <c r="Y6974" i="1"/>
  <c r="AA6974" i="1" s="1"/>
  <c r="J6974" i="1"/>
  <c r="N6974" i="1" s="1"/>
  <c r="Y6972" i="1"/>
  <c r="AA6972" i="1" s="1"/>
  <c r="J6972" i="1"/>
  <c r="N6972" i="1" s="1"/>
  <c r="Y6970" i="1"/>
  <c r="AA6970" i="1" s="1"/>
  <c r="J6970" i="1"/>
  <c r="N6970" i="1" s="1"/>
  <c r="Y6968" i="1"/>
  <c r="AA6968" i="1" s="1"/>
  <c r="J6968" i="1"/>
  <c r="N6968" i="1" s="1"/>
  <c r="Y6966" i="1"/>
  <c r="AA6966" i="1" s="1"/>
  <c r="J6966" i="1"/>
  <c r="N6966" i="1" s="1"/>
  <c r="Y6964" i="1"/>
  <c r="AA6964" i="1" s="1"/>
  <c r="N6964" i="1"/>
  <c r="Y6962" i="1"/>
  <c r="AA6962" i="1" s="1"/>
  <c r="J6962" i="1"/>
  <c r="N6962" i="1" s="1"/>
  <c r="Y6960" i="1"/>
  <c r="AA6960" i="1" s="1"/>
  <c r="J6960" i="1"/>
  <c r="N6960" i="1" s="1"/>
  <c r="Y6958" i="1"/>
  <c r="AA6958" i="1" s="1"/>
  <c r="J6958" i="1"/>
  <c r="N6958" i="1" s="1"/>
  <c r="Y6956" i="1"/>
  <c r="AA6956" i="1" s="1"/>
  <c r="J6956" i="1"/>
  <c r="N6956" i="1" s="1"/>
  <c r="Y6954" i="1"/>
  <c r="AA6954" i="1" s="1"/>
  <c r="J6954" i="1"/>
  <c r="N6954" i="1" s="1"/>
  <c r="Y6952" i="1"/>
  <c r="AA6952" i="1" s="1"/>
  <c r="J6952" i="1"/>
  <c r="N6952" i="1" s="1"/>
  <c r="Y6950" i="1"/>
  <c r="AA6950" i="1" s="1"/>
  <c r="J6950" i="1"/>
  <c r="N6950" i="1" s="1"/>
  <c r="Y6948" i="1"/>
  <c r="AA6948" i="1" s="1"/>
  <c r="J6948" i="1"/>
  <c r="N6948" i="1" s="1"/>
  <c r="Y6946" i="1"/>
  <c r="AA6946" i="1" s="1"/>
  <c r="J6946" i="1"/>
  <c r="N6946" i="1" s="1"/>
  <c r="Y6944" i="1"/>
  <c r="AA6944" i="1" s="1"/>
  <c r="J6944" i="1"/>
  <c r="N6944" i="1" s="1"/>
  <c r="Y6942" i="1"/>
  <c r="AA6942" i="1" s="1"/>
  <c r="J6942" i="1"/>
  <c r="N6942" i="1" s="1"/>
  <c r="Y6940" i="1"/>
  <c r="AA6940" i="1" s="1"/>
  <c r="J6940" i="1"/>
  <c r="N6940" i="1" s="1"/>
  <c r="Y6938" i="1"/>
  <c r="AA6938" i="1" s="1"/>
  <c r="J6938" i="1"/>
  <c r="N6938" i="1" s="1"/>
  <c r="Y6936" i="1"/>
  <c r="AA6936" i="1" s="1"/>
  <c r="J6936" i="1"/>
  <c r="N6936" i="1" s="1"/>
  <c r="Y6934" i="1"/>
  <c r="AA6934" i="1" s="1"/>
  <c r="J6934" i="1"/>
  <c r="N6934" i="1" s="1"/>
  <c r="Y6932" i="1"/>
  <c r="AA6932" i="1" s="1"/>
  <c r="J6932" i="1"/>
  <c r="N6932" i="1" s="1"/>
  <c r="Y6930" i="1"/>
  <c r="AA6930" i="1" s="1"/>
  <c r="J6930" i="1"/>
  <c r="N6930" i="1" s="1"/>
  <c r="Y6928" i="1"/>
  <c r="AA6928" i="1" s="1"/>
  <c r="J6928" i="1"/>
  <c r="N6928" i="1" s="1"/>
  <c r="Y6926" i="1"/>
  <c r="AA6926" i="1" s="1"/>
  <c r="J6926" i="1"/>
  <c r="N6926" i="1" s="1"/>
  <c r="Y6924" i="1"/>
  <c r="AA6924" i="1" s="1"/>
  <c r="J6924" i="1"/>
  <c r="N6924" i="1" s="1"/>
  <c r="Y6922" i="1"/>
  <c r="AA6922" i="1" s="1"/>
  <c r="J6922" i="1"/>
  <c r="N6922" i="1" s="1"/>
  <c r="Y6920" i="1"/>
  <c r="AA6920" i="1" s="1"/>
  <c r="N6920" i="1"/>
  <c r="Y6918" i="1"/>
  <c r="AA6918" i="1" s="1"/>
  <c r="Y6916" i="1"/>
  <c r="AA6916" i="1" s="1"/>
  <c r="Y6912" i="1"/>
  <c r="AA6912" i="1" s="1"/>
  <c r="Y6910" i="1"/>
  <c r="AA6910" i="1" s="1"/>
  <c r="Y6908" i="1"/>
  <c r="AA6908" i="1" s="1"/>
  <c r="J6908" i="1"/>
  <c r="N6908" i="1" s="1"/>
  <c r="Y6906" i="1"/>
  <c r="AA6906" i="1" s="1"/>
  <c r="J6906" i="1"/>
  <c r="N6906" i="1" s="1"/>
  <c r="Y6904" i="1"/>
  <c r="AA6904" i="1" s="1"/>
  <c r="J6904" i="1"/>
  <c r="N6904" i="1" s="1"/>
  <c r="Y6902" i="1"/>
  <c r="AA6902" i="1" s="1"/>
  <c r="J6902" i="1"/>
  <c r="N6902" i="1" s="1"/>
  <c r="Y6900" i="1"/>
  <c r="AA6900" i="1" s="1"/>
  <c r="J6900" i="1"/>
  <c r="N6900" i="1" s="1"/>
  <c r="Y6898" i="1"/>
  <c r="AA6898" i="1" s="1"/>
  <c r="J6898" i="1"/>
  <c r="N6898" i="1" s="1"/>
  <c r="Y6896" i="1"/>
  <c r="AA6896" i="1" s="1"/>
  <c r="J6896" i="1"/>
  <c r="N6896" i="1" s="1"/>
  <c r="Y6894" i="1"/>
  <c r="AA6894" i="1" s="1"/>
  <c r="J6894" i="1"/>
  <c r="N6894" i="1" s="1"/>
  <c r="Y6892" i="1"/>
  <c r="AA6892" i="1" s="1"/>
  <c r="J6892" i="1"/>
  <c r="N6892" i="1" s="1"/>
  <c r="Y6890" i="1"/>
  <c r="AA6890" i="1" s="1"/>
  <c r="J6890" i="1"/>
  <c r="N6890" i="1" s="1"/>
  <c r="Y6888" i="1"/>
  <c r="AA6888" i="1" s="1"/>
  <c r="J6888" i="1"/>
  <c r="N6888" i="1" s="1"/>
  <c r="Y6886" i="1"/>
  <c r="AA6886" i="1" s="1"/>
  <c r="J6886" i="1"/>
  <c r="N6886" i="1" s="1"/>
  <c r="Y6884" i="1"/>
  <c r="AA6884" i="1" s="1"/>
  <c r="J6884" i="1"/>
  <c r="N6884" i="1" s="1"/>
  <c r="Y6882" i="1"/>
  <c r="AA6882" i="1" s="1"/>
  <c r="J6882" i="1"/>
  <c r="N6882" i="1" s="1"/>
  <c r="Y6880" i="1"/>
  <c r="AA6880" i="1" s="1"/>
  <c r="J6880" i="1"/>
  <c r="N6880" i="1" s="1"/>
  <c r="J6830" i="1"/>
  <c r="N6830" i="1" s="1"/>
  <c r="Y6692" i="1"/>
  <c r="AA6692" i="1" s="1"/>
  <c r="J6692" i="1"/>
  <c r="N6692" i="1" s="1"/>
  <c r="K6674" i="1"/>
  <c r="K6662" i="1"/>
  <c r="K6660" i="1"/>
  <c r="K6658" i="1"/>
  <c r="Y6674" i="1"/>
  <c r="AA6674" i="1" s="1"/>
  <c r="J6674" i="1"/>
  <c r="Y6878" i="1"/>
  <c r="AA6878" i="1" s="1"/>
  <c r="J6878" i="1"/>
  <c r="N6878" i="1" s="1"/>
  <c r="Y6876" i="1"/>
  <c r="AA6876" i="1" s="1"/>
  <c r="J6876" i="1"/>
  <c r="N6876" i="1" s="1"/>
  <c r="Y6874" i="1"/>
  <c r="AA6874" i="1" s="1"/>
  <c r="J6874" i="1"/>
  <c r="N6874" i="1" s="1"/>
  <c r="Y6872" i="1"/>
  <c r="AA6872" i="1" s="1"/>
  <c r="J6872" i="1"/>
  <c r="N6872" i="1" s="1"/>
  <c r="Y6870" i="1"/>
  <c r="AA6870" i="1" s="1"/>
  <c r="J6870" i="1"/>
  <c r="N6870" i="1" s="1"/>
  <c r="Y6868" i="1"/>
  <c r="AA6868" i="1" s="1"/>
  <c r="J6868" i="1"/>
  <c r="N6868" i="1" s="1"/>
  <c r="Y6866" i="1"/>
  <c r="AA6866" i="1" s="1"/>
  <c r="J6866" i="1"/>
  <c r="N6866" i="1" s="1"/>
  <c r="Y6864" i="1"/>
  <c r="AA6864" i="1" s="1"/>
  <c r="J6864" i="1"/>
  <c r="N6864" i="1" s="1"/>
  <c r="Y6862" i="1"/>
  <c r="AA6862" i="1" s="1"/>
  <c r="J6862" i="1"/>
  <c r="N6862" i="1" s="1"/>
  <c r="Y6860" i="1"/>
  <c r="AA6860" i="1" s="1"/>
  <c r="J6860" i="1"/>
  <c r="N6860" i="1" s="1"/>
  <c r="Y6858" i="1"/>
  <c r="AA6858" i="1" s="1"/>
  <c r="J6858" i="1"/>
  <c r="N6858" i="1" s="1"/>
  <c r="Y6856" i="1"/>
  <c r="AA6856" i="1" s="1"/>
  <c r="J6856" i="1"/>
  <c r="N6856" i="1" s="1"/>
  <c r="Y6854" i="1"/>
  <c r="AA6854" i="1" s="1"/>
  <c r="J6854" i="1"/>
  <c r="N6854" i="1" s="1"/>
  <c r="Y6852" i="1"/>
  <c r="AA6852" i="1" s="1"/>
  <c r="J6852" i="1"/>
  <c r="N6852" i="1" s="1"/>
  <c r="Y6850" i="1"/>
  <c r="AA6850" i="1" s="1"/>
  <c r="J6850" i="1"/>
  <c r="N6850" i="1" s="1"/>
  <c r="Y6848" i="1"/>
  <c r="AA6848" i="1" s="1"/>
  <c r="J6848" i="1"/>
  <c r="N6848" i="1" s="1"/>
  <c r="Y6846" i="1"/>
  <c r="AA6846" i="1" s="1"/>
  <c r="J6846" i="1"/>
  <c r="N6846" i="1" s="1"/>
  <c r="Y6844" i="1"/>
  <c r="AA6844" i="1" s="1"/>
  <c r="J6844" i="1"/>
  <c r="N6844" i="1" s="1"/>
  <c r="Y6842" i="1"/>
  <c r="AA6842" i="1" s="1"/>
  <c r="J6842" i="1"/>
  <c r="N6842" i="1" s="1"/>
  <c r="Y6840" i="1"/>
  <c r="AA6840" i="1" s="1"/>
  <c r="J6840" i="1"/>
  <c r="N6840" i="1" s="1"/>
  <c r="Y6838" i="1"/>
  <c r="AA6838" i="1" s="1"/>
  <c r="J6838" i="1"/>
  <c r="N6838" i="1" s="1"/>
  <c r="Y6836" i="1"/>
  <c r="AA6836" i="1" s="1"/>
  <c r="J6836" i="1"/>
  <c r="N6836" i="1" s="1"/>
  <c r="Y6834" i="1"/>
  <c r="AA6834" i="1" s="1"/>
  <c r="J6834" i="1"/>
  <c r="N6834" i="1" s="1"/>
  <c r="Y6832" i="1"/>
  <c r="AA6832" i="1" s="1"/>
  <c r="J6832" i="1"/>
  <c r="N6832" i="1" s="1"/>
  <c r="Y6830" i="1"/>
  <c r="AA6830" i="1" s="1"/>
  <c r="Y6828" i="1"/>
  <c r="AA6828" i="1" s="1"/>
  <c r="J6828" i="1"/>
  <c r="N6828" i="1" s="1"/>
  <c r="Y6826" i="1"/>
  <c r="AA6826" i="1" s="1"/>
  <c r="J6826" i="1"/>
  <c r="N6826" i="1" s="1"/>
  <c r="Y6824" i="1"/>
  <c r="AA6824" i="1" s="1"/>
  <c r="J6824" i="1"/>
  <c r="N6824" i="1" s="1"/>
  <c r="Y6822" i="1"/>
  <c r="AA6822" i="1" s="1"/>
  <c r="J6822" i="1"/>
  <c r="N6822" i="1" s="1"/>
  <c r="Y6820" i="1"/>
  <c r="AA6820" i="1" s="1"/>
  <c r="J6820" i="1"/>
  <c r="N6820" i="1" s="1"/>
  <c r="Y6818" i="1"/>
  <c r="AA6818" i="1" s="1"/>
  <c r="J6818" i="1"/>
  <c r="N6818" i="1" s="1"/>
  <c r="Y6816" i="1"/>
  <c r="AA6816" i="1" s="1"/>
  <c r="J6816" i="1"/>
  <c r="N6816" i="1" s="1"/>
  <c r="Y6814" i="1"/>
  <c r="AA6814" i="1" s="1"/>
  <c r="J6814" i="1"/>
  <c r="N6814" i="1" s="1"/>
  <c r="Y6812" i="1"/>
  <c r="AA6812" i="1" s="1"/>
  <c r="J6812" i="1"/>
  <c r="N6812" i="1" s="1"/>
  <c r="Y6810" i="1"/>
  <c r="AA6810" i="1" s="1"/>
  <c r="J6810" i="1"/>
  <c r="N6810" i="1" s="1"/>
  <c r="Y6808" i="1"/>
  <c r="AA6808" i="1" s="1"/>
  <c r="J6808" i="1"/>
  <c r="N6808" i="1" s="1"/>
  <c r="Y6806" i="1"/>
  <c r="AA6806" i="1" s="1"/>
  <c r="J6806" i="1"/>
  <c r="N6806" i="1" s="1"/>
  <c r="Y6804" i="1"/>
  <c r="AA6804" i="1" s="1"/>
  <c r="J6804" i="1"/>
  <c r="N6804" i="1" s="1"/>
  <c r="Y6802" i="1"/>
  <c r="AA6802" i="1" s="1"/>
  <c r="J6802" i="1"/>
  <c r="N6802" i="1" s="1"/>
  <c r="Y6800" i="1"/>
  <c r="AA6800" i="1" s="1"/>
  <c r="J6800" i="1"/>
  <c r="N6800" i="1" s="1"/>
  <c r="Y6798" i="1"/>
  <c r="AA6798" i="1" s="1"/>
  <c r="J6798" i="1"/>
  <c r="N6798" i="1" s="1"/>
  <c r="Y6796" i="1"/>
  <c r="AA6796" i="1" s="1"/>
  <c r="J6796" i="1"/>
  <c r="N6796" i="1" s="1"/>
  <c r="Y6794" i="1"/>
  <c r="AA6794" i="1" s="1"/>
  <c r="J6794" i="1"/>
  <c r="N6794" i="1" s="1"/>
  <c r="Y6792" i="1"/>
  <c r="AA6792" i="1" s="1"/>
  <c r="J6792" i="1"/>
  <c r="N6792" i="1" s="1"/>
  <c r="Y6790" i="1"/>
  <c r="AA6790" i="1" s="1"/>
  <c r="J6790" i="1"/>
  <c r="N6790" i="1" s="1"/>
  <c r="Y6788" i="1"/>
  <c r="AA6788" i="1" s="1"/>
  <c r="J6788" i="1"/>
  <c r="N6788" i="1" s="1"/>
  <c r="Y6786" i="1"/>
  <c r="AA6786" i="1" s="1"/>
  <c r="J6786" i="1"/>
  <c r="N6786" i="1" s="1"/>
  <c r="Y6784" i="1"/>
  <c r="AA6784" i="1" s="1"/>
  <c r="J6784" i="1"/>
  <c r="N6784" i="1" s="1"/>
  <c r="Y6782" i="1"/>
  <c r="AA6782" i="1" s="1"/>
  <c r="J6782" i="1"/>
  <c r="N6782" i="1" s="1"/>
  <c r="Y6780" i="1"/>
  <c r="AA6780" i="1" s="1"/>
  <c r="J6780" i="1"/>
  <c r="N6780" i="1" s="1"/>
  <c r="Y6778" i="1"/>
  <c r="AA6778" i="1" s="1"/>
  <c r="J6778" i="1"/>
  <c r="N6778" i="1" s="1"/>
  <c r="Y6776" i="1"/>
  <c r="AA6776" i="1" s="1"/>
  <c r="J6776" i="1"/>
  <c r="N6776" i="1" s="1"/>
  <c r="Y6774" i="1"/>
  <c r="AA6774" i="1" s="1"/>
  <c r="J6774" i="1"/>
  <c r="N6774" i="1" s="1"/>
  <c r="Y6772" i="1"/>
  <c r="AA6772" i="1" s="1"/>
  <c r="J6772" i="1"/>
  <c r="N6772" i="1" s="1"/>
  <c r="Y6770" i="1"/>
  <c r="AA6770" i="1" s="1"/>
  <c r="J6770" i="1"/>
  <c r="N6770" i="1" s="1"/>
  <c r="Y6768" i="1"/>
  <c r="AA6768" i="1" s="1"/>
  <c r="J6768" i="1"/>
  <c r="N6768" i="1" s="1"/>
  <c r="Y6766" i="1"/>
  <c r="AA6766" i="1" s="1"/>
  <c r="J6766" i="1"/>
  <c r="N6766" i="1" s="1"/>
  <c r="Y6764" i="1"/>
  <c r="AA6764" i="1" s="1"/>
  <c r="J6764" i="1"/>
  <c r="N6764" i="1" s="1"/>
  <c r="Y6762" i="1"/>
  <c r="AA6762" i="1" s="1"/>
  <c r="J6762" i="1"/>
  <c r="N6762" i="1" s="1"/>
  <c r="Y6760" i="1"/>
  <c r="AA6760" i="1" s="1"/>
  <c r="J6760" i="1"/>
  <c r="N6760" i="1" s="1"/>
  <c r="Y6758" i="1"/>
  <c r="AA6758" i="1" s="1"/>
  <c r="J6758" i="1"/>
  <c r="N6758" i="1" s="1"/>
  <c r="Y6756" i="1"/>
  <c r="AA6756" i="1" s="1"/>
  <c r="J6756" i="1"/>
  <c r="N6756" i="1" s="1"/>
  <c r="Y6754" i="1"/>
  <c r="AA6754" i="1" s="1"/>
  <c r="J6754" i="1"/>
  <c r="N6754" i="1" s="1"/>
  <c r="Y6752" i="1"/>
  <c r="AA6752" i="1" s="1"/>
  <c r="J6752" i="1"/>
  <c r="N6752" i="1" s="1"/>
  <c r="Y6750" i="1"/>
  <c r="AA6750" i="1" s="1"/>
  <c r="J6750" i="1"/>
  <c r="N6750" i="1" s="1"/>
  <c r="Y6748" i="1"/>
  <c r="AA6748" i="1" s="1"/>
  <c r="J6748" i="1"/>
  <c r="N6748" i="1" s="1"/>
  <c r="Y6746" i="1"/>
  <c r="AA6746" i="1" s="1"/>
  <c r="J6746" i="1"/>
  <c r="N6746" i="1" s="1"/>
  <c r="Y6744" i="1"/>
  <c r="AA6744" i="1" s="1"/>
  <c r="N6744" i="1"/>
  <c r="Y6742" i="1"/>
  <c r="AA6742" i="1" s="1"/>
  <c r="J6742" i="1"/>
  <c r="N6742" i="1" s="1"/>
  <c r="Y6740" i="1"/>
  <c r="AA6740" i="1" s="1"/>
  <c r="J6740" i="1"/>
  <c r="N6740" i="1" s="1"/>
  <c r="Y6698" i="1"/>
  <c r="AA6698" i="1" s="1"/>
  <c r="J6698" i="1"/>
  <c r="N6698" i="1" s="1"/>
  <c r="Y6738" i="1"/>
  <c r="AA6738" i="1" s="1"/>
  <c r="J6738" i="1"/>
  <c r="N6738" i="1" s="1"/>
  <c r="Y6736" i="1"/>
  <c r="AA6736" i="1" s="1"/>
  <c r="J6736" i="1"/>
  <c r="N6736" i="1" s="1"/>
  <c r="Y6734" i="1"/>
  <c r="AA6734" i="1" s="1"/>
  <c r="J6734" i="1"/>
  <c r="N6734" i="1" s="1"/>
  <c r="Y6732" i="1"/>
  <c r="AA6732" i="1" s="1"/>
  <c r="J6732" i="1"/>
  <c r="N6732" i="1" s="1"/>
  <c r="Y6730" i="1"/>
  <c r="AA6730" i="1" s="1"/>
  <c r="J6730" i="1"/>
  <c r="N6730" i="1" s="1"/>
  <c r="Y6728" i="1"/>
  <c r="AA6728" i="1" s="1"/>
  <c r="J6728" i="1"/>
  <c r="N6728" i="1" s="1"/>
  <c r="Y6726" i="1"/>
  <c r="AA6726" i="1" s="1"/>
  <c r="J6726" i="1"/>
  <c r="N6726" i="1" s="1"/>
  <c r="Y6724" i="1"/>
  <c r="AA6724" i="1" s="1"/>
  <c r="J6724" i="1"/>
  <c r="N6724" i="1" s="1"/>
  <c r="Y6722" i="1"/>
  <c r="AA6722" i="1" s="1"/>
  <c r="J6722" i="1"/>
  <c r="N6722" i="1" s="1"/>
  <c r="Y6720" i="1"/>
  <c r="AA6720" i="1" s="1"/>
  <c r="J6720" i="1"/>
  <c r="N6720" i="1" s="1"/>
  <c r="Y6718" i="1"/>
  <c r="AA6718" i="1" s="1"/>
  <c r="J6718" i="1"/>
  <c r="N6718" i="1" s="1"/>
  <c r="Y6716" i="1"/>
  <c r="AA6716" i="1" s="1"/>
  <c r="J6716" i="1"/>
  <c r="N6716" i="1" s="1"/>
  <c r="Y6714" i="1"/>
  <c r="AA6714" i="1" s="1"/>
  <c r="J6714" i="1"/>
  <c r="N6714" i="1" s="1"/>
  <c r="Y6712" i="1"/>
  <c r="AA6712" i="1" s="1"/>
  <c r="J6712" i="1"/>
  <c r="N6712" i="1" s="1"/>
  <c r="Y6710" i="1"/>
  <c r="AA6710" i="1" s="1"/>
  <c r="J6710" i="1"/>
  <c r="N6710" i="1" s="1"/>
  <c r="Y6708" i="1"/>
  <c r="AA6708" i="1" s="1"/>
  <c r="J6708" i="1"/>
  <c r="N6708" i="1" s="1"/>
  <c r="Y6706" i="1"/>
  <c r="AA6706" i="1" s="1"/>
  <c r="J6706" i="1"/>
  <c r="N6706" i="1" s="1"/>
  <c r="Y6704" i="1"/>
  <c r="AA6704" i="1" s="1"/>
  <c r="J6704" i="1"/>
  <c r="N6704" i="1" s="1"/>
  <c r="Y6656" i="1"/>
  <c r="AA6656" i="1" s="1"/>
  <c r="J6656" i="1"/>
  <c r="N6656" i="1" s="1"/>
  <c r="Y6654" i="1"/>
  <c r="AA6654" i="1" s="1"/>
  <c r="J6654" i="1"/>
  <c r="N6654" i="1" s="1"/>
  <c r="Y6678" i="1"/>
  <c r="AA6678" i="1" s="1"/>
  <c r="J6678" i="1"/>
  <c r="N6678" i="1" s="1"/>
  <c r="Y6672" i="1"/>
  <c r="AA6672" i="1" s="1"/>
  <c r="J6672" i="1"/>
  <c r="N6672" i="1" s="1"/>
  <c r="Y6668" i="1"/>
  <c r="AA6668" i="1" s="1"/>
  <c r="J6668" i="1"/>
  <c r="N6668" i="1" s="1"/>
  <c r="Y6666" i="1"/>
  <c r="AA6666" i="1" s="1"/>
  <c r="J6666" i="1"/>
  <c r="N6666" i="1" s="1"/>
  <c r="Y6670" i="1"/>
  <c r="AA6670" i="1" s="1"/>
  <c r="J6670" i="1"/>
  <c r="N6670" i="1" s="1"/>
  <c r="Y14" i="4"/>
  <c r="AA14" i="4" s="1"/>
  <c r="N14" i="4"/>
  <c r="N6646" i="1"/>
  <c r="K6650" i="1"/>
  <c r="N6650" i="1" s="1"/>
  <c r="K6636" i="1"/>
  <c r="K6634" i="1"/>
  <c r="K6616" i="1"/>
  <c r="Y6602" i="1"/>
  <c r="AA6602" i="1" s="1"/>
  <c r="J6602" i="1"/>
  <c r="N6602" i="1" s="1"/>
  <c r="Y6604" i="1"/>
  <c r="AA6604" i="1" s="1"/>
  <c r="J6604" i="1"/>
  <c r="N6604" i="1" s="1"/>
  <c r="Y6560" i="1"/>
  <c r="AA6560" i="1" s="1"/>
  <c r="J6560" i="1"/>
  <c r="N6560" i="1" s="1"/>
  <c r="K6520" i="1"/>
  <c r="K6518" i="1"/>
  <c r="Y6520" i="1"/>
  <c r="AA6520" i="1" s="1"/>
  <c r="J6520" i="1"/>
  <c r="Y6518" i="1"/>
  <c r="AA6518" i="1" s="1"/>
  <c r="J6518" i="1"/>
  <c r="Y6516" i="1"/>
  <c r="AA6516" i="1" s="1"/>
  <c r="J6516" i="1"/>
  <c r="N6516" i="1" s="1"/>
  <c r="K6514" i="1"/>
  <c r="K6512" i="1"/>
  <c r="K6506" i="1"/>
  <c r="K6446" i="1"/>
  <c r="K6444" i="1"/>
  <c r="K6440" i="1"/>
  <c r="K6376" i="1"/>
  <c r="K6366" i="1"/>
  <c r="K6358" i="1"/>
  <c r="Y6328" i="1"/>
  <c r="AA6328" i="1" s="1"/>
  <c r="J6328" i="1"/>
  <c r="N6328" i="1" s="1"/>
  <c r="Y6326" i="1"/>
  <c r="AA6326" i="1" s="1"/>
  <c r="J6326" i="1"/>
  <c r="N6326" i="1" s="1"/>
  <c r="Y6324" i="1"/>
  <c r="AA6324" i="1" s="1"/>
  <c r="J6324" i="1"/>
  <c r="N6324" i="1" s="1"/>
  <c r="Y6322" i="1"/>
  <c r="AA6322" i="1" s="1"/>
  <c r="J6322" i="1"/>
  <c r="N6322" i="1" s="1"/>
  <c r="K6330" i="1"/>
  <c r="K6204" i="1"/>
  <c r="K6196" i="1"/>
  <c r="K6194" i="1"/>
  <c r="I6234" i="1"/>
  <c r="J6234" i="1" s="1"/>
  <c r="N6234" i="1" s="1"/>
  <c r="I6232" i="1"/>
  <c r="J6232" i="1" s="1"/>
  <c r="N6232" i="1" s="1"/>
  <c r="I6230" i="1"/>
  <c r="J6230" i="1" s="1"/>
  <c r="N6230" i="1" s="1"/>
  <c r="I6228" i="1"/>
  <c r="J6228" i="1" s="1"/>
  <c r="N6228" i="1" s="1"/>
  <c r="I6226" i="1"/>
  <c r="J6226" i="1" s="1"/>
  <c r="N6226" i="1" s="1"/>
  <c r="I6224" i="1"/>
  <c r="J6224" i="1" s="1"/>
  <c r="N6224" i="1" s="1"/>
  <c r="I6222" i="1"/>
  <c r="J6222" i="1" s="1"/>
  <c r="N6222" i="1" s="1"/>
  <c r="I6220" i="1"/>
  <c r="J6220" i="1" s="1"/>
  <c r="N6220" i="1" s="1"/>
  <c r="I6218" i="1"/>
  <c r="J6218" i="1" s="1"/>
  <c r="N6218" i="1" s="1"/>
  <c r="I6216" i="1"/>
  <c r="J6216" i="1" s="1"/>
  <c r="N6216" i="1" s="1"/>
  <c r="I6214" i="1"/>
  <c r="J6214" i="1" s="1"/>
  <c r="N6214" i="1" s="1"/>
  <c r="I6212" i="1"/>
  <c r="J6212" i="1" s="1"/>
  <c r="N6212" i="1" s="1"/>
  <c r="I6210" i="1"/>
  <c r="J6210" i="1" s="1"/>
  <c r="N6210" i="1" s="1"/>
  <c r="I6208" i="1"/>
  <c r="J6208" i="1" s="1"/>
  <c r="N6208" i="1" s="1"/>
  <c r="I6206" i="1"/>
  <c r="J6206" i="1" s="1"/>
  <c r="N6206" i="1" s="1"/>
  <c r="K6090" i="1"/>
  <c r="K6084" i="1"/>
  <c r="K6082" i="1"/>
  <c r="Y6058" i="1"/>
  <c r="AA6058" i="1" s="1"/>
  <c r="J6058" i="1"/>
  <c r="N6058" i="1" s="1"/>
  <c r="AA5686" i="1"/>
  <c r="I6026" i="1"/>
  <c r="J6026" i="1" s="1"/>
  <c r="N6026" i="1" s="1"/>
  <c r="I6024" i="1"/>
  <c r="J6024" i="1" s="1"/>
  <c r="N6024" i="1" s="1"/>
  <c r="I6022" i="1"/>
  <c r="J6022" i="1" s="1"/>
  <c r="N6022" i="1" s="1"/>
  <c r="I6020" i="1"/>
  <c r="J6020" i="1" s="1"/>
  <c r="N6020" i="1" s="1"/>
  <c r="I6018" i="1"/>
  <c r="J6018" i="1" s="1"/>
  <c r="N6018" i="1" s="1"/>
  <c r="I6016" i="1"/>
  <c r="J6016" i="1" s="1"/>
  <c r="N6016" i="1" s="1"/>
  <c r="I6010" i="1"/>
  <c r="J6010" i="1" s="1"/>
  <c r="N6010" i="1" s="1"/>
  <c r="Y6010" i="1"/>
  <c r="AA6010" i="1" s="1"/>
  <c r="K5994" i="1"/>
  <c r="I6014" i="1"/>
  <c r="J6014" i="1" s="1"/>
  <c r="N6014" i="1" s="1"/>
  <c r="I6012" i="1"/>
  <c r="N6012" i="1" s="1"/>
  <c r="Y6702" i="1"/>
  <c r="AA6702" i="1" s="1"/>
  <c r="J6702" i="1"/>
  <c r="N6702" i="1" s="1"/>
  <c r="Y6700" i="1"/>
  <c r="AA6700" i="1" s="1"/>
  <c r="J6700" i="1"/>
  <c r="N6700" i="1" s="1"/>
  <c r="Y6696" i="1"/>
  <c r="AA6696" i="1" s="1"/>
  <c r="J6696" i="1"/>
  <c r="N6696" i="1" s="1"/>
  <c r="Y6694" i="1"/>
  <c r="AA6694" i="1" s="1"/>
  <c r="J6694" i="1"/>
  <c r="N6694" i="1" s="1"/>
  <c r="Y6690" i="1"/>
  <c r="AA6690" i="1" s="1"/>
  <c r="J6690" i="1"/>
  <c r="N6690" i="1" s="1"/>
  <c r="Y6688" i="1"/>
  <c r="AA6688" i="1" s="1"/>
  <c r="J6688" i="1"/>
  <c r="N6688" i="1" s="1"/>
  <c r="Y6686" i="1"/>
  <c r="AA6686" i="1" s="1"/>
  <c r="J6686" i="1"/>
  <c r="N6686" i="1" s="1"/>
  <c r="Y6684" i="1"/>
  <c r="AA6684" i="1" s="1"/>
  <c r="J6684" i="1"/>
  <c r="N6684" i="1" s="1"/>
  <c r="Y6682" i="1"/>
  <c r="AA6682" i="1" s="1"/>
  <c r="J6682" i="1"/>
  <c r="N6682" i="1" s="1"/>
  <c r="Y6680" i="1"/>
  <c r="AA6680" i="1" s="1"/>
  <c r="J6680" i="1"/>
  <c r="N6680" i="1" s="1"/>
  <c r="Y6676" i="1"/>
  <c r="AA6676" i="1" s="1"/>
  <c r="J6676" i="1"/>
  <c r="N6676" i="1" s="1"/>
  <c r="Y6664" i="1"/>
  <c r="AA6664" i="1" s="1"/>
  <c r="J6664" i="1"/>
  <c r="N6664" i="1" s="1"/>
  <c r="Y6662" i="1"/>
  <c r="AA6662" i="1" s="1"/>
  <c r="J6662" i="1"/>
  <c r="Y6660" i="1"/>
  <c r="AA6660" i="1" s="1"/>
  <c r="J6660" i="1"/>
  <c r="Y6658" i="1"/>
  <c r="AA6658" i="1" s="1"/>
  <c r="J6658" i="1"/>
  <c r="Y6652" i="1"/>
  <c r="AA6652" i="1" s="1"/>
  <c r="J6652" i="1"/>
  <c r="N6652" i="1" s="1"/>
  <c r="Y6650" i="1"/>
  <c r="AA6650" i="1" s="1"/>
  <c r="Y6648" i="1"/>
  <c r="AA6648" i="1" s="1"/>
  <c r="J6648" i="1"/>
  <c r="N6648" i="1" s="1"/>
  <c r="Y6646" i="1"/>
  <c r="AA6646" i="1" s="1"/>
  <c r="Y6644" i="1"/>
  <c r="AA6644" i="1" s="1"/>
  <c r="J6644" i="1"/>
  <c r="N6644" i="1" s="1"/>
  <c r="Y6642" i="1"/>
  <c r="AA6642" i="1" s="1"/>
  <c r="J6642" i="1"/>
  <c r="N6642" i="1" s="1"/>
  <c r="Y6640" i="1"/>
  <c r="AA6640" i="1" s="1"/>
  <c r="J6640" i="1"/>
  <c r="N6640" i="1" s="1"/>
  <c r="AA6638" i="1"/>
  <c r="J6638" i="1"/>
  <c r="N6638" i="1" s="1"/>
  <c r="Y6636" i="1"/>
  <c r="AA6636" i="1" s="1"/>
  <c r="J6636" i="1"/>
  <c r="Y6634" i="1"/>
  <c r="AA6634" i="1" s="1"/>
  <c r="J6634" i="1"/>
  <c r="Y6632" i="1"/>
  <c r="AA6632" i="1" s="1"/>
  <c r="J6632" i="1"/>
  <c r="N6632" i="1" s="1"/>
  <c r="Y6630" i="1"/>
  <c r="AA6630" i="1" s="1"/>
  <c r="J6630" i="1"/>
  <c r="N6630" i="1" s="1"/>
  <c r="Y6628" i="1"/>
  <c r="AA6628" i="1" s="1"/>
  <c r="J6628" i="1"/>
  <c r="N6628" i="1" s="1"/>
  <c r="Y6626" i="1"/>
  <c r="AA6626" i="1" s="1"/>
  <c r="J6626" i="1"/>
  <c r="N6626" i="1" s="1"/>
  <c r="Y6624" i="1"/>
  <c r="AA6624" i="1" s="1"/>
  <c r="J6624" i="1"/>
  <c r="N6624" i="1" s="1"/>
  <c r="Y6622" i="1"/>
  <c r="AA6622" i="1" s="1"/>
  <c r="J6622" i="1"/>
  <c r="N6622" i="1" s="1"/>
  <c r="Y6620" i="1"/>
  <c r="AA6620" i="1" s="1"/>
  <c r="J6620" i="1"/>
  <c r="N6620" i="1" s="1"/>
  <c r="Y6618" i="1"/>
  <c r="AA6618" i="1" s="1"/>
  <c r="J6618" i="1"/>
  <c r="N6618" i="1" s="1"/>
  <c r="Y6616" i="1"/>
  <c r="AA6616" i="1" s="1"/>
  <c r="J6616" i="1"/>
  <c r="Y6614" i="1"/>
  <c r="AA6614" i="1" s="1"/>
  <c r="J6614" i="1"/>
  <c r="N6614" i="1" s="1"/>
  <c r="Y6612" i="1"/>
  <c r="AA6612" i="1" s="1"/>
  <c r="J6612" i="1"/>
  <c r="N6612" i="1" s="1"/>
  <c r="Y6610" i="1"/>
  <c r="AA6610" i="1" s="1"/>
  <c r="J6610" i="1"/>
  <c r="N6610" i="1" s="1"/>
  <c r="Y6608" i="1"/>
  <c r="AA6608" i="1" s="1"/>
  <c r="J6608" i="1"/>
  <c r="N6608" i="1" s="1"/>
  <c r="Y6606" i="1"/>
  <c r="AA6606" i="1" s="1"/>
  <c r="J6606" i="1"/>
  <c r="N6606" i="1" s="1"/>
  <c r="Y6600" i="1"/>
  <c r="AA6600" i="1" s="1"/>
  <c r="J6600" i="1"/>
  <c r="N6600" i="1" s="1"/>
  <c r="Y6598" i="1"/>
  <c r="AA6598" i="1" s="1"/>
  <c r="J6598" i="1"/>
  <c r="N6598" i="1" s="1"/>
  <c r="Y6596" i="1"/>
  <c r="AA6596" i="1" s="1"/>
  <c r="J6596" i="1"/>
  <c r="N6596" i="1" s="1"/>
  <c r="Y6594" i="1"/>
  <c r="AA6594" i="1" s="1"/>
  <c r="J6594" i="1"/>
  <c r="N6594" i="1" s="1"/>
  <c r="Y6592" i="1"/>
  <c r="AA6592" i="1" s="1"/>
  <c r="J6592" i="1"/>
  <c r="N6592" i="1" s="1"/>
  <c r="Y6590" i="1"/>
  <c r="AA6590" i="1" s="1"/>
  <c r="J6590" i="1"/>
  <c r="N6590" i="1" s="1"/>
  <c r="Y6588" i="1"/>
  <c r="AA6588" i="1" s="1"/>
  <c r="J6588" i="1"/>
  <c r="N6588" i="1" s="1"/>
  <c r="Y6586" i="1"/>
  <c r="AA6586" i="1" s="1"/>
  <c r="J6586" i="1"/>
  <c r="N6586" i="1" s="1"/>
  <c r="Y6584" i="1"/>
  <c r="AA6584" i="1" s="1"/>
  <c r="J6584" i="1"/>
  <c r="N6584" i="1" s="1"/>
  <c r="Y6582" i="1"/>
  <c r="AA6582" i="1" s="1"/>
  <c r="J6582" i="1"/>
  <c r="N6582" i="1" s="1"/>
  <c r="Y6580" i="1"/>
  <c r="AA6580" i="1" s="1"/>
  <c r="J6580" i="1"/>
  <c r="N6580" i="1" s="1"/>
  <c r="Y6578" i="1"/>
  <c r="AA6578" i="1" s="1"/>
  <c r="J6578" i="1"/>
  <c r="N6578" i="1" s="1"/>
  <c r="Y6576" i="1"/>
  <c r="AA6576" i="1" s="1"/>
  <c r="J6576" i="1"/>
  <c r="N6576" i="1" s="1"/>
  <c r="Y6574" i="1"/>
  <c r="AA6574" i="1" s="1"/>
  <c r="J6574" i="1"/>
  <c r="N6574" i="1" s="1"/>
  <c r="AA6572" i="1"/>
  <c r="J6572" i="1"/>
  <c r="N6572" i="1" s="1"/>
  <c r="Y6570" i="1"/>
  <c r="AA6570" i="1" s="1"/>
  <c r="J6570" i="1"/>
  <c r="N6570" i="1" s="1"/>
  <c r="Y6568" i="1"/>
  <c r="AA6568" i="1" s="1"/>
  <c r="J6568" i="1"/>
  <c r="N6568" i="1" s="1"/>
  <c r="J6566" i="1"/>
  <c r="N6566" i="1" s="1"/>
  <c r="Y6564" i="1"/>
  <c r="AA6564" i="1" s="1"/>
  <c r="J6564" i="1"/>
  <c r="N6564" i="1" s="1"/>
  <c r="Y6562" i="1"/>
  <c r="AA6562" i="1" s="1"/>
  <c r="J6562" i="1"/>
  <c r="N6562" i="1" s="1"/>
  <c r="Y6558" i="1"/>
  <c r="AA6558" i="1" s="1"/>
  <c r="J6558" i="1"/>
  <c r="N6558" i="1" s="1"/>
  <c r="Y6556" i="1"/>
  <c r="AA6556" i="1" s="1"/>
  <c r="J6556" i="1"/>
  <c r="N6556" i="1" s="1"/>
  <c r="Y6554" i="1"/>
  <c r="AA6554" i="1" s="1"/>
  <c r="J6554" i="1"/>
  <c r="N6554" i="1" s="1"/>
  <c r="Y6552" i="1"/>
  <c r="AA6552" i="1" s="1"/>
  <c r="J6552" i="1"/>
  <c r="N6552" i="1" s="1"/>
  <c r="Y6550" i="1"/>
  <c r="AA6550" i="1" s="1"/>
  <c r="J6550" i="1"/>
  <c r="N6550" i="1" s="1"/>
  <c r="Y6548" i="1"/>
  <c r="AA6548" i="1" s="1"/>
  <c r="J6548" i="1"/>
  <c r="N6548" i="1" s="1"/>
  <c r="Y6546" i="1"/>
  <c r="AA6546" i="1" s="1"/>
  <c r="J6546" i="1"/>
  <c r="N6546" i="1" s="1"/>
  <c r="Y6544" i="1"/>
  <c r="AA6544" i="1" s="1"/>
  <c r="J6544" i="1"/>
  <c r="N6544" i="1" s="1"/>
  <c r="Y6542" i="1"/>
  <c r="AA6542" i="1" s="1"/>
  <c r="J6542" i="1"/>
  <c r="N6542" i="1" s="1"/>
  <c r="Y6540" i="1"/>
  <c r="AA6540" i="1" s="1"/>
  <c r="J6540" i="1"/>
  <c r="N6540" i="1" s="1"/>
  <c r="Y6538" i="1"/>
  <c r="AA6538" i="1" s="1"/>
  <c r="J6538" i="1"/>
  <c r="N6538" i="1" s="1"/>
  <c r="Y6536" i="1"/>
  <c r="AA6536" i="1" s="1"/>
  <c r="J6536" i="1"/>
  <c r="N6536" i="1" s="1"/>
  <c r="Y6534" i="1"/>
  <c r="AA6534" i="1" s="1"/>
  <c r="J6534" i="1"/>
  <c r="N6534" i="1" s="1"/>
  <c r="Y6532" i="1"/>
  <c r="AA6532" i="1" s="1"/>
  <c r="J6532" i="1"/>
  <c r="N6532" i="1" s="1"/>
  <c r="Y6530" i="1"/>
  <c r="AA6530" i="1" s="1"/>
  <c r="J6530" i="1"/>
  <c r="N6530" i="1" s="1"/>
  <c r="Y6528" i="1"/>
  <c r="AA6528" i="1" s="1"/>
  <c r="J6528" i="1"/>
  <c r="N6528" i="1" s="1"/>
  <c r="Y6526" i="1"/>
  <c r="AA6526" i="1" s="1"/>
  <c r="J6526" i="1"/>
  <c r="N6526" i="1" s="1"/>
  <c r="Y6524" i="1"/>
  <c r="AA6524" i="1" s="1"/>
  <c r="J6524" i="1"/>
  <c r="N6524" i="1" s="1"/>
  <c r="Y6522" i="1"/>
  <c r="AA6522" i="1" s="1"/>
  <c r="J6522" i="1"/>
  <c r="N6522" i="1" s="1"/>
  <c r="Y6514" i="1"/>
  <c r="AA6514" i="1" s="1"/>
  <c r="J6514" i="1"/>
  <c r="Y6512" i="1"/>
  <c r="AA6512" i="1" s="1"/>
  <c r="J6512" i="1"/>
  <c r="Y6510" i="1"/>
  <c r="AA6510" i="1" s="1"/>
  <c r="J6510" i="1"/>
  <c r="N6510" i="1" s="1"/>
  <c r="Y6508" i="1"/>
  <c r="AA6508" i="1" s="1"/>
  <c r="J6508" i="1"/>
  <c r="N6508" i="1" s="1"/>
  <c r="Y6506" i="1"/>
  <c r="AA6506" i="1" s="1"/>
  <c r="J6506" i="1"/>
  <c r="Y6504" i="1"/>
  <c r="AA6504" i="1" s="1"/>
  <c r="J6504" i="1"/>
  <c r="N6504" i="1" s="1"/>
  <c r="Y6502" i="1"/>
  <c r="AA6502" i="1" s="1"/>
  <c r="J6502" i="1"/>
  <c r="N6502" i="1" s="1"/>
  <c r="Y6500" i="1"/>
  <c r="AA6500" i="1" s="1"/>
  <c r="J6500" i="1"/>
  <c r="N6500" i="1" s="1"/>
  <c r="Y6498" i="1"/>
  <c r="AA6498" i="1" s="1"/>
  <c r="J6498" i="1"/>
  <c r="N6498" i="1" s="1"/>
  <c r="Y6496" i="1"/>
  <c r="AA6496" i="1" s="1"/>
  <c r="J6496" i="1"/>
  <c r="N6496" i="1" s="1"/>
  <c r="Y6494" i="1"/>
  <c r="AA6494" i="1" s="1"/>
  <c r="J6494" i="1"/>
  <c r="N6494" i="1" s="1"/>
  <c r="Y6492" i="1"/>
  <c r="AA6492" i="1" s="1"/>
  <c r="J6492" i="1"/>
  <c r="N6492" i="1" s="1"/>
  <c r="Y6490" i="1"/>
  <c r="AA6490" i="1" s="1"/>
  <c r="J6490" i="1"/>
  <c r="N6490" i="1" s="1"/>
  <c r="Y6488" i="1"/>
  <c r="AA6488" i="1" s="1"/>
  <c r="J6488" i="1"/>
  <c r="N6488" i="1" s="1"/>
  <c r="Y6486" i="1"/>
  <c r="AA6486" i="1" s="1"/>
  <c r="J6486" i="1"/>
  <c r="N6486" i="1" s="1"/>
  <c r="Y6484" i="1"/>
  <c r="AA6484" i="1" s="1"/>
  <c r="J6484" i="1"/>
  <c r="N6484" i="1" s="1"/>
  <c r="Y6482" i="1"/>
  <c r="AA6482" i="1" s="1"/>
  <c r="J6482" i="1"/>
  <c r="N6482" i="1" s="1"/>
  <c r="Y6480" i="1"/>
  <c r="AA6480" i="1" s="1"/>
  <c r="J6480" i="1"/>
  <c r="N6480" i="1" s="1"/>
  <c r="Y6478" i="1"/>
  <c r="AA6478" i="1" s="1"/>
  <c r="J6478" i="1"/>
  <c r="N6478" i="1" s="1"/>
  <c r="Y6476" i="1"/>
  <c r="AA6476" i="1" s="1"/>
  <c r="J6476" i="1"/>
  <c r="N6476" i="1" s="1"/>
  <c r="Y6474" i="1"/>
  <c r="AA6474" i="1" s="1"/>
  <c r="J6474" i="1"/>
  <c r="N6474" i="1" s="1"/>
  <c r="Y6472" i="1"/>
  <c r="AA6472" i="1" s="1"/>
  <c r="J6472" i="1"/>
  <c r="N6472" i="1" s="1"/>
  <c r="Y6470" i="1"/>
  <c r="AA6470" i="1" s="1"/>
  <c r="J6470" i="1"/>
  <c r="N6470" i="1" s="1"/>
  <c r="Y6468" i="1"/>
  <c r="AA6468" i="1" s="1"/>
  <c r="J6468" i="1"/>
  <c r="N6468" i="1" s="1"/>
  <c r="Y6466" i="1"/>
  <c r="AA6466" i="1" s="1"/>
  <c r="J6466" i="1"/>
  <c r="N6466" i="1" s="1"/>
  <c r="Y6464" i="1"/>
  <c r="AA6464" i="1" s="1"/>
  <c r="J6464" i="1"/>
  <c r="N6464" i="1" s="1"/>
  <c r="Y6462" i="1"/>
  <c r="AA6462" i="1" s="1"/>
  <c r="J6462" i="1"/>
  <c r="N6462" i="1" s="1"/>
  <c r="Y6460" i="1"/>
  <c r="AA6460" i="1" s="1"/>
  <c r="J6460" i="1"/>
  <c r="N6460" i="1" s="1"/>
  <c r="Y6458" i="1"/>
  <c r="AA6458" i="1" s="1"/>
  <c r="J6458" i="1"/>
  <c r="N6458" i="1" s="1"/>
  <c r="Y6456" i="1"/>
  <c r="AA6456" i="1" s="1"/>
  <c r="J6456" i="1"/>
  <c r="N6456" i="1" s="1"/>
  <c r="Y6454" i="1"/>
  <c r="AA6454" i="1" s="1"/>
  <c r="J6454" i="1"/>
  <c r="N6454" i="1" s="1"/>
  <c r="Y6452" i="1"/>
  <c r="AA6452" i="1" s="1"/>
  <c r="J6452" i="1"/>
  <c r="N6452" i="1" s="1"/>
  <c r="Y6450" i="1"/>
  <c r="AA6450" i="1" s="1"/>
  <c r="J6450" i="1"/>
  <c r="N6450" i="1" s="1"/>
  <c r="Y6448" i="1"/>
  <c r="AA6448" i="1" s="1"/>
  <c r="J6448" i="1"/>
  <c r="N6448" i="1" s="1"/>
  <c r="Y6446" i="1"/>
  <c r="AA6446" i="1" s="1"/>
  <c r="J6446" i="1"/>
  <c r="Y6444" i="1"/>
  <c r="AA6444" i="1" s="1"/>
  <c r="J6444" i="1"/>
  <c r="Y6442" i="1"/>
  <c r="AA6442" i="1" s="1"/>
  <c r="J6442" i="1"/>
  <c r="N6442" i="1" s="1"/>
  <c r="Y6440" i="1"/>
  <c r="AA6440" i="1" s="1"/>
  <c r="J6440" i="1"/>
  <c r="Y6438" i="1"/>
  <c r="AA6438" i="1" s="1"/>
  <c r="J6438" i="1"/>
  <c r="N6438" i="1" s="1"/>
  <c r="Y6436" i="1"/>
  <c r="AA6436" i="1" s="1"/>
  <c r="J6436" i="1"/>
  <c r="N6436" i="1" s="1"/>
  <c r="Y6434" i="1"/>
  <c r="AA6434" i="1" s="1"/>
  <c r="J6434" i="1"/>
  <c r="N6434" i="1" s="1"/>
  <c r="Y6432" i="1"/>
  <c r="AA6432" i="1" s="1"/>
  <c r="N6432" i="1"/>
  <c r="Y6430" i="1"/>
  <c r="AA6430" i="1" s="1"/>
  <c r="N6430" i="1"/>
  <c r="Y6428" i="1"/>
  <c r="AA6428" i="1" s="1"/>
  <c r="N6428" i="1"/>
  <c r="Y6426" i="1"/>
  <c r="AA6426" i="1" s="1"/>
  <c r="J6426" i="1"/>
  <c r="N6426" i="1" s="1"/>
  <c r="Y6424" i="1"/>
  <c r="AA6424" i="1" s="1"/>
  <c r="J6424" i="1"/>
  <c r="N6424" i="1" s="1"/>
  <c r="Y6422" i="1"/>
  <c r="AA6422" i="1" s="1"/>
  <c r="J6422" i="1"/>
  <c r="N6422" i="1" s="1"/>
  <c r="Y6420" i="1"/>
  <c r="AA6420" i="1" s="1"/>
  <c r="J6420" i="1"/>
  <c r="N6420" i="1" s="1"/>
  <c r="Y6418" i="1"/>
  <c r="AA6418" i="1" s="1"/>
  <c r="J6418" i="1"/>
  <c r="N6418" i="1" s="1"/>
  <c r="Y6416" i="1"/>
  <c r="AA6416" i="1" s="1"/>
  <c r="J6416" i="1"/>
  <c r="N6416" i="1" s="1"/>
  <c r="Y6414" i="1"/>
  <c r="AA6414" i="1" s="1"/>
  <c r="J6414" i="1"/>
  <c r="N6414" i="1" s="1"/>
  <c r="Y6412" i="1"/>
  <c r="AA6412" i="1" s="1"/>
  <c r="J6412" i="1"/>
  <c r="N6412" i="1" s="1"/>
  <c r="Y6410" i="1"/>
  <c r="AA6410" i="1" s="1"/>
  <c r="J6410" i="1"/>
  <c r="N6410" i="1" s="1"/>
  <c r="Y6408" i="1"/>
  <c r="AA6408" i="1" s="1"/>
  <c r="J6408" i="1"/>
  <c r="N6408" i="1" s="1"/>
  <c r="Y6406" i="1"/>
  <c r="AA6406" i="1" s="1"/>
  <c r="J6406" i="1"/>
  <c r="N6406" i="1" s="1"/>
  <c r="Y6404" i="1"/>
  <c r="AA6404" i="1" s="1"/>
  <c r="J6404" i="1"/>
  <c r="N6404" i="1" s="1"/>
  <c r="Y6402" i="1"/>
  <c r="AA6402" i="1" s="1"/>
  <c r="J6402" i="1"/>
  <c r="N6402" i="1" s="1"/>
  <c r="Y6400" i="1"/>
  <c r="AA6400" i="1" s="1"/>
  <c r="J6400" i="1"/>
  <c r="N6400" i="1" s="1"/>
  <c r="Y6398" i="1"/>
  <c r="AA6398" i="1" s="1"/>
  <c r="J6398" i="1"/>
  <c r="N6398" i="1" s="1"/>
  <c r="Y6396" i="1"/>
  <c r="AA6396" i="1" s="1"/>
  <c r="J6396" i="1"/>
  <c r="N6396" i="1" s="1"/>
  <c r="Y6394" i="1"/>
  <c r="AA6394" i="1" s="1"/>
  <c r="J6394" i="1"/>
  <c r="N6394" i="1" s="1"/>
  <c r="Y6392" i="1"/>
  <c r="AA6392" i="1" s="1"/>
  <c r="J6392" i="1"/>
  <c r="N6392" i="1" s="1"/>
  <c r="Y6390" i="1"/>
  <c r="AA6390" i="1" s="1"/>
  <c r="J6390" i="1"/>
  <c r="N6390" i="1" s="1"/>
  <c r="Y6388" i="1"/>
  <c r="AA6388" i="1" s="1"/>
  <c r="N6388" i="1"/>
  <c r="Y6386" i="1"/>
  <c r="AA6386" i="1" s="1"/>
  <c r="J6386" i="1"/>
  <c r="N6386" i="1" s="1"/>
  <c r="Y6384" i="1"/>
  <c r="AA6384" i="1" s="1"/>
  <c r="J6384" i="1"/>
  <c r="N6384" i="1" s="1"/>
  <c r="Y6382" i="1"/>
  <c r="AA6382" i="1" s="1"/>
  <c r="J6382" i="1"/>
  <c r="N6382" i="1" s="1"/>
  <c r="Y6380" i="1"/>
  <c r="AA6380" i="1" s="1"/>
  <c r="J6380" i="1"/>
  <c r="N6380" i="1" s="1"/>
  <c r="Y6378" i="1"/>
  <c r="AA6378" i="1" s="1"/>
  <c r="J6378" i="1"/>
  <c r="N6378" i="1" s="1"/>
  <c r="Y6376" i="1"/>
  <c r="AA6376" i="1" s="1"/>
  <c r="J6376" i="1"/>
  <c r="Y6374" i="1"/>
  <c r="AA6374" i="1" s="1"/>
  <c r="J6374" i="1"/>
  <c r="N6374" i="1" s="1"/>
  <c r="Y6372" i="1"/>
  <c r="AA6372" i="1" s="1"/>
  <c r="J6372" i="1"/>
  <c r="N6372" i="1" s="1"/>
  <c r="Y6370" i="1"/>
  <c r="AA6370" i="1" s="1"/>
  <c r="J6370" i="1"/>
  <c r="N6370" i="1" s="1"/>
  <c r="Y6368" i="1"/>
  <c r="AA6368" i="1" s="1"/>
  <c r="J6368" i="1"/>
  <c r="N6368" i="1" s="1"/>
  <c r="Y6366" i="1"/>
  <c r="AA6366" i="1" s="1"/>
  <c r="J6366" i="1"/>
  <c r="Y6364" i="1"/>
  <c r="AA6364" i="1" s="1"/>
  <c r="J6364" i="1"/>
  <c r="N6364" i="1" s="1"/>
  <c r="Y6362" i="1"/>
  <c r="AA6362" i="1" s="1"/>
  <c r="J6362" i="1"/>
  <c r="N6362" i="1" s="1"/>
  <c r="Y6360" i="1"/>
  <c r="AA6360" i="1" s="1"/>
  <c r="J6360" i="1"/>
  <c r="N6360" i="1" s="1"/>
  <c r="Y6358" i="1"/>
  <c r="AA6358" i="1" s="1"/>
  <c r="J6358" i="1"/>
  <c r="Y6356" i="1"/>
  <c r="AA6356" i="1" s="1"/>
  <c r="J6356" i="1"/>
  <c r="N6356" i="1" s="1"/>
  <c r="Y6354" i="1"/>
  <c r="AA6354" i="1" s="1"/>
  <c r="J6354" i="1"/>
  <c r="N6354" i="1" s="1"/>
  <c r="Y6352" i="1"/>
  <c r="AA6352" i="1" s="1"/>
  <c r="J6352" i="1"/>
  <c r="N6352" i="1" s="1"/>
  <c r="Y6350" i="1"/>
  <c r="AA6350" i="1" s="1"/>
  <c r="J6350" i="1"/>
  <c r="N6350" i="1" s="1"/>
  <c r="Y6348" i="1"/>
  <c r="AA6348" i="1" s="1"/>
  <c r="J6348" i="1"/>
  <c r="N6348" i="1" s="1"/>
  <c r="Y6346" i="1"/>
  <c r="AA6346" i="1" s="1"/>
  <c r="J6346" i="1"/>
  <c r="N6346" i="1" s="1"/>
  <c r="Y6344" i="1"/>
  <c r="AA6344" i="1" s="1"/>
  <c r="J6344" i="1"/>
  <c r="N6344" i="1" s="1"/>
  <c r="Y6342" i="1"/>
  <c r="AA6342" i="1" s="1"/>
  <c r="J6342" i="1"/>
  <c r="N6342" i="1" s="1"/>
  <c r="Y6340" i="1"/>
  <c r="AA6340" i="1" s="1"/>
  <c r="J6340" i="1"/>
  <c r="N6340" i="1" s="1"/>
  <c r="Y6338" i="1"/>
  <c r="AA6338" i="1" s="1"/>
  <c r="J6338" i="1"/>
  <c r="N6338" i="1" s="1"/>
  <c r="Y6336" i="1"/>
  <c r="AA6336" i="1" s="1"/>
  <c r="J6336" i="1"/>
  <c r="N6336" i="1" s="1"/>
  <c r="Y6334" i="1"/>
  <c r="AA6334" i="1" s="1"/>
  <c r="J6334" i="1"/>
  <c r="N6334" i="1" s="1"/>
  <c r="Y6332" i="1"/>
  <c r="AA6332" i="1" s="1"/>
  <c r="J6332" i="1"/>
  <c r="N6332" i="1" s="1"/>
  <c r="Y6330" i="1"/>
  <c r="AA6330" i="1" s="1"/>
  <c r="J6330" i="1"/>
  <c r="Y6320" i="1"/>
  <c r="AA6320" i="1" s="1"/>
  <c r="J6320" i="1"/>
  <c r="N6320" i="1" s="1"/>
  <c r="Y6318" i="1"/>
  <c r="AA6318" i="1" s="1"/>
  <c r="J6318" i="1"/>
  <c r="N6318" i="1" s="1"/>
  <c r="Y6316" i="1"/>
  <c r="AA6316" i="1" s="1"/>
  <c r="J6316" i="1"/>
  <c r="N6316" i="1" s="1"/>
  <c r="Y6314" i="1"/>
  <c r="AA6314" i="1" s="1"/>
  <c r="J6314" i="1"/>
  <c r="N6314" i="1" s="1"/>
  <c r="Y6312" i="1"/>
  <c r="AA6312" i="1" s="1"/>
  <c r="J6312" i="1"/>
  <c r="N6312" i="1" s="1"/>
  <c r="Y6310" i="1"/>
  <c r="AA6310" i="1" s="1"/>
  <c r="J6310" i="1"/>
  <c r="N6310" i="1" s="1"/>
  <c r="Y6308" i="1"/>
  <c r="AA6308" i="1" s="1"/>
  <c r="J6308" i="1"/>
  <c r="N6308" i="1" s="1"/>
  <c r="Y6306" i="1"/>
  <c r="AA6306" i="1" s="1"/>
  <c r="J6306" i="1"/>
  <c r="N6306" i="1" s="1"/>
  <c r="Y6304" i="1"/>
  <c r="AA6304" i="1" s="1"/>
  <c r="J6304" i="1"/>
  <c r="N6304" i="1" s="1"/>
  <c r="Y6302" i="1"/>
  <c r="AA6302" i="1" s="1"/>
  <c r="J6302" i="1"/>
  <c r="N6302" i="1" s="1"/>
  <c r="Y6300" i="1"/>
  <c r="AA6300" i="1" s="1"/>
  <c r="J6300" i="1"/>
  <c r="N6300" i="1" s="1"/>
  <c r="Y6298" i="1"/>
  <c r="AA6298" i="1" s="1"/>
  <c r="J6298" i="1"/>
  <c r="N6298" i="1" s="1"/>
  <c r="Y6296" i="1"/>
  <c r="AA6296" i="1" s="1"/>
  <c r="J6296" i="1"/>
  <c r="N6296" i="1" s="1"/>
  <c r="Y6294" i="1"/>
  <c r="AA6294" i="1" s="1"/>
  <c r="J6294" i="1"/>
  <c r="N6294" i="1" s="1"/>
  <c r="Y6292" i="1"/>
  <c r="AA6292" i="1" s="1"/>
  <c r="J6292" i="1"/>
  <c r="N6292" i="1" s="1"/>
  <c r="Y6290" i="1"/>
  <c r="AA6290" i="1" s="1"/>
  <c r="J6290" i="1"/>
  <c r="N6290" i="1" s="1"/>
  <c r="Y6288" i="1"/>
  <c r="AA6288" i="1" s="1"/>
  <c r="J6288" i="1"/>
  <c r="N6288" i="1" s="1"/>
  <c r="Y6286" i="1"/>
  <c r="AA6286" i="1" s="1"/>
  <c r="J6286" i="1"/>
  <c r="N6286" i="1" s="1"/>
  <c r="Y6284" i="1"/>
  <c r="AA6284" i="1" s="1"/>
  <c r="J6284" i="1"/>
  <c r="N6284" i="1" s="1"/>
  <c r="Y6282" i="1"/>
  <c r="AA6282" i="1" s="1"/>
  <c r="J6282" i="1"/>
  <c r="N6282" i="1" s="1"/>
  <c r="Y6280" i="1"/>
  <c r="AA6280" i="1" s="1"/>
  <c r="J6280" i="1"/>
  <c r="N6280" i="1" s="1"/>
  <c r="Y6278" i="1"/>
  <c r="AA6278" i="1" s="1"/>
  <c r="J6278" i="1"/>
  <c r="N6278" i="1" s="1"/>
  <c r="Y6276" i="1"/>
  <c r="AA6276" i="1" s="1"/>
  <c r="J6276" i="1"/>
  <c r="N6276" i="1" s="1"/>
  <c r="Y6274" i="1"/>
  <c r="AA6274" i="1" s="1"/>
  <c r="J6274" i="1"/>
  <c r="N6274" i="1" s="1"/>
  <c r="Y6272" i="1"/>
  <c r="AA6272" i="1" s="1"/>
  <c r="J6272" i="1"/>
  <c r="N6272" i="1" s="1"/>
  <c r="Y6270" i="1"/>
  <c r="AA6270" i="1" s="1"/>
  <c r="J6270" i="1"/>
  <c r="N6270" i="1" s="1"/>
  <c r="Y6268" i="1"/>
  <c r="AA6268" i="1" s="1"/>
  <c r="J6268" i="1"/>
  <c r="N6268" i="1" s="1"/>
  <c r="Y6266" i="1"/>
  <c r="AA6266" i="1" s="1"/>
  <c r="J6266" i="1"/>
  <c r="N6266" i="1" s="1"/>
  <c r="Y6264" i="1"/>
  <c r="AA6264" i="1" s="1"/>
  <c r="J6264" i="1"/>
  <c r="N6264" i="1" s="1"/>
  <c r="Y6262" i="1"/>
  <c r="AA6262" i="1" s="1"/>
  <c r="J6262" i="1"/>
  <c r="N6262" i="1" s="1"/>
  <c r="Y6260" i="1"/>
  <c r="AA6260" i="1" s="1"/>
  <c r="J6260" i="1"/>
  <c r="N6260" i="1" s="1"/>
  <c r="Y6258" i="1"/>
  <c r="AA6258" i="1" s="1"/>
  <c r="J6258" i="1"/>
  <c r="N6258" i="1" s="1"/>
  <c r="Y6256" i="1"/>
  <c r="AA6256" i="1" s="1"/>
  <c r="J6256" i="1"/>
  <c r="N6256" i="1" s="1"/>
  <c r="Y6254" i="1"/>
  <c r="AA6254" i="1" s="1"/>
  <c r="J6254" i="1"/>
  <c r="N6254" i="1" s="1"/>
  <c r="Y6252" i="1"/>
  <c r="AA6252" i="1" s="1"/>
  <c r="J6252" i="1"/>
  <c r="N6252" i="1" s="1"/>
  <c r="Y6250" i="1"/>
  <c r="AA6250" i="1" s="1"/>
  <c r="J6250" i="1"/>
  <c r="N6250" i="1" s="1"/>
  <c r="Y6248" i="1"/>
  <c r="AA6248" i="1" s="1"/>
  <c r="J6248" i="1"/>
  <c r="N6248" i="1" s="1"/>
  <c r="Y6246" i="1"/>
  <c r="AA6246" i="1" s="1"/>
  <c r="J6246" i="1"/>
  <c r="N6246" i="1" s="1"/>
  <c r="Y6244" i="1"/>
  <c r="AA6244" i="1" s="1"/>
  <c r="J6244" i="1"/>
  <c r="N6244" i="1" s="1"/>
  <c r="Y6242" i="1"/>
  <c r="AA6242" i="1" s="1"/>
  <c r="J6242" i="1"/>
  <c r="N6242" i="1" s="1"/>
  <c r="Y6240" i="1"/>
  <c r="AA6240" i="1" s="1"/>
  <c r="J6240" i="1"/>
  <c r="N6240" i="1" s="1"/>
  <c r="Y6238" i="1"/>
  <c r="AA6238" i="1" s="1"/>
  <c r="J6238" i="1"/>
  <c r="N6238" i="1" s="1"/>
  <c r="Y6236" i="1"/>
  <c r="AA6236" i="1" s="1"/>
  <c r="J6236" i="1"/>
  <c r="N6236" i="1" s="1"/>
  <c r="Y6234" i="1"/>
  <c r="AA6234" i="1" s="1"/>
  <c r="Y6232" i="1"/>
  <c r="AA6232" i="1" s="1"/>
  <c r="Y6230" i="1"/>
  <c r="AA6230" i="1" s="1"/>
  <c r="Y6228" i="1"/>
  <c r="AA6228" i="1" s="1"/>
  <c r="Y6226" i="1"/>
  <c r="AA6226" i="1" s="1"/>
  <c r="Y6224" i="1"/>
  <c r="AA6224" i="1" s="1"/>
  <c r="Y6222" i="1"/>
  <c r="AA6222" i="1" s="1"/>
  <c r="Y6220" i="1"/>
  <c r="AA6220" i="1" s="1"/>
  <c r="Y6218" i="1"/>
  <c r="AA6218" i="1" s="1"/>
  <c r="Y6216" i="1"/>
  <c r="AA6216" i="1" s="1"/>
  <c r="Y6214" i="1"/>
  <c r="AA6214" i="1" s="1"/>
  <c r="Y6212" i="1"/>
  <c r="AA6212" i="1" s="1"/>
  <c r="Y6210" i="1"/>
  <c r="AA6210" i="1" s="1"/>
  <c r="Y6208" i="1"/>
  <c r="AA6208" i="1" s="1"/>
  <c r="Y6206" i="1"/>
  <c r="AA6206" i="1" s="1"/>
  <c r="Y6204" i="1"/>
  <c r="AA6204" i="1" s="1"/>
  <c r="J6204" i="1"/>
  <c r="Y6202" i="1"/>
  <c r="AA6202" i="1" s="1"/>
  <c r="J6202" i="1"/>
  <c r="N6202" i="1" s="1"/>
  <c r="Y6200" i="1"/>
  <c r="AA6200" i="1" s="1"/>
  <c r="J6200" i="1"/>
  <c r="N6200" i="1" s="1"/>
  <c r="Y6198" i="1"/>
  <c r="AA6198" i="1" s="1"/>
  <c r="J6198" i="1"/>
  <c r="N6198" i="1" s="1"/>
  <c r="Y6196" i="1"/>
  <c r="AA6196" i="1" s="1"/>
  <c r="J6196" i="1"/>
  <c r="Y6194" i="1"/>
  <c r="AA6194" i="1" s="1"/>
  <c r="J6194" i="1"/>
  <c r="Y6192" i="1"/>
  <c r="AA6192" i="1" s="1"/>
  <c r="J6192" i="1"/>
  <c r="N6192" i="1" s="1"/>
  <c r="Y6190" i="1"/>
  <c r="AA6190" i="1" s="1"/>
  <c r="J6190" i="1"/>
  <c r="N6190" i="1" s="1"/>
  <c r="Y6188" i="1"/>
  <c r="AA6188" i="1" s="1"/>
  <c r="J6188" i="1"/>
  <c r="N6188" i="1" s="1"/>
  <c r="Y6186" i="1"/>
  <c r="AA6186" i="1" s="1"/>
  <c r="J6186" i="1"/>
  <c r="N6186" i="1" s="1"/>
  <c r="Y6184" i="1"/>
  <c r="AA6184" i="1" s="1"/>
  <c r="J6184" i="1"/>
  <c r="N6184" i="1" s="1"/>
  <c r="Y6182" i="1"/>
  <c r="AA6182" i="1" s="1"/>
  <c r="J6182" i="1"/>
  <c r="N6182" i="1" s="1"/>
  <c r="Y6180" i="1"/>
  <c r="AA6180" i="1" s="1"/>
  <c r="J6180" i="1"/>
  <c r="N6180" i="1" s="1"/>
  <c r="Y6178" i="1"/>
  <c r="AA6178" i="1" s="1"/>
  <c r="J6178" i="1"/>
  <c r="N6178" i="1" s="1"/>
  <c r="Y6176" i="1"/>
  <c r="AA6176" i="1" s="1"/>
  <c r="J6176" i="1"/>
  <c r="N6176" i="1" s="1"/>
  <c r="Y6174" i="1"/>
  <c r="AA6174" i="1" s="1"/>
  <c r="J6174" i="1"/>
  <c r="N6174" i="1" s="1"/>
  <c r="Y6172" i="1"/>
  <c r="AA6172" i="1" s="1"/>
  <c r="J6172" i="1"/>
  <c r="N6172" i="1" s="1"/>
  <c r="Y6170" i="1"/>
  <c r="AA6170" i="1" s="1"/>
  <c r="J6170" i="1"/>
  <c r="N6170" i="1" s="1"/>
  <c r="Y6168" i="1"/>
  <c r="AA6168" i="1" s="1"/>
  <c r="N6168" i="1"/>
  <c r="Y6166" i="1"/>
  <c r="AA6166" i="1" s="1"/>
  <c r="J6166" i="1"/>
  <c r="N6166" i="1" s="1"/>
  <c r="Y6164" i="1"/>
  <c r="AA6164" i="1" s="1"/>
  <c r="J6164" i="1"/>
  <c r="N6164" i="1" s="1"/>
  <c r="Y6162" i="1"/>
  <c r="AA6162" i="1" s="1"/>
  <c r="J6162" i="1"/>
  <c r="N6162" i="1" s="1"/>
  <c r="Y6160" i="1"/>
  <c r="AA6160" i="1" s="1"/>
  <c r="J6160" i="1"/>
  <c r="N6160" i="1" s="1"/>
  <c r="Y6158" i="1"/>
  <c r="AA6158" i="1" s="1"/>
  <c r="J6158" i="1"/>
  <c r="N6158" i="1" s="1"/>
  <c r="Y6156" i="1"/>
  <c r="AA6156" i="1" s="1"/>
  <c r="J6156" i="1"/>
  <c r="N6156" i="1" s="1"/>
  <c r="Y6154" i="1"/>
  <c r="AA6154" i="1" s="1"/>
  <c r="J6154" i="1"/>
  <c r="N6154" i="1" s="1"/>
  <c r="Y6152" i="1"/>
  <c r="AA6152" i="1" s="1"/>
  <c r="J6152" i="1"/>
  <c r="N6152" i="1" s="1"/>
  <c r="Y6150" i="1"/>
  <c r="AA6150" i="1" s="1"/>
  <c r="J6150" i="1"/>
  <c r="N6150" i="1" s="1"/>
  <c r="Y6148" i="1"/>
  <c r="AA6148" i="1" s="1"/>
  <c r="J6148" i="1"/>
  <c r="N6148" i="1" s="1"/>
  <c r="Y6146" i="1"/>
  <c r="AA6146" i="1" s="1"/>
  <c r="J6146" i="1"/>
  <c r="N6146" i="1" s="1"/>
  <c r="Y6144" i="1"/>
  <c r="AA6144" i="1" s="1"/>
  <c r="J6144" i="1"/>
  <c r="N6144" i="1" s="1"/>
  <c r="Y6142" i="1"/>
  <c r="AA6142" i="1" s="1"/>
  <c r="J6142" i="1"/>
  <c r="N6142" i="1" s="1"/>
  <c r="Y6140" i="1"/>
  <c r="AA6140" i="1" s="1"/>
  <c r="J6140" i="1"/>
  <c r="N6140" i="1" s="1"/>
  <c r="Y6138" i="1"/>
  <c r="AA6138" i="1" s="1"/>
  <c r="J6138" i="1"/>
  <c r="N6138" i="1" s="1"/>
  <c r="Y6136" i="1"/>
  <c r="AA6136" i="1" s="1"/>
  <c r="J6136" i="1"/>
  <c r="N6136" i="1" s="1"/>
  <c r="Y6134" i="1"/>
  <c r="AA6134" i="1" s="1"/>
  <c r="J6134" i="1"/>
  <c r="N6134" i="1" s="1"/>
  <c r="Y6132" i="1"/>
  <c r="AA6132" i="1" s="1"/>
  <c r="J6132" i="1"/>
  <c r="N6132" i="1" s="1"/>
  <c r="Y6130" i="1"/>
  <c r="AA6130" i="1" s="1"/>
  <c r="J6130" i="1"/>
  <c r="N6130" i="1" s="1"/>
  <c r="Y6128" i="1"/>
  <c r="AA6128" i="1" s="1"/>
  <c r="J6128" i="1"/>
  <c r="N6128" i="1" s="1"/>
  <c r="Y6126" i="1"/>
  <c r="AA6126" i="1" s="1"/>
  <c r="N6126" i="1"/>
  <c r="Y6124" i="1"/>
  <c r="AA6124" i="1" s="1"/>
  <c r="J6124" i="1"/>
  <c r="N6124" i="1" s="1"/>
  <c r="Y6122" i="1"/>
  <c r="AA6122" i="1" s="1"/>
  <c r="J6122" i="1"/>
  <c r="N6122" i="1" s="1"/>
  <c r="Y6120" i="1"/>
  <c r="AA6120" i="1" s="1"/>
  <c r="J6120" i="1"/>
  <c r="N6120" i="1" s="1"/>
  <c r="Y6118" i="1"/>
  <c r="AA6118" i="1" s="1"/>
  <c r="J6118" i="1"/>
  <c r="N6118" i="1" s="1"/>
  <c r="Y6116" i="1"/>
  <c r="AA6116" i="1" s="1"/>
  <c r="J6116" i="1"/>
  <c r="N6116" i="1" s="1"/>
  <c r="Y6114" i="1"/>
  <c r="AA6114" i="1" s="1"/>
  <c r="J6114" i="1"/>
  <c r="N6114" i="1" s="1"/>
  <c r="Y6112" i="1"/>
  <c r="AA6112" i="1" s="1"/>
  <c r="J6112" i="1"/>
  <c r="N6112" i="1" s="1"/>
  <c r="Y6110" i="1"/>
  <c r="AA6110" i="1" s="1"/>
  <c r="J6110" i="1"/>
  <c r="N6110" i="1" s="1"/>
  <c r="Y6108" i="1"/>
  <c r="AA6108" i="1" s="1"/>
  <c r="J6108" i="1"/>
  <c r="N6108" i="1" s="1"/>
  <c r="Y6106" i="1"/>
  <c r="AA6106" i="1" s="1"/>
  <c r="J6106" i="1"/>
  <c r="N6106" i="1" s="1"/>
  <c r="Y6104" i="1"/>
  <c r="AA6104" i="1" s="1"/>
  <c r="J6104" i="1"/>
  <c r="N6104" i="1" s="1"/>
  <c r="Y6102" i="1"/>
  <c r="AA6102" i="1" s="1"/>
  <c r="J6102" i="1"/>
  <c r="N6102" i="1" s="1"/>
  <c r="Y6100" i="1"/>
  <c r="AA6100" i="1" s="1"/>
  <c r="J6100" i="1"/>
  <c r="N6100" i="1" s="1"/>
  <c r="Y6098" i="1"/>
  <c r="AA6098" i="1" s="1"/>
  <c r="J6098" i="1"/>
  <c r="N6098" i="1" s="1"/>
  <c r="Y6096" i="1"/>
  <c r="AA6096" i="1" s="1"/>
  <c r="J6096" i="1"/>
  <c r="N6096" i="1" s="1"/>
  <c r="Y6094" i="1"/>
  <c r="AA6094" i="1" s="1"/>
  <c r="J6094" i="1"/>
  <c r="N6094" i="1" s="1"/>
  <c r="Y6092" i="1"/>
  <c r="AA6092" i="1" s="1"/>
  <c r="J6092" i="1"/>
  <c r="N6092" i="1" s="1"/>
  <c r="Y6090" i="1"/>
  <c r="AA6090" i="1" s="1"/>
  <c r="J6090" i="1"/>
  <c r="Y6088" i="1"/>
  <c r="AA6088" i="1" s="1"/>
  <c r="J6088" i="1"/>
  <c r="N6088" i="1" s="1"/>
  <c r="Y6086" i="1"/>
  <c r="AA6086" i="1" s="1"/>
  <c r="J6086" i="1"/>
  <c r="N6086" i="1" s="1"/>
  <c r="Y6084" i="1"/>
  <c r="AA6084" i="1" s="1"/>
  <c r="J6084" i="1"/>
  <c r="Y6082" i="1"/>
  <c r="AA6082" i="1" s="1"/>
  <c r="J6082" i="1"/>
  <c r="Y6080" i="1"/>
  <c r="AA6080" i="1" s="1"/>
  <c r="J6080" i="1"/>
  <c r="N6080" i="1" s="1"/>
  <c r="Y6078" i="1"/>
  <c r="AA6078" i="1" s="1"/>
  <c r="J6078" i="1"/>
  <c r="N6078" i="1" s="1"/>
  <c r="Y6076" i="1"/>
  <c r="AA6076" i="1" s="1"/>
  <c r="J6076" i="1"/>
  <c r="N6076" i="1" s="1"/>
  <c r="Y6074" i="1"/>
  <c r="AA6074" i="1" s="1"/>
  <c r="J6074" i="1"/>
  <c r="N6074" i="1" s="1"/>
  <c r="Y6072" i="1"/>
  <c r="AA6072" i="1" s="1"/>
  <c r="J6072" i="1"/>
  <c r="N6072" i="1" s="1"/>
  <c r="Y6070" i="1"/>
  <c r="J6070" i="1"/>
  <c r="N6070" i="1" s="1"/>
  <c r="Y6068" i="1"/>
  <c r="AA6068" i="1" s="1"/>
  <c r="J6068" i="1"/>
  <c r="N6068" i="1" s="1"/>
  <c r="Y6066" i="1"/>
  <c r="AA6066" i="1" s="1"/>
  <c r="J6066" i="1"/>
  <c r="N6066" i="1" s="1"/>
  <c r="Y6064" i="1"/>
  <c r="AA6064" i="1" s="1"/>
  <c r="J6064" i="1"/>
  <c r="N6064" i="1" s="1"/>
  <c r="Y6062" i="1"/>
  <c r="AA6062" i="1" s="1"/>
  <c r="J6062" i="1"/>
  <c r="N6062" i="1" s="1"/>
  <c r="Y6060" i="1"/>
  <c r="AA6060" i="1" s="1"/>
  <c r="J6060" i="1"/>
  <c r="N6060" i="1" s="1"/>
  <c r="Y6056" i="1"/>
  <c r="AA6056" i="1" s="1"/>
  <c r="J6056" i="1"/>
  <c r="N6056" i="1" s="1"/>
  <c r="Y6054" i="1"/>
  <c r="AA6054" i="1" s="1"/>
  <c r="J6054" i="1"/>
  <c r="N6054" i="1" s="1"/>
  <c r="Y6052" i="1"/>
  <c r="AA6052" i="1" s="1"/>
  <c r="J6052" i="1"/>
  <c r="N6052" i="1" s="1"/>
  <c r="Y6050" i="1"/>
  <c r="AA6050" i="1" s="1"/>
  <c r="J6050" i="1"/>
  <c r="N6050" i="1" s="1"/>
  <c r="Y6048" i="1"/>
  <c r="AA6048" i="1" s="1"/>
  <c r="J6048" i="1"/>
  <c r="N6048" i="1" s="1"/>
  <c r="Y6046" i="1"/>
  <c r="AA6046" i="1" s="1"/>
  <c r="J6046" i="1"/>
  <c r="N6046" i="1" s="1"/>
  <c r="Y6044" i="1"/>
  <c r="AA6044" i="1" s="1"/>
  <c r="J6044" i="1"/>
  <c r="N6044" i="1" s="1"/>
  <c r="Y6042" i="1"/>
  <c r="AA6042" i="1" s="1"/>
  <c r="J6042" i="1"/>
  <c r="N6042" i="1" s="1"/>
  <c r="Y6040" i="1"/>
  <c r="AA6040" i="1" s="1"/>
  <c r="J6040" i="1"/>
  <c r="N6040" i="1" s="1"/>
  <c r="Y6038" i="1"/>
  <c r="AA6038" i="1" s="1"/>
  <c r="J6038" i="1"/>
  <c r="N6038" i="1" s="1"/>
  <c r="Y6036" i="1"/>
  <c r="AA6036" i="1" s="1"/>
  <c r="J6036" i="1"/>
  <c r="N6036" i="1" s="1"/>
  <c r="Y6034" i="1"/>
  <c r="AA6034" i="1" s="1"/>
  <c r="J6034" i="1"/>
  <c r="N6034" i="1" s="1"/>
  <c r="Y6032" i="1"/>
  <c r="AA6032" i="1" s="1"/>
  <c r="J6032" i="1"/>
  <c r="N6032" i="1" s="1"/>
  <c r="Y6030" i="1"/>
  <c r="AA6030" i="1" s="1"/>
  <c r="J6030" i="1"/>
  <c r="N6030" i="1" s="1"/>
  <c r="Y6028" i="1"/>
  <c r="AA6028" i="1" s="1"/>
  <c r="J6028" i="1"/>
  <c r="N6028" i="1" s="1"/>
  <c r="Y6026" i="1"/>
  <c r="AA6026" i="1" s="1"/>
  <c r="Y6024" i="1"/>
  <c r="AA6024" i="1" s="1"/>
  <c r="Y6022" i="1"/>
  <c r="AA6022" i="1" s="1"/>
  <c r="Y6020" i="1"/>
  <c r="AA6020" i="1" s="1"/>
  <c r="Y6018" i="1"/>
  <c r="AA6018" i="1" s="1"/>
  <c r="Y6016" i="1"/>
  <c r="AA6016" i="1" s="1"/>
  <c r="Y6014" i="1"/>
  <c r="AA6014" i="1" s="1"/>
  <c r="Y6012" i="1"/>
  <c r="AA6012" i="1" s="1"/>
  <c r="Y6008" i="1"/>
  <c r="AA6008" i="1" s="1"/>
  <c r="J6008" i="1"/>
  <c r="N6008" i="1" s="1"/>
  <c r="Y6006" i="1"/>
  <c r="AA6006" i="1" s="1"/>
  <c r="J6006" i="1"/>
  <c r="N6006" i="1" s="1"/>
  <c r="Y6004" i="1"/>
  <c r="AA6004" i="1" s="1"/>
  <c r="J6004" i="1"/>
  <c r="N6004" i="1" s="1"/>
  <c r="Y6002" i="1"/>
  <c r="AA6002" i="1" s="1"/>
  <c r="J6002" i="1"/>
  <c r="N6002" i="1" s="1"/>
  <c r="Y6000" i="1"/>
  <c r="AA6000" i="1" s="1"/>
  <c r="J6000" i="1"/>
  <c r="N6000" i="1" s="1"/>
  <c r="Y5998" i="1"/>
  <c r="AA5998" i="1" s="1"/>
  <c r="J5998" i="1"/>
  <c r="N5998" i="1" s="1"/>
  <c r="Y5996" i="1"/>
  <c r="AA5996" i="1" s="1"/>
  <c r="J5996" i="1"/>
  <c r="N5996" i="1" s="1"/>
  <c r="Y5994" i="1"/>
  <c r="AA5994" i="1" s="1"/>
  <c r="J5994" i="1"/>
  <c r="Y5992" i="1"/>
  <c r="AA5992" i="1" s="1"/>
  <c r="J5992" i="1"/>
  <c r="N5992" i="1" s="1"/>
  <c r="Y5990" i="1"/>
  <c r="AA5990" i="1" s="1"/>
  <c r="J5990" i="1"/>
  <c r="N5990" i="1" s="1"/>
  <c r="K5798" i="1"/>
  <c r="Y5804" i="1"/>
  <c r="AA5804" i="1" s="1"/>
  <c r="J5804" i="1"/>
  <c r="N5804" i="1" s="1"/>
  <c r="Y5802" i="1"/>
  <c r="AA5802" i="1" s="1"/>
  <c r="J5802" i="1"/>
  <c r="N5802" i="1" s="1"/>
  <c r="Y5800" i="1"/>
  <c r="AA5800" i="1" s="1"/>
  <c r="J5800" i="1"/>
  <c r="N5800" i="1" s="1"/>
  <c r="Y5798" i="1"/>
  <c r="AA5798" i="1" s="1"/>
  <c r="J5798" i="1"/>
  <c r="Y5796" i="1"/>
  <c r="AA5796" i="1" s="1"/>
  <c r="J5796" i="1"/>
  <c r="N5796" i="1" s="1"/>
  <c r="K5810" i="1"/>
  <c r="K5794" i="1"/>
  <c r="Y5786" i="1"/>
  <c r="AA5786" i="1" s="1"/>
  <c r="J5786" i="1"/>
  <c r="N5786" i="1" s="1"/>
  <c r="K5732" i="1"/>
  <c r="I5748" i="1"/>
  <c r="J5748" i="1" s="1"/>
  <c r="N5748" i="1" s="1"/>
  <c r="Y5748" i="1"/>
  <c r="AA5748" i="1" s="1"/>
  <c r="I5750" i="1"/>
  <c r="J5750" i="1" s="1"/>
  <c r="N5750" i="1" s="1"/>
  <c r="I5746" i="1"/>
  <c r="J5746" i="1" s="1"/>
  <c r="N5746" i="1" s="1"/>
  <c r="Y5988" i="1"/>
  <c r="AA5988" i="1" s="1"/>
  <c r="J5988" i="1"/>
  <c r="N5988" i="1" s="1"/>
  <c r="Y5986" i="1"/>
  <c r="AA5986" i="1" s="1"/>
  <c r="J5986" i="1"/>
  <c r="N5986" i="1" s="1"/>
  <c r="Y5984" i="1"/>
  <c r="AA5984" i="1" s="1"/>
  <c r="J5984" i="1"/>
  <c r="N5984" i="1" s="1"/>
  <c r="Y5982" i="1"/>
  <c r="AA5982" i="1" s="1"/>
  <c r="J5982" i="1"/>
  <c r="N5982" i="1" s="1"/>
  <c r="Y5980" i="1"/>
  <c r="AA5980" i="1" s="1"/>
  <c r="J5980" i="1"/>
  <c r="N5980" i="1" s="1"/>
  <c r="Y5978" i="1"/>
  <c r="AA5978" i="1" s="1"/>
  <c r="J5978" i="1"/>
  <c r="N5978" i="1" s="1"/>
  <c r="Y5976" i="1"/>
  <c r="AA5976" i="1" s="1"/>
  <c r="J5976" i="1"/>
  <c r="N5976" i="1" s="1"/>
  <c r="Y5974" i="1"/>
  <c r="AA5974" i="1" s="1"/>
  <c r="J5974" i="1"/>
  <c r="N5974" i="1" s="1"/>
  <c r="Y5972" i="1"/>
  <c r="AA5972" i="1" s="1"/>
  <c r="J5972" i="1"/>
  <c r="N5972" i="1" s="1"/>
  <c r="Y5970" i="1"/>
  <c r="AA5970" i="1" s="1"/>
  <c r="J5970" i="1"/>
  <c r="N5970" i="1" s="1"/>
  <c r="Y5968" i="1"/>
  <c r="AA5968" i="1" s="1"/>
  <c r="J5968" i="1"/>
  <c r="N5968" i="1" s="1"/>
  <c r="Y5966" i="1"/>
  <c r="AA5966" i="1" s="1"/>
  <c r="J5966" i="1"/>
  <c r="N5966" i="1" s="1"/>
  <c r="Y5964" i="1"/>
  <c r="AA5964" i="1" s="1"/>
  <c r="J5964" i="1"/>
  <c r="N5964" i="1" s="1"/>
  <c r="Y5962" i="1"/>
  <c r="AA5962" i="1" s="1"/>
  <c r="J5962" i="1"/>
  <c r="N5962" i="1" s="1"/>
  <c r="Y5960" i="1"/>
  <c r="AA5960" i="1" s="1"/>
  <c r="J5960" i="1"/>
  <c r="N5960" i="1" s="1"/>
  <c r="Y5958" i="1"/>
  <c r="AA5958" i="1" s="1"/>
  <c r="J5958" i="1"/>
  <c r="N5958" i="1" s="1"/>
  <c r="Y5956" i="1"/>
  <c r="AA5956" i="1" s="1"/>
  <c r="J5956" i="1"/>
  <c r="N5956" i="1" s="1"/>
  <c r="Y5954" i="1"/>
  <c r="AA5954" i="1" s="1"/>
  <c r="J5954" i="1"/>
  <c r="N5954" i="1" s="1"/>
  <c r="Y5952" i="1"/>
  <c r="AA5952" i="1" s="1"/>
  <c r="J5952" i="1"/>
  <c r="N5952" i="1" s="1"/>
  <c r="Y5950" i="1"/>
  <c r="AA5950" i="1" s="1"/>
  <c r="J5950" i="1"/>
  <c r="N5950" i="1" s="1"/>
  <c r="Y5948" i="1"/>
  <c r="AA5948" i="1" s="1"/>
  <c r="J5948" i="1"/>
  <c r="N5948" i="1" s="1"/>
  <c r="Y5946" i="1"/>
  <c r="AA5946" i="1" s="1"/>
  <c r="J5946" i="1"/>
  <c r="N5946" i="1" s="1"/>
  <c r="Y5944" i="1"/>
  <c r="AA5944" i="1" s="1"/>
  <c r="J5944" i="1"/>
  <c r="N5944" i="1" s="1"/>
  <c r="Y5942" i="1"/>
  <c r="AA5942" i="1" s="1"/>
  <c r="J5942" i="1"/>
  <c r="N5942" i="1" s="1"/>
  <c r="Y5940" i="1"/>
  <c r="AA5940" i="1" s="1"/>
  <c r="J5940" i="1"/>
  <c r="N5940" i="1" s="1"/>
  <c r="Y5938" i="1"/>
  <c r="AA5938" i="1" s="1"/>
  <c r="J5938" i="1"/>
  <c r="N5938" i="1" s="1"/>
  <c r="Y5936" i="1"/>
  <c r="AA5936" i="1" s="1"/>
  <c r="N5936" i="1"/>
  <c r="Y5934" i="1"/>
  <c r="AA5934" i="1" s="1"/>
  <c r="J5934" i="1"/>
  <c r="N5934" i="1" s="1"/>
  <c r="Y5932" i="1"/>
  <c r="AA5932" i="1" s="1"/>
  <c r="J5932" i="1"/>
  <c r="N5932" i="1" s="1"/>
  <c r="Y5930" i="1"/>
  <c r="AA5930" i="1" s="1"/>
  <c r="J5930" i="1"/>
  <c r="N5930" i="1" s="1"/>
  <c r="Y5928" i="1"/>
  <c r="AA5928" i="1" s="1"/>
  <c r="J5928" i="1"/>
  <c r="N5928" i="1" s="1"/>
  <c r="Y5926" i="1"/>
  <c r="AA5926" i="1" s="1"/>
  <c r="J5926" i="1"/>
  <c r="N5926" i="1" s="1"/>
  <c r="Y5924" i="1"/>
  <c r="AA5924" i="1" s="1"/>
  <c r="J5924" i="1"/>
  <c r="N5924" i="1" s="1"/>
  <c r="Y5922" i="1"/>
  <c r="AA5922" i="1" s="1"/>
  <c r="J5922" i="1"/>
  <c r="N5922" i="1" s="1"/>
  <c r="Y5920" i="1"/>
  <c r="AA5920" i="1" s="1"/>
  <c r="J5920" i="1"/>
  <c r="N5920" i="1" s="1"/>
  <c r="Y5918" i="1"/>
  <c r="AA5918" i="1" s="1"/>
  <c r="J5918" i="1"/>
  <c r="N5918" i="1" s="1"/>
  <c r="Y5916" i="1"/>
  <c r="AA5916" i="1" s="1"/>
  <c r="J5916" i="1"/>
  <c r="N5916" i="1" s="1"/>
  <c r="Y5914" i="1"/>
  <c r="AA5914" i="1" s="1"/>
  <c r="J5914" i="1"/>
  <c r="N5914" i="1" s="1"/>
  <c r="Y5912" i="1"/>
  <c r="AA5912" i="1" s="1"/>
  <c r="J5912" i="1"/>
  <c r="N5912" i="1" s="1"/>
  <c r="Y5910" i="1"/>
  <c r="AA5910" i="1" s="1"/>
  <c r="J5910" i="1"/>
  <c r="N5910" i="1" s="1"/>
  <c r="Y5908" i="1"/>
  <c r="AA5908" i="1" s="1"/>
  <c r="J5908" i="1"/>
  <c r="N5908" i="1" s="1"/>
  <c r="Y5906" i="1"/>
  <c r="AA5906" i="1" s="1"/>
  <c r="J5906" i="1"/>
  <c r="N5906" i="1" s="1"/>
  <c r="Y5904" i="1"/>
  <c r="AA5904" i="1" s="1"/>
  <c r="J5904" i="1"/>
  <c r="N5904" i="1" s="1"/>
  <c r="Y5902" i="1"/>
  <c r="AA5902" i="1" s="1"/>
  <c r="J5902" i="1"/>
  <c r="N5902" i="1" s="1"/>
  <c r="Y5900" i="1"/>
  <c r="AA5900" i="1" s="1"/>
  <c r="J5900" i="1"/>
  <c r="N5900" i="1" s="1"/>
  <c r="Y5898" i="1"/>
  <c r="AA5898" i="1" s="1"/>
  <c r="J5898" i="1"/>
  <c r="N5898" i="1" s="1"/>
  <c r="Y5896" i="1"/>
  <c r="AA5896" i="1" s="1"/>
  <c r="J5896" i="1"/>
  <c r="N5896" i="1" s="1"/>
  <c r="Y5894" i="1"/>
  <c r="AA5894" i="1" s="1"/>
  <c r="J5894" i="1"/>
  <c r="N5894" i="1" s="1"/>
  <c r="Y5892" i="1"/>
  <c r="AA5892" i="1" s="1"/>
  <c r="J5892" i="1"/>
  <c r="N5892" i="1" s="1"/>
  <c r="Y5890" i="1"/>
  <c r="AA5890" i="1" s="1"/>
  <c r="J5890" i="1"/>
  <c r="N5890" i="1" s="1"/>
  <c r="Y5888" i="1"/>
  <c r="AA5888" i="1" s="1"/>
  <c r="J5888" i="1"/>
  <c r="N5888" i="1" s="1"/>
  <c r="Y5886" i="1"/>
  <c r="AA5886" i="1" s="1"/>
  <c r="J5886" i="1"/>
  <c r="N5886" i="1" s="1"/>
  <c r="Y5884" i="1"/>
  <c r="AA5884" i="1" s="1"/>
  <c r="J5884" i="1"/>
  <c r="N5884" i="1" s="1"/>
  <c r="Y5882" i="1"/>
  <c r="AA5882" i="1" s="1"/>
  <c r="J5882" i="1"/>
  <c r="N5882" i="1" s="1"/>
  <c r="Y5880" i="1"/>
  <c r="AA5880" i="1" s="1"/>
  <c r="J5880" i="1"/>
  <c r="N5880" i="1" s="1"/>
  <c r="Y5878" i="1"/>
  <c r="AA5878" i="1" s="1"/>
  <c r="J5878" i="1"/>
  <c r="N5878" i="1" s="1"/>
  <c r="Y5876" i="1"/>
  <c r="AA5876" i="1" s="1"/>
  <c r="J5876" i="1"/>
  <c r="N5876" i="1" s="1"/>
  <c r="Y5874" i="1"/>
  <c r="AA5874" i="1" s="1"/>
  <c r="J5874" i="1"/>
  <c r="N5874" i="1" s="1"/>
  <c r="Y5872" i="1"/>
  <c r="AA5872" i="1" s="1"/>
  <c r="J5872" i="1"/>
  <c r="N5872" i="1" s="1"/>
  <c r="Y5870" i="1"/>
  <c r="AA5870" i="1" s="1"/>
  <c r="J5870" i="1"/>
  <c r="N5870" i="1" s="1"/>
  <c r="Y5868" i="1"/>
  <c r="AA5868" i="1" s="1"/>
  <c r="J5868" i="1"/>
  <c r="N5868" i="1" s="1"/>
  <c r="Y5866" i="1"/>
  <c r="AA5866" i="1" s="1"/>
  <c r="J5866" i="1"/>
  <c r="N5866" i="1" s="1"/>
  <c r="Y5864" i="1"/>
  <c r="AA5864" i="1" s="1"/>
  <c r="J5864" i="1"/>
  <c r="N5864" i="1" s="1"/>
  <c r="Y5862" i="1"/>
  <c r="AA5862" i="1" s="1"/>
  <c r="J5862" i="1"/>
  <c r="N5862" i="1" s="1"/>
  <c r="Y5860" i="1"/>
  <c r="AA5860" i="1" s="1"/>
  <c r="J5860" i="1"/>
  <c r="N5860" i="1" s="1"/>
  <c r="Y5858" i="1"/>
  <c r="AA5858" i="1" s="1"/>
  <c r="J5858" i="1"/>
  <c r="N5858" i="1" s="1"/>
  <c r="Y5856" i="1"/>
  <c r="AA5856" i="1" s="1"/>
  <c r="J5856" i="1"/>
  <c r="N5856" i="1" s="1"/>
  <c r="Y5854" i="1"/>
  <c r="AA5854" i="1" s="1"/>
  <c r="J5854" i="1"/>
  <c r="N5854" i="1" s="1"/>
  <c r="Y5852" i="1"/>
  <c r="AA5852" i="1" s="1"/>
  <c r="N5852" i="1"/>
  <c r="Y5850" i="1"/>
  <c r="AA5850" i="1" s="1"/>
  <c r="J5850" i="1"/>
  <c r="N5850" i="1" s="1"/>
  <c r="Y5848" i="1"/>
  <c r="AA5848" i="1" s="1"/>
  <c r="J5848" i="1"/>
  <c r="N5848" i="1" s="1"/>
  <c r="Y5846" i="1"/>
  <c r="AA5846" i="1" s="1"/>
  <c r="J5846" i="1"/>
  <c r="N5846" i="1" s="1"/>
  <c r="Y5844" i="1"/>
  <c r="AA5844" i="1" s="1"/>
  <c r="J5844" i="1"/>
  <c r="N5844" i="1" s="1"/>
  <c r="Y5842" i="1"/>
  <c r="AA5842" i="1" s="1"/>
  <c r="J5842" i="1"/>
  <c r="N5842" i="1" s="1"/>
  <c r="Y5840" i="1"/>
  <c r="AA5840" i="1" s="1"/>
  <c r="J5840" i="1"/>
  <c r="N5840" i="1" s="1"/>
  <c r="Y5838" i="1"/>
  <c r="AA5838" i="1" s="1"/>
  <c r="J5838" i="1"/>
  <c r="N5838" i="1" s="1"/>
  <c r="Y5836" i="1"/>
  <c r="AA5836" i="1" s="1"/>
  <c r="J5836" i="1"/>
  <c r="N5836" i="1" s="1"/>
  <c r="Y5834" i="1"/>
  <c r="AA5834" i="1" s="1"/>
  <c r="J5834" i="1"/>
  <c r="N5834" i="1" s="1"/>
  <c r="Y5832" i="1"/>
  <c r="AA5832" i="1" s="1"/>
  <c r="J5832" i="1"/>
  <c r="N5832" i="1" s="1"/>
  <c r="Y5830" i="1"/>
  <c r="AA5830" i="1" s="1"/>
  <c r="J5830" i="1"/>
  <c r="N5830" i="1" s="1"/>
  <c r="I5664" i="1"/>
  <c r="J5664" i="1" s="1"/>
  <c r="N5664" i="1" s="1"/>
  <c r="I5662" i="1"/>
  <c r="I5660" i="1"/>
  <c r="J5660" i="1" s="1"/>
  <c r="N5660" i="1" s="1"/>
  <c r="I5658" i="1"/>
  <c r="J5658" i="1" s="1"/>
  <c r="I5656" i="1"/>
  <c r="J5656" i="1" s="1"/>
  <c r="N5656" i="1" s="1"/>
  <c r="I5654" i="1"/>
  <c r="J5654" i="1" s="1"/>
  <c r="N5654" i="1" s="1"/>
  <c r="I5652" i="1"/>
  <c r="J5652" i="1" s="1"/>
  <c r="N5652" i="1" s="1"/>
  <c r="I5650" i="1"/>
  <c r="J5650" i="1" s="1"/>
  <c r="N5650" i="1" s="1"/>
  <c r="I5648" i="1"/>
  <c r="J5648" i="1" s="1"/>
  <c r="N5648" i="1" s="1"/>
  <c r="I5646" i="1"/>
  <c r="J5646" i="1" s="1"/>
  <c r="N5646" i="1" s="1"/>
  <c r="I5644" i="1"/>
  <c r="J5644" i="1" s="1"/>
  <c r="I5642" i="1"/>
  <c r="J5642" i="1" s="1"/>
  <c r="N5642" i="1" s="1"/>
  <c r="K5640" i="1"/>
  <c r="K5604" i="1"/>
  <c r="K5602" i="1"/>
  <c r="K5578" i="1"/>
  <c r="K5576" i="1"/>
  <c r="K5574" i="1"/>
  <c r="Y5828" i="1"/>
  <c r="AA5828" i="1" s="1"/>
  <c r="J5828" i="1"/>
  <c r="N5828" i="1" s="1"/>
  <c r="Y5826" i="1"/>
  <c r="AA5826" i="1" s="1"/>
  <c r="J5826" i="1"/>
  <c r="N5826" i="1" s="1"/>
  <c r="Y5824" i="1"/>
  <c r="AA5824" i="1" s="1"/>
  <c r="J5824" i="1"/>
  <c r="N5824" i="1" s="1"/>
  <c r="Y5822" i="1"/>
  <c r="AA5822" i="1" s="1"/>
  <c r="J5822" i="1"/>
  <c r="N5822" i="1" s="1"/>
  <c r="Y5820" i="1"/>
  <c r="AA5820" i="1" s="1"/>
  <c r="J5820" i="1"/>
  <c r="N5820" i="1" s="1"/>
  <c r="Y5818" i="1"/>
  <c r="AA5818" i="1" s="1"/>
  <c r="J5818" i="1"/>
  <c r="N5818" i="1" s="1"/>
  <c r="Y5816" i="1"/>
  <c r="AA5816" i="1" s="1"/>
  <c r="J5816" i="1"/>
  <c r="N5816" i="1" s="1"/>
  <c r="Y5814" i="1"/>
  <c r="AA5814" i="1" s="1"/>
  <c r="N5814" i="1"/>
  <c r="Y5812" i="1"/>
  <c r="AA5812" i="1" s="1"/>
  <c r="J5812" i="1"/>
  <c r="N5812" i="1" s="1"/>
  <c r="Y5810" i="1"/>
  <c r="AA5810" i="1" s="1"/>
  <c r="J5810" i="1"/>
  <c r="Y5808" i="1"/>
  <c r="AA5808" i="1" s="1"/>
  <c r="J5808" i="1"/>
  <c r="N5808" i="1" s="1"/>
  <c r="Y5806" i="1"/>
  <c r="AA5806" i="1" s="1"/>
  <c r="J5806" i="1"/>
  <c r="N5806" i="1" s="1"/>
  <c r="Y5794" i="1"/>
  <c r="AA5794" i="1" s="1"/>
  <c r="J5794" i="1"/>
  <c r="Y5792" i="1"/>
  <c r="AA5792" i="1" s="1"/>
  <c r="J5792" i="1"/>
  <c r="N5792" i="1" s="1"/>
  <c r="Y5790" i="1"/>
  <c r="AA5790" i="1" s="1"/>
  <c r="J5790" i="1"/>
  <c r="N5790" i="1" s="1"/>
  <c r="Y5788" i="1"/>
  <c r="AA5788" i="1" s="1"/>
  <c r="J5788" i="1"/>
  <c r="N5788" i="1" s="1"/>
  <c r="Y5784" i="1"/>
  <c r="AA5784" i="1" s="1"/>
  <c r="J5784" i="1"/>
  <c r="N5784" i="1" s="1"/>
  <c r="Y5782" i="1"/>
  <c r="AA5782" i="1" s="1"/>
  <c r="J5782" i="1"/>
  <c r="N5782" i="1" s="1"/>
  <c r="Y5780" i="1"/>
  <c r="AA5780" i="1" s="1"/>
  <c r="J5780" i="1"/>
  <c r="N5780" i="1" s="1"/>
  <c r="Y5778" i="1"/>
  <c r="AA5778" i="1" s="1"/>
  <c r="J5778" i="1"/>
  <c r="N5778" i="1" s="1"/>
  <c r="Y5776" i="1"/>
  <c r="AA5776" i="1" s="1"/>
  <c r="J5776" i="1"/>
  <c r="N5776" i="1" s="1"/>
  <c r="Y5774" i="1"/>
  <c r="AA5774" i="1" s="1"/>
  <c r="J5774" i="1"/>
  <c r="N5774" i="1" s="1"/>
  <c r="Y5772" i="1"/>
  <c r="AA5772" i="1" s="1"/>
  <c r="J5772" i="1"/>
  <c r="N5772" i="1" s="1"/>
  <c r="Y5770" i="1"/>
  <c r="AA5770" i="1" s="1"/>
  <c r="J5770" i="1"/>
  <c r="N5770" i="1" s="1"/>
  <c r="Y5768" i="1"/>
  <c r="AA5768" i="1" s="1"/>
  <c r="J5768" i="1"/>
  <c r="N5768" i="1" s="1"/>
  <c r="Y5766" i="1"/>
  <c r="AA5766" i="1" s="1"/>
  <c r="J5766" i="1"/>
  <c r="N5766" i="1" s="1"/>
  <c r="Y5764" i="1"/>
  <c r="AA5764" i="1" s="1"/>
  <c r="J5764" i="1"/>
  <c r="N5764" i="1" s="1"/>
  <c r="Y5762" i="1"/>
  <c r="AA5762" i="1" s="1"/>
  <c r="J5762" i="1"/>
  <c r="N5762" i="1" s="1"/>
  <c r="Y5760" i="1"/>
  <c r="AA5760" i="1" s="1"/>
  <c r="J5760" i="1"/>
  <c r="N5760" i="1" s="1"/>
  <c r="Y5758" i="1"/>
  <c r="AA5758" i="1" s="1"/>
  <c r="J5758" i="1"/>
  <c r="N5758" i="1" s="1"/>
  <c r="Y5756" i="1"/>
  <c r="AA5756" i="1" s="1"/>
  <c r="J5756" i="1"/>
  <c r="N5756" i="1" s="1"/>
  <c r="Y5754" i="1"/>
  <c r="AA5754" i="1" s="1"/>
  <c r="J5754" i="1"/>
  <c r="N5754" i="1" s="1"/>
  <c r="Y5752" i="1"/>
  <c r="AA5752" i="1" s="1"/>
  <c r="J5752" i="1"/>
  <c r="N5752" i="1" s="1"/>
  <c r="Y5750" i="1"/>
  <c r="AA5750" i="1" s="1"/>
  <c r="Y5746" i="1"/>
  <c r="AA5746" i="1" s="1"/>
  <c r="Y5744" i="1"/>
  <c r="AA5744" i="1" s="1"/>
  <c r="J5744" i="1"/>
  <c r="N5744" i="1" s="1"/>
  <c r="Y5742" i="1"/>
  <c r="AA5742" i="1" s="1"/>
  <c r="J5742" i="1"/>
  <c r="N5742" i="1" s="1"/>
  <c r="Y5740" i="1"/>
  <c r="AA5740" i="1" s="1"/>
  <c r="J5740" i="1"/>
  <c r="N5740" i="1" s="1"/>
  <c r="Y5738" i="1"/>
  <c r="AA5738" i="1" s="1"/>
  <c r="J5738" i="1"/>
  <c r="N5738" i="1" s="1"/>
  <c r="Y5736" i="1"/>
  <c r="AA5736" i="1" s="1"/>
  <c r="J5736" i="1"/>
  <c r="Y5734" i="1"/>
  <c r="AA5734" i="1" s="1"/>
  <c r="J5734" i="1"/>
  <c r="N5734" i="1" s="1"/>
  <c r="Y5732" i="1"/>
  <c r="AA5732" i="1" s="1"/>
  <c r="J5732" i="1"/>
  <c r="Y5730" i="1"/>
  <c r="AA5730" i="1" s="1"/>
  <c r="J5730" i="1"/>
  <c r="N5730" i="1" s="1"/>
  <c r="AA5728" i="1"/>
  <c r="J5728" i="1"/>
  <c r="N5728" i="1" s="1"/>
  <c r="Y5726" i="1"/>
  <c r="AA5726" i="1" s="1"/>
  <c r="J5726" i="1"/>
  <c r="N5726" i="1" s="1"/>
  <c r="Y5724" i="1"/>
  <c r="AA5724" i="1" s="1"/>
  <c r="J5724" i="1"/>
  <c r="N5724" i="1" s="1"/>
  <c r="Y5722" i="1"/>
  <c r="AA5722" i="1" s="1"/>
  <c r="J5722" i="1"/>
  <c r="N5722" i="1" s="1"/>
  <c r="Y5720" i="1"/>
  <c r="AA5720" i="1" s="1"/>
  <c r="J5720" i="1"/>
  <c r="N5720" i="1" s="1"/>
  <c r="Y5718" i="1"/>
  <c r="AA5718" i="1" s="1"/>
  <c r="J5718" i="1"/>
  <c r="N5718" i="1" s="1"/>
  <c r="Y5716" i="1"/>
  <c r="AA5716" i="1" s="1"/>
  <c r="J5716" i="1"/>
  <c r="N5716" i="1" s="1"/>
  <c r="Y5714" i="1"/>
  <c r="AA5714" i="1" s="1"/>
  <c r="J5714" i="1"/>
  <c r="N5714" i="1" s="1"/>
  <c r="Y5712" i="1"/>
  <c r="AA5712" i="1" s="1"/>
  <c r="J5712" i="1"/>
  <c r="N5712" i="1" s="1"/>
  <c r="Y5710" i="1"/>
  <c r="AA5710" i="1" s="1"/>
  <c r="J5710" i="1"/>
  <c r="N5710" i="1" s="1"/>
  <c r="Y5708" i="1"/>
  <c r="AA5708" i="1" s="1"/>
  <c r="J5708" i="1"/>
  <c r="N5708" i="1" s="1"/>
  <c r="Y5706" i="1"/>
  <c r="AA5706" i="1" s="1"/>
  <c r="J5706" i="1"/>
  <c r="N5706" i="1" s="1"/>
  <c r="Y5704" i="1"/>
  <c r="AA5704" i="1" s="1"/>
  <c r="J5704" i="1"/>
  <c r="N5704" i="1" s="1"/>
  <c r="Y5702" i="1"/>
  <c r="AA5702" i="1" s="1"/>
  <c r="J5702" i="1"/>
  <c r="N5702" i="1" s="1"/>
  <c r="AA5700" i="1"/>
  <c r="J5700" i="1"/>
  <c r="N5700" i="1" s="1"/>
  <c r="Y5698" i="1"/>
  <c r="AA5698" i="1" s="1"/>
  <c r="J5698" i="1"/>
  <c r="N5698" i="1" s="1"/>
  <c r="Y5696" i="1"/>
  <c r="AA5696" i="1" s="1"/>
  <c r="J5696" i="1"/>
  <c r="N5696" i="1" s="1"/>
  <c r="Y5694" i="1"/>
  <c r="AA5694" i="1" s="1"/>
  <c r="J5694" i="1"/>
  <c r="N5694" i="1" s="1"/>
  <c r="Y5692" i="1"/>
  <c r="AA5692" i="1" s="1"/>
  <c r="J5692" i="1"/>
  <c r="N5692" i="1" s="1"/>
  <c r="Y5690" i="1"/>
  <c r="AA5690" i="1" s="1"/>
  <c r="J5690" i="1"/>
  <c r="N5690" i="1" s="1"/>
  <c r="Y5688" i="1"/>
  <c r="AA5688" i="1" s="1"/>
  <c r="J5688" i="1"/>
  <c r="N5688" i="1" s="1"/>
  <c r="J5686" i="1"/>
  <c r="N5686" i="1" s="1"/>
  <c r="Y5684" i="1"/>
  <c r="AA5684" i="1" s="1"/>
  <c r="J5684" i="1"/>
  <c r="N5684" i="1" s="1"/>
  <c r="Y5682" i="1"/>
  <c r="AA5682" i="1" s="1"/>
  <c r="J5682" i="1"/>
  <c r="N5682" i="1" s="1"/>
  <c r="Y5680" i="1"/>
  <c r="AA5680" i="1" s="1"/>
  <c r="J5680" i="1"/>
  <c r="N5680" i="1" s="1"/>
  <c r="Y5678" i="1"/>
  <c r="AA5678" i="1" s="1"/>
  <c r="J5678" i="1"/>
  <c r="N5678" i="1" s="1"/>
  <c r="Y5676" i="1"/>
  <c r="AA5676" i="1" s="1"/>
  <c r="J5676" i="1"/>
  <c r="N5676" i="1" s="1"/>
  <c r="Y5674" i="1"/>
  <c r="AA5674" i="1" s="1"/>
  <c r="J5674" i="1"/>
  <c r="N5674" i="1" s="1"/>
  <c r="Y5672" i="1"/>
  <c r="AA5672" i="1" s="1"/>
  <c r="J5672" i="1"/>
  <c r="N5672" i="1" s="1"/>
  <c r="Y5670" i="1"/>
  <c r="AA5670" i="1" s="1"/>
  <c r="J5670" i="1"/>
  <c r="N5670" i="1" s="1"/>
  <c r="Y5668" i="1"/>
  <c r="AA5668" i="1" s="1"/>
  <c r="J5668" i="1"/>
  <c r="N5668" i="1" s="1"/>
  <c r="Y5666" i="1"/>
  <c r="AA5666" i="1" s="1"/>
  <c r="J5666" i="1"/>
  <c r="N5666" i="1" s="1"/>
  <c r="Y5664" i="1"/>
  <c r="AA5664" i="1" s="1"/>
  <c r="Y5662" i="1"/>
  <c r="AA5662" i="1" s="1"/>
  <c r="Y5660" i="1"/>
  <c r="AA5660" i="1" s="1"/>
  <c r="Y5658" i="1"/>
  <c r="AA5658" i="1" s="1"/>
  <c r="Y5656" i="1"/>
  <c r="AA5656" i="1" s="1"/>
  <c r="Y5654" i="1"/>
  <c r="AA5654" i="1" s="1"/>
  <c r="Y5652" i="1"/>
  <c r="AA5652" i="1" s="1"/>
  <c r="Y5650" i="1"/>
  <c r="AA5650" i="1" s="1"/>
  <c r="Y5648" i="1"/>
  <c r="AA5648" i="1" s="1"/>
  <c r="Y5646" i="1"/>
  <c r="AA5646" i="1" s="1"/>
  <c r="Y5644" i="1"/>
  <c r="AA5644" i="1" s="1"/>
  <c r="Y5642" i="1"/>
  <c r="AA5642" i="1" s="1"/>
  <c r="Y5640" i="1"/>
  <c r="AA5640" i="1" s="1"/>
  <c r="J5640" i="1"/>
  <c r="Y5638" i="1"/>
  <c r="AA5638" i="1" s="1"/>
  <c r="J5638" i="1"/>
  <c r="N5638" i="1" s="1"/>
  <c r="Y5636" i="1"/>
  <c r="AA5636" i="1" s="1"/>
  <c r="J5636" i="1"/>
  <c r="N5636" i="1" s="1"/>
  <c r="Y5634" i="1"/>
  <c r="AA5634" i="1" s="1"/>
  <c r="J5634" i="1"/>
  <c r="N5634" i="1" s="1"/>
  <c r="Y5632" i="1"/>
  <c r="AA5632" i="1" s="1"/>
  <c r="J5632" i="1"/>
  <c r="N5632" i="1" s="1"/>
  <c r="Y5630" i="1"/>
  <c r="AA5630" i="1" s="1"/>
  <c r="J5630" i="1"/>
  <c r="N5630" i="1" s="1"/>
  <c r="Y5628" i="1"/>
  <c r="AA5628" i="1" s="1"/>
  <c r="J5628" i="1"/>
  <c r="N5628" i="1" s="1"/>
  <c r="Y5626" i="1"/>
  <c r="AA5626" i="1" s="1"/>
  <c r="J5626" i="1"/>
  <c r="N5626" i="1" s="1"/>
  <c r="Y5624" i="1"/>
  <c r="AA5624" i="1" s="1"/>
  <c r="J5624" i="1"/>
  <c r="N5624" i="1" s="1"/>
  <c r="Y5622" i="1"/>
  <c r="AA5622" i="1" s="1"/>
  <c r="J5622" i="1"/>
  <c r="N5622" i="1" s="1"/>
  <c r="Y5620" i="1"/>
  <c r="AA5620" i="1" s="1"/>
  <c r="J5620" i="1"/>
  <c r="N5620" i="1" s="1"/>
  <c r="Y5618" i="1"/>
  <c r="AA5618" i="1" s="1"/>
  <c r="J5618" i="1"/>
  <c r="N5618" i="1" s="1"/>
  <c r="Y5616" i="1"/>
  <c r="AA5616" i="1" s="1"/>
  <c r="J5616" i="1"/>
  <c r="N5616" i="1" s="1"/>
  <c r="Y5614" i="1"/>
  <c r="AA5614" i="1" s="1"/>
  <c r="J5614" i="1"/>
  <c r="N5614" i="1" s="1"/>
  <c r="Y5612" i="1"/>
  <c r="AA5612" i="1" s="1"/>
  <c r="J5612" i="1"/>
  <c r="N5612" i="1" s="1"/>
  <c r="Y5610" i="1"/>
  <c r="AA5610" i="1" s="1"/>
  <c r="J5610" i="1"/>
  <c r="N5610" i="1" s="1"/>
  <c r="Y5608" i="1"/>
  <c r="AA5608" i="1" s="1"/>
  <c r="J5608" i="1"/>
  <c r="N5608" i="1" s="1"/>
  <c r="Y5606" i="1"/>
  <c r="AA5606" i="1" s="1"/>
  <c r="J5606" i="1"/>
  <c r="N5606" i="1" s="1"/>
  <c r="Y5604" i="1"/>
  <c r="AA5604" i="1" s="1"/>
  <c r="J5604" i="1"/>
  <c r="Y5602" i="1"/>
  <c r="AA5602" i="1" s="1"/>
  <c r="J5602" i="1"/>
  <c r="Y5600" i="1"/>
  <c r="AA5600" i="1" s="1"/>
  <c r="J5600" i="1"/>
  <c r="N5600" i="1" s="1"/>
  <c r="Y5598" i="1"/>
  <c r="AA5598" i="1" s="1"/>
  <c r="J5598" i="1"/>
  <c r="N5598" i="1" s="1"/>
  <c r="Y5596" i="1"/>
  <c r="AA5596" i="1" s="1"/>
  <c r="J5596" i="1"/>
  <c r="N5596" i="1" s="1"/>
  <c r="Y5594" i="1"/>
  <c r="AA5594" i="1" s="1"/>
  <c r="J5594" i="1"/>
  <c r="N5594" i="1" s="1"/>
  <c r="Y5592" i="1"/>
  <c r="AA5592" i="1" s="1"/>
  <c r="J5592" i="1"/>
  <c r="N5592" i="1" s="1"/>
  <c r="Y5590" i="1"/>
  <c r="AA5590" i="1" s="1"/>
  <c r="J5590" i="1"/>
  <c r="N5590" i="1" s="1"/>
  <c r="Y5588" i="1"/>
  <c r="AA5588" i="1" s="1"/>
  <c r="J5588" i="1"/>
  <c r="N5588" i="1" s="1"/>
  <c r="Y5586" i="1"/>
  <c r="AA5586" i="1" s="1"/>
  <c r="J5586" i="1"/>
  <c r="N5586" i="1" s="1"/>
  <c r="Y5584" i="1"/>
  <c r="AA5584" i="1" s="1"/>
  <c r="J5584" i="1"/>
  <c r="N5584" i="1" s="1"/>
  <c r="Y5582" i="1"/>
  <c r="AA5582" i="1" s="1"/>
  <c r="J5582" i="1"/>
  <c r="N5582" i="1" s="1"/>
  <c r="Y5580" i="1"/>
  <c r="AA5580" i="1" s="1"/>
  <c r="J5580" i="1"/>
  <c r="N5580" i="1" s="1"/>
  <c r="Y5578" i="1"/>
  <c r="AA5578" i="1" s="1"/>
  <c r="J5578" i="1"/>
  <c r="Y5576" i="1"/>
  <c r="AA5576" i="1" s="1"/>
  <c r="J5576" i="1"/>
  <c r="Y5574" i="1"/>
  <c r="AA5574" i="1" s="1"/>
  <c r="J5574" i="1"/>
  <c r="Y5572" i="1"/>
  <c r="AA5572" i="1" s="1"/>
  <c r="J5572" i="1"/>
  <c r="N5572" i="1" s="1"/>
  <c r="Y5570" i="1"/>
  <c r="AA5570" i="1" s="1"/>
  <c r="J5570" i="1"/>
  <c r="N5570" i="1" s="1"/>
  <c r="Y5568" i="1"/>
  <c r="AA5568" i="1" s="1"/>
  <c r="J5568" i="1"/>
  <c r="N5568" i="1" s="1"/>
  <c r="Y5566" i="1"/>
  <c r="AA5566" i="1" s="1"/>
  <c r="J5566" i="1"/>
  <c r="N5566" i="1" s="1"/>
  <c r="Y5564" i="1"/>
  <c r="AA5564" i="1" s="1"/>
  <c r="J5564" i="1"/>
  <c r="N5564" i="1" s="1"/>
  <c r="Y5562" i="1"/>
  <c r="AA5562" i="1" s="1"/>
  <c r="J5562" i="1"/>
  <c r="N5562" i="1" s="1"/>
  <c r="Y5560" i="1"/>
  <c r="AA5560" i="1" s="1"/>
  <c r="J5560" i="1"/>
  <c r="N5560" i="1" s="1"/>
  <c r="Y5558" i="1"/>
  <c r="AA5558" i="1" s="1"/>
  <c r="J5558" i="1"/>
  <c r="N5558" i="1" s="1"/>
  <c r="Y5556" i="1"/>
  <c r="AA5556" i="1" s="1"/>
  <c r="J5556" i="1"/>
  <c r="N5556" i="1" s="1"/>
  <c r="Y5554" i="1"/>
  <c r="AA5554" i="1" s="1"/>
  <c r="J5554" i="1"/>
  <c r="N5554" i="1" s="1"/>
  <c r="Y5552" i="1"/>
  <c r="AA5552" i="1" s="1"/>
  <c r="J5552" i="1"/>
  <c r="N5552" i="1" s="1"/>
  <c r="Y5550" i="1"/>
  <c r="AA5550" i="1" s="1"/>
  <c r="J5550" i="1"/>
  <c r="N5550" i="1" s="1"/>
  <c r="Y5548" i="1"/>
  <c r="AA5548" i="1" s="1"/>
  <c r="J5548" i="1"/>
  <c r="N5548" i="1" s="1"/>
  <c r="N8246" i="1" l="1"/>
  <c r="N8214" i="1"/>
  <c r="N7962" i="1"/>
  <c r="N8386" i="1"/>
  <c r="N8126" i="1"/>
  <c r="N8216" i="1"/>
  <c r="N8466" i="1"/>
  <c r="N8206" i="1"/>
  <c r="N8718" i="1"/>
  <c r="N8746" i="1"/>
  <c r="N8630" i="1"/>
  <c r="N8490" i="1"/>
  <c r="N8700" i="1"/>
  <c r="N8626" i="1"/>
  <c r="N8702" i="1"/>
  <c r="N8694" i="1"/>
  <c r="N8690" i="1"/>
  <c r="N8378" i="1"/>
  <c r="N7952" i="1"/>
  <c r="N8468" i="1"/>
  <c r="N8492" i="1"/>
  <c r="N8470" i="1"/>
  <c r="N8452" i="1"/>
  <c r="N8400" i="1"/>
  <c r="N8388" i="1"/>
  <c r="N8124" i="1"/>
  <c r="N7948" i="1"/>
  <c r="N7964" i="1"/>
  <c r="N7960" i="1"/>
  <c r="N7694" i="1"/>
  <c r="N7688" i="1"/>
  <c r="N6658" i="1"/>
  <c r="J7148" i="1"/>
  <c r="N7148" i="1" s="1"/>
  <c r="N6978" i="1"/>
  <c r="N6662" i="1"/>
  <c r="N6660" i="1"/>
  <c r="N6674" i="1"/>
  <c r="AA6070" i="1"/>
  <c r="N6446" i="1"/>
  <c r="N6358" i="1"/>
  <c r="N6376" i="1"/>
  <c r="N6512" i="1"/>
  <c r="N6084" i="1"/>
  <c r="N6634" i="1"/>
  <c r="N6636" i="1"/>
  <c r="N6616" i="1"/>
  <c r="N6520" i="1"/>
  <c r="N6518" i="1"/>
  <c r="N6440" i="1"/>
  <c r="N6514" i="1"/>
  <c r="N6506" i="1"/>
  <c r="N6444" i="1"/>
  <c r="N6366" i="1"/>
  <c r="N6330" i="1"/>
  <c r="N6082" i="1"/>
  <c r="N6090" i="1"/>
  <c r="N5994" i="1"/>
  <c r="N6196" i="1"/>
  <c r="N5602" i="1"/>
  <c r="N6204" i="1"/>
  <c r="N6194" i="1"/>
  <c r="N5794" i="1"/>
  <c r="N5798" i="1"/>
  <c r="N5810" i="1"/>
  <c r="N5732" i="1"/>
  <c r="N5578" i="1"/>
  <c r="N5574" i="1"/>
  <c r="N5644" i="1"/>
  <c r="J5662" i="1"/>
  <c r="N5662" i="1" s="1"/>
  <c r="N5658" i="1"/>
  <c r="N5640" i="1"/>
  <c r="N5604" i="1"/>
  <c r="N5576" i="1"/>
  <c r="M5526" i="1"/>
  <c r="K5520" i="1"/>
  <c r="K5516" i="1"/>
  <c r="N5516" i="1" s="1"/>
  <c r="I5508" i="1"/>
  <c r="J5508" i="1" s="1"/>
  <c r="N5508" i="1" s="1"/>
  <c r="Y5508" i="1"/>
  <c r="AA5508" i="1" s="1"/>
  <c r="I5506" i="1"/>
  <c r="J5506" i="1" s="1"/>
  <c r="Y5506" i="1"/>
  <c r="AA5506" i="1" s="1"/>
  <c r="I5504" i="1"/>
  <c r="J5504" i="1" s="1"/>
  <c r="N5504" i="1" s="1"/>
  <c r="I5502" i="1"/>
  <c r="J5502" i="1" s="1"/>
  <c r="N5502" i="1" s="1"/>
  <c r="I5500" i="1"/>
  <c r="J5500" i="1" s="1"/>
  <c r="N5500" i="1" s="1"/>
  <c r="I5498" i="1"/>
  <c r="I5496" i="1"/>
  <c r="J5496" i="1" s="1"/>
  <c r="N5496" i="1" s="1"/>
  <c r="K5494" i="1"/>
  <c r="Y4890" i="1"/>
  <c r="Y5546" i="1"/>
  <c r="AA5546" i="1" s="1"/>
  <c r="J5546" i="1"/>
  <c r="N5546" i="1" s="1"/>
  <c r="Y5544" i="1"/>
  <c r="AA5544" i="1" s="1"/>
  <c r="J5544" i="1"/>
  <c r="N5544" i="1" s="1"/>
  <c r="Y5542" i="1"/>
  <c r="AA5542" i="1" s="1"/>
  <c r="J5542" i="1"/>
  <c r="N5542" i="1" s="1"/>
  <c r="Y5540" i="1"/>
  <c r="AA5540" i="1" s="1"/>
  <c r="J5540" i="1"/>
  <c r="N5540" i="1" s="1"/>
  <c r="Y5538" i="1"/>
  <c r="AA5538" i="1" s="1"/>
  <c r="J5538" i="1"/>
  <c r="N5538" i="1" s="1"/>
  <c r="Y5536" i="1"/>
  <c r="AA5536" i="1" s="1"/>
  <c r="J5536" i="1"/>
  <c r="N5536" i="1" s="1"/>
  <c r="Y5534" i="1"/>
  <c r="AA5534" i="1" s="1"/>
  <c r="J5534" i="1"/>
  <c r="N5534" i="1" s="1"/>
  <c r="Y5532" i="1"/>
  <c r="AA5532" i="1" s="1"/>
  <c r="N5532" i="1"/>
  <c r="Y5530" i="1"/>
  <c r="AA5530" i="1" s="1"/>
  <c r="J5530" i="1"/>
  <c r="N5530" i="1" s="1"/>
  <c r="Y5528" i="1"/>
  <c r="AA5528" i="1" s="1"/>
  <c r="J5528" i="1"/>
  <c r="N5528" i="1" s="1"/>
  <c r="Y5526" i="1"/>
  <c r="AA5526" i="1" s="1"/>
  <c r="J5526" i="1"/>
  <c r="Y5524" i="1"/>
  <c r="AA5524" i="1" s="1"/>
  <c r="J5524" i="1"/>
  <c r="N5524" i="1" s="1"/>
  <c r="Y5522" i="1"/>
  <c r="AA5522" i="1" s="1"/>
  <c r="J5522" i="1"/>
  <c r="N5522" i="1" s="1"/>
  <c r="Y5520" i="1"/>
  <c r="AA5520" i="1" s="1"/>
  <c r="J5520" i="1"/>
  <c r="Y5518" i="1"/>
  <c r="AA5518" i="1" s="1"/>
  <c r="J5518" i="1"/>
  <c r="N5518" i="1" s="1"/>
  <c r="Y5516" i="1"/>
  <c r="AA5516" i="1" s="1"/>
  <c r="Y5514" i="1"/>
  <c r="AA5514" i="1" s="1"/>
  <c r="J5514" i="1"/>
  <c r="N5514" i="1" s="1"/>
  <c r="Y5512" i="1"/>
  <c r="AA5512" i="1" s="1"/>
  <c r="J5512" i="1"/>
  <c r="N5512" i="1" s="1"/>
  <c r="Y5510" i="1"/>
  <c r="AA5510" i="1" s="1"/>
  <c r="J5510" i="1"/>
  <c r="Y5504" i="1"/>
  <c r="AA5504" i="1" s="1"/>
  <c r="Y5502" i="1"/>
  <c r="AA5502" i="1" s="1"/>
  <c r="Y5500" i="1"/>
  <c r="AA5500" i="1" s="1"/>
  <c r="Y5498" i="1"/>
  <c r="AA5498" i="1" s="1"/>
  <c r="Y5496" i="1"/>
  <c r="AA5496" i="1" s="1"/>
  <c r="Y5494" i="1"/>
  <c r="AA5494" i="1" s="1"/>
  <c r="J5494" i="1"/>
  <c r="Y5492" i="1"/>
  <c r="AA5492" i="1" s="1"/>
  <c r="J5492" i="1"/>
  <c r="N5492" i="1" s="1"/>
  <c r="Y5490" i="1"/>
  <c r="AA5490" i="1" s="1"/>
  <c r="J5490" i="1"/>
  <c r="N5490" i="1" s="1"/>
  <c r="Y5488" i="1"/>
  <c r="AA5488" i="1" s="1"/>
  <c r="J5488" i="1"/>
  <c r="N5488" i="1" s="1"/>
  <c r="Y5486" i="1"/>
  <c r="AA5486" i="1" s="1"/>
  <c r="J5486" i="1"/>
  <c r="N5486" i="1" s="1"/>
  <c r="Y5484" i="1"/>
  <c r="AA5484" i="1" s="1"/>
  <c r="J5484" i="1"/>
  <c r="N5484" i="1" s="1"/>
  <c r="Y5482" i="1"/>
  <c r="AA5482" i="1" s="1"/>
  <c r="J5482" i="1"/>
  <c r="N5482" i="1" s="1"/>
  <c r="Y5480" i="1"/>
  <c r="AA5480" i="1" s="1"/>
  <c r="J5480" i="1"/>
  <c r="N5480" i="1" s="1"/>
  <c r="Y5478" i="1"/>
  <c r="AA5478" i="1" s="1"/>
  <c r="J5478" i="1"/>
  <c r="N5478" i="1" s="1"/>
  <c r="Y5476" i="1"/>
  <c r="AA5476" i="1" s="1"/>
  <c r="J5476" i="1"/>
  <c r="N5476" i="1" s="1"/>
  <c r="Y5474" i="1"/>
  <c r="AA5474" i="1" s="1"/>
  <c r="N5474" i="1"/>
  <c r="Y5472" i="1"/>
  <c r="AA5472" i="1" s="1"/>
  <c r="J5472" i="1"/>
  <c r="N5472" i="1" s="1"/>
  <c r="Y5470" i="1"/>
  <c r="AA5470" i="1" s="1"/>
  <c r="J5470" i="1"/>
  <c r="N5470" i="1" s="1"/>
  <c r="Y5468" i="1"/>
  <c r="AA5468" i="1" s="1"/>
  <c r="J5468" i="1"/>
  <c r="N5468" i="1" s="1"/>
  <c r="Y5466" i="1"/>
  <c r="AA5466" i="1" s="1"/>
  <c r="J5466" i="1"/>
  <c r="N5466" i="1" s="1"/>
  <c r="Y5464" i="1"/>
  <c r="AA5464" i="1" s="1"/>
  <c r="J5464" i="1"/>
  <c r="N5464" i="1" s="1"/>
  <c r="Y5462" i="1"/>
  <c r="AA5462" i="1" s="1"/>
  <c r="J5462" i="1"/>
  <c r="N5462" i="1" s="1"/>
  <c r="Y5460" i="1"/>
  <c r="AA5460" i="1" s="1"/>
  <c r="J5460" i="1"/>
  <c r="N5460" i="1" s="1"/>
  <c r="Y5458" i="1"/>
  <c r="AA5458" i="1" s="1"/>
  <c r="J5458" i="1"/>
  <c r="N5458" i="1" s="1"/>
  <c r="Y5456" i="1"/>
  <c r="AA5456" i="1" s="1"/>
  <c r="J5456" i="1"/>
  <c r="N5456" i="1" s="1"/>
  <c r="Y5454" i="1"/>
  <c r="AA5454" i="1" s="1"/>
  <c r="J5454" i="1"/>
  <c r="N5454" i="1" s="1"/>
  <c r="Y5452" i="1"/>
  <c r="AA5452" i="1" s="1"/>
  <c r="J5452" i="1"/>
  <c r="N5452" i="1" s="1"/>
  <c r="Y5450" i="1"/>
  <c r="AA5450" i="1" s="1"/>
  <c r="J5450" i="1"/>
  <c r="N5450" i="1" s="1"/>
  <c r="Y5448" i="1"/>
  <c r="AA5448" i="1" s="1"/>
  <c r="J5448" i="1"/>
  <c r="N5448" i="1" s="1"/>
  <c r="Y5446" i="1"/>
  <c r="AA5446" i="1" s="1"/>
  <c r="J5446" i="1"/>
  <c r="N5446" i="1" s="1"/>
  <c r="Y5444" i="1"/>
  <c r="AA5444" i="1" s="1"/>
  <c r="J5444" i="1"/>
  <c r="N5444" i="1" s="1"/>
  <c r="Y5442" i="1"/>
  <c r="AA5442" i="1" s="1"/>
  <c r="J5442" i="1"/>
  <c r="N5442" i="1" s="1"/>
  <c r="Y5440" i="1"/>
  <c r="AA5440" i="1" s="1"/>
  <c r="J5440" i="1"/>
  <c r="N5440" i="1" s="1"/>
  <c r="Y5438" i="1"/>
  <c r="AA5438" i="1" s="1"/>
  <c r="J5438" i="1"/>
  <c r="N5438" i="1" s="1"/>
  <c r="Y5436" i="1"/>
  <c r="AA5436" i="1" s="1"/>
  <c r="J5436" i="1"/>
  <c r="N5436" i="1" s="1"/>
  <c r="Y5434" i="1"/>
  <c r="AA5434" i="1" s="1"/>
  <c r="J5434" i="1"/>
  <c r="N5434" i="1" s="1"/>
  <c r="Y5432" i="1"/>
  <c r="AA5432" i="1" s="1"/>
  <c r="J5432" i="1"/>
  <c r="N5432" i="1" s="1"/>
  <c r="Y5430" i="1"/>
  <c r="AA5430" i="1" s="1"/>
  <c r="J5430" i="1"/>
  <c r="N5430" i="1" s="1"/>
  <c r="Y5428" i="1"/>
  <c r="AA5428" i="1" s="1"/>
  <c r="J5428" i="1"/>
  <c r="N5428" i="1" s="1"/>
  <c r="Y5426" i="1"/>
  <c r="AA5426" i="1" s="1"/>
  <c r="J5426" i="1"/>
  <c r="N5426" i="1" s="1"/>
  <c r="Y5424" i="1"/>
  <c r="AA5424" i="1" s="1"/>
  <c r="J5424" i="1"/>
  <c r="N5424" i="1" s="1"/>
  <c r="Y5422" i="1"/>
  <c r="AA5422" i="1" s="1"/>
  <c r="J5422" i="1"/>
  <c r="N5422" i="1" s="1"/>
  <c r="Y5420" i="1"/>
  <c r="AA5420" i="1" s="1"/>
  <c r="J5420" i="1"/>
  <c r="N5420" i="1" s="1"/>
  <c r="Y5418" i="1"/>
  <c r="AA5418" i="1" s="1"/>
  <c r="J5418" i="1"/>
  <c r="N5418" i="1" s="1"/>
  <c r="Y5416" i="1"/>
  <c r="AA5416" i="1" s="1"/>
  <c r="J5416" i="1"/>
  <c r="N5416" i="1" s="1"/>
  <c r="Y5414" i="1"/>
  <c r="AA5414" i="1" s="1"/>
  <c r="J5414" i="1"/>
  <c r="N5414" i="1" s="1"/>
  <c r="Y5412" i="1"/>
  <c r="AA5412" i="1" s="1"/>
  <c r="J5412" i="1"/>
  <c r="N5412" i="1" s="1"/>
  <c r="Y5410" i="1"/>
  <c r="AA5410" i="1" s="1"/>
  <c r="J5410" i="1"/>
  <c r="N5410" i="1" s="1"/>
  <c r="Y5408" i="1"/>
  <c r="AA5408" i="1" s="1"/>
  <c r="J5408" i="1"/>
  <c r="N5408" i="1" s="1"/>
  <c r="Y5406" i="1"/>
  <c r="AA5406" i="1" s="1"/>
  <c r="J5406" i="1"/>
  <c r="N5406" i="1" s="1"/>
  <c r="Y5404" i="1"/>
  <c r="AA5404" i="1" s="1"/>
  <c r="J5404" i="1"/>
  <c r="N5404" i="1" s="1"/>
  <c r="Y5402" i="1"/>
  <c r="AA5402" i="1" s="1"/>
  <c r="J5402" i="1"/>
  <c r="N5402" i="1" s="1"/>
  <c r="Y5400" i="1"/>
  <c r="AA5400" i="1" s="1"/>
  <c r="J5400" i="1"/>
  <c r="N5400" i="1" s="1"/>
  <c r="Y5398" i="1"/>
  <c r="AA5398" i="1" s="1"/>
  <c r="J5398" i="1"/>
  <c r="N5398" i="1" s="1"/>
  <c r="Y5396" i="1"/>
  <c r="AA5396" i="1" s="1"/>
  <c r="J5396" i="1"/>
  <c r="N5396" i="1" s="1"/>
  <c r="Y5394" i="1"/>
  <c r="AA5394" i="1" s="1"/>
  <c r="J5394" i="1"/>
  <c r="N5394" i="1" s="1"/>
  <c r="Y5392" i="1"/>
  <c r="AA5392" i="1" s="1"/>
  <c r="J5392" i="1"/>
  <c r="N5392" i="1" s="1"/>
  <c r="Y5390" i="1"/>
  <c r="AA5390" i="1" s="1"/>
  <c r="J5390" i="1"/>
  <c r="N5390" i="1" s="1"/>
  <c r="Y5388" i="1"/>
  <c r="AA5388" i="1" s="1"/>
  <c r="J5388" i="1"/>
  <c r="N5388" i="1" s="1"/>
  <c r="Y5386" i="1"/>
  <c r="AA5386" i="1" s="1"/>
  <c r="J5386" i="1"/>
  <c r="N5386" i="1" s="1"/>
  <c r="Y5384" i="1"/>
  <c r="AA5384" i="1" s="1"/>
  <c r="J5384" i="1"/>
  <c r="N5384" i="1" s="1"/>
  <c r="AA5382" i="1"/>
  <c r="J5382" i="1"/>
  <c r="N5382" i="1" s="1"/>
  <c r="Y5380" i="1"/>
  <c r="AA5380" i="1" s="1"/>
  <c r="J5380" i="1"/>
  <c r="N5380" i="1" s="1"/>
  <c r="Y5378" i="1"/>
  <c r="AA5378" i="1" s="1"/>
  <c r="J5378" i="1"/>
  <c r="N5378" i="1" s="1"/>
  <c r="Y5376" i="1"/>
  <c r="AA5376" i="1" s="1"/>
  <c r="J5376" i="1"/>
  <c r="N5376" i="1" s="1"/>
  <c r="Y5374" i="1"/>
  <c r="AA5374" i="1" s="1"/>
  <c r="J5374" i="1"/>
  <c r="N5374" i="1" s="1"/>
  <c r="Y5372" i="1"/>
  <c r="AA5372" i="1" s="1"/>
  <c r="J5372" i="1"/>
  <c r="N5372" i="1" s="1"/>
  <c r="K5052" i="1"/>
  <c r="Y5042" i="1"/>
  <c r="AA5042" i="1" s="1"/>
  <c r="J5042" i="1"/>
  <c r="N5042" i="1" s="1"/>
  <c r="Y5038" i="1"/>
  <c r="AA5038" i="1" s="1"/>
  <c r="J5038" i="1"/>
  <c r="N5038" i="1" s="1"/>
  <c r="Y5036" i="1"/>
  <c r="AA5036" i="1" s="1"/>
  <c r="J5036" i="1"/>
  <c r="N5036" i="1" s="1"/>
  <c r="Y5034" i="1"/>
  <c r="AA5034" i="1" s="1"/>
  <c r="J5034" i="1"/>
  <c r="N5034" i="1" s="1"/>
  <c r="Y5032" i="1"/>
  <c r="AA5032" i="1" s="1"/>
  <c r="J5032" i="1"/>
  <c r="N5032" i="1" s="1"/>
  <c r="Y5030" i="1"/>
  <c r="AA5030" i="1" s="1"/>
  <c r="J5030" i="1"/>
  <c r="N5030" i="1" s="1"/>
  <c r="Y5028" i="1"/>
  <c r="AA5028" i="1" s="1"/>
  <c r="J5028" i="1"/>
  <c r="N5028" i="1" s="1"/>
  <c r="Y5016" i="1"/>
  <c r="AA5016" i="1" s="1"/>
  <c r="J5016" i="1"/>
  <c r="N5016" i="1" s="1"/>
  <c r="Y5014" i="1"/>
  <c r="AA5014" i="1" s="1"/>
  <c r="J5014" i="1"/>
  <c r="N5014" i="1" s="1"/>
  <c r="Y5012" i="1"/>
  <c r="AA5012" i="1" s="1"/>
  <c r="J5012" i="1"/>
  <c r="N5012" i="1" s="1"/>
  <c r="Y5010" i="1"/>
  <c r="AA5010" i="1" s="1"/>
  <c r="J5010" i="1"/>
  <c r="N5010" i="1" s="1"/>
  <c r="Y5008" i="1"/>
  <c r="AA5008" i="1" s="1"/>
  <c r="J5008" i="1"/>
  <c r="N5008" i="1" s="1"/>
  <c r="Y5044" i="1"/>
  <c r="AA5044" i="1" s="1"/>
  <c r="J5044" i="1"/>
  <c r="N5044" i="1" s="1"/>
  <c r="Y5370" i="1"/>
  <c r="AA5370" i="1" s="1"/>
  <c r="J5370" i="1"/>
  <c r="N5370" i="1" s="1"/>
  <c r="Y5368" i="1"/>
  <c r="AA5368" i="1" s="1"/>
  <c r="J5368" i="1"/>
  <c r="N5368" i="1" s="1"/>
  <c r="Y5366" i="1"/>
  <c r="AA5366" i="1" s="1"/>
  <c r="J5366" i="1"/>
  <c r="N5366" i="1" s="1"/>
  <c r="Y5364" i="1"/>
  <c r="AA5364" i="1" s="1"/>
  <c r="J5364" i="1"/>
  <c r="N5364" i="1" s="1"/>
  <c r="Y5362" i="1"/>
  <c r="AA5362" i="1" s="1"/>
  <c r="J5362" i="1"/>
  <c r="N5362" i="1" s="1"/>
  <c r="Y5360" i="1"/>
  <c r="AA5360" i="1" s="1"/>
  <c r="J5360" i="1"/>
  <c r="N5360" i="1" s="1"/>
  <c r="Y5358" i="1"/>
  <c r="AA5358" i="1" s="1"/>
  <c r="J5358" i="1"/>
  <c r="N5358" i="1" s="1"/>
  <c r="Y5356" i="1"/>
  <c r="AA5356" i="1" s="1"/>
  <c r="J5356" i="1"/>
  <c r="N5356" i="1" s="1"/>
  <c r="Y5354" i="1"/>
  <c r="AA5354" i="1" s="1"/>
  <c r="J5354" i="1"/>
  <c r="N5354" i="1" s="1"/>
  <c r="Y5352" i="1"/>
  <c r="AA5352" i="1" s="1"/>
  <c r="J5352" i="1"/>
  <c r="N5352" i="1" s="1"/>
  <c r="Y5350" i="1"/>
  <c r="AA5350" i="1" s="1"/>
  <c r="J5350" i="1"/>
  <c r="N5350" i="1" s="1"/>
  <c r="Y5348" i="1"/>
  <c r="AA5348" i="1" s="1"/>
  <c r="J5348" i="1"/>
  <c r="N5348" i="1" s="1"/>
  <c r="Y5346" i="1"/>
  <c r="AA5346" i="1" s="1"/>
  <c r="J5346" i="1"/>
  <c r="N5346" i="1" s="1"/>
  <c r="Y5344" i="1"/>
  <c r="AA5344" i="1" s="1"/>
  <c r="J5344" i="1"/>
  <c r="N5344" i="1" s="1"/>
  <c r="Y5342" i="1"/>
  <c r="AA5342" i="1" s="1"/>
  <c r="J5342" i="1"/>
  <c r="N5342" i="1" s="1"/>
  <c r="Y5340" i="1"/>
  <c r="AA5340" i="1" s="1"/>
  <c r="J5340" i="1"/>
  <c r="N5340" i="1" s="1"/>
  <c r="Y5338" i="1"/>
  <c r="AA5338" i="1" s="1"/>
  <c r="J5338" i="1"/>
  <c r="N5338" i="1" s="1"/>
  <c r="Y5336" i="1"/>
  <c r="AA5336" i="1" s="1"/>
  <c r="J5336" i="1"/>
  <c r="N5336" i="1" s="1"/>
  <c r="Y5334" i="1"/>
  <c r="AA5334" i="1" s="1"/>
  <c r="J5334" i="1"/>
  <c r="N5334" i="1" s="1"/>
  <c r="Y5332" i="1"/>
  <c r="AA5332" i="1" s="1"/>
  <c r="J5332" i="1"/>
  <c r="N5332" i="1" s="1"/>
  <c r="Y5330" i="1"/>
  <c r="AA5330" i="1" s="1"/>
  <c r="J5330" i="1"/>
  <c r="N5330" i="1" s="1"/>
  <c r="Y5328" i="1"/>
  <c r="AA5328" i="1" s="1"/>
  <c r="N5328" i="1"/>
  <c r="Y5326" i="1"/>
  <c r="AA5326" i="1" s="1"/>
  <c r="J5326" i="1"/>
  <c r="N5326" i="1" s="1"/>
  <c r="Y5324" i="1"/>
  <c r="AA5324" i="1" s="1"/>
  <c r="J5324" i="1"/>
  <c r="N5324" i="1" s="1"/>
  <c r="Y5322" i="1"/>
  <c r="AA5322" i="1" s="1"/>
  <c r="J5322" i="1"/>
  <c r="N5322" i="1" s="1"/>
  <c r="Y5320" i="1"/>
  <c r="AA5320" i="1" s="1"/>
  <c r="J5320" i="1"/>
  <c r="N5320" i="1" s="1"/>
  <c r="Y5318" i="1"/>
  <c r="AA5318" i="1" s="1"/>
  <c r="J5318" i="1"/>
  <c r="N5318" i="1" s="1"/>
  <c r="Y5316" i="1"/>
  <c r="AA5316" i="1" s="1"/>
  <c r="J5316" i="1"/>
  <c r="N5316" i="1" s="1"/>
  <c r="Y5314" i="1"/>
  <c r="AA5314" i="1" s="1"/>
  <c r="J5314" i="1"/>
  <c r="N5314" i="1" s="1"/>
  <c r="Y5312" i="1"/>
  <c r="AA5312" i="1" s="1"/>
  <c r="J5312" i="1"/>
  <c r="N5312" i="1" s="1"/>
  <c r="Y5310" i="1"/>
  <c r="AA5310" i="1" s="1"/>
  <c r="J5310" i="1"/>
  <c r="N5310" i="1" s="1"/>
  <c r="Y5308" i="1"/>
  <c r="AA5308" i="1" s="1"/>
  <c r="J5308" i="1"/>
  <c r="N5308" i="1" s="1"/>
  <c r="Y5306" i="1"/>
  <c r="AA5306" i="1" s="1"/>
  <c r="J5306" i="1"/>
  <c r="N5306" i="1" s="1"/>
  <c r="Y5304" i="1"/>
  <c r="AA5304" i="1" s="1"/>
  <c r="J5304" i="1"/>
  <c r="N5304" i="1" s="1"/>
  <c r="Y5302" i="1"/>
  <c r="AA5302" i="1" s="1"/>
  <c r="J5302" i="1"/>
  <c r="N5302" i="1" s="1"/>
  <c r="Y5300" i="1"/>
  <c r="AA5300" i="1" s="1"/>
  <c r="J5300" i="1"/>
  <c r="N5300" i="1" s="1"/>
  <c r="Y5298" i="1"/>
  <c r="AA5298" i="1" s="1"/>
  <c r="J5298" i="1"/>
  <c r="N5298" i="1" s="1"/>
  <c r="Y5296" i="1"/>
  <c r="AA5296" i="1" s="1"/>
  <c r="J5296" i="1"/>
  <c r="N5296" i="1" s="1"/>
  <c r="Y5294" i="1"/>
  <c r="AA5294" i="1" s="1"/>
  <c r="J5294" i="1"/>
  <c r="N5294" i="1" s="1"/>
  <c r="Y5292" i="1"/>
  <c r="AA5292" i="1" s="1"/>
  <c r="J5292" i="1"/>
  <c r="N5292" i="1" s="1"/>
  <c r="Y5290" i="1"/>
  <c r="AA5290" i="1" s="1"/>
  <c r="J5290" i="1"/>
  <c r="N5290" i="1" s="1"/>
  <c r="Y5288" i="1"/>
  <c r="AA5288" i="1" s="1"/>
  <c r="J5288" i="1"/>
  <c r="N5288" i="1" s="1"/>
  <c r="Y5286" i="1"/>
  <c r="AA5286" i="1" s="1"/>
  <c r="J5286" i="1"/>
  <c r="N5286" i="1" s="1"/>
  <c r="Y5284" i="1"/>
  <c r="AA5284" i="1" s="1"/>
  <c r="J5284" i="1"/>
  <c r="N5284" i="1" s="1"/>
  <c r="Y5282" i="1"/>
  <c r="AA5282" i="1" s="1"/>
  <c r="J5282" i="1"/>
  <c r="N5282" i="1" s="1"/>
  <c r="Y5280" i="1"/>
  <c r="AA5280" i="1" s="1"/>
  <c r="J5280" i="1"/>
  <c r="N5280" i="1" s="1"/>
  <c r="Y5278" i="1"/>
  <c r="AA5278" i="1" s="1"/>
  <c r="J5278" i="1"/>
  <c r="N5278" i="1" s="1"/>
  <c r="Y5276" i="1"/>
  <c r="AA5276" i="1" s="1"/>
  <c r="N5276" i="1"/>
  <c r="Y5274" i="1"/>
  <c r="AA5274" i="1" s="1"/>
  <c r="J5274" i="1"/>
  <c r="N5274" i="1" s="1"/>
  <c r="Y5272" i="1"/>
  <c r="AA5272" i="1" s="1"/>
  <c r="J5272" i="1"/>
  <c r="N5272" i="1" s="1"/>
  <c r="Y5270" i="1"/>
  <c r="AA5270" i="1" s="1"/>
  <c r="J5270" i="1"/>
  <c r="N5270" i="1" s="1"/>
  <c r="Y5268" i="1"/>
  <c r="AA5268" i="1" s="1"/>
  <c r="J5268" i="1"/>
  <c r="N5268" i="1" s="1"/>
  <c r="Y5266" i="1"/>
  <c r="AA5266" i="1" s="1"/>
  <c r="J5266" i="1"/>
  <c r="N5266" i="1" s="1"/>
  <c r="Y5264" i="1"/>
  <c r="AA5264" i="1" s="1"/>
  <c r="J5264" i="1"/>
  <c r="N5264" i="1" s="1"/>
  <c r="Y5262" i="1"/>
  <c r="AA5262" i="1" s="1"/>
  <c r="J5262" i="1"/>
  <c r="N5262" i="1" s="1"/>
  <c r="Y5260" i="1"/>
  <c r="AA5260" i="1" s="1"/>
  <c r="J5260" i="1"/>
  <c r="N5260" i="1" s="1"/>
  <c r="Y5258" i="1"/>
  <c r="AA5258" i="1" s="1"/>
  <c r="J5258" i="1"/>
  <c r="N5258" i="1" s="1"/>
  <c r="Y5256" i="1"/>
  <c r="AA5256" i="1" s="1"/>
  <c r="J5256" i="1"/>
  <c r="N5256" i="1" s="1"/>
  <c r="Y5254" i="1"/>
  <c r="AA5254" i="1" s="1"/>
  <c r="J5254" i="1"/>
  <c r="N5254" i="1" s="1"/>
  <c r="Y5252" i="1"/>
  <c r="AA5252" i="1" s="1"/>
  <c r="J5252" i="1"/>
  <c r="N5252" i="1" s="1"/>
  <c r="Y5250" i="1"/>
  <c r="AA5250" i="1" s="1"/>
  <c r="J5250" i="1"/>
  <c r="N5250" i="1" s="1"/>
  <c r="Y5248" i="1"/>
  <c r="AA5248" i="1" s="1"/>
  <c r="J5248" i="1"/>
  <c r="N5248" i="1" s="1"/>
  <c r="Y5246" i="1"/>
  <c r="AA5246" i="1" s="1"/>
  <c r="J5246" i="1"/>
  <c r="N5246" i="1" s="1"/>
  <c r="AA5244" i="1"/>
  <c r="J5244" i="1"/>
  <c r="N5244" i="1" s="1"/>
  <c r="Y5242" i="1"/>
  <c r="AA5242" i="1" s="1"/>
  <c r="J5242" i="1"/>
  <c r="N5242" i="1" s="1"/>
  <c r="Y5240" i="1"/>
  <c r="AA5240" i="1" s="1"/>
  <c r="J5240" i="1"/>
  <c r="N5240" i="1" s="1"/>
  <c r="Y5238" i="1"/>
  <c r="AA5238" i="1" s="1"/>
  <c r="J5238" i="1"/>
  <c r="N5238" i="1" s="1"/>
  <c r="Y5236" i="1"/>
  <c r="AA5236" i="1" s="1"/>
  <c r="J5236" i="1"/>
  <c r="N5236" i="1" s="1"/>
  <c r="Y5234" i="1"/>
  <c r="AA5234" i="1" s="1"/>
  <c r="J5234" i="1"/>
  <c r="N5234" i="1" s="1"/>
  <c r="Y5232" i="1"/>
  <c r="AA5232" i="1" s="1"/>
  <c r="J5232" i="1"/>
  <c r="N5232" i="1" s="1"/>
  <c r="Y5230" i="1"/>
  <c r="AA5230" i="1" s="1"/>
  <c r="J5230" i="1"/>
  <c r="N5230" i="1" s="1"/>
  <c r="Y5228" i="1"/>
  <c r="AA5228" i="1" s="1"/>
  <c r="J5228" i="1"/>
  <c r="N5228" i="1" s="1"/>
  <c r="Y5226" i="1"/>
  <c r="AA5226" i="1" s="1"/>
  <c r="J5226" i="1"/>
  <c r="N5226" i="1" s="1"/>
  <c r="Y5224" i="1"/>
  <c r="AA5224" i="1" s="1"/>
  <c r="J5224" i="1"/>
  <c r="N5224" i="1" s="1"/>
  <c r="Y5222" i="1"/>
  <c r="AA5222" i="1" s="1"/>
  <c r="J5222" i="1"/>
  <c r="N5222" i="1" s="1"/>
  <c r="Y5220" i="1"/>
  <c r="AA5220" i="1" s="1"/>
  <c r="J5220" i="1"/>
  <c r="N5220" i="1" s="1"/>
  <c r="Y5218" i="1"/>
  <c r="AA5218" i="1" s="1"/>
  <c r="J5218" i="1"/>
  <c r="N5218" i="1" s="1"/>
  <c r="Y5216" i="1"/>
  <c r="AA5216" i="1" s="1"/>
  <c r="J5216" i="1"/>
  <c r="N5216" i="1" s="1"/>
  <c r="Y5214" i="1"/>
  <c r="AA5214" i="1" s="1"/>
  <c r="J5214" i="1"/>
  <c r="N5214" i="1" s="1"/>
  <c r="Y5212" i="1"/>
  <c r="AA5212" i="1" s="1"/>
  <c r="J5212" i="1"/>
  <c r="N5212" i="1" s="1"/>
  <c r="Y5210" i="1"/>
  <c r="AA5210" i="1" s="1"/>
  <c r="J5210" i="1"/>
  <c r="N5210" i="1" s="1"/>
  <c r="Y5208" i="1"/>
  <c r="AA5208" i="1" s="1"/>
  <c r="J5208" i="1"/>
  <c r="N5208" i="1" s="1"/>
  <c r="Y5206" i="1"/>
  <c r="AA5206" i="1" s="1"/>
  <c r="J5206" i="1"/>
  <c r="N5206" i="1" s="1"/>
  <c r="Y5204" i="1"/>
  <c r="AA5204" i="1" s="1"/>
  <c r="J5204" i="1"/>
  <c r="N5204" i="1" s="1"/>
  <c r="Y5202" i="1"/>
  <c r="AA5202" i="1" s="1"/>
  <c r="J5202" i="1"/>
  <c r="N5202" i="1" s="1"/>
  <c r="Y5200" i="1"/>
  <c r="AA5200" i="1" s="1"/>
  <c r="J5200" i="1"/>
  <c r="N5200" i="1" s="1"/>
  <c r="Y5198" i="1"/>
  <c r="AA5198" i="1" s="1"/>
  <c r="J5198" i="1"/>
  <c r="N5198" i="1" s="1"/>
  <c r="Y5196" i="1"/>
  <c r="AA5196" i="1" s="1"/>
  <c r="J5196" i="1"/>
  <c r="N5196" i="1" s="1"/>
  <c r="Y5194" i="1"/>
  <c r="AA5194" i="1" s="1"/>
  <c r="J5194" i="1"/>
  <c r="N5194" i="1" s="1"/>
  <c r="Y5192" i="1"/>
  <c r="AA5192" i="1" s="1"/>
  <c r="J5192" i="1"/>
  <c r="N5192" i="1" s="1"/>
  <c r="Y5190" i="1"/>
  <c r="AA5190" i="1" s="1"/>
  <c r="J5190" i="1"/>
  <c r="N5190" i="1" s="1"/>
  <c r="Y5188" i="1"/>
  <c r="AA5188" i="1" s="1"/>
  <c r="J5188" i="1"/>
  <c r="N5188" i="1" s="1"/>
  <c r="Y5186" i="1"/>
  <c r="AA5186" i="1" s="1"/>
  <c r="J5186" i="1"/>
  <c r="N5186" i="1" s="1"/>
  <c r="Y5184" i="1"/>
  <c r="AA5184" i="1" s="1"/>
  <c r="N5184" i="1"/>
  <c r="Y5182" i="1"/>
  <c r="AA5182" i="1" s="1"/>
  <c r="J5182" i="1"/>
  <c r="N5182" i="1" s="1"/>
  <c r="Y5180" i="1"/>
  <c r="AA5180" i="1" s="1"/>
  <c r="J5180" i="1"/>
  <c r="N5180" i="1" s="1"/>
  <c r="Y5178" i="1"/>
  <c r="AA5178" i="1" s="1"/>
  <c r="J5178" i="1"/>
  <c r="N5178" i="1" s="1"/>
  <c r="Y5176" i="1"/>
  <c r="AA5176" i="1" s="1"/>
  <c r="J5176" i="1"/>
  <c r="N5176" i="1" s="1"/>
  <c r="Y5174" i="1"/>
  <c r="AA5174" i="1" s="1"/>
  <c r="J5174" i="1"/>
  <c r="N5174" i="1" s="1"/>
  <c r="Y5172" i="1"/>
  <c r="AA5172" i="1" s="1"/>
  <c r="J5172" i="1"/>
  <c r="N5172" i="1" s="1"/>
  <c r="Y5170" i="1"/>
  <c r="AA5170" i="1" s="1"/>
  <c r="J5170" i="1"/>
  <c r="N5170" i="1" s="1"/>
  <c r="Y5168" i="1"/>
  <c r="AA5168" i="1" s="1"/>
  <c r="J5168" i="1"/>
  <c r="N5168" i="1" s="1"/>
  <c r="Y5166" i="1"/>
  <c r="AA5166" i="1" s="1"/>
  <c r="J5166" i="1"/>
  <c r="N5166" i="1" s="1"/>
  <c r="Y5164" i="1"/>
  <c r="AA5164" i="1" s="1"/>
  <c r="J5164" i="1"/>
  <c r="N5164" i="1" s="1"/>
  <c r="Y5162" i="1"/>
  <c r="AA5162" i="1" s="1"/>
  <c r="J5162" i="1"/>
  <c r="N5162" i="1" s="1"/>
  <c r="Y5160" i="1"/>
  <c r="AA5160" i="1" s="1"/>
  <c r="J5160" i="1"/>
  <c r="N5160" i="1" s="1"/>
  <c r="Y5158" i="1"/>
  <c r="AA5158" i="1" s="1"/>
  <c r="J5158" i="1"/>
  <c r="N5158" i="1" s="1"/>
  <c r="Y5156" i="1"/>
  <c r="AA5156" i="1" s="1"/>
  <c r="J5156" i="1"/>
  <c r="N5156" i="1" s="1"/>
  <c r="Y5154" i="1"/>
  <c r="AA5154" i="1" s="1"/>
  <c r="J5154" i="1"/>
  <c r="N5154" i="1" s="1"/>
  <c r="Y5152" i="1"/>
  <c r="AA5152" i="1" s="1"/>
  <c r="J5152" i="1"/>
  <c r="N5152" i="1" s="1"/>
  <c r="Y5150" i="1"/>
  <c r="AA5150" i="1" s="1"/>
  <c r="J5150" i="1"/>
  <c r="N5150" i="1" s="1"/>
  <c r="Y5148" i="1"/>
  <c r="AA5148" i="1" s="1"/>
  <c r="J5148" i="1"/>
  <c r="N5148" i="1" s="1"/>
  <c r="Y5146" i="1"/>
  <c r="AA5146" i="1" s="1"/>
  <c r="J5146" i="1"/>
  <c r="N5146" i="1" s="1"/>
  <c r="Y5144" i="1"/>
  <c r="AA5144" i="1" s="1"/>
  <c r="J5144" i="1"/>
  <c r="N5144" i="1" s="1"/>
  <c r="Y5142" i="1"/>
  <c r="AA5142" i="1" s="1"/>
  <c r="J5142" i="1"/>
  <c r="N5142" i="1" s="1"/>
  <c r="Y5140" i="1"/>
  <c r="AA5140" i="1" s="1"/>
  <c r="J5140" i="1"/>
  <c r="N5140" i="1" s="1"/>
  <c r="Y5138" i="1"/>
  <c r="AA5138" i="1" s="1"/>
  <c r="J5138" i="1"/>
  <c r="N5138" i="1" s="1"/>
  <c r="Y5136" i="1"/>
  <c r="AA5136" i="1" s="1"/>
  <c r="J5136" i="1"/>
  <c r="N5136" i="1" s="1"/>
  <c r="Y5134" i="1"/>
  <c r="AA5134" i="1" s="1"/>
  <c r="J5134" i="1"/>
  <c r="N5134" i="1" s="1"/>
  <c r="Y5132" i="1"/>
  <c r="AA5132" i="1" s="1"/>
  <c r="J5132" i="1"/>
  <c r="N5132" i="1" s="1"/>
  <c r="Y5130" i="1"/>
  <c r="AA5130" i="1" s="1"/>
  <c r="J5130" i="1"/>
  <c r="N5130" i="1" s="1"/>
  <c r="Y5128" i="1"/>
  <c r="AA5128" i="1" s="1"/>
  <c r="J5128" i="1"/>
  <c r="N5128" i="1" s="1"/>
  <c r="Y5126" i="1"/>
  <c r="AA5126" i="1" s="1"/>
  <c r="J5126" i="1"/>
  <c r="N5126" i="1" s="1"/>
  <c r="Y5124" i="1"/>
  <c r="AA5124" i="1" s="1"/>
  <c r="J5124" i="1"/>
  <c r="N5124" i="1" s="1"/>
  <c r="Y5122" i="1"/>
  <c r="AA5122" i="1" s="1"/>
  <c r="J5122" i="1"/>
  <c r="N5122" i="1" s="1"/>
  <c r="Y5120" i="1"/>
  <c r="AA5120" i="1" s="1"/>
  <c r="J5120" i="1"/>
  <c r="N5120" i="1" s="1"/>
  <c r="Y5118" i="1"/>
  <c r="AA5118" i="1" s="1"/>
  <c r="J5118" i="1"/>
  <c r="N5118" i="1" s="1"/>
  <c r="Y5116" i="1"/>
  <c r="AA5116" i="1" s="1"/>
  <c r="J5116" i="1"/>
  <c r="N5116" i="1" s="1"/>
  <c r="Y5114" i="1"/>
  <c r="AA5114" i="1" s="1"/>
  <c r="J5114" i="1"/>
  <c r="N5114" i="1" s="1"/>
  <c r="Y5112" i="1"/>
  <c r="AA5112" i="1" s="1"/>
  <c r="J5112" i="1"/>
  <c r="N5112" i="1" s="1"/>
  <c r="Y5110" i="1"/>
  <c r="AA5110" i="1" s="1"/>
  <c r="J5110" i="1"/>
  <c r="N5110" i="1" s="1"/>
  <c r="Y5108" i="1"/>
  <c r="AA5108" i="1" s="1"/>
  <c r="J5108" i="1"/>
  <c r="N5108" i="1" s="1"/>
  <c r="Y5106" i="1"/>
  <c r="AA5106" i="1" s="1"/>
  <c r="J5106" i="1"/>
  <c r="N5106" i="1" s="1"/>
  <c r="Y5104" i="1"/>
  <c r="AA5104" i="1" s="1"/>
  <c r="J5104" i="1"/>
  <c r="N5104" i="1" s="1"/>
  <c r="Y5102" i="1"/>
  <c r="AA5102" i="1" s="1"/>
  <c r="J5102" i="1"/>
  <c r="N5102" i="1" s="1"/>
  <c r="Y5100" i="1"/>
  <c r="AA5100" i="1" s="1"/>
  <c r="J5100" i="1"/>
  <c r="N5100" i="1" s="1"/>
  <c r="Y5098" i="1"/>
  <c r="AA5098" i="1" s="1"/>
  <c r="J5098" i="1"/>
  <c r="N5098" i="1" s="1"/>
  <c r="Y5096" i="1"/>
  <c r="AA5096" i="1" s="1"/>
  <c r="J5096" i="1"/>
  <c r="N5096" i="1" s="1"/>
  <c r="Y5094" i="1"/>
  <c r="AA5094" i="1" s="1"/>
  <c r="J5094" i="1"/>
  <c r="N5094" i="1" s="1"/>
  <c r="Y5092" i="1"/>
  <c r="AA5092" i="1" s="1"/>
  <c r="J5092" i="1"/>
  <c r="N5092" i="1" s="1"/>
  <c r="Y5090" i="1"/>
  <c r="AA5090" i="1" s="1"/>
  <c r="J5090" i="1"/>
  <c r="N5090" i="1" s="1"/>
  <c r="Y5088" i="1"/>
  <c r="AA5088" i="1" s="1"/>
  <c r="N5088" i="1"/>
  <c r="Y5086" i="1"/>
  <c r="AA5086" i="1" s="1"/>
  <c r="J5086" i="1"/>
  <c r="N5086" i="1" s="1"/>
  <c r="Y5084" i="1"/>
  <c r="AA5084" i="1" s="1"/>
  <c r="J5084" i="1"/>
  <c r="N5084" i="1" s="1"/>
  <c r="Y5082" i="1"/>
  <c r="AA5082" i="1" s="1"/>
  <c r="J5082" i="1"/>
  <c r="N5082" i="1" s="1"/>
  <c r="Y5080" i="1"/>
  <c r="AA5080" i="1" s="1"/>
  <c r="J5080" i="1"/>
  <c r="N5080" i="1" s="1"/>
  <c r="Y5078" i="1"/>
  <c r="AA5078" i="1" s="1"/>
  <c r="J5078" i="1"/>
  <c r="N5078" i="1" s="1"/>
  <c r="Y5076" i="1"/>
  <c r="AA5076" i="1" s="1"/>
  <c r="J5076" i="1"/>
  <c r="N5076" i="1" s="1"/>
  <c r="Y5074" i="1"/>
  <c r="AA5074" i="1" s="1"/>
  <c r="J5074" i="1"/>
  <c r="N5074" i="1" s="1"/>
  <c r="Y5072" i="1"/>
  <c r="AA5072" i="1" s="1"/>
  <c r="J5072" i="1"/>
  <c r="N5072" i="1" s="1"/>
  <c r="Y5070" i="1"/>
  <c r="AA5070" i="1" s="1"/>
  <c r="J5070" i="1"/>
  <c r="N5070" i="1" s="1"/>
  <c r="Y5068" i="1"/>
  <c r="AA5068" i="1" s="1"/>
  <c r="N5068" i="1"/>
  <c r="Y5066" i="1"/>
  <c r="AA5066" i="1" s="1"/>
  <c r="J5066" i="1"/>
  <c r="N5066" i="1" s="1"/>
  <c r="Y5064" i="1"/>
  <c r="AA5064" i="1" s="1"/>
  <c r="J5064" i="1"/>
  <c r="N5064" i="1" s="1"/>
  <c r="AA5062" i="1"/>
  <c r="J5062" i="1"/>
  <c r="N5062" i="1" s="1"/>
  <c r="Y5060" i="1"/>
  <c r="AA5060" i="1" s="1"/>
  <c r="J5060" i="1"/>
  <c r="N5060" i="1" s="1"/>
  <c r="Y5058" i="1"/>
  <c r="AA5058" i="1" s="1"/>
  <c r="J5058" i="1"/>
  <c r="N5058" i="1" s="1"/>
  <c r="Y5056" i="1"/>
  <c r="AA5056" i="1" s="1"/>
  <c r="N5056" i="1"/>
  <c r="Y5054" i="1"/>
  <c r="AA5054" i="1" s="1"/>
  <c r="J5054" i="1"/>
  <c r="N5054" i="1" s="1"/>
  <c r="Y5052" i="1"/>
  <c r="AA5052" i="1" s="1"/>
  <c r="J5052" i="1"/>
  <c r="AA5050" i="1"/>
  <c r="J5050" i="1"/>
  <c r="N5050" i="1" s="1"/>
  <c r="Y5048" i="1"/>
  <c r="AA5048" i="1" s="1"/>
  <c r="J5048" i="1"/>
  <c r="N5048" i="1" s="1"/>
  <c r="Y5046" i="1"/>
  <c r="AA5046" i="1" s="1"/>
  <c r="J5046" i="1"/>
  <c r="N5046" i="1" s="1"/>
  <c r="Y5040" i="1"/>
  <c r="AA5040" i="1" s="1"/>
  <c r="J5040" i="1"/>
  <c r="N5040" i="1" s="1"/>
  <c r="Y5026" i="1"/>
  <c r="AA5026" i="1" s="1"/>
  <c r="J5026" i="1"/>
  <c r="N5026" i="1" s="1"/>
  <c r="Y5024" i="1"/>
  <c r="AA5024" i="1" s="1"/>
  <c r="J5024" i="1"/>
  <c r="N5024" i="1" s="1"/>
  <c r="Y5022" i="1"/>
  <c r="AA5022" i="1" s="1"/>
  <c r="J5022" i="1"/>
  <c r="N5022" i="1" s="1"/>
  <c r="Y5020" i="1"/>
  <c r="AA5020" i="1" s="1"/>
  <c r="J5020" i="1"/>
  <c r="N5020" i="1" s="1"/>
  <c r="Y5018" i="1"/>
  <c r="AA5018" i="1" s="1"/>
  <c r="J5018" i="1"/>
  <c r="N5018" i="1" s="1"/>
  <c r="Y5006" i="1"/>
  <c r="AA5006" i="1" s="1"/>
  <c r="J5006" i="1"/>
  <c r="N5006" i="1" s="1"/>
  <c r="Y5004" i="1"/>
  <c r="AA5004" i="1" s="1"/>
  <c r="J5004" i="1"/>
  <c r="N5004" i="1" s="1"/>
  <c r="I4996" i="1"/>
  <c r="I4994" i="1"/>
  <c r="I4992" i="1"/>
  <c r="I4990" i="1"/>
  <c r="I4988" i="1"/>
  <c r="I4986" i="1"/>
  <c r="I4984" i="1"/>
  <c r="I4982" i="1"/>
  <c r="I4980" i="1"/>
  <c r="I4978" i="1"/>
  <c r="I4976" i="1"/>
  <c r="I4974" i="1"/>
  <c r="I4972" i="1"/>
  <c r="I4970" i="1"/>
  <c r="I4968" i="1"/>
  <c r="K4960" i="1"/>
  <c r="K4946" i="1"/>
  <c r="K4934" i="1"/>
  <c r="K4922" i="1"/>
  <c r="Y4924" i="1"/>
  <c r="AA4924" i="1" s="1"/>
  <c r="J4924" i="1"/>
  <c r="N4924" i="1" s="1"/>
  <c r="Y4930" i="1"/>
  <c r="AA4930" i="1" s="1"/>
  <c r="J4930" i="1"/>
  <c r="N4930" i="1" s="1"/>
  <c r="Y4928" i="1"/>
  <c r="AA4928" i="1" s="1"/>
  <c r="J4928" i="1"/>
  <c r="N4928" i="1" s="1"/>
  <c r="Y4926" i="1"/>
  <c r="AA4926" i="1" s="1"/>
  <c r="J4926" i="1"/>
  <c r="N4926" i="1" s="1"/>
  <c r="Y4922" i="1"/>
  <c r="AA4922" i="1" s="1"/>
  <c r="J4922" i="1"/>
  <c r="Y4916" i="1"/>
  <c r="AA4916" i="1" s="1"/>
  <c r="J4916" i="1"/>
  <c r="N4916" i="1" s="1"/>
  <c r="Y4932" i="1"/>
  <c r="AA4932" i="1" s="1"/>
  <c r="J4932" i="1"/>
  <c r="N4932" i="1" s="1"/>
  <c r="Y4914" i="1"/>
  <c r="AA4914" i="1" s="1"/>
  <c r="J4914" i="1"/>
  <c r="N4914" i="1" s="1"/>
  <c r="Y4918" i="1"/>
  <c r="AA4918" i="1" s="1"/>
  <c r="J4918" i="1"/>
  <c r="N4918" i="1" s="1"/>
  <c r="I4904" i="1"/>
  <c r="I4902" i="1"/>
  <c r="I4900" i="1"/>
  <c r="I4898" i="1"/>
  <c r="I4896" i="1"/>
  <c r="Y4888" i="1"/>
  <c r="AA4888" i="1" s="1"/>
  <c r="J4888" i="1"/>
  <c r="N4888" i="1" s="1"/>
  <c r="N5520" i="1" l="1"/>
  <c r="N5526" i="1"/>
  <c r="N5506" i="1"/>
  <c r="N5494" i="1"/>
  <c r="J5498" i="1"/>
  <c r="N5498" i="1" s="1"/>
  <c r="N5052" i="1"/>
  <c r="N4922" i="1"/>
  <c r="Y4878" i="1"/>
  <c r="AA4878" i="1" s="1"/>
  <c r="J4878" i="1"/>
  <c r="N4878" i="1" s="1"/>
  <c r="K4874" i="1"/>
  <c r="K4868" i="1"/>
  <c r="K4866" i="1"/>
  <c r="Y4828" i="1"/>
  <c r="AA4828" i="1" s="1"/>
  <c r="J4828" i="1"/>
  <c r="N4828" i="1" s="1"/>
  <c r="I4854" i="1"/>
  <c r="J4854" i="1" s="1"/>
  <c r="N4854" i="1" s="1"/>
  <c r="I4852" i="1"/>
  <c r="J4852" i="1" s="1"/>
  <c r="N4852" i="1" s="1"/>
  <c r="I4850" i="1"/>
  <c r="J4850" i="1" s="1"/>
  <c r="N4850" i="1" s="1"/>
  <c r="I4848" i="1"/>
  <c r="J4848" i="1" s="1"/>
  <c r="N4848" i="1" s="1"/>
  <c r="I4846" i="1"/>
  <c r="J4846" i="1" s="1"/>
  <c r="N4846" i="1" s="1"/>
  <c r="I4844" i="1"/>
  <c r="J4844" i="1" s="1"/>
  <c r="N4844" i="1" s="1"/>
  <c r="K4838" i="1"/>
  <c r="K4834" i="1"/>
  <c r="K4820" i="1"/>
  <c r="K4816" i="1"/>
  <c r="K4812" i="1"/>
  <c r="K4808" i="1"/>
  <c r="Y4806" i="1"/>
  <c r="AA4806" i="1" s="1"/>
  <c r="N4806" i="1"/>
  <c r="Y4814" i="1"/>
  <c r="AA4814" i="1" s="1"/>
  <c r="J4814" i="1"/>
  <c r="N4814" i="1" s="1"/>
  <c r="Y4810" i="1"/>
  <c r="AA4810" i="1" s="1"/>
  <c r="J4810" i="1"/>
  <c r="N4810" i="1" s="1"/>
  <c r="Y4808" i="1"/>
  <c r="AA4808" i="1" s="1"/>
  <c r="J4808" i="1"/>
  <c r="K4802" i="1"/>
  <c r="K4786" i="1"/>
  <c r="K4780" i="1"/>
  <c r="K4774" i="1"/>
  <c r="Y4746" i="1"/>
  <c r="AA4746" i="1" s="1"/>
  <c r="J4746" i="1"/>
  <c r="N4746" i="1" s="1"/>
  <c r="K4732" i="1"/>
  <c r="K4730" i="1"/>
  <c r="K4718" i="1"/>
  <c r="Y4720" i="1"/>
  <c r="AA4720" i="1" s="1"/>
  <c r="J4720" i="1"/>
  <c r="N4720" i="1" s="1"/>
  <c r="Y4718" i="1"/>
  <c r="AA4718" i="1" s="1"/>
  <c r="J4718" i="1"/>
  <c r="Y4716" i="1"/>
  <c r="AA4716" i="1" s="1"/>
  <c r="J4716" i="1"/>
  <c r="N4716" i="1" s="1"/>
  <c r="K4724" i="1"/>
  <c r="K4722" i="1"/>
  <c r="Y4724" i="1"/>
  <c r="AA4724" i="1" s="1"/>
  <c r="J4724" i="1"/>
  <c r="Y4722" i="1"/>
  <c r="AA4722" i="1" s="1"/>
  <c r="J4722" i="1"/>
  <c r="K4708" i="1"/>
  <c r="Y4714" i="1"/>
  <c r="AA4714" i="1" s="1"/>
  <c r="J4714" i="1"/>
  <c r="N4714" i="1" s="1"/>
  <c r="Y4712" i="1"/>
  <c r="AA4712" i="1" s="1"/>
  <c r="J4712" i="1"/>
  <c r="N4712" i="1" s="1"/>
  <c r="Y4710" i="1"/>
  <c r="AA4710" i="1" s="1"/>
  <c r="J4710" i="1"/>
  <c r="N4710" i="1" s="1"/>
  <c r="Y4708" i="1"/>
  <c r="AA4708" i="1" s="1"/>
  <c r="J4708" i="1"/>
  <c r="K4706" i="1"/>
  <c r="K4702" i="1"/>
  <c r="K4700" i="1"/>
  <c r="K4698" i="1"/>
  <c r="K4696" i="1"/>
  <c r="K4664" i="1"/>
  <c r="K4656" i="1"/>
  <c r="K4654" i="1"/>
  <c r="K4652" i="1"/>
  <c r="I4646" i="1"/>
  <c r="J4646" i="1" s="1"/>
  <c r="Y4646" i="1"/>
  <c r="AA4646" i="1" s="1"/>
  <c r="Y4640" i="1"/>
  <c r="AA4640" i="1" s="1"/>
  <c r="J4640" i="1"/>
  <c r="N4640" i="1" s="1"/>
  <c r="Y4638" i="1"/>
  <c r="AA4638" i="1" s="1"/>
  <c r="N4638" i="1"/>
  <c r="I4644" i="1"/>
  <c r="J4644" i="1" s="1"/>
  <c r="N4644" i="1" s="1"/>
  <c r="K4636" i="1"/>
  <c r="K4634" i="1"/>
  <c r="K4612" i="1"/>
  <c r="Y4630" i="1"/>
  <c r="AA4630" i="1" s="1"/>
  <c r="J4630" i="1"/>
  <c r="N4630" i="1" s="1"/>
  <c r="Y4628" i="1"/>
  <c r="AA4628" i="1" s="1"/>
  <c r="J4628" i="1"/>
  <c r="N4628" i="1" s="1"/>
  <c r="Y4626" i="1"/>
  <c r="AA4626" i="1" s="1"/>
  <c r="J4626" i="1"/>
  <c r="N4626" i="1" s="1"/>
  <c r="Y4616" i="1"/>
  <c r="AA4616" i="1" s="1"/>
  <c r="J4616" i="1"/>
  <c r="N4616" i="1" s="1"/>
  <c r="Y4614" i="1"/>
  <c r="AA4614" i="1" s="1"/>
  <c r="J4614" i="1"/>
  <c r="N4614" i="1" s="1"/>
  <c r="K4610" i="1"/>
  <c r="K4608" i="1"/>
  <c r="Y4610" i="1"/>
  <c r="AA4610" i="1" s="1"/>
  <c r="J4610" i="1"/>
  <c r="K4602" i="1"/>
  <c r="K4586" i="1"/>
  <c r="K4580" i="1"/>
  <c r="K4594" i="1"/>
  <c r="K4588" i="1"/>
  <c r="K4562" i="1"/>
  <c r="K4558" i="1"/>
  <c r="Y4528" i="1"/>
  <c r="AA4528" i="1" s="1"/>
  <c r="N4528" i="1"/>
  <c r="K4526" i="1"/>
  <c r="K4524" i="1"/>
  <c r="K4520" i="1"/>
  <c r="K4518" i="1"/>
  <c r="K4514" i="1"/>
  <c r="Y4504" i="1"/>
  <c r="AA4504" i="1" s="1"/>
  <c r="J4504" i="1"/>
  <c r="N4504" i="1" s="1"/>
  <c r="Y4502" i="1"/>
  <c r="AA4502" i="1" s="1"/>
  <c r="J4502" i="1"/>
  <c r="N4502" i="1" s="1"/>
  <c r="Y4500" i="1"/>
  <c r="AA4500" i="1" s="1"/>
  <c r="J4500" i="1"/>
  <c r="N4500" i="1" s="1"/>
  <c r="Y4498" i="1"/>
  <c r="AA4498" i="1" s="1"/>
  <c r="J4498" i="1"/>
  <c r="N4498" i="1" s="1"/>
  <c r="Y4496" i="1"/>
  <c r="AA4496" i="1" s="1"/>
  <c r="J4496" i="1"/>
  <c r="N4496" i="1" s="1"/>
  <c r="Y4492" i="1"/>
  <c r="AA4492" i="1" s="1"/>
  <c r="J4492" i="1"/>
  <c r="N4492" i="1" s="1"/>
  <c r="Y4472" i="1"/>
  <c r="AA4472" i="1" s="1"/>
  <c r="J4472" i="1"/>
  <c r="N4472" i="1" s="1"/>
  <c r="Y4494" i="1"/>
  <c r="AA4494" i="1" s="1"/>
  <c r="J4494" i="1"/>
  <c r="N4494" i="1" s="1"/>
  <c r="Y4490" i="1"/>
  <c r="AA4490" i="1" s="1"/>
  <c r="J4490" i="1"/>
  <c r="N4490" i="1" s="1"/>
  <c r="Y4488" i="1"/>
  <c r="AA4488" i="1" s="1"/>
  <c r="J4488" i="1"/>
  <c r="N4488" i="1" s="1"/>
  <c r="Y4486" i="1"/>
  <c r="AA4486" i="1" s="1"/>
  <c r="J4486" i="1"/>
  <c r="N4486" i="1" s="1"/>
  <c r="Y4484" i="1"/>
  <c r="AA4484" i="1" s="1"/>
  <c r="J4484" i="1"/>
  <c r="N4484" i="1" s="1"/>
  <c r="Y4482" i="1"/>
  <c r="AA4482" i="1" s="1"/>
  <c r="J4482" i="1"/>
  <c r="N4482" i="1" s="1"/>
  <c r="I4468" i="1"/>
  <c r="J4468" i="1" s="1"/>
  <c r="N4468" i="1" s="1"/>
  <c r="I4466" i="1"/>
  <c r="J4466" i="1" s="1"/>
  <c r="N4466" i="1" s="1"/>
  <c r="I4464" i="1"/>
  <c r="J4464" i="1" s="1"/>
  <c r="N4464" i="1" s="1"/>
  <c r="I4462" i="1"/>
  <c r="J4462" i="1" s="1"/>
  <c r="N4462" i="1" s="1"/>
  <c r="I4460" i="1"/>
  <c r="J4460" i="1" s="1"/>
  <c r="N4460" i="1" s="1"/>
  <c r="I4458" i="1"/>
  <c r="J4458" i="1" s="1"/>
  <c r="N4458" i="1" s="1"/>
  <c r="K4456" i="1"/>
  <c r="K4452" i="1"/>
  <c r="K4444" i="1"/>
  <c r="K4442" i="1"/>
  <c r="Y4448" i="1"/>
  <c r="AA4448" i="1" s="1"/>
  <c r="J4448" i="1"/>
  <c r="N4448" i="1" s="1"/>
  <c r="Y4444" i="1"/>
  <c r="AA4444" i="1" s="1"/>
  <c r="J4444" i="1"/>
  <c r="Y4442" i="1"/>
  <c r="AA4442" i="1" s="1"/>
  <c r="J4442" i="1"/>
  <c r="Y4018" i="1"/>
  <c r="Y4446" i="1"/>
  <c r="AA4446" i="1" s="1"/>
  <c r="J4446" i="1"/>
  <c r="N4446" i="1" s="1"/>
  <c r="K4436" i="1"/>
  <c r="K4434" i="1"/>
  <c r="K4430" i="1"/>
  <c r="K4424" i="1"/>
  <c r="K4410" i="1"/>
  <c r="K4408" i="1"/>
  <c r="K4406" i="1"/>
  <c r="K4402" i="1"/>
  <c r="K4400" i="1"/>
  <c r="K4394" i="1"/>
  <c r="Y4392" i="1"/>
  <c r="AA4392" i="1" s="1"/>
  <c r="J4392" i="1"/>
  <c r="N4392" i="1" s="1"/>
  <c r="Y4408" i="1"/>
  <c r="AA4408" i="1" s="1"/>
  <c r="J4408" i="1"/>
  <c r="Y4432" i="1"/>
  <c r="AA4432" i="1" s="1"/>
  <c r="J4432" i="1"/>
  <c r="N4432" i="1" s="1"/>
  <c r="Y4430" i="1"/>
  <c r="AA4430" i="1" s="1"/>
  <c r="J4430" i="1"/>
  <c r="Y4428" i="1"/>
  <c r="AA4428" i="1" s="1"/>
  <c r="J4428" i="1"/>
  <c r="N4428" i="1" s="1"/>
  <c r="Y4420" i="1"/>
  <c r="AA4420" i="1" s="1"/>
  <c r="J4420" i="1"/>
  <c r="N4420" i="1" s="1"/>
  <c r="Y4412" i="1"/>
  <c r="AA4412" i="1" s="1"/>
  <c r="J4412" i="1"/>
  <c r="N4412" i="1" s="1"/>
  <c r="Y4410" i="1"/>
  <c r="AA4410" i="1" s="1"/>
  <c r="J4410" i="1"/>
  <c r="K4340" i="1"/>
  <c r="K4378" i="1"/>
  <c r="K4368" i="1"/>
  <c r="K4366" i="1"/>
  <c r="I4388" i="1"/>
  <c r="Y5002" i="1"/>
  <c r="AA5002" i="1" s="1"/>
  <c r="J5002" i="1"/>
  <c r="N5002" i="1" s="1"/>
  <c r="Y5000" i="1"/>
  <c r="AA5000" i="1" s="1"/>
  <c r="J5000" i="1"/>
  <c r="N5000" i="1" s="1"/>
  <c r="Y4998" i="1"/>
  <c r="AA4998" i="1" s="1"/>
  <c r="J4998" i="1"/>
  <c r="N4998" i="1" s="1"/>
  <c r="Y4996" i="1"/>
  <c r="AA4996" i="1" s="1"/>
  <c r="J4996" i="1"/>
  <c r="N4996" i="1" s="1"/>
  <c r="Y4994" i="1"/>
  <c r="AA4994" i="1" s="1"/>
  <c r="J4994" i="1"/>
  <c r="N4994" i="1" s="1"/>
  <c r="Y4992" i="1"/>
  <c r="AA4992" i="1" s="1"/>
  <c r="J4992" i="1"/>
  <c r="N4992" i="1" s="1"/>
  <c r="Y4990" i="1"/>
  <c r="AA4990" i="1" s="1"/>
  <c r="J4990" i="1"/>
  <c r="N4990" i="1" s="1"/>
  <c r="Y4988" i="1"/>
  <c r="AA4988" i="1" s="1"/>
  <c r="J4988" i="1"/>
  <c r="N4988" i="1" s="1"/>
  <c r="Y4986" i="1"/>
  <c r="AA4986" i="1" s="1"/>
  <c r="J4986" i="1"/>
  <c r="N4986" i="1" s="1"/>
  <c r="Y4984" i="1"/>
  <c r="AA4984" i="1" s="1"/>
  <c r="J4984" i="1"/>
  <c r="N4984" i="1" s="1"/>
  <c r="Y4982" i="1"/>
  <c r="AA4982" i="1" s="1"/>
  <c r="J4982" i="1"/>
  <c r="N4982" i="1" s="1"/>
  <c r="Y4980" i="1"/>
  <c r="AA4980" i="1" s="1"/>
  <c r="J4980" i="1"/>
  <c r="N4980" i="1" s="1"/>
  <c r="Y4978" i="1"/>
  <c r="AA4978" i="1" s="1"/>
  <c r="J4978" i="1"/>
  <c r="N4978" i="1" s="1"/>
  <c r="Y4976" i="1"/>
  <c r="AA4976" i="1" s="1"/>
  <c r="J4976" i="1"/>
  <c r="N4976" i="1" s="1"/>
  <c r="Y4974" i="1"/>
  <c r="AA4974" i="1" s="1"/>
  <c r="J4974" i="1"/>
  <c r="N4974" i="1" s="1"/>
  <c r="Y4972" i="1"/>
  <c r="AA4972" i="1" s="1"/>
  <c r="J4972" i="1"/>
  <c r="N4972" i="1" s="1"/>
  <c r="Y4970" i="1"/>
  <c r="AA4970" i="1" s="1"/>
  <c r="J4970" i="1"/>
  <c r="N4970" i="1" s="1"/>
  <c r="Y4968" i="1"/>
  <c r="AA4968" i="1" s="1"/>
  <c r="J4968" i="1"/>
  <c r="N4968" i="1" s="1"/>
  <c r="Y4966" i="1"/>
  <c r="AA4966" i="1" s="1"/>
  <c r="J4966" i="1"/>
  <c r="N4966" i="1" s="1"/>
  <c r="Y4964" i="1"/>
  <c r="AA4964" i="1" s="1"/>
  <c r="J4964" i="1"/>
  <c r="N4964" i="1" s="1"/>
  <c r="Y4962" i="1"/>
  <c r="AA4962" i="1" s="1"/>
  <c r="J4962" i="1"/>
  <c r="N4962" i="1" s="1"/>
  <c r="Y4960" i="1"/>
  <c r="AA4960" i="1" s="1"/>
  <c r="J4960" i="1"/>
  <c r="N4960" i="1" s="1"/>
  <c r="Y4958" i="1"/>
  <c r="AA4958" i="1" s="1"/>
  <c r="J4958" i="1"/>
  <c r="N4958" i="1" s="1"/>
  <c r="Y4956" i="1"/>
  <c r="AA4956" i="1" s="1"/>
  <c r="J4956" i="1"/>
  <c r="N4956" i="1" s="1"/>
  <c r="Y4954" i="1"/>
  <c r="AA4954" i="1" s="1"/>
  <c r="J4954" i="1"/>
  <c r="N4954" i="1" s="1"/>
  <c r="Y4952" i="1"/>
  <c r="AA4952" i="1" s="1"/>
  <c r="J4952" i="1"/>
  <c r="N4952" i="1" s="1"/>
  <c r="Y4950" i="1"/>
  <c r="AA4950" i="1" s="1"/>
  <c r="J4950" i="1"/>
  <c r="N4950" i="1" s="1"/>
  <c r="Y4948" i="1"/>
  <c r="AA4948" i="1" s="1"/>
  <c r="J4948" i="1"/>
  <c r="N4948" i="1" s="1"/>
  <c r="Y4946" i="1"/>
  <c r="AA4946" i="1" s="1"/>
  <c r="J4946" i="1"/>
  <c r="N4946" i="1" s="1"/>
  <c r="Y4944" i="1"/>
  <c r="AA4944" i="1" s="1"/>
  <c r="J4944" i="1"/>
  <c r="N4944" i="1" s="1"/>
  <c r="Y4942" i="1"/>
  <c r="AA4942" i="1" s="1"/>
  <c r="J4942" i="1"/>
  <c r="N4942" i="1" s="1"/>
  <c r="Y4940" i="1"/>
  <c r="AA4940" i="1" s="1"/>
  <c r="J4940" i="1"/>
  <c r="N4940" i="1" s="1"/>
  <c r="Y4938" i="1"/>
  <c r="AA4938" i="1" s="1"/>
  <c r="J4938" i="1"/>
  <c r="N4938" i="1" s="1"/>
  <c r="Y4936" i="1"/>
  <c r="AA4936" i="1" s="1"/>
  <c r="J4936" i="1"/>
  <c r="N4936" i="1" s="1"/>
  <c r="Y4934" i="1"/>
  <c r="AA4934" i="1" s="1"/>
  <c r="J4934" i="1"/>
  <c r="N4934" i="1" s="1"/>
  <c r="Y4920" i="1"/>
  <c r="AA4920" i="1" s="1"/>
  <c r="J4920" i="1"/>
  <c r="N4920" i="1" s="1"/>
  <c r="Y4912" i="1"/>
  <c r="AA4912" i="1" s="1"/>
  <c r="J4912" i="1"/>
  <c r="N4912" i="1" s="1"/>
  <c r="Y4910" i="1"/>
  <c r="AA4910" i="1" s="1"/>
  <c r="J4910" i="1"/>
  <c r="N4910" i="1" s="1"/>
  <c r="Y4908" i="1"/>
  <c r="AA4908" i="1" s="1"/>
  <c r="J4908" i="1"/>
  <c r="N4908" i="1" s="1"/>
  <c r="Y4906" i="1"/>
  <c r="AA4906" i="1" s="1"/>
  <c r="J4906" i="1"/>
  <c r="N4906" i="1" s="1"/>
  <c r="Y4904" i="1"/>
  <c r="AA4904" i="1" s="1"/>
  <c r="J4904" i="1"/>
  <c r="N4904" i="1" s="1"/>
  <c r="Y4902" i="1"/>
  <c r="AA4902" i="1" s="1"/>
  <c r="J4902" i="1"/>
  <c r="N4902" i="1" s="1"/>
  <c r="Y4900" i="1"/>
  <c r="AA4900" i="1" s="1"/>
  <c r="J4900" i="1"/>
  <c r="N4900" i="1" s="1"/>
  <c r="Y4898" i="1"/>
  <c r="AA4898" i="1" s="1"/>
  <c r="J4898" i="1"/>
  <c r="N4898" i="1" s="1"/>
  <c r="Y4896" i="1"/>
  <c r="AA4896" i="1" s="1"/>
  <c r="J4896" i="1"/>
  <c r="N4896" i="1" s="1"/>
  <c r="Y4894" i="1"/>
  <c r="AA4894" i="1" s="1"/>
  <c r="J4894" i="1"/>
  <c r="N4894" i="1" s="1"/>
  <c r="Y4892" i="1"/>
  <c r="AA4892" i="1" s="1"/>
  <c r="J4892" i="1"/>
  <c r="N4892" i="1" s="1"/>
  <c r="AA4890" i="1"/>
  <c r="J4890" i="1"/>
  <c r="N4890" i="1" s="1"/>
  <c r="Y4886" i="1"/>
  <c r="AA4886" i="1" s="1"/>
  <c r="J4886" i="1"/>
  <c r="Y4884" i="1"/>
  <c r="AA4884" i="1" s="1"/>
  <c r="J4884" i="1"/>
  <c r="N4884" i="1" s="1"/>
  <c r="Y4882" i="1"/>
  <c r="AA4882" i="1" s="1"/>
  <c r="J4882" i="1"/>
  <c r="N4882" i="1" s="1"/>
  <c r="Y4880" i="1"/>
  <c r="AA4880" i="1" s="1"/>
  <c r="J4880" i="1"/>
  <c r="N4880" i="1" s="1"/>
  <c r="Y4876" i="1"/>
  <c r="AA4876" i="1" s="1"/>
  <c r="J4876" i="1"/>
  <c r="N4876" i="1" s="1"/>
  <c r="Y4874" i="1"/>
  <c r="AA4874" i="1" s="1"/>
  <c r="J4874" i="1"/>
  <c r="Y4872" i="1"/>
  <c r="AA4872" i="1" s="1"/>
  <c r="J4872" i="1"/>
  <c r="N4872" i="1" s="1"/>
  <c r="Y4870" i="1"/>
  <c r="AA4870" i="1" s="1"/>
  <c r="J4870" i="1"/>
  <c r="N4870" i="1" s="1"/>
  <c r="Y4868" i="1"/>
  <c r="AA4868" i="1" s="1"/>
  <c r="J4868" i="1"/>
  <c r="Y4866" i="1"/>
  <c r="AA4866" i="1" s="1"/>
  <c r="J4866" i="1"/>
  <c r="Y4864" i="1"/>
  <c r="AA4864" i="1" s="1"/>
  <c r="J4864" i="1"/>
  <c r="N4864" i="1" s="1"/>
  <c r="Y4862" i="1"/>
  <c r="AA4862" i="1" s="1"/>
  <c r="J4862" i="1"/>
  <c r="N4862" i="1" s="1"/>
  <c r="Y4860" i="1"/>
  <c r="AA4860" i="1" s="1"/>
  <c r="J4860" i="1"/>
  <c r="N4860" i="1" s="1"/>
  <c r="Y4858" i="1"/>
  <c r="AA4858" i="1" s="1"/>
  <c r="J4858" i="1"/>
  <c r="Y4856" i="1"/>
  <c r="AA4856" i="1" s="1"/>
  <c r="J4856" i="1"/>
  <c r="N4856" i="1" s="1"/>
  <c r="Y4854" i="1"/>
  <c r="AA4854" i="1" s="1"/>
  <c r="Y4852" i="1"/>
  <c r="AA4852" i="1" s="1"/>
  <c r="Y4850" i="1"/>
  <c r="AA4850" i="1" s="1"/>
  <c r="Y4848" i="1"/>
  <c r="AA4848" i="1" s="1"/>
  <c r="Y4846" i="1"/>
  <c r="AA4846" i="1" s="1"/>
  <c r="Y4844" i="1"/>
  <c r="AA4844" i="1" s="1"/>
  <c r="Y4842" i="1"/>
  <c r="AA4842" i="1" s="1"/>
  <c r="J4842" i="1"/>
  <c r="N4842" i="1" s="1"/>
  <c r="Y4840" i="1"/>
  <c r="AA4840" i="1" s="1"/>
  <c r="J4840" i="1"/>
  <c r="N4840" i="1" s="1"/>
  <c r="Y4838" i="1"/>
  <c r="AA4838" i="1" s="1"/>
  <c r="J4838" i="1"/>
  <c r="Y4836" i="1"/>
  <c r="AA4836" i="1" s="1"/>
  <c r="J4836" i="1"/>
  <c r="N4836" i="1" s="1"/>
  <c r="Y4834" i="1"/>
  <c r="AA4834" i="1" s="1"/>
  <c r="J4834" i="1"/>
  <c r="Y4832" i="1"/>
  <c r="AA4832" i="1" s="1"/>
  <c r="J4832" i="1"/>
  <c r="N4832" i="1" s="1"/>
  <c r="Y4830" i="1"/>
  <c r="AA4830" i="1" s="1"/>
  <c r="J4830" i="1"/>
  <c r="N4830" i="1" s="1"/>
  <c r="Y4826" i="1"/>
  <c r="AA4826" i="1" s="1"/>
  <c r="J4826" i="1"/>
  <c r="N4826" i="1" s="1"/>
  <c r="Y4824" i="1"/>
  <c r="AA4824" i="1" s="1"/>
  <c r="N4824" i="1"/>
  <c r="Y4822" i="1"/>
  <c r="AA4822" i="1" s="1"/>
  <c r="J4822" i="1"/>
  <c r="N4822" i="1" s="1"/>
  <c r="Y4820" i="1"/>
  <c r="AA4820" i="1" s="1"/>
  <c r="J4820" i="1"/>
  <c r="Y4818" i="1"/>
  <c r="AA4818" i="1" s="1"/>
  <c r="J4818" i="1"/>
  <c r="N4818" i="1" s="1"/>
  <c r="Y4816" i="1"/>
  <c r="AA4816" i="1" s="1"/>
  <c r="J4816" i="1"/>
  <c r="Y4812" i="1"/>
  <c r="AA4812" i="1" s="1"/>
  <c r="J4812" i="1"/>
  <c r="Y4804" i="1"/>
  <c r="AA4804" i="1" s="1"/>
  <c r="J4804" i="1"/>
  <c r="N4804" i="1" s="1"/>
  <c r="Y4802" i="1"/>
  <c r="AA4802" i="1" s="1"/>
  <c r="J4802" i="1"/>
  <c r="Y4800" i="1"/>
  <c r="AA4800" i="1" s="1"/>
  <c r="J4800" i="1"/>
  <c r="N4800" i="1" s="1"/>
  <c r="Y4798" i="1"/>
  <c r="AA4798" i="1" s="1"/>
  <c r="J4798" i="1"/>
  <c r="N4798" i="1" s="1"/>
  <c r="Y4796" i="1"/>
  <c r="AA4796" i="1" s="1"/>
  <c r="J4796" i="1"/>
  <c r="N4796" i="1" s="1"/>
  <c r="Y4794" i="1"/>
  <c r="AA4794" i="1" s="1"/>
  <c r="J4794" i="1"/>
  <c r="N4794" i="1" s="1"/>
  <c r="Y4792" i="1"/>
  <c r="AA4792" i="1" s="1"/>
  <c r="J4792" i="1"/>
  <c r="N4792" i="1" s="1"/>
  <c r="Y4790" i="1"/>
  <c r="AA4790" i="1" s="1"/>
  <c r="J4790" i="1"/>
  <c r="N4790" i="1" s="1"/>
  <c r="Y4788" i="1"/>
  <c r="AA4788" i="1" s="1"/>
  <c r="J4788" i="1"/>
  <c r="N4788" i="1" s="1"/>
  <c r="Y4786" i="1"/>
  <c r="AA4786" i="1" s="1"/>
  <c r="J4786" i="1"/>
  <c r="Y4784" i="1"/>
  <c r="AA4784" i="1" s="1"/>
  <c r="J4784" i="1"/>
  <c r="N4784" i="1" s="1"/>
  <c r="Y4782" i="1"/>
  <c r="AA4782" i="1" s="1"/>
  <c r="J4782" i="1"/>
  <c r="N4782" i="1" s="1"/>
  <c r="Y4780" i="1"/>
  <c r="AA4780" i="1" s="1"/>
  <c r="J4780" i="1"/>
  <c r="Y4778" i="1"/>
  <c r="AA4778" i="1" s="1"/>
  <c r="J4778" i="1"/>
  <c r="N4778" i="1" s="1"/>
  <c r="Y4776" i="1"/>
  <c r="AA4776" i="1" s="1"/>
  <c r="J4776" i="1"/>
  <c r="N4776" i="1" s="1"/>
  <c r="Y4774" i="1"/>
  <c r="AA4774" i="1" s="1"/>
  <c r="J4774" i="1"/>
  <c r="Y4772" i="1"/>
  <c r="AA4772" i="1" s="1"/>
  <c r="J4772" i="1"/>
  <c r="N4772" i="1" s="1"/>
  <c r="Y4770" i="1"/>
  <c r="AA4770" i="1" s="1"/>
  <c r="J4770" i="1"/>
  <c r="N4770" i="1" s="1"/>
  <c r="Y4768" i="1"/>
  <c r="AA4768" i="1" s="1"/>
  <c r="J4768" i="1"/>
  <c r="N4768" i="1" s="1"/>
  <c r="AA4766" i="1"/>
  <c r="J4766" i="1"/>
  <c r="N4766" i="1" s="1"/>
  <c r="Y4764" i="1"/>
  <c r="AA4764" i="1" s="1"/>
  <c r="J4764" i="1"/>
  <c r="N4764" i="1" s="1"/>
  <c r="Y4762" i="1"/>
  <c r="AA4762" i="1" s="1"/>
  <c r="J4762" i="1"/>
  <c r="N4762" i="1" s="1"/>
  <c r="Y4760" i="1"/>
  <c r="AA4760" i="1" s="1"/>
  <c r="J4760" i="1"/>
  <c r="N4760" i="1" s="1"/>
  <c r="Y4758" i="1"/>
  <c r="AA4758" i="1" s="1"/>
  <c r="J4758" i="1"/>
  <c r="N4758" i="1" s="1"/>
  <c r="Y4756" i="1"/>
  <c r="AA4756" i="1" s="1"/>
  <c r="J4756" i="1"/>
  <c r="N4756" i="1" s="1"/>
  <c r="Y4754" i="1"/>
  <c r="AA4754" i="1" s="1"/>
  <c r="J4754" i="1"/>
  <c r="N4754" i="1" s="1"/>
  <c r="Y4752" i="1"/>
  <c r="AA4752" i="1" s="1"/>
  <c r="J4752" i="1"/>
  <c r="N4752" i="1" s="1"/>
  <c r="Y4750" i="1"/>
  <c r="AA4750" i="1" s="1"/>
  <c r="J4750" i="1"/>
  <c r="N4750" i="1" s="1"/>
  <c r="Y4748" i="1"/>
  <c r="AA4748" i="1" s="1"/>
  <c r="J4748" i="1"/>
  <c r="N4748" i="1" s="1"/>
  <c r="Y4744" i="1"/>
  <c r="AA4744" i="1" s="1"/>
  <c r="J4744" i="1"/>
  <c r="N4744" i="1" s="1"/>
  <c r="Y4742" i="1"/>
  <c r="AA4742" i="1" s="1"/>
  <c r="J4742" i="1"/>
  <c r="N4742" i="1" s="1"/>
  <c r="Y4740" i="1"/>
  <c r="AA4740" i="1" s="1"/>
  <c r="J4740" i="1"/>
  <c r="N4740" i="1" s="1"/>
  <c r="Y4738" i="1"/>
  <c r="AA4738" i="1" s="1"/>
  <c r="J4738" i="1"/>
  <c r="N4738" i="1" s="1"/>
  <c r="Y4736" i="1"/>
  <c r="AA4736" i="1" s="1"/>
  <c r="J4736" i="1"/>
  <c r="N4736" i="1" s="1"/>
  <c r="Y4734" i="1"/>
  <c r="AA4734" i="1" s="1"/>
  <c r="J4734" i="1"/>
  <c r="N4734" i="1" s="1"/>
  <c r="AA4732" i="1"/>
  <c r="J4732" i="1"/>
  <c r="Y4730" i="1"/>
  <c r="AA4730" i="1" s="1"/>
  <c r="J4730" i="1"/>
  <c r="Y4728" i="1"/>
  <c r="AA4728" i="1" s="1"/>
  <c r="J4728" i="1"/>
  <c r="N4728" i="1" s="1"/>
  <c r="Y4726" i="1"/>
  <c r="AA4726" i="1" s="1"/>
  <c r="J4726" i="1"/>
  <c r="N4726" i="1" s="1"/>
  <c r="AA4706" i="1"/>
  <c r="J4706" i="1"/>
  <c r="Y4704" i="1"/>
  <c r="AA4704" i="1" s="1"/>
  <c r="J4704" i="1"/>
  <c r="N4704" i="1" s="1"/>
  <c r="Y4702" i="1"/>
  <c r="AA4702" i="1" s="1"/>
  <c r="J4702" i="1"/>
  <c r="Y4700" i="1"/>
  <c r="AA4700" i="1" s="1"/>
  <c r="J4700" i="1"/>
  <c r="Y4698" i="1"/>
  <c r="AA4698" i="1" s="1"/>
  <c r="J4698" i="1"/>
  <c r="Y4696" i="1"/>
  <c r="AA4696" i="1" s="1"/>
  <c r="J4696" i="1"/>
  <c r="Y4694" i="1"/>
  <c r="AA4694" i="1" s="1"/>
  <c r="J4694" i="1"/>
  <c r="N4694" i="1" s="1"/>
  <c r="Y4692" i="1"/>
  <c r="AA4692" i="1" s="1"/>
  <c r="J4692" i="1"/>
  <c r="N4692" i="1" s="1"/>
  <c r="Y4690" i="1"/>
  <c r="AA4690" i="1" s="1"/>
  <c r="J4690" i="1"/>
  <c r="N4690" i="1" s="1"/>
  <c r="Y4688" i="1"/>
  <c r="AA4688" i="1" s="1"/>
  <c r="J4688" i="1"/>
  <c r="N4688" i="1" s="1"/>
  <c r="Y4686" i="1"/>
  <c r="AA4686" i="1" s="1"/>
  <c r="J4686" i="1"/>
  <c r="N4686" i="1" s="1"/>
  <c r="Y4684" i="1"/>
  <c r="AA4684" i="1" s="1"/>
  <c r="J4684" i="1"/>
  <c r="N4684" i="1" s="1"/>
  <c r="Y4682" i="1"/>
  <c r="AA4682" i="1" s="1"/>
  <c r="J4682" i="1"/>
  <c r="N4682" i="1" s="1"/>
  <c r="Y4680" i="1"/>
  <c r="AA4680" i="1" s="1"/>
  <c r="J4680" i="1"/>
  <c r="N4680" i="1" s="1"/>
  <c r="Y4678" i="1"/>
  <c r="AA4678" i="1" s="1"/>
  <c r="J4678" i="1"/>
  <c r="N4678" i="1" s="1"/>
  <c r="Y4676" i="1"/>
  <c r="AA4676" i="1" s="1"/>
  <c r="J4676" i="1"/>
  <c r="N4676" i="1" s="1"/>
  <c r="AA4674" i="1"/>
  <c r="J4674" i="1"/>
  <c r="N4674" i="1" s="1"/>
  <c r="Y4672" i="1"/>
  <c r="AA4672" i="1" s="1"/>
  <c r="J4672" i="1"/>
  <c r="N4672" i="1" s="1"/>
  <c r="Y4670" i="1"/>
  <c r="AA4670" i="1" s="1"/>
  <c r="N4670" i="1"/>
  <c r="Y4668" i="1"/>
  <c r="AA4668" i="1" s="1"/>
  <c r="J4668" i="1"/>
  <c r="N4668" i="1" s="1"/>
  <c r="Y4666" i="1"/>
  <c r="AA4666" i="1" s="1"/>
  <c r="J4666" i="1"/>
  <c r="N4666" i="1" s="1"/>
  <c r="Y4664" i="1"/>
  <c r="AA4664" i="1" s="1"/>
  <c r="J4664" i="1"/>
  <c r="Y4662" i="1"/>
  <c r="AA4662" i="1" s="1"/>
  <c r="J4662" i="1"/>
  <c r="N4662" i="1" s="1"/>
  <c r="Y4660" i="1"/>
  <c r="AA4660" i="1" s="1"/>
  <c r="J4660" i="1"/>
  <c r="N4660" i="1" s="1"/>
  <c r="Y4658" i="1"/>
  <c r="AA4658" i="1" s="1"/>
  <c r="J4658" i="1"/>
  <c r="N4658" i="1" s="1"/>
  <c r="Y4656" i="1"/>
  <c r="AA4656" i="1" s="1"/>
  <c r="J4656" i="1"/>
  <c r="Y4654" i="1"/>
  <c r="AA4654" i="1" s="1"/>
  <c r="J4654" i="1"/>
  <c r="Y4652" i="1"/>
  <c r="AA4652" i="1" s="1"/>
  <c r="J4652" i="1"/>
  <c r="Y4650" i="1"/>
  <c r="AA4650" i="1" s="1"/>
  <c r="J4650" i="1"/>
  <c r="N4650" i="1" s="1"/>
  <c r="Y4648" i="1"/>
  <c r="AA4648" i="1" s="1"/>
  <c r="J4648" i="1"/>
  <c r="N4648" i="1" s="1"/>
  <c r="Y4644" i="1"/>
  <c r="AA4644" i="1" s="1"/>
  <c r="Y4642" i="1"/>
  <c r="AA4642" i="1" s="1"/>
  <c r="J4642" i="1"/>
  <c r="N4642" i="1" s="1"/>
  <c r="Y4636" i="1"/>
  <c r="AA4636" i="1" s="1"/>
  <c r="J4636" i="1"/>
  <c r="Y4634" i="1"/>
  <c r="AA4634" i="1" s="1"/>
  <c r="J4634" i="1"/>
  <c r="Y4632" i="1"/>
  <c r="AA4632" i="1" s="1"/>
  <c r="J4632" i="1"/>
  <c r="N4632" i="1" s="1"/>
  <c r="Y4624" i="1"/>
  <c r="AA4624" i="1" s="1"/>
  <c r="J4624" i="1"/>
  <c r="N4624" i="1" s="1"/>
  <c r="Y4622" i="1"/>
  <c r="AA4622" i="1" s="1"/>
  <c r="J4622" i="1"/>
  <c r="N4622" i="1" s="1"/>
  <c r="Y4620" i="1"/>
  <c r="AA4620" i="1" s="1"/>
  <c r="J4620" i="1"/>
  <c r="N4620" i="1" s="1"/>
  <c r="Y4618" i="1"/>
  <c r="AA4618" i="1" s="1"/>
  <c r="J4618" i="1"/>
  <c r="N4618" i="1" s="1"/>
  <c r="Y4612" i="1"/>
  <c r="AA4612" i="1" s="1"/>
  <c r="J4612" i="1"/>
  <c r="AA4608" i="1"/>
  <c r="J4608" i="1"/>
  <c r="Y4606" i="1"/>
  <c r="AA4606" i="1" s="1"/>
  <c r="J4606" i="1"/>
  <c r="N4606" i="1" s="1"/>
  <c r="Y4604" i="1"/>
  <c r="AA4604" i="1" s="1"/>
  <c r="J4604" i="1"/>
  <c r="N4604" i="1" s="1"/>
  <c r="Y4602" i="1"/>
  <c r="AA4602" i="1" s="1"/>
  <c r="J4602" i="1"/>
  <c r="Y4600" i="1"/>
  <c r="AA4600" i="1" s="1"/>
  <c r="J4600" i="1"/>
  <c r="N4600" i="1" s="1"/>
  <c r="Y4598" i="1"/>
  <c r="AA4598" i="1" s="1"/>
  <c r="J4598" i="1"/>
  <c r="N4598" i="1" s="1"/>
  <c r="Y4596" i="1"/>
  <c r="AA4596" i="1" s="1"/>
  <c r="J4596" i="1"/>
  <c r="N4596" i="1" s="1"/>
  <c r="Y4594" i="1"/>
  <c r="AA4594" i="1" s="1"/>
  <c r="J4594" i="1"/>
  <c r="Y4592" i="1"/>
  <c r="AA4592" i="1" s="1"/>
  <c r="J4592" i="1"/>
  <c r="N4592" i="1" s="1"/>
  <c r="Y4590" i="1"/>
  <c r="AA4590" i="1" s="1"/>
  <c r="J4590" i="1"/>
  <c r="N4590" i="1" s="1"/>
  <c r="Y4588" i="1"/>
  <c r="AA4588" i="1" s="1"/>
  <c r="J4588" i="1"/>
  <c r="Y4586" i="1"/>
  <c r="AA4586" i="1" s="1"/>
  <c r="J4586" i="1"/>
  <c r="Y4584" i="1"/>
  <c r="AA4584" i="1" s="1"/>
  <c r="J4584" i="1"/>
  <c r="N4584" i="1" s="1"/>
  <c r="Y4582" i="1"/>
  <c r="AA4582" i="1" s="1"/>
  <c r="J4582" i="1"/>
  <c r="N4582" i="1" s="1"/>
  <c r="Y4580" i="1"/>
  <c r="AA4580" i="1" s="1"/>
  <c r="J4580" i="1"/>
  <c r="Y4578" i="1"/>
  <c r="AA4578" i="1" s="1"/>
  <c r="J4578" i="1"/>
  <c r="N4578" i="1" s="1"/>
  <c r="Y4576" i="1"/>
  <c r="AA4576" i="1" s="1"/>
  <c r="J4576" i="1"/>
  <c r="N4576" i="1" s="1"/>
  <c r="Y4574" i="1"/>
  <c r="AA4574" i="1" s="1"/>
  <c r="J4574" i="1"/>
  <c r="N4574" i="1" s="1"/>
  <c r="Y4572" i="1"/>
  <c r="AA4572" i="1" s="1"/>
  <c r="J4572" i="1"/>
  <c r="N4572" i="1" s="1"/>
  <c r="Y4570" i="1"/>
  <c r="AA4570" i="1" s="1"/>
  <c r="J4570" i="1"/>
  <c r="N4570" i="1" s="1"/>
  <c r="Y4568" i="1"/>
  <c r="AA4568" i="1" s="1"/>
  <c r="J4568" i="1"/>
  <c r="N4568" i="1" s="1"/>
  <c r="Y4566" i="1"/>
  <c r="AA4566" i="1" s="1"/>
  <c r="J4566" i="1"/>
  <c r="N4566" i="1" s="1"/>
  <c r="Y4564" i="1"/>
  <c r="AA4564" i="1" s="1"/>
  <c r="J4564" i="1"/>
  <c r="N4564" i="1" s="1"/>
  <c r="Y4562" i="1"/>
  <c r="AA4562" i="1" s="1"/>
  <c r="J4562" i="1"/>
  <c r="Y4560" i="1"/>
  <c r="AA4560" i="1" s="1"/>
  <c r="J4560" i="1"/>
  <c r="Y4558" i="1"/>
  <c r="AA4558" i="1" s="1"/>
  <c r="J4558" i="1"/>
  <c r="Y4556" i="1"/>
  <c r="AA4556" i="1" s="1"/>
  <c r="J4556" i="1"/>
  <c r="N4556" i="1" s="1"/>
  <c r="Y4554" i="1"/>
  <c r="AA4554" i="1" s="1"/>
  <c r="J4554" i="1"/>
  <c r="N4554" i="1" s="1"/>
  <c r="Y4552" i="1"/>
  <c r="AA4552" i="1" s="1"/>
  <c r="J4552" i="1"/>
  <c r="N4552" i="1" s="1"/>
  <c r="Y4550" i="1"/>
  <c r="AA4550" i="1" s="1"/>
  <c r="J4550" i="1"/>
  <c r="N4550" i="1" s="1"/>
  <c r="Y4548" i="1"/>
  <c r="AA4548" i="1" s="1"/>
  <c r="J4548" i="1"/>
  <c r="N4548" i="1" s="1"/>
  <c r="Y4546" i="1"/>
  <c r="AA4546" i="1" s="1"/>
  <c r="J4546" i="1"/>
  <c r="N4546" i="1" s="1"/>
  <c r="Y4544" i="1"/>
  <c r="AA4544" i="1" s="1"/>
  <c r="J4544" i="1"/>
  <c r="N4544" i="1" s="1"/>
  <c r="Y4542" i="1"/>
  <c r="AA4542" i="1" s="1"/>
  <c r="J4542" i="1"/>
  <c r="N4542" i="1" s="1"/>
  <c r="Y4540" i="1"/>
  <c r="AA4540" i="1" s="1"/>
  <c r="J4540" i="1"/>
  <c r="N4540" i="1" s="1"/>
  <c r="Y4538" i="1"/>
  <c r="AA4538" i="1" s="1"/>
  <c r="J4538" i="1"/>
  <c r="N4538" i="1" s="1"/>
  <c r="Y4536" i="1"/>
  <c r="AA4536" i="1" s="1"/>
  <c r="J4536" i="1"/>
  <c r="N4536" i="1" s="1"/>
  <c r="Y4534" i="1"/>
  <c r="AA4534" i="1" s="1"/>
  <c r="J4534" i="1"/>
  <c r="N4534" i="1" s="1"/>
  <c r="Y4532" i="1"/>
  <c r="AA4532" i="1" s="1"/>
  <c r="J4532" i="1"/>
  <c r="N4532" i="1" s="1"/>
  <c r="Y4530" i="1"/>
  <c r="AA4530" i="1" s="1"/>
  <c r="J4530" i="1"/>
  <c r="N4530" i="1" s="1"/>
  <c r="Y4526" i="1"/>
  <c r="AA4526" i="1" s="1"/>
  <c r="J4526" i="1"/>
  <c r="Y4524" i="1"/>
  <c r="AA4524" i="1" s="1"/>
  <c r="J4524" i="1"/>
  <c r="Y4522" i="1"/>
  <c r="AA4522" i="1" s="1"/>
  <c r="J4522" i="1"/>
  <c r="N4522" i="1" s="1"/>
  <c r="Y4520" i="1"/>
  <c r="AA4520" i="1" s="1"/>
  <c r="J4520" i="1"/>
  <c r="Y4518" i="1"/>
  <c r="AA4518" i="1" s="1"/>
  <c r="J4518" i="1"/>
  <c r="Y4516" i="1"/>
  <c r="AA4516" i="1" s="1"/>
  <c r="J4516" i="1"/>
  <c r="N4516" i="1" s="1"/>
  <c r="Y4514" i="1"/>
  <c r="AA4514" i="1" s="1"/>
  <c r="J4514" i="1"/>
  <c r="Y4512" i="1"/>
  <c r="AA4512" i="1" s="1"/>
  <c r="J4512" i="1"/>
  <c r="N4512" i="1" s="1"/>
  <c r="Y4510" i="1"/>
  <c r="AA4510" i="1" s="1"/>
  <c r="J4510" i="1"/>
  <c r="N4510" i="1" s="1"/>
  <c r="Y4508" i="1"/>
  <c r="AA4508" i="1" s="1"/>
  <c r="J4508" i="1"/>
  <c r="N4508" i="1" s="1"/>
  <c r="AA4506" i="1"/>
  <c r="J4506" i="1"/>
  <c r="N4506" i="1" s="1"/>
  <c r="AA4480" i="1"/>
  <c r="J4480" i="1"/>
  <c r="N4480" i="1" s="1"/>
  <c r="Y4478" i="1"/>
  <c r="AA4478" i="1" s="1"/>
  <c r="J4478" i="1"/>
  <c r="N4478" i="1" s="1"/>
  <c r="Y4476" i="1"/>
  <c r="AA4476" i="1" s="1"/>
  <c r="J4476" i="1"/>
  <c r="N4476" i="1" s="1"/>
  <c r="Y4474" i="1"/>
  <c r="AA4474" i="1" s="1"/>
  <c r="J4474" i="1"/>
  <c r="N4474" i="1" s="1"/>
  <c r="Y4470" i="1"/>
  <c r="AA4470" i="1" s="1"/>
  <c r="J4470" i="1"/>
  <c r="N4470" i="1" s="1"/>
  <c r="Y4468" i="1"/>
  <c r="AA4468" i="1" s="1"/>
  <c r="Y4466" i="1"/>
  <c r="AA4466" i="1" s="1"/>
  <c r="Y4464" i="1"/>
  <c r="AA4464" i="1" s="1"/>
  <c r="Y4462" i="1"/>
  <c r="AA4462" i="1" s="1"/>
  <c r="Y4460" i="1"/>
  <c r="AA4460" i="1" s="1"/>
  <c r="Y4458" i="1"/>
  <c r="AA4458" i="1" s="1"/>
  <c r="Y4456" i="1"/>
  <c r="AA4456" i="1" s="1"/>
  <c r="J4456" i="1"/>
  <c r="Y4454" i="1"/>
  <c r="AA4454" i="1" s="1"/>
  <c r="J4454" i="1"/>
  <c r="N4454" i="1" s="1"/>
  <c r="Y4452" i="1"/>
  <c r="AA4452" i="1" s="1"/>
  <c r="J4452" i="1"/>
  <c r="Y4450" i="1"/>
  <c r="AA4450" i="1" s="1"/>
  <c r="J4450" i="1"/>
  <c r="N4450" i="1" s="1"/>
  <c r="Y4440" i="1"/>
  <c r="AA4440" i="1" s="1"/>
  <c r="J4440" i="1"/>
  <c r="N4440" i="1" s="1"/>
  <c r="Y4438" i="1"/>
  <c r="AA4438" i="1" s="1"/>
  <c r="J4438" i="1"/>
  <c r="N4438" i="1" s="1"/>
  <c r="Y4436" i="1"/>
  <c r="AA4436" i="1" s="1"/>
  <c r="J4436" i="1"/>
  <c r="Y4434" i="1"/>
  <c r="AA4434" i="1" s="1"/>
  <c r="J4434" i="1"/>
  <c r="Y4426" i="1"/>
  <c r="AA4426" i="1" s="1"/>
  <c r="J4426" i="1"/>
  <c r="N4426" i="1" s="1"/>
  <c r="Y4424" i="1"/>
  <c r="AA4424" i="1" s="1"/>
  <c r="J4424" i="1"/>
  <c r="Y4422" i="1"/>
  <c r="AA4422" i="1" s="1"/>
  <c r="J4422" i="1"/>
  <c r="N4422" i="1" s="1"/>
  <c r="Y4418" i="1"/>
  <c r="AA4418" i="1" s="1"/>
  <c r="N4418" i="1"/>
  <c r="Y4416" i="1"/>
  <c r="AA4416" i="1" s="1"/>
  <c r="J4416" i="1"/>
  <c r="N4416" i="1" s="1"/>
  <c r="AA4414" i="1"/>
  <c r="J4414" i="1"/>
  <c r="N4414" i="1" s="1"/>
  <c r="Y4406" i="1"/>
  <c r="AA4406" i="1" s="1"/>
  <c r="J4406" i="1"/>
  <c r="Y4404" i="1"/>
  <c r="AA4404" i="1" s="1"/>
  <c r="J4404" i="1"/>
  <c r="N4404" i="1" s="1"/>
  <c r="Y4402" i="1"/>
  <c r="AA4402" i="1" s="1"/>
  <c r="J4402" i="1"/>
  <c r="Y4400" i="1"/>
  <c r="AA4400" i="1" s="1"/>
  <c r="J4400" i="1"/>
  <c r="Y4398" i="1"/>
  <c r="AA4398" i="1" s="1"/>
  <c r="J4398" i="1"/>
  <c r="N4398" i="1" s="1"/>
  <c r="Y4396" i="1"/>
  <c r="AA4396" i="1" s="1"/>
  <c r="J4396" i="1"/>
  <c r="N4396" i="1" s="1"/>
  <c r="Y4394" i="1"/>
  <c r="AA4394" i="1" s="1"/>
  <c r="J4394" i="1"/>
  <c r="K4346" i="1"/>
  <c r="Y4340" i="1"/>
  <c r="AA4340" i="1" s="1"/>
  <c r="J4340" i="1"/>
  <c r="Y4328" i="1"/>
  <c r="AA4328" i="1" s="1"/>
  <c r="J4328" i="1"/>
  <c r="N4328" i="1" s="1"/>
  <c r="I4358" i="1"/>
  <c r="I4356" i="1"/>
  <c r="I4354" i="1"/>
  <c r="I4352" i="1"/>
  <c r="K4326" i="1"/>
  <c r="K4322" i="1"/>
  <c r="K4318" i="1"/>
  <c r="Y4292" i="1"/>
  <c r="AA4292" i="1" s="1"/>
  <c r="J4292" i="1"/>
  <c r="N4292" i="1" s="1"/>
  <c r="N4408" i="1" l="1"/>
  <c r="N4786" i="1"/>
  <c r="N4874" i="1"/>
  <c r="N4698" i="1"/>
  <c r="N4866" i="1"/>
  <c r="N4774" i="1"/>
  <c r="N4834" i="1"/>
  <c r="N4868" i="1"/>
  <c r="N4858" i="1"/>
  <c r="N4838" i="1"/>
  <c r="N4722" i="1"/>
  <c r="N4706" i="1"/>
  <c r="N4732" i="1"/>
  <c r="N4700" i="1"/>
  <c r="N4816" i="1"/>
  <c r="N4808" i="1"/>
  <c r="N4820" i="1"/>
  <c r="N4812" i="1"/>
  <c r="N4586" i="1"/>
  <c r="N4612" i="1"/>
  <c r="N4724" i="1"/>
  <c r="N4802" i="1"/>
  <c r="N4780" i="1"/>
  <c r="N4518" i="1"/>
  <c r="N4730" i="1"/>
  <c r="N4718" i="1"/>
  <c r="N4514" i="1"/>
  <c r="N4588" i="1"/>
  <c r="N4526" i="1"/>
  <c r="N4562" i="1"/>
  <c r="N4656" i="1"/>
  <c r="N4708" i="1"/>
  <c r="N4456" i="1"/>
  <c r="N4580" i="1"/>
  <c r="N4654" i="1"/>
  <c r="N4702" i="1"/>
  <c r="N4696" i="1"/>
  <c r="N4664" i="1"/>
  <c r="N4652" i="1"/>
  <c r="N4646" i="1"/>
  <c r="N4520" i="1"/>
  <c r="N4594" i="1"/>
  <c r="N4636" i="1"/>
  <c r="N4634" i="1"/>
  <c r="N4558" i="1"/>
  <c r="N4608" i="1"/>
  <c r="N4610" i="1"/>
  <c r="N4602" i="1"/>
  <c r="N4524" i="1"/>
  <c r="N4406" i="1"/>
  <c r="N4442" i="1"/>
  <c r="N4444" i="1"/>
  <c r="N4452" i="1"/>
  <c r="N4410" i="1"/>
  <c r="N4436" i="1"/>
  <c r="N4402" i="1"/>
  <c r="N4434" i="1"/>
  <c r="N4430" i="1"/>
  <c r="N4424" i="1"/>
  <c r="N4400" i="1"/>
  <c r="N4394" i="1"/>
  <c r="N4340" i="1"/>
  <c r="K4270" i="1"/>
  <c r="K4268" i="1"/>
  <c r="K4264" i="1"/>
  <c r="Y4390" i="1"/>
  <c r="AA4390" i="1" s="1"/>
  <c r="J4390" i="1"/>
  <c r="N4390" i="1" s="1"/>
  <c r="Y4388" i="1"/>
  <c r="AA4388" i="1" s="1"/>
  <c r="J4388" i="1"/>
  <c r="N4388" i="1" s="1"/>
  <c r="Y4386" i="1"/>
  <c r="AA4386" i="1" s="1"/>
  <c r="J4386" i="1"/>
  <c r="N4386" i="1" s="1"/>
  <c r="Y4384" i="1"/>
  <c r="AA4384" i="1" s="1"/>
  <c r="J4384" i="1"/>
  <c r="N4384" i="1" s="1"/>
  <c r="Y4382" i="1"/>
  <c r="AA4382" i="1" s="1"/>
  <c r="J4382" i="1"/>
  <c r="N4382" i="1" s="1"/>
  <c r="Y4380" i="1"/>
  <c r="AA4380" i="1" s="1"/>
  <c r="J4380" i="1"/>
  <c r="N4380" i="1" s="1"/>
  <c r="Y4378" i="1"/>
  <c r="AA4378" i="1" s="1"/>
  <c r="J4378" i="1"/>
  <c r="N4378" i="1" s="1"/>
  <c r="Y4376" i="1"/>
  <c r="AA4376" i="1" s="1"/>
  <c r="J4376" i="1"/>
  <c r="N4376" i="1" s="1"/>
  <c r="Y4374" i="1"/>
  <c r="AA4374" i="1" s="1"/>
  <c r="J4374" i="1"/>
  <c r="N4374" i="1" s="1"/>
  <c r="Y4372" i="1"/>
  <c r="AA4372" i="1" s="1"/>
  <c r="J4372" i="1"/>
  <c r="N4372" i="1" s="1"/>
  <c r="Y4370" i="1"/>
  <c r="AA4370" i="1" s="1"/>
  <c r="J4370" i="1"/>
  <c r="N4370" i="1" s="1"/>
  <c r="Y4368" i="1"/>
  <c r="AA4368" i="1" s="1"/>
  <c r="J4368" i="1"/>
  <c r="N4368" i="1" s="1"/>
  <c r="Y4366" i="1"/>
  <c r="AA4366" i="1" s="1"/>
  <c r="J4366" i="1"/>
  <c r="N4366" i="1" s="1"/>
  <c r="Y4364" i="1"/>
  <c r="AA4364" i="1" s="1"/>
  <c r="J4364" i="1"/>
  <c r="N4364" i="1" s="1"/>
  <c r="Y4362" i="1"/>
  <c r="AA4362" i="1" s="1"/>
  <c r="J4362" i="1"/>
  <c r="N4362" i="1" s="1"/>
  <c r="Y4360" i="1"/>
  <c r="AA4360" i="1" s="1"/>
  <c r="J4360" i="1"/>
  <c r="N4360" i="1" s="1"/>
  <c r="Y4358" i="1"/>
  <c r="AA4358" i="1" s="1"/>
  <c r="N4358" i="1"/>
  <c r="Y4356" i="1"/>
  <c r="AA4356" i="1" s="1"/>
  <c r="J4356" i="1"/>
  <c r="N4356" i="1" s="1"/>
  <c r="Y4354" i="1"/>
  <c r="AA4354" i="1" s="1"/>
  <c r="J4354" i="1"/>
  <c r="N4354" i="1" s="1"/>
  <c r="AA4352" i="1"/>
  <c r="J4352" i="1"/>
  <c r="N4352" i="1" s="1"/>
  <c r="Y4350" i="1"/>
  <c r="AA4350" i="1" s="1"/>
  <c r="J4350" i="1"/>
  <c r="N4350" i="1" s="1"/>
  <c r="Y4348" i="1"/>
  <c r="AA4348" i="1" s="1"/>
  <c r="J4348" i="1"/>
  <c r="N4348" i="1" s="1"/>
  <c r="AA4346" i="1"/>
  <c r="J4346" i="1"/>
  <c r="N4346" i="1" s="1"/>
  <c r="Y4344" i="1"/>
  <c r="AA4344" i="1" s="1"/>
  <c r="J4344" i="1"/>
  <c r="N4344" i="1" s="1"/>
  <c r="Y4342" i="1"/>
  <c r="AA4342" i="1" s="1"/>
  <c r="J4342" i="1"/>
  <c r="N4342" i="1" s="1"/>
  <c r="Y4338" i="1"/>
  <c r="AA4338" i="1" s="1"/>
  <c r="J4338" i="1"/>
  <c r="N4338" i="1" s="1"/>
  <c r="Y4336" i="1"/>
  <c r="AA4336" i="1" s="1"/>
  <c r="J4336" i="1"/>
  <c r="N4336" i="1" s="1"/>
  <c r="Y4334" i="1"/>
  <c r="AA4334" i="1" s="1"/>
  <c r="J4334" i="1"/>
  <c r="N4334" i="1" s="1"/>
  <c r="Y4332" i="1"/>
  <c r="AA4332" i="1" s="1"/>
  <c r="J4332" i="1"/>
  <c r="N4332" i="1" s="1"/>
  <c r="Y4330" i="1"/>
  <c r="AA4330" i="1" s="1"/>
  <c r="J4330" i="1"/>
  <c r="N4330" i="1" s="1"/>
  <c r="Y4326" i="1"/>
  <c r="AA4326" i="1" s="1"/>
  <c r="J4326" i="1"/>
  <c r="N4326" i="1" s="1"/>
  <c r="Y4324" i="1"/>
  <c r="AA4324" i="1" s="1"/>
  <c r="J4324" i="1"/>
  <c r="N4324" i="1" s="1"/>
  <c r="Y4322" i="1"/>
  <c r="AA4322" i="1" s="1"/>
  <c r="J4322" i="1"/>
  <c r="N4322" i="1" s="1"/>
  <c r="Y4320" i="1"/>
  <c r="AA4320" i="1" s="1"/>
  <c r="J4320" i="1"/>
  <c r="N4320" i="1" s="1"/>
  <c r="Y4318" i="1"/>
  <c r="AA4318" i="1" s="1"/>
  <c r="J4318" i="1"/>
  <c r="N4318" i="1" s="1"/>
  <c r="Y4316" i="1"/>
  <c r="AA4316" i="1" s="1"/>
  <c r="J4316" i="1"/>
  <c r="N4316" i="1" s="1"/>
  <c r="Y4314" i="1"/>
  <c r="AA4314" i="1" s="1"/>
  <c r="J4314" i="1"/>
  <c r="N4314" i="1" s="1"/>
  <c r="Y4312" i="1"/>
  <c r="AA4312" i="1" s="1"/>
  <c r="J4312" i="1"/>
  <c r="N4312" i="1" s="1"/>
  <c r="Y4310" i="1"/>
  <c r="AA4310" i="1" s="1"/>
  <c r="J4310" i="1"/>
  <c r="N4310" i="1" s="1"/>
  <c r="Y4308" i="1"/>
  <c r="AA4308" i="1" s="1"/>
  <c r="J4308" i="1"/>
  <c r="N4308" i="1" s="1"/>
  <c r="Y4306" i="1"/>
  <c r="AA4306" i="1" s="1"/>
  <c r="J4306" i="1"/>
  <c r="N4306" i="1" s="1"/>
  <c r="Y4304" i="1"/>
  <c r="AA4304" i="1" s="1"/>
  <c r="J4304" i="1"/>
  <c r="N4304" i="1" s="1"/>
  <c r="Y4302" i="1"/>
  <c r="AA4302" i="1" s="1"/>
  <c r="J4302" i="1"/>
  <c r="N4302" i="1" s="1"/>
  <c r="Y4300" i="1"/>
  <c r="AA4300" i="1" s="1"/>
  <c r="J4300" i="1"/>
  <c r="N4300" i="1" s="1"/>
  <c r="Y4298" i="1"/>
  <c r="AA4298" i="1" s="1"/>
  <c r="J4298" i="1"/>
  <c r="N4298" i="1" s="1"/>
  <c r="Y4296" i="1"/>
  <c r="AA4296" i="1" s="1"/>
  <c r="J4296" i="1"/>
  <c r="N4296" i="1" s="1"/>
  <c r="Y4294" i="1"/>
  <c r="AA4294" i="1" s="1"/>
  <c r="J4294" i="1"/>
  <c r="N4294" i="1" s="1"/>
  <c r="Y4290" i="1"/>
  <c r="AA4290" i="1" s="1"/>
  <c r="J4290" i="1"/>
  <c r="N4290" i="1" s="1"/>
  <c r="Y4288" i="1"/>
  <c r="AA4288" i="1" s="1"/>
  <c r="J4288" i="1"/>
  <c r="N4288" i="1" s="1"/>
  <c r="Y4286" i="1"/>
  <c r="AA4286" i="1" s="1"/>
  <c r="J4286" i="1"/>
  <c r="N4286" i="1" s="1"/>
  <c r="Y4284" i="1"/>
  <c r="AA4284" i="1" s="1"/>
  <c r="J4284" i="1"/>
  <c r="N4284" i="1" s="1"/>
  <c r="Y4282" i="1"/>
  <c r="AA4282" i="1" s="1"/>
  <c r="J4282" i="1"/>
  <c r="N4282" i="1" s="1"/>
  <c r="Y4280" i="1"/>
  <c r="AA4280" i="1" s="1"/>
  <c r="J4280" i="1"/>
  <c r="N4280" i="1" s="1"/>
  <c r="Y4278" i="1"/>
  <c r="AA4278" i="1" s="1"/>
  <c r="J4278" i="1"/>
  <c r="N4278" i="1" s="1"/>
  <c r="Y4276" i="1"/>
  <c r="AA4276" i="1" s="1"/>
  <c r="J4276" i="1"/>
  <c r="N4276" i="1" s="1"/>
  <c r="Y4274" i="1"/>
  <c r="AA4274" i="1" s="1"/>
  <c r="J4274" i="1"/>
  <c r="N4274" i="1" s="1"/>
  <c r="Y4272" i="1"/>
  <c r="AA4272" i="1" s="1"/>
  <c r="J4272" i="1"/>
  <c r="N4272" i="1" s="1"/>
  <c r="Y4270" i="1"/>
  <c r="AA4270" i="1" s="1"/>
  <c r="J4270" i="1"/>
  <c r="Y4268" i="1"/>
  <c r="AA4268" i="1" s="1"/>
  <c r="J4268" i="1"/>
  <c r="Y4266" i="1"/>
  <c r="AA4266" i="1" s="1"/>
  <c r="J4266" i="1"/>
  <c r="N4266" i="1" s="1"/>
  <c r="Y4264" i="1"/>
  <c r="AA4264" i="1" s="1"/>
  <c r="J4264" i="1"/>
  <c r="Y4262" i="1"/>
  <c r="AA4262" i="1" s="1"/>
  <c r="J4262" i="1"/>
  <c r="N4262" i="1" s="1"/>
  <c r="AA4260" i="1"/>
  <c r="J4260" i="1"/>
  <c r="N4260" i="1" s="1"/>
  <c r="Y4258" i="1"/>
  <c r="AA4258" i="1" s="1"/>
  <c r="J4258" i="1"/>
  <c r="N4258" i="1" s="1"/>
  <c r="Y4256" i="1"/>
  <c r="AA4256" i="1" s="1"/>
  <c r="J4256" i="1"/>
  <c r="N4256" i="1" s="1"/>
  <c r="Y4254" i="1"/>
  <c r="AA4254" i="1" s="1"/>
  <c r="J4254" i="1"/>
  <c r="N4254" i="1" s="1"/>
  <c r="AA4252" i="1"/>
  <c r="J4252" i="1"/>
  <c r="N4252" i="1" s="1"/>
  <c r="Y4250" i="1"/>
  <c r="AA4250" i="1" s="1"/>
  <c r="J4250" i="1"/>
  <c r="N4250" i="1" s="1"/>
  <c r="Y4248" i="1"/>
  <c r="AA4248" i="1" s="1"/>
  <c r="J4248" i="1"/>
  <c r="N4248" i="1" s="1"/>
  <c r="I4220" i="1"/>
  <c r="J4220" i="1" s="1"/>
  <c r="N4220" i="1" s="1"/>
  <c r="I4218" i="1"/>
  <c r="J4218" i="1" s="1"/>
  <c r="N4218" i="1" s="1"/>
  <c r="I4216" i="1"/>
  <c r="J4216" i="1" s="1"/>
  <c r="N4216" i="1" s="1"/>
  <c r="K4198" i="1"/>
  <c r="Y4196" i="1"/>
  <c r="AA4196" i="1" s="1"/>
  <c r="J4196" i="1"/>
  <c r="N4196" i="1" s="1"/>
  <c r="K4188" i="1"/>
  <c r="Y4188" i="1"/>
  <c r="AA4188" i="1" s="1"/>
  <c r="J4188" i="1"/>
  <c r="K4206" i="1"/>
  <c r="Y4208" i="1"/>
  <c r="AA4208" i="1" s="1"/>
  <c r="J4208" i="1"/>
  <c r="N4208" i="1" s="1"/>
  <c r="Y4206" i="1"/>
  <c r="AA4206" i="1" s="1"/>
  <c r="J4206" i="1"/>
  <c r="Y4204" i="1"/>
  <c r="AA4204" i="1" s="1"/>
  <c r="J4204" i="1"/>
  <c r="N4204" i="1" s="1"/>
  <c r="Y4202" i="1"/>
  <c r="AA4202" i="1" s="1"/>
  <c r="J4202" i="1"/>
  <c r="N4202" i="1" s="1"/>
  <c r="Y4200" i="1"/>
  <c r="AA4200" i="1" s="1"/>
  <c r="J4200" i="1"/>
  <c r="N4200" i="1" s="1"/>
  <c r="K4176" i="1"/>
  <c r="K4174" i="1"/>
  <c r="K4172" i="1"/>
  <c r="K4164" i="1"/>
  <c r="K4162" i="1"/>
  <c r="I4180" i="1"/>
  <c r="J4180" i="1" s="1"/>
  <c r="N4180" i="1" s="1"/>
  <c r="K4178" i="1"/>
  <c r="K4160" i="1"/>
  <c r="K4156" i="1"/>
  <c r="K4154" i="1"/>
  <c r="N4168" i="1"/>
  <c r="Y4150" i="1"/>
  <c r="AA4150" i="1" s="1"/>
  <c r="N4150" i="1"/>
  <c r="K4132" i="1"/>
  <c r="K4130" i="1"/>
  <c r="I4116" i="1"/>
  <c r="J4116" i="1" s="1"/>
  <c r="N4116" i="1" s="1"/>
  <c r="I4114" i="1"/>
  <c r="J4114" i="1" s="1"/>
  <c r="N4114" i="1" s="1"/>
  <c r="I4112" i="1"/>
  <c r="N4112" i="1" s="1"/>
  <c r="I4110" i="1"/>
  <c r="J4110" i="1" s="1"/>
  <c r="N4110" i="1" s="1"/>
  <c r="I4106" i="1"/>
  <c r="J4106" i="1" s="1"/>
  <c r="N4106" i="1" s="1"/>
  <c r="Y4116" i="1"/>
  <c r="AA4116" i="1" s="1"/>
  <c r="Y4114" i="1"/>
  <c r="AA4114" i="1" s="1"/>
  <c r="Y4112" i="1"/>
  <c r="AA4112" i="1" s="1"/>
  <c r="AA4110" i="1"/>
  <c r="Y4106" i="1"/>
  <c r="AA4106" i="1" s="1"/>
  <c r="K4100" i="1"/>
  <c r="K4122" i="1"/>
  <c r="K4120" i="1"/>
  <c r="K4118" i="1"/>
  <c r="I4108" i="1"/>
  <c r="J4108" i="1" s="1"/>
  <c r="K4084" i="1"/>
  <c r="K4046" i="1"/>
  <c r="K4044" i="1"/>
  <c r="K4024" i="1"/>
  <c r="Y4024" i="1"/>
  <c r="AA4024" i="1" s="1"/>
  <c r="J4024" i="1"/>
  <c r="Y4022" i="1"/>
  <c r="AA4022" i="1" s="1"/>
  <c r="J4022" i="1"/>
  <c r="N4022" i="1" s="1"/>
  <c r="K4002" i="1"/>
  <c r="K4020" i="1"/>
  <c r="K4000" i="1"/>
  <c r="K3996" i="1"/>
  <c r="Y3986" i="1"/>
  <c r="AA3986" i="1" s="1"/>
  <c r="J3986" i="1"/>
  <c r="N3986" i="1" s="1"/>
  <c r="Y3984" i="1"/>
  <c r="AA3984" i="1" s="1"/>
  <c r="J3984" i="1"/>
  <c r="N3984" i="1" s="1"/>
  <c r="Y3980" i="1"/>
  <c r="AA3980" i="1" s="1"/>
  <c r="J3980" i="1"/>
  <c r="N3980" i="1" s="1"/>
  <c r="Y3978" i="1"/>
  <c r="AA3978" i="1" s="1"/>
  <c r="J3978" i="1"/>
  <c r="N3978" i="1" s="1"/>
  <c r="Y4246" i="1"/>
  <c r="AA4246" i="1" s="1"/>
  <c r="J4246" i="1"/>
  <c r="N4246" i="1" s="1"/>
  <c r="Y4244" i="1"/>
  <c r="AA4244" i="1" s="1"/>
  <c r="J4244" i="1"/>
  <c r="N4244" i="1" s="1"/>
  <c r="Y4242" i="1"/>
  <c r="AA4242" i="1" s="1"/>
  <c r="J4242" i="1"/>
  <c r="N4242" i="1" s="1"/>
  <c r="Y4240" i="1"/>
  <c r="AA4240" i="1" s="1"/>
  <c r="J4240" i="1"/>
  <c r="N4240" i="1" s="1"/>
  <c r="Y4238" i="1"/>
  <c r="AA4238" i="1" s="1"/>
  <c r="J4238" i="1"/>
  <c r="N4238" i="1" s="1"/>
  <c r="Y4236" i="1"/>
  <c r="AA4236" i="1" s="1"/>
  <c r="J4236" i="1"/>
  <c r="N4236" i="1" s="1"/>
  <c r="Y4234" i="1"/>
  <c r="AA4234" i="1" s="1"/>
  <c r="J4234" i="1"/>
  <c r="N4234" i="1" s="1"/>
  <c r="Y4232" i="1"/>
  <c r="AA4232" i="1" s="1"/>
  <c r="J4232" i="1"/>
  <c r="N4232" i="1" s="1"/>
  <c r="Y4230" i="1"/>
  <c r="AA4230" i="1" s="1"/>
  <c r="J4230" i="1"/>
  <c r="N4230" i="1" s="1"/>
  <c r="Y4228" i="1"/>
  <c r="AA4228" i="1" s="1"/>
  <c r="J4228" i="1"/>
  <c r="N4228" i="1" s="1"/>
  <c r="Y4226" i="1"/>
  <c r="AA4226" i="1" s="1"/>
  <c r="J4226" i="1"/>
  <c r="N4226" i="1" s="1"/>
  <c r="Y4224" i="1"/>
  <c r="AA4224" i="1" s="1"/>
  <c r="J4224" i="1"/>
  <c r="N4224" i="1" s="1"/>
  <c r="Y4222" i="1"/>
  <c r="AA4222" i="1" s="1"/>
  <c r="J4222" i="1"/>
  <c r="N4222" i="1" s="1"/>
  <c r="Y4220" i="1"/>
  <c r="AA4220" i="1" s="1"/>
  <c r="Y4218" i="1"/>
  <c r="AA4218" i="1" s="1"/>
  <c r="Y4216" i="1"/>
  <c r="AA4216" i="1" s="1"/>
  <c r="Y4214" i="1"/>
  <c r="AA4214" i="1" s="1"/>
  <c r="J4214" i="1"/>
  <c r="N4214" i="1" s="1"/>
  <c r="Y4212" i="1"/>
  <c r="AA4212" i="1" s="1"/>
  <c r="J4212" i="1"/>
  <c r="N4212" i="1" s="1"/>
  <c r="Y4210" i="1"/>
  <c r="AA4210" i="1" s="1"/>
  <c r="J4210" i="1"/>
  <c r="N4210" i="1" s="1"/>
  <c r="Y4198" i="1"/>
  <c r="AA4198" i="1" s="1"/>
  <c r="J4198" i="1"/>
  <c r="Y4194" i="1"/>
  <c r="AA4194" i="1" s="1"/>
  <c r="J4194" i="1"/>
  <c r="N4194" i="1" s="1"/>
  <c r="Y4192" i="1"/>
  <c r="AA4192" i="1" s="1"/>
  <c r="J4192" i="1"/>
  <c r="N4192" i="1" s="1"/>
  <c r="Y4190" i="1"/>
  <c r="AA4190" i="1" s="1"/>
  <c r="J4190" i="1"/>
  <c r="N4190" i="1" s="1"/>
  <c r="Y4186" i="1"/>
  <c r="AA4186" i="1" s="1"/>
  <c r="J4186" i="1"/>
  <c r="N4186" i="1" s="1"/>
  <c r="Y4184" i="1"/>
  <c r="AA4184" i="1" s="1"/>
  <c r="J4184" i="1"/>
  <c r="N4184" i="1" s="1"/>
  <c r="Y4182" i="1"/>
  <c r="AA4182" i="1" s="1"/>
  <c r="J4182" i="1"/>
  <c r="N4182" i="1" s="1"/>
  <c r="Y4180" i="1"/>
  <c r="AA4180" i="1" s="1"/>
  <c r="Y4178" i="1"/>
  <c r="AA4178" i="1" s="1"/>
  <c r="J4178" i="1"/>
  <c r="Y4176" i="1"/>
  <c r="AA4176" i="1" s="1"/>
  <c r="J4176" i="1"/>
  <c r="Y4174" i="1"/>
  <c r="AA4174" i="1" s="1"/>
  <c r="J4174" i="1"/>
  <c r="Y4172" i="1"/>
  <c r="AA4172" i="1" s="1"/>
  <c r="J4172" i="1"/>
  <c r="Y4170" i="1"/>
  <c r="AA4170" i="1" s="1"/>
  <c r="J4170" i="1"/>
  <c r="N4170" i="1" s="1"/>
  <c r="Y4168" i="1"/>
  <c r="AA4168" i="1" s="1"/>
  <c r="Y4166" i="1"/>
  <c r="AA4166" i="1" s="1"/>
  <c r="J4166" i="1"/>
  <c r="N4166" i="1" s="1"/>
  <c r="Y4164" i="1"/>
  <c r="AA4164" i="1" s="1"/>
  <c r="J4164" i="1"/>
  <c r="Y4162" i="1"/>
  <c r="AA4162" i="1" s="1"/>
  <c r="J4162" i="1"/>
  <c r="Y4160" i="1"/>
  <c r="AA4160" i="1" s="1"/>
  <c r="J4160" i="1"/>
  <c r="Y4158" i="1"/>
  <c r="AA4158" i="1" s="1"/>
  <c r="J4158" i="1"/>
  <c r="N4158" i="1" s="1"/>
  <c r="Y4156" i="1"/>
  <c r="AA4156" i="1" s="1"/>
  <c r="J4156" i="1"/>
  <c r="Y4154" i="1"/>
  <c r="AA4154" i="1" s="1"/>
  <c r="J4154" i="1"/>
  <c r="Y4152" i="1"/>
  <c r="AA4152" i="1" s="1"/>
  <c r="J4152" i="1"/>
  <c r="N4152" i="1" s="1"/>
  <c r="Y4148" i="1"/>
  <c r="AA4148" i="1" s="1"/>
  <c r="J4148" i="1"/>
  <c r="N4148" i="1" s="1"/>
  <c r="Y4146" i="1"/>
  <c r="AA4146" i="1" s="1"/>
  <c r="J4146" i="1"/>
  <c r="N4146" i="1" s="1"/>
  <c r="Y4144" i="1"/>
  <c r="AA4144" i="1" s="1"/>
  <c r="J4144" i="1"/>
  <c r="N4144" i="1" s="1"/>
  <c r="Y4142" i="1"/>
  <c r="AA4142" i="1" s="1"/>
  <c r="J4142" i="1"/>
  <c r="N4142" i="1" s="1"/>
  <c r="Y4140" i="1"/>
  <c r="AA4140" i="1" s="1"/>
  <c r="J4140" i="1"/>
  <c r="N4140" i="1" s="1"/>
  <c r="Y4138" i="1"/>
  <c r="AA4138" i="1" s="1"/>
  <c r="J4138" i="1"/>
  <c r="N4138" i="1" s="1"/>
  <c r="Y4136" i="1"/>
  <c r="AA4136" i="1" s="1"/>
  <c r="J4136" i="1"/>
  <c r="N4136" i="1" s="1"/>
  <c r="Y4134" i="1"/>
  <c r="AA4134" i="1" s="1"/>
  <c r="J4134" i="1"/>
  <c r="N4134" i="1" s="1"/>
  <c r="Y4132" i="1"/>
  <c r="AA4132" i="1" s="1"/>
  <c r="J4132" i="1"/>
  <c r="Y4130" i="1"/>
  <c r="AA4130" i="1" s="1"/>
  <c r="J4130" i="1"/>
  <c r="Y4128" i="1"/>
  <c r="AA4128" i="1" s="1"/>
  <c r="J4128" i="1"/>
  <c r="N4128" i="1" s="1"/>
  <c r="Y4126" i="1"/>
  <c r="AA4126" i="1" s="1"/>
  <c r="J4126" i="1"/>
  <c r="N4126" i="1" s="1"/>
  <c r="Y4124" i="1"/>
  <c r="AA4124" i="1" s="1"/>
  <c r="J4124" i="1"/>
  <c r="N4124" i="1" s="1"/>
  <c r="Y4122" i="1"/>
  <c r="AA4122" i="1" s="1"/>
  <c r="J4122" i="1"/>
  <c r="Y4120" i="1"/>
  <c r="AA4120" i="1" s="1"/>
  <c r="J4120" i="1"/>
  <c r="Y4118" i="1"/>
  <c r="AA4118" i="1" s="1"/>
  <c r="J4118" i="1"/>
  <c r="Y4108" i="1"/>
  <c r="AA4108" i="1" s="1"/>
  <c r="Y4104" i="1"/>
  <c r="AA4104" i="1" s="1"/>
  <c r="J4104" i="1"/>
  <c r="N4104" i="1" s="1"/>
  <c r="Y4102" i="1"/>
  <c r="AA4102" i="1" s="1"/>
  <c r="J4102" i="1"/>
  <c r="N4102" i="1" s="1"/>
  <c r="Y4100" i="1"/>
  <c r="AA4100" i="1" s="1"/>
  <c r="J4100" i="1"/>
  <c r="Y4098" i="1"/>
  <c r="AA4098" i="1" s="1"/>
  <c r="J4098" i="1"/>
  <c r="N4098" i="1" s="1"/>
  <c r="Y4096" i="1"/>
  <c r="AA4096" i="1" s="1"/>
  <c r="J4096" i="1"/>
  <c r="N4096" i="1" s="1"/>
  <c r="Y4094" i="1"/>
  <c r="AA4094" i="1" s="1"/>
  <c r="J4094" i="1"/>
  <c r="N4094" i="1" s="1"/>
  <c r="Y4092" i="1"/>
  <c r="AA4092" i="1" s="1"/>
  <c r="J4092" i="1"/>
  <c r="N4092" i="1" s="1"/>
  <c r="Y4090" i="1"/>
  <c r="AA4090" i="1" s="1"/>
  <c r="J4090" i="1"/>
  <c r="N4090" i="1" s="1"/>
  <c r="Y4088" i="1"/>
  <c r="AA4088" i="1" s="1"/>
  <c r="J4088" i="1"/>
  <c r="N4088" i="1" s="1"/>
  <c r="Y4086" i="1"/>
  <c r="AA4086" i="1" s="1"/>
  <c r="J4086" i="1"/>
  <c r="N4086" i="1" s="1"/>
  <c r="Y4084" i="1"/>
  <c r="AA4084" i="1" s="1"/>
  <c r="J4084" i="1"/>
  <c r="Y4082" i="1"/>
  <c r="AA4082" i="1" s="1"/>
  <c r="J4082" i="1"/>
  <c r="N4082" i="1" s="1"/>
  <c r="Y4080" i="1"/>
  <c r="AA4080" i="1" s="1"/>
  <c r="J4080" i="1"/>
  <c r="N4080" i="1" s="1"/>
  <c r="Y4078" i="1"/>
  <c r="AA4078" i="1" s="1"/>
  <c r="J4078" i="1"/>
  <c r="N4078" i="1" s="1"/>
  <c r="Y4076" i="1"/>
  <c r="AA4076" i="1" s="1"/>
  <c r="J4076" i="1"/>
  <c r="N4076" i="1" s="1"/>
  <c r="Y4074" i="1"/>
  <c r="AA4074" i="1" s="1"/>
  <c r="J4074" i="1"/>
  <c r="N4074" i="1" s="1"/>
  <c r="Y4072" i="1"/>
  <c r="AA4072" i="1" s="1"/>
  <c r="J4072" i="1"/>
  <c r="N4072" i="1" s="1"/>
  <c r="Y4070" i="1"/>
  <c r="AA4070" i="1" s="1"/>
  <c r="J4070" i="1"/>
  <c r="N4070" i="1" s="1"/>
  <c r="Y4068" i="1"/>
  <c r="AA4068" i="1" s="1"/>
  <c r="J4068" i="1"/>
  <c r="N4068" i="1" s="1"/>
  <c r="Y4066" i="1"/>
  <c r="AA4066" i="1" s="1"/>
  <c r="J4066" i="1"/>
  <c r="N4066" i="1" s="1"/>
  <c r="Y4064" i="1"/>
  <c r="AA4064" i="1" s="1"/>
  <c r="J4064" i="1"/>
  <c r="N4064" i="1" s="1"/>
  <c r="Y4062" i="1"/>
  <c r="AA4062" i="1" s="1"/>
  <c r="J4062" i="1"/>
  <c r="N4062" i="1" s="1"/>
  <c r="Y4060" i="1"/>
  <c r="AA4060" i="1" s="1"/>
  <c r="J4060" i="1"/>
  <c r="N4060" i="1" s="1"/>
  <c r="Y4058" i="1"/>
  <c r="AA4058" i="1" s="1"/>
  <c r="J4058" i="1"/>
  <c r="N4058" i="1" s="1"/>
  <c r="Y4056" i="1"/>
  <c r="AA4056" i="1" s="1"/>
  <c r="J4056" i="1"/>
  <c r="N4056" i="1" s="1"/>
  <c r="Y4054" i="1"/>
  <c r="AA4054" i="1" s="1"/>
  <c r="J4054" i="1"/>
  <c r="N4054" i="1" s="1"/>
  <c r="Y4052" i="1"/>
  <c r="AA4052" i="1" s="1"/>
  <c r="J4052" i="1"/>
  <c r="N4052" i="1" s="1"/>
  <c r="Y4050" i="1"/>
  <c r="AA4050" i="1" s="1"/>
  <c r="J4050" i="1"/>
  <c r="N4050" i="1" s="1"/>
  <c r="Y4048" i="1"/>
  <c r="AA4048" i="1" s="1"/>
  <c r="J4048" i="1"/>
  <c r="N4048" i="1" s="1"/>
  <c r="Y4046" i="1"/>
  <c r="AA4046" i="1" s="1"/>
  <c r="J4046" i="1"/>
  <c r="AA4044" i="1"/>
  <c r="J4044" i="1"/>
  <c r="Y4042" i="1"/>
  <c r="AA4042" i="1" s="1"/>
  <c r="J4042" i="1"/>
  <c r="N4042" i="1" s="1"/>
  <c r="Y4040" i="1"/>
  <c r="AA4040" i="1" s="1"/>
  <c r="J4040" i="1"/>
  <c r="N4040" i="1" s="1"/>
  <c r="Y4038" i="1"/>
  <c r="AA4038" i="1" s="1"/>
  <c r="J4038" i="1"/>
  <c r="N4038" i="1" s="1"/>
  <c r="Y4036" i="1"/>
  <c r="AA4036" i="1" s="1"/>
  <c r="J4036" i="1"/>
  <c r="N4036" i="1" s="1"/>
  <c r="Y4034" i="1"/>
  <c r="AA4034" i="1" s="1"/>
  <c r="J4034" i="1"/>
  <c r="N4034" i="1" s="1"/>
  <c r="Y4032" i="1"/>
  <c r="AA4032" i="1" s="1"/>
  <c r="J4032" i="1"/>
  <c r="N4032" i="1" s="1"/>
  <c r="Y4030" i="1"/>
  <c r="AA4030" i="1" s="1"/>
  <c r="J4030" i="1"/>
  <c r="N4030" i="1" s="1"/>
  <c r="Y4028" i="1"/>
  <c r="AA4028" i="1" s="1"/>
  <c r="J4028" i="1"/>
  <c r="N4028" i="1" s="1"/>
  <c r="Y4026" i="1"/>
  <c r="AA4026" i="1" s="1"/>
  <c r="J4026" i="1"/>
  <c r="N4026" i="1" s="1"/>
  <c r="Y4020" i="1"/>
  <c r="AA4020" i="1" s="1"/>
  <c r="J4020" i="1"/>
  <c r="AA4018" i="1"/>
  <c r="J4018" i="1"/>
  <c r="N4018" i="1" s="1"/>
  <c r="Y4016" i="1"/>
  <c r="AA4016" i="1" s="1"/>
  <c r="J4016" i="1"/>
  <c r="N4016" i="1" s="1"/>
  <c r="Y4014" i="1"/>
  <c r="AA4014" i="1" s="1"/>
  <c r="J4014" i="1"/>
  <c r="N4014" i="1" s="1"/>
  <c r="Y4012" i="1"/>
  <c r="AA4012" i="1" s="1"/>
  <c r="J4012" i="1"/>
  <c r="N4012" i="1" s="1"/>
  <c r="Y4010" i="1"/>
  <c r="AA4010" i="1" s="1"/>
  <c r="J4010" i="1"/>
  <c r="N4010" i="1" s="1"/>
  <c r="Y4008" i="1"/>
  <c r="AA4008" i="1" s="1"/>
  <c r="J4008" i="1"/>
  <c r="N4008" i="1" s="1"/>
  <c r="Y4006" i="1"/>
  <c r="AA4006" i="1" s="1"/>
  <c r="J4006" i="1"/>
  <c r="N4006" i="1" s="1"/>
  <c r="Y4004" i="1"/>
  <c r="AA4004" i="1" s="1"/>
  <c r="J4004" i="1"/>
  <c r="N4004" i="1" s="1"/>
  <c r="Y4002" i="1"/>
  <c r="AA4002" i="1" s="1"/>
  <c r="J4002" i="1"/>
  <c r="Y4000" i="1"/>
  <c r="AA4000" i="1" s="1"/>
  <c r="J4000" i="1"/>
  <c r="I3964" i="1"/>
  <c r="J3964" i="1" s="1"/>
  <c r="N3964" i="1" s="1"/>
  <c r="I3962" i="1"/>
  <c r="J3962" i="1" s="1"/>
  <c r="N3962" i="1" s="1"/>
  <c r="I3960" i="1"/>
  <c r="J3960" i="1" s="1"/>
  <c r="N3960" i="1" s="1"/>
  <c r="I3958" i="1"/>
  <c r="J3958" i="1" s="1"/>
  <c r="N3958" i="1" s="1"/>
  <c r="I3956" i="1"/>
  <c r="J3956" i="1" s="1"/>
  <c r="N3956" i="1" s="1"/>
  <c r="I3954" i="1"/>
  <c r="J3954" i="1" s="1"/>
  <c r="I3952" i="1"/>
  <c r="J3952" i="1" s="1"/>
  <c r="N3952" i="1" s="1"/>
  <c r="I3950" i="1"/>
  <c r="J3950" i="1" s="1"/>
  <c r="N3950" i="1" s="1"/>
  <c r="K3942" i="1"/>
  <c r="K3938" i="1"/>
  <c r="K3932" i="1"/>
  <c r="I3948" i="1"/>
  <c r="J3948" i="1" s="1"/>
  <c r="N3948" i="1" s="1"/>
  <c r="I3946" i="1"/>
  <c r="J3946" i="1" s="1"/>
  <c r="N3946" i="1" s="1"/>
  <c r="K3922" i="1"/>
  <c r="Y3926" i="1"/>
  <c r="AA3926" i="1" s="1"/>
  <c r="J3926" i="1"/>
  <c r="N3926" i="1" s="1"/>
  <c r="Y3924" i="1"/>
  <c r="AA3924" i="1" s="1"/>
  <c r="J3924" i="1"/>
  <c r="N3924" i="1" s="1"/>
  <c r="Y3922" i="1"/>
  <c r="AA3922" i="1" s="1"/>
  <c r="J3922" i="1"/>
  <c r="Y3938" i="1"/>
  <c r="AA3938" i="1" s="1"/>
  <c r="J3938" i="1"/>
  <c r="Y3936" i="1"/>
  <c r="AA3936" i="1" s="1"/>
  <c r="J3936" i="1"/>
  <c r="N3936" i="1" s="1"/>
  <c r="Y3934" i="1"/>
  <c r="AA3934" i="1" s="1"/>
  <c r="J3934" i="1"/>
  <c r="N3934" i="1" s="1"/>
  <c r="Y3932" i="1"/>
  <c r="AA3932" i="1" s="1"/>
  <c r="J3932" i="1"/>
  <c r="Y1286" i="1"/>
  <c r="Y2448" i="1"/>
  <c r="AA2448" i="1" s="1"/>
  <c r="K3920" i="1"/>
  <c r="K3918" i="1"/>
  <c r="Y3898" i="1"/>
  <c r="AA3898" i="1" s="1"/>
  <c r="J3898" i="1"/>
  <c r="N3898" i="1" s="1"/>
  <c r="Y3914" i="1"/>
  <c r="AA3914" i="1" s="1"/>
  <c r="J3914" i="1"/>
  <c r="N3914" i="1" s="1"/>
  <c r="Y3908" i="1"/>
  <c r="AA3908" i="1" s="1"/>
  <c r="J3908" i="1"/>
  <c r="N3908" i="1" s="1"/>
  <c r="Y3906" i="1"/>
  <c r="AA3906" i="1" s="1"/>
  <c r="J3906" i="1"/>
  <c r="N3906" i="1" s="1"/>
  <c r="Y3904" i="1"/>
  <c r="AA3904" i="1" s="1"/>
  <c r="J3904" i="1"/>
  <c r="N3904" i="1" s="1"/>
  <c r="Y3902" i="1"/>
  <c r="AA3902" i="1" s="1"/>
  <c r="J3902" i="1"/>
  <c r="N3902" i="1" s="1"/>
  <c r="K3892" i="1"/>
  <c r="K3886" i="1"/>
  <c r="K3882" i="1"/>
  <c r="K3880" i="1"/>
  <c r="K3874" i="1"/>
  <c r="K3872" i="1"/>
  <c r="K3860" i="1"/>
  <c r="I3858" i="1"/>
  <c r="J3858" i="1" s="1"/>
  <c r="N3858" i="1" s="1"/>
  <c r="I3856" i="1"/>
  <c r="J3856" i="1" s="1"/>
  <c r="N3856" i="1" s="1"/>
  <c r="I3854" i="1"/>
  <c r="J3854" i="1" s="1"/>
  <c r="N3854" i="1" s="1"/>
  <c r="I3852" i="1"/>
  <c r="J3852" i="1" s="1"/>
  <c r="N3852" i="1" s="1"/>
  <c r="I3850" i="1"/>
  <c r="J3850" i="1" s="1"/>
  <c r="N3850" i="1" s="1"/>
  <c r="K3808" i="1"/>
  <c r="Y3802" i="1"/>
  <c r="AA3802" i="1" s="1"/>
  <c r="J3802" i="1"/>
  <c r="N3802" i="1" s="1"/>
  <c r="AA3800" i="1"/>
  <c r="J3800" i="1"/>
  <c r="N3800" i="1" s="1"/>
  <c r="Y3998" i="1"/>
  <c r="AA3998" i="1" s="1"/>
  <c r="J3998" i="1"/>
  <c r="N3998" i="1" s="1"/>
  <c r="Y3996" i="1"/>
  <c r="AA3996" i="1" s="1"/>
  <c r="J3996" i="1"/>
  <c r="Y3994" i="1"/>
  <c r="AA3994" i="1" s="1"/>
  <c r="J3994" i="1"/>
  <c r="N3994" i="1" s="1"/>
  <c r="Y3992" i="1"/>
  <c r="AA3992" i="1" s="1"/>
  <c r="J3992" i="1"/>
  <c r="N3992" i="1" s="1"/>
  <c r="Y3990" i="1"/>
  <c r="AA3990" i="1" s="1"/>
  <c r="J3990" i="1"/>
  <c r="N3990" i="1" s="1"/>
  <c r="AA3988" i="1"/>
  <c r="J3988" i="1"/>
  <c r="N3988" i="1" s="1"/>
  <c r="Y3982" i="1"/>
  <c r="AA3982" i="1" s="1"/>
  <c r="N3982" i="1"/>
  <c r="Y3976" i="1"/>
  <c r="AA3976" i="1" s="1"/>
  <c r="J3976" i="1"/>
  <c r="N3976" i="1" s="1"/>
  <c r="Y3974" i="1"/>
  <c r="AA3974" i="1" s="1"/>
  <c r="J3974" i="1"/>
  <c r="N3974" i="1" s="1"/>
  <c r="Y3972" i="1"/>
  <c r="AA3972" i="1" s="1"/>
  <c r="J3972" i="1"/>
  <c r="N3972" i="1" s="1"/>
  <c r="Y3970" i="1"/>
  <c r="AA3970" i="1" s="1"/>
  <c r="J3970" i="1"/>
  <c r="N3970" i="1" s="1"/>
  <c r="Y3968" i="1"/>
  <c r="AA3968" i="1" s="1"/>
  <c r="J3968" i="1"/>
  <c r="N3968" i="1" s="1"/>
  <c r="Y3966" i="1"/>
  <c r="AA3966" i="1" s="1"/>
  <c r="J3966" i="1"/>
  <c r="N3966" i="1" s="1"/>
  <c r="Y3964" i="1"/>
  <c r="AA3964" i="1" s="1"/>
  <c r="Y3962" i="1"/>
  <c r="AA3962" i="1" s="1"/>
  <c r="Y3960" i="1"/>
  <c r="AA3960" i="1" s="1"/>
  <c r="Y3958" i="1"/>
  <c r="AA3958" i="1" s="1"/>
  <c r="Y3956" i="1"/>
  <c r="AA3956" i="1" s="1"/>
  <c r="Y3954" i="1"/>
  <c r="AA3954" i="1" s="1"/>
  <c r="Y3952" i="1"/>
  <c r="AA3952" i="1" s="1"/>
  <c r="Y3950" i="1"/>
  <c r="AA3950" i="1" s="1"/>
  <c r="Y3948" i="1"/>
  <c r="AA3948" i="1" s="1"/>
  <c r="Y3946" i="1"/>
  <c r="AA3946" i="1" s="1"/>
  <c r="Y3944" i="1"/>
  <c r="AA3944" i="1" s="1"/>
  <c r="J3944" i="1"/>
  <c r="N3944" i="1" s="1"/>
  <c r="Y3942" i="1"/>
  <c r="AA3942" i="1" s="1"/>
  <c r="J3942" i="1"/>
  <c r="Y3940" i="1"/>
  <c r="AA3940" i="1" s="1"/>
  <c r="J3940" i="1"/>
  <c r="N3940" i="1" s="1"/>
  <c r="Y3930" i="1"/>
  <c r="AA3930" i="1" s="1"/>
  <c r="J3930" i="1"/>
  <c r="N3930" i="1" s="1"/>
  <c r="Y3928" i="1"/>
  <c r="AA3928" i="1" s="1"/>
  <c r="J3928" i="1"/>
  <c r="N3928" i="1" s="1"/>
  <c r="Y3920" i="1"/>
  <c r="AA3920" i="1" s="1"/>
  <c r="J3920" i="1"/>
  <c r="Y3918" i="1"/>
  <c r="AA3918" i="1" s="1"/>
  <c r="J3918" i="1"/>
  <c r="Y3916" i="1"/>
  <c r="AA3916" i="1" s="1"/>
  <c r="J3916" i="1"/>
  <c r="N3916" i="1" s="1"/>
  <c r="Y3912" i="1"/>
  <c r="AA3912" i="1" s="1"/>
  <c r="J3912" i="1"/>
  <c r="N3912" i="1" s="1"/>
  <c r="Y3910" i="1"/>
  <c r="AA3910" i="1" s="1"/>
  <c r="J3910" i="1"/>
  <c r="N3910" i="1" s="1"/>
  <c r="Y3900" i="1"/>
  <c r="AA3900" i="1" s="1"/>
  <c r="J3900" i="1"/>
  <c r="N3900" i="1" s="1"/>
  <c r="Y3896" i="1"/>
  <c r="AA3896" i="1" s="1"/>
  <c r="J3896" i="1"/>
  <c r="N3896" i="1" s="1"/>
  <c r="Y3894" i="1"/>
  <c r="AA3894" i="1" s="1"/>
  <c r="J3894" i="1"/>
  <c r="N3894" i="1" s="1"/>
  <c r="Y3892" i="1"/>
  <c r="AA3892" i="1" s="1"/>
  <c r="J3892" i="1"/>
  <c r="Y3890" i="1"/>
  <c r="AA3890" i="1" s="1"/>
  <c r="J3890" i="1"/>
  <c r="N3890" i="1" s="1"/>
  <c r="Y3888" i="1"/>
  <c r="AA3888" i="1" s="1"/>
  <c r="J3888" i="1"/>
  <c r="N3888" i="1" s="1"/>
  <c r="Y3886" i="1"/>
  <c r="AA3886" i="1" s="1"/>
  <c r="J3886" i="1"/>
  <c r="Y3884" i="1"/>
  <c r="AA3884" i="1" s="1"/>
  <c r="J3884" i="1"/>
  <c r="N3884" i="1" s="1"/>
  <c r="Y3882" i="1"/>
  <c r="AA3882" i="1" s="1"/>
  <c r="J3882" i="1"/>
  <c r="Y3880" i="1"/>
  <c r="AA3880" i="1" s="1"/>
  <c r="J3880" i="1"/>
  <c r="Y3878" i="1"/>
  <c r="AA3878" i="1" s="1"/>
  <c r="J3878" i="1"/>
  <c r="N3878" i="1" s="1"/>
  <c r="Y3876" i="1"/>
  <c r="AA3876" i="1" s="1"/>
  <c r="N3876" i="1"/>
  <c r="Y3874" i="1"/>
  <c r="AA3874" i="1" s="1"/>
  <c r="J3874" i="1"/>
  <c r="Y3872" i="1"/>
  <c r="AA3872" i="1" s="1"/>
  <c r="J3872" i="1"/>
  <c r="Y3870" i="1"/>
  <c r="AA3870" i="1" s="1"/>
  <c r="J3870" i="1"/>
  <c r="N3870" i="1" s="1"/>
  <c r="Y3868" i="1"/>
  <c r="AA3868" i="1" s="1"/>
  <c r="J3868" i="1"/>
  <c r="N3868" i="1" s="1"/>
  <c r="Y3866" i="1"/>
  <c r="AA3866" i="1" s="1"/>
  <c r="J3866" i="1"/>
  <c r="N3866" i="1" s="1"/>
  <c r="Y3864" i="1"/>
  <c r="AA3864" i="1" s="1"/>
  <c r="J3864" i="1"/>
  <c r="N3864" i="1" s="1"/>
  <c r="Y3862" i="1"/>
  <c r="AA3862" i="1" s="1"/>
  <c r="J3862" i="1"/>
  <c r="N3862" i="1" s="1"/>
  <c r="Y3860" i="1"/>
  <c r="AA3860" i="1" s="1"/>
  <c r="J3860" i="1"/>
  <c r="Y3858" i="1"/>
  <c r="AA3858" i="1" s="1"/>
  <c r="Y3856" i="1"/>
  <c r="AA3856" i="1" s="1"/>
  <c r="Y3854" i="1"/>
  <c r="AA3854" i="1" s="1"/>
  <c r="Y3852" i="1"/>
  <c r="AA3852" i="1" s="1"/>
  <c r="Y3850" i="1"/>
  <c r="AA3850" i="1" s="1"/>
  <c r="Y3848" i="1"/>
  <c r="AA3848" i="1" s="1"/>
  <c r="J3848" i="1"/>
  <c r="N3848" i="1" s="1"/>
  <c r="Y3846" i="1"/>
  <c r="AA3846" i="1" s="1"/>
  <c r="J3846" i="1"/>
  <c r="N3846" i="1" s="1"/>
  <c r="Y3844" i="1"/>
  <c r="AA3844" i="1" s="1"/>
  <c r="J3844" i="1"/>
  <c r="N3844" i="1" s="1"/>
  <c r="Y3842" i="1"/>
  <c r="AA3842" i="1" s="1"/>
  <c r="J3842" i="1"/>
  <c r="N3842" i="1" s="1"/>
  <c r="Y3840" i="1"/>
  <c r="AA3840" i="1" s="1"/>
  <c r="J3840" i="1"/>
  <c r="N3840" i="1" s="1"/>
  <c r="Y3838" i="1"/>
  <c r="AA3838" i="1" s="1"/>
  <c r="J3838" i="1"/>
  <c r="N3838" i="1" s="1"/>
  <c r="Y3836" i="1"/>
  <c r="AA3836" i="1" s="1"/>
  <c r="J3836" i="1"/>
  <c r="N3836" i="1" s="1"/>
  <c r="Y3834" i="1"/>
  <c r="AA3834" i="1" s="1"/>
  <c r="J3834" i="1"/>
  <c r="N3834" i="1" s="1"/>
  <c r="Y3832" i="1"/>
  <c r="AA3832" i="1" s="1"/>
  <c r="J3832" i="1"/>
  <c r="N3832" i="1" s="1"/>
  <c r="Y3830" i="1"/>
  <c r="AA3830" i="1" s="1"/>
  <c r="J3830" i="1"/>
  <c r="N3830" i="1" s="1"/>
  <c r="Y3828" i="1"/>
  <c r="AA3828" i="1" s="1"/>
  <c r="J3828" i="1"/>
  <c r="N3828" i="1" s="1"/>
  <c r="Y3826" i="1"/>
  <c r="AA3826" i="1" s="1"/>
  <c r="J3826" i="1"/>
  <c r="N3826" i="1" s="1"/>
  <c r="Y3824" i="1"/>
  <c r="AA3824" i="1" s="1"/>
  <c r="J3824" i="1"/>
  <c r="N3824" i="1" s="1"/>
  <c r="Y3822" i="1"/>
  <c r="AA3822" i="1" s="1"/>
  <c r="J3822" i="1"/>
  <c r="N3822" i="1" s="1"/>
  <c r="Y3820" i="1"/>
  <c r="AA3820" i="1" s="1"/>
  <c r="J3820" i="1"/>
  <c r="N3820" i="1" s="1"/>
  <c r="Y3818" i="1"/>
  <c r="AA3818" i="1" s="1"/>
  <c r="J3818" i="1"/>
  <c r="N3818" i="1" s="1"/>
  <c r="Y3816" i="1"/>
  <c r="AA3816" i="1" s="1"/>
  <c r="J3816" i="1"/>
  <c r="N3816" i="1" s="1"/>
  <c r="Y3814" i="1"/>
  <c r="AA3814" i="1" s="1"/>
  <c r="J3814" i="1"/>
  <c r="N3814" i="1" s="1"/>
  <c r="Y3812" i="1"/>
  <c r="AA3812" i="1" s="1"/>
  <c r="J3812" i="1"/>
  <c r="N3812" i="1" s="1"/>
  <c r="Y3796" i="1"/>
  <c r="AA3796" i="1" s="1"/>
  <c r="K3796" i="1"/>
  <c r="J3796" i="1"/>
  <c r="Y3772" i="1"/>
  <c r="AA3772" i="1" s="1"/>
  <c r="J3772" i="1"/>
  <c r="N3772" i="1" s="1"/>
  <c r="Y3756" i="1"/>
  <c r="AA3756" i="1" s="1"/>
  <c r="J3756" i="1"/>
  <c r="N3756" i="1" s="1"/>
  <c r="Y3762" i="1"/>
  <c r="AA3762" i="1" s="1"/>
  <c r="J3762" i="1"/>
  <c r="N3762" i="1" s="1"/>
  <c r="Y3770" i="1"/>
  <c r="AA3770" i="1" s="1"/>
  <c r="J3770" i="1"/>
  <c r="N3770" i="1" s="1"/>
  <c r="I3744" i="1"/>
  <c r="J3744" i="1" s="1"/>
  <c r="N3744" i="1" s="1"/>
  <c r="I3742" i="1"/>
  <c r="J3742" i="1" s="1"/>
  <c r="N3742" i="1" s="1"/>
  <c r="I3740" i="1"/>
  <c r="J3740" i="1" s="1"/>
  <c r="N3740" i="1" s="1"/>
  <c r="I3738" i="1"/>
  <c r="J3738" i="1" s="1"/>
  <c r="N3738" i="1" s="1"/>
  <c r="I3736" i="1"/>
  <c r="J3736" i="1" s="1"/>
  <c r="N3736" i="1" s="1"/>
  <c r="K3732" i="1"/>
  <c r="K3728" i="1"/>
  <c r="K3726" i="1"/>
  <c r="K3724" i="1"/>
  <c r="K3722" i="1"/>
  <c r="K3718" i="1"/>
  <c r="K3716" i="1"/>
  <c r="K3710" i="1"/>
  <c r="K3706" i="1"/>
  <c r="Y3694" i="1"/>
  <c r="AA3694" i="1" s="1"/>
  <c r="J3694" i="1"/>
  <c r="N3694" i="1" s="1"/>
  <c r="Y3686" i="1"/>
  <c r="AA3686" i="1" s="1"/>
  <c r="J3686" i="1"/>
  <c r="N3686" i="1" s="1"/>
  <c r="Y3704" i="1"/>
  <c r="AA3704" i="1" s="1"/>
  <c r="J3704" i="1"/>
  <c r="N3704" i="1" s="1"/>
  <c r="AA3702" i="1"/>
  <c r="N3702" i="1"/>
  <c r="Y3700" i="1"/>
  <c r="AA3700" i="1" s="1"/>
  <c r="J3700" i="1"/>
  <c r="N3700" i="1" s="1"/>
  <c r="Y3682" i="1"/>
  <c r="AA3682" i="1" s="1"/>
  <c r="J3682" i="1"/>
  <c r="N3682" i="1" s="1"/>
  <c r="Y3684" i="1"/>
  <c r="AA3684" i="1" s="1"/>
  <c r="J3684" i="1"/>
  <c r="N3684" i="1" s="1"/>
  <c r="Y3810" i="1"/>
  <c r="AA3810" i="1" s="1"/>
  <c r="J3810" i="1"/>
  <c r="N3810" i="1" s="1"/>
  <c r="Y3808" i="1"/>
  <c r="AA3808" i="1" s="1"/>
  <c r="J3808" i="1"/>
  <c r="Y3806" i="1"/>
  <c r="AA3806" i="1" s="1"/>
  <c r="J3806" i="1"/>
  <c r="N3806" i="1" s="1"/>
  <c r="Y3804" i="1"/>
  <c r="AA3804" i="1" s="1"/>
  <c r="J3804" i="1"/>
  <c r="N3804" i="1" s="1"/>
  <c r="Y3798" i="1"/>
  <c r="AA3798" i="1" s="1"/>
  <c r="J3798" i="1"/>
  <c r="N3798" i="1" s="1"/>
  <c r="Y3794" i="1"/>
  <c r="AA3794" i="1" s="1"/>
  <c r="J3794" i="1"/>
  <c r="Y3792" i="1"/>
  <c r="AA3792" i="1" s="1"/>
  <c r="J3792" i="1"/>
  <c r="N3792" i="1" s="1"/>
  <c r="Y3790" i="1"/>
  <c r="AA3790" i="1" s="1"/>
  <c r="J3790" i="1"/>
  <c r="N3790" i="1" s="1"/>
  <c r="Y3788" i="1"/>
  <c r="AA3788" i="1" s="1"/>
  <c r="J3788" i="1"/>
  <c r="N3788" i="1" s="1"/>
  <c r="Y3786" i="1"/>
  <c r="AA3786" i="1" s="1"/>
  <c r="J3786" i="1"/>
  <c r="Y3784" i="1"/>
  <c r="AA3784" i="1" s="1"/>
  <c r="J3784" i="1"/>
  <c r="N3784" i="1" s="1"/>
  <c r="Y3782" i="1"/>
  <c r="AA3782" i="1" s="1"/>
  <c r="J3782" i="1"/>
  <c r="N3782" i="1" s="1"/>
  <c r="Y3780" i="1"/>
  <c r="AA3780" i="1" s="1"/>
  <c r="J3780" i="1"/>
  <c r="N3780" i="1" s="1"/>
  <c r="Y3778" i="1"/>
  <c r="AA3778" i="1" s="1"/>
  <c r="J3778" i="1"/>
  <c r="N3778" i="1" s="1"/>
  <c r="Y3776" i="1"/>
  <c r="AA3776" i="1" s="1"/>
  <c r="J3776" i="1"/>
  <c r="N3776" i="1" s="1"/>
  <c r="Y3774" i="1"/>
  <c r="AA3774" i="1" s="1"/>
  <c r="J3774" i="1"/>
  <c r="N3774" i="1" s="1"/>
  <c r="Y3768" i="1"/>
  <c r="AA3768" i="1" s="1"/>
  <c r="J3768" i="1"/>
  <c r="N3768" i="1" s="1"/>
  <c r="Y3766" i="1"/>
  <c r="AA3766" i="1" s="1"/>
  <c r="J3766" i="1"/>
  <c r="N3766" i="1" s="1"/>
  <c r="Y3764" i="1"/>
  <c r="AA3764" i="1" s="1"/>
  <c r="J3764" i="1"/>
  <c r="N3764" i="1" s="1"/>
  <c r="Y3760" i="1"/>
  <c r="AA3760" i="1" s="1"/>
  <c r="J3760" i="1"/>
  <c r="N3760" i="1" s="1"/>
  <c r="Y3758" i="1"/>
  <c r="AA3758" i="1" s="1"/>
  <c r="J3758" i="1"/>
  <c r="N3758" i="1" s="1"/>
  <c r="Y3754" i="1"/>
  <c r="AA3754" i="1" s="1"/>
  <c r="J3754" i="1"/>
  <c r="N3754" i="1" s="1"/>
  <c r="Y3752" i="1"/>
  <c r="AA3752" i="1" s="1"/>
  <c r="J3752" i="1"/>
  <c r="N3752" i="1" s="1"/>
  <c r="Y3750" i="1"/>
  <c r="AA3750" i="1" s="1"/>
  <c r="J3750" i="1"/>
  <c r="N3750" i="1" s="1"/>
  <c r="Y3748" i="1"/>
  <c r="AA3748" i="1" s="1"/>
  <c r="J3748" i="1"/>
  <c r="N3748" i="1" s="1"/>
  <c r="Y3746" i="1"/>
  <c r="AA3746" i="1" s="1"/>
  <c r="J3746" i="1"/>
  <c r="N3746" i="1" s="1"/>
  <c r="Y3744" i="1"/>
  <c r="AA3744" i="1" s="1"/>
  <c r="Y3742" i="1"/>
  <c r="AA3742" i="1" s="1"/>
  <c r="AA3740" i="1"/>
  <c r="Y3738" i="1"/>
  <c r="AA3738" i="1" s="1"/>
  <c r="Y3736" i="1"/>
  <c r="AA3736" i="1" s="1"/>
  <c r="Y3734" i="1"/>
  <c r="AA3734" i="1" s="1"/>
  <c r="J3734" i="1"/>
  <c r="N3734" i="1" s="1"/>
  <c r="Y3732" i="1"/>
  <c r="AA3732" i="1" s="1"/>
  <c r="J3732" i="1"/>
  <c r="Y3730" i="1"/>
  <c r="AA3730" i="1" s="1"/>
  <c r="J3730" i="1"/>
  <c r="N3730" i="1" s="1"/>
  <c r="Y3728" i="1"/>
  <c r="AA3728" i="1" s="1"/>
  <c r="J3728" i="1"/>
  <c r="Y3726" i="1"/>
  <c r="AA3726" i="1" s="1"/>
  <c r="J3726" i="1"/>
  <c r="Y3724" i="1"/>
  <c r="AA3724" i="1" s="1"/>
  <c r="J3724" i="1"/>
  <c r="Y3722" i="1"/>
  <c r="AA3722" i="1" s="1"/>
  <c r="J3722" i="1"/>
  <c r="Y3720" i="1"/>
  <c r="AA3720" i="1" s="1"/>
  <c r="J3720" i="1"/>
  <c r="N3720" i="1" s="1"/>
  <c r="Y3718" i="1"/>
  <c r="AA3718" i="1" s="1"/>
  <c r="J3718" i="1"/>
  <c r="Y3716" i="1"/>
  <c r="AA3716" i="1" s="1"/>
  <c r="J3716" i="1"/>
  <c r="Y3714" i="1"/>
  <c r="AA3714" i="1" s="1"/>
  <c r="J3714" i="1"/>
  <c r="N3714" i="1" s="1"/>
  <c r="Y3712" i="1"/>
  <c r="AA3712" i="1" s="1"/>
  <c r="J3712" i="1"/>
  <c r="N3712" i="1" s="1"/>
  <c r="Y3710" i="1"/>
  <c r="AA3710" i="1" s="1"/>
  <c r="J3710" i="1"/>
  <c r="K3674" i="1"/>
  <c r="K3666" i="1"/>
  <c r="K3658" i="1"/>
  <c r="K3654" i="1"/>
  <c r="K3650" i="1"/>
  <c r="K3648" i="1"/>
  <c r="K3644" i="1"/>
  <c r="K3642" i="1"/>
  <c r="K3636" i="1"/>
  <c r="Y3646" i="1"/>
  <c r="AA3646" i="1" s="1"/>
  <c r="J3646" i="1"/>
  <c r="N3646" i="1" s="1"/>
  <c r="Y3644" i="1"/>
  <c r="AA3644" i="1" s="1"/>
  <c r="J3644" i="1"/>
  <c r="Y3642" i="1"/>
  <c r="AA3642" i="1" s="1"/>
  <c r="J3642" i="1"/>
  <c r="Y3640" i="1"/>
  <c r="AA3640" i="1" s="1"/>
  <c r="J3640" i="1"/>
  <c r="N3640" i="1" s="1"/>
  <c r="Y3638" i="1"/>
  <c r="AA3638" i="1" s="1"/>
  <c r="J3638" i="1"/>
  <c r="N3638" i="1" s="1"/>
  <c r="Y3636" i="1"/>
  <c r="AA3636" i="1" s="1"/>
  <c r="J3636" i="1"/>
  <c r="Y3634" i="1"/>
  <c r="AA3634" i="1" s="1"/>
  <c r="J3634" i="1"/>
  <c r="N3634" i="1" s="1"/>
  <c r="K3624" i="1"/>
  <c r="K3622" i="1"/>
  <c r="I3632" i="1"/>
  <c r="J3632" i="1" s="1"/>
  <c r="N3632" i="1" s="1"/>
  <c r="I3630" i="1"/>
  <c r="J3630" i="1" s="1"/>
  <c r="N3630" i="1" s="1"/>
  <c r="I3628" i="1"/>
  <c r="J3628" i="1" s="1"/>
  <c r="N3628" i="1" s="1"/>
  <c r="K3610" i="1"/>
  <c r="K3602" i="1"/>
  <c r="Y3708" i="1"/>
  <c r="AA3708" i="1" s="1"/>
  <c r="J3708" i="1"/>
  <c r="N3708" i="1" s="1"/>
  <c r="Y3706" i="1"/>
  <c r="AA3706" i="1" s="1"/>
  <c r="J3706" i="1"/>
  <c r="Y3698" i="1"/>
  <c r="AA3698" i="1" s="1"/>
  <c r="J3698" i="1"/>
  <c r="N3698" i="1" s="1"/>
  <c r="Y3696" i="1"/>
  <c r="AA3696" i="1" s="1"/>
  <c r="J3696" i="1"/>
  <c r="N3696" i="1" s="1"/>
  <c r="Y3692" i="1"/>
  <c r="AA3692" i="1" s="1"/>
  <c r="J3692" i="1"/>
  <c r="N3692" i="1" s="1"/>
  <c r="Y3690" i="1"/>
  <c r="AA3690" i="1" s="1"/>
  <c r="J3690" i="1"/>
  <c r="N3690" i="1" s="1"/>
  <c r="Y3688" i="1"/>
  <c r="AA3688" i="1" s="1"/>
  <c r="J3688" i="1"/>
  <c r="N3688" i="1" s="1"/>
  <c r="Y3680" i="1"/>
  <c r="AA3680" i="1" s="1"/>
  <c r="J3680" i="1"/>
  <c r="N3680" i="1" s="1"/>
  <c r="Y3678" i="1"/>
  <c r="AA3678" i="1" s="1"/>
  <c r="J3678" i="1"/>
  <c r="N3678" i="1" s="1"/>
  <c r="Y3676" i="1"/>
  <c r="AA3676" i="1" s="1"/>
  <c r="J3676" i="1"/>
  <c r="N3676" i="1" s="1"/>
  <c r="Y3674" i="1"/>
  <c r="AA3674" i="1" s="1"/>
  <c r="J3674" i="1"/>
  <c r="Y3672" i="1"/>
  <c r="AA3672" i="1" s="1"/>
  <c r="J3672" i="1"/>
  <c r="N3672" i="1" s="1"/>
  <c r="Y3670" i="1"/>
  <c r="AA3670" i="1" s="1"/>
  <c r="J3670" i="1"/>
  <c r="N3670" i="1" s="1"/>
  <c r="Y3668" i="1"/>
  <c r="AA3668" i="1" s="1"/>
  <c r="J3668" i="1"/>
  <c r="N3668" i="1" s="1"/>
  <c r="Y3666" i="1"/>
  <c r="AA3666" i="1" s="1"/>
  <c r="J3666" i="1"/>
  <c r="Y3664" i="1"/>
  <c r="AA3664" i="1" s="1"/>
  <c r="J3664" i="1"/>
  <c r="N3664" i="1" s="1"/>
  <c r="Y3662" i="1"/>
  <c r="AA3662" i="1" s="1"/>
  <c r="J3662" i="1"/>
  <c r="N3662" i="1" s="1"/>
  <c r="Y3660" i="1"/>
  <c r="AA3660" i="1" s="1"/>
  <c r="J3660" i="1"/>
  <c r="N3660" i="1" s="1"/>
  <c r="Y3658" i="1"/>
  <c r="AA3658" i="1" s="1"/>
  <c r="J3658" i="1"/>
  <c r="Y3656" i="1"/>
  <c r="AA3656" i="1" s="1"/>
  <c r="J3656" i="1"/>
  <c r="N3656" i="1" s="1"/>
  <c r="Y3654" i="1"/>
  <c r="AA3654" i="1" s="1"/>
  <c r="J3654" i="1"/>
  <c r="Y3652" i="1"/>
  <c r="AA3652" i="1" s="1"/>
  <c r="J3652" i="1"/>
  <c r="N3652" i="1" s="1"/>
  <c r="Y3650" i="1"/>
  <c r="AA3650" i="1" s="1"/>
  <c r="J3650" i="1"/>
  <c r="Y3648" i="1"/>
  <c r="AA3648" i="1" s="1"/>
  <c r="J3648" i="1"/>
  <c r="Y3632" i="1"/>
  <c r="AA3632" i="1" s="1"/>
  <c r="Y3630" i="1"/>
  <c r="AA3630" i="1" s="1"/>
  <c r="Y3628" i="1"/>
  <c r="AA3628" i="1" s="1"/>
  <c r="Y3626" i="1"/>
  <c r="J3626" i="1"/>
  <c r="N3626" i="1" s="1"/>
  <c r="Y3624" i="1"/>
  <c r="AA3624" i="1" s="1"/>
  <c r="J3624" i="1"/>
  <c r="Y3622" i="1"/>
  <c r="AA3622" i="1" s="1"/>
  <c r="J3622" i="1"/>
  <c r="Y3620" i="1"/>
  <c r="AA3620" i="1" s="1"/>
  <c r="J3620" i="1"/>
  <c r="N3620" i="1" s="1"/>
  <c r="Y3618" i="1"/>
  <c r="AA3618" i="1" s="1"/>
  <c r="J3618" i="1"/>
  <c r="N3618" i="1" s="1"/>
  <c r="Y3616" i="1"/>
  <c r="AA3616" i="1" s="1"/>
  <c r="J3616" i="1"/>
  <c r="N3616" i="1" s="1"/>
  <c r="Y3614" i="1"/>
  <c r="AA3614" i="1" s="1"/>
  <c r="J3614" i="1"/>
  <c r="N3614" i="1" s="1"/>
  <c r="Y3612" i="1"/>
  <c r="AA3612" i="1" s="1"/>
  <c r="J3612" i="1"/>
  <c r="N3612" i="1" s="1"/>
  <c r="Y3610" i="1"/>
  <c r="AA3610" i="1" s="1"/>
  <c r="J3610" i="1"/>
  <c r="Y3608" i="1"/>
  <c r="AA3608" i="1" s="1"/>
  <c r="J3608" i="1"/>
  <c r="N3608" i="1" s="1"/>
  <c r="Y3606" i="1"/>
  <c r="AA3606" i="1" s="1"/>
  <c r="J3606" i="1"/>
  <c r="N3606" i="1" s="1"/>
  <c r="Y3604" i="1"/>
  <c r="AA3604" i="1" s="1"/>
  <c r="J3604" i="1"/>
  <c r="N3604" i="1" s="1"/>
  <c r="Y3602" i="1"/>
  <c r="AA3602" i="1" s="1"/>
  <c r="J3602" i="1"/>
  <c r="Y3600" i="1"/>
  <c r="AA3600" i="1" s="1"/>
  <c r="J3600" i="1"/>
  <c r="N3600" i="1" s="1"/>
  <c r="Y3598" i="1"/>
  <c r="AA3598" i="1" s="1"/>
  <c r="J3598" i="1"/>
  <c r="N3598" i="1" s="1"/>
  <c r="K3566" i="1"/>
  <c r="Y3566" i="1"/>
  <c r="AA3566" i="1" s="1"/>
  <c r="J3566" i="1"/>
  <c r="K3564" i="1"/>
  <c r="K3546" i="1"/>
  <c r="Y3532" i="1"/>
  <c r="AA3532" i="1" s="1"/>
  <c r="J3532" i="1"/>
  <c r="N3532" i="1" s="1"/>
  <c r="K3528" i="1"/>
  <c r="K3522" i="1"/>
  <c r="K3516" i="1"/>
  <c r="I3530" i="1"/>
  <c r="J3530" i="1" s="1"/>
  <c r="N3530" i="1" s="1"/>
  <c r="Y3520" i="1"/>
  <c r="AA3520" i="1" s="1"/>
  <c r="J3520" i="1"/>
  <c r="N3520" i="1" s="1"/>
  <c r="Y3522" i="1"/>
  <c r="AA3522" i="1" s="1"/>
  <c r="J3522" i="1"/>
  <c r="Y3596" i="1"/>
  <c r="AA3596" i="1" s="1"/>
  <c r="J3596" i="1"/>
  <c r="N3596" i="1" s="1"/>
  <c r="Y3594" i="1"/>
  <c r="AA3594" i="1" s="1"/>
  <c r="J3594" i="1"/>
  <c r="N3594" i="1" s="1"/>
  <c r="Y3592" i="1"/>
  <c r="AA3592" i="1" s="1"/>
  <c r="J3592" i="1"/>
  <c r="N3592" i="1" s="1"/>
  <c r="Y3590" i="1"/>
  <c r="AA3590" i="1" s="1"/>
  <c r="J3590" i="1"/>
  <c r="N3590" i="1" s="1"/>
  <c r="Y3588" i="1"/>
  <c r="AA3588" i="1" s="1"/>
  <c r="J3588" i="1"/>
  <c r="N3588" i="1" s="1"/>
  <c r="Y3586" i="1"/>
  <c r="AA3586" i="1" s="1"/>
  <c r="J3586" i="1"/>
  <c r="N3586" i="1" s="1"/>
  <c r="Y3584" i="1"/>
  <c r="AA3584" i="1" s="1"/>
  <c r="J3584" i="1"/>
  <c r="N3584" i="1" s="1"/>
  <c r="Y3582" i="1"/>
  <c r="AA3582" i="1" s="1"/>
  <c r="J3582" i="1"/>
  <c r="N3582" i="1" s="1"/>
  <c r="Y3580" i="1"/>
  <c r="AA3580" i="1" s="1"/>
  <c r="J3580" i="1"/>
  <c r="N3580" i="1" s="1"/>
  <c r="Y3578" i="1"/>
  <c r="AA3578" i="1" s="1"/>
  <c r="J3578" i="1"/>
  <c r="N3578" i="1" s="1"/>
  <c r="Y3576" i="1"/>
  <c r="AA3576" i="1" s="1"/>
  <c r="J3576" i="1"/>
  <c r="N3576" i="1" s="1"/>
  <c r="Y3574" i="1"/>
  <c r="AA3574" i="1" s="1"/>
  <c r="N3574" i="1"/>
  <c r="Y3572" i="1"/>
  <c r="AA3572" i="1" s="1"/>
  <c r="J3572" i="1"/>
  <c r="N3572" i="1" s="1"/>
  <c r="Y3570" i="1"/>
  <c r="AA3570" i="1" s="1"/>
  <c r="J3570" i="1"/>
  <c r="N3570" i="1" s="1"/>
  <c r="Y3568" i="1"/>
  <c r="AA3568" i="1" s="1"/>
  <c r="J3568" i="1"/>
  <c r="N3568" i="1" s="1"/>
  <c r="Y3564" i="1"/>
  <c r="AA3564" i="1" s="1"/>
  <c r="J3564" i="1"/>
  <c r="Y3562" i="1"/>
  <c r="AA3562" i="1" s="1"/>
  <c r="J3562" i="1"/>
  <c r="N3562" i="1" s="1"/>
  <c r="Y3560" i="1"/>
  <c r="AA3560" i="1" s="1"/>
  <c r="J3560" i="1"/>
  <c r="N3560" i="1" s="1"/>
  <c r="Y3558" i="1"/>
  <c r="AA3558" i="1" s="1"/>
  <c r="J3558" i="1"/>
  <c r="N3558" i="1" s="1"/>
  <c r="Y3556" i="1"/>
  <c r="AA3556" i="1" s="1"/>
  <c r="J3556" i="1"/>
  <c r="N3556" i="1" s="1"/>
  <c r="Y3554" i="1"/>
  <c r="AA3554" i="1" s="1"/>
  <c r="J3554" i="1"/>
  <c r="N3554" i="1" s="1"/>
  <c r="Y3552" i="1"/>
  <c r="AA3552" i="1" s="1"/>
  <c r="J3552" i="1"/>
  <c r="N3552" i="1" s="1"/>
  <c r="Y3550" i="1"/>
  <c r="AA3550" i="1" s="1"/>
  <c r="J3550" i="1"/>
  <c r="N3550" i="1" s="1"/>
  <c r="Y3548" i="1"/>
  <c r="AA3548" i="1" s="1"/>
  <c r="J3548" i="1"/>
  <c r="N3548" i="1" s="1"/>
  <c r="Y3546" i="1"/>
  <c r="AA3546" i="1" s="1"/>
  <c r="J3546" i="1"/>
  <c r="Y3544" i="1"/>
  <c r="AA3544" i="1" s="1"/>
  <c r="J3544" i="1"/>
  <c r="N3544" i="1" s="1"/>
  <c r="Y3542" i="1"/>
  <c r="AA3542" i="1" s="1"/>
  <c r="J3542" i="1"/>
  <c r="N3542" i="1" s="1"/>
  <c r="K3512" i="1"/>
  <c r="K3510" i="1"/>
  <c r="K3492" i="1"/>
  <c r="K3490" i="1"/>
  <c r="Y3490" i="1"/>
  <c r="AA3490" i="1" s="1"/>
  <c r="J3490" i="1"/>
  <c r="Y3486" i="1"/>
  <c r="AA3486" i="1" s="1"/>
  <c r="J3486" i="1"/>
  <c r="N3486" i="1" s="1"/>
  <c r="Y3496" i="1"/>
  <c r="AA3496" i="1" s="1"/>
  <c r="J3496" i="1"/>
  <c r="N3496" i="1" s="1"/>
  <c r="Y3488" i="1"/>
  <c r="AA3488" i="1" s="1"/>
  <c r="J3488" i="1"/>
  <c r="N3488" i="1" s="1"/>
  <c r="Y3506" i="1"/>
  <c r="AA3506" i="1" s="1"/>
  <c r="J3506" i="1"/>
  <c r="N3506" i="1" s="1"/>
  <c r="Y3504" i="1"/>
  <c r="AA3504" i="1" s="1"/>
  <c r="J3504" i="1"/>
  <c r="N3504" i="1" s="1"/>
  <c r="Y3492" i="1"/>
  <c r="AA3492" i="1" s="1"/>
  <c r="J3492" i="1"/>
  <c r="N3508" i="1"/>
  <c r="K3478" i="1"/>
  <c r="K3476" i="1"/>
  <c r="Y3434" i="1"/>
  <c r="AA3434" i="1" s="1"/>
  <c r="J3434" i="1"/>
  <c r="N3434" i="1" s="1"/>
  <c r="Y3432" i="1"/>
  <c r="AA3432" i="1" s="1"/>
  <c r="J3432" i="1"/>
  <c r="N3432" i="1" s="1"/>
  <c r="I3458" i="1"/>
  <c r="N3458" i="1" s="1"/>
  <c r="Y3540" i="1"/>
  <c r="AA3540" i="1" s="1"/>
  <c r="J3540" i="1"/>
  <c r="N3540" i="1" s="1"/>
  <c r="Y3538" i="1"/>
  <c r="AA3538" i="1" s="1"/>
  <c r="J3538" i="1"/>
  <c r="N3538" i="1" s="1"/>
  <c r="Y3536" i="1"/>
  <c r="AA3536" i="1" s="1"/>
  <c r="J3536" i="1"/>
  <c r="N3536" i="1" s="1"/>
  <c r="Y3534" i="1"/>
  <c r="AA3534" i="1" s="1"/>
  <c r="J3534" i="1"/>
  <c r="N3534" i="1" s="1"/>
  <c r="Y3530" i="1"/>
  <c r="AA3530" i="1" s="1"/>
  <c r="Y3528" i="1"/>
  <c r="AA3528" i="1" s="1"/>
  <c r="J3528" i="1"/>
  <c r="Y3526" i="1"/>
  <c r="AA3526" i="1" s="1"/>
  <c r="J3526" i="1"/>
  <c r="N3526" i="1" s="1"/>
  <c r="Y3524" i="1"/>
  <c r="AA3524" i="1" s="1"/>
  <c r="J3524" i="1"/>
  <c r="N3524" i="1" s="1"/>
  <c r="Y3518" i="1"/>
  <c r="AA3518" i="1" s="1"/>
  <c r="J3518" i="1"/>
  <c r="N3518" i="1" s="1"/>
  <c r="Y3516" i="1"/>
  <c r="AA3516" i="1" s="1"/>
  <c r="J3516" i="1"/>
  <c r="Y3514" i="1"/>
  <c r="AA3514" i="1" s="1"/>
  <c r="J3514" i="1"/>
  <c r="N3514" i="1" s="1"/>
  <c r="Y3512" i="1"/>
  <c r="AA3512" i="1" s="1"/>
  <c r="J3512" i="1"/>
  <c r="Y3510" i="1"/>
  <c r="AA3510" i="1" s="1"/>
  <c r="J3510" i="1"/>
  <c r="Y3508" i="1"/>
  <c r="AA3508" i="1" s="1"/>
  <c r="Y3502" i="1"/>
  <c r="AA3502" i="1" s="1"/>
  <c r="J3502" i="1"/>
  <c r="N3502" i="1" s="1"/>
  <c r="Y3500" i="1"/>
  <c r="AA3500" i="1" s="1"/>
  <c r="J3500" i="1"/>
  <c r="N3500" i="1" s="1"/>
  <c r="Y3498" i="1"/>
  <c r="AA3498" i="1" s="1"/>
  <c r="J3498" i="1"/>
  <c r="N3498" i="1" s="1"/>
  <c r="Y3494" i="1"/>
  <c r="AA3494" i="1" s="1"/>
  <c r="Y3484" i="1"/>
  <c r="AA3484" i="1" s="1"/>
  <c r="J3484" i="1"/>
  <c r="N3484" i="1" s="1"/>
  <c r="Y3482" i="1"/>
  <c r="AA3482" i="1" s="1"/>
  <c r="J3482" i="1"/>
  <c r="N3482" i="1" s="1"/>
  <c r="Y3480" i="1"/>
  <c r="AA3480" i="1" s="1"/>
  <c r="J3480" i="1"/>
  <c r="N3480" i="1" s="1"/>
  <c r="Y3478" i="1"/>
  <c r="AA3478" i="1" s="1"/>
  <c r="J3478" i="1"/>
  <c r="Y3476" i="1"/>
  <c r="AA3476" i="1" s="1"/>
  <c r="J3476" i="1"/>
  <c r="Y3474" i="1"/>
  <c r="AA3474" i="1" s="1"/>
  <c r="J3474" i="1"/>
  <c r="N3474" i="1" s="1"/>
  <c r="Y3472" i="1"/>
  <c r="AA3472" i="1" s="1"/>
  <c r="J3472" i="1"/>
  <c r="N3472" i="1" s="1"/>
  <c r="Y3470" i="1"/>
  <c r="AA3470" i="1" s="1"/>
  <c r="J3470" i="1"/>
  <c r="N3470" i="1" s="1"/>
  <c r="Y3468" i="1"/>
  <c r="AA3468" i="1" s="1"/>
  <c r="J3468" i="1"/>
  <c r="N3468" i="1" s="1"/>
  <c r="Y3466" i="1"/>
  <c r="AA3466" i="1" s="1"/>
  <c r="J3466" i="1"/>
  <c r="N3466" i="1" s="1"/>
  <c r="I3456" i="1"/>
  <c r="J3456" i="1" s="1"/>
  <c r="N3456" i="1" s="1"/>
  <c r="I3454" i="1"/>
  <c r="J3454" i="1" s="1"/>
  <c r="N3454" i="1" s="1"/>
  <c r="I3452" i="1"/>
  <c r="J3452" i="1" s="1"/>
  <c r="N3452" i="1" s="1"/>
  <c r="I3450" i="1"/>
  <c r="J3450" i="1" s="1"/>
  <c r="N3450" i="1" s="1"/>
  <c r="I3448" i="1"/>
  <c r="J3448" i="1" s="1"/>
  <c r="N3448" i="1" s="1"/>
  <c r="K3442" i="1"/>
  <c r="K3436" i="1"/>
  <c r="K3426" i="1"/>
  <c r="K3408" i="1"/>
  <c r="K3406" i="1"/>
  <c r="K3404" i="1"/>
  <c r="Y3406" i="1"/>
  <c r="AA3406" i="1" s="1"/>
  <c r="J3406" i="1"/>
  <c r="Y3404" i="1"/>
  <c r="AA3404" i="1" s="1"/>
  <c r="J3404" i="1"/>
  <c r="Y3408" i="1"/>
  <c r="AA3408" i="1" s="1"/>
  <c r="J3408" i="1"/>
  <c r="K3398" i="1"/>
  <c r="K3394" i="1"/>
  <c r="Y3398" i="1"/>
  <c r="AA3398" i="1" s="1"/>
  <c r="J3398" i="1"/>
  <c r="Y3396" i="1"/>
  <c r="AA3396" i="1" s="1"/>
  <c r="J3396" i="1"/>
  <c r="N3396" i="1" s="1"/>
  <c r="Y3394" i="1"/>
  <c r="AA3394" i="1" s="1"/>
  <c r="J3394" i="1"/>
  <c r="K3388" i="1"/>
  <c r="K3386" i="1"/>
  <c r="K3364" i="1"/>
  <c r="K3360" i="1"/>
  <c r="Y3464" i="1"/>
  <c r="AA3464" i="1" s="1"/>
  <c r="J3464" i="1"/>
  <c r="N3464" i="1" s="1"/>
  <c r="Y3462" i="1"/>
  <c r="AA3462" i="1" s="1"/>
  <c r="J3462" i="1"/>
  <c r="N3462" i="1" s="1"/>
  <c r="Y3460" i="1"/>
  <c r="AA3460" i="1" s="1"/>
  <c r="J3460" i="1"/>
  <c r="N3460" i="1" s="1"/>
  <c r="Y3458" i="1"/>
  <c r="AA3458" i="1" s="1"/>
  <c r="Y3456" i="1"/>
  <c r="AA3456" i="1" s="1"/>
  <c r="Y3454" i="1"/>
  <c r="AA3454" i="1" s="1"/>
  <c r="Y3452" i="1"/>
  <c r="AA3452" i="1" s="1"/>
  <c r="Y3450" i="1"/>
  <c r="AA3450" i="1" s="1"/>
  <c r="Y3448" i="1"/>
  <c r="AA3448" i="1" s="1"/>
  <c r="Y3446" i="1"/>
  <c r="AA3446" i="1" s="1"/>
  <c r="J3446" i="1"/>
  <c r="N3446" i="1" s="1"/>
  <c r="Y3444" i="1"/>
  <c r="AA3444" i="1" s="1"/>
  <c r="J3444" i="1"/>
  <c r="N3444" i="1" s="1"/>
  <c r="Y3442" i="1"/>
  <c r="AA3442" i="1" s="1"/>
  <c r="J3442" i="1"/>
  <c r="Y3440" i="1"/>
  <c r="AA3440" i="1" s="1"/>
  <c r="J3440" i="1"/>
  <c r="N3440" i="1" s="1"/>
  <c r="Y3438" i="1"/>
  <c r="AA3438" i="1" s="1"/>
  <c r="J3438" i="1"/>
  <c r="N3438" i="1" s="1"/>
  <c r="Y3436" i="1"/>
  <c r="AA3436" i="1" s="1"/>
  <c r="J3436" i="1"/>
  <c r="Y3430" i="1"/>
  <c r="AA3430" i="1" s="1"/>
  <c r="J3430" i="1"/>
  <c r="N3430" i="1" s="1"/>
  <c r="Y3428" i="1"/>
  <c r="AA3428" i="1" s="1"/>
  <c r="J3428" i="1"/>
  <c r="N3428" i="1" s="1"/>
  <c r="Y3426" i="1"/>
  <c r="AA3426" i="1" s="1"/>
  <c r="J3426" i="1"/>
  <c r="Y3424" i="1"/>
  <c r="AA3424" i="1" s="1"/>
  <c r="J3424" i="1"/>
  <c r="N3424" i="1" s="1"/>
  <c r="Y3422" i="1"/>
  <c r="AA3422" i="1" s="1"/>
  <c r="J3422" i="1"/>
  <c r="N3422" i="1" s="1"/>
  <c r="Y3420" i="1"/>
  <c r="AA3420" i="1" s="1"/>
  <c r="J3420" i="1"/>
  <c r="N3420" i="1" s="1"/>
  <c r="Y3418" i="1"/>
  <c r="AA3418" i="1" s="1"/>
  <c r="J3418" i="1"/>
  <c r="N3418" i="1" s="1"/>
  <c r="Y3416" i="1"/>
  <c r="AA3416" i="1" s="1"/>
  <c r="J3416" i="1"/>
  <c r="N3416" i="1" s="1"/>
  <c r="Y3414" i="1"/>
  <c r="AA3414" i="1" s="1"/>
  <c r="J3414" i="1"/>
  <c r="N3414" i="1" s="1"/>
  <c r="Y3412" i="1"/>
  <c r="AA3412" i="1" s="1"/>
  <c r="J3412" i="1"/>
  <c r="N3412" i="1" s="1"/>
  <c r="Y3410" i="1"/>
  <c r="AA3410" i="1" s="1"/>
  <c r="J3410" i="1"/>
  <c r="N3410" i="1" s="1"/>
  <c r="Y3402" i="1"/>
  <c r="AA3402" i="1" s="1"/>
  <c r="N3402" i="1"/>
  <c r="Y3400" i="1"/>
  <c r="AA3400" i="1" s="1"/>
  <c r="J3400" i="1"/>
  <c r="N3400" i="1" s="1"/>
  <c r="Y3392" i="1"/>
  <c r="AA3392" i="1" s="1"/>
  <c r="J3392" i="1"/>
  <c r="N3392" i="1" s="1"/>
  <c r="Y3390" i="1"/>
  <c r="AA3390" i="1" s="1"/>
  <c r="J3390" i="1"/>
  <c r="N3390" i="1" s="1"/>
  <c r="Y3388" i="1"/>
  <c r="AA3388" i="1" s="1"/>
  <c r="J3388" i="1"/>
  <c r="Y3386" i="1"/>
  <c r="AA3386" i="1" s="1"/>
  <c r="J3386" i="1"/>
  <c r="Y3384" i="1"/>
  <c r="AA3384" i="1" s="1"/>
  <c r="J3384" i="1"/>
  <c r="N3384" i="1" s="1"/>
  <c r="Y3382" i="1"/>
  <c r="AA3382" i="1" s="1"/>
  <c r="J3382" i="1"/>
  <c r="N3382" i="1" s="1"/>
  <c r="Y3380" i="1"/>
  <c r="AA3380" i="1" s="1"/>
  <c r="J3380" i="1"/>
  <c r="N3380" i="1" s="1"/>
  <c r="Y3340" i="1"/>
  <c r="AA3340" i="1" s="1"/>
  <c r="J3340" i="1"/>
  <c r="N3340" i="1" s="1"/>
  <c r="Y3338" i="1"/>
  <c r="AA3338" i="1" s="1"/>
  <c r="J3338" i="1"/>
  <c r="N3338" i="1" s="1"/>
  <c r="Y3344" i="1"/>
  <c r="AA3344" i="1" s="1"/>
  <c r="J3344" i="1"/>
  <c r="N3344" i="1" s="1"/>
  <c r="Y3352" i="1"/>
  <c r="AA3352" i="1" s="1"/>
  <c r="J3352" i="1"/>
  <c r="N3352" i="1" s="1"/>
  <c r="Y3336" i="1"/>
  <c r="AA3336" i="1" s="1"/>
  <c r="J3336" i="1"/>
  <c r="N3336" i="1" s="1"/>
  <c r="Y3350" i="1"/>
  <c r="AA3350" i="1" s="1"/>
  <c r="J3350" i="1"/>
  <c r="N3350" i="1" s="1"/>
  <c r="Y3348" i="1"/>
  <c r="AA3348" i="1" s="1"/>
  <c r="J3348" i="1"/>
  <c r="N3348" i="1" s="1"/>
  <c r="Y3346" i="1"/>
  <c r="AA3346" i="1" s="1"/>
  <c r="J3346" i="1"/>
  <c r="N3346" i="1" s="1"/>
  <c r="Y3334" i="1"/>
  <c r="AA3334" i="1" s="1"/>
  <c r="J3334" i="1"/>
  <c r="N3334" i="1" s="1"/>
  <c r="Y3332" i="1"/>
  <c r="AA3332" i="1" s="1"/>
  <c r="J3332" i="1"/>
  <c r="N3332" i="1" s="1"/>
  <c r="K3314" i="1"/>
  <c r="K3310" i="1"/>
  <c r="K3308" i="1"/>
  <c r="K3306" i="1"/>
  <c r="Y3298" i="1"/>
  <c r="AA3298" i="1" s="1"/>
  <c r="J3298" i="1"/>
  <c r="N3298" i="1" s="1"/>
  <c r="I3304" i="1"/>
  <c r="I3302" i="1"/>
  <c r="I3300" i="1"/>
  <c r="K3288" i="1"/>
  <c r="K3286" i="1"/>
  <c r="Y3284" i="1"/>
  <c r="AA3284" i="1" s="1"/>
  <c r="J3284" i="1"/>
  <c r="N3284" i="1" s="1"/>
  <c r="K3272" i="1"/>
  <c r="Y3286" i="1"/>
  <c r="AA3286" i="1" s="1"/>
  <c r="J3286" i="1"/>
  <c r="AA3272" i="1"/>
  <c r="J3272" i="1"/>
  <c r="Y3276" i="1"/>
  <c r="AA3276" i="1" s="1"/>
  <c r="J3276" i="1"/>
  <c r="N3276" i="1" s="1"/>
  <c r="I3270" i="1"/>
  <c r="K3258" i="1"/>
  <c r="K3252" i="1"/>
  <c r="K3250" i="1"/>
  <c r="K3248" i="1"/>
  <c r="K3246" i="1"/>
  <c r="K3242" i="1"/>
  <c r="K3240" i="1"/>
  <c r="K3236" i="1"/>
  <c r="N4176" i="1" l="1"/>
  <c r="N4268" i="1"/>
  <c r="N4198" i="1"/>
  <c r="N4264" i="1"/>
  <c r="N4020" i="1"/>
  <c r="N4270" i="1"/>
  <c r="N4188" i="1"/>
  <c r="N4178" i="1"/>
  <c r="N4044" i="1"/>
  <c r="N4206" i="1"/>
  <c r="N4162" i="1"/>
  <c r="N4132" i="1"/>
  <c r="N4160" i="1"/>
  <c r="N4164" i="1"/>
  <c r="N4046" i="1"/>
  <c r="N4120" i="1"/>
  <c r="N4174" i="1"/>
  <c r="N4172" i="1"/>
  <c r="N4156" i="1"/>
  <c r="N4154" i="1"/>
  <c r="N4130" i="1"/>
  <c r="N4084" i="1"/>
  <c r="N4024" i="1"/>
  <c r="N4108" i="1"/>
  <c r="N4100" i="1"/>
  <c r="N4122" i="1"/>
  <c r="N4118" i="1"/>
  <c r="N3932" i="1"/>
  <c r="N4002" i="1"/>
  <c r="N4000" i="1"/>
  <c r="N3996" i="1"/>
  <c r="N3860" i="1"/>
  <c r="N3920" i="1"/>
  <c r="N3874" i="1"/>
  <c r="N3942" i="1"/>
  <c r="N3938" i="1"/>
  <c r="N3922" i="1"/>
  <c r="N3872" i="1"/>
  <c r="N3918" i="1"/>
  <c r="N3796" i="1"/>
  <c r="N3892" i="1"/>
  <c r="N3886" i="1"/>
  <c r="N3882" i="1"/>
  <c r="N3880" i="1"/>
  <c r="N3808" i="1"/>
  <c r="N3718" i="1"/>
  <c r="N3794" i="1"/>
  <c r="N3786" i="1"/>
  <c r="N3732" i="1"/>
  <c r="N3728" i="1"/>
  <c r="N3726" i="1"/>
  <c r="N3724" i="1"/>
  <c r="N3722" i="1"/>
  <c r="N3716" i="1"/>
  <c r="N3710" i="1"/>
  <c r="N3706" i="1"/>
  <c r="N3624" i="1"/>
  <c r="N3566" i="1"/>
  <c r="N3622" i="1"/>
  <c r="N3642" i="1"/>
  <c r="N3516" i="1"/>
  <c r="N3674" i="1"/>
  <c r="N3648" i="1"/>
  <c r="N3636" i="1"/>
  <c r="N3666" i="1"/>
  <c r="N3658" i="1"/>
  <c r="N3654" i="1"/>
  <c r="N3650" i="1"/>
  <c r="N3644" i="1"/>
  <c r="N3610" i="1"/>
  <c r="N3602" i="1"/>
  <c r="N3564" i="1"/>
  <c r="N3546" i="1"/>
  <c r="N3510" i="1"/>
  <c r="N3528" i="1"/>
  <c r="N3522" i="1"/>
  <c r="N3492" i="1"/>
  <c r="N3490" i="1"/>
  <c r="N3512" i="1"/>
  <c r="N3478" i="1"/>
  <c r="N3476" i="1"/>
  <c r="N3426" i="1"/>
  <c r="N3386" i="1"/>
  <c r="N3442" i="1"/>
  <c r="N3436" i="1"/>
  <c r="N3404" i="1"/>
  <c r="N3408" i="1"/>
  <c r="N3406" i="1"/>
  <c r="N3398" i="1"/>
  <c r="N3394" i="1"/>
  <c r="N3388" i="1"/>
  <c r="N3272" i="1"/>
  <c r="N3286" i="1"/>
  <c r="K3214" i="1"/>
  <c r="Y3214" i="1"/>
  <c r="AA3214" i="1" s="1"/>
  <c r="J3214" i="1"/>
  <c r="K3204" i="1"/>
  <c r="K3202" i="1"/>
  <c r="Y3208" i="1"/>
  <c r="AA3208" i="1" s="1"/>
  <c r="J3208" i="1"/>
  <c r="N3208" i="1" s="1"/>
  <c r="Y3206" i="1"/>
  <c r="AA3206" i="1" s="1"/>
  <c r="J3206" i="1"/>
  <c r="N3206" i="1" s="1"/>
  <c r="Y3204" i="1"/>
  <c r="AA3204" i="1" s="1"/>
  <c r="J3204" i="1"/>
  <c r="Y3202" i="1"/>
  <c r="AA3202" i="1" s="1"/>
  <c r="J3202" i="1"/>
  <c r="Y3212" i="1"/>
  <c r="AA3212" i="1" s="1"/>
  <c r="J3212" i="1"/>
  <c r="N3212" i="1" s="1"/>
  <c r="Y3210" i="1"/>
  <c r="AA3210" i="1" s="1"/>
  <c r="J3210" i="1"/>
  <c r="N3210" i="1" s="1"/>
  <c r="K3200" i="1"/>
  <c r="K3198" i="1"/>
  <c r="I3184" i="1"/>
  <c r="J3184" i="1" s="1"/>
  <c r="N3184" i="1" s="1"/>
  <c r="Y3378" i="1"/>
  <c r="AA3378" i="1" s="1"/>
  <c r="J3378" i="1"/>
  <c r="N3378" i="1" s="1"/>
  <c r="Y3376" i="1"/>
  <c r="AA3376" i="1" s="1"/>
  <c r="J3376" i="1"/>
  <c r="N3376" i="1" s="1"/>
  <c r="Y3374" i="1"/>
  <c r="AA3374" i="1" s="1"/>
  <c r="J3374" i="1"/>
  <c r="N3374" i="1" s="1"/>
  <c r="Y3372" i="1"/>
  <c r="AA3372" i="1" s="1"/>
  <c r="J3372" i="1"/>
  <c r="N3372" i="1" s="1"/>
  <c r="Y3370" i="1"/>
  <c r="AA3370" i="1" s="1"/>
  <c r="J3370" i="1"/>
  <c r="N3370" i="1" s="1"/>
  <c r="Y3368" i="1"/>
  <c r="AA3368" i="1" s="1"/>
  <c r="J3368" i="1"/>
  <c r="N3368" i="1" s="1"/>
  <c r="Y3366" i="1"/>
  <c r="AA3366" i="1" s="1"/>
  <c r="J3366" i="1"/>
  <c r="N3366" i="1" s="1"/>
  <c r="Y3364" i="1"/>
  <c r="AA3364" i="1" s="1"/>
  <c r="J3364" i="1"/>
  <c r="N3364" i="1" s="1"/>
  <c r="Y3362" i="1"/>
  <c r="AA3362" i="1" s="1"/>
  <c r="J3362" i="1"/>
  <c r="N3362" i="1" s="1"/>
  <c r="Y3360" i="1"/>
  <c r="AA3360" i="1" s="1"/>
  <c r="J3360" i="1"/>
  <c r="N3360" i="1" s="1"/>
  <c r="Y3358" i="1"/>
  <c r="AA3358" i="1" s="1"/>
  <c r="J3358" i="1"/>
  <c r="N3358" i="1" s="1"/>
  <c r="Y3356" i="1"/>
  <c r="AA3356" i="1" s="1"/>
  <c r="J3356" i="1"/>
  <c r="N3356" i="1" s="1"/>
  <c r="Y3354" i="1"/>
  <c r="AA3354" i="1" s="1"/>
  <c r="J3354" i="1"/>
  <c r="N3354" i="1" s="1"/>
  <c r="Y3342" i="1"/>
  <c r="AA3342" i="1" s="1"/>
  <c r="J3342" i="1"/>
  <c r="N3342" i="1" s="1"/>
  <c r="Y3330" i="1"/>
  <c r="AA3330" i="1" s="1"/>
  <c r="J3330" i="1"/>
  <c r="N3330" i="1" s="1"/>
  <c r="Y3328" i="1"/>
  <c r="AA3328" i="1" s="1"/>
  <c r="J3328" i="1"/>
  <c r="N3328" i="1" s="1"/>
  <c r="Y3326" i="1"/>
  <c r="AA3326" i="1" s="1"/>
  <c r="J3326" i="1"/>
  <c r="N3326" i="1" s="1"/>
  <c r="Y3324" i="1"/>
  <c r="AA3324" i="1" s="1"/>
  <c r="J3324" i="1"/>
  <c r="N3324" i="1" s="1"/>
  <c r="Y3322" i="1"/>
  <c r="AA3322" i="1" s="1"/>
  <c r="J3322" i="1"/>
  <c r="N3322" i="1" s="1"/>
  <c r="Y3320" i="1"/>
  <c r="AA3320" i="1" s="1"/>
  <c r="J3320" i="1"/>
  <c r="N3320" i="1" s="1"/>
  <c r="Y3318" i="1"/>
  <c r="AA3318" i="1" s="1"/>
  <c r="J3318" i="1"/>
  <c r="N3318" i="1" s="1"/>
  <c r="Y3316" i="1"/>
  <c r="AA3316" i="1" s="1"/>
  <c r="J3316" i="1"/>
  <c r="N3316" i="1" s="1"/>
  <c r="Y3314" i="1"/>
  <c r="AA3314" i="1" s="1"/>
  <c r="J3314" i="1"/>
  <c r="N3314" i="1" s="1"/>
  <c r="Y3312" i="1"/>
  <c r="AA3312" i="1" s="1"/>
  <c r="J3312" i="1"/>
  <c r="N3312" i="1" s="1"/>
  <c r="Y3310" i="1"/>
  <c r="AA3310" i="1" s="1"/>
  <c r="J3310" i="1"/>
  <c r="N3310" i="1" s="1"/>
  <c r="Y3308" i="1"/>
  <c r="AA3308" i="1" s="1"/>
  <c r="J3308" i="1"/>
  <c r="N3308" i="1" s="1"/>
  <c r="Y3306" i="1"/>
  <c r="AA3306" i="1" s="1"/>
  <c r="J3306" i="1"/>
  <c r="N3306" i="1" s="1"/>
  <c r="Y3304" i="1"/>
  <c r="AA3304" i="1" s="1"/>
  <c r="J3304" i="1"/>
  <c r="N3304" i="1" s="1"/>
  <c r="Y3302" i="1"/>
  <c r="AA3302" i="1" s="1"/>
  <c r="J3302" i="1"/>
  <c r="N3302" i="1" s="1"/>
  <c r="Y3300" i="1"/>
  <c r="AA3300" i="1" s="1"/>
  <c r="J3300" i="1"/>
  <c r="N3300" i="1" s="1"/>
  <c r="Y3296" i="1"/>
  <c r="AA3296" i="1" s="1"/>
  <c r="J3296" i="1"/>
  <c r="N3296" i="1" s="1"/>
  <c r="Y3294" i="1"/>
  <c r="AA3294" i="1" s="1"/>
  <c r="J3294" i="1"/>
  <c r="N3294" i="1" s="1"/>
  <c r="Y3292" i="1"/>
  <c r="AA3292" i="1" s="1"/>
  <c r="J3292" i="1"/>
  <c r="N3292" i="1" s="1"/>
  <c r="Y3290" i="1"/>
  <c r="AA3290" i="1" s="1"/>
  <c r="J3290" i="1"/>
  <c r="N3290" i="1" s="1"/>
  <c r="Y3288" i="1"/>
  <c r="AA3288" i="1" s="1"/>
  <c r="J3288" i="1"/>
  <c r="N3288" i="1" s="1"/>
  <c r="Y3282" i="1"/>
  <c r="AA3282" i="1" s="1"/>
  <c r="J3282" i="1"/>
  <c r="N3282" i="1" s="1"/>
  <c r="Y3280" i="1"/>
  <c r="AA3280" i="1" s="1"/>
  <c r="J3280" i="1"/>
  <c r="N3280" i="1" s="1"/>
  <c r="Y3278" i="1"/>
  <c r="AA3278" i="1" s="1"/>
  <c r="J3278" i="1"/>
  <c r="N3278" i="1" s="1"/>
  <c r="Y3274" i="1"/>
  <c r="AA3274" i="1" s="1"/>
  <c r="J3274" i="1"/>
  <c r="N3274" i="1" s="1"/>
  <c r="Y3270" i="1"/>
  <c r="AA3270" i="1" s="1"/>
  <c r="J3270" i="1"/>
  <c r="N3270" i="1" s="1"/>
  <c r="Y3268" i="1"/>
  <c r="AA3268" i="1" s="1"/>
  <c r="J3268" i="1"/>
  <c r="N3268" i="1" s="1"/>
  <c r="Y3266" i="1"/>
  <c r="AA3266" i="1" s="1"/>
  <c r="J3266" i="1"/>
  <c r="N3266" i="1" s="1"/>
  <c r="Y3264" i="1"/>
  <c r="AA3264" i="1" s="1"/>
  <c r="J3264" i="1"/>
  <c r="N3264" i="1" s="1"/>
  <c r="Y3262" i="1"/>
  <c r="AA3262" i="1" s="1"/>
  <c r="J3262" i="1"/>
  <c r="N3262" i="1" s="1"/>
  <c r="Y3260" i="1"/>
  <c r="AA3260" i="1" s="1"/>
  <c r="J3260" i="1"/>
  <c r="N3260" i="1" s="1"/>
  <c r="Y3258" i="1"/>
  <c r="AA3258" i="1" s="1"/>
  <c r="J3258" i="1"/>
  <c r="N3258" i="1" s="1"/>
  <c r="Y3256" i="1"/>
  <c r="AA3256" i="1" s="1"/>
  <c r="J3256" i="1"/>
  <c r="N3256" i="1" s="1"/>
  <c r="Y3254" i="1"/>
  <c r="AA3254" i="1" s="1"/>
  <c r="J3254" i="1"/>
  <c r="N3254" i="1" s="1"/>
  <c r="Y3252" i="1"/>
  <c r="AA3252" i="1" s="1"/>
  <c r="J3252" i="1"/>
  <c r="N3252" i="1" s="1"/>
  <c r="Y3250" i="1"/>
  <c r="AA3250" i="1" s="1"/>
  <c r="J3250" i="1"/>
  <c r="N3250" i="1" s="1"/>
  <c r="Y3248" i="1"/>
  <c r="AA3248" i="1" s="1"/>
  <c r="J3248" i="1"/>
  <c r="N3248" i="1" s="1"/>
  <c r="Y3246" i="1"/>
  <c r="AA3246" i="1" s="1"/>
  <c r="J3246" i="1"/>
  <c r="N3246" i="1" s="1"/>
  <c r="Y3244" i="1"/>
  <c r="AA3244" i="1" s="1"/>
  <c r="J3244" i="1"/>
  <c r="N3244" i="1" s="1"/>
  <c r="Y3242" i="1"/>
  <c r="AA3242" i="1" s="1"/>
  <c r="J3242" i="1"/>
  <c r="N3242" i="1" s="1"/>
  <c r="Y3240" i="1"/>
  <c r="AA3240" i="1" s="1"/>
  <c r="J3240" i="1"/>
  <c r="N3240" i="1" s="1"/>
  <c r="Y3238" i="1"/>
  <c r="AA3238" i="1" s="1"/>
  <c r="J3238" i="1"/>
  <c r="N3238" i="1" s="1"/>
  <c r="Y3236" i="1"/>
  <c r="AA3236" i="1" s="1"/>
  <c r="J3236" i="1"/>
  <c r="N3236" i="1" s="1"/>
  <c r="Y3234" i="1"/>
  <c r="AA3234" i="1" s="1"/>
  <c r="J3234" i="1"/>
  <c r="N3234" i="1" s="1"/>
  <c r="Y3232" i="1"/>
  <c r="AA3232" i="1" s="1"/>
  <c r="J3232" i="1"/>
  <c r="N3232" i="1" s="1"/>
  <c r="Y3230" i="1"/>
  <c r="AA3230" i="1" s="1"/>
  <c r="J3230" i="1"/>
  <c r="N3230" i="1" s="1"/>
  <c r="Y3228" i="1"/>
  <c r="AA3228" i="1" s="1"/>
  <c r="J3228" i="1"/>
  <c r="N3228" i="1" s="1"/>
  <c r="Y3226" i="1"/>
  <c r="AA3226" i="1" s="1"/>
  <c r="J3226" i="1"/>
  <c r="N3226" i="1" s="1"/>
  <c r="Y3224" i="1"/>
  <c r="AA3224" i="1" s="1"/>
  <c r="J3224" i="1"/>
  <c r="N3224" i="1" s="1"/>
  <c r="Y3222" i="1"/>
  <c r="AA3222" i="1" s="1"/>
  <c r="J3222" i="1"/>
  <c r="N3222" i="1" s="1"/>
  <c r="Y3220" i="1"/>
  <c r="AA3220" i="1" s="1"/>
  <c r="J3220" i="1"/>
  <c r="N3220" i="1" s="1"/>
  <c r="Y3218" i="1"/>
  <c r="AA3218" i="1" s="1"/>
  <c r="J3218" i="1"/>
  <c r="N3218" i="1" s="1"/>
  <c r="Y3216" i="1"/>
  <c r="AA3216" i="1" s="1"/>
  <c r="J3216" i="1"/>
  <c r="N3216" i="1" s="1"/>
  <c r="Y3200" i="1"/>
  <c r="AA3200" i="1" s="1"/>
  <c r="J3200" i="1"/>
  <c r="Y3198" i="1"/>
  <c r="AA3198" i="1" s="1"/>
  <c r="J3198" i="1"/>
  <c r="Y3196" i="1"/>
  <c r="AA3196" i="1" s="1"/>
  <c r="J3196" i="1"/>
  <c r="N3196" i="1" s="1"/>
  <c r="Y3194" i="1"/>
  <c r="AA3194" i="1" s="1"/>
  <c r="J3194" i="1"/>
  <c r="N3194" i="1" s="1"/>
  <c r="Y3192" i="1"/>
  <c r="AA3192" i="1" s="1"/>
  <c r="J3192" i="1"/>
  <c r="N3192" i="1" s="1"/>
  <c r="Y3190" i="1"/>
  <c r="AA3190" i="1" s="1"/>
  <c r="J3190" i="1"/>
  <c r="N3190" i="1" s="1"/>
  <c r="Y3188" i="1"/>
  <c r="AA3188" i="1" s="1"/>
  <c r="J3188" i="1"/>
  <c r="N3188" i="1" s="1"/>
  <c r="Y3186" i="1"/>
  <c r="AA3186" i="1" s="1"/>
  <c r="J3186" i="1"/>
  <c r="N3186" i="1" s="1"/>
  <c r="Y3164" i="1"/>
  <c r="AA3164" i="1" s="1"/>
  <c r="J3164" i="1"/>
  <c r="N3164" i="1" s="1"/>
  <c r="Y3150" i="1"/>
  <c r="AA3150" i="1" s="1"/>
  <c r="J3150" i="1"/>
  <c r="N3150" i="1" s="1"/>
  <c r="Y3168" i="1"/>
  <c r="AA3168" i="1" s="1"/>
  <c r="J3168" i="1"/>
  <c r="N3168" i="1" s="1"/>
  <c r="Y3162" i="1"/>
  <c r="AA3162" i="1" s="1"/>
  <c r="J3162" i="1"/>
  <c r="N3162" i="1" s="1"/>
  <c r="Y3166" i="1"/>
  <c r="AA3166" i="1" s="1"/>
  <c r="J3166" i="1"/>
  <c r="N3166" i="1" s="1"/>
  <c r="Y3156" i="1"/>
  <c r="AA3156" i="1" s="1"/>
  <c r="J3156" i="1"/>
  <c r="N3156" i="1" s="1"/>
  <c r="I3148" i="1"/>
  <c r="J3148" i="1" s="1"/>
  <c r="N3148" i="1" s="1"/>
  <c r="I3146" i="1"/>
  <c r="J3146" i="1" s="1"/>
  <c r="N3146" i="1" s="1"/>
  <c r="I3144" i="1"/>
  <c r="J3144" i="1" s="1"/>
  <c r="N3144" i="1" s="1"/>
  <c r="I3142" i="1"/>
  <c r="J3142" i="1" s="1"/>
  <c r="N3142" i="1" s="1"/>
  <c r="K3138" i="1"/>
  <c r="K3132" i="1"/>
  <c r="K3128" i="1"/>
  <c r="K3126" i="1"/>
  <c r="K3120" i="1"/>
  <c r="Y3184" i="1"/>
  <c r="AA3184" i="1" s="1"/>
  <c r="Y3182" i="1"/>
  <c r="AA3182" i="1" s="1"/>
  <c r="J3182" i="1"/>
  <c r="N3182" i="1" s="1"/>
  <c r="Y3180" i="1"/>
  <c r="AA3180" i="1" s="1"/>
  <c r="J3180" i="1"/>
  <c r="N3180" i="1" s="1"/>
  <c r="Y3178" i="1"/>
  <c r="AA3178" i="1" s="1"/>
  <c r="J3178" i="1"/>
  <c r="N3178" i="1" s="1"/>
  <c r="Y3176" i="1"/>
  <c r="AA3176" i="1" s="1"/>
  <c r="J3176" i="1"/>
  <c r="N3176" i="1" s="1"/>
  <c r="Y3174" i="1"/>
  <c r="AA3174" i="1" s="1"/>
  <c r="J3174" i="1"/>
  <c r="N3174" i="1" s="1"/>
  <c r="Y3172" i="1"/>
  <c r="AA3172" i="1" s="1"/>
  <c r="J3172" i="1"/>
  <c r="N3172" i="1" s="1"/>
  <c r="Y3170" i="1"/>
  <c r="AA3170" i="1" s="1"/>
  <c r="J3170" i="1"/>
  <c r="N3170" i="1" s="1"/>
  <c r="Y3160" i="1"/>
  <c r="AA3160" i="1" s="1"/>
  <c r="J3160" i="1"/>
  <c r="N3160" i="1" s="1"/>
  <c r="Y3158" i="1"/>
  <c r="AA3158" i="1" s="1"/>
  <c r="J3158" i="1"/>
  <c r="N3158" i="1" s="1"/>
  <c r="Y3154" i="1"/>
  <c r="AA3154" i="1" s="1"/>
  <c r="J3154" i="1"/>
  <c r="N3154" i="1" s="1"/>
  <c r="Y3152" i="1"/>
  <c r="AA3152" i="1" s="1"/>
  <c r="J3152" i="1"/>
  <c r="N3152" i="1" s="1"/>
  <c r="Y3148" i="1"/>
  <c r="AA3148" i="1" s="1"/>
  <c r="Y3146" i="1"/>
  <c r="AA3146" i="1" s="1"/>
  <c r="Y3144" i="1"/>
  <c r="AA3144" i="1" s="1"/>
  <c r="Y3142" i="1"/>
  <c r="AA3142" i="1" s="1"/>
  <c r="Y3140" i="1"/>
  <c r="AA3140" i="1" s="1"/>
  <c r="J3140" i="1"/>
  <c r="N3140" i="1" s="1"/>
  <c r="Y3138" i="1"/>
  <c r="AA3138" i="1" s="1"/>
  <c r="J3138" i="1"/>
  <c r="Y3136" i="1"/>
  <c r="AA3136" i="1" s="1"/>
  <c r="J3136" i="1"/>
  <c r="N3136" i="1" s="1"/>
  <c r="K3112" i="1"/>
  <c r="K3102" i="1"/>
  <c r="K3092" i="1"/>
  <c r="Y3134" i="1"/>
  <c r="AA3134" i="1" s="1"/>
  <c r="J3134" i="1"/>
  <c r="N3134" i="1" s="1"/>
  <c r="Y3132" i="1"/>
  <c r="AA3132" i="1" s="1"/>
  <c r="J3132" i="1"/>
  <c r="Y3130" i="1"/>
  <c r="AA3130" i="1" s="1"/>
  <c r="J3130" i="1"/>
  <c r="N3130" i="1" s="1"/>
  <c r="Y3128" i="1"/>
  <c r="AA3128" i="1" s="1"/>
  <c r="J3128" i="1"/>
  <c r="Y3126" i="1"/>
  <c r="AA3126" i="1" s="1"/>
  <c r="J3126" i="1"/>
  <c r="Y3124" i="1"/>
  <c r="AA3124" i="1" s="1"/>
  <c r="J3124" i="1"/>
  <c r="N3124" i="1" s="1"/>
  <c r="Y3122" i="1"/>
  <c r="AA3122" i="1" s="1"/>
  <c r="J3122" i="1"/>
  <c r="N3122" i="1" s="1"/>
  <c r="Y3120" i="1"/>
  <c r="AA3120" i="1" s="1"/>
  <c r="J3120" i="1"/>
  <c r="Y3118" i="1"/>
  <c r="AA3118" i="1" s="1"/>
  <c r="J3118" i="1"/>
  <c r="N3118" i="1" s="1"/>
  <c r="Y3116" i="1"/>
  <c r="AA3116" i="1" s="1"/>
  <c r="J3116" i="1"/>
  <c r="N3116" i="1" s="1"/>
  <c r="Y3114" i="1"/>
  <c r="AA3114" i="1" s="1"/>
  <c r="J3114" i="1"/>
  <c r="N3114" i="1" s="1"/>
  <c r="Y3112" i="1"/>
  <c r="AA3112" i="1" s="1"/>
  <c r="J3112" i="1"/>
  <c r="Y3110" i="1"/>
  <c r="AA3110" i="1" s="1"/>
  <c r="J3110" i="1"/>
  <c r="N3110" i="1" s="1"/>
  <c r="Y3108" i="1"/>
  <c r="AA3108" i="1" s="1"/>
  <c r="J3108" i="1"/>
  <c r="N3108" i="1" s="1"/>
  <c r="Y3106" i="1"/>
  <c r="AA3106" i="1" s="1"/>
  <c r="J3106" i="1"/>
  <c r="N3106" i="1" s="1"/>
  <c r="Y3104" i="1"/>
  <c r="AA3104" i="1" s="1"/>
  <c r="J3104" i="1"/>
  <c r="N3104" i="1" s="1"/>
  <c r="Y3102" i="1"/>
  <c r="AA3102" i="1" s="1"/>
  <c r="J3102" i="1"/>
  <c r="K3080" i="1"/>
  <c r="K3072" i="1"/>
  <c r="K3070" i="1"/>
  <c r="N3214" i="1" l="1"/>
  <c r="N3202" i="1"/>
  <c r="N3200" i="1"/>
  <c r="N3204" i="1"/>
  <c r="N3120" i="1"/>
  <c r="N3198" i="1"/>
  <c r="N3128" i="1"/>
  <c r="N3126" i="1"/>
  <c r="N3132" i="1"/>
  <c r="N3138" i="1"/>
  <c r="N3102" i="1"/>
  <c r="N3112" i="1"/>
  <c r="K3066" i="1"/>
  <c r="K3064" i="1"/>
  <c r="K3062" i="1"/>
  <c r="K3058" i="1"/>
  <c r="Y3068" i="1"/>
  <c r="AA3068" i="1" s="1"/>
  <c r="J3068" i="1"/>
  <c r="N3068" i="1" s="1"/>
  <c r="Y3066" i="1"/>
  <c r="AA3066" i="1" s="1"/>
  <c r="J3066" i="1"/>
  <c r="Y3064" i="1"/>
  <c r="AA3064" i="1" s="1"/>
  <c r="J3064" i="1"/>
  <c r="Y3062" i="1"/>
  <c r="AA3062" i="1" s="1"/>
  <c r="J3062" i="1"/>
  <c r="Y3060" i="1"/>
  <c r="AA3060" i="1" s="1"/>
  <c r="J3060" i="1"/>
  <c r="N3060" i="1" s="1"/>
  <c r="Y3058" i="1"/>
  <c r="AA3058" i="1" s="1"/>
  <c r="J3058" i="1"/>
  <c r="K3056" i="1"/>
  <c r="K3054" i="1"/>
  <c r="Y3038" i="1"/>
  <c r="AA3038" i="1" s="1"/>
  <c r="N3038" i="1"/>
  <c r="N3064" i="1" l="1"/>
  <c r="N3058" i="1"/>
  <c r="N3066" i="1"/>
  <c r="N3062" i="1"/>
  <c r="K3036" i="1"/>
  <c r="Y3036" i="1"/>
  <c r="AA3036" i="1" s="1"/>
  <c r="J3036" i="1"/>
  <c r="Y3034" i="1"/>
  <c r="AA3034" i="1" s="1"/>
  <c r="J3034" i="1"/>
  <c r="N3034" i="1" s="1"/>
  <c r="Y3032" i="1"/>
  <c r="AA3032" i="1" s="1"/>
  <c r="J3032" i="1"/>
  <c r="N3032" i="1" s="1"/>
  <c r="Y3024" i="1"/>
  <c r="AA3024" i="1" s="1"/>
  <c r="J3024" i="1"/>
  <c r="N3024" i="1" s="1"/>
  <c r="Y3022" i="1"/>
  <c r="AA3022" i="1" s="1"/>
  <c r="J3022" i="1"/>
  <c r="N3022" i="1" s="1"/>
  <c r="Y3020" i="1"/>
  <c r="AA3020" i="1" s="1"/>
  <c r="J3020" i="1"/>
  <c r="N3020" i="1" s="1"/>
  <c r="J3042" i="1"/>
  <c r="N3042" i="1" s="1"/>
  <c r="Y3042" i="1"/>
  <c r="AA3042" i="1" s="1"/>
  <c r="Y3018" i="1"/>
  <c r="AA3018" i="1" s="1"/>
  <c r="J3018" i="1"/>
  <c r="N3018" i="1" s="1"/>
  <c r="Y3016" i="1"/>
  <c r="AA3016" i="1" s="1"/>
  <c r="J3016" i="1"/>
  <c r="N3016" i="1" s="1"/>
  <c r="Y3014" i="1"/>
  <c r="AA3014" i="1" s="1"/>
  <c r="J3014" i="1"/>
  <c r="N3014" i="1" s="1"/>
  <c r="Y3012" i="1"/>
  <c r="AA3012" i="1" s="1"/>
  <c r="J3012" i="1"/>
  <c r="N3012" i="1" s="1"/>
  <c r="Y3010" i="1"/>
  <c r="AA3010" i="1" s="1"/>
  <c r="J3010" i="1"/>
  <c r="N3010" i="1" s="1"/>
  <c r="Y3008" i="1"/>
  <c r="AA3008" i="1" s="1"/>
  <c r="J3008" i="1"/>
  <c r="N3008" i="1" s="1"/>
  <c r="Y3006" i="1"/>
  <c r="AA3006" i="1" s="1"/>
  <c r="J3006" i="1"/>
  <c r="N3006" i="1" s="1"/>
  <c r="Y3004" i="1"/>
  <c r="AA3004" i="1" s="1"/>
  <c r="J3004" i="1"/>
  <c r="N3004" i="1" s="1"/>
  <c r="Y3002" i="1"/>
  <c r="AA3002" i="1" s="1"/>
  <c r="J3002" i="1"/>
  <c r="N3002" i="1" s="1"/>
  <c r="Y3000" i="1"/>
  <c r="AA3000" i="1" s="1"/>
  <c r="J3000" i="1"/>
  <c r="N3000" i="1" s="1"/>
  <c r="Y2998" i="1"/>
  <c r="AA2998" i="1" s="1"/>
  <c r="J2998" i="1"/>
  <c r="N2998" i="1" s="1"/>
  <c r="Y2996" i="1"/>
  <c r="AA2996" i="1" s="1"/>
  <c r="J2996" i="1"/>
  <c r="N2996" i="1" s="1"/>
  <c r="Y2994" i="1"/>
  <c r="AA2994" i="1" s="1"/>
  <c r="J2994" i="1"/>
  <c r="N2994" i="1" s="1"/>
  <c r="Y2992" i="1"/>
  <c r="AA2992" i="1" s="1"/>
  <c r="J2992" i="1"/>
  <c r="N2992" i="1" s="1"/>
  <c r="Y2990" i="1"/>
  <c r="AA2990" i="1" s="1"/>
  <c r="J2990" i="1"/>
  <c r="N2990" i="1" s="1"/>
  <c r="Y2988" i="1"/>
  <c r="AA2988" i="1" s="1"/>
  <c r="J2988" i="1"/>
  <c r="N2988" i="1" s="1"/>
  <c r="Y2986" i="1"/>
  <c r="AA2986" i="1" s="1"/>
  <c r="J2986" i="1"/>
  <c r="N2986" i="1" s="1"/>
  <c r="Y2984" i="1"/>
  <c r="AA2984" i="1" s="1"/>
  <c r="J2984" i="1"/>
  <c r="N2984" i="1" s="1"/>
  <c r="Y2982" i="1"/>
  <c r="AA2982" i="1" s="1"/>
  <c r="J2982" i="1"/>
  <c r="N2982" i="1" s="1"/>
  <c r="Y2980" i="1"/>
  <c r="AA2980" i="1" s="1"/>
  <c r="J2980" i="1"/>
  <c r="N2980" i="1" s="1"/>
  <c r="K3026" i="1"/>
  <c r="N3036" i="1" l="1"/>
  <c r="Y2962" i="1"/>
  <c r="AA2962" i="1" s="1"/>
  <c r="J2962" i="1"/>
  <c r="N2962" i="1" s="1"/>
  <c r="Y2976" i="1"/>
  <c r="AA2976" i="1" s="1"/>
  <c r="J2976" i="1"/>
  <c r="N2976" i="1" s="1"/>
  <c r="Y2966" i="1"/>
  <c r="AA2966" i="1" s="1"/>
  <c r="J2966" i="1"/>
  <c r="N2966" i="1" s="1"/>
  <c r="Y2964" i="1"/>
  <c r="AA2964" i="1" s="1"/>
  <c r="J2964" i="1"/>
  <c r="N2964" i="1" s="1"/>
  <c r="Y3100" i="1"/>
  <c r="AA3100" i="1" s="1"/>
  <c r="J3100" i="1"/>
  <c r="N3100" i="1" s="1"/>
  <c r="Y3098" i="1"/>
  <c r="AA3098" i="1" s="1"/>
  <c r="J3098" i="1"/>
  <c r="N3098" i="1" s="1"/>
  <c r="Y3096" i="1"/>
  <c r="AA3096" i="1" s="1"/>
  <c r="J3096" i="1"/>
  <c r="N3096" i="1" s="1"/>
  <c r="Y3094" i="1"/>
  <c r="AA3094" i="1" s="1"/>
  <c r="J3094" i="1"/>
  <c r="N3094" i="1" s="1"/>
  <c r="Y3092" i="1"/>
  <c r="AA3092" i="1" s="1"/>
  <c r="J3092" i="1"/>
  <c r="N3092" i="1" s="1"/>
  <c r="Y3090" i="1"/>
  <c r="AA3090" i="1" s="1"/>
  <c r="J3090" i="1"/>
  <c r="N3090" i="1" s="1"/>
  <c r="Y3088" i="1"/>
  <c r="AA3088" i="1" s="1"/>
  <c r="J3088" i="1"/>
  <c r="N3088" i="1" s="1"/>
  <c r="Y3086" i="1"/>
  <c r="AA3086" i="1" s="1"/>
  <c r="J3086" i="1"/>
  <c r="N3086" i="1" s="1"/>
  <c r="Y3084" i="1"/>
  <c r="AA3084" i="1" s="1"/>
  <c r="J3084" i="1"/>
  <c r="N3084" i="1" s="1"/>
  <c r="Y3082" i="1"/>
  <c r="AA3082" i="1" s="1"/>
  <c r="J3082" i="1"/>
  <c r="N3082" i="1" s="1"/>
  <c r="Y3080" i="1"/>
  <c r="AA3080" i="1" s="1"/>
  <c r="J3080" i="1"/>
  <c r="N3080" i="1" s="1"/>
  <c r="Y3078" i="1"/>
  <c r="AA3078" i="1" s="1"/>
  <c r="J3078" i="1"/>
  <c r="N3078" i="1" s="1"/>
  <c r="Y3076" i="1"/>
  <c r="AA3076" i="1" s="1"/>
  <c r="J3076" i="1"/>
  <c r="N3076" i="1" s="1"/>
  <c r="Y3074" i="1"/>
  <c r="AA3074" i="1" s="1"/>
  <c r="J3074" i="1"/>
  <c r="N3074" i="1" s="1"/>
  <c r="Y3072" i="1"/>
  <c r="AA3072" i="1" s="1"/>
  <c r="J3072" i="1"/>
  <c r="N3072" i="1" s="1"/>
  <c r="Y3070" i="1"/>
  <c r="AA3070" i="1" s="1"/>
  <c r="J3070" i="1"/>
  <c r="N3070" i="1" s="1"/>
  <c r="Y3056" i="1"/>
  <c r="AA3056" i="1" s="1"/>
  <c r="J3056" i="1"/>
  <c r="N3056" i="1" s="1"/>
  <c r="Y3054" i="1"/>
  <c r="AA3054" i="1" s="1"/>
  <c r="J3054" i="1"/>
  <c r="N3054" i="1" s="1"/>
  <c r="Y3052" i="1"/>
  <c r="AA3052" i="1" s="1"/>
  <c r="J3052" i="1"/>
  <c r="N3052" i="1" s="1"/>
  <c r="Y3050" i="1"/>
  <c r="AA3050" i="1" s="1"/>
  <c r="J3050" i="1"/>
  <c r="N3050" i="1" s="1"/>
  <c r="I2958" i="1" l="1"/>
  <c r="J2958" i="1" s="1"/>
  <c r="N2958" i="1" s="1"/>
  <c r="I2956" i="1"/>
  <c r="J2956" i="1" s="1"/>
  <c r="N2956" i="1" s="1"/>
  <c r="Y2944" i="1"/>
  <c r="AA2944" i="1" s="1"/>
  <c r="J2944" i="1"/>
  <c r="N2944" i="1" s="1"/>
  <c r="I2936" i="1"/>
  <c r="J2936" i="1" s="1"/>
  <c r="N2936" i="1" s="1"/>
  <c r="K2930" i="1"/>
  <c r="K2928" i="1"/>
  <c r="K2906" i="1"/>
  <c r="Y2908" i="1"/>
  <c r="AA2908" i="1" s="1"/>
  <c r="J2908" i="1"/>
  <c r="N2908" i="1" s="1"/>
  <c r="Y2920" i="1"/>
  <c r="AA2920" i="1" s="1"/>
  <c r="J2920" i="1"/>
  <c r="N2920" i="1" s="1"/>
  <c r="Y2906" i="1"/>
  <c r="AA2906" i="1" s="1"/>
  <c r="J2906" i="1"/>
  <c r="K2836" i="1"/>
  <c r="Y2902" i="1"/>
  <c r="AA2902" i="1" s="1"/>
  <c r="J2902" i="1"/>
  <c r="N2902" i="1" s="1"/>
  <c r="Y2900" i="1"/>
  <c r="AA2900" i="1" s="1"/>
  <c r="J2900" i="1"/>
  <c r="N2900" i="1" s="1"/>
  <c r="K2892" i="1"/>
  <c r="K2848" i="1"/>
  <c r="N2848" i="1" s="1"/>
  <c r="K2844" i="1"/>
  <c r="Y2836" i="1"/>
  <c r="AA2836" i="1" s="1"/>
  <c r="J2836" i="1"/>
  <c r="I2882" i="1"/>
  <c r="J2882" i="1" s="1"/>
  <c r="N2882" i="1" s="1"/>
  <c r="I2880" i="1"/>
  <c r="J2880" i="1" s="1"/>
  <c r="N2880" i="1" s="1"/>
  <c r="I2878" i="1"/>
  <c r="J2878" i="1" s="1"/>
  <c r="N2878" i="1" s="1"/>
  <c r="Y2872" i="1"/>
  <c r="AA2872" i="1" s="1"/>
  <c r="J2872" i="1"/>
  <c r="N2872" i="1" s="1"/>
  <c r="K2834" i="1"/>
  <c r="K2830" i="1"/>
  <c r="K2828" i="1"/>
  <c r="N2828" i="1" s="1"/>
  <c r="K2826" i="1"/>
  <c r="Y2834" i="1"/>
  <c r="AA2834" i="1" s="1"/>
  <c r="J2834" i="1"/>
  <c r="Y2832" i="1"/>
  <c r="AA2832" i="1" s="1"/>
  <c r="J2832" i="1"/>
  <c r="N2832" i="1" s="1"/>
  <c r="Y2830" i="1"/>
  <c r="AA2830" i="1" s="1"/>
  <c r="J2830" i="1"/>
  <c r="Y2828" i="1"/>
  <c r="AA2828" i="1" s="1"/>
  <c r="Y2826" i="1"/>
  <c r="AA2826" i="1" s="1"/>
  <c r="J2826" i="1"/>
  <c r="AA2824" i="1"/>
  <c r="N2824" i="1"/>
  <c r="Y3048" i="1"/>
  <c r="AA3048" i="1" s="1"/>
  <c r="J3048" i="1"/>
  <c r="N3048" i="1" s="1"/>
  <c r="Y3046" i="1"/>
  <c r="AA3046" i="1" s="1"/>
  <c r="J3046" i="1"/>
  <c r="N3046" i="1" s="1"/>
  <c r="Y3044" i="1"/>
  <c r="AA3044" i="1" s="1"/>
  <c r="J3044" i="1"/>
  <c r="N3044" i="1" s="1"/>
  <c r="Y3040" i="1"/>
  <c r="AA3040" i="1" s="1"/>
  <c r="J3040" i="1"/>
  <c r="N3040" i="1" s="1"/>
  <c r="Y3030" i="1"/>
  <c r="AA3030" i="1" s="1"/>
  <c r="J3030" i="1"/>
  <c r="N3030" i="1" s="1"/>
  <c r="Y3028" i="1"/>
  <c r="AA3028" i="1" s="1"/>
  <c r="J3028" i="1"/>
  <c r="N3028" i="1" s="1"/>
  <c r="Y3026" i="1"/>
  <c r="AA3026" i="1" s="1"/>
  <c r="J3026" i="1"/>
  <c r="N3026" i="1" s="1"/>
  <c r="Y2978" i="1"/>
  <c r="AA2978" i="1" s="1"/>
  <c r="J2978" i="1"/>
  <c r="N2978" i="1" s="1"/>
  <c r="Y2974" i="1"/>
  <c r="AA2974" i="1" s="1"/>
  <c r="J2974" i="1"/>
  <c r="N2974" i="1" s="1"/>
  <c r="Y2972" i="1"/>
  <c r="AA2972" i="1" s="1"/>
  <c r="J2972" i="1"/>
  <c r="N2972" i="1" s="1"/>
  <c r="Y2970" i="1"/>
  <c r="AA2970" i="1" s="1"/>
  <c r="J2970" i="1"/>
  <c r="N2970" i="1" s="1"/>
  <c r="Y2968" i="1"/>
  <c r="AA2968" i="1" s="1"/>
  <c r="J2968" i="1"/>
  <c r="N2968" i="1" s="1"/>
  <c r="Y2960" i="1"/>
  <c r="AA2960" i="1" s="1"/>
  <c r="J2960" i="1"/>
  <c r="N2960" i="1" s="1"/>
  <c r="Y2958" i="1"/>
  <c r="AA2958" i="1" s="1"/>
  <c r="Y2956" i="1"/>
  <c r="AA2956" i="1" s="1"/>
  <c r="Y2954" i="1"/>
  <c r="AA2954" i="1" s="1"/>
  <c r="J2954" i="1"/>
  <c r="N2954" i="1" s="1"/>
  <c r="Y2952" i="1"/>
  <c r="AA2952" i="1" s="1"/>
  <c r="J2952" i="1"/>
  <c r="N2952" i="1" s="1"/>
  <c r="Y2950" i="1"/>
  <c r="AA2950" i="1" s="1"/>
  <c r="J2950" i="1"/>
  <c r="N2950" i="1" s="1"/>
  <c r="Y2948" i="1"/>
  <c r="AA2948" i="1" s="1"/>
  <c r="J2948" i="1"/>
  <c r="N2948" i="1" s="1"/>
  <c r="Y2946" i="1"/>
  <c r="AA2946" i="1" s="1"/>
  <c r="J2946" i="1"/>
  <c r="N2946" i="1" s="1"/>
  <c r="Y2942" i="1"/>
  <c r="AA2942" i="1" s="1"/>
  <c r="J2942" i="1"/>
  <c r="N2942" i="1" s="1"/>
  <c r="Y2940" i="1"/>
  <c r="AA2940" i="1" s="1"/>
  <c r="J2940" i="1"/>
  <c r="N2940" i="1" s="1"/>
  <c r="Y2938" i="1"/>
  <c r="AA2938" i="1" s="1"/>
  <c r="J2938" i="1"/>
  <c r="N2938" i="1" s="1"/>
  <c r="Y2936" i="1"/>
  <c r="AA2936" i="1" s="1"/>
  <c r="Y2934" i="1"/>
  <c r="AA2934" i="1" s="1"/>
  <c r="J2934" i="1"/>
  <c r="N2934" i="1" s="1"/>
  <c r="Y2932" i="1"/>
  <c r="AA2932" i="1" s="1"/>
  <c r="J2932" i="1"/>
  <c r="N2932" i="1" s="1"/>
  <c r="Y2930" i="1"/>
  <c r="AA2930" i="1" s="1"/>
  <c r="J2930" i="1"/>
  <c r="Y2928" i="1"/>
  <c r="AA2928" i="1" s="1"/>
  <c r="J2928" i="1"/>
  <c r="Y2926" i="1"/>
  <c r="AA2926" i="1" s="1"/>
  <c r="J2926" i="1"/>
  <c r="N2926" i="1" s="1"/>
  <c r="Y2924" i="1"/>
  <c r="AA2924" i="1" s="1"/>
  <c r="J2924" i="1"/>
  <c r="N2924" i="1" s="1"/>
  <c r="Y2922" i="1"/>
  <c r="AA2922" i="1" s="1"/>
  <c r="J2922" i="1"/>
  <c r="N2922" i="1" s="1"/>
  <c r="Y2918" i="1"/>
  <c r="AA2918" i="1" s="1"/>
  <c r="J2918" i="1"/>
  <c r="N2918" i="1" s="1"/>
  <c r="Y2916" i="1"/>
  <c r="AA2916" i="1" s="1"/>
  <c r="J2916" i="1"/>
  <c r="N2916" i="1" s="1"/>
  <c r="Y2914" i="1"/>
  <c r="AA2914" i="1" s="1"/>
  <c r="J2914" i="1"/>
  <c r="N2914" i="1" s="1"/>
  <c r="AA2912" i="1"/>
  <c r="J2912" i="1"/>
  <c r="N2912" i="1" s="1"/>
  <c r="Y2910" i="1"/>
  <c r="AA2910" i="1" s="1"/>
  <c r="J2910" i="1"/>
  <c r="N2910" i="1" s="1"/>
  <c r="Y2904" i="1"/>
  <c r="AA2904" i="1" s="1"/>
  <c r="J2904" i="1"/>
  <c r="N2904" i="1" s="1"/>
  <c r="AA2898" i="1"/>
  <c r="N2898" i="1"/>
  <c r="Y2896" i="1"/>
  <c r="AA2896" i="1" s="1"/>
  <c r="J2896" i="1"/>
  <c r="N2896" i="1" s="1"/>
  <c r="Y2894" i="1"/>
  <c r="AA2894" i="1" s="1"/>
  <c r="J2894" i="1"/>
  <c r="N2894" i="1" s="1"/>
  <c r="Y2892" i="1"/>
  <c r="AA2892" i="1" s="1"/>
  <c r="J2892" i="1"/>
  <c r="Y2890" i="1"/>
  <c r="AA2890" i="1" s="1"/>
  <c r="J2890" i="1"/>
  <c r="N2890" i="1" s="1"/>
  <c r="Y2888" i="1"/>
  <c r="AA2888" i="1" s="1"/>
  <c r="J2888" i="1"/>
  <c r="N2888" i="1" s="1"/>
  <c r="Y2886" i="1"/>
  <c r="AA2886" i="1" s="1"/>
  <c r="J2886" i="1"/>
  <c r="N2886" i="1" s="1"/>
  <c r="Y2884" i="1"/>
  <c r="AA2884" i="1" s="1"/>
  <c r="J2884" i="1"/>
  <c r="N2884" i="1" s="1"/>
  <c r="Y2882" i="1"/>
  <c r="AA2882" i="1" s="1"/>
  <c r="Y2880" i="1"/>
  <c r="AA2880" i="1" s="1"/>
  <c r="Y2878" i="1"/>
  <c r="AA2878" i="1" s="1"/>
  <c r="Y2876" i="1"/>
  <c r="AA2876" i="1" s="1"/>
  <c r="J2876" i="1"/>
  <c r="N2876" i="1" s="1"/>
  <c r="Y2874" i="1"/>
  <c r="AA2874" i="1" s="1"/>
  <c r="J2874" i="1"/>
  <c r="N2874" i="1" s="1"/>
  <c r="Y2870" i="1"/>
  <c r="AA2870" i="1" s="1"/>
  <c r="J2870" i="1"/>
  <c r="N2870" i="1" s="1"/>
  <c r="Y2868" i="1"/>
  <c r="AA2868" i="1" s="1"/>
  <c r="J2868" i="1"/>
  <c r="N2868" i="1" s="1"/>
  <c r="Y2866" i="1"/>
  <c r="AA2866" i="1" s="1"/>
  <c r="J2866" i="1"/>
  <c r="N2866" i="1" s="1"/>
  <c r="Y2864" i="1"/>
  <c r="AA2864" i="1" s="1"/>
  <c r="J2864" i="1"/>
  <c r="N2864" i="1" s="1"/>
  <c r="Y2862" i="1"/>
  <c r="AA2862" i="1" s="1"/>
  <c r="J2862" i="1"/>
  <c r="N2862" i="1" s="1"/>
  <c r="Y2860" i="1"/>
  <c r="AA2860" i="1" s="1"/>
  <c r="J2860" i="1"/>
  <c r="N2860" i="1" s="1"/>
  <c r="Y2858" i="1"/>
  <c r="AA2858" i="1" s="1"/>
  <c r="J2858" i="1"/>
  <c r="N2858" i="1" s="1"/>
  <c r="Y2856" i="1"/>
  <c r="AA2856" i="1" s="1"/>
  <c r="J2856" i="1"/>
  <c r="N2856" i="1" s="1"/>
  <c r="Y2854" i="1"/>
  <c r="AA2854" i="1" s="1"/>
  <c r="J2854" i="1"/>
  <c r="N2854" i="1" s="1"/>
  <c r="Y2852" i="1"/>
  <c r="AA2852" i="1" s="1"/>
  <c r="J2852" i="1"/>
  <c r="N2852" i="1" s="1"/>
  <c r="Y2850" i="1"/>
  <c r="AA2850" i="1" s="1"/>
  <c r="J2850" i="1"/>
  <c r="N2850" i="1" s="1"/>
  <c r="Y2848" i="1"/>
  <c r="AA2848" i="1" s="1"/>
  <c r="Y2846" i="1"/>
  <c r="AA2846" i="1" s="1"/>
  <c r="J2846" i="1"/>
  <c r="N2846" i="1" s="1"/>
  <c r="K2804" i="1"/>
  <c r="K2800" i="1"/>
  <c r="K2796" i="1"/>
  <c r="N2930" i="1" l="1"/>
  <c r="N2836" i="1"/>
  <c r="N2906" i="1"/>
  <c r="N2928" i="1"/>
  <c r="N2826" i="1"/>
  <c r="N2892" i="1"/>
  <c r="N2834" i="1"/>
  <c r="N2830" i="1"/>
  <c r="K2772" i="1" l="1"/>
  <c r="K2770" i="1"/>
  <c r="Y2724" i="1"/>
  <c r="AA2724" i="1" s="1"/>
  <c r="J2724" i="1"/>
  <c r="N2724" i="1" s="1"/>
  <c r="Y2718" i="1"/>
  <c r="AA2718" i="1" s="1"/>
  <c r="J2718" i="1"/>
  <c r="N2718" i="1" s="1"/>
  <c r="K2698" i="1"/>
  <c r="Y2844" i="1"/>
  <c r="AA2844" i="1" s="1"/>
  <c r="J2844" i="1"/>
  <c r="N2844" i="1" s="1"/>
  <c r="Y2842" i="1"/>
  <c r="AA2842" i="1" s="1"/>
  <c r="J2842" i="1"/>
  <c r="N2842" i="1" s="1"/>
  <c r="Y2840" i="1"/>
  <c r="AA2840" i="1" s="1"/>
  <c r="J2840" i="1"/>
  <c r="N2840" i="1" s="1"/>
  <c r="Y2838" i="1"/>
  <c r="AA2838" i="1" s="1"/>
  <c r="N2838" i="1"/>
  <c r="Y2822" i="1"/>
  <c r="AA2822" i="1" s="1"/>
  <c r="J2822" i="1"/>
  <c r="N2822" i="1" s="1"/>
  <c r="Y2820" i="1"/>
  <c r="AA2820" i="1" s="1"/>
  <c r="J2820" i="1"/>
  <c r="N2820" i="1" s="1"/>
  <c r="Y2818" i="1"/>
  <c r="AA2818" i="1" s="1"/>
  <c r="J2818" i="1"/>
  <c r="N2818" i="1" s="1"/>
  <c r="Y2816" i="1"/>
  <c r="AA2816" i="1" s="1"/>
  <c r="J2816" i="1"/>
  <c r="N2816" i="1" s="1"/>
  <c r="Y2814" i="1"/>
  <c r="AA2814" i="1" s="1"/>
  <c r="J2814" i="1"/>
  <c r="N2814" i="1" s="1"/>
  <c r="Y2812" i="1"/>
  <c r="AA2812" i="1" s="1"/>
  <c r="J2812" i="1"/>
  <c r="N2812" i="1" s="1"/>
  <c r="Y2810" i="1"/>
  <c r="AA2810" i="1" s="1"/>
  <c r="J2810" i="1"/>
  <c r="N2810" i="1" s="1"/>
  <c r="Y2808" i="1"/>
  <c r="AA2808" i="1" s="1"/>
  <c r="J2808" i="1"/>
  <c r="N2808" i="1" s="1"/>
  <c r="Y2806" i="1"/>
  <c r="AA2806" i="1" s="1"/>
  <c r="J2806" i="1"/>
  <c r="N2806" i="1" s="1"/>
  <c r="Y2804" i="1"/>
  <c r="AA2804" i="1" s="1"/>
  <c r="J2804" i="1"/>
  <c r="N2804" i="1" s="1"/>
  <c r="Y2802" i="1"/>
  <c r="AA2802" i="1" s="1"/>
  <c r="J2802" i="1"/>
  <c r="N2802" i="1" s="1"/>
  <c r="Y2800" i="1"/>
  <c r="AA2800" i="1" s="1"/>
  <c r="J2800" i="1"/>
  <c r="N2800" i="1" s="1"/>
  <c r="Y2798" i="1"/>
  <c r="AA2798" i="1" s="1"/>
  <c r="N2798" i="1"/>
  <c r="Y2796" i="1"/>
  <c r="AA2796" i="1" s="1"/>
  <c r="J2796" i="1"/>
  <c r="N2796" i="1" s="1"/>
  <c r="Y2794" i="1"/>
  <c r="AA2794" i="1" s="1"/>
  <c r="N2794" i="1"/>
  <c r="Y2792" i="1"/>
  <c r="AA2792" i="1" s="1"/>
  <c r="J2792" i="1"/>
  <c r="N2792" i="1" s="1"/>
  <c r="Y2790" i="1"/>
  <c r="AA2790" i="1" s="1"/>
  <c r="J2790" i="1"/>
  <c r="N2790" i="1" s="1"/>
  <c r="AA2788" i="1"/>
  <c r="J2788" i="1"/>
  <c r="N2788" i="1" s="1"/>
  <c r="Y2786" i="1"/>
  <c r="AA2786" i="1" s="1"/>
  <c r="J2786" i="1"/>
  <c r="N2786" i="1" s="1"/>
  <c r="Y2784" i="1"/>
  <c r="AA2784" i="1" s="1"/>
  <c r="J2784" i="1"/>
  <c r="N2784" i="1" s="1"/>
  <c r="Y2782" i="1"/>
  <c r="AA2782" i="1" s="1"/>
  <c r="J2782" i="1"/>
  <c r="N2782" i="1" s="1"/>
  <c r="Y2780" i="1"/>
  <c r="AA2780" i="1" s="1"/>
  <c r="J2780" i="1"/>
  <c r="N2780" i="1" s="1"/>
  <c r="Y2778" i="1"/>
  <c r="AA2778" i="1" s="1"/>
  <c r="J2778" i="1"/>
  <c r="N2778" i="1" s="1"/>
  <c r="Y2776" i="1"/>
  <c r="AA2776" i="1" s="1"/>
  <c r="J2776" i="1"/>
  <c r="N2776" i="1" s="1"/>
  <c r="Y2774" i="1"/>
  <c r="AA2774" i="1" s="1"/>
  <c r="J2774" i="1"/>
  <c r="N2774" i="1" s="1"/>
  <c r="Y2772" i="1"/>
  <c r="AA2772" i="1" s="1"/>
  <c r="J2772" i="1"/>
  <c r="Y2770" i="1"/>
  <c r="AA2770" i="1" s="1"/>
  <c r="J2770" i="1"/>
  <c r="Y2768" i="1"/>
  <c r="AA2768" i="1" s="1"/>
  <c r="J2768" i="1"/>
  <c r="N2768" i="1" s="1"/>
  <c r="Y2766" i="1"/>
  <c r="AA2766" i="1" s="1"/>
  <c r="J2766" i="1"/>
  <c r="N2766" i="1" s="1"/>
  <c r="Y2764" i="1"/>
  <c r="AA2764" i="1" s="1"/>
  <c r="J2764" i="1"/>
  <c r="N2764" i="1" s="1"/>
  <c r="Y2762" i="1"/>
  <c r="AA2762" i="1" s="1"/>
  <c r="J2762" i="1"/>
  <c r="N2762" i="1" s="1"/>
  <c r="Y2760" i="1"/>
  <c r="AA2760" i="1" s="1"/>
  <c r="J2760" i="1"/>
  <c r="N2760" i="1" s="1"/>
  <c r="Y2758" i="1"/>
  <c r="AA2758" i="1" s="1"/>
  <c r="J2758" i="1"/>
  <c r="N2758" i="1" s="1"/>
  <c r="Y2756" i="1"/>
  <c r="AA2756" i="1" s="1"/>
  <c r="J2756" i="1"/>
  <c r="N2756" i="1" s="1"/>
  <c r="Y2754" i="1"/>
  <c r="AA2754" i="1" s="1"/>
  <c r="J2754" i="1"/>
  <c r="N2754" i="1" s="1"/>
  <c r="Y2752" i="1"/>
  <c r="AA2752" i="1" s="1"/>
  <c r="J2752" i="1"/>
  <c r="N2752" i="1" s="1"/>
  <c r="Y2750" i="1"/>
  <c r="AA2750" i="1" s="1"/>
  <c r="J2750" i="1"/>
  <c r="N2750" i="1" s="1"/>
  <c r="Y2748" i="1"/>
  <c r="AA2748" i="1" s="1"/>
  <c r="J2748" i="1"/>
  <c r="N2748" i="1" s="1"/>
  <c r="Y2746" i="1"/>
  <c r="AA2746" i="1" s="1"/>
  <c r="J2746" i="1"/>
  <c r="N2746" i="1" s="1"/>
  <c r="Y2744" i="1"/>
  <c r="AA2744" i="1" s="1"/>
  <c r="J2744" i="1"/>
  <c r="N2744" i="1" s="1"/>
  <c r="Y2742" i="1"/>
  <c r="AA2742" i="1" s="1"/>
  <c r="J2742" i="1"/>
  <c r="N2742" i="1" s="1"/>
  <c r="Y2740" i="1"/>
  <c r="AA2740" i="1" s="1"/>
  <c r="J2740" i="1"/>
  <c r="N2740" i="1" s="1"/>
  <c r="Y2738" i="1"/>
  <c r="AA2738" i="1" s="1"/>
  <c r="J2738" i="1"/>
  <c r="N2738" i="1" s="1"/>
  <c r="Y2736" i="1"/>
  <c r="AA2736" i="1" s="1"/>
  <c r="J2736" i="1"/>
  <c r="N2736" i="1" s="1"/>
  <c r="Y2734" i="1"/>
  <c r="AA2734" i="1" s="1"/>
  <c r="J2734" i="1"/>
  <c r="N2734" i="1" s="1"/>
  <c r="Y2732" i="1"/>
  <c r="AA2732" i="1" s="1"/>
  <c r="J2732" i="1"/>
  <c r="N2732" i="1" s="1"/>
  <c r="Y2730" i="1"/>
  <c r="AA2730" i="1" s="1"/>
  <c r="J2730" i="1"/>
  <c r="N2730" i="1" s="1"/>
  <c r="Y2728" i="1"/>
  <c r="AA2728" i="1" s="1"/>
  <c r="J2728" i="1"/>
  <c r="N2728" i="1" s="1"/>
  <c r="Y2726" i="1"/>
  <c r="AA2726" i="1" s="1"/>
  <c r="J2726" i="1"/>
  <c r="N2726" i="1" s="1"/>
  <c r="Y2722" i="1"/>
  <c r="AA2722" i="1" s="1"/>
  <c r="J2722" i="1"/>
  <c r="N2722" i="1" s="1"/>
  <c r="Y2720" i="1"/>
  <c r="AA2720" i="1" s="1"/>
  <c r="J2720" i="1"/>
  <c r="N2720" i="1" s="1"/>
  <c r="K2686" i="1"/>
  <c r="K2684" i="1"/>
  <c r="K2682" i="1"/>
  <c r="K2676" i="1"/>
  <c r="Y2676" i="1"/>
  <c r="AA2676" i="1" s="1"/>
  <c r="J2676" i="1"/>
  <c r="I2696" i="1"/>
  <c r="J2696" i="1" s="1"/>
  <c r="N2696" i="1" s="1"/>
  <c r="I2694" i="1"/>
  <c r="J2694" i="1" s="1"/>
  <c r="N2694" i="1" s="1"/>
  <c r="I2692" i="1"/>
  <c r="J2692" i="1" s="1"/>
  <c r="N2692" i="1" s="1"/>
  <c r="I2690" i="1"/>
  <c r="J2690" i="1" s="1"/>
  <c r="N2690" i="1" s="1"/>
  <c r="I2688" i="1"/>
  <c r="J2688" i="1" s="1"/>
  <c r="N2688" i="1" s="1"/>
  <c r="K2674" i="1"/>
  <c r="K2670" i="1"/>
  <c r="K2666" i="1"/>
  <c r="K2662" i="1"/>
  <c r="K2660" i="1"/>
  <c r="Y2716" i="1"/>
  <c r="AA2716" i="1" s="1"/>
  <c r="J2716" i="1"/>
  <c r="N2716" i="1" s="1"/>
  <c r="Y2714" i="1"/>
  <c r="AA2714" i="1" s="1"/>
  <c r="J2714" i="1"/>
  <c r="N2714" i="1" s="1"/>
  <c r="Y2712" i="1"/>
  <c r="AA2712" i="1" s="1"/>
  <c r="J2712" i="1"/>
  <c r="N2712" i="1" s="1"/>
  <c r="AA2710" i="1"/>
  <c r="J2710" i="1"/>
  <c r="N2710" i="1" s="1"/>
  <c r="Y2708" i="1"/>
  <c r="AA2708" i="1" s="1"/>
  <c r="J2708" i="1"/>
  <c r="N2708" i="1" s="1"/>
  <c r="Y2706" i="1"/>
  <c r="AA2706" i="1" s="1"/>
  <c r="J2706" i="1"/>
  <c r="N2706" i="1" s="1"/>
  <c r="Y2704" i="1"/>
  <c r="AA2704" i="1" s="1"/>
  <c r="J2704" i="1"/>
  <c r="N2704" i="1" s="1"/>
  <c r="Y2702" i="1"/>
  <c r="AA2702" i="1" s="1"/>
  <c r="J2702" i="1"/>
  <c r="N2702" i="1" s="1"/>
  <c r="Y2700" i="1"/>
  <c r="AA2700" i="1" s="1"/>
  <c r="J2700" i="1"/>
  <c r="N2700" i="1" s="1"/>
  <c r="Y2698" i="1"/>
  <c r="AA2698" i="1" s="1"/>
  <c r="J2698" i="1"/>
  <c r="Y2696" i="1"/>
  <c r="AA2696" i="1" s="1"/>
  <c r="Y2694" i="1"/>
  <c r="AA2694" i="1" s="1"/>
  <c r="Y2692" i="1"/>
  <c r="AA2692" i="1" s="1"/>
  <c r="Y2690" i="1"/>
  <c r="AA2690" i="1" s="1"/>
  <c r="Y2688" i="1"/>
  <c r="AA2688" i="1" s="1"/>
  <c r="K2656" i="1"/>
  <c r="K2654" i="1"/>
  <c r="K2650" i="1"/>
  <c r="Y2634" i="1"/>
  <c r="AA2634" i="1" s="1"/>
  <c r="J2634" i="1"/>
  <c r="N2634" i="1" s="1"/>
  <c r="K2632" i="1"/>
  <c r="K2630" i="1"/>
  <c r="K2628" i="1"/>
  <c r="K2626" i="1"/>
  <c r="N2772" i="1" l="1"/>
  <c r="N2770" i="1"/>
  <c r="N2698" i="1"/>
  <c r="N2676" i="1"/>
  <c r="Y2632" i="1"/>
  <c r="AA2632" i="1" s="1"/>
  <c r="J2632" i="1"/>
  <c r="N2632" i="1" s="1"/>
  <c r="Y2630" i="1"/>
  <c r="AA2630" i="1" s="1"/>
  <c r="J2630" i="1"/>
  <c r="N2630" i="1" s="1"/>
  <c r="Y2628" i="1"/>
  <c r="AA2628" i="1" s="1"/>
  <c r="J2628" i="1"/>
  <c r="N2628" i="1" s="1"/>
  <c r="Y2642" i="1"/>
  <c r="AA2642" i="1" s="1"/>
  <c r="J2642" i="1"/>
  <c r="N2642" i="1" s="1"/>
  <c r="Y2640" i="1"/>
  <c r="AA2640" i="1" s="1"/>
  <c r="J2640" i="1"/>
  <c r="N2640" i="1" s="1"/>
  <c r="I2624" i="1"/>
  <c r="I2622" i="1"/>
  <c r="J2622" i="1" s="1"/>
  <c r="N2622" i="1" s="1"/>
  <c r="I2620" i="1"/>
  <c r="J2620" i="1" s="1"/>
  <c r="N2620" i="1" s="1"/>
  <c r="I2618" i="1"/>
  <c r="J2618" i="1" s="1"/>
  <c r="N2618" i="1" s="1"/>
  <c r="I2616" i="1"/>
  <c r="J2616" i="1" s="1"/>
  <c r="N2616" i="1" s="1"/>
  <c r="I2614" i="1"/>
  <c r="J2614" i="1" s="1"/>
  <c r="N2614" i="1" s="1"/>
  <c r="I2612" i="1"/>
  <c r="J2612" i="1" s="1"/>
  <c r="N2612" i="1" s="1"/>
  <c r="Y2686" i="1"/>
  <c r="AA2686" i="1" s="1"/>
  <c r="J2686" i="1"/>
  <c r="N2686" i="1" s="1"/>
  <c r="Y2684" i="1"/>
  <c r="AA2684" i="1" s="1"/>
  <c r="J2684" i="1"/>
  <c r="N2684" i="1" s="1"/>
  <c r="Y2682" i="1"/>
  <c r="AA2682" i="1" s="1"/>
  <c r="J2682" i="1"/>
  <c r="N2682" i="1" s="1"/>
  <c r="Y2680" i="1"/>
  <c r="AA2680" i="1" s="1"/>
  <c r="J2680" i="1"/>
  <c r="N2680" i="1" s="1"/>
  <c r="Y2678" i="1"/>
  <c r="AA2678" i="1" s="1"/>
  <c r="J2678" i="1"/>
  <c r="N2678" i="1" s="1"/>
  <c r="Y2674" i="1"/>
  <c r="AA2674" i="1" s="1"/>
  <c r="J2674" i="1"/>
  <c r="N2674" i="1" s="1"/>
  <c r="Y2672" i="1"/>
  <c r="AA2672" i="1" s="1"/>
  <c r="J2672" i="1"/>
  <c r="N2672" i="1" s="1"/>
  <c r="Y2670" i="1"/>
  <c r="AA2670" i="1" s="1"/>
  <c r="J2670" i="1"/>
  <c r="N2670" i="1" s="1"/>
  <c r="Y2668" i="1"/>
  <c r="AA2668" i="1" s="1"/>
  <c r="J2668" i="1"/>
  <c r="N2668" i="1" s="1"/>
  <c r="Y2666" i="1"/>
  <c r="AA2666" i="1" s="1"/>
  <c r="J2666" i="1"/>
  <c r="N2666" i="1" s="1"/>
  <c r="Y2664" i="1"/>
  <c r="AA2664" i="1" s="1"/>
  <c r="J2664" i="1"/>
  <c r="N2664" i="1" s="1"/>
  <c r="Y2662" i="1"/>
  <c r="AA2662" i="1" s="1"/>
  <c r="J2662" i="1"/>
  <c r="N2662" i="1" s="1"/>
  <c r="Y2660" i="1"/>
  <c r="AA2660" i="1" s="1"/>
  <c r="J2660" i="1"/>
  <c r="N2660" i="1" s="1"/>
  <c r="Y2658" i="1"/>
  <c r="AA2658" i="1" s="1"/>
  <c r="J2658" i="1"/>
  <c r="N2658" i="1" s="1"/>
  <c r="Y2656" i="1"/>
  <c r="AA2656" i="1" s="1"/>
  <c r="J2656" i="1"/>
  <c r="N2656" i="1" s="1"/>
  <c r="Y2654" i="1"/>
  <c r="AA2654" i="1" s="1"/>
  <c r="J2654" i="1"/>
  <c r="N2654" i="1" s="1"/>
  <c r="Y2652" i="1"/>
  <c r="AA2652" i="1" s="1"/>
  <c r="J2652" i="1"/>
  <c r="N2652" i="1" s="1"/>
  <c r="Y2650" i="1"/>
  <c r="AA2650" i="1" s="1"/>
  <c r="J2650" i="1"/>
  <c r="N2650" i="1" s="1"/>
  <c r="Y2648" i="1"/>
  <c r="AA2648" i="1" s="1"/>
  <c r="J2648" i="1"/>
  <c r="N2648" i="1" s="1"/>
  <c r="Y2646" i="1"/>
  <c r="AA2646" i="1" s="1"/>
  <c r="J2646" i="1"/>
  <c r="N2646" i="1" s="1"/>
  <c r="Y2644" i="1"/>
  <c r="AA2644" i="1" s="1"/>
  <c r="J2644" i="1"/>
  <c r="N2644" i="1" s="1"/>
  <c r="Y2638" i="1"/>
  <c r="AA2638" i="1" s="1"/>
  <c r="J2638" i="1"/>
  <c r="N2638" i="1" s="1"/>
  <c r="Y2636" i="1"/>
  <c r="AA2636" i="1" s="1"/>
  <c r="J2636" i="1"/>
  <c r="N2636" i="1" s="1"/>
  <c r="Y2626" i="1"/>
  <c r="AA2626" i="1" s="1"/>
  <c r="J2626" i="1"/>
  <c r="N2626" i="1" s="1"/>
  <c r="K2598" i="1"/>
  <c r="K2590" i="1"/>
  <c r="K2586" i="1"/>
  <c r="K2574" i="1"/>
  <c r="K2572" i="1"/>
  <c r="K2566" i="1"/>
  <c r="Y2350" i="1"/>
  <c r="Y2348" i="1"/>
  <c r="Y2344" i="1"/>
  <c r="Y2342" i="1"/>
  <c r="Y2340" i="1"/>
  <c r="Y2338" i="1"/>
  <c r="Y2336" i="1"/>
  <c r="Y2334" i="1"/>
  <c r="Y2332" i="1"/>
  <c r="Y2330" i="1"/>
  <c r="Y2328" i="1"/>
  <c r="Y2326" i="1"/>
  <c r="Y2324" i="1"/>
  <c r="Y2322" i="1"/>
  <c r="Y2320" i="1"/>
  <c r="Y2318" i="1"/>
  <c r="Y2316" i="1"/>
  <c r="Y2314" i="1"/>
  <c r="Y2312" i="1"/>
  <c r="Y2310" i="1"/>
  <c r="Y2308" i="1"/>
  <c r="Y2306" i="1"/>
  <c r="Y2304" i="1"/>
  <c r="Y2302" i="1"/>
  <c r="Y2300" i="1"/>
  <c r="Y2298" i="1"/>
  <c r="Y2296" i="1"/>
  <c r="Y2294" i="1"/>
  <c r="Y2292" i="1"/>
  <c r="Y2290" i="1"/>
  <c r="Y2288" i="1"/>
  <c r="Y2286" i="1"/>
  <c r="Y2284" i="1"/>
  <c r="Y2282" i="1"/>
  <c r="Y2280" i="1"/>
  <c r="Y2278" i="1"/>
  <c r="Y2276" i="1"/>
  <c r="Y2274" i="1"/>
  <c r="Y2272" i="1"/>
  <c r="Y2270" i="1"/>
  <c r="Y2268" i="1"/>
  <c r="Y2266" i="1"/>
  <c r="Y2264" i="1"/>
  <c r="Y2262" i="1"/>
  <c r="Y2260" i="1"/>
  <c r="Y2258" i="1"/>
  <c r="Y2256" i="1"/>
  <c r="Y2254" i="1"/>
  <c r="Y2252" i="1"/>
  <c r="Y2244" i="1"/>
  <c r="Y2240" i="1"/>
  <c r="Y2238" i="1"/>
  <c r="Y2236" i="1"/>
  <c r="Y2234" i="1"/>
  <c r="Y2232" i="1"/>
  <c r="Y2230" i="1"/>
  <c r="Y2228" i="1"/>
  <c r="Y2226" i="1"/>
  <c r="Y2224" i="1"/>
  <c r="Y2222" i="1"/>
  <c r="Y2218" i="1"/>
  <c r="Y2216" i="1"/>
  <c r="Y2210" i="1"/>
  <c r="Y2208" i="1"/>
  <c r="Y2206" i="1"/>
  <c r="Y2202" i="1"/>
  <c r="Y2200" i="1"/>
  <c r="Y2198" i="1"/>
  <c r="Y2196" i="1"/>
  <c r="Y2192" i="1"/>
  <c r="Y2188" i="1"/>
  <c r="Y2184" i="1"/>
  <c r="Y2182" i="1"/>
  <c r="Y2180" i="1"/>
  <c r="Y2178" i="1"/>
  <c r="Y2176" i="1"/>
  <c r="Y2174" i="1"/>
  <c r="Y2172" i="1"/>
  <c r="Y2170" i="1"/>
  <c r="Y2166" i="1"/>
  <c r="Y2164" i="1"/>
  <c r="Y2162" i="1"/>
  <c r="Y2156" i="1"/>
  <c r="Y2150" i="1"/>
  <c r="Y2148" i="1"/>
  <c r="Y2146" i="1"/>
  <c r="Y2144" i="1"/>
  <c r="Y2142" i="1"/>
  <c r="Y2140" i="1"/>
  <c r="Y2138" i="1"/>
  <c r="Y2136" i="1"/>
  <c r="Y2134" i="1"/>
  <c r="Y2132" i="1"/>
  <c r="Y2130" i="1"/>
  <c r="Y2128" i="1"/>
  <c r="Y2126" i="1"/>
  <c r="Y2124" i="1"/>
  <c r="Y2122" i="1"/>
  <c r="Y2120" i="1"/>
  <c r="Y2118" i="1"/>
  <c r="Y2114" i="1"/>
  <c r="Y2112" i="1"/>
  <c r="Y2104" i="1"/>
  <c r="Y2102" i="1"/>
  <c r="Y2094" i="1"/>
  <c r="Y2088" i="1"/>
  <c r="Y2084" i="1"/>
  <c r="Y2082" i="1"/>
  <c r="Y2080" i="1"/>
  <c r="Y2078" i="1"/>
  <c r="Y2076" i="1"/>
  <c r="Y2074" i="1"/>
  <c r="Y2072" i="1"/>
  <c r="Y2066" i="1"/>
  <c r="Y2062" i="1"/>
  <c r="Y2060" i="1"/>
  <c r="Y2058" i="1"/>
  <c r="Y2056" i="1"/>
  <c r="Y2054" i="1"/>
  <c r="Y2052" i="1"/>
  <c r="Y2046" i="1"/>
  <c r="Y2044" i="1"/>
  <c r="Y2040" i="1"/>
  <c r="Y2036" i="1"/>
  <c r="Y2034" i="1"/>
  <c r="Y2032" i="1"/>
  <c r="Y2028" i="1"/>
  <c r="Y2024" i="1"/>
  <c r="Y2020" i="1"/>
  <c r="Y2018" i="1"/>
  <c r="Y2014" i="1"/>
  <c r="Y2012" i="1"/>
  <c r="Y2010" i="1"/>
  <c r="Y2008" i="1"/>
  <c r="Y2004" i="1"/>
  <c r="Y1998" i="1"/>
  <c r="Y1994" i="1"/>
  <c r="Y1992" i="1"/>
  <c r="Y1990" i="1"/>
  <c r="Y1986" i="1"/>
  <c r="Y1982" i="1"/>
  <c r="Y1988" i="1"/>
  <c r="Y1978" i="1"/>
  <c r="Y1976" i="1"/>
  <c r="Y1974" i="1"/>
  <c r="Y1972" i="1"/>
  <c r="Y1968" i="1"/>
  <c r="Y2378" i="1"/>
  <c r="Y2376" i="1"/>
  <c r="Y2374" i="1"/>
  <c r="Y2372" i="1"/>
  <c r="Y2370" i="1"/>
  <c r="Y2368" i="1"/>
  <c r="Y2366" i="1"/>
  <c r="Y2364" i="1"/>
  <c r="Y2362" i="1"/>
  <c r="Y2360" i="1"/>
  <c r="Y2358" i="1"/>
  <c r="Y2356" i="1"/>
  <c r="Y2394" i="1"/>
  <c r="Y2392" i="1"/>
  <c r="Y2390" i="1"/>
  <c r="Y2388" i="1"/>
  <c r="Y2386" i="1"/>
  <c r="Y2384" i="1"/>
  <c r="Y2382" i="1"/>
  <c r="Y2380" i="1"/>
  <c r="Y2490" i="1"/>
  <c r="Y2488" i="1"/>
  <c r="Y2486" i="1"/>
  <c r="Y2484" i="1"/>
  <c r="Y2482" i="1"/>
  <c r="Y2480" i="1"/>
  <c r="Y2478" i="1"/>
  <c r="Y2476" i="1"/>
  <c r="Y2474" i="1"/>
  <c r="Y2472" i="1"/>
  <c r="Y2470" i="1"/>
  <c r="Y2468" i="1"/>
  <c r="Y2466" i="1"/>
  <c r="Y2464" i="1"/>
  <c r="Y2462" i="1"/>
  <c r="Y2460" i="1"/>
  <c r="Y2458" i="1"/>
  <c r="Y2456" i="1"/>
  <c r="Y2454" i="1"/>
  <c r="Y2452" i="1"/>
  <c r="Y2450" i="1"/>
  <c r="Y2446" i="1"/>
  <c r="Y2444" i="1"/>
  <c r="Y2442" i="1"/>
  <c r="Y2440" i="1"/>
  <c r="Y2438" i="1"/>
  <c r="Y2436" i="1"/>
  <c r="Y2434" i="1"/>
  <c r="Y2432" i="1"/>
  <c r="Y2430" i="1"/>
  <c r="Y2428" i="1"/>
  <c r="Y2426" i="1"/>
  <c r="Y2424" i="1"/>
  <c r="Y2422" i="1"/>
  <c r="Y2420" i="1"/>
  <c r="Y2418" i="1"/>
  <c r="Y2416" i="1"/>
  <c r="Y2414" i="1"/>
  <c r="Y2412" i="1"/>
  <c r="Y2410" i="1"/>
  <c r="Y2408" i="1"/>
  <c r="Y2406" i="1"/>
  <c r="Y2404" i="1"/>
  <c r="Y2402" i="1"/>
  <c r="Y2400" i="1"/>
  <c r="Y2398" i="1"/>
  <c r="Y2546" i="1"/>
  <c r="Y2544" i="1"/>
  <c r="Y2542" i="1"/>
  <c r="Y2540" i="1"/>
  <c r="Y2538" i="1"/>
  <c r="Y2536" i="1"/>
  <c r="Y2534" i="1"/>
  <c r="Y2532" i="1"/>
  <c r="Y2530" i="1"/>
  <c r="Y2528" i="1"/>
  <c r="Y2526" i="1"/>
  <c r="AA2526" i="1" s="1"/>
  <c r="Y2524" i="1"/>
  <c r="Y2522" i="1"/>
  <c r="Y2520" i="1"/>
  <c r="AA2520" i="1" s="1"/>
  <c r="Y2518" i="1"/>
  <c r="Y2514" i="1"/>
  <c r="Y2512" i="1"/>
  <c r="Y2510" i="1"/>
  <c r="Y2508" i="1"/>
  <c r="Y2506" i="1"/>
  <c r="Y2504" i="1"/>
  <c r="Y2502" i="1"/>
  <c r="Y2500" i="1"/>
  <c r="Y2498" i="1"/>
  <c r="Y2496" i="1"/>
  <c r="Y2494" i="1"/>
  <c r="Y2492" i="1"/>
  <c r="Y2564" i="1"/>
  <c r="Y2562" i="1"/>
  <c r="Y2560" i="1"/>
  <c r="Y2558" i="1"/>
  <c r="Y2556" i="1"/>
  <c r="Y2554" i="1"/>
  <c r="Y2552" i="1"/>
  <c r="Y2550" i="1"/>
  <c r="Y2548" i="1"/>
  <c r="Y2624" i="1"/>
  <c r="AA2624" i="1" s="1"/>
  <c r="Y2622" i="1"/>
  <c r="AA2622" i="1" s="1"/>
  <c r="Y2620" i="1"/>
  <c r="AA2620" i="1" s="1"/>
  <c r="Y2618" i="1"/>
  <c r="AA2618" i="1" s="1"/>
  <c r="Y2616" i="1"/>
  <c r="AA2616" i="1" s="1"/>
  <c r="Y2614" i="1"/>
  <c r="AA2614" i="1" s="1"/>
  <c r="Y2612" i="1"/>
  <c r="AA2612" i="1" s="1"/>
  <c r="Y2610" i="1"/>
  <c r="AA2610" i="1" s="1"/>
  <c r="J2610" i="1"/>
  <c r="N2610" i="1" s="1"/>
  <c r="Y2608" i="1"/>
  <c r="AA2608" i="1" s="1"/>
  <c r="J2608" i="1"/>
  <c r="N2608" i="1" s="1"/>
  <c r="Y2606" i="1"/>
  <c r="AA2606" i="1" s="1"/>
  <c r="J2606" i="1"/>
  <c r="N2606" i="1" s="1"/>
  <c r="Y2604" i="1"/>
  <c r="AA2604" i="1" s="1"/>
  <c r="J2604" i="1"/>
  <c r="N2604" i="1" s="1"/>
  <c r="Y2602" i="1"/>
  <c r="AA2602" i="1" s="1"/>
  <c r="J2602" i="1"/>
  <c r="N2602" i="1" s="1"/>
  <c r="Y2600" i="1"/>
  <c r="AA2600" i="1" s="1"/>
  <c r="J2600" i="1"/>
  <c r="N2600" i="1" s="1"/>
  <c r="Y2598" i="1"/>
  <c r="AA2598" i="1" s="1"/>
  <c r="J2598" i="1"/>
  <c r="Y2596" i="1"/>
  <c r="AA2596" i="1" s="1"/>
  <c r="J2596" i="1"/>
  <c r="N2596" i="1" s="1"/>
  <c r="Y2594" i="1"/>
  <c r="AA2594" i="1" s="1"/>
  <c r="J2594" i="1"/>
  <c r="N2594" i="1" s="1"/>
  <c r="Y2592" i="1"/>
  <c r="AA2592" i="1" s="1"/>
  <c r="J2592" i="1"/>
  <c r="N2592" i="1" s="1"/>
  <c r="Y2590" i="1"/>
  <c r="AA2590" i="1" s="1"/>
  <c r="J2590" i="1"/>
  <c r="Y2588" i="1"/>
  <c r="AA2588" i="1" s="1"/>
  <c r="J2588" i="1"/>
  <c r="N2588" i="1" s="1"/>
  <c r="Y2586" i="1"/>
  <c r="AA2586" i="1" s="1"/>
  <c r="J2586" i="1"/>
  <c r="Y2584" i="1"/>
  <c r="AA2584" i="1" s="1"/>
  <c r="J2584" i="1"/>
  <c r="N2584" i="1" s="1"/>
  <c r="Y2582" i="1"/>
  <c r="AA2582" i="1" s="1"/>
  <c r="J2582" i="1"/>
  <c r="N2582" i="1" s="1"/>
  <c r="Y2580" i="1"/>
  <c r="AA2580" i="1" s="1"/>
  <c r="J2580" i="1"/>
  <c r="N2580" i="1" s="1"/>
  <c r="Y2578" i="1"/>
  <c r="AA2578" i="1" s="1"/>
  <c r="J2578" i="1"/>
  <c r="N2578" i="1" s="1"/>
  <c r="Y2576" i="1"/>
  <c r="AA2576" i="1" s="1"/>
  <c r="J2576" i="1"/>
  <c r="N2576" i="1" s="1"/>
  <c r="Y2574" i="1"/>
  <c r="AA2574" i="1" s="1"/>
  <c r="J2574" i="1"/>
  <c r="Y2572" i="1"/>
  <c r="J2572" i="1"/>
  <c r="Y2570" i="1"/>
  <c r="AA2570" i="1" s="1"/>
  <c r="J2570" i="1"/>
  <c r="N2570" i="1" s="1"/>
  <c r="Y2568" i="1"/>
  <c r="AA2568" i="1" s="1"/>
  <c r="J2568" i="1"/>
  <c r="N2568" i="1" s="1"/>
  <c r="Y2566" i="1"/>
  <c r="AA2566" i="1" s="1"/>
  <c r="J2566" i="1"/>
  <c r="K2558" i="1"/>
  <c r="K2556" i="1"/>
  <c r="K2552" i="1"/>
  <c r="Y12" i="4"/>
  <c r="AA12" i="4" s="1"/>
  <c r="N12" i="4"/>
  <c r="K2526" i="1"/>
  <c r="J2526" i="1"/>
  <c r="K2412" i="1"/>
  <c r="K2404" i="1"/>
  <c r="K2402" i="1"/>
  <c r="K2400" i="1"/>
  <c r="K2390" i="1"/>
  <c r="N2520" i="1"/>
  <c r="N2590" i="1" l="1"/>
  <c r="N2586" i="1"/>
  <c r="N2598" i="1"/>
  <c r="N2526" i="1"/>
  <c r="N2566" i="1"/>
  <c r="N2572" i="1"/>
  <c r="J2624" i="1"/>
  <c r="N2624" i="1" s="1"/>
  <c r="N2574" i="1"/>
  <c r="AA2564" i="1"/>
  <c r="J2564" i="1"/>
  <c r="N2564" i="1" s="1"/>
  <c r="AA2562" i="1"/>
  <c r="J2562" i="1"/>
  <c r="N2562" i="1" s="1"/>
  <c r="AA2560" i="1"/>
  <c r="J2560" i="1"/>
  <c r="N2560" i="1" s="1"/>
  <c r="AA2558" i="1"/>
  <c r="J2558" i="1"/>
  <c r="N2558" i="1" s="1"/>
  <c r="AA2556" i="1"/>
  <c r="J2556" i="1"/>
  <c r="N2556" i="1" s="1"/>
  <c r="AA2554" i="1"/>
  <c r="J2554" i="1"/>
  <c r="N2554" i="1" s="1"/>
  <c r="AA2552" i="1"/>
  <c r="J2552" i="1"/>
  <c r="N2552" i="1" s="1"/>
  <c r="AA2550" i="1"/>
  <c r="J2550" i="1"/>
  <c r="N2550" i="1" s="1"/>
  <c r="AA2548" i="1"/>
  <c r="J2548" i="1"/>
  <c r="N2548" i="1" s="1"/>
  <c r="AA2546" i="1"/>
  <c r="J2546" i="1"/>
  <c r="N2546" i="1" s="1"/>
  <c r="AA2544" i="1"/>
  <c r="J2544" i="1"/>
  <c r="N2544" i="1" s="1"/>
  <c r="AA2542" i="1"/>
  <c r="J2542" i="1"/>
  <c r="N2542" i="1" s="1"/>
  <c r="K2518" i="1"/>
  <c r="AA2490" i="1"/>
  <c r="J2490" i="1"/>
  <c r="N2490" i="1" s="1"/>
  <c r="AA2488" i="1"/>
  <c r="J2488" i="1"/>
  <c r="N2488" i="1" s="1"/>
  <c r="AA2540" i="1" l="1"/>
  <c r="J2540" i="1"/>
  <c r="N2540" i="1" s="1"/>
  <c r="AA2538" i="1"/>
  <c r="J2538" i="1"/>
  <c r="N2538" i="1" s="1"/>
  <c r="AA2536" i="1"/>
  <c r="J2536" i="1"/>
  <c r="N2536" i="1" s="1"/>
  <c r="AA2534" i="1"/>
  <c r="J2534" i="1"/>
  <c r="N2534" i="1" s="1"/>
  <c r="AA2532" i="1"/>
  <c r="J2532" i="1"/>
  <c r="N2532" i="1" s="1"/>
  <c r="AA2530" i="1"/>
  <c r="J2530" i="1"/>
  <c r="N2530" i="1" s="1"/>
  <c r="AA2528" i="1"/>
  <c r="J2528" i="1"/>
  <c r="N2528" i="1" s="1"/>
  <c r="AA2524" i="1"/>
  <c r="J2524" i="1"/>
  <c r="N2524" i="1" s="1"/>
  <c r="AA2522" i="1"/>
  <c r="J2522" i="1"/>
  <c r="N2522" i="1" s="1"/>
  <c r="AA2518" i="1"/>
  <c r="J2518" i="1"/>
  <c r="N2518" i="1" s="1"/>
  <c r="AA2516" i="1"/>
  <c r="J2516" i="1"/>
  <c r="N2516" i="1" s="1"/>
  <c r="AA2514" i="1"/>
  <c r="J2514" i="1"/>
  <c r="N2514" i="1" s="1"/>
  <c r="AA2512" i="1"/>
  <c r="J2512" i="1"/>
  <c r="N2512" i="1" s="1"/>
  <c r="AA2510" i="1"/>
  <c r="J2510" i="1"/>
  <c r="N2510" i="1" s="1"/>
  <c r="AA2508" i="1"/>
  <c r="J2508" i="1"/>
  <c r="N2508" i="1" s="1"/>
  <c r="AA2506" i="1"/>
  <c r="J2506" i="1"/>
  <c r="N2506" i="1" s="1"/>
  <c r="AA2504" i="1"/>
  <c r="N2504" i="1"/>
  <c r="AA2502" i="1"/>
  <c r="J2502" i="1"/>
  <c r="N2502" i="1" s="1"/>
  <c r="AA2500" i="1"/>
  <c r="J2500" i="1"/>
  <c r="N2500" i="1" s="1"/>
  <c r="AA2498" i="1"/>
  <c r="J2498" i="1"/>
  <c r="N2498" i="1" s="1"/>
  <c r="AA2496" i="1"/>
  <c r="J2496" i="1"/>
  <c r="N2496" i="1" s="1"/>
  <c r="AA2494" i="1"/>
  <c r="J2494" i="1"/>
  <c r="N2494" i="1" s="1"/>
  <c r="AA2492" i="1"/>
  <c r="J2492" i="1"/>
  <c r="N2492" i="1" s="1"/>
  <c r="AA2486" i="1"/>
  <c r="J2486" i="1"/>
  <c r="N2486" i="1" s="1"/>
  <c r="K2478" i="1" l="1"/>
  <c r="I2474" i="1"/>
  <c r="J2474" i="1" s="1"/>
  <c r="N2474" i="1" s="1"/>
  <c r="I2472" i="1"/>
  <c r="J2472" i="1" s="1"/>
  <c r="N2472" i="1" s="1"/>
  <c r="I2470" i="1"/>
  <c r="J2470" i="1" s="1"/>
  <c r="N2470" i="1" s="1"/>
  <c r="I2468" i="1"/>
  <c r="J2468" i="1" s="1"/>
  <c r="N2468" i="1" s="1"/>
  <c r="I2466" i="1"/>
  <c r="J2466" i="1" s="1"/>
  <c r="N2466" i="1" s="1"/>
  <c r="I2464" i="1"/>
  <c r="N2464" i="1" s="1"/>
  <c r="I2462" i="1"/>
  <c r="J2462" i="1" s="1"/>
  <c r="N2462" i="1" s="1"/>
  <c r="I2460" i="1"/>
  <c r="J2460" i="1" s="1"/>
  <c r="N2460" i="1" s="1"/>
  <c r="I2458" i="1"/>
  <c r="J2458" i="1" s="1"/>
  <c r="N2458" i="1" s="1"/>
  <c r="I2456" i="1"/>
  <c r="J2456" i="1" s="1"/>
  <c r="I2454" i="1"/>
  <c r="J2454" i="1" s="1"/>
  <c r="N2454" i="1" s="1"/>
  <c r="I2452" i="1"/>
  <c r="J2452" i="1" s="1"/>
  <c r="N2452" i="1" s="1"/>
  <c r="I2450" i="1"/>
  <c r="J2450" i="1" s="1"/>
  <c r="N2450" i="1" s="1"/>
  <c r="K2448" i="1"/>
  <c r="K2446" i="1"/>
  <c r="K2444" i="1"/>
  <c r="K2442" i="1"/>
  <c r="K2440" i="1"/>
  <c r="K2436" i="1"/>
  <c r="K2434" i="1"/>
  <c r="K2432" i="1"/>
  <c r="K2426" i="1"/>
  <c r="AA2484" i="1"/>
  <c r="J2484" i="1"/>
  <c r="N2484" i="1" s="1"/>
  <c r="AA2482" i="1"/>
  <c r="J2482" i="1"/>
  <c r="N2482" i="1" s="1"/>
  <c r="AA2480" i="1"/>
  <c r="J2480" i="1"/>
  <c r="N2480" i="1" s="1"/>
  <c r="AA2478" i="1"/>
  <c r="J2478" i="1"/>
  <c r="AA2476" i="1"/>
  <c r="N2476" i="1"/>
  <c r="AA2474" i="1"/>
  <c r="AA2472" i="1"/>
  <c r="AA2470" i="1"/>
  <c r="AA2468" i="1"/>
  <c r="AA2466" i="1"/>
  <c r="AA2464" i="1"/>
  <c r="AA2462" i="1"/>
  <c r="AA2460" i="1"/>
  <c r="AA2458" i="1"/>
  <c r="AA2456" i="1"/>
  <c r="AA2454" i="1"/>
  <c r="AA2452" i="1"/>
  <c r="AA2450" i="1"/>
  <c r="J2448" i="1"/>
  <c r="AA2446" i="1"/>
  <c r="J2446" i="1"/>
  <c r="AA2444" i="1"/>
  <c r="J2444" i="1"/>
  <c r="K2418" i="1"/>
  <c r="AA2408" i="1"/>
  <c r="J2408" i="1"/>
  <c r="N2408" i="1" s="1"/>
  <c r="AA2384" i="1"/>
  <c r="J2384" i="1"/>
  <c r="N2384" i="1" s="1"/>
  <c r="AA2442" i="1"/>
  <c r="J2442" i="1"/>
  <c r="AA2440" i="1"/>
  <c r="J2440" i="1"/>
  <c r="AA2438" i="1"/>
  <c r="J2438" i="1"/>
  <c r="N2438" i="1" s="1"/>
  <c r="AA2436" i="1"/>
  <c r="J2436" i="1"/>
  <c r="AA2434" i="1"/>
  <c r="J2434" i="1"/>
  <c r="AA2432" i="1"/>
  <c r="J2432" i="1"/>
  <c r="AA2430" i="1"/>
  <c r="J2430" i="1"/>
  <c r="N2430" i="1" s="1"/>
  <c r="AA2428" i="1"/>
  <c r="J2428" i="1"/>
  <c r="N2428" i="1" s="1"/>
  <c r="AA2426" i="1"/>
  <c r="J2426" i="1"/>
  <c r="AA2424" i="1"/>
  <c r="J2424" i="1"/>
  <c r="N2424" i="1" s="1"/>
  <c r="AA2422" i="1"/>
  <c r="J2422" i="1"/>
  <c r="N2422" i="1" s="1"/>
  <c r="AA2420" i="1"/>
  <c r="J2420" i="1"/>
  <c r="N2420" i="1" s="1"/>
  <c r="AA2418" i="1"/>
  <c r="J2418" i="1"/>
  <c r="AA2416" i="1"/>
  <c r="J2416" i="1"/>
  <c r="N2416" i="1" s="1"/>
  <c r="AA2414" i="1"/>
  <c r="J2414" i="1"/>
  <c r="N2414" i="1" s="1"/>
  <c r="AA2412" i="1"/>
  <c r="J2412" i="1"/>
  <c r="N2412" i="1" s="1"/>
  <c r="AA2410" i="1"/>
  <c r="J2410" i="1"/>
  <c r="N2410" i="1" s="1"/>
  <c r="AA2406" i="1"/>
  <c r="J2406" i="1"/>
  <c r="N2406" i="1" s="1"/>
  <c r="AA2404" i="1"/>
  <c r="J2404" i="1"/>
  <c r="N2404" i="1" s="1"/>
  <c r="AA2402" i="1"/>
  <c r="J2402" i="1"/>
  <c r="N2402" i="1" s="1"/>
  <c r="AA2400" i="1"/>
  <c r="J2400" i="1"/>
  <c r="N2400" i="1" s="1"/>
  <c r="N2432" i="1" l="1"/>
  <c r="N2442" i="1"/>
  <c r="N2478" i="1"/>
  <c r="N2440" i="1"/>
  <c r="N2434" i="1"/>
  <c r="N2444" i="1"/>
  <c r="N2436" i="1"/>
  <c r="N2418" i="1"/>
  <c r="N2446" i="1"/>
  <c r="N2448" i="1"/>
  <c r="N2426" i="1"/>
  <c r="N2456" i="1"/>
  <c r="I2372" i="1"/>
  <c r="I2370" i="1"/>
  <c r="I2368" i="1"/>
  <c r="I2366" i="1"/>
  <c r="I2364" i="1"/>
  <c r="K2356" i="1"/>
  <c r="K2354" i="1"/>
  <c r="AA2356" i="1"/>
  <c r="J2356" i="1"/>
  <c r="AA2332" i="1"/>
  <c r="J2332" i="1"/>
  <c r="N2332" i="1" s="1"/>
  <c r="AA2330" i="1"/>
  <c r="N2330" i="1"/>
  <c r="AA2326" i="1"/>
  <c r="J2326" i="1"/>
  <c r="N2326" i="1" s="1"/>
  <c r="AA2324" i="1"/>
  <c r="J2324" i="1"/>
  <c r="N2324" i="1" s="1"/>
  <c r="AA2328" i="1"/>
  <c r="J2328" i="1"/>
  <c r="N2328" i="1" s="1"/>
  <c r="AA2322" i="1"/>
  <c r="J2322" i="1"/>
  <c r="N2322" i="1" s="1"/>
  <c r="AA2320" i="1"/>
  <c r="J2320" i="1"/>
  <c r="N2320" i="1" s="1"/>
  <c r="AA2318" i="1"/>
  <c r="J2318" i="1"/>
  <c r="N2318" i="1" s="1"/>
  <c r="AA2316" i="1"/>
  <c r="J2316" i="1"/>
  <c r="N2316" i="1" s="1"/>
  <c r="AA2314" i="1"/>
  <c r="J2314" i="1"/>
  <c r="N2314" i="1" s="1"/>
  <c r="AA2312" i="1"/>
  <c r="J2312" i="1"/>
  <c r="N2312" i="1" s="1"/>
  <c r="AA2310" i="1"/>
  <c r="J2310" i="1"/>
  <c r="N2310" i="1" s="1"/>
  <c r="AA2308" i="1"/>
  <c r="J2308" i="1"/>
  <c r="N2308" i="1" s="1"/>
  <c r="AA2306" i="1"/>
  <c r="J2306" i="1"/>
  <c r="N2306" i="1" s="1"/>
  <c r="AA2304" i="1"/>
  <c r="J2304" i="1"/>
  <c r="N2304" i="1" s="1"/>
  <c r="J2334" i="1"/>
  <c r="N2334" i="1" s="1"/>
  <c r="AA2334" i="1"/>
  <c r="J2336" i="1"/>
  <c r="N2336" i="1" s="1"/>
  <c r="AA2336" i="1"/>
  <c r="J2338" i="1"/>
  <c r="N2338" i="1" s="1"/>
  <c r="AA2338" i="1"/>
  <c r="J2340" i="1"/>
  <c r="N2340" i="1" s="1"/>
  <c r="AA2340" i="1"/>
  <c r="J2342" i="1"/>
  <c r="N2342" i="1" s="1"/>
  <c r="AA2342" i="1"/>
  <c r="AA2302" i="1"/>
  <c r="J2302" i="1"/>
  <c r="N2302" i="1" s="1"/>
  <c r="N2356" i="1" l="1"/>
  <c r="AA2300" i="1"/>
  <c r="J2300" i="1"/>
  <c r="N2300" i="1" s="1"/>
  <c r="AA2398" i="1"/>
  <c r="J2398" i="1"/>
  <c r="N2398" i="1" s="1"/>
  <c r="AA2396" i="1"/>
  <c r="J2396" i="1"/>
  <c r="N2396" i="1" s="1"/>
  <c r="AA2394" i="1"/>
  <c r="J2394" i="1"/>
  <c r="N2394" i="1" s="1"/>
  <c r="AA2392" i="1"/>
  <c r="J2392" i="1"/>
  <c r="N2392" i="1" s="1"/>
  <c r="AA2390" i="1"/>
  <c r="J2390" i="1"/>
  <c r="N2390" i="1" s="1"/>
  <c r="AA2388" i="1"/>
  <c r="J2388" i="1"/>
  <c r="N2388" i="1" s="1"/>
  <c r="AA2386" i="1"/>
  <c r="J2386" i="1"/>
  <c r="N2386" i="1" s="1"/>
  <c r="AA2382" i="1"/>
  <c r="J2382" i="1"/>
  <c r="N2382" i="1" s="1"/>
  <c r="AA2380" i="1"/>
  <c r="J2380" i="1"/>
  <c r="N2380" i="1" s="1"/>
  <c r="AA2378" i="1"/>
  <c r="J2378" i="1"/>
  <c r="N2378" i="1" s="1"/>
  <c r="AA2376" i="1"/>
  <c r="J2376" i="1"/>
  <c r="N2376" i="1" s="1"/>
  <c r="AA2374" i="1"/>
  <c r="J2374" i="1"/>
  <c r="N2374" i="1" s="1"/>
  <c r="AA2372" i="1"/>
  <c r="J2372" i="1"/>
  <c r="N2372" i="1" s="1"/>
  <c r="AA2256" i="1"/>
  <c r="J2256" i="1"/>
  <c r="N2256" i="1" s="1"/>
  <c r="K2254" i="1"/>
  <c r="AA2254" i="1"/>
  <c r="J2254" i="1"/>
  <c r="AA2270" i="1"/>
  <c r="J2270" i="1"/>
  <c r="N2270" i="1" s="1"/>
  <c r="N2254" i="1" l="1"/>
  <c r="AA2268" i="1"/>
  <c r="J2268" i="1"/>
  <c r="N2268" i="1" s="1"/>
  <c r="AA2266" i="1"/>
  <c r="J2266" i="1"/>
  <c r="N2266" i="1" s="1"/>
  <c r="AA2264" i="1"/>
  <c r="J2264" i="1"/>
  <c r="N2264" i="1" s="1"/>
  <c r="K2250" i="1" l="1"/>
  <c r="K2246" i="1"/>
  <c r="K2244" i="1"/>
  <c r="K2238" i="1"/>
  <c r="K2236" i="1"/>
  <c r="K2228" i="1"/>
  <c r="K2220" i="1"/>
  <c r="AA2370" i="1"/>
  <c r="J2370" i="1"/>
  <c r="N2370" i="1" s="1"/>
  <c r="AA2368" i="1"/>
  <c r="J2368" i="1"/>
  <c r="N2368" i="1" s="1"/>
  <c r="AA2366" i="1"/>
  <c r="J2366" i="1"/>
  <c r="N2366" i="1" s="1"/>
  <c r="AA2364" i="1"/>
  <c r="J2364" i="1"/>
  <c r="N2364" i="1" s="1"/>
  <c r="AA2362" i="1"/>
  <c r="J2362" i="1"/>
  <c r="N2362" i="1" s="1"/>
  <c r="AA2360" i="1"/>
  <c r="J2360" i="1"/>
  <c r="N2360" i="1" s="1"/>
  <c r="AA2358" i="1"/>
  <c r="J2358" i="1"/>
  <c r="N2358" i="1" s="1"/>
  <c r="AA2354" i="1"/>
  <c r="J2354" i="1"/>
  <c r="N2354" i="1" s="1"/>
  <c r="AA2352" i="1"/>
  <c r="J2352" i="1"/>
  <c r="N2352" i="1" s="1"/>
  <c r="AA2350" i="1"/>
  <c r="J2350" i="1"/>
  <c r="N2350" i="1" s="1"/>
  <c r="AA2348" i="1"/>
  <c r="J2348" i="1"/>
  <c r="N2348" i="1" s="1"/>
  <c r="AA2346" i="1"/>
  <c r="J2346" i="1"/>
  <c r="N2346" i="1" s="1"/>
  <c r="AA2344" i="1"/>
  <c r="J2344" i="1"/>
  <c r="N2344" i="1" s="1"/>
  <c r="AA2298" i="1"/>
  <c r="J2298" i="1"/>
  <c r="N2298" i="1" s="1"/>
  <c r="AA2296" i="1"/>
  <c r="J2296" i="1"/>
  <c r="N2296" i="1" s="1"/>
  <c r="AA2294" i="1"/>
  <c r="J2294" i="1"/>
  <c r="N2294" i="1" s="1"/>
  <c r="AA2292" i="1"/>
  <c r="J2292" i="1"/>
  <c r="N2292" i="1" s="1"/>
  <c r="AA2290" i="1"/>
  <c r="J2290" i="1"/>
  <c r="N2290" i="1" s="1"/>
  <c r="AA2288" i="1"/>
  <c r="J2288" i="1"/>
  <c r="N2288" i="1" s="1"/>
  <c r="AA2286" i="1"/>
  <c r="J2286" i="1"/>
  <c r="N2286" i="1" s="1"/>
  <c r="AA2284" i="1"/>
  <c r="J2284" i="1"/>
  <c r="N2284" i="1" s="1"/>
  <c r="AA2282" i="1"/>
  <c r="J2282" i="1"/>
  <c r="N2282" i="1" s="1"/>
  <c r="AA2280" i="1"/>
  <c r="J2280" i="1"/>
  <c r="N2280" i="1" s="1"/>
  <c r="AA2278" i="1"/>
  <c r="J2278" i="1"/>
  <c r="N2278" i="1" s="1"/>
  <c r="AA2276" i="1"/>
  <c r="J2276" i="1"/>
  <c r="N2276" i="1" s="1"/>
  <c r="AA2274" i="1"/>
  <c r="J2274" i="1"/>
  <c r="N2274" i="1" s="1"/>
  <c r="AA2272" i="1"/>
  <c r="J2272" i="1"/>
  <c r="N2272" i="1" s="1"/>
  <c r="AA2262" i="1"/>
  <c r="J2262" i="1"/>
  <c r="N2262" i="1" s="1"/>
  <c r="AA2260" i="1"/>
  <c r="J2260" i="1"/>
  <c r="N2260" i="1" s="1"/>
  <c r="AA2258" i="1"/>
  <c r="J2258" i="1"/>
  <c r="N2258" i="1" s="1"/>
  <c r="AA2252" i="1"/>
  <c r="J2252" i="1"/>
  <c r="N2252" i="1" s="1"/>
  <c r="AA2250" i="1"/>
  <c r="J2250" i="1"/>
  <c r="N2250" i="1" l="1"/>
  <c r="AA2214" i="1"/>
  <c r="J2214" i="1"/>
  <c r="N2214" i="1" s="1"/>
  <c r="AA2212" i="1"/>
  <c r="J2212" i="1"/>
  <c r="N2212" i="1" s="1"/>
  <c r="I2172" i="1"/>
  <c r="J2172" i="1" s="1"/>
  <c r="N2172" i="1" s="1"/>
  <c r="AA2172" i="1"/>
  <c r="I2170" i="1"/>
  <c r="J2170" i="1" s="1"/>
  <c r="AA2170" i="1"/>
  <c r="AA2190" i="1"/>
  <c r="J2190" i="1"/>
  <c r="N2190" i="1" s="1"/>
  <c r="AA2196" i="1"/>
  <c r="J2196" i="1"/>
  <c r="N2196" i="1" s="1"/>
  <c r="AA2202" i="1"/>
  <c r="J2202" i="1"/>
  <c r="N2202" i="1" s="1"/>
  <c r="AA2210" i="1"/>
  <c r="J2210" i="1"/>
  <c r="N2210" i="1" s="1"/>
  <c r="AA2208" i="1"/>
  <c r="J2208" i="1"/>
  <c r="N2208" i="1" s="1"/>
  <c r="AA2206" i="1"/>
  <c r="J2206" i="1"/>
  <c r="N2206" i="1" s="1"/>
  <c r="AA2204" i="1"/>
  <c r="J2204" i="1"/>
  <c r="N2204" i="1" s="1"/>
  <c r="AA2188" i="1"/>
  <c r="J2188" i="1"/>
  <c r="N2188" i="1" s="1"/>
  <c r="AA2186" i="1"/>
  <c r="J2186" i="1"/>
  <c r="N2186" i="1" s="1"/>
  <c r="AA2200" i="1"/>
  <c r="J2200" i="1"/>
  <c r="N2200" i="1" s="1"/>
  <c r="AA2198" i="1"/>
  <c r="J2198" i="1"/>
  <c r="N2198" i="1" s="1"/>
  <c r="K2158" i="1"/>
  <c r="K2156" i="1"/>
  <c r="K2154" i="1"/>
  <c r="N2170" i="1" l="1"/>
  <c r="I2150" i="1" l="1"/>
  <c r="I2148" i="1"/>
  <c r="I2146" i="1"/>
  <c r="I2144" i="1"/>
  <c r="I2142" i="1"/>
  <c r="I2140" i="1"/>
  <c r="I2138" i="1"/>
  <c r="I2136" i="1"/>
  <c r="I2134" i="1"/>
  <c r="I2130" i="1"/>
  <c r="I2128" i="1"/>
  <c r="I2126" i="1"/>
  <c r="I2124" i="1"/>
  <c r="I2122" i="1"/>
  <c r="I2120" i="1"/>
  <c r="AA2248" i="1" l="1"/>
  <c r="J2248" i="1"/>
  <c r="N2248" i="1" s="1"/>
  <c r="AA2246" i="1"/>
  <c r="J2246" i="1"/>
  <c r="N2246" i="1" s="1"/>
  <c r="AA2244" i="1"/>
  <c r="J2244" i="1"/>
  <c r="N2244" i="1" s="1"/>
  <c r="AA2242" i="1"/>
  <c r="J2242" i="1"/>
  <c r="N2242" i="1" s="1"/>
  <c r="AA2240" i="1"/>
  <c r="J2240" i="1"/>
  <c r="N2240" i="1" s="1"/>
  <c r="AA2238" i="1"/>
  <c r="J2238" i="1"/>
  <c r="N2238" i="1" s="1"/>
  <c r="AA2236" i="1"/>
  <c r="J2236" i="1"/>
  <c r="N2236" i="1" s="1"/>
  <c r="AA2234" i="1"/>
  <c r="J2234" i="1"/>
  <c r="N2234" i="1" s="1"/>
  <c r="AA2232" i="1"/>
  <c r="J2232" i="1"/>
  <c r="N2232" i="1" s="1"/>
  <c r="AA2230" i="1"/>
  <c r="J2230" i="1"/>
  <c r="N2230" i="1" s="1"/>
  <c r="AA2228" i="1"/>
  <c r="J2228" i="1"/>
  <c r="N2228" i="1" s="1"/>
  <c r="AA2226" i="1"/>
  <c r="J2226" i="1"/>
  <c r="N2226" i="1" s="1"/>
  <c r="AA2224" i="1"/>
  <c r="J2224" i="1"/>
  <c r="N2224" i="1" s="1"/>
  <c r="AA2222" i="1"/>
  <c r="J2222" i="1"/>
  <c r="N2222" i="1" s="1"/>
  <c r="AA2220" i="1"/>
  <c r="J2220" i="1"/>
  <c r="N2220" i="1" s="1"/>
  <c r="AA2218" i="1"/>
  <c r="J2218" i="1"/>
  <c r="N2218" i="1" s="1"/>
  <c r="AA2216" i="1"/>
  <c r="J2216" i="1"/>
  <c r="N2216" i="1" s="1"/>
  <c r="AA2194" i="1"/>
  <c r="J2194" i="1"/>
  <c r="N2194" i="1" s="1"/>
  <c r="AA2192" i="1"/>
  <c r="J2192" i="1"/>
  <c r="N2192" i="1" s="1"/>
  <c r="AA2184" i="1"/>
  <c r="J2184" i="1"/>
  <c r="N2184" i="1" s="1"/>
  <c r="AA2182" i="1"/>
  <c r="J2182" i="1"/>
  <c r="N2182" i="1" s="1"/>
  <c r="AA2180" i="1"/>
  <c r="J2180" i="1"/>
  <c r="N2180" i="1" s="1"/>
  <c r="AA2178" i="1"/>
  <c r="J2178" i="1"/>
  <c r="N2178" i="1" s="1"/>
  <c r="AA2176" i="1"/>
  <c r="J2176" i="1"/>
  <c r="N2176" i="1" s="1"/>
  <c r="AA2174" i="1"/>
  <c r="J2174" i="1"/>
  <c r="N2174" i="1" s="1"/>
  <c r="AA2168" i="1"/>
  <c r="J2168" i="1"/>
  <c r="N2168" i="1" s="1"/>
  <c r="AA2166" i="1"/>
  <c r="J2166" i="1"/>
  <c r="N2166" i="1" s="1"/>
  <c r="AA2164" i="1"/>
  <c r="J2164" i="1"/>
  <c r="N2164" i="1" s="1"/>
  <c r="AA2162" i="1"/>
  <c r="J2162" i="1"/>
  <c r="N2162" i="1" s="1"/>
  <c r="AA2160" i="1"/>
  <c r="J2160" i="1"/>
  <c r="N2160" i="1" s="1"/>
  <c r="AA2158" i="1"/>
  <c r="J2158" i="1"/>
  <c r="N2158" i="1" s="1"/>
  <c r="AA2156" i="1"/>
  <c r="J2156" i="1"/>
  <c r="N2156" i="1" s="1"/>
  <c r="AA2154" i="1"/>
  <c r="J2154" i="1"/>
  <c r="N2154" i="1" s="1"/>
  <c r="AA2152" i="1"/>
  <c r="J2152" i="1"/>
  <c r="N2152" i="1" s="1"/>
  <c r="AA2150" i="1"/>
  <c r="J2150" i="1"/>
  <c r="N2150" i="1" s="1"/>
  <c r="K2116" i="1" l="1"/>
  <c r="K2114" i="1"/>
  <c r="K2112" i="1"/>
  <c r="K2108" i="1"/>
  <c r="K2088" i="1"/>
  <c r="AA2088" i="1"/>
  <c r="J2088" i="1"/>
  <c r="K2086" i="1"/>
  <c r="K2084" i="1"/>
  <c r="N2088" i="1" l="1"/>
  <c r="AA2082" i="1"/>
  <c r="J2082" i="1"/>
  <c r="N2082" i="1" s="1"/>
  <c r="I2080" i="1"/>
  <c r="J2080" i="1" s="1"/>
  <c r="N2080" i="1" s="1"/>
  <c r="I2078" i="1"/>
  <c r="J2078" i="1" s="1"/>
  <c r="N2078" i="1" s="1"/>
  <c r="I2076" i="1"/>
  <c r="J2076" i="1" s="1"/>
  <c r="N2076" i="1" s="1"/>
  <c r="I2074" i="1"/>
  <c r="J2074" i="1" s="1"/>
  <c r="N2074" i="1" s="1"/>
  <c r="I2072" i="1"/>
  <c r="J2072" i="1" s="1"/>
  <c r="N2072" i="1" s="1"/>
  <c r="K2058" i="1"/>
  <c r="K2034" i="1"/>
  <c r="K2032" i="1"/>
  <c r="K2030" i="1"/>
  <c r="AA2148" i="1"/>
  <c r="J2148" i="1"/>
  <c r="N2148" i="1" s="1"/>
  <c r="AA2146" i="1"/>
  <c r="J2146" i="1"/>
  <c r="N2146" i="1" s="1"/>
  <c r="AA2144" i="1"/>
  <c r="J2144" i="1"/>
  <c r="N2144" i="1" s="1"/>
  <c r="AA2142" i="1"/>
  <c r="J2142" i="1"/>
  <c r="N2142" i="1" s="1"/>
  <c r="AA2140" i="1"/>
  <c r="J2140" i="1"/>
  <c r="N2140" i="1" s="1"/>
  <c r="AA2138" i="1"/>
  <c r="J2138" i="1"/>
  <c r="N2138" i="1" s="1"/>
  <c r="AA2136" i="1"/>
  <c r="J2136" i="1"/>
  <c r="N2136" i="1" s="1"/>
  <c r="J2134" i="1"/>
  <c r="N2134" i="1" s="1"/>
  <c r="AA2132" i="1"/>
  <c r="N2132" i="1"/>
  <c r="AA2130" i="1"/>
  <c r="J2130" i="1"/>
  <c r="N2130" i="1" s="1"/>
  <c r="AA2128" i="1"/>
  <c r="J2128" i="1"/>
  <c r="N2128" i="1" s="1"/>
  <c r="AA2126" i="1"/>
  <c r="J2126" i="1"/>
  <c r="N2126" i="1" s="1"/>
  <c r="AA2124" i="1"/>
  <c r="J2124" i="1"/>
  <c r="N2124" i="1" s="1"/>
  <c r="AA2122" i="1"/>
  <c r="J2122" i="1"/>
  <c r="N2122" i="1" s="1"/>
  <c r="AA2120" i="1"/>
  <c r="J2120" i="1"/>
  <c r="N2120" i="1" s="1"/>
  <c r="AA2118" i="1"/>
  <c r="J2118" i="1"/>
  <c r="N2118" i="1" s="1"/>
  <c r="AA2116" i="1"/>
  <c r="J2116" i="1"/>
  <c r="N2116" i="1" s="1"/>
  <c r="AA2114" i="1"/>
  <c r="J2114" i="1"/>
  <c r="N2114" i="1" s="1"/>
  <c r="AA2112" i="1"/>
  <c r="J2112" i="1"/>
  <c r="N2112" i="1" s="1"/>
  <c r="AA2110" i="1"/>
  <c r="J2110" i="1"/>
  <c r="N2110" i="1" s="1"/>
  <c r="AA2108" i="1"/>
  <c r="N2108" i="1"/>
  <c r="AA2106" i="1"/>
  <c r="J2106" i="1"/>
  <c r="N2106" i="1" s="1"/>
  <c r="AA2104" i="1"/>
  <c r="J2104" i="1"/>
  <c r="N2104" i="1" s="1"/>
  <c r="AA2102" i="1"/>
  <c r="J2102" i="1"/>
  <c r="N2102" i="1" s="1"/>
  <c r="AA2100" i="1"/>
  <c r="J2100" i="1"/>
  <c r="N2100" i="1" s="1"/>
  <c r="AA2098" i="1"/>
  <c r="J2098" i="1"/>
  <c r="N2098" i="1" s="1"/>
  <c r="AA2096" i="1"/>
  <c r="J2096" i="1"/>
  <c r="N2096" i="1" s="1"/>
  <c r="AA2094" i="1"/>
  <c r="J2094" i="1"/>
  <c r="N2094" i="1" s="1"/>
  <c r="AA2092" i="1"/>
  <c r="J2092" i="1"/>
  <c r="N2092" i="1" s="1"/>
  <c r="AA2090" i="1"/>
  <c r="J2090" i="1"/>
  <c r="N2090" i="1" s="1"/>
  <c r="AA2086" i="1"/>
  <c r="J2086" i="1"/>
  <c r="N2086" i="1" s="1"/>
  <c r="AA2084" i="1"/>
  <c r="J2084" i="1"/>
  <c r="N2084" i="1" s="1"/>
  <c r="AA2080" i="1"/>
  <c r="AA2078" i="1"/>
  <c r="AA2076" i="1"/>
  <c r="AA2074" i="1"/>
  <c r="AA2072" i="1"/>
  <c r="AA2070" i="1"/>
  <c r="J2070" i="1"/>
  <c r="N2070" i="1" s="1"/>
  <c r="AA2068" i="1"/>
  <c r="J2068" i="1"/>
  <c r="N2068" i="1" s="1"/>
  <c r="AA2066" i="1"/>
  <c r="J2066" i="1"/>
  <c r="N2066" i="1" s="1"/>
  <c r="AA2064" i="1"/>
  <c r="J2064" i="1"/>
  <c r="N2064" i="1" s="1"/>
  <c r="AA2062" i="1"/>
  <c r="J2062" i="1"/>
  <c r="N2062" i="1" s="1"/>
  <c r="AA2060" i="1"/>
  <c r="J2060" i="1"/>
  <c r="N2060" i="1" s="1"/>
  <c r="J2058" i="1"/>
  <c r="AA2058" i="1"/>
  <c r="K2012" i="1"/>
  <c r="N2058" i="1" l="1"/>
  <c r="K1976" i="1"/>
  <c r="K1974" i="1"/>
  <c r="AA2056" i="1" l="1"/>
  <c r="J2056" i="1"/>
  <c r="N2056" i="1" s="1"/>
  <c r="AA2054" i="1"/>
  <c r="J2054" i="1"/>
  <c r="N2054" i="1" s="1"/>
  <c r="AA2052" i="1"/>
  <c r="J2052" i="1"/>
  <c r="N2052" i="1" s="1"/>
  <c r="AA2050" i="1"/>
  <c r="J2050" i="1"/>
  <c r="N2050" i="1" s="1"/>
  <c r="AA2048" i="1"/>
  <c r="J2048" i="1"/>
  <c r="N2048" i="1" s="1"/>
  <c r="AA2046" i="1"/>
  <c r="N2046" i="1"/>
  <c r="AA2044" i="1"/>
  <c r="J2044" i="1"/>
  <c r="N2044" i="1" s="1"/>
  <c r="AA2042" i="1"/>
  <c r="J2042" i="1"/>
  <c r="N2042" i="1" s="1"/>
  <c r="AA2040" i="1"/>
  <c r="J2040" i="1"/>
  <c r="N2040" i="1" s="1"/>
  <c r="AA2038" i="1"/>
  <c r="J2038" i="1"/>
  <c r="N2038" i="1" s="1"/>
  <c r="AA2036" i="1"/>
  <c r="J2036" i="1"/>
  <c r="N2036" i="1" s="1"/>
  <c r="AA2034" i="1"/>
  <c r="J2034" i="1"/>
  <c r="N2034" i="1" s="1"/>
  <c r="AA2032" i="1"/>
  <c r="J2032" i="1"/>
  <c r="N2032" i="1" s="1"/>
  <c r="AA2030" i="1"/>
  <c r="J2030" i="1"/>
  <c r="N2030" i="1" s="1"/>
  <c r="AA2028" i="1"/>
  <c r="J2028" i="1"/>
  <c r="N2028" i="1" s="1"/>
  <c r="AA2026" i="1"/>
  <c r="J2026" i="1"/>
  <c r="N2026" i="1" s="1"/>
  <c r="AA2024" i="1"/>
  <c r="J2024" i="1"/>
  <c r="N2024" i="1" s="1"/>
  <c r="AA2022" i="1"/>
  <c r="J2022" i="1"/>
  <c r="N2022" i="1" s="1"/>
  <c r="AA2020" i="1"/>
  <c r="J2020" i="1"/>
  <c r="N2020" i="1" s="1"/>
  <c r="AA2018" i="1"/>
  <c r="J2018" i="1"/>
  <c r="N2018" i="1" s="1"/>
  <c r="AA2016" i="1"/>
  <c r="J2016" i="1"/>
  <c r="N2016" i="1" s="1"/>
  <c r="AA2014" i="1"/>
  <c r="J2014" i="1"/>
  <c r="N2014" i="1" s="1"/>
  <c r="AA2012" i="1"/>
  <c r="J2012" i="1"/>
  <c r="N2012" i="1" s="1"/>
  <c r="AA2010" i="1"/>
  <c r="J2010" i="1"/>
  <c r="N2010" i="1" s="1"/>
  <c r="AA2008" i="1"/>
  <c r="J2008" i="1"/>
  <c r="N2008" i="1" s="1"/>
  <c r="AA2006" i="1"/>
  <c r="J2006" i="1"/>
  <c r="N2006" i="1" s="1"/>
  <c r="AA2004" i="1"/>
  <c r="J2004" i="1"/>
  <c r="N2004" i="1" s="1"/>
  <c r="AA2002" i="1"/>
  <c r="J2002" i="1"/>
  <c r="N2002" i="1" s="1"/>
  <c r="AA2000" i="1"/>
  <c r="J2000" i="1"/>
  <c r="N2000" i="1" s="1"/>
  <c r="AA1998" i="1"/>
  <c r="J1998" i="1"/>
  <c r="N1998" i="1" s="1"/>
  <c r="AA1996" i="1"/>
  <c r="J1996" i="1"/>
  <c r="N1996" i="1" s="1"/>
  <c r="AA1994" i="1"/>
  <c r="J1994" i="1"/>
  <c r="N1994" i="1" s="1"/>
  <c r="AA1992" i="1"/>
  <c r="J1992" i="1"/>
  <c r="N1992" i="1" s="1"/>
  <c r="AA1990" i="1"/>
  <c r="J1990" i="1"/>
  <c r="N1990" i="1" s="1"/>
  <c r="AA1988" i="1"/>
  <c r="J1988" i="1"/>
  <c r="N1988" i="1" s="1"/>
  <c r="AA1986" i="1"/>
  <c r="J1986" i="1"/>
  <c r="N1986" i="1" s="1"/>
  <c r="AA1984" i="1"/>
  <c r="J1984" i="1"/>
  <c r="N1984" i="1" s="1"/>
  <c r="AA1982" i="1"/>
  <c r="J1982" i="1"/>
  <c r="N1982" i="1" s="1"/>
  <c r="AA1980" i="1"/>
  <c r="J1980" i="1"/>
  <c r="N1980" i="1" s="1"/>
  <c r="AA1978" i="1"/>
  <c r="J1978" i="1"/>
  <c r="N1978" i="1" s="1"/>
  <c r="AA1976" i="1"/>
  <c r="J1976" i="1"/>
  <c r="N1976" i="1" s="1"/>
  <c r="AA1974" i="1"/>
  <c r="J1974" i="1"/>
  <c r="N1974" i="1" s="1"/>
  <c r="AA1972" i="1"/>
  <c r="J1972" i="1"/>
  <c r="N1972" i="1" s="1"/>
  <c r="AA1970" i="1"/>
  <c r="J1970" i="1"/>
  <c r="N1970" i="1" s="1"/>
  <c r="AA1968" i="1"/>
  <c r="J1968" i="1"/>
  <c r="N1968" i="1" s="1"/>
  <c r="AA1966" i="1"/>
  <c r="J1966" i="1"/>
  <c r="N1966" i="1" s="1"/>
  <c r="AA1964" i="1"/>
  <c r="J1964" i="1"/>
  <c r="N1964" i="1" s="1"/>
  <c r="AA1962" i="1"/>
  <c r="J1962" i="1"/>
  <c r="N1962" i="1" s="1"/>
  <c r="AA1960" i="1"/>
  <c r="J1960" i="1"/>
  <c r="N1960" i="1" s="1"/>
  <c r="AA1958" i="1" l="1"/>
  <c r="J1958" i="1"/>
  <c r="N1958" i="1" s="1"/>
  <c r="Y1956" i="1"/>
  <c r="AA1956" i="1" s="1"/>
  <c r="J1956" i="1"/>
  <c r="N1956" i="1" s="1"/>
  <c r="Y1954" i="1"/>
  <c r="AA1954" i="1" s="1"/>
  <c r="J1954" i="1"/>
  <c r="N1954" i="1" s="1"/>
  <c r="Y1952" i="1"/>
  <c r="AA1952" i="1" s="1"/>
  <c r="J1952" i="1"/>
  <c r="N1952" i="1" s="1"/>
  <c r="Y1950" i="1"/>
  <c r="AA1950" i="1" s="1"/>
  <c r="J1950" i="1"/>
  <c r="N1950" i="1" s="1"/>
  <c r="Y1948" i="1"/>
  <c r="AA1948" i="1" s="1"/>
  <c r="J1948" i="1"/>
  <c r="N1948" i="1" s="1"/>
  <c r="Y1946" i="1"/>
  <c r="AA1946" i="1" s="1"/>
  <c r="J1946" i="1"/>
  <c r="N1946" i="1" s="1"/>
  <c r="Y1944" i="1"/>
  <c r="AA1944" i="1" s="1"/>
  <c r="J1944" i="1"/>
  <c r="N1944" i="1" s="1"/>
  <c r="Y1942" i="1"/>
  <c r="AA1942" i="1" s="1"/>
  <c r="J1942" i="1"/>
  <c r="N1942" i="1" s="1"/>
  <c r="Y1940" i="1"/>
  <c r="AA1940" i="1" s="1"/>
  <c r="J1940" i="1"/>
  <c r="N1940" i="1" s="1"/>
  <c r="Y1938" i="1"/>
  <c r="AA1938" i="1" s="1"/>
  <c r="J1938" i="1"/>
  <c r="N1938" i="1" s="1"/>
  <c r="Y1936" i="1"/>
  <c r="AA1936" i="1" s="1"/>
  <c r="J1936" i="1"/>
  <c r="N1936" i="1" s="1"/>
  <c r="Y1934" i="1"/>
  <c r="AA1934" i="1" s="1"/>
  <c r="J1934" i="1"/>
  <c r="N1934" i="1" s="1"/>
  <c r="Y1932" i="1"/>
  <c r="AA1932" i="1" s="1"/>
  <c r="N1932" i="1"/>
  <c r="Y1930" i="1"/>
  <c r="AA1930" i="1" s="1"/>
  <c r="J1930" i="1"/>
  <c r="N1930" i="1" s="1"/>
  <c r="Y1928" i="1"/>
  <c r="AA1928" i="1" s="1"/>
  <c r="J1928" i="1"/>
  <c r="N1928" i="1" s="1"/>
  <c r="Y1926" i="1"/>
  <c r="AA1926" i="1" s="1"/>
  <c r="J1926" i="1"/>
  <c r="N1926" i="1" s="1"/>
  <c r="Y1924" i="1"/>
  <c r="AA1924" i="1" s="1"/>
  <c r="J1924" i="1"/>
  <c r="N1924" i="1" s="1"/>
  <c r="Y1922" i="1"/>
  <c r="AA1922" i="1" s="1"/>
  <c r="J1922" i="1"/>
  <c r="N1922" i="1" s="1"/>
  <c r="Y1920" i="1"/>
  <c r="AA1920" i="1" s="1"/>
  <c r="J1920" i="1"/>
  <c r="N1920" i="1" s="1"/>
  <c r="Y1918" i="1"/>
  <c r="AA1918" i="1" s="1"/>
  <c r="J1918" i="1"/>
  <c r="N1918" i="1" s="1"/>
  <c r="Y1916" i="1"/>
  <c r="AA1916" i="1" s="1"/>
  <c r="J1916" i="1"/>
  <c r="N1916" i="1" s="1"/>
  <c r="Y1914" i="1"/>
  <c r="AA1914" i="1" s="1"/>
  <c r="J1914" i="1"/>
  <c r="N1914" i="1" s="1"/>
  <c r="Y1912" i="1"/>
  <c r="AA1912" i="1" s="1"/>
  <c r="J1912" i="1"/>
  <c r="N1912" i="1" s="1"/>
  <c r="Y1910" i="1"/>
  <c r="AA1910" i="1" s="1"/>
  <c r="J1910" i="1"/>
  <c r="N1910" i="1" s="1"/>
  <c r="Y1908" i="1"/>
  <c r="AA1908" i="1" s="1"/>
  <c r="J1908" i="1"/>
  <c r="N1908" i="1" s="1"/>
  <c r="AA1906" i="1"/>
  <c r="J1906" i="1"/>
  <c r="N1906" i="1" s="1"/>
  <c r="Y1904" i="1"/>
  <c r="AA1904" i="1" s="1"/>
  <c r="J1904" i="1"/>
  <c r="N1904" i="1" s="1"/>
  <c r="Y1902" i="1"/>
  <c r="AA1902" i="1" s="1"/>
  <c r="J1902" i="1"/>
  <c r="N1902" i="1" s="1"/>
  <c r="Y8" i="4"/>
  <c r="AA8" i="4" s="1"/>
  <c r="Y6" i="4"/>
  <c r="AA6" i="4" s="1"/>
  <c r="Y4" i="4"/>
  <c r="AA4" i="4" s="1"/>
  <c r="Y2" i="4"/>
  <c r="AA2" i="4" s="1"/>
  <c r="Y10" i="4"/>
  <c r="AA10" i="4" s="1"/>
  <c r="N10" i="4"/>
  <c r="N8" i="4"/>
  <c r="N6" i="4"/>
  <c r="M4" i="4"/>
  <c r="N4" i="4" s="1"/>
  <c r="N2" i="4"/>
  <c r="Y1900" i="1"/>
  <c r="AA1900" i="1" s="1"/>
  <c r="I1900" i="1"/>
  <c r="J1900" i="1" s="1"/>
  <c r="N1900" i="1" s="1"/>
  <c r="Y1898" i="1"/>
  <c r="AA1898" i="1" s="1"/>
  <c r="I1898" i="1"/>
  <c r="J1898" i="1" s="1"/>
  <c r="N1898" i="1" s="1"/>
  <c r="Y1896" i="1"/>
  <c r="AA1896" i="1" s="1"/>
  <c r="I1896" i="1"/>
  <c r="Y1894" i="1"/>
  <c r="AA1894" i="1" s="1"/>
  <c r="I1894" i="1"/>
  <c r="J1894" i="1" s="1"/>
  <c r="N1894" i="1" s="1"/>
  <c r="Y1892" i="1"/>
  <c r="AA1892" i="1" s="1"/>
  <c r="J1892" i="1"/>
  <c r="N1892" i="1" s="1"/>
  <c r="Y1890" i="1"/>
  <c r="AA1890" i="1" s="1"/>
  <c r="K1890" i="1"/>
  <c r="J1890" i="1"/>
  <c r="Y1888" i="1"/>
  <c r="AA1888" i="1" s="1"/>
  <c r="K1888" i="1"/>
  <c r="J1888" i="1"/>
  <c r="Y1886" i="1"/>
  <c r="AA1886" i="1" s="1"/>
  <c r="J1886" i="1"/>
  <c r="N1886" i="1" s="1"/>
  <c r="Y1884" i="1"/>
  <c r="AA1884" i="1" s="1"/>
  <c r="J1884" i="1"/>
  <c r="N1884" i="1" s="1"/>
  <c r="Y1882" i="1"/>
  <c r="AA1882" i="1" s="1"/>
  <c r="J1882" i="1"/>
  <c r="N1882" i="1" s="1"/>
  <c r="Y1880" i="1"/>
  <c r="AA1880" i="1" s="1"/>
  <c r="K1880" i="1"/>
  <c r="J1880" i="1"/>
  <c r="Y1878" i="1"/>
  <c r="AA1878" i="1" s="1"/>
  <c r="J1878" i="1"/>
  <c r="N1878" i="1" s="1"/>
  <c r="Y1876" i="1"/>
  <c r="AA1876" i="1" s="1"/>
  <c r="J1876" i="1"/>
  <c r="N1876" i="1" s="1"/>
  <c r="Y1874" i="1"/>
  <c r="AA1874" i="1" s="1"/>
  <c r="K1874" i="1"/>
  <c r="J1874" i="1"/>
  <c r="Y1872" i="1"/>
  <c r="AA1872" i="1" s="1"/>
  <c r="J1872" i="1"/>
  <c r="N1872" i="1" s="1"/>
  <c r="Y1870" i="1"/>
  <c r="AA1870" i="1" s="1"/>
  <c r="J1870" i="1"/>
  <c r="N1870" i="1" s="1"/>
  <c r="Y1868" i="1"/>
  <c r="AA1868" i="1" s="1"/>
  <c r="J1868" i="1"/>
  <c r="N1868" i="1" s="1"/>
  <c r="Y1866" i="1"/>
  <c r="AA1866" i="1" s="1"/>
  <c r="J1866" i="1"/>
  <c r="N1866" i="1" s="1"/>
  <c r="Y1864" i="1"/>
  <c r="AA1864" i="1" s="1"/>
  <c r="J1864" i="1"/>
  <c r="N1864" i="1" s="1"/>
  <c r="Y1862" i="1"/>
  <c r="AA1862" i="1" s="1"/>
  <c r="J1862" i="1"/>
  <c r="N1862" i="1" s="1"/>
  <c r="Y1860" i="1"/>
  <c r="AA1860" i="1" s="1"/>
  <c r="J1860" i="1"/>
  <c r="N1860" i="1" s="1"/>
  <c r="Y1858" i="1"/>
  <c r="AA1858" i="1" s="1"/>
  <c r="J1858" i="1"/>
  <c r="N1858" i="1" s="1"/>
  <c r="Y1856" i="1"/>
  <c r="AA1856" i="1" s="1"/>
  <c r="J1856" i="1"/>
  <c r="N1856" i="1" s="1"/>
  <c r="Y1854" i="1"/>
  <c r="AA1854" i="1" s="1"/>
  <c r="J1854" i="1"/>
  <c r="N1854" i="1" s="1"/>
  <c r="Y1852" i="1"/>
  <c r="AA1852" i="1" s="1"/>
  <c r="J1852" i="1"/>
  <c r="N1852" i="1" s="1"/>
  <c r="Y1850" i="1"/>
  <c r="AA1850" i="1" s="1"/>
  <c r="J1850" i="1"/>
  <c r="N1850" i="1" s="1"/>
  <c r="Y1848" i="1"/>
  <c r="AA1848" i="1" s="1"/>
  <c r="J1848" i="1"/>
  <c r="N1848" i="1" s="1"/>
  <c r="Y1846" i="1"/>
  <c r="AA1846" i="1" s="1"/>
  <c r="J1846" i="1"/>
  <c r="N1846" i="1" s="1"/>
  <c r="Y1844" i="1"/>
  <c r="AA1844" i="1" s="1"/>
  <c r="J1844" i="1"/>
  <c r="N1844" i="1" s="1"/>
  <c r="Y1842" i="1"/>
  <c r="AA1842" i="1" s="1"/>
  <c r="J1842" i="1"/>
  <c r="N1842" i="1" s="1"/>
  <c r="Y1840" i="1"/>
  <c r="AA1840" i="1" s="1"/>
  <c r="J1840" i="1"/>
  <c r="N1840" i="1" s="1"/>
  <c r="Y1838" i="1"/>
  <c r="AA1838" i="1" s="1"/>
  <c r="K1838" i="1"/>
  <c r="J1838" i="1"/>
  <c r="Y1836" i="1"/>
  <c r="AA1836" i="1" s="1"/>
  <c r="J1836" i="1"/>
  <c r="N1836" i="1" s="1"/>
  <c r="Y1834" i="1"/>
  <c r="AA1834" i="1" s="1"/>
  <c r="N1834" i="1"/>
  <c r="Y1832" i="1"/>
  <c r="AA1832" i="1" s="1"/>
  <c r="J1832" i="1"/>
  <c r="N1832" i="1" s="1"/>
  <c r="Y1830" i="1"/>
  <c r="AA1830" i="1" s="1"/>
  <c r="J1830" i="1"/>
  <c r="N1830" i="1" s="1"/>
  <c r="Y1828" i="1"/>
  <c r="AA1828" i="1" s="1"/>
  <c r="J1828" i="1"/>
  <c r="N1828" i="1" s="1"/>
  <c r="Y1826" i="1"/>
  <c r="AA1826" i="1" s="1"/>
  <c r="J1826" i="1"/>
  <c r="N1826" i="1" s="1"/>
  <c r="Y1824" i="1"/>
  <c r="AA1824" i="1" s="1"/>
  <c r="J1824" i="1"/>
  <c r="N1824" i="1" s="1"/>
  <c r="Y1822" i="1"/>
  <c r="AA1822" i="1" s="1"/>
  <c r="J1822" i="1"/>
  <c r="N1822" i="1" s="1"/>
  <c r="Y1820" i="1"/>
  <c r="AA1820" i="1" s="1"/>
  <c r="J1820" i="1"/>
  <c r="N1820" i="1" s="1"/>
  <c r="Y1818" i="1"/>
  <c r="AA1818" i="1" s="1"/>
  <c r="J1818" i="1"/>
  <c r="N1818" i="1" s="1"/>
  <c r="Y1816" i="1"/>
  <c r="AA1816" i="1" s="1"/>
  <c r="J1816" i="1"/>
  <c r="N1816" i="1" s="1"/>
  <c r="Y1814" i="1"/>
  <c r="AA1814" i="1" s="1"/>
  <c r="J1814" i="1"/>
  <c r="N1814" i="1" s="1"/>
  <c r="Y1812" i="1"/>
  <c r="AA1812" i="1" s="1"/>
  <c r="J1812" i="1"/>
  <c r="N1812" i="1" s="1"/>
  <c r="Y1810" i="1"/>
  <c r="AA1810" i="1" s="1"/>
  <c r="J1810" i="1"/>
  <c r="N1810" i="1" s="1"/>
  <c r="Y1808" i="1"/>
  <c r="AA1808" i="1" s="1"/>
  <c r="J1808" i="1"/>
  <c r="N1808" i="1" s="1"/>
  <c r="Y1806" i="1"/>
  <c r="AA1806" i="1" s="1"/>
  <c r="J1806" i="1"/>
  <c r="N1806" i="1" s="1"/>
  <c r="Y1804" i="1"/>
  <c r="AA1804" i="1" s="1"/>
  <c r="K1804" i="1"/>
  <c r="J1804" i="1"/>
  <c r="Y1802" i="1"/>
  <c r="AA1802" i="1" s="1"/>
  <c r="J1802" i="1"/>
  <c r="N1802" i="1" s="1"/>
  <c r="Y1800" i="1"/>
  <c r="AA1800" i="1" s="1"/>
  <c r="J1800" i="1"/>
  <c r="N1800" i="1" s="1"/>
  <c r="Y1798" i="1"/>
  <c r="AA1798" i="1" s="1"/>
  <c r="J1798" i="1"/>
  <c r="N1798" i="1" s="1"/>
  <c r="Y1796" i="1"/>
  <c r="AA1796" i="1" s="1"/>
  <c r="I1796" i="1"/>
  <c r="Y1794" i="1"/>
  <c r="AA1794" i="1" s="1"/>
  <c r="I1794" i="1"/>
  <c r="J1794" i="1" s="1"/>
  <c r="Y1792" i="1"/>
  <c r="AA1792" i="1" s="1"/>
  <c r="I1792" i="1"/>
  <c r="Y1790" i="1"/>
  <c r="AA1790" i="1" s="1"/>
  <c r="I1790" i="1"/>
  <c r="J1790" i="1" s="1"/>
  <c r="N1790" i="1" s="1"/>
  <c r="Y1788" i="1"/>
  <c r="AA1788" i="1" s="1"/>
  <c r="I1788" i="1"/>
  <c r="J1788" i="1" s="1"/>
  <c r="N1788" i="1" s="1"/>
  <c r="Y1786" i="1"/>
  <c r="AA1786" i="1" s="1"/>
  <c r="I1786" i="1"/>
  <c r="Y1784" i="1"/>
  <c r="AA1784" i="1" s="1"/>
  <c r="I1784" i="1"/>
  <c r="J1784" i="1" s="1"/>
  <c r="N1784" i="1" s="1"/>
  <c r="Y1782" i="1"/>
  <c r="AA1782" i="1" s="1"/>
  <c r="I1782" i="1"/>
  <c r="J1782" i="1" s="1"/>
  <c r="N1782" i="1" s="1"/>
  <c r="Y1780" i="1"/>
  <c r="AA1780" i="1" s="1"/>
  <c r="J1780" i="1"/>
  <c r="N1780" i="1" s="1"/>
  <c r="AA1778" i="1"/>
  <c r="J1778" i="1"/>
  <c r="N1778" i="1" s="1"/>
  <c r="AA1776" i="1"/>
  <c r="K1776" i="1"/>
  <c r="J1776" i="1"/>
  <c r="Y1774" i="1"/>
  <c r="AA1774" i="1" s="1"/>
  <c r="K1774" i="1"/>
  <c r="J1774" i="1"/>
  <c r="Y1772" i="1"/>
  <c r="AA1772" i="1" s="1"/>
  <c r="J1772" i="1"/>
  <c r="N1772" i="1" s="1"/>
  <c r="Y1770" i="1"/>
  <c r="AA1770" i="1" s="1"/>
  <c r="K1770" i="1"/>
  <c r="J1770" i="1"/>
  <c r="Y1768" i="1"/>
  <c r="AA1768" i="1" s="1"/>
  <c r="J1768" i="1"/>
  <c r="N1768" i="1" s="1"/>
  <c r="Y1766" i="1"/>
  <c r="AA1766" i="1" s="1"/>
  <c r="J1766" i="1"/>
  <c r="N1766" i="1" s="1"/>
  <c r="Y1764" i="1"/>
  <c r="AA1764" i="1" s="1"/>
  <c r="J1764" i="1"/>
  <c r="N1764" i="1" s="1"/>
  <c r="Y1762" i="1"/>
  <c r="AA1762" i="1" s="1"/>
  <c r="J1762" i="1"/>
  <c r="N1762" i="1" s="1"/>
  <c r="Y1760" i="1"/>
  <c r="AA1760" i="1" s="1"/>
  <c r="J1760" i="1"/>
  <c r="N1760" i="1" s="1"/>
  <c r="Y1758" i="1"/>
  <c r="AA1758" i="1" s="1"/>
  <c r="J1758" i="1"/>
  <c r="N1758" i="1" s="1"/>
  <c r="Y1756" i="1"/>
  <c r="AA1756" i="1" s="1"/>
  <c r="J1756" i="1"/>
  <c r="N1756" i="1" s="1"/>
  <c r="Y1754" i="1"/>
  <c r="AA1754" i="1" s="1"/>
  <c r="J1754" i="1"/>
  <c r="N1754" i="1" s="1"/>
  <c r="Y1752" i="1"/>
  <c r="AA1752" i="1" s="1"/>
  <c r="K1752" i="1"/>
  <c r="J1752" i="1"/>
  <c r="Y1750" i="1"/>
  <c r="AA1750" i="1" s="1"/>
  <c r="J1750" i="1"/>
  <c r="N1750" i="1" s="1"/>
  <c r="Y1748" i="1"/>
  <c r="AA1748" i="1" s="1"/>
  <c r="K1748" i="1"/>
  <c r="J1748" i="1"/>
  <c r="Y1746" i="1"/>
  <c r="AA1746" i="1" s="1"/>
  <c r="K1746" i="1"/>
  <c r="J1746" i="1"/>
  <c r="Y1744" i="1"/>
  <c r="AA1744" i="1" s="1"/>
  <c r="J1744" i="1"/>
  <c r="N1744" i="1" s="1"/>
  <c r="Y1742" i="1"/>
  <c r="AA1742" i="1" s="1"/>
  <c r="J1742" i="1"/>
  <c r="N1742" i="1" s="1"/>
  <c r="Y1740" i="1"/>
  <c r="AA1740" i="1" s="1"/>
  <c r="J1740" i="1"/>
  <c r="N1740" i="1" s="1"/>
  <c r="Y1738" i="1"/>
  <c r="AA1738" i="1" s="1"/>
  <c r="J1738" i="1"/>
  <c r="N1738" i="1" s="1"/>
  <c r="Y1736" i="1"/>
  <c r="AA1736" i="1" s="1"/>
  <c r="J1736" i="1"/>
  <c r="N1736" i="1" s="1"/>
  <c r="Y1734" i="1"/>
  <c r="AA1734" i="1" s="1"/>
  <c r="J1734" i="1"/>
  <c r="N1734" i="1" s="1"/>
  <c r="Y1732" i="1"/>
  <c r="AA1732" i="1" s="1"/>
  <c r="J1732" i="1"/>
  <c r="N1732" i="1" s="1"/>
  <c r="Y1730" i="1"/>
  <c r="AA1730" i="1" s="1"/>
  <c r="J1730" i="1"/>
  <c r="N1730" i="1" s="1"/>
  <c r="AA1728" i="1"/>
  <c r="J1728" i="1"/>
  <c r="N1728" i="1" s="1"/>
  <c r="Y1726" i="1"/>
  <c r="AA1726" i="1" s="1"/>
  <c r="J1726" i="1"/>
  <c r="N1726" i="1" s="1"/>
  <c r="Y1724" i="1"/>
  <c r="AA1724" i="1" s="1"/>
  <c r="J1724" i="1"/>
  <c r="N1724" i="1" s="1"/>
  <c r="Y1722" i="1"/>
  <c r="AA1722" i="1" s="1"/>
  <c r="J1722" i="1"/>
  <c r="N1722" i="1" s="1"/>
  <c r="Y1720" i="1"/>
  <c r="AA1720" i="1" s="1"/>
  <c r="J1720" i="1"/>
  <c r="N1720" i="1" s="1"/>
  <c r="Y1718" i="1"/>
  <c r="AA1718" i="1" s="1"/>
  <c r="J1718" i="1"/>
  <c r="N1718" i="1" s="1"/>
  <c r="Y1716" i="1"/>
  <c r="AA1716" i="1" s="1"/>
  <c r="J1716" i="1"/>
  <c r="N1716" i="1" s="1"/>
  <c r="Y1714" i="1"/>
  <c r="AA1714" i="1" s="1"/>
  <c r="J1714" i="1"/>
  <c r="N1714" i="1" s="1"/>
  <c r="Y1712" i="1"/>
  <c r="AA1712" i="1" s="1"/>
  <c r="J1712" i="1"/>
  <c r="N1712" i="1" s="1"/>
  <c r="Y1710" i="1"/>
  <c r="AA1710" i="1" s="1"/>
  <c r="J1710" i="1"/>
  <c r="N1710" i="1" s="1"/>
  <c r="Y1708" i="1"/>
  <c r="AA1708" i="1" s="1"/>
  <c r="J1708" i="1"/>
  <c r="N1708" i="1" s="1"/>
  <c r="Y1706" i="1"/>
  <c r="AA1706" i="1" s="1"/>
  <c r="J1706" i="1"/>
  <c r="N1706" i="1" s="1"/>
  <c r="Y1704" i="1"/>
  <c r="AA1704" i="1" s="1"/>
  <c r="J1704" i="1"/>
  <c r="N1704" i="1" s="1"/>
  <c r="Y1702" i="1"/>
  <c r="AA1702" i="1" s="1"/>
  <c r="J1702" i="1"/>
  <c r="N1702" i="1" s="1"/>
  <c r="Y1700" i="1"/>
  <c r="AA1700" i="1" s="1"/>
  <c r="J1700" i="1"/>
  <c r="N1700" i="1" s="1"/>
  <c r="Y1698" i="1"/>
  <c r="AA1698" i="1" s="1"/>
  <c r="I1698" i="1"/>
  <c r="AA1696" i="1"/>
  <c r="K1696" i="1"/>
  <c r="J1696" i="1"/>
  <c r="Y1694" i="1"/>
  <c r="AA1694" i="1" s="1"/>
  <c r="J1694" i="1"/>
  <c r="N1694" i="1" s="1"/>
  <c r="Y1692" i="1"/>
  <c r="AA1692" i="1" s="1"/>
  <c r="J1692" i="1"/>
  <c r="N1692" i="1" s="1"/>
  <c r="Y1690" i="1"/>
  <c r="AA1690" i="1" s="1"/>
  <c r="J1690" i="1"/>
  <c r="N1690" i="1" s="1"/>
  <c r="Y1688" i="1"/>
  <c r="AA1688" i="1" s="1"/>
  <c r="J1688" i="1"/>
  <c r="N1688" i="1" s="1"/>
  <c r="Y1686" i="1"/>
  <c r="AA1686" i="1" s="1"/>
  <c r="J1686" i="1"/>
  <c r="N1686" i="1" s="1"/>
  <c r="Y1684" i="1"/>
  <c r="AA1684" i="1" s="1"/>
  <c r="J1684" i="1"/>
  <c r="N1684" i="1" s="1"/>
  <c r="Y1682" i="1"/>
  <c r="AA1682" i="1" s="1"/>
  <c r="J1682" i="1"/>
  <c r="N1682" i="1" s="1"/>
  <c r="Y1680" i="1"/>
  <c r="AA1680" i="1" s="1"/>
  <c r="J1680" i="1"/>
  <c r="N1680" i="1" s="1"/>
  <c r="Y1678" i="1"/>
  <c r="AA1678" i="1" s="1"/>
  <c r="J1678" i="1"/>
  <c r="N1678" i="1" s="1"/>
  <c r="Y1676" i="1"/>
  <c r="AA1676" i="1" s="1"/>
  <c r="J1676" i="1"/>
  <c r="N1676" i="1" s="1"/>
  <c r="Y1674" i="1"/>
  <c r="AA1674" i="1" s="1"/>
  <c r="K1674" i="1"/>
  <c r="J1674" i="1"/>
  <c r="Y1672" i="1"/>
  <c r="AA1672" i="1" s="1"/>
  <c r="J1672" i="1"/>
  <c r="N1672" i="1" s="1"/>
  <c r="Y1670" i="1"/>
  <c r="AA1670" i="1" s="1"/>
  <c r="J1670" i="1"/>
  <c r="N1670" i="1" s="1"/>
  <c r="Y1668" i="1"/>
  <c r="AA1668" i="1" s="1"/>
  <c r="J1668" i="1"/>
  <c r="N1668" i="1" s="1"/>
  <c r="Y1666" i="1"/>
  <c r="AA1666" i="1" s="1"/>
  <c r="J1666" i="1"/>
  <c r="N1666" i="1" s="1"/>
  <c r="Y1664" i="1"/>
  <c r="AA1664" i="1" s="1"/>
  <c r="J1664" i="1"/>
  <c r="N1664" i="1" s="1"/>
  <c r="Y1662" i="1"/>
  <c r="AA1662" i="1" s="1"/>
  <c r="J1662" i="1"/>
  <c r="N1662" i="1" s="1"/>
  <c r="Y1660" i="1"/>
  <c r="AA1660" i="1" s="1"/>
  <c r="J1660" i="1"/>
  <c r="N1660" i="1" s="1"/>
  <c r="Y1658" i="1"/>
  <c r="AA1658" i="1" s="1"/>
  <c r="J1658" i="1"/>
  <c r="N1658" i="1" s="1"/>
  <c r="Y1656" i="1"/>
  <c r="AA1656" i="1" s="1"/>
  <c r="I1656" i="1"/>
  <c r="J1656" i="1" s="1"/>
  <c r="N1656" i="1" s="1"/>
  <c r="Y1654" i="1"/>
  <c r="AA1654" i="1" s="1"/>
  <c r="I1654" i="1"/>
  <c r="J1654" i="1" s="1"/>
  <c r="N1654" i="1" s="1"/>
  <c r="Y1652" i="1"/>
  <c r="AA1652" i="1" s="1"/>
  <c r="I1652" i="1"/>
  <c r="J1652" i="1" s="1"/>
  <c r="Y1650" i="1"/>
  <c r="AA1650" i="1" s="1"/>
  <c r="J1650" i="1"/>
  <c r="N1650" i="1" s="1"/>
  <c r="Y1648" i="1"/>
  <c r="AA1648" i="1" s="1"/>
  <c r="J1648" i="1"/>
  <c r="N1648" i="1" s="1"/>
  <c r="Y1646" i="1"/>
  <c r="AA1646" i="1" s="1"/>
  <c r="J1646" i="1"/>
  <c r="N1646" i="1" s="1"/>
  <c r="Y1644" i="1"/>
  <c r="AA1644" i="1" s="1"/>
  <c r="J1644" i="1"/>
  <c r="N1644" i="1" s="1"/>
  <c r="AA1642" i="1"/>
  <c r="K1642" i="1"/>
  <c r="J1642" i="1"/>
  <c r="Y1640" i="1"/>
  <c r="AA1640" i="1" s="1"/>
  <c r="J1640" i="1"/>
  <c r="N1640" i="1" s="1"/>
  <c r="Y1638" i="1"/>
  <c r="AA1638" i="1" s="1"/>
  <c r="J1638" i="1"/>
  <c r="N1638" i="1" s="1"/>
  <c r="Y1636" i="1"/>
  <c r="AA1636" i="1" s="1"/>
  <c r="J1636" i="1"/>
  <c r="N1636" i="1" s="1"/>
  <c r="Y1634" i="1"/>
  <c r="AA1634" i="1" s="1"/>
  <c r="K1634" i="1"/>
  <c r="J1634" i="1"/>
  <c r="Y1632" i="1"/>
  <c r="AA1632" i="1" s="1"/>
  <c r="K1632" i="1"/>
  <c r="J1632" i="1"/>
  <c r="Y1630" i="1"/>
  <c r="AA1630" i="1" s="1"/>
  <c r="K1630" i="1"/>
  <c r="J1630" i="1"/>
  <c r="Y1628" i="1"/>
  <c r="AA1628" i="1" s="1"/>
  <c r="J1628" i="1"/>
  <c r="N1628" i="1" s="1"/>
  <c r="Y1626" i="1"/>
  <c r="AA1626" i="1" s="1"/>
  <c r="J1626" i="1"/>
  <c r="N1626" i="1" s="1"/>
  <c r="Y1624" i="1"/>
  <c r="AA1624" i="1" s="1"/>
  <c r="N1624" i="1"/>
  <c r="Y1622" i="1"/>
  <c r="AA1622" i="1" s="1"/>
  <c r="J1622" i="1"/>
  <c r="N1622" i="1" s="1"/>
  <c r="Y1620" i="1"/>
  <c r="AA1620" i="1" s="1"/>
  <c r="J1620" i="1"/>
  <c r="N1620" i="1" s="1"/>
  <c r="Y1618" i="1"/>
  <c r="AA1618" i="1" s="1"/>
  <c r="J1618" i="1"/>
  <c r="N1618" i="1" s="1"/>
  <c r="Y1616" i="1"/>
  <c r="AA1616" i="1" s="1"/>
  <c r="J1616" i="1"/>
  <c r="N1616" i="1" s="1"/>
  <c r="Y1614" i="1"/>
  <c r="AA1614" i="1" s="1"/>
  <c r="J1614" i="1"/>
  <c r="N1614" i="1" s="1"/>
  <c r="Y1612" i="1"/>
  <c r="AA1612" i="1" s="1"/>
  <c r="J1612" i="1"/>
  <c r="N1612" i="1" s="1"/>
  <c r="Y1610" i="1"/>
  <c r="AA1610" i="1" s="1"/>
  <c r="J1610" i="1"/>
  <c r="N1610" i="1" s="1"/>
  <c r="Y1608" i="1"/>
  <c r="AA1608" i="1" s="1"/>
  <c r="J1608" i="1"/>
  <c r="N1608" i="1" s="1"/>
  <c r="Y1606" i="1"/>
  <c r="AA1606" i="1" s="1"/>
  <c r="J1606" i="1"/>
  <c r="N1606" i="1" s="1"/>
  <c r="Y1604" i="1"/>
  <c r="AA1604" i="1" s="1"/>
  <c r="I1604" i="1"/>
  <c r="J1604" i="1" s="1"/>
  <c r="N1604" i="1" s="1"/>
  <c r="Y1602" i="1"/>
  <c r="AA1602" i="1" s="1"/>
  <c r="I1602" i="1"/>
  <c r="J1602" i="1" s="1"/>
  <c r="N1602" i="1" s="1"/>
  <c r="Y1600" i="1"/>
  <c r="AA1600" i="1" s="1"/>
  <c r="I1600" i="1"/>
  <c r="J1600" i="1" s="1"/>
  <c r="N1600" i="1" s="1"/>
  <c r="Y1598" i="1"/>
  <c r="AA1598" i="1" s="1"/>
  <c r="I1598" i="1"/>
  <c r="Y1596" i="1"/>
  <c r="AA1596" i="1" s="1"/>
  <c r="I1596" i="1"/>
  <c r="J1596" i="1" s="1"/>
  <c r="Y1594" i="1"/>
  <c r="AA1594" i="1" s="1"/>
  <c r="I1594" i="1"/>
  <c r="Y1592" i="1"/>
  <c r="AA1592" i="1" s="1"/>
  <c r="I1592" i="1"/>
  <c r="J1592" i="1" s="1"/>
  <c r="Y1590" i="1"/>
  <c r="AA1590" i="1" s="1"/>
  <c r="I1590" i="1"/>
  <c r="Y1588" i="1"/>
  <c r="AA1588" i="1" s="1"/>
  <c r="I1588" i="1"/>
  <c r="J1588" i="1" s="1"/>
  <c r="N1588" i="1" s="1"/>
  <c r="Y1586" i="1"/>
  <c r="AA1586" i="1" s="1"/>
  <c r="I1586" i="1"/>
  <c r="J1586" i="1" s="1"/>
  <c r="N1586" i="1" s="1"/>
  <c r="Y1584" i="1"/>
  <c r="AA1584" i="1" s="1"/>
  <c r="K1584" i="1"/>
  <c r="J1584" i="1"/>
  <c r="Y1582" i="1"/>
  <c r="AA1582" i="1" s="1"/>
  <c r="J1582" i="1"/>
  <c r="N1582" i="1" s="1"/>
  <c r="Y1580" i="1"/>
  <c r="AA1580" i="1" s="1"/>
  <c r="J1580" i="1"/>
  <c r="N1580" i="1" s="1"/>
  <c r="Y1578" i="1"/>
  <c r="AA1578" i="1" s="1"/>
  <c r="J1578" i="1"/>
  <c r="N1578" i="1" s="1"/>
  <c r="Y1576" i="1"/>
  <c r="AA1576" i="1" s="1"/>
  <c r="J1576" i="1"/>
  <c r="N1576" i="1" s="1"/>
  <c r="Y1574" i="1"/>
  <c r="AA1574" i="1" s="1"/>
  <c r="J1574" i="1"/>
  <c r="N1574" i="1" s="1"/>
  <c r="Y1572" i="1"/>
  <c r="AA1572" i="1" s="1"/>
  <c r="N1572" i="1"/>
  <c r="Y1570" i="1"/>
  <c r="AA1570" i="1" s="1"/>
  <c r="J1570" i="1"/>
  <c r="N1570" i="1" s="1"/>
  <c r="Y1568" i="1"/>
  <c r="AA1568" i="1" s="1"/>
  <c r="J1568" i="1"/>
  <c r="N1568" i="1" s="1"/>
  <c r="Y1566" i="1"/>
  <c r="AA1566" i="1" s="1"/>
  <c r="J1566" i="1"/>
  <c r="N1566" i="1" s="1"/>
  <c r="AA1564" i="1"/>
  <c r="N1564" i="1"/>
  <c r="Y1562" i="1"/>
  <c r="AA1562" i="1" s="1"/>
  <c r="J1562" i="1"/>
  <c r="N1562" i="1" s="1"/>
  <c r="Y1560" i="1"/>
  <c r="AA1560" i="1" s="1"/>
  <c r="J1560" i="1"/>
  <c r="N1560" i="1" s="1"/>
  <c r="Y1558" i="1"/>
  <c r="AA1558" i="1" s="1"/>
  <c r="J1558" i="1"/>
  <c r="N1558" i="1" s="1"/>
  <c r="Y1556" i="1"/>
  <c r="AA1556" i="1" s="1"/>
  <c r="J1556" i="1"/>
  <c r="N1556" i="1" s="1"/>
  <c r="Y1554" i="1"/>
  <c r="AA1554" i="1" s="1"/>
  <c r="J1554" i="1"/>
  <c r="N1554" i="1" s="1"/>
  <c r="Y1552" i="1"/>
  <c r="AA1552" i="1" s="1"/>
  <c r="J1552" i="1"/>
  <c r="N1552" i="1" s="1"/>
  <c r="Y1550" i="1"/>
  <c r="AA1550" i="1" s="1"/>
  <c r="K1550" i="1"/>
  <c r="J1550" i="1"/>
  <c r="Y1548" i="1"/>
  <c r="AA1548" i="1" s="1"/>
  <c r="J1548" i="1"/>
  <c r="N1548" i="1" s="1"/>
  <c r="Y1546" i="1"/>
  <c r="AA1546" i="1" s="1"/>
  <c r="K1546" i="1"/>
  <c r="J1546" i="1"/>
  <c r="Y1544" i="1"/>
  <c r="AA1544" i="1" s="1"/>
  <c r="K1544" i="1"/>
  <c r="J1544" i="1"/>
  <c r="Y1542" i="1"/>
  <c r="AA1542" i="1" s="1"/>
  <c r="J1542" i="1"/>
  <c r="N1542" i="1" s="1"/>
  <c r="Y1540" i="1"/>
  <c r="AA1540" i="1" s="1"/>
  <c r="J1540" i="1"/>
  <c r="N1540" i="1" s="1"/>
  <c r="Y1538" i="1"/>
  <c r="AA1538" i="1" s="1"/>
  <c r="J1538" i="1"/>
  <c r="N1538" i="1" s="1"/>
  <c r="Y1536" i="1"/>
  <c r="AA1536" i="1" s="1"/>
  <c r="J1536" i="1"/>
  <c r="N1536" i="1" s="1"/>
  <c r="Y1534" i="1"/>
  <c r="AA1534" i="1" s="1"/>
  <c r="K1534" i="1"/>
  <c r="J1534" i="1"/>
  <c r="Y1532" i="1"/>
  <c r="AA1532" i="1" s="1"/>
  <c r="N1532" i="1"/>
  <c r="Y1530" i="1"/>
  <c r="AA1530" i="1" s="1"/>
  <c r="J1530" i="1"/>
  <c r="N1530" i="1" s="1"/>
  <c r="Y1528" i="1"/>
  <c r="AA1528" i="1" s="1"/>
  <c r="J1528" i="1"/>
  <c r="N1528" i="1" s="1"/>
  <c r="Y1526" i="1"/>
  <c r="AA1526" i="1" s="1"/>
  <c r="K1526" i="1"/>
  <c r="J1526" i="1"/>
  <c r="Y1524" i="1"/>
  <c r="AA1524" i="1" s="1"/>
  <c r="K1524" i="1"/>
  <c r="J1524" i="1"/>
  <c r="Y1522" i="1"/>
  <c r="AA1522" i="1" s="1"/>
  <c r="K1522" i="1"/>
  <c r="J1522" i="1"/>
  <c r="Y1520" i="1"/>
  <c r="AA1520" i="1" s="1"/>
  <c r="J1520" i="1"/>
  <c r="N1520" i="1" s="1"/>
  <c r="Y1518" i="1"/>
  <c r="AA1518" i="1" s="1"/>
  <c r="J1518" i="1"/>
  <c r="N1518" i="1" s="1"/>
  <c r="Y1516" i="1"/>
  <c r="AA1516" i="1" s="1"/>
  <c r="J1516" i="1"/>
  <c r="N1516" i="1" s="1"/>
  <c r="Y1514" i="1"/>
  <c r="AA1514" i="1" s="1"/>
  <c r="J1514" i="1"/>
  <c r="N1514" i="1" s="1"/>
  <c r="Y1512" i="1"/>
  <c r="AA1512" i="1" s="1"/>
  <c r="J1512" i="1"/>
  <c r="N1512" i="1" s="1"/>
  <c r="Y1510" i="1"/>
  <c r="AA1510" i="1" s="1"/>
  <c r="J1510" i="1"/>
  <c r="N1510" i="1" s="1"/>
  <c r="Y1508" i="1"/>
  <c r="AA1508" i="1" s="1"/>
  <c r="J1508" i="1"/>
  <c r="N1508" i="1" s="1"/>
  <c r="Y1506" i="1"/>
  <c r="AA1506" i="1" s="1"/>
  <c r="J1506" i="1"/>
  <c r="N1506" i="1" s="1"/>
  <c r="Y1504" i="1"/>
  <c r="AA1504" i="1" s="1"/>
  <c r="J1504" i="1"/>
  <c r="N1504" i="1" s="1"/>
  <c r="Y1502" i="1"/>
  <c r="AA1502" i="1" s="1"/>
  <c r="J1502" i="1"/>
  <c r="Y1500" i="1"/>
  <c r="AA1500" i="1" s="1"/>
  <c r="J1500" i="1"/>
  <c r="N1500" i="1" s="1"/>
  <c r="Y1498" i="1"/>
  <c r="AA1498" i="1" s="1"/>
  <c r="J1498" i="1"/>
  <c r="N1498" i="1" s="1"/>
  <c r="Y1496" i="1"/>
  <c r="AA1496" i="1" s="1"/>
  <c r="J1496" i="1"/>
  <c r="N1496" i="1" s="1"/>
  <c r="Y1494" i="1"/>
  <c r="AA1494" i="1" s="1"/>
  <c r="K1494" i="1"/>
  <c r="J1494" i="1"/>
  <c r="Y1492" i="1"/>
  <c r="AA1492" i="1" s="1"/>
  <c r="I1492" i="1"/>
  <c r="J1492" i="1" s="1"/>
  <c r="N1492" i="1" s="1"/>
  <c r="Y1490" i="1"/>
  <c r="AA1490" i="1" s="1"/>
  <c r="I1490" i="1"/>
  <c r="J1490" i="1" s="1"/>
  <c r="Y1488" i="1"/>
  <c r="AA1488" i="1" s="1"/>
  <c r="I1488" i="1"/>
  <c r="J1488" i="1" s="1"/>
  <c r="N1488" i="1" s="1"/>
  <c r="Y1486" i="1"/>
  <c r="AA1486" i="1" s="1"/>
  <c r="I1486" i="1"/>
  <c r="Y1484" i="1"/>
  <c r="AA1484" i="1" s="1"/>
  <c r="I1484" i="1"/>
  <c r="Y1482" i="1"/>
  <c r="AA1482" i="1" s="1"/>
  <c r="K1482" i="1"/>
  <c r="J1482" i="1"/>
  <c r="Y1480" i="1"/>
  <c r="AA1480" i="1" s="1"/>
  <c r="J1480" i="1"/>
  <c r="N1480" i="1" s="1"/>
  <c r="Y1478" i="1"/>
  <c r="AA1478" i="1" s="1"/>
  <c r="J1478" i="1"/>
  <c r="N1478" i="1" s="1"/>
  <c r="Y1476" i="1"/>
  <c r="AA1476" i="1" s="1"/>
  <c r="J1476" i="1"/>
  <c r="N1476" i="1" s="1"/>
  <c r="Y1474" i="1"/>
  <c r="AA1474" i="1" s="1"/>
  <c r="J1474" i="1"/>
  <c r="N1474" i="1" s="1"/>
  <c r="Y1472" i="1"/>
  <c r="AA1472" i="1" s="1"/>
  <c r="J1472" i="1"/>
  <c r="N1472" i="1" s="1"/>
  <c r="Y1470" i="1"/>
  <c r="AA1470" i="1" s="1"/>
  <c r="J1470" i="1"/>
  <c r="N1470" i="1" s="1"/>
  <c r="Y1468" i="1"/>
  <c r="AA1468" i="1" s="1"/>
  <c r="J1468" i="1"/>
  <c r="N1468" i="1" s="1"/>
  <c r="Y1466" i="1"/>
  <c r="AA1466" i="1" s="1"/>
  <c r="J1466" i="1"/>
  <c r="N1466" i="1" s="1"/>
  <c r="Y1464" i="1"/>
  <c r="AA1464" i="1" s="1"/>
  <c r="J1464" i="1"/>
  <c r="N1464" i="1" s="1"/>
  <c r="Y1462" i="1"/>
  <c r="AA1462" i="1" s="1"/>
  <c r="J1462" i="1"/>
  <c r="N1462" i="1" s="1"/>
  <c r="Y1460" i="1"/>
  <c r="AA1460" i="1" s="1"/>
  <c r="K1460" i="1"/>
  <c r="J1460" i="1"/>
  <c r="Y1458" i="1"/>
  <c r="AA1458" i="1" s="1"/>
  <c r="J1458" i="1"/>
  <c r="N1458" i="1" s="1"/>
  <c r="Y1456" i="1"/>
  <c r="AA1456" i="1" s="1"/>
  <c r="J1456" i="1"/>
  <c r="N1456" i="1" s="1"/>
  <c r="Y1454" i="1"/>
  <c r="AA1454" i="1" s="1"/>
  <c r="K1454" i="1"/>
  <c r="J1454" i="1"/>
  <c r="Y1452" i="1"/>
  <c r="AA1452" i="1" s="1"/>
  <c r="J1452" i="1"/>
  <c r="N1452" i="1" s="1"/>
  <c r="Y1450" i="1"/>
  <c r="AA1450" i="1" s="1"/>
  <c r="J1450" i="1"/>
  <c r="N1450" i="1" s="1"/>
  <c r="Y1448" i="1"/>
  <c r="AA1448" i="1" s="1"/>
  <c r="J1448" i="1"/>
  <c r="N1448" i="1" s="1"/>
  <c r="Y1446" i="1"/>
  <c r="AA1446" i="1" s="1"/>
  <c r="I1446" i="1"/>
  <c r="AA1444" i="1"/>
  <c r="J1444" i="1"/>
  <c r="N1444" i="1" s="1"/>
  <c r="Y1442" i="1"/>
  <c r="AA1442" i="1" s="1"/>
  <c r="J1442" i="1"/>
  <c r="N1442" i="1" s="1"/>
  <c r="Y1440" i="1"/>
  <c r="AA1440" i="1" s="1"/>
  <c r="K1440" i="1"/>
  <c r="J1440" i="1"/>
  <c r="AA1438" i="1"/>
  <c r="N1438" i="1"/>
  <c r="Y1436" i="1"/>
  <c r="AA1436" i="1" s="1"/>
  <c r="M1436" i="1"/>
  <c r="K1436" i="1"/>
  <c r="J1436" i="1"/>
  <c r="Y1434" i="1"/>
  <c r="AA1434" i="1" s="1"/>
  <c r="J1434" i="1"/>
  <c r="N1434" i="1" s="1"/>
  <c r="Y1432" i="1"/>
  <c r="AA1432" i="1" s="1"/>
  <c r="J1432" i="1"/>
  <c r="N1432" i="1" s="1"/>
  <c r="Y1430" i="1"/>
  <c r="AA1430" i="1" s="1"/>
  <c r="J1430" i="1"/>
  <c r="N1430" i="1" s="1"/>
  <c r="Y1428" i="1"/>
  <c r="AA1428" i="1" s="1"/>
  <c r="J1428" i="1"/>
  <c r="N1428" i="1" s="1"/>
  <c r="Y1426" i="1"/>
  <c r="AA1426" i="1" s="1"/>
  <c r="J1426" i="1"/>
  <c r="N1426" i="1" s="1"/>
  <c r="Y1424" i="1"/>
  <c r="AA1424" i="1" s="1"/>
  <c r="J1424" i="1"/>
  <c r="N1424" i="1" s="1"/>
  <c r="Y1422" i="1"/>
  <c r="AA1422" i="1" s="1"/>
  <c r="I1422" i="1"/>
  <c r="J1422" i="1" s="1"/>
  <c r="Y1420" i="1"/>
  <c r="AA1420" i="1" s="1"/>
  <c r="I1420" i="1"/>
  <c r="Y1418" i="1"/>
  <c r="AA1418" i="1" s="1"/>
  <c r="I1418" i="1"/>
  <c r="J1418" i="1" s="1"/>
  <c r="N1418" i="1" s="1"/>
  <c r="Y1416" i="1"/>
  <c r="AA1416" i="1" s="1"/>
  <c r="K1416" i="1"/>
  <c r="N1416" i="1" s="1"/>
  <c r="Y1414" i="1"/>
  <c r="AA1414" i="1" s="1"/>
  <c r="J1414" i="1"/>
  <c r="N1414" i="1" s="1"/>
  <c r="Y1412" i="1"/>
  <c r="AA1412" i="1" s="1"/>
  <c r="J1412" i="1"/>
  <c r="N1412" i="1" s="1"/>
  <c r="Y1410" i="1"/>
  <c r="AA1410" i="1" s="1"/>
  <c r="J1410" i="1"/>
  <c r="N1410" i="1" s="1"/>
  <c r="Y1408" i="1"/>
  <c r="AA1408" i="1" s="1"/>
  <c r="J1408" i="1"/>
  <c r="N1408" i="1" s="1"/>
  <c r="Y1406" i="1"/>
  <c r="AA1406" i="1" s="1"/>
  <c r="J1406" i="1"/>
  <c r="N1406" i="1" s="1"/>
  <c r="Y1404" i="1"/>
  <c r="AA1404" i="1" s="1"/>
  <c r="J1404" i="1"/>
  <c r="N1404" i="1" s="1"/>
  <c r="Y1402" i="1"/>
  <c r="AA1402" i="1" s="1"/>
  <c r="J1402" i="1"/>
  <c r="N1402" i="1" s="1"/>
  <c r="Y1400" i="1"/>
  <c r="AA1400" i="1" s="1"/>
  <c r="J1400" i="1"/>
  <c r="N1400" i="1" s="1"/>
  <c r="Y1398" i="1"/>
  <c r="AA1398" i="1" s="1"/>
  <c r="J1398" i="1"/>
  <c r="N1398" i="1" s="1"/>
  <c r="Y1396" i="1"/>
  <c r="AA1396" i="1" s="1"/>
  <c r="J1396" i="1"/>
  <c r="N1396" i="1" s="1"/>
  <c r="Y1394" i="1"/>
  <c r="AA1394" i="1" s="1"/>
  <c r="J1394" i="1"/>
  <c r="N1394" i="1" s="1"/>
  <c r="Y1392" i="1"/>
  <c r="AA1392" i="1" s="1"/>
  <c r="J1392" i="1"/>
  <c r="N1392" i="1" s="1"/>
  <c r="Y1390" i="1"/>
  <c r="AA1390" i="1" s="1"/>
  <c r="J1390" i="1"/>
  <c r="N1390" i="1" s="1"/>
  <c r="Y1388" i="1"/>
  <c r="AA1388" i="1" s="1"/>
  <c r="J1388" i="1"/>
  <c r="N1388" i="1" s="1"/>
  <c r="Y1386" i="1"/>
  <c r="AA1386" i="1" s="1"/>
  <c r="J1386" i="1"/>
  <c r="N1386" i="1" s="1"/>
  <c r="Y1384" i="1"/>
  <c r="AA1384" i="1" s="1"/>
  <c r="K1384" i="1"/>
  <c r="J1384" i="1"/>
  <c r="Y1382" i="1"/>
  <c r="AA1382" i="1" s="1"/>
  <c r="J1382" i="1"/>
  <c r="N1382" i="1" s="1"/>
  <c r="Y1380" i="1"/>
  <c r="AA1380" i="1" s="1"/>
  <c r="J1380" i="1"/>
  <c r="N1380" i="1" s="1"/>
  <c r="Y1378" i="1"/>
  <c r="AA1378" i="1" s="1"/>
  <c r="J1378" i="1"/>
  <c r="N1378" i="1" s="1"/>
  <c r="Y1376" i="1"/>
  <c r="AA1376" i="1" s="1"/>
  <c r="J1376" i="1"/>
  <c r="N1376" i="1" s="1"/>
  <c r="Y1374" i="1"/>
  <c r="AA1374" i="1" s="1"/>
  <c r="J1374" i="1"/>
  <c r="N1374" i="1" s="1"/>
  <c r="Y1372" i="1"/>
  <c r="AA1372" i="1" s="1"/>
  <c r="J1372" i="1"/>
  <c r="N1372" i="1" s="1"/>
  <c r="Y1370" i="1"/>
  <c r="AA1370" i="1" s="1"/>
  <c r="J1370" i="1"/>
  <c r="N1370" i="1" s="1"/>
  <c r="Y1368" i="1"/>
  <c r="AA1368" i="1" s="1"/>
  <c r="J1368" i="1"/>
  <c r="N1368" i="1" s="1"/>
  <c r="Y1366" i="1"/>
  <c r="AA1366" i="1" s="1"/>
  <c r="J1366" i="1"/>
  <c r="N1366" i="1" s="1"/>
  <c r="Y1364" i="1"/>
  <c r="AA1364" i="1" s="1"/>
  <c r="I1364" i="1"/>
  <c r="J1364" i="1" s="1"/>
  <c r="Y1362" i="1"/>
  <c r="AA1362" i="1" s="1"/>
  <c r="I1362" i="1"/>
  <c r="Y1360" i="1"/>
  <c r="AA1360" i="1" s="1"/>
  <c r="I1360" i="1"/>
  <c r="J1360" i="1" s="1"/>
  <c r="N1360" i="1" s="1"/>
  <c r="Y1358" i="1"/>
  <c r="AA1358" i="1" s="1"/>
  <c r="I1358" i="1"/>
  <c r="J1358" i="1" s="1"/>
  <c r="Y1356" i="1"/>
  <c r="AA1356" i="1" s="1"/>
  <c r="J1356" i="1"/>
  <c r="N1356" i="1" s="1"/>
  <c r="Y1354" i="1"/>
  <c r="AA1354" i="1" s="1"/>
  <c r="J1354" i="1"/>
  <c r="N1354" i="1" s="1"/>
  <c r="Y1352" i="1"/>
  <c r="AA1352" i="1" s="1"/>
  <c r="N1352" i="1"/>
  <c r="Y1350" i="1"/>
  <c r="AA1350" i="1" s="1"/>
  <c r="N1350" i="1"/>
  <c r="Y1348" i="1"/>
  <c r="AA1348" i="1" s="1"/>
  <c r="J1348" i="1"/>
  <c r="N1348" i="1" s="1"/>
  <c r="Y1346" i="1"/>
  <c r="AA1346" i="1" s="1"/>
  <c r="K1346" i="1"/>
  <c r="J1346" i="1"/>
  <c r="Y1344" i="1"/>
  <c r="AA1344" i="1" s="1"/>
  <c r="J1344" i="1"/>
  <c r="N1344" i="1" s="1"/>
  <c r="Y1342" i="1"/>
  <c r="AA1342" i="1" s="1"/>
  <c r="J1342" i="1"/>
  <c r="N1342" i="1" s="1"/>
  <c r="Y1340" i="1"/>
  <c r="AA1340" i="1" s="1"/>
  <c r="I1340" i="1"/>
  <c r="J1340" i="1" s="1"/>
  <c r="N1340" i="1" s="1"/>
  <c r="Y1338" i="1"/>
  <c r="AA1338" i="1" s="1"/>
  <c r="J1338" i="1"/>
  <c r="N1338" i="1" s="1"/>
  <c r="Y1336" i="1"/>
  <c r="AA1336" i="1" s="1"/>
  <c r="J1336" i="1"/>
  <c r="N1336" i="1" s="1"/>
  <c r="Y1334" i="1"/>
  <c r="AA1334" i="1" s="1"/>
  <c r="K1334" i="1"/>
  <c r="J1334" i="1"/>
  <c r="Y1332" i="1"/>
  <c r="AA1332" i="1" s="1"/>
  <c r="K1332" i="1"/>
  <c r="J1332" i="1"/>
  <c r="Y1330" i="1"/>
  <c r="AA1330" i="1" s="1"/>
  <c r="J1330" i="1"/>
  <c r="N1330" i="1" s="1"/>
  <c r="Y1328" i="1"/>
  <c r="AA1328" i="1" s="1"/>
  <c r="K1328" i="1"/>
  <c r="J1328" i="1"/>
  <c r="Y1326" i="1"/>
  <c r="AA1326" i="1" s="1"/>
  <c r="J1326" i="1"/>
  <c r="N1326" i="1" s="1"/>
  <c r="Y1324" i="1"/>
  <c r="AA1324" i="1" s="1"/>
  <c r="J1324" i="1"/>
  <c r="N1324" i="1" s="1"/>
  <c r="Y1322" i="1"/>
  <c r="AA1322" i="1" s="1"/>
  <c r="J1322" i="1"/>
  <c r="N1322" i="1" s="1"/>
  <c r="Y1320" i="1"/>
  <c r="AA1320" i="1" s="1"/>
  <c r="J1320" i="1"/>
  <c r="N1320" i="1" s="1"/>
  <c r="Y1318" i="1"/>
  <c r="AA1318" i="1" s="1"/>
  <c r="K1318" i="1"/>
  <c r="J1318" i="1"/>
  <c r="Y1316" i="1"/>
  <c r="AA1316" i="1" s="1"/>
  <c r="J1316" i="1"/>
  <c r="N1316" i="1" s="1"/>
  <c r="Y1314" i="1"/>
  <c r="AA1314" i="1" s="1"/>
  <c r="J1314" i="1"/>
  <c r="N1314" i="1" s="1"/>
  <c r="Y1312" i="1"/>
  <c r="AA1312" i="1" s="1"/>
  <c r="J1312" i="1"/>
  <c r="N1312" i="1" s="1"/>
  <c r="Y1310" i="1"/>
  <c r="AA1310" i="1" s="1"/>
  <c r="J1310" i="1"/>
  <c r="N1310" i="1" s="1"/>
  <c r="Y1308" i="1"/>
  <c r="AA1308" i="1" s="1"/>
  <c r="J1308" i="1"/>
  <c r="N1308" i="1" s="1"/>
  <c r="Y1306" i="1"/>
  <c r="AA1306" i="1" s="1"/>
  <c r="J1306" i="1"/>
  <c r="N1306" i="1" s="1"/>
  <c r="Y1304" i="1"/>
  <c r="AA1304" i="1" s="1"/>
  <c r="I1304" i="1"/>
  <c r="Y1302" i="1"/>
  <c r="AA1302" i="1" s="1"/>
  <c r="J1302" i="1"/>
  <c r="N1302" i="1" s="1"/>
  <c r="Y1300" i="1"/>
  <c r="AA1300" i="1" s="1"/>
  <c r="J1300" i="1"/>
  <c r="N1300" i="1" s="1"/>
  <c r="Y1298" i="1"/>
  <c r="AA1298" i="1" s="1"/>
  <c r="K1298" i="1"/>
  <c r="J1298" i="1"/>
  <c r="Y1296" i="1"/>
  <c r="AA1296" i="1" s="1"/>
  <c r="J1296" i="1"/>
  <c r="N1296" i="1" s="1"/>
  <c r="Y1294" i="1"/>
  <c r="AA1294" i="1" s="1"/>
  <c r="J1294" i="1"/>
  <c r="N1294" i="1" s="1"/>
  <c r="Y1292" i="1"/>
  <c r="AA1292" i="1" s="1"/>
  <c r="J1292" i="1"/>
  <c r="N1292" i="1" s="1"/>
  <c r="Y1290" i="1"/>
  <c r="AA1290" i="1" s="1"/>
  <c r="I1290" i="1"/>
  <c r="J1290" i="1" s="1"/>
  <c r="Y1288" i="1"/>
  <c r="AA1288" i="1" s="1"/>
  <c r="J1288" i="1"/>
  <c r="N1288" i="1" s="1"/>
  <c r="AA1286" i="1"/>
  <c r="J1286" i="1"/>
  <c r="N1286" i="1" s="1"/>
  <c r="Y1284" i="1"/>
  <c r="AA1284" i="1" s="1"/>
  <c r="J1284" i="1"/>
  <c r="N1284" i="1" s="1"/>
  <c r="Y1282" i="1"/>
  <c r="AA1282" i="1" s="1"/>
  <c r="J1282" i="1"/>
  <c r="N1282" i="1" s="1"/>
  <c r="Y1280" i="1"/>
  <c r="AA1280" i="1" s="1"/>
  <c r="J1280" i="1"/>
  <c r="N1280" i="1" s="1"/>
  <c r="Y1278" i="1"/>
  <c r="AA1278" i="1" s="1"/>
  <c r="J1278" i="1"/>
  <c r="N1278" i="1" s="1"/>
  <c r="Y1276" i="1"/>
  <c r="AA1276" i="1" s="1"/>
  <c r="J1276" i="1"/>
  <c r="N1276" i="1" s="1"/>
  <c r="Y1274" i="1"/>
  <c r="AA1274" i="1" s="1"/>
  <c r="J1274" i="1"/>
  <c r="N1274" i="1" s="1"/>
  <c r="Y1272" i="1"/>
  <c r="AA1272" i="1" s="1"/>
  <c r="J1272" i="1"/>
  <c r="N1272" i="1" s="1"/>
  <c r="Y1270" i="1"/>
  <c r="AA1270" i="1" s="1"/>
  <c r="J1270" i="1"/>
  <c r="N1270" i="1" s="1"/>
  <c r="Y1268" i="1"/>
  <c r="AA1268" i="1" s="1"/>
  <c r="J1268" i="1"/>
  <c r="N1268" i="1" s="1"/>
  <c r="Y1266" i="1"/>
  <c r="AA1266" i="1" s="1"/>
  <c r="J1266" i="1"/>
  <c r="N1266" i="1" s="1"/>
  <c r="Y1264" i="1"/>
  <c r="AA1264" i="1" s="1"/>
  <c r="J1264" i="1"/>
  <c r="N1264" i="1" s="1"/>
  <c r="Y1262" i="1"/>
  <c r="AA1262" i="1" s="1"/>
  <c r="I1262" i="1"/>
  <c r="Y1260" i="1"/>
  <c r="AA1260" i="1" s="1"/>
  <c r="J1260" i="1"/>
  <c r="N1260" i="1" s="1"/>
  <c r="AA1258" i="1"/>
  <c r="J1258" i="1"/>
  <c r="N1258" i="1" s="1"/>
  <c r="AA1256" i="1"/>
  <c r="N1256" i="1"/>
  <c r="Y1254" i="1"/>
  <c r="AA1254" i="1" s="1"/>
  <c r="J1254" i="1"/>
  <c r="N1254" i="1" s="1"/>
  <c r="Y1252" i="1"/>
  <c r="AA1252" i="1" s="1"/>
  <c r="I1252" i="1"/>
  <c r="J1252" i="1" s="1"/>
  <c r="N1252" i="1" s="1"/>
  <c r="Y1250" i="1"/>
  <c r="AA1250" i="1" s="1"/>
  <c r="I1250" i="1"/>
  <c r="J1250" i="1" s="1"/>
  <c r="N1250" i="1" s="1"/>
  <c r="Y1248" i="1"/>
  <c r="AA1248" i="1" s="1"/>
  <c r="N1248" i="1"/>
  <c r="AA1246" i="1"/>
  <c r="K1246" i="1"/>
  <c r="J1246" i="1"/>
  <c r="Y1244" i="1"/>
  <c r="AA1244" i="1" s="1"/>
  <c r="J1244" i="1"/>
  <c r="N1244" i="1" s="1"/>
  <c r="Y1242" i="1"/>
  <c r="AA1242" i="1" s="1"/>
  <c r="J1242" i="1"/>
  <c r="N1242" i="1" s="1"/>
  <c r="Y1240" i="1"/>
  <c r="AA1240" i="1" s="1"/>
  <c r="J1240" i="1"/>
  <c r="N1240" i="1" s="1"/>
  <c r="Y1238" i="1"/>
  <c r="AA1238" i="1" s="1"/>
  <c r="J1238" i="1"/>
  <c r="N1238" i="1" s="1"/>
  <c r="AA1236" i="1"/>
  <c r="J1236" i="1"/>
  <c r="N1236" i="1" s="1"/>
  <c r="Y1234" i="1"/>
  <c r="AA1234" i="1" s="1"/>
  <c r="J1234" i="1"/>
  <c r="N1234" i="1" s="1"/>
  <c r="Y1232" i="1"/>
  <c r="AA1232" i="1" s="1"/>
  <c r="I1232" i="1"/>
  <c r="J1232" i="1" s="1"/>
  <c r="Y1230" i="1"/>
  <c r="AA1230" i="1" s="1"/>
  <c r="J1230" i="1"/>
  <c r="N1230" i="1" s="1"/>
  <c r="Y1228" i="1"/>
  <c r="AA1228" i="1" s="1"/>
  <c r="I1228" i="1"/>
  <c r="Y1226" i="1"/>
  <c r="AA1226" i="1" s="1"/>
  <c r="I1226" i="1"/>
  <c r="J1226" i="1" s="1"/>
  <c r="N1226" i="1" s="1"/>
  <c r="Y1224" i="1"/>
  <c r="AA1224" i="1" s="1"/>
  <c r="J1224" i="1"/>
  <c r="N1224" i="1" s="1"/>
  <c r="Y1222" i="1"/>
  <c r="AA1222" i="1" s="1"/>
  <c r="N1222" i="1"/>
  <c r="Y1220" i="1"/>
  <c r="AA1220" i="1" s="1"/>
  <c r="J1220" i="1"/>
  <c r="N1220" i="1" s="1"/>
  <c r="Y1218" i="1"/>
  <c r="AA1218" i="1" s="1"/>
  <c r="N1218" i="1"/>
  <c r="Y1216" i="1"/>
  <c r="AA1216" i="1" s="1"/>
  <c r="N1216" i="1"/>
  <c r="Y1214" i="1"/>
  <c r="AA1214" i="1" s="1"/>
  <c r="J1214" i="1"/>
  <c r="N1214" i="1" s="1"/>
  <c r="Y1212" i="1"/>
  <c r="AA1212" i="1" s="1"/>
  <c r="K1212" i="1"/>
  <c r="J1212" i="1"/>
  <c r="Y1210" i="1"/>
  <c r="AA1210" i="1" s="1"/>
  <c r="J1210" i="1"/>
  <c r="N1210" i="1" s="1"/>
  <c r="Y1208" i="1"/>
  <c r="AA1208" i="1" s="1"/>
  <c r="J1208" i="1"/>
  <c r="N1208" i="1" s="1"/>
  <c r="Y1206" i="1"/>
  <c r="AA1206" i="1" s="1"/>
  <c r="K1206" i="1"/>
  <c r="J1206" i="1"/>
  <c r="AA1204" i="1"/>
  <c r="K1204" i="1"/>
  <c r="J1204" i="1"/>
  <c r="Y1202" i="1"/>
  <c r="AA1202" i="1" s="1"/>
  <c r="J1202" i="1"/>
  <c r="N1202" i="1" s="1"/>
  <c r="Y1200" i="1"/>
  <c r="AA1200" i="1" s="1"/>
  <c r="J1200" i="1"/>
  <c r="N1200" i="1" s="1"/>
  <c r="Y1198" i="1"/>
  <c r="AA1198" i="1" s="1"/>
  <c r="J1198" i="1"/>
  <c r="N1198" i="1" s="1"/>
  <c r="Y1196" i="1"/>
  <c r="AA1196" i="1" s="1"/>
  <c r="K1196" i="1"/>
  <c r="J1196" i="1"/>
  <c r="Y1194" i="1"/>
  <c r="AA1194" i="1" s="1"/>
  <c r="J1194" i="1"/>
  <c r="N1194" i="1" s="1"/>
  <c r="Y1192" i="1"/>
  <c r="AA1192" i="1" s="1"/>
  <c r="I1192" i="1"/>
  <c r="J1192" i="1" s="1"/>
  <c r="Y1190" i="1"/>
  <c r="AA1190" i="1" s="1"/>
  <c r="J1190" i="1"/>
  <c r="N1190" i="1" s="1"/>
  <c r="Y1188" i="1"/>
  <c r="AA1188" i="1" s="1"/>
  <c r="J1188" i="1"/>
  <c r="N1188" i="1" s="1"/>
  <c r="AA1186" i="1"/>
  <c r="K1186" i="1"/>
  <c r="J1186" i="1"/>
  <c r="Y1184" i="1"/>
  <c r="AA1184" i="1" s="1"/>
  <c r="N1184" i="1"/>
  <c r="Y1182" i="1"/>
  <c r="AA1182" i="1" s="1"/>
  <c r="I1182" i="1"/>
  <c r="Y1180" i="1"/>
  <c r="AA1180" i="1" s="1"/>
  <c r="I1180" i="1"/>
  <c r="J1180" i="1" s="1"/>
  <c r="Y1178" i="1"/>
  <c r="AA1178" i="1" s="1"/>
  <c r="J1178" i="1"/>
  <c r="N1178" i="1" s="1"/>
  <c r="Y1176" i="1"/>
  <c r="AA1176" i="1" s="1"/>
  <c r="J1176" i="1"/>
  <c r="N1176" i="1" s="1"/>
  <c r="Y1174" i="1"/>
  <c r="AA1174" i="1" s="1"/>
  <c r="J1174" i="1"/>
  <c r="N1174" i="1" s="1"/>
  <c r="AA1172" i="1"/>
  <c r="K1172" i="1"/>
  <c r="J1172" i="1"/>
  <c r="AA1170" i="1"/>
  <c r="K1170" i="1"/>
  <c r="J1170" i="1"/>
  <c r="Y1168" i="1"/>
  <c r="AA1168" i="1" s="1"/>
  <c r="J1168" i="1"/>
  <c r="N1168" i="1" s="1"/>
  <c r="Y1166" i="1"/>
  <c r="AA1166" i="1" s="1"/>
  <c r="J1166" i="1"/>
  <c r="N1166" i="1" s="1"/>
  <c r="Y1164" i="1"/>
  <c r="AA1164" i="1" s="1"/>
  <c r="J1164" i="1"/>
  <c r="N1164" i="1" s="1"/>
  <c r="Y1162" i="1"/>
  <c r="AA1162" i="1" s="1"/>
  <c r="K1162" i="1"/>
  <c r="J1162" i="1"/>
  <c r="Y1160" i="1"/>
  <c r="AA1160" i="1" s="1"/>
  <c r="K1160" i="1"/>
  <c r="J1160" i="1"/>
  <c r="Y1158" i="1"/>
  <c r="AA1158" i="1" s="1"/>
  <c r="J1158" i="1"/>
  <c r="N1158" i="1" s="1"/>
  <c r="Y1156" i="1"/>
  <c r="AA1156" i="1" s="1"/>
  <c r="N1156" i="1"/>
  <c r="Y1154" i="1"/>
  <c r="AA1154" i="1" s="1"/>
  <c r="J1154" i="1"/>
  <c r="N1154" i="1" s="1"/>
  <c r="Y1152" i="1"/>
  <c r="AA1152" i="1" s="1"/>
  <c r="J1152" i="1"/>
  <c r="N1152" i="1" s="1"/>
  <c r="Y1150" i="1"/>
  <c r="AA1150" i="1" s="1"/>
  <c r="I1150" i="1"/>
  <c r="J1150" i="1" s="1"/>
  <c r="N1150" i="1" s="1"/>
  <c r="Y1148" i="1"/>
  <c r="AA1148" i="1" s="1"/>
  <c r="I1148" i="1"/>
  <c r="Y1146" i="1"/>
  <c r="AA1146" i="1" s="1"/>
  <c r="K1146" i="1"/>
  <c r="J1146" i="1"/>
  <c r="Y1144" i="1"/>
  <c r="AA1144" i="1" s="1"/>
  <c r="J1144" i="1"/>
  <c r="N1144" i="1" s="1"/>
  <c r="Y1142" i="1"/>
  <c r="AA1142" i="1" s="1"/>
  <c r="K1142" i="1"/>
  <c r="J1142" i="1"/>
  <c r="Y1140" i="1"/>
  <c r="AA1140" i="1" s="1"/>
  <c r="J1140" i="1"/>
  <c r="N1140" i="1" s="1"/>
  <c r="Y1138" i="1"/>
  <c r="AA1138" i="1" s="1"/>
  <c r="J1138" i="1"/>
  <c r="N1138" i="1" s="1"/>
  <c r="Y1136" i="1"/>
  <c r="AA1136" i="1" s="1"/>
  <c r="N1136" i="1"/>
  <c r="Y1134" i="1"/>
  <c r="AA1134" i="1" s="1"/>
  <c r="J1134" i="1"/>
  <c r="N1134" i="1" s="1"/>
  <c r="Y1132" i="1"/>
  <c r="AA1132" i="1" s="1"/>
  <c r="J1132" i="1"/>
  <c r="N1132" i="1" s="1"/>
  <c r="Y1130" i="1"/>
  <c r="AA1130" i="1" s="1"/>
  <c r="N1130" i="1"/>
  <c r="AA1128" i="1"/>
  <c r="K1128" i="1"/>
  <c r="J1128" i="1"/>
  <c r="AA1126" i="1"/>
  <c r="K1126" i="1"/>
  <c r="J1126" i="1"/>
  <c r="Y1124" i="1"/>
  <c r="AA1124" i="1" s="1"/>
  <c r="I1124" i="1"/>
  <c r="Y1122" i="1"/>
  <c r="AA1122" i="1" s="1"/>
  <c r="K1122" i="1"/>
  <c r="J1122" i="1"/>
  <c r="Y1120" i="1"/>
  <c r="AA1120" i="1" s="1"/>
  <c r="J1120" i="1"/>
  <c r="N1120" i="1" s="1"/>
  <c r="Y1118" i="1"/>
  <c r="AA1118" i="1" s="1"/>
  <c r="I1118" i="1"/>
  <c r="J1118" i="1" s="1"/>
  <c r="Y1116" i="1"/>
  <c r="AA1116" i="1" s="1"/>
  <c r="K1116" i="1"/>
  <c r="J1116" i="1"/>
  <c r="Y1114" i="1"/>
  <c r="AA1114" i="1" s="1"/>
  <c r="K1114" i="1"/>
  <c r="J1114" i="1"/>
  <c r="Y1112" i="1"/>
  <c r="AA1112" i="1" s="1"/>
  <c r="J1112" i="1"/>
  <c r="N1112" i="1" s="1"/>
  <c r="Y1110" i="1"/>
  <c r="AA1110" i="1" s="1"/>
  <c r="J1110" i="1"/>
  <c r="N1110" i="1" s="1"/>
  <c r="Y1108" i="1"/>
  <c r="AA1108" i="1" s="1"/>
  <c r="J1108" i="1"/>
  <c r="N1108" i="1" s="1"/>
  <c r="Y1106" i="1"/>
  <c r="AA1106" i="1" s="1"/>
  <c r="J1106" i="1"/>
  <c r="N1106" i="1" s="1"/>
  <c r="Y1104" i="1"/>
  <c r="AA1104" i="1" s="1"/>
  <c r="I1104" i="1"/>
  <c r="Y1102" i="1"/>
  <c r="AA1102" i="1" s="1"/>
  <c r="N1102" i="1"/>
  <c r="AA1100" i="1"/>
  <c r="J1100" i="1"/>
  <c r="N1100" i="1" s="1"/>
  <c r="Y1098" i="1"/>
  <c r="AA1098" i="1" s="1"/>
  <c r="J1098" i="1"/>
  <c r="N1098" i="1" s="1"/>
  <c r="Y1096" i="1"/>
  <c r="AA1096" i="1" s="1"/>
  <c r="J1096" i="1"/>
  <c r="N1096" i="1" s="1"/>
  <c r="Y1094" i="1"/>
  <c r="AA1094" i="1" s="1"/>
  <c r="I1094" i="1"/>
  <c r="J1094" i="1" s="1"/>
  <c r="Y1092" i="1"/>
  <c r="AA1092" i="1" s="1"/>
  <c r="J1092" i="1"/>
  <c r="N1092" i="1" s="1"/>
  <c r="Y1090" i="1"/>
  <c r="AA1090" i="1" s="1"/>
  <c r="J1090" i="1"/>
  <c r="N1090" i="1" s="1"/>
  <c r="Y1088" i="1"/>
  <c r="AA1088" i="1" s="1"/>
  <c r="J1088" i="1"/>
  <c r="N1088" i="1" s="1"/>
  <c r="AA1086" i="1"/>
  <c r="N1086" i="1"/>
  <c r="Y1084" i="1"/>
  <c r="AA1084" i="1" s="1"/>
  <c r="N1084" i="1"/>
  <c r="Y1082" i="1"/>
  <c r="AA1082" i="1" s="1"/>
  <c r="K1082" i="1"/>
  <c r="J1082" i="1"/>
  <c r="Y1080" i="1"/>
  <c r="AA1080" i="1" s="1"/>
  <c r="J1080" i="1"/>
  <c r="N1080" i="1" s="1"/>
  <c r="Y1078" i="1"/>
  <c r="AA1078" i="1" s="1"/>
  <c r="J1078" i="1"/>
  <c r="N1078" i="1" s="1"/>
  <c r="Y1076" i="1"/>
  <c r="AA1076" i="1" s="1"/>
  <c r="J1076" i="1"/>
  <c r="N1076" i="1" s="1"/>
  <c r="Y1074" i="1"/>
  <c r="AA1074" i="1" s="1"/>
  <c r="J1074" i="1"/>
  <c r="N1074" i="1" s="1"/>
  <c r="AA1072" i="1"/>
  <c r="J1072" i="1"/>
  <c r="N1072" i="1" s="1"/>
  <c r="Y1070" i="1"/>
  <c r="AA1070" i="1" s="1"/>
  <c r="J1070" i="1"/>
  <c r="N1070" i="1" s="1"/>
  <c r="Y1068" i="1"/>
  <c r="AA1068" i="1" s="1"/>
  <c r="N1068" i="1"/>
  <c r="Y1066" i="1"/>
  <c r="AA1066" i="1" s="1"/>
  <c r="I1066" i="1"/>
  <c r="J1066" i="1" s="1"/>
  <c r="N1066" i="1" s="1"/>
  <c r="Y1064" i="1"/>
  <c r="AA1064" i="1" s="1"/>
  <c r="J1064" i="1"/>
  <c r="N1064" i="1" s="1"/>
  <c r="Y1062" i="1"/>
  <c r="AA1062" i="1" s="1"/>
  <c r="J1062" i="1"/>
  <c r="N1062" i="1" s="1"/>
  <c r="AA1060" i="1"/>
  <c r="N1060" i="1"/>
  <c r="Y1058" i="1"/>
  <c r="AA1058" i="1" s="1"/>
  <c r="J1058" i="1"/>
  <c r="N1058" i="1" s="1"/>
  <c r="Y1056" i="1"/>
  <c r="AA1056" i="1" s="1"/>
  <c r="K1056" i="1"/>
  <c r="J1056" i="1"/>
  <c r="Y1054" i="1"/>
  <c r="AA1054" i="1" s="1"/>
  <c r="J1054" i="1"/>
  <c r="N1054" i="1" s="1"/>
  <c r="Y1052" i="1"/>
  <c r="AA1052" i="1" s="1"/>
  <c r="I1052" i="1"/>
  <c r="AA1050" i="1"/>
  <c r="J1050" i="1"/>
  <c r="N1050" i="1" s="1"/>
  <c r="Y1048" i="1"/>
  <c r="AA1048" i="1" s="1"/>
  <c r="J1048" i="1"/>
  <c r="N1048" i="1" s="1"/>
  <c r="AA1046" i="1"/>
  <c r="J1046" i="1"/>
  <c r="N1046" i="1" s="1"/>
  <c r="Y1044" i="1"/>
  <c r="AA1044" i="1" s="1"/>
  <c r="J1044" i="1"/>
  <c r="N1044" i="1" s="1"/>
  <c r="AA1042" i="1"/>
  <c r="K1042" i="1"/>
  <c r="J1042" i="1"/>
  <c r="Y1040" i="1"/>
  <c r="AA1040" i="1" s="1"/>
  <c r="N1040" i="1"/>
  <c r="Y1038" i="1"/>
  <c r="AA1038" i="1" s="1"/>
  <c r="J1038" i="1"/>
  <c r="N1038" i="1" s="1"/>
  <c r="Y1036" i="1"/>
  <c r="AA1036" i="1" s="1"/>
  <c r="J1036" i="1"/>
  <c r="N1036" i="1" s="1"/>
  <c r="Y1034" i="1"/>
  <c r="AA1034" i="1" s="1"/>
  <c r="J1034" i="1"/>
  <c r="N1034" i="1" s="1"/>
  <c r="AA1032" i="1"/>
  <c r="J1032" i="1"/>
  <c r="N1032" i="1" s="1"/>
  <c r="Y1030" i="1"/>
  <c r="AA1030" i="1" s="1"/>
  <c r="J1030" i="1"/>
  <c r="N1030" i="1" s="1"/>
  <c r="Y1028" i="1"/>
  <c r="AA1028" i="1" s="1"/>
  <c r="N1028" i="1"/>
  <c r="AA1026" i="1"/>
  <c r="K1026" i="1"/>
  <c r="J1026" i="1"/>
  <c r="Y1024" i="1"/>
  <c r="AA1024" i="1" s="1"/>
  <c r="J1024" i="1"/>
  <c r="N1024" i="1" s="1"/>
  <c r="Y1022" i="1"/>
  <c r="AA1022" i="1" s="1"/>
  <c r="N1022" i="1"/>
  <c r="Y1020" i="1"/>
  <c r="AA1020" i="1" s="1"/>
  <c r="I1020" i="1"/>
  <c r="Y1018" i="1"/>
  <c r="AA1018" i="1" s="1"/>
  <c r="J1018" i="1"/>
  <c r="N1018" i="1" s="1"/>
  <c r="Y1016" i="1"/>
  <c r="AA1016" i="1" s="1"/>
  <c r="J1016" i="1"/>
  <c r="N1016" i="1" s="1"/>
  <c r="Y1014" i="1"/>
  <c r="AA1014" i="1" s="1"/>
  <c r="J1014" i="1"/>
  <c r="N1014" i="1" s="1"/>
  <c r="Y1012" i="1"/>
  <c r="AA1012" i="1" s="1"/>
  <c r="J1012" i="1"/>
  <c r="N1012" i="1" s="1"/>
  <c r="Y1010" i="1"/>
  <c r="AA1010" i="1" s="1"/>
  <c r="K1010" i="1"/>
  <c r="J1010" i="1"/>
  <c r="AA1008" i="1"/>
  <c r="J1008" i="1"/>
  <c r="N1008" i="1" s="1"/>
  <c r="Y1006" i="1"/>
  <c r="AA1006" i="1" s="1"/>
  <c r="J1006" i="1"/>
  <c r="N1006" i="1" s="1"/>
  <c r="Y1004" i="1"/>
  <c r="AA1004" i="1" s="1"/>
  <c r="J1004" i="1"/>
  <c r="N1004" i="1" s="1"/>
  <c r="Y1002" i="1"/>
  <c r="AA1002" i="1" s="1"/>
  <c r="J1002" i="1"/>
  <c r="N1002" i="1" s="1"/>
  <c r="Y1000" i="1"/>
  <c r="AA1000" i="1" s="1"/>
  <c r="J1000" i="1"/>
  <c r="N1000" i="1" s="1"/>
  <c r="AA998" i="1"/>
  <c r="J998" i="1"/>
  <c r="N998" i="1" s="1"/>
  <c r="Y996" i="1"/>
  <c r="AA996" i="1" s="1"/>
  <c r="J996" i="1"/>
  <c r="N996" i="1" s="1"/>
  <c r="Y994" i="1"/>
  <c r="AA994" i="1" s="1"/>
  <c r="J994" i="1"/>
  <c r="N994" i="1" s="1"/>
  <c r="Y992" i="1"/>
  <c r="AA992" i="1" s="1"/>
  <c r="J992" i="1"/>
  <c r="N992" i="1" s="1"/>
  <c r="Y990" i="1"/>
  <c r="AA990" i="1" s="1"/>
  <c r="J990" i="1"/>
  <c r="N990" i="1" s="1"/>
  <c r="Y988" i="1"/>
  <c r="AA988" i="1" s="1"/>
  <c r="J988" i="1"/>
  <c r="N988" i="1" s="1"/>
  <c r="Y986" i="1"/>
  <c r="AA986" i="1" s="1"/>
  <c r="J986" i="1"/>
  <c r="N986" i="1" s="1"/>
  <c r="AA984" i="1"/>
  <c r="J984" i="1"/>
  <c r="N984" i="1" s="1"/>
  <c r="AA982" i="1"/>
  <c r="J982" i="1"/>
  <c r="N982" i="1" s="1"/>
  <c r="Y980" i="1"/>
  <c r="AA980" i="1" s="1"/>
  <c r="J980" i="1"/>
  <c r="N980" i="1" s="1"/>
  <c r="Y978" i="1"/>
  <c r="AA978" i="1" s="1"/>
  <c r="J978" i="1"/>
  <c r="N978" i="1" s="1"/>
  <c r="Y976" i="1"/>
  <c r="AA976" i="1" s="1"/>
  <c r="J976" i="1"/>
  <c r="N976" i="1" s="1"/>
  <c r="AA974" i="1"/>
  <c r="I974" i="1"/>
  <c r="Y972" i="1"/>
  <c r="AA972" i="1" s="1"/>
  <c r="J972" i="1"/>
  <c r="N972" i="1" s="1"/>
  <c r="Y970" i="1"/>
  <c r="AA970" i="1" s="1"/>
  <c r="J970" i="1"/>
  <c r="N970" i="1" s="1"/>
  <c r="Y968" i="1"/>
  <c r="AA968" i="1" s="1"/>
  <c r="I968" i="1"/>
  <c r="J968" i="1" s="1"/>
  <c r="N968" i="1" s="1"/>
  <c r="Y966" i="1"/>
  <c r="AA966" i="1" s="1"/>
  <c r="K966" i="1"/>
  <c r="J966" i="1"/>
  <c r="AA964" i="1"/>
  <c r="K964" i="1"/>
  <c r="J964" i="1"/>
  <c r="Y962" i="1"/>
  <c r="AA962" i="1" s="1"/>
  <c r="J962" i="1"/>
  <c r="N962" i="1" s="1"/>
  <c r="Y960" i="1"/>
  <c r="AA960" i="1" s="1"/>
  <c r="K960" i="1"/>
  <c r="J960" i="1"/>
  <c r="AA958" i="1"/>
  <c r="J958" i="1"/>
  <c r="N958" i="1" s="1"/>
  <c r="Y956" i="1"/>
  <c r="AA956" i="1" s="1"/>
  <c r="J956" i="1"/>
  <c r="N956" i="1" s="1"/>
  <c r="Y954" i="1"/>
  <c r="AA954" i="1" s="1"/>
  <c r="J954" i="1"/>
  <c r="N954" i="1" s="1"/>
  <c r="Y952" i="1"/>
  <c r="AA952" i="1" s="1"/>
  <c r="K952" i="1"/>
  <c r="J952" i="1"/>
  <c r="Y950" i="1"/>
  <c r="AA950" i="1" s="1"/>
  <c r="J950" i="1"/>
  <c r="N950" i="1" s="1"/>
  <c r="Y948" i="1"/>
  <c r="AA948" i="1" s="1"/>
  <c r="J948" i="1"/>
  <c r="N948" i="1" s="1"/>
  <c r="Y946" i="1"/>
  <c r="AA946" i="1" s="1"/>
  <c r="K946" i="1"/>
  <c r="J946" i="1"/>
  <c r="Y944" i="1"/>
  <c r="AA944" i="1" s="1"/>
  <c r="J944" i="1"/>
  <c r="N944" i="1" s="1"/>
  <c r="Y942" i="1"/>
  <c r="AA942" i="1" s="1"/>
  <c r="J942" i="1"/>
  <c r="N942" i="1" s="1"/>
  <c r="Y940" i="1"/>
  <c r="AA940" i="1" s="1"/>
  <c r="J940" i="1"/>
  <c r="N940" i="1" s="1"/>
  <c r="Y938" i="1"/>
  <c r="AA938" i="1" s="1"/>
  <c r="J938" i="1"/>
  <c r="N938" i="1" s="1"/>
  <c r="AA936" i="1"/>
  <c r="K936" i="1"/>
  <c r="J936" i="1"/>
  <c r="AA934" i="1"/>
  <c r="J934" i="1"/>
  <c r="N934" i="1" s="1"/>
  <c r="Y932" i="1"/>
  <c r="AA932" i="1" s="1"/>
  <c r="J932" i="1"/>
  <c r="N932" i="1" s="1"/>
  <c r="Y930" i="1"/>
  <c r="AA930" i="1" s="1"/>
  <c r="J930" i="1"/>
  <c r="N930" i="1" s="1"/>
  <c r="Y928" i="1"/>
  <c r="AA928" i="1" s="1"/>
  <c r="J928" i="1"/>
  <c r="N928" i="1" s="1"/>
  <c r="Y926" i="1"/>
  <c r="AA926" i="1" s="1"/>
  <c r="K926" i="1"/>
  <c r="J926" i="1"/>
  <c r="Y924" i="1"/>
  <c r="AA924" i="1" s="1"/>
  <c r="J924" i="1"/>
  <c r="N924" i="1" s="1"/>
  <c r="Y922" i="1"/>
  <c r="AA922" i="1" s="1"/>
  <c r="J922" i="1"/>
  <c r="N922" i="1" s="1"/>
  <c r="Y920" i="1"/>
  <c r="AA920" i="1" s="1"/>
  <c r="J920" i="1"/>
  <c r="N920" i="1" s="1"/>
  <c r="AA918" i="1"/>
  <c r="J918" i="1"/>
  <c r="N918" i="1" s="1"/>
  <c r="Y916" i="1"/>
  <c r="AA916" i="1" s="1"/>
  <c r="J916" i="1"/>
  <c r="N916" i="1" s="1"/>
  <c r="AA914" i="1"/>
  <c r="J914" i="1"/>
  <c r="N914" i="1" s="1"/>
  <c r="Y912" i="1"/>
  <c r="AA912" i="1" s="1"/>
  <c r="J912" i="1"/>
  <c r="N912" i="1" s="1"/>
  <c r="Y910" i="1"/>
  <c r="AA910" i="1" s="1"/>
  <c r="N910" i="1"/>
  <c r="Y908" i="1"/>
  <c r="AA908" i="1" s="1"/>
  <c r="K908" i="1"/>
  <c r="J908" i="1"/>
  <c r="Y906" i="1"/>
  <c r="AA906" i="1" s="1"/>
  <c r="N906" i="1"/>
  <c r="Y904" i="1"/>
  <c r="AA904" i="1" s="1"/>
  <c r="J904" i="1"/>
  <c r="N904" i="1" s="1"/>
  <c r="AA902" i="1"/>
  <c r="J902" i="1"/>
  <c r="N902" i="1" s="1"/>
  <c r="Y900" i="1"/>
  <c r="AA900" i="1" s="1"/>
  <c r="J900" i="1"/>
  <c r="N900" i="1" s="1"/>
  <c r="Y898" i="1"/>
  <c r="AA898" i="1" s="1"/>
  <c r="J898" i="1"/>
  <c r="N898" i="1" s="1"/>
  <c r="AA896" i="1"/>
  <c r="N896" i="1"/>
  <c r="Y894" i="1"/>
  <c r="AA894" i="1" s="1"/>
  <c r="J894" i="1"/>
  <c r="N894" i="1" s="1"/>
  <c r="Y892" i="1"/>
  <c r="AA892" i="1" s="1"/>
  <c r="J892" i="1"/>
  <c r="N892" i="1" s="1"/>
  <c r="Y890" i="1"/>
  <c r="AA890" i="1" s="1"/>
  <c r="J890" i="1"/>
  <c r="N890" i="1" s="1"/>
  <c r="Y888" i="1"/>
  <c r="AA888" i="1" s="1"/>
  <c r="J888" i="1"/>
  <c r="N888" i="1" s="1"/>
  <c r="Y886" i="1"/>
  <c r="AA886" i="1" s="1"/>
  <c r="J886" i="1"/>
  <c r="N886" i="1" s="1"/>
  <c r="AA884" i="1"/>
  <c r="N884" i="1"/>
  <c r="AA882" i="1"/>
  <c r="N882" i="1"/>
  <c r="AA880" i="1"/>
  <c r="N880" i="1"/>
  <c r="AA878" i="1"/>
  <c r="N878" i="1"/>
  <c r="AA876" i="1"/>
  <c r="N876" i="1"/>
  <c r="AA874" i="1"/>
  <c r="N874" i="1"/>
  <c r="AA872" i="1"/>
  <c r="N872" i="1"/>
  <c r="AA870" i="1"/>
  <c r="N870" i="1"/>
  <c r="AA868" i="1"/>
  <c r="N868" i="1"/>
  <c r="AA866" i="1"/>
  <c r="N866" i="1"/>
  <c r="AA864" i="1"/>
  <c r="N864" i="1"/>
  <c r="AA862" i="1"/>
  <c r="N862" i="1"/>
  <c r="AA860" i="1"/>
  <c r="N860" i="1"/>
  <c r="AA858" i="1"/>
  <c r="N858" i="1"/>
  <c r="AA856" i="1"/>
  <c r="N856" i="1"/>
  <c r="AA854" i="1"/>
  <c r="N854" i="1"/>
  <c r="AA852" i="1"/>
  <c r="N852" i="1"/>
  <c r="AA850" i="1"/>
  <c r="N850" i="1"/>
  <c r="AA848" i="1"/>
  <c r="N848" i="1"/>
  <c r="AA846" i="1"/>
  <c r="N846" i="1"/>
  <c r="AA844" i="1"/>
  <c r="N844" i="1"/>
  <c r="AA842" i="1"/>
  <c r="N842" i="1"/>
  <c r="AA840" i="1"/>
  <c r="N840" i="1"/>
  <c r="AA838" i="1"/>
  <c r="N838" i="1"/>
  <c r="AA836" i="1"/>
  <c r="N836" i="1"/>
  <c r="AA834" i="1"/>
  <c r="N834" i="1"/>
  <c r="AA832" i="1"/>
  <c r="N832" i="1"/>
  <c r="AA830" i="1"/>
  <c r="N830" i="1"/>
  <c r="AA828" i="1"/>
  <c r="N828" i="1"/>
  <c r="AA826" i="1"/>
  <c r="N826" i="1"/>
  <c r="AA824" i="1"/>
  <c r="N824" i="1"/>
  <c r="AA822" i="1"/>
  <c r="N822" i="1"/>
  <c r="AA820" i="1"/>
  <c r="N820" i="1"/>
  <c r="AA818" i="1"/>
  <c r="N818" i="1"/>
  <c r="AA816" i="1"/>
  <c r="N816" i="1"/>
  <c r="AA814" i="1"/>
  <c r="N814" i="1"/>
  <c r="AA812" i="1"/>
  <c r="N812" i="1"/>
  <c r="AA810" i="1"/>
  <c r="N810" i="1"/>
  <c r="AA808" i="1"/>
  <c r="N808" i="1"/>
  <c r="AA806" i="1"/>
  <c r="N806" i="1"/>
  <c r="Y804" i="1"/>
  <c r="AA804" i="1" s="1"/>
  <c r="J804" i="1"/>
  <c r="N804" i="1" s="1"/>
  <c r="Y802" i="1"/>
  <c r="AA802" i="1" s="1"/>
  <c r="J802" i="1"/>
  <c r="N802" i="1" s="1"/>
  <c r="Y800" i="1"/>
  <c r="AA800" i="1" s="1"/>
  <c r="N800" i="1"/>
  <c r="Y798" i="1"/>
  <c r="AA798" i="1" s="1"/>
  <c r="J798" i="1"/>
  <c r="N798" i="1" s="1"/>
  <c r="Y796" i="1"/>
  <c r="AA796" i="1" s="1"/>
  <c r="J796" i="1"/>
  <c r="N796" i="1" s="1"/>
  <c r="Y794" i="1"/>
  <c r="AA794" i="1" s="1"/>
  <c r="J794" i="1"/>
  <c r="N794" i="1" s="1"/>
  <c r="AA792" i="1"/>
  <c r="J792" i="1"/>
  <c r="N792" i="1" s="1"/>
  <c r="Y790" i="1"/>
  <c r="AA790" i="1" s="1"/>
  <c r="J790" i="1"/>
  <c r="N790" i="1" s="1"/>
  <c r="Y788" i="1"/>
  <c r="AA788" i="1" s="1"/>
  <c r="J788" i="1"/>
  <c r="N788" i="1" s="1"/>
  <c r="Y786" i="1"/>
  <c r="AA786" i="1" s="1"/>
  <c r="J786" i="1"/>
  <c r="N786" i="1" s="1"/>
  <c r="Y784" i="1"/>
  <c r="AA784" i="1" s="1"/>
  <c r="J784" i="1"/>
  <c r="N784" i="1" s="1"/>
  <c r="Y782" i="1"/>
  <c r="AA782" i="1" s="1"/>
  <c r="J782" i="1"/>
  <c r="N782" i="1" s="1"/>
  <c r="Y780" i="1"/>
  <c r="AA780" i="1" s="1"/>
  <c r="J780" i="1"/>
  <c r="N780" i="1" s="1"/>
  <c r="Y778" i="1"/>
  <c r="AA778" i="1" s="1"/>
  <c r="J778" i="1"/>
  <c r="N778" i="1" s="1"/>
  <c r="Y776" i="1"/>
  <c r="AA776" i="1" s="1"/>
  <c r="I776" i="1"/>
  <c r="AA774" i="1"/>
  <c r="J774" i="1"/>
  <c r="N774" i="1" s="1"/>
  <c r="Y772" i="1"/>
  <c r="AA772" i="1" s="1"/>
  <c r="J772" i="1"/>
  <c r="N772" i="1" s="1"/>
  <c r="Y770" i="1"/>
  <c r="AA770" i="1" s="1"/>
  <c r="J770" i="1"/>
  <c r="N770" i="1" s="1"/>
  <c r="Y768" i="1"/>
  <c r="AA768" i="1" s="1"/>
  <c r="J768" i="1"/>
  <c r="N768" i="1" s="1"/>
  <c r="Y766" i="1"/>
  <c r="AA766" i="1" s="1"/>
  <c r="J766" i="1"/>
  <c r="N766" i="1" s="1"/>
  <c r="Y764" i="1"/>
  <c r="AA764" i="1" s="1"/>
  <c r="J764" i="1"/>
  <c r="N764" i="1" s="1"/>
  <c r="Y762" i="1"/>
  <c r="AA762" i="1" s="1"/>
  <c r="J762" i="1"/>
  <c r="N762" i="1" s="1"/>
  <c r="Y760" i="1"/>
  <c r="AA760" i="1" s="1"/>
  <c r="J760" i="1"/>
  <c r="N760" i="1" s="1"/>
  <c r="Y758" i="1"/>
  <c r="AA758" i="1" s="1"/>
  <c r="N758" i="1"/>
  <c r="Y756" i="1"/>
  <c r="AA756" i="1" s="1"/>
  <c r="J756" i="1"/>
  <c r="N756" i="1" s="1"/>
  <c r="Y754" i="1"/>
  <c r="AA754" i="1" s="1"/>
  <c r="J754" i="1"/>
  <c r="N754" i="1" s="1"/>
  <c r="Y752" i="1"/>
  <c r="AA752" i="1" s="1"/>
  <c r="J752" i="1"/>
  <c r="N752" i="1" s="1"/>
  <c r="Y750" i="1"/>
  <c r="AA750" i="1" s="1"/>
  <c r="J750" i="1"/>
  <c r="N750" i="1" s="1"/>
  <c r="Y748" i="1"/>
  <c r="AA748" i="1" s="1"/>
  <c r="J748" i="1"/>
  <c r="N748" i="1" s="1"/>
  <c r="Y746" i="1"/>
  <c r="AA746" i="1" s="1"/>
  <c r="J746" i="1"/>
  <c r="N746" i="1" s="1"/>
  <c r="Y744" i="1"/>
  <c r="AA744" i="1" s="1"/>
  <c r="J744" i="1"/>
  <c r="N744" i="1" s="1"/>
  <c r="Y742" i="1"/>
  <c r="AA742" i="1" s="1"/>
  <c r="I742" i="1"/>
  <c r="J742" i="1" s="1"/>
  <c r="N742" i="1" s="1"/>
  <c r="AA740" i="1"/>
  <c r="J740" i="1"/>
  <c r="N740" i="1" s="1"/>
  <c r="Y738" i="1"/>
  <c r="AA738" i="1" s="1"/>
  <c r="J738" i="1"/>
  <c r="N738" i="1" s="1"/>
  <c r="Y736" i="1"/>
  <c r="AA736" i="1" s="1"/>
  <c r="J736" i="1"/>
  <c r="N736" i="1" s="1"/>
  <c r="Y734" i="1"/>
  <c r="AA734" i="1" s="1"/>
  <c r="J734" i="1"/>
  <c r="N734" i="1" s="1"/>
  <c r="Y732" i="1"/>
  <c r="AA732" i="1" s="1"/>
  <c r="J732" i="1"/>
  <c r="N732" i="1" s="1"/>
  <c r="Y730" i="1"/>
  <c r="AA730" i="1" s="1"/>
  <c r="J730" i="1"/>
  <c r="N730" i="1" s="1"/>
  <c r="AA728" i="1"/>
  <c r="J728" i="1"/>
  <c r="N728" i="1" s="1"/>
  <c r="Y726" i="1"/>
  <c r="AA726" i="1" s="1"/>
  <c r="J726" i="1"/>
  <c r="N726" i="1" s="1"/>
  <c r="Y724" i="1"/>
  <c r="AA724" i="1" s="1"/>
  <c r="J724" i="1"/>
  <c r="N724" i="1" s="1"/>
  <c r="Y722" i="1"/>
  <c r="AA722" i="1" s="1"/>
  <c r="J722" i="1"/>
  <c r="N722" i="1" s="1"/>
  <c r="Y720" i="1"/>
  <c r="AA720" i="1" s="1"/>
  <c r="J720" i="1"/>
  <c r="N720" i="1" s="1"/>
  <c r="Y718" i="1"/>
  <c r="AA718" i="1" s="1"/>
  <c r="J718" i="1"/>
  <c r="N718" i="1" s="1"/>
  <c r="AA716" i="1"/>
  <c r="J716" i="1"/>
  <c r="N716" i="1" s="1"/>
  <c r="Y714" i="1"/>
  <c r="AA714" i="1" s="1"/>
  <c r="J714" i="1"/>
  <c r="N714" i="1" s="1"/>
  <c r="Y712" i="1"/>
  <c r="AA712" i="1" s="1"/>
  <c r="J712" i="1"/>
  <c r="N712" i="1" s="1"/>
  <c r="Y710" i="1"/>
  <c r="AA710" i="1" s="1"/>
  <c r="N710" i="1"/>
  <c r="Y708" i="1"/>
  <c r="AA708" i="1" s="1"/>
  <c r="J708" i="1"/>
  <c r="N708" i="1" s="1"/>
  <c r="Y706" i="1"/>
  <c r="AA706" i="1" s="1"/>
  <c r="J706" i="1"/>
  <c r="N706" i="1" s="1"/>
  <c r="Y704" i="1"/>
  <c r="AA704" i="1" s="1"/>
  <c r="J704" i="1"/>
  <c r="N704" i="1" s="1"/>
  <c r="Y702" i="1"/>
  <c r="AA702" i="1" s="1"/>
  <c r="J702" i="1"/>
  <c r="N702" i="1" s="1"/>
  <c r="Y700" i="1"/>
  <c r="AA700" i="1" s="1"/>
  <c r="N700" i="1"/>
  <c r="Y698" i="1"/>
  <c r="AA698" i="1" s="1"/>
  <c r="J698" i="1"/>
  <c r="N698" i="1" s="1"/>
  <c r="Y696" i="1"/>
  <c r="AA696" i="1" s="1"/>
  <c r="J696" i="1"/>
  <c r="N696" i="1" s="1"/>
  <c r="Y694" i="1"/>
  <c r="AA694" i="1" s="1"/>
  <c r="J694" i="1"/>
  <c r="N694" i="1" s="1"/>
  <c r="Y692" i="1"/>
  <c r="AA692" i="1" s="1"/>
  <c r="J692" i="1"/>
  <c r="N692" i="1" s="1"/>
  <c r="Y690" i="1"/>
  <c r="AA690" i="1" s="1"/>
  <c r="J690" i="1"/>
  <c r="N690" i="1" s="1"/>
  <c r="Y688" i="1"/>
  <c r="AA688" i="1" s="1"/>
  <c r="J688" i="1"/>
  <c r="N688" i="1" s="1"/>
  <c r="Y686" i="1"/>
  <c r="J686" i="1"/>
  <c r="N686" i="1" s="1"/>
  <c r="Y684" i="1"/>
  <c r="AA684" i="1" s="1"/>
  <c r="J684" i="1"/>
  <c r="N684" i="1" s="1"/>
  <c r="Y682" i="1"/>
  <c r="AA682" i="1" s="1"/>
  <c r="J682" i="1"/>
  <c r="N682" i="1" s="1"/>
  <c r="Y680" i="1"/>
  <c r="AA680" i="1" s="1"/>
  <c r="J680" i="1"/>
  <c r="N680" i="1" s="1"/>
  <c r="AA678" i="1"/>
  <c r="N678" i="1"/>
  <c r="Y676" i="1"/>
  <c r="AA676" i="1" s="1"/>
  <c r="N676" i="1"/>
  <c r="Y674" i="1"/>
  <c r="AA674" i="1" s="1"/>
  <c r="N674" i="1"/>
  <c r="Y672" i="1"/>
  <c r="AA672" i="1" s="1"/>
  <c r="N672" i="1"/>
  <c r="Y670" i="1"/>
  <c r="AA670" i="1" s="1"/>
  <c r="N670" i="1"/>
  <c r="Y668" i="1"/>
  <c r="AA668" i="1" s="1"/>
  <c r="N668" i="1"/>
  <c r="Y666" i="1"/>
  <c r="AA666" i="1" s="1"/>
  <c r="N666" i="1"/>
  <c r="Y664" i="1"/>
  <c r="AA664" i="1" s="1"/>
  <c r="J664" i="1"/>
  <c r="N664" i="1" s="1"/>
  <c r="Y662" i="1"/>
  <c r="AA662" i="1" s="1"/>
  <c r="J662" i="1"/>
  <c r="N662" i="1" s="1"/>
  <c r="Y660" i="1"/>
  <c r="AA660" i="1" s="1"/>
  <c r="N660" i="1"/>
  <c r="Y658" i="1"/>
  <c r="AA658" i="1" s="1"/>
  <c r="N658" i="1"/>
  <c r="Y656" i="1"/>
  <c r="AA656" i="1" s="1"/>
  <c r="N656" i="1"/>
  <c r="Y654" i="1"/>
  <c r="AA654" i="1" s="1"/>
  <c r="N654" i="1"/>
  <c r="Y652" i="1"/>
  <c r="AA652" i="1" s="1"/>
  <c r="N652" i="1"/>
  <c r="Y650" i="1"/>
  <c r="AA650" i="1" s="1"/>
  <c r="N650" i="1"/>
  <c r="Y648" i="1"/>
  <c r="AA648" i="1" s="1"/>
  <c r="N648" i="1"/>
  <c r="Y646" i="1"/>
  <c r="AA646" i="1" s="1"/>
  <c r="N646" i="1"/>
  <c r="Y644" i="1"/>
  <c r="AA644" i="1" s="1"/>
  <c r="N644" i="1"/>
  <c r="Y642" i="1"/>
  <c r="AA642" i="1" s="1"/>
  <c r="N642" i="1"/>
  <c r="Y640" i="1"/>
  <c r="AA640" i="1" s="1"/>
  <c r="N640" i="1"/>
  <c r="Y638" i="1"/>
  <c r="AA638" i="1" s="1"/>
  <c r="N638" i="1"/>
  <c r="Y636" i="1"/>
  <c r="AA636" i="1" s="1"/>
  <c r="N636" i="1"/>
  <c r="Y634" i="1"/>
  <c r="AA634" i="1" s="1"/>
  <c r="N634" i="1"/>
  <c r="Y632" i="1"/>
  <c r="AA632" i="1" s="1"/>
  <c r="N632" i="1"/>
  <c r="Y630" i="1"/>
  <c r="AA630" i="1" s="1"/>
  <c r="N630" i="1"/>
  <c r="Y628" i="1"/>
  <c r="AA628" i="1" s="1"/>
  <c r="N628" i="1"/>
  <c r="Y626" i="1"/>
  <c r="AA626" i="1" s="1"/>
  <c r="N626" i="1"/>
  <c r="Y624" i="1"/>
  <c r="AA624" i="1" s="1"/>
  <c r="N624" i="1"/>
  <c r="Y622" i="1"/>
  <c r="AA622" i="1" s="1"/>
  <c r="N622" i="1"/>
  <c r="Y620" i="1"/>
  <c r="AA620" i="1" s="1"/>
  <c r="N620" i="1"/>
  <c r="Y618" i="1"/>
  <c r="AA618" i="1" s="1"/>
  <c r="N618" i="1"/>
  <c r="Y616" i="1"/>
  <c r="AA616" i="1" s="1"/>
  <c r="N616" i="1"/>
  <c r="Y614" i="1"/>
  <c r="AA614" i="1" s="1"/>
  <c r="N614" i="1"/>
  <c r="Y612" i="1"/>
  <c r="AA612" i="1" s="1"/>
  <c r="N612" i="1"/>
  <c r="Y610" i="1"/>
  <c r="AA610" i="1" s="1"/>
  <c r="N610" i="1"/>
  <c r="Y608" i="1"/>
  <c r="AA608" i="1" s="1"/>
  <c r="N608" i="1"/>
  <c r="Y606" i="1"/>
  <c r="AA606" i="1" s="1"/>
  <c r="N606" i="1"/>
  <c r="Y604" i="1"/>
  <c r="AA604" i="1" s="1"/>
  <c r="N604" i="1"/>
  <c r="Y602" i="1"/>
  <c r="AA602" i="1" s="1"/>
  <c r="N602" i="1"/>
  <c r="Y600" i="1"/>
  <c r="AA600" i="1" s="1"/>
  <c r="N600" i="1"/>
  <c r="Y598" i="1"/>
  <c r="AA598" i="1" s="1"/>
  <c r="N598" i="1"/>
  <c r="Y596" i="1"/>
  <c r="AA596" i="1" s="1"/>
  <c r="N596" i="1"/>
  <c r="Y594" i="1"/>
  <c r="AA594" i="1" s="1"/>
  <c r="N594" i="1"/>
  <c r="Y592" i="1"/>
  <c r="AA592" i="1" s="1"/>
  <c r="N592" i="1"/>
  <c r="Y590" i="1"/>
  <c r="AA590" i="1" s="1"/>
  <c r="N590" i="1"/>
  <c r="Y588" i="1"/>
  <c r="AA588" i="1" s="1"/>
  <c r="N588" i="1"/>
  <c r="Y586" i="1"/>
  <c r="AA586" i="1" s="1"/>
  <c r="N586" i="1"/>
  <c r="AA584" i="1"/>
  <c r="N584" i="1"/>
  <c r="Y582" i="1"/>
  <c r="AA582" i="1" s="1"/>
  <c r="N582" i="1"/>
  <c r="Y580" i="1"/>
  <c r="AA580" i="1" s="1"/>
  <c r="N580" i="1"/>
  <c r="Y578" i="1"/>
  <c r="AA578" i="1" s="1"/>
  <c r="N578" i="1"/>
  <c r="Y576" i="1"/>
  <c r="AA576" i="1" s="1"/>
  <c r="N576" i="1"/>
  <c r="Y574" i="1"/>
  <c r="AA574" i="1" s="1"/>
  <c r="N574" i="1"/>
  <c r="Y572" i="1"/>
  <c r="AA572" i="1" s="1"/>
  <c r="N572" i="1"/>
  <c r="Y570" i="1"/>
  <c r="AA570" i="1" s="1"/>
  <c r="N570" i="1"/>
  <c r="Y568" i="1"/>
  <c r="AA568" i="1" s="1"/>
  <c r="N568" i="1"/>
  <c r="Y566" i="1"/>
  <c r="AA566" i="1" s="1"/>
  <c r="N566" i="1"/>
  <c r="Y564" i="1"/>
  <c r="AA564" i="1" s="1"/>
  <c r="N564" i="1"/>
  <c r="Y562" i="1"/>
  <c r="AA562" i="1" s="1"/>
  <c r="N562" i="1"/>
  <c r="Y560" i="1"/>
  <c r="AA560" i="1" s="1"/>
  <c r="N560" i="1"/>
  <c r="Y558" i="1"/>
  <c r="AA558" i="1" s="1"/>
  <c r="N558" i="1"/>
  <c r="AA556" i="1"/>
  <c r="N556" i="1"/>
  <c r="Y554" i="1"/>
  <c r="AA554" i="1" s="1"/>
  <c r="N554" i="1"/>
  <c r="Y552" i="1"/>
  <c r="AA552" i="1" s="1"/>
  <c r="N552" i="1"/>
  <c r="Y550" i="1"/>
  <c r="AA550" i="1" s="1"/>
  <c r="N550" i="1"/>
  <c r="Y548" i="1"/>
  <c r="AA548" i="1" s="1"/>
  <c r="N548" i="1"/>
  <c r="Y546" i="1"/>
  <c r="AA546" i="1" s="1"/>
  <c r="N546" i="1"/>
  <c r="Y544" i="1"/>
  <c r="AA544" i="1" s="1"/>
  <c r="N544" i="1"/>
  <c r="Y542" i="1"/>
  <c r="AA542" i="1" s="1"/>
  <c r="N542" i="1"/>
  <c r="Y540" i="1"/>
  <c r="AA540" i="1" s="1"/>
  <c r="N540" i="1"/>
  <c r="Y538" i="1"/>
  <c r="AA538" i="1" s="1"/>
  <c r="N538" i="1"/>
  <c r="Y536" i="1"/>
  <c r="AA536" i="1" s="1"/>
  <c r="N536" i="1"/>
  <c r="Y534" i="1"/>
  <c r="AA534" i="1" s="1"/>
  <c r="N534" i="1"/>
  <c r="Y532" i="1"/>
  <c r="AA532" i="1" s="1"/>
  <c r="N532" i="1"/>
  <c r="Y530" i="1"/>
  <c r="AA530" i="1" s="1"/>
  <c r="N530" i="1"/>
  <c r="Y528" i="1"/>
  <c r="AA528" i="1" s="1"/>
  <c r="N528" i="1"/>
  <c r="Y526" i="1"/>
  <c r="AA526" i="1" s="1"/>
  <c r="N526" i="1"/>
  <c r="Y524" i="1"/>
  <c r="AA524" i="1" s="1"/>
  <c r="N524" i="1"/>
  <c r="Y522" i="1"/>
  <c r="AA522" i="1" s="1"/>
  <c r="N522" i="1"/>
  <c r="Y520" i="1"/>
  <c r="AA520" i="1" s="1"/>
  <c r="N520" i="1"/>
  <c r="Y518" i="1"/>
  <c r="AA518" i="1" s="1"/>
  <c r="N518" i="1"/>
  <c r="Y516" i="1"/>
  <c r="AA516" i="1" s="1"/>
  <c r="N516" i="1"/>
  <c r="Y514" i="1"/>
  <c r="AA514" i="1" s="1"/>
  <c r="N514" i="1"/>
  <c r="Y512" i="1"/>
  <c r="AA512" i="1" s="1"/>
  <c r="N512" i="1"/>
  <c r="Y510" i="1"/>
  <c r="AA510" i="1" s="1"/>
  <c r="N510" i="1"/>
  <c r="Y508" i="1"/>
  <c r="AA508" i="1" s="1"/>
  <c r="N508" i="1"/>
  <c r="AA506" i="1"/>
  <c r="N506" i="1"/>
  <c r="Y504" i="1"/>
  <c r="AA504" i="1" s="1"/>
  <c r="N504" i="1"/>
  <c r="Y502" i="1"/>
  <c r="AA502" i="1" s="1"/>
  <c r="N502" i="1"/>
  <c r="Y500" i="1"/>
  <c r="AA500" i="1" s="1"/>
  <c r="N500" i="1"/>
  <c r="Y498" i="1"/>
  <c r="AA498" i="1" s="1"/>
  <c r="N498" i="1"/>
  <c r="Y496" i="1"/>
  <c r="AA496" i="1" s="1"/>
  <c r="N496" i="1"/>
  <c r="Y494" i="1"/>
  <c r="AA494" i="1" s="1"/>
  <c r="N494" i="1"/>
  <c r="Y492" i="1"/>
  <c r="AA492" i="1" s="1"/>
  <c r="N492" i="1"/>
  <c r="Y490" i="1"/>
  <c r="AA490" i="1" s="1"/>
  <c r="N490" i="1"/>
  <c r="Y488" i="1"/>
  <c r="AA488" i="1" s="1"/>
  <c r="N488" i="1"/>
  <c r="Y486" i="1"/>
  <c r="AA486" i="1" s="1"/>
  <c r="N486" i="1"/>
  <c r="Y484" i="1"/>
  <c r="AA484" i="1" s="1"/>
  <c r="N484" i="1"/>
  <c r="Y482" i="1"/>
  <c r="AA482" i="1" s="1"/>
  <c r="N482" i="1"/>
  <c r="Y480" i="1"/>
  <c r="AA480" i="1" s="1"/>
  <c r="N480" i="1"/>
  <c r="Y478" i="1"/>
  <c r="AA478" i="1" s="1"/>
  <c r="N478" i="1"/>
  <c r="Y476" i="1"/>
  <c r="AA476" i="1" s="1"/>
  <c r="N476" i="1"/>
  <c r="Y474" i="1"/>
  <c r="AA474" i="1" s="1"/>
  <c r="N474" i="1"/>
  <c r="Y472" i="1"/>
  <c r="AA472" i="1" s="1"/>
  <c r="N472" i="1"/>
  <c r="Y470" i="1"/>
  <c r="AA470" i="1" s="1"/>
  <c r="N470" i="1"/>
  <c r="Y468" i="1"/>
  <c r="AA468" i="1" s="1"/>
  <c r="N468" i="1"/>
  <c r="Y466" i="1"/>
  <c r="AA466" i="1" s="1"/>
  <c r="N466" i="1"/>
  <c r="Y464" i="1"/>
  <c r="AA464" i="1" s="1"/>
  <c r="N464" i="1"/>
  <c r="Y462" i="1"/>
  <c r="AA462" i="1" s="1"/>
  <c r="N462" i="1"/>
  <c r="Y460" i="1"/>
  <c r="AA460" i="1" s="1"/>
  <c r="N460" i="1"/>
  <c r="Y458" i="1"/>
  <c r="AA458" i="1" s="1"/>
  <c r="N458" i="1"/>
  <c r="Y456" i="1"/>
  <c r="AA456" i="1" s="1"/>
  <c r="N456" i="1"/>
  <c r="Y454" i="1"/>
  <c r="AA454" i="1" s="1"/>
  <c r="N454" i="1"/>
  <c r="Y452" i="1"/>
  <c r="AA452" i="1" s="1"/>
  <c r="N452" i="1"/>
  <c r="Y450" i="1"/>
  <c r="AA450" i="1" s="1"/>
  <c r="N450" i="1"/>
  <c r="Y448" i="1"/>
  <c r="AA448" i="1" s="1"/>
  <c r="N448" i="1"/>
  <c r="Y446" i="1"/>
  <c r="AA446" i="1" s="1"/>
  <c r="N446" i="1"/>
  <c r="Y444" i="1"/>
  <c r="AA444" i="1" s="1"/>
  <c r="N444" i="1"/>
  <c r="Y442" i="1"/>
  <c r="AA442" i="1" s="1"/>
  <c r="N442" i="1"/>
  <c r="Y440" i="1"/>
  <c r="AA440" i="1" s="1"/>
  <c r="N440" i="1"/>
  <c r="Y438" i="1"/>
  <c r="AA438" i="1" s="1"/>
  <c r="N438" i="1"/>
  <c r="Y436" i="1"/>
  <c r="AA436" i="1" s="1"/>
  <c r="N436" i="1"/>
  <c r="Y434" i="1"/>
  <c r="AA434" i="1" s="1"/>
  <c r="N434" i="1"/>
  <c r="Y432" i="1"/>
  <c r="AA432" i="1" s="1"/>
  <c r="N432" i="1"/>
  <c r="Y430" i="1"/>
  <c r="AA430" i="1" s="1"/>
  <c r="N430" i="1"/>
  <c r="Y428" i="1"/>
  <c r="AA428" i="1" s="1"/>
  <c r="N428" i="1"/>
  <c r="Y426" i="1"/>
  <c r="AA426" i="1" s="1"/>
  <c r="N426" i="1"/>
  <c r="Y424" i="1"/>
  <c r="AA424" i="1" s="1"/>
  <c r="N424" i="1"/>
  <c r="Y422" i="1"/>
  <c r="AA422" i="1" s="1"/>
  <c r="N422" i="1"/>
  <c r="AA420" i="1"/>
  <c r="N420" i="1"/>
  <c r="Y418" i="1"/>
  <c r="AA418" i="1" s="1"/>
  <c r="N418" i="1"/>
  <c r="Y416" i="1"/>
  <c r="AA416" i="1" s="1"/>
  <c r="N416" i="1"/>
  <c r="Y414" i="1"/>
  <c r="AA414" i="1" s="1"/>
  <c r="N414" i="1"/>
  <c r="Y412" i="1"/>
  <c r="AA412" i="1" s="1"/>
  <c r="N412" i="1"/>
  <c r="Y410" i="1"/>
  <c r="AA410" i="1" s="1"/>
  <c r="N410" i="1"/>
  <c r="Y408" i="1"/>
  <c r="AA408" i="1" s="1"/>
  <c r="N408" i="1"/>
  <c r="Y406" i="1"/>
  <c r="AA406" i="1" s="1"/>
  <c r="N406" i="1"/>
  <c r="Y404" i="1"/>
  <c r="AA404" i="1" s="1"/>
  <c r="N404" i="1"/>
  <c r="Y402" i="1"/>
  <c r="AA402" i="1" s="1"/>
  <c r="N402" i="1"/>
  <c r="Y400" i="1"/>
  <c r="AA400" i="1" s="1"/>
  <c r="N400" i="1"/>
  <c r="Y398" i="1"/>
  <c r="AA398" i="1" s="1"/>
  <c r="N398" i="1"/>
  <c r="Y396" i="1"/>
  <c r="AA396" i="1" s="1"/>
  <c r="N396" i="1"/>
  <c r="Y394" i="1"/>
  <c r="AA394" i="1" s="1"/>
  <c r="N394" i="1"/>
  <c r="Y392" i="1"/>
  <c r="AA392" i="1" s="1"/>
  <c r="N392" i="1"/>
  <c r="Y390" i="1"/>
  <c r="AA390" i="1" s="1"/>
  <c r="N390" i="1"/>
  <c r="Y388" i="1"/>
  <c r="AA388" i="1" s="1"/>
  <c r="N388" i="1"/>
  <c r="Y386" i="1"/>
  <c r="AA386" i="1" s="1"/>
  <c r="N386" i="1"/>
  <c r="Y384" i="1"/>
  <c r="AA384" i="1" s="1"/>
  <c r="N384" i="1"/>
  <c r="Y382" i="1"/>
  <c r="AA382" i="1" s="1"/>
  <c r="N382" i="1"/>
  <c r="Y380" i="1"/>
  <c r="AA380" i="1" s="1"/>
  <c r="N380" i="1"/>
  <c r="Y378" i="1"/>
  <c r="AA378" i="1" s="1"/>
  <c r="N378" i="1"/>
  <c r="Y376" i="1"/>
  <c r="AA376" i="1" s="1"/>
  <c r="N376" i="1"/>
  <c r="Y374" i="1"/>
  <c r="AA374" i="1" s="1"/>
  <c r="N374" i="1"/>
  <c r="Y372" i="1"/>
  <c r="AA372" i="1" s="1"/>
  <c r="N372" i="1"/>
  <c r="Y370" i="1"/>
  <c r="AA370" i="1" s="1"/>
  <c r="N370" i="1"/>
  <c r="Y368" i="1"/>
  <c r="AA368" i="1" s="1"/>
  <c r="N368" i="1"/>
  <c r="Y366" i="1"/>
  <c r="AA366" i="1" s="1"/>
  <c r="N366" i="1"/>
  <c r="Y364" i="1"/>
  <c r="AA364" i="1" s="1"/>
  <c r="N364" i="1"/>
  <c r="Y362" i="1"/>
  <c r="AA362" i="1" s="1"/>
  <c r="N362" i="1"/>
  <c r="Y360" i="1"/>
  <c r="AA360" i="1" s="1"/>
  <c r="N360" i="1"/>
  <c r="Y358" i="1"/>
  <c r="AA358" i="1" s="1"/>
  <c r="N358" i="1"/>
  <c r="Y356" i="1"/>
  <c r="AA356" i="1" s="1"/>
  <c r="N356" i="1"/>
  <c r="Y354" i="1"/>
  <c r="AA354" i="1" s="1"/>
  <c r="N354" i="1"/>
  <c r="Y352" i="1"/>
  <c r="AA352" i="1" s="1"/>
  <c r="N352" i="1"/>
  <c r="Y350" i="1"/>
  <c r="AA350" i="1" s="1"/>
  <c r="N350" i="1"/>
  <c r="Y348" i="1"/>
  <c r="AA348" i="1" s="1"/>
  <c r="N348" i="1"/>
  <c r="Y346" i="1"/>
  <c r="AA346" i="1" s="1"/>
  <c r="N346" i="1"/>
  <c r="Y344" i="1"/>
  <c r="AA344" i="1" s="1"/>
  <c r="N344" i="1"/>
  <c r="Y342" i="1"/>
  <c r="AA342" i="1" s="1"/>
  <c r="N342" i="1"/>
  <c r="Y340" i="1"/>
  <c r="AA340" i="1" s="1"/>
  <c r="N340" i="1"/>
  <c r="Y338" i="1"/>
  <c r="AA338" i="1" s="1"/>
  <c r="N338" i="1"/>
  <c r="Y336" i="1"/>
  <c r="AA336" i="1" s="1"/>
  <c r="N336" i="1"/>
  <c r="Y334" i="1"/>
  <c r="AA334" i="1" s="1"/>
  <c r="N334" i="1"/>
  <c r="Y332" i="1"/>
  <c r="AA332" i="1" s="1"/>
  <c r="N332" i="1"/>
  <c r="Y330" i="1"/>
  <c r="AA330" i="1" s="1"/>
  <c r="N330" i="1"/>
  <c r="Y328" i="1"/>
  <c r="AA328" i="1" s="1"/>
  <c r="N328" i="1"/>
  <c r="Y326" i="1"/>
  <c r="AA326" i="1" s="1"/>
  <c r="N326" i="1"/>
  <c r="Y324" i="1"/>
  <c r="AA324" i="1" s="1"/>
  <c r="N324" i="1"/>
  <c r="Y322" i="1"/>
  <c r="AA322" i="1" s="1"/>
  <c r="N322" i="1"/>
  <c r="Y320" i="1"/>
  <c r="AA320" i="1" s="1"/>
  <c r="N320" i="1"/>
  <c r="Y318" i="1"/>
  <c r="AA318" i="1" s="1"/>
  <c r="N318" i="1"/>
  <c r="Y316" i="1"/>
  <c r="AA316" i="1" s="1"/>
  <c r="N316" i="1"/>
  <c r="Y314" i="1"/>
  <c r="AA314" i="1" s="1"/>
  <c r="N314" i="1"/>
  <c r="Y312" i="1"/>
  <c r="AA312" i="1" s="1"/>
  <c r="N312" i="1"/>
  <c r="Y310" i="1"/>
  <c r="AA310" i="1" s="1"/>
  <c r="N310" i="1"/>
  <c r="Y308" i="1"/>
  <c r="AA308" i="1" s="1"/>
  <c r="N308" i="1"/>
  <c r="Y306" i="1"/>
  <c r="AA306" i="1" s="1"/>
  <c r="N306" i="1"/>
  <c r="Y304" i="1"/>
  <c r="AA304" i="1" s="1"/>
  <c r="M304" i="1"/>
  <c r="N304" i="1" s="1"/>
  <c r="Y302" i="1"/>
  <c r="AA302" i="1" s="1"/>
  <c r="N302" i="1"/>
  <c r="Y300" i="1"/>
  <c r="AA300" i="1" s="1"/>
  <c r="N300" i="1"/>
  <c r="Y298" i="1"/>
  <c r="AA298" i="1" s="1"/>
  <c r="N298" i="1"/>
  <c r="Y296" i="1"/>
  <c r="AA296" i="1" s="1"/>
  <c r="N296" i="1"/>
  <c r="Y294" i="1"/>
  <c r="AA294" i="1" s="1"/>
  <c r="N294" i="1"/>
  <c r="Y292" i="1"/>
  <c r="AA292" i="1" s="1"/>
  <c r="N292" i="1"/>
  <c r="Y290" i="1"/>
  <c r="AA290" i="1" s="1"/>
  <c r="N290" i="1"/>
  <c r="Y288" i="1"/>
  <c r="AA288" i="1" s="1"/>
  <c r="N288" i="1"/>
  <c r="Y286" i="1"/>
  <c r="AA286" i="1" s="1"/>
  <c r="N286" i="1"/>
  <c r="Y284" i="1"/>
  <c r="AA284" i="1" s="1"/>
  <c r="N284" i="1"/>
  <c r="Y282" i="1"/>
  <c r="AA282" i="1" s="1"/>
  <c r="N282" i="1"/>
  <c r="Y280" i="1"/>
  <c r="AA280" i="1" s="1"/>
  <c r="N280" i="1"/>
  <c r="Y278" i="1"/>
  <c r="AA278" i="1" s="1"/>
  <c r="N278" i="1"/>
  <c r="Y276" i="1"/>
  <c r="AA276" i="1" s="1"/>
  <c r="N276" i="1"/>
  <c r="Y274" i="1"/>
  <c r="AA274" i="1" s="1"/>
  <c r="N274" i="1"/>
  <c r="Y272" i="1"/>
  <c r="AA272" i="1" s="1"/>
  <c r="N272" i="1"/>
  <c r="Y270" i="1"/>
  <c r="AA270" i="1" s="1"/>
  <c r="N270" i="1"/>
  <c r="Y268" i="1"/>
  <c r="AA268" i="1" s="1"/>
  <c r="N268" i="1"/>
  <c r="Y266" i="1"/>
  <c r="AA266" i="1" s="1"/>
  <c r="N266" i="1"/>
  <c r="Y264" i="1"/>
  <c r="AA264" i="1" s="1"/>
  <c r="N264" i="1"/>
  <c r="Y262" i="1"/>
  <c r="AA262" i="1" s="1"/>
  <c r="N262" i="1"/>
  <c r="Y260" i="1"/>
  <c r="AA260" i="1" s="1"/>
  <c r="N260" i="1"/>
  <c r="Y258" i="1"/>
  <c r="AA258" i="1" s="1"/>
  <c r="N258" i="1"/>
  <c r="Y256" i="1"/>
  <c r="AA256" i="1" s="1"/>
  <c r="N256" i="1"/>
  <c r="Y254" i="1"/>
  <c r="AA254" i="1" s="1"/>
  <c r="M254" i="1"/>
  <c r="N254" i="1" s="1"/>
  <c r="Y252" i="1"/>
  <c r="AA252" i="1" s="1"/>
  <c r="N252" i="1"/>
  <c r="Y250" i="1"/>
  <c r="AA250" i="1" s="1"/>
  <c r="N250" i="1"/>
  <c r="Y248" i="1"/>
  <c r="AA248" i="1" s="1"/>
  <c r="N248" i="1"/>
  <c r="Y246" i="1"/>
  <c r="AA246" i="1" s="1"/>
  <c r="N246" i="1"/>
  <c r="Y244" i="1"/>
  <c r="AA244" i="1" s="1"/>
  <c r="N244" i="1"/>
  <c r="Y242" i="1"/>
  <c r="AA242" i="1" s="1"/>
  <c r="N242" i="1"/>
  <c r="Y240" i="1"/>
  <c r="AA240" i="1" s="1"/>
  <c r="N240" i="1"/>
  <c r="Y238" i="1"/>
  <c r="AA238" i="1" s="1"/>
  <c r="N238" i="1"/>
  <c r="Y236" i="1"/>
  <c r="AA236" i="1" s="1"/>
  <c r="N236" i="1"/>
  <c r="Y234" i="1"/>
  <c r="AA234" i="1" s="1"/>
  <c r="N234" i="1"/>
  <c r="Y232" i="1"/>
  <c r="AA232" i="1" s="1"/>
  <c r="N232" i="1"/>
  <c r="Y230" i="1"/>
  <c r="AA230" i="1" s="1"/>
  <c r="M230" i="1"/>
  <c r="N230" i="1" s="1"/>
  <c r="Y228" i="1"/>
  <c r="AA228" i="1" s="1"/>
  <c r="N228" i="1"/>
  <c r="Y226" i="1"/>
  <c r="AA226" i="1" s="1"/>
  <c r="N226" i="1"/>
  <c r="Y224" i="1"/>
  <c r="AA224" i="1" s="1"/>
  <c r="M224" i="1"/>
  <c r="N224" i="1" s="1"/>
  <c r="Y222" i="1"/>
  <c r="AA222" i="1" s="1"/>
  <c r="N222" i="1"/>
  <c r="Y220" i="1"/>
  <c r="AA220" i="1" s="1"/>
  <c r="N220" i="1"/>
  <c r="Y218" i="1"/>
  <c r="AA218" i="1" s="1"/>
  <c r="N218" i="1"/>
  <c r="Y216" i="1"/>
  <c r="AA216" i="1" s="1"/>
  <c r="N216" i="1"/>
  <c r="Y214" i="1"/>
  <c r="AA214" i="1" s="1"/>
  <c r="N214" i="1"/>
  <c r="Y212" i="1"/>
  <c r="AA212" i="1" s="1"/>
  <c r="N212" i="1"/>
  <c r="Y210" i="1"/>
  <c r="AA210" i="1" s="1"/>
  <c r="N210" i="1"/>
  <c r="Y208" i="1"/>
  <c r="AA208" i="1" s="1"/>
  <c r="N208" i="1"/>
  <c r="Y206" i="1"/>
  <c r="AA206" i="1" s="1"/>
  <c r="N206" i="1"/>
  <c r="Y204" i="1"/>
  <c r="AA204" i="1" s="1"/>
  <c r="N204" i="1"/>
  <c r="Y202" i="1"/>
  <c r="AA202" i="1" s="1"/>
  <c r="M202" i="1"/>
  <c r="N202" i="1" s="1"/>
  <c r="Y200" i="1"/>
  <c r="AA200" i="1" s="1"/>
  <c r="M200" i="1"/>
  <c r="N200" i="1" s="1"/>
  <c r="Y198" i="1"/>
  <c r="AA198" i="1" s="1"/>
  <c r="M198" i="1"/>
  <c r="N198" i="1" s="1"/>
  <c r="Y196" i="1"/>
  <c r="AA196" i="1" s="1"/>
  <c r="M196" i="1"/>
  <c r="N196" i="1" s="1"/>
  <c r="AA194" i="1"/>
  <c r="N194" i="1"/>
  <c r="Y192" i="1"/>
  <c r="AA192" i="1" s="1"/>
  <c r="N192" i="1"/>
  <c r="Y190" i="1"/>
  <c r="AA190" i="1" s="1"/>
  <c r="N190" i="1"/>
  <c r="Y188" i="1"/>
  <c r="AA188" i="1" s="1"/>
  <c r="N188" i="1"/>
  <c r="Y186" i="1"/>
  <c r="AA186" i="1" s="1"/>
  <c r="N186" i="1"/>
  <c r="Y184" i="1"/>
  <c r="AA184" i="1" s="1"/>
  <c r="N184" i="1"/>
  <c r="Y182" i="1"/>
  <c r="AA182" i="1" s="1"/>
  <c r="N182" i="1"/>
  <c r="Y180" i="1"/>
  <c r="AA180" i="1" s="1"/>
  <c r="N180" i="1"/>
  <c r="Y178" i="1"/>
  <c r="AA178" i="1" s="1"/>
  <c r="N178" i="1"/>
  <c r="Y176" i="1"/>
  <c r="AA176" i="1" s="1"/>
  <c r="N176" i="1"/>
  <c r="Y174" i="1"/>
  <c r="AA174" i="1" s="1"/>
  <c r="N174" i="1"/>
  <c r="Y172" i="1"/>
  <c r="AA172" i="1" s="1"/>
  <c r="N172" i="1"/>
  <c r="Y170" i="1"/>
  <c r="AA170" i="1" s="1"/>
  <c r="N170" i="1"/>
  <c r="Y168" i="1"/>
  <c r="AA168" i="1" s="1"/>
  <c r="N168" i="1"/>
  <c r="Y166" i="1"/>
  <c r="AA166" i="1" s="1"/>
  <c r="N166" i="1"/>
  <c r="Y164" i="1"/>
  <c r="AA164" i="1" s="1"/>
  <c r="N164" i="1"/>
  <c r="Y162" i="1"/>
  <c r="AA162" i="1" s="1"/>
  <c r="N162" i="1"/>
  <c r="Y160" i="1"/>
  <c r="AA160" i="1" s="1"/>
  <c r="N160" i="1"/>
  <c r="Y158" i="1"/>
  <c r="AA158" i="1" s="1"/>
  <c r="N158" i="1"/>
  <c r="Y156" i="1"/>
  <c r="AA156" i="1" s="1"/>
  <c r="N156" i="1"/>
  <c r="Y154" i="1"/>
  <c r="AA154" i="1" s="1"/>
  <c r="M154" i="1"/>
  <c r="N154" i="1" s="1"/>
  <c r="Y152" i="1"/>
  <c r="AA152" i="1" s="1"/>
  <c r="M152" i="1"/>
  <c r="N152" i="1" s="1"/>
  <c r="Y150" i="1"/>
  <c r="AA150" i="1" s="1"/>
  <c r="N150" i="1"/>
  <c r="Y148" i="1"/>
  <c r="AA148" i="1" s="1"/>
  <c r="N148" i="1"/>
  <c r="Y146" i="1"/>
  <c r="AA146" i="1" s="1"/>
  <c r="N146" i="1"/>
  <c r="Y144" i="1"/>
  <c r="AA144" i="1" s="1"/>
  <c r="N144" i="1"/>
  <c r="Y142" i="1"/>
  <c r="AA142" i="1" s="1"/>
  <c r="N142" i="1"/>
  <c r="Y140" i="1"/>
  <c r="AA140" i="1" s="1"/>
  <c r="N140" i="1"/>
  <c r="Y138" i="1"/>
  <c r="AA138" i="1" s="1"/>
  <c r="N138" i="1"/>
  <c r="Y136" i="1"/>
  <c r="AA136" i="1" s="1"/>
  <c r="N136" i="1"/>
  <c r="Y134" i="1"/>
  <c r="AA134" i="1" s="1"/>
  <c r="N134" i="1"/>
  <c r="Y132" i="1"/>
  <c r="AA132" i="1" s="1"/>
  <c r="N132" i="1"/>
  <c r="Y130" i="1"/>
  <c r="AA130" i="1" s="1"/>
  <c r="N130" i="1"/>
  <c r="Y128" i="1"/>
  <c r="AA128" i="1" s="1"/>
  <c r="N128" i="1"/>
  <c r="Y126" i="1"/>
  <c r="AA126" i="1" s="1"/>
  <c r="N126" i="1"/>
  <c r="Y124" i="1"/>
  <c r="AA124" i="1" s="1"/>
  <c r="N124" i="1"/>
  <c r="Y122" i="1"/>
  <c r="AA122" i="1" s="1"/>
  <c r="N122" i="1"/>
  <c r="Y120" i="1"/>
  <c r="AA120" i="1" s="1"/>
  <c r="N120" i="1"/>
  <c r="Y118" i="1"/>
  <c r="AA118" i="1" s="1"/>
  <c r="N118" i="1"/>
  <c r="Y116" i="1"/>
  <c r="AA116" i="1" s="1"/>
  <c r="N116" i="1"/>
  <c r="Y114" i="1"/>
  <c r="AA114" i="1" s="1"/>
  <c r="N114" i="1"/>
  <c r="Y112" i="1"/>
  <c r="AA112" i="1" s="1"/>
  <c r="N112" i="1"/>
  <c r="Y110" i="1"/>
  <c r="AA110" i="1" s="1"/>
  <c r="N110" i="1"/>
  <c r="Y108" i="1"/>
  <c r="AA108" i="1" s="1"/>
  <c r="N108" i="1"/>
  <c r="Y106" i="1"/>
  <c r="AA106" i="1" s="1"/>
  <c r="N106" i="1"/>
  <c r="Y104" i="1"/>
  <c r="AA104" i="1" s="1"/>
  <c r="N104" i="1"/>
  <c r="Y102" i="1"/>
  <c r="AA102" i="1" s="1"/>
  <c r="N102" i="1"/>
  <c r="Y100" i="1"/>
  <c r="AA100" i="1" s="1"/>
  <c r="N100" i="1"/>
  <c r="Y98" i="1"/>
  <c r="AA98" i="1" s="1"/>
  <c r="N98" i="1"/>
  <c r="Y96" i="1"/>
  <c r="AA96" i="1" s="1"/>
  <c r="N96" i="1"/>
  <c r="Y94" i="1"/>
  <c r="AA94" i="1" s="1"/>
  <c r="N94" i="1"/>
  <c r="Y92" i="1"/>
  <c r="AA92" i="1" s="1"/>
  <c r="N92" i="1"/>
  <c r="Y90" i="1"/>
  <c r="AA90" i="1" s="1"/>
  <c r="N90" i="1"/>
  <c r="Y88" i="1"/>
  <c r="AA88" i="1" s="1"/>
  <c r="N88" i="1"/>
  <c r="Y86" i="1"/>
  <c r="AA86" i="1" s="1"/>
  <c r="N86" i="1"/>
  <c r="Y84" i="1"/>
  <c r="AA84" i="1" s="1"/>
  <c r="N84" i="1"/>
  <c r="Y82" i="1"/>
  <c r="AA82" i="1" s="1"/>
  <c r="N82" i="1"/>
  <c r="Y80" i="1"/>
  <c r="AA80" i="1" s="1"/>
  <c r="N80" i="1"/>
  <c r="Y78" i="1"/>
  <c r="AA78" i="1" s="1"/>
  <c r="N78" i="1"/>
  <c r="Y76" i="1"/>
  <c r="AA76" i="1" s="1"/>
  <c r="N76" i="1"/>
  <c r="Y74" i="1"/>
  <c r="AA74" i="1" s="1"/>
  <c r="N74" i="1"/>
  <c r="Y72" i="1"/>
  <c r="AA72" i="1" s="1"/>
  <c r="N72" i="1"/>
  <c r="Y70" i="1"/>
  <c r="AA70" i="1" s="1"/>
  <c r="N70" i="1"/>
  <c r="Y68" i="1"/>
  <c r="AA68" i="1" s="1"/>
  <c r="N68" i="1"/>
  <c r="Y66" i="1"/>
  <c r="AA66" i="1" s="1"/>
  <c r="N66" i="1"/>
  <c r="Y64" i="1"/>
  <c r="AA64" i="1" s="1"/>
  <c r="N64" i="1"/>
  <c r="Y62" i="1"/>
  <c r="AA62" i="1" s="1"/>
  <c r="N62" i="1"/>
  <c r="Y60" i="1"/>
  <c r="AA60" i="1" s="1"/>
  <c r="N60" i="1"/>
  <c r="Y58" i="1"/>
  <c r="AA58" i="1" s="1"/>
  <c r="N58" i="1"/>
  <c r="Y56" i="1"/>
  <c r="AA56" i="1" s="1"/>
  <c r="N56" i="1"/>
  <c r="Y54" i="1"/>
  <c r="AA54" i="1" s="1"/>
  <c r="N54" i="1"/>
  <c r="Y52" i="1"/>
  <c r="AA52" i="1" s="1"/>
  <c r="N52" i="1"/>
  <c r="Y50" i="1"/>
  <c r="AA50" i="1" s="1"/>
  <c r="N50" i="1"/>
  <c r="Y48" i="1"/>
  <c r="AA48" i="1" s="1"/>
  <c r="N48" i="1"/>
  <c r="Y46" i="1"/>
  <c r="AA46" i="1" s="1"/>
  <c r="N46" i="1"/>
  <c r="Y44" i="1"/>
  <c r="AA44" i="1" s="1"/>
  <c r="N44" i="1"/>
  <c r="Y42" i="1"/>
  <c r="AA42" i="1" s="1"/>
  <c r="N42" i="1"/>
  <c r="Y40" i="1"/>
  <c r="AA40" i="1" s="1"/>
  <c r="N40" i="1"/>
  <c r="Y38" i="1"/>
  <c r="AA38" i="1" s="1"/>
  <c r="N38" i="1"/>
  <c r="Y36" i="1"/>
  <c r="AA36" i="1" s="1"/>
  <c r="N36" i="1"/>
  <c r="Y34" i="1"/>
  <c r="AA34" i="1" s="1"/>
  <c r="Y32" i="1"/>
  <c r="AA32" i="1" s="1"/>
  <c r="N32" i="1"/>
  <c r="Y30" i="1"/>
  <c r="AA30" i="1" s="1"/>
  <c r="Y28" i="1"/>
  <c r="AA28" i="1" s="1"/>
  <c r="N28" i="1"/>
  <c r="Y26" i="1"/>
  <c r="AA26" i="1" s="1"/>
  <c r="Y24" i="1"/>
  <c r="AA24" i="1" s="1"/>
  <c r="N24" i="1"/>
  <c r="Y22" i="1"/>
  <c r="AA22" i="1" s="1"/>
  <c r="N22" i="1"/>
  <c r="Y20" i="1"/>
  <c r="AA20" i="1" s="1"/>
  <c r="Y18" i="1"/>
  <c r="AA18" i="1" s="1"/>
  <c r="Y16" i="1"/>
  <c r="AA16" i="1" s="1"/>
  <c r="N16" i="1"/>
  <c r="Y14" i="1"/>
  <c r="AA14" i="1" s="1"/>
  <c r="Y12" i="1"/>
  <c r="AA12" i="1" s="1"/>
  <c r="Y10" i="1"/>
  <c r="AA10" i="1" s="1"/>
  <c r="Y8" i="1"/>
  <c r="AA8" i="1" s="1"/>
  <c r="Y6" i="1"/>
  <c r="AA6" i="1" s="1"/>
  <c r="Y4" i="1"/>
  <c r="AA4" i="1" s="1"/>
  <c r="Y2" i="1"/>
  <c r="AA2" i="1" s="1"/>
  <c r="AA16" i="4"/>
  <c r="N16" i="4"/>
  <c r="N1584" i="1" l="1"/>
  <c r="N1010" i="1"/>
  <c r="N1298" i="1"/>
  <c r="N1522" i="1"/>
  <c r="N1524" i="1"/>
  <c r="N1042" i="1"/>
  <c r="N1056" i="1"/>
  <c r="N1160" i="1"/>
  <c r="N1172" i="1"/>
  <c r="N1082" i="1"/>
  <c r="N1114" i="1"/>
  <c r="N952" i="1"/>
  <c r="N1196" i="1"/>
  <c r="N1632" i="1"/>
  <c r="N1318" i="1"/>
  <c r="N1776" i="1"/>
  <c r="N1332" i="1"/>
  <c r="N1246" i="1"/>
  <c r="N1026" i="1"/>
  <c r="N1128" i="1"/>
  <c r="N1142" i="1"/>
  <c r="N1192" i="1"/>
  <c r="N908" i="1"/>
  <c r="N946" i="1"/>
  <c r="N960" i="1"/>
  <c r="N1170" i="1"/>
  <c r="N1384" i="1"/>
  <c r="N1634" i="1"/>
  <c r="N1460" i="1"/>
  <c r="N1482" i="1"/>
  <c r="N1674" i="1"/>
  <c r="N1186" i="1"/>
  <c r="N1544" i="1"/>
  <c r="N1550" i="1"/>
  <c r="N1696" i="1"/>
  <c r="N1874" i="1"/>
  <c r="N1888" i="1"/>
  <c r="J1796" i="1"/>
  <c r="N1796" i="1" s="1"/>
  <c r="N1162" i="1"/>
  <c r="N1436" i="1"/>
  <c r="N1748" i="1"/>
  <c r="N1770" i="1"/>
  <c r="N1146" i="1"/>
  <c r="N1180" i="1"/>
  <c r="N964" i="1"/>
  <c r="N1094" i="1"/>
  <c r="N1642" i="1"/>
  <c r="J1594" i="1"/>
  <c r="N1594" i="1" s="1"/>
  <c r="N1122" i="1"/>
  <c r="N1126" i="1"/>
  <c r="N1232" i="1"/>
  <c r="N1358" i="1"/>
  <c r="N1364" i="1"/>
  <c r="N1454" i="1"/>
  <c r="N1494" i="1"/>
  <c r="N1752" i="1"/>
  <c r="N926" i="1"/>
  <c r="N1212" i="1"/>
  <c r="N1346" i="1"/>
  <c r="N1490" i="1"/>
  <c r="N1774" i="1"/>
  <c r="N1794" i="1"/>
  <c r="N1204" i="1"/>
  <c r="N1440" i="1"/>
  <c r="N1526" i="1"/>
  <c r="N1890" i="1"/>
  <c r="N966" i="1"/>
  <c r="N1116" i="1"/>
  <c r="J1124" i="1"/>
  <c r="N1124" i="1" s="1"/>
  <c r="J1486" i="1"/>
  <c r="N1486" i="1" s="1"/>
  <c r="N1534" i="1"/>
  <c r="N1546" i="1"/>
  <c r="N1746" i="1"/>
  <c r="N1804" i="1"/>
  <c r="N1422" i="1"/>
  <c r="N1592" i="1"/>
  <c r="N1880" i="1"/>
  <c r="J776" i="1"/>
  <c r="N776" i="1" s="1"/>
  <c r="J1104" i="1"/>
  <c r="N1104" i="1" s="1"/>
  <c r="J1148" i="1"/>
  <c r="N1148" i="1" s="1"/>
  <c r="J1020" i="1"/>
  <c r="N1020" i="1" s="1"/>
  <c r="N1118" i="1"/>
  <c r="J1262" i="1"/>
  <c r="N1262" i="1" s="1"/>
  <c r="J1052" i="1"/>
  <c r="N1052" i="1" s="1"/>
  <c r="J1228" i="1"/>
  <c r="N1228" i="1" s="1"/>
  <c r="J1304" i="1"/>
  <c r="N1304" i="1" s="1"/>
  <c r="N936" i="1"/>
  <c r="N1596" i="1"/>
  <c r="N1630" i="1"/>
  <c r="N1652" i="1"/>
  <c r="J1698" i="1"/>
  <c r="N1698" i="1" s="1"/>
  <c r="J974" i="1"/>
  <c r="N974" i="1" s="1"/>
  <c r="J1182" i="1"/>
  <c r="N1182" i="1" s="1"/>
  <c r="J1484" i="1"/>
  <c r="N1484" i="1" s="1"/>
  <c r="N1838" i="1"/>
  <c r="J1446" i="1"/>
  <c r="N1446" i="1" s="1"/>
  <c r="J1792" i="1"/>
  <c r="N1792" i="1" s="1"/>
  <c r="N1328" i="1"/>
  <c r="J1420" i="1"/>
  <c r="N1420" i="1" s="1"/>
  <c r="N1290" i="1"/>
  <c r="J1590" i="1"/>
  <c r="N1590" i="1" s="1"/>
  <c r="N1334" i="1"/>
  <c r="J1362" i="1"/>
  <c r="N1362" i="1" s="1"/>
  <c r="J1786" i="1"/>
  <c r="N1786" i="1" s="1"/>
  <c r="J1896" i="1"/>
  <c r="N1896" i="1" s="1"/>
  <c r="J1598" i="1"/>
  <c r="N159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瀧井良介</author>
    <author>Ryosuke Takii</author>
  </authors>
  <commentList>
    <comment ref="A2" authorId="0" shapeId="0" xr:uid="{00000000-0006-0000-0000-000001000000}">
      <text>
        <r>
          <rPr>
            <sz val="9"/>
            <color indexed="81"/>
            <rFont val="MS P ゴシック"/>
            <family val="3"/>
            <charset val="128"/>
          </rPr>
          <t>13-001 14-001 15-001 16-001 17-001 18-001 19-001 20-001 21-001 22-001 23-001 24-001 25-001 26-001</t>
        </r>
      </text>
    </comment>
    <comment ref="A4" authorId="0" shapeId="0" xr:uid="{00000000-0006-0000-0000-000002000000}">
      <text>
        <r>
          <rPr>
            <sz val="9"/>
            <color indexed="81"/>
            <rFont val="MS P ゴシック"/>
            <family val="3"/>
            <charset val="128"/>
          </rPr>
          <t>13-002 14-002 15-002 16-002 17-002 18-002 19-002 20-002 21-003 21-002 22-002a 23-002 24-002 25-002 26-002</t>
        </r>
      </text>
    </comment>
    <comment ref="A6" authorId="0" shapeId="0" xr:uid="{00000000-0006-0000-0000-000003000000}">
      <text>
        <r>
          <rPr>
            <sz val="9"/>
            <color indexed="81"/>
            <rFont val="MS P ゴシック"/>
            <family val="3"/>
            <charset val="128"/>
          </rPr>
          <t>13-003 14-003 15-003 16-003 17-003 18-003 19-003 20-003 21-003 22-002b 23-003 24-003 25-003 26-003</t>
        </r>
      </text>
    </comment>
    <comment ref="A8" authorId="0" shapeId="0" xr:uid="{00000000-0006-0000-0000-000004000000}">
      <text>
        <r>
          <rPr>
            <sz val="9"/>
            <color indexed="81"/>
            <rFont val="MS P ゴシック"/>
            <family val="3"/>
            <charset val="128"/>
          </rPr>
          <t>12-007 13-006 14-006 15-005 16-005 17-005 18-005 19-005 20-005 21-004 22-003 23-004 24-004 25-004 26-004</t>
        </r>
      </text>
    </comment>
    <comment ref="A10" authorId="0" shapeId="0" xr:uid="{00000000-0006-0000-0000-000005000000}">
      <text>
        <r>
          <rPr>
            <sz val="9"/>
            <color indexed="81"/>
            <rFont val="MS P ゴシック"/>
            <family val="3"/>
            <charset val="128"/>
          </rPr>
          <t>12-009 13-008 14-007 15-006 16-006 17-006 18-006 19-006 20-006 21-005 22-004 23-005 24-005 25-005 26-005</t>
        </r>
      </text>
    </comment>
    <comment ref="A12" authorId="0" shapeId="0" xr:uid="{00000000-0006-0000-0000-000006000000}">
      <text>
        <r>
          <rPr>
            <sz val="9"/>
            <color indexed="81"/>
            <rFont val="MS P ゴシック"/>
            <family val="3"/>
            <charset val="128"/>
          </rPr>
          <t>10-015 12-010 13-009 14-008 15-007 16-007 17-007 18-007 19-007 20-007 21-006 22-005 23-006 24-006 25-006 26-006</t>
        </r>
      </text>
    </comment>
    <comment ref="A14" authorId="0" shapeId="0" xr:uid="{00000000-0006-0000-0000-000007000000}">
      <text>
        <r>
          <rPr>
            <sz val="9"/>
            <color indexed="81"/>
            <rFont val="MS P ゴシック"/>
            <family val="3"/>
            <charset val="128"/>
          </rPr>
          <t>10-018 12-012 13-010 14-009 15-008 16-008 17-008 18-008 19-008 20-008 21-007 22-006 23-007 24-007 25-007 26-007</t>
        </r>
      </text>
    </comment>
    <comment ref="A16" authorId="0" shapeId="0" xr:uid="{00000000-0006-0000-0000-000008000000}">
      <text>
        <r>
          <rPr>
            <sz val="9"/>
            <color indexed="81"/>
            <rFont val="MS P ゴシック"/>
            <family val="3"/>
            <charset val="128"/>
          </rPr>
          <t>12-020 13-017 14-015 15-012 16-011 17-010 18-009 19-009 20-009 21-008 22-007 23-008 24-008 25-008 26-008</t>
        </r>
      </text>
    </comment>
    <comment ref="A18" authorId="0" shapeId="0" xr:uid="{00000000-0006-0000-0000-000009000000}">
      <text>
        <r>
          <rPr>
            <sz val="9"/>
            <color indexed="81"/>
            <rFont val="MS P ゴシック"/>
            <family val="3"/>
            <charset val="128"/>
          </rPr>
          <t>12-030 13-025 14-020 15-016 16-015 17-012 18-011 19-011 20-011 21-010 22-009 23-010 24-010 25-010 26-009</t>
        </r>
      </text>
    </comment>
    <comment ref="A20" authorId="0" shapeId="0" xr:uid="{00000000-0006-0000-0000-00000A000000}">
      <text>
        <r>
          <rPr>
            <sz val="9"/>
            <color indexed="81"/>
            <rFont val="MS P ゴシック"/>
            <family val="3"/>
            <charset val="128"/>
          </rPr>
          <t>12-035 13-027 14-021 15-017 16-016 17-013 18-012 19-012 20-012 21-011 22-010 23-011 24-011 25-011 26-010</t>
        </r>
      </text>
    </comment>
    <comment ref="A22" authorId="0" shapeId="0" xr:uid="{00000000-0006-0000-0000-00000B000000}">
      <text>
        <r>
          <rPr>
            <sz val="9"/>
            <color indexed="81"/>
            <rFont val="MS P ゴシック"/>
            <family val="3"/>
            <charset val="128"/>
          </rPr>
          <t>12-040 13-030 14-023 15-019 16-018 17-015 18-014 19-013 20-013 21-012 22-011 23-012 24-012 25-012 26-011</t>
        </r>
      </text>
    </comment>
    <comment ref="A24" authorId="0" shapeId="0" xr:uid="{00000000-0006-0000-0000-00000C000000}">
      <text>
        <r>
          <rPr>
            <sz val="9"/>
            <color indexed="81"/>
            <rFont val="MS P ゴシック"/>
            <family val="3"/>
            <charset val="128"/>
          </rPr>
          <t>12-043 13-031 14-024 15-020 16-019 17-016 18-015 19-014 20-014 21-013 22-012 23-013 24-013 25-013 26-012</t>
        </r>
      </text>
    </comment>
    <comment ref="A26" authorId="0" shapeId="0" xr:uid="{00000000-0006-0000-0000-00000D000000}">
      <text>
        <r>
          <rPr>
            <sz val="9"/>
            <color indexed="81"/>
            <rFont val="MS P ゴシック"/>
            <family val="3"/>
            <charset val="128"/>
          </rPr>
          <t>12-395 13-045 14-031 15-024a 16-022 17-019 18-018 19-017 20-017 21-015 22-013 23-014 24-014 25-014 26-013</t>
        </r>
      </text>
    </comment>
    <comment ref="A28" authorId="0" shapeId="0" xr:uid="{00000000-0006-0000-0000-00000E000000}">
      <text>
        <r>
          <rPr>
            <sz val="9"/>
            <color indexed="81"/>
            <rFont val="MS P ゴシック"/>
            <family val="3"/>
            <charset val="128"/>
          </rPr>
          <t>12-896 13-102 14-043 15-028 16-025 17-023 18-022 19-019 20-019 21-017 22-015 23-015 24-015 25-015 26-014</t>
        </r>
      </text>
    </comment>
    <comment ref="A30" authorId="0" shapeId="0" xr:uid="{00000000-0006-0000-0000-00000F000000}">
      <text>
        <r>
          <rPr>
            <sz val="9"/>
            <color indexed="81"/>
            <rFont val="MS P ゴシック"/>
            <family val="3"/>
            <charset val="128"/>
          </rPr>
          <t>13-336 14-052 15-031 16-026 17-024 18-023 19-020 20-020 21-018 22-016 23-016 24-016 25-016 26-015</t>
        </r>
      </text>
    </comment>
    <comment ref="A32" authorId="0" shapeId="0" xr:uid="{00000000-0006-0000-0000-000010000000}">
      <text>
        <r>
          <rPr>
            <sz val="9"/>
            <color indexed="81"/>
            <rFont val="MS P ゴシック"/>
            <family val="3"/>
            <charset val="128"/>
          </rPr>
          <t>13-362 14-054 15-032 16-027 17-025 18-024 19-021 20-021 21-019 22-017 23-017 24-017 25-017 26-016</t>
        </r>
      </text>
    </comment>
    <comment ref="A34" authorId="0" shapeId="0" xr:uid="{00000000-0006-0000-0000-000011000000}">
      <text>
        <r>
          <rPr>
            <sz val="9"/>
            <color indexed="81"/>
            <rFont val="MS P ゴシック"/>
            <family val="3"/>
            <charset val="128"/>
          </rPr>
          <t>13-794 14-061 15-036 16-031 17-028 18-026 19-022 20-022 21-020 22-018 23-018 24-018 25-018 26-017</t>
        </r>
      </text>
    </comment>
    <comment ref="A36" authorId="0" shapeId="0" xr:uid="{00000000-0006-0000-0000-000012000000}">
      <text>
        <r>
          <rPr>
            <sz val="9"/>
            <color indexed="81"/>
            <rFont val="MS P ゴシック"/>
            <family val="3"/>
            <charset val="128"/>
          </rPr>
          <t>13-1607 14-136 15-039 16-033 17-029 18-027 19-023 20-023 21-021 22-019 23-019 24-019 25-019 26-018</t>
        </r>
      </text>
    </comment>
    <comment ref="A38" authorId="0" shapeId="0" xr:uid="{00000000-0006-0000-0000-000013000000}">
      <text>
        <r>
          <rPr>
            <sz val="9"/>
            <color indexed="81"/>
            <rFont val="MS P ゴシック"/>
            <family val="3"/>
            <charset val="128"/>
          </rPr>
          <t>14-1723 15-072 16-039 17-032 18-030 19-026 20-025 21-023 22-020 23-020 24-020 25-020 26-019</t>
        </r>
      </text>
    </comment>
    <comment ref="A40" authorId="0" shapeId="0" xr:uid="{00000000-0006-0000-0000-000014000000}">
      <text>
        <r>
          <rPr>
            <sz val="9"/>
            <color indexed="81"/>
            <rFont val="MS P ゴシック"/>
            <family val="3"/>
            <charset val="128"/>
          </rPr>
          <t>15-1776 16-072 17-041 18-037 19-030 20-029 21-025 22-023 23-023 24-023 25-022 26-021</t>
        </r>
      </text>
    </comment>
    <comment ref="A42" authorId="0" shapeId="0" xr:uid="{00000000-0006-0000-0000-000015000000}">
      <text>
        <r>
          <rPr>
            <sz val="9"/>
            <color indexed="81"/>
            <rFont val="MS P ゴシック"/>
            <family val="3"/>
            <charset val="128"/>
          </rPr>
          <t>15-2558 16-101 17-048 18-038 19-031 20-030 21-026 22-024 23-024 24-024 25-023 26-022</t>
        </r>
      </text>
    </comment>
    <comment ref="A44" authorId="0" shapeId="0" xr:uid="{00000000-0006-0000-0000-000016000000}">
      <text>
        <r>
          <rPr>
            <sz val="9"/>
            <color indexed="81"/>
            <rFont val="MS P ゴシック"/>
            <family val="3"/>
            <charset val="128"/>
          </rPr>
          <t>15-2600 16-104 17-049 18-039 19-032 20-031 21-027 22-025 23-025 24-025 25-024 26-023</t>
        </r>
      </text>
    </comment>
    <comment ref="A46" authorId="0" shapeId="0" xr:uid="{00000000-0006-0000-0000-000017000000}">
      <text>
        <r>
          <rPr>
            <sz val="9"/>
            <color indexed="81"/>
            <rFont val="MS P ゴシック"/>
            <family val="3"/>
            <charset val="128"/>
          </rPr>
          <t>15-3249 16-203 17-058 18-045 19-036 20-034 21-029 22-027 23-026 24-026 25-025 26-024</t>
        </r>
      </text>
    </comment>
    <comment ref="A48" authorId="0" shapeId="0" xr:uid="{00000000-0006-0000-0000-000018000000}">
      <text>
        <r>
          <rPr>
            <sz val="9"/>
            <color indexed="81"/>
            <rFont val="MS P ゴシック"/>
            <family val="3"/>
            <charset val="128"/>
          </rPr>
          <t>15-3516 16-278 17-062 18-048 19-038 20-036 21-031 22-029 23-028 24-027 25-026 26-025</t>
        </r>
      </text>
    </comment>
    <comment ref="A50" authorId="0" shapeId="0" xr:uid="{00000000-0006-0000-0000-000019000000}">
      <text>
        <r>
          <rPr>
            <sz val="9"/>
            <color indexed="81"/>
            <rFont val="MS P ゴシック"/>
            <family val="3"/>
            <charset val="128"/>
          </rPr>
          <t>16-1314 17-068 18-050 19-040 20-038 21-033 22-031 23-030 24-028 25-027 26-026</t>
        </r>
      </text>
    </comment>
    <comment ref="A52" authorId="0" shapeId="0" xr:uid="{00000000-0006-0000-0000-00001A000000}">
      <text>
        <r>
          <rPr>
            <sz val="9"/>
            <color indexed="81"/>
            <rFont val="MS P ゴシック"/>
            <family val="3"/>
            <charset val="128"/>
          </rPr>
          <t>16-1655 17-071 18-052 19-042 20-040 21-034 22-032 23-031 24-029 25-028 26-027</t>
        </r>
      </text>
    </comment>
    <comment ref="A54" authorId="0" shapeId="0" xr:uid="{00000000-0006-0000-0000-00001B000000}">
      <text>
        <r>
          <rPr>
            <sz val="9"/>
            <color indexed="81"/>
            <rFont val="MS P ゴシック"/>
            <family val="3"/>
            <charset val="128"/>
          </rPr>
          <t>16-2288 17-085 18-055 19-043 20-041 21-035 22-033 23-032 24-030 25-029 26-028</t>
        </r>
      </text>
    </comment>
    <comment ref="A56" authorId="0" shapeId="0" xr:uid="{00000000-0006-0000-0000-00001C000000}">
      <text>
        <r>
          <rPr>
            <sz val="9"/>
            <color indexed="81"/>
            <rFont val="MS P ゴシック"/>
            <family val="3"/>
            <charset val="128"/>
          </rPr>
          <t>16-3228 17-107 18-059 19-045 20-043 21-036 22-034 23-033 24-031 25-030 26-029</t>
        </r>
      </text>
    </comment>
    <comment ref="A58" authorId="0" shapeId="0" xr:uid="{00000000-0006-0000-0000-00001D000000}">
      <text>
        <r>
          <rPr>
            <sz val="9"/>
            <color indexed="81"/>
            <rFont val="MS P ゴシック"/>
            <family val="3"/>
            <charset val="128"/>
          </rPr>
          <t>16-4237 17-139 18-064 19-049 20-045 21-038 22-035 23-034 24-032 25-031 26-030</t>
        </r>
      </text>
    </comment>
    <comment ref="A60" authorId="0" shapeId="0" xr:uid="{00000000-0006-0000-0000-00001E000000}">
      <text>
        <r>
          <rPr>
            <sz val="9"/>
            <color indexed="81"/>
            <rFont val="MS P ゴシック"/>
            <family val="3"/>
            <charset val="128"/>
          </rPr>
          <t>16-4449 17-166 18-067 19-051 20-046 21-039 22-036 23-035 24-033 25-032 26-031</t>
        </r>
      </text>
    </comment>
    <comment ref="A62" authorId="0" shapeId="0" xr:uid="{00000000-0006-0000-0000-00001F000000}">
      <text>
        <r>
          <rPr>
            <sz val="9"/>
            <color indexed="81"/>
            <rFont val="MS P ゴシック"/>
            <family val="3"/>
            <charset val="128"/>
          </rPr>
          <t>16-5030 17-269 18-090 19-053 20-047 21-040 22-037 23-036 24-034 25-033 26-032</t>
        </r>
      </text>
    </comment>
    <comment ref="A64" authorId="0" shapeId="0" xr:uid="{00000000-0006-0000-0000-000020000000}">
      <text>
        <r>
          <rPr>
            <sz val="9"/>
            <color indexed="81"/>
            <rFont val="MS P ゴシック"/>
            <family val="3"/>
            <charset val="128"/>
          </rPr>
          <t>D21-002 D22-002 23-040 24-037 25-035 26-033</t>
        </r>
      </text>
    </comment>
    <comment ref="A66" authorId="0" shapeId="0" xr:uid="{00000000-0006-0000-0000-000021000000}">
      <text>
        <r>
          <rPr>
            <sz val="9"/>
            <color indexed="81"/>
            <rFont val="MS P ゴシック"/>
            <family val="3"/>
            <charset val="128"/>
          </rPr>
          <t>17-3479 18-140ａ 19-063 20-054 21-045 22-042 23-041 24-038 25-036 26-034</t>
        </r>
      </text>
    </comment>
    <comment ref="A68" authorId="0" shapeId="0" xr:uid="{00000000-0006-0000-0000-000022000000}">
      <text>
        <r>
          <rPr>
            <sz val="9"/>
            <color indexed="81"/>
            <rFont val="MS P ゴシック"/>
            <family val="3"/>
            <charset val="128"/>
          </rPr>
          <t>17-4062 18-151 19-065 20-055 21-046 22-043 23-042 24-039 25-037 26-035</t>
        </r>
      </text>
    </comment>
    <comment ref="A70" authorId="0" shapeId="0" xr:uid="{00000000-0006-0000-0000-000023000000}">
      <text>
        <r>
          <rPr>
            <sz val="9"/>
            <color indexed="81"/>
            <rFont val="MS P ゴシック"/>
            <family val="3"/>
            <charset val="128"/>
          </rPr>
          <t>17-4597 18-157 19-066 20-056 21-047 22-044 23-043 24-040 25-038 26-036</t>
        </r>
      </text>
    </comment>
    <comment ref="A72" authorId="0" shapeId="0" xr:uid="{00000000-0006-0000-0000-000024000000}">
      <text>
        <r>
          <rPr>
            <sz val="9"/>
            <color indexed="81"/>
            <rFont val="MS P ゴシック"/>
            <family val="3"/>
            <charset val="128"/>
          </rPr>
          <t>17-5636 18-186 19-070 20-059 21-048 22-045 23-044 24-041 25-039 26-037</t>
        </r>
      </text>
    </comment>
    <comment ref="A74" authorId="0" shapeId="0" xr:uid="{00000000-0006-0000-0000-000025000000}">
      <text>
        <r>
          <rPr>
            <sz val="9"/>
            <color indexed="81"/>
            <rFont val="MS P ゴシック"/>
            <family val="3"/>
            <charset val="128"/>
          </rPr>
          <t>17-5766 18-193 19-071 20-060 21-049 22-046 23-046 24-042 25-040 26-038</t>
        </r>
      </text>
    </comment>
    <comment ref="A76" authorId="0" shapeId="0" xr:uid="{00000000-0006-0000-0000-000026000000}">
      <text>
        <r>
          <rPr>
            <sz val="9"/>
            <color indexed="81"/>
            <rFont val="MS P ゴシック"/>
            <family val="3"/>
            <charset val="128"/>
          </rPr>
          <t>17-5913 18-203 19-073 20-062 21-051 22-048 23-047 24-043 25-041 26-039</t>
        </r>
      </text>
    </comment>
    <comment ref="A78" authorId="0" shapeId="0" xr:uid="{00000000-0006-0000-0000-000027000000}">
      <text>
        <r>
          <rPr>
            <sz val="9"/>
            <color indexed="81"/>
            <rFont val="MS P ゴシック"/>
            <family val="3"/>
            <charset val="128"/>
          </rPr>
          <t>17-6900 18-324 19-082 20-065 21-053 22-050 23-048 24-044 25-042 26-040</t>
        </r>
      </text>
    </comment>
    <comment ref="A80" authorId="0" shapeId="0" xr:uid="{00000000-0006-0000-0000-000028000000}">
      <text>
        <r>
          <rPr>
            <sz val="9"/>
            <color indexed="81"/>
            <rFont val="MS P ゴシック"/>
            <family val="3"/>
            <charset val="128"/>
          </rPr>
          <t>17-6936 18-332 19-084a 20-067 21-055 22-051 23-049 24-045 25-043 26-041</t>
        </r>
      </text>
    </comment>
    <comment ref="A82" authorId="0" shapeId="0" xr:uid="{00000000-0006-0000-0000-000029000000}">
      <text>
        <r>
          <rPr>
            <sz val="9"/>
            <color indexed="81"/>
            <rFont val="MS P ゴシック"/>
            <family val="3"/>
            <charset val="128"/>
          </rPr>
          <t>17-7565b 18-568 19-086b 20-069 21-057 22-053 23-051 24-047 25-044 26-042</t>
        </r>
      </text>
    </comment>
    <comment ref="A84" authorId="0" shapeId="0" xr:uid="{00000000-0006-0000-0000-00002A000000}">
      <text>
        <r>
          <rPr>
            <sz val="9"/>
            <color indexed="81"/>
            <rFont val="MS P ゴシック"/>
            <family val="3"/>
            <charset val="128"/>
          </rPr>
          <t>17-7630 18-615 19-088 20-070 21-058 22-054 23-052 24-048 25-045 26-043</t>
        </r>
      </text>
    </comment>
    <comment ref="A86" authorId="0" shapeId="0" xr:uid="{00000000-0006-0000-0000-00002B000000}">
      <text>
        <r>
          <rPr>
            <sz val="9"/>
            <color indexed="81"/>
            <rFont val="MS P ゴシック"/>
            <family val="3"/>
            <charset val="128"/>
          </rPr>
          <t>17-7859 18-811 19-091 20-072 21-060 22-056 23-053 24-049 25-046 26-044</t>
        </r>
      </text>
    </comment>
    <comment ref="A88" authorId="0" shapeId="0" xr:uid="{00000000-0006-0000-0000-00002C000000}">
      <text>
        <r>
          <rPr>
            <sz val="9"/>
            <color indexed="81"/>
            <rFont val="MS P ゴシック"/>
            <family val="3"/>
            <charset val="128"/>
          </rPr>
          <t>17-8137 18-1089 19-093 20-073 21-061 22-057 23-054 24-050 25-047 26-045</t>
        </r>
      </text>
    </comment>
    <comment ref="A90" authorId="0" shapeId="0" xr:uid="{00000000-0006-0000-0000-00002D000000}">
      <text>
        <r>
          <rPr>
            <sz val="9"/>
            <color indexed="81"/>
            <rFont val="MS P ゴシック"/>
            <family val="3"/>
            <charset val="128"/>
          </rPr>
          <t>17-8629 18-1579 19-100 20-078 21-065 22-059 23-055 24-051 25-048 26-046</t>
        </r>
      </text>
    </comment>
    <comment ref="A92" authorId="0" shapeId="0" xr:uid="{00000000-0006-0000-0000-00002E000000}">
      <text>
        <r>
          <rPr>
            <sz val="9"/>
            <color indexed="81"/>
            <rFont val="MS P ゴシック"/>
            <family val="3"/>
            <charset val="128"/>
          </rPr>
          <t>17-9151 18-2101 19-107 20-080 21-067 22-061 23-057 24-053 25-049 26-047</t>
        </r>
      </text>
    </comment>
    <comment ref="A94" authorId="0" shapeId="0" xr:uid="{00000000-0006-0000-0000-00002F000000}">
      <text>
        <r>
          <rPr>
            <sz val="9"/>
            <color indexed="81"/>
            <rFont val="MS P ゴシック"/>
            <family val="3"/>
            <charset val="128"/>
          </rPr>
          <t>17-9168 18-2118 19-108 20-081 21-068 22-062 23-058 24-054 25-050 26-048</t>
        </r>
      </text>
    </comment>
    <comment ref="A96" authorId="0" shapeId="0" xr:uid="{00000000-0006-0000-0000-000030000000}">
      <text>
        <r>
          <rPr>
            <sz val="9"/>
            <color indexed="81"/>
            <rFont val="MS P ゴシック"/>
            <family val="3"/>
            <charset val="128"/>
          </rPr>
          <t>K18-44 K19-12 K20-11 D21-004 D22-004 23-059 24-055 25-051 26-049</t>
        </r>
      </text>
    </comment>
    <comment ref="A98" authorId="0" shapeId="0" xr:uid="{00000000-0006-0000-0000-000031000000}">
      <text>
        <r>
          <rPr>
            <sz val="9"/>
            <color indexed="81"/>
            <rFont val="MS P ゴシック"/>
            <family val="3"/>
            <charset val="128"/>
          </rPr>
          <t>18-3932 19-127 20-087 21-071 22-064 23-060 24-056 25-052 26-050</t>
        </r>
      </text>
    </comment>
    <comment ref="A100" authorId="0" shapeId="0" xr:uid="{00000000-0006-0000-0000-000032000000}">
      <text>
        <r>
          <rPr>
            <sz val="9"/>
            <color indexed="81"/>
            <rFont val="MS P ゴシック"/>
            <family val="3"/>
            <charset val="128"/>
          </rPr>
          <t>18-4033 19-131 20-088 21-072 22-065 23-061 24-057 25-053 26-051</t>
        </r>
      </text>
    </comment>
    <comment ref="A102" authorId="0" shapeId="0" xr:uid="{00000000-0006-0000-0000-000033000000}">
      <text>
        <r>
          <rPr>
            <sz val="9"/>
            <color indexed="81"/>
            <rFont val="MS P ゴシック"/>
            <family val="3"/>
            <charset val="128"/>
          </rPr>
          <t>18-4622 19-146 20-093 21-076 22-068 23-063 24-058 25-054 26-052</t>
        </r>
      </text>
    </comment>
    <comment ref="A104" authorId="0" shapeId="0" xr:uid="{00000000-0006-0000-0000-000034000000}">
      <text>
        <r>
          <rPr>
            <sz val="9"/>
            <color indexed="81"/>
            <rFont val="MS P ゴシック"/>
            <family val="3"/>
            <charset val="128"/>
          </rPr>
          <t>18-4937 19-162 20-098 21-080 22-072 23-066 24-059 25-055 26-053</t>
        </r>
      </text>
    </comment>
    <comment ref="A106" authorId="0" shapeId="0" xr:uid="{00000000-0006-0000-0000-000035000000}">
      <text>
        <r>
          <rPr>
            <sz val="9"/>
            <color indexed="81"/>
            <rFont val="MS P ゴシック"/>
            <family val="3"/>
            <charset val="128"/>
          </rPr>
          <t>18-5566 19-181 20-101 21-081 22-073 23-067 24-060 25-056 26-054</t>
        </r>
      </text>
    </comment>
    <comment ref="A108" authorId="0" shapeId="0" xr:uid="{00000000-0006-0000-0000-000036000000}">
      <text>
        <r>
          <rPr>
            <sz val="9"/>
            <color indexed="81"/>
            <rFont val="MS P ゴシック"/>
            <family val="3"/>
            <charset val="128"/>
          </rPr>
          <t>18-6453 19-206 20-102 21-082 22-074 23-068 24-061 25-057 26-055</t>
        </r>
      </text>
    </comment>
    <comment ref="A110" authorId="0" shapeId="0" xr:uid="{00000000-0006-0000-0000-000037000000}">
      <text>
        <r>
          <rPr>
            <sz val="9"/>
            <color indexed="81"/>
            <rFont val="MS P ゴシック"/>
            <family val="3"/>
            <charset val="128"/>
          </rPr>
          <t>18-6670 19-219 20-105 21-084 22-076 23-070 24-062 25-058 26-056</t>
        </r>
      </text>
    </comment>
    <comment ref="A112" authorId="0" shapeId="0" xr:uid="{00000000-0006-0000-0000-000038000000}">
      <text>
        <r>
          <rPr>
            <sz val="9"/>
            <color indexed="81"/>
            <rFont val="MS P ゴシック"/>
            <family val="3"/>
            <charset val="128"/>
          </rPr>
          <t>18-6949 19-242 20-106 21-085 22-077 23-071 24-063 25-059 26-057</t>
        </r>
      </text>
    </comment>
    <comment ref="A114" authorId="0" shapeId="0" xr:uid="{00000000-0006-0000-0000-000039000000}">
      <text>
        <r>
          <rPr>
            <sz val="9"/>
            <color indexed="81"/>
            <rFont val="MS P ゴシック"/>
            <family val="3"/>
            <charset val="128"/>
          </rPr>
          <t>18-7195 19-269 20-109 21-087 22-079 23-073 24-064 25-060 26-058</t>
        </r>
      </text>
    </comment>
    <comment ref="A116" authorId="0" shapeId="0" xr:uid="{00000000-0006-0000-0000-00003A000000}">
      <text>
        <r>
          <rPr>
            <sz val="9"/>
            <color indexed="81"/>
            <rFont val="MS P ゴシック"/>
            <family val="3"/>
            <charset val="128"/>
          </rPr>
          <t>18-7731 19-346 20-113 21-089 22-080 23-074 24-065 25-061 26-059</t>
        </r>
      </text>
    </comment>
    <comment ref="A118" authorId="0" shapeId="0" xr:uid="{00000000-0006-0000-0000-00003B000000}">
      <text>
        <r>
          <rPr>
            <sz val="9"/>
            <color indexed="81"/>
            <rFont val="MS P ゴシック"/>
            <family val="3"/>
            <charset val="128"/>
          </rPr>
          <t>18-8806 19-720 20-138 21-100 22-086 23-077 24-067 25-063 26-060</t>
        </r>
      </text>
    </comment>
    <comment ref="A120" authorId="0" shapeId="0" xr:uid="{00000000-0006-0000-0000-00003C000000}">
      <text>
        <r>
          <rPr>
            <sz val="9"/>
            <color indexed="81"/>
            <rFont val="MS P ゴシック"/>
            <family val="3"/>
            <charset val="128"/>
          </rPr>
          <t>18-9168 19-1052 20-148 21-105 22-090 23-079 24-068 25-064 26-061</t>
        </r>
      </text>
    </comment>
    <comment ref="A122" authorId="0" shapeId="0" xr:uid="{00000000-0006-0000-0000-00003D000000}">
      <text>
        <r>
          <rPr>
            <sz val="9"/>
            <color indexed="81"/>
            <rFont val="MS P ゴシック"/>
            <family val="3"/>
            <charset val="128"/>
          </rPr>
          <t>19-1294 20-156 21-109 22-093 23-083 24-070 25-065 26-062</t>
        </r>
      </text>
    </comment>
    <comment ref="A124" authorId="0" shapeId="0" xr:uid="{00000000-0006-0000-0000-00003E000000}">
      <text>
        <r>
          <rPr>
            <sz val="9"/>
            <color indexed="81"/>
            <rFont val="MS P ゴシック"/>
            <family val="3"/>
            <charset val="128"/>
          </rPr>
          <t>19-1334 20-158 21-110 22-094 23-084 24-071 25-066 26-063</t>
        </r>
      </text>
    </comment>
    <comment ref="A126" authorId="0" shapeId="0" xr:uid="{00000000-0006-0000-0000-00003F000000}">
      <text>
        <r>
          <rPr>
            <sz val="9"/>
            <color indexed="81"/>
            <rFont val="MS P ゴシック"/>
            <family val="3"/>
            <charset val="128"/>
          </rPr>
          <t>19-1464 20-163 D21-007 D22-006 23-085 24-072 25-067 26-064</t>
        </r>
      </text>
    </comment>
    <comment ref="A128" authorId="0" shapeId="0" xr:uid="{00000000-0006-0000-0000-000040000000}">
      <text>
        <r>
          <rPr>
            <sz val="9"/>
            <color indexed="81"/>
            <rFont val="MS P ゴシック"/>
            <family val="3"/>
            <charset val="128"/>
          </rPr>
          <t>19-1527 20-165 21-112 22-095 23-086 24-073 25-068 26-065</t>
        </r>
      </text>
    </comment>
    <comment ref="A130" authorId="0" shapeId="0" xr:uid="{00000000-0006-0000-0000-000041000000}">
      <text>
        <r>
          <rPr>
            <sz val="9"/>
            <color indexed="81"/>
            <rFont val="MS P ゴシック"/>
            <family val="3"/>
            <charset val="128"/>
          </rPr>
          <t>19-2208 20-184 D21-009 D22-007 23-087 24-074 25-069 26-066</t>
        </r>
      </text>
    </comment>
    <comment ref="A132" authorId="0" shapeId="0" xr:uid="{00000000-0006-0000-0000-000042000000}">
      <text>
        <r>
          <rPr>
            <sz val="9"/>
            <color indexed="81"/>
            <rFont val="MS P ゴシック"/>
            <family val="3"/>
            <charset val="128"/>
          </rPr>
          <t>19-2275 20-187 21-120 22-099 23-088a 24-075 25-070 26-067</t>
        </r>
      </text>
    </comment>
    <comment ref="A134" authorId="0" shapeId="0" xr:uid="{00000000-0006-0000-0000-000043000000}">
      <text>
        <r>
          <rPr>
            <sz val="9"/>
            <color indexed="81"/>
            <rFont val="MS P ゴシック"/>
            <family val="3"/>
            <charset val="128"/>
          </rPr>
          <t>19-2418 20-192 21-122 22-100 23-088b 24-076 25-071 26-068</t>
        </r>
      </text>
    </comment>
    <comment ref="A136" authorId="0" shapeId="0" xr:uid="{00000000-0006-0000-0000-000044000000}">
      <text>
        <r>
          <rPr>
            <sz val="9"/>
            <color indexed="81"/>
            <rFont val="MS P ゴシック"/>
            <family val="3"/>
            <charset val="128"/>
          </rPr>
          <t>19-2638 20-201 21-126 22-103 23-091 24-077 25-072 26-069</t>
        </r>
      </text>
    </comment>
    <comment ref="A138" authorId="0" shapeId="0" xr:uid="{00000000-0006-0000-0000-000045000000}">
      <text>
        <r>
          <rPr>
            <sz val="9"/>
            <color indexed="81"/>
            <rFont val="MS P ゴシック"/>
            <family val="3"/>
            <charset val="128"/>
          </rPr>
          <t>19-2963 20-222 21-134 22-108b 23-094 24-078 25-073 26-070</t>
        </r>
      </text>
    </comment>
    <comment ref="A140" authorId="0" shapeId="0" xr:uid="{00000000-0006-0000-0000-000046000000}">
      <text>
        <r>
          <rPr>
            <sz val="9"/>
            <color indexed="81"/>
            <rFont val="MS P ゴシック"/>
            <family val="3"/>
            <charset val="128"/>
          </rPr>
          <t>19-3564 20-258 21-141 22-112 23-096 24-079 25-074 26-071</t>
        </r>
      </text>
    </comment>
    <comment ref="A142" authorId="0" shapeId="0" xr:uid="{00000000-0006-0000-0000-000047000000}">
      <text>
        <r>
          <rPr>
            <sz val="9"/>
            <color indexed="81"/>
            <rFont val="MS P ゴシック"/>
            <family val="3"/>
            <charset val="128"/>
          </rPr>
          <t>19-3808 20-275 21-142 22-113 23-097 24-080 25-075 26-072</t>
        </r>
      </text>
    </comment>
    <comment ref="A144" authorId="0" shapeId="0" xr:uid="{00000000-0006-0000-0000-000048000000}">
      <text>
        <r>
          <rPr>
            <sz val="9"/>
            <color indexed="81"/>
            <rFont val="MS P ゴシック"/>
            <family val="3"/>
            <charset val="128"/>
          </rPr>
          <t>19-4110 20-291 21-146 22-116 23-098 24-081 25-076 26-073</t>
        </r>
      </text>
    </comment>
    <comment ref="A146" authorId="0" shapeId="0" xr:uid="{00000000-0006-0000-0000-000049000000}">
      <text>
        <r>
          <rPr>
            <sz val="9"/>
            <color indexed="81"/>
            <rFont val="MS P ゴシック"/>
            <family val="3"/>
            <charset val="128"/>
          </rPr>
          <t>19-4445 20-323 21-148a 22-118 23-100 24-082 25-077 26-074</t>
        </r>
      </text>
    </comment>
    <comment ref="A148" authorId="0" shapeId="0" xr:uid="{00000000-0006-0000-0000-00004A000000}">
      <text>
        <r>
          <rPr>
            <sz val="9"/>
            <color indexed="81"/>
            <rFont val="MS P ゴシック"/>
            <family val="3"/>
            <charset val="128"/>
          </rPr>
          <t>19-5099 20-415 D21-010 D22-008 23-101 24-083 25-078 26-075</t>
        </r>
      </text>
    </comment>
    <comment ref="A150" authorId="0" shapeId="0" xr:uid="{00000000-0006-0000-0000-00004B000000}">
      <text>
        <r>
          <rPr>
            <sz val="9"/>
            <color indexed="81"/>
            <rFont val="MS P ゴシック"/>
            <family val="3"/>
            <charset val="128"/>
          </rPr>
          <t>20-1008 21-175 22-128 23-107 24-084 25-079 26-076</t>
        </r>
      </text>
    </comment>
    <comment ref="A152" authorId="0" shapeId="0" xr:uid="{00000000-0006-0000-0000-00004C000000}">
      <text>
        <r>
          <rPr>
            <sz val="9"/>
            <color indexed="81"/>
            <rFont val="MS P ゴシック"/>
            <family val="3"/>
            <charset val="128"/>
          </rPr>
          <t>20-1208ｂ 21-180 22-132 23-109 24-086 25-080 26-077</t>
        </r>
      </text>
    </comment>
    <comment ref="A154" authorId="0" shapeId="0" xr:uid="{00000000-0006-0000-0000-00004D000000}">
      <text>
        <r>
          <rPr>
            <sz val="9"/>
            <color indexed="81"/>
            <rFont val="MS P ゴシック"/>
            <family val="3"/>
            <charset val="128"/>
          </rPr>
          <t>20-1537 21-189 22-136 23-112 24-088 25-082 26-079</t>
        </r>
      </text>
    </comment>
    <comment ref="A156" authorId="0" shapeId="0" xr:uid="{00000000-0006-0000-0000-00004E000000}">
      <text>
        <r>
          <rPr>
            <sz val="9"/>
            <color indexed="81"/>
            <rFont val="MS P ゴシック"/>
            <family val="3"/>
            <charset val="128"/>
          </rPr>
          <t>20-1565 21-191 22-137 23-113 24-089 25-083 26-080</t>
        </r>
      </text>
    </comment>
    <comment ref="A158" authorId="0" shapeId="0" xr:uid="{00000000-0006-0000-0000-00004F000000}">
      <text>
        <r>
          <rPr>
            <sz val="9"/>
            <color indexed="81"/>
            <rFont val="MS P ゴシック"/>
            <family val="3"/>
            <charset val="128"/>
          </rPr>
          <t>20-1623 21-193 22-138 23-114 24-090 25-084 26-081</t>
        </r>
      </text>
    </comment>
    <comment ref="A160" authorId="0" shapeId="0" xr:uid="{00000000-0006-0000-0000-000050000000}">
      <text>
        <r>
          <rPr>
            <sz val="9"/>
            <color indexed="81"/>
            <rFont val="MS P ゴシック"/>
            <family val="3"/>
            <charset val="128"/>
          </rPr>
          <t>20-1931 21-204 22-141 23-118 24-091 25-085 26-082</t>
        </r>
      </text>
    </comment>
    <comment ref="A162" authorId="0" shapeId="0" xr:uid="{00000000-0006-0000-0000-000051000000}">
      <text>
        <r>
          <rPr>
            <sz val="9"/>
            <color indexed="81"/>
            <rFont val="MS P ゴシック"/>
            <family val="3"/>
            <charset val="128"/>
          </rPr>
          <t>20-2111 21-241 22-144 23-119 24-092 25-086 26-083</t>
        </r>
      </text>
    </comment>
    <comment ref="A164" authorId="0" shapeId="0" xr:uid="{00000000-0006-0000-0000-000052000000}">
      <text>
        <r>
          <rPr>
            <sz val="9"/>
            <color indexed="81"/>
            <rFont val="MS P ゴシック"/>
            <family val="3"/>
            <charset val="128"/>
          </rPr>
          <t>20-2291 21-245 22-145 23-120 24-093 25-087 26-084</t>
        </r>
      </text>
    </comment>
    <comment ref="A166" authorId="0" shapeId="0" xr:uid="{00000000-0006-0000-0000-000053000000}">
      <text>
        <r>
          <rPr>
            <sz val="9"/>
            <color indexed="81"/>
            <rFont val="MS P ゴシック"/>
            <family val="3"/>
            <charset val="128"/>
          </rPr>
          <t>20-2340 21-248 22-147 23-121 24-094 25-088 26-085</t>
        </r>
      </text>
    </comment>
    <comment ref="A168" authorId="0" shapeId="0" xr:uid="{00000000-0006-0000-0000-000054000000}">
      <text>
        <r>
          <rPr>
            <sz val="9"/>
            <color indexed="81"/>
            <rFont val="MS P ゴシック"/>
            <family val="3"/>
            <charset val="128"/>
          </rPr>
          <t>20-2410 21-251 22-148 23-122 24-095 25-089 26-086</t>
        </r>
      </text>
    </comment>
    <comment ref="A170" authorId="0" shapeId="0" xr:uid="{00000000-0006-0000-0000-000055000000}">
      <text>
        <r>
          <rPr>
            <sz val="9"/>
            <color indexed="81"/>
            <rFont val="MS P ゴシック"/>
            <family val="3"/>
            <charset val="128"/>
          </rPr>
          <t>20-2510 21-257 22-150 23-124 24-096 25-090 26-087</t>
        </r>
      </text>
    </comment>
    <comment ref="A172" authorId="0" shapeId="0" xr:uid="{00000000-0006-0000-0000-000056000000}">
      <text>
        <r>
          <rPr>
            <sz val="9"/>
            <color indexed="81"/>
            <rFont val="MS P ゴシック"/>
            <family val="3"/>
            <charset val="128"/>
          </rPr>
          <t>20-2513 21-258 22-151 23-125 24-097 25-091 26-088</t>
        </r>
      </text>
    </comment>
    <comment ref="A174" authorId="0" shapeId="0" xr:uid="{00000000-0006-0000-0000-000057000000}">
      <text>
        <r>
          <rPr>
            <sz val="9"/>
            <color indexed="81"/>
            <rFont val="MS P ゴシック"/>
            <family val="3"/>
            <charset val="128"/>
          </rPr>
          <t>20-2711 21-263 22-152 23-126 24-098 25-092 26-089</t>
        </r>
      </text>
    </comment>
    <comment ref="A176" authorId="0" shapeId="0" xr:uid="{00000000-0006-0000-0000-000058000000}">
      <text>
        <r>
          <rPr>
            <sz val="9"/>
            <color indexed="81"/>
            <rFont val="MS P ゴシック"/>
            <family val="3"/>
            <charset val="128"/>
          </rPr>
          <t>20-3096 21-278 22-153 23-127 24-099 25-093 26-090</t>
        </r>
      </text>
    </comment>
    <comment ref="A178" authorId="0" shapeId="0" xr:uid="{00000000-0006-0000-0000-000059000000}">
      <text>
        <r>
          <rPr>
            <sz val="9"/>
            <color indexed="81"/>
            <rFont val="MS P ゴシック"/>
            <family val="3"/>
            <charset val="128"/>
          </rPr>
          <t>20-3743 21-309 22-161 23-132 24-100 25-094 26-091</t>
        </r>
      </text>
    </comment>
    <comment ref="A180" authorId="0" shapeId="0" xr:uid="{00000000-0006-0000-0000-00005A000000}">
      <text>
        <r>
          <rPr>
            <sz val="9"/>
            <color indexed="81"/>
            <rFont val="MS P ゴシック"/>
            <family val="3"/>
            <charset val="128"/>
          </rPr>
          <t>20-3826 21-314 22-162 23-133 24-101 25-095 26-092</t>
        </r>
      </text>
    </comment>
    <comment ref="A182" authorId="0" shapeId="0" xr:uid="{00000000-0006-0000-0000-00005B000000}">
      <text>
        <r>
          <rPr>
            <sz val="9"/>
            <color indexed="81"/>
            <rFont val="MS P ゴシック"/>
            <family val="3"/>
            <charset val="128"/>
          </rPr>
          <t>20-3902 21-320 22-163 23-135 24-102 25-096 26-093</t>
        </r>
      </text>
    </comment>
    <comment ref="A184" authorId="0" shapeId="0" xr:uid="{00000000-0006-0000-0000-00005C000000}">
      <text>
        <r>
          <rPr>
            <sz val="9"/>
            <color indexed="81"/>
            <rFont val="MS P ゴシック"/>
            <family val="3"/>
            <charset val="128"/>
          </rPr>
          <t>20-3963 21-327 22-167 23-136 24-103 25-097 26-094</t>
        </r>
      </text>
    </comment>
    <comment ref="A186" authorId="0" shapeId="0" xr:uid="{00000000-0006-0000-0000-00005D000000}">
      <text>
        <r>
          <rPr>
            <sz val="9"/>
            <color indexed="81"/>
            <rFont val="MS P ゴシック"/>
            <family val="3"/>
            <charset val="128"/>
          </rPr>
          <t>20-3991 21-329 22-168 23-137 24-104 25-098 26-095</t>
        </r>
      </text>
    </comment>
    <comment ref="A188" authorId="0" shapeId="0" xr:uid="{00000000-0006-0000-0000-00005E000000}">
      <text>
        <r>
          <rPr>
            <sz val="9"/>
            <color indexed="81"/>
            <rFont val="MS P ゴシック"/>
            <family val="3"/>
            <charset val="128"/>
          </rPr>
          <t>20-4133 21-343 22-171 23-139 24-105 25-099 26-096</t>
        </r>
      </text>
    </comment>
    <comment ref="A190" authorId="0" shapeId="0" xr:uid="{00000000-0006-0000-0000-00005F000000}">
      <text>
        <r>
          <rPr>
            <sz val="9"/>
            <color indexed="81"/>
            <rFont val="MS P ゴシック"/>
            <family val="3"/>
            <charset val="128"/>
          </rPr>
          <t>20-4222 21-346 22-172 23-140 24-106 25-100 26-097</t>
        </r>
      </text>
    </comment>
    <comment ref="A192" authorId="0" shapeId="0" xr:uid="{00000000-0006-0000-0000-000060000000}">
      <text>
        <r>
          <rPr>
            <sz val="9"/>
            <color indexed="81"/>
            <rFont val="MS P ゴシック"/>
            <family val="3"/>
            <charset val="128"/>
          </rPr>
          <t>20-4303 21-350 22-173 23-141 24-107 25-101 26-098</t>
        </r>
      </text>
    </comment>
    <comment ref="A194" authorId="0" shapeId="0" xr:uid="{00000000-0006-0000-0000-000061000000}">
      <text>
        <r>
          <rPr>
            <sz val="9"/>
            <color indexed="81"/>
            <rFont val="MS P ゴシック"/>
            <family val="3"/>
            <charset val="128"/>
          </rPr>
          <t>K20-237 D21-014 D22-012 23-143 24-109 25-103 26-100</t>
        </r>
      </text>
    </comment>
    <comment ref="A196" authorId="0" shapeId="0" xr:uid="{00000000-0006-0000-0000-000062000000}">
      <text>
        <r>
          <rPr>
            <sz val="9"/>
            <color indexed="81"/>
            <rFont val="MS P ゴシック"/>
            <family val="3"/>
            <charset val="128"/>
          </rPr>
          <t>20-4426 21-364 22-175 23-144 24-110 25-104 26-101</t>
        </r>
      </text>
    </comment>
    <comment ref="A198" authorId="0" shapeId="0" xr:uid="{00000000-0006-0000-0000-000063000000}">
      <text>
        <r>
          <rPr>
            <sz val="9"/>
            <color indexed="81"/>
            <rFont val="MS P ゴシック"/>
            <family val="3"/>
            <charset val="128"/>
          </rPr>
          <t>20-4465 21-368 22-176 23-145 24-111 25-105 26-102</t>
        </r>
      </text>
    </comment>
    <comment ref="A200" authorId="0" shapeId="0" xr:uid="{00000000-0006-0000-0000-000064000000}">
      <text>
        <r>
          <rPr>
            <sz val="9"/>
            <color indexed="81"/>
            <rFont val="MS P ゴシック"/>
            <family val="3"/>
            <charset val="128"/>
          </rPr>
          <t>20-4473 21-369 22-177 23-146 24-112 25-106 26-103</t>
        </r>
      </text>
    </comment>
    <comment ref="A202" authorId="0" shapeId="0" xr:uid="{00000000-0006-0000-0000-000065000000}">
      <text>
        <r>
          <rPr>
            <sz val="9"/>
            <color indexed="81"/>
            <rFont val="MS P ゴシック"/>
            <family val="3"/>
            <charset val="128"/>
          </rPr>
          <t>20-4966 D21-016 D22-013 23-149 24-114 25-108 26-104</t>
        </r>
      </text>
    </comment>
    <comment ref="A204" authorId="0" shapeId="0" xr:uid="{00000000-0006-0000-0000-000066000000}">
      <text>
        <r>
          <rPr>
            <sz val="9"/>
            <color indexed="81"/>
            <rFont val="MS P ゴシック"/>
            <family val="3"/>
            <charset val="128"/>
          </rPr>
          <t>20-5069 21-441 22-186 23-152 24-115 25-109 26-105</t>
        </r>
      </text>
    </comment>
    <comment ref="A206" authorId="0" shapeId="0" xr:uid="{00000000-0006-0000-0000-000067000000}">
      <text>
        <r>
          <rPr>
            <sz val="9"/>
            <color indexed="81"/>
            <rFont val="MS P ゴシック"/>
            <family val="3"/>
            <charset val="128"/>
          </rPr>
          <t>20-5324 21-476 22-190 23-153 24-116 25-110 26-106</t>
        </r>
      </text>
    </comment>
    <comment ref="A208" authorId="0" shapeId="0" xr:uid="{00000000-0006-0000-0000-000068000000}">
      <text>
        <r>
          <rPr>
            <sz val="9"/>
            <color indexed="81"/>
            <rFont val="MS P ゴシック"/>
            <family val="3"/>
            <charset val="128"/>
          </rPr>
          <t>20-5325 21-477a 22-191 23-154 24-117 25-111 26-107</t>
        </r>
      </text>
    </comment>
    <comment ref="A210" authorId="0" shapeId="0" xr:uid="{00000000-0006-0000-0000-000069000000}">
      <text>
        <r>
          <rPr>
            <sz val="9"/>
            <color indexed="81"/>
            <rFont val="MS P ゴシック"/>
            <family val="3"/>
            <charset val="128"/>
          </rPr>
          <t>20-5343 21-479 22-192 23-155 24-118 25-112 26-108</t>
        </r>
      </text>
    </comment>
    <comment ref="A212" authorId="0" shapeId="0" xr:uid="{00000000-0006-0000-0000-00006A000000}">
      <text>
        <r>
          <rPr>
            <sz val="9"/>
            <color indexed="81"/>
            <rFont val="MS P ゴシック"/>
            <family val="3"/>
            <charset val="128"/>
          </rPr>
          <t>20-5366 21-483 22-193 23-156 24-119 25-113 26-109</t>
        </r>
      </text>
    </comment>
    <comment ref="A214" authorId="0" shapeId="0" xr:uid="{00000000-0006-0000-0000-00006B000000}">
      <text>
        <r>
          <rPr>
            <sz val="9"/>
            <color indexed="81"/>
            <rFont val="MS P ゴシック"/>
            <family val="3"/>
            <charset val="128"/>
          </rPr>
          <t>20-5464 21-511 22-196 23-157 24-120 25-114 26-110</t>
        </r>
      </text>
    </comment>
    <comment ref="A216" authorId="0" shapeId="0" xr:uid="{00000000-0006-0000-0000-00006C000000}">
      <text>
        <r>
          <rPr>
            <sz val="9"/>
            <color indexed="81"/>
            <rFont val="MS P ゴシック"/>
            <family val="3"/>
            <charset val="128"/>
          </rPr>
          <t>20-5660 21-584 22-198 23-159 24-121 25-115 26-111</t>
        </r>
      </text>
    </comment>
    <comment ref="A218" authorId="0" shapeId="0" xr:uid="{00000000-0006-0000-0000-00006D000000}">
      <text>
        <r>
          <rPr>
            <sz val="9"/>
            <color indexed="81"/>
            <rFont val="MS P ゴシック"/>
            <family val="3"/>
            <charset val="128"/>
          </rPr>
          <t>21-1428 22-212 23-166 24-125 25-117 26-112</t>
        </r>
      </text>
    </comment>
    <comment ref="A220" authorId="0" shapeId="0" xr:uid="{00000000-0006-0000-0000-00006F000000}">
      <text>
        <r>
          <rPr>
            <sz val="9"/>
            <color indexed="81"/>
            <rFont val="MS P ゴシック"/>
            <family val="3"/>
            <charset val="128"/>
          </rPr>
          <t>D21-020 D22-016 23-176 24-132 25-119 26-114</t>
        </r>
      </text>
    </comment>
    <comment ref="A222" authorId="0" shapeId="0" xr:uid="{00000000-0006-0000-0000-000070000000}">
      <text>
        <r>
          <rPr>
            <sz val="9"/>
            <color indexed="81"/>
            <rFont val="MS P ゴシック"/>
            <family val="3"/>
            <charset val="128"/>
          </rPr>
          <t>21-3723 22-270 23-186 24-134 25-121 26-115</t>
        </r>
      </text>
    </comment>
    <comment ref="A224" authorId="0" shapeId="0" xr:uid="{00000000-0006-0000-0000-000071000000}">
      <text>
        <r>
          <rPr>
            <sz val="9"/>
            <color indexed="81"/>
            <rFont val="MS P ゴシック"/>
            <family val="3"/>
            <charset val="128"/>
          </rPr>
          <t>21-3811 D22-019 23-187a 24-135 25-122 26-116</t>
        </r>
      </text>
    </comment>
    <comment ref="A226" authorId="0" shapeId="0" xr:uid="{00000000-0006-0000-0000-000072000000}">
      <text>
        <r>
          <rPr>
            <sz val="9"/>
            <color indexed="81"/>
            <rFont val="MS P ゴシック"/>
            <family val="3"/>
            <charset val="128"/>
          </rPr>
          <t>21-3911 22-276 23-187b 24-136 25-123 26-117</t>
        </r>
      </text>
    </comment>
    <comment ref="A228" authorId="0" shapeId="0" xr:uid="{00000000-0006-0000-0000-000073000000}">
      <text>
        <r>
          <rPr>
            <sz val="9"/>
            <color indexed="81"/>
            <rFont val="MS P ゴシック"/>
            <family val="3"/>
            <charset val="128"/>
          </rPr>
          <t>21-4021 22-282 23-190 24-137 25-124 26-118</t>
        </r>
      </text>
    </comment>
    <comment ref="A230" authorId="0" shapeId="0" xr:uid="{00000000-0006-0000-0000-000074000000}">
      <text>
        <r>
          <rPr>
            <sz val="9"/>
            <color indexed="81"/>
            <rFont val="MS P ゴシック"/>
            <family val="3"/>
            <charset val="128"/>
          </rPr>
          <t>21-4303 22-307 23-195 24-142 25-127 26-120</t>
        </r>
      </text>
    </comment>
    <comment ref="A232" authorId="0" shapeId="0" xr:uid="{00000000-0006-0000-0000-000075000000}">
      <text>
        <r>
          <rPr>
            <sz val="9"/>
            <color indexed="81"/>
            <rFont val="MS P ゴシック"/>
            <family val="3"/>
            <charset val="128"/>
          </rPr>
          <t>21-4401 22-321 23-196 24-143 25-128 26-121</t>
        </r>
      </text>
    </comment>
    <comment ref="A234" authorId="0" shapeId="0" xr:uid="{00000000-0006-0000-0000-000076000000}">
      <text>
        <r>
          <rPr>
            <sz val="9"/>
            <color indexed="81"/>
            <rFont val="MS P ゴシック"/>
            <family val="3"/>
            <charset val="128"/>
          </rPr>
          <t>21-4493 22-334 23-198 24-145 25-129 26-122</t>
        </r>
      </text>
    </comment>
    <comment ref="A236" authorId="0" shapeId="0" xr:uid="{00000000-0006-0000-0000-000077000000}">
      <text>
        <r>
          <rPr>
            <sz val="9"/>
            <color indexed="81"/>
            <rFont val="MS P ゴシック"/>
            <family val="3"/>
            <charset val="128"/>
          </rPr>
          <t>21-4614 22-357 23-200 24-147 25-131 26-124</t>
        </r>
      </text>
    </comment>
    <comment ref="A238" authorId="0" shapeId="0" xr:uid="{00000000-0006-0000-0000-000078000000}">
      <text>
        <r>
          <rPr>
            <sz val="9"/>
            <color indexed="81"/>
            <rFont val="MS P ゴシック"/>
            <family val="3"/>
            <charset val="128"/>
          </rPr>
          <t>21-4654 22-363 23-202 24-148 25-132 26-125</t>
        </r>
      </text>
    </comment>
    <comment ref="A240" authorId="0" shapeId="0" xr:uid="{00000000-0006-0000-0000-000079000000}">
      <text>
        <r>
          <rPr>
            <sz val="9"/>
            <color indexed="81"/>
            <rFont val="MS P ゴシック"/>
            <family val="3"/>
            <charset val="128"/>
          </rPr>
          <t>21-4695 22-372 23-203 24-149 25-133 26-126</t>
        </r>
      </text>
    </comment>
    <comment ref="A242" authorId="0" shapeId="0" xr:uid="{00000000-0006-0000-0000-00007A000000}">
      <text>
        <r>
          <rPr>
            <sz val="9"/>
            <color indexed="81"/>
            <rFont val="MS P ゴシック"/>
            <family val="3"/>
            <charset val="128"/>
          </rPr>
          <t>21-5010 22-458 23-205 24-150 25-134 26-127</t>
        </r>
      </text>
    </comment>
    <comment ref="A244" authorId="0" shapeId="0" xr:uid="{00000000-0006-0000-0000-00007B000000}">
      <text>
        <r>
          <rPr>
            <sz val="9"/>
            <color indexed="81"/>
            <rFont val="MS P ゴシック"/>
            <family val="3"/>
            <charset val="128"/>
          </rPr>
          <t>21-5074 22-491 23-207 24-152 25-135 26-128</t>
        </r>
      </text>
    </comment>
    <comment ref="A246" authorId="0" shapeId="0" xr:uid="{00000000-0006-0000-0000-00007C000000}">
      <text>
        <r>
          <rPr>
            <sz val="9"/>
            <color indexed="81"/>
            <rFont val="MS P ゴシック"/>
            <family val="3"/>
            <charset val="128"/>
          </rPr>
          <t>21-5141 22-522 23-209 24-154 25-136 26-129</t>
        </r>
      </text>
    </comment>
    <comment ref="A248" authorId="0" shapeId="0" xr:uid="{00000000-0006-0000-0000-00007D000000}">
      <text>
        <r>
          <rPr>
            <sz val="9"/>
            <color indexed="81"/>
            <rFont val="MS P ゴシック"/>
            <family val="3"/>
            <charset val="128"/>
          </rPr>
          <t>21-5146 22-526 23-211 24-156 25-138 26-131</t>
        </r>
      </text>
    </comment>
    <comment ref="A250" authorId="0" shapeId="0" xr:uid="{00000000-0006-0000-0000-00007E000000}">
      <text>
        <r>
          <rPr>
            <sz val="9"/>
            <color indexed="81"/>
            <rFont val="MS P ゴシック"/>
            <family val="3"/>
            <charset val="128"/>
          </rPr>
          <t>21-5208 22-563 23-213 24-158 25-139 26-132</t>
        </r>
      </text>
    </comment>
    <comment ref="A252" authorId="0" shapeId="0" xr:uid="{00000000-0006-0000-0000-00007F000000}">
      <text>
        <r>
          <rPr>
            <sz val="9"/>
            <color indexed="81"/>
            <rFont val="MS P ゴシック"/>
            <family val="3"/>
            <charset val="128"/>
          </rPr>
          <t>21-5275 22-611 23-217 24-159 25-140 26-133</t>
        </r>
      </text>
    </comment>
    <comment ref="A254" authorId="0" shapeId="0" xr:uid="{00000000-0006-0000-0000-000080000000}">
      <text>
        <r>
          <rPr>
            <sz val="9"/>
            <color indexed="81"/>
            <rFont val="MS P ゴシック"/>
            <family val="3"/>
            <charset val="128"/>
          </rPr>
          <t>21-5369 22-693 23-220 24-160 25-141 26-134</t>
        </r>
      </text>
    </comment>
    <comment ref="A256" authorId="0" shapeId="0" xr:uid="{00000000-0006-0000-0000-000081000000}">
      <text>
        <r>
          <rPr>
            <sz val="9"/>
            <color indexed="81"/>
            <rFont val="MS P ゴシック"/>
            <family val="3"/>
            <charset val="128"/>
          </rPr>
          <t>21-5465 22-785 23-224 24-161 25-142 26-135</t>
        </r>
      </text>
    </comment>
    <comment ref="A258" authorId="0" shapeId="0" xr:uid="{00000000-0006-0000-0000-000082000000}">
      <text>
        <r>
          <rPr>
            <sz val="9"/>
            <color indexed="81"/>
            <rFont val="MS P ゴシック"/>
            <family val="3"/>
            <charset val="128"/>
          </rPr>
          <t xml:space="preserve"> 22-910 23-228 24-163 25-143 26-136</t>
        </r>
      </text>
    </comment>
    <comment ref="A260" authorId="0" shapeId="0" xr:uid="{00000000-0006-0000-0000-000083000000}">
      <text>
        <r>
          <rPr>
            <sz val="9"/>
            <color indexed="81"/>
            <rFont val="MS P ゴシック"/>
            <family val="3"/>
            <charset val="128"/>
          </rPr>
          <t xml:space="preserve"> 22-1037 23-230 24-165 25-144 26-137</t>
        </r>
      </text>
    </comment>
    <comment ref="A262" authorId="0" shapeId="0" xr:uid="{00000000-0006-0000-0000-000084000000}">
      <text>
        <r>
          <rPr>
            <sz val="9"/>
            <color indexed="81"/>
            <rFont val="MS P ゴシック"/>
            <family val="3"/>
            <charset val="128"/>
          </rPr>
          <t xml:space="preserve"> 22-1177 23-233 24-168 25-146 26-138</t>
        </r>
      </text>
    </comment>
    <comment ref="A264" authorId="0" shapeId="0" xr:uid="{00000000-0006-0000-0000-000085000000}">
      <text>
        <r>
          <rPr>
            <sz val="9"/>
            <color indexed="81"/>
            <rFont val="MS P ゴシック"/>
            <family val="3"/>
            <charset val="128"/>
          </rPr>
          <t xml:space="preserve"> 22-1180 23-234 24-169 25-147 26-139</t>
        </r>
      </text>
    </comment>
    <comment ref="A266" authorId="0" shapeId="0" xr:uid="{00000000-0006-0000-0000-000086000000}">
      <text>
        <r>
          <rPr>
            <sz val="9"/>
            <color indexed="81"/>
            <rFont val="MS P ゴシック"/>
            <family val="3"/>
            <charset val="128"/>
          </rPr>
          <t xml:space="preserve"> 22-1320 23-237 24-170 25-148 26-140</t>
        </r>
      </text>
    </comment>
    <comment ref="A268" authorId="0" shapeId="0" xr:uid="{00000000-0006-0000-0000-000087000000}">
      <text>
        <r>
          <rPr>
            <sz val="9"/>
            <color indexed="81"/>
            <rFont val="MS P ゴシック"/>
            <family val="3"/>
            <charset val="128"/>
          </rPr>
          <t xml:space="preserve"> 22-1398 23-241 24-171 25-149 26-141</t>
        </r>
      </text>
    </comment>
    <comment ref="A270" authorId="0" shapeId="0" xr:uid="{00000000-0006-0000-0000-000088000000}">
      <text>
        <r>
          <rPr>
            <sz val="9"/>
            <color indexed="81"/>
            <rFont val="MS P ゴシック"/>
            <family val="3"/>
            <charset val="128"/>
          </rPr>
          <t xml:space="preserve"> 22-1472 23-244 24-173 25-151 26-143</t>
        </r>
      </text>
    </comment>
    <comment ref="A272" authorId="0" shapeId="0" xr:uid="{00000000-0006-0000-0000-000089000000}">
      <text>
        <r>
          <rPr>
            <sz val="9"/>
            <color indexed="81"/>
            <rFont val="MS P ゴシック"/>
            <family val="3"/>
            <charset val="128"/>
          </rPr>
          <t xml:space="preserve"> 22-1513 23-245 24-174 25-152 26-144</t>
        </r>
      </text>
    </comment>
    <comment ref="A274" authorId="0" shapeId="0" xr:uid="{00000000-0006-0000-0000-00008A000000}">
      <text>
        <r>
          <rPr>
            <sz val="9"/>
            <color indexed="81"/>
            <rFont val="MS P ゴシック"/>
            <family val="3"/>
            <charset val="128"/>
          </rPr>
          <t xml:space="preserve"> 22-1601 23-248 24-176 25-153 26-145</t>
        </r>
      </text>
    </comment>
    <comment ref="A276" authorId="0" shapeId="0" xr:uid="{00000000-0006-0000-0000-00008B000000}">
      <text>
        <r>
          <rPr>
            <sz val="9"/>
            <color indexed="81"/>
            <rFont val="MS P ゴシック"/>
            <family val="3"/>
            <charset val="128"/>
          </rPr>
          <t xml:space="preserve"> 22-1610ｃ 23-251 24-177 25-154 26-146</t>
        </r>
      </text>
    </comment>
    <comment ref="A278" authorId="0" shapeId="0" xr:uid="{00000000-0006-0000-0000-00008C000000}">
      <text>
        <r>
          <rPr>
            <sz val="9"/>
            <color indexed="81"/>
            <rFont val="MS P ゴシック"/>
            <family val="3"/>
            <charset val="128"/>
          </rPr>
          <t xml:space="preserve"> 22-1612 23-253 24-178 25-155 26-147</t>
        </r>
      </text>
    </comment>
    <comment ref="A280" authorId="0" shapeId="0" xr:uid="{00000000-0006-0000-0000-00008D000000}">
      <text>
        <r>
          <rPr>
            <sz val="9"/>
            <color indexed="81"/>
            <rFont val="MS P ゴシック"/>
            <family val="3"/>
            <charset val="128"/>
          </rPr>
          <t xml:space="preserve"> 22-1613 23-254 24-179 25-156 26-148</t>
        </r>
      </text>
    </comment>
    <comment ref="A282" authorId="0" shapeId="0" xr:uid="{00000000-0006-0000-0000-00008E000000}">
      <text>
        <r>
          <rPr>
            <sz val="9"/>
            <color indexed="81"/>
            <rFont val="MS P ゴシック"/>
            <family val="3"/>
            <charset val="128"/>
          </rPr>
          <t xml:space="preserve"> 22-1630 23-255 24-180 25-157 26-149</t>
        </r>
      </text>
    </comment>
    <comment ref="A284" authorId="0" shapeId="0" xr:uid="{00000000-0006-0000-0000-00008F000000}">
      <text>
        <r>
          <rPr>
            <sz val="9"/>
            <color indexed="81"/>
            <rFont val="MS P ゴシック"/>
            <family val="3"/>
            <charset val="128"/>
          </rPr>
          <t xml:space="preserve"> 22-1633 23-256 24-181 25-158 26-150</t>
        </r>
      </text>
    </comment>
    <comment ref="A286" authorId="0" shapeId="0" xr:uid="{00000000-0006-0000-0000-000091000000}">
      <text>
        <r>
          <rPr>
            <sz val="9"/>
            <color indexed="81"/>
            <rFont val="MS P ゴシック"/>
            <family val="3"/>
            <charset val="128"/>
          </rPr>
          <t xml:space="preserve"> 22-1641 23-258 24-183 25-160 26-152</t>
        </r>
      </text>
    </comment>
    <comment ref="A288" authorId="0" shapeId="0" xr:uid="{00000000-0006-0000-0000-000092000000}">
      <text>
        <r>
          <rPr>
            <sz val="9"/>
            <color indexed="81"/>
            <rFont val="MS P ゴシック"/>
            <family val="3"/>
            <charset val="128"/>
          </rPr>
          <t xml:space="preserve"> 22-1661 23-259 24-184 25-161 26-153</t>
        </r>
      </text>
    </comment>
    <comment ref="A290" authorId="0" shapeId="0" xr:uid="{00000000-0006-0000-0000-000093000000}">
      <text>
        <r>
          <rPr>
            <sz val="9"/>
            <color indexed="81"/>
            <rFont val="MS P ゴシック"/>
            <family val="3"/>
            <charset val="128"/>
          </rPr>
          <t xml:space="preserve"> 22-1697 23-261 24-186 25-163 26-154</t>
        </r>
      </text>
    </comment>
    <comment ref="A292" authorId="0" shapeId="0" xr:uid="{00000000-0006-0000-0000-000094000000}">
      <text>
        <r>
          <rPr>
            <sz val="9"/>
            <color indexed="81"/>
            <rFont val="MS P ゴシック"/>
            <family val="3"/>
            <charset val="128"/>
          </rPr>
          <t xml:space="preserve"> 22-1700 23-262 24-187 25-164 26-155</t>
        </r>
      </text>
    </comment>
    <comment ref="A294" authorId="0" shapeId="0" xr:uid="{00000000-0006-0000-0000-000095000000}">
      <text>
        <r>
          <rPr>
            <sz val="9"/>
            <color indexed="81"/>
            <rFont val="MS P ゴシック"/>
            <family val="3"/>
            <charset val="128"/>
          </rPr>
          <t xml:space="preserve"> 22-1703 23-263 24-188 25-165 26-156</t>
        </r>
      </text>
    </comment>
    <comment ref="A296" authorId="0" shapeId="0" xr:uid="{00000000-0006-0000-0000-000096000000}">
      <text>
        <r>
          <rPr>
            <sz val="9"/>
            <color indexed="81"/>
            <rFont val="MS P ゴシック"/>
            <family val="3"/>
            <charset val="128"/>
          </rPr>
          <t xml:space="preserve"> 22-1832 23-270 24-193 25-167 26-157</t>
        </r>
      </text>
    </comment>
    <comment ref="A298" authorId="0" shapeId="0" xr:uid="{00000000-0006-0000-0000-000097000000}">
      <text>
        <r>
          <rPr>
            <sz val="9"/>
            <color indexed="81"/>
            <rFont val="MS P ゴシック"/>
            <family val="3"/>
            <charset val="128"/>
          </rPr>
          <t xml:space="preserve"> 22-1928 23-275 24-194 25-168 26-158</t>
        </r>
      </text>
    </comment>
    <comment ref="A300" authorId="0" shapeId="0" xr:uid="{00000000-0006-0000-0000-000098000000}">
      <text>
        <r>
          <rPr>
            <sz val="9"/>
            <color indexed="81"/>
            <rFont val="MS P ゴシック"/>
            <family val="3"/>
            <charset val="128"/>
          </rPr>
          <t xml:space="preserve"> 22-1983 23-277 24-195 25-169 26-159</t>
        </r>
      </text>
    </comment>
    <comment ref="A302" authorId="0" shapeId="0" xr:uid="{00000000-0006-0000-0000-000099000000}">
      <text>
        <r>
          <rPr>
            <sz val="9"/>
            <color indexed="81"/>
            <rFont val="MS P ゴシック"/>
            <family val="3"/>
            <charset val="128"/>
          </rPr>
          <t xml:space="preserve"> 22-2004 23-278 24-196 25-170 26-160</t>
        </r>
      </text>
    </comment>
    <comment ref="A304" authorId="0" shapeId="0" xr:uid="{00000000-0006-0000-0000-00009A000000}">
      <text>
        <r>
          <rPr>
            <sz val="9"/>
            <color indexed="81"/>
            <rFont val="MS P ゴシック"/>
            <family val="3"/>
            <charset val="128"/>
          </rPr>
          <t xml:space="preserve"> 22-2070 23-281 24-198 25-171 26-161</t>
        </r>
      </text>
    </comment>
    <comment ref="A306" authorId="0" shapeId="0" xr:uid="{00000000-0006-0000-0000-00009B000000}">
      <text>
        <r>
          <rPr>
            <sz val="9"/>
            <color indexed="81"/>
            <rFont val="MS P ゴシック"/>
            <family val="3"/>
            <charset val="128"/>
          </rPr>
          <t xml:space="preserve"> 22-2164 23-284 24-200 25-172 26-162</t>
        </r>
      </text>
    </comment>
    <comment ref="A308" authorId="0" shapeId="0" xr:uid="{00000000-0006-0000-0000-00009C000000}">
      <text>
        <r>
          <rPr>
            <sz val="9"/>
            <color indexed="81"/>
            <rFont val="MS P ゴシック"/>
            <family val="3"/>
            <charset val="128"/>
          </rPr>
          <t xml:space="preserve"> 22-2174 23-285 24-201 25-173 26-163</t>
        </r>
      </text>
    </comment>
    <comment ref="A310" authorId="0" shapeId="0" xr:uid="{00000000-0006-0000-0000-00009D000000}">
      <text>
        <r>
          <rPr>
            <sz val="9"/>
            <color indexed="81"/>
            <rFont val="MS P ゴシック"/>
            <family val="3"/>
            <charset val="128"/>
          </rPr>
          <t xml:space="preserve"> 22-2222 23-286 24-202 25-174 26-164</t>
        </r>
      </text>
    </comment>
    <comment ref="A312" authorId="0" shapeId="0" xr:uid="{00000000-0006-0000-0000-00009E000000}">
      <text>
        <r>
          <rPr>
            <sz val="9"/>
            <color indexed="81"/>
            <rFont val="MS P ゴシック"/>
            <family val="3"/>
            <charset val="128"/>
          </rPr>
          <t xml:space="preserve"> 22-2373 23-289 24-203 25-175 26-165</t>
        </r>
      </text>
    </comment>
    <comment ref="A314" authorId="0" shapeId="0" xr:uid="{00000000-0006-0000-0000-00009F000000}">
      <text>
        <r>
          <rPr>
            <sz val="9"/>
            <color indexed="81"/>
            <rFont val="MS P ゴシック"/>
            <family val="3"/>
            <charset val="128"/>
          </rPr>
          <t xml:space="preserve"> 22-2388 23-290 24-204 25-176 26-166</t>
        </r>
      </text>
    </comment>
    <comment ref="A316" authorId="0" shapeId="0" xr:uid="{00000000-0006-0000-0000-0000A0000000}">
      <text>
        <r>
          <rPr>
            <sz val="9"/>
            <color indexed="81"/>
            <rFont val="MS P ゴシック"/>
            <family val="3"/>
            <charset val="128"/>
          </rPr>
          <t xml:space="preserve"> 22-2471 23-292 24-206 25-177 26-167</t>
        </r>
      </text>
    </comment>
    <comment ref="A318" authorId="0" shapeId="0" xr:uid="{00000000-0006-0000-0000-0000A1000000}">
      <text>
        <r>
          <rPr>
            <sz val="9"/>
            <color indexed="81"/>
            <rFont val="MS P ゴシック"/>
            <family val="3"/>
            <charset val="128"/>
          </rPr>
          <t xml:space="preserve"> 22-2919 23-305 24-209 25-180 26-169</t>
        </r>
      </text>
    </comment>
    <comment ref="A320" authorId="0" shapeId="0" xr:uid="{00000000-0006-0000-0000-0000A2000000}">
      <text>
        <r>
          <rPr>
            <sz val="9"/>
            <color indexed="81"/>
            <rFont val="MS P ゴシック"/>
            <family val="3"/>
            <charset val="128"/>
          </rPr>
          <t xml:space="preserve"> 22-2959 23-307 24-210 25-181 26-170</t>
        </r>
      </text>
    </comment>
    <comment ref="A322" authorId="0" shapeId="0" xr:uid="{00000000-0006-0000-0000-0000A3000000}">
      <text>
        <r>
          <rPr>
            <sz val="9"/>
            <color indexed="81"/>
            <rFont val="MS P ゴシック"/>
            <family val="3"/>
            <charset val="128"/>
          </rPr>
          <t xml:space="preserve"> 22-2960 23-308 24-211 25-182 26-171</t>
        </r>
      </text>
    </comment>
    <comment ref="A324" authorId="0" shapeId="0" xr:uid="{00000000-0006-0000-0000-0000A4000000}">
      <text>
        <r>
          <rPr>
            <sz val="9"/>
            <color indexed="81"/>
            <rFont val="MS P ゴシック"/>
            <family val="3"/>
            <charset val="128"/>
          </rPr>
          <t xml:space="preserve"> 22-3102 23-313 24-212 25-183 26-172</t>
        </r>
      </text>
    </comment>
    <comment ref="A326" authorId="0" shapeId="0" xr:uid="{00000000-0006-0000-0000-0000A5000000}">
      <text>
        <r>
          <rPr>
            <sz val="9"/>
            <color indexed="81"/>
            <rFont val="MS P ゴシック"/>
            <family val="3"/>
            <charset val="128"/>
          </rPr>
          <t xml:space="preserve"> 22-3353 23-317 24-215 25-184 26-173</t>
        </r>
      </text>
    </comment>
    <comment ref="A328" authorId="0" shapeId="0" xr:uid="{00000000-0006-0000-0000-0000A6000000}">
      <text>
        <r>
          <rPr>
            <sz val="9"/>
            <color indexed="81"/>
            <rFont val="MS P ゴシック"/>
            <family val="3"/>
            <charset val="128"/>
          </rPr>
          <t xml:space="preserve"> 22-3403 23-320 24-217 25-185 26-174</t>
        </r>
      </text>
    </comment>
    <comment ref="A330" authorId="0" shapeId="0" xr:uid="{00000000-0006-0000-0000-0000A7000000}">
      <text>
        <r>
          <rPr>
            <sz val="9"/>
            <color indexed="81"/>
            <rFont val="MS P ゴシック"/>
            <family val="3"/>
            <charset val="128"/>
          </rPr>
          <t xml:space="preserve"> 22-3480 23-324 24-218 25-186 26-175</t>
        </r>
      </text>
    </comment>
    <comment ref="A332" authorId="0" shapeId="0" xr:uid="{00000000-0006-0000-0000-0000A8000000}">
      <text>
        <r>
          <rPr>
            <sz val="9"/>
            <color indexed="81"/>
            <rFont val="MS P ゴシック"/>
            <family val="3"/>
            <charset val="128"/>
          </rPr>
          <t xml:space="preserve"> 22-3551 23-328 24-219 25-187 26-176</t>
        </r>
      </text>
    </comment>
    <comment ref="A334" authorId="0" shapeId="0" xr:uid="{00000000-0006-0000-0000-0000A9000000}">
      <text>
        <r>
          <rPr>
            <sz val="9"/>
            <color indexed="81"/>
            <rFont val="MS P ゴシック"/>
            <family val="3"/>
            <charset val="128"/>
          </rPr>
          <t xml:space="preserve"> 22-3815 23-342 24-226 25-191 26-178</t>
        </r>
      </text>
    </comment>
    <comment ref="A336" authorId="0" shapeId="0" xr:uid="{00000000-0006-0000-0000-0000AA000000}">
      <text>
        <r>
          <rPr>
            <sz val="9"/>
            <color indexed="81"/>
            <rFont val="MS P ゴシック"/>
            <family val="3"/>
            <charset val="128"/>
          </rPr>
          <t xml:space="preserve"> 22-4042 23-352 24-228 25-193 26-179</t>
        </r>
      </text>
    </comment>
    <comment ref="A338" authorId="0" shapeId="0" xr:uid="{00000000-0006-0000-0000-0000AB000000}">
      <text>
        <r>
          <rPr>
            <sz val="9"/>
            <color indexed="81"/>
            <rFont val="MS P ゴシック"/>
            <family val="3"/>
            <charset val="128"/>
          </rPr>
          <t xml:space="preserve"> 22-4094 23-354 24-229 25-194 26-180</t>
        </r>
      </text>
    </comment>
    <comment ref="A340" authorId="0" shapeId="0" xr:uid="{00000000-0006-0000-0000-0000AC000000}">
      <text>
        <r>
          <rPr>
            <sz val="9"/>
            <color indexed="81"/>
            <rFont val="MS P ゴシック"/>
            <family val="3"/>
            <charset val="128"/>
          </rPr>
          <t xml:space="preserve"> 22-4146 23-357 24-230 25-195 26-181</t>
        </r>
      </text>
    </comment>
    <comment ref="A342" authorId="0" shapeId="0" xr:uid="{00000000-0006-0000-0000-0000AD000000}">
      <text>
        <r>
          <rPr>
            <sz val="9"/>
            <color indexed="81"/>
            <rFont val="MS P ゴシック"/>
            <family val="3"/>
            <charset val="128"/>
          </rPr>
          <t xml:space="preserve"> 22-4243 23-365 24-231 25-196 26-182</t>
        </r>
      </text>
    </comment>
    <comment ref="A344" authorId="0" shapeId="0" xr:uid="{00000000-0006-0000-0000-0000AE000000}">
      <text>
        <r>
          <rPr>
            <sz val="9"/>
            <color indexed="81"/>
            <rFont val="MS P ゴシック"/>
            <family val="3"/>
            <charset val="128"/>
          </rPr>
          <t xml:space="preserve"> 22-4265 23-369 24-232 25-197 26-183</t>
        </r>
      </text>
    </comment>
    <comment ref="A346" authorId="0" shapeId="0" xr:uid="{00000000-0006-0000-0000-0000AF000000}">
      <text>
        <r>
          <rPr>
            <sz val="9"/>
            <color indexed="81"/>
            <rFont val="MS P ゴシック"/>
            <family val="3"/>
            <charset val="128"/>
          </rPr>
          <t xml:space="preserve"> 22-4340 23-374 24-233 25-198 26-184</t>
        </r>
      </text>
    </comment>
    <comment ref="A348" authorId="0" shapeId="0" xr:uid="{00000000-0006-0000-0000-0000B0000000}">
      <text>
        <r>
          <rPr>
            <sz val="9"/>
            <color indexed="81"/>
            <rFont val="MS P ゴシック"/>
            <family val="3"/>
            <charset val="128"/>
          </rPr>
          <t xml:space="preserve"> 22-4439 23-385 24-237 25-200 26-185</t>
        </r>
      </text>
    </comment>
    <comment ref="A350" authorId="0" shapeId="0" xr:uid="{00000000-0006-0000-0000-0000B1000000}">
      <text>
        <r>
          <rPr>
            <sz val="9"/>
            <color indexed="81"/>
            <rFont val="MS P ゴシック"/>
            <family val="3"/>
            <charset val="128"/>
          </rPr>
          <t xml:space="preserve"> 22-4480 23-389 24-238 25-201 26-186</t>
        </r>
      </text>
    </comment>
    <comment ref="A352" authorId="0" shapeId="0" xr:uid="{00000000-0006-0000-0000-0000B2000000}">
      <text>
        <r>
          <rPr>
            <sz val="9"/>
            <color indexed="81"/>
            <rFont val="MS P ゴシック"/>
            <family val="3"/>
            <charset val="128"/>
          </rPr>
          <t xml:space="preserve"> 22-4542 23-395 24-241 25-203 26-187</t>
        </r>
      </text>
    </comment>
    <comment ref="A354" authorId="0" shapeId="0" xr:uid="{00000000-0006-0000-0000-0000B3000000}">
      <text>
        <r>
          <rPr>
            <sz val="9"/>
            <color indexed="81"/>
            <rFont val="MS P ゴシック"/>
            <family val="3"/>
            <charset val="128"/>
          </rPr>
          <t xml:space="preserve"> 22-4618 23-404 24-242 25-204 26-188</t>
        </r>
      </text>
    </comment>
    <comment ref="A356" authorId="0" shapeId="0" xr:uid="{00000000-0006-0000-0000-0000B4000000}">
      <text>
        <r>
          <rPr>
            <sz val="9"/>
            <color indexed="81"/>
            <rFont val="MS P ゴシック"/>
            <family val="3"/>
            <charset val="128"/>
          </rPr>
          <t xml:space="preserve"> 22-4635 23-406 24-243 25-205 26-189</t>
        </r>
      </text>
    </comment>
    <comment ref="A358" authorId="0" shapeId="0" xr:uid="{00000000-0006-0000-0000-0000B5000000}">
      <text>
        <r>
          <rPr>
            <sz val="9"/>
            <color indexed="81"/>
            <rFont val="MS P ゴシック"/>
            <family val="3"/>
            <charset val="128"/>
          </rPr>
          <t xml:space="preserve"> 22-4696 23-409 24-244 25-206 26-190</t>
        </r>
      </text>
    </comment>
    <comment ref="A360" authorId="0" shapeId="0" xr:uid="{00000000-0006-0000-0000-0000B6000000}">
      <text>
        <r>
          <rPr>
            <sz val="9"/>
            <color indexed="81"/>
            <rFont val="MS P ゴシック"/>
            <family val="3"/>
            <charset val="128"/>
          </rPr>
          <t xml:space="preserve"> 22-4702 23-411 24-245 25-207 26-191</t>
        </r>
      </text>
    </comment>
    <comment ref="A362" authorId="0" shapeId="0" xr:uid="{00000000-0006-0000-0000-0000B7000000}">
      <text>
        <r>
          <rPr>
            <sz val="9"/>
            <color indexed="81"/>
            <rFont val="MS P ゴシック"/>
            <family val="3"/>
            <charset val="128"/>
          </rPr>
          <t xml:space="preserve"> 22-4703 23-412 24-246 25-208 26-192</t>
        </r>
      </text>
    </comment>
    <comment ref="A364" authorId="0" shapeId="0" xr:uid="{00000000-0006-0000-0000-0000B8000000}">
      <text>
        <r>
          <rPr>
            <sz val="9"/>
            <color indexed="81"/>
            <rFont val="MS P ゴシック"/>
            <family val="3"/>
            <charset val="128"/>
          </rPr>
          <t xml:space="preserve"> 22-4758 23-415 24-247 25-209 26-193</t>
        </r>
      </text>
    </comment>
    <comment ref="A366" authorId="0" shapeId="0" xr:uid="{00000000-0006-0000-0000-0000B9000000}">
      <text>
        <r>
          <rPr>
            <sz val="9"/>
            <color indexed="81"/>
            <rFont val="MS P ゴシック"/>
            <family val="3"/>
            <charset val="128"/>
          </rPr>
          <t xml:space="preserve"> 22-4762 23-417 24-248 25-210 26-194</t>
        </r>
      </text>
    </comment>
    <comment ref="A368" authorId="0" shapeId="0" xr:uid="{00000000-0006-0000-0000-0000BA000000}">
      <text>
        <r>
          <rPr>
            <sz val="9"/>
            <color indexed="81"/>
            <rFont val="MS P ゴシック"/>
            <family val="3"/>
            <charset val="128"/>
          </rPr>
          <t xml:space="preserve"> 22-4815 23-426 24-249 25-211 26-195</t>
        </r>
      </text>
    </comment>
    <comment ref="A370" authorId="0" shapeId="0" xr:uid="{00000000-0006-0000-0000-0000BB000000}">
      <text>
        <r>
          <rPr>
            <sz val="9"/>
            <color indexed="81"/>
            <rFont val="MS P ゴシック"/>
            <family val="3"/>
            <charset val="128"/>
          </rPr>
          <t xml:space="preserve"> 22-4880 23-436 24-251 25-212 26-196</t>
        </r>
      </text>
    </comment>
    <comment ref="A372" authorId="0" shapeId="0" xr:uid="{00000000-0006-0000-0000-0000BC000000}">
      <text>
        <r>
          <rPr>
            <sz val="9"/>
            <color indexed="81"/>
            <rFont val="MS P ゴシック"/>
            <family val="3"/>
            <charset val="128"/>
          </rPr>
          <t xml:space="preserve"> 22-4886 23-437 24-252 25-213 26-197</t>
        </r>
      </text>
    </comment>
    <comment ref="A374" authorId="0" shapeId="0" xr:uid="{00000000-0006-0000-0000-0000BD000000}">
      <text>
        <r>
          <rPr>
            <sz val="9"/>
            <color indexed="81"/>
            <rFont val="MS P ゴシック"/>
            <family val="3"/>
            <charset val="128"/>
          </rPr>
          <t xml:space="preserve"> 22-4909 23-441 24-253 25-214 26-198</t>
        </r>
      </text>
    </comment>
    <comment ref="A376" authorId="0" shapeId="0" xr:uid="{00000000-0006-0000-0000-0000BE000000}">
      <text>
        <r>
          <rPr>
            <sz val="9"/>
            <color indexed="81"/>
            <rFont val="MS P ゴシック"/>
            <family val="3"/>
            <charset val="128"/>
          </rPr>
          <t xml:space="preserve"> 22-4912 23-443 24-254 25-215 26-199</t>
        </r>
      </text>
    </comment>
    <comment ref="A378" authorId="0" shapeId="0" xr:uid="{00000000-0006-0000-0000-0000BF000000}">
      <text>
        <r>
          <rPr>
            <sz val="9"/>
            <color indexed="81"/>
            <rFont val="MS P ゴシック"/>
            <family val="3"/>
            <charset val="128"/>
          </rPr>
          <t xml:space="preserve"> 22-5063 23-479 24-257 25-217 26-201</t>
        </r>
      </text>
    </comment>
    <comment ref="A380" authorId="0" shapeId="0" xr:uid="{00000000-0006-0000-0000-0000C0000000}">
      <text>
        <r>
          <rPr>
            <sz val="9"/>
            <color indexed="81"/>
            <rFont val="MS P ゴシック"/>
            <family val="3"/>
            <charset val="128"/>
          </rPr>
          <t xml:space="preserve"> 22-5082 23-485 24-258 25-218 26-202</t>
        </r>
      </text>
    </comment>
    <comment ref="A382" authorId="0" shapeId="0" xr:uid="{00000000-0006-0000-0000-0000C1000000}">
      <text>
        <r>
          <rPr>
            <sz val="9"/>
            <color indexed="81"/>
            <rFont val="MS P ゴシック"/>
            <family val="3"/>
            <charset val="128"/>
          </rPr>
          <t xml:space="preserve"> 22-5185 23-535 24-260 25-219 26-203</t>
        </r>
      </text>
    </comment>
    <comment ref="A384" authorId="0" shapeId="0" xr:uid="{00000000-0006-0000-0000-0000C2000000}">
      <text>
        <r>
          <rPr>
            <sz val="9"/>
            <color indexed="81"/>
            <rFont val="MS P ゴシック"/>
            <family val="3"/>
            <charset val="128"/>
          </rPr>
          <t xml:space="preserve"> 22-5186 23-536 24-261 25-220 26-204</t>
        </r>
      </text>
    </comment>
    <comment ref="A386" authorId="0" shapeId="0" xr:uid="{00000000-0006-0000-0000-0000C3000000}">
      <text>
        <r>
          <rPr>
            <sz val="9"/>
            <color indexed="81"/>
            <rFont val="MS P ゴシック"/>
            <family val="3"/>
            <charset val="128"/>
          </rPr>
          <t xml:space="preserve"> 22-5195 23-545 24-262 25-221 26-205</t>
        </r>
      </text>
    </comment>
    <comment ref="A388" authorId="0" shapeId="0" xr:uid="{00000000-0006-0000-0000-0000C4000000}">
      <text>
        <r>
          <rPr>
            <sz val="9"/>
            <color indexed="81"/>
            <rFont val="MS P ゴシック"/>
            <family val="3"/>
            <charset val="128"/>
          </rPr>
          <t xml:space="preserve"> 22-5217 23-565 24-264 25-222 26-206</t>
        </r>
      </text>
    </comment>
    <comment ref="A390" authorId="0" shapeId="0" xr:uid="{00000000-0006-0000-0000-0000C5000000}">
      <text>
        <r>
          <rPr>
            <sz val="9"/>
            <color indexed="81"/>
            <rFont val="MS P ゴシック"/>
            <family val="3"/>
            <charset val="128"/>
          </rPr>
          <t xml:space="preserve"> 22-5313 23-652 24-269 25-223 26-207</t>
        </r>
      </text>
    </comment>
    <comment ref="A392" authorId="0" shapeId="0" xr:uid="{00000000-0006-0000-0000-0000C6000000}">
      <text>
        <r>
          <rPr>
            <sz val="9"/>
            <color indexed="81"/>
            <rFont val="MS P ゴシック"/>
            <family val="3"/>
            <charset val="128"/>
          </rPr>
          <t xml:space="preserve"> 23-754 24-273 25-226 26-209</t>
        </r>
      </text>
    </comment>
    <comment ref="A394" authorId="0" shapeId="0" xr:uid="{00000000-0006-0000-0000-0000C7000000}">
      <text>
        <r>
          <rPr>
            <sz val="9"/>
            <color indexed="81"/>
            <rFont val="MS P ゴシック"/>
            <family val="3"/>
            <charset val="128"/>
          </rPr>
          <t xml:space="preserve"> 23-807 24-274 25-227 26-210</t>
        </r>
      </text>
    </comment>
    <comment ref="A396" authorId="0" shapeId="0" xr:uid="{00000000-0006-0000-0000-0000C8000000}">
      <text>
        <r>
          <rPr>
            <sz val="9"/>
            <color indexed="81"/>
            <rFont val="MS P ゴシック"/>
            <family val="3"/>
            <charset val="128"/>
          </rPr>
          <t xml:space="preserve"> 23-835 24-276 25-228 26-211</t>
        </r>
      </text>
    </comment>
    <comment ref="A398" authorId="0" shapeId="0" xr:uid="{00000000-0006-0000-0000-0000C9000000}">
      <text>
        <r>
          <rPr>
            <sz val="9"/>
            <color indexed="81"/>
            <rFont val="MS P ゴシック"/>
            <family val="3"/>
            <charset val="128"/>
          </rPr>
          <t xml:space="preserve"> 23-857 24-277 25-229 26-212</t>
        </r>
      </text>
    </comment>
    <comment ref="A400" authorId="0" shapeId="0" xr:uid="{00000000-0006-0000-0000-0000CA000000}">
      <text>
        <r>
          <rPr>
            <sz val="9"/>
            <color indexed="81"/>
            <rFont val="MS P ゴシック"/>
            <family val="3"/>
            <charset val="128"/>
          </rPr>
          <t xml:space="preserve"> 23-858 24-278 25-230 26-213</t>
        </r>
      </text>
    </comment>
    <comment ref="A402" authorId="0" shapeId="0" xr:uid="{00000000-0006-0000-0000-0000CB000000}">
      <text>
        <r>
          <rPr>
            <sz val="9"/>
            <color indexed="81"/>
            <rFont val="MS P ゴシック"/>
            <family val="3"/>
            <charset val="128"/>
          </rPr>
          <t xml:space="preserve"> 23-885 24-279 25-231 26-214</t>
        </r>
      </text>
    </comment>
    <comment ref="A404" authorId="0" shapeId="0" xr:uid="{00000000-0006-0000-0000-0000CC000000}">
      <text>
        <r>
          <rPr>
            <sz val="9"/>
            <color indexed="81"/>
            <rFont val="MS P ゴシック"/>
            <family val="3"/>
            <charset val="128"/>
          </rPr>
          <t xml:space="preserve"> 23-899 24-280 25-232 26-215</t>
        </r>
      </text>
    </comment>
    <comment ref="A406" authorId="0" shapeId="0" xr:uid="{00000000-0006-0000-0000-0000CD000000}">
      <text>
        <r>
          <rPr>
            <sz val="9"/>
            <color indexed="81"/>
            <rFont val="MS P ゴシック"/>
            <family val="3"/>
            <charset val="128"/>
          </rPr>
          <t xml:space="preserve"> 23-979 24-281 25-233 26-216</t>
        </r>
      </text>
    </comment>
    <comment ref="A408" authorId="0" shapeId="0" xr:uid="{00000000-0006-0000-0000-0000CE000000}">
      <text>
        <r>
          <rPr>
            <sz val="9"/>
            <color indexed="81"/>
            <rFont val="MS P ゴシック"/>
            <family val="3"/>
            <charset val="128"/>
          </rPr>
          <t xml:space="preserve"> 23-1031 24-282 25-234 26-217</t>
        </r>
      </text>
    </comment>
    <comment ref="A410" authorId="0" shapeId="0" xr:uid="{00000000-0006-0000-0000-0000CF000000}">
      <text>
        <r>
          <rPr>
            <sz val="9"/>
            <color indexed="81"/>
            <rFont val="MS P ゴシック"/>
            <family val="3"/>
            <charset val="128"/>
          </rPr>
          <t xml:space="preserve"> 23-1079 24-284 25-235 26-218</t>
        </r>
      </text>
    </comment>
    <comment ref="A412" authorId="0" shapeId="0" xr:uid="{00000000-0006-0000-0000-0000D0000000}">
      <text>
        <r>
          <rPr>
            <sz val="9"/>
            <color indexed="81"/>
            <rFont val="MS P ゴシック"/>
            <family val="3"/>
            <charset val="128"/>
          </rPr>
          <t xml:space="preserve"> 23-1150 24-287 25-236 26-219</t>
        </r>
      </text>
    </comment>
    <comment ref="A414" authorId="0" shapeId="0" xr:uid="{00000000-0006-0000-0000-0000D1000000}">
      <text>
        <r>
          <rPr>
            <sz val="9"/>
            <color indexed="81"/>
            <rFont val="MS P ゴシック"/>
            <family val="3"/>
            <charset val="128"/>
          </rPr>
          <t xml:space="preserve"> 23-1165 24-288 25-237 26-220</t>
        </r>
      </text>
    </comment>
    <comment ref="A416" authorId="0" shapeId="0" xr:uid="{00000000-0006-0000-0000-0000D2000000}">
      <text>
        <r>
          <rPr>
            <sz val="9"/>
            <color indexed="81"/>
            <rFont val="MS P ゴシック"/>
            <family val="3"/>
            <charset val="128"/>
          </rPr>
          <t xml:space="preserve"> 23-1177 24-290 25-238 26-221</t>
        </r>
      </text>
    </comment>
    <comment ref="A418" authorId="0" shapeId="0" xr:uid="{00000000-0006-0000-0000-0000D3000000}">
      <text>
        <r>
          <rPr>
            <sz val="9"/>
            <color indexed="81"/>
            <rFont val="MS P ゴシック"/>
            <family val="3"/>
            <charset val="128"/>
          </rPr>
          <t xml:space="preserve"> 23-1230 24-293 25-239 26-222</t>
        </r>
      </text>
    </comment>
    <comment ref="A420" authorId="0" shapeId="0" xr:uid="{00000000-0006-0000-0000-0000D4000000}">
      <text>
        <r>
          <rPr>
            <sz val="9"/>
            <color indexed="81"/>
            <rFont val="MS P ゴシック"/>
            <family val="3"/>
            <charset val="128"/>
          </rPr>
          <t xml:space="preserve"> 23-1282 24-295 25-240 26-223</t>
        </r>
      </text>
    </comment>
    <comment ref="A422" authorId="0" shapeId="0" xr:uid="{00000000-0006-0000-0000-0000D5000000}">
      <text>
        <r>
          <rPr>
            <sz val="9"/>
            <color indexed="81"/>
            <rFont val="MS P ゴシック"/>
            <family val="3"/>
            <charset val="128"/>
          </rPr>
          <t xml:space="preserve"> 23-1337 24-298 25-242 26-225</t>
        </r>
      </text>
    </comment>
    <comment ref="A424" authorId="0" shapeId="0" xr:uid="{00000000-0006-0000-0000-0000D6000000}">
      <text>
        <r>
          <rPr>
            <sz val="9"/>
            <color indexed="81"/>
            <rFont val="MS P ゴシック"/>
            <family val="3"/>
            <charset val="128"/>
          </rPr>
          <t xml:space="preserve"> 23-1366 24-299 25-243 26-226</t>
        </r>
      </text>
    </comment>
    <comment ref="A426" authorId="0" shapeId="0" xr:uid="{00000000-0006-0000-0000-0000D7000000}">
      <text>
        <r>
          <rPr>
            <sz val="9"/>
            <color indexed="81"/>
            <rFont val="MS P ゴシック"/>
            <family val="3"/>
            <charset val="128"/>
          </rPr>
          <t xml:space="preserve"> 23-1368 24-300 25-244 26-227</t>
        </r>
      </text>
    </comment>
    <comment ref="A428" authorId="0" shapeId="0" xr:uid="{00000000-0006-0000-0000-0000D8000000}">
      <text>
        <r>
          <rPr>
            <sz val="9"/>
            <color indexed="81"/>
            <rFont val="MS P ゴシック"/>
            <family val="3"/>
            <charset val="128"/>
          </rPr>
          <t xml:space="preserve"> 23-1414 24-301 25-245 26-228</t>
        </r>
      </text>
    </comment>
    <comment ref="A430" authorId="0" shapeId="0" xr:uid="{00000000-0006-0000-0000-0000D9000000}">
      <text>
        <r>
          <rPr>
            <sz val="9"/>
            <color indexed="81"/>
            <rFont val="MS P ゴシック"/>
            <family val="3"/>
            <charset val="128"/>
          </rPr>
          <t xml:space="preserve"> 23-1441 24-303 25-246 26-229</t>
        </r>
      </text>
    </comment>
    <comment ref="A432" authorId="0" shapeId="0" xr:uid="{00000000-0006-0000-0000-0000DA000000}">
      <text>
        <r>
          <rPr>
            <sz val="9"/>
            <color indexed="81"/>
            <rFont val="MS P ゴシック"/>
            <family val="3"/>
            <charset val="128"/>
          </rPr>
          <t xml:space="preserve"> 23-1451 24-305 25-247 26-230</t>
        </r>
      </text>
    </comment>
    <comment ref="A434" authorId="0" shapeId="0" xr:uid="{00000000-0006-0000-0000-0000DB000000}">
      <text>
        <r>
          <rPr>
            <sz val="9"/>
            <color indexed="81"/>
            <rFont val="MS P ゴシック"/>
            <family val="3"/>
            <charset val="128"/>
          </rPr>
          <t xml:space="preserve"> 23-1452 24-306 25-248 26-231</t>
        </r>
      </text>
    </comment>
    <comment ref="A436" authorId="0" shapeId="0" xr:uid="{00000000-0006-0000-0000-0000DC000000}">
      <text>
        <r>
          <rPr>
            <sz val="9"/>
            <color indexed="81"/>
            <rFont val="MS P ゴシック"/>
            <family val="3"/>
            <charset val="128"/>
          </rPr>
          <t xml:space="preserve"> 23-1488 24-308 25-249 26-232</t>
        </r>
      </text>
    </comment>
    <comment ref="A438" authorId="0" shapeId="0" xr:uid="{00000000-0006-0000-0000-0000DD000000}">
      <text>
        <r>
          <rPr>
            <sz val="9"/>
            <color indexed="81"/>
            <rFont val="MS P ゴシック"/>
            <family val="3"/>
            <charset val="128"/>
          </rPr>
          <t xml:space="preserve"> 23-1604 24-313 25-252 26-233</t>
        </r>
      </text>
    </comment>
    <comment ref="A440" authorId="0" shapeId="0" xr:uid="{00000000-0006-0000-0000-0000DE000000}">
      <text>
        <r>
          <rPr>
            <sz val="9"/>
            <color indexed="81"/>
            <rFont val="MS P ゴシック"/>
            <family val="3"/>
            <charset val="128"/>
          </rPr>
          <t xml:space="preserve"> 23-1644 24-316 25-254 26-234</t>
        </r>
      </text>
    </comment>
    <comment ref="A442" authorId="0" shapeId="0" xr:uid="{00000000-0006-0000-0000-0000DF000000}">
      <text>
        <r>
          <rPr>
            <sz val="9"/>
            <color indexed="81"/>
            <rFont val="MS P ゴシック"/>
            <family val="3"/>
            <charset val="128"/>
          </rPr>
          <t xml:space="preserve"> 23-1651 24-317 25-255 26-235</t>
        </r>
      </text>
    </comment>
    <comment ref="A444" authorId="0" shapeId="0" xr:uid="{00000000-0006-0000-0000-0000E0000000}">
      <text>
        <r>
          <rPr>
            <sz val="9"/>
            <color indexed="81"/>
            <rFont val="MS P ゴシック"/>
            <family val="3"/>
            <charset val="128"/>
          </rPr>
          <t xml:space="preserve"> 23-1738 24-322 25-257 26-237</t>
        </r>
      </text>
    </comment>
    <comment ref="A446" authorId="0" shapeId="0" xr:uid="{00000000-0006-0000-0000-0000E1000000}">
      <text>
        <r>
          <rPr>
            <sz val="9"/>
            <color indexed="81"/>
            <rFont val="MS P ゴシック"/>
            <family val="3"/>
            <charset val="128"/>
          </rPr>
          <t xml:space="preserve"> 23-1823 24-325 25-260 26-239</t>
        </r>
      </text>
    </comment>
    <comment ref="A448" authorId="0" shapeId="0" xr:uid="{00000000-0006-0000-0000-0000E2000000}">
      <text>
        <r>
          <rPr>
            <sz val="9"/>
            <color indexed="81"/>
            <rFont val="MS P ゴシック"/>
            <family val="3"/>
            <charset val="128"/>
          </rPr>
          <t xml:space="preserve"> 23-1839 24-326 25-261 26-240</t>
        </r>
      </text>
    </comment>
    <comment ref="A450" authorId="0" shapeId="0" xr:uid="{00000000-0006-0000-0000-0000E3000000}">
      <text>
        <r>
          <rPr>
            <sz val="9"/>
            <color indexed="81"/>
            <rFont val="MS P ゴシック"/>
            <family val="3"/>
            <charset val="128"/>
          </rPr>
          <t xml:space="preserve"> 23-1888 24-330 25-263 26-241</t>
        </r>
      </text>
    </comment>
    <comment ref="A452" authorId="0" shapeId="0" xr:uid="{00000000-0006-0000-0000-0000E4000000}">
      <text>
        <r>
          <rPr>
            <sz val="9"/>
            <color indexed="81"/>
            <rFont val="MS P ゴシック"/>
            <family val="3"/>
            <charset val="128"/>
          </rPr>
          <t xml:space="preserve"> 23-1918 24-334 25-266 26-243</t>
        </r>
      </text>
    </comment>
    <comment ref="A454" authorId="0" shapeId="0" xr:uid="{00000000-0006-0000-0000-0000E5000000}">
      <text>
        <r>
          <rPr>
            <sz val="9"/>
            <color indexed="81"/>
            <rFont val="MS P ゴシック"/>
            <family val="3"/>
            <charset val="128"/>
          </rPr>
          <t xml:space="preserve"> 23-1921 24-335 25-267 26-244</t>
        </r>
      </text>
    </comment>
    <comment ref="A456" authorId="0" shapeId="0" xr:uid="{00000000-0006-0000-0000-0000E6000000}">
      <text>
        <r>
          <rPr>
            <sz val="9"/>
            <color indexed="81"/>
            <rFont val="MS P ゴシック"/>
            <family val="3"/>
            <charset val="128"/>
          </rPr>
          <t xml:space="preserve"> 23-2019 24-338 25-268 26-245</t>
        </r>
      </text>
    </comment>
    <comment ref="A458" authorId="0" shapeId="0" xr:uid="{00000000-0006-0000-0000-0000E7000000}">
      <text>
        <r>
          <rPr>
            <sz val="9"/>
            <color indexed="81"/>
            <rFont val="MS P ゴシック"/>
            <family val="3"/>
            <charset val="128"/>
          </rPr>
          <t xml:space="preserve"> 23-2024 24-340 25-269 26-246</t>
        </r>
      </text>
    </comment>
    <comment ref="A460" authorId="0" shapeId="0" xr:uid="{00000000-0006-0000-0000-0000E8000000}">
      <text>
        <r>
          <rPr>
            <sz val="9"/>
            <color indexed="81"/>
            <rFont val="MS P ゴシック"/>
            <family val="3"/>
            <charset val="128"/>
          </rPr>
          <t xml:space="preserve"> 23-2079 24-342 25-270 26-247</t>
        </r>
      </text>
    </comment>
    <comment ref="A462" authorId="0" shapeId="0" xr:uid="{00000000-0006-0000-0000-0000E9000000}">
      <text>
        <r>
          <rPr>
            <sz val="9"/>
            <color indexed="81"/>
            <rFont val="MS P ゴシック"/>
            <family val="3"/>
            <charset val="128"/>
          </rPr>
          <t xml:space="preserve"> 23-2325 24-347 25-271 26-248</t>
        </r>
      </text>
    </comment>
    <comment ref="A464" authorId="0" shapeId="0" xr:uid="{00000000-0006-0000-0000-0000EA000000}">
      <text>
        <r>
          <rPr>
            <sz val="9"/>
            <color indexed="81"/>
            <rFont val="MS P ゴシック"/>
            <family val="3"/>
            <charset val="128"/>
          </rPr>
          <t xml:space="preserve"> 23-2367 24-348 25-272 26-249</t>
        </r>
      </text>
    </comment>
    <comment ref="A466" authorId="0" shapeId="0" xr:uid="{00000000-0006-0000-0000-0000EB000000}">
      <text>
        <r>
          <rPr>
            <sz val="9"/>
            <color indexed="81"/>
            <rFont val="MS P ゴシック"/>
            <family val="3"/>
            <charset val="128"/>
          </rPr>
          <t xml:space="preserve"> 23-2410 24-350 25-273 26-250</t>
        </r>
      </text>
    </comment>
    <comment ref="A468" authorId="0" shapeId="0" xr:uid="{00000000-0006-0000-0000-0000EC000000}">
      <text>
        <r>
          <rPr>
            <sz val="9"/>
            <color indexed="81"/>
            <rFont val="MS P ゴシック"/>
            <family val="3"/>
            <charset val="128"/>
          </rPr>
          <t xml:space="preserve"> 23-2446 24-351 25-274 26-251</t>
        </r>
      </text>
    </comment>
    <comment ref="A470" authorId="0" shapeId="0" xr:uid="{00000000-0006-0000-0000-0000ED000000}">
      <text>
        <r>
          <rPr>
            <sz val="9"/>
            <color indexed="81"/>
            <rFont val="MS P ゴシック"/>
            <family val="3"/>
            <charset val="128"/>
          </rPr>
          <t xml:space="preserve"> 23-2491 24-353 25-275 26-252</t>
        </r>
      </text>
    </comment>
    <comment ref="A472" authorId="0" shapeId="0" xr:uid="{00000000-0006-0000-0000-0000EE000000}">
      <text>
        <r>
          <rPr>
            <sz val="9"/>
            <color indexed="81"/>
            <rFont val="MS P ゴシック"/>
            <family val="3"/>
            <charset val="128"/>
          </rPr>
          <t xml:space="preserve"> 23-2524 24-354 25-276 26-253</t>
        </r>
      </text>
    </comment>
    <comment ref="A474" authorId="0" shapeId="0" xr:uid="{00000000-0006-0000-0000-0000EF000000}">
      <text>
        <r>
          <rPr>
            <sz val="9"/>
            <color indexed="81"/>
            <rFont val="MS P ゴシック"/>
            <family val="3"/>
            <charset val="128"/>
          </rPr>
          <t xml:space="preserve"> 23-2655 24-360 25-277 26-254</t>
        </r>
      </text>
    </comment>
    <comment ref="A476" authorId="0" shapeId="0" xr:uid="{00000000-0006-0000-0000-0000F0000000}">
      <text>
        <r>
          <rPr>
            <sz val="9"/>
            <color indexed="81"/>
            <rFont val="MS P ゴシック"/>
            <family val="3"/>
            <charset val="128"/>
          </rPr>
          <t xml:space="preserve"> 23-2681 24-361 25-278 26-255</t>
        </r>
      </text>
    </comment>
    <comment ref="A478" authorId="0" shapeId="0" xr:uid="{00000000-0006-0000-0000-0000F1000000}">
      <text>
        <r>
          <rPr>
            <sz val="9"/>
            <color indexed="81"/>
            <rFont val="MS P ゴシック"/>
            <family val="3"/>
            <charset val="128"/>
          </rPr>
          <t xml:space="preserve"> 23-2765 24-363 25-279 26-256</t>
        </r>
      </text>
    </comment>
    <comment ref="A480" authorId="0" shapeId="0" xr:uid="{00000000-0006-0000-0000-0000F2000000}">
      <text>
        <r>
          <rPr>
            <sz val="9"/>
            <color indexed="81"/>
            <rFont val="MS P ゴシック"/>
            <family val="3"/>
            <charset val="128"/>
          </rPr>
          <t xml:space="preserve"> 23-2812 24-364 25-280 26-257</t>
        </r>
      </text>
    </comment>
    <comment ref="A482" authorId="0" shapeId="0" xr:uid="{00000000-0006-0000-0000-0000F3000000}">
      <text>
        <r>
          <rPr>
            <sz val="9"/>
            <color indexed="81"/>
            <rFont val="MS P ゴシック"/>
            <family val="3"/>
            <charset val="128"/>
          </rPr>
          <t xml:space="preserve"> 23-2855 24-367 25-281 26-258</t>
        </r>
      </text>
    </comment>
    <comment ref="A484" authorId="0" shapeId="0" xr:uid="{00000000-0006-0000-0000-0000F4000000}">
      <text>
        <r>
          <rPr>
            <sz val="9"/>
            <color indexed="81"/>
            <rFont val="MS P ゴシック"/>
            <family val="3"/>
            <charset val="128"/>
          </rPr>
          <t xml:space="preserve"> 23-2885 24-370 25-282 26-259</t>
        </r>
      </text>
    </comment>
    <comment ref="A486" authorId="0" shapeId="0" xr:uid="{00000000-0006-0000-0000-0000F5000000}">
      <text>
        <r>
          <rPr>
            <sz val="9"/>
            <color indexed="81"/>
            <rFont val="MS P ゴシック"/>
            <family val="3"/>
            <charset val="128"/>
          </rPr>
          <t xml:space="preserve"> 23-2984 24-377 25-285 26-260</t>
        </r>
      </text>
    </comment>
    <comment ref="A488" authorId="0" shapeId="0" xr:uid="{00000000-0006-0000-0000-0000F6000000}">
      <text>
        <r>
          <rPr>
            <sz val="9"/>
            <color indexed="81"/>
            <rFont val="MS P ゴシック"/>
            <family val="3"/>
            <charset val="128"/>
          </rPr>
          <t xml:space="preserve"> 23-3011 24-378 25-286 26-261</t>
        </r>
      </text>
    </comment>
    <comment ref="A490" authorId="0" shapeId="0" xr:uid="{00000000-0006-0000-0000-0000F7000000}">
      <text>
        <r>
          <rPr>
            <sz val="9"/>
            <color indexed="81"/>
            <rFont val="MS P ゴシック"/>
            <family val="3"/>
            <charset val="128"/>
          </rPr>
          <t xml:space="preserve"> 23-3040 24-379 25-287 26-262</t>
        </r>
      </text>
    </comment>
    <comment ref="A492" authorId="0" shapeId="0" xr:uid="{00000000-0006-0000-0000-0000F8000000}">
      <text>
        <r>
          <rPr>
            <sz val="9"/>
            <color indexed="81"/>
            <rFont val="MS P ゴシック"/>
            <family val="3"/>
            <charset val="128"/>
          </rPr>
          <t xml:space="preserve"> 23-3095 24-380 25-288 26-263</t>
        </r>
      </text>
    </comment>
    <comment ref="A494" authorId="0" shapeId="0" xr:uid="{00000000-0006-0000-0000-0000F9000000}">
      <text>
        <r>
          <rPr>
            <sz val="9"/>
            <color indexed="81"/>
            <rFont val="MS P ゴシック"/>
            <family val="3"/>
            <charset val="128"/>
          </rPr>
          <t xml:space="preserve"> 23-3096 24-381 25-289 26-264</t>
        </r>
      </text>
    </comment>
    <comment ref="A496" authorId="0" shapeId="0" xr:uid="{00000000-0006-0000-0000-0000FA000000}">
      <text>
        <r>
          <rPr>
            <sz val="9"/>
            <color indexed="81"/>
            <rFont val="MS P ゴシック"/>
            <family val="3"/>
            <charset val="128"/>
          </rPr>
          <t xml:space="preserve"> 23-3150 24-384 25-291 26-265</t>
        </r>
      </text>
    </comment>
    <comment ref="A498" authorId="0" shapeId="0" xr:uid="{00000000-0006-0000-0000-0000FB000000}">
      <text>
        <r>
          <rPr>
            <sz val="9"/>
            <color indexed="81"/>
            <rFont val="MS P ゴシック"/>
            <family val="3"/>
            <charset val="128"/>
          </rPr>
          <t xml:space="preserve"> 23-3355 24-389 25-293 26-267</t>
        </r>
      </text>
    </comment>
    <comment ref="A500" authorId="0" shapeId="0" xr:uid="{00000000-0006-0000-0000-0000FC000000}">
      <text>
        <r>
          <rPr>
            <sz val="9"/>
            <color indexed="81"/>
            <rFont val="MS P ゴシック"/>
            <family val="3"/>
            <charset val="128"/>
          </rPr>
          <t xml:space="preserve"> 23-3463 24-394 25-294 26-268</t>
        </r>
      </text>
    </comment>
    <comment ref="A502" authorId="0" shapeId="0" xr:uid="{00000000-0006-0000-0000-0000FD000000}">
      <text>
        <r>
          <rPr>
            <sz val="9"/>
            <color indexed="81"/>
            <rFont val="MS P ゴシック"/>
            <family val="3"/>
            <charset val="128"/>
          </rPr>
          <t xml:space="preserve"> 23-3601 24-400 25-295 26-269</t>
        </r>
      </text>
    </comment>
    <comment ref="A504" authorId="0" shapeId="0" xr:uid="{00000000-0006-0000-0000-0000FE000000}">
      <text>
        <r>
          <rPr>
            <sz val="9"/>
            <color indexed="81"/>
            <rFont val="MS P ゴシック"/>
            <family val="3"/>
            <charset val="128"/>
          </rPr>
          <t xml:space="preserve"> 23-3654 24-405 25-297 26-270</t>
        </r>
      </text>
    </comment>
    <comment ref="A506" authorId="0" shapeId="0" xr:uid="{00000000-0006-0000-0000-0000FF000000}">
      <text>
        <r>
          <rPr>
            <sz val="9"/>
            <color indexed="81"/>
            <rFont val="MS P ゴシック"/>
            <family val="3"/>
            <charset val="128"/>
          </rPr>
          <t xml:space="preserve"> 23-3657 24-406 25-298 26-271</t>
        </r>
      </text>
    </comment>
    <comment ref="A508" authorId="0" shapeId="0" xr:uid="{00000000-0006-0000-0000-000000010000}">
      <text>
        <r>
          <rPr>
            <sz val="9"/>
            <color indexed="81"/>
            <rFont val="MS P ゴシック"/>
            <family val="3"/>
            <charset val="128"/>
          </rPr>
          <t xml:space="preserve"> 23-3670 24-407 25-299 26-272</t>
        </r>
      </text>
    </comment>
    <comment ref="A510" authorId="0" shapeId="0" xr:uid="{00000000-0006-0000-0000-000001010000}">
      <text>
        <r>
          <rPr>
            <sz val="9"/>
            <color indexed="81"/>
            <rFont val="MS P ゴシック"/>
            <family val="3"/>
            <charset val="128"/>
          </rPr>
          <t xml:space="preserve"> 23-3883 24-447 25-306 26-273</t>
        </r>
      </text>
    </comment>
    <comment ref="A512" authorId="0" shapeId="0" xr:uid="{00000000-0006-0000-0000-000002010000}">
      <text>
        <r>
          <rPr>
            <sz val="9"/>
            <color indexed="81"/>
            <rFont val="MS P ゴシック"/>
            <family val="3"/>
            <charset val="128"/>
          </rPr>
          <t xml:space="preserve"> 23-3895 24-452 25-308 26-274</t>
        </r>
      </text>
    </comment>
    <comment ref="A514" authorId="0" shapeId="0" xr:uid="{00000000-0006-0000-0000-000003010000}">
      <text>
        <r>
          <rPr>
            <sz val="9"/>
            <color indexed="81"/>
            <rFont val="MS P ゴシック"/>
            <family val="3"/>
            <charset val="128"/>
          </rPr>
          <t xml:space="preserve"> 23-3974 24-472 25-310 26-275</t>
        </r>
      </text>
    </comment>
    <comment ref="A516" authorId="0" shapeId="0" xr:uid="{00000000-0006-0000-0000-000004010000}">
      <text>
        <r>
          <rPr>
            <sz val="9"/>
            <color indexed="81"/>
            <rFont val="MS P ゴシック"/>
            <family val="3"/>
            <charset val="128"/>
          </rPr>
          <t xml:space="preserve"> 23-4042 24-494 25-312 26-277</t>
        </r>
      </text>
    </comment>
    <comment ref="A518" authorId="0" shapeId="0" xr:uid="{00000000-0006-0000-0000-000005010000}">
      <text>
        <r>
          <rPr>
            <sz val="9"/>
            <color indexed="81"/>
            <rFont val="MS P ゴシック"/>
            <family val="3"/>
            <charset val="128"/>
          </rPr>
          <t xml:space="preserve"> 23-4107 24-525 25-317 26-281</t>
        </r>
      </text>
    </comment>
    <comment ref="A520" authorId="0" shapeId="0" xr:uid="{00000000-0006-0000-0000-000006010000}">
      <text>
        <r>
          <rPr>
            <sz val="9"/>
            <color indexed="81"/>
            <rFont val="MS P ゴシック"/>
            <family val="3"/>
            <charset val="128"/>
          </rPr>
          <t xml:space="preserve"> 23-4130 24-541 25-319 26-282</t>
        </r>
      </text>
    </comment>
    <comment ref="A522" authorId="0" shapeId="0" xr:uid="{00000000-0006-0000-0000-000007010000}">
      <text>
        <r>
          <rPr>
            <sz val="9"/>
            <color indexed="81"/>
            <rFont val="MS P ゴシック"/>
            <family val="3"/>
            <charset val="128"/>
          </rPr>
          <t xml:space="preserve"> 23-4158 24-557 25-321 26-283</t>
        </r>
      </text>
    </comment>
    <comment ref="A524" authorId="0" shapeId="0" xr:uid="{00000000-0006-0000-0000-000008010000}">
      <text>
        <r>
          <rPr>
            <sz val="9"/>
            <color indexed="81"/>
            <rFont val="MS P ゴシック"/>
            <family val="3"/>
            <charset val="128"/>
          </rPr>
          <t xml:space="preserve"> 23-4203 24-593 25-325 26-284</t>
        </r>
      </text>
    </comment>
    <comment ref="A526" authorId="0" shapeId="0" xr:uid="{00000000-0006-0000-0000-000009010000}">
      <text>
        <r>
          <rPr>
            <sz val="9"/>
            <color indexed="81"/>
            <rFont val="MS P ゴシック"/>
            <family val="3"/>
            <charset val="128"/>
          </rPr>
          <t xml:space="preserve"> 23-4229 24-616 25-326 26-285</t>
        </r>
      </text>
    </comment>
    <comment ref="A528" authorId="0" shapeId="0" xr:uid="{00000000-0006-0000-0000-00000A010000}">
      <text>
        <r>
          <rPr>
            <sz val="9"/>
            <color indexed="81"/>
            <rFont val="MS P ゴシック"/>
            <family val="3"/>
            <charset val="128"/>
          </rPr>
          <t xml:space="preserve"> 23-4301 24-684 25-332 26-286</t>
        </r>
      </text>
    </comment>
    <comment ref="A530" authorId="0" shapeId="0" xr:uid="{00000000-0006-0000-0000-00000B010000}">
      <text>
        <r>
          <rPr>
            <sz val="9"/>
            <color indexed="81"/>
            <rFont val="MS P ゴシック"/>
            <family val="3"/>
            <charset val="128"/>
          </rPr>
          <t xml:space="preserve"> 23-4327 24-710 25-333 26-287</t>
        </r>
      </text>
    </comment>
    <comment ref="A532" authorId="0" shapeId="0" xr:uid="{00000000-0006-0000-0000-00000C010000}">
      <text>
        <r>
          <rPr>
            <sz val="9"/>
            <color indexed="81"/>
            <rFont val="MS P ゴシック"/>
            <family val="3"/>
            <charset val="128"/>
          </rPr>
          <t xml:space="preserve"> 24-802 25-336 26-288</t>
        </r>
      </text>
    </comment>
    <comment ref="A534" authorId="0" shapeId="0" xr:uid="{00000000-0006-0000-0000-00000D010000}">
      <text>
        <r>
          <rPr>
            <sz val="9"/>
            <color indexed="81"/>
            <rFont val="MS P ゴシック"/>
            <family val="3"/>
            <charset val="128"/>
          </rPr>
          <t xml:space="preserve"> 24-866 25-338 26-290</t>
        </r>
      </text>
    </comment>
    <comment ref="A536" authorId="0" shapeId="0" xr:uid="{00000000-0006-0000-0000-00000E010000}">
      <text>
        <r>
          <rPr>
            <sz val="9"/>
            <color indexed="81"/>
            <rFont val="MS P ゴシック"/>
            <family val="3"/>
            <charset val="128"/>
          </rPr>
          <t xml:space="preserve"> 24-868 25-339 26-291</t>
        </r>
      </text>
    </comment>
    <comment ref="A538" authorId="0" shapeId="0" xr:uid="{00000000-0006-0000-0000-00000F010000}">
      <text>
        <r>
          <rPr>
            <sz val="9"/>
            <color indexed="81"/>
            <rFont val="MS P ゴシック"/>
            <family val="3"/>
            <charset val="128"/>
          </rPr>
          <t xml:space="preserve"> 24-1027 25-341 26-292</t>
        </r>
      </text>
    </comment>
    <comment ref="A540" authorId="0" shapeId="0" xr:uid="{00000000-0006-0000-0000-000010010000}">
      <text>
        <r>
          <rPr>
            <sz val="9"/>
            <color indexed="81"/>
            <rFont val="MS P ゴシック"/>
            <family val="3"/>
            <charset val="128"/>
          </rPr>
          <t xml:space="preserve"> 24-1102 25-345 26-293</t>
        </r>
      </text>
    </comment>
    <comment ref="A542" authorId="0" shapeId="0" xr:uid="{00000000-0006-0000-0000-000011010000}">
      <text>
        <r>
          <rPr>
            <sz val="9"/>
            <color indexed="81"/>
            <rFont val="MS P ゴシック"/>
            <family val="3"/>
            <charset val="128"/>
          </rPr>
          <t xml:space="preserve"> 24-1141 25-347 26-295</t>
        </r>
      </text>
    </comment>
    <comment ref="A544" authorId="0" shapeId="0" xr:uid="{00000000-0006-0000-0000-000012010000}">
      <text>
        <r>
          <rPr>
            <sz val="9"/>
            <color indexed="81"/>
            <rFont val="MS P ゴシック"/>
            <family val="3"/>
            <charset val="128"/>
          </rPr>
          <t xml:space="preserve"> 24-1174 25-348 26-296</t>
        </r>
      </text>
    </comment>
    <comment ref="A546" authorId="0" shapeId="0" xr:uid="{00000000-0006-0000-0000-000013010000}">
      <text>
        <r>
          <rPr>
            <sz val="9"/>
            <color indexed="81"/>
            <rFont val="MS P ゴシック"/>
            <family val="3"/>
            <charset val="128"/>
          </rPr>
          <t xml:space="preserve"> 24-1209 25-349 26-297</t>
        </r>
      </text>
    </comment>
    <comment ref="A548" authorId="0" shapeId="0" xr:uid="{00000000-0006-0000-0000-000014010000}">
      <text>
        <r>
          <rPr>
            <sz val="9"/>
            <color indexed="81"/>
            <rFont val="MS P ゴシック"/>
            <family val="3"/>
            <charset val="128"/>
          </rPr>
          <t xml:space="preserve"> 24-1225 25-350 26-298</t>
        </r>
      </text>
    </comment>
    <comment ref="A550" authorId="0" shapeId="0" xr:uid="{00000000-0006-0000-0000-000015010000}">
      <text>
        <r>
          <rPr>
            <sz val="9"/>
            <color indexed="81"/>
            <rFont val="MS P ゴシック"/>
            <family val="3"/>
            <charset val="128"/>
          </rPr>
          <t xml:space="preserve"> 24-1234 25-351 26-299</t>
        </r>
      </text>
    </comment>
    <comment ref="A552" authorId="0" shapeId="0" xr:uid="{00000000-0006-0000-0000-000016010000}">
      <text>
        <r>
          <rPr>
            <sz val="9"/>
            <color indexed="81"/>
            <rFont val="MS P ゴシック"/>
            <family val="3"/>
            <charset val="128"/>
          </rPr>
          <t xml:space="preserve"> 24-1275 25-355 26-300</t>
        </r>
      </text>
    </comment>
    <comment ref="A554" authorId="0" shapeId="0" xr:uid="{00000000-0006-0000-0000-000017010000}">
      <text>
        <r>
          <rPr>
            <sz val="9"/>
            <color indexed="81"/>
            <rFont val="MS P ゴシック"/>
            <family val="3"/>
            <charset val="128"/>
          </rPr>
          <t xml:space="preserve"> 24-1295 25-357 26-301</t>
        </r>
      </text>
    </comment>
    <comment ref="A556" authorId="0" shapeId="0" xr:uid="{00000000-0006-0000-0000-000018010000}">
      <text>
        <r>
          <rPr>
            <sz val="9"/>
            <color indexed="81"/>
            <rFont val="MS P ゴシック"/>
            <family val="3"/>
            <charset val="128"/>
          </rPr>
          <t xml:space="preserve"> 24-1298 25-358 26-302</t>
        </r>
      </text>
    </comment>
    <comment ref="A558" authorId="0" shapeId="0" xr:uid="{00000000-0006-0000-0000-000019010000}">
      <text>
        <r>
          <rPr>
            <sz val="9"/>
            <color indexed="81"/>
            <rFont val="MS P ゴシック"/>
            <family val="3"/>
            <charset val="128"/>
          </rPr>
          <t xml:space="preserve"> 24-1299 25-359 26-303</t>
        </r>
      </text>
    </comment>
    <comment ref="A560" authorId="0" shapeId="0" xr:uid="{00000000-0006-0000-0000-00001A010000}">
      <text>
        <r>
          <rPr>
            <sz val="9"/>
            <color indexed="81"/>
            <rFont val="MS P ゴシック"/>
            <family val="3"/>
            <charset val="128"/>
          </rPr>
          <t xml:space="preserve"> 24-1320 25-360 26-304</t>
        </r>
      </text>
    </comment>
    <comment ref="A562" authorId="0" shapeId="0" xr:uid="{00000000-0006-0000-0000-00001B010000}">
      <text>
        <r>
          <rPr>
            <sz val="9"/>
            <color indexed="81"/>
            <rFont val="MS P ゴシック"/>
            <family val="3"/>
            <charset val="128"/>
          </rPr>
          <t xml:space="preserve"> 24-1329 25-361 26-305</t>
        </r>
      </text>
    </comment>
    <comment ref="A564" authorId="0" shapeId="0" xr:uid="{00000000-0006-0000-0000-00001C010000}">
      <text>
        <r>
          <rPr>
            <sz val="9"/>
            <color indexed="81"/>
            <rFont val="MS P ゴシック"/>
            <family val="3"/>
            <charset val="128"/>
          </rPr>
          <t xml:space="preserve"> 24-1446 25-363 26-306</t>
        </r>
      </text>
    </comment>
    <comment ref="A566" authorId="0" shapeId="0" xr:uid="{00000000-0006-0000-0000-00001D010000}">
      <text>
        <r>
          <rPr>
            <sz val="9"/>
            <color indexed="81"/>
            <rFont val="MS P ゴシック"/>
            <family val="3"/>
            <charset val="128"/>
          </rPr>
          <t xml:space="preserve"> 24-1477 25-367 26-307</t>
        </r>
      </text>
    </comment>
    <comment ref="A568" authorId="0" shapeId="0" xr:uid="{00000000-0006-0000-0000-00001E010000}">
      <text>
        <r>
          <rPr>
            <sz val="9"/>
            <color indexed="81"/>
            <rFont val="MS P ゴシック"/>
            <family val="3"/>
            <charset val="128"/>
          </rPr>
          <t xml:space="preserve"> 24-1501 25-368 26-308</t>
        </r>
      </text>
    </comment>
    <comment ref="A570" authorId="0" shapeId="0" xr:uid="{00000000-0006-0000-0000-00001F010000}">
      <text>
        <r>
          <rPr>
            <sz val="9"/>
            <color indexed="81"/>
            <rFont val="MS P ゴシック"/>
            <family val="3"/>
            <charset val="128"/>
          </rPr>
          <t xml:space="preserve"> 24-1504 25-369 26-309</t>
        </r>
      </text>
    </comment>
    <comment ref="A572" authorId="0" shapeId="0" xr:uid="{00000000-0006-0000-0000-000020010000}">
      <text>
        <r>
          <rPr>
            <sz val="9"/>
            <color indexed="81"/>
            <rFont val="MS P ゴシック"/>
            <family val="3"/>
            <charset val="128"/>
          </rPr>
          <t xml:space="preserve"> 24-1553 25-370 26-310</t>
        </r>
      </text>
    </comment>
    <comment ref="A574" authorId="0" shapeId="0" xr:uid="{00000000-0006-0000-0000-000021010000}">
      <text>
        <r>
          <rPr>
            <sz val="9"/>
            <color indexed="81"/>
            <rFont val="MS P ゴシック"/>
            <family val="3"/>
            <charset val="128"/>
          </rPr>
          <t xml:space="preserve"> 24-1668 25-375 26-311</t>
        </r>
      </text>
    </comment>
    <comment ref="A576" authorId="0" shapeId="0" xr:uid="{00000000-0006-0000-0000-000022010000}">
      <text>
        <r>
          <rPr>
            <sz val="9"/>
            <color indexed="81"/>
            <rFont val="MS P ゴシック"/>
            <family val="3"/>
            <charset val="128"/>
          </rPr>
          <t xml:space="preserve"> 24-1729 25-376 26-312</t>
        </r>
      </text>
    </comment>
    <comment ref="A578" authorId="0" shapeId="0" xr:uid="{00000000-0006-0000-0000-000023010000}">
      <text>
        <r>
          <rPr>
            <sz val="9"/>
            <color indexed="81"/>
            <rFont val="MS P ゴシック"/>
            <family val="3"/>
            <charset val="128"/>
          </rPr>
          <t xml:space="preserve"> 24-1751 25-377 26-313</t>
        </r>
      </text>
    </comment>
    <comment ref="A580" authorId="0" shapeId="0" xr:uid="{00000000-0006-0000-0000-000024010000}">
      <text>
        <r>
          <rPr>
            <sz val="9"/>
            <color indexed="81"/>
            <rFont val="MS P ゴシック"/>
            <family val="3"/>
            <charset val="128"/>
          </rPr>
          <t xml:space="preserve"> 24-1752 25-378 26-314</t>
        </r>
      </text>
    </comment>
    <comment ref="A582" authorId="0" shapeId="0" xr:uid="{00000000-0006-0000-0000-000025010000}">
      <text>
        <r>
          <rPr>
            <sz val="9"/>
            <color indexed="81"/>
            <rFont val="MS P ゴシック"/>
            <family val="3"/>
            <charset val="128"/>
          </rPr>
          <t xml:space="preserve"> 24-1905 25-381 26-315</t>
        </r>
      </text>
    </comment>
    <comment ref="A584" authorId="0" shapeId="0" xr:uid="{00000000-0006-0000-0000-000026010000}">
      <text>
        <r>
          <rPr>
            <sz val="9"/>
            <color indexed="81"/>
            <rFont val="MS P ゴシック"/>
            <family val="3"/>
            <charset val="128"/>
          </rPr>
          <t xml:space="preserve"> 24-1978 25-385 26-316</t>
        </r>
      </text>
    </comment>
    <comment ref="A586" authorId="0" shapeId="0" xr:uid="{00000000-0006-0000-0000-000027010000}">
      <text>
        <r>
          <rPr>
            <sz val="9"/>
            <color indexed="81"/>
            <rFont val="MS P ゴシック"/>
            <family val="3"/>
            <charset val="128"/>
          </rPr>
          <t xml:space="preserve"> 24-2023 25-386 26-317</t>
        </r>
      </text>
    </comment>
    <comment ref="A588" authorId="0" shapeId="0" xr:uid="{00000000-0006-0000-0000-000028010000}">
      <text>
        <r>
          <rPr>
            <sz val="9"/>
            <color indexed="81"/>
            <rFont val="MS P ゴシック"/>
            <family val="3"/>
            <charset val="128"/>
          </rPr>
          <t xml:space="preserve"> 24-2057 25-388 26-319</t>
        </r>
      </text>
    </comment>
    <comment ref="A590" authorId="0" shapeId="0" xr:uid="{00000000-0006-0000-0000-000029010000}">
      <text>
        <r>
          <rPr>
            <sz val="9"/>
            <color indexed="81"/>
            <rFont val="MS P ゴシック"/>
            <family val="3"/>
            <charset val="128"/>
          </rPr>
          <t xml:space="preserve"> 24-2189 25-393 26-320</t>
        </r>
      </text>
    </comment>
    <comment ref="A592" authorId="0" shapeId="0" xr:uid="{00000000-0006-0000-0000-00002A010000}">
      <text>
        <r>
          <rPr>
            <sz val="9"/>
            <color indexed="81"/>
            <rFont val="MS P ゴシック"/>
            <family val="3"/>
            <charset val="128"/>
          </rPr>
          <t xml:space="preserve"> 24-2211 25-395 26-322</t>
        </r>
      </text>
    </comment>
    <comment ref="A594" authorId="0" shapeId="0" xr:uid="{00000000-0006-0000-0000-00002B010000}">
      <text>
        <r>
          <rPr>
            <sz val="9"/>
            <color indexed="81"/>
            <rFont val="MS P ゴシック"/>
            <family val="3"/>
            <charset val="128"/>
          </rPr>
          <t xml:space="preserve"> 24-2243 25-396 26-323</t>
        </r>
      </text>
    </comment>
    <comment ref="A596" authorId="0" shapeId="0" xr:uid="{00000000-0006-0000-0000-00002C010000}">
      <text>
        <r>
          <rPr>
            <sz val="9"/>
            <color indexed="81"/>
            <rFont val="MS P ゴシック"/>
            <family val="3"/>
            <charset val="128"/>
          </rPr>
          <t xml:space="preserve"> 24-2285 25-398 26-325</t>
        </r>
      </text>
    </comment>
    <comment ref="A598" authorId="0" shapeId="0" xr:uid="{00000000-0006-0000-0000-00002D010000}">
      <text>
        <r>
          <rPr>
            <sz val="9"/>
            <color indexed="81"/>
            <rFont val="MS P ゴシック"/>
            <family val="3"/>
            <charset val="128"/>
          </rPr>
          <t xml:space="preserve"> 24-2286 25-399 26-326</t>
        </r>
      </text>
    </comment>
    <comment ref="A600" authorId="0" shapeId="0" xr:uid="{00000000-0006-0000-0000-00002E010000}">
      <text>
        <r>
          <rPr>
            <sz val="9"/>
            <color indexed="81"/>
            <rFont val="MS P ゴシック"/>
            <family val="3"/>
            <charset val="128"/>
          </rPr>
          <t xml:space="preserve"> 24-2445 25-401 26-328</t>
        </r>
      </text>
    </comment>
    <comment ref="A602" authorId="0" shapeId="0" xr:uid="{00000000-0006-0000-0000-00002F010000}">
      <text>
        <r>
          <rPr>
            <sz val="9"/>
            <color indexed="81"/>
            <rFont val="MS P ゴシック"/>
            <family val="3"/>
            <charset val="128"/>
          </rPr>
          <t xml:space="preserve"> 24-2549 25-404 26-330</t>
        </r>
      </text>
    </comment>
    <comment ref="A604" authorId="0" shapeId="0" xr:uid="{00000000-0006-0000-0000-000030010000}">
      <text>
        <r>
          <rPr>
            <sz val="9"/>
            <color indexed="81"/>
            <rFont val="MS P ゴシック"/>
            <family val="3"/>
            <charset val="128"/>
          </rPr>
          <t xml:space="preserve"> 24-2839 25-406 26-331</t>
        </r>
      </text>
    </comment>
    <comment ref="A606" authorId="0" shapeId="0" xr:uid="{00000000-0006-0000-0000-000031010000}">
      <text>
        <r>
          <rPr>
            <sz val="9"/>
            <color indexed="81"/>
            <rFont val="MS P ゴシック"/>
            <family val="3"/>
            <charset val="128"/>
          </rPr>
          <t xml:space="preserve"> 24-2881 25-407 26-332</t>
        </r>
      </text>
    </comment>
    <comment ref="A608" authorId="0" shapeId="0" xr:uid="{00000000-0006-0000-0000-000032010000}">
      <text>
        <r>
          <rPr>
            <sz val="9"/>
            <color indexed="81"/>
            <rFont val="MS P ゴシック"/>
            <family val="3"/>
            <charset val="128"/>
          </rPr>
          <t xml:space="preserve"> 24-3179 25-416 26-335</t>
        </r>
      </text>
    </comment>
    <comment ref="A610" authorId="0" shapeId="0" xr:uid="{00000000-0006-0000-0000-000033010000}">
      <text>
        <r>
          <rPr>
            <sz val="9"/>
            <color indexed="81"/>
            <rFont val="MS P ゴシック"/>
            <family val="3"/>
            <charset val="128"/>
          </rPr>
          <t xml:space="preserve"> 24-3180 25-417 26-336</t>
        </r>
      </text>
    </comment>
    <comment ref="A612" authorId="0" shapeId="0" xr:uid="{00000000-0006-0000-0000-000034010000}">
      <text>
        <r>
          <rPr>
            <sz val="9"/>
            <color indexed="81"/>
            <rFont val="MS P ゴシック"/>
            <family val="3"/>
            <charset val="128"/>
          </rPr>
          <t xml:space="preserve"> 24-3283 25-422 26-338</t>
        </r>
      </text>
    </comment>
    <comment ref="A614" authorId="0" shapeId="0" xr:uid="{00000000-0006-0000-0000-000035010000}">
      <text>
        <r>
          <rPr>
            <sz val="9"/>
            <color indexed="81"/>
            <rFont val="MS P ゴシック"/>
            <family val="3"/>
            <charset val="128"/>
          </rPr>
          <t xml:space="preserve"> 24-3284 25-423 26-339</t>
        </r>
      </text>
    </comment>
    <comment ref="A616" authorId="0" shapeId="0" xr:uid="{00000000-0006-0000-0000-000036010000}">
      <text>
        <r>
          <rPr>
            <sz val="9"/>
            <color indexed="81"/>
            <rFont val="MS P ゴシック"/>
            <family val="3"/>
            <charset val="128"/>
          </rPr>
          <t xml:space="preserve"> 24-3618 25-430 26-340</t>
        </r>
      </text>
    </comment>
    <comment ref="A618" authorId="0" shapeId="0" xr:uid="{00000000-0006-0000-0000-000037010000}">
      <text>
        <r>
          <rPr>
            <sz val="9"/>
            <color indexed="81"/>
            <rFont val="MS P ゴシック"/>
            <family val="3"/>
            <charset val="128"/>
          </rPr>
          <t xml:space="preserve"> 24-3666 25-434 26-341</t>
        </r>
      </text>
    </comment>
    <comment ref="A620" authorId="0" shapeId="0" xr:uid="{00000000-0006-0000-0000-000038010000}">
      <text>
        <r>
          <rPr>
            <sz val="9"/>
            <color indexed="81"/>
            <rFont val="MS P ゴシック"/>
            <family val="3"/>
            <charset val="128"/>
          </rPr>
          <t xml:space="preserve"> 24-3673 25-435 26-342</t>
        </r>
      </text>
    </comment>
    <comment ref="A622" authorId="0" shapeId="0" xr:uid="{00000000-0006-0000-0000-000039010000}">
      <text>
        <r>
          <rPr>
            <sz val="9"/>
            <color indexed="81"/>
            <rFont val="MS P ゴシック"/>
            <family val="3"/>
            <charset val="128"/>
          </rPr>
          <t xml:space="preserve"> 24-3683 25-436 26-343</t>
        </r>
      </text>
    </comment>
    <comment ref="A624" authorId="0" shapeId="0" xr:uid="{00000000-0006-0000-0000-00003A010000}">
      <text>
        <r>
          <rPr>
            <sz val="9"/>
            <color indexed="81"/>
            <rFont val="MS P ゴシック"/>
            <family val="3"/>
            <charset val="128"/>
          </rPr>
          <t xml:space="preserve"> 24-3689 25-438 26-344</t>
        </r>
      </text>
    </comment>
    <comment ref="A626" authorId="0" shapeId="0" xr:uid="{00000000-0006-0000-0000-00003B010000}">
      <text>
        <r>
          <rPr>
            <sz val="9"/>
            <color indexed="81"/>
            <rFont val="MS P ゴシック"/>
            <family val="3"/>
            <charset val="128"/>
          </rPr>
          <t xml:space="preserve"> 24-3846 25-445 26-345</t>
        </r>
      </text>
    </comment>
    <comment ref="A628" authorId="0" shapeId="0" xr:uid="{00000000-0006-0000-0000-00003C010000}">
      <text>
        <r>
          <rPr>
            <sz val="9"/>
            <color indexed="81"/>
            <rFont val="MS P ゴシック"/>
            <family val="3"/>
            <charset val="128"/>
          </rPr>
          <t xml:space="preserve"> 24-3848 25-446 26-346</t>
        </r>
      </text>
    </comment>
    <comment ref="A630" authorId="0" shapeId="0" xr:uid="{00000000-0006-0000-0000-00003D010000}">
      <text>
        <r>
          <rPr>
            <sz val="9"/>
            <color indexed="81"/>
            <rFont val="MS P ゴシック"/>
            <family val="3"/>
            <charset val="128"/>
          </rPr>
          <t xml:space="preserve"> 24-3905 25-451 26-347</t>
        </r>
      </text>
    </comment>
    <comment ref="A632" authorId="0" shapeId="0" xr:uid="{00000000-0006-0000-0000-00003E010000}">
      <text>
        <r>
          <rPr>
            <sz val="9"/>
            <color indexed="81"/>
            <rFont val="MS P ゴシック"/>
            <family val="3"/>
            <charset val="128"/>
          </rPr>
          <t xml:space="preserve"> 24-3939 25-454 26-348</t>
        </r>
      </text>
    </comment>
    <comment ref="A634" authorId="0" shapeId="0" xr:uid="{00000000-0006-0000-0000-00003F010000}">
      <text>
        <r>
          <rPr>
            <sz val="9"/>
            <color indexed="81"/>
            <rFont val="MS P ゴシック"/>
            <family val="3"/>
            <charset val="128"/>
          </rPr>
          <t xml:space="preserve"> 24-3981 25-457 26-349</t>
        </r>
      </text>
    </comment>
    <comment ref="A636" authorId="0" shapeId="0" xr:uid="{00000000-0006-0000-0000-000040010000}">
      <text>
        <r>
          <rPr>
            <sz val="9"/>
            <color indexed="81"/>
            <rFont val="MS P ゴシック"/>
            <family val="3"/>
            <charset val="128"/>
          </rPr>
          <t xml:space="preserve"> 24-4026 25-461 26-350</t>
        </r>
      </text>
    </comment>
    <comment ref="A638" authorId="0" shapeId="0" xr:uid="{00000000-0006-0000-0000-000041010000}">
      <text>
        <r>
          <rPr>
            <sz val="9"/>
            <color indexed="81"/>
            <rFont val="MS P ゴシック"/>
            <family val="3"/>
            <charset val="128"/>
          </rPr>
          <t xml:space="preserve"> 24-4196 25-474 26-351</t>
        </r>
      </text>
    </comment>
    <comment ref="A640" authorId="0" shapeId="0" xr:uid="{00000000-0006-0000-0000-000042010000}">
      <text>
        <r>
          <rPr>
            <sz val="9"/>
            <color indexed="81"/>
            <rFont val="MS P ゴシック"/>
            <family val="3"/>
            <charset val="128"/>
          </rPr>
          <t xml:space="preserve"> 24-4205 25-475 26-352</t>
        </r>
      </text>
    </comment>
    <comment ref="A642" authorId="0" shapeId="0" xr:uid="{00000000-0006-0000-0000-000043010000}">
      <text>
        <r>
          <rPr>
            <sz val="9"/>
            <color indexed="81"/>
            <rFont val="MS P ゴシック"/>
            <family val="3"/>
            <charset val="128"/>
          </rPr>
          <t xml:space="preserve"> 24-4324 25-481 26-353</t>
        </r>
      </text>
    </comment>
    <comment ref="A644" authorId="0" shapeId="0" xr:uid="{00000000-0006-0000-0000-000044010000}">
      <text>
        <r>
          <rPr>
            <sz val="9"/>
            <color indexed="81"/>
            <rFont val="MS P ゴシック"/>
            <family val="3"/>
            <charset val="128"/>
          </rPr>
          <t xml:space="preserve"> 24-4397 25-493 26-354</t>
        </r>
      </text>
    </comment>
    <comment ref="A646" authorId="0" shapeId="0" xr:uid="{00000000-0006-0000-0000-000045010000}">
      <text>
        <r>
          <rPr>
            <sz val="9"/>
            <color indexed="81"/>
            <rFont val="MS P ゴシック"/>
            <family val="3"/>
            <charset val="128"/>
          </rPr>
          <t xml:space="preserve"> 24-4398 25-494 26-355</t>
        </r>
      </text>
    </comment>
    <comment ref="A648" authorId="0" shapeId="0" xr:uid="{00000000-0006-0000-0000-000046010000}">
      <text>
        <r>
          <rPr>
            <sz val="9"/>
            <color indexed="81"/>
            <rFont val="MS P ゴシック"/>
            <family val="3"/>
            <charset val="128"/>
          </rPr>
          <t xml:space="preserve"> 24-4440 25-500 26-356</t>
        </r>
      </text>
    </comment>
    <comment ref="A650" authorId="0" shapeId="0" xr:uid="{00000000-0006-0000-0000-000047010000}">
      <text>
        <r>
          <rPr>
            <sz val="9"/>
            <color indexed="81"/>
            <rFont val="MS P ゴシック"/>
            <family val="3"/>
            <charset val="128"/>
          </rPr>
          <t xml:space="preserve"> 24-4589 25-525 26-357</t>
        </r>
      </text>
    </comment>
    <comment ref="A652" authorId="0" shapeId="0" xr:uid="{00000000-0006-0000-0000-000048010000}">
      <text>
        <r>
          <rPr>
            <sz val="9"/>
            <color indexed="81"/>
            <rFont val="MS P ゴシック"/>
            <family val="3"/>
            <charset val="128"/>
          </rPr>
          <t xml:space="preserve"> 24-4637 25-537 26-358</t>
        </r>
      </text>
    </comment>
    <comment ref="A654" authorId="0" shapeId="0" xr:uid="{00000000-0006-0000-0000-000049010000}">
      <text>
        <r>
          <rPr>
            <sz val="9"/>
            <color indexed="81"/>
            <rFont val="MS P ゴシック"/>
            <family val="3"/>
            <charset val="128"/>
          </rPr>
          <t xml:space="preserve"> 24-4638 25-538 26-359</t>
        </r>
      </text>
    </comment>
    <comment ref="A656" authorId="0" shapeId="0" xr:uid="{00000000-0006-0000-0000-00004A010000}">
      <text>
        <r>
          <rPr>
            <sz val="9"/>
            <color indexed="81"/>
            <rFont val="MS P ゴシック"/>
            <family val="3"/>
            <charset val="128"/>
          </rPr>
          <t xml:space="preserve"> 24-4707 25-559 26-361</t>
        </r>
      </text>
    </comment>
    <comment ref="A658" authorId="0" shapeId="0" xr:uid="{00000000-0006-0000-0000-00004B010000}">
      <text>
        <r>
          <rPr>
            <sz val="9"/>
            <color indexed="81"/>
            <rFont val="MS P ゴシック"/>
            <family val="3"/>
            <charset val="128"/>
          </rPr>
          <t xml:space="preserve"> 24-4771 25-586 26-362</t>
        </r>
      </text>
    </comment>
    <comment ref="A660" authorId="0" shapeId="0" xr:uid="{00000000-0006-0000-0000-00004C010000}">
      <text>
        <r>
          <rPr>
            <sz val="9"/>
            <color indexed="81"/>
            <rFont val="MS P ゴシック"/>
            <family val="3"/>
            <charset val="128"/>
          </rPr>
          <t xml:space="preserve"> 24-4802 25-598 26-363</t>
        </r>
      </text>
    </comment>
    <comment ref="A662" authorId="0" shapeId="0" xr:uid="{00000000-0006-0000-0000-00004D010000}">
      <text>
        <r>
          <rPr>
            <sz val="9"/>
            <color indexed="81"/>
            <rFont val="MS P ゴシック"/>
            <family val="3"/>
            <charset val="128"/>
          </rPr>
          <t xml:space="preserve"> 24-4993 25-723 26-364</t>
        </r>
      </text>
    </comment>
    <comment ref="A664" authorId="0" shapeId="0" xr:uid="{00000000-0006-0000-0000-00004E010000}">
      <text>
        <r>
          <rPr>
            <sz val="9"/>
            <color indexed="81"/>
            <rFont val="MS P ゴシック"/>
            <family val="3"/>
            <charset val="128"/>
          </rPr>
          <t xml:space="preserve"> 24-5006 25-736 26-365</t>
        </r>
      </text>
    </comment>
    <comment ref="A666" authorId="0" shapeId="0" xr:uid="{00000000-0006-0000-0000-00004F010000}">
      <text>
        <r>
          <rPr>
            <sz val="9"/>
            <color indexed="81"/>
            <rFont val="MS P ゴシック"/>
            <family val="3"/>
            <charset val="128"/>
          </rPr>
          <t xml:space="preserve"> 25-779 26-366</t>
        </r>
      </text>
    </comment>
    <comment ref="A668" authorId="0" shapeId="0" xr:uid="{00000000-0006-0000-0000-000050010000}">
      <text>
        <r>
          <rPr>
            <sz val="9"/>
            <color indexed="81"/>
            <rFont val="MS P ゴシック"/>
            <family val="3"/>
            <charset val="128"/>
          </rPr>
          <t xml:space="preserve"> 25-1182 26-368</t>
        </r>
      </text>
    </comment>
    <comment ref="A670" authorId="0" shapeId="0" xr:uid="{00000000-0006-0000-0000-000051010000}">
      <text>
        <r>
          <rPr>
            <sz val="9"/>
            <color indexed="81"/>
            <rFont val="MS P ゴシック"/>
            <family val="3"/>
            <charset val="128"/>
          </rPr>
          <t xml:space="preserve"> 25-1379 26-369</t>
        </r>
      </text>
    </comment>
    <comment ref="A672" authorId="0" shapeId="0" xr:uid="{00000000-0006-0000-0000-000052010000}">
      <text>
        <r>
          <rPr>
            <sz val="9"/>
            <color indexed="81"/>
            <rFont val="MS P ゴシック"/>
            <family val="3"/>
            <charset val="128"/>
          </rPr>
          <t xml:space="preserve"> 25-1600 26-370</t>
        </r>
      </text>
    </comment>
    <comment ref="A674" authorId="0" shapeId="0" xr:uid="{00000000-0006-0000-0000-000053010000}">
      <text>
        <r>
          <rPr>
            <sz val="9"/>
            <color indexed="81"/>
            <rFont val="MS P ゴシック"/>
            <family val="3"/>
            <charset val="128"/>
          </rPr>
          <t xml:space="preserve"> 25-2199 26-372</t>
        </r>
      </text>
    </comment>
    <comment ref="A676" authorId="0" shapeId="0" xr:uid="{00000000-0006-0000-0000-000054010000}">
      <text>
        <r>
          <rPr>
            <sz val="9"/>
            <color indexed="81"/>
            <rFont val="MS P ゴシック"/>
            <family val="3"/>
            <charset val="128"/>
          </rPr>
          <t xml:space="preserve"> 25-2214 26-373</t>
        </r>
      </text>
    </comment>
    <comment ref="A678" authorId="0" shapeId="0" xr:uid="{00000000-0006-0000-0000-000055010000}">
      <text>
        <r>
          <rPr>
            <sz val="9"/>
            <color indexed="81"/>
            <rFont val="MS P ゴシック"/>
            <family val="3"/>
            <charset val="128"/>
          </rPr>
          <t xml:space="preserve"> 25-2338 26-375</t>
        </r>
      </text>
    </comment>
    <comment ref="A680" authorId="0" shapeId="0" xr:uid="{00000000-0006-0000-0000-000056010000}">
      <text>
        <r>
          <rPr>
            <sz val="9"/>
            <color indexed="81"/>
            <rFont val="MS P ゴシック"/>
            <family val="3"/>
            <charset val="128"/>
          </rPr>
          <t xml:space="preserve"> 25-2465 26-376</t>
        </r>
      </text>
    </comment>
    <comment ref="A682" authorId="0" shapeId="0" xr:uid="{00000000-0006-0000-0000-000057010000}">
      <text>
        <r>
          <rPr>
            <sz val="9"/>
            <color indexed="81"/>
            <rFont val="MS P ゴシック"/>
            <family val="3"/>
            <charset val="128"/>
          </rPr>
          <t xml:space="preserve"> 25-2612 26-377</t>
        </r>
      </text>
    </comment>
    <comment ref="A684" authorId="0" shapeId="0" xr:uid="{00000000-0006-0000-0000-000058010000}">
      <text>
        <r>
          <rPr>
            <sz val="9"/>
            <color indexed="81"/>
            <rFont val="MS P ゴシック"/>
            <family val="3"/>
            <charset val="128"/>
          </rPr>
          <t xml:space="preserve"> 25-2895 26-380</t>
        </r>
      </text>
    </comment>
    <comment ref="A686" authorId="0" shapeId="0" xr:uid="{00000000-0006-0000-0000-000059010000}">
      <text>
        <r>
          <rPr>
            <sz val="9"/>
            <color indexed="81"/>
            <rFont val="MS P ゴシック"/>
            <family val="3"/>
            <charset val="128"/>
          </rPr>
          <t xml:space="preserve"> 25-2972 26-382</t>
        </r>
      </text>
    </comment>
    <comment ref="A688" authorId="0" shapeId="0" xr:uid="{00000000-0006-0000-0000-00005A010000}">
      <text>
        <r>
          <rPr>
            <sz val="9"/>
            <color indexed="81"/>
            <rFont val="MS P ゴシック"/>
            <family val="3"/>
            <charset val="128"/>
          </rPr>
          <t xml:space="preserve"> 25-3010 26-383</t>
        </r>
      </text>
    </comment>
    <comment ref="A690" authorId="0" shapeId="0" xr:uid="{00000000-0006-0000-0000-00005B010000}">
      <text>
        <r>
          <rPr>
            <sz val="9"/>
            <color indexed="81"/>
            <rFont val="MS P ゴシック"/>
            <family val="3"/>
            <charset val="128"/>
          </rPr>
          <t xml:space="preserve"> 25-3093 26-385</t>
        </r>
      </text>
    </comment>
    <comment ref="A692" authorId="0" shapeId="0" xr:uid="{00000000-0006-0000-0000-00005C010000}">
      <text>
        <r>
          <rPr>
            <sz val="9"/>
            <color indexed="81"/>
            <rFont val="MS P ゴシック"/>
            <family val="3"/>
            <charset val="128"/>
          </rPr>
          <t xml:space="preserve"> 25-3139 26-387</t>
        </r>
      </text>
    </comment>
    <comment ref="A694" authorId="0" shapeId="0" xr:uid="{00000000-0006-0000-0000-00005D010000}">
      <text>
        <r>
          <rPr>
            <sz val="9"/>
            <color indexed="81"/>
            <rFont val="MS P ゴシック"/>
            <family val="3"/>
            <charset val="128"/>
          </rPr>
          <t xml:space="preserve"> 25-3220 26-389</t>
        </r>
      </text>
    </comment>
    <comment ref="A696" authorId="0" shapeId="0" xr:uid="{00000000-0006-0000-0000-00005E010000}">
      <text>
        <r>
          <rPr>
            <sz val="9"/>
            <color indexed="81"/>
            <rFont val="MS P ゴシック"/>
            <family val="3"/>
            <charset val="128"/>
          </rPr>
          <t xml:space="preserve"> 25-3340 26-391</t>
        </r>
      </text>
    </comment>
    <comment ref="A698" authorId="0" shapeId="0" xr:uid="{00000000-0006-0000-0000-00005F010000}">
      <text>
        <r>
          <rPr>
            <sz val="9"/>
            <color indexed="81"/>
            <rFont val="MS P ゴシック"/>
            <family val="3"/>
            <charset val="128"/>
          </rPr>
          <t xml:space="preserve"> 25-3546 26-394</t>
        </r>
      </text>
    </comment>
    <comment ref="A700" authorId="0" shapeId="0" xr:uid="{00000000-0006-0000-0000-000060010000}">
      <text>
        <r>
          <rPr>
            <sz val="9"/>
            <color indexed="81"/>
            <rFont val="MS P ゴシック"/>
            <family val="3"/>
            <charset val="128"/>
          </rPr>
          <t xml:space="preserve"> 25-3628 26-395</t>
        </r>
      </text>
    </comment>
    <comment ref="A702" authorId="0" shapeId="0" xr:uid="{00000000-0006-0000-0000-000061010000}">
      <text>
        <r>
          <rPr>
            <sz val="9"/>
            <color indexed="81"/>
            <rFont val="MS P ゴシック"/>
            <family val="3"/>
            <charset val="128"/>
          </rPr>
          <t xml:space="preserve"> 25-4042 26-404</t>
        </r>
      </text>
    </comment>
    <comment ref="A704" authorId="0" shapeId="0" xr:uid="{00000000-0006-0000-0000-000062010000}">
      <text>
        <r>
          <rPr>
            <sz val="9"/>
            <color indexed="81"/>
            <rFont val="MS P ゴシック"/>
            <family val="3"/>
            <charset val="128"/>
          </rPr>
          <t xml:space="preserve"> 25-4079 26-405</t>
        </r>
      </text>
    </comment>
    <comment ref="A706" authorId="0" shapeId="0" xr:uid="{00000000-0006-0000-0000-000063010000}">
      <text>
        <r>
          <rPr>
            <sz val="9"/>
            <color indexed="81"/>
            <rFont val="MS P ゴシック"/>
            <family val="3"/>
            <charset val="128"/>
          </rPr>
          <t xml:space="preserve"> 25-4152 26-408</t>
        </r>
      </text>
    </comment>
    <comment ref="A708" authorId="0" shapeId="0" xr:uid="{00000000-0006-0000-0000-000064010000}">
      <text>
        <r>
          <rPr>
            <sz val="9"/>
            <color indexed="81"/>
            <rFont val="MS P ゴシック"/>
            <family val="3"/>
            <charset val="128"/>
          </rPr>
          <t xml:space="preserve"> 25-4176 26-412</t>
        </r>
      </text>
    </comment>
    <comment ref="A710" authorId="0" shapeId="0" xr:uid="{00000000-0006-0000-0000-000065010000}">
      <text>
        <r>
          <rPr>
            <sz val="9"/>
            <color indexed="81"/>
            <rFont val="MS P ゴシック"/>
            <family val="3"/>
            <charset val="128"/>
          </rPr>
          <t xml:space="preserve"> 25-4178 26-413</t>
        </r>
      </text>
    </comment>
    <comment ref="A712" authorId="0" shapeId="0" xr:uid="{00000000-0006-0000-0000-000066010000}">
      <text>
        <r>
          <rPr>
            <sz val="9"/>
            <color indexed="81"/>
            <rFont val="MS P ゴシック"/>
            <family val="3"/>
            <charset val="128"/>
          </rPr>
          <t xml:space="preserve"> 25-4489 26-420</t>
        </r>
      </text>
    </comment>
    <comment ref="A714" authorId="0" shapeId="0" xr:uid="{00000000-0006-0000-0000-000067010000}">
      <text>
        <r>
          <rPr>
            <sz val="9"/>
            <color indexed="81"/>
            <rFont val="MS P ゴシック"/>
            <family val="3"/>
            <charset val="128"/>
          </rPr>
          <t xml:space="preserve"> 25-4491 26-421</t>
        </r>
      </text>
    </comment>
    <comment ref="A716" authorId="0" shapeId="0" xr:uid="{00000000-0006-0000-0000-000068010000}">
      <text>
        <r>
          <rPr>
            <sz val="9"/>
            <color indexed="81"/>
            <rFont val="MS P ゴシック"/>
            <family val="3"/>
            <charset val="128"/>
          </rPr>
          <t xml:space="preserve"> 25-4493 26-422</t>
        </r>
      </text>
    </comment>
    <comment ref="A718" authorId="0" shapeId="0" xr:uid="{00000000-0006-0000-0000-000069010000}">
      <text>
        <r>
          <rPr>
            <sz val="9"/>
            <color indexed="81"/>
            <rFont val="MS P ゴシック"/>
            <family val="3"/>
            <charset val="128"/>
          </rPr>
          <t xml:space="preserve"> 25-4514 26-423</t>
        </r>
      </text>
    </comment>
    <comment ref="A720" authorId="0" shapeId="0" xr:uid="{00000000-0006-0000-0000-00006A010000}">
      <text>
        <r>
          <rPr>
            <sz val="9"/>
            <color indexed="81"/>
            <rFont val="MS P ゴシック"/>
            <family val="3"/>
            <charset val="128"/>
          </rPr>
          <t xml:space="preserve"> 25-4535 26-424</t>
        </r>
      </text>
    </comment>
    <comment ref="A722" authorId="0" shapeId="0" xr:uid="{00000000-0006-0000-0000-00006B010000}">
      <text>
        <r>
          <rPr>
            <sz val="9"/>
            <color indexed="81"/>
            <rFont val="MS P ゴシック"/>
            <family val="3"/>
            <charset val="128"/>
          </rPr>
          <t xml:space="preserve"> 25-4661 26-425</t>
        </r>
      </text>
    </comment>
    <comment ref="A724" authorId="0" shapeId="0" xr:uid="{00000000-0006-0000-0000-00006C010000}">
      <text>
        <r>
          <rPr>
            <sz val="9"/>
            <color indexed="81"/>
            <rFont val="MS P ゴシック"/>
            <family val="3"/>
            <charset val="128"/>
          </rPr>
          <t xml:space="preserve"> 25-4737 26-426</t>
        </r>
      </text>
    </comment>
    <comment ref="A726" authorId="0" shapeId="0" xr:uid="{00000000-0006-0000-0000-00006D010000}">
      <text>
        <r>
          <rPr>
            <sz val="9"/>
            <color indexed="81"/>
            <rFont val="MS P ゴシック"/>
            <family val="3"/>
            <charset val="128"/>
          </rPr>
          <t xml:space="preserve"> 25-4743 26-428</t>
        </r>
      </text>
    </comment>
    <comment ref="A728" authorId="0" shapeId="0" xr:uid="{00000000-0006-0000-0000-00006E010000}">
      <text>
        <r>
          <rPr>
            <sz val="9"/>
            <color indexed="81"/>
            <rFont val="MS P ゴシック"/>
            <family val="3"/>
            <charset val="128"/>
          </rPr>
          <t xml:space="preserve"> 25-4768 26-430</t>
        </r>
      </text>
    </comment>
    <comment ref="A730" authorId="0" shapeId="0" xr:uid="{00000000-0006-0000-0000-00006F010000}">
      <text>
        <r>
          <rPr>
            <sz val="9"/>
            <color indexed="81"/>
            <rFont val="MS P ゴシック"/>
            <family val="3"/>
            <charset val="128"/>
          </rPr>
          <t xml:space="preserve"> 25-4827 26-432</t>
        </r>
      </text>
    </comment>
    <comment ref="A732" authorId="0" shapeId="0" xr:uid="{00000000-0006-0000-0000-000070010000}">
      <text>
        <r>
          <rPr>
            <sz val="9"/>
            <color indexed="81"/>
            <rFont val="MS P ゴシック"/>
            <family val="3"/>
            <charset val="128"/>
          </rPr>
          <t xml:space="preserve"> 25-4864 26-433</t>
        </r>
      </text>
    </comment>
    <comment ref="A734" authorId="0" shapeId="0" xr:uid="{00000000-0006-0000-0000-000071010000}">
      <text>
        <r>
          <rPr>
            <sz val="9"/>
            <color indexed="81"/>
            <rFont val="MS P ゴシック"/>
            <family val="3"/>
            <charset val="128"/>
          </rPr>
          <t xml:space="preserve"> 25-4974 26-436</t>
        </r>
      </text>
    </comment>
    <comment ref="A736" authorId="0" shapeId="0" xr:uid="{00000000-0006-0000-0000-000072010000}">
      <text>
        <r>
          <rPr>
            <sz val="9"/>
            <color indexed="81"/>
            <rFont val="MS P ゴシック"/>
            <family val="3"/>
            <charset val="128"/>
          </rPr>
          <t xml:space="preserve"> 25-5050 26-439</t>
        </r>
      </text>
    </comment>
    <comment ref="A738" authorId="0" shapeId="0" xr:uid="{00000000-0006-0000-0000-000073010000}">
      <text>
        <r>
          <rPr>
            <sz val="9"/>
            <color indexed="81"/>
            <rFont val="MS P ゴシック"/>
            <family val="3"/>
            <charset val="128"/>
          </rPr>
          <t xml:space="preserve"> 25-5052 26-440</t>
        </r>
      </text>
    </comment>
    <comment ref="A740" authorId="0" shapeId="0" xr:uid="{00000000-0006-0000-0000-000074010000}">
      <text>
        <r>
          <rPr>
            <sz val="9"/>
            <color indexed="81"/>
            <rFont val="MS P ゴシック"/>
            <family val="3"/>
            <charset val="128"/>
          </rPr>
          <t xml:space="preserve"> 25-5074 26-442</t>
        </r>
      </text>
    </comment>
    <comment ref="A742" authorId="0" shapeId="0" xr:uid="{00000000-0006-0000-0000-000075010000}">
      <text>
        <r>
          <rPr>
            <sz val="9"/>
            <color indexed="81"/>
            <rFont val="MS P ゴシック"/>
            <family val="3"/>
            <charset val="128"/>
          </rPr>
          <t xml:space="preserve"> 25-5302 26-454</t>
        </r>
      </text>
    </comment>
    <comment ref="A744" authorId="0" shapeId="0" xr:uid="{00000000-0006-0000-0000-000076010000}">
      <text>
        <r>
          <rPr>
            <sz val="9"/>
            <color indexed="81"/>
            <rFont val="MS P ゴシック"/>
            <family val="3"/>
            <charset val="128"/>
          </rPr>
          <t xml:space="preserve"> 25-5368 26-455</t>
        </r>
      </text>
    </comment>
    <comment ref="A746" authorId="0" shapeId="0" xr:uid="{00000000-0006-0000-0000-000077010000}">
      <text>
        <r>
          <rPr>
            <sz val="9"/>
            <color indexed="81"/>
            <rFont val="MS P ゴシック"/>
            <family val="3"/>
            <charset val="128"/>
          </rPr>
          <t xml:space="preserve"> 25-5384 26-458</t>
        </r>
      </text>
    </comment>
    <comment ref="A748" authorId="0" shapeId="0" xr:uid="{00000000-0006-0000-0000-000078010000}">
      <text>
        <r>
          <rPr>
            <sz val="9"/>
            <color indexed="81"/>
            <rFont val="MS P ゴシック"/>
            <family val="3"/>
            <charset val="128"/>
          </rPr>
          <t xml:space="preserve"> 25-5443 26-463</t>
        </r>
      </text>
    </comment>
    <comment ref="A750" authorId="0" shapeId="0" xr:uid="{00000000-0006-0000-0000-000079010000}">
      <text>
        <r>
          <rPr>
            <sz val="9"/>
            <color indexed="81"/>
            <rFont val="MS P ゴシック"/>
            <family val="3"/>
            <charset val="128"/>
          </rPr>
          <t xml:space="preserve"> 25-5464 26-464</t>
        </r>
      </text>
    </comment>
    <comment ref="A752" authorId="0" shapeId="0" xr:uid="{00000000-0006-0000-0000-00007A010000}">
      <text>
        <r>
          <rPr>
            <sz val="9"/>
            <color indexed="81"/>
            <rFont val="MS P ゴシック"/>
            <family val="3"/>
            <charset val="128"/>
          </rPr>
          <t xml:space="preserve"> 25-5518 26-472</t>
        </r>
      </text>
    </comment>
    <comment ref="A754" authorId="0" shapeId="0" xr:uid="{00000000-0006-0000-0000-00007B010000}">
      <text>
        <r>
          <rPr>
            <sz val="9"/>
            <color indexed="81"/>
            <rFont val="MS P ゴシック"/>
            <family val="3"/>
            <charset val="128"/>
          </rPr>
          <t xml:space="preserve"> 25-5533 26-475</t>
        </r>
      </text>
    </comment>
    <comment ref="A756" authorId="0" shapeId="0" xr:uid="{00000000-0006-0000-0000-00007C010000}">
      <text>
        <r>
          <rPr>
            <sz val="9"/>
            <color indexed="81"/>
            <rFont val="MS P ゴシック"/>
            <family val="3"/>
            <charset val="128"/>
          </rPr>
          <t xml:space="preserve"> 25-5692 26-488</t>
        </r>
      </text>
    </comment>
    <comment ref="A758" authorId="0" shapeId="0" xr:uid="{00000000-0006-0000-0000-00007D010000}">
      <text>
        <r>
          <rPr>
            <sz val="9"/>
            <color indexed="81"/>
            <rFont val="MS P ゴシック"/>
            <family val="3"/>
            <charset val="128"/>
          </rPr>
          <t xml:space="preserve"> 25-5818 26-495</t>
        </r>
      </text>
    </comment>
    <comment ref="A760" authorId="0" shapeId="0" xr:uid="{00000000-0006-0000-0000-00007E010000}">
      <text>
        <r>
          <rPr>
            <sz val="9"/>
            <color indexed="81"/>
            <rFont val="MS P ゴシック"/>
            <family val="3"/>
            <charset val="128"/>
          </rPr>
          <t xml:space="preserve"> 25-5829 26-497</t>
        </r>
      </text>
    </comment>
    <comment ref="A762" authorId="0" shapeId="0" xr:uid="{00000000-0006-0000-0000-00007F010000}">
      <text>
        <r>
          <rPr>
            <sz val="9"/>
            <color indexed="81"/>
            <rFont val="MS P ゴシック"/>
            <family val="3"/>
            <charset val="128"/>
          </rPr>
          <t xml:space="preserve"> 25-5846 26-500</t>
        </r>
      </text>
    </comment>
    <comment ref="A764" authorId="0" shapeId="0" xr:uid="{00000000-0006-0000-0000-000080010000}">
      <text>
        <r>
          <rPr>
            <sz val="9"/>
            <color indexed="81"/>
            <rFont val="MS P ゴシック"/>
            <family val="3"/>
            <charset val="128"/>
          </rPr>
          <t xml:space="preserve"> 25-5867 26-502</t>
        </r>
      </text>
    </comment>
    <comment ref="A766" authorId="0" shapeId="0" xr:uid="{00000000-0006-0000-0000-000081010000}">
      <text>
        <r>
          <rPr>
            <sz val="9"/>
            <color indexed="81"/>
            <rFont val="MS P ゴシック"/>
            <family val="3"/>
            <charset val="128"/>
          </rPr>
          <t xml:space="preserve"> 25-5875 26-503</t>
        </r>
      </text>
    </comment>
    <comment ref="A768" authorId="0" shapeId="0" xr:uid="{00000000-0006-0000-0000-000082010000}">
      <text>
        <r>
          <rPr>
            <sz val="9"/>
            <color indexed="81"/>
            <rFont val="MS P ゴシック"/>
            <family val="3"/>
            <charset val="128"/>
          </rPr>
          <t xml:space="preserve"> 25-5877 26-504</t>
        </r>
      </text>
    </comment>
    <comment ref="A770" authorId="0" shapeId="0" xr:uid="{00000000-0006-0000-0000-000083010000}">
      <text>
        <r>
          <rPr>
            <sz val="9"/>
            <color indexed="81"/>
            <rFont val="MS P ゴシック"/>
            <family val="3"/>
            <charset val="128"/>
          </rPr>
          <t xml:space="preserve"> 25-5941 26-510</t>
        </r>
      </text>
    </comment>
    <comment ref="A772" authorId="0" shapeId="0" xr:uid="{00000000-0006-0000-0000-000084010000}">
      <text>
        <r>
          <rPr>
            <sz val="9"/>
            <color indexed="81"/>
            <rFont val="MS P ゴシック"/>
            <family val="3"/>
            <charset val="128"/>
          </rPr>
          <t xml:space="preserve"> 25-5976 26-515</t>
        </r>
      </text>
    </comment>
    <comment ref="A774" authorId="0" shapeId="0" xr:uid="{00000000-0006-0000-0000-000085010000}">
      <text>
        <r>
          <rPr>
            <sz val="9"/>
            <color indexed="81"/>
            <rFont val="MS P ゴシック"/>
            <family val="3"/>
            <charset val="128"/>
          </rPr>
          <t xml:space="preserve"> 25-5999 26-517</t>
        </r>
      </text>
    </comment>
    <comment ref="A776" authorId="0" shapeId="0" xr:uid="{00000000-0006-0000-0000-000086010000}">
      <text>
        <r>
          <rPr>
            <sz val="9"/>
            <color indexed="81"/>
            <rFont val="MS P ゴシック"/>
            <family val="3"/>
            <charset val="128"/>
          </rPr>
          <t xml:space="preserve"> 25-6069 26-530</t>
        </r>
      </text>
    </comment>
    <comment ref="A778" authorId="0" shapeId="0" xr:uid="{00000000-0006-0000-0000-000087010000}">
      <text>
        <r>
          <rPr>
            <sz val="9"/>
            <color indexed="81"/>
            <rFont val="MS P ゴシック"/>
            <family val="3"/>
            <charset val="128"/>
          </rPr>
          <t xml:space="preserve"> 25-6086 26-535</t>
        </r>
      </text>
    </comment>
    <comment ref="A780" authorId="0" shapeId="0" xr:uid="{00000000-0006-0000-0000-000088010000}">
      <text>
        <r>
          <rPr>
            <sz val="9"/>
            <color indexed="81"/>
            <rFont val="MS P ゴシック"/>
            <family val="3"/>
            <charset val="128"/>
          </rPr>
          <t xml:space="preserve"> 25-6162 26-553</t>
        </r>
      </text>
    </comment>
    <comment ref="A782" authorId="0" shapeId="0" xr:uid="{00000000-0006-0000-0000-000089010000}">
      <text>
        <r>
          <rPr>
            <sz val="9"/>
            <color indexed="81"/>
            <rFont val="MS P ゴシック"/>
            <family val="3"/>
            <charset val="128"/>
          </rPr>
          <t xml:space="preserve"> 25-6264 26-574</t>
        </r>
      </text>
    </comment>
    <comment ref="A784" authorId="0" shapeId="0" xr:uid="{00000000-0006-0000-0000-00008A010000}">
      <text>
        <r>
          <rPr>
            <sz val="9"/>
            <color indexed="81"/>
            <rFont val="MS P ゴシック"/>
            <family val="3"/>
            <charset val="128"/>
          </rPr>
          <t xml:space="preserve"> 25-6266 26-575</t>
        </r>
      </text>
    </comment>
    <comment ref="A786" authorId="0" shapeId="0" xr:uid="{00000000-0006-0000-0000-00008B010000}">
      <text>
        <r>
          <rPr>
            <sz val="9"/>
            <color indexed="81"/>
            <rFont val="MS P ゴシック"/>
            <family val="3"/>
            <charset val="128"/>
          </rPr>
          <t xml:space="preserve"> 25-6360 26-606</t>
        </r>
      </text>
    </comment>
    <comment ref="A788" authorId="0" shapeId="0" xr:uid="{00000000-0006-0000-0000-00008C010000}">
      <text>
        <r>
          <rPr>
            <sz val="9"/>
            <color indexed="81"/>
            <rFont val="MS P ゴシック"/>
            <family val="3"/>
            <charset val="128"/>
          </rPr>
          <t xml:space="preserve"> 25-6363 26-608</t>
        </r>
      </text>
    </comment>
    <comment ref="A790" authorId="0" shapeId="0" xr:uid="{00000000-0006-0000-0000-00008D010000}">
      <text>
        <r>
          <rPr>
            <sz val="9"/>
            <color indexed="81"/>
            <rFont val="MS P ゴシック"/>
            <family val="3"/>
            <charset val="128"/>
          </rPr>
          <t xml:space="preserve"> 25-6364 26-609</t>
        </r>
      </text>
    </comment>
    <comment ref="A792" authorId="0" shapeId="0" xr:uid="{00000000-0006-0000-0000-00008E010000}">
      <text>
        <r>
          <rPr>
            <sz val="9"/>
            <color indexed="81"/>
            <rFont val="MS P ゴシック"/>
            <family val="3"/>
            <charset val="128"/>
          </rPr>
          <t xml:space="preserve"> 25-6426 26-630</t>
        </r>
      </text>
    </comment>
    <comment ref="A794" authorId="0" shapeId="0" xr:uid="{00000000-0006-0000-0000-00008F010000}">
      <text>
        <r>
          <rPr>
            <sz val="9"/>
            <color indexed="81"/>
            <rFont val="MS P ゴシック"/>
            <family val="3"/>
            <charset val="128"/>
          </rPr>
          <t xml:space="preserve"> 25-6472 26-645</t>
        </r>
      </text>
    </comment>
    <comment ref="A796" authorId="0" shapeId="0" xr:uid="{00000000-0006-0000-0000-000090010000}">
      <text>
        <r>
          <rPr>
            <sz val="9"/>
            <color indexed="81"/>
            <rFont val="MS P ゴシック"/>
            <family val="3"/>
            <charset val="128"/>
          </rPr>
          <t xml:space="preserve"> 25-6521 26-668</t>
        </r>
      </text>
    </comment>
    <comment ref="A798" authorId="0" shapeId="0" xr:uid="{00000000-0006-0000-0000-000091010000}">
      <text>
        <r>
          <rPr>
            <sz val="9"/>
            <color indexed="81"/>
            <rFont val="MS P ゴシック"/>
            <family val="3"/>
            <charset val="128"/>
          </rPr>
          <t xml:space="preserve"> 25-6563 26-691</t>
        </r>
      </text>
    </comment>
    <comment ref="A800" authorId="0" shapeId="0" xr:uid="{00000000-0006-0000-0000-000092010000}">
      <text>
        <r>
          <rPr>
            <sz val="9"/>
            <color indexed="81"/>
            <rFont val="MS P ゴシック"/>
            <family val="3"/>
            <charset val="128"/>
          </rPr>
          <t xml:space="preserve"> 25-6596 26-718</t>
        </r>
      </text>
    </comment>
    <comment ref="A802" authorId="0" shapeId="0" xr:uid="{00000000-0006-0000-0000-000093010000}">
      <text>
        <r>
          <rPr>
            <sz val="9"/>
            <color indexed="81"/>
            <rFont val="MS P ゴシック"/>
            <family val="3"/>
            <charset val="128"/>
          </rPr>
          <t xml:space="preserve"> 25-6652 26-753</t>
        </r>
      </text>
    </comment>
    <comment ref="A804" authorId="0" shapeId="0" xr:uid="{00000000-0006-0000-0000-000094010000}">
      <text>
        <r>
          <rPr>
            <sz val="9"/>
            <color indexed="81"/>
            <rFont val="MS P ゴシック"/>
            <family val="3"/>
            <charset val="128"/>
          </rPr>
          <t xml:space="preserve"> 25-6750 26-841</t>
        </r>
      </text>
    </comment>
    <comment ref="A806" authorId="0" shapeId="0" xr:uid="{00000000-0006-0000-0000-000095010000}">
      <text>
        <r>
          <rPr>
            <sz val="9"/>
            <color indexed="81"/>
            <rFont val="MS P ゴシック"/>
            <family val="3"/>
            <charset val="128"/>
          </rPr>
          <t>14-3291 15-972 16-054 17-036 K18-1 k19-1 K20-1 K21-001 K22-001 K23-001 K24-001 K25-001 26-859</t>
        </r>
      </text>
    </comment>
    <comment ref="A808" authorId="0" shapeId="0" xr:uid="{00000000-0006-0000-0000-000096010000}">
      <text>
        <r>
          <rPr>
            <sz val="9"/>
            <color indexed="81"/>
            <rFont val="MS P ゴシック"/>
            <family val="3"/>
            <charset val="128"/>
          </rPr>
          <t>17-6979 S18-10 S19-5 S20-4 S21-003 S22-003 S23-003 S24-003 S25-003 26-860</t>
        </r>
      </text>
    </comment>
    <comment ref="A810" authorId="0" shapeId="0" xr:uid="{00000000-0006-0000-0000-000097010000}">
      <text>
        <r>
          <rPr>
            <sz val="9"/>
            <color indexed="81"/>
            <rFont val="MS P ゴシック"/>
            <family val="3"/>
            <charset val="128"/>
          </rPr>
          <t>17-7852 S18-13 S19-6 S20-5 S21-004 S22-004 S23-004 S24-004 S25-004 26-861</t>
        </r>
      </text>
    </comment>
    <comment ref="A812" authorId="0" shapeId="0" xr:uid="{00000000-0006-0000-0000-000098010000}">
      <text>
        <r>
          <rPr>
            <sz val="9"/>
            <color indexed="81"/>
            <rFont val="MS P ゴシック"/>
            <family val="3"/>
            <charset val="128"/>
          </rPr>
          <t>S18-103 S19-39 S20-20 S21-012 S22-011 S23-009 S24-008 S25-007 26-862</t>
        </r>
      </text>
    </comment>
    <comment ref="A814" authorId="0" shapeId="0" xr:uid="{00000000-0006-0000-0000-000099010000}">
      <text>
        <r>
          <rPr>
            <sz val="9"/>
            <color indexed="81"/>
            <rFont val="MS P ゴシック"/>
            <family val="3"/>
            <charset val="128"/>
          </rPr>
          <t>K18-105 K19-40 K20-21 K21-013 K22-012 K23-010 K24-009 K25-008 26-863</t>
        </r>
      </text>
    </comment>
    <comment ref="A816" authorId="0" shapeId="0" xr:uid="{00000000-0006-0000-0000-00009A010000}">
      <text>
        <r>
          <rPr>
            <sz val="9"/>
            <color indexed="81"/>
            <rFont val="MS P ゴシック"/>
            <family val="3"/>
            <charset val="128"/>
          </rPr>
          <t>K19-112 K20-37 K21-022 K22-019 K23-014 K24-012 K25-010 26-864</t>
        </r>
      </text>
    </comment>
    <comment ref="A818" authorId="0" shapeId="0" xr:uid="{00000000-0006-0000-0000-00009B010000}">
      <text>
        <r>
          <rPr>
            <sz val="9"/>
            <color indexed="81"/>
            <rFont val="MS P ゴシック"/>
            <family val="3"/>
            <charset val="128"/>
          </rPr>
          <t>K19-152 K20-51 K21-029 K22-023 K23-017 K24-015 K25-012 26-865</t>
        </r>
      </text>
    </comment>
    <comment ref="A820" authorId="0" shapeId="0" xr:uid="{00000000-0006-0000-0000-00009C010000}">
      <text>
        <r>
          <rPr>
            <sz val="9"/>
            <color indexed="81"/>
            <rFont val="MS P ゴシック"/>
            <family val="3"/>
            <charset val="128"/>
          </rPr>
          <t>S20-150 S21-052 S22-033 S23-020 S24-018 S25-015 26-868</t>
        </r>
      </text>
    </comment>
    <comment ref="A822" authorId="0" shapeId="0" xr:uid="{00000000-0006-0000-0000-00009D010000}">
      <text>
        <r>
          <rPr>
            <sz val="9"/>
            <color indexed="81"/>
            <rFont val="MS P ゴシック"/>
            <family val="3"/>
            <charset val="128"/>
          </rPr>
          <t>K20-160 K21-055 K22-036 K23-022 K24-019 K25-016 26-869</t>
        </r>
      </text>
    </comment>
    <comment ref="A824" authorId="0" shapeId="0" xr:uid="{00000000-0006-0000-0000-00009E010000}">
      <text>
        <r>
          <rPr>
            <sz val="9"/>
            <color indexed="81"/>
            <rFont val="MS P ゴシック"/>
            <family val="3"/>
            <charset val="128"/>
          </rPr>
          <t>K20-230 K21-062 K22-039 K23-023 K24-020 K25-017 26-870</t>
        </r>
      </text>
    </comment>
    <comment ref="A826" authorId="0" shapeId="0" xr:uid="{00000000-0006-0000-0000-00009F010000}">
      <text>
        <r>
          <rPr>
            <sz val="9"/>
            <color indexed="81"/>
            <rFont val="MS P ゴシック"/>
            <family val="3"/>
            <charset val="128"/>
          </rPr>
          <t>K20-324 K21-111 K22-045 K23-026 K24-022 K25-019 26-871</t>
        </r>
      </text>
    </comment>
    <comment ref="A828" authorId="0" shapeId="0" xr:uid="{00000000-0006-0000-0000-0000A0010000}">
      <text>
        <r>
          <rPr>
            <sz val="9"/>
            <color indexed="81"/>
            <rFont val="MS P ゴシック"/>
            <family val="3"/>
            <charset val="128"/>
          </rPr>
          <t>K21-126 K22-047 K23-027 K24-023 K25-020 26-872</t>
        </r>
      </text>
    </comment>
    <comment ref="A830" authorId="0" shapeId="0" xr:uid="{00000000-0006-0000-0000-0000A1010000}">
      <text>
        <r>
          <rPr>
            <sz val="9"/>
            <color indexed="81"/>
            <rFont val="MS P ゴシック"/>
            <family val="3"/>
            <charset val="128"/>
          </rPr>
          <t>K21-151 K22-051 K23-029 K24-024 K25-021 26-873</t>
        </r>
      </text>
    </comment>
    <comment ref="A832" authorId="0" shapeId="0" xr:uid="{00000000-0006-0000-0000-0000A2010000}">
      <text>
        <r>
          <rPr>
            <sz val="9"/>
            <color indexed="81"/>
            <rFont val="MS P ゴシック"/>
            <family val="3"/>
            <charset val="128"/>
          </rPr>
          <t>K21-276ｂ K22-068 K23-034 K24-026 K25-022 26-874</t>
        </r>
      </text>
    </comment>
    <comment ref="A834" authorId="0" shapeId="0" xr:uid="{00000000-0006-0000-0000-0000A3010000}">
      <text>
        <r>
          <rPr>
            <sz val="9"/>
            <color indexed="81"/>
            <rFont val="MS P ゴシック"/>
            <family val="3"/>
            <charset val="128"/>
          </rPr>
          <t xml:space="preserve"> K22-116 K23-042 K24-030 K25-024 26-875</t>
        </r>
      </text>
    </comment>
    <comment ref="A836" authorId="0" shapeId="0" xr:uid="{00000000-0006-0000-0000-0000A4010000}">
      <text>
        <r>
          <rPr>
            <sz val="9"/>
            <color indexed="81"/>
            <rFont val="MS P ゴシック"/>
            <family val="3"/>
            <charset val="128"/>
          </rPr>
          <t xml:space="preserve"> K22-127 K23-044 K24-031 K25-025 26-876</t>
        </r>
      </text>
    </comment>
    <comment ref="A838" authorId="0" shapeId="0" xr:uid="{00000000-0006-0000-0000-0000A5010000}">
      <text>
        <r>
          <rPr>
            <sz val="9"/>
            <color indexed="81"/>
            <rFont val="MS P ゴシック"/>
            <family val="3"/>
            <charset val="128"/>
          </rPr>
          <t xml:space="preserve"> K22-139 K23-046 K24-032 K25-026 26-877</t>
        </r>
      </text>
    </comment>
    <comment ref="A840" authorId="0" shapeId="0" xr:uid="{00000000-0006-0000-0000-0000A6010000}">
      <text>
        <r>
          <rPr>
            <sz val="9"/>
            <color indexed="81"/>
            <rFont val="MS P ゴシック"/>
            <family val="3"/>
            <charset val="128"/>
          </rPr>
          <t xml:space="preserve"> S22-198 S23-061 S24-040 S25-030 26-878</t>
        </r>
      </text>
    </comment>
    <comment ref="A842" authorId="0" shapeId="0" xr:uid="{00000000-0006-0000-0000-0000A7010000}">
      <text>
        <r>
          <rPr>
            <sz val="9"/>
            <color indexed="81"/>
            <rFont val="MS P ゴシック"/>
            <family val="3"/>
            <charset val="128"/>
          </rPr>
          <t xml:space="preserve"> S22-234 S23-065 S24-041 S25-031 26-879</t>
        </r>
      </text>
    </comment>
    <comment ref="A844" authorId="0" shapeId="0" xr:uid="{00000000-0006-0000-0000-0000A8010000}">
      <text>
        <r>
          <rPr>
            <sz val="9"/>
            <color indexed="81"/>
            <rFont val="MS P ゴシック"/>
            <family val="3"/>
            <charset val="128"/>
          </rPr>
          <t xml:space="preserve"> K22-249 K23-067 K24-042 K25-032 26-880</t>
        </r>
      </text>
    </comment>
    <comment ref="A846" authorId="0" shapeId="0" xr:uid="{00000000-0006-0000-0000-0000A9010000}">
      <text>
        <r>
          <rPr>
            <sz val="9"/>
            <color indexed="81"/>
            <rFont val="MS P ゴシック"/>
            <family val="3"/>
            <charset val="128"/>
          </rPr>
          <t xml:space="preserve"> S22-271 S23-075 S24-044 S25-033 26-881</t>
        </r>
      </text>
    </comment>
    <comment ref="A848" authorId="0" shapeId="0" xr:uid="{00000000-0006-0000-0000-0000AA010000}">
      <text>
        <r>
          <rPr>
            <sz val="9"/>
            <color indexed="81"/>
            <rFont val="MS P ゴシック"/>
            <family val="3"/>
            <charset val="128"/>
          </rPr>
          <t xml:space="preserve"> K22-295 K23-086 K24-045 K25-034 26-882</t>
        </r>
      </text>
    </comment>
    <comment ref="A850" authorId="0" shapeId="0" xr:uid="{00000000-0006-0000-0000-0000AB010000}">
      <text>
        <r>
          <rPr>
            <sz val="9"/>
            <color indexed="81"/>
            <rFont val="MS P ゴシック"/>
            <family val="3"/>
            <charset val="128"/>
          </rPr>
          <t xml:space="preserve"> K22-302 K23-092 K24-046 K25-035 26-883</t>
        </r>
      </text>
    </comment>
    <comment ref="A852" authorId="0" shapeId="0" xr:uid="{00000000-0006-0000-0000-0000AC010000}">
      <text>
        <r>
          <rPr>
            <sz val="9"/>
            <color indexed="81"/>
            <rFont val="MS P ゴシック"/>
            <family val="3"/>
            <charset val="128"/>
          </rPr>
          <t>K22-314 K23-104 K24-049 K25-036 26-884</t>
        </r>
      </text>
    </comment>
    <comment ref="A854" authorId="0" shapeId="0" xr:uid="{00000000-0006-0000-0000-0000AD010000}">
      <text>
        <r>
          <rPr>
            <sz val="9"/>
            <color indexed="81"/>
            <rFont val="MS P ゴシック"/>
            <family val="3"/>
            <charset val="128"/>
          </rPr>
          <t xml:space="preserve"> K23-110 K24-050 K25-037 26-885</t>
        </r>
      </text>
    </comment>
    <comment ref="A856" authorId="0" shapeId="0" xr:uid="{00000000-0006-0000-0000-0000AE010000}">
      <text>
        <r>
          <rPr>
            <sz val="9"/>
            <color indexed="81"/>
            <rFont val="MS P ゴシック"/>
            <family val="3"/>
            <charset val="128"/>
          </rPr>
          <t xml:space="preserve"> K23-166 K24-052 K25-038 26-886</t>
        </r>
      </text>
    </comment>
    <comment ref="A858" authorId="0" shapeId="0" xr:uid="{00000000-0006-0000-0000-0000AF010000}">
      <text>
        <r>
          <rPr>
            <sz val="9"/>
            <color indexed="81"/>
            <rFont val="MS P ゴシック"/>
            <family val="3"/>
            <charset val="128"/>
          </rPr>
          <t xml:space="preserve"> S23-205b S24-056 S25-040 26-887</t>
        </r>
      </text>
    </comment>
    <comment ref="A860" authorId="0" shapeId="0" xr:uid="{00000000-0006-0000-0000-0000B0010000}">
      <text>
        <r>
          <rPr>
            <sz val="9"/>
            <color indexed="81"/>
            <rFont val="MS P ゴシック"/>
            <family val="3"/>
            <charset val="128"/>
          </rPr>
          <t xml:space="preserve"> K23-225 K24-062 K25-042 26-888</t>
        </r>
      </text>
    </comment>
    <comment ref="A862" authorId="0" shapeId="0" xr:uid="{00000000-0006-0000-0000-0000B1010000}">
      <text>
        <r>
          <rPr>
            <sz val="9"/>
            <color indexed="81"/>
            <rFont val="MS P ゴシック"/>
            <family val="3"/>
            <charset val="128"/>
          </rPr>
          <t xml:space="preserve"> K23-240 K24-065 K25-043 26-889</t>
        </r>
      </text>
    </comment>
    <comment ref="A864" authorId="0" shapeId="0" xr:uid="{00000000-0006-0000-0000-0000B2010000}">
      <text>
        <r>
          <rPr>
            <sz val="9"/>
            <color indexed="81"/>
            <rFont val="MS P ゴシック"/>
            <family val="3"/>
            <charset val="128"/>
          </rPr>
          <t xml:space="preserve"> K23-298 K24-088 K25-045 26-890</t>
        </r>
      </text>
    </comment>
    <comment ref="A866" authorId="0" shapeId="0" xr:uid="{00000000-0006-0000-0000-0000B3010000}">
      <text>
        <r>
          <rPr>
            <sz val="9"/>
            <color indexed="81"/>
            <rFont val="MS P ゴシック"/>
            <family val="3"/>
            <charset val="128"/>
          </rPr>
          <t xml:space="preserve"> K24-105 K25-048 26-892</t>
        </r>
      </text>
    </comment>
    <comment ref="A868" authorId="0" shapeId="0" xr:uid="{00000000-0006-0000-0000-0000B4010000}">
      <text>
        <r>
          <rPr>
            <sz val="9"/>
            <color indexed="81"/>
            <rFont val="MS P ゴシック"/>
            <family val="3"/>
            <charset val="128"/>
          </rPr>
          <t xml:space="preserve"> K24-106 K25-049 26-893</t>
        </r>
      </text>
    </comment>
    <comment ref="A870" authorId="0" shapeId="0" xr:uid="{00000000-0006-0000-0000-0000B5010000}">
      <text>
        <r>
          <rPr>
            <sz val="9"/>
            <color indexed="81"/>
            <rFont val="MS P ゴシック"/>
            <family val="3"/>
            <charset val="128"/>
          </rPr>
          <t xml:space="preserve"> K24-110 K25-050 26-894</t>
        </r>
      </text>
    </comment>
    <comment ref="A872" authorId="0" shapeId="0" xr:uid="{00000000-0006-0000-0000-0000B6010000}">
      <text>
        <r>
          <rPr>
            <sz val="9"/>
            <color indexed="81"/>
            <rFont val="MS P ゴシック"/>
            <family val="3"/>
            <charset val="128"/>
          </rPr>
          <t xml:space="preserve"> S24-113 S25-052 26-895</t>
        </r>
      </text>
    </comment>
    <comment ref="A874" authorId="0" shapeId="0" xr:uid="{00000000-0006-0000-0000-0000B7010000}">
      <text>
        <r>
          <rPr>
            <sz val="9"/>
            <color indexed="81"/>
            <rFont val="MS P ゴシック"/>
            <family val="3"/>
            <charset val="128"/>
          </rPr>
          <t xml:space="preserve"> S24-117 S25-053 26-896</t>
        </r>
      </text>
    </comment>
    <comment ref="A876" authorId="0" shapeId="0" xr:uid="{00000000-0006-0000-0000-0000B8010000}">
      <text>
        <r>
          <rPr>
            <sz val="9"/>
            <color indexed="81"/>
            <rFont val="MS P ゴシック"/>
            <family val="3"/>
            <charset val="128"/>
          </rPr>
          <t xml:space="preserve"> K24-129 K25-056 26-897</t>
        </r>
      </text>
    </comment>
    <comment ref="A878" authorId="0" shapeId="0" xr:uid="{00000000-0006-0000-0000-0000B9010000}">
      <text>
        <r>
          <rPr>
            <sz val="9"/>
            <color indexed="81"/>
            <rFont val="MS P ゴシック"/>
            <family val="3"/>
            <charset val="128"/>
          </rPr>
          <t xml:space="preserve"> S24-134 S25-058 26-898</t>
        </r>
      </text>
    </comment>
    <comment ref="A880" authorId="0" shapeId="0" xr:uid="{00000000-0006-0000-0000-0000BA010000}">
      <text>
        <r>
          <rPr>
            <sz val="9"/>
            <color indexed="81"/>
            <rFont val="MS P ゴシック"/>
            <family val="3"/>
            <charset val="128"/>
          </rPr>
          <t xml:space="preserve"> S24-162 S25-062 26-901</t>
        </r>
      </text>
    </comment>
    <comment ref="A882" authorId="0" shapeId="0" xr:uid="{00000000-0006-0000-0000-0000BB010000}">
      <text>
        <r>
          <rPr>
            <sz val="9"/>
            <color indexed="81"/>
            <rFont val="MS P ゴシック"/>
            <family val="3"/>
            <charset val="128"/>
          </rPr>
          <t xml:space="preserve"> S24-188 S25-066 26-902</t>
        </r>
      </text>
    </comment>
    <comment ref="A884" authorId="0" shapeId="0" xr:uid="{00000000-0006-0000-0000-0000BC010000}">
      <text>
        <r>
          <rPr>
            <sz val="9"/>
            <color indexed="81"/>
            <rFont val="MS P ゴシック"/>
            <family val="3"/>
            <charset val="128"/>
          </rPr>
          <t>K19-123 K20-41 K21-025 K22-022 K23-016 K24-014 K25-011 R25-010 26-903</t>
        </r>
      </text>
    </comment>
    <comment ref="A886" authorId="0" shapeId="0" xr:uid="{00000000-0006-0000-0000-0000BD010000}">
      <text>
        <r>
          <rPr>
            <sz val="9"/>
            <color indexed="81"/>
            <rFont val="MS P ゴシック"/>
            <family val="3"/>
            <charset val="128"/>
          </rPr>
          <t xml:space="preserve"> 26-934</t>
        </r>
      </text>
    </comment>
    <comment ref="A888" authorId="0" shapeId="0" xr:uid="{00000000-0006-0000-0000-0000BE010000}">
      <text>
        <r>
          <rPr>
            <sz val="9"/>
            <color indexed="81"/>
            <rFont val="MS P ゴシック"/>
            <family val="3"/>
            <charset val="128"/>
          </rPr>
          <t xml:space="preserve"> 26-949</t>
        </r>
      </text>
    </comment>
    <comment ref="A890" authorId="0" shapeId="0" xr:uid="{00000000-0006-0000-0000-0000BF010000}">
      <text>
        <r>
          <rPr>
            <sz val="9"/>
            <color indexed="81"/>
            <rFont val="MS P ゴシック"/>
            <family val="3"/>
            <charset val="128"/>
          </rPr>
          <t xml:space="preserve"> 26-953</t>
        </r>
      </text>
    </comment>
    <comment ref="A892" authorId="0" shapeId="0" xr:uid="{00000000-0006-0000-0000-0000C0010000}">
      <text>
        <r>
          <rPr>
            <sz val="9"/>
            <color indexed="81"/>
            <rFont val="MS P ゴシック"/>
            <family val="3"/>
            <charset val="128"/>
          </rPr>
          <t xml:space="preserve"> 26-1022</t>
        </r>
      </text>
    </comment>
    <comment ref="A894" authorId="0" shapeId="0" xr:uid="{00000000-0006-0000-0000-0000C1010000}">
      <text>
        <r>
          <rPr>
            <sz val="9"/>
            <color indexed="81"/>
            <rFont val="MS P ゴシック"/>
            <family val="3"/>
            <charset val="128"/>
          </rPr>
          <t xml:space="preserve"> 26-1023</t>
        </r>
      </text>
    </comment>
    <comment ref="A896" authorId="0" shapeId="0" xr:uid="{00000000-0006-0000-0000-0000C2010000}">
      <text>
        <r>
          <rPr>
            <sz val="9"/>
            <color indexed="81"/>
            <rFont val="MS P ゴシック"/>
            <family val="3"/>
            <charset val="128"/>
          </rPr>
          <t xml:space="preserve"> 26-1027</t>
        </r>
      </text>
    </comment>
    <comment ref="A898" authorId="0" shapeId="0" xr:uid="{00000000-0006-0000-0000-0000C3010000}">
      <text>
        <r>
          <rPr>
            <sz val="9"/>
            <color indexed="81"/>
            <rFont val="MS P ゴシック"/>
            <family val="3"/>
            <charset val="128"/>
          </rPr>
          <t xml:space="preserve"> 26-1056</t>
        </r>
      </text>
    </comment>
    <comment ref="A900" authorId="0" shapeId="0" xr:uid="{00000000-0006-0000-0000-0000C4010000}">
      <text>
        <r>
          <rPr>
            <sz val="9"/>
            <color indexed="81"/>
            <rFont val="MS P ゴシック"/>
            <family val="3"/>
            <charset val="128"/>
          </rPr>
          <t xml:space="preserve"> 26-1060</t>
        </r>
      </text>
    </comment>
    <comment ref="A902" authorId="0" shapeId="0" xr:uid="{00000000-0006-0000-0000-0000C5010000}">
      <text>
        <r>
          <rPr>
            <sz val="9"/>
            <color indexed="81"/>
            <rFont val="MS P ゴシック"/>
            <family val="3"/>
            <charset val="128"/>
          </rPr>
          <t xml:space="preserve"> 26-1210</t>
        </r>
      </text>
    </comment>
    <comment ref="A904" authorId="0" shapeId="0" xr:uid="{00000000-0006-0000-0000-0000C6010000}">
      <text>
        <r>
          <rPr>
            <sz val="9"/>
            <color indexed="81"/>
            <rFont val="MS P ゴシック"/>
            <family val="3"/>
            <charset val="128"/>
          </rPr>
          <t xml:space="preserve"> 26-1239</t>
        </r>
      </text>
    </comment>
    <comment ref="A906" authorId="0" shapeId="0" xr:uid="{00000000-0006-0000-0000-0000C7010000}">
      <text>
        <r>
          <rPr>
            <sz val="9"/>
            <color indexed="81"/>
            <rFont val="MS P ゴシック"/>
            <family val="3"/>
            <charset val="128"/>
          </rPr>
          <t xml:space="preserve"> 26-1246</t>
        </r>
      </text>
    </comment>
    <comment ref="A908" authorId="0" shapeId="0" xr:uid="{00000000-0006-0000-0000-0000C8010000}">
      <text>
        <r>
          <rPr>
            <sz val="9"/>
            <color indexed="81"/>
            <rFont val="MS P ゴシック"/>
            <family val="3"/>
            <charset val="128"/>
          </rPr>
          <t xml:space="preserve"> 26-1247</t>
        </r>
      </text>
    </comment>
    <comment ref="A910" authorId="0" shapeId="0" xr:uid="{00000000-0006-0000-0000-0000C9010000}">
      <text>
        <r>
          <rPr>
            <sz val="9"/>
            <color indexed="81"/>
            <rFont val="MS P ゴシック"/>
            <family val="3"/>
            <charset val="128"/>
          </rPr>
          <t xml:space="preserve"> 26-1250</t>
        </r>
      </text>
    </comment>
    <comment ref="A912" authorId="0" shapeId="0" xr:uid="{00000000-0006-0000-0000-0000CA010000}">
      <text>
        <r>
          <rPr>
            <sz val="9"/>
            <color indexed="81"/>
            <rFont val="MS P ゴシック"/>
            <family val="3"/>
            <charset val="128"/>
          </rPr>
          <t xml:space="preserve"> 26-1270</t>
        </r>
      </text>
    </comment>
    <comment ref="A914" authorId="0" shapeId="0" xr:uid="{00000000-0006-0000-0000-0000CB010000}">
      <text>
        <r>
          <rPr>
            <sz val="9"/>
            <color indexed="81"/>
            <rFont val="MS P ゴシック"/>
            <family val="3"/>
            <charset val="128"/>
          </rPr>
          <t xml:space="preserve"> 26-1272</t>
        </r>
      </text>
    </comment>
    <comment ref="A916" authorId="0" shapeId="0" xr:uid="{00000000-0006-0000-0000-0000CC010000}">
      <text>
        <r>
          <rPr>
            <sz val="9"/>
            <color indexed="81"/>
            <rFont val="MS P ゴシック"/>
            <family val="3"/>
            <charset val="128"/>
          </rPr>
          <t xml:space="preserve"> 26-1325</t>
        </r>
      </text>
    </comment>
    <comment ref="A918" authorId="0" shapeId="0" xr:uid="{00000000-0006-0000-0000-0000CD010000}">
      <text>
        <r>
          <rPr>
            <sz val="9"/>
            <color indexed="81"/>
            <rFont val="MS P ゴシック"/>
            <family val="3"/>
            <charset val="128"/>
          </rPr>
          <t xml:space="preserve"> 26-1330</t>
        </r>
      </text>
    </comment>
    <comment ref="A920" authorId="0" shapeId="0" xr:uid="{00000000-0006-0000-0000-0000CE010000}">
      <text>
        <r>
          <rPr>
            <sz val="9"/>
            <color indexed="81"/>
            <rFont val="MS P ゴシック"/>
            <family val="3"/>
            <charset val="128"/>
          </rPr>
          <t xml:space="preserve"> 26-1343</t>
        </r>
      </text>
    </comment>
    <comment ref="A922" authorId="0" shapeId="0" xr:uid="{00000000-0006-0000-0000-0000CF010000}">
      <text>
        <r>
          <rPr>
            <sz val="9"/>
            <color indexed="81"/>
            <rFont val="MS P ゴシック"/>
            <family val="3"/>
            <charset val="128"/>
          </rPr>
          <t xml:space="preserve"> 26-1375</t>
        </r>
      </text>
    </comment>
    <comment ref="A924" authorId="0" shapeId="0" xr:uid="{00000000-0006-0000-0000-0000D0010000}">
      <text>
        <r>
          <rPr>
            <sz val="9"/>
            <color indexed="81"/>
            <rFont val="MS P ゴシック"/>
            <family val="3"/>
            <charset val="128"/>
          </rPr>
          <t xml:space="preserve"> 26-1400</t>
        </r>
      </text>
    </comment>
    <comment ref="A926" authorId="0" shapeId="0" xr:uid="{00000000-0006-0000-0000-0000D1010000}">
      <text>
        <r>
          <rPr>
            <sz val="9"/>
            <color indexed="81"/>
            <rFont val="MS P ゴシック"/>
            <family val="3"/>
            <charset val="128"/>
          </rPr>
          <t xml:space="preserve"> 26-1448</t>
        </r>
      </text>
    </comment>
    <comment ref="A928" authorId="0" shapeId="0" xr:uid="{00000000-0006-0000-0000-0000D2010000}">
      <text>
        <r>
          <rPr>
            <sz val="9"/>
            <color indexed="81"/>
            <rFont val="MS P ゴシック"/>
            <family val="3"/>
            <charset val="128"/>
          </rPr>
          <t xml:space="preserve"> 26-1667</t>
        </r>
      </text>
    </comment>
    <comment ref="A930" authorId="0" shapeId="0" xr:uid="{00000000-0006-0000-0000-0000D3010000}">
      <text>
        <r>
          <rPr>
            <sz val="9"/>
            <color indexed="81"/>
            <rFont val="MS P ゴシック"/>
            <family val="3"/>
            <charset val="128"/>
          </rPr>
          <t xml:space="preserve"> 26-1680</t>
        </r>
      </text>
    </comment>
    <comment ref="A932" authorId="0" shapeId="0" xr:uid="{00000000-0006-0000-0000-0000D4010000}">
      <text>
        <r>
          <rPr>
            <sz val="9"/>
            <color indexed="81"/>
            <rFont val="MS P ゴシック"/>
            <family val="3"/>
            <charset val="128"/>
          </rPr>
          <t xml:space="preserve"> 26-1704</t>
        </r>
      </text>
    </comment>
    <comment ref="A934" authorId="0" shapeId="0" xr:uid="{00000000-0006-0000-0000-0000D5010000}">
      <text>
        <r>
          <rPr>
            <sz val="9"/>
            <color indexed="81"/>
            <rFont val="MS P ゴシック"/>
            <family val="3"/>
            <charset val="128"/>
          </rPr>
          <t xml:space="preserve"> 26-1843</t>
        </r>
      </text>
    </comment>
    <comment ref="A936" authorId="0" shapeId="0" xr:uid="{00000000-0006-0000-0000-0000D6010000}">
      <text>
        <r>
          <rPr>
            <sz val="9"/>
            <color indexed="81"/>
            <rFont val="MS P ゴシック"/>
            <family val="3"/>
            <charset val="128"/>
          </rPr>
          <t xml:space="preserve"> 26-1860</t>
        </r>
      </text>
    </comment>
    <comment ref="A938" authorId="0" shapeId="0" xr:uid="{00000000-0006-0000-0000-0000D7010000}">
      <text>
        <r>
          <rPr>
            <sz val="9"/>
            <color indexed="81"/>
            <rFont val="MS P ゴシック"/>
            <family val="3"/>
            <charset val="128"/>
          </rPr>
          <t xml:space="preserve"> 26-1907</t>
        </r>
      </text>
    </comment>
    <comment ref="A940" authorId="0" shapeId="0" xr:uid="{00000000-0006-0000-0000-0000D8010000}">
      <text>
        <r>
          <rPr>
            <sz val="9"/>
            <color indexed="81"/>
            <rFont val="MS P ゴシック"/>
            <family val="3"/>
            <charset val="128"/>
          </rPr>
          <t xml:space="preserve"> 26-1915</t>
        </r>
      </text>
    </comment>
    <comment ref="A942" authorId="0" shapeId="0" xr:uid="{00000000-0006-0000-0000-0000D9010000}">
      <text>
        <r>
          <rPr>
            <sz val="9"/>
            <color indexed="81"/>
            <rFont val="MS P ゴシック"/>
            <family val="3"/>
            <charset val="128"/>
          </rPr>
          <t xml:space="preserve"> 26-1967</t>
        </r>
      </text>
    </comment>
    <comment ref="A944" authorId="0" shapeId="0" xr:uid="{00000000-0006-0000-0000-0000DA010000}">
      <text>
        <r>
          <rPr>
            <sz val="9"/>
            <color indexed="81"/>
            <rFont val="MS P ゴシック"/>
            <family val="3"/>
            <charset val="128"/>
          </rPr>
          <t xml:space="preserve"> 26-2014</t>
        </r>
      </text>
    </comment>
    <comment ref="A946" authorId="0" shapeId="0" xr:uid="{00000000-0006-0000-0000-0000DB010000}">
      <text>
        <r>
          <rPr>
            <sz val="9"/>
            <color indexed="81"/>
            <rFont val="MS P ゴシック"/>
            <family val="3"/>
            <charset val="128"/>
          </rPr>
          <t xml:space="preserve"> 26-2062</t>
        </r>
      </text>
    </comment>
    <comment ref="A948" authorId="0" shapeId="0" xr:uid="{00000000-0006-0000-0000-0000DC010000}">
      <text>
        <r>
          <rPr>
            <sz val="9"/>
            <color indexed="81"/>
            <rFont val="MS P ゴシック"/>
            <family val="3"/>
            <charset val="128"/>
          </rPr>
          <t xml:space="preserve"> 26-2084</t>
        </r>
      </text>
    </comment>
    <comment ref="A950" authorId="0" shapeId="0" xr:uid="{00000000-0006-0000-0000-0000DD010000}">
      <text>
        <r>
          <rPr>
            <sz val="9"/>
            <color indexed="81"/>
            <rFont val="MS P ゴシック"/>
            <family val="3"/>
            <charset val="128"/>
          </rPr>
          <t xml:space="preserve"> 26-2085</t>
        </r>
      </text>
    </comment>
    <comment ref="A952" authorId="0" shapeId="0" xr:uid="{00000000-0006-0000-0000-0000DE010000}">
      <text>
        <r>
          <rPr>
            <sz val="9"/>
            <color indexed="81"/>
            <rFont val="MS P ゴシック"/>
            <family val="3"/>
            <charset val="128"/>
          </rPr>
          <t xml:space="preserve"> 26-2089</t>
        </r>
      </text>
    </comment>
    <comment ref="A954" authorId="0" shapeId="0" xr:uid="{00000000-0006-0000-0000-0000DF010000}">
      <text>
        <r>
          <rPr>
            <sz val="9"/>
            <color indexed="81"/>
            <rFont val="MS P ゴシック"/>
            <family val="3"/>
            <charset val="128"/>
          </rPr>
          <t xml:space="preserve"> 26-2167</t>
        </r>
      </text>
    </comment>
    <comment ref="A956" authorId="0" shapeId="0" xr:uid="{00000000-0006-0000-0000-0000E0010000}">
      <text>
        <r>
          <rPr>
            <sz val="9"/>
            <color indexed="81"/>
            <rFont val="MS P ゴシック"/>
            <family val="3"/>
            <charset val="128"/>
          </rPr>
          <t xml:space="preserve"> 26-2222</t>
        </r>
      </text>
    </comment>
    <comment ref="A958" authorId="0" shapeId="0" xr:uid="{00000000-0006-0000-0000-0000E1010000}">
      <text>
        <r>
          <rPr>
            <sz val="9"/>
            <color indexed="81"/>
            <rFont val="MS P ゴシック"/>
            <family val="3"/>
            <charset val="128"/>
          </rPr>
          <t xml:space="preserve"> 26-2237</t>
        </r>
      </text>
    </comment>
    <comment ref="A960" authorId="0" shapeId="0" xr:uid="{00000000-0006-0000-0000-0000E2010000}">
      <text>
        <r>
          <rPr>
            <sz val="9"/>
            <color indexed="81"/>
            <rFont val="MS P ゴシック"/>
            <family val="3"/>
            <charset val="128"/>
          </rPr>
          <t xml:space="preserve"> 26-2246</t>
        </r>
      </text>
    </comment>
    <comment ref="A962" authorId="0" shapeId="0" xr:uid="{00000000-0006-0000-0000-0000E3010000}">
      <text>
        <r>
          <rPr>
            <sz val="9"/>
            <color indexed="81"/>
            <rFont val="MS P ゴシック"/>
            <family val="3"/>
            <charset val="128"/>
          </rPr>
          <t xml:space="preserve"> 26-2404</t>
        </r>
      </text>
    </comment>
    <comment ref="A964" authorId="0" shapeId="0" xr:uid="{00000000-0006-0000-0000-0000E4010000}">
      <text>
        <r>
          <rPr>
            <sz val="9"/>
            <color indexed="81"/>
            <rFont val="MS P ゴシック"/>
            <family val="3"/>
            <charset val="128"/>
          </rPr>
          <t xml:space="preserve"> 26-2452</t>
        </r>
      </text>
    </comment>
    <comment ref="A966" authorId="0" shapeId="0" xr:uid="{00000000-0006-0000-0000-0000E5010000}">
      <text>
        <r>
          <rPr>
            <sz val="9"/>
            <color indexed="81"/>
            <rFont val="MS P ゴシック"/>
            <family val="3"/>
            <charset val="128"/>
          </rPr>
          <t xml:space="preserve"> 26-2453</t>
        </r>
      </text>
    </comment>
    <comment ref="A968" authorId="0" shapeId="0" xr:uid="{00000000-0006-0000-0000-0000E6010000}">
      <text>
        <r>
          <rPr>
            <sz val="9"/>
            <color indexed="81"/>
            <rFont val="MS P ゴシック"/>
            <family val="3"/>
            <charset val="128"/>
          </rPr>
          <t xml:space="preserve"> 26-2636</t>
        </r>
      </text>
    </comment>
    <comment ref="A970" authorId="0" shapeId="0" xr:uid="{00000000-0006-0000-0000-0000E7010000}">
      <text>
        <r>
          <rPr>
            <sz val="9"/>
            <color indexed="81"/>
            <rFont val="MS P ゴシック"/>
            <family val="3"/>
            <charset val="128"/>
          </rPr>
          <t xml:space="preserve"> 26-2649</t>
        </r>
      </text>
    </comment>
    <comment ref="A972" authorId="0" shapeId="0" xr:uid="{00000000-0006-0000-0000-0000E8010000}">
      <text>
        <r>
          <rPr>
            <sz val="9"/>
            <color indexed="81"/>
            <rFont val="MS P ゴシック"/>
            <family val="3"/>
            <charset val="128"/>
          </rPr>
          <t xml:space="preserve"> 26-2677</t>
        </r>
      </text>
    </comment>
    <comment ref="A974" authorId="0" shapeId="0" xr:uid="{00000000-0006-0000-0000-0000E9010000}">
      <text>
        <r>
          <rPr>
            <sz val="9"/>
            <color indexed="81"/>
            <rFont val="MS P ゴシック"/>
            <family val="3"/>
            <charset val="128"/>
          </rPr>
          <t xml:space="preserve"> 26-2701</t>
        </r>
      </text>
    </comment>
    <comment ref="A976" authorId="0" shapeId="0" xr:uid="{00000000-0006-0000-0000-0000EA010000}">
      <text>
        <r>
          <rPr>
            <sz val="9"/>
            <color indexed="81"/>
            <rFont val="MS P ゴシック"/>
            <family val="3"/>
            <charset val="128"/>
          </rPr>
          <t xml:space="preserve"> 26-2764</t>
        </r>
      </text>
    </comment>
    <comment ref="A978" authorId="0" shapeId="0" xr:uid="{00000000-0006-0000-0000-0000EB010000}">
      <text>
        <r>
          <rPr>
            <sz val="9"/>
            <color indexed="81"/>
            <rFont val="MS P ゴシック"/>
            <family val="3"/>
            <charset val="128"/>
          </rPr>
          <t xml:space="preserve"> 26-2829</t>
        </r>
      </text>
    </comment>
    <comment ref="A980" authorId="0" shapeId="0" xr:uid="{00000000-0006-0000-0000-0000EC010000}">
      <text>
        <r>
          <rPr>
            <sz val="9"/>
            <color indexed="81"/>
            <rFont val="MS P ゴシック"/>
            <family val="3"/>
            <charset val="128"/>
          </rPr>
          <t xml:space="preserve"> 26-2874</t>
        </r>
      </text>
    </comment>
    <comment ref="A982" authorId="0" shapeId="0" xr:uid="{00000000-0006-0000-0000-0000ED010000}">
      <text>
        <r>
          <rPr>
            <sz val="9"/>
            <color indexed="81"/>
            <rFont val="MS P ゴシック"/>
            <family val="3"/>
            <charset val="128"/>
          </rPr>
          <t xml:space="preserve"> 26-2879</t>
        </r>
      </text>
    </comment>
    <comment ref="A984" authorId="0" shapeId="0" xr:uid="{00000000-0006-0000-0000-0000EE010000}">
      <text>
        <r>
          <rPr>
            <sz val="9"/>
            <color indexed="81"/>
            <rFont val="MS P ゴシック"/>
            <family val="3"/>
            <charset val="128"/>
          </rPr>
          <t xml:space="preserve"> 26-2881</t>
        </r>
      </text>
    </comment>
    <comment ref="A986" authorId="0" shapeId="0" xr:uid="{00000000-0006-0000-0000-0000EF010000}">
      <text>
        <r>
          <rPr>
            <sz val="9"/>
            <color indexed="81"/>
            <rFont val="MS P ゴシック"/>
            <family val="3"/>
            <charset val="128"/>
          </rPr>
          <t xml:space="preserve"> 26-2905</t>
        </r>
      </text>
    </comment>
    <comment ref="A988" authorId="0" shapeId="0" xr:uid="{00000000-0006-0000-0000-0000F0010000}">
      <text>
        <r>
          <rPr>
            <sz val="9"/>
            <color indexed="81"/>
            <rFont val="MS P ゴシック"/>
            <family val="3"/>
            <charset val="128"/>
          </rPr>
          <t xml:space="preserve"> 26-2974</t>
        </r>
      </text>
    </comment>
    <comment ref="A990" authorId="0" shapeId="0" xr:uid="{00000000-0006-0000-0000-0000F1010000}">
      <text>
        <r>
          <rPr>
            <sz val="9"/>
            <color indexed="81"/>
            <rFont val="MS P ゴシック"/>
            <family val="3"/>
            <charset val="128"/>
          </rPr>
          <t xml:space="preserve"> 26-2984</t>
        </r>
      </text>
    </comment>
    <comment ref="A992" authorId="0" shapeId="0" xr:uid="{00000000-0006-0000-0000-0000F2010000}">
      <text>
        <r>
          <rPr>
            <sz val="9"/>
            <color indexed="81"/>
            <rFont val="MS P ゴシック"/>
            <family val="3"/>
            <charset val="128"/>
          </rPr>
          <t xml:space="preserve"> 26-3041</t>
        </r>
      </text>
    </comment>
    <comment ref="A994" authorId="0" shapeId="0" xr:uid="{00000000-0006-0000-0000-0000F3010000}">
      <text>
        <r>
          <rPr>
            <sz val="9"/>
            <color indexed="81"/>
            <rFont val="MS P ゴシック"/>
            <family val="3"/>
            <charset val="128"/>
          </rPr>
          <t xml:space="preserve"> 26-3078</t>
        </r>
      </text>
    </comment>
    <comment ref="A996" authorId="0" shapeId="0" xr:uid="{00000000-0006-0000-0000-0000F4010000}">
      <text>
        <r>
          <rPr>
            <sz val="9"/>
            <color indexed="81"/>
            <rFont val="MS P ゴシック"/>
            <family val="3"/>
            <charset val="128"/>
          </rPr>
          <t xml:space="preserve"> 26-3175</t>
        </r>
      </text>
    </comment>
    <comment ref="A998" authorId="0" shapeId="0" xr:uid="{00000000-0006-0000-0000-0000F5010000}">
      <text>
        <r>
          <rPr>
            <sz val="9"/>
            <color indexed="81"/>
            <rFont val="MS P ゴシック"/>
            <family val="3"/>
            <charset val="128"/>
          </rPr>
          <t xml:space="preserve"> 26-3198</t>
        </r>
      </text>
    </comment>
    <comment ref="A1000" authorId="0" shapeId="0" xr:uid="{00000000-0006-0000-0000-0000F6010000}">
      <text>
        <r>
          <rPr>
            <sz val="9"/>
            <color indexed="81"/>
            <rFont val="MS P ゴシック"/>
            <family val="3"/>
            <charset val="128"/>
          </rPr>
          <t xml:space="preserve"> 26-3209</t>
        </r>
      </text>
    </comment>
    <comment ref="A1002" authorId="0" shapeId="0" xr:uid="{00000000-0006-0000-0000-0000F7010000}">
      <text>
        <r>
          <rPr>
            <sz val="9"/>
            <color indexed="81"/>
            <rFont val="MS P ゴシック"/>
            <family val="3"/>
            <charset val="128"/>
          </rPr>
          <t xml:space="preserve"> 26-3214</t>
        </r>
      </text>
    </comment>
    <comment ref="A1004" authorId="0" shapeId="0" xr:uid="{00000000-0006-0000-0000-0000F8010000}">
      <text>
        <r>
          <rPr>
            <sz val="9"/>
            <color indexed="81"/>
            <rFont val="MS P ゴシック"/>
            <family val="3"/>
            <charset val="128"/>
          </rPr>
          <t xml:space="preserve"> 26-3347</t>
        </r>
      </text>
    </comment>
    <comment ref="A1006" authorId="0" shapeId="0" xr:uid="{00000000-0006-0000-0000-0000F9010000}">
      <text>
        <r>
          <rPr>
            <sz val="9"/>
            <color indexed="81"/>
            <rFont val="MS P ゴシック"/>
            <family val="3"/>
            <charset val="128"/>
          </rPr>
          <t xml:space="preserve"> 26-3352</t>
        </r>
      </text>
    </comment>
    <comment ref="A1008" authorId="0" shapeId="0" xr:uid="{00000000-0006-0000-0000-0000FA010000}">
      <text>
        <r>
          <rPr>
            <sz val="9"/>
            <color indexed="81"/>
            <rFont val="MS P ゴシック"/>
            <family val="3"/>
            <charset val="128"/>
          </rPr>
          <t xml:space="preserve"> 26-3373</t>
        </r>
      </text>
    </comment>
    <comment ref="A1010" authorId="0" shapeId="0" xr:uid="{00000000-0006-0000-0000-0000FB010000}">
      <text>
        <r>
          <rPr>
            <sz val="9"/>
            <color indexed="81"/>
            <rFont val="MS P ゴシック"/>
            <family val="3"/>
            <charset val="128"/>
          </rPr>
          <t xml:space="preserve"> 26-3375</t>
        </r>
      </text>
    </comment>
    <comment ref="A1012" authorId="0" shapeId="0" xr:uid="{00000000-0006-0000-0000-0000FC010000}">
      <text>
        <r>
          <rPr>
            <sz val="9"/>
            <color indexed="81"/>
            <rFont val="MS P ゴシック"/>
            <family val="3"/>
            <charset val="128"/>
          </rPr>
          <t xml:space="preserve"> 26-3547</t>
        </r>
      </text>
    </comment>
    <comment ref="A1014" authorId="0" shapeId="0" xr:uid="{00000000-0006-0000-0000-0000FD010000}">
      <text>
        <r>
          <rPr>
            <sz val="9"/>
            <color indexed="81"/>
            <rFont val="MS P ゴシック"/>
            <family val="3"/>
            <charset val="128"/>
          </rPr>
          <t xml:space="preserve"> 26-3550</t>
        </r>
      </text>
    </comment>
    <comment ref="A1016" authorId="0" shapeId="0" xr:uid="{00000000-0006-0000-0000-0000FE010000}">
      <text>
        <r>
          <rPr>
            <sz val="9"/>
            <color indexed="81"/>
            <rFont val="MS P ゴシック"/>
            <family val="3"/>
            <charset val="128"/>
          </rPr>
          <t xml:space="preserve"> 26-3604</t>
        </r>
      </text>
    </comment>
    <comment ref="A1018" authorId="0" shapeId="0" xr:uid="{00000000-0006-0000-0000-0000FF010000}">
      <text>
        <r>
          <rPr>
            <sz val="9"/>
            <color indexed="81"/>
            <rFont val="MS P ゴシック"/>
            <family val="3"/>
            <charset val="128"/>
          </rPr>
          <t xml:space="preserve"> 26-3673</t>
        </r>
      </text>
    </comment>
    <comment ref="A1020" authorId="0" shapeId="0" xr:uid="{00000000-0006-0000-0000-000000020000}">
      <text>
        <r>
          <rPr>
            <sz val="9"/>
            <color indexed="81"/>
            <rFont val="MS P ゴシック"/>
            <family val="3"/>
            <charset val="128"/>
          </rPr>
          <t xml:space="preserve"> 26-3735</t>
        </r>
      </text>
    </comment>
    <comment ref="A1022" authorId="0" shapeId="0" xr:uid="{00000000-0006-0000-0000-000001020000}">
      <text>
        <r>
          <rPr>
            <sz val="9"/>
            <color indexed="81"/>
            <rFont val="MS P ゴシック"/>
            <family val="3"/>
            <charset val="128"/>
          </rPr>
          <t xml:space="preserve"> 26-3884</t>
        </r>
      </text>
    </comment>
    <comment ref="A1024" authorId="0" shapeId="0" xr:uid="{00000000-0006-0000-0000-000002020000}">
      <text>
        <r>
          <rPr>
            <sz val="9"/>
            <color indexed="81"/>
            <rFont val="MS P ゴシック"/>
            <family val="3"/>
            <charset val="128"/>
          </rPr>
          <t xml:space="preserve"> 26-3892</t>
        </r>
      </text>
    </comment>
    <comment ref="A1026" authorId="0" shapeId="0" xr:uid="{00000000-0006-0000-0000-000003020000}">
      <text>
        <r>
          <rPr>
            <sz val="9"/>
            <color indexed="81"/>
            <rFont val="MS P ゴシック"/>
            <family val="3"/>
            <charset val="128"/>
          </rPr>
          <t xml:space="preserve"> 26-3894</t>
        </r>
      </text>
    </comment>
    <comment ref="A1028" authorId="0" shapeId="0" xr:uid="{00000000-0006-0000-0000-000004020000}">
      <text>
        <r>
          <rPr>
            <sz val="9"/>
            <color indexed="81"/>
            <rFont val="MS P ゴシック"/>
            <family val="3"/>
            <charset val="128"/>
          </rPr>
          <t xml:space="preserve"> 26-3897</t>
        </r>
      </text>
    </comment>
    <comment ref="A1030" authorId="0" shapeId="0" xr:uid="{00000000-0006-0000-0000-000005020000}">
      <text>
        <r>
          <rPr>
            <sz val="9"/>
            <color indexed="81"/>
            <rFont val="MS P ゴシック"/>
            <family val="3"/>
            <charset val="128"/>
          </rPr>
          <t xml:space="preserve"> 26-3946</t>
        </r>
      </text>
    </comment>
    <comment ref="A1032" authorId="0" shapeId="0" xr:uid="{00000000-0006-0000-0000-000006020000}">
      <text>
        <r>
          <rPr>
            <sz val="9"/>
            <color indexed="81"/>
            <rFont val="MS P ゴシック"/>
            <family val="3"/>
            <charset val="128"/>
          </rPr>
          <t xml:space="preserve"> 26-4023</t>
        </r>
      </text>
    </comment>
    <comment ref="A1034" authorId="0" shapeId="0" xr:uid="{00000000-0006-0000-0000-000007020000}">
      <text>
        <r>
          <rPr>
            <sz val="9"/>
            <color indexed="81"/>
            <rFont val="MS P ゴシック"/>
            <family val="3"/>
            <charset val="128"/>
          </rPr>
          <t xml:space="preserve"> 26-4075</t>
        </r>
      </text>
    </comment>
    <comment ref="A1036" authorId="0" shapeId="0" xr:uid="{00000000-0006-0000-0000-000008020000}">
      <text>
        <r>
          <rPr>
            <sz val="9"/>
            <color indexed="81"/>
            <rFont val="MS P ゴシック"/>
            <family val="3"/>
            <charset val="128"/>
          </rPr>
          <t xml:space="preserve"> 26-4141</t>
        </r>
      </text>
    </comment>
    <comment ref="A1038" authorId="0" shapeId="0" xr:uid="{00000000-0006-0000-0000-000009020000}">
      <text>
        <r>
          <rPr>
            <sz val="9"/>
            <color indexed="81"/>
            <rFont val="MS P ゴシック"/>
            <family val="3"/>
            <charset val="128"/>
          </rPr>
          <t xml:space="preserve"> 26-4280</t>
        </r>
      </text>
    </comment>
    <comment ref="A1040" authorId="0" shapeId="0" xr:uid="{00000000-0006-0000-0000-00000A020000}">
      <text>
        <r>
          <rPr>
            <sz val="9"/>
            <color indexed="81"/>
            <rFont val="MS P ゴシック"/>
            <family val="3"/>
            <charset val="128"/>
          </rPr>
          <t xml:space="preserve"> 26-4297</t>
        </r>
      </text>
    </comment>
    <comment ref="A1042" authorId="0" shapeId="0" xr:uid="{00000000-0006-0000-0000-00000B020000}">
      <text>
        <r>
          <rPr>
            <sz val="9"/>
            <color indexed="81"/>
            <rFont val="MS P ゴシック"/>
            <family val="3"/>
            <charset val="128"/>
          </rPr>
          <t xml:space="preserve"> 26-4340</t>
        </r>
      </text>
    </comment>
    <comment ref="A1044" authorId="0" shapeId="0" xr:uid="{00000000-0006-0000-0000-00000C020000}">
      <text>
        <r>
          <rPr>
            <sz val="9"/>
            <color indexed="81"/>
            <rFont val="MS P ゴシック"/>
            <family val="3"/>
            <charset val="128"/>
          </rPr>
          <t xml:space="preserve"> 26-4367</t>
        </r>
      </text>
    </comment>
    <comment ref="A1046" authorId="0" shapeId="0" xr:uid="{00000000-0006-0000-0000-00000D020000}">
      <text>
        <r>
          <rPr>
            <sz val="9"/>
            <color indexed="81"/>
            <rFont val="MS P ゴシック"/>
            <family val="3"/>
            <charset val="128"/>
          </rPr>
          <t xml:space="preserve"> 26-4473</t>
        </r>
      </text>
    </comment>
    <comment ref="A1048" authorId="0" shapeId="0" xr:uid="{00000000-0006-0000-0000-00000E020000}">
      <text>
        <r>
          <rPr>
            <sz val="9"/>
            <color indexed="81"/>
            <rFont val="MS P ゴシック"/>
            <family val="3"/>
            <charset val="128"/>
          </rPr>
          <t xml:space="preserve"> 26-4499</t>
        </r>
      </text>
    </comment>
    <comment ref="A1050" authorId="0" shapeId="0" xr:uid="{00000000-0006-0000-0000-00000F020000}">
      <text>
        <r>
          <rPr>
            <sz val="9"/>
            <color indexed="81"/>
            <rFont val="MS P ゴシック"/>
            <family val="3"/>
            <charset val="128"/>
          </rPr>
          <t xml:space="preserve"> 26-4539</t>
        </r>
      </text>
    </comment>
    <comment ref="A1052" authorId="0" shapeId="0" xr:uid="{00000000-0006-0000-0000-000010020000}">
      <text>
        <r>
          <rPr>
            <sz val="9"/>
            <color indexed="81"/>
            <rFont val="MS P ゴシック"/>
            <family val="3"/>
            <charset val="128"/>
          </rPr>
          <t xml:space="preserve"> 26-4628</t>
        </r>
      </text>
    </comment>
    <comment ref="A1054" authorId="0" shapeId="0" xr:uid="{00000000-0006-0000-0000-000011020000}">
      <text>
        <r>
          <rPr>
            <sz val="9"/>
            <color indexed="81"/>
            <rFont val="MS P ゴシック"/>
            <family val="3"/>
            <charset val="128"/>
          </rPr>
          <t xml:space="preserve"> 26-4648</t>
        </r>
      </text>
    </comment>
    <comment ref="A1056" authorId="0" shapeId="0" xr:uid="{00000000-0006-0000-0000-000012020000}">
      <text>
        <r>
          <rPr>
            <sz val="9"/>
            <color indexed="81"/>
            <rFont val="MS P ゴシック"/>
            <family val="3"/>
            <charset val="128"/>
          </rPr>
          <t xml:space="preserve"> 26-4699</t>
        </r>
      </text>
    </comment>
    <comment ref="A1058" authorId="0" shapeId="0" xr:uid="{00000000-0006-0000-0000-000013020000}">
      <text>
        <r>
          <rPr>
            <sz val="9"/>
            <color indexed="81"/>
            <rFont val="MS P ゴシック"/>
            <family val="3"/>
            <charset val="128"/>
          </rPr>
          <t xml:space="preserve"> 26-4749</t>
        </r>
      </text>
    </comment>
    <comment ref="A1060" authorId="0" shapeId="0" xr:uid="{00000000-0006-0000-0000-000014020000}">
      <text>
        <r>
          <rPr>
            <sz val="9"/>
            <color indexed="81"/>
            <rFont val="MS P ゴシック"/>
            <family val="3"/>
            <charset val="128"/>
          </rPr>
          <t xml:space="preserve"> 26-4752</t>
        </r>
      </text>
    </comment>
    <comment ref="A1062" authorId="0" shapeId="0" xr:uid="{00000000-0006-0000-0000-000015020000}">
      <text>
        <r>
          <rPr>
            <sz val="9"/>
            <color indexed="81"/>
            <rFont val="MS P ゴシック"/>
            <family val="3"/>
            <charset val="128"/>
          </rPr>
          <t xml:space="preserve"> 26-4772</t>
        </r>
      </text>
    </comment>
    <comment ref="A1064" authorId="0" shapeId="0" xr:uid="{00000000-0006-0000-0000-000016020000}">
      <text>
        <r>
          <rPr>
            <sz val="9"/>
            <color indexed="81"/>
            <rFont val="MS P ゴシック"/>
            <family val="3"/>
            <charset val="128"/>
          </rPr>
          <t xml:space="preserve"> 26-4784</t>
        </r>
      </text>
    </comment>
    <comment ref="A1066" authorId="0" shapeId="0" xr:uid="{00000000-0006-0000-0000-000017020000}">
      <text>
        <r>
          <rPr>
            <sz val="9"/>
            <color indexed="81"/>
            <rFont val="MS P ゴシック"/>
            <family val="3"/>
            <charset val="128"/>
          </rPr>
          <t xml:space="preserve"> 26-4799</t>
        </r>
      </text>
    </comment>
    <comment ref="A1068" authorId="0" shapeId="0" xr:uid="{00000000-0006-0000-0000-000018020000}">
      <text>
        <r>
          <rPr>
            <sz val="9"/>
            <color indexed="81"/>
            <rFont val="MS P ゴシック"/>
            <family val="3"/>
            <charset val="128"/>
          </rPr>
          <t xml:space="preserve"> 26-4842</t>
        </r>
      </text>
    </comment>
    <comment ref="A1070" authorId="0" shapeId="0" xr:uid="{00000000-0006-0000-0000-000019020000}">
      <text>
        <r>
          <rPr>
            <sz val="9"/>
            <color indexed="81"/>
            <rFont val="MS P ゴシック"/>
            <family val="3"/>
            <charset val="128"/>
          </rPr>
          <t xml:space="preserve"> 26-4853</t>
        </r>
      </text>
    </comment>
    <comment ref="A1072" authorId="0" shapeId="0" xr:uid="{00000000-0006-0000-0000-00001A020000}">
      <text>
        <r>
          <rPr>
            <sz val="9"/>
            <color indexed="81"/>
            <rFont val="MS P ゴシック"/>
            <family val="3"/>
            <charset val="128"/>
          </rPr>
          <t xml:space="preserve"> 26-4858</t>
        </r>
      </text>
    </comment>
    <comment ref="A1074" authorId="0" shapeId="0" xr:uid="{00000000-0006-0000-0000-00001B020000}">
      <text>
        <r>
          <rPr>
            <sz val="9"/>
            <color indexed="81"/>
            <rFont val="MS P ゴシック"/>
            <family val="3"/>
            <charset val="128"/>
          </rPr>
          <t xml:space="preserve"> 26-4870</t>
        </r>
      </text>
    </comment>
    <comment ref="A1076" authorId="0" shapeId="0" xr:uid="{00000000-0006-0000-0000-00001C020000}">
      <text>
        <r>
          <rPr>
            <sz val="9"/>
            <color indexed="81"/>
            <rFont val="MS P ゴシック"/>
            <family val="3"/>
            <charset val="128"/>
          </rPr>
          <t xml:space="preserve"> 26-4893</t>
        </r>
      </text>
    </comment>
    <comment ref="A1078" authorId="0" shapeId="0" xr:uid="{00000000-0006-0000-0000-00001D020000}">
      <text>
        <r>
          <rPr>
            <sz val="9"/>
            <color indexed="81"/>
            <rFont val="MS P ゴシック"/>
            <family val="3"/>
            <charset val="128"/>
          </rPr>
          <t xml:space="preserve"> 26-4935</t>
        </r>
      </text>
    </comment>
    <comment ref="A1080" authorId="0" shapeId="0" xr:uid="{00000000-0006-0000-0000-00001E020000}">
      <text>
        <r>
          <rPr>
            <sz val="9"/>
            <color indexed="81"/>
            <rFont val="MS P ゴシック"/>
            <family val="3"/>
            <charset val="128"/>
          </rPr>
          <t xml:space="preserve"> 26-5003</t>
        </r>
      </text>
    </comment>
    <comment ref="A1082" authorId="0" shapeId="0" xr:uid="{00000000-0006-0000-0000-00001F020000}">
      <text>
        <r>
          <rPr>
            <sz val="9"/>
            <color indexed="81"/>
            <rFont val="MS P ゴシック"/>
            <family val="3"/>
            <charset val="128"/>
          </rPr>
          <t xml:space="preserve"> 26-5030</t>
        </r>
      </text>
    </comment>
    <comment ref="A1084" authorId="0" shapeId="0" xr:uid="{00000000-0006-0000-0000-000020020000}">
      <text>
        <r>
          <rPr>
            <sz val="9"/>
            <color indexed="81"/>
            <rFont val="MS P ゴシック"/>
            <family val="3"/>
            <charset val="128"/>
          </rPr>
          <t xml:space="preserve"> 26-5034</t>
        </r>
      </text>
    </comment>
    <comment ref="A1086" authorId="0" shapeId="0" xr:uid="{00000000-0006-0000-0000-000021020000}">
      <text>
        <r>
          <rPr>
            <sz val="9"/>
            <color indexed="81"/>
            <rFont val="MS P ゴシック"/>
            <family val="3"/>
            <charset val="128"/>
          </rPr>
          <t xml:space="preserve"> 26-5035</t>
        </r>
      </text>
    </comment>
    <comment ref="A1088" authorId="0" shapeId="0" xr:uid="{00000000-0006-0000-0000-000022020000}">
      <text>
        <r>
          <rPr>
            <sz val="9"/>
            <color indexed="81"/>
            <rFont val="MS P ゴシック"/>
            <family val="3"/>
            <charset val="128"/>
          </rPr>
          <t xml:space="preserve"> 26-5052</t>
        </r>
      </text>
    </comment>
    <comment ref="A1090" authorId="0" shapeId="0" xr:uid="{00000000-0006-0000-0000-000023020000}">
      <text>
        <r>
          <rPr>
            <sz val="9"/>
            <color indexed="81"/>
            <rFont val="MS P ゴシック"/>
            <family val="3"/>
            <charset val="128"/>
          </rPr>
          <t xml:space="preserve"> 26-5087</t>
        </r>
      </text>
    </comment>
    <comment ref="A1092" authorId="0" shapeId="0" xr:uid="{00000000-0006-0000-0000-000024020000}">
      <text>
        <r>
          <rPr>
            <sz val="9"/>
            <color indexed="81"/>
            <rFont val="MS P ゴシック"/>
            <family val="3"/>
            <charset val="128"/>
          </rPr>
          <t xml:space="preserve"> 26-5095</t>
        </r>
      </text>
    </comment>
    <comment ref="A1094" authorId="0" shapeId="0" xr:uid="{00000000-0006-0000-0000-000025020000}">
      <text>
        <r>
          <rPr>
            <sz val="9"/>
            <color indexed="81"/>
            <rFont val="MS P ゴシック"/>
            <family val="3"/>
            <charset val="128"/>
          </rPr>
          <t xml:space="preserve"> 26-5123</t>
        </r>
      </text>
    </comment>
    <comment ref="A1096" authorId="0" shapeId="0" xr:uid="{00000000-0006-0000-0000-000026020000}">
      <text>
        <r>
          <rPr>
            <sz val="9"/>
            <color indexed="81"/>
            <rFont val="MS P ゴシック"/>
            <family val="3"/>
            <charset val="128"/>
          </rPr>
          <t xml:space="preserve"> 26-5124</t>
        </r>
      </text>
    </comment>
    <comment ref="A1098" authorId="0" shapeId="0" xr:uid="{00000000-0006-0000-0000-000027020000}">
      <text>
        <r>
          <rPr>
            <sz val="9"/>
            <color indexed="81"/>
            <rFont val="MS P ゴシック"/>
            <family val="3"/>
            <charset val="128"/>
          </rPr>
          <t xml:space="preserve"> 26-5129</t>
        </r>
      </text>
    </comment>
    <comment ref="A1100" authorId="0" shapeId="0" xr:uid="{00000000-0006-0000-0000-000028020000}">
      <text>
        <r>
          <rPr>
            <sz val="9"/>
            <color indexed="81"/>
            <rFont val="MS P ゴシック"/>
            <family val="3"/>
            <charset val="128"/>
          </rPr>
          <t xml:space="preserve"> 26-5152</t>
        </r>
      </text>
    </comment>
    <comment ref="A1102" authorId="0" shapeId="0" xr:uid="{00000000-0006-0000-0000-000029020000}">
      <text>
        <r>
          <rPr>
            <sz val="9"/>
            <color indexed="81"/>
            <rFont val="MS P ゴシック"/>
            <family val="3"/>
            <charset val="128"/>
          </rPr>
          <t xml:space="preserve"> 26-5156</t>
        </r>
      </text>
    </comment>
    <comment ref="A1104" authorId="0" shapeId="0" xr:uid="{00000000-0006-0000-0000-00002A020000}">
      <text>
        <r>
          <rPr>
            <sz val="9"/>
            <color indexed="81"/>
            <rFont val="MS P ゴシック"/>
            <family val="3"/>
            <charset val="128"/>
          </rPr>
          <t xml:space="preserve"> 26-5163</t>
        </r>
      </text>
    </comment>
    <comment ref="A1106" authorId="0" shapeId="0" xr:uid="{00000000-0006-0000-0000-00002B020000}">
      <text>
        <r>
          <rPr>
            <sz val="9"/>
            <color indexed="81"/>
            <rFont val="MS P ゴシック"/>
            <family val="3"/>
            <charset val="128"/>
          </rPr>
          <t xml:space="preserve"> 26-5192</t>
        </r>
      </text>
    </comment>
    <comment ref="A1108" authorId="0" shapeId="0" xr:uid="{00000000-0006-0000-0000-00002C020000}">
      <text>
        <r>
          <rPr>
            <sz val="9"/>
            <color indexed="81"/>
            <rFont val="MS P ゴシック"/>
            <family val="3"/>
            <charset val="128"/>
          </rPr>
          <t xml:space="preserve"> 26-5203</t>
        </r>
      </text>
    </comment>
    <comment ref="A1110" authorId="0" shapeId="0" xr:uid="{00000000-0006-0000-0000-00002D020000}">
      <text>
        <r>
          <rPr>
            <sz val="9"/>
            <color indexed="81"/>
            <rFont val="MS P ゴシック"/>
            <family val="3"/>
            <charset val="128"/>
          </rPr>
          <t xml:space="preserve"> 26-5227</t>
        </r>
      </text>
    </comment>
    <comment ref="A1112" authorId="0" shapeId="0" xr:uid="{00000000-0006-0000-0000-00002E020000}">
      <text>
        <r>
          <rPr>
            <sz val="9"/>
            <color indexed="81"/>
            <rFont val="MS P ゴシック"/>
            <family val="3"/>
            <charset val="128"/>
          </rPr>
          <t xml:space="preserve"> 26-5250</t>
        </r>
      </text>
    </comment>
    <comment ref="A1114" authorId="0" shapeId="0" xr:uid="{00000000-0006-0000-0000-00002F020000}">
      <text>
        <r>
          <rPr>
            <sz val="9"/>
            <color indexed="81"/>
            <rFont val="MS P ゴシック"/>
            <family val="3"/>
            <charset val="128"/>
          </rPr>
          <t xml:space="preserve"> 26-5324</t>
        </r>
      </text>
    </comment>
    <comment ref="A1116" authorId="0" shapeId="0" xr:uid="{00000000-0006-0000-0000-000030020000}">
      <text>
        <r>
          <rPr>
            <sz val="9"/>
            <color indexed="81"/>
            <rFont val="MS P ゴシック"/>
            <family val="3"/>
            <charset val="128"/>
          </rPr>
          <t xml:space="preserve"> 26-5365</t>
        </r>
      </text>
    </comment>
    <comment ref="A1118" authorId="0" shapeId="0" xr:uid="{00000000-0006-0000-0000-000031020000}">
      <text>
        <r>
          <rPr>
            <sz val="9"/>
            <color indexed="81"/>
            <rFont val="MS P ゴシック"/>
            <family val="3"/>
            <charset val="128"/>
          </rPr>
          <t xml:space="preserve"> 26-5390</t>
        </r>
      </text>
    </comment>
    <comment ref="A1120" authorId="0" shapeId="0" xr:uid="{00000000-0006-0000-0000-000032020000}">
      <text>
        <r>
          <rPr>
            <sz val="9"/>
            <color indexed="81"/>
            <rFont val="MS P ゴシック"/>
            <family val="3"/>
            <charset val="128"/>
          </rPr>
          <t xml:space="preserve"> 26-5434</t>
        </r>
      </text>
    </comment>
    <comment ref="A1122" authorId="0" shapeId="0" xr:uid="{00000000-0006-0000-0000-000033020000}">
      <text>
        <r>
          <rPr>
            <sz val="9"/>
            <color indexed="81"/>
            <rFont val="MS P ゴシック"/>
            <family val="3"/>
            <charset val="128"/>
          </rPr>
          <t xml:space="preserve"> 26-5451</t>
        </r>
      </text>
    </comment>
    <comment ref="A1124" authorId="0" shapeId="0" xr:uid="{00000000-0006-0000-0000-000034020000}">
      <text>
        <r>
          <rPr>
            <sz val="9"/>
            <color indexed="81"/>
            <rFont val="MS P ゴシック"/>
            <family val="3"/>
            <charset val="128"/>
          </rPr>
          <t xml:space="preserve"> 26-5457</t>
        </r>
      </text>
    </comment>
    <comment ref="A1126" authorId="0" shapeId="0" xr:uid="{00000000-0006-0000-0000-000035020000}">
      <text>
        <r>
          <rPr>
            <sz val="9"/>
            <color indexed="81"/>
            <rFont val="MS P ゴシック"/>
            <family val="3"/>
            <charset val="128"/>
          </rPr>
          <t xml:space="preserve"> 26-5498</t>
        </r>
      </text>
    </comment>
    <comment ref="A1128" authorId="0" shapeId="0" xr:uid="{00000000-0006-0000-0000-000036020000}">
      <text>
        <r>
          <rPr>
            <sz val="9"/>
            <color indexed="81"/>
            <rFont val="MS P ゴシック"/>
            <family val="3"/>
            <charset val="128"/>
          </rPr>
          <t xml:space="preserve"> 26-5510</t>
        </r>
      </text>
    </comment>
    <comment ref="A1130" authorId="0" shapeId="0" xr:uid="{00000000-0006-0000-0000-000037020000}">
      <text>
        <r>
          <rPr>
            <sz val="9"/>
            <color indexed="81"/>
            <rFont val="MS P ゴシック"/>
            <family val="3"/>
            <charset val="128"/>
          </rPr>
          <t xml:space="preserve"> 26-5533</t>
        </r>
      </text>
    </comment>
    <comment ref="A1132" authorId="0" shapeId="0" xr:uid="{00000000-0006-0000-0000-000038020000}">
      <text>
        <r>
          <rPr>
            <sz val="9"/>
            <color indexed="81"/>
            <rFont val="MS P ゴシック"/>
            <family val="3"/>
            <charset val="128"/>
          </rPr>
          <t xml:space="preserve"> 26-5542</t>
        </r>
      </text>
    </comment>
    <comment ref="A1134" authorId="0" shapeId="0" xr:uid="{00000000-0006-0000-0000-000039020000}">
      <text>
        <r>
          <rPr>
            <sz val="9"/>
            <color indexed="81"/>
            <rFont val="MS P ゴシック"/>
            <family val="3"/>
            <charset val="128"/>
          </rPr>
          <t xml:space="preserve"> 26-5551</t>
        </r>
      </text>
    </comment>
    <comment ref="A1136" authorId="0" shapeId="0" xr:uid="{00000000-0006-0000-0000-00003A020000}">
      <text>
        <r>
          <rPr>
            <sz val="9"/>
            <color indexed="81"/>
            <rFont val="MS P ゴシック"/>
            <family val="3"/>
            <charset val="128"/>
          </rPr>
          <t xml:space="preserve"> 26-5567</t>
        </r>
      </text>
    </comment>
    <comment ref="A1138" authorId="0" shapeId="0" xr:uid="{00000000-0006-0000-0000-00003B020000}">
      <text>
        <r>
          <rPr>
            <sz val="9"/>
            <color indexed="81"/>
            <rFont val="MS P ゴシック"/>
            <family val="3"/>
            <charset val="128"/>
          </rPr>
          <t xml:space="preserve"> 26-5583</t>
        </r>
      </text>
    </comment>
    <comment ref="A1140" authorId="0" shapeId="0" xr:uid="{00000000-0006-0000-0000-00003C020000}">
      <text>
        <r>
          <rPr>
            <sz val="9"/>
            <color indexed="81"/>
            <rFont val="MS P ゴシック"/>
            <family val="3"/>
            <charset val="128"/>
          </rPr>
          <t xml:space="preserve"> 26-5584</t>
        </r>
      </text>
    </comment>
    <comment ref="A1142" authorId="0" shapeId="0" xr:uid="{00000000-0006-0000-0000-00003D020000}">
      <text>
        <r>
          <rPr>
            <sz val="9"/>
            <color indexed="81"/>
            <rFont val="MS P ゴシック"/>
            <family val="3"/>
            <charset val="128"/>
          </rPr>
          <t xml:space="preserve"> 26-5618</t>
        </r>
      </text>
    </comment>
    <comment ref="A1144" authorId="0" shapeId="0" xr:uid="{00000000-0006-0000-0000-00003E020000}">
      <text>
        <r>
          <rPr>
            <sz val="9"/>
            <color indexed="81"/>
            <rFont val="MS P ゴシック"/>
            <family val="3"/>
            <charset val="128"/>
          </rPr>
          <t xml:space="preserve"> 26-5619</t>
        </r>
      </text>
    </comment>
    <comment ref="A1146" authorId="0" shapeId="0" xr:uid="{00000000-0006-0000-0000-00003F020000}">
      <text>
        <r>
          <rPr>
            <sz val="9"/>
            <color indexed="81"/>
            <rFont val="MS P ゴシック"/>
            <family val="3"/>
            <charset val="128"/>
          </rPr>
          <t xml:space="preserve"> 26-5644</t>
        </r>
      </text>
    </comment>
    <comment ref="A1148" authorId="0" shapeId="0" xr:uid="{00000000-0006-0000-0000-000040020000}">
      <text>
        <r>
          <rPr>
            <sz val="9"/>
            <color indexed="81"/>
            <rFont val="MS P ゴシック"/>
            <family val="3"/>
            <charset val="128"/>
          </rPr>
          <t xml:space="preserve"> 26-5652</t>
        </r>
      </text>
    </comment>
    <comment ref="A1150" authorId="0" shapeId="0" xr:uid="{00000000-0006-0000-0000-000041020000}">
      <text>
        <r>
          <rPr>
            <sz val="9"/>
            <color indexed="81"/>
            <rFont val="MS P ゴシック"/>
            <family val="3"/>
            <charset val="128"/>
          </rPr>
          <t xml:space="preserve"> 26-5653</t>
        </r>
      </text>
    </comment>
    <comment ref="A1152" authorId="0" shapeId="0" xr:uid="{00000000-0006-0000-0000-000042020000}">
      <text>
        <r>
          <rPr>
            <sz val="9"/>
            <color indexed="81"/>
            <rFont val="MS P ゴシック"/>
            <family val="3"/>
            <charset val="128"/>
          </rPr>
          <t xml:space="preserve"> 26-5684</t>
        </r>
      </text>
    </comment>
    <comment ref="A1154" authorId="0" shapeId="0" xr:uid="{00000000-0006-0000-0000-000043020000}">
      <text>
        <r>
          <rPr>
            <sz val="9"/>
            <color indexed="81"/>
            <rFont val="MS P ゴシック"/>
            <family val="3"/>
            <charset val="128"/>
          </rPr>
          <t xml:space="preserve"> 26-5690</t>
        </r>
      </text>
    </comment>
    <comment ref="A1156" authorId="0" shapeId="0" xr:uid="{00000000-0006-0000-0000-000044020000}">
      <text>
        <r>
          <rPr>
            <sz val="9"/>
            <color indexed="81"/>
            <rFont val="MS P ゴシック"/>
            <family val="3"/>
            <charset val="128"/>
          </rPr>
          <t xml:space="preserve"> 26-5698</t>
        </r>
      </text>
    </comment>
    <comment ref="A1158" authorId="0" shapeId="0" xr:uid="{00000000-0006-0000-0000-000045020000}">
      <text>
        <r>
          <rPr>
            <sz val="9"/>
            <color indexed="81"/>
            <rFont val="MS P ゴシック"/>
            <family val="3"/>
            <charset val="128"/>
          </rPr>
          <t xml:space="preserve"> 26-5712</t>
        </r>
      </text>
    </comment>
    <comment ref="A1160" authorId="0" shapeId="0" xr:uid="{00000000-0006-0000-0000-000046020000}">
      <text>
        <r>
          <rPr>
            <sz val="9"/>
            <color indexed="81"/>
            <rFont val="MS P ゴシック"/>
            <family val="3"/>
            <charset val="128"/>
          </rPr>
          <t xml:space="preserve"> 26-5797</t>
        </r>
      </text>
    </comment>
    <comment ref="A1162" authorId="0" shapeId="0" xr:uid="{00000000-0006-0000-0000-000047020000}">
      <text>
        <r>
          <rPr>
            <sz val="9"/>
            <color indexed="81"/>
            <rFont val="MS P ゴシック"/>
            <family val="3"/>
            <charset val="128"/>
          </rPr>
          <t xml:space="preserve"> 26-5818</t>
        </r>
      </text>
    </comment>
    <comment ref="A1164" authorId="0" shapeId="0" xr:uid="{00000000-0006-0000-0000-000048020000}">
      <text>
        <r>
          <rPr>
            <sz val="9"/>
            <color indexed="81"/>
            <rFont val="MS P ゴシック"/>
            <family val="3"/>
            <charset val="128"/>
          </rPr>
          <t xml:space="preserve"> 26-5829</t>
        </r>
      </text>
    </comment>
    <comment ref="A1166" authorId="0" shapeId="0" xr:uid="{00000000-0006-0000-0000-000049020000}">
      <text>
        <r>
          <rPr>
            <sz val="9"/>
            <color indexed="81"/>
            <rFont val="MS P ゴシック"/>
            <family val="3"/>
            <charset val="128"/>
          </rPr>
          <t xml:space="preserve"> 26-5865</t>
        </r>
      </text>
    </comment>
    <comment ref="A1168" authorId="0" shapeId="0" xr:uid="{00000000-0006-0000-0000-00004A020000}">
      <text>
        <r>
          <rPr>
            <sz val="9"/>
            <color indexed="81"/>
            <rFont val="MS P ゴシック"/>
            <family val="3"/>
            <charset val="128"/>
          </rPr>
          <t xml:space="preserve"> 26-5866</t>
        </r>
      </text>
    </comment>
    <comment ref="A1170" authorId="0" shapeId="0" xr:uid="{00000000-0006-0000-0000-00004B020000}">
      <text>
        <r>
          <rPr>
            <sz val="9"/>
            <color indexed="81"/>
            <rFont val="MS P ゴシック"/>
            <family val="3"/>
            <charset val="128"/>
          </rPr>
          <t xml:space="preserve"> 26-5867</t>
        </r>
      </text>
    </comment>
    <comment ref="A1172" authorId="0" shapeId="0" xr:uid="{00000000-0006-0000-0000-00004C020000}">
      <text>
        <r>
          <rPr>
            <sz val="9"/>
            <color indexed="81"/>
            <rFont val="MS P ゴシック"/>
            <family val="3"/>
            <charset val="128"/>
          </rPr>
          <t xml:space="preserve"> 26-5868</t>
        </r>
      </text>
    </comment>
    <comment ref="A1174" authorId="0" shapeId="0" xr:uid="{00000000-0006-0000-0000-00004D020000}">
      <text>
        <r>
          <rPr>
            <sz val="9"/>
            <color indexed="81"/>
            <rFont val="MS P ゴシック"/>
            <family val="3"/>
            <charset val="128"/>
          </rPr>
          <t xml:space="preserve"> 26-5874</t>
        </r>
      </text>
    </comment>
    <comment ref="A1176" authorId="0" shapeId="0" xr:uid="{00000000-0006-0000-0000-00004E020000}">
      <text>
        <r>
          <rPr>
            <sz val="9"/>
            <color indexed="81"/>
            <rFont val="MS P ゴシック"/>
            <family val="3"/>
            <charset val="128"/>
          </rPr>
          <t xml:space="preserve"> 26-5878</t>
        </r>
      </text>
    </comment>
    <comment ref="A1178" authorId="0" shapeId="0" xr:uid="{00000000-0006-0000-0000-00004F020000}">
      <text>
        <r>
          <rPr>
            <sz val="9"/>
            <color indexed="81"/>
            <rFont val="MS P ゴシック"/>
            <family val="3"/>
            <charset val="128"/>
          </rPr>
          <t xml:space="preserve"> 26-5882</t>
        </r>
      </text>
    </comment>
    <comment ref="A1180" authorId="0" shapeId="0" xr:uid="{00000000-0006-0000-0000-000050020000}">
      <text>
        <r>
          <rPr>
            <sz val="9"/>
            <color indexed="81"/>
            <rFont val="MS P ゴシック"/>
            <family val="3"/>
            <charset val="128"/>
          </rPr>
          <t xml:space="preserve"> 26-5896</t>
        </r>
      </text>
    </comment>
    <comment ref="A1182" authorId="0" shapeId="0" xr:uid="{00000000-0006-0000-0000-000051020000}">
      <text>
        <r>
          <rPr>
            <sz val="9"/>
            <color indexed="81"/>
            <rFont val="MS P ゴシック"/>
            <family val="3"/>
            <charset val="128"/>
          </rPr>
          <t xml:space="preserve"> 26-5901</t>
        </r>
      </text>
    </comment>
    <comment ref="A1184" authorId="0" shapeId="0" xr:uid="{00000000-0006-0000-0000-000052020000}">
      <text>
        <r>
          <rPr>
            <sz val="9"/>
            <color indexed="81"/>
            <rFont val="MS P ゴシック"/>
            <family val="3"/>
            <charset val="128"/>
          </rPr>
          <t xml:space="preserve"> 26-5921</t>
        </r>
      </text>
    </comment>
    <comment ref="A1186" authorId="0" shapeId="0" xr:uid="{00000000-0006-0000-0000-000053020000}">
      <text>
        <r>
          <rPr>
            <sz val="9"/>
            <color indexed="81"/>
            <rFont val="MS P ゴシック"/>
            <family val="3"/>
            <charset val="128"/>
          </rPr>
          <t xml:space="preserve"> 26-5929</t>
        </r>
      </text>
    </comment>
    <comment ref="A1188" authorId="0" shapeId="0" xr:uid="{00000000-0006-0000-0000-000054020000}">
      <text>
        <r>
          <rPr>
            <sz val="9"/>
            <color indexed="81"/>
            <rFont val="MS P ゴシック"/>
            <family val="3"/>
            <charset val="128"/>
          </rPr>
          <t xml:space="preserve"> 26-5955</t>
        </r>
      </text>
    </comment>
    <comment ref="A1190" authorId="0" shapeId="0" xr:uid="{00000000-0006-0000-0000-000055020000}">
      <text>
        <r>
          <rPr>
            <sz val="9"/>
            <color indexed="81"/>
            <rFont val="MS P ゴシック"/>
            <family val="3"/>
            <charset val="128"/>
          </rPr>
          <t xml:space="preserve"> 26-5956</t>
        </r>
      </text>
    </comment>
    <comment ref="A1192" authorId="0" shapeId="0" xr:uid="{00000000-0006-0000-0000-000057020000}">
      <text>
        <r>
          <rPr>
            <sz val="9"/>
            <color indexed="81"/>
            <rFont val="MS P ゴシック"/>
            <family val="3"/>
            <charset val="128"/>
          </rPr>
          <t xml:space="preserve"> 26-5963</t>
        </r>
      </text>
    </comment>
    <comment ref="A1194" authorId="0" shapeId="0" xr:uid="{00000000-0006-0000-0000-000058020000}">
      <text>
        <r>
          <rPr>
            <sz val="9"/>
            <color indexed="81"/>
            <rFont val="MS P ゴシック"/>
            <family val="3"/>
            <charset val="128"/>
          </rPr>
          <t xml:space="preserve"> 26-5987</t>
        </r>
      </text>
    </comment>
    <comment ref="A1196" authorId="0" shapeId="0" xr:uid="{00000000-0006-0000-0000-000059020000}">
      <text>
        <r>
          <rPr>
            <sz val="9"/>
            <color indexed="81"/>
            <rFont val="MS P ゴシック"/>
            <family val="3"/>
            <charset val="128"/>
          </rPr>
          <t xml:space="preserve"> 26-5989</t>
        </r>
      </text>
    </comment>
    <comment ref="A1198" authorId="0" shapeId="0" xr:uid="{00000000-0006-0000-0000-00005A020000}">
      <text>
        <r>
          <rPr>
            <sz val="9"/>
            <color indexed="81"/>
            <rFont val="MS P ゴシック"/>
            <family val="3"/>
            <charset val="128"/>
          </rPr>
          <t xml:space="preserve"> 26-5993</t>
        </r>
      </text>
    </comment>
    <comment ref="A1200" authorId="0" shapeId="0" xr:uid="{00000000-0006-0000-0000-00005B020000}">
      <text>
        <r>
          <rPr>
            <sz val="9"/>
            <color indexed="81"/>
            <rFont val="MS P ゴシック"/>
            <family val="3"/>
            <charset val="128"/>
          </rPr>
          <t xml:space="preserve"> 26-5996</t>
        </r>
      </text>
    </comment>
    <comment ref="A1202" authorId="0" shapeId="0" xr:uid="{00000000-0006-0000-0000-00005C020000}">
      <text>
        <r>
          <rPr>
            <sz val="9"/>
            <color indexed="81"/>
            <rFont val="MS P ゴシック"/>
            <family val="3"/>
            <charset val="128"/>
          </rPr>
          <t xml:space="preserve"> 26-6000</t>
        </r>
      </text>
    </comment>
    <comment ref="A1204" authorId="0" shapeId="0" xr:uid="{00000000-0006-0000-0000-00005D020000}">
      <text>
        <r>
          <rPr>
            <sz val="9"/>
            <color indexed="81"/>
            <rFont val="MS P ゴシック"/>
            <family val="3"/>
            <charset val="128"/>
          </rPr>
          <t xml:space="preserve"> 26-6001</t>
        </r>
      </text>
    </comment>
    <comment ref="A1206" authorId="0" shapeId="0" xr:uid="{00000000-0006-0000-0000-00005E020000}">
      <text>
        <r>
          <rPr>
            <sz val="9"/>
            <color indexed="81"/>
            <rFont val="MS P ゴシック"/>
            <family val="3"/>
            <charset val="128"/>
          </rPr>
          <t xml:space="preserve"> 26-6002</t>
        </r>
      </text>
    </comment>
    <comment ref="A1208" authorId="0" shapeId="0" xr:uid="{00000000-0006-0000-0000-00005F020000}">
      <text>
        <r>
          <rPr>
            <sz val="9"/>
            <color indexed="81"/>
            <rFont val="MS P ゴシック"/>
            <family val="3"/>
            <charset val="128"/>
          </rPr>
          <t xml:space="preserve"> 26-6004</t>
        </r>
      </text>
    </comment>
    <comment ref="A1210" authorId="0" shapeId="0" xr:uid="{00000000-0006-0000-0000-000060020000}">
      <text>
        <r>
          <rPr>
            <sz val="9"/>
            <color indexed="81"/>
            <rFont val="MS P ゴシック"/>
            <family val="3"/>
            <charset val="128"/>
          </rPr>
          <t xml:space="preserve"> 26-6008</t>
        </r>
      </text>
    </comment>
    <comment ref="A1212" authorId="0" shapeId="0" xr:uid="{00000000-0006-0000-0000-000061020000}">
      <text>
        <r>
          <rPr>
            <sz val="9"/>
            <color indexed="81"/>
            <rFont val="MS P ゴシック"/>
            <family val="3"/>
            <charset val="128"/>
          </rPr>
          <t xml:space="preserve"> 26-6032</t>
        </r>
      </text>
    </comment>
    <comment ref="A1214" authorId="0" shapeId="0" xr:uid="{00000000-0006-0000-0000-000062020000}">
      <text>
        <r>
          <rPr>
            <sz val="9"/>
            <color indexed="81"/>
            <rFont val="MS P ゴシック"/>
            <family val="3"/>
            <charset val="128"/>
          </rPr>
          <t xml:space="preserve"> 26-6034</t>
        </r>
      </text>
    </comment>
    <comment ref="A1216" authorId="0" shapeId="0" xr:uid="{00000000-0006-0000-0000-000063020000}">
      <text>
        <r>
          <rPr>
            <sz val="9"/>
            <color indexed="81"/>
            <rFont val="MS P ゴシック"/>
            <family val="3"/>
            <charset val="128"/>
          </rPr>
          <t xml:space="preserve"> 26-6040</t>
        </r>
      </text>
    </comment>
    <comment ref="A1218" authorId="0" shapeId="0" xr:uid="{00000000-0006-0000-0000-000064020000}">
      <text>
        <r>
          <rPr>
            <sz val="9"/>
            <color indexed="81"/>
            <rFont val="MS P ゴシック"/>
            <family val="3"/>
            <charset val="128"/>
          </rPr>
          <t xml:space="preserve"> 26-6041</t>
        </r>
      </text>
    </comment>
    <comment ref="A1220" authorId="0" shapeId="0" xr:uid="{00000000-0006-0000-0000-000065020000}">
      <text>
        <r>
          <rPr>
            <sz val="9"/>
            <color indexed="81"/>
            <rFont val="MS P ゴシック"/>
            <family val="3"/>
            <charset val="128"/>
          </rPr>
          <t xml:space="preserve"> 26-6060</t>
        </r>
      </text>
    </comment>
    <comment ref="A1222" authorId="0" shapeId="0" xr:uid="{00000000-0006-0000-0000-000066020000}">
      <text>
        <r>
          <rPr>
            <sz val="9"/>
            <color indexed="81"/>
            <rFont val="MS P ゴシック"/>
            <family val="3"/>
            <charset val="128"/>
          </rPr>
          <t xml:space="preserve"> 26-6069</t>
        </r>
      </text>
    </comment>
    <comment ref="A1224" authorId="0" shapeId="0" xr:uid="{00000000-0006-0000-0000-000067020000}">
      <text>
        <r>
          <rPr>
            <sz val="9"/>
            <color indexed="81"/>
            <rFont val="MS P ゴシック"/>
            <family val="3"/>
            <charset val="128"/>
          </rPr>
          <t xml:space="preserve"> 26-6076</t>
        </r>
      </text>
    </comment>
    <comment ref="A1226" authorId="0" shapeId="0" xr:uid="{00000000-0006-0000-0000-000068020000}">
      <text>
        <r>
          <rPr>
            <sz val="9"/>
            <color indexed="81"/>
            <rFont val="MS P ゴシック"/>
            <family val="3"/>
            <charset val="128"/>
          </rPr>
          <t xml:space="preserve"> 26-6081</t>
        </r>
      </text>
    </comment>
    <comment ref="A1228" authorId="0" shapeId="0" xr:uid="{00000000-0006-0000-0000-000069020000}">
      <text>
        <r>
          <rPr>
            <sz val="9"/>
            <color indexed="81"/>
            <rFont val="MS P ゴシック"/>
            <family val="3"/>
            <charset val="128"/>
          </rPr>
          <t xml:space="preserve"> 26-6090</t>
        </r>
      </text>
    </comment>
    <comment ref="A1230" authorId="0" shapeId="0" xr:uid="{00000000-0006-0000-0000-00006A020000}">
      <text>
        <r>
          <rPr>
            <sz val="9"/>
            <color indexed="81"/>
            <rFont val="MS P ゴシック"/>
            <family val="3"/>
            <charset val="128"/>
          </rPr>
          <t xml:space="preserve"> 26-6116</t>
        </r>
      </text>
    </comment>
    <comment ref="A1232" authorId="0" shapeId="0" xr:uid="{00000000-0006-0000-0000-00006B020000}">
      <text>
        <r>
          <rPr>
            <sz val="9"/>
            <color indexed="81"/>
            <rFont val="MS P ゴシック"/>
            <family val="3"/>
            <charset val="128"/>
          </rPr>
          <t xml:space="preserve"> 26-6123</t>
        </r>
      </text>
    </comment>
    <comment ref="A1234" authorId="0" shapeId="0" xr:uid="{00000000-0006-0000-0000-00006C020000}">
      <text>
        <r>
          <rPr>
            <sz val="9"/>
            <color indexed="81"/>
            <rFont val="MS P ゴシック"/>
            <family val="3"/>
            <charset val="128"/>
          </rPr>
          <t xml:space="preserve"> 26-6128</t>
        </r>
      </text>
    </comment>
    <comment ref="A1236" authorId="0" shapeId="0" xr:uid="{00000000-0006-0000-0000-00006D020000}">
      <text>
        <r>
          <rPr>
            <sz val="9"/>
            <color indexed="81"/>
            <rFont val="MS P ゴシック"/>
            <family val="3"/>
            <charset val="128"/>
          </rPr>
          <t xml:space="preserve"> 26-6131</t>
        </r>
      </text>
    </comment>
    <comment ref="A1238" authorId="0" shapeId="0" xr:uid="{00000000-0006-0000-0000-00006E020000}">
      <text>
        <r>
          <rPr>
            <sz val="9"/>
            <color indexed="81"/>
            <rFont val="MS P ゴシック"/>
            <family val="3"/>
            <charset val="128"/>
          </rPr>
          <t xml:space="preserve"> 26-6145</t>
        </r>
      </text>
    </comment>
    <comment ref="A1240" authorId="0" shapeId="0" xr:uid="{00000000-0006-0000-0000-00006F020000}">
      <text>
        <r>
          <rPr>
            <sz val="9"/>
            <color indexed="81"/>
            <rFont val="MS P ゴシック"/>
            <family val="3"/>
            <charset val="128"/>
          </rPr>
          <t xml:space="preserve"> 26-6154</t>
        </r>
      </text>
    </comment>
    <comment ref="A1242" authorId="0" shapeId="0" xr:uid="{00000000-0006-0000-0000-000070020000}">
      <text>
        <r>
          <rPr>
            <sz val="9"/>
            <color indexed="81"/>
            <rFont val="MS P ゴシック"/>
            <family val="3"/>
            <charset val="128"/>
          </rPr>
          <t xml:space="preserve"> 26-6159</t>
        </r>
      </text>
    </comment>
    <comment ref="A1244" authorId="0" shapeId="0" xr:uid="{00000000-0006-0000-0000-000071020000}">
      <text>
        <r>
          <rPr>
            <sz val="9"/>
            <color indexed="81"/>
            <rFont val="MS P ゴシック"/>
            <family val="3"/>
            <charset val="128"/>
          </rPr>
          <t xml:space="preserve"> 26-6164</t>
        </r>
      </text>
    </comment>
    <comment ref="A1246" authorId="0" shapeId="0" xr:uid="{00000000-0006-0000-0000-000072020000}">
      <text>
        <r>
          <rPr>
            <sz val="9"/>
            <color indexed="81"/>
            <rFont val="MS P ゴシック"/>
            <family val="3"/>
            <charset val="128"/>
          </rPr>
          <t xml:space="preserve"> 26-6166</t>
        </r>
      </text>
    </comment>
    <comment ref="A1248" authorId="0" shapeId="0" xr:uid="{00000000-0006-0000-0000-000073020000}">
      <text>
        <r>
          <rPr>
            <sz val="9"/>
            <color indexed="81"/>
            <rFont val="MS P ゴシック"/>
            <family val="3"/>
            <charset val="128"/>
          </rPr>
          <t xml:space="preserve"> 26-6169</t>
        </r>
      </text>
    </comment>
    <comment ref="A1250" authorId="0" shapeId="0" xr:uid="{00000000-0006-0000-0000-000074020000}">
      <text>
        <r>
          <rPr>
            <sz val="9"/>
            <color indexed="81"/>
            <rFont val="MS P ゴシック"/>
            <family val="3"/>
            <charset val="128"/>
          </rPr>
          <t xml:space="preserve"> 26-6171</t>
        </r>
      </text>
    </comment>
    <comment ref="A1252" authorId="0" shapeId="0" xr:uid="{00000000-0006-0000-0000-000075020000}">
      <text>
        <r>
          <rPr>
            <sz val="9"/>
            <color indexed="81"/>
            <rFont val="MS P ゴシック"/>
            <family val="3"/>
            <charset val="128"/>
          </rPr>
          <t xml:space="preserve"> 26-6174</t>
        </r>
      </text>
    </comment>
    <comment ref="A1254" authorId="0" shapeId="0" xr:uid="{00000000-0006-0000-0000-000076020000}">
      <text>
        <r>
          <rPr>
            <sz val="9"/>
            <color indexed="81"/>
            <rFont val="MS P ゴシック"/>
            <family val="3"/>
            <charset val="128"/>
          </rPr>
          <t xml:space="preserve"> 26-6187</t>
        </r>
      </text>
    </comment>
    <comment ref="A1256" authorId="0" shapeId="0" xr:uid="{00000000-0006-0000-0000-000077020000}">
      <text>
        <r>
          <rPr>
            <sz val="9"/>
            <color indexed="81"/>
            <rFont val="MS P ゴシック"/>
            <family val="3"/>
            <charset val="128"/>
          </rPr>
          <t xml:space="preserve"> 26-6196</t>
        </r>
      </text>
    </comment>
    <comment ref="A1258" authorId="0" shapeId="0" xr:uid="{00000000-0006-0000-0000-000078020000}">
      <text>
        <r>
          <rPr>
            <sz val="9"/>
            <color indexed="81"/>
            <rFont val="MS P ゴシック"/>
            <family val="3"/>
            <charset val="128"/>
          </rPr>
          <t xml:space="preserve"> 26-6198</t>
        </r>
      </text>
    </comment>
    <comment ref="A1260" authorId="0" shapeId="0" xr:uid="{00000000-0006-0000-0000-000079020000}">
      <text>
        <r>
          <rPr>
            <sz val="9"/>
            <color indexed="81"/>
            <rFont val="MS P ゴシック"/>
            <family val="3"/>
            <charset val="128"/>
          </rPr>
          <t xml:space="preserve"> 26-6208</t>
        </r>
      </text>
    </comment>
    <comment ref="A1262" authorId="0" shapeId="0" xr:uid="{00000000-0006-0000-0000-00007A020000}">
      <text>
        <r>
          <rPr>
            <sz val="9"/>
            <color indexed="81"/>
            <rFont val="MS P ゴシック"/>
            <family val="3"/>
            <charset val="128"/>
          </rPr>
          <t xml:space="preserve"> 26-6235</t>
        </r>
      </text>
    </comment>
    <comment ref="A1264" authorId="0" shapeId="0" xr:uid="{00000000-0006-0000-0000-00007B020000}">
      <text>
        <r>
          <rPr>
            <sz val="9"/>
            <color indexed="81"/>
            <rFont val="MS P ゴシック"/>
            <family val="3"/>
            <charset val="128"/>
          </rPr>
          <t xml:space="preserve"> 26-6263</t>
        </r>
      </text>
    </comment>
    <comment ref="A1266" authorId="0" shapeId="0" xr:uid="{00000000-0006-0000-0000-00007C020000}">
      <text>
        <r>
          <rPr>
            <sz val="9"/>
            <color indexed="81"/>
            <rFont val="MS P ゴシック"/>
            <family val="3"/>
            <charset val="128"/>
          </rPr>
          <t xml:space="preserve"> 26-6269</t>
        </r>
      </text>
    </comment>
    <comment ref="A1268" authorId="0" shapeId="0" xr:uid="{00000000-0006-0000-0000-00007D020000}">
      <text>
        <r>
          <rPr>
            <sz val="9"/>
            <color indexed="81"/>
            <rFont val="MS P ゴシック"/>
            <family val="3"/>
            <charset val="128"/>
          </rPr>
          <t xml:space="preserve"> 26-6271</t>
        </r>
      </text>
    </comment>
    <comment ref="A1270" authorId="0" shapeId="0" xr:uid="{00000000-0006-0000-0000-00007E020000}">
      <text>
        <r>
          <rPr>
            <sz val="9"/>
            <color indexed="81"/>
            <rFont val="MS P ゴシック"/>
            <family val="3"/>
            <charset val="128"/>
          </rPr>
          <t xml:space="preserve"> 26-6283</t>
        </r>
      </text>
    </comment>
    <comment ref="A1272" authorId="0" shapeId="0" xr:uid="{00000000-0006-0000-0000-00007F020000}">
      <text>
        <r>
          <rPr>
            <sz val="9"/>
            <color indexed="81"/>
            <rFont val="MS P ゴシック"/>
            <family val="3"/>
            <charset val="128"/>
          </rPr>
          <t xml:space="preserve"> 26-6287</t>
        </r>
      </text>
    </comment>
    <comment ref="A1274" authorId="0" shapeId="0" xr:uid="{00000000-0006-0000-0000-000080020000}">
      <text>
        <r>
          <rPr>
            <sz val="9"/>
            <color indexed="81"/>
            <rFont val="MS P ゴシック"/>
            <family val="3"/>
            <charset val="128"/>
          </rPr>
          <t xml:space="preserve"> 26-6292</t>
        </r>
      </text>
    </comment>
    <comment ref="A1276" authorId="0" shapeId="0" xr:uid="{00000000-0006-0000-0000-000081020000}">
      <text>
        <r>
          <rPr>
            <sz val="9"/>
            <color indexed="81"/>
            <rFont val="MS P ゴシック"/>
            <family val="3"/>
            <charset val="128"/>
          </rPr>
          <t xml:space="preserve"> 26-6294</t>
        </r>
      </text>
    </comment>
    <comment ref="A1278" authorId="0" shapeId="0" xr:uid="{00000000-0006-0000-0000-000082020000}">
      <text>
        <r>
          <rPr>
            <sz val="9"/>
            <color indexed="81"/>
            <rFont val="MS P ゴシック"/>
            <family val="3"/>
            <charset val="128"/>
          </rPr>
          <t xml:space="preserve"> 26-6295</t>
        </r>
      </text>
    </comment>
    <comment ref="A1280" authorId="0" shapeId="0" xr:uid="{00000000-0006-0000-0000-000083020000}">
      <text>
        <r>
          <rPr>
            <sz val="9"/>
            <color indexed="81"/>
            <rFont val="MS P ゴシック"/>
            <family val="3"/>
            <charset val="128"/>
          </rPr>
          <t xml:space="preserve"> 26-6300</t>
        </r>
      </text>
    </comment>
    <comment ref="A1282" authorId="0" shapeId="0" xr:uid="{00000000-0006-0000-0000-000084020000}">
      <text>
        <r>
          <rPr>
            <sz val="9"/>
            <color indexed="81"/>
            <rFont val="MS P ゴシック"/>
            <family val="3"/>
            <charset val="128"/>
          </rPr>
          <t xml:space="preserve"> 26-6304</t>
        </r>
      </text>
    </comment>
    <comment ref="A1284" authorId="0" shapeId="0" xr:uid="{00000000-0006-0000-0000-000085020000}">
      <text>
        <r>
          <rPr>
            <sz val="9"/>
            <color indexed="81"/>
            <rFont val="MS P ゴシック"/>
            <family val="3"/>
            <charset val="128"/>
          </rPr>
          <t xml:space="preserve"> 26-6308</t>
        </r>
      </text>
    </comment>
    <comment ref="A1286" authorId="0" shapeId="0" xr:uid="{00000000-0006-0000-0000-000086020000}">
      <text>
        <r>
          <rPr>
            <sz val="9"/>
            <color indexed="81"/>
            <rFont val="MS P ゴシック"/>
            <family val="3"/>
            <charset val="128"/>
          </rPr>
          <t xml:space="preserve"> 26-6313</t>
        </r>
      </text>
    </comment>
    <comment ref="A1288" authorId="0" shapeId="0" xr:uid="{00000000-0006-0000-0000-000087020000}">
      <text>
        <r>
          <rPr>
            <sz val="9"/>
            <color indexed="81"/>
            <rFont val="MS P ゴシック"/>
            <family val="3"/>
            <charset val="128"/>
          </rPr>
          <t xml:space="preserve"> 26-6315</t>
        </r>
      </text>
    </comment>
    <comment ref="A1290" authorId="0" shapeId="0" xr:uid="{00000000-0006-0000-0000-000088020000}">
      <text>
        <r>
          <rPr>
            <sz val="9"/>
            <color indexed="81"/>
            <rFont val="MS P ゴシック"/>
            <family val="3"/>
            <charset val="128"/>
          </rPr>
          <t xml:space="preserve"> 26-6317</t>
        </r>
      </text>
    </comment>
    <comment ref="A1292" authorId="0" shapeId="0" xr:uid="{00000000-0006-0000-0000-000089020000}">
      <text>
        <r>
          <rPr>
            <sz val="9"/>
            <color indexed="81"/>
            <rFont val="MS P ゴシック"/>
            <family val="3"/>
            <charset val="128"/>
          </rPr>
          <t xml:space="preserve"> 26-6323</t>
        </r>
      </text>
    </comment>
    <comment ref="A1294" authorId="0" shapeId="0" xr:uid="{00000000-0006-0000-0000-00008A020000}">
      <text>
        <r>
          <rPr>
            <sz val="9"/>
            <color indexed="81"/>
            <rFont val="MS P ゴシック"/>
            <family val="3"/>
            <charset val="128"/>
          </rPr>
          <t xml:space="preserve"> 26-6328</t>
        </r>
      </text>
    </comment>
    <comment ref="A1296" authorId="0" shapeId="0" xr:uid="{00000000-0006-0000-0000-00008B020000}">
      <text>
        <r>
          <rPr>
            <sz val="9"/>
            <color indexed="81"/>
            <rFont val="MS P ゴシック"/>
            <family val="3"/>
            <charset val="128"/>
          </rPr>
          <t xml:space="preserve"> 26-6329</t>
        </r>
      </text>
    </comment>
    <comment ref="A1298" authorId="0" shapeId="0" xr:uid="{00000000-0006-0000-0000-00008C020000}">
      <text>
        <r>
          <rPr>
            <sz val="9"/>
            <color indexed="81"/>
            <rFont val="MS P ゴシック"/>
            <family val="3"/>
            <charset val="128"/>
          </rPr>
          <t xml:space="preserve"> 26-6333</t>
        </r>
      </text>
    </comment>
    <comment ref="A1300" authorId="0" shapeId="0" xr:uid="{00000000-0006-0000-0000-00008D020000}">
      <text>
        <r>
          <rPr>
            <sz val="9"/>
            <color indexed="81"/>
            <rFont val="MS P ゴシック"/>
            <family val="3"/>
            <charset val="128"/>
          </rPr>
          <t xml:space="preserve"> 26-6341</t>
        </r>
      </text>
    </comment>
    <comment ref="A1302" authorId="0" shapeId="0" xr:uid="{00000000-0006-0000-0000-00008E020000}">
      <text>
        <r>
          <rPr>
            <sz val="9"/>
            <color indexed="81"/>
            <rFont val="MS P ゴシック"/>
            <family val="3"/>
            <charset val="128"/>
          </rPr>
          <t xml:space="preserve"> 26-6342</t>
        </r>
      </text>
    </comment>
    <comment ref="A1304" authorId="0" shapeId="0" xr:uid="{00000000-0006-0000-0000-00008F020000}">
      <text>
        <r>
          <rPr>
            <sz val="9"/>
            <color indexed="81"/>
            <rFont val="MS P ゴシック"/>
            <family val="3"/>
            <charset val="128"/>
          </rPr>
          <t xml:space="preserve"> 26-6347</t>
        </r>
      </text>
    </comment>
    <comment ref="A1306" authorId="0" shapeId="0" xr:uid="{00000000-0006-0000-0000-000090020000}">
      <text>
        <r>
          <rPr>
            <sz val="9"/>
            <color indexed="81"/>
            <rFont val="MS P ゴシック"/>
            <family val="3"/>
            <charset val="128"/>
          </rPr>
          <t xml:space="preserve"> 26-6349</t>
        </r>
      </text>
    </comment>
    <comment ref="A1308" authorId="0" shapeId="0" xr:uid="{00000000-0006-0000-0000-000091020000}">
      <text>
        <r>
          <rPr>
            <sz val="9"/>
            <color indexed="81"/>
            <rFont val="MS P ゴシック"/>
            <family val="3"/>
            <charset val="128"/>
          </rPr>
          <t xml:space="preserve"> 26-6354</t>
        </r>
      </text>
    </comment>
    <comment ref="A1310" authorId="0" shapeId="0" xr:uid="{00000000-0006-0000-0000-000092020000}">
      <text>
        <r>
          <rPr>
            <sz val="9"/>
            <color indexed="81"/>
            <rFont val="MS P ゴシック"/>
            <family val="3"/>
            <charset val="128"/>
          </rPr>
          <t xml:space="preserve"> 26-6362</t>
        </r>
      </text>
    </comment>
    <comment ref="A1312" authorId="0" shapeId="0" xr:uid="{00000000-0006-0000-0000-000093020000}">
      <text>
        <r>
          <rPr>
            <sz val="9"/>
            <color indexed="81"/>
            <rFont val="MS P ゴシック"/>
            <family val="3"/>
            <charset val="128"/>
          </rPr>
          <t xml:space="preserve"> 26-6380</t>
        </r>
      </text>
    </comment>
    <comment ref="A1314" authorId="0" shapeId="0" xr:uid="{00000000-0006-0000-0000-000094020000}">
      <text>
        <r>
          <rPr>
            <sz val="9"/>
            <color indexed="81"/>
            <rFont val="MS P ゴシック"/>
            <family val="3"/>
            <charset val="128"/>
          </rPr>
          <t xml:space="preserve"> 26-6383</t>
        </r>
      </text>
    </comment>
    <comment ref="A1316" authorId="0" shapeId="0" xr:uid="{00000000-0006-0000-0000-000095020000}">
      <text>
        <r>
          <rPr>
            <sz val="9"/>
            <color indexed="81"/>
            <rFont val="MS P ゴシック"/>
            <family val="3"/>
            <charset val="128"/>
          </rPr>
          <t xml:space="preserve"> 26-6386</t>
        </r>
      </text>
    </comment>
    <comment ref="A1318" authorId="0" shapeId="0" xr:uid="{00000000-0006-0000-0000-000096020000}">
      <text>
        <r>
          <rPr>
            <sz val="9"/>
            <color indexed="81"/>
            <rFont val="MS P ゴシック"/>
            <family val="3"/>
            <charset val="128"/>
          </rPr>
          <t xml:space="preserve"> 26-6393</t>
        </r>
      </text>
    </comment>
    <comment ref="A1320" authorId="0" shapeId="0" xr:uid="{00000000-0006-0000-0000-000097020000}">
      <text>
        <r>
          <rPr>
            <sz val="9"/>
            <color indexed="81"/>
            <rFont val="MS P ゴシック"/>
            <family val="3"/>
            <charset val="128"/>
          </rPr>
          <t xml:space="preserve"> 26-6400</t>
        </r>
      </text>
    </comment>
    <comment ref="A1322" authorId="0" shapeId="0" xr:uid="{00000000-0006-0000-0000-000098020000}">
      <text>
        <r>
          <rPr>
            <sz val="9"/>
            <color indexed="81"/>
            <rFont val="MS P ゴシック"/>
            <family val="3"/>
            <charset val="128"/>
          </rPr>
          <t xml:space="preserve"> 26-6401</t>
        </r>
      </text>
    </comment>
    <comment ref="A1324" authorId="0" shapeId="0" xr:uid="{00000000-0006-0000-0000-000099020000}">
      <text>
        <r>
          <rPr>
            <sz val="9"/>
            <color indexed="81"/>
            <rFont val="MS P ゴシック"/>
            <family val="3"/>
            <charset val="128"/>
          </rPr>
          <t xml:space="preserve"> 26-6404</t>
        </r>
      </text>
    </comment>
    <comment ref="A1326" authorId="0" shapeId="0" xr:uid="{00000000-0006-0000-0000-00009A020000}">
      <text>
        <r>
          <rPr>
            <sz val="9"/>
            <color indexed="81"/>
            <rFont val="MS P ゴシック"/>
            <family val="3"/>
            <charset val="128"/>
          </rPr>
          <t xml:space="preserve"> 26-6405</t>
        </r>
      </text>
    </comment>
    <comment ref="A1328" authorId="0" shapeId="0" xr:uid="{00000000-0006-0000-0000-00009B020000}">
      <text>
        <r>
          <rPr>
            <sz val="9"/>
            <color indexed="81"/>
            <rFont val="MS P ゴシック"/>
            <family val="3"/>
            <charset val="128"/>
          </rPr>
          <t xml:space="preserve"> 26-6414</t>
        </r>
      </text>
    </comment>
    <comment ref="A1330" authorId="0" shapeId="0" xr:uid="{00000000-0006-0000-0000-00009C020000}">
      <text>
        <r>
          <rPr>
            <sz val="9"/>
            <color indexed="81"/>
            <rFont val="MS P ゴシック"/>
            <family val="3"/>
            <charset val="128"/>
          </rPr>
          <t xml:space="preserve"> 26-6420</t>
        </r>
      </text>
    </comment>
    <comment ref="A1332" authorId="0" shapeId="0" xr:uid="{00000000-0006-0000-0000-00009D020000}">
      <text>
        <r>
          <rPr>
            <sz val="9"/>
            <color indexed="81"/>
            <rFont val="MS P ゴシック"/>
            <family val="3"/>
            <charset val="128"/>
          </rPr>
          <t xml:space="preserve"> 26-6424</t>
        </r>
      </text>
    </comment>
    <comment ref="A1334" authorId="0" shapeId="0" xr:uid="{00000000-0006-0000-0000-00009E020000}">
      <text>
        <r>
          <rPr>
            <sz val="9"/>
            <color indexed="81"/>
            <rFont val="MS P ゴシック"/>
            <family val="3"/>
            <charset val="128"/>
          </rPr>
          <t xml:space="preserve"> 26-6425</t>
        </r>
      </text>
    </comment>
    <comment ref="A1336" authorId="0" shapeId="0" xr:uid="{00000000-0006-0000-0000-00009F020000}">
      <text>
        <r>
          <rPr>
            <sz val="9"/>
            <color indexed="81"/>
            <rFont val="MS P ゴシック"/>
            <family val="3"/>
            <charset val="128"/>
          </rPr>
          <t xml:space="preserve"> 26-6429</t>
        </r>
      </text>
    </comment>
    <comment ref="A1338" authorId="0" shapeId="0" xr:uid="{00000000-0006-0000-0000-0000A0020000}">
      <text>
        <r>
          <rPr>
            <sz val="9"/>
            <color indexed="81"/>
            <rFont val="MS P ゴシック"/>
            <family val="3"/>
            <charset val="128"/>
          </rPr>
          <t xml:space="preserve"> 26-6431</t>
        </r>
      </text>
    </comment>
    <comment ref="A1340" authorId="0" shapeId="0" xr:uid="{00000000-0006-0000-0000-0000A1020000}">
      <text>
        <r>
          <rPr>
            <sz val="9"/>
            <color indexed="81"/>
            <rFont val="MS P ゴシック"/>
            <family val="3"/>
            <charset val="128"/>
          </rPr>
          <t xml:space="preserve"> 26-6432</t>
        </r>
      </text>
    </comment>
    <comment ref="A1342" authorId="0" shapeId="0" xr:uid="{00000000-0006-0000-0000-0000A2020000}">
      <text>
        <r>
          <rPr>
            <sz val="9"/>
            <color indexed="81"/>
            <rFont val="MS P ゴシック"/>
            <family val="3"/>
            <charset val="128"/>
          </rPr>
          <t xml:space="preserve"> 26-6437</t>
        </r>
      </text>
    </comment>
    <comment ref="A1344" authorId="0" shapeId="0" xr:uid="{00000000-0006-0000-0000-0000A3020000}">
      <text>
        <r>
          <rPr>
            <sz val="9"/>
            <color indexed="81"/>
            <rFont val="MS P ゴシック"/>
            <family val="3"/>
            <charset val="128"/>
          </rPr>
          <t xml:space="preserve"> 26-6440</t>
        </r>
      </text>
    </comment>
    <comment ref="A1346" authorId="0" shapeId="0" xr:uid="{00000000-0006-0000-0000-0000A4020000}">
      <text>
        <r>
          <rPr>
            <sz val="9"/>
            <color indexed="81"/>
            <rFont val="MS P ゴシック"/>
            <family val="3"/>
            <charset val="128"/>
          </rPr>
          <t xml:space="preserve"> 26-6449</t>
        </r>
      </text>
    </comment>
    <comment ref="A1348" authorId="0" shapeId="0" xr:uid="{00000000-0006-0000-0000-0000A5020000}">
      <text>
        <r>
          <rPr>
            <sz val="9"/>
            <color indexed="81"/>
            <rFont val="MS P ゴシック"/>
            <family val="3"/>
            <charset val="128"/>
          </rPr>
          <t xml:space="preserve"> 26-6453</t>
        </r>
      </text>
    </comment>
    <comment ref="A1350" authorId="0" shapeId="0" xr:uid="{00000000-0006-0000-0000-0000A6020000}">
      <text>
        <r>
          <rPr>
            <sz val="9"/>
            <color indexed="81"/>
            <rFont val="MS P ゴシック"/>
            <family val="3"/>
            <charset val="128"/>
          </rPr>
          <t xml:space="preserve"> 26-6456</t>
        </r>
      </text>
    </comment>
    <comment ref="A1352" authorId="0" shapeId="0" xr:uid="{00000000-0006-0000-0000-0000A7020000}">
      <text>
        <r>
          <rPr>
            <sz val="9"/>
            <color indexed="81"/>
            <rFont val="MS P ゴシック"/>
            <family val="3"/>
            <charset val="128"/>
          </rPr>
          <t xml:space="preserve"> 26-6457</t>
        </r>
      </text>
    </comment>
    <comment ref="A1354" authorId="0" shapeId="0" xr:uid="{00000000-0006-0000-0000-0000A8020000}">
      <text>
        <r>
          <rPr>
            <sz val="9"/>
            <color indexed="81"/>
            <rFont val="MS P ゴシック"/>
            <family val="3"/>
            <charset val="128"/>
          </rPr>
          <t xml:space="preserve"> 26-6459</t>
        </r>
      </text>
    </comment>
    <comment ref="A1356" authorId="0" shapeId="0" xr:uid="{00000000-0006-0000-0000-0000A9020000}">
      <text>
        <r>
          <rPr>
            <sz val="9"/>
            <color indexed="81"/>
            <rFont val="MS P ゴシック"/>
            <family val="3"/>
            <charset val="128"/>
          </rPr>
          <t xml:space="preserve"> 26-6461</t>
        </r>
      </text>
    </comment>
    <comment ref="A1358" authorId="0" shapeId="0" xr:uid="{00000000-0006-0000-0000-0000AA020000}">
      <text>
        <r>
          <rPr>
            <sz val="9"/>
            <color indexed="81"/>
            <rFont val="MS P ゴシック"/>
            <family val="3"/>
            <charset val="128"/>
          </rPr>
          <t xml:space="preserve"> 26-6474</t>
        </r>
      </text>
    </comment>
    <comment ref="A1360" authorId="0" shapeId="0" xr:uid="{00000000-0006-0000-0000-0000AB020000}">
      <text>
        <r>
          <rPr>
            <sz val="9"/>
            <color indexed="81"/>
            <rFont val="MS P ゴシック"/>
            <family val="3"/>
            <charset val="128"/>
          </rPr>
          <t xml:space="preserve"> 26-6475</t>
        </r>
      </text>
    </comment>
    <comment ref="A1362" authorId="0" shapeId="0" xr:uid="{00000000-0006-0000-0000-0000AC020000}">
      <text>
        <r>
          <rPr>
            <sz val="9"/>
            <color indexed="81"/>
            <rFont val="MS P ゴシック"/>
            <family val="3"/>
            <charset val="128"/>
          </rPr>
          <t xml:space="preserve"> 26-6477</t>
        </r>
      </text>
    </comment>
    <comment ref="A1364" authorId="0" shapeId="0" xr:uid="{00000000-0006-0000-0000-0000AD020000}">
      <text>
        <r>
          <rPr>
            <sz val="9"/>
            <color indexed="81"/>
            <rFont val="MS P ゴシック"/>
            <family val="3"/>
            <charset val="128"/>
          </rPr>
          <t xml:space="preserve"> 26-6478</t>
        </r>
      </text>
    </comment>
    <comment ref="A1366" authorId="0" shapeId="0" xr:uid="{00000000-0006-0000-0000-0000AE020000}">
      <text>
        <r>
          <rPr>
            <sz val="9"/>
            <color indexed="81"/>
            <rFont val="MS P ゴシック"/>
            <family val="3"/>
            <charset val="128"/>
          </rPr>
          <t xml:space="preserve"> 26-6479</t>
        </r>
      </text>
    </comment>
    <comment ref="A1368" authorId="0" shapeId="0" xr:uid="{00000000-0006-0000-0000-0000AF020000}">
      <text>
        <r>
          <rPr>
            <sz val="9"/>
            <color indexed="81"/>
            <rFont val="MS P ゴシック"/>
            <family val="3"/>
            <charset val="128"/>
          </rPr>
          <t xml:space="preserve"> 26-6481</t>
        </r>
      </text>
    </comment>
    <comment ref="A1370" authorId="0" shapeId="0" xr:uid="{00000000-0006-0000-0000-0000B0020000}">
      <text>
        <r>
          <rPr>
            <sz val="9"/>
            <color indexed="81"/>
            <rFont val="MS P ゴシック"/>
            <family val="3"/>
            <charset val="128"/>
          </rPr>
          <t xml:space="preserve"> 26-6484</t>
        </r>
      </text>
    </comment>
    <comment ref="A1372" authorId="0" shapeId="0" xr:uid="{00000000-0006-0000-0000-0000B1020000}">
      <text>
        <r>
          <rPr>
            <sz val="9"/>
            <color indexed="81"/>
            <rFont val="MS P ゴシック"/>
            <family val="3"/>
            <charset val="128"/>
          </rPr>
          <t xml:space="preserve"> 26-6485</t>
        </r>
      </text>
    </comment>
    <comment ref="A1374" authorId="0" shapeId="0" xr:uid="{00000000-0006-0000-0000-0000B2020000}">
      <text>
        <r>
          <rPr>
            <sz val="9"/>
            <color indexed="81"/>
            <rFont val="MS P ゴシック"/>
            <family val="3"/>
            <charset val="128"/>
          </rPr>
          <t xml:space="preserve"> 26-6487</t>
        </r>
      </text>
    </comment>
    <comment ref="A1376" authorId="0" shapeId="0" xr:uid="{00000000-0006-0000-0000-0000B3020000}">
      <text>
        <r>
          <rPr>
            <sz val="9"/>
            <color indexed="81"/>
            <rFont val="MS P ゴシック"/>
            <family val="3"/>
            <charset val="128"/>
          </rPr>
          <t xml:space="preserve"> 26-6491</t>
        </r>
      </text>
    </comment>
    <comment ref="A1378" authorId="0" shapeId="0" xr:uid="{00000000-0006-0000-0000-0000B4020000}">
      <text>
        <r>
          <rPr>
            <sz val="9"/>
            <color indexed="81"/>
            <rFont val="MS P ゴシック"/>
            <family val="3"/>
            <charset val="128"/>
          </rPr>
          <t xml:space="preserve"> 26-6492</t>
        </r>
      </text>
    </comment>
    <comment ref="A1380" authorId="0" shapeId="0" xr:uid="{00000000-0006-0000-0000-0000B5020000}">
      <text>
        <r>
          <rPr>
            <sz val="9"/>
            <color indexed="81"/>
            <rFont val="MS P ゴシック"/>
            <family val="3"/>
            <charset val="128"/>
          </rPr>
          <t xml:space="preserve"> 26-6493</t>
        </r>
      </text>
    </comment>
    <comment ref="A1382" authorId="0" shapeId="0" xr:uid="{00000000-0006-0000-0000-0000B6020000}">
      <text>
        <r>
          <rPr>
            <sz val="9"/>
            <color indexed="81"/>
            <rFont val="MS P ゴシック"/>
            <family val="3"/>
            <charset val="128"/>
          </rPr>
          <t xml:space="preserve"> 26-6495</t>
        </r>
      </text>
    </comment>
    <comment ref="A1384" authorId="0" shapeId="0" xr:uid="{00000000-0006-0000-0000-0000B7020000}">
      <text>
        <r>
          <rPr>
            <sz val="9"/>
            <color indexed="81"/>
            <rFont val="MS P ゴシック"/>
            <family val="3"/>
            <charset val="128"/>
          </rPr>
          <t xml:space="preserve"> 26-6508</t>
        </r>
      </text>
    </comment>
    <comment ref="A1386" authorId="0" shapeId="0" xr:uid="{00000000-0006-0000-0000-0000B8020000}">
      <text>
        <r>
          <rPr>
            <sz val="9"/>
            <color indexed="81"/>
            <rFont val="MS P ゴシック"/>
            <family val="3"/>
            <charset val="128"/>
          </rPr>
          <t xml:space="preserve"> 26-6511</t>
        </r>
      </text>
    </comment>
    <comment ref="A1388" authorId="0" shapeId="0" xr:uid="{00000000-0006-0000-0000-0000B9020000}">
      <text>
        <r>
          <rPr>
            <sz val="9"/>
            <color indexed="81"/>
            <rFont val="MS P ゴシック"/>
            <family val="3"/>
            <charset val="128"/>
          </rPr>
          <t xml:space="preserve"> 26-6519</t>
        </r>
      </text>
    </comment>
    <comment ref="A1390" authorId="0" shapeId="0" xr:uid="{00000000-0006-0000-0000-0000BA020000}">
      <text>
        <r>
          <rPr>
            <sz val="9"/>
            <color indexed="81"/>
            <rFont val="MS P ゴシック"/>
            <family val="3"/>
            <charset val="128"/>
          </rPr>
          <t xml:space="preserve"> 26-6521</t>
        </r>
      </text>
    </comment>
    <comment ref="A1392" authorId="0" shapeId="0" xr:uid="{00000000-0006-0000-0000-0000BB020000}">
      <text>
        <r>
          <rPr>
            <sz val="9"/>
            <color indexed="81"/>
            <rFont val="MS P ゴシック"/>
            <family val="3"/>
            <charset val="128"/>
          </rPr>
          <t xml:space="preserve"> 26-6523</t>
        </r>
      </text>
    </comment>
    <comment ref="A1394" authorId="0" shapeId="0" xr:uid="{00000000-0006-0000-0000-0000BC020000}">
      <text>
        <r>
          <rPr>
            <sz val="9"/>
            <color indexed="81"/>
            <rFont val="MS P ゴシック"/>
            <family val="3"/>
            <charset val="128"/>
          </rPr>
          <t xml:space="preserve"> 26-6524</t>
        </r>
      </text>
    </comment>
    <comment ref="A1396" authorId="0" shapeId="0" xr:uid="{00000000-0006-0000-0000-0000BD020000}">
      <text>
        <r>
          <rPr>
            <sz val="9"/>
            <color indexed="81"/>
            <rFont val="MS P ゴシック"/>
            <family val="3"/>
            <charset val="128"/>
          </rPr>
          <t xml:space="preserve"> 26-6525</t>
        </r>
      </text>
    </comment>
    <comment ref="A1398" authorId="0" shapeId="0" xr:uid="{00000000-0006-0000-0000-0000BE020000}">
      <text>
        <r>
          <rPr>
            <sz val="9"/>
            <color indexed="81"/>
            <rFont val="MS P ゴシック"/>
            <family val="3"/>
            <charset val="128"/>
          </rPr>
          <t xml:space="preserve"> 26-6527</t>
        </r>
      </text>
    </comment>
    <comment ref="A1400" authorId="0" shapeId="0" xr:uid="{00000000-0006-0000-0000-0000BF020000}">
      <text>
        <r>
          <rPr>
            <sz val="9"/>
            <color indexed="81"/>
            <rFont val="MS P ゴシック"/>
            <family val="3"/>
            <charset val="128"/>
          </rPr>
          <t xml:space="preserve"> 26-6528</t>
        </r>
      </text>
    </comment>
    <comment ref="A1402" authorId="0" shapeId="0" xr:uid="{00000000-0006-0000-0000-0000C0020000}">
      <text>
        <r>
          <rPr>
            <sz val="9"/>
            <color indexed="81"/>
            <rFont val="MS P ゴシック"/>
            <family val="3"/>
            <charset val="128"/>
          </rPr>
          <t xml:space="preserve"> 26-6529</t>
        </r>
      </text>
    </comment>
    <comment ref="A1404" authorId="0" shapeId="0" xr:uid="{00000000-0006-0000-0000-0000C1020000}">
      <text>
        <r>
          <rPr>
            <sz val="9"/>
            <color indexed="81"/>
            <rFont val="MS P ゴシック"/>
            <family val="3"/>
            <charset val="128"/>
          </rPr>
          <t xml:space="preserve"> 26-6531</t>
        </r>
      </text>
    </comment>
    <comment ref="A1406" authorId="0" shapeId="0" xr:uid="{00000000-0006-0000-0000-0000C2020000}">
      <text>
        <r>
          <rPr>
            <sz val="9"/>
            <color indexed="81"/>
            <rFont val="MS P ゴシック"/>
            <family val="3"/>
            <charset val="128"/>
          </rPr>
          <t xml:space="preserve"> 26-6535</t>
        </r>
      </text>
    </comment>
    <comment ref="A1408" authorId="0" shapeId="0" xr:uid="{00000000-0006-0000-0000-0000C3020000}">
      <text>
        <r>
          <rPr>
            <sz val="9"/>
            <color indexed="81"/>
            <rFont val="MS P ゴシック"/>
            <family val="3"/>
            <charset val="128"/>
          </rPr>
          <t xml:space="preserve"> 26-6536</t>
        </r>
      </text>
    </comment>
    <comment ref="A1410" authorId="0" shapeId="0" xr:uid="{00000000-0006-0000-0000-0000C4020000}">
      <text>
        <r>
          <rPr>
            <sz val="9"/>
            <color indexed="81"/>
            <rFont val="MS P ゴシック"/>
            <family val="3"/>
            <charset val="128"/>
          </rPr>
          <t xml:space="preserve"> 26-6540</t>
        </r>
      </text>
    </comment>
    <comment ref="A1412" authorId="0" shapeId="0" xr:uid="{00000000-0006-0000-0000-0000C5020000}">
      <text>
        <r>
          <rPr>
            <sz val="9"/>
            <color indexed="81"/>
            <rFont val="MS P ゴシック"/>
            <family val="3"/>
            <charset val="128"/>
          </rPr>
          <t xml:space="preserve"> 26-6541</t>
        </r>
      </text>
    </comment>
    <comment ref="A1414" authorId="0" shapeId="0" xr:uid="{00000000-0006-0000-0000-0000C6020000}">
      <text>
        <r>
          <rPr>
            <sz val="9"/>
            <color indexed="81"/>
            <rFont val="MS P ゴシック"/>
            <family val="3"/>
            <charset val="128"/>
          </rPr>
          <t xml:space="preserve"> 26-6542</t>
        </r>
      </text>
    </comment>
    <comment ref="A1416" authorId="0" shapeId="0" xr:uid="{00000000-0006-0000-0000-0000C7020000}">
      <text>
        <r>
          <rPr>
            <sz val="9"/>
            <color indexed="81"/>
            <rFont val="MS P ゴシック"/>
            <family val="3"/>
            <charset val="128"/>
          </rPr>
          <t xml:space="preserve"> 26-6544</t>
        </r>
      </text>
    </comment>
    <comment ref="A1418" authorId="0" shapeId="0" xr:uid="{00000000-0006-0000-0000-0000C8020000}">
      <text>
        <r>
          <rPr>
            <sz val="9"/>
            <color indexed="81"/>
            <rFont val="MS P ゴシック"/>
            <family val="3"/>
            <charset val="128"/>
          </rPr>
          <t xml:space="preserve"> 26-6545</t>
        </r>
      </text>
    </comment>
    <comment ref="A1420" authorId="0" shapeId="0" xr:uid="{00000000-0006-0000-0000-0000C9020000}">
      <text>
        <r>
          <rPr>
            <sz val="9"/>
            <color indexed="81"/>
            <rFont val="MS P ゴシック"/>
            <family val="3"/>
            <charset val="128"/>
          </rPr>
          <t xml:space="preserve"> 26-6546</t>
        </r>
      </text>
    </comment>
    <comment ref="A1422" authorId="0" shapeId="0" xr:uid="{00000000-0006-0000-0000-0000CA020000}">
      <text>
        <r>
          <rPr>
            <sz val="9"/>
            <color indexed="81"/>
            <rFont val="MS P ゴシック"/>
            <family val="3"/>
            <charset val="128"/>
          </rPr>
          <t xml:space="preserve"> 26-6548</t>
        </r>
      </text>
    </comment>
    <comment ref="A1424" authorId="0" shapeId="0" xr:uid="{00000000-0006-0000-0000-0000CB020000}">
      <text>
        <r>
          <rPr>
            <sz val="9"/>
            <color indexed="81"/>
            <rFont val="MS P ゴシック"/>
            <family val="3"/>
            <charset val="128"/>
          </rPr>
          <t xml:space="preserve"> 26-6550</t>
        </r>
      </text>
    </comment>
    <comment ref="A1426" authorId="0" shapeId="0" xr:uid="{00000000-0006-0000-0000-0000CC020000}">
      <text>
        <r>
          <rPr>
            <sz val="9"/>
            <color indexed="81"/>
            <rFont val="MS P ゴシック"/>
            <family val="3"/>
            <charset val="128"/>
          </rPr>
          <t xml:space="preserve"> 26-6552</t>
        </r>
      </text>
    </comment>
    <comment ref="A1428" authorId="0" shapeId="0" xr:uid="{00000000-0006-0000-0000-0000CD020000}">
      <text>
        <r>
          <rPr>
            <sz val="9"/>
            <color indexed="81"/>
            <rFont val="MS P ゴシック"/>
            <family val="3"/>
            <charset val="128"/>
          </rPr>
          <t xml:space="preserve"> 26-6553</t>
        </r>
      </text>
    </comment>
    <comment ref="A1430" authorId="0" shapeId="0" xr:uid="{00000000-0006-0000-0000-0000CE020000}">
      <text>
        <r>
          <rPr>
            <sz val="9"/>
            <color indexed="81"/>
            <rFont val="MS P ゴシック"/>
            <family val="3"/>
            <charset val="128"/>
          </rPr>
          <t xml:space="preserve"> 26-6554</t>
        </r>
      </text>
    </comment>
    <comment ref="A1432" authorId="0" shapeId="0" xr:uid="{00000000-0006-0000-0000-0000CF020000}">
      <text>
        <r>
          <rPr>
            <sz val="9"/>
            <color indexed="81"/>
            <rFont val="MS P ゴシック"/>
            <family val="3"/>
            <charset val="128"/>
          </rPr>
          <t xml:space="preserve"> 26-6559</t>
        </r>
      </text>
    </comment>
    <comment ref="A1434" authorId="0" shapeId="0" xr:uid="{00000000-0006-0000-0000-0000D0020000}">
      <text>
        <r>
          <rPr>
            <sz val="9"/>
            <color indexed="81"/>
            <rFont val="MS P ゴシック"/>
            <family val="3"/>
            <charset val="128"/>
          </rPr>
          <t xml:space="preserve"> 26-6561</t>
        </r>
      </text>
    </comment>
    <comment ref="A1436" authorId="0" shapeId="0" xr:uid="{00000000-0006-0000-0000-0000D1020000}">
      <text>
        <r>
          <rPr>
            <sz val="9"/>
            <color indexed="81"/>
            <rFont val="MS P ゴシック"/>
            <family val="3"/>
            <charset val="128"/>
          </rPr>
          <t xml:space="preserve"> 26-6563</t>
        </r>
      </text>
    </comment>
    <comment ref="A1438" authorId="0" shapeId="0" xr:uid="{00000000-0006-0000-0000-0000D2020000}">
      <text>
        <r>
          <rPr>
            <sz val="9"/>
            <color indexed="81"/>
            <rFont val="MS P ゴシック"/>
            <family val="3"/>
            <charset val="128"/>
          </rPr>
          <t xml:space="preserve"> 26-6566</t>
        </r>
      </text>
    </comment>
    <comment ref="A1440" authorId="0" shapeId="0" xr:uid="{00000000-0006-0000-0000-0000D3020000}">
      <text>
        <r>
          <rPr>
            <sz val="9"/>
            <color indexed="81"/>
            <rFont val="MS P ゴシック"/>
            <family val="3"/>
            <charset val="128"/>
          </rPr>
          <t xml:space="preserve"> 26-6567</t>
        </r>
      </text>
    </comment>
    <comment ref="A1442" authorId="0" shapeId="0" xr:uid="{00000000-0006-0000-0000-0000D4020000}">
      <text>
        <r>
          <rPr>
            <sz val="9"/>
            <color indexed="81"/>
            <rFont val="MS P ゴシック"/>
            <family val="3"/>
            <charset val="128"/>
          </rPr>
          <t xml:space="preserve"> 26-6568</t>
        </r>
      </text>
    </comment>
    <comment ref="A1444" authorId="0" shapeId="0" xr:uid="{00000000-0006-0000-0000-0000D5020000}">
      <text>
        <r>
          <rPr>
            <sz val="9"/>
            <color indexed="81"/>
            <rFont val="MS P ゴシック"/>
            <family val="3"/>
            <charset val="128"/>
          </rPr>
          <t xml:space="preserve"> 26-6570</t>
        </r>
      </text>
    </comment>
    <comment ref="A1446" authorId="0" shapeId="0" xr:uid="{00000000-0006-0000-0000-0000D6020000}">
      <text>
        <r>
          <rPr>
            <sz val="9"/>
            <color indexed="81"/>
            <rFont val="MS P ゴシック"/>
            <family val="3"/>
            <charset val="128"/>
          </rPr>
          <t xml:space="preserve"> 26-6571</t>
        </r>
      </text>
    </comment>
    <comment ref="A1448" authorId="0" shapeId="0" xr:uid="{00000000-0006-0000-0000-0000D7020000}">
      <text>
        <r>
          <rPr>
            <sz val="9"/>
            <color indexed="81"/>
            <rFont val="MS P ゴシック"/>
            <family val="3"/>
            <charset val="128"/>
          </rPr>
          <t xml:space="preserve"> 26-6575</t>
        </r>
      </text>
    </comment>
    <comment ref="A1450" authorId="0" shapeId="0" xr:uid="{00000000-0006-0000-0000-0000D8020000}">
      <text>
        <r>
          <rPr>
            <sz val="9"/>
            <color indexed="81"/>
            <rFont val="MS P ゴシック"/>
            <family val="3"/>
            <charset val="128"/>
          </rPr>
          <t xml:space="preserve"> 26-6576</t>
        </r>
      </text>
    </comment>
    <comment ref="A1452" authorId="0" shapeId="0" xr:uid="{00000000-0006-0000-0000-0000D9020000}">
      <text>
        <r>
          <rPr>
            <sz val="9"/>
            <color indexed="81"/>
            <rFont val="MS P ゴシック"/>
            <family val="3"/>
            <charset val="128"/>
          </rPr>
          <t xml:space="preserve"> 26-6577</t>
        </r>
      </text>
    </comment>
    <comment ref="A1454" authorId="0" shapeId="0" xr:uid="{00000000-0006-0000-0000-0000DA020000}">
      <text>
        <r>
          <rPr>
            <sz val="9"/>
            <color indexed="81"/>
            <rFont val="MS P ゴシック"/>
            <family val="3"/>
            <charset val="128"/>
          </rPr>
          <t xml:space="preserve"> 26-6584</t>
        </r>
      </text>
    </comment>
    <comment ref="A1456" authorId="0" shapeId="0" xr:uid="{00000000-0006-0000-0000-0000DB020000}">
      <text>
        <r>
          <rPr>
            <sz val="9"/>
            <color indexed="81"/>
            <rFont val="MS P ゴシック"/>
            <family val="3"/>
            <charset val="128"/>
          </rPr>
          <t xml:space="preserve"> 26-6586</t>
        </r>
      </text>
    </comment>
    <comment ref="A1458" authorId="0" shapeId="0" xr:uid="{00000000-0006-0000-0000-0000DC020000}">
      <text>
        <r>
          <rPr>
            <sz val="9"/>
            <color indexed="81"/>
            <rFont val="MS P ゴシック"/>
            <family val="3"/>
            <charset val="128"/>
          </rPr>
          <t xml:space="preserve"> 26-6587</t>
        </r>
      </text>
    </comment>
    <comment ref="A1460" authorId="0" shapeId="0" xr:uid="{00000000-0006-0000-0000-0000DD020000}">
      <text>
        <r>
          <rPr>
            <sz val="9"/>
            <color indexed="81"/>
            <rFont val="MS P ゴシック"/>
            <family val="3"/>
            <charset val="128"/>
          </rPr>
          <t xml:space="preserve"> 26-6588</t>
        </r>
      </text>
    </comment>
    <comment ref="A1462" authorId="0" shapeId="0" xr:uid="{00000000-0006-0000-0000-0000DE020000}">
      <text>
        <r>
          <rPr>
            <sz val="9"/>
            <color indexed="81"/>
            <rFont val="MS P ゴシック"/>
            <family val="3"/>
            <charset val="128"/>
          </rPr>
          <t xml:space="preserve"> 26-6590</t>
        </r>
      </text>
    </comment>
    <comment ref="A1464" authorId="0" shapeId="0" xr:uid="{00000000-0006-0000-0000-0000DF020000}">
      <text>
        <r>
          <rPr>
            <sz val="9"/>
            <color indexed="81"/>
            <rFont val="MS P ゴシック"/>
            <family val="3"/>
            <charset val="128"/>
          </rPr>
          <t xml:space="preserve"> 26-6592</t>
        </r>
      </text>
    </comment>
    <comment ref="A1466" authorId="0" shapeId="0" xr:uid="{00000000-0006-0000-0000-0000E0020000}">
      <text>
        <r>
          <rPr>
            <sz val="9"/>
            <color indexed="81"/>
            <rFont val="MS P ゴシック"/>
            <family val="3"/>
            <charset val="128"/>
          </rPr>
          <t xml:space="preserve"> 26-6594</t>
        </r>
      </text>
    </comment>
    <comment ref="A1468" authorId="0" shapeId="0" xr:uid="{00000000-0006-0000-0000-0000E1020000}">
      <text>
        <r>
          <rPr>
            <sz val="9"/>
            <color indexed="81"/>
            <rFont val="MS P ゴシック"/>
            <family val="3"/>
            <charset val="128"/>
          </rPr>
          <t xml:space="preserve"> 26-6595</t>
        </r>
      </text>
    </comment>
    <comment ref="A1470" authorId="0" shapeId="0" xr:uid="{00000000-0006-0000-0000-0000E2020000}">
      <text>
        <r>
          <rPr>
            <sz val="9"/>
            <color indexed="81"/>
            <rFont val="MS P ゴシック"/>
            <family val="3"/>
            <charset val="128"/>
          </rPr>
          <t xml:space="preserve"> 26-6597</t>
        </r>
      </text>
    </comment>
    <comment ref="A1472" authorId="0" shapeId="0" xr:uid="{00000000-0006-0000-0000-0000E3020000}">
      <text>
        <r>
          <rPr>
            <sz val="9"/>
            <color indexed="81"/>
            <rFont val="MS P ゴシック"/>
            <family val="3"/>
            <charset val="128"/>
          </rPr>
          <t xml:space="preserve"> 26-6599</t>
        </r>
      </text>
    </comment>
    <comment ref="A1474" authorId="0" shapeId="0" xr:uid="{00000000-0006-0000-0000-0000E4020000}">
      <text>
        <r>
          <rPr>
            <sz val="9"/>
            <color indexed="81"/>
            <rFont val="MS P ゴシック"/>
            <family val="3"/>
            <charset val="128"/>
          </rPr>
          <t xml:space="preserve"> 26-6600</t>
        </r>
      </text>
    </comment>
    <comment ref="A1476" authorId="0" shapeId="0" xr:uid="{00000000-0006-0000-0000-0000E5020000}">
      <text>
        <r>
          <rPr>
            <sz val="9"/>
            <color indexed="81"/>
            <rFont val="MS P ゴシック"/>
            <family val="3"/>
            <charset val="128"/>
          </rPr>
          <t xml:space="preserve"> 26-6601</t>
        </r>
      </text>
    </comment>
    <comment ref="A1478" authorId="0" shapeId="0" xr:uid="{00000000-0006-0000-0000-0000E6020000}">
      <text>
        <r>
          <rPr>
            <sz val="9"/>
            <color indexed="81"/>
            <rFont val="MS P ゴシック"/>
            <family val="3"/>
            <charset val="128"/>
          </rPr>
          <t xml:space="preserve"> 26-6607</t>
        </r>
      </text>
    </comment>
    <comment ref="A1480" authorId="0" shapeId="0" xr:uid="{00000000-0006-0000-0000-0000E7020000}">
      <text>
        <r>
          <rPr>
            <sz val="9"/>
            <color indexed="81"/>
            <rFont val="MS P ゴシック"/>
            <family val="3"/>
            <charset val="128"/>
          </rPr>
          <t xml:space="preserve"> 26-6608</t>
        </r>
      </text>
    </comment>
    <comment ref="A1482" authorId="0" shapeId="0" xr:uid="{00000000-0006-0000-0000-0000E8020000}">
      <text>
        <r>
          <rPr>
            <sz val="9"/>
            <color indexed="81"/>
            <rFont val="MS P ゴシック"/>
            <family val="3"/>
            <charset val="128"/>
          </rPr>
          <t xml:space="preserve"> 26-6610</t>
        </r>
      </text>
    </comment>
    <comment ref="A1484" authorId="0" shapeId="0" xr:uid="{00000000-0006-0000-0000-0000E9020000}">
      <text>
        <r>
          <rPr>
            <sz val="9"/>
            <color indexed="81"/>
            <rFont val="MS P ゴシック"/>
            <family val="3"/>
            <charset val="128"/>
          </rPr>
          <t xml:space="preserve"> 26-6612</t>
        </r>
      </text>
    </comment>
    <comment ref="A1486" authorId="0" shapeId="0" xr:uid="{00000000-0006-0000-0000-0000EA020000}">
      <text>
        <r>
          <rPr>
            <sz val="9"/>
            <color indexed="81"/>
            <rFont val="MS P ゴシック"/>
            <family val="3"/>
            <charset val="128"/>
          </rPr>
          <t xml:space="preserve"> 26-6613</t>
        </r>
      </text>
    </comment>
    <comment ref="A1488" authorId="0" shapeId="0" xr:uid="{00000000-0006-0000-0000-0000EB020000}">
      <text>
        <r>
          <rPr>
            <sz val="9"/>
            <color indexed="81"/>
            <rFont val="MS P ゴシック"/>
            <family val="3"/>
            <charset val="128"/>
          </rPr>
          <t xml:space="preserve"> 26-6614</t>
        </r>
      </text>
    </comment>
    <comment ref="A1490" authorId="0" shapeId="0" xr:uid="{00000000-0006-0000-0000-0000EC020000}">
      <text>
        <r>
          <rPr>
            <sz val="9"/>
            <color indexed="81"/>
            <rFont val="MS P ゴシック"/>
            <family val="3"/>
            <charset val="128"/>
          </rPr>
          <t xml:space="preserve"> 26-6615</t>
        </r>
      </text>
    </comment>
    <comment ref="A1492" authorId="0" shapeId="0" xr:uid="{00000000-0006-0000-0000-0000ED020000}">
      <text>
        <r>
          <rPr>
            <sz val="9"/>
            <color indexed="81"/>
            <rFont val="MS P ゴシック"/>
            <family val="3"/>
            <charset val="128"/>
          </rPr>
          <t xml:space="preserve"> 26-6616</t>
        </r>
      </text>
    </comment>
    <comment ref="A1494" authorId="0" shapeId="0" xr:uid="{00000000-0006-0000-0000-0000EE020000}">
      <text>
        <r>
          <rPr>
            <sz val="9"/>
            <color indexed="81"/>
            <rFont val="MS P ゴシック"/>
            <family val="3"/>
            <charset val="128"/>
          </rPr>
          <t xml:space="preserve"> 26-6617</t>
        </r>
      </text>
    </comment>
    <comment ref="A1496" authorId="0" shapeId="0" xr:uid="{00000000-0006-0000-0000-0000EF020000}">
      <text>
        <r>
          <rPr>
            <sz val="9"/>
            <color indexed="81"/>
            <rFont val="MS P ゴシック"/>
            <family val="3"/>
            <charset val="128"/>
          </rPr>
          <t xml:space="preserve"> 26-6618</t>
        </r>
      </text>
    </comment>
    <comment ref="A1498" authorId="0" shapeId="0" xr:uid="{00000000-0006-0000-0000-0000F0020000}">
      <text>
        <r>
          <rPr>
            <sz val="9"/>
            <color indexed="81"/>
            <rFont val="MS P ゴシック"/>
            <family val="3"/>
            <charset val="128"/>
          </rPr>
          <t xml:space="preserve"> 26-6621</t>
        </r>
      </text>
    </comment>
    <comment ref="A1500" authorId="0" shapeId="0" xr:uid="{00000000-0006-0000-0000-0000F1020000}">
      <text>
        <r>
          <rPr>
            <sz val="9"/>
            <color indexed="81"/>
            <rFont val="MS P ゴシック"/>
            <family val="3"/>
            <charset val="128"/>
          </rPr>
          <t xml:space="preserve"> 26-6622</t>
        </r>
      </text>
    </comment>
    <comment ref="A1502" authorId="0" shapeId="0" xr:uid="{00000000-0006-0000-0000-0000F2020000}">
      <text>
        <r>
          <rPr>
            <sz val="9"/>
            <color indexed="81"/>
            <rFont val="MS P ゴシック"/>
            <family val="3"/>
            <charset val="128"/>
          </rPr>
          <t xml:space="preserve"> 26-6623</t>
        </r>
      </text>
    </comment>
    <comment ref="A1504" authorId="0" shapeId="0" xr:uid="{00000000-0006-0000-0000-0000F3020000}">
      <text>
        <r>
          <rPr>
            <sz val="9"/>
            <color indexed="81"/>
            <rFont val="MS P ゴシック"/>
            <family val="3"/>
            <charset val="128"/>
          </rPr>
          <t xml:space="preserve"> 26-6624</t>
        </r>
      </text>
    </comment>
    <comment ref="A1506" authorId="0" shapeId="0" xr:uid="{00000000-0006-0000-0000-0000F4020000}">
      <text>
        <r>
          <rPr>
            <sz val="9"/>
            <color indexed="81"/>
            <rFont val="MS P ゴシック"/>
            <family val="3"/>
            <charset val="128"/>
          </rPr>
          <t xml:space="preserve"> 26-6626</t>
        </r>
      </text>
    </comment>
    <comment ref="A1508" authorId="0" shapeId="0" xr:uid="{00000000-0006-0000-0000-0000F5020000}">
      <text>
        <r>
          <rPr>
            <sz val="9"/>
            <color indexed="81"/>
            <rFont val="MS P ゴシック"/>
            <family val="3"/>
            <charset val="128"/>
          </rPr>
          <t xml:space="preserve"> 26-6628</t>
        </r>
      </text>
    </comment>
    <comment ref="A1510" authorId="0" shapeId="0" xr:uid="{00000000-0006-0000-0000-0000F6020000}">
      <text>
        <r>
          <rPr>
            <sz val="9"/>
            <color indexed="81"/>
            <rFont val="MS P ゴシック"/>
            <family val="3"/>
            <charset val="128"/>
          </rPr>
          <t xml:space="preserve"> 26-6629</t>
        </r>
      </text>
    </comment>
    <comment ref="A1512" authorId="0" shapeId="0" xr:uid="{00000000-0006-0000-0000-0000F7020000}">
      <text>
        <r>
          <rPr>
            <sz val="9"/>
            <color indexed="81"/>
            <rFont val="MS P ゴシック"/>
            <family val="3"/>
            <charset val="128"/>
          </rPr>
          <t xml:space="preserve"> 26-6630</t>
        </r>
      </text>
    </comment>
    <comment ref="A1514" authorId="0" shapeId="0" xr:uid="{00000000-0006-0000-0000-0000F8020000}">
      <text>
        <r>
          <rPr>
            <sz val="9"/>
            <color indexed="81"/>
            <rFont val="MS P ゴシック"/>
            <family val="3"/>
            <charset val="128"/>
          </rPr>
          <t xml:space="preserve"> 26-6631</t>
        </r>
      </text>
    </comment>
    <comment ref="A1516" authorId="0" shapeId="0" xr:uid="{00000000-0006-0000-0000-0000F9020000}">
      <text>
        <r>
          <rPr>
            <sz val="9"/>
            <color indexed="81"/>
            <rFont val="MS P ゴシック"/>
            <family val="3"/>
            <charset val="128"/>
          </rPr>
          <t xml:space="preserve"> 26-6634</t>
        </r>
      </text>
    </comment>
    <comment ref="A1518" authorId="0" shapeId="0" xr:uid="{00000000-0006-0000-0000-0000FA020000}">
      <text>
        <r>
          <rPr>
            <sz val="9"/>
            <color indexed="81"/>
            <rFont val="MS P ゴシック"/>
            <family val="3"/>
            <charset val="128"/>
          </rPr>
          <t xml:space="preserve"> 26-6635</t>
        </r>
      </text>
    </comment>
    <comment ref="A1520" authorId="0" shapeId="0" xr:uid="{00000000-0006-0000-0000-0000FB020000}">
      <text>
        <r>
          <rPr>
            <sz val="9"/>
            <color indexed="81"/>
            <rFont val="MS P ゴシック"/>
            <family val="3"/>
            <charset val="128"/>
          </rPr>
          <t xml:space="preserve"> 26-6637</t>
        </r>
      </text>
    </comment>
    <comment ref="A1522" authorId="0" shapeId="0" xr:uid="{00000000-0006-0000-0000-0000FC020000}">
      <text>
        <r>
          <rPr>
            <sz val="9"/>
            <color indexed="81"/>
            <rFont val="MS P ゴシック"/>
            <family val="3"/>
            <charset val="128"/>
          </rPr>
          <t xml:space="preserve"> 26-6643</t>
        </r>
      </text>
    </comment>
    <comment ref="A1524" authorId="0" shapeId="0" xr:uid="{00000000-0006-0000-0000-0000FD020000}">
      <text>
        <r>
          <rPr>
            <sz val="9"/>
            <color indexed="81"/>
            <rFont val="MS P ゴシック"/>
            <family val="3"/>
            <charset val="128"/>
          </rPr>
          <t xml:space="preserve"> 26-6644</t>
        </r>
      </text>
    </comment>
    <comment ref="A1526" authorId="0" shapeId="0" xr:uid="{00000000-0006-0000-0000-0000FE020000}">
      <text>
        <r>
          <rPr>
            <sz val="9"/>
            <color indexed="81"/>
            <rFont val="MS P ゴシック"/>
            <family val="3"/>
            <charset val="128"/>
          </rPr>
          <t xml:space="preserve"> 26-6645</t>
        </r>
      </text>
    </comment>
    <comment ref="A1528" authorId="0" shapeId="0" xr:uid="{00000000-0006-0000-0000-0000FF020000}">
      <text>
        <r>
          <rPr>
            <sz val="9"/>
            <color indexed="81"/>
            <rFont val="MS P ゴシック"/>
            <family val="3"/>
            <charset val="128"/>
          </rPr>
          <t xml:space="preserve"> 26-6647</t>
        </r>
      </text>
    </comment>
    <comment ref="A1530" authorId="0" shapeId="0" xr:uid="{00000000-0006-0000-0000-000000030000}">
      <text>
        <r>
          <rPr>
            <sz val="9"/>
            <color indexed="81"/>
            <rFont val="MS P ゴシック"/>
            <family val="3"/>
            <charset val="128"/>
          </rPr>
          <t xml:space="preserve"> 26-6649</t>
        </r>
      </text>
    </comment>
    <comment ref="A1532" authorId="0" shapeId="0" xr:uid="{00000000-0006-0000-0000-000001030000}">
      <text>
        <r>
          <rPr>
            <sz val="9"/>
            <color indexed="81"/>
            <rFont val="MS P ゴシック"/>
            <family val="3"/>
            <charset val="128"/>
          </rPr>
          <t xml:space="preserve"> 26-6650</t>
        </r>
      </text>
    </comment>
    <comment ref="A1534" authorId="0" shapeId="0" xr:uid="{00000000-0006-0000-0000-000002030000}">
      <text>
        <r>
          <rPr>
            <sz val="9"/>
            <color indexed="81"/>
            <rFont val="MS P ゴシック"/>
            <family val="3"/>
            <charset val="128"/>
          </rPr>
          <t xml:space="preserve"> 26-6652</t>
        </r>
      </text>
    </comment>
    <comment ref="A1536" authorId="0" shapeId="0" xr:uid="{00000000-0006-0000-0000-000003030000}">
      <text>
        <r>
          <rPr>
            <sz val="9"/>
            <color indexed="81"/>
            <rFont val="MS P ゴシック"/>
            <family val="3"/>
            <charset val="128"/>
          </rPr>
          <t xml:space="preserve"> 26-6653</t>
        </r>
      </text>
    </comment>
    <comment ref="A1538" authorId="0" shapeId="0" xr:uid="{00000000-0006-0000-0000-000004030000}">
      <text>
        <r>
          <rPr>
            <sz val="9"/>
            <color indexed="81"/>
            <rFont val="MS P ゴシック"/>
            <family val="3"/>
            <charset val="128"/>
          </rPr>
          <t xml:space="preserve"> 26-6654</t>
        </r>
      </text>
    </comment>
    <comment ref="A1540" authorId="0" shapeId="0" xr:uid="{00000000-0006-0000-0000-000005030000}">
      <text>
        <r>
          <rPr>
            <sz val="9"/>
            <color indexed="81"/>
            <rFont val="MS P ゴシック"/>
            <family val="3"/>
            <charset val="128"/>
          </rPr>
          <t xml:space="preserve"> 26-6655</t>
        </r>
      </text>
    </comment>
    <comment ref="A1542" authorId="0" shapeId="0" xr:uid="{00000000-0006-0000-0000-000006030000}">
      <text>
        <r>
          <rPr>
            <sz val="9"/>
            <color indexed="81"/>
            <rFont val="MS P ゴシック"/>
            <family val="3"/>
            <charset val="128"/>
          </rPr>
          <t xml:space="preserve"> 26-6656</t>
        </r>
      </text>
    </comment>
    <comment ref="A1544" authorId="0" shapeId="0" xr:uid="{00000000-0006-0000-0000-000007030000}">
      <text>
        <r>
          <rPr>
            <sz val="9"/>
            <color indexed="81"/>
            <rFont val="MS P ゴシック"/>
            <family val="3"/>
            <charset val="128"/>
          </rPr>
          <t xml:space="preserve"> 26-6658</t>
        </r>
      </text>
    </comment>
    <comment ref="A1546" authorId="0" shapeId="0" xr:uid="{00000000-0006-0000-0000-000008030000}">
      <text>
        <r>
          <rPr>
            <sz val="9"/>
            <color indexed="81"/>
            <rFont val="MS P ゴシック"/>
            <family val="3"/>
            <charset val="128"/>
          </rPr>
          <t xml:space="preserve"> 26-6659</t>
        </r>
      </text>
    </comment>
    <comment ref="A1548" authorId="0" shapeId="0" xr:uid="{00000000-0006-0000-0000-000009030000}">
      <text>
        <r>
          <rPr>
            <sz val="9"/>
            <color indexed="81"/>
            <rFont val="MS P ゴシック"/>
            <family val="3"/>
            <charset val="128"/>
          </rPr>
          <t xml:space="preserve"> 26-6660</t>
        </r>
      </text>
    </comment>
    <comment ref="A1550" authorId="0" shapeId="0" xr:uid="{00000000-0006-0000-0000-00000A030000}">
      <text>
        <r>
          <rPr>
            <sz val="9"/>
            <color indexed="81"/>
            <rFont val="MS P ゴシック"/>
            <family val="3"/>
            <charset val="128"/>
          </rPr>
          <t xml:space="preserve"> 26-6662</t>
        </r>
      </text>
    </comment>
    <comment ref="A1552" authorId="0" shapeId="0" xr:uid="{00000000-0006-0000-0000-00000B030000}">
      <text>
        <r>
          <rPr>
            <sz val="9"/>
            <color indexed="81"/>
            <rFont val="MS P ゴシック"/>
            <family val="3"/>
            <charset val="128"/>
          </rPr>
          <t xml:space="preserve"> 26-6666</t>
        </r>
      </text>
    </comment>
    <comment ref="A1554" authorId="0" shapeId="0" xr:uid="{00000000-0006-0000-0000-00000C030000}">
      <text>
        <r>
          <rPr>
            <sz val="9"/>
            <color indexed="81"/>
            <rFont val="MS P ゴシック"/>
            <family val="3"/>
            <charset val="128"/>
          </rPr>
          <t xml:space="preserve"> 26-6669</t>
        </r>
      </text>
    </comment>
    <comment ref="A1556" authorId="0" shapeId="0" xr:uid="{00000000-0006-0000-0000-00000D030000}">
      <text>
        <r>
          <rPr>
            <sz val="9"/>
            <color indexed="81"/>
            <rFont val="MS P ゴシック"/>
            <family val="3"/>
            <charset val="128"/>
          </rPr>
          <t xml:space="preserve"> 26-6670</t>
        </r>
      </text>
    </comment>
    <comment ref="A1558" authorId="0" shapeId="0" xr:uid="{00000000-0006-0000-0000-00000E030000}">
      <text>
        <r>
          <rPr>
            <sz val="9"/>
            <color indexed="81"/>
            <rFont val="MS P ゴシック"/>
            <family val="3"/>
            <charset val="128"/>
          </rPr>
          <t xml:space="preserve"> 26-6671</t>
        </r>
      </text>
    </comment>
    <comment ref="A1560" authorId="0" shapeId="0" xr:uid="{00000000-0006-0000-0000-00000F030000}">
      <text>
        <r>
          <rPr>
            <sz val="9"/>
            <color indexed="81"/>
            <rFont val="MS P ゴシック"/>
            <family val="3"/>
            <charset val="128"/>
          </rPr>
          <t xml:space="preserve"> 26-6672</t>
        </r>
      </text>
    </comment>
    <comment ref="A1562" authorId="0" shapeId="0" xr:uid="{00000000-0006-0000-0000-000010030000}">
      <text>
        <r>
          <rPr>
            <sz val="9"/>
            <color indexed="81"/>
            <rFont val="MS P ゴシック"/>
            <family val="3"/>
            <charset val="128"/>
          </rPr>
          <t xml:space="preserve"> 26-6674</t>
        </r>
      </text>
    </comment>
    <comment ref="A1564" authorId="0" shapeId="0" xr:uid="{00000000-0006-0000-0000-000011030000}">
      <text>
        <r>
          <rPr>
            <sz val="9"/>
            <color indexed="81"/>
            <rFont val="MS P ゴシック"/>
            <family val="3"/>
            <charset val="128"/>
          </rPr>
          <t xml:space="preserve"> 26-6675</t>
        </r>
      </text>
    </comment>
    <comment ref="A1566" authorId="0" shapeId="0" xr:uid="{00000000-0006-0000-0000-000012030000}">
      <text>
        <r>
          <rPr>
            <sz val="9"/>
            <color indexed="81"/>
            <rFont val="MS P ゴシック"/>
            <family val="3"/>
            <charset val="128"/>
          </rPr>
          <t xml:space="preserve"> 26-6677</t>
        </r>
      </text>
    </comment>
    <comment ref="A1568" authorId="0" shapeId="0" xr:uid="{00000000-0006-0000-0000-000013030000}">
      <text>
        <r>
          <rPr>
            <sz val="9"/>
            <color indexed="81"/>
            <rFont val="MS P ゴシック"/>
            <family val="3"/>
            <charset val="128"/>
          </rPr>
          <t xml:space="preserve"> 26-6678</t>
        </r>
      </text>
    </comment>
    <comment ref="A1570" authorId="0" shapeId="0" xr:uid="{00000000-0006-0000-0000-000014030000}">
      <text>
        <r>
          <rPr>
            <sz val="9"/>
            <color indexed="81"/>
            <rFont val="MS P ゴシック"/>
            <family val="3"/>
            <charset val="128"/>
          </rPr>
          <t xml:space="preserve"> 26-6680</t>
        </r>
      </text>
    </comment>
    <comment ref="A1572" authorId="0" shapeId="0" xr:uid="{00000000-0006-0000-0000-000015030000}">
      <text>
        <r>
          <rPr>
            <sz val="9"/>
            <color indexed="81"/>
            <rFont val="MS P ゴシック"/>
            <family val="3"/>
            <charset val="128"/>
          </rPr>
          <t xml:space="preserve"> 26-6681</t>
        </r>
      </text>
    </comment>
    <comment ref="A1574" authorId="0" shapeId="0" xr:uid="{00000000-0006-0000-0000-000016030000}">
      <text>
        <r>
          <rPr>
            <sz val="9"/>
            <color indexed="81"/>
            <rFont val="MS P ゴシック"/>
            <family val="3"/>
            <charset val="128"/>
          </rPr>
          <t xml:space="preserve"> 26-6682</t>
        </r>
      </text>
    </comment>
    <comment ref="A1576" authorId="0" shapeId="0" xr:uid="{00000000-0006-0000-0000-000017030000}">
      <text>
        <r>
          <rPr>
            <sz val="9"/>
            <color indexed="81"/>
            <rFont val="MS P ゴシック"/>
            <family val="3"/>
            <charset val="128"/>
          </rPr>
          <t xml:space="preserve"> 26-6684</t>
        </r>
      </text>
    </comment>
    <comment ref="A1578" authorId="0" shapeId="0" xr:uid="{00000000-0006-0000-0000-000018030000}">
      <text>
        <r>
          <rPr>
            <sz val="9"/>
            <color indexed="81"/>
            <rFont val="MS P ゴシック"/>
            <family val="3"/>
            <charset val="128"/>
          </rPr>
          <t xml:space="preserve"> 26-6686</t>
        </r>
      </text>
    </comment>
    <comment ref="A1580" authorId="0" shapeId="0" xr:uid="{00000000-0006-0000-0000-000019030000}">
      <text>
        <r>
          <rPr>
            <sz val="9"/>
            <color indexed="81"/>
            <rFont val="MS P ゴシック"/>
            <family val="3"/>
            <charset val="128"/>
          </rPr>
          <t xml:space="preserve"> 26-6687</t>
        </r>
      </text>
    </comment>
    <comment ref="A1582" authorId="0" shapeId="0" xr:uid="{00000000-0006-0000-0000-00001A030000}">
      <text>
        <r>
          <rPr>
            <sz val="9"/>
            <color indexed="81"/>
            <rFont val="MS P ゴシック"/>
            <family val="3"/>
            <charset val="128"/>
          </rPr>
          <t xml:space="preserve"> 26-6691</t>
        </r>
      </text>
    </comment>
    <comment ref="A1584" authorId="0" shapeId="0" xr:uid="{00000000-0006-0000-0000-00001B030000}">
      <text>
        <r>
          <rPr>
            <sz val="9"/>
            <color indexed="81"/>
            <rFont val="MS P ゴシック"/>
            <family val="3"/>
            <charset val="128"/>
          </rPr>
          <t xml:space="preserve"> 26-6692</t>
        </r>
      </text>
    </comment>
    <comment ref="A1586" authorId="0" shapeId="0" xr:uid="{00000000-0006-0000-0000-00001C030000}">
      <text>
        <r>
          <rPr>
            <sz val="9"/>
            <color indexed="81"/>
            <rFont val="MS P ゴシック"/>
            <family val="3"/>
            <charset val="128"/>
          </rPr>
          <t xml:space="preserve"> 26-6695</t>
        </r>
      </text>
    </comment>
    <comment ref="A1588" authorId="0" shapeId="0" xr:uid="{00000000-0006-0000-0000-00001D030000}">
      <text>
        <r>
          <rPr>
            <sz val="9"/>
            <color indexed="81"/>
            <rFont val="MS P ゴシック"/>
            <family val="3"/>
            <charset val="128"/>
          </rPr>
          <t xml:space="preserve"> 26-6696</t>
        </r>
      </text>
    </comment>
    <comment ref="A1590" authorId="0" shapeId="0" xr:uid="{00000000-0006-0000-0000-00001E030000}">
      <text>
        <r>
          <rPr>
            <sz val="9"/>
            <color indexed="81"/>
            <rFont val="MS P ゴシック"/>
            <family val="3"/>
            <charset val="128"/>
          </rPr>
          <t xml:space="preserve"> 26-6698</t>
        </r>
      </text>
    </comment>
    <comment ref="A1592" authorId="0" shapeId="0" xr:uid="{00000000-0006-0000-0000-00001F030000}">
      <text>
        <r>
          <rPr>
            <sz val="9"/>
            <color indexed="81"/>
            <rFont val="MS P ゴシック"/>
            <family val="3"/>
            <charset val="128"/>
          </rPr>
          <t xml:space="preserve"> 26-6699</t>
        </r>
      </text>
    </comment>
    <comment ref="A1594" authorId="0" shapeId="0" xr:uid="{00000000-0006-0000-0000-000020030000}">
      <text>
        <r>
          <rPr>
            <sz val="9"/>
            <color indexed="81"/>
            <rFont val="MS P ゴシック"/>
            <family val="3"/>
            <charset val="128"/>
          </rPr>
          <t xml:space="preserve"> 26-6700</t>
        </r>
      </text>
    </comment>
    <comment ref="A1596" authorId="0" shapeId="0" xr:uid="{00000000-0006-0000-0000-000021030000}">
      <text>
        <r>
          <rPr>
            <sz val="9"/>
            <color indexed="81"/>
            <rFont val="MS P ゴシック"/>
            <family val="3"/>
            <charset val="128"/>
          </rPr>
          <t xml:space="preserve"> 26-6701</t>
        </r>
      </text>
    </comment>
    <comment ref="A1598" authorId="0" shapeId="0" xr:uid="{00000000-0006-0000-0000-000022030000}">
      <text>
        <r>
          <rPr>
            <sz val="9"/>
            <color indexed="81"/>
            <rFont val="MS P ゴシック"/>
            <family val="3"/>
            <charset val="128"/>
          </rPr>
          <t xml:space="preserve"> 26-6702</t>
        </r>
      </text>
    </comment>
    <comment ref="A1600" authorId="0" shapeId="0" xr:uid="{00000000-0006-0000-0000-000023030000}">
      <text>
        <r>
          <rPr>
            <sz val="9"/>
            <color indexed="81"/>
            <rFont val="MS P ゴシック"/>
            <family val="3"/>
            <charset val="128"/>
          </rPr>
          <t xml:space="preserve"> 26-6703</t>
        </r>
      </text>
    </comment>
    <comment ref="A1602" authorId="0" shapeId="0" xr:uid="{00000000-0006-0000-0000-000024030000}">
      <text>
        <r>
          <rPr>
            <sz val="9"/>
            <color indexed="81"/>
            <rFont val="MS P ゴシック"/>
            <family val="3"/>
            <charset val="128"/>
          </rPr>
          <t xml:space="preserve"> 26-6704</t>
        </r>
      </text>
    </comment>
    <comment ref="A1604" authorId="0" shapeId="0" xr:uid="{00000000-0006-0000-0000-000025030000}">
      <text>
        <r>
          <rPr>
            <sz val="9"/>
            <color indexed="81"/>
            <rFont val="MS P ゴシック"/>
            <family val="3"/>
            <charset val="128"/>
          </rPr>
          <t xml:space="preserve"> 26-6705</t>
        </r>
      </text>
    </comment>
    <comment ref="A1606" authorId="0" shapeId="0" xr:uid="{00000000-0006-0000-0000-000026030000}">
      <text>
        <r>
          <rPr>
            <sz val="9"/>
            <color indexed="81"/>
            <rFont val="MS P ゴシック"/>
            <family val="3"/>
            <charset val="128"/>
          </rPr>
          <t xml:space="preserve"> 26-6708</t>
        </r>
      </text>
    </comment>
    <comment ref="A1608" authorId="0" shapeId="0" xr:uid="{00000000-0006-0000-0000-000027030000}">
      <text>
        <r>
          <rPr>
            <sz val="9"/>
            <color indexed="81"/>
            <rFont val="MS P ゴシック"/>
            <family val="3"/>
            <charset val="128"/>
          </rPr>
          <t xml:space="preserve"> 26-6710</t>
        </r>
      </text>
    </comment>
    <comment ref="A1610" authorId="0" shapeId="0" xr:uid="{00000000-0006-0000-0000-000028030000}">
      <text>
        <r>
          <rPr>
            <sz val="9"/>
            <color indexed="81"/>
            <rFont val="MS P ゴシック"/>
            <family val="3"/>
            <charset val="128"/>
          </rPr>
          <t xml:space="preserve"> 26-6711</t>
        </r>
      </text>
    </comment>
    <comment ref="A1612" authorId="0" shapeId="0" xr:uid="{00000000-0006-0000-0000-000029030000}">
      <text>
        <r>
          <rPr>
            <sz val="9"/>
            <color indexed="81"/>
            <rFont val="MS P ゴシック"/>
            <family val="3"/>
            <charset val="128"/>
          </rPr>
          <t xml:space="preserve"> 26-6712</t>
        </r>
      </text>
    </comment>
    <comment ref="A1614" authorId="0" shapeId="0" xr:uid="{00000000-0006-0000-0000-00002A030000}">
      <text>
        <r>
          <rPr>
            <sz val="9"/>
            <color indexed="81"/>
            <rFont val="MS P ゴシック"/>
            <family val="3"/>
            <charset val="128"/>
          </rPr>
          <t xml:space="preserve"> 26-6715</t>
        </r>
      </text>
    </comment>
    <comment ref="A1616" authorId="0" shapeId="0" xr:uid="{00000000-0006-0000-0000-00002B030000}">
      <text>
        <r>
          <rPr>
            <sz val="9"/>
            <color indexed="81"/>
            <rFont val="MS P ゴシック"/>
            <family val="3"/>
            <charset val="128"/>
          </rPr>
          <t xml:space="preserve"> 26-6717</t>
        </r>
      </text>
    </comment>
    <comment ref="A1618" authorId="0" shapeId="0" xr:uid="{00000000-0006-0000-0000-00002C030000}">
      <text>
        <r>
          <rPr>
            <sz val="9"/>
            <color indexed="81"/>
            <rFont val="MS P ゴシック"/>
            <family val="3"/>
            <charset val="128"/>
          </rPr>
          <t xml:space="preserve"> 26-6718</t>
        </r>
      </text>
    </comment>
    <comment ref="A1620" authorId="0" shapeId="0" xr:uid="{00000000-0006-0000-0000-00002D030000}">
      <text>
        <r>
          <rPr>
            <sz val="9"/>
            <color indexed="81"/>
            <rFont val="MS P ゴシック"/>
            <family val="3"/>
            <charset val="128"/>
          </rPr>
          <t xml:space="preserve"> 26-6721</t>
        </r>
      </text>
    </comment>
    <comment ref="A1622" authorId="0" shapeId="0" xr:uid="{00000000-0006-0000-0000-00002E030000}">
      <text>
        <r>
          <rPr>
            <sz val="9"/>
            <color indexed="81"/>
            <rFont val="MS P ゴシック"/>
            <family val="3"/>
            <charset val="128"/>
          </rPr>
          <t xml:space="preserve"> 26-6725</t>
        </r>
      </text>
    </comment>
    <comment ref="A1624" authorId="0" shapeId="0" xr:uid="{00000000-0006-0000-0000-00002F030000}">
      <text>
        <r>
          <rPr>
            <sz val="9"/>
            <color indexed="81"/>
            <rFont val="MS P ゴシック"/>
            <family val="3"/>
            <charset val="128"/>
          </rPr>
          <t xml:space="preserve"> 26-6726</t>
        </r>
      </text>
    </comment>
    <comment ref="A1626" authorId="0" shapeId="0" xr:uid="{00000000-0006-0000-0000-000030030000}">
      <text>
        <r>
          <rPr>
            <sz val="9"/>
            <color indexed="81"/>
            <rFont val="MS P ゴシック"/>
            <family val="3"/>
            <charset val="128"/>
          </rPr>
          <t xml:space="preserve"> 26-6728</t>
        </r>
      </text>
    </comment>
    <comment ref="A1628" authorId="0" shapeId="0" xr:uid="{00000000-0006-0000-0000-000031030000}">
      <text>
        <r>
          <rPr>
            <sz val="9"/>
            <color indexed="81"/>
            <rFont val="MS P ゴシック"/>
            <family val="3"/>
            <charset val="128"/>
          </rPr>
          <t xml:space="preserve"> 26-6729</t>
        </r>
      </text>
    </comment>
    <comment ref="A1630" authorId="0" shapeId="0" xr:uid="{00000000-0006-0000-0000-000032030000}">
      <text>
        <r>
          <rPr>
            <sz val="9"/>
            <color indexed="81"/>
            <rFont val="MS P ゴシック"/>
            <family val="3"/>
            <charset val="128"/>
          </rPr>
          <t xml:space="preserve"> 26-6733</t>
        </r>
      </text>
    </comment>
    <comment ref="A1632" authorId="0" shapeId="0" xr:uid="{00000000-0006-0000-0000-000033030000}">
      <text>
        <r>
          <rPr>
            <sz val="9"/>
            <color indexed="81"/>
            <rFont val="MS P ゴシック"/>
            <family val="3"/>
            <charset val="128"/>
          </rPr>
          <t xml:space="preserve"> 26-6734</t>
        </r>
      </text>
    </comment>
    <comment ref="A1634" authorId="0" shapeId="0" xr:uid="{00000000-0006-0000-0000-000034030000}">
      <text>
        <r>
          <rPr>
            <sz val="9"/>
            <color indexed="81"/>
            <rFont val="MS P ゴシック"/>
            <family val="3"/>
            <charset val="128"/>
          </rPr>
          <t xml:space="preserve"> 26-6735</t>
        </r>
      </text>
    </comment>
    <comment ref="A1636" authorId="0" shapeId="0" xr:uid="{00000000-0006-0000-0000-000035030000}">
      <text>
        <r>
          <rPr>
            <sz val="9"/>
            <color indexed="81"/>
            <rFont val="MS P ゴシック"/>
            <family val="3"/>
            <charset val="128"/>
          </rPr>
          <t xml:space="preserve"> 26-6736</t>
        </r>
      </text>
    </comment>
    <comment ref="A1638" authorId="0" shapeId="0" xr:uid="{00000000-0006-0000-0000-000036030000}">
      <text>
        <r>
          <rPr>
            <sz val="9"/>
            <color indexed="81"/>
            <rFont val="MS P ゴシック"/>
            <family val="3"/>
            <charset val="128"/>
          </rPr>
          <t xml:space="preserve"> 26-6737</t>
        </r>
      </text>
    </comment>
    <comment ref="A1640" authorId="0" shapeId="0" xr:uid="{00000000-0006-0000-0000-000037030000}">
      <text>
        <r>
          <rPr>
            <sz val="9"/>
            <color indexed="81"/>
            <rFont val="MS P ゴシック"/>
            <family val="3"/>
            <charset val="128"/>
          </rPr>
          <t xml:space="preserve"> 26-6738</t>
        </r>
      </text>
    </comment>
    <comment ref="A1642" authorId="0" shapeId="0" xr:uid="{00000000-0006-0000-0000-000038030000}">
      <text>
        <r>
          <rPr>
            <sz val="9"/>
            <color indexed="81"/>
            <rFont val="MS P ゴシック"/>
            <family val="3"/>
            <charset val="128"/>
          </rPr>
          <t xml:space="preserve"> 26-6739</t>
        </r>
      </text>
    </comment>
    <comment ref="A1644" authorId="0" shapeId="0" xr:uid="{00000000-0006-0000-0000-000039030000}">
      <text>
        <r>
          <rPr>
            <sz val="9"/>
            <color indexed="81"/>
            <rFont val="MS P ゴシック"/>
            <family val="3"/>
            <charset val="128"/>
          </rPr>
          <t xml:space="preserve"> 26-6742</t>
        </r>
      </text>
    </comment>
    <comment ref="A1646" authorId="0" shapeId="0" xr:uid="{00000000-0006-0000-0000-00003A030000}">
      <text>
        <r>
          <rPr>
            <sz val="9"/>
            <color indexed="81"/>
            <rFont val="MS P ゴシック"/>
            <family val="3"/>
            <charset val="128"/>
          </rPr>
          <t xml:space="preserve"> 26-6743</t>
        </r>
      </text>
    </comment>
    <comment ref="A1648" authorId="0" shapeId="0" xr:uid="{00000000-0006-0000-0000-00003B030000}">
      <text>
        <r>
          <rPr>
            <sz val="9"/>
            <color indexed="81"/>
            <rFont val="MS P ゴシック"/>
            <family val="3"/>
            <charset val="128"/>
          </rPr>
          <t xml:space="preserve"> 26-6744</t>
        </r>
      </text>
    </comment>
    <comment ref="A1650" authorId="0" shapeId="0" xr:uid="{00000000-0006-0000-0000-00003C030000}">
      <text>
        <r>
          <rPr>
            <sz val="9"/>
            <color indexed="81"/>
            <rFont val="MS P ゴシック"/>
            <family val="3"/>
            <charset val="128"/>
          </rPr>
          <t xml:space="preserve"> 26-6745</t>
        </r>
      </text>
    </comment>
    <comment ref="A1652" authorId="0" shapeId="0" xr:uid="{00000000-0006-0000-0000-00003D030000}">
      <text>
        <r>
          <rPr>
            <sz val="9"/>
            <color indexed="81"/>
            <rFont val="MS P ゴシック"/>
            <family val="3"/>
            <charset val="128"/>
          </rPr>
          <t xml:space="preserve"> 26-6749</t>
        </r>
      </text>
    </comment>
    <comment ref="A1654" authorId="0" shapeId="0" xr:uid="{00000000-0006-0000-0000-00003E030000}">
      <text>
        <r>
          <rPr>
            <sz val="9"/>
            <color indexed="81"/>
            <rFont val="MS P ゴシック"/>
            <family val="3"/>
            <charset val="128"/>
          </rPr>
          <t xml:space="preserve"> 26-6750</t>
        </r>
      </text>
    </comment>
    <comment ref="A1656" authorId="0" shapeId="0" xr:uid="{00000000-0006-0000-0000-00003F030000}">
      <text>
        <r>
          <rPr>
            <sz val="9"/>
            <color indexed="81"/>
            <rFont val="MS P ゴシック"/>
            <family val="3"/>
            <charset val="128"/>
          </rPr>
          <t xml:space="preserve"> 26-6751</t>
        </r>
      </text>
    </comment>
    <comment ref="A1658" authorId="0" shapeId="0" xr:uid="{00000000-0006-0000-0000-000040030000}">
      <text>
        <r>
          <rPr>
            <sz val="9"/>
            <color indexed="81"/>
            <rFont val="MS P ゴシック"/>
            <family val="3"/>
            <charset val="128"/>
          </rPr>
          <t xml:space="preserve"> 26-6752</t>
        </r>
      </text>
    </comment>
    <comment ref="A1660" authorId="0" shapeId="0" xr:uid="{00000000-0006-0000-0000-000041030000}">
      <text>
        <r>
          <rPr>
            <sz val="9"/>
            <color indexed="81"/>
            <rFont val="MS P ゴシック"/>
            <family val="3"/>
            <charset val="128"/>
          </rPr>
          <t xml:space="preserve"> 26-6753</t>
        </r>
      </text>
    </comment>
    <comment ref="A1662" authorId="0" shapeId="0" xr:uid="{00000000-0006-0000-0000-000042030000}">
      <text>
        <r>
          <rPr>
            <sz val="9"/>
            <color indexed="81"/>
            <rFont val="MS P ゴシック"/>
            <family val="3"/>
            <charset val="128"/>
          </rPr>
          <t xml:space="preserve"> 26-6754</t>
        </r>
      </text>
    </comment>
    <comment ref="A1664" authorId="0" shapeId="0" xr:uid="{00000000-0006-0000-0000-000043030000}">
      <text>
        <r>
          <rPr>
            <sz val="9"/>
            <color indexed="81"/>
            <rFont val="MS P ゴシック"/>
            <family val="3"/>
            <charset val="128"/>
          </rPr>
          <t xml:space="preserve"> 26-6755</t>
        </r>
      </text>
    </comment>
    <comment ref="A1666" authorId="0" shapeId="0" xr:uid="{00000000-0006-0000-0000-000044030000}">
      <text>
        <r>
          <rPr>
            <sz val="9"/>
            <color indexed="81"/>
            <rFont val="MS P ゴシック"/>
            <family val="3"/>
            <charset val="128"/>
          </rPr>
          <t xml:space="preserve"> 26-6756</t>
        </r>
      </text>
    </comment>
    <comment ref="A1668" authorId="0" shapeId="0" xr:uid="{00000000-0006-0000-0000-000045030000}">
      <text>
        <r>
          <rPr>
            <sz val="9"/>
            <color indexed="81"/>
            <rFont val="MS P ゴシック"/>
            <family val="3"/>
            <charset val="128"/>
          </rPr>
          <t xml:space="preserve"> 26-6757</t>
        </r>
      </text>
    </comment>
    <comment ref="A1670" authorId="0" shapeId="0" xr:uid="{00000000-0006-0000-0000-000046030000}">
      <text>
        <r>
          <rPr>
            <sz val="9"/>
            <color indexed="81"/>
            <rFont val="MS P ゴシック"/>
            <family val="3"/>
            <charset val="128"/>
          </rPr>
          <t xml:space="preserve"> 26-6758</t>
        </r>
      </text>
    </comment>
    <comment ref="A1672" authorId="0" shapeId="0" xr:uid="{00000000-0006-0000-0000-000047030000}">
      <text>
        <r>
          <rPr>
            <sz val="9"/>
            <color indexed="81"/>
            <rFont val="MS P ゴシック"/>
            <family val="3"/>
            <charset val="128"/>
          </rPr>
          <t xml:space="preserve"> 26-6759</t>
        </r>
      </text>
    </comment>
    <comment ref="A1674" authorId="0" shapeId="0" xr:uid="{00000000-0006-0000-0000-000048030000}">
      <text>
        <r>
          <rPr>
            <sz val="9"/>
            <color indexed="81"/>
            <rFont val="MS P ゴシック"/>
            <family val="3"/>
            <charset val="128"/>
          </rPr>
          <t xml:space="preserve"> 26-6760</t>
        </r>
      </text>
    </comment>
    <comment ref="A1676" authorId="0" shapeId="0" xr:uid="{00000000-0006-0000-0000-000049030000}">
      <text>
        <r>
          <rPr>
            <sz val="9"/>
            <color indexed="81"/>
            <rFont val="MS P ゴシック"/>
            <family val="3"/>
            <charset val="128"/>
          </rPr>
          <t xml:space="preserve"> 26-6761</t>
        </r>
      </text>
    </comment>
    <comment ref="A1678" authorId="0" shapeId="0" xr:uid="{00000000-0006-0000-0000-00004A030000}">
      <text>
        <r>
          <rPr>
            <sz val="9"/>
            <color indexed="81"/>
            <rFont val="MS P ゴシック"/>
            <family val="3"/>
            <charset val="128"/>
          </rPr>
          <t xml:space="preserve"> 26-6764</t>
        </r>
      </text>
    </comment>
    <comment ref="A1680" authorId="0" shapeId="0" xr:uid="{00000000-0006-0000-0000-00004B030000}">
      <text>
        <r>
          <rPr>
            <sz val="9"/>
            <color indexed="81"/>
            <rFont val="MS P ゴシック"/>
            <family val="3"/>
            <charset val="128"/>
          </rPr>
          <t xml:space="preserve"> 26-6765</t>
        </r>
      </text>
    </comment>
    <comment ref="A1682" authorId="0" shapeId="0" xr:uid="{00000000-0006-0000-0000-00004C030000}">
      <text>
        <r>
          <rPr>
            <sz val="9"/>
            <color indexed="81"/>
            <rFont val="MS P ゴシック"/>
            <family val="3"/>
            <charset val="128"/>
          </rPr>
          <t xml:space="preserve"> 26-6766</t>
        </r>
      </text>
    </comment>
    <comment ref="A1684" authorId="0" shapeId="0" xr:uid="{00000000-0006-0000-0000-00004D030000}">
      <text>
        <r>
          <rPr>
            <sz val="9"/>
            <color indexed="81"/>
            <rFont val="MS P ゴシック"/>
            <family val="3"/>
            <charset val="128"/>
          </rPr>
          <t xml:space="preserve"> 26-6767</t>
        </r>
      </text>
    </comment>
    <comment ref="A1686" authorId="0" shapeId="0" xr:uid="{00000000-0006-0000-0000-00004E030000}">
      <text>
        <r>
          <rPr>
            <sz val="9"/>
            <color indexed="81"/>
            <rFont val="MS P ゴシック"/>
            <family val="3"/>
            <charset val="128"/>
          </rPr>
          <t xml:space="preserve"> 26-6768</t>
        </r>
      </text>
    </comment>
    <comment ref="A1688" authorId="0" shapeId="0" xr:uid="{00000000-0006-0000-0000-00004F030000}">
      <text>
        <r>
          <rPr>
            <sz val="9"/>
            <color indexed="81"/>
            <rFont val="MS P ゴシック"/>
            <family val="3"/>
            <charset val="128"/>
          </rPr>
          <t xml:space="preserve"> 26-6769</t>
        </r>
      </text>
    </comment>
    <comment ref="A1690" authorId="0" shapeId="0" xr:uid="{00000000-0006-0000-0000-000050030000}">
      <text>
        <r>
          <rPr>
            <sz val="9"/>
            <color indexed="81"/>
            <rFont val="MS P ゴシック"/>
            <family val="3"/>
            <charset val="128"/>
          </rPr>
          <t xml:space="preserve"> 26-6770</t>
        </r>
      </text>
    </comment>
    <comment ref="A1692" authorId="0" shapeId="0" xr:uid="{00000000-0006-0000-0000-000051030000}">
      <text>
        <r>
          <rPr>
            <sz val="9"/>
            <color indexed="81"/>
            <rFont val="MS P ゴシック"/>
            <family val="3"/>
            <charset val="128"/>
          </rPr>
          <t xml:space="preserve"> 26-6772</t>
        </r>
      </text>
    </comment>
    <comment ref="A1694" authorId="0" shapeId="0" xr:uid="{00000000-0006-0000-0000-000052030000}">
      <text>
        <r>
          <rPr>
            <sz val="9"/>
            <color indexed="81"/>
            <rFont val="MS P ゴシック"/>
            <family val="3"/>
            <charset val="128"/>
          </rPr>
          <t xml:space="preserve"> 26-6774</t>
        </r>
      </text>
    </comment>
    <comment ref="A1696" authorId="0" shapeId="0" xr:uid="{00000000-0006-0000-0000-000053030000}">
      <text>
        <r>
          <rPr>
            <sz val="9"/>
            <color indexed="81"/>
            <rFont val="MS P ゴシック"/>
            <family val="3"/>
            <charset val="128"/>
          </rPr>
          <t xml:space="preserve"> 26-6775</t>
        </r>
      </text>
    </comment>
    <comment ref="A1698" authorId="0" shapeId="0" xr:uid="{00000000-0006-0000-0000-000054030000}">
      <text>
        <r>
          <rPr>
            <sz val="9"/>
            <color indexed="81"/>
            <rFont val="MS P ゴシック"/>
            <family val="3"/>
            <charset val="128"/>
          </rPr>
          <t xml:space="preserve"> 26-6776</t>
        </r>
      </text>
    </comment>
    <comment ref="A1700" authorId="0" shapeId="0" xr:uid="{00000000-0006-0000-0000-000055030000}">
      <text>
        <r>
          <rPr>
            <sz val="9"/>
            <color indexed="81"/>
            <rFont val="MS P ゴシック"/>
            <family val="3"/>
            <charset val="128"/>
          </rPr>
          <t xml:space="preserve"> 26-6778</t>
        </r>
      </text>
    </comment>
    <comment ref="A1702" authorId="0" shapeId="0" xr:uid="{00000000-0006-0000-0000-000056030000}">
      <text>
        <r>
          <rPr>
            <sz val="9"/>
            <color indexed="81"/>
            <rFont val="MS P ゴシック"/>
            <family val="3"/>
            <charset val="128"/>
          </rPr>
          <t xml:space="preserve"> 26-6779</t>
        </r>
      </text>
    </comment>
    <comment ref="A1704" authorId="0" shapeId="0" xr:uid="{00000000-0006-0000-0000-000057030000}">
      <text>
        <r>
          <rPr>
            <sz val="9"/>
            <color indexed="81"/>
            <rFont val="MS P ゴシック"/>
            <family val="3"/>
            <charset val="128"/>
          </rPr>
          <t xml:space="preserve"> 26-6780</t>
        </r>
      </text>
    </comment>
    <comment ref="A1706" authorId="0" shapeId="0" xr:uid="{00000000-0006-0000-0000-000058030000}">
      <text>
        <r>
          <rPr>
            <sz val="9"/>
            <color indexed="81"/>
            <rFont val="MS P ゴシック"/>
            <family val="3"/>
            <charset val="128"/>
          </rPr>
          <t xml:space="preserve"> 26-6785</t>
        </r>
      </text>
    </comment>
    <comment ref="A1708" authorId="0" shapeId="0" xr:uid="{00000000-0006-0000-0000-000059030000}">
      <text>
        <r>
          <rPr>
            <sz val="9"/>
            <color indexed="81"/>
            <rFont val="MS P ゴシック"/>
            <family val="3"/>
            <charset val="128"/>
          </rPr>
          <t xml:space="preserve"> 26-6786</t>
        </r>
      </text>
    </comment>
    <comment ref="A1710" authorId="0" shapeId="0" xr:uid="{00000000-0006-0000-0000-00005A030000}">
      <text>
        <r>
          <rPr>
            <sz val="9"/>
            <color indexed="81"/>
            <rFont val="MS P ゴシック"/>
            <family val="3"/>
            <charset val="128"/>
          </rPr>
          <t xml:space="preserve"> 26-6787</t>
        </r>
      </text>
    </comment>
    <comment ref="A1712" authorId="0" shapeId="0" xr:uid="{00000000-0006-0000-0000-00005B030000}">
      <text>
        <r>
          <rPr>
            <sz val="9"/>
            <color indexed="81"/>
            <rFont val="MS P ゴシック"/>
            <family val="3"/>
            <charset val="128"/>
          </rPr>
          <t xml:space="preserve"> 26-6788</t>
        </r>
      </text>
    </comment>
    <comment ref="A1714" authorId="0" shapeId="0" xr:uid="{00000000-0006-0000-0000-00005C030000}">
      <text>
        <r>
          <rPr>
            <sz val="9"/>
            <color indexed="81"/>
            <rFont val="MS P ゴシック"/>
            <family val="3"/>
            <charset val="128"/>
          </rPr>
          <t xml:space="preserve"> 26-6789</t>
        </r>
      </text>
    </comment>
    <comment ref="A1716" authorId="0" shapeId="0" xr:uid="{00000000-0006-0000-0000-00005D030000}">
      <text>
        <r>
          <rPr>
            <sz val="9"/>
            <color indexed="81"/>
            <rFont val="MS P ゴシック"/>
            <family val="3"/>
            <charset val="128"/>
          </rPr>
          <t xml:space="preserve"> 26-6791</t>
        </r>
      </text>
    </comment>
    <comment ref="A1718" authorId="0" shapeId="0" xr:uid="{00000000-0006-0000-0000-00005E030000}">
      <text>
        <r>
          <rPr>
            <sz val="9"/>
            <color indexed="81"/>
            <rFont val="MS P ゴシック"/>
            <family val="3"/>
            <charset val="128"/>
          </rPr>
          <t xml:space="preserve"> 26-6792</t>
        </r>
      </text>
    </comment>
    <comment ref="A1720" authorId="0" shapeId="0" xr:uid="{00000000-0006-0000-0000-00005F030000}">
      <text>
        <r>
          <rPr>
            <sz val="9"/>
            <color indexed="81"/>
            <rFont val="MS P ゴシック"/>
            <family val="3"/>
            <charset val="128"/>
          </rPr>
          <t xml:space="preserve"> 26-6793</t>
        </r>
      </text>
    </comment>
    <comment ref="A1722" authorId="0" shapeId="0" xr:uid="{00000000-0006-0000-0000-000060030000}">
      <text>
        <r>
          <rPr>
            <sz val="9"/>
            <color indexed="81"/>
            <rFont val="MS P ゴシック"/>
            <family val="3"/>
            <charset val="128"/>
          </rPr>
          <t xml:space="preserve"> 26-6794</t>
        </r>
      </text>
    </comment>
    <comment ref="A1724" authorId="0" shapeId="0" xr:uid="{00000000-0006-0000-0000-000061030000}">
      <text>
        <r>
          <rPr>
            <sz val="9"/>
            <color indexed="81"/>
            <rFont val="MS P ゴシック"/>
            <family val="3"/>
            <charset val="128"/>
          </rPr>
          <t xml:space="preserve"> 26-6795</t>
        </r>
      </text>
    </comment>
    <comment ref="A1726" authorId="0" shapeId="0" xr:uid="{00000000-0006-0000-0000-000062030000}">
      <text>
        <r>
          <rPr>
            <sz val="9"/>
            <color indexed="81"/>
            <rFont val="MS P ゴシック"/>
            <family val="3"/>
            <charset val="128"/>
          </rPr>
          <t xml:space="preserve"> 26-6796</t>
        </r>
      </text>
    </comment>
    <comment ref="A1728" authorId="0" shapeId="0" xr:uid="{00000000-0006-0000-0000-000063030000}">
      <text>
        <r>
          <rPr>
            <sz val="9"/>
            <color indexed="81"/>
            <rFont val="MS P ゴシック"/>
            <family val="3"/>
            <charset val="128"/>
          </rPr>
          <t xml:space="preserve"> 26-6798</t>
        </r>
      </text>
    </comment>
    <comment ref="A1730" authorId="0" shapeId="0" xr:uid="{00000000-0006-0000-0000-000064030000}">
      <text>
        <r>
          <rPr>
            <sz val="9"/>
            <color indexed="81"/>
            <rFont val="MS P ゴシック"/>
            <family val="3"/>
            <charset val="128"/>
          </rPr>
          <t xml:space="preserve"> 26-6799</t>
        </r>
      </text>
    </comment>
    <comment ref="A1732" authorId="0" shapeId="0" xr:uid="{00000000-0006-0000-0000-000065030000}">
      <text>
        <r>
          <rPr>
            <sz val="9"/>
            <color indexed="81"/>
            <rFont val="MS P ゴシック"/>
            <family val="3"/>
            <charset val="128"/>
          </rPr>
          <t xml:space="preserve"> 26-6800</t>
        </r>
      </text>
    </comment>
    <comment ref="A1734" authorId="0" shapeId="0" xr:uid="{00000000-0006-0000-0000-000066030000}">
      <text>
        <r>
          <rPr>
            <sz val="9"/>
            <color indexed="81"/>
            <rFont val="MS P ゴシック"/>
            <family val="3"/>
            <charset val="128"/>
          </rPr>
          <t xml:space="preserve"> 26-6801</t>
        </r>
      </text>
    </comment>
    <comment ref="A1736" authorId="0" shapeId="0" xr:uid="{00000000-0006-0000-0000-000067030000}">
      <text>
        <r>
          <rPr>
            <sz val="9"/>
            <color indexed="81"/>
            <rFont val="MS P ゴシック"/>
            <family val="3"/>
            <charset val="128"/>
          </rPr>
          <t xml:space="preserve"> 26-6802</t>
        </r>
      </text>
    </comment>
    <comment ref="A1738" authorId="0" shapeId="0" xr:uid="{00000000-0006-0000-0000-000068030000}">
      <text>
        <r>
          <rPr>
            <sz val="9"/>
            <color indexed="81"/>
            <rFont val="MS P ゴシック"/>
            <family val="3"/>
            <charset val="128"/>
          </rPr>
          <t xml:space="preserve"> 26-6803</t>
        </r>
      </text>
    </comment>
    <comment ref="A1740" authorId="0" shapeId="0" xr:uid="{00000000-0006-0000-0000-000069030000}">
      <text>
        <r>
          <rPr>
            <sz val="9"/>
            <color indexed="81"/>
            <rFont val="MS P ゴシック"/>
            <family val="3"/>
            <charset val="128"/>
          </rPr>
          <t xml:space="preserve"> 26-6804</t>
        </r>
      </text>
    </comment>
    <comment ref="A1742" authorId="0" shapeId="0" xr:uid="{00000000-0006-0000-0000-00006A030000}">
      <text>
        <r>
          <rPr>
            <sz val="9"/>
            <color indexed="81"/>
            <rFont val="MS P ゴシック"/>
            <family val="3"/>
            <charset val="128"/>
          </rPr>
          <t xml:space="preserve"> 26-6805</t>
        </r>
      </text>
    </comment>
    <comment ref="A1744" authorId="0" shapeId="0" xr:uid="{00000000-0006-0000-0000-00006B030000}">
      <text>
        <r>
          <rPr>
            <sz val="9"/>
            <color indexed="81"/>
            <rFont val="MS P ゴシック"/>
            <family val="3"/>
            <charset val="128"/>
          </rPr>
          <t xml:space="preserve"> 26-6806</t>
        </r>
      </text>
    </comment>
    <comment ref="A1746" authorId="0" shapeId="0" xr:uid="{00000000-0006-0000-0000-00006C030000}">
      <text>
        <r>
          <rPr>
            <sz val="9"/>
            <color indexed="81"/>
            <rFont val="MS P ゴシック"/>
            <family val="3"/>
            <charset val="128"/>
          </rPr>
          <t xml:space="preserve"> 26-6807</t>
        </r>
      </text>
    </comment>
    <comment ref="A1748" authorId="0" shapeId="0" xr:uid="{00000000-0006-0000-0000-00006D030000}">
      <text>
        <r>
          <rPr>
            <sz val="9"/>
            <color indexed="81"/>
            <rFont val="MS P ゴシック"/>
            <family val="3"/>
            <charset val="128"/>
          </rPr>
          <t xml:space="preserve"> 26-6808</t>
        </r>
      </text>
    </comment>
    <comment ref="A1750" authorId="0" shapeId="0" xr:uid="{00000000-0006-0000-0000-00006E030000}">
      <text>
        <r>
          <rPr>
            <sz val="9"/>
            <color indexed="81"/>
            <rFont val="MS P ゴシック"/>
            <family val="3"/>
            <charset val="128"/>
          </rPr>
          <t xml:space="preserve"> 26-6809</t>
        </r>
      </text>
    </comment>
    <comment ref="A1752" authorId="0" shapeId="0" xr:uid="{00000000-0006-0000-0000-00006F030000}">
      <text>
        <r>
          <rPr>
            <sz val="9"/>
            <color indexed="81"/>
            <rFont val="MS P ゴシック"/>
            <family val="3"/>
            <charset val="128"/>
          </rPr>
          <t xml:space="preserve"> 26-6810</t>
        </r>
      </text>
    </comment>
    <comment ref="A1754" authorId="0" shapeId="0" xr:uid="{00000000-0006-0000-0000-000070030000}">
      <text>
        <r>
          <rPr>
            <sz val="9"/>
            <color indexed="81"/>
            <rFont val="MS P ゴシック"/>
            <family val="3"/>
            <charset val="128"/>
          </rPr>
          <t xml:space="preserve"> 26-6811</t>
        </r>
      </text>
    </comment>
    <comment ref="A1756" authorId="0" shapeId="0" xr:uid="{00000000-0006-0000-0000-000071030000}">
      <text>
        <r>
          <rPr>
            <sz val="9"/>
            <color indexed="81"/>
            <rFont val="MS P ゴシック"/>
            <family val="3"/>
            <charset val="128"/>
          </rPr>
          <t xml:space="preserve"> 26-6812</t>
        </r>
      </text>
    </comment>
    <comment ref="A1758" authorId="0" shapeId="0" xr:uid="{00000000-0006-0000-0000-000072030000}">
      <text>
        <r>
          <rPr>
            <sz val="9"/>
            <color indexed="81"/>
            <rFont val="MS P ゴシック"/>
            <family val="3"/>
            <charset val="128"/>
          </rPr>
          <t xml:space="preserve"> 26-6814</t>
        </r>
      </text>
    </comment>
    <comment ref="A1760" authorId="0" shapeId="0" xr:uid="{00000000-0006-0000-0000-000073030000}">
      <text>
        <r>
          <rPr>
            <sz val="9"/>
            <color indexed="81"/>
            <rFont val="MS P ゴシック"/>
            <family val="3"/>
            <charset val="128"/>
          </rPr>
          <t xml:space="preserve"> 26-6815</t>
        </r>
      </text>
    </comment>
    <comment ref="A1762" authorId="0" shapeId="0" xr:uid="{00000000-0006-0000-0000-000074030000}">
      <text>
        <r>
          <rPr>
            <sz val="9"/>
            <color indexed="81"/>
            <rFont val="MS P ゴシック"/>
            <family val="3"/>
            <charset val="128"/>
          </rPr>
          <t xml:space="preserve"> 26-6816</t>
        </r>
      </text>
    </comment>
    <comment ref="A1764" authorId="0" shapeId="0" xr:uid="{00000000-0006-0000-0000-000075030000}">
      <text>
        <r>
          <rPr>
            <sz val="9"/>
            <color indexed="81"/>
            <rFont val="MS P ゴシック"/>
            <family val="3"/>
            <charset val="128"/>
          </rPr>
          <t xml:space="preserve"> 26-6817</t>
        </r>
      </text>
    </comment>
    <comment ref="A1766" authorId="0" shapeId="0" xr:uid="{00000000-0006-0000-0000-000076030000}">
      <text>
        <r>
          <rPr>
            <sz val="9"/>
            <color indexed="81"/>
            <rFont val="MS P ゴシック"/>
            <family val="3"/>
            <charset val="128"/>
          </rPr>
          <t xml:space="preserve"> 26-6818</t>
        </r>
      </text>
    </comment>
    <comment ref="A1768" authorId="0" shapeId="0" xr:uid="{00000000-0006-0000-0000-000077030000}">
      <text>
        <r>
          <rPr>
            <sz val="9"/>
            <color indexed="81"/>
            <rFont val="MS P ゴシック"/>
            <family val="3"/>
            <charset val="128"/>
          </rPr>
          <t xml:space="preserve"> 26-6819</t>
        </r>
      </text>
    </comment>
    <comment ref="A1770" authorId="0" shapeId="0" xr:uid="{00000000-0006-0000-0000-000078030000}">
      <text>
        <r>
          <rPr>
            <sz val="9"/>
            <color indexed="81"/>
            <rFont val="MS P ゴシック"/>
            <family val="3"/>
            <charset val="128"/>
          </rPr>
          <t xml:space="preserve"> 26-6820</t>
        </r>
      </text>
    </comment>
    <comment ref="A1772" authorId="0" shapeId="0" xr:uid="{00000000-0006-0000-0000-000079030000}">
      <text>
        <r>
          <rPr>
            <sz val="9"/>
            <color indexed="81"/>
            <rFont val="MS P ゴシック"/>
            <family val="3"/>
            <charset val="128"/>
          </rPr>
          <t xml:space="preserve"> 26-6821</t>
        </r>
      </text>
    </comment>
    <comment ref="A1774" authorId="0" shapeId="0" xr:uid="{00000000-0006-0000-0000-00007A030000}">
      <text>
        <r>
          <rPr>
            <sz val="9"/>
            <color indexed="81"/>
            <rFont val="MS P ゴシック"/>
            <family val="3"/>
            <charset val="128"/>
          </rPr>
          <t xml:space="preserve"> 26-6822</t>
        </r>
      </text>
    </comment>
    <comment ref="A1776" authorId="0" shapeId="0" xr:uid="{00000000-0006-0000-0000-00007B030000}">
      <text>
        <r>
          <rPr>
            <sz val="9"/>
            <color indexed="81"/>
            <rFont val="MS P ゴシック"/>
            <family val="3"/>
            <charset val="128"/>
          </rPr>
          <t xml:space="preserve"> 26-6823</t>
        </r>
      </text>
    </comment>
    <comment ref="A1778" authorId="0" shapeId="0" xr:uid="{00000000-0006-0000-0000-00007C030000}">
      <text>
        <r>
          <rPr>
            <sz val="9"/>
            <color indexed="81"/>
            <rFont val="MS P ゴシック"/>
            <family val="3"/>
            <charset val="128"/>
          </rPr>
          <t xml:space="preserve"> 26-6824</t>
        </r>
      </text>
    </comment>
    <comment ref="A1780" authorId="0" shapeId="0" xr:uid="{00000000-0006-0000-0000-00007D030000}">
      <text>
        <r>
          <rPr>
            <sz val="9"/>
            <color indexed="81"/>
            <rFont val="MS P ゴシック"/>
            <family val="3"/>
            <charset val="128"/>
          </rPr>
          <t xml:space="preserve"> 26-6825</t>
        </r>
      </text>
    </comment>
    <comment ref="A1782" authorId="0" shapeId="0" xr:uid="{00000000-0006-0000-0000-00007E030000}">
      <text>
        <r>
          <rPr>
            <sz val="9"/>
            <color indexed="81"/>
            <rFont val="MS P ゴシック"/>
            <family val="3"/>
            <charset val="128"/>
          </rPr>
          <t xml:space="preserve"> 26-6826</t>
        </r>
      </text>
    </comment>
    <comment ref="A1784" authorId="0" shapeId="0" xr:uid="{00000000-0006-0000-0000-00007F030000}">
      <text>
        <r>
          <rPr>
            <sz val="9"/>
            <color indexed="81"/>
            <rFont val="MS P ゴシック"/>
            <family val="3"/>
            <charset val="128"/>
          </rPr>
          <t xml:space="preserve"> 26-6828</t>
        </r>
      </text>
    </comment>
    <comment ref="A1786" authorId="0" shapeId="0" xr:uid="{00000000-0006-0000-0000-000080030000}">
      <text>
        <r>
          <rPr>
            <sz val="9"/>
            <color indexed="81"/>
            <rFont val="MS P ゴシック"/>
            <family val="3"/>
            <charset val="128"/>
          </rPr>
          <t xml:space="preserve"> 26-6829</t>
        </r>
      </text>
    </comment>
    <comment ref="A1788" authorId="0" shapeId="0" xr:uid="{00000000-0006-0000-0000-000081030000}">
      <text>
        <r>
          <rPr>
            <sz val="9"/>
            <color indexed="81"/>
            <rFont val="MS P ゴシック"/>
            <family val="3"/>
            <charset val="128"/>
          </rPr>
          <t xml:space="preserve"> 26-6830</t>
        </r>
      </text>
    </comment>
    <comment ref="A1790" authorId="0" shapeId="0" xr:uid="{00000000-0006-0000-0000-000082030000}">
      <text>
        <r>
          <rPr>
            <sz val="9"/>
            <color indexed="81"/>
            <rFont val="MS P ゴシック"/>
            <family val="3"/>
            <charset val="128"/>
          </rPr>
          <t xml:space="preserve"> 26-6832</t>
        </r>
      </text>
    </comment>
    <comment ref="A1792" authorId="0" shapeId="0" xr:uid="{00000000-0006-0000-0000-000083030000}">
      <text>
        <r>
          <rPr>
            <sz val="9"/>
            <color indexed="81"/>
            <rFont val="MS P ゴシック"/>
            <family val="3"/>
            <charset val="128"/>
          </rPr>
          <t xml:space="preserve"> 26-6833</t>
        </r>
      </text>
    </comment>
    <comment ref="A1794" authorId="0" shapeId="0" xr:uid="{00000000-0006-0000-0000-000084030000}">
      <text>
        <r>
          <rPr>
            <sz val="9"/>
            <color indexed="81"/>
            <rFont val="MS P ゴシック"/>
            <family val="3"/>
            <charset val="128"/>
          </rPr>
          <t xml:space="preserve"> 26-6834</t>
        </r>
      </text>
    </comment>
    <comment ref="A1796" authorId="0" shapeId="0" xr:uid="{00000000-0006-0000-0000-000085030000}">
      <text>
        <r>
          <rPr>
            <sz val="9"/>
            <color indexed="81"/>
            <rFont val="MS P ゴシック"/>
            <family val="3"/>
            <charset val="128"/>
          </rPr>
          <t xml:space="preserve"> 26-6835</t>
        </r>
      </text>
    </comment>
    <comment ref="A1798" authorId="0" shapeId="0" xr:uid="{00000000-0006-0000-0000-000086030000}">
      <text>
        <r>
          <rPr>
            <sz val="9"/>
            <color indexed="81"/>
            <rFont val="MS P ゴシック"/>
            <family val="3"/>
            <charset val="128"/>
          </rPr>
          <t xml:space="preserve"> 26-6836</t>
        </r>
      </text>
    </comment>
    <comment ref="A1800" authorId="0" shapeId="0" xr:uid="{00000000-0006-0000-0000-000087030000}">
      <text>
        <r>
          <rPr>
            <sz val="9"/>
            <color indexed="81"/>
            <rFont val="MS P ゴシック"/>
            <family val="3"/>
            <charset val="128"/>
          </rPr>
          <t xml:space="preserve"> 26-6837</t>
        </r>
      </text>
    </comment>
    <comment ref="A1802" authorId="0" shapeId="0" xr:uid="{00000000-0006-0000-0000-000088030000}">
      <text>
        <r>
          <rPr>
            <sz val="9"/>
            <color indexed="81"/>
            <rFont val="MS P ゴシック"/>
            <family val="3"/>
            <charset val="128"/>
          </rPr>
          <t xml:space="preserve"> 26-6838</t>
        </r>
      </text>
    </comment>
    <comment ref="A1804" authorId="0" shapeId="0" xr:uid="{00000000-0006-0000-0000-000089030000}">
      <text>
        <r>
          <rPr>
            <sz val="9"/>
            <color indexed="81"/>
            <rFont val="MS P ゴシック"/>
            <family val="3"/>
            <charset val="128"/>
          </rPr>
          <t xml:space="preserve"> 26-6839</t>
        </r>
      </text>
    </comment>
    <comment ref="A1806" authorId="0" shapeId="0" xr:uid="{00000000-0006-0000-0000-00008A030000}">
      <text>
        <r>
          <rPr>
            <sz val="9"/>
            <color indexed="81"/>
            <rFont val="MS P ゴシック"/>
            <family val="3"/>
            <charset val="128"/>
          </rPr>
          <t xml:space="preserve"> 26-6840</t>
        </r>
      </text>
    </comment>
    <comment ref="A1808" authorId="0" shapeId="0" xr:uid="{00000000-0006-0000-0000-00008B030000}">
      <text>
        <r>
          <rPr>
            <sz val="9"/>
            <color indexed="81"/>
            <rFont val="MS P ゴシック"/>
            <family val="3"/>
            <charset val="128"/>
          </rPr>
          <t xml:space="preserve"> 26-6841</t>
        </r>
      </text>
    </comment>
    <comment ref="A1810" authorId="0" shapeId="0" xr:uid="{00000000-0006-0000-0000-00008C030000}">
      <text>
        <r>
          <rPr>
            <sz val="9"/>
            <color indexed="81"/>
            <rFont val="MS P ゴシック"/>
            <family val="3"/>
            <charset val="128"/>
          </rPr>
          <t xml:space="preserve"> 26-6842</t>
        </r>
      </text>
    </comment>
    <comment ref="A1812" authorId="0" shapeId="0" xr:uid="{00000000-0006-0000-0000-00008D030000}">
      <text>
        <r>
          <rPr>
            <sz val="9"/>
            <color indexed="81"/>
            <rFont val="MS P ゴシック"/>
            <family val="3"/>
            <charset val="128"/>
          </rPr>
          <t xml:space="preserve"> 26-6843</t>
        </r>
      </text>
    </comment>
    <comment ref="A1814" authorId="0" shapeId="0" xr:uid="{00000000-0006-0000-0000-00008E030000}">
      <text>
        <r>
          <rPr>
            <sz val="9"/>
            <color indexed="81"/>
            <rFont val="MS P ゴシック"/>
            <family val="3"/>
            <charset val="128"/>
          </rPr>
          <t xml:space="preserve"> 26-6844</t>
        </r>
      </text>
    </comment>
    <comment ref="A1816" authorId="0" shapeId="0" xr:uid="{00000000-0006-0000-0000-00008F030000}">
      <text>
        <r>
          <rPr>
            <sz val="9"/>
            <color indexed="81"/>
            <rFont val="MS P ゴシック"/>
            <family val="3"/>
            <charset val="128"/>
          </rPr>
          <t xml:space="preserve"> 26-6845</t>
        </r>
      </text>
    </comment>
    <comment ref="A1818" authorId="0" shapeId="0" xr:uid="{00000000-0006-0000-0000-000090030000}">
      <text>
        <r>
          <rPr>
            <sz val="9"/>
            <color indexed="81"/>
            <rFont val="MS P ゴシック"/>
            <family val="3"/>
            <charset val="128"/>
          </rPr>
          <t xml:space="preserve"> 26-6846</t>
        </r>
      </text>
    </comment>
    <comment ref="A1820" authorId="0" shapeId="0" xr:uid="{00000000-0006-0000-0000-000091030000}">
      <text>
        <r>
          <rPr>
            <sz val="9"/>
            <color indexed="81"/>
            <rFont val="MS P ゴシック"/>
            <family val="3"/>
            <charset val="128"/>
          </rPr>
          <t xml:space="preserve"> 26-6847</t>
        </r>
      </text>
    </comment>
    <comment ref="A1822" authorId="0" shapeId="0" xr:uid="{00000000-0006-0000-0000-000092030000}">
      <text>
        <r>
          <rPr>
            <sz val="9"/>
            <color indexed="81"/>
            <rFont val="MS P ゴシック"/>
            <family val="3"/>
            <charset val="128"/>
          </rPr>
          <t xml:space="preserve"> 26-6848</t>
        </r>
      </text>
    </comment>
    <comment ref="A1824" authorId="0" shapeId="0" xr:uid="{00000000-0006-0000-0000-000093030000}">
      <text>
        <r>
          <rPr>
            <sz val="9"/>
            <color indexed="81"/>
            <rFont val="MS P ゴシック"/>
            <family val="3"/>
            <charset val="128"/>
          </rPr>
          <t xml:space="preserve"> 26-6849</t>
        </r>
      </text>
    </comment>
    <comment ref="A1826" authorId="0" shapeId="0" xr:uid="{00000000-0006-0000-0000-000094030000}">
      <text>
        <r>
          <rPr>
            <sz val="9"/>
            <color indexed="81"/>
            <rFont val="MS P ゴシック"/>
            <family val="3"/>
            <charset val="128"/>
          </rPr>
          <t xml:space="preserve"> 26-6850</t>
        </r>
      </text>
    </comment>
    <comment ref="A1828" authorId="0" shapeId="0" xr:uid="{00000000-0006-0000-0000-000095030000}">
      <text>
        <r>
          <rPr>
            <sz val="9"/>
            <color indexed="81"/>
            <rFont val="MS P ゴシック"/>
            <family val="3"/>
            <charset val="128"/>
          </rPr>
          <t xml:space="preserve"> 26-6851</t>
        </r>
      </text>
    </comment>
    <comment ref="A1830" authorId="0" shapeId="0" xr:uid="{00000000-0006-0000-0000-000096030000}">
      <text>
        <r>
          <rPr>
            <sz val="9"/>
            <color indexed="81"/>
            <rFont val="MS P ゴシック"/>
            <family val="3"/>
            <charset val="128"/>
          </rPr>
          <t xml:space="preserve"> 26-6852</t>
        </r>
      </text>
    </comment>
    <comment ref="A1832" authorId="0" shapeId="0" xr:uid="{00000000-0006-0000-0000-000097030000}">
      <text>
        <r>
          <rPr>
            <sz val="9"/>
            <color indexed="81"/>
            <rFont val="MS P ゴシック"/>
            <family val="3"/>
            <charset val="128"/>
          </rPr>
          <t xml:space="preserve"> 26-6853</t>
        </r>
      </text>
    </comment>
    <comment ref="A1834" authorId="0" shapeId="0" xr:uid="{00000000-0006-0000-0000-000098030000}">
      <text>
        <r>
          <rPr>
            <sz val="9"/>
            <color indexed="81"/>
            <rFont val="MS P ゴシック"/>
            <family val="3"/>
            <charset val="128"/>
          </rPr>
          <t xml:space="preserve"> 26-6854</t>
        </r>
      </text>
    </comment>
    <comment ref="A1836" authorId="0" shapeId="0" xr:uid="{00000000-0006-0000-0000-000099030000}">
      <text>
        <r>
          <rPr>
            <sz val="9"/>
            <color indexed="81"/>
            <rFont val="MS P ゴシック"/>
            <family val="3"/>
            <charset val="128"/>
          </rPr>
          <t xml:space="preserve"> 26-6855</t>
        </r>
      </text>
    </comment>
    <comment ref="A1838" authorId="0" shapeId="0" xr:uid="{00000000-0006-0000-0000-00009A030000}">
      <text>
        <r>
          <rPr>
            <sz val="9"/>
            <color indexed="81"/>
            <rFont val="MS P ゴシック"/>
            <family val="3"/>
            <charset val="128"/>
          </rPr>
          <t xml:space="preserve"> 26-6856</t>
        </r>
      </text>
    </comment>
    <comment ref="A1840" authorId="0" shapeId="0" xr:uid="{00000000-0006-0000-0000-00009B030000}">
      <text>
        <r>
          <rPr>
            <sz val="9"/>
            <color indexed="81"/>
            <rFont val="MS P ゴシック"/>
            <family val="3"/>
            <charset val="128"/>
          </rPr>
          <t xml:space="preserve"> 26-6857</t>
        </r>
      </text>
    </comment>
    <comment ref="A1842" authorId="0" shapeId="0" xr:uid="{00000000-0006-0000-0000-00009C030000}">
      <text>
        <r>
          <rPr>
            <sz val="9"/>
            <color indexed="81"/>
            <rFont val="MS P ゴシック"/>
            <family val="3"/>
            <charset val="128"/>
          </rPr>
          <t xml:space="preserve"> 26-6858</t>
        </r>
      </text>
    </comment>
    <comment ref="A1844" authorId="0" shapeId="0" xr:uid="{00000000-0006-0000-0000-00009D030000}">
      <text>
        <r>
          <rPr>
            <sz val="9"/>
            <color indexed="81"/>
            <rFont val="MS P ゴシック"/>
            <family val="3"/>
            <charset val="128"/>
          </rPr>
          <t xml:space="preserve"> 26-6859</t>
        </r>
      </text>
    </comment>
    <comment ref="A1846" authorId="0" shapeId="0" xr:uid="{00000000-0006-0000-0000-00009E030000}">
      <text>
        <r>
          <rPr>
            <sz val="9"/>
            <color indexed="81"/>
            <rFont val="MS P ゴシック"/>
            <family val="3"/>
            <charset val="128"/>
          </rPr>
          <t xml:space="preserve"> 26-6861</t>
        </r>
      </text>
    </comment>
    <comment ref="A1848" authorId="0" shapeId="0" xr:uid="{00000000-0006-0000-0000-00009F030000}">
      <text>
        <r>
          <rPr>
            <sz val="9"/>
            <color indexed="81"/>
            <rFont val="MS P ゴシック"/>
            <family val="3"/>
            <charset val="128"/>
          </rPr>
          <t xml:space="preserve"> 26-6862</t>
        </r>
      </text>
    </comment>
    <comment ref="A1850" authorId="0" shapeId="0" xr:uid="{00000000-0006-0000-0000-0000A0030000}">
      <text>
        <r>
          <rPr>
            <sz val="9"/>
            <color indexed="81"/>
            <rFont val="MS P ゴシック"/>
            <family val="3"/>
            <charset val="128"/>
          </rPr>
          <t xml:space="preserve"> 26-6863</t>
        </r>
      </text>
    </comment>
    <comment ref="A1852" authorId="0" shapeId="0" xr:uid="{00000000-0006-0000-0000-0000A1030000}">
      <text>
        <r>
          <rPr>
            <sz val="9"/>
            <color indexed="81"/>
            <rFont val="MS P ゴシック"/>
            <family val="3"/>
            <charset val="128"/>
          </rPr>
          <t xml:space="preserve"> 26-6864</t>
        </r>
      </text>
    </comment>
    <comment ref="A1854" authorId="0" shapeId="0" xr:uid="{00000000-0006-0000-0000-0000A2030000}">
      <text>
        <r>
          <rPr>
            <sz val="9"/>
            <color indexed="81"/>
            <rFont val="MS P ゴシック"/>
            <family val="3"/>
            <charset val="128"/>
          </rPr>
          <t xml:space="preserve"> 26-6865</t>
        </r>
      </text>
    </comment>
    <comment ref="A1856" authorId="0" shapeId="0" xr:uid="{00000000-0006-0000-0000-0000A3030000}">
      <text>
        <r>
          <rPr>
            <sz val="9"/>
            <color indexed="81"/>
            <rFont val="MS P ゴシック"/>
            <family val="3"/>
            <charset val="128"/>
          </rPr>
          <t xml:space="preserve"> 26-6866</t>
        </r>
      </text>
    </comment>
    <comment ref="A1858" authorId="0" shapeId="0" xr:uid="{00000000-0006-0000-0000-0000A4030000}">
      <text>
        <r>
          <rPr>
            <sz val="9"/>
            <color indexed="81"/>
            <rFont val="MS P ゴシック"/>
            <family val="3"/>
            <charset val="128"/>
          </rPr>
          <t xml:space="preserve"> 26-6867</t>
        </r>
      </text>
    </comment>
    <comment ref="A1860" authorId="0" shapeId="0" xr:uid="{00000000-0006-0000-0000-0000A5030000}">
      <text>
        <r>
          <rPr>
            <sz val="9"/>
            <color indexed="81"/>
            <rFont val="MS P ゴシック"/>
            <family val="3"/>
            <charset val="128"/>
          </rPr>
          <t xml:space="preserve"> 26-6868</t>
        </r>
      </text>
    </comment>
    <comment ref="A1862" authorId="0" shapeId="0" xr:uid="{00000000-0006-0000-0000-0000A6030000}">
      <text>
        <r>
          <rPr>
            <sz val="9"/>
            <color indexed="81"/>
            <rFont val="MS P ゴシック"/>
            <family val="3"/>
            <charset val="128"/>
          </rPr>
          <t xml:space="preserve"> 26-6869</t>
        </r>
      </text>
    </comment>
    <comment ref="A1864" authorId="0" shapeId="0" xr:uid="{00000000-0006-0000-0000-0000A7030000}">
      <text>
        <r>
          <rPr>
            <sz val="9"/>
            <color indexed="81"/>
            <rFont val="MS P ゴシック"/>
            <family val="3"/>
            <charset val="128"/>
          </rPr>
          <t xml:space="preserve"> 26-6870</t>
        </r>
      </text>
    </comment>
    <comment ref="A1866" authorId="0" shapeId="0" xr:uid="{00000000-0006-0000-0000-0000A8030000}">
      <text>
        <r>
          <rPr>
            <sz val="9"/>
            <color indexed="81"/>
            <rFont val="MS P ゴシック"/>
            <family val="3"/>
            <charset val="128"/>
          </rPr>
          <t xml:space="preserve"> 26-6871</t>
        </r>
      </text>
    </comment>
    <comment ref="A1868" authorId="0" shapeId="0" xr:uid="{00000000-0006-0000-0000-0000A9030000}">
      <text>
        <r>
          <rPr>
            <sz val="9"/>
            <color indexed="81"/>
            <rFont val="MS P ゴシック"/>
            <family val="3"/>
            <charset val="128"/>
          </rPr>
          <t xml:space="preserve"> 26-6872</t>
        </r>
      </text>
    </comment>
    <comment ref="A1870" authorId="0" shapeId="0" xr:uid="{00000000-0006-0000-0000-0000AA030000}">
      <text>
        <r>
          <rPr>
            <sz val="9"/>
            <color indexed="81"/>
            <rFont val="MS P ゴシック"/>
            <family val="3"/>
            <charset val="128"/>
          </rPr>
          <t xml:space="preserve"> 26-6873</t>
        </r>
      </text>
    </comment>
    <comment ref="A1872" authorId="0" shapeId="0" xr:uid="{00000000-0006-0000-0000-0000AB030000}">
      <text>
        <r>
          <rPr>
            <sz val="9"/>
            <color indexed="81"/>
            <rFont val="MS P ゴシック"/>
            <family val="3"/>
            <charset val="128"/>
          </rPr>
          <t xml:space="preserve"> 26-6874</t>
        </r>
      </text>
    </comment>
    <comment ref="A1874" authorId="0" shapeId="0" xr:uid="{00000000-0006-0000-0000-0000AC030000}">
      <text>
        <r>
          <rPr>
            <sz val="9"/>
            <color indexed="81"/>
            <rFont val="MS P ゴシック"/>
            <family val="3"/>
            <charset val="128"/>
          </rPr>
          <t xml:space="preserve"> 26-6875</t>
        </r>
      </text>
    </comment>
    <comment ref="A1876" authorId="0" shapeId="0" xr:uid="{00000000-0006-0000-0000-0000AD030000}">
      <text>
        <r>
          <rPr>
            <sz val="9"/>
            <color indexed="81"/>
            <rFont val="MS P ゴシック"/>
            <family val="3"/>
            <charset val="128"/>
          </rPr>
          <t xml:space="preserve"> 26-6876</t>
        </r>
      </text>
    </comment>
    <comment ref="A1878" authorId="0" shapeId="0" xr:uid="{00000000-0006-0000-0000-0000AE030000}">
      <text>
        <r>
          <rPr>
            <sz val="9"/>
            <color indexed="81"/>
            <rFont val="MS P ゴシック"/>
            <family val="3"/>
            <charset val="128"/>
          </rPr>
          <t xml:space="preserve"> 26-6877</t>
        </r>
      </text>
    </comment>
    <comment ref="A1880" authorId="0" shapeId="0" xr:uid="{00000000-0006-0000-0000-0000AF030000}">
      <text>
        <r>
          <rPr>
            <sz val="9"/>
            <color indexed="81"/>
            <rFont val="MS P ゴシック"/>
            <family val="3"/>
            <charset val="128"/>
          </rPr>
          <t xml:space="preserve"> 26-6878</t>
        </r>
      </text>
    </comment>
    <comment ref="A1882" authorId="0" shapeId="0" xr:uid="{00000000-0006-0000-0000-0000B0030000}">
      <text>
        <r>
          <rPr>
            <sz val="9"/>
            <color indexed="81"/>
            <rFont val="MS P ゴシック"/>
            <family val="3"/>
            <charset val="128"/>
          </rPr>
          <t xml:space="preserve"> 26-6879</t>
        </r>
      </text>
    </comment>
    <comment ref="A1884" authorId="0" shapeId="0" xr:uid="{00000000-0006-0000-0000-0000B1030000}">
      <text>
        <r>
          <rPr>
            <sz val="9"/>
            <color indexed="81"/>
            <rFont val="MS P ゴシック"/>
            <family val="3"/>
            <charset val="128"/>
          </rPr>
          <t xml:space="preserve"> 26-6880</t>
        </r>
      </text>
    </comment>
    <comment ref="A1886" authorId="0" shapeId="0" xr:uid="{00000000-0006-0000-0000-0000B2030000}">
      <text>
        <r>
          <rPr>
            <sz val="9"/>
            <color indexed="81"/>
            <rFont val="MS P ゴシック"/>
            <family val="3"/>
            <charset val="128"/>
          </rPr>
          <t xml:space="preserve"> 26-6881</t>
        </r>
      </text>
    </comment>
    <comment ref="A1888" authorId="0" shapeId="0" xr:uid="{00000000-0006-0000-0000-0000B3030000}">
      <text>
        <r>
          <rPr>
            <sz val="9"/>
            <color indexed="81"/>
            <rFont val="MS P ゴシック"/>
            <family val="3"/>
            <charset val="128"/>
          </rPr>
          <t xml:space="preserve"> 26-6882</t>
        </r>
      </text>
    </comment>
    <comment ref="A1890" authorId="0" shapeId="0" xr:uid="{00000000-0006-0000-0000-0000B4030000}">
      <text>
        <r>
          <rPr>
            <sz val="9"/>
            <color indexed="81"/>
            <rFont val="MS P ゴシック"/>
            <family val="3"/>
            <charset val="128"/>
          </rPr>
          <t xml:space="preserve"> 26-6883</t>
        </r>
      </text>
    </comment>
    <comment ref="A1892" authorId="0" shapeId="0" xr:uid="{00000000-0006-0000-0000-0000B5030000}">
      <text>
        <r>
          <rPr>
            <sz val="9"/>
            <color indexed="81"/>
            <rFont val="MS P ゴシック"/>
            <family val="3"/>
            <charset val="128"/>
          </rPr>
          <t xml:space="preserve"> 26-6884</t>
        </r>
      </text>
    </comment>
    <comment ref="A1894" authorId="0" shapeId="0" xr:uid="{00000000-0006-0000-0000-0000B6030000}">
      <text>
        <r>
          <rPr>
            <sz val="9"/>
            <color indexed="81"/>
            <rFont val="MS P ゴシック"/>
            <family val="3"/>
            <charset val="128"/>
          </rPr>
          <t xml:space="preserve"> 26-6885</t>
        </r>
      </text>
    </comment>
    <comment ref="A1896" authorId="0" shapeId="0" xr:uid="{00000000-0006-0000-0000-0000B7030000}">
      <text>
        <r>
          <rPr>
            <sz val="9"/>
            <color indexed="81"/>
            <rFont val="MS P ゴシック"/>
            <family val="3"/>
            <charset val="128"/>
          </rPr>
          <t xml:space="preserve"> 26-6886</t>
        </r>
      </text>
    </comment>
    <comment ref="A1898" authorId="0" shapeId="0" xr:uid="{00000000-0006-0000-0000-0000B8030000}">
      <text>
        <r>
          <rPr>
            <sz val="9"/>
            <color indexed="81"/>
            <rFont val="MS P ゴシック"/>
            <family val="3"/>
            <charset val="128"/>
          </rPr>
          <t xml:space="preserve"> 26-6887</t>
        </r>
      </text>
    </comment>
    <comment ref="A1900" authorId="0" shapeId="0" xr:uid="{00000000-0006-0000-0000-0000B9030000}">
      <text>
        <r>
          <rPr>
            <sz val="9"/>
            <color indexed="81"/>
            <rFont val="MS P ゴシック"/>
            <family val="3"/>
            <charset val="128"/>
          </rPr>
          <t xml:space="preserve"> 26-6888</t>
        </r>
      </text>
    </comment>
    <comment ref="A1902" authorId="1" shapeId="0" xr:uid="{00000000-0006-0000-0000-0000BA030000}">
      <text>
        <r>
          <rPr>
            <sz val="9"/>
            <color indexed="81"/>
            <rFont val="MS P ゴシック"/>
            <family val="3"/>
            <charset val="128"/>
          </rPr>
          <t xml:space="preserve"> 26-6889</t>
        </r>
      </text>
    </comment>
    <comment ref="A1904" authorId="1" shapeId="0" xr:uid="{00000000-0006-0000-0000-0000BB030000}">
      <text>
        <r>
          <rPr>
            <sz val="9"/>
            <color indexed="81"/>
            <rFont val="MS P ゴシック"/>
            <family val="3"/>
            <charset val="128"/>
          </rPr>
          <t xml:space="preserve"> 26-6890</t>
        </r>
      </text>
    </comment>
    <comment ref="A1906" authorId="1" shapeId="0" xr:uid="{00000000-0006-0000-0000-0000BC030000}">
      <text>
        <r>
          <rPr>
            <sz val="9"/>
            <color indexed="81"/>
            <rFont val="MS P ゴシック"/>
            <family val="3"/>
            <charset val="128"/>
          </rPr>
          <t xml:space="preserve"> 26-6891</t>
        </r>
      </text>
    </comment>
    <comment ref="A1908" authorId="1" shapeId="0" xr:uid="{00000000-0006-0000-0000-0000BD030000}">
      <text>
        <r>
          <rPr>
            <sz val="9"/>
            <color indexed="81"/>
            <rFont val="MS P ゴシック"/>
            <family val="3"/>
            <charset val="128"/>
          </rPr>
          <t xml:space="preserve"> 26-6892</t>
        </r>
      </text>
    </comment>
    <comment ref="A1910" authorId="1" shapeId="0" xr:uid="{00000000-0006-0000-0000-0000BE030000}">
      <text>
        <r>
          <rPr>
            <sz val="9"/>
            <color indexed="81"/>
            <rFont val="MS P ゴシック"/>
            <family val="3"/>
            <charset val="128"/>
          </rPr>
          <t xml:space="preserve"> 26-6893</t>
        </r>
      </text>
    </comment>
    <comment ref="A1912" authorId="1" shapeId="0" xr:uid="{00000000-0006-0000-0000-0000BF030000}">
      <text>
        <r>
          <rPr>
            <sz val="9"/>
            <color indexed="81"/>
            <rFont val="MS P ゴシック"/>
            <family val="3"/>
            <charset val="128"/>
          </rPr>
          <t xml:space="preserve"> 26-6894</t>
        </r>
      </text>
    </comment>
    <comment ref="A1914" authorId="1" shapeId="0" xr:uid="{00000000-0006-0000-0000-0000C0030000}">
      <text>
        <r>
          <rPr>
            <sz val="9"/>
            <color indexed="81"/>
            <rFont val="MS P ゴシック"/>
            <family val="3"/>
            <charset val="128"/>
          </rPr>
          <t xml:space="preserve"> 26-6895</t>
        </r>
      </text>
    </comment>
    <comment ref="A1916" authorId="1" shapeId="0" xr:uid="{00000000-0006-0000-0000-0000C1030000}">
      <text>
        <r>
          <rPr>
            <sz val="9"/>
            <color indexed="81"/>
            <rFont val="MS P ゴシック"/>
            <family val="3"/>
            <charset val="128"/>
          </rPr>
          <t xml:space="preserve"> 26-6896</t>
        </r>
      </text>
    </comment>
    <comment ref="A1918" authorId="1" shapeId="0" xr:uid="{00000000-0006-0000-0000-0000C2030000}">
      <text>
        <r>
          <rPr>
            <sz val="9"/>
            <color indexed="81"/>
            <rFont val="MS P ゴシック"/>
            <family val="3"/>
            <charset val="128"/>
          </rPr>
          <t xml:space="preserve"> 26-6897</t>
        </r>
      </text>
    </comment>
    <comment ref="A1920" authorId="1" shapeId="0" xr:uid="{00000000-0006-0000-0000-0000C3030000}">
      <text>
        <r>
          <rPr>
            <sz val="9"/>
            <color indexed="81"/>
            <rFont val="MS P ゴシック"/>
            <family val="3"/>
            <charset val="128"/>
          </rPr>
          <t xml:space="preserve"> 26-6898</t>
        </r>
      </text>
    </comment>
    <comment ref="A1922" authorId="1" shapeId="0" xr:uid="{00000000-0006-0000-0000-0000C4030000}">
      <text>
        <r>
          <rPr>
            <sz val="9"/>
            <color indexed="81"/>
            <rFont val="MS P ゴシック"/>
            <family val="3"/>
            <charset val="128"/>
          </rPr>
          <t xml:space="preserve"> 26-6899</t>
        </r>
      </text>
    </comment>
    <comment ref="A1924" authorId="1" shapeId="0" xr:uid="{00000000-0006-0000-0000-0000C5030000}">
      <text>
        <r>
          <rPr>
            <sz val="9"/>
            <color indexed="81"/>
            <rFont val="MS P ゴシック"/>
            <family val="3"/>
            <charset val="128"/>
          </rPr>
          <t xml:space="preserve"> 26-6900</t>
        </r>
      </text>
    </comment>
    <comment ref="A1926" authorId="1" shapeId="0" xr:uid="{00000000-0006-0000-0000-0000C6030000}">
      <text>
        <r>
          <rPr>
            <sz val="9"/>
            <color indexed="81"/>
            <rFont val="MS P ゴシック"/>
            <family val="3"/>
            <charset val="128"/>
          </rPr>
          <t xml:space="preserve"> 26-6901</t>
        </r>
      </text>
    </comment>
    <comment ref="A1928" authorId="1" shapeId="0" xr:uid="{00000000-0006-0000-0000-0000C7030000}">
      <text>
        <r>
          <rPr>
            <sz val="9"/>
            <color indexed="81"/>
            <rFont val="MS P ゴシック"/>
            <family val="3"/>
            <charset val="128"/>
          </rPr>
          <t xml:space="preserve"> 26-6902</t>
        </r>
      </text>
    </comment>
    <comment ref="A1930" authorId="1" shapeId="0" xr:uid="{00000000-0006-0000-0000-0000C8030000}">
      <text>
        <r>
          <rPr>
            <sz val="9"/>
            <color indexed="81"/>
            <rFont val="MS P ゴシック"/>
            <family val="3"/>
            <charset val="128"/>
          </rPr>
          <t xml:space="preserve"> 26-6903</t>
        </r>
      </text>
    </comment>
    <comment ref="A1932" authorId="1" shapeId="0" xr:uid="{00000000-0006-0000-0000-0000C9030000}">
      <text>
        <r>
          <rPr>
            <sz val="9"/>
            <color indexed="81"/>
            <rFont val="MS P ゴシック"/>
            <family val="3"/>
            <charset val="128"/>
          </rPr>
          <t xml:space="preserve"> 26-6904</t>
        </r>
      </text>
    </comment>
    <comment ref="A1934" authorId="1" shapeId="0" xr:uid="{00000000-0006-0000-0000-0000CA030000}">
      <text>
        <r>
          <rPr>
            <sz val="9"/>
            <color indexed="81"/>
            <rFont val="MS P ゴシック"/>
            <family val="3"/>
            <charset val="128"/>
          </rPr>
          <t xml:space="preserve"> 26-6905</t>
        </r>
      </text>
    </comment>
    <comment ref="A1936" authorId="1" shapeId="0" xr:uid="{00000000-0006-0000-0000-0000CB030000}">
      <text>
        <r>
          <rPr>
            <sz val="9"/>
            <color indexed="81"/>
            <rFont val="MS P ゴシック"/>
            <family val="3"/>
            <charset val="128"/>
          </rPr>
          <t xml:space="preserve"> 26-6906</t>
        </r>
      </text>
    </comment>
    <comment ref="A1938" authorId="1" shapeId="0" xr:uid="{00000000-0006-0000-0000-0000CC030000}">
      <text>
        <r>
          <rPr>
            <sz val="9"/>
            <color indexed="81"/>
            <rFont val="MS P ゴシック"/>
            <family val="3"/>
            <charset val="128"/>
          </rPr>
          <t xml:space="preserve"> 26-6907</t>
        </r>
      </text>
    </comment>
    <comment ref="A1940" authorId="1" shapeId="0" xr:uid="{00000000-0006-0000-0000-0000CD030000}">
      <text>
        <r>
          <rPr>
            <sz val="9"/>
            <color indexed="81"/>
            <rFont val="MS P ゴシック"/>
            <family val="3"/>
            <charset val="128"/>
          </rPr>
          <t xml:space="preserve"> 26-6908</t>
        </r>
      </text>
    </comment>
    <comment ref="A1942" authorId="1" shapeId="0" xr:uid="{00000000-0006-0000-0000-0000CE030000}">
      <text>
        <r>
          <rPr>
            <sz val="9"/>
            <color indexed="81"/>
            <rFont val="MS P ゴシック"/>
            <family val="3"/>
            <charset val="128"/>
          </rPr>
          <t xml:space="preserve"> 26-6909</t>
        </r>
      </text>
    </comment>
    <comment ref="A1944" authorId="1" shapeId="0" xr:uid="{00000000-0006-0000-0000-0000CF030000}">
      <text>
        <r>
          <rPr>
            <sz val="9"/>
            <color indexed="81"/>
            <rFont val="MS P ゴシック"/>
            <family val="3"/>
            <charset val="128"/>
          </rPr>
          <t xml:space="preserve"> 26-6910</t>
        </r>
      </text>
    </comment>
    <comment ref="A1946" authorId="1" shapeId="0" xr:uid="{00000000-0006-0000-0000-0000D0030000}">
      <text>
        <r>
          <rPr>
            <sz val="9"/>
            <color indexed="81"/>
            <rFont val="MS P ゴシック"/>
            <family val="3"/>
            <charset val="128"/>
          </rPr>
          <t xml:space="preserve"> 26-6911</t>
        </r>
      </text>
    </comment>
    <comment ref="A1948" authorId="1" shapeId="0" xr:uid="{00000000-0006-0000-0000-0000D1030000}">
      <text>
        <r>
          <rPr>
            <sz val="9"/>
            <color indexed="81"/>
            <rFont val="MS P ゴシック"/>
            <family val="3"/>
            <charset val="128"/>
          </rPr>
          <t xml:space="preserve"> 26-6912</t>
        </r>
      </text>
    </comment>
    <comment ref="A1950" authorId="1" shapeId="0" xr:uid="{00000000-0006-0000-0000-0000D2030000}">
      <text>
        <r>
          <rPr>
            <sz val="9"/>
            <color indexed="81"/>
            <rFont val="MS P ゴシック"/>
            <family val="3"/>
            <charset val="128"/>
          </rPr>
          <t xml:space="preserve"> 26-6913</t>
        </r>
      </text>
    </comment>
    <comment ref="A1952" authorId="1" shapeId="0" xr:uid="{00000000-0006-0000-0000-0000D3030000}">
      <text>
        <r>
          <rPr>
            <sz val="9"/>
            <color indexed="81"/>
            <rFont val="MS P ゴシック"/>
            <family val="3"/>
            <charset val="128"/>
          </rPr>
          <t xml:space="preserve"> 26-6914</t>
        </r>
      </text>
    </comment>
    <comment ref="A1954" authorId="1" shapeId="0" xr:uid="{00000000-0006-0000-0000-0000D4030000}">
      <text>
        <r>
          <rPr>
            <sz val="9"/>
            <color indexed="81"/>
            <rFont val="MS P ゴシック"/>
            <family val="3"/>
            <charset val="128"/>
          </rPr>
          <t xml:space="preserve"> 26-6915</t>
        </r>
      </text>
    </comment>
    <comment ref="A1956" authorId="1" shapeId="0" xr:uid="{00000000-0006-0000-0000-0000D5030000}">
      <text>
        <r>
          <rPr>
            <sz val="9"/>
            <color indexed="81"/>
            <rFont val="MS P ゴシック"/>
            <family val="3"/>
            <charset val="128"/>
          </rPr>
          <t xml:space="preserve"> 26-6916</t>
        </r>
      </text>
    </comment>
    <comment ref="A1958" authorId="1" shapeId="0" xr:uid="{00000000-0006-0000-0000-0000D6030000}">
      <text>
        <r>
          <rPr>
            <sz val="9"/>
            <color indexed="81"/>
            <rFont val="MS P ゴシック"/>
            <family val="3"/>
            <charset val="128"/>
          </rPr>
          <t xml:space="preserve"> 26-6917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瀧井翔太</author>
    <author>瀧井良介</author>
  </authors>
  <commentList>
    <comment ref="A2" authorId="0" shapeId="0" xr:uid="{00000000-0006-0000-0100-000001000000}">
      <text>
        <r>
          <rPr>
            <sz val="9"/>
            <color indexed="81"/>
            <rFont val="MS P ゴシック"/>
            <family val="3"/>
            <charset val="128"/>
          </rPr>
          <t xml:space="preserve">19-3782 20-273 R21-008 R22-006 R23-005 R24-004 R25-001　R26-001
</t>
        </r>
      </text>
    </comment>
    <comment ref="A4" authorId="0" shapeId="0" xr:uid="{00000000-0006-0000-0100-000002000000}">
      <text>
        <r>
          <rPr>
            <sz val="9"/>
            <color indexed="81"/>
            <rFont val="MS P ゴシック"/>
            <family val="3"/>
            <charset val="128"/>
          </rPr>
          <t>20-2552 R21-010 R22-007 R23-006 R24-005 R25-002
R26-002</t>
        </r>
      </text>
    </comment>
    <comment ref="A6" authorId="0" shapeId="0" xr:uid="{00000000-0006-0000-0100-000003000000}">
      <text>
        <r>
          <rPr>
            <sz val="9"/>
            <color indexed="81"/>
            <rFont val="MS P ゴシック"/>
            <family val="3"/>
            <charset val="128"/>
          </rPr>
          <t>S23-277 S24-076a R24-009 R25-003
R26-003</t>
        </r>
      </text>
    </comment>
    <comment ref="A8" authorId="0" shapeId="0" xr:uid="{00000000-0006-0000-0100-000004000000}">
      <text>
        <r>
          <rPr>
            <sz val="9"/>
            <color indexed="81"/>
            <rFont val="MS P ゴシック"/>
            <family val="3"/>
            <charset val="128"/>
          </rPr>
          <t>18-7870 19-376 20-117 21-090 22-081 23-075 24-066 25-062 R25-015
R26-008</t>
        </r>
      </text>
    </comment>
    <comment ref="A10" authorId="0" shapeId="0" xr:uid="{00000000-0006-0000-0100-000005000000}">
      <text>
        <r>
          <rPr>
            <sz val="9"/>
            <color indexed="81"/>
            <rFont val="MS P ゴシック"/>
            <family val="3"/>
            <charset val="128"/>
          </rPr>
          <t xml:space="preserve"> 23-1911 24-333 25-265 26-242
R26-009
</t>
        </r>
      </text>
    </comment>
    <comment ref="A12" authorId="1" shapeId="0" xr:uid="{DFB473D1-FAB1-4C9B-8350-84D1268DEDF8}">
      <text>
        <r>
          <rPr>
            <sz val="9"/>
            <color indexed="81"/>
            <rFont val="MS P ゴシック"/>
            <family val="3"/>
            <charset val="128"/>
          </rPr>
          <t xml:space="preserve"> 22-1635 23-257 24-182 25-159 26-151</t>
        </r>
      </text>
    </comment>
    <comment ref="A14" authorId="1" shapeId="0" xr:uid="{1EE19606-917F-4310-88C9-C8968E875280}">
      <text>
        <r>
          <rPr>
            <sz val="9"/>
            <color indexed="81"/>
            <rFont val="MS P ゴシック"/>
            <family val="3"/>
            <charset val="128"/>
          </rPr>
          <t>21-2013 22-227 23-173 24-130 25-118 26-113</t>
        </r>
      </text>
    </comment>
  </commentList>
</comments>
</file>

<file path=xl/sharedStrings.xml><?xml version="1.0" encoding="utf-8"?>
<sst xmlns="http://schemas.openxmlformats.org/spreadsheetml/2006/main" count="67392" uniqueCount="26644">
  <si>
    <t>仕入番号</t>
  </si>
  <si>
    <t>仕入れ日/仕入れ先</t>
  </si>
  <si>
    <t>回次/出品番号</t>
  </si>
  <si>
    <t>年式/色</t>
  </si>
  <si>
    <t>車名/車台番号</t>
  </si>
  <si>
    <t>車検/距離</t>
  </si>
  <si>
    <t>評価点</t>
  </si>
  <si>
    <t>車輌代</t>
  </si>
  <si>
    <t>消費税</t>
  </si>
  <si>
    <t>自税</t>
  </si>
  <si>
    <t>リサイクル</t>
  </si>
  <si>
    <t>落札料</t>
  </si>
  <si>
    <t>合計</t>
  </si>
  <si>
    <t>自税相当返金額</t>
  </si>
  <si>
    <t>車輌番号/所有者</t>
  </si>
  <si>
    <t>補足</t>
  </si>
  <si>
    <t>名義変更</t>
  </si>
  <si>
    <t>売上日/売上先</t>
  </si>
  <si>
    <t>入金日</t>
  </si>
  <si>
    <t>予定</t>
  </si>
  <si>
    <t>着</t>
  </si>
  <si>
    <t>付属品</t>
    <phoneticPr fontId="13"/>
  </si>
  <si>
    <t>車名</t>
    <rPh sb="0" eb="2">
      <t>シャメイ</t>
    </rPh>
    <phoneticPr fontId="13"/>
  </si>
  <si>
    <t>車台番号</t>
    <rPh sb="0" eb="4">
      <t>シャダイバンゴウ</t>
    </rPh>
    <phoneticPr fontId="13"/>
  </si>
  <si>
    <t>年式</t>
    <rPh sb="0" eb="2">
      <t>ネンシキ</t>
    </rPh>
    <phoneticPr fontId="13"/>
  </si>
  <si>
    <t>色</t>
    <rPh sb="0" eb="1">
      <t>イロ</t>
    </rPh>
    <phoneticPr fontId="13"/>
  </si>
  <si>
    <t>車検</t>
    <rPh sb="0" eb="2">
      <t>シャケン</t>
    </rPh>
    <phoneticPr fontId="13"/>
  </si>
  <si>
    <t>ナンバー</t>
    <phoneticPr fontId="13"/>
  </si>
  <si>
    <t>88’</t>
  </si>
  <si>
    <t>ｼﾄﾛｴﾝ　ﾁｬｰﾙｽﾄﾝMTｷｬﾝﾊﾞｽﾄｯﾌﾟ</t>
  </si>
  <si>
    <t>振り込み　735</t>
  </si>
  <si>
    <t>ｼｰﾄ修理　8000</t>
  </si>
  <si>
    <t>TAP出品　3675</t>
  </si>
  <si>
    <t>島根　50　さ　3593</t>
  </si>
  <si>
    <t>ﾜｲｽﾞ</t>
  </si>
  <si>
    <t>ｸﾞﾚｰ/ｸﾛ</t>
  </si>
  <si>
    <t>VF7AZKA00KA325440</t>
  </si>
  <si>
    <t>ﾘﾌﾄﾄｯﾌﾟ　64620+735</t>
  </si>
  <si>
    <t>ペイント　220500</t>
  </si>
  <si>
    <t>黒田商会　100800</t>
  </si>
  <si>
    <t>黒田商会　29400</t>
  </si>
  <si>
    <t>田原　秀行</t>
  </si>
  <si>
    <t>89’</t>
  </si>
  <si>
    <t>BMW　635CSI</t>
  </si>
  <si>
    <t>大阪　300　ま　4361</t>
  </si>
  <si>
    <t>HAA</t>
  </si>
  <si>
    <t>ﾛｲﾔﾙﾌﾞﾙｰ</t>
  </si>
  <si>
    <t>WBAEC890900766577</t>
  </si>
  <si>
    <t>抹消　685</t>
  </si>
  <si>
    <t>脇　厚生</t>
  </si>
  <si>
    <t>抹消済</t>
    <rPh sb="0" eb="2">
      <t>マッショウ</t>
    </rPh>
    <rPh sb="2" eb="3">
      <t>ズ</t>
    </rPh>
    <phoneticPr fontId="13"/>
  </si>
  <si>
    <t>95’</t>
  </si>
  <si>
    <t>ﾎﾞﾙﾎﾞ　ﾎﾟﾗｰﾙｴｽﾃｰﾄ</t>
  </si>
  <si>
    <t>姫路　300　て　6488</t>
  </si>
  <si>
    <t>ﾜｲﾝ</t>
    <phoneticPr fontId="13"/>
  </si>
  <si>
    <t>YV1945856S1133839</t>
  </si>
  <si>
    <t>商品車　2700+500</t>
  </si>
  <si>
    <t>HA出品（4回）　16800</t>
  </si>
  <si>
    <t>テール　10000</t>
  </si>
  <si>
    <t>自税　45000</t>
  </si>
  <si>
    <t>斎藤　祐一郎</t>
  </si>
  <si>
    <t>98’</t>
  </si>
  <si>
    <t>ｱｳﾃﾞｨA6　2.8ｸﾜﾄﾛ</t>
  </si>
  <si>
    <t>名古屋　302　に　5618</t>
  </si>
  <si>
    <t>ZIP大阪</t>
  </si>
  <si>
    <t>ｼﾙﾊﾞｰ</t>
  </si>
  <si>
    <t>WAUZZZ4BZWN155878</t>
  </si>
  <si>
    <t>抹消　850</t>
  </si>
  <si>
    <t>(株)ﾔﾅｾ</t>
    <phoneticPr fontId="13"/>
  </si>
  <si>
    <t>94’</t>
  </si>
  <si>
    <t>ｼﾞｬｶﾞｰ　XJ6</t>
  </si>
  <si>
    <t>横浜　34　た　1386</t>
  </si>
  <si>
    <t>JAA</t>
  </si>
  <si>
    <t>ｶﾞﾝﾒﾀ</t>
  </si>
  <si>
    <t>SAJJFKLD3AJ696574</t>
  </si>
  <si>
    <t>振り込　735　　　　　</t>
  </si>
  <si>
    <t>陸送　21000</t>
  </si>
  <si>
    <t>(株)ｳｯﾄﾞｽﾃｯｸ</t>
    <rPh sb="0" eb="3">
      <t>カブシキガイシャ</t>
    </rPh>
    <phoneticPr fontId="13"/>
  </si>
  <si>
    <t>保証書 取説</t>
    <rPh sb="0" eb="3">
      <t>ホショウショ</t>
    </rPh>
    <rPh sb="4" eb="5">
      <t>トリ</t>
    </rPh>
    <rPh sb="5" eb="6">
      <t>セツ</t>
    </rPh>
    <phoneticPr fontId="13"/>
  </si>
  <si>
    <t>01’</t>
  </si>
  <si>
    <t>ﾌﾟｼﾞｮｰ　406　ﾌﾞﾚｲｸ</t>
  </si>
  <si>
    <t>岡山　331　と　567</t>
  </si>
  <si>
    <t>ｵｰｸﾈｯﾄ</t>
    <phoneticPr fontId="13"/>
  </si>
  <si>
    <t>VF38ERFVP80452098</t>
  </si>
  <si>
    <t>商品車　2700+1440+500</t>
  </si>
  <si>
    <t>TV出品（2回）　5906</t>
  </si>
  <si>
    <t>東合商事(株)</t>
  </si>
  <si>
    <t>取説 ｺｰﾄﾞｶｰﾄﾞ</t>
    <rPh sb="0" eb="1">
      <t>トリ</t>
    </rPh>
    <rPh sb="1" eb="2">
      <t>セツ</t>
    </rPh>
    <phoneticPr fontId="13"/>
  </si>
  <si>
    <t>ｼﾄﾛｴﾝ　C5　2.0</t>
  </si>
  <si>
    <t>品川　399　の　3789</t>
  </si>
  <si>
    <t>ｸﾞﾘｰﾝ</t>
  </si>
  <si>
    <t>VF7DCRFNE76078697</t>
  </si>
  <si>
    <t>TV出品　9825</t>
  </si>
  <si>
    <t>HA出品（6回）　33600</t>
  </si>
  <si>
    <t>(株)ｶﾞﾘﾊﾞｰｲﾝﾀｰﾅｼｮﾅﾙ</t>
    <phoneticPr fontId="13"/>
  </si>
  <si>
    <t>MﾍﾞﾝﾂE280</t>
  </si>
  <si>
    <t>姫路　300　は　7511</t>
  </si>
  <si>
    <t>日下</t>
  </si>
  <si>
    <t>WDB1240282C220293</t>
  </si>
  <si>
    <t>日下　正信</t>
  </si>
  <si>
    <t>ｱｳﾃﾞｨA6</t>
  </si>
  <si>
    <t>静岡　330　さ　545</t>
  </si>
  <si>
    <t>NAA名古屋</t>
  </si>
  <si>
    <t>WAUZZZ4BZXN000202</t>
  </si>
  <si>
    <t>振り込　630　　　　陸送　　　12600</t>
  </si>
  <si>
    <t>日産ﾌﾟﾘｳｽ静岡販売(株)</t>
    <phoneticPr fontId="13"/>
  </si>
  <si>
    <t>抹消済</t>
    <rPh sb="0" eb="3">
      <t>マッショウズ</t>
    </rPh>
    <phoneticPr fontId="13"/>
  </si>
  <si>
    <t>00’</t>
  </si>
  <si>
    <t>ｱｳﾃﾞｨA4 ｱﾊﾞﾝﾄ</t>
  </si>
  <si>
    <t>豊田　300　そ　4875</t>
  </si>
  <si>
    <t>ﾌﾞﾙｰ</t>
  </si>
  <si>
    <t>WAUZZZ8DZYA179174</t>
  </si>
  <si>
    <t>HAA出品(2回）11025</t>
    <rPh sb="7" eb="8">
      <t>カイ</t>
    </rPh>
    <phoneticPr fontId="13"/>
  </si>
  <si>
    <t>中央金属(株)</t>
  </si>
  <si>
    <t>04’</t>
  </si>
  <si>
    <t>ﾎﾞﾙﾎﾞ　S80　T-6</t>
  </si>
  <si>
    <t>神戸　399　は　3151</t>
  </si>
  <si>
    <t>紺</t>
  </si>
  <si>
    <t>YV1TS91J541365234</t>
  </si>
  <si>
    <t>(株)HAA神戸</t>
  </si>
  <si>
    <t>475回</t>
  </si>
  <si>
    <t>02’</t>
  </si>
  <si>
    <t>BMW　525I　ﾂｰﾘﾝｸﾞ</t>
  </si>
  <si>
    <t>神戸　399　は　4714</t>
  </si>
  <si>
    <t>WBADS42040BZ42098</t>
  </si>
  <si>
    <t>(株)ﾓﾄｰﾚﾝ兵庫</t>
    <rPh sb="0" eb="3">
      <t>カブシキガイシャ</t>
    </rPh>
    <rPh sb="8" eb="10">
      <t>ヒョウゴ</t>
    </rPh>
    <phoneticPr fontId="13"/>
  </si>
  <si>
    <t>保証書 取説(R4.1217探し中)</t>
    <rPh sb="0" eb="3">
      <t>ホショウショ</t>
    </rPh>
    <rPh sb="4" eb="5">
      <t>トリ</t>
    </rPh>
    <rPh sb="5" eb="6">
      <t>セツ</t>
    </rPh>
    <rPh sb="14" eb="15">
      <t>サガ</t>
    </rPh>
    <rPh sb="16" eb="17">
      <t>チュウ</t>
    </rPh>
    <phoneticPr fontId="13"/>
  </si>
  <si>
    <t>345回</t>
  </si>
  <si>
    <t>MﾍﾞﾝﾂE320　AVG</t>
  </si>
  <si>
    <t>川崎　399　た　9119</t>
  </si>
  <si>
    <t>USS横浜</t>
  </si>
  <si>
    <t>ｸﾞﾚｰ</t>
    <phoneticPr fontId="13"/>
  </si>
  <si>
    <t>WDB2102652B006681</t>
  </si>
  <si>
    <t>振り込　630</t>
  </si>
  <si>
    <t>(株)ﾜｰｸｽ横浜</t>
    <rPh sb="0" eb="3">
      <t>カブシキガイシャ</t>
    </rPh>
    <rPh sb="7" eb="9">
      <t>ヨコハマ</t>
    </rPh>
    <phoneticPr fontId="13"/>
  </si>
  <si>
    <t>371回</t>
  </si>
  <si>
    <t>03’</t>
  </si>
  <si>
    <t>Mﾍﾞﾝﾂ　E500　AVG</t>
  </si>
  <si>
    <t>浜松　330　ろ　215</t>
  </si>
  <si>
    <t>WDB2110702A146633</t>
  </si>
  <si>
    <t>市川　恭大</t>
  </si>
  <si>
    <t>保証書 ﾅﾋﾞﾛﾑ</t>
    <rPh sb="0" eb="3">
      <t>ホショウショ</t>
    </rPh>
    <phoneticPr fontId="13"/>
  </si>
  <si>
    <t>857回</t>
  </si>
  <si>
    <t>06’</t>
  </si>
  <si>
    <t>BMW　323I</t>
  </si>
  <si>
    <t>練馬　330　さ　3393</t>
  </si>
  <si>
    <t>USS東京</t>
  </si>
  <si>
    <t>ﾁﾀﾝｼﾙﾊﾞｰ</t>
  </si>
  <si>
    <t>WBAVB56020NK82324</t>
  </si>
  <si>
    <t>陸送　19425　　HAA出品（9回）　　50400</t>
  </si>
  <si>
    <t>（株）東立</t>
  </si>
  <si>
    <t>2722回</t>
  </si>
  <si>
    <t>ｱｳﾃﾞｨS4</t>
  </si>
  <si>
    <t>練馬　330　み　3710</t>
  </si>
  <si>
    <t>WAUZZZ8E75A041936</t>
  </si>
  <si>
    <t>東京ｽﾊﾞﾙ(株)</t>
    <rPh sb="0" eb="2">
      <t>トウキョウ</t>
    </rPh>
    <rPh sb="6" eb="9">
      <t>カブシキガイシャ</t>
    </rPh>
    <phoneticPr fontId="13"/>
  </si>
  <si>
    <t>保証書 取説 ｷｰﾚｽ</t>
    <rPh sb="0" eb="3">
      <t>ホショウショ</t>
    </rPh>
    <rPh sb="4" eb="5">
      <t>トリ</t>
    </rPh>
    <rPh sb="5" eb="6">
      <t>セツ</t>
    </rPh>
    <phoneticPr fontId="13"/>
  </si>
  <si>
    <t>639回</t>
  </si>
  <si>
    <t>MﾍﾞﾝﾂS600L</t>
  </si>
  <si>
    <t>名古屋　399　ら　7008</t>
  </si>
  <si>
    <t>WDB2201761A335167</t>
  </si>
  <si>
    <t>(株)ﾔﾅｾ</t>
    <rPh sb="0" eb="3">
      <t>カブシキガイシャ</t>
    </rPh>
    <phoneticPr fontId="13"/>
  </si>
  <si>
    <t>保証書 取説 ﾅﾋﾞﾛﾑ</t>
    <rPh sb="0" eb="3">
      <t>ホショウショ</t>
    </rPh>
    <rPh sb="4" eb="5">
      <t>トリ</t>
    </rPh>
    <rPh sb="5" eb="6">
      <t>セツ</t>
    </rPh>
    <phoneticPr fontId="13"/>
  </si>
  <si>
    <t>18/12</t>
    <phoneticPr fontId="13"/>
  </si>
  <si>
    <t>社</t>
    <rPh sb="0" eb="1">
      <t>シャ</t>
    </rPh>
    <phoneticPr fontId="13"/>
  </si>
  <si>
    <t>BMW335I</t>
  </si>
  <si>
    <t>練馬　301　ひ　7923</t>
  </si>
  <si>
    <t>WBAWB72010P051442</t>
  </si>
  <si>
    <t>野中　智子</t>
  </si>
  <si>
    <t>保証書 取説</t>
    <rPh sb="0" eb="3">
      <t>ホショウショ</t>
    </rPh>
    <rPh sb="4" eb="6">
      <t>トリセツ</t>
    </rPh>
    <phoneticPr fontId="13"/>
  </si>
  <si>
    <t>6973回</t>
  </si>
  <si>
    <t>18/5</t>
  </si>
  <si>
    <t>BMWﾐﾆｸｰﾊﾟｰ ｾﾌﾞﾝ</t>
  </si>
  <si>
    <t>三重　501　の　7990</t>
  </si>
  <si>
    <t>TAA中部</t>
  </si>
  <si>
    <t>WMWRC32010TJ27929</t>
  </si>
  <si>
    <t>ﾈｯﾂﾄﾖﾀ三重(株)</t>
    <rPh sb="6" eb="8">
      <t>ミエ</t>
    </rPh>
    <rPh sb="8" eb="11">
      <t>カブシキガイシャ</t>
    </rPh>
    <phoneticPr fontId="13"/>
  </si>
  <si>
    <t>702回</t>
  </si>
  <si>
    <t>19/4</t>
  </si>
  <si>
    <t>BMWﾐﾆｸｰﾊﾟｰS</t>
  </si>
  <si>
    <t>奈良　501　に　8805</t>
  </si>
  <si>
    <t>WMWMF72080TL38070</t>
  </si>
  <si>
    <t>奈良日産自動車（株）</t>
  </si>
  <si>
    <t>保証書　取説　ｷｰﾚｽ</t>
  </si>
  <si>
    <t>ﾜﾝｵｰﾅｰ</t>
    <phoneticPr fontId="13"/>
  </si>
  <si>
    <t>1762回</t>
  </si>
  <si>
    <t>17/8</t>
  </si>
  <si>
    <t>26/8</t>
  </si>
  <si>
    <t>大阪　539　さ　1107</t>
  </si>
  <si>
    <t>ﾍﾞｲｵｰｸ（まとめ）</t>
    <phoneticPr fontId="13"/>
  </si>
  <si>
    <t>ｼﾙﾊﾞｰⅡ</t>
  </si>
  <si>
    <t>WMWRC32020TJ23615</t>
  </si>
  <si>
    <t>柳別府　陸則</t>
  </si>
  <si>
    <t>713回</t>
  </si>
  <si>
    <t>21/3</t>
  </si>
  <si>
    <t>神戸　799　せ　471</t>
  </si>
  <si>
    <t>ｸﾞﾘｰﾝM</t>
  </si>
  <si>
    <t>WMWMF720X0TV02404</t>
  </si>
  <si>
    <t>(株)ﾓﾄｰﾚﾝ神戸</t>
    <rPh sb="0" eb="3">
      <t>カブシキガイシャ</t>
    </rPh>
    <rPh sb="8" eb="10">
      <t>コウベ</t>
    </rPh>
    <phoneticPr fontId="13"/>
  </si>
  <si>
    <t>1558回</t>
  </si>
  <si>
    <t>13/8</t>
  </si>
  <si>
    <t>ｽﾏｰﾄ ﾌﾞﾗﾊﾞｽ</t>
  </si>
  <si>
    <t>名古屋　501　は　9308</t>
  </si>
  <si>
    <t>USS名古屋</t>
  </si>
  <si>
    <t>ｲｴﾛｰ</t>
  </si>
  <si>
    <t>WME01MC01YH053792</t>
  </si>
  <si>
    <t>浅野　展充</t>
  </si>
  <si>
    <t>727回</t>
  </si>
  <si>
    <t>16/3</t>
  </si>
  <si>
    <t>BMW530i　ﾊｲﾗｲﾝ</t>
  </si>
  <si>
    <t>27/4</t>
  </si>
  <si>
    <t>足立　341　に　727</t>
  </si>
  <si>
    <t>WBANA72070B187344</t>
  </si>
  <si>
    <t>Jﾗｲﾝ（株）</t>
    <phoneticPr fontId="13"/>
  </si>
  <si>
    <t>保証書　ﾅﾋﾞﾛﾑ (R4.1217探し中)</t>
    <phoneticPr fontId="13"/>
  </si>
  <si>
    <t>739回</t>
  </si>
  <si>
    <t>19/12</t>
  </si>
  <si>
    <t>ﾐﾆｷｬﾌﾞ T</t>
  </si>
  <si>
    <t>広島　480　ろ　8120</t>
  </si>
  <si>
    <t>白</t>
  </si>
  <si>
    <t>U61T-1300225</t>
  </si>
  <si>
    <t>(株)ｶﾞﾘﾊﾞｰｲﾝﾀｰﾅｼｮﾅﾙ</t>
    <rPh sb="0" eb="3">
      <t>カブシキガイシャ</t>
    </rPh>
    <phoneticPr fontId="13"/>
  </si>
  <si>
    <t>537回</t>
  </si>
  <si>
    <t>20/1</t>
  </si>
  <si>
    <t>BMWﾐﾆ ﾜﾝ</t>
  </si>
  <si>
    <t>多摩　599　ま　8741</t>
  </si>
  <si>
    <t>WMWME32040TM72604</t>
  </si>
  <si>
    <t>（株）ﾓﾄｰﾚﾝ東名横浜</t>
    <phoneticPr fontId="13"/>
  </si>
  <si>
    <t>543回</t>
  </si>
  <si>
    <t>15/10</t>
  </si>
  <si>
    <t>ﾚﾝｼﾞﾛｰﾊﾞｰ　HSE</t>
  </si>
  <si>
    <t>習志野　399　に　4639</t>
  </si>
  <si>
    <t>SALLMAMA34A144036</t>
  </si>
  <si>
    <t>(株)ｴｺｽﾀｲﾙ</t>
    <rPh sb="0" eb="3">
      <t>カブシキガイシャ</t>
    </rPh>
    <phoneticPr fontId="13"/>
  </si>
  <si>
    <t>保証書　DVD　ｷｰﾚｽ</t>
  </si>
  <si>
    <t>1477回</t>
  </si>
  <si>
    <t>16/7</t>
  </si>
  <si>
    <t>BMW　Z4</t>
  </si>
  <si>
    <t>大阪　376　な　18</t>
  </si>
  <si>
    <t>ﾊﾅﾃﾝ</t>
    <phoneticPr fontId="13"/>
  </si>
  <si>
    <t>WBABT12080LR01261</t>
  </si>
  <si>
    <t>(株)ﾊﾅﾃﾝ</t>
    <rPh sb="0" eb="3">
      <t>カブシキガイシャ</t>
    </rPh>
    <phoneticPr fontId="13"/>
  </si>
  <si>
    <t>保証書　取説 ﾌﾟﾗｷｰ</t>
    <phoneticPr fontId="13"/>
  </si>
  <si>
    <t>802回</t>
  </si>
  <si>
    <t>16/11</t>
  </si>
  <si>
    <t>MﾍﾞﾝﾂE320</t>
  </si>
  <si>
    <t>27/11</t>
  </si>
  <si>
    <t>神戸　302　ら　4691</t>
  </si>
  <si>
    <t>ZIP</t>
  </si>
  <si>
    <t>WDB2110652A672926</t>
  </si>
  <si>
    <t>保証書　取説　ｷｰﾚｽ　ﾅﾋﾞﾛﾑ</t>
  </si>
  <si>
    <t>484回</t>
  </si>
  <si>
    <t>18/10</t>
  </si>
  <si>
    <t>Mﾍﾞﾝﾂ　GL550</t>
  </si>
  <si>
    <t>姫路　330　つ　637</t>
  </si>
  <si>
    <t>USS神戸</t>
  </si>
  <si>
    <t>WDC1648861A133695</t>
  </si>
  <si>
    <t>浜川　滋之</t>
  </si>
  <si>
    <t>567回</t>
  </si>
  <si>
    <t>21/5</t>
  </si>
  <si>
    <t>BMW525I　ﾂｰﾘﾝｸﾞ　Mｽﾎﾟｰﾂ</t>
  </si>
  <si>
    <t>28/3</t>
  </si>
  <si>
    <t>品川　356　み　72</t>
  </si>
  <si>
    <t>ｸﾞﾚｰ</t>
  </si>
  <si>
    <t>WBAPU520X0CX91047</t>
  </si>
  <si>
    <t>(有)三英ｵｰﾄ</t>
    <phoneticPr fontId="13"/>
  </si>
  <si>
    <t>保証書　取説　ｷｰﾚｽ　ﾌﾟﾗｷｰ</t>
  </si>
  <si>
    <t>25/5</t>
  </si>
  <si>
    <t>BMW650I</t>
  </si>
  <si>
    <t>28/5</t>
  </si>
  <si>
    <t>三重　301　ほ　9480</t>
  </si>
  <si>
    <t>378 せ 5</t>
    <phoneticPr fontId="13"/>
  </si>
  <si>
    <t>業販</t>
    <rPh sb="0" eb="2">
      <t>ギョウハン</t>
    </rPh>
    <phoneticPr fontId="13"/>
  </si>
  <si>
    <t>黒</t>
    <rPh sb="0" eb="1">
      <t>クロ</t>
    </rPh>
    <phoneticPr fontId="13"/>
  </si>
  <si>
    <t>WBA6B21070D144990</t>
  </si>
  <si>
    <t>株式会社ｱｵﾔﾏ</t>
  </si>
  <si>
    <t>555回</t>
  </si>
  <si>
    <t>22/12</t>
  </si>
  <si>
    <t>BMWﾐﾆｸｰﾊﾟｰ</t>
  </si>
  <si>
    <t>岡山　599　つ　620</t>
  </si>
  <si>
    <t>LAA関西</t>
    <phoneticPr fontId="13"/>
  </si>
  <si>
    <t>WMWSU32020TY89634</t>
  </si>
  <si>
    <t>(株)ｼﾃｨﾗｲﾄ</t>
    <rPh sb="0" eb="3">
      <t>カブシキガイシャ</t>
    </rPh>
    <phoneticPr fontId="13"/>
  </si>
  <si>
    <t>保証書　取説</t>
  </si>
  <si>
    <t>1594回</t>
  </si>
  <si>
    <t>24/12</t>
  </si>
  <si>
    <t>BMWﾐﾆ　ｸｰﾊﾟｰS　ｸﾛｽｵｰﾊﾞｰ</t>
  </si>
  <si>
    <t>尾張小牧　399　と　4667</t>
  </si>
  <si>
    <t>　</t>
  </si>
  <si>
    <t>赤</t>
  </si>
  <si>
    <t>WMWZC32080WN02424</t>
  </si>
  <si>
    <t>株式会社名鉄ｱｵﾄ</t>
    <rPh sb="0" eb="4">
      <t>カブシキガイシャ</t>
    </rPh>
    <rPh sb="4" eb="6">
      <t>メイテツ</t>
    </rPh>
    <phoneticPr fontId="13"/>
  </si>
  <si>
    <t>1070回</t>
  </si>
  <si>
    <t>19/5</t>
  </si>
  <si>
    <t>BMWﾐﾆ ｸｰﾊﾟｰS</t>
  </si>
  <si>
    <t>所沢　599　と　5615</t>
  </si>
  <si>
    <t>WMWMF72060TL38195</t>
  </si>
  <si>
    <t>株式会社ﾕｰﾊﾟｰｸ</t>
    <rPh sb="0" eb="4">
      <t>カブシキガイシャ</t>
    </rPh>
    <phoneticPr fontId="13"/>
  </si>
  <si>
    <t>846回</t>
  </si>
  <si>
    <t>23/5</t>
  </si>
  <si>
    <t>ｱｳﾃﾞｨA5　SB　2.0TFSI</t>
  </si>
  <si>
    <t>神戸　329　さ　6761</t>
  </si>
  <si>
    <t>ﾍﾞｰｼﾞｭ</t>
  </si>
  <si>
    <t>WAUZZZ8T4BA072233</t>
  </si>
  <si>
    <t>保証書　取説　ｷｰﾚｽ　ﾌﾟﾗｷｰ　B-CAS</t>
  </si>
  <si>
    <t>1647回</t>
  </si>
  <si>
    <t>21/12</t>
  </si>
  <si>
    <t>VWｺﾞﾙﾌ　GTI</t>
  </si>
  <si>
    <t>28/12</t>
  </si>
  <si>
    <t>三河　301　る　5450</t>
  </si>
  <si>
    <t>WVWZZZ1KZAW043217</t>
  </si>
  <si>
    <t>山下　雄也</t>
  </si>
  <si>
    <t>813回</t>
  </si>
  <si>
    <t>ﾃﾞｨｽｶﾊﾞﾘｰ　4.0　HSE</t>
  </si>
  <si>
    <t>30/2</t>
  </si>
  <si>
    <t>徳島　300　ぬ　2231</t>
  </si>
  <si>
    <t>SALLTAMP34A837027</t>
  </si>
  <si>
    <t>中田　和子</t>
  </si>
  <si>
    <t>847回</t>
  </si>
  <si>
    <t>23/3</t>
  </si>
  <si>
    <t>BMWﾐﾆ ｸﾛｽｵｰﾊﾞｰ</t>
  </si>
  <si>
    <t>30/3</t>
  </si>
  <si>
    <t>横浜　331　ひ　7033</t>
  </si>
  <si>
    <t>MIRIVE（まとめ）</t>
  </si>
  <si>
    <t>赤Ⅱ</t>
  </si>
  <si>
    <t>WMWZC32080WH97320</t>
  </si>
  <si>
    <t>谷口　直樹</t>
  </si>
  <si>
    <t>987回</t>
  </si>
  <si>
    <t>18/6</t>
  </si>
  <si>
    <t>29/6</t>
  </si>
  <si>
    <t>愛媛　501　ね　4086</t>
  </si>
  <si>
    <t>USS岡山</t>
  </si>
  <si>
    <t>WMWRC32080TJ30004</t>
  </si>
  <si>
    <t>株式会社ｶﾞﾘｵｺｰﾎﾟﾚｰｼｮﾝ</t>
    <rPh sb="0" eb="4">
      <t>カブシキガイシャ</t>
    </rPh>
    <phoneticPr fontId="13"/>
  </si>
  <si>
    <t>766回</t>
  </si>
  <si>
    <t>15/4</t>
  </si>
  <si>
    <t>ﾚﾝｼﾞﾛｰﾊﾞｰ　VOGUE</t>
  </si>
  <si>
    <t>福岡　301　ゆ　7514</t>
  </si>
  <si>
    <t>TAA九州</t>
  </si>
  <si>
    <t>SALLMAMA33A128638</t>
  </si>
  <si>
    <t>八尋　邦晃</t>
  </si>
  <si>
    <t>12/3</t>
  </si>
  <si>
    <t>VWﾊﾞｽ</t>
  </si>
  <si>
    <t>島根　500　す　6581</t>
  </si>
  <si>
    <t>ｵｰﾄｻﾛﾝﾜｲｽﾞ</t>
    <phoneticPr fontId="13"/>
  </si>
  <si>
    <t>白/ﾌﾞﾙｰ</t>
  </si>
  <si>
    <t>佐藤　由美子</t>
  </si>
  <si>
    <t>553回</t>
  </si>
  <si>
    <t>15/6</t>
  </si>
  <si>
    <t>ﾗﾝﾄﾞﾛｰﾊﾞｰ　ﾃﾞｨｽｶﾊﾞﾘｰ　HSE</t>
  </si>
  <si>
    <t>大宮　300　も　3441</t>
  </si>
  <si>
    <t>TAA横浜</t>
  </si>
  <si>
    <t>SALLTAMP33A818771</t>
  </si>
  <si>
    <t>埼玉ﾄﾖﾍﾟｯﾄ(株)</t>
    <rPh sb="0" eb="2">
      <t>サイタマ</t>
    </rPh>
    <rPh sb="8" eb="11">
      <t>カブシキガイシャ</t>
    </rPh>
    <phoneticPr fontId="13"/>
  </si>
  <si>
    <t>1664回</t>
  </si>
  <si>
    <t>5/7</t>
  </si>
  <si>
    <t>VWｺﾞﾙﾌ　ｶﾌﾞﾘｵﾚ　ｸﾗｼｯｸﾗｲﾝ</t>
  </si>
  <si>
    <t>30/7</t>
  </si>
  <si>
    <t>なにわ　582　ぬ　2010</t>
  </si>
  <si>
    <t>WVWZZZ15ZPK012768</t>
  </si>
  <si>
    <t>林　曜子</t>
  </si>
  <si>
    <t>ﾅﾋﾞ取 ﾓﾆﾀｰ ｽﾍﾟｱｷｰ 他ｷｰ</t>
    <phoneticPr fontId="13"/>
  </si>
  <si>
    <t>833回</t>
  </si>
  <si>
    <t>24</t>
  </si>
  <si>
    <t>ｷｬﾘｰT　KC</t>
  </si>
  <si>
    <t>香川　480　む　777</t>
  </si>
  <si>
    <t>DA63T-747080</t>
  </si>
  <si>
    <t>岡田　忍</t>
  </si>
  <si>
    <t>836回</t>
  </si>
  <si>
    <t>19/11</t>
  </si>
  <si>
    <t>MRﾜｺﾞﾝ ｳｨｯﾄ</t>
  </si>
  <si>
    <t>豊橋　580　く　4478</t>
  </si>
  <si>
    <t>車輌なし</t>
    <rPh sb="0" eb="2">
      <t>シャリョウ</t>
    </rPh>
    <phoneticPr fontId="16"/>
  </si>
  <si>
    <t>ﾊﾟｰﾌﾟﾙ</t>
  </si>
  <si>
    <t>MF22S-621605</t>
  </si>
  <si>
    <t>東愛知日産自動車（株）</t>
  </si>
  <si>
    <t>22</t>
  </si>
  <si>
    <t>ﾊﾟﾚｯﾄSW TS</t>
  </si>
  <si>
    <t>29/4</t>
  </si>
  <si>
    <t>福井　580　ひ　4448</t>
  </si>
  <si>
    <t>MK21S-364533</t>
  </si>
  <si>
    <t>（株）ｽｽﾞｷｱﾘｰﾅ福井中央</t>
    <phoneticPr fontId="13"/>
  </si>
  <si>
    <t>保証書　取説　ﾅﾋﾞ取　ｷｰﾚｽ　ｽﾀｰﾀｰﾘﾓｺﾝ</t>
    <phoneticPr fontId="13"/>
  </si>
  <si>
    <t>26/7</t>
  </si>
  <si>
    <t>BMW　M4　ｸｰﾍﾟ</t>
  </si>
  <si>
    <t>29/7</t>
  </si>
  <si>
    <t>大阪　363　ま　4</t>
  </si>
  <si>
    <t>振込￥324</t>
  </si>
  <si>
    <t>346 や 4</t>
    <phoneticPr fontId="13"/>
  </si>
  <si>
    <t>業販　ﾌﾟﾛｽﾀｯﾌ</t>
  </si>
  <si>
    <t>WBS3R92090F708144</t>
  </si>
  <si>
    <t>ﾌﾟﾛｽﾀｯﾌ（株）</t>
  </si>
  <si>
    <t>1112回</t>
  </si>
  <si>
    <t>16/1</t>
  </si>
  <si>
    <t>ﾃﾞｨｽｶﾊﾞﾘｰ　HSE</t>
  </si>
  <si>
    <t>習志野　301　せ　7498</t>
  </si>
  <si>
    <t>SALLTAMP33A826869</t>
  </si>
  <si>
    <t>猪股　正博</t>
  </si>
  <si>
    <t>保証書　取説　ｷｰﾚｽ　HDD　ﾘﾓｺﾝ×5　ﾓﾆﾀｰ</t>
  </si>
  <si>
    <t>16/9</t>
  </si>
  <si>
    <t>29/9</t>
  </si>
  <si>
    <t>愛媛　300　ほ　9626</t>
  </si>
  <si>
    <t>SALLTAMP34A830553</t>
  </si>
  <si>
    <t>白川　淳</t>
  </si>
  <si>
    <t>保証書　取説　ナビ取　ｷｰﾚｽ</t>
  </si>
  <si>
    <t>1572回</t>
  </si>
  <si>
    <t>26/4</t>
  </si>
  <si>
    <t>BMWﾐﾆ ｸﾗﾌﾞﾏﾝ</t>
  </si>
  <si>
    <t>福岡　599　り　5723</t>
  </si>
  <si>
    <t>WMWZF32040T812837</t>
  </si>
  <si>
    <t>株式会社ﾋﾞｯｸﾞﾓｰﾀｰ</t>
    <rPh sb="0" eb="4">
      <t>カブシキガイシャ</t>
    </rPh>
    <phoneticPr fontId="13"/>
  </si>
  <si>
    <t>1685回</t>
  </si>
  <si>
    <t>18/3</t>
  </si>
  <si>
    <t>ﾃﾞｨｽｶﾊﾞﾘｰ　Ⅲ　SE</t>
  </si>
  <si>
    <t>千葉　399　り　4834</t>
  </si>
  <si>
    <t>SALLAJA436A375064</t>
  </si>
  <si>
    <t>（株）ＩＤＯＭ</t>
  </si>
  <si>
    <t>保証書　取説　ﾅﾋﾞ取　ﾓﾆﾀｰ</t>
    <phoneticPr fontId="13"/>
  </si>
  <si>
    <t>1575回</t>
  </si>
  <si>
    <t>BMWﾐﾆ　ｸｰﾊﾟｰS</t>
    <phoneticPr fontId="13"/>
  </si>
  <si>
    <t>神戸　503　ぬ　988</t>
  </si>
  <si>
    <t>Lﾌﾞﾙｰ</t>
  </si>
  <si>
    <t>WMWRE32000TC80489</t>
  </si>
  <si>
    <t>株式会社ﾋﾞｰｴﾑﾊﾅﾃﾝ</t>
    <rPh sb="0" eb="4">
      <t>カブシキガイシャ</t>
    </rPh>
    <phoneticPr fontId="13"/>
  </si>
  <si>
    <t>886回</t>
  </si>
  <si>
    <t>1/10</t>
  </si>
  <si>
    <t>ﾊﾟｵ ｷｬﾝﾊﾟｽﾄｯﾌﾟ</t>
    <phoneticPr fontId="13"/>
  </si>
  <si>
    <t>30/10</t>
  </si>
  <si>
    <t>所沢　56　ろ　2337</t>
  </si>
  <si>
    <t>MIRIVE</t>
  </si>
  <si>
    <t>PK10-007074</t>
  </si>
  <si>
    <t>山田　全彦</t>
  </si>
  <si>
    <t>保証書 取説 ｽﾍﾟｱｷｰ ﾜﾝｵｰﾅｰ</t>
    <rPh sb="0" eb="3">
      <t>ホショウショ</t>
    </rPh>
    <rPh sb="4" eb="5">
      <t>トリ</t>
    </rPh>
    <rPh sb="5" eb="6">
      <t>セツ</t>
    </rPh>
    <phoneticPr fontId="13"/>
  </si>
  <si>
    <t>860回</t>
  </si>
  <si>
    <t>19/8</t>
  </si>
  <si>
    <t>30/9</t>
  </si>
  <si>
    <t>大阪　530　た　8605</t>
  </si>
  <si>
    <t>青Ⅱ</t>
  </si>
  <si>
    <t>WMWMF720X0TL39818</t>
  </si>
  <si>
    <t>株式会社ﾓﾄｰﾚﾝ阪神</t>
    <rPh sb="0" eb="4">
      <t>カブシキガイシャ</t>
    </rPh>
    <rPh sb="9" eb="11">
      <t>ハンシン</t>
    </rPh>
    <phoneticPr fontId="13"/>
  </si>
  <si>
    <t>保証書　取説　ﾅﾋﾞ取　ｷｰﾚｽ</t>
    <phoneticPr fontId="13"/>
  </si>
  <si>
    <t>862回</t>
  </si>
  <si>
    <t>22/4</t>
  </si>
  <si>
    <t>Mﾍﾞﾝﾂ　E63　AMG</t>
  </si>
  <si>
    <t>なにわ　334　ひ　623</t>
  </si>
  <si>
    <t>黒</t>
  </si>
  <si>
    <t>WDD2120772A141237</t>
  </si>
  <si>
    <t>大坂ﾄﾖﾀ自動車(株)</t>
    <rPh sb="0" eb="2">
      <t>オオサカ</t>
    </rPh>
    <rPh sb="5" eb="8">
      <t>ジドウシャ</t>
    </rPh>
    <rPh sb="8" eb="11">
      <t>カブシキガイシャ</t>
    </rPh>
    <phoneticPr fontId="13"/>
  </si>
  <si>
    <t>保証書　取説　ｽﾀｰﾄﾎﾞﾀﾝ　ｷｰﾚｽ</t>
  </si>
  <si>
    <t>1129回</t>
  </si>
  <si>
    <t>21/9</t>
  </si>
  <si>
    <t>ﾌｨｱｯﾄ500　1.2　8V　ﾎﾟｯﾌﾟ</t>
  </si>
  <si>
    <t>千葉　599　る　9790</t>
  </si>
  <si>
    <t>ZFA31200000298276</t>
  </si>
  <si>
    <t>(株)IDOM</t>
  </si>
  <si>
    <t>保証書　取説　ｽﾍﾟｱｷｰ</t>
  </si>
  <si>
    <t>660回</t>
  </si>
  <si>
    <t>3/10</t>
  </si>
  <si>
    <t>ﾌｨｶﾞﾛ</t>
  </si>
  <si>
    <t>足立　53　ひ　6314</t>
  </si>
  <si>
    <t>Lｸﾞﾘｰﾝ</t>
  </si>
  <si>
    <t>FK10-012860</t>
  </si>
  <si>
    <t>青木　正廷</t>
  </si>
  <si>
    <t>保証書　ｽﾍﾟｱｷｰX2</t>
  </si>
  <si>
    <t>592回</t>
  </si>
  <si>
    <t>S62/10</t>
  </si>
  <si>
    <t>BE-1　ｷｬﾝﾊﾞｽﾄｯﾌﾟ</t>
  </si>
  <si>
    <t>福井　56　ろ　253</t>
  </si>
  <si>
    <t>BK10-005136</t>
  </si>
  <si>
    <t>(有)前田高級鈑金</t>
  </si>
  <si>
    <t>9/21</t>
  </si>
  <si>
    <t>1713回</t>
  </si>
  <si>
    <t>22/5</t>
  </si>
  <si>
    <t>BMWﾐﾆ ｸｰﾊﾟｰ</t>
  </si>
  <si>
    <t>なにわ　779　ゆ　1935</t>
  </si>
  <si>
    <t>ｸﾞﾚｰⅡ</t>
  </si>
  <si>
    <t>WMWSU32010TY92864</t>
  </si>
  <si>
    <t>(株)はなまる</t>
  </si>
  <si>
    <t>10/5</t>
  </si>
  <si>
    <t>881回</t>
  </si>
  <si>
    <t>27/9</t>
  </si>
  <si>
    <t>なにわ 301 に 3411</t>
  </si>
  <si>
    <t>取説 保証書 ﾜﾝｵｰﾅｰ ﾕｰｻﾞｰ</t>
  </si>
  <si>
    <t>ﾌﾞﾗｯｸ</t>
  </si>
  <si>
    <t>WMWXS720602C47137</t>
  </si>
  <si>
    <t>ﾋﾞｰ･ｴﾑ･ﾀﾞﾌﾞﾘｭｰ･ｼﾞｬﾊﾟﾝ･ﾌｧｲﾅﾝｽ㈱</t>
  </si>
  <si>
    <t>10/23</t>
  </si>
  <si>
    <t>取説 保証書 ｷｰﾚｽ ﾜﾝｵｰﾅｰ</t>
  </si>
  <si>
    <t>914回</t>
  </si>
  <si>
    <t>18/2</t>
  </si>
  <si>
    <t>BMW Z4 2.5i</t>
  </si>
  <si>
    <t>京都 302 す 3352</t>
  </si>
  <si>
    <t>ﾅﾋﾞﾛﾑ ﾎﾟｰﾀﾌﾞﾙﾅﾋﾞ</t>
  </si>
  <si>
    <t>ﾅﾋﾞﾛﾑ置いてあるところに一緒にあります</t>
  </si>
  <si>
    <t>WBABT32090LS24426</t>
  </si>
  <si>
    <t>㈱服部ﾓｰﾀｰ商会</t>
  </si>
  <si>
    <t>10/27</t>
  </si>
  <si>
    <t>ｷｰﾚｽ ﾅﾋﾞﾛﾑ ﾓﾆﾀｰ</t>
  </si>
  <si>
    <t>1717回</t>
  </si>
  <si>
    <t>27/3</t>
  </si>
  <si>
    <t>三河 330 は 5315</t>
  </si>
  <si>
    <t>社用車</t>
  </si>
  <si>
    <t>WMWXS720702B60251</t>
  </si>
  <si>
    <t>松井 彰</t>
  </si>
  <si>
    <t>11/2</t>
  </si>
  <si>
    <t>保証書 取説 ｷｰﾚｽ ﾜﾝｵｰﾅｰ</t>
    <rPh sb="0" eb="3">
      <t>ホショウショ</t>
    </rPh>
    <rPh sb="4" eb="5">
      <t>トリ</t>
    </rPh>
    <rPh sb="5" eb="6">
      <t>セツ</t>
    </rPh>
    <phoneticPr fontId="13"/>
  </si>
  <si>
    <t>R3.4月抹消済</t>
    <rPh sb="4" eb="5">
      <t>ガツ</t>
    </rPh>
    <rPh sb="5" eb="8">
      <t>マッショウズ</t>
    </rPh>
    <phoneticPr fontId="13"/>
  </si>
  <si>
    <t>1148回</t>
  </si>
  <si>
    <t>26/11</t>
  </si>
  <si>
    <t>千葉 381 さ 1</t>
  </si>
  <si>
    <t>WMWXS72030T849453</t>
  </si>
  <si>
    <t>㈱ﾓﾄｰﾚﾝﾚﾋﾟｵ</t>
  </si>
  <si>
    <t>11/10</t>
  </si>
  <si>
    <t>保証書 取説 ｷｰﾚｽ ﾘﾓｺﾝ ﾜﾝｵｰﾅｰ</t>
    <rPh sb="0" eb="3">
      <t>ホショウショ</t>
    </rPh>
    <rPh sb="4" eb="5">
      <t>トリ</t>
    </rPh>
    <rPh sb="5" eb="6">
      <t>セツ</t>
    </rPh>
    <phoneticPr fontId="13"/>
  </si>
  <si>
    <t>968回</t>
  </si>
  <si>
    <t>BMWﾐﾆｸｰﾊﾟｰSﾍﾟｯﾊﾟｰPKG</t>
  </si>
  <si>
    <t>31/3</t>
  </si>
  <si>
    <t>室蘭 330 な 1962</t>
  </si>
  <si>
    <t>取説 保証書 ｽﾍﾟｱｷｰ ﾜﾝｵｰﾅｰ</t>
  </si>
  <si>
    <t>名変期限1/12</t>
  </si>
  <si>
    <t>USS札幌</t>
  </si>
  <si>
    <t>ﾎﾜｲﾄⅡ</t>
  </si>
  <si>
    <t>WMWXM720602A77968</t>
  </si>
  <si>
    <t>12/16</t>
  </si>
  <si>
    <t>R3.5月抹消済</t>
  </si>
  <si>
    <t>922回</t>
  </si>
  <si>
    <t>24/3</t>
  </si>
  <si>
    <t>BMW　523iMｽﾎﾟｰﾂﾊﾟｯｹｰｼﾞ</t>
  </si>
  <si>
    <t>神戸　303　に　6368</t>
  </si>
  <si>
    <t>保証書　取説　ﾜﾝｵｰﾅｰ</t>
  </si>
  <si>
    <t>WBAXG12050DW34455</t>
  </si>
  <si>
    <t>㈱ﾔﾅｾ</t>
  </si>
  <si>
    <t>12/23</t>
  </si>
  <si>
    <t>1155回</t>
  </si>
  <si>
    <t>21/2</t>
  </si>
  <si>
    <t>ｱｳﾃﾞｨA4ｱﾊﾞﾝﾄ1.8TFSI SﾗｲﾝPKG</t>
  </si>
  <si>
    <t>八王子 399 ち 2616</t>
  </si>
  <si>
    <t>ﾎﾜｲﾄ</t>
  </si>
  <si>
    <t>WAUZZZ8K49A159373</t>
  </si>
  <si>
    <t>株式会社村内外車ｾﾝﾀｰ</t>
  </si>
  <si>
    <t>12/28</t>
  </si>
  <si>
    <t>保証書 取説 ｷｰﾚｽ B-CAS ﾅﾋﾞﾛﾑ ﾜﾝｵｰﾅｰ</t>
  </si>
  <si>
    <t>1616回</t>
  </si>
  <si>
    <t>22/11</t>
  </si>
  <si>
    <t>BMWﾐﾆｸﾗﾌﾞﾏﾝ ｸｰﾊﾟｰS  SOHOﾊﾟｯｹｰｼﾞ</t>
    <phoneticPr fontId="13"/>
  </si>
  <si>
    <t>大阪 531 す 4416</t>
  </si>
  <si>
    <t>ﾜﾝｵｰﾅｰ ﾕｰｻﾞｰ ﾅﾋﾞﾓﾆﾀｰ ｷｰﾚｽ 取説 保証書</t>
  </si>
  <si>
    <t>関西松原</t>
  </si>
  <si>
    <t>ﾎﾜｲﾄｼﾙﾊﾞｰ</t>
  </si>
  <si>
    <t>WMWZG32090TZ03759</t>
  </si>
  <si>
    <t>大阪ﾏﾂﾀﾞ販売株式会社</t>
  </si>
  <si>
    <t>1/16</t>
  </si>
  <si>
    <t>ﾅﾋﾞﾓﾆﾀｰ ｷｰﾚｽ ﾅﾋﾞ取 保証書 取説 ﾜﾝｵｰﾅｰ ﾕｰｻﾞｰ</t>
  </si>
  <si>
    <t>1160回</t>
  </si>
  <si>
    <t>BMW M135i</t>
  </si>
  <si>
    <t>31/7</t>
  </si>
  <si>
    <t>世田谷 300 そ 3274</t>
  </si>
  <si>
    <t>保証書 ﾜﾝｵｰﾅｰ ｷｰﾚｽ 取説</t>
  </si>
  <si>
    <t>WBA1B72060P594618</t>
  </si>
  <si>
    <t>株式会社 ﾌﾚﾝﾄﾞﾓｰﾀｰｽ</t>
  </si>
  <si>
    <t>2/10</t>
  </si>
  <si>
    <t>保証書 取説 ﾜﾝｵｰﾅｰ ｷｰﾚｽ</t>
  </si>
  <si>
    <t>902回</t>
  </si>
  <si>
    <t>ﾌｨｶﾞﾛ ｵｰﾌﾟﾝﾄｯﾌﾟﾀｰﾎﾞ</t>
  </si>
  <si>
    <t>30/11</t>
  </si>
  <si>
    <t>神戸 504 ち 9054</t>
  </si>
  <si>
    <t>取説 保証書 ﾓﾆﾀｰ</t>
  </si>
  <si>
    <t>ﾗｲﾄﾌﾞﾙｰ</t>
  </si>
  <si>
    <t>FK10-016486</t>
  </si>
  <si>
    <t>株式会社 ｸｲﾝｵｰﾄ</t>
  </si>
  <si>
    <t>3/24</t>
  </si>
  <si>
    <t>取説 保証書 ﾓﾆﾀｰ ｽﾍﾟｱｷｰ ×</t>
  </si>
  <si>
    <t>1954回</t>
  </si>
  <si>
    <t>21/11</t>
  </si>
  <si>
    <t>ｱｳﾃﾞｨA5 3.2FSIｸﾜﾄﾛ</t>
  </si>
  <si>
    <t>広島 376 ひ 1001</t>
  </si>
  <si>
    <t xml:space="preserve">取説 保証書 </t>
  </si>
  <si>
    <t>ﾍﾞｲｵｰｸ</t>
  </si>
  <si>
    <t>WAUZZZ8T19A030693</t>
  </si>
  <si>
    <t>株式会社 JCM</t>
  </si>
  <si>
    <t>4/8</t>
  </si>
  <si>
    <t>取説 保証書 ｷｰﾚｽ ×</t>
  </si>
  <si>
    <t>1172回</t>
  </si>
  <si>
    <t>ｱｳﾃﾞｨA4ｱﾊﾞﾝﾄ 1.8TFSI</t>
    <phoneticPr fontId="13"/>
  </si>
  <si>
    <t>練馬 301 や 8339</t>
  </si>
  <si>
    <t>当日抹消</t>
  </si>
  <si>
    <t>WAUZZZ8K79A126528</t>
  </si>
  <si>
    <t>株式会社 ｼｰｽｸｴｱ</t>
  </si>
  <si>
    <t>5/10</t>
  </si>
  <si>
    <t>取説 保証書 ×</t>
  </si>
  <si>
    <t>1744回</t>
  </si>
  <si>
    <t>17/12</t>
  </si>
  <si>
    <t>ﾚﾝｼﾞﾛｰﾊﾞｰｽﾎﾟｰﾂ HSE</t>
  </si>
  <si>
    <t>30/12</t>
  </si>
  <si>
    <t>岡山 349 と 5678</t>
  </si>
  <si>
    <t>SALLSJA536A923664</t>
  </si>
  <si>
    <t>株式会社 ｱﾌﾟﾗｽ</t>
  </si>
  <si>
    <t>6/3</t>
  </si>
  <si>
    <t>ﾓﾆﾀｰ 取説 保証書 ｷｰﾚｽ ﾘﾓｺﾝ</t>
  </si>
  <si>
    <t>ﾓﾆﾀｰ店長に渡しました</t>
  </si>
  <si>
    <t>951回</t>
  </si>
  <si>
    <t>BMWﾐﾆｸｰﾊﾟｰSｸﾗﾌﾞﾏﾝ</t>
  </si>
  <si>
    <t>31/12</t>
  </si>
  <si>
    <t>京都 330 と 7754</t>
  </si>
  <si>
    <t>WMWLN720102D97064</t>
  </si>
  <si>
    <t>株式会社 服部ﾓｰﾀｰ商会</t>
  </si>
  <si>
    <t>8/3</t>
  </si>
  <si>
    <t>取説ZIPで使用</t>
    <rPh sb="0" eb="2">
      <t>トリセツ</t>
    </rPh>
    <rPh sb="6" eb="8">
      <t>シヨウ</t>
    </rPh>
    <phoneticPr fontId="13"/>
  </si>
  <si>
    <t>R3.8月抹消済</t>
    <rPh sb="4" eb="5">
      <t>ガツ</t>
    </rPh>
    <rPh sb="5" eb="8">
      <t>マッショウズ</t>
    </rPh>
    <phoneticPr fontId="13"/>
  </si>
  <si>
    <t>1980回</t>
  </si>
  <si>
    <t>18/11</t>
  </si>
  <si>
    <t>ｴﾌﾞﾘｲﾜｺﾞﾝ PZﾀｰﾎﾞｽﾍﾟｼｬﾙ</t>
  </si>
  <si>
    <t>31/11/23</t>
  </si>
  <si>
    <t>奈良 584 せ 725</t>
  </si>
  <si>
    <t>取説 保証書 記録簿</t>
  </si>
  <si>
    <t>DA64W-164309</t>
  </si>
  <si>
    <t>伊塚 正基</t>
  </si>
  <si>
    <t>10/14</t>
  </si>
  <si>
    <t>MﾍﾞﾝﾂC200 ｱﾊﾞﾝｷﾞｬﾙﾄﾞAMGﾗｲﾝ</t>
  </si>
  <si>
    <t>なにわ 334 た 627</t>
  </si>
  <si>
    <t>SellCa</t>
  </si>
  <si>
    <t>A00962</t>
  </si>
  <si>
    <t>WDD2050422R243070</t>
  </si>
  <si>
    <t>株式会社 ｵﾘｴﾝﾄｺｰﾎﾟﾚｰｼｮﾝ</t>
  </si>
  <si>
    <t>11/8</t>
  </si>
  <si>
    <t>取説 保証書 ﾜﾝｵｰﾅｰ ｷｰﾚｽ ﾄﾞﾗﾚｺSD（車内）</t>
    <phoneticPr fontId="13"/>
  </si>
  <si>
    <t>21/10</t>
  </si>
  <si>
    <t>BMW M3</t>
  </si>
  <si>
    <t>31/11</t>
  </si>
  <si>
    <t>横浜 304 な 1593</t>
  </si>
  <si>
    <t>保証書 取説 記録簿 手帳</t>
  </si>
  <si>
    <t>Sellca</t>
  </si>
  <si>
    <t>A01261</t>
  </si>
  <si>
    <t>ﾚｯﾄﾞ</t>
  </si>
  <si>
    <t>WBSWD92090PY38768</t>
  </si>
  <si>
    <t>米倉 弘樹</t>
  </si>
  <si>
    <t>11/23</t>
  </si>
  <si>
    <t>1476回</t>
  </si>
  <si>
    <t>28/9</t>
  </si>
  <si>
    <t>BMWﾐﾆｸｰﾊﾟｰSD</t>
  </si>
  <si>
    <t>31/9</t>
  </si>
  <si>
    <t>岐阜 376 ち 7</t>
  </si>
  <si>
    <t>ﾕｰｻﾞｰ ﾜﾝｵｰﾅｰ</t>
  </si>
  <si>
    <t>CAA中部（まとめ）</t>
  </si>
  <si>
    <t>白Ⅱ</t>
  </si>
  <si>
    <t>WMWXN920602D26939</t>
  </si>
  <si>
    <t>株式会社 ﾌｧｲﾝﾄﾗｽﾄ</t>
  </si>
  <si>
    <t>11/22</t>
  </si>
  <si>
    <t>保証書 取説 ｷｰﾚｽ ﾜﾝｵｰﾅｰ ﾕｰｻﾞｰ</t>
    <rPh sb="0" eb="3">
      <t>ホショウショ</t>
    </rPh>
    <rPh sb="4" eb="5">
      <t>トリ</t>
    </rPh>
    <rPh sb="5" eb="6">
      <t>セツ</t>
    </rPh>
    <phoneticPr fontId="13"/>
  </si>
  <si>
    <t>1728回</t>
  </si>
  <si>
    <t>23/12</t>
  </si>
  <si>
    <t>ﾗｲﾌ Gﾀｲﾌﾟ</t>
  </si>
  <si>
    <t>R</t>
  </si>
  <si>
    <t>宮城 583 み 1022</t>
  </si>
  <si>
    <t>ｵｰｸﾈｯﾄ</t>
  </si>
  <si>
    <t>JC1-1262371</t>
  </si>
  <si>
    <t>迫ﾎﾝﾀﾞ販売株式会社</t>
  </si>
  <si>
    <t>11/25</t>
  </si>
  <si>
    <t>730回</t>
  </si>
  <si>
    <t>25/12</t>
  </si>
  <si>
    <t>BMW 428iｸｰﾍﾟ Mｽﾎﾟｰﾂ</t>
  </si>
  <si>
    <t>30/12/19</t>
  </si>
  <si>
    <t>品川 302 て 5944</t>
  </si>
  <si>
    <t>29/12 28/12 27/11 27/2 記録有 ﾜﾝｵｰﾅｰ</t>
  </si>
  <si>
    <t>28/11月で記録簿届いてる</t>
  </si>
  <si>
    <t>WBA3N32000KS51471</t>
  </si>
  <si>
    <t>株式会社 ｴｱｰﾌﾟﾗﾝﾂ</t>
  </si>
  <si>
    <t>12/15</t>
  </si>
  <si>
    <t>1734回</t>
  </si>
  <si>
    <t>20/9</t>
  </si>
  <si>
    <t>ｱｳﾃﾞｨA4 1.8TFSI</t>
  </si>
  <si>
    <t>世田谷 399 さ 9354</t>
  </si>
  <si>
    <t>取説 保証書 手帳</t>
  </si>
  <si>
    <t>WAUZZZ8K49A040996</t>
  </si>
  <si>
    <t>ｱｳﾃﾞｨｼﾞｬﾊﾟﾝ販売株式会社</t>
  </si>
  <si>
    <t>1/11</t>
  </si>
  <si>
    <t>1483回</t>
  </si>
  <si>
    <t>ekｽﾍﾟｰｽ E</t>
  </si>
  <si>
    <t>31/8</t>
  </si>
  <si>
    <t>名古屋 582 ぬ 7113</t>
  </si>
  <si>
    <t>B11A-0014305</t>
  </si>
  <si>
    <t>株式会社 山勝</t>
  </si>
  <si>
    <t>1/24</t>
  </si>
  <si>
    <t>ｽﾍﾟｱｷｰ（車内）</t>
    <phoneticPr fontId="13"/>
  </si>
  <si>
    <t>1736回</t>
  </si>
  <si>
    <t>BMWﾐﾆﾜﾝ</t>
  </si>
  <si>
    <t>北九州 599 と 628</t>
  </si>
  <si>
    <t>店持ち帰り</t>
  </si>
  <si>
    <t>WMWME32070TM75027</t>
  </si>
  <si>
    <t>株式会社 ﾊﾞｰｼﾞｮﾝｸﾞﾙｰﾌﾟ</t>
  </si>
  <si>
    <t>1/27</t>
  </si>
  <si>
    <t>1484回</t>
  </si>
  <si>
    <t>24/9</t>
  </si>
  <si>
    <t>ﾜｺﾞﾝR FXﾘﾐﾃｯﾄﾞ</t>
  </si>
  <si>
    <t>32/9</t>
  </si>
  <si>
    <t>豊橋 580 に 3789</t>
  </si>
  <si>
    <t>ﾚﾝﾀｶｰ</t>
  </si>
  <si>
    <t>MH34S-111834</t>
  </si>
  <si>
    <t>株式会社 ｽｽﾞｷ自販東海</t>
  </si>
  <si>
    <t>1/31</t>
  </si>
  <si>
    <t>1995回</t>
  </si>
  <si>
    <t>ﾜｺﾞﾝR ﾘﾐﾃｯﾄﾞⅡ</t>
  </si>
  <si>
    <t>32/5/24</t>
  </si>
  <si>
    <t>なにわ 583 い 3507</t>
  </si>
  <si>
    <t>青</t>
  </si>
  <si>
    <t>MH23S-192066</t>
  </si>
  <si>
    <t>森田 泰之</t>
  </si>
  <si>
    <t>2/8</t>
  </si>
  <si>
    <t>取説 保証書 × 地図SD（車内）</t>
    <rPh sb="9" eb="11">
      <t>チズ</t>
    </rPh>
    <rPh sb="14" eb="16">
      <t>シャナイ</t>
    </rPh>
    <phoneticPr fontId="13"/>
  </si>
  <si>
    <t>25/1</t>
  </si>
  <si>
    <t>ﾀﾝﾄ G ｽﾍﾟｼｬﾙ</t>
  </si>
  <si>
    <t>32/2/22</t>
  </si>
  <si>
    <t>和泉 580 め 3393</t>
  </si>
  <si>
    <t xml:space="preserve">ﾜﾝｵｰﾅｰ </t>
  </si>
  <si>
    <t>茶</t>
  </si>
  <si>
    <t>L375S-0630435</t>
  </si>
  <si>
    <t>藤原 幸治</t>
  </si>
  <si>
    <t>2/3</t>
  </si>
  <si>
    <t>取説 ﾅﾋﾞ取 ﾜﾝｵｰﾅｰ ｽﾍﾟｱｷｰ</t>
  </si>
  <si>
    <t>1997回</t>
  </si>
  <si>
    <t>20/4</t>
  </si>
  <si>
    <t>ﾀﾝﾄｶｽﾀﾑ Xﾘﾐﾃｯﾄﾞ</t>
  </si>
  <si>
    <t>神戸 588 ろ 370</t>
  </si>
  <si>
    <t>L375S-0040708</t>
  </si>
  <si>
    <t>株式会社 神戸ﾏﾂﾀﾞ</t>
  </si>
  <si>
    <t>2/18</t>
  </si>
  <si>
    <t>取説 保証書（車内）ｷｰﾚｽ</t>
    <phoneticPr fontId="13"/>
  </si>
  <si>
    <t>1192回</t>
  </si>
  <si>
    <t>26/9</t>
  </si>
  <si>
    <t>BMW420iｸｰﾍﾟ Mｽﾎﾟｰﾂ</t>
  </si>
  <si>
    <t>32/1</t>
  </si>
  <si>
    <t>大分 300 む 7534</t>
  </si>
  <si>
    <t xml:space="preserve">取説 ﾅﾋﾞ取 保証書 ｽﾍﾟｱｷｰ </t>
  </si>
  <si>
    <t>店</t>
  </si>
  <si>
    <t>USS九州</t>
  </si>
  <si>
    <t>WBA3N120X0K099834</t>
  </si>
  <si>
    <t>有限会社ﾌﾟﾘﾏﾄﾞﾝﾅｺｰﾎﾟﾚｰｼｮﾝ</t>
  </si>
  <si>
    <t>3/14</t>
  </si>
  <si>
    <t>取説 ﾅﾋﾞ取 保証書 ｷｰﾚｽ</t>
  </si>
  <si>
    <t>1750回</t>
  </si>
  <si>
    <t>ｼﾄﾛｴﾝDS5 ｴﾃﾞｨｼｮﾝ1955</t>
  </si>
  <si>
    <t>33/3</t>
  </si>
  <si>
    <t>多摩 303 て 6434</t>
  </si>
  <si>
    <t>保証書 手帳</t>
  </si>
  <si>
    <t>ﾑﾗｻｷ</t>
  </si>
  <si>
    <t>VF7KF5FVAFS517753</t>
  </si>
  <si>
    <t>5/11</t>
  </si>
  <si>
    <t>取説 保証書 ｷｰﾚｽ</t>
  </si>
  <si>
    <t>1751回</t>
  </si>
  <si>
    <t xml:space="preserve">ﾌｨｯﾄ ﾊｲﾌﾞﾘｯﾄﾞ </t>
  </si>
  <si>
    <t>品川 59A の 7705</t>
  </si>
  <si>
    <t>GP5-3063828</t>
  </si>
  <si>
    <t>三菱ｵｰﾄﾘｰｽ株式会社</t>
  </si>
  <si>
    <t>5/18</t>
  </si>
  <si>
    <t>1201回</t>
  </si>
  <si>
    <t>26/2</t>
  </si>
  <si>
    <t>ｼﾄﾛｴﾝDS5 ｼｯｸ</t>
  </si>
  <si>
    <t>熊本 336 そ 1012</t>
  </si>
  <si>
    <t>保証書</t>
  </si>
  <si>
    <t>ﾊﾟｰﾙ</t>
  </si>
  <si>
    <t>VF7UF5FVADS507141</t>
  </si>
  <si>
    <t>株式会社 夢工場</t>
  </si>
  <si>
    <t>5/24</t>
  </si>
  <si>
    <t>取説 保証書 ﾅﾋﾞ取 ｷｰﾚｽ ×</t>
  </si>
  <si>
    <t>675回</t>
  </si>
  <si>
    <t>15/5</t>
  </si>
  <si>
    <t>ﾚﾝｼﾞﾛｰﾊﾞｰ ｳﾞｫｰｸﾞ</t>
  </si>
  <si>
    <t>京都 330 は 1424</t>
  </si>
  <si>
    <t>SALLM-AMA33A135627</t>
  </si>
  <si>
    <t>株式会社ﾌﾟﾚｼｬｽ</t>
  </si>
  <si>
    <t>5/30</t>
  </si>
  <si>
    <t>990回</t>
  </si>
  <si>
    <t>BMW 4ｼﾘｰｽﾞｸｰﾍﾟ 435i Mｽﾎﾟｰﾂ</t>
  </si>
  <si>
    <t>なにわ 301 の 2779</t>
  </si>
  <si>
    <t>WBA3R120X0KT32230</t>
  </si>
  <si>
    <t>5/31</t>
  </si>
  <si>
    <t>ｷｰﾚｽ</t>
  </si>
  <si>
    <t>1684回</t>
  </si>
  <si>
    <t>24/5</t>
  </si>
  <si>
    <t>大阪 599 む 5735</t>
  </si>
  <si>
    <t>取説 保証書 ﾜﾝｵｰﾅｰ</t>
  </si>
  <si>
    <t>ﾁﾘﾚｯﾄﾞ</t>
  </si>
  <si>
    <t>WMWSU32070T151647</t>
  </si>
  <si>
    <t>6/6</t>
  </si>
  <si>
    <t>13/11</t>
  </si>
  <si>
    <t>ｿｱﾗ 430SCV</t>
  </si>
  <si>
    <t>32/11</t>
  </si>
  <si>
    <t>京都 330 た 158</t>
  </si>
  <si>
    <t>UZZ40-0020435</t>
  </si>
  <si>
    <t>和田 みゆき</t>
  </si>
  <si>
    <t>6/11</t>
  </si>
  <si>
    <t>取説 保証書 ﾅﾋﾞ取 ｽﾍﾟｱｷｰ ﾜﾝｵｰﾅｰ</t>
  </si>
  <si>
    <t>1603回</t>
  </si>
  <si>
    <t>ｴﾌﾞﾘｲ ｼﾞｮｲﾝ ﾊｲﾙｰﾌ</t>
  </si>
  <si>
    <t>32/2</t>
  </si>
  <si>
    <t>京都 480 ち 9706</t>
  </si>
  <si>
    <t>TAA近畿</t>
  </si>
  <si>
    <t>DA64V-828755</t>
  </si>
  <si>
    <t>松井 茂雄</t>
  </si>
  <si>
    <t>6/15</t>
  </si>
  <si>
    <t xml:space="preserve">取説 保証書 ｽﾍﾟｱｷｰ(車内) ﾜﾝｵｰﾅｰ </t>
    <phoneticPr fontId="13"/>
  </si>
  <si>
    <t>26</t>
  </si>
  <si>
    <t>ﾎﾟﾙｼｪ 911 ﾀｰﾎﾞ</t>
  </si>
  <si>
    <t>31/10</t>
  </si>
  <si>
    <t>神戸 386 み 2</t>
  </si>
  <si>
    <t>30A や 5</t>
    <phoneticPr fontId="13"/>
  </si>
  <si>
    <t>西村 豊</t>
  </si>
  <si>
    <t>WP0ZZZ99ZFS160260</t>
  </si>
  <si>
    <t>相川 直輝</t>
  </si>
  <si>
    <t>取説　保証書　ｷｰﾚｽ</t>
  </si>
  <si>
    <t>1604回</t>
  </si>
  <si>
    <t>ﾋﾟｸｼｽﾊﾞﾝ ｸﾙｰｽﾞSA3</t>
  </si>
  <si>
    <t>2/2</t>
    <phoneticPr fontId="13"/>
  </si>
  <si>
    <t>和泉 486 ふ 111</t>
  </si>
  <si>
    <t>S321M-0021218</t>
  </si>
  <si>
    <t>ﾄﾖﾀｶﾛｰﾗ南海株式会社</t>
  </si>
  <si>
    <t>6/22</t>
  </si>
  <si>
    <t>1504回</t>
  </si>
  <si>
    <t>22/6</t>
  </si>
  <si>
    <t>ｱﾙﾄﾗﾊﾟﾝ X</t>
  </si>
  <si>
    <t>名古屋 590 ろ 5943</t>
  </si>
  <si>
    <t>水色</t>
  </si>
  <si>
    <t>HE22S-168702</t>
  </si>
  <si>
    <t>ﾈｯﾂﾄﾖﾀ愛知株式会社</t>
  </si>
  <si>
    <t>6/29</t>
  </si>
  <si>
    <t xml:space="preserve">ｶﾛｰﾗﾌｨﾙﾀﾞｰ ﾊｲﾌﾞﾘｯﾄﾞG </t>
  </si>
  <si>
    <t>八戸 500 ま 5237</t>
  </si>
  <si>
    <t>取説 手帳 ﾜﾝｵｰﾅｰ</t>
  </si>
  <si>
    <t>A06072</t>
  </si>
  <si>
    <t>NKE165-7071382</t>
  </si>
  <si>
    <t>ﾄﾖﾀｶﾛｰﾗ八戸 株式会社</t>
  </si>
  <si>
    <t>7/27</t>
  </si>
  <si>
    <t>30/8</t>
  </si>
  <si>
    <t>N-BOXｶｽﾀﾑ G・EXﾀｰﾎﾞﾎﾝﾀﾞｾﾝｼﾝｸﾞ</t>
  </si>
  <si>
    <t>R3/8</t>
  </si>
  <si>
    <t>神戸 582 き 7779</t>
  </si>
  <si>
    <t>取説 整備手帳 ﾜﾝｵｰﾅｰ</t>
  </si>
  <si>
    <t>587 こ 8810</t>
    <phoneticPr fontId="13"/>
  </si>
  <si>
    <t>A06485</t>
  </si>
  <si>
    <t>JF3-2053072</t>
  </si>
  <si>
    <t>松本 海</t>
  </si>
  <si>
    <t>8/6</t>
  </si>
  <si>
    <t>取説 手帳 ｷｰﾚｽ ﾜﾝｵｰﾅｰ</t>
  </si>
  <si>
    <t>20/7</t>
  </si>
  <si>
    <t>ﾊﾟﾚｯﾄ T</t>
  </si>
  <si>
    <t>千葉 596 ろ 1546</t>
  </si>
  <si>
    <t>MK21S-618480</t>
  </si>
  <si>
    <t>株式会社 IDOM</t>
  </si>
  <si>
    <t>8/4</t>
  </si>
  <si>
    <t xml:space="preserve">取説 保証書 ｷｰﾚｽ </t>
  </si>
  <si>
    <t>1236回</t>
  </si>
  <si>
    <t>20/6</t>
  </si>
  <si>
    <t>ｱｽﾄﾝﾏｰﾃｨﾝV8 ｳﾞｨﾝﾃｰｼﾞ N400ﾛｰﾄﾞｽﾀｰ</t>
  </si>
  <si>
    <t>3/5</t>
    <phoneticPr fontId="13"/>
  </si>
  <si>
    <t>水戸 301 は 8653</t>
  </si>
  <si>
    <t>H26/5/27 ｱﾄﾗﾝﾃｨｯｸｶｰｽFｸﾗｯﾁ一式交換済（28695ｷﾛ）</t>
  </si>
  <si>
    <t>ｵﾚﾝｼﾞ</t>
  </si>
  <si>
    <t>SCFBF04GJ8GD10738</t>
  </si>
  <si>
    <t>飯島 正一</t>
  </si>
  <si>
    <t>8/29</t>
  </si>
  <si>
    <t>取説 手帳 交換記録OK ×</t>
  </si>
  <si>
    <t>1002回</t>
  </si>
  <si>
    <t>ｼﾄﾛｴﾝ C4 ﾋﾟｶｿ ｾﾀﾞｸｼｮﾝ</t>
  </si>
  <si>
    <t>姫路 399 ち 6791</t>
  </si>
  <si>
    <t xml:space="preserve">取説 保証書 ｽﾍﾟｱｷｰ </t>
  </si>
  <si>
    <t>VF73A5GZTEJ836767</t>
  </si>
  <si>
    <t>ﾈｯﾂﾄﾖﾀ兵庫株式会社</t>
  </si>
  <si>
    <t>1695回</t>
  </si>
  <si>
    <t>ﾎﾞﾙﾎﾞXC60 T6 SE AWD</t>
  </si>
  <si>
    <t>32/10</t>
  </si>
  <si>
    <t>神戸 302 す 1291</t>
  </si>
  <si>
    <t>取説 ｷｰ類</t>
  </si>
  <si>
    <t>YV1DZ9956A2053186</t>
  </si>
  <si>
    <t>佐村 悟次</t>
  </si>
  <si>
    <t>8/30</t>
  </si>
  <si>
    <t>取説 保証書 ｷｰﾚｽ ﾜﾝｵｰﾅｰ ﾘﾓｺﾝ（後ろの箱）</t>
  </si>
  <si>
    <t>抹消済</t>
    <rPh sb="0" eb="2">
      <t>マッショウ</t>
    </rPh>
    <rPh sb="2" eb="3">
      <t>スミ</t>
    </rPh>
    <phoneticPr fontId="13"/>
  </si>
  <si>
    <t>971回</t>
  </si>
  <si>
    <t>28/1</t>
  </si>
  <si>
    <t>ﾌｨｱｯﾄ500X ｸﾛｽﾌﾟﾗｽ</t>
  </si>
  <si>
    <t>33/1</t>
  </si>
  <si>
    <t>大阪 350 す 500</t>
  </si>
  <si>
    <t>ZFA3340000P408910</t>
  </si>
  <si>
    <t>大阪ﾄﾖﾍﾟｯﾄ株式会社</t>
  </si>
  <si>
    <t>9/3</t>
  </si>
  <si>
    <t>取説 保証書（車内）ﾜﾝｵｰﾅｰ</t>
    <phoneticPr fontId="13"/>
  </si>
  <si>
    <t>1696回</t>
  </si>
  <si>
    <t>ｴﾌﾞﾘｲW PZﾀｰﾎﾞ</t>
  </si>
  <si>
    <t>大阪 580 こ 7197</t>
  </si>
  <si>
    <t>DA64W-164577</t>
  </si>
  <si>
    <t>株式会社 ｽｽﾞｷ自販近畿中古車本部</t>
  </si>
  <si>
    <t>9/5</t>
  </si>
  <si>
    <t>ｷｰﾚｽ（車内）取説 保証書</t>
    <phoneticPr fontId="13"/>
  </si>
  <si>
    <t>1001回</t>
  </si>
  <si>
    <t>25/5</t>
    <phoneticPr fontId="13"/>
  </si>
  <si>
    <t>ｼﾄﾛｴﾝC4 ｴｸｽｸﾙｰｼﾌﾞ</t>
  </si>
  <si>
    <t>32/5</t>
  </si>
  <si>
    <t>練馬 301 や 3864</t>
  </si>
  <si>
    <t>赤</t>
    <rPh sb="0" eb="1">
      <t>アカ</t>
    </rPh>
    <phoneticPr fontId="13"/>
  </si>
  <si>
    <t>VF7NC5FV8CY642301</t>
  </si>
  <si>
    <t>9/20</t>
  </si>
  <si>
    <t>抹消済</t>
    <rPh sb="0" eb="3">
      <t>マッショウスミ</t>
    </rPh>
    <phoneticPr fontId="13"/>
  </si>
  <si>
    <t>1817回</t>
  </si>
  <si>
    <t>27/12</t>
  </si>
  <si>
    <t>BMW320i Mｽﾎﾟｰﾂ</t>
    <phoneticPr fontId="13"/>
  </si>
  <si>
    <t>2/12/24</t>
  </si>
  <si>
    <t>京都 336 ほ 58</t>
  </si>
  <si>
    <t>取説 保証書 ﾅﾋﾞ取 ｷｰﾚｽ ﾃﾞｨｰﾗｰ記録簿二枚 ﾜﾝｵｰﾅｰ</t>
  </si>
  <si>
    <t>581 は 1818</t>
  </si>
  <si>
    <t>WBA8A12000K430664</t>
  </si>
  <si>
    <t>株式会社 ﾗｲﾌﾀｲﾑｼｰﾄﾞ</t>
  </si>
  <si>
    <t>11/21</t>
  </si>
  <si>
    <t>取説 保証書 ﾅﾋﾞ取 ｷｰﾚｽ ﾜﾝｵｰﾅｰ</t>
  </si>
  <si>
    <t>1824回</t>
  </si>
  <si>
    <t>28/2</t>
  </si>
  <si>
    <t>BMW218dｱｸﾃｨﾌﾞﾂｱﾗｰ Mｽﾎﾟｰﾂ</t>
  </si>
  <si>
    <t>33/2</t>
  </si>
  <si>
    <t>京都 390 つ 8888</t>
  </si>
  <si>
    <t>取説 保証書 ｽﾍﾟｱｷｰ H31記録簿</t>
  </si>
  <si>
    <t>WBA2C120S0V612990</t>
  </si>
  <si>
    <t>株式会社 ﾅｯｸ</t>
  </si>
  <si>
    <t>取説 保証書 ｷｰﾚｽ ﾜﾝｵｰﾅｰ 記録OK</t>
    <phoneticPr fontId="13"/>
  </si>
  <si>
    <t>抹消済</t>
    <phoneticPr fontId="13"/>
  </si>
  <si>
    <t>31/1</t>
  </si>
  <si>
    <t>Mﾍﾞﾝﾂ E450 W 4ﾏﾁｯｸ</t>
  </si>
  <si>
    <t>4/1</t>
  </si>
  <si>
    <t>姫路　301　た　2465</t>
  </si>
  <si>
    <t>取説 保証書 手帳 Sｷｰ ﾜﾝｵｰﾅｰ</t>
  </si>
  <si>
    <t>ﾜﾝｵｰﾅｰｸﾚｰﾑ済</t>
  </si>
  <si>
    <t>301 た 2465</t>
    <phoneticPr fontId="13"/>
  </si>
  <si>
    <t>WDD22132681A444216</t>
  </si>
  <si>
    <t>㈱ﾃｨｰｴｰｼｰｺｰﾎﾟﾚｰｼｮﾝ</t>
  </si>
  <si>
    <t>2/14</t>
  </si>
  <si>
    <t>TACｺｰﾎﾟﾚｰｼｮﾝから買取</t>
  </si>
  <si>
    <t>1043回</t>
  </si>
  <si>
    <t>27/7</t>
  </si>
  <si>
    <t>BMW420i ｸﾞﾗﾝｸｰﾍﾟ Mｽﾎﾟｰﾂ</t>
  </si>
  <si>
    <t>名古屋 331 む 3125</t>
  </si>
  <si>
    <t xml:space="preserve">取説 保証書 ｽﾍﾟｱｷｰ TVﾘﾓｺﾝ </t>
  </si>
  <si>
    <t>WBA4A12050GK07067</t>
  </si>
  <si>
    <t>ﾔﾅｾﾊﾞｲｴﾙﾝﾓｰﾀｰｽﾞ株式会社</t>
  </si>
  <si>
    <t>6/23</t>
  </si>
  <si>
    <t>取説保証書 ｷｰﾚｽ TVﾘﾓｺﾝ ﾜﾝｵｰﾅｰ</t>
  </si>
  <si>
    <t>15/1</t>
  </si>
  <si>
    <t>CQﾓｰﾀｰｽﾞ 阪神ﾀｲｶﾞｰｽＱＩ</t>
    <phoneticPr fontId="13"/>
  </si>
  <si>
    <t>堺市 り 113</t>
  </si>
  <si>
    <t>取説 手帳</t>
  </si>
  <si>
    <t>A19245</t>
  </si>
  <si>
    <t>CQ102Q1AADA-0462</t>
  </si>
  <si>
    <t>大東 美千代</t>
  </si>
  <si>
    <t>1848回</t>
  </si>
  <si>
    <t>25/11</t>
  </si>
  <si>
    <t>ﾎﾟﾙｼｪ ｹｲﾏﾝ ｽﾎﾟｰﾂｸﾛﾉPKG 2.7</t>
  </si>
  <si>
    <t>2/11</t>
  </si>
  <si>
    <t>つくば  300 ふ 245</t>
  </si>
  <si>
    <t>30Y つ  5</t>
  </si>
  <si>
    <t>WP0ZZZ98ZEK162260</t>
  </si>
  <si>
    <t>山川 将史</t>
  </si>
  <si>
    <t>7/9</t>
  </si>
  <si>
    <t>取説 保証書 ｷｰﾚｽ ﾘﾓｺﾝ</t>
  </si>
  <si>
    <t>1739回</t>
  </si>
  <si>
    <t xml:space="preserve">BMWﾐﾆｸｰﾊﾟｰD </t>
  </si>
  <si>
    <t>3/9/22</t>
  </si>
  <si>
    <t>堺 300 ぬ 9328</t>
  </si>
  <si>
    <t>301 た 7358</t>
  </si>
  <si>
    <t>MIRIVE大阪（ｱｲｵｰｸ）</t>
  </si>
  <si>
    <t>ﾎﾜｲﾄｼﾙﾊﾞｰﾒﾀ</t>
  </si>
  <si>
    <t>WMWXN320202E74020</t>
  </si>
  <si>
    <t>大田 浩介</t>
  </si>
  <si>
    <t>7/16</t>
  </si>
  <si>
    <t>取説 保証書 ｷｰﾚｽ ﾏｲｸﾛSD ﾘﾓｺﾝ×2 ×</t>
  </si>
  <si>
    <t>25/8</t>
  </si>
  <si>
    <t>ﾉｰﾄ X DIG-S</t>
  </si>
  <si>
    <t>32/8</t>
  </si>
  <si>
    <t>横浜 504 ね 7884</t>
  </si>
  <si>
    <t>A20838</t>
  </si>
  <si>
    <t>ｵｰﾛﾗﾓｰｳﾞ</t>
  </si>
  <si>
    <t>E12-148954</t>
  </si>
  <si>
    <t>山内 照彦</t>
  </si>
  <si>
    <t>7/30</t>
  </si>
  <si>
    <t>1049回</t>
  </si>
  <si>
    <t>26/1</t>
  </si>
  <si>
    <t>BMW 320i ｸﾞﾗﾝﾂｰﾘｽﾓ Mｽﾎﾟｰﾂ</t>
  </si>
  <si>
    <t>京都 369 め 117</t>
  </si>
  <si>
    <t>取説 保証書 ｽﾍﾟｱｷｰ TVﾘﾓｺﾝ</t>
  </si>
  <si>
    <t>WBA3X12070D372890</t>
  </si>
  <si>
    <t>1660回</t>
  </si>
  <si>
    <t>30/1</t>
  </si>
  <si>
    <t>なにわ 326 と 6828</t>
  </si>
  <si>
    <t>ﾌﾞﾙｰⅡ</t>
  </si>
  <si>
    <t>WMWXM720203C11546</t>
  </si>
  <si>
    <t>大阪ﾄﾖﾀ自動車株式会社</t>
  </si>
  <si>
    <t>8/11</t>
  </si>
  <si>
    <t>取説 保証書 ｷｰﾚｽ × （車内）</t>
    <phoneticPr fontId="13"/>
  </si>
  <si>
    <t>24/11</t>
  </si>
  <si>
    <t>NV100ｸﾘｯﾊﾟｰ DX</t>
  </si>
  <si>
    <t>岡山 483 ね 113</t>
  </si>
  <si>
    <t>ﾘｸﾙｰﾄ</t>
  </si>
  <si>
    <t>B00086834</t>
  </si>
  <si>
    <t>U71V-0615099</t>
  </si>
  <si>
    <t>ﾈｯﾂﾄﾖﾀ岡山株式会社</t>
  </si>
  <si>
    <t>8/20</t>
  </si>
  <si>
    <t>2072回</t>
  </si>
  <si>
    <t>23/11</t>
  </si>
  <si>
    <t>BMW 640iｸｰﾍﾟ Mｽﾎﾟｰﾂ</t>
  </si>
  <si>
    <t>32/11/23</t>
  </si>
  <si>
    <t>和泉 335 に 214</t>
  </si>
  <si>
    <t>WBALW32080C798740</t>
  </si>
  <si>
    <t>大興毛糸紡績 株式会社</t>
  </si>
  <si>
    <t>8/23</t>
  </si>
  <si>
    <t>1854回</t>
  </si>
  <si>
    <t>24/7</t>
  </si>
  <si>
    <t>BMWﾐﾆｸｰﾊﾟｰS ｸｰﾍﾟ</t>
  </si>
  <si>
    <t>3/7</t>
  </si>
  <si>
    <t>神戸 550 も 3298</t>
  </si>
  <si>
    <t>取説 保証書 ｽﾍﾟｱｷｰ</t>
  </si>
  <si>
    <t>501 み 7651</t>
    <phoneticPr fontId="13"/>
  </si>
  <si>
    <t>WMWSX32090T404476</t>
  </si>
  <si>
    <t>坂野 嘉則</t>
  </si>
  <si>
    <t>8/27</t>
  </si>
  <si>
    <t>1856回</t>
  </si>
  <si>
    <t>26/11</t>
    <phoneticPr fontId="13"/>
  </si>
  <si>
    <t>BMW 235iｸｰﾍﾟ Mｽﾎﾟｰﾂ</t>
  </si>
  <si>
    <t>足立　302　ふ　2669</t>
  </si>
  <si>
    <t>WBA1J720X0V229650</t>
  </si>
  <si>
    <t>牧野　善知</t>
  </si>
  <si>
    <t>9/12</t>
  </si>
  <si>
    <t>1816回</t>
  </si>
  <si>
    <t>29/8</t>
  </si>
  <si>
    <t>ｱｳﾃﾞｨA4 ｱﾊﾞﾝﾄ 1.4TFSI ｽﾎﾟｰﾂ</t>
  </si>
  <si>
    <t>なにわ 301 は 2121</t>
  </si>
  <si>
    <t>WAUZZZF45HA068163</t>
  </si>
  <si>
    <t>9/11</t>
  </si>
  <si>
    <t>1054回</t>
  </si>
  <si>
    <t>BMW M5</t>
  </si>
  <si>
    <t>なにわ 326 な 2779</t>
  </si>
  <si>
    <t xml:space="preserve">ｽﾍﾟｱｷｰ </t>
  </si>
  <si>
    <t>WBSFV92000DX95663</t>
  </si>
  <si>
    <t>9/13</t>
  </si>
  <si>
    <t>1288回</t>
  </si>
  <si>
    <t>BMWﾐﾆｸｰﾊﾟｰ F55</t>
  </si>
  <si>
    <t>3/9/30</t>
  </si>
  <si>
    <t>習志野 301 ひ 6901</t>
  </si>
  <si>
    <t>保証書  ﾜﾝｵｰﾅｰ</t>
  </si>
  <si>
    <t>名変10/15まで</t>
  </si>
  <si>
    <t>301 た 9256</t>
  </si>
  <si>
    <t xml:space="preserve">あか </t>
  </si>
  <si>
    <t>WMWXS50602C90557</t>
  </si>
  <si>
    <t>楠木 良樹</t>
  </si>
  <si>
    <t>9/17</t>
  </si>
  <si>
    <t>抹消済</t>
  </si>
  <si>
    <t>27/1</t>
  </si>
  <si>
    <t>BMW M235i MﾊﾟﾌｫｰﾏﾝｽED</t>
  </si>
  <si>
    <t>4/1</t>
    <phoneticPr fontId="13"/>
  </si>
  <si>
    <t>長崎 300 ふ 4926</t>
  </si>
  <si>
    <t>301 ち 523</t>
  </si>
  <si>
    <t>WBA1J72080V229307</t>
  </si>
  <si>
    <t>株式会社 MATSUFUJI</t>
  </si>
  <si>
    <t>9/19</t>
  </si>
  <si>
    <t>ｷｰﾚｽ（車内）取説 保証書 ×</t>
    <phoneticPr fontId="13"/>
  </si>
  <si>
    <t>1289回</t>
  </si>
  <si>
    <t>15/8</t>
  </si>
  <si>
    <t>BMW M3 SMG2</t>
  </si>
  <si>
    <t>福山 330 そ 346</t>
  </si>
  <si>
    <t>WBS-BL92080JR07289</t>
  </si>
  <si>
    <t>芝吹 直記</t>
  </si>
  <si>
    <t>9/24</t>
  </si>
  <si>
    <t>取説 保証書 ｽﾍﾟｱｷｰ ﾌﾟﾗｷｰ ﾜﾝｵｰﾅｰ</t>
  </si>
  <si>
    <t>28/4</t>
  </si>
  <si>
    <t>ｴﾌﾞﾘｲ　PA</t>
  </si>
  <si>
    <t>4/4</t>
  </si>
  <si>
    <t>船橋 480 あ 571</t>
  </si>
  <si>
    <t>取説</t>
  </si>
  <si>
    <t>車歴事業用</t>
  </si>
  <si>
    <t>480 と 1220</t>
  </si>
  <si>
    <t>A25453</t>
  </si>
  <si>
    <t>DA17V-166336</t>
  </si>
  <si>
    <t>小川 寛稀</t>
  </si>
  <si>
    <t>10/16</t>
  </si>
  <si>
    <t>今は自家用に変更済み</t>
  </si>
  <si>
    <t>1859回</t>
  </si>
  <si>
    <t>3/3</t>
  </si>
  <si>
    <t>浜松 301 ぬ 9097</t>
  </si>
  <si>
    <t xml:space="preserve">取説 手帳 記録簿 ｽﾍﾟｱｷｰ </t>
  </si>
  <si>
    <t>WMWXM520303A55876</t>
  </si>
  <si>
    <t>加藤 隼之介</t>
  </si>
  <si>
    <t>10/6</t>
  </si>
  <si>
    <t>1057回</t>
  </si>
  <si>
    <t>BMW320i ｸﾞﾗﾝﾂｰﾘｽﾓ Mｽﾎﾟｰﾂ</t>
  </si>
  <si>
    <t>33/4</t>
  </si>
  <si>
    <t>神戸 303 の 6879</t>
  </si>
  <si>
    <t>WBA3X12020D734253</t>
  </si>
  <si>
    <t>1058回</t>
  </si>
  <si>
    <t>ﾚﾝｼﾞﾛｰﾊﾞｰ ｲｳﾞｫｰｸ ﾌﾟﾚｽﾃｰｼﾞ</t>
  </si>
  <si>
    <t>京都 399 も 3177</t>
  </si>
  <si>
    <t>ﾅﾋﾞﾛﾑ店長にわたしました</t>
  </si>
  <si>
    <t>SALVA2AG7FH971140</t>
  </si>
  <si>
    <t>株式会社 ｸﾞﾗﾝﾄﾞｴﾝﾀｰﾌﾟﾗｲｽﾞ</t>
  </si>
  <si>
    <t>10/11</t>
  </si>
  <si>
    <t>取説 保証書 ﾅﾋﾞﾛﾑ ×</t>
  </si>
  <si>
    <t>1293回</t>
  </si>
  <si>
    <t>25/4</t>
  </si>
  <si>
    <t>BMW640i ｸﾞﾗﾝｸｰﾍﾟMｽﾎﾟｰﾂ</t>
  </si>
  <si>
    <t>4/6</t>
  </si>
  <si>
    <t>いわき 337 つ 6</t>
  </si>
  <si>
    <t>301 ち 1778</t>
  </si>
  <si>
    <t>WBA6A02040D211474</t>
  </si>
  <si>
    <t>大谷 誠</t>
  </si>
  <si>
    <t>10/22</t>
  </si>
  <si>
    <t>1752回</t>
  </si>
  <si>
    <t>BMW M235iｸｰﾍﾟ</t>
  </si>
  <si>
    <t>3/2</t>
  </si>
  <si>
    <t>奈良 332 む 507</t>
  </si>
  <si>
    <t xml:space="preserve">保証書 </t>
  </si>
  <si>
    <t>399 つ 2900</t>
    <phoneticPr fontId="13"/>
  </si>
  <si>
    <t>MIRIVE大阪(ｱｲｵｰｸ）</t>
  </si>
  <si>
    <t>WBA1J72010VX83613</t>
  </si>
  <si>
    <t>VSS奈良 株式会社</t>
  </si>
  <si>
    <t>保証書 ×</t>
  </si>
  <si>
    <t>1863回</t>
  </si>
  <si>
    <t>14/11</t>
  </si>
  <si>
    <t>BMW　M3</t>
  </si>
  <si>
    <t>3/11</t>
  </si>
  <si>
    <t>大阪300　や　2763</t>
  </si>
  <si>
    <t>保証書　取説　ｽﾍﾟｱｷｰ　記録多数</t>
  </si>
  <si>
    <t>WBSBL92040JR04843</t>
  </si>
  <si>
    <t>有限会社 一博社</t>
  </si>
  <si>
    <t>10/29</t>
  </si>
  <si>
    <t>取説 保証書 ﾅﾋﾞ取 ｷｰﾚｽ ｽﾍﾟｱｷｰ ﾓﾆﾀｰ ﾘﾓｺﾝ ×</t>
  </si>
  <si>
    <t>千葉 311 ぬ 8008</t>
  </si>
  <si>
    <t>MIRIVE埼玉(ｱｲｵｰｸ）</t>
  </si>
  <si>
    <t>WMWXT720202G66227</t>
  </si>
  <si>
    <t>前林 佳孝</t>
  </si>
  <si>
    <t>10/31</t>
  </si>
  <si>
    <t>堺 399 に 2885</t>
  </si>
  <si>
    <t>WMWXT72010F35497</t>
  </si>
  <si>
    <t>株式会社 関西ﾏﾂﾀﾞ</t>
  </si>
  <si>
    <t>11/7</t>
  </si>
  <si>
    <t>ｷｰﾚｽ（車内）取説</t>
    <phoneticPr fontId="13"/>
  </si>
  <si>
    <t>1062回</t>
  </si>
  <si>
    <t>31/4</t>
  </si>
  <si>
    <t>BMWﾐﾆｸｰﾊﾟｰSD</t>
    <phoneticPr fontId="13"/>
  </si>
  <si>
    <t>4/4/25</t>
  </si>
  <si>
    <t>京都 330 ろ 3714</t>
  </si>
  <si>
    <t>301 ち 2837</t>
  </si>
  <si>
    <t>WMWXT720902H91984</t>
  </si>
  <si>
    <t>11/12</t>
  </si>
  <si>
    <t>取説 保証書</t>
  </si>
  <si>
    <t>3月抹消済</t>
    <rPh sb="1" eb="2">
      <t>ツキ</t>
    </rPh>
    <rPh sb="2" eb="4">
      <t>マッショウ</t>
    </rPh>
    <rPh sb="4" eb="5">
      <t>ズ</t>
    </rPh>
    <phoneticPr fontId="13"/>
  </si>
  <si>
    <t>BMWﾐﾆｼﾞｮﾝｸｰﾊﾟｰﾜｰｸｽ ｸｰﾍﾟ</t>
  </si>
  <si>
    <t>岡崎 599 た 9687</t>
  </si>
  <si>
    <t xml:space="preserve">取説 保証書 予備ｷｰ </t>
  </si>
  <si>
    <t>WMWSX920X0T431012</t>
  </si>
  <si>
    <t>株式会社 N・S・Produce</t>
  </si>
  <si>
    <t>11/14</t>
  </si>
  <si>
    <t>取 保証書 ﾅﾋﾞ取 ｷｰﾚｽ ×</t>
  </si>
  <si>
    <t>ｱﾊﾞﾙﾄ595 ｺﾝﾍﾟﾃｨﾂｨｵｰﾈ</t>
  </si>
  <si>
    <t>札幌 531 は 595</t>
  </si>
  <si>
    <t>501 ま 6058</t>
  </si>
  <si>
    <t>ZFA3120000J849594</t>
  </si>
  <si>
    <t>株式会社 ｾﾃﾞｨﾅ</t>
  </si>
  <si>
    <t>11/19</t>
  </si>
  <si>
    <t>1297回</t>
  </si>
  <si>
    <t>BMWﾐﾆｸｰﾊﾟｰS ﾍﾟｯﾊﾟｰPKG</t>
  </si>
  <si>
    <t>神戸 303 や 739</t>
  </si>
  <si>
    <t>WMWXM720602A76285</t>
  </si>
  <si>
    <t>O-RUSHｲﾝﾀｰﾅｼｮﾅﾙ株式会社</t>
  </si>
  <si>
    <t>29/3</t>
  </si>
  <si>
    <t>ｼﾞｬｶﾞｰXE Rｽﾎﾟｰﾂ</t>
  </si>
  <si>
    <t>4/3</t>
  </si>
  <si>
    <t>世田谷 310 つ 3018</t>
  </si>
  <si>
    <t>301 ち 2983</t>
  </si>
  <si>
    <t>SAJA4AN8HA967320</t>
  </si>
  <si>
    <t>堀江 哲朗</t>
  </si>
  <si>
    <t>取説  保証書 ｷｰﾚｽ ×</t>
  </si>
  <si>
    <t>937回</t>
  </si>
  <si>
    <t>BMW220i ｸｰﾍﾟ Mｽﾎﾟｰﾂ</t>
  </si>
  <si>
    <t>野田 335 す 122</t>
  </si>
  <si>
    <t>USS大阪</t>
  </si>
  <si>
    <t>WBA1J12060V467590</t>
  </si>
  <si>
    <t>株式会社 ﾓﾄｰﾚﾝｸﾞﾗﾝﾂ</t>
  </si>
  <si>
    <t>20回</t>
  </si>
  <si>
    <t>27/5</t>
  </si>
  <si>
    <t>4/5</t>
  </si>
  <si>
    <t>静岡 351 ぬ 9</t>
  </si>
  <si>
    <t>301 ち 2839</t>
  </si>
  <si>
    <t>MIRIVE愛知(ｱｲｵｰｸ）</t>
  </si>
  <si>
    <t>WMWXM720002A75391</t>
  </si>
  <si>
    <t>渡辺 諒太朗</t>
  </si>
  <si>
    <t>保証書 ｷｰﾚｽ</t>
  </si>
  <si>
    <t>ｷｰﾚｽ清水さんに渡してます</t>
    <rPh sb="4" eb="6">
      <t>シミズ</t>
    </rPh>
    <rPh sb="9" eb="10">
      <t>ワタ</t>
    </rPh>
    <phoneticPr fontId="13"/>
  </si>
  <si>
    <t>ﾌｨｱｯﾄ500X ﾎﾟｯﾌﾟｽﾀｰﾌﾟﾗｽ</t>
  </si>
  <si>
    <t>名古屋 343 ふ 1091</t>
  </si>
  <si>
    <t>ZFA3340000P387624</t>
  </si>
  <si>
    <t>井上 三樹男</t>
  </si>
  <si>
    <t>11/20</t>
  </si>
  <si>
    <t>取説 保証書 ｷｰﾚｽ ﾓﾆﾀｰ ﾜﾝｵｰﾅｰ</t>
  </si>
  <si>
    <t>1866回</t>
  </si>
  <si>
    <t>26/6</t>
  </si>
  <si>
    <t>3/6</t>
  </si>
  <si>
    <t>浜松 536 そ 1031</t>
  </si>
  <si>
    <t>DｸﾞﾘｰﾝⅡ</t>
  </si>
  <si>
    <t>WMWSX32060T404872</t>
  </si>
  <si>
    <t>木俣 隆司</t>
  </si>
  <si>
    <t>取説 保証書 ﾅﾋﾞ取 ﾜﾝｵｰﾅｰ</t>
  </si>
  <si>
    <t>1031回</t>
  </si>
  <si>
    <t>ｼﾞｬｶﾞｰXF ﾗｸﾞｼﾞｭｱﾘｰ</t>
  </si>
  <si>
    <t>京都 335 も 916</t>
  </si>
  <si>
    <t>301 ち 2838</t>
  </si>
  <si>
    <t>SAJKC05M8FPU65297</t>
  </si>
  <si>
    <t>八光ｴﾙｱｰﾙ株式会社</t>
  </si>
  <si>
    <t>11/26</t>
  </si>
  <si>
    <t>取説 保証書 ﾅﾋﾞﾛﾑ ﾜﾝｵｰﾅｰ</t>
  </si>
  <si>
    <t>ﾅﾋﾞﾛﾑ店長にわたしてます</t>
  </si>
  <si>
    <t>1064回</t>
  </si>
  <si>
    <t>28/11</t>
  </si>
  <si>
    <t>ﾚﾝｼﾞﾛｰﾊﾞｰｲｳﾞｫｰｸ SE ﾌﾟﾗｽ</t>
  </si>
  <si>
    <t>神戸 330 ぬ 452</t>
  </si>
  <si>
    <t>301 ち 2982</t>
  </si>
  <si>
    <t>SALVA2AGXHH173458</t>
  </si>
  <si>
    <t>ﾈｯﾂﾄﾖﾀｿﾞﾅ神戸株式会社</t>
  </si>
  <si>
    <t>京都 334 ま 805</t>
  </si>
  <si>
    <t>ｸﾞﾘｰﾝⅡ</t>
  </si>
  <si>
    <t>WMWXS520802C88969</t>
  </si>
  <si>
    <t>11/24</t>
  </si>
  <si>
    <t>29/12</t>
  </si>
  <si>
    <t>名古屋 345 ら 2727</t>
  </si>
  <si>
    <t>SAJAB4AN9JCP29034</t>
  </si>
  <si>
    <t>取説 保証書 ﾅﾋﾞﾛﾑ ｷｰﾚｽ ﾜﾝｵｰﾅｰ</t>
  </si>
  <si>
    <t>1066回</t>
  </si>
  <si>
    <t>BMWﾐﾆｼﾞｬｰﾐﾝｸｰﾊﾟｰS</t>
  </si>
  <si>
    <t>京都 301 め 8816</t>
  </si>
  <si>
    <t>ﾗﾋﾟｽﾗｸﾞｼﾞｭｱﾘｰ青</t>
  </si>
  <si>
    <t>WMWXS720902C48928</t>
  </si>
  <si>
    <t>12/10</t>
  </si>
  <si>
    <t>1760回</t>
  </si>
  <si>
    <t>BMW220i ｶﾌﾞﾘｵﾚ Mｽﾎﾟｰﾂ</t>
  </si>
  <si>
    <t>3/5</t>
  </si>
  <si>
    <t>神戸 352 す 312</t>
  </si>
  <si>
    <t>MIRIVE大阪（AS)</t>
  </si>
  <si>
    <t>WBA1L72030V492458</t>
  </si>
  <si>
    <t>森岡 健</t>
  </si>
  <si>
    <t>12/17</t>
  </si>
  <si>
    <t>1068回</t>
  </si>
  <si>
    <t>25/6</t>
  </si>
  <si>
    <t>BMW M6 ｸﾞﾗﾝｸｰﾍﾟ</t>
  </si>
  <si>
    <t>京都 302 な 319</t>
  </si>
  <si>
    <t>ﾌﾛｰｽﾞﾝｼﾙﾊﾞｰ</t>
  </si>
  <si>
    <t>WBS6C92080DV74091</t>
  </si>
  <si>
    <t>株式会社 服部ﾓｰﾀｰｽ</t>
  </si>
  <si>
    <t>12/24</t>
  </si>
  <si>
    <t>1871回</t>
  </si>
  <si>
    <t>28/8</t>
  </si>
  <si>
    <t>BMW M235i ｸｰﾍﾟ</t>
  </si>
  <si>
    <t>3/8/30</t>
  </si>
  <si>
    <t>福岡 347 た 318</t>
  </si>
  <si>
    <t>ｱﾙﾋﾟﾝﾎﾜｲﾄ</t>
  </si>
  <si>
    <t>WBA1J72070V486717</t>
  </si>
  <si>
    <t>杜 翔</t>
  </si>
  <si>
    <t>12/25</t>
  </si>
  <si>
    <r>
      <rPr>
        <sz val="11"/>
        <color theme="4" tint="-0.499984740745262"/>
        <rFont val="ＭＳ Ｐゴシック"/>
        <family val="3"/>
        <charset val="128"/>
      </rPr>
      <t xml:space="preserve">取説 保証書 </t>
    </r>
    <r>
      <rPr>
        <sz val="11"/>
        <color theme="4" tint="-0.249977111117893"/>
        <rFont val="ＭＳ Ｐゴシック"/>
        <family val="3"/>
        <charset val="128"/>
      </rPr>
      <t>ｽﾍﾟｱｷｰﾚｽ</t>
    </r>
  </si>
  <si>
    <t>30/6</t>
  </si>
  <si>
    <t>NV100 ｸﾘｯﾊﾟｰﾊﾞﾝ</t>
  </si>
  <si>
    <t>34/6</t>
  </si>
  <si>
    <t>練馬 480 さ 8952</t>
  </si>
  <si>
    <t>取説 保証書 事業用</t>
  </si>
  <si>
    <t>480 と 2340</t>
  </si>
  <si>
    <t>A30611</t>
  </si>
  <si>
    <t>DR17V-279878</t>
  </si>
  <si>
    <t>株式会社 K＆S</t>
  </si>
  <si>
    <t>1/14</t>
  </si>
  <si>
    <t>保証書 取説 ｽﾍﾟｱｷｰ</t>
  </si>
  <si>
    <t>名変期限2/10まで</t>
  </si>
  <si>
    <t>831回</t>
  </si>
  <si>
    <t>BMWM235Ｉｸｰﾍﾟ</t>
  </si>
  <si>
    <t>横浜 305 て 177</t>
  </si>
  <si>
    <t>保証書 取説 ﾜﾝｵｰﾅｰ</t>
  </si>
  <si>
    <t>WBA1J710X0V486193</t>
  </si>
  <si>
    <t>株式会社 ﾃﾞｽﾃｨｰﾉ</t>
  </si>
  <si>
    <t>1/17</t>
  </si>
  <si>
    <t>保証書 取説 ｷｰﾚｽ ﾜﾝｵｰﾅｰ</t>
  </si>
  <si>
    <t>1305回</t>
  </si>
  <si>
    <t>BMW640I ｸﾞﾗﾝｸｰﾍﾟMｽﾎﾟｰﾂ</t>
  </si>
  <si>
    <t>4/11/3</t>
  </si>
  <si>
    <t>杉並 310 ほ 415</t>
  </si>
  <si>
    <t>301 ち 5230</t>
  </si>
  <si>
    <t>WBA6A02040DZ11555</t>
  </si>
  <si>
    <t>株式会社ｵﾘｴﾝﾄｺｰﾎﾟﾚｰｼｮﾝ</t>
  </si>
  <si>
    <t>1/21</t>
  </si>
  <si>
    <t>保証書 取説 ｷｰﾚｽ</t>
  </si>
  <si>
    <t>1月抹消済</t>
  </si>
  <si>
    <t>25/10</t>
  </si>
  <si>
    <t>ﾀﾝﾄ GA</t>
  </si>
  <si>
    <t>4/10</t>
  </si>
  <si>
    <t>豊橋 580 に 2664</t>
  </si>
  <si>
    <t>581 の 234</t>
  </si>
  <si>
    <t>B00131753</t>
  </si>
  <si>
    <t>茶色</t>
  </si>
  <si>
    <t>LA600S-0004167</t>
  </si>
  <si>
    <t>愛知ﾄﾖﾀ自動車株式会社</t>
  </si>
  <si>
    <t>2/6</t>
  </si>
  <si>
    <t>保証書 取説 ｷｰﾚｽ ｽﾍﾟｱｷｰ(車内）</t>
    <phoneticPr fontId="13"/>
  </si>
  <si>
    <t>11月抹消済</t>
    <rPh sb="2" eb="3">
      <t>ガツ</t>
    </rPh>
    <rPh sb="3" eb="6">
      <t>マッショウズ</t>
    </rPh>
    <phoneticPr fontId="13"/>
  </si>
  <si>
    <t>947回</t>
  </si>
  <si>
    <t xml:space="preserve"> BMWﾐﾆ ｸｰﾊﾟｰS</t>
  </si>
  <si>
    <t>大阪 350 ま 125</t>
  </si>
  <si>
    <t>保証書 ｽﾍﾟｱｷｰ ﾜﾝｵｰﾅｰ</t>
  </si>
  <si>
    <t>WMWXR52090TM81733</t>
  </si>
  <si>
    <t>西田 美智子</t>
  </si>
  <si>
    <t>2/4</t>
  </si>
  <si>
    <t>1041回</t>
  </si>
  <si>
    <t>堺 399 に 6416</t>
  </si>
  <si>
    <t>保証書 取説 ｽﾍﾟｱｷｰ ﾜﾝｵｰﾅｰ</t>
  </si>
  <si>
    <t>ＺＦＡ3340000Ｐ646547</t>
  </si>
  <si>
    <t>八光自動車工業株式会社</t>
  </si>
  <si>
    <t>保証書 取説 ｷｰﾚｽ ﾜﾝｵｰﾅｰ</t>
    <phoneticPr fontId="13"/>
  </si>
  <si>
    <t>詳細</t>
  </si>
  <si>
    <t>1042回</t>
  </si>
  <si>
    <t>ﾏｾﾗﾃｨ ｷﾞﾌﾞﾘ</t>
  </si>
  <si>
    <t>神戸 335 る 36</t>
  </si>
  <si>
    <t>ZAMSS57C001126563</t>
  </si>
  <si>
    <t>株式会社ﾈﾛ</t>
  </si>
  <si>
    <t>保証書 取説 ﾅﾋﾞ取 ｷｰﾚｽ</t>
  </si>
  <si>
    <t>1313回</t>
  </si>
  <si>
    <t>BMWﾐﾆｸｰﾍﾟ ｸｰﾊﾟｰS</t>
  </si>
  <si>
    <t>沖縄 333 ね 58</t>
  </si>
  <si>
    <t>WMWXS720302C50609</t>
  </si>
  <si>
    <t>株式会社IDOM</t>
  </si>
  <si>
    <t>3/18</t>
  </si>
  <si>
    <t xml:space="preserve">保証書 取説 ｷｰﾚｽ </t>
  </si>
  <si>
    <t>1290回</t>
  </si>
  <si>
    <t>BMW740I Mｽﾎﾟｰﾂ ﾘｱｺﾝﾌｫｰﾄﾊﾟｯｹｰｼﾞ</t>
  </si>
  <si>
    <t>3/9</t>
  </si>
  <si>
    <t>福岡 325 ね 358</t>
  </si>
  <si>
    <t>31L そ  5</t>
  </si>
  <si>
    <t>WBA7A22060G751094</t>
  </si>
  <si>
    <t>ﾕｲ株式会社</t>
  </si>
  <si>
    <t>保証書 取説 ﾄﾞﾗﾚｺ取説 ｷｰﾚｽ ｾｷｭﾘﾃｨﾘﾓｺﾝ2つ ﾃﾚｷｬﾝ</t>
  </si>
  <si>
    <t>28/6</t>
  </si>
  <si>
    <t>BMW220Iｸｰﾍﾟ Mｽﾎﾟｰﾂ</t>
  </si>
  <si>
    <t>鹿児島 334 ち 4</t>
  </si>
  <si>
    <t>保証書 取説 ﾅﾋﾞ取</t>
  </si>
  <si>
    <t>WBA1J120X0Y467740</t>
  </si>
  <si>
    <t>株式会社ｾｲﾊﾞｰ</t>
  </si>
  <si>
    <t>1291回</t>
  </si>
  <si>
    <t>ｱﾙﾌｧﾛﾒｵﾐﾄ ｺﾝﾍﾟﾃｨﾂｨｵｰﾈ</t>
  </si>
  <si>
    <t>熊本 334 め 708</t>
  </si>
  <si>
    <t>ZAR9550000X045327</t>
  </si>
  <si>
    <t>海江田 ちひろ</t>
  </si>
  <si>
    <t>3/25</t>
  </si>
  <si>
    <t>ｷｰﾚｽ（車内） 保証書 取説 ﾅﾋﾞ取</t>
    <phoneticPr fontId="13"/>
  </si>
  <si>
    <t>24/6</t>
  </si>
  <si>
    <t>BMWﾐﾆ ｸｰﾊﾟｰSｸｰﾍﾟ</t>
  </si>
  <si>
    <t>大阪 599 も 107</t>
  </si>
  <si>
    <t>ﾎﾝﾀﾞ関西（まとめ）</t>
  </si>
  <si>
    <t>WMWSX32080T442328</t>
    <phoneticPr fontId="13"/>
  </si>
  <si>
    <t>空港自販株式会社</t>
  </si>
  <si>
    <t>4/13</t>
  </si>
  <si>
    <t>1776回</t>
  </si>
  <si>
    <t>BMWﾐﾆ ｼﾞｮﾝｸｰﾊﾟｰﾜｰｸｽ</t>
  </si>
  <si>
    <t>和歌山 330 て 7072</t>
  </si>
  <si>
    <t>保証書 取説</t>
  </si>
  <si>
    <t>ﾐﾗｲﾌﾞ大阪（AS)</t>
  </si>
  <si>
    <t>WMWXM920702D05892</t>
  </si>
  <si>
    <t>株式会社ﾋﾞｰｴﾑﾊﾅﾃﾝ</t>
  </si>
  <si>
    <t>4/18</t>
  </si>
  <si>
    <t>844回</t>
  </si>
  <si>
    <t>ﾗﾝﾄﾞﾛｰﾊﾞｰ ﾃﾞｨｽｶﾊﾞﾘｰ</t>
  </si>
  <si>
    <t>山梨 330 そ 1322</t>
  </si>
  <si>
    <t>SALLTAMP34A837678</t>
  </si>
  <si>
    <t>飯島 浩二</t>
  </si>
  <si>
    <t>4/19</t>
  </si>
  <si>
    <t>取説(車内)</t>
  </si>
  <si>
    <t>1052回</t>
  </si>
  <si>
    <t>20/2</t>
  </si>
  <si>
    <t>ｴﾌﾞﾘｨﾜｺﾞﾝ PZﾀｰﾎﾞｽﾍﾟｼｬﾙ</t>
  </si>
  <si>
    <t>岡山 580 た 714</t>
  </si>
  <si>
    <t>DA64W-262998</t>
  </si>
  <si>
    <t>飛鳥ﾎﾝﾀﾞ株式会社</t>
  </si>
  <si>
    <t>4/27</t>
  </si>
  <si>
    <t>1890回</t>
  </si>
  <si>
    <t>ﾌﾟｼﾞｮｰRCZ GTﾗｲﾝ</t>
  </si>
  <si>
    <t>福井 300 ほ 9355</t>
  </si>
  <si>
    <t>VF34J5FVAFP003786</t>
  </si>
  <si>
    <t>株式会社 GP福井</t>
  </si>
  <si>
    <t>5/22</t>
  </si>
  <si>
    <t>保証書 取説 ﾅﾋﾞ取 ｷｰﾚｽ ﾜﾝｵｰﾅｰ</t>
  </si>
  <si>
    <t>1597回</t>
  </si>
  <si>
    <t>ｼﾄﾛｴﾝDS5  ｼｯｸ ﾚｻﾞｰﾊﾟｯｹｰｼﾞ</t>
  </si>
  <si>
    <t>三河 302 た 8518</t>
  </si>
  <si>
    <t>VF7KF5GZTGS507623</t>
  </si>
  <si>
    <t>ﾄﾖﾀｶﾛｰﾗ愛豊株式会社</t>
  </si>
  <si>
    <t>取説 ﾅﾋﾞ取 ｷｰﾚｽ(車内)   手帳</t>
  </si>
  <si>
    <t>1300回</t>
  </si>
  <si>
    <t>25/9</t>
  </si>
  <si>
    <t>BMW ｱｸﾃｨﾌﾞﾊｲﾌﾞﾘｯﾄ3 Mｽﾎﾟｰﾂ</t>
  </si>
  <si>
    <t>4/9</t>
  </si>
  <si>
    <t>長崎 332 す 3838</t>
  </si>
  <si>
    <t>保証書 取説 ｽﾍﾟｱｷｰ 記録 ﾜﾝｵｰﾅｰ</t>
  </si>
  <si>
    <t>301 つ 251</t>
  </si>
  <si>
    <t>WBA3F92060KL53521</t>
  </si>
  <si>
    <t>医療法人社団 宮崎耳鼻咽喉科医院</t>
  </si>
  <si>
    <t>保証書 取説 ﾅﾋﾞ取 ｷｰﾚｽ 記録 法人ﾜﾝｵｰﾅｰ</t>
  </si>
  <si>
    <t>1090回</t>
  </si>
  <si>
    <t>ｱｳﾃﾞｨRS4</t>
  </si>
  <si>
    <t>姫路 300 ひ 3579</t>
  </si>
  <si>
    <t>ｽﾍﾟｱｷｰ</t>
  </si>
  <si>
    <t>WAUZZZ8E17N906286</t>
  </si>
  <si>
    <t>株式会社 阪神小型ﾓｰﾀｰｽ</t>
  </si>
  <si>
    <t>1325回</t>
  </si>
  <si>
    <t>ﾗﾝﾄﾞﾛｰﾊﾞｰ ﾃﾞｨｽｶﾊﾞﾘｰ SE</t>
  </si>
  <si>
    <t>浜松 358 は 10</t>
  </si>
  <si>
    <t>301 つ 1201</t>
  </si>
  <si>
    <t>SALLAJAD3DA654558</t>
  </si>
  <si>
    <t>1894回</t>
  </si>
  <si>
    <t>ｱｳﾃﾞｨRS4 ｱﾊﾞﾝﾄ 4.2ｸﾜﾄﾛ</t>
  </si>
  <si>
    <t>岐阜 302 も 375</t>
  </si>
  <si>
    <t>WAUZZZ8E37N906533</t>
  </si>
  <si>
    <t>岡田 猛</t>
  </si>
  <si>
    <t>29/11</t>
  </si>
  <si>
    <t>BMW M2ｸｰﾍﾟ</t>
  </si>
  <si>
    <t>品川 326 る 7352</t>
  </si>
  <si>
    <t>保証書 ﾜﾝｵｰﾅｰ</t>
  </si>
  <si>
    <t>WBS1J52000VD42672</t>
  </si>
  <si>
    <t>ﾋﾞｰｴﾑﾀﾞﾌﾞﾘｭｰｼﾞｬﾊﾟﾝﾌｧｲﾅﾝｽ株式会社</t>
  </si>
  <si>
    <t xml:space="preserve">BMW M3 </t>
  </si>
  <si>
    <t>4/7</t>
  </si>
  <si>
    <t>船橋 300 さ 6607</t>
  </si>
  <si>
    <t>301 つ 1198</t>
  </si>
  <si>
    <t>WBSVA91020E039433</t>
  </si>
  <si>
    <t>株式会社ﾄｯﾌﾟﾗﾝｸ</t>
  </si>
  <si>
    <t>保証書 取説 ｷｰﾚｽ ﾘﾓｺﾝ</t>
  </si>
  <si>
    <t>BMW 220Iｸｰﾍﾟ</t>
  </si>
  <si>
    <t>4/12</t>
  </si>
  <si>
    <t>大阪 343 め1000</t>
  </si>
  <si>
    <t>301 つ1196</t>
  </si>
  <si>
    <t>WBA2H52070VB21588</t>
  </si>
  <si>
    <t>株式会社ﾋﾞｰ・ｴﾑ・ﾀﾞﾌﾞﾘｭｰ・ｼﾞｬﾊﾟﾝ・ﾌｧｲﾅﾝｽ</t>
  </si>
  <si>
    <t>7/4</t>
  </si>
  <si>
    <t>27/6</t>
  </si>
  <si>
    <t>ｼﾞｬｶﾞーXF 2.0R ｽﾎﾟｰﾂLTDｴﾃﾞｨｼｮﾝ</t>
  </si>
  <si>
    <t>神戸 381 る 23</t>
  </si>
  <si>
    <t>301 つ 2405</t>
    <phoneticPr fontId="13"/>
  </si>
  <si>
    <t>SAJKC05M8FPU75294</t>
  </si>
  <si>
    <t>7/6</t>
  </si>
  <si>
    <t>ｼﾄﾛｴﾝGC4 ﾋﾟｶｿ ｼｬｲﾝ ﾌﾞﾙｰHDI</t>
  </si>
  <si>
    <t>練馬 302 ち 9522</t>
  </si>
  <si>
    <t>301 つ 2408</t>
    <phoneticPr fontId="13"/>
  </si>
  <si>
    <t>VF73AAHXTHJ544918</t>
  </si>
  <si>
    <t>株式会社 ｸﾞﾗﾝﾃﾞｨｽﾞﾑ</t>
  </si>
  <si>
    <t>7/11</t>
  </si>
  <si>
    <t>保証書 取説(車内)    ｷｰﾚｽ</t>
  </si>
  <si>
    <t>3/11/28</t>
  </si>
  <si>
    <t>尾張小牧 330 な 3141</t>
  </si>
  <si>
    <t>保証書 法人ﾜﾝｵｰﾅｰ</t>
  </si>
  <si>
    <t>WBSPM92060E198387</t>
  </si>
  <si>
    <t>医療法人おおわきﾚﾃﾞｨｽｸﾘﾆｯｸ</t>
  </si>
  <si>
    <t>7/15</t>
  </si>
  <si>
    <t>保証書 取説 ｷｰﾚｽ 法人ﾜﾝｵｰﾅｰ</t>
  </si>
  <si>
    <t>BMW M3 ｸｰﾍﾟ</t>
  </si>
  <si>
    <t>成田 399 す 2805</t>
  </si>
  <si>
    <t>WBSWD910X0PY30406</t>
  </si>
  <si>
    <t>株式会社 ｼﾞｮｲﾙｰﾄ</t>
  </si>
  <si>
    <t>7/18</t>
  </si>
  <si>
    <t>28/7</t>
  </si>
  <si>
    <t>BMW320I GT Mｽﾎﾟｰﾂ</t>
  </si>
  <si>
    <t>和泉 337 ま 128</t>
  </si>
  <si>
    <t>WBA3X12080D737139</t>
  </si>
  <si>
    <t>ｴﾙﾍﾞｵｰﾄ株式会社</t>
  </si>
  <si>
    <t>7/20</t>
  </si>
  <si>
    <t>BMW420I ｸｰﾍﾟ Mｽﾎﾟｰﾂ</t>
  </si>
  <si>
    <t>神戸 304 す 6224</t>
  </si>
  <si>
    <t>保証書 取説 ｽﾍﾟｱｷｰ TVﾘﾓｺﾝ</t>
  </si>
  <si>
    <t>301 つ 2402</t>
    <phoneticPr fontId="13"/>
  </si>
  <si>
    <t>WBA3N12040K410125</t>
  </si>
  <si>
    <t>株式会社ﾔﾅｾ</t>
  </si>
  <si>
    <t>7/22</t>
  </si>
  <si>
    <t>保証書 ｷｰﾚｽ ﾘﾓｺﾝ</t>
    <phoneticPr fontId="13"/>
  </si>
  <si>
    <t>取説 小売りで使用</t>
    <rPh sb="0" eb="2">
      <t>トリセツ</t>
    </rPh>
    <rPh sb="3" eb="5">
      <t>コウ</t>
    </rPh>
    <rPh sb="7" eb="9">
      <t>シヨウ</t>
    </rPh>
    <phoneticPr fontId="13"/>
  </si>
  <si>
    <t>24/2</t>
  </si>
  <si>
    <t>5/3</t>
  </si>
  <si>
    <t>水戸 527 に   3</t>
  </si>
  <si>
    <t>501 み 3248</t>
    <phoneticPr fontId="13"/>
  </si>
  <si>
    <t>WMWSV32030T151113</t>
    <phoneticPr fontId="13"/>
  </si>
  <si>
    <t>株式会社ﾌﾟﾛﾌｨｰﾙ</t>
  </si>
  <si>
    <t xml:space="preserve">保証書 取説 ﾅﾋﾞ取 ﾐﾆB-CAS </t>
  </si>
  <si>
    <t>神戸 547 さ 1</t>
  </si>
  <si>
    <t>保証書 手帳 取説 ｽﾍﾟｱｷｰ</t>
  </si>
  <si>
    <t>ﾚｯﾄﾞⅡ</t>
  </si>
  <si>
    <t>WMWSX32020T139738</t>
  </si>
  <si>
    <t>株式会社神戸ﾏﾂﾀﾞ</t>
  </si>
  <si>
    <t>7/29</t>
  </si>
  <si>
    <t>保証書 手帳 取説 ｷｰﾚｽ</t>
  </si>
  <si>
    <t>BMW320I ﾂｰﾘﾝｸﾞMｽﾎﾟｰﾂ</t>
  </si>
  <si>
    <t>4/3/30</t>
  </si>
  <si>
    <t>湘南 345 ぬ 27</t>
  </si>
  <si>
    <t>保証書 取説 記録簿（H30.R2.R3）</t>
  </si>
  <si>
    <t>301 つ 2401</t>
    <phoneticPr fontId="13"/>
  </si>
  <si>
    <t>WBA8G32040K779174</t>
  </si>
  <si>
    <t>菊池 正貢</t>
  </si>
  <si>
    <t>8/5</t>
  </si>
  <si>
    <t>保証書 取説 ｷｰﾚｽ 記録</t>
  </si>
  <si>
    <t>ｱﾊﾞﾙﾄ 595ﾂｰﾘｽﾞﾓ</t>
  </si>
  <si>
    <t>5/1/28</t>
  </si>
  <si>
    <t>愛媛 501 ぬ 8876</t>
  </si>
  <si>
    <t>501 み 2943</t>
    <phoneticPr fontId="13"/>
  </si>
  <si>
    <t>ｶﾞﾝM</t>
  </si>
  <si>
    <t>ZFA31200001472895</t>
  </si>
  <si>
    <t>医療法人 いちかわ内視鏡内科ｸﾘﾆｯｸ</t>
  </si>
  <si>
    <t>8/8</t>
  </si>
  <si>
    <t>ｷｰﾚｽ(車内)   保証書 取説 法人ﾜﾝｵｰﾅｰ</t>
  </si>
  <si>
    <t>1月抹消済</t>
    <rPh sb="1" eb="2">
      <t>ガツ</t>
    </rPh>
    <rPh sb="2" eb="5">
      <t>マッショウズ</t>
    </rPh>
    <phoneticPr fontId="13"/>
  </si>
  <si>
    <t>25/2</t>
  </si>
  <si>
    <t>4/2/21</t>
  </si>
  <si>
    <t>大分 533 は 1006</t>
  </si>
  <si>
    <t>501 み 3247</t>
    <phoneticPr fontId="13"/>
  </si>
  <si>
    <t>WMWSV32080T152337</t>
    <phoneticPr fontId="13"/>
  </si>
  <si>
    <t>株式会社ｲﾝﾊﾟｸﾄ</t>
  </si>
  <si>
    <t>車検月2ヶ月違いｸﾚｰﾑ済</t>
  </si>
  <si>
    <t>5/2/22</t>
  </si>
  <si>
    <t>奈良 344 ゆ 3377</t>
  </si>
  <si>
    <t>301 つ 3428</t>
    <phoneticPr fontId="13"/>
  </si>
  <si>
    <t>WBA2H52040VB21595</t>
  </si>
  <si>
    <t>株式会社 ﾐﾅﾐｼﾏ自動車販売</t>
  </si>
  <si>
    <t>8/10</t>
  </si>
  <si>
    <t>3/8</t>
  </si>
  <si>
    <t>足立 330 さ 9850</t>
  </si>
  <si>
    <t>保証書 取説 地ﾃﾞｼﾞﾘﾓｺﾝ ｽﾏｰﾄｷｰ</t>
  </si>
  <si>
    <t>WMWXT720X02H18638</t>
  </si>
  <si>
    <t>前川 米夫</t>
  </si>
  <si>
    <t>保証書 取説 ｷｰﾚｽ ﾘﾓｺﾝ ﾜﾝｵｰﾅｰ</t>
  </si>
  <si>
    <t>29/7</t>
    <phoneticPr fontId="13"/>
  </si>
  <si>
    <t>MﾍﾞﾝﾂG350ｄ  ﾗｸﾞｼﾞｭｱﾘｰﾊﾟｯｹｰｼﾞ</t>
    <phoneticPr fontId="13"/>
  </si>
  <si>
    <t>4/7/30</t>
    <phoneticPr fontId="13"/>
  </si>
  <si>
    <t>名古屋 345 て 3776</t>
    <rPh sb="0" eb="3">
      <t>ナゴヤ</t>
    </rPh>
    <phoneticPr fontId="13"/>
  </si>
  <si>
    <t>371 ひ 6</t>
    <phoneticPr fontId="13"/>
  </si>
  <si>
    <t>USS名古屋</t>
    <rPh sb="3" eb="6">
      <t>ナゴヤ</t>
    </rPh>
    <phoneticPr fontId="13"/>
  </si>
  <si>
    <t>ｸﾞﾚｰM</t>
    <phoneticPr fontId="13"/>
  </si>
  <si>
    <t>WDB4633482X268304</t>
    <phoneticPr fontId="13"/>
  </si>
  <si>
    <t>株式会社 服部ﾓｰﾀｰｽ</t>
    <rPh sb="0" eb="4">
      <t>カブシキガイシャ</t>
    </rPh>
    <rPh sb="5" eb="7">
      <t>ハットリ</t>
    </rPh>
    <phoneticPr fontId="13"/>
  </si>
  <si>
    <t>9/3</t>
    <phoneticPr fontId="13"/>
  </si>
  <si>
    <t>保証書 取説 ｷｰﾚｽ 記録OK 法人ﾜﾝｵｰﾅｰ</t>
    <rPh sb="0" eb="3">
      <t>ホショウショ</t>
    </rPh>
    <rPh sb="4" eb="6">
      <t>トリセツ</t>
    </rPh>
    <rPh sb="12" eb="14">
      <t>キロク</t>
    </rPh>
    <rPh sb="17" eb="19">
      <t>ホウジン</t>
    </rPh>
    <phoneticPr fontId="13"/>
  </si>
  <si>
    <t>27/4</t>
    <phoneticPr fontId="13"/>
  </si>
  <si>
    <t>ｼﾞｬｶﾞｰ F CPｹｲﾆｼｺﾘｴﾃﾞｨｼｮﾝ</t>
    <phoneticPr fontId="13"/>
  </si>
  <si>
    <t>4/4/27</t>
    <phoneticPr fontId="13"/>
  </si>
  <si>
    <t>大分 330 み 1986</t>
    <rPh sb="0" eb="2">
      <t>オオイタ</t>
    </rPh>
    <phoneticPr fontId="13"/>
  </si>
  <si>
    <t>301 つ 3423</t>
    <phoneticPr fontId="13"/>
  </si>
  <si>
    <t>USS九州</t>
    <rPh sb="3" eb="5">
      <t>キュウシュウ</t>
    </rPh>
    <phoneticPr fontId="13"/>
  </si>
  <si>
    <t>ｵﾚﾝｼﾞ</t>
    <phoneticPr fontId="13"/>
  </si>
  <si>
    <t>SAJKC60F1G8K23782</t>
    <phoneticPr fontId="13"/>
  </si>
  <si>
    <t>株式会社ｵｰｼｰ</t>
    <rPh sb="0" eb="4">
      <t>カブシキガイシャ</t>
    </rPh>
    <phoneticPr fontId="13"/>
  </si>
  <si>
    <t>9/2</t>
    <phoneticPr fontId="13"/>
  </si>
  <si>
    <t>保証書 取説 記録</t>
    <rPh sb="0" eb="3">
      <t>ホショウショ</t>
    </rPh>
    <rPh sb="4" eb="6">
      <t>トリセツ</t>
    </rPh>
    <rPh sb="7" eb="9">
      <t>キロク</t>
    </rPh>
    <phoneticPr fontId="13"/>
  </si>
  <si>
    <t>27/5</t>
    <phoneticPr fontId="13"/>
  </si>
  <si>
    <t>BMWﾐﾆｸｰﾊﾟｰS JCWﾊﾟｯｹｰｼﾞ</t>
    <phoneticPr fontId="13"/>
  </si>
  <si>
    <t>4/5</t>
    <phoneticPr fontId="13"/>
  </si>
  <si>
    <t>岡山 385 ら 1122</t>
    <rPh sb="0" eb="2">
      <t>オカヤマ</t>
    </rPh>
    <phoneticPr fontId="13"/>
  </si>
  <si>
    <t>保証書 ｽﾍﾟｱｷｰ</t>
    <rPh sb="0" eb="3">
      <t>ホショウショ</t>
    </rPh>
    <phoneticPr fontId="13"/>
  </si>
  <si>
    <t>301 つ 4545</t>
    <phoneticPr fontId="13"/>
  </si>
  <si>
    <t>HAA</t>
    <phoneticPr fontId="13"/>
  </si>
  <si>
    <t>ｸﾞﾚｰⅡ</t>
    <phoneticPr fontId="13"/>
  </si>
  <si>
    <t>WMWXS720402C46679</t>
    <phoneticPr fontId="13"/>
  </si>
  <si>
    <t>山内 一幸</t>
    <rPh sb="0" eb="2">
      <t>ヤマウチ</t>
    </rPh>
    <rPh sb="3" eb="5">
      <t>カズユキ</t>
    </rPh>
    <phoneticPr fontId="13"/>
  </si>
  <si>
    <t>9/19</t>
    <phoneticPr fontId="13"/>
  </si>
  <si>
    <t>28/8</t>
    <phoneticPr fontId="13"/>
  </si>
  <si>
    <t>BMWﾐﾆｸｰﾊﾟｰS ｺﾝﾊﾞｰﾁﾌﾞﾙ</t>
    <phoneticPr fontId="13"/>
  </si>
  <si>
    <t>和泉 329 す 865</t>
    <rPh sb="0" eb="2">
      <t>イズミ</t>
    </rPh>
    <phoneticPr fontId="13"/>
  </si>
  <si>
    <t>保証書 ﾜﾝｵｰﾅｰ</t>
    <rPh sb="0" eb="3">
      <t>ホショウショ</t>
    </rPh>
    <phoneticPr fontId="13"/>
  </si>
  <si>
    <t>青</t>
    <rPh sb="0" eb="1">
      <t>アオ</t>
    </rPh>
    <phoneticPr fontId="13"/>
  </si>
  <si>
    <t>WMWWG720703C10315</t>
    <phoneticPr fontId="13"/>
  </si>
  <si>
    <t>ﾌｫｰｼｰｽﾞﾝｽﾞ株式会社</t>
    <rPh sb="10" eb="14">
      <t>カブシキガイシャ</t>
    </rPh>
    <phoneticPr fontId="13"/>
  </si>
  <si>
    <t>BMW 640i ｸﾞﾗﾝｸｰﾍﾟ Mｽﾎﾟｰﾂﾊﾟｯｹｰｼﾞ</t>
    <phoneticPr fontId="13"/>
  </si>
  <si>
    <t>福岡 331 は 3007</t>
    <rPh sb="0" eb="2">
      <t>フクオカ</t>
    </rPh>
    <phoneticPr fontId="13"/>
  </si>
  <si>
    <t>取説</t>
    <rPh sb="0" eb="2">
      <t>トリセツ</t>
    </rPh>
    <phoneticPr fontId="13"/>
  </si>
  <si>
    <t>34X り 5</t>
    <phoneticPr fontId="13"/>
  </si>
  <si>
    <t>WBA6A02030DZ11255</t>
    <phoneticPr fontId="13"/>
  </si>
  <si>
    <t>株式会社 JCM</t>
    <rPh sb="0" eb="4">
      <t>カブシキガイシャ</t>
    </rPh>
    <phoneticPr fontId="13"/>
  </si>
  <si>
    <t>取説 ｷｰﾚｽ</t>
    <rPh sb="0" eb="1">
      <t>トリ</t>
    </rPh>
    <rPh sb="1" eb="2">
      <t>セツ</t>
    </rPh>
    <phoneticPr fontId="13"/>
  </si>
  <si>
    <t>31/3</t>
    <phoneticPr fontId="13"/>
  </si>
  <si>
    <t>BMWﾐﾆ ｸｰﾊﾟｰSD</t>
    <phoneticPr fontId="13"/>
  </si>
  <si>
    <t>4/3/27</t>
    <phoneticPr fontId="13"/>
  </si>
  <si>
    <t>横浜 304 ゆ 3280</t>
    <rPh sb="0" eb="2">
      <t>ヨコハマ</t>
    </rPh>
    <phoneticPr fontId="13"/>
  </si>
  <si>
    <t>301 つ 4546</t>
    <phoneticPr fontId="13"/>
  </si>
  <si>
    <t>USS横浜</t>
    <rPh sb="3" eb="5">
      <t>ヨコハマ</t>
    </rPh>
    <phoneticPr fontId="13"/>
  </si>
  <si>
    <t>白</t>
    <rPh sb="0" eb="1">
      <t>シロ</t>
    </rPh>
    <phoneticPr fontId="13"/>
  </si>
  <si>
    <t>WMWXT720902H91872</t>
    <phoneticPr fontId="13"/>
  </si>
  <si>
    <t>ﾋﾞｰｴﾑﾀﾞﾌﾞﾘｭｰｼﾞｬﾊﾟﾝﾌｧｲﾅﾝｽ株式会社</t>
    <rPh sb="24" eb="28">
      <t>カブシキガイシャ</t>
    </rPh>
    <phoneticPr fontId="13"/>
  </si>
  <si>
    <t>9/18</t>
    <phoneticPr fontId="13"/>
  </si>
  <si>
    <t>保証書 取説 ｷｰﾚｽ 法人ﾜﾝｵｰﾅｰ</t>
    <rPh sb="0" eb="3">
      <t>ホショウショ</t>
    </rPh>
    <rPh sb="4" eb="6">
      <t>トリセツ</t>
    </rPh>
    <rPh sb="12" eb="14">
      <t>ホウジン</t>
    </rPh>
    <phoneticPr fontId="13"/>
  </si>
  <si>
    <t>30/9</t>
    <phoneticPr fontId="13"/>
  </si>
  <si>
    <t>ｼﾄﾛｴﾝC3 ｴﾙ ｽﾍﾟｼｬﾙED</t>
    <phoneticPr fontId="13"/>
  </si>
  <si>
    <t>山形 300 る 3270</t>
    <rPh sb="0" eb="2">
      <t>ヤマガタ</t>
    </rPh>
    <phoneticPr fontId="13"/>
  </si>
  <si>
    <t>USS東京</t>
    <rPh sb="3" eb="5">
      <t>トウキョウ</t>
    </rPh>
    <phoneticPr fontId="13"/>
  </si>
  <si>
    <t>白Ⅱ</t>
    <rPh sb="0" eb="1">
      <t>シロ</t>
    </rPh>
    <phoneticPr fontId="13"/>
  </si>
  <si>
    <t>VF7SXHNZTJ553210</t>
    <phoneticPr fontId="13"/>
  </si>
  <si>
    <t>ｽﾏｲﾙｽﾞﾌﾟﾛｼﾞｪｸﾄ株式会社</t>
    <rPh sb="14" eb="18">
      <t>カブシキガイシャ</t>
    </rPh>
    <phoneticPr fontId="13"/>
  </si>
  <si>
    <t>9/30</t>
    <phoneticPr fontId="13"/>
  </si>
  <si>
    <t xml:space="preserve">保証書 取説 </t>
    <rPh sb="0" eb="3">
      <t>ホショウショ</t>
    </rPh>
    <rPh sb="4" eb="6">
      <t>トリセツ</t>
    </rPh>
    <phoneticPr fontId="13"/>
  </si>
  <si>
    <t>28/10</t>
    <phoneticPr fontId="13"/>
  </si>
  <si>
    <t>BMWﾐﾆ ｸｰﾊﾟｰ</t>
    <phoneticPr fontId="13"/>
  </si>
  <si>
    <t>横浜 330 は 8231</t>
    <rPh sb="0" eb="2">
      <t>ヨコハマ</t>
    </rPh>
    <phoneticPr fontId="13"/>
  </si>
  <si>
    <t>保証書 取説 Sｷｰ</t>
    <rPh sb="0" eb="3">
      <t>ホショウショ</t>
    </rPh>
    <rPh sb="4" eb="6">
      <t>トリセツ</t>
    </rPh>
    <phoneticPr fontId="13"/>
  </si>
  <si>
    <t>赤Ⅱ</t>
    <rPh sb="0" eb="1">
      <t>アカ</t>
    </rPh>
    <phoneticPr fontId="13"/>
  </si>
  <si>
    <t>WMWXS520902C92318</t>
    <phoneticPr fontId="13"/>
  </si>
  <si>
    <t>ｳｴｲﾝｽﾞｲﾝﾎﾟｰﾄｶｰｽﾞ株式会社</t>
    <rPh sb="16" eb="20">
      <t>カブシキガイシャ</t>
    </rPh>
    <phoneticPr fontId="13"/>
  </si>
  <si>
    <t>10/9</t>
    <phoneticPr fontId="13"/>
  </si>
  <si>
    <t>保証書 取説 ｷｰﾚｽ ﾜﾝｵｰﾅｰ</t>
    <rPh sb="0" eb="3">
      <t>ホショウショ</t>
    </rPh>
    <rPh sb="4" eb="6">
      <t>トリセツ</t>
    </rPh>
    <phoneticPr fontId="13"/>
  </si>
  <si>
    <t>30/5</t>
    <phoneticPr fontId="13"/>
  </si>
  <si>
    <t>ｼﾄﾛｴﾝC3 ｼｬｲﾝ</t>
    <phoneticPr fontId="13"/>
  </si>
  <si>
    <t>なにわ 326 は 3461</t>
    <phoneticPr fontId="13"/>
  </si>
  <si>
    <t>詳細</t>
    <rPh sb="0" eb="2">
      <t>ショウサイ</t>
    </rPh>
    <phoneticPr fontId="13"/>
  </si>
  <si>
    <t>黒Ⅱ</t>
    <rPh sb="0" eb="1">
      <t>クロ</t>
    </rPh>
    <phoneticPr fontId="13"/>
  </si>
  <si>
    <t>VF7SXHNZTJT538270</t>
    <phoneticPr fontId="13"/>
  </si>
  <si>
    <t>株式会社 はなまる</t>
    <rPh sb="0" eb="4">
      <t>カブシキガイシャ</t>
    </rPh>
    <phoneticPr fontId="13"/>
  </si>
  <si>
    <t>10/14</t>
    <phoneticPr fontId="13"/>
  </si>
  <si>
    <t>26/9</t>
    <phoneticPr fontId="13"/>
  </si>
  <si>
    <t>ﾌﾟｼﾞｮｰ RCZﾍﾞｰｽｸﾞﾚｰﾄﾞ</t>
    <phoneticPr fontId="13"/>
  </si>
  <si>
    <t>下関 399 さ 4847</t>
    <rPh sb="0" eb="2">
      <t>シモノセキ</t>
    </rPh>
    <phoneticPr fontId="13"/>
  </si>
  <si>
    <t>ﾚｯﾄﾞⅡ</t>
    <phoneticPr fontId="13"/>
  </si>
  <si>
    <t>VF34J5FVADP008252</t>
    <phoneticPr fontId="13"/>
  </si>
  <si>
    <t>株式会社 CARｵｰｸｼｮﾝ</t>
    <rPh sb="0" eb="4">
      <t>カブシキガイシャ</t>
    </rPh>
    <phoneticPr fontId="13"/>
  </si>
  <si>
    <t>16/8</t>
    <phoneticPr fontId="13"/>
  </si>
  <si>
    <t>ﾗﾝﾄﾞﾛｰﾊﾞｰ ﾃﾞｨｽｶﾊﾞﾘｰ ﾛｲﾔﾙｴﾃﾞｨｼｮﾝ</t>
    <phoneticPr fontId="13"/>
  </si>
  <si>
    <t>3/10</t>
    <phoneticPr fontId="13"/>
  </si>
  <si>
    <t>多摩 330 み 1336</t>
    <rPh sb="0" eb="2">
      <t>タマ</t>
    </rPh>
    <phoneticPr fontId="13"/>
  </si>
  <si>
    <t>保証書 取説 ｽﾍﾟｱｷｰ</t>
    <rPh sb="0" eb="3">
      <t>ホショウショ</t>
    </rPh>
    <rPh sb="4" eb="6">
      <t>トリセツ</t>
    </rPh>
    <phoneticPr fontId="13"/>
  </si>
  <si>
    <t>399 つ 8081</t>
    <phoneticPr fontId="13"/>
  </si>
  <si>
    <t>紺</t>
    <rPh sb="0" eb="1">
      <t>コン</t>
    </rPh>
    <phoneticPr fontId="13"/>
  </si>
  <si>
    <t>SALLTAMP34A858648</t>
    <phoneticPr fontId="13"/>
  </si>
  <si>
    <t>荒井 康隆</t>
    <rPh sb="0" eb="2">
      <t>アライ</t>
    </rPh>
    <rPh sb="3" eb="4">
      <t>コウ</t>
    </rPh>
    <rPh sb="4" eb="5">
      <t>リュウ</t>
    </rPh>
    <phoneticPr fontId="13"/>
  </si>
  <si>
    <t>10/16</t>
    <phoneticPr fontId="13"/>
  </si>
  <si>
    <t>保証書 取説 ｽﾍﾟｱｷｰ</t>
    <rPh sb="0" eb="3">
      <t>ホショウショ</t>
    </rPh>
    <rPh sb="4" eb="5">
      <t>トリ</t>
    </rPh>
    <rPh sb="5" eb="6">
      <t>セツ</t>
    </rPh>
    <phoneticPr fontId="13"/>
  </si>
  <si>
    <t>29/2</t>
    <phoneticPr fontId="13"/>
  </si>
  <si>
    <t>BMW M4ｸｰﾍﾟ</t>
    <phoneticPr fontId="13"/>
  </si>
  <si>
    <t>4/2</t>
    <phoneticPr fontId="13"/>
  </si>
  <si>
    <t>横浜 305 ぬ 1546</t>
    <rPh sb="0" eb="2">
      <t>ヨコハマ</t>
    </rPh>
    <phoneticPr fontId="13"/>
  </si>
  <si>
    <t>301 つ 5840</t>
    <phoneticPr fontId="13"/>
  </si>
  <si>
    <t>WBS3R92050K346689</t>
    <phoneticPr fontId="13"/>
  </si>
  <si>
    <t>株式会社 ﾔﾅｾ</t>
    <rPh sb="0" eb="4">
      <t>カブシキガイシャ</t>
    </rPh>
    <phoneticPr fontId="13"/>
  </si>
  <si>
    <t>10/17</t>
    <phoneticPr fontId="13"/>
  </si>
  <si>
    <t>26/12</t>
    <phoneticPr fontId="13"/>
  </si>
  <si>
    <t>Mﾍﾞﾝﾂ S550L AMG ｽﾎﾟｰﾂPKG</t>
    <phoneticPr fontId="13"/>
  </si>
  <si>
    <t>5/4</t>
    <phoneticPr fontId="13"/>
  </si>
  <si>
    <t>練馬 342 な 81</t>
    <rPh sb="0" eb="2">
      <t>ネリマ</t>
    </rPh>
    <phoneticPr fontId="13"/>
  </si>
  <si>
    <t>社用車</t>
    <rPh sb="0" eb="3">
      <t>シャヨウシャ</t>
    </rPh>
    <phoneticPr fontId="13"/>
  </si>
  <si>
    <t>31Y む 5</t>
    <phoneticPr fontId="13"/>
  </si>
  <si>
    <t>WDD2221821A117883</t>
    <phoneticPr fontId="13"/>
  </si>
  <si>
    <t>株式会社ｵﾘｴﾝﾄｺｰﾎﾟﾚｰｼｮﾝ</t>
    <rPh sb="0" eb="4">
      <t>カブシキガイシャ</t>
    </rPh>
    <phoneticPr fontId="13"/>
  </si>
  <si>
    <t>10/22</t>
    <phoneticPr fontId="13"/>
  </si>
  <si>
    <t>保証書 取説 ｷｰﾚｽ ﾘﾓｺﾝ</t>
    <rPh sb="0" eb="3">
      <t>ホショウショ</t>
    </rPh>
    <rPh sb="4" eb="6">
      <t>トリセツ</t>
    </rPh>
    <phoneticPr fontId="13"/>
  </si>
  <si>
    <t>17/3</t>
    <phoneticPr fontId="13"/>
  </si>
  <si>
    <t>ﾗﾝﾄﾞﾛｰﾊﾞｰ ﾃﾞｨｽｶﾊﾞﾘｰ HSE</t>
    <phoneticPr fontId="13"/>
  </si>
  <si>
    <t>金沢 300 に 5236</t>
    <rPh sb="0" eb="2">
      <t>カナザワ</t>
    </rPh>
    <phoneticPr fontId="13"/>
  </si>
  <si>
    <t>399 つ 8588</t>
    <phoneticPr fontId="13"/>
  </si>
  <si>
    <t>SALLTAMP34A857799</t>
    <phoneticPr fontId="13"/>
  </si>
  <si>
    <t>相川 二郎</t>
    <rPh sb="0" eb="2">
      <t>アイカワ</t>
    </rPh>
    <rPh sb="3" eb="5">
      <t>ジロウ</t>
    </rPh>
    <phoneticPr fontId="13"/>
  </si>
  <si>
    <t>10/21</t>
    <phoneticPr fontId="13"/>
  </si>
  <si>
    <t>ｸﾚｰﾑ終わり次第抹消</t>
    <rPh sb="4" eb="5">
      <t>オ</t>
    </rPh>
    <rPh sb="7" eb="9">
      <t>シダイ</t>
    </rPh>
    <rPh sb="9" eb="11">
      <t>マッショウ</t>
    </rPh>
    <phoneticPr fontId="13"/>
  </si>
  <si>
    <t>28/4</t>
    <phoneticPr fontId="13"/>
  </si>
  <si>
    <t>5/4/26</t>
    <phoneticPr fontId="13"/>
  </si>
  <si>
    <t>堺 300 に 7035</t>
    <rPh sb="0" eb="1">
      <t>サカイ</t>
    </rPh>
    <phoneticPr fontId="13"/>
  </si>
  <si>
    <t>保証書</t>
    <rPh sb="0" eb="3">
      <t>ホショウショ</t>
    </rPh>
    <phoneticPr fontId="13"/>
  </si>
  <si>
    <t>301 つ 5041</t>
    <phoneticPr fontId="13"/>
  </si>
  <si>
    <t>WMWXS720202C50679</t>
    <phoneticPr fontId="13"/>
  </si>
  <si>
    <t>ﾌﾟﾚﾐｱ株式会社</t>
    <rPh sb="5" eb="9">
      <t>カブシキガイシャ</t>
    </rPh>
    <phoneticPr fontId="13"/>
  </si>
  <si>
    <t>10/28</t>
    <phoneticPr fontId="13"/>
  </si>
  <si>
    <t>27/2</t>
    <phoneticPr fontId="13"/>
  </si>
  <si>
    <t>ﾙﾉｰ ﾒｶﾞｰﾇｴｽﾃｰﾄ GT220</t>
    <phoneticPr fontId="13"/>
  </si>
  <si>
    <t>岐阜 302 た 7100</t>
    <rPh sb="0" eb="2">
      <t>ギフ</t>
    </rPh>
    <phoneticPr fontId="13"/>
  </si>
  <si>
    <t>399 つ 8587</t>
    <phoneticPr fontId="13"/>
  </si>
  <si>
    <t>ﾌﾞﾙｰM</t>
    <phoneticPr fontId="13"/>
  </si>
  <si>
    <t>VF1KZY306E0701347</t>
    <phoneticPr fontId="13"/>
  </si>
  <si>
    <t>株式会社 ｺﾞﾄｳｽﾊﾞﾙ</t>
    <rPh sb="0" eb="4">
      <t>カブシキガイシャ</t>
    </rPh>
    <phoneticPr fontId="13"/>
  </si>
  <si>
    <t>11/4</t>
    <phoneticPr fontId="13"/>
  </si>
  <si>
    <t>保証書 取説 ｷｰﾚｽ ｶｰﾄﾞ型ｷｰﾚｽ ﾜﾝｵｰﾅｰ</t>
    <rPh sb="0" eb="3">
      <t>ホショウショ</t>
    </rPh>
    <rPh sb="4" eb="5">
      <t>トリ</t>
    </rPh>
    <rPh sb="5" eb="6">
      <t>セツ</t>
    </rPh>
    <rPh sb="16" eb="17">
      <t>ガタ</t>
    </rPh>
    <phoneticPr fontId="13"/>
  </si>
  <si>
    <t>11月抹消済</t>
    <rPh sb="2" eb="3">
      <t>ガツ</t>
    </rPh>
    <rPh sb="3" eb="5">
      <t>マッショウ</t>
    </rPh>
    <rPh sb="5" eb="6">
      <t>ズ</t>
    </rPh>
    <phoneticPr fontId="13"/>
  </si>
  <si>
    <t>28/2</t>
    <phoneticPr fontId="13"/>
  </si>
  <si>
    <t>ﾌﾟｼﾞｮｰ5008 ﾌﾟﾚﾐｱﾑ</t>
    <phoneticPr fontId="13"/>
  </si>
  <si>
    <t>5/2</t>
    <phoneticPr fontId="13"/>
  </si>
  <si>
    <t>名古屋 331 み 5008</t>
    <rPh sb="0" eb="3">
      <t>ナゴヤ</t>
    </rPh>
    <phoneticPr fontId="13"/>
  </si>
  <si>
    <t>取説 ｽﾍﾟｱｷｰ</t>
    <rPh sb="0" eb="2">
      <t>トリセツ</t>
    </rPh>
    <phoneticPr fontId="13"/>
  </si>
  <si>
    <t>301 つ 6871</t>
    <phoneticPr fontId="13"/>
  </si>
  <si>
    <t>VF30E5FVAFS084089</t>
    <phoneticPr fontId="13"/>
  </si>
  <si>
    <t>株式会社ｼﾞｬｯｸｽ</t>
    <rPh sb="0" eb="4">
      <t>カブシキカイシャ</t>
    </rPh>
    <phoneticPr fontId="13"/>
  </si>
  <si>
    <t>11/9</t>
    <phoneticPr fontId="13"/>
  </si>
  <si>
    <t>28/6</t>
    <phoneticPr fontId="13"/>
  </si>
  <si>
    <t>BMW 118I Mｽﾎﾟｰﾂ</t>
    <phoneticPr fontId="13"/>
  </si>
  <si>
    <t>5/6</t>
    <phoneticPr fontId="13"/>
  </si>
  <si>
    <t>岐阜 302 と 6612</t>
    <rPh sb="0" eb="2">
      <t>ギフ</t>
    </rPh>
    <phoneticPr fontId="13"/>
  </si>
  <si>
    <t>301 つ 6359</t>
    <phoneticPr fontId="13"/>
  </si>
  <si>
    <t>ﾌﾞﾙｰ</t>
    <phoneticPr fontId="13"/>
  </si>
  <si>
    <t>WBA1R520505C71837</t>
    <phoneticPr fontId="13"/>
  </si>
  <si>
    <t>水野 貴</t>
    <rPh sb="0" eb="2">
      <t>ミズノ</t>
    </rPh>
    <rPh sb="3" eb="4">
      <t>タカシ</t>
    </rPh>
    <phoneticPr fontId="13"/>
  </si>
  <si>
    <t>11/16</t>
    <phoneticPr fontId="13"/>
  </si>
  <si>
    <t>ｷｰﾚｽ(車内)   保証書 取説 ﾘﾓｺﾝ ﾜﾝｵｰﾅｰ</t>
    <rPh sb="5" eb="7">
      <t>シャナイ</t>
    </rPh>
    <rPh sb="11" eb="14">
      <t>ホショウショ</t>
    </rPh>
    <rPh sb="15" eb="17">
      <t>トリセツ</t>
    </rPh>
    <phoneticPr fontId="13"/>
  </si>
  <si>
    <t>多摩 326 た 7407</t>
    <rPh sb="0" eb="2">
      <t>タマ</t>
    </rPh>
    <phoneticPr fontId="13"/>
  </si>
  <si>
    <t>保証書 取説 ﾅﾋﾞ取</t>
    <rPh sb="0" eb="3">
      <t>ホショウショ</t>
    </rPh>
    <rPh sb="4" eb="5">
      <t>トリ</t>
    </rPh>
    <rPh sb="5" eb="6">
      <t>セツ</t>
    </rPh>
    <rPh sb="10" eb="11">
      <t>トリ</t>
    </rPh>
    <phoneticPr fontId="13"/>
  </si>
  <si>
    <t>TAA横浜</t>
    <rPh sb="3" eb="5">
      <t>ヨコハマ</t>
    </rPh>
    <phoneticPr fontId="13"/>
  </si>
  <si>
    <t>VF30E5FVADS219373</t>
    <phoneticPr fontId="13"/>
  </si>
  <si>
    <t>株式会社 ﾎﾝﾀﾞｶｰｽﾞ東京中央</t>
    <rPh sb="0" eb="4">
      <t>カブシキガイシャ</t>
    </rPh>
    <rPh sb="13" eb="15">
      <t>トウキョウ</t>
    </rPh>
    <rPh sb="15" eb="17">
      <t>チュウオウ</t>
    </rPh>
    <phoneticPr fontId="13"/>
  </si>
  <si>
    <t>ｷｰﾚｽ 地図SD ﾐﾆB-CAS（車内）   保証書 取説 ﾅﾋﾞ取 ｱﾝﾃﾅ</t>
    <rPh sb="5" eb="7">
      <t>チズ</t>
    </rPh>
    <rPh sb="18" eb="20">
      <t>シャナイ</t>
    </rPh>
    <rPh sb="24" eb="27">
      <t>ホショウショ</t>
    </rPh>
    <rPh sb="28" eb="30">
      <t>トリセツ</t>
    </rPh>
    <rPh sb="34" eb="35">
      <t>トリ</t>
    </rPh>
    <phoneticPr fontId="13"/>
  </si>
  <si>
    <t>SDｶｰﾄﾞとﾐﾆB-CAS現車に装着済</t>
    <rPh sb="14" eb="16">
      <t>ゲンシャ</t>
    </rPh>
    <rPh sb="17" eb="20">
      <t>ソウチャクズ</t>
    </rPh>
    <phoneticPr fontId="13"/>
  </si>
  <si>
    <t>29/3</t>
    <phoneticPr fontId="13"/>
  </si>
  <si>
    <t>N-WGN G SSﾊﾟｯｹｰｼﾞ</t>
    <phoneticPr fontId="13"/>
  </si>
  <si>
    <t>3/3</t>
    <phoneticPr fontId="13"/>
  </si>
  <si>
    <t>R</t>
    <phoneticPr fontId="13"/>
  </si>
  <si>
    <t>香川 581 か 1697</t>
    <rPh sb="0" eb="2">
      <t>カガワ</t>
    </rPh>
    <phoneticPr fontId="13"/>
  </si>
  <si>
    <t>ﾚﾝﾀ歴ありｸﾚｰﾑ済</t>
    <rPh sb="3" eb="4">
      <t>レキ</t>
    </rPh>
    <rPh sb="10" eb="11">
      <t>スミ</t>
    </rPh>
    <phoneticPr fontId="13"/>
  </si>
  <si>
    <t>Sellca</t>
    <phoneticPr fontId="13"/>
  </si>
  <si>
    <t>A87666</t>
    <phoneticPr fontId="13"/>
  </si>
  <si>
    <t>ｼﾙﾊﾞｰ</t>
    <phoneticPr fontId="13"/>
  </si>
  <si>
    <t>JH1-1335633</t>
    <phoneticPr fontId="13"/>
  </si>
  <si>
    <t>田中 綾乃</t>
    <rPh sb="0" eb="2">
      <t>タナカ</t>
    </rPh>
    <rPh sb="3" eb="4">
      <t>アヤ</t>
    </rPh>
    <rPh sb="4" eb="5">
      <t>ノ</t>
    </rPh>
    <phoneticPr fontId="13"/>
  </si>
  <si>
    <t>11/27</t>
    <phoneticPr fontId="13"/>
  </si>
  <si>
    <t>保証書 取説 ﾅﾋﾞ取 ﾚﾝﾀ歴</t>
    <rPh sb="0" eb="3">
      <t>ホショウショ</t>
    </rPh>
    <rPh sb="4" eb="5">
      <t>トリ</t>
    </rPh>
    <rPh sb="5" eb="6">
      <t>セツ</t>
    </rPh>
    <rPh sb="10" eb="11">
      <t>トリ</t>
    </rPh>
    <rPh sb="15" eb="16">
      <t>レキ</t>
    </rPh>
    <phoneticPr fontId="13"/>
  </si>
  <si>
    <t>31/2</t>
    <phoneticPr fontId="13"/>
  </si>
  <si>
    <t>ｱﾊﾞﾙﾄ595 ﾂｰﾘｽﾞﾓ</t>
    <phoneticPr fontId="13"/>
  </si>
  <si>
    <t>福岡 546 ぬ 115</t>
    <rPh sb="0" eb="2">
      <t>フクオカ</t>
    </rPh>
    <phoneticPr fontId="13"/>
  </si>
  <si>
    <t>599 て 9685</t>
    <phoneticPr fontId="13"/>
  </si>
  <si>
    <t>ZFA3120000JA57644</t>
    <phoneticPr fontId="13"/>
  </si>
  <si>
    <t>株式会社 ｼﾞｬｯｸｽ</t>
    <rPh sb="0" eb="4">
      <t>カブシキガイシャ</t>
    </rPh>
    <phoneticPr fontId="13"/>
  </si>
  <si>
    <t>11/28</t>
    <phoneticPr fontId="13"/>
  </si>
  <si>
    <t>保証書 取説 ｽﾍﾟｱｷｰ ﾜﾝｵｰﾅｰ</t>
    <rPh sb="0" eb="3">
      <t>ホショウショ</t>
    </rPh>
    <rPh sb="4" eb="6">
      <t>トリセツ</t>
    </rPh>
    <phoneticPr fontId="13"/>
  </si>
  <si>
    <t>12月抹消済</t>
    <rPh sb="2" eb="3">
      <t>ガツ</t>
    </rPh>
    <rPh sb="3" eb="5">
      <t>マッショウ</t>
    </rPh>
    <rPh sb="5" eb="6">
      <t>ズ</t>
    </rPh>
    <phoneticPr fontId="13"/>
  </si>
  <si>
    <t>BMWM235Iｸｰﾍﾟ</t>
    <phoneticPr fontId="13"/>
  </si>
  <si>
    <t>一宮 300 に 7280</t>
    <rPh sb="0" eb="2">
      <t>イチノミヤ</t>
    </rPh>
    <phoneticPr fontId="13"/>
  </si>
  <si>
    <t>301 つ 6873</t>
    <phoneticPr fontId="13"/>
  </si>
  <si>
    <t>NAA名古屋（まとめ）</t>
    <rPh sb="3" eb="6">
      <t>ナゴヤ</t>
    </rPh>
    <phoneticPr fontId="13"/>
  </si>
  <si>
    <t>WBA1J72060V486269</t>
    <phoneticPr fontId="13"/>
  </si>
  <si>
    <t>竹尾 光昭</t>
    <rPh sb="0" eb="2">
      <t>タケオ</t>
    </rPh>
    <rPh sb="3" eb="5">
      <t>ミツテル</t>
    </rPh>
    <phoneticPr fontId="13"/>
  </si>
  <si>
    <t>12/2</t>
    <phoneticPr fontId="13"/>
  </si>
  <si>
    <t>保証書 取説 ｷｰﾚｽ</t>
    <rPh sb="0" eb="3">
      <t>ホショウショ</t>
    </rPh>
    <rPh sb="4" eb="6">
      <t>トリセツ</t>
    </rPh>
    <phoneticPr fontId="13"/>
  </si>
  <si>
    <t>3月抹消済</t>
    <rPh sb="1" eb="2">
      <t>ガツ</t>
    </rPh>
    <rPh sb="2" eb="4">
      <t>マッショウ</t>
    </rPh>
    <rPh sb="4" eb="5">
      <t>ズ</t>
    </rPh>
    <phoneticPr fontId="13"/>
  </si>
  <si>
    <t>30/10</t>
    <phoneticPr fontId="13"/>
  </si>
  <si>
    <t>奈良 301 そ 7568</t>
    <rPh sb="0" eb="2">
      <t>ナラ</t>
    </rPh>
    <phoneticPr fontId="13"/>
  </si>
  <si>
    <t>ZIP大阪</t>
    <rPh sb="3" eb="5">
      <t>オオサカ</t>
    </rPh>
    <phoneticPr fontId="13"/>
  </si>
  <si>
    <t>ｵﾚﾝｼﾞⅡ</t>
    <phoneticPr fontId="13"/>
  </si>
  <si>
    <t>WMWXT720902H18274</t>
    <phoneticPr fontId="13"/>
  </si>
  <si>
    <t>株式会社 ﾓﾄｰﾚﾝﾃｨｰｱｲ</t>
    <rPh sb="0" eb="4">
      <t>カブシキガイシャ</t>
    </rPh>
    <phoneticPr fontId="13"/>
  </si>
  <si>
    <t>12/5</t>
    <phoneticPr fontId="13"/>
  </si>
  <si>
    <t>26/7</t>
    <phoneticPr fontId="13"/>
  </si>
  <si>
    <t>BMWﾐﾆｼﾞｮﾝｸｰﾊﾟｰﾜｰｸｽ ｺﾝﾊﾞｰﾁﾌﾞﾙ</t>
    <phoneticPr fontId="13"/>
  </si>
  <si>
    <t>京都 599 め 4</t>
    <rPh sb="0" eb="2">
      <t>キョウト</t>
    </rPh>
    <phoneticPr fontId="13"/>
  </si>
  <si>
    <t>WMWMR92090T430579</t>
    <phoneticPr fontId="13"/>
  </si>
  <si>
    <t>株式会社ﾋﾞｰｴﾑﾊﾅﾃﾝ</t>
    <rPh sb="0" eb="4">
      <t>カブシキカイシャ</t>
    </rPh>
    <phoneticPr fontId="13"/>
  </si>
  <si>
    <t>12/16</t>
    <phoneticPr fontId="13"/>
  </si>
  <si>
    <t>27/8</t>
    <phoneticPr fontId="13"/>
  </si>
  <si>
    <t>ｼﾞｬｶﾞｰXE ﾌﾟﾚｽﾃｰｼﾞ</t>
    <phoneticPr fontId="13"/>
  </si>
  <si>
    <t>4/8</t>
    <phoneticPr fontId="13"/>
  </si>
  <si>
    <t>世田谷 311 ふ 1117</t>
    <rPh sb="0" eb="3">
      <t>セタガヤ</t>
    </rPh>
    <phoneticPr fontId="13"/>
  </si>
  <si>
    <t>SAJAB4AG8GA905870</t>
    <phoneticPr fontId="13"/>
  </si>
  <si>
    <t>株式会社 たきおか</t>
    <rPh sb="0" eb="4">
      <t>カブシキガイシャ</t>
    </rPh>
    <phoneticPr fontId="13"/>
  </si>
  <si>
    <t>12/9</t>
    <phoneticPr fontId="13"/>
  </si>
  <si>
    <t>保証書 取説 ﾅﾋﾞ取 ｷｰﾚｽ</t>
    <rPh sb="0" eb="3">
      <t>ホショウショ</t>
    </rPh>
    <rPh sb="4" eb="5">
      <t>トリ</t>
    </rPh>
    <rPh sb="5" eb="6">
      <t>セツ</t>
    </rPh>
    <rPh sb="10" eb="11">
      <t>トリ</t>
    </rPh>
    <phoneticPr fontId="13"/>
  </si>
  <si>
    <t>28/11</t>
    <phoneticPr fontId="13"/>
  </si>
  <si>
    <t>VWｻﾞ・ﾋﾞｰﾄﾙ ﾊｯｼｭﾀｸﾞﾋﾟﾝｸﾋﾞｰﾄﾙ</t>
    <phoneticPr fontId="13"/>
  </si>
  <si>
    <t>京都 399 ゆ 1820</t>
    <rPh sb="0" eb="2">
      <t>キョウト</t>
    </rPh>
    <phoneticPr fontId="13"/>
  </si>
  <si>
    <t>ﾌﾚｯｼｭﾌｸｼｱﾒﾀﾘｯｸ</t>
    <phoneticPr fontId="13"/>
  </si>
  <si>
    <t>WVWZZZ16ZHM605818</t>
    <phoneticPr fontId="13"/>
  </si>
  <si>
    <t>株式会社ﾌｧｰﾚﾝ京都</t>
    <rPh sb="0" eb="4">
      <t>カブシキガイシャ</t>
    </rPh>
    <rPh sb="9" eb="11">
      <t>キョウト</t>
    </rPh>
    <phoneticPr fontId="13"/>
  </si>
  <si>
    <t>保証書 ﾅﾋﾞ取 地図SD ﾜﾝｵｰﾅｰ</t>
    <rPh sb="0" eb="3">
      <t>ホショウショ</t>
    </rPh>
    <rPh sb="7" eb="8">
      <t>トリ</t>
    </rPh>
    <rPh sb="9" eb="11">
      <t>チズ</t>
    </rPh>
    <phoneticPr fontId="13"/>
  </si>
  <si>
    <t>SDｶｰﾄﾞ現車装着済</t>
    <rPh sb="6" eb="8">
      <t>ゲンシャ</t>
    </rPh>
    <rPh sb="8" eb="10">
      <t>ソウチャク</t>
    </rPh>
    <rPh sb="10" eb="11">
      <t>ズミ</t>
    </rPh>
    <phoneticPr fontId="13"/>
  </si>
  <si>
    <t>28/12</t>
    <phoneticPr fontId="13"/>
  </si>
  <si>
    <t>BMWﾐﾆｸｰﾊﾟｰ SD</t>
    <phoneticPr fontId="13"/>
  </si>
  <si>
    <t>岡山 335 る 327</t>
    <rPh sb="0" eb="2">
      <t>オカヤマ</t>
    </rPh>
    <phoneticPr fontId="13"/>
  </si>
  <si>
    <t>USS岡山</t>
    <rPh sb="3" eb="5">
      <t>オカヤマ</t>
    </rPh>
    <phoneticPr fontId="13"/>
  </si>
  <si>
    <t>ﾌﾞﾗｯｸⅡ</t>
    <phoneticPr fontId="13"/>
  </si>
  <si>
    <t>WMWXT72070T859688</t>
    <phoneticPr fontId="13"/>
  </si>
  <si>
    <t>株式会社日産ｻﾃｨｵ岡山</t>
    <rPh sb="0" eb="4">
      <t>カブシキガイシャ</t>
    </rPh>
    <rPh sb="4" eb="6">
      <t>ニッサン</t>
    </rPh>
    <rPh sb="10" eb="12">
      <t>オカヤマ</t>
    </rPh>
    <phoneticPr fontId="13"/>
  </si>
  <si>
    <t>12/18</t>
    <phoneticPr fontId="13"/>
  </si>
  <si>
    <t>保証書 取説 ｷｰﾚｽ(車内) ﾜﾝｵｰﾅｰ</t>
    <rPh sb="0" eb="3">
      <t>ホショウショ</t>
    </rPh>
    <rPh sb="4" eb="5">
      <t>トリ</t>
    </rPh>
    <rPh sb="5" eb="6">
      <t>セツ</t>
    </rPh>
    <rPh sb="12" eb="14">
      <t>シャナイ</t>
    </rPh>
    <phoneticPr fontId="13"/>
  </si>
  <si>
    <t>ﾌﾟｼﾞｮｰ 5008 ｼｴﾛ  ﾋﾞﾃﾞｵﾊﾟｯｹｰｼﾞ</t>
    <phoneticPr fontId="13"/>
  </si>
  <si>
    <t>4/6</t>
    <phoneticPr fontId="13"/>
  </si>
  <si>
    <t>神戸 338 は 5868</t>
    <rPh sb="0" eb="2">
      <t>コウベ</t>
    </rPh>
    <phoneticPr fontId="13"/>
  </si>
  <si>
    <t>399 つ 9363</t>
    <phoneticPr fontId="13"/>
  </si>
  <si>
    <t>VF30E5FVADS244781</t>
    <phoneticPr fontId="13"/>
  </si>
  <si>
    <t>保証書 取説 ﾅﾋﾞ取 地図SD その他SD ﾜﾝｵｰﾅｰ</t>
    <rPh sb="0" eb="3">
      <t>ホショウショ</t>
    </rPh>
    <rPh sb="4" eb="6">
      <t>トリセツ</t>
    </rPh>
    <rPh sb="10" eb="11">
      <t>トリ</t>
    </rPh>
    <rPh sb="12" eb="14">
      <t>チズ</t>
    </rPh>
    <rPh sb="19" eb="20">
      <t>タ</t>
    </rPh>
    <phoneticPr fontId="13"/>
  </si>
  <si>
    <t>1月抹消済</t>
    <rPh sb="1" eb="2">
      <t>ガツ</t>
    </rPh>
    <rPh sb="2" eb="4">
      <t>マッショウ</t>
    </rPh>
    <rPh sb="4" eb="5">
      <t>ズ</t>
    </rPh>
    <phoneticPr fontId="13"/>
  </si>
  <si>
    <t>24/3</t>
    <phoneticPr fontId="13"/>
  </si>
  <si>
    <t>BMWﾐﾆｸｰﾊﾟｰS ｸｰﾍﾟ</t>
    <phoneticPr fontId="13"/>
  </si>
  <si>
    <t>4/10</t>
    <phoneticPr fontId="13"/>
  </si>
  <si>
    <t>大阪 550 む 3298</t>
    <rPh sb="0" eb="2">
      <t>オオサカ</t>
    </rPh>
    <phoneticPr fontId="13"/>
  </si>
  <si>
    <t xml:space="preserve">保証書 </t>
    <rPh sb="0" eb="3">
      <t>ホショウショ</t>
    </rPh>
    <phoneticPr fontId="13"/>
  </si>
  <si>
    <t>ﾓﾆﾀｰ良さんに渡してます</t>
    <rPh sb="4" eb="5">
      <t>リョウ</t>
    </rPh>
    <rPh sb="8" eb="9">
      <t>ワタ</t>
    </rPh>
    <phoneticPr fontId="13"/>
  </si>
  <si>
    <t>501 み 6961</t>
    <phoneticPr fontId="13"/>
  </si>
  <si>
    <t>WMWSX32030T404134</t>
    <phoneticPr fontId="13"/>
  </si>
  <si>
    <t>松岡 大祐</t>
    <rPh sb="0" eb="2">
      <t>マツオカ</t>
    </rPh>
    <rPh sb="3" eb="5">
      <t>ダイスケ</t>
    </rPh>
    <phoneticPr fontId="13"/>
  </si>
  <si>
    <t>保証書 取説 ﾓﾆﾀｰ</t>
    <rPh sb="0" eb="3">
      <t>ホショウショ</t>
    </rPh>
    <rPh sb="4" eb="6">
      <t>トリセツ</t>
    </rPh>
    <phoneticPr fontId="13"/>
  </si>
  <si>
    <t>29/6</t>
    <phoneticPr fontId="13"/>
  </si>
  <si>
    <t>BMW530I ﾗｸﾞｼﾞｭｱﾘｰ</t>
    <phoneticPr fontId="13"/>
  </si>
  <si>
    <t>岡崎 312 さ 88</t>
    <rPh sb="0" eb="2">
      <t>オカザキ</t>
    </rPh>
    <phoneticPr fontId="13"/>
  </si>
  <si>
    <t>CAA中部（まとめ）</t>
    <rPh sb="3" eb="5">
      <t>チュウブ</t>
    </rPh>
    <phoneticPr fontId="13"/>
  </si>
  <si>
    <t>WBAJA52050WA34573</t>
    <phoneticPr fontId="13"/>
  </si>
  <si>
    <t>簗瀬 辰五郎</t>
    <rPh sb="1" eb="2">
      <t>セ</t>
    </rPh>
    <rPh sb="3" eb="6">
      <t>タツゴロウ</t>
    </rPh>
    <phoneticPr fontId="13"/>
  </si>
  <si>
    <t>12/21</t>
    <phoneticPr fontId="13"/>
  </si>
  <si>
    <t>BMWﾐﾆｼﾞｮﾝｸｰﾊﾟｰﾜｰｸｽ</t>
    <phoneticPr fontId="13"/>
  </si>
  <si>
    <t>品川 39A さ 5576</t>
    <rPh sb="0" eb="2">
      <t>シナガワ</t>
    </rPh>
    <phoneticPr fontId="13"/>
  </si>
  <si>
    <t>ｸﾞﾘｰﾝ</t>
    <phoneticPr fontId="13"/>
  </si>
  <si>
    <t>WMWXM920002D05863</t>
    <phoneticPr fontId="13"/>
  </si>
  <si>
    <t>ﾋﾞｰ・ｴﾑ・ﾀﾞﾌﾞﾘｭｰ・ｼﾞｬﾊﾟﾝ・ﾌｧｲﾅﾝｽ株式会社</t>
    <rPh sb="28" eb="32">
      <t>カブシキガイシャ</t>
    </rPh>
    <phoneticPr fontId="13"/>
  </si>
  <si>
    <t>1/15</t>
    <phoneticPr fontId="13"/>
  </si>
  <si>
    <t>保証書 取説 ｷｰﾚｽ ﾘﾓｺﾝ</t>
    <rPh sb="0" eb="3">
      <t>ホショウショ</t>
    </rPh>
    <rPh sb="4" eb="5">
      <t>トリ</t>
    </rPh>
    <rPh sb="5" eb="6">
      <t>セツ</t>
    </rPh>
    <phoneticPr fontId="13"/>
  </si>
  <si>
    <t>25/4</t>
    <phoneticPr fontId="13"/>
  </si>
  <si>
    <t>ｱﾙﾌｧﾛﾒｵ ｼﾞｭﾘｴｯﾀ ｽﾎﾟﾙﾃｨｰﾊﾞ</t>
    <phoneticPr fontId="13"/>
  </si>
  <si>
    <t>滋賀 391 せ 8</t>
    <rPh sb="0" eb="2">
      <t>シガ</t>
    </rPh>
    <phoneticPr fontId="13"/>
  </si>
  <si>
    <t>ZAR94000007206654</t>
    <phoneticPr fontId="13"/>
  </si>
  <si>
    <t>日産ﾌﾟﾘﾝｽ滋賀販売株式会社</t>
    <rPh sb="0" eb="2">
      <t>ニッサン</t>
    </rPh>
    <rPh sb="7" eb="9">
      <t>シガ</t>
    </rPh>
    <rPh sb="9" eb="11">
      <t>ハンバイ</t>
    </rPh>
    <rPh sb="11" eb="15">
      <t>カブシキガイシャ</t>
    </rPh>
    <phoneticPr fontId="13"/>
  </si>
  <si>
    <t>1/18</t>
    <phoneticPr fontId="13"/>
  </si>
  <si>
    <t>25/9</t>
    <phoneticPr fontId="13"/>
  </si>
  <si>
    <t>BMWﾐﾆｸｰﾊﾟｰ ｸｰﾍﾟ</t>
    <phoneticPr fontId="13"/>
  </si>
  <si>
    <t>4/9</t>
    <phoneticPr fontId="13"/>
  </si>
  <si>
    <t>愛媛 533 と 822</t>
    <rPh sb="0" eb="2">
      <t>エヒメ</t>
    </rPh>
    <phoneticPr fontId="13"/>
  </si>
  <si>
    <t>501 み 7691</t>
    <phoneticPr fontId="13"/>
  </si>
  <si>
    <t>USS大阪</t>
    <rPh sb="3" eb="5">
      <t>オオサカ</t>
    </rPh>
    <phoneticPr fontId="13"/>
  </si>
  <si>
    <t>WMWSX12030T138022</t>
    <phoneticPr fontId="13"/>
  </si>
  <si>
    <t>山口 泰弘</t>
    <rPh sb="0" eb="2">
      <t>ヤマグチ</t>
    </rPh>
    <rPh sb="3" eb="5">
      <t>ヤスヒロ</t>
    </rPh>
    <phoneticPr fontId="13"/>
  </si>
  <si>
    <t>27/1</t>
    <phoneticPr fontId="13"/>
  </si>
  <si>
    <t>BMWﾐﾆ 3HB ｸｰﾊﾟｰS</t>
    <phoneticPr fontId="13"/>
  </si>
  <si>
    <t>なにわ 326 ほ 1110</t>
    <phoneticPr fontId="13"/>
  </si>
  <si>
    <t>緑Ⅱ</t>
    <rPh sb="0" eb="1">
      <t>ミドリ</t>
    </rPh>
    <phoneticPr fontId="13"/>
  </si>
  <si>
    <t>WMWXM72080T960493</t>
    <phoneticPr fontId="13"/>
  </si>
  <si>
    <t>双日ｵｰﾄｸﾞﾙｰﾌﾟ大阪株式会社</t>
    <rPh sb="0" eb="2">
      <t>ソウジツ</t>
    </rPh>
    <rPh sb="11" eb="13">
      <t>カブシキ</t>
    </rPh>
    <rPh sb="13" eb="15">
      <t>カイシャ</t>
    </rPh>
    <phoneticPr fontId="13"/>
  </si>
  <si>
    <t>1/29</t>
    <phoneticPr fontId="13"/>
  </si>
  <si>
    <t>取説（車内）   保証書 ﾜﾝｵｰﾅｰ</t>
    <rPh sb="0" eb="1">
      <t>トリ</t>
    </rPh>
    <rPh sb="1" eb="2">
      <t>セツ</t>
    </rPh>
    <rPh sb="3" eb="5">
      <t>シャナイ</t>
    </rPh>
    <rPh sb="9" eb="12">
      <t>ホショウショ</t>
    </rPh>
    <phoneticPr fontId="13"/>
  </si>
  <si>
    <t>26/3</t>
    <phoneticPr fontId="13"/>
  </si>
  <si>
    <t>BMW ｱｸﾃｨﾌﾞﾊｲﾌﾞﾘｯﾄﾞ3Mｽﾎﾟｰﾂ</t>
    <phoneticPr fontId="13"/>
  </si>
  <si>
    <t>横浜 326 み 8339</t>
    <rPh sb="0" eb="2">
      <t>ヨコハマ</t>
    </rPh>
    <phoneticPr fontId="13"/>
  </si>
  <si>
    <t>WBA3F92030KL53881</t>
    <phoneticPr fontId="13"/>
  </si>
  <si>
    <t>株式会社ﾓﾄｰﾚﾝ湘南</t>
    <rPh sb="0" eb="4">
      <t>カブシキガイシャ</t>
    </rPh>
    <rPh sb="9" eb="11">
      <t>ショウナン</t>
    </rPh>
    <phoneticPr fontId="13"/>
  </si>
  <si>
    <t>2/8</t>
    <phoneticPr fontId="13"/>
  </si>
  <si>
    <t>BMWﾐﾆ 5HB ｸｰﾊﾟｰSD</t>
    <phoneticPr fontId="13"/>
  </si>
  <si>
    <t>5/12</t>
    <phoneticPr fontId="13"/>
  </si>
  <si>
    <t>山梨 300 ゆ 9333</t>
    <rPh sb="0" eb="2">
      <t>ヤマナシ</t>
    </rPh>
    <phoneticPr fontId="13"/>
  </si>
  <si>
    <t>301 て 435</t>
    <phoneticPr fontId="13"/>
  </si>
  <si>
    <t>ﾎﾜｲﾄⅡ</t>
    <phoneticPr fontId="13"/>
  </si>
  <si>
    <t>WMWXT720802F35058</t>
    <phoneticPr fontId="13"/>
  </si>
  <si>
    <t>西海 大地</t>
    <rPh sb="0" eb="2">
      <t>ニシウミ</t>
    </rPh>
    <rPh sb="3" eb="5">
      <t>ダイチ</t>
    </rPh>
    <phoneticPr fontId="13"/>
  </si>
  <si>
    <t>2/11</t>
    <phoneticPr fontId="13"/>
  </si>
  <si>
    <t>保証書 取説 ﾘﾓｺﾝ ﾚﾝﾁ×2</t>
    <rPh sb="0" eb="3">
      <t>ホショウショ</t>
    </rPh>
    <rPh sb="4" eb="6">
      <t>トリセツ</t>
    </rPh>
    <phoneticPr fontId="13"/>
  </si>
  <si>
    <t>27/9</t>
    <phoneticPr fontId="13"/>
  </si>
  <si>
    <t>BMW 220IｶﾌﾞﾘｵﾚMｽﾎﾟｰﾂ</t>
    <phoneticPr fontId="13"/>
  </si>
  <si>
    <t>横浜 305 に 3422</t>
    <rPh sb="0" eb="2">
      <t>ヨコハマ</t>
    </rPh>
    <phoneticPr fontId="13"/>
  </si>
  <si>
    <t>ZIP東京</t>
    <rPh sb="3" eb="5">
      <t>トウキョウ</t>
    </rPh>
    <phoneticPr fontId="13"/>
  </si>
  <si>
    <t>WBA1L72070V491085</t>
    <phoneticPr fontId="13"/>
  </si>
  <si>
    <t>株式会社ﾔﾅｾ</t>
    <rPh sb="0" eb="4">
      <t>カブシキガイシャ</t>
    </rPh>
    <phoneticPr fontId="13"/>
  </si>
  <si>
    <t>3月抹消済</t>
    <rPh sb="1" eb="5">
      <t>ガツマッショウスミ</t>
    </rPh>
    <phoneticPr fontId="13"/>
  </si>
  <si>
    <t>29/4</t>
    <phoneticPr fontId="13"/>
  </si>
  <si>
    <t>ｱﾙﾌｧﾛﾒｵ ﾐﾄ ｽｰﾊﾟｰ</t>
    <phoneticPr fontId="13"/>
  </si>
  <si>
    <t>岐阜 318 ち   33</t>
    <rPh sb="0" eb="2">
      <t>ギフ</t>
    </rPh>
    <phoneticPr fontId="13"/>
  </si>
  <si>
    <t>ZAR9550000X059482</t>
    <phoneticPr fontId="13"/>
  </si>
  <si>
    <t>ﾄﾖﾀｶﾛｰﾗ岐阜 株式会社</t>
    <rPh sb="7" eb="9">
      <t>ギフ</t>
    </rPh>
    <rPh sb="10" eb="14">
      <t>カブシキガイシャ</t>
    </rPh>
    <phoneticPr fontId="13"/>
  </si>
  <si>
    <t>2/18</t>
    <phoneticPr fontId="13"/>
  </si>
  <si>
    <t>取説 ｷｰﾚｽ(車内)   保証書 ﾜﾝｵｰﾅｰ</t>
    <rPh sb="0" eb="1">
      <t>トリ</t>
    </rPh>
    <rPh sb="1" eb="2">
      <t>セツ</t>
    </rPh>
    <rPh sb="8" eb="10">
      <t>シャナイ</t>
    </rPh>
    <rPh sb="14" eb="17">
      <t>ホショウショ</t>
    </rPh>
    <phoneticPr fontId="13"/>
  </si>
  <si>
    <t>27/6</t>
    <phoneticPr fontId="13"/>
  </si>
  <si>
    <t>BMWﾐﾆｸｰﾊﾟｰS</t>
    <phoneticPr fontId="13"/>
  </si>
  <si>
    <t>多摩 303 ふ 8413</t>
    <rPh sb="0" eb="2">
      <t>タマ</t>
    </rPh>
    <phoneticPr fontId="13"/>
  </si>
  <si>
    <t>保証書 Sｷｰ</t>
    <rPh sb="0" eb="3">
      <t>ホショウショ</t>
    </rPh>
    <phoneticPr fontId="13"/>
  </si>
  <si>
    <t>ﾚｯﾄﾞ</t>
    <phoneticPr fontId="13"/>
  </si>
  <si>
    <t>WMWXM720902A76717</t>
    <phoneticPr fontId="13"/>
  </si>
  <si>
    <t>株式会社ﾓﾄｰﾚﾝ東都</t>
    <rPh sb="0" eb="4">
      <t>カブシキガイシャ</t>
    </rPh>
    <rPh sb="9" eb="10">
      <t>ヒガシ</t>
    </rPh>
    <rPh sb="10" eb="11">
      <t>ト</t>
    </rPh>
    <phoneticPr fontId="13"/>
  </si>
  <si>
    <t>2/17</t>
    <phoneticPr fontId="13"/>
  </si>
  <si>
    <t>保証書 取説 ｷｰﾚｽ ﾛｯｸﾅｯﾄ</t>
    <rPh sb="0" eb="3">
      <t>ホショウショ</t>
    </rPh>
    <rPh sb="4" eb="6">
      <t>トリセツ</t>
    </rPh>
    <phoneticPr fontId="13"/>
  </si>
  <si>
    <t>23/3</t>
    <phoneticPr fontId="13"/>
  </si>
  <si>
    <t>LR ﾃﾞｨｽｶﾊﾞﾘｰ4SE</t>
    <phoneticPr fontId="13"/>
  </si>
  <si>
    <t>岐阜 303 さ 1528</t>
    <rPh sb="0" eb="2">
      <t>ギフ</t>
    </rPh>
    <phoneticPr fontId="13"/>
  </si>
  <si>
    <t>301 て 434</t>
    <phoneticPr fontId="13"/>
  </si>
  <si>
    <t>ﾎﾜｲﾄ</t>
    <phoneticPr fontId="13"/>
  </si>
  <si>
    <t>SALLAJAD3BA566277</t>
    <phoneticPr fontId="13"/>
  </si>
  <si>
    <t>ﾕｰﾛｵｰﾄ岐阜 株式会社</t>
    <rPh sb="6" eb="8">
      <t>ギフ</t>
    </rPh>
    <rPh sb="9" eb="13">
      <t>カブシキガイシャ</t>
    </rPh>
    <phoneticPr fontId="13"/>
  </si>
  <si>
    <t>2/24</t>
    <phoneticPr fontId="13"/>
  </si>
  <si>
    <t>8月抹消済</t>
    <rPh sb="1" eb="5">
      <t>ガツマッショウズ</t>
    </rPh>
    <phoneticPr fontId="13"/>
  </si>
  <si>
    <t>29/8</t>
    <phoneticPr fontId="13"/>
  </si>
  <si>
    <t>ｼﾞｬｶﾞｰXJ ﾌﾟﾚﾐｱﾑﾗｸﾞｼﾞｭｱﾘｰ</t>
    <phoneticPr fontId="13"/>
  </si>
  <si>
    <t>神戸 366 ゆ 505</t>
    <rPh sb="0" eb="2">
      <t>コウベ</t>
    </rPh>
    <phoneticPr fontId="13"/>
  </si>
  <si>
    <t>SAJKC1282G8V97450</t>
    <phoneticPr fontId="13"/>
  </si>
  <si>
    <t>株式会社 ｵﾘｴﾝﾄｺｰﾎﾟﾚｰｼｮﾝ</t>
    <rPh sb="0" eb="4">
      <t>カブシキガイシャ</t>
    </rPh>
    <phoneticPr fontId="13"/>
  </si>
  <si>
    <t>2/22</t>
    <phoneticPr fontId="13"/>
  </si>
  <si>
    <t>3月抹消済</t>
  </si>
  <si>
    <t>23/1</t>
    <phoneticPr fontId="13"/>
  </si>
  <si>
    <t>BMW5ｼﾘｰｽﾞ</t>
    <phoneticPr fontId="13"/>
  </si>
  <si>
    <t>大宮 315 に 11</t>
    <rPh sb="0" eb="2">
      <t>オオミヤ</t>
    </rPh>
    <phoneticPr fontId="13"/>
  </si>
  <si>
    <t>WBAFR72000C580612</t>
    <phoneticPr fontId="13"/>
  </si>
  <si>
    <t>株式会社 ﾎｿｶﾜｺｰﾎﾟﾚｰｼｮﾝ</t>
    <rPh sb="0" eb="4">
      <t>カブシキガイシャ</t>
    </rPh>
    <phoneticPr fontId="13"/>
  </si>
  <si>
    <t>3/1</t>
    <phoneticPr fontId="13"/>
  </si>
  <si>
    <t xml:space="preserve">保証書 取説 ｷｰﾚｽ ﾘﾓｺﾝ×6 ﾚﾝﾁ </t>
    <rPh sb="0" eb="3">
      <t>ホショウショ</t>
    </rPh>
    <rPh sb="4" eb="6">
      <t>トリセツ</t>
    </rPh>
    <phoneticPr fontId="13"/>
  </si>
  <si>
    <t>18/4</t>
    <phoneticPr fontId="13"/>
  </si>
  <si>
    <t>ﾗﾝﾄﾞﾛｰﾊﾞｰ ﾚﾝｼﾞﾛｰﾊﾞｰｽﾎﾟｰﾂ ｽｰﾊﾟｰﾁｬｰｼﾞﾄﾞ</t>
    <phoneticPr fontId="13"/>
  </si>
  <si>
    <t>5/5</t>
    <phoneticPr fontId="13"/>
  </si>
  <si>
    <t>大阪 303 は 9680</t>
    <rPh sb="0" eb="2">
      <t>オオサカ</t>
    </rPh>
    <phoneticPr fontId="13"/>
  </si>
  <si>
    <t>SALLSJA336A917779</t>
    <phoneticPr fontId="13"/>
  </si>
  <si>
    <t>八光ｴﾙｱｰﾙ株式会社</t>
    <rPh sb="0" eb="2">
      <t>ハッコウ</t>
    </rPh>
    <rPh sb="7" eb="11">
      <t>カブシキガイシャ</t>
    </rPh>
    <phoneticPr fontId="13"/>
  </si>
  <si>
    <t>3/27</t>
    <phoneticPr fontId="13"/>
  </si>
  <si>
    <t>4月抹消済</t>
    <rPh sb="1" eb="2">
      <t>ガツ</t>
    </rPh>
    <rPh sb="2" eb="5">
      <t>マッショウズ</t>
    </rPh>
    <phoneticPr fontId="13"/>
  </si>
  <si>
    <t>BMWﾐﾆｸｰﾊﾟｰ ｼﾞｮﾝｸｰﾊﾟｰﾜｰｸｽ</t>
    <phoneticPr fontId="13"/>
  </si>
  <si>
    <t>沖縄 330 す 732</t>
    <rPh sb="0" eb="2">
      <t>オキナワ</t>
    </rPh>
    <phoneticPr fontId="13"/>
  </si>
  <si>
    <t>WMWXM920902D05201</t>
    <phoneticPr fontId="13"/>
  </si>
  <si>
    <t>安田 茂</t>
    <rPh sb="0" eb="2">
      <t>ヤスダ</t>
    </rPh>
    <rPh sb="3" eb="4">
      <t>シゲル</t>
    </rPh>
    <phoneticPr fontId="13"/>
  </si>
  <si>
    <t>3/31</t>
    <phoneticPr fontId="13"/>
  </si>
  <si>
    <t>保証書 取説 ｷｰﾚｽ ﾜﾝｵｰﾅｰ 記録OK</t>
    <rPh sb="0" eb="3">
      <t>ホショウショ</t>
    </rPh>
    <rPh sb="4" eb="6">
      <t>トリセツ</t>
    </rPh>
    <rPh sb="19" eb="21">
      <t>キロク</t>
    </rPh>
    <phoneticPr fontId="13"/>
  </si>
  <si>
    <t>28/7</t>
    <phoneticPr fontId="13"/>
  </si>
  <si>
    <t>NV350ｷｬﾗﾊﾞﾝ 2.5DTﾌﾟﾚﾐｱﾑGXﾛﾝｸﾞ</t>
    <phoneticPr fontId="13"/>
  </si>
  <si>
    <t>4/7</t>
    <phoneticPr fontId="13"/>
  </si>
  <si>
    <t>名古屋 430 つ 629</t>
    <rPh sb="0" eb="3">
      <t>ナゴヤ</t>
    </rPh>
    <phoneticPr fontId="13"/>
  </si>
  <si>
    <t>403 ろ  5</t>
    <phoneticPr fontId="13"/>
  </si>
  <si>
    <t>ﾘｸﾙｰﾄ</t>
    <phoneticPr fontId="13"/>
  </si>
  <si>
    <t>B01214137</t>
    <phoneticPr fontId="13"/>
  </si>
  <si>
    <t>VW2E26-026440</t>
    <phoneticPr fontId="13"/>
  </si>
  <si>
    <t>愛知ﾄﾖﾀ自動車株式会社</t>
    <rPh sb="0" eb="2">
      <t>アイチ</t>
    </rPh>
    <rPh sb="5" eb="12">
      <t>ジドウシャカブシキガイシャ</t>
    </rPh>
    <phoneticPr fontId="13"/>
  </si>
  <si>
    <t>27/3</t>
    <phoneticPr fontId="13"/>
  </si>
  <si>
    <t>6/3</t>
    <phoneticPr fontId="13"/>
  </si>
  <si>
    <t>札幌 302 ぬ 2324</t>
    <rPh sb="0" eb="2">
      <t>サッポロ</t>
    </rPh>
    <phoneticPr fontId="13"/>
  </si>
  <si>
    <t>301 て 2651</t>
    <phoneticPr fontId="13"/>
  </si>
  <si>
    <t>ﾍﾟｯﾊﾟｰﾎﾜｲﾄⅡ</t>
    <phoneticPr fontId="13"/>
  </si>
  <si>
    <t>WMWXS72000T849300</t>
    <phoneticPr fontId="13"/>
  </si>
  <si>
    <t>今野 有紀</t>
    <rPh sb="0" eb="2">
      <t>イマノ</t>
    </rPh>
    <rPh sb="3" eb="5">
      <t>ユキ</t>
    </rPh>
    <phoneticPr fontId="13"/>
  </si>
  <si>
    <t>28/9</t>
    <phoneticPr fontId="13"/>
  </si>
  <si>
    <t>BMWﾐﾆｸｰﾊﾟｰ</t>
    <phoneticPr fontId="13"/>
  </si>
  <si>
    <t>前橋 399 せ 1590</t>
    <rPh sb="0" eb="2">
      <t>マエバシ</t>
    </rPh>
    <phoneticPr fontId="13"/>
  </si>
  <si>
    <t>JU愛知（まとめ）</t>
    <rPh sb="2" eb="4">
      <t>アイチ</t>
    </rPh>
    <phoneticPr fontId="13"/>
  </si>
  <si>
    <t>ｼﾙﾊﾞｰⅡ</t>
    <phoneticPr fontId="13"/>
  </si>
  <si>
    <t>WMWXS720302C49671</t>
    <phoneticPr fontId="13"/>
  </si>
  <si>
    <t>株式会社 ﾈｸｽﾃｰｼﾞ</t>
    <rPh sb="0" eb="4">
      <t>カブシキガイシャ</t>
    </rPh>
    <phoneticPr fontId="13"/>
  </si>
  <si>
    <t>4/14</t>
    <phoneticPr fontId="13"/>
  </si>
  <si>
    <t>保証書 取説 ﾜﾝｵｰﾅｰ</t>
    <rPh sb="0" eb="3">
      <t>ホショウショ</t>
    </rPh>
    <rPh sb="4" eb="6">
      <t>トリセツ</t>
    </rPh>
    <phoneticPr fontId="13"/>
  </si>
  <si>
    <t>H8/</t>
    <phoneticPr fontId="13"/>
  </si>
  <si>
    <t>ｼﾞﾑﾆｰ ﾜｲﾙﾄﾞｳｨﾝﾄﾞ</t>
    <phoneticPr fontId="13"/>
  </si>
  <si>
    <t>豊橋 50 け 1735</t>
    <rPh sb="0" eb="2">
      <t>トヨハシ</t>
    </rPh>
    <phoneticPr fontId="13"/>
  </si>
  <si>
    <t>ﾐﾗｲﾌﾞ愛知（AS)</t>
    <rPh sb="5" eb="7">
      <t>アイチ</t>
    </rPh>
    <phoneticPr fontId="13"/>
  </si>
  <si>
    <t>JA22W-117174</t>
    <phoneticPr fontId="13"/>
  </si>
  <si>
    <t>山本 誠</t>
    <rPh sb="0" eb="2">
      <t>ヤマモト</t>
    </rPh>
    <rPh sb="3" eb="4">
      <t>マコト</t>
    </rPh>
    <phoneticPr fontId="13"/>
  </si>
  <si>
    <t>4/16</t>
    <phoneticPr fontId="13"/>
  </si>
  <si>
    <t>1/5</t>
    <phoneticPr fontId="13"/>
  </si>
  <si>
    <t>札幌 330 せ 985</t>
    <rPh sb="0" eb="2">
      <t>サッポロ</t>
    </rPh>
    <phoneticPr fontId="13"/>
  </si>
  <si>
    <t>WMWXR52090TV09949</t>
    <phoneticPr fontId="13"/>
  </si>
  <si>
    <t>4/29</t>
    <phoneticPr fontId="13"/>
  </si>
  <si>
    <t>29/10</t>
    <phoneticPr fontId="13"/>
  </si>
  <si>
    <t>福岡 303 た 252</t>
    <rPh sb="0" eb="2">
      <t>フクオカ</t>
    </rPh>
    <phoneticPr fontId="13"/>
  </si>
  <si>
    <t>WMWXT720502G65802</t>
    <phoneticPr fontId="13"/>
  </si>
  <si>
    <t>株式会社 九州ﾕｰﾎﾟｽ</t>
    <rPh sb="0" eb="4">
      <t>カブシキガイシャ</t>
    </rPh>
    <rPh sb="5" eb="7">
      <t>キュウシュウ</t>
    </rPh>
    <phoneticPr fontId="13"/>
  </si>
  <si>
    <t>4/28</t>
    <phoneticPr fontId="13"/>
  </si>
  <si>
    <t>5月抹消済</t>
  </si>
  <si>
    <t>ｼﾞｬｶﾞｰXF 25tﾌﾟﾚｽﾃｰｼﾞ</t>
    <phoneticPr fontId="13"/>
  </si>
  <si>
    <t>5/11/1</t>
    <phoneticPr fontId="13"/>
  </si>
  <si>
    <t>練馬 347 は 315</t>
    <rPh sb="0" eb="2">
      <t>ネリマ</t>
    </rPh>
    <phoneticPr fontId="13"/>
  </si>
  <si>
    <t>301 て 2654</t>
    <phoneticPr fontId="13"/>
  </si>
  <si>
    <t>SAJBB4AGXHCY36920</t>
    <phoneticPr fontId="13"/>
  </si>
  <si>
    <t>株式会社ｱｳﾄﾌﾟﾗｯﾂ</t>
    <rPh sb="0" eb="4">
      <t>カブシキガイシャ</t>
    </rPh>
    <phoneticPr fontId="13"/>
  </si>
  <si>
    <t>5/10</t>
    <phoneticPr fontId="13"/>
  </si>
  <si>
    <t>BMWﾐﾆｸｰﾍﾟ ｼﾞｮﾝｸｰﾊﾟｰﾜｰｸｽ</t>
    <phoneticPr fontId="13"/>
  </si>
  <si>
    <t>熊谷 501 め 6700</t>
    <rPh sb="0" eb="2">
      <t>クマタニ</t>
    </rPh>
    <phoneticPr fontId="13"/>
  </si>
  <si>
    <t>501 む 1173</t>
    <phoneticPr fontId="13"/>
  </si>
  <si>
    <t>WMWSX92090T495302</t>
    <phoneticPr fontId="13"/>
  </si>
  <si>
    <t>5/19</t>
    <phoneticPr fontId="13"/>
  </si>
  <si>
    <t>1/6</t>
    <phoneticPr fontId="13"/>
  </si>
  <si>
    <t>AQ</t>
    <phoneticPr fontId="13"/>
  </si>
  <si>
    <t>北九州 399 つ 1059</t>
    <rPh sb="0" eb="3">
      <t>キタキュウシュウ</t>
    </rPh>
    <phoneticPr fontId="13"/>
  </si>
  <si>
    <t>ｴﾒﾗﾙﾄﾞｸﾞﾚｰﾒﾀﾘｯｸⅡ</t>
    <phoneticPr fontId="13"/>
  </si>
  <si>
    <t>WMWXT720002H92134</t>
    <phoneticPr fontId="13"/>
  </si>
  <si>
    <t>株式会社AG</t>
    <rPh sb="0" eb="4">
      <t>カブシキガイシャ</t>
    </rPh>
    <phoneticPr fontId="13"/>
  </si>
  <si>
    <t>5/22</t>
    <phoneticPr fontId="13"/>
  </si>
  <si>
    <t xml:space="preserve">保証書 取説 ｷｰﾚｽ 記録有 ﾜﾝｵｰﾅｰ </t>
    <rPh sb="0" eb="3">
      <t>ホショウショ</t>
    </rPh>
    <rPh sb="4" eb="6">
      <t>トリセツ</t>
    </rPh>
    <rPh sb="12" eb="14">
      <t>キロク</t>
    </rPh>
    <rPh sb="14" eb="15">
      <t>アリ</t>
    </rPh>
    <phoneticPr fontId="13"/>
  </si>
  <si>
    <t>3/4</t>
    <phoneticPr fontId="13"/>
  </si>
  <si>
    <t>BMW M3ｺﾝﾍﾟﾃｨｼｮﾝ</t>
    <phoneticPr fontId="13"/>
  </si>
  <si>
    <t>6/4</t>
    <phoneticPr fontId="13"/>
  </si>
  <si>
    <t>野田 338 た 321</t>
    <rPh sb="0" eb="2">
      <t>ノダ</t>
    </rPh>
    <phoneticPr fontId="13"/>
  </si>
  <si>
    <t>32K さ 5</t>
    <phoneticPr fontId="13"/>
  </si>
  <si>
    <t>WBA32AY050FK87262</t>
    <phoneticPr fontId="13"/>
  </si>
  <si>
    <t>取説 (車内） 保証書 ｷｰﾚｽ ﾜﾝｵｰﾅｰ</t>
    <rPh sb="0" eb="2">
      <t>トリセツ</t>
    </rPh>
    <rPh sb="4" eb="6">
      <t>シャナイ</t>
    </rPh>
    <rPh sb="8" eb="11">
      <t>ホショウショ</t>
    </rPh>
    <phoneticPr fontId="13"/>
  </si>
  <si>
    <t>15/11</t>
    <phoneticPr fontId="13"/>
  </si>
  <si>
    <t>ﾗﾝﾄﾞﾛｰﾊﾞｰﾃﾞｨｽｶﾊﾞﾘｰ HSE</t>
    <phoneticPr fontId="13"/>
  </si>
  <si>
    <t>三河 399 ち 9378</t>
    <rPh sb="0" eb="2">
      <t>ミカワ</t>
    </rPh>
    <phoneticPr fontId="13"/>
  </si>
  <si>
    <t>SALLTAMP34A830544</t>
    <phoneticPr fontId="13"/>
  </si>
  <si>
    <t>株式会社ﾈｸｽﾃｰｼﾞ</t>
    <rPh sb="0" eb="4">
      <t>カブシキガイシャ</t>
    </rPh>
    <phoneticPr fontId="13"/>
  </si>
  <si>
    <t>6/2</t>
    <phoneticPr fontId="13"/>
  </si>
  <si>
    <t>20/1</t>
    <phoneticPr fontId="13"/>
  </si>
  <si>
    <t>BMW M5</t>
    <phoneticPr fontId="13"/>
  </si>
  <si>
    <t>5/1</t>
    <phoneticPr fontId="13"/>
  </si>
  <si>
    <t>横浜 305 は 7780</t>
    <rPh sb="0" eb="2">
      <t>ヨコハマ</t>
    </rPh>
    <phoneticPr fontId="13"/>
  </si>
  <si>
    <t>301 て 3616</t>
    <phoneticPr fontId="13"/>
  </si>
  <si>
    <t>WBSNB92040CY10143</t>
    <phoneticPr fontId="13"/>
  </si>
  <si>
    <t>ｶﾚﾝﾄ自動車株式会社</t>
    <rPh sb="4" eb="7">
      <t>ジドウシャ</t>
    </rPh>
    <rPh sb="7" eb="11">
      <t>カブシキガイシャ</t>
    </rPh>
    <phoneticPr fontId="13"/>
  </si>
  <si>
    <t>保証書 取説 ｷｰﾚｽ 記録簿</t>
    <rPh sb="0" eb="3">
      <t>ホショウショ</t>
    </rPh>
    <rPh sb="4" eb="5">
      <t>トリ</t>
    </rPh>
    <rPh sb="5" eb="6">
      <t>セツ</t>
    </rPh>
    <rPh sb="12" eb="14">
      <t>キロク</t>
    </rPh>
    <rPh sb="14" eb="15">
      <t>ボ</t>
    </rPh>
    <phoneticPr fontId="13"/>
  </si>
  <si>
    <t>LRﾃﾞｨｽｶﾊﾞﾘｰｽﾎﾟｰﾂ SE</t>
    <phoneticPr fontId="13"/>
  </si>
  <si>
    <t>5/7</t>
    <phoneticPr fontId="13"/>
  </si>
  <si>
    <t>富山 345 そ 1010</t>
    <rPh sb="0" eb="2">
      <t>トヤマ</t>
    </rPh>
    <phoneticPr fontId="13"/>
  </si>
  <si>
    <t>301 て 4566</t>
    <phoneticPr fontId="13"/>
  </si>
  <si>
    <t>SALCA2AG2GH627725</t>
    <phoneticPr fontId="13"/>
  </si>
  <si>
    <t>仙道 貴彰</t>
    <rPh sb="0" eb="2">
      <t>センドウ</t>
    </rPh>
    <rPh sb="3" eb="5">
      <t>タカアキ</t>
    </rPh>
    <phoneticPr fontId="13"/>
  </si>
  <si>
    <t>6/9</t>
    <phoneticPr fontId="13"/>
  </si>
  <si>
    <t>ｷｰﾚｽ(車内)   保証書 取説</t>
    <rPh sb="11" eb="14">
      <t>ホショウショ</t>
    </rPh>
    <rPh sb="15" eb="17">
      <t>トリセツ</t>
    </rPh>
    <phoneticPr fontId="13"/>
  </si>
  <si>
    <t>BMWﾐﾆｸｰﾊﾟｰ ｸﾛｽｵｰﾊﾞｰ</t>
    <phoneticPr fontId="13"/>
  </si>
  <si>
    <t>岐阜 334 に 3298</t>
    <rPh sb="0" eb="2">
      <t>ギフ</t>
    </rPh>
    <phoneticPr fontId="13"/>
  </si>
  <si>
    <t>WMWZB72000WT66932</t>
    <phoneticPr fontId="13"/>
  </si>
  <si>
    <t>ﾈｯﾂﾄﾖﾀ岐阜株式会社</t>
    <rPh sb="6" eb="8">
      <t>ギフ</t>
    </rPh>
    <rPh sb="8" eb="12">
      <t>カブシキガイシャ</t>
    </rPh>
    <phoneticPr fontId="13"/>
  </si>
  <si>
    <t>6/17</t>
    <phoneticPr fontId="13"/>
  </si>
  <si>
    <t>取説(車内) 保証書</t>
    <rPh sb="0" eb="2">
      <t>トリセツ</t>
    </rPh>
    <rPh sb="7" eb="10">
      <t>ホショウショ</t>
    </rPh>
    <phoneticPr fontId="13"/>
  </si>
  <si>
    <t>30/3</t>
    <phoneticPr fontId="13"/>
  </si>
  <si>
    <t>5/3/29</t>
    <phoneticPr fontId="13"/>
  </si>
  <si>
    <t>名古屋 349 に 5577</t>
    <rPh sb="0" eb="3">
      <t>ナゴヤ</t>
    </rPh>
    <phoneticPr fontId="13"/>
  </si>
  <si>
    <t>301 て 4565</t>
    <phoneticPr fontId="13"/>
  </si>
  <si>
    <t>VF7SXHNZTJT509756</t>
    <phoneticPr fontId="13"/>
  </si>
  <si>
    <t>株式会社 名鉄ｱｵﾄ</t>
    <rPh sb="0" eb="4">
      <t>カブシキガイシャ</t>
    </rPh>
    <rPh sb="5" eb="7">
      <t>メイテツ</t>
    </rPh>
    <phoneticPr fontId="13"/>
  </si>
  <si>
    <t>6/16</t>
    <phoneticPr fontId="13"/>
  </si>
  <si>
    <t>ｷｰﾚｽ(車内)   取説 ﾜﾝｵｰﾅｰ</t>
    <rPh sb="11" eb="12">
      <t>トリ</t>
    </rPh>
    <rPh sb="12" eb="13">
      <t>セツ</t>
    </rPh>
    <phoneticPr fontId="13"/>
  </si>
  <si>
    <t>ﾗﾝﾄﾞﾛｰﾊﾞｰﾃﾞｨｽｶﾊﾞﾘｰｽﾎﾟｰﾂ HSE</t>
    <phoneticPr fontId="13"/>
  </si>
  <si>
    <t>相模 399 ふ 192</t>
    <rPh sb="0" eb="2">
      <t>サガミ</t>
    </rPh>
    <phoneticPr fontId="13"/>
  </si>
  <si>
    <t>SALCA2AGXHH683767</t>
    <phoneticPr fontId="13"/>
  </si>
  <si>
    <t>株式会社 ﾌｧｲﾌﾞｽﾀｰ東名横浜</t>
    <rPh sb="0" eb="4">
      <t>カブシキガイシャ</t>
    </rPh>
    <rPh sb="13" eb="17">
      <t>トウメイヨコハマ</t>
    </rPh>
    <phoneticPr fontId="13"/>
  </si>
  <si>
    <t>6/18</t>
    <phoneticPr fontId="13"/>
  </si>
  <si>
    <t>ｴﾌﾞﾘｨﾜｺﾞﾝ PZﾀｰﾎﾞｽﾍﾟｼｬﾙ</t>
    <phoneticPr fontId="13"/>
  </si>
  <si>
    <t>5/3</t>
    <phoneticPr fontId="13"/>
  </si>
  <si>
    <t>堺 580 に 7078</t>
    <rPh sb="0" eb="1">
      <t>サカイ</t>
    </rPh>
    <phoneticPr fontId="13"/>
  </si>
  <si>
    <t>581 ほ 3628</t>
    <phoneticPr fontId="13"/>
  </si>
  <si>
    <t>ﾐﾗｲﾌﾞ大阪（AS)</t>
    <rPh sb="5" eb="7">
      <t>オオサカ</t>
    </rPh>
    <phoneticPr fontId="13"/>
  </si>
  <si>
    <t>ﾊﾟｰﾌﾟﾙ</t>
    <phoneticPr fontId="13"/>
  </si>
  <si>
    <t>DA64W-434334</t>
    <phoneticPr fontId="13"/>
  </si>
  <si>
    <t>鈴木 克寛</t>
    <rPh sb="0" eb="2">
      <t>スズキ</t>
    </rPh>
    <rPh sb="3" eb="4">
      <t>カツ</t>
    </rPh>
    <rPh sb="4" eb="5">
      <t>ヒロ</t>
    </rPh>
    <phoneticPr fontId="13"/>
  </si>
  <si>
    <t>7/8</t>
    <phoneticPr fontId="13"/>
  </si>
  <si>
    <t>保証書 取説 ｽﾍﾟｱｷｰX2</t>
    <rPh sb="0" eb="3">
      <t>ホショウショ</t>
    </rPh>
    <rPh sb="4" eb="6">
      <t>トリセツ</t>
    </rPh>
    <phoneticPr fontId="13"/>
  </si>
  <si>
    <t>5/3/30</t>
    <phoneticPr fontId="13"/>
  </si>
  <si>
    <t>金沢 334 ち 73</t>
    <rPh sb="0" eb="2">
      <t>カナザワ</t>
    </rPh>
    <phoneticPr fontId="13"/>
  </si>
  <si>
    <t>301 て 5660</t>
    <phoneticPr fontId="13"/>
  </si>
  <si>
    <t>SALCA2AG1GH552631</t>
    <phoneticPr fontId="13"/>
  </si>
  <si>
    <t>株式会社ｱｽﾓｰﾀｰ</t>
    <rPh sb="0" eb="4">
      <t>カブシキカイシャ</t>
    </rPh>
    <phoneticPr fontId="13"/>
  </si>
  <si>
    <t>7/14</t>
    <phoneticPr fontId="13"/>
  </si>
  <si>
    <t>保証書 取説 ﾅﾋﾞ取 ｷｰﾚｽ</t>
    <rPh sb="0" eb="3">
      <t>ホショウショ</t>
    </rPh>
    <rPh sb="4" eb="6">
      <t>トリセツ</t>
    </rPh>
    <rPh sb="10" eb="11">
      <t>トリ</t>
    </rPh>
    <phoneticPr fontId="13"/>
  </si>
  <si>
    <t>ﾊｲｾﾞｯﾄｶｰｺﾞ 4WDｽﾍﾟｼｬﾙ</t>
    <phoneticPr fontId="13"/>
  </si>
  <si>
    <t>和泉 480 つ 5626</t>
    <rPh sb="0" eb="2">
      <t>イズミ</t>
    </rPh>
    <phoneticPr fontId="13"/>
  </si>
  <si>
    <t>整備手帳</t>
    <rPh sb="0" eb="4">
      <t>セイビテチョウ</t>
    </rPh>
    <phoneticPr fontId="13"/>
  </si>
  <si>
    <t>ｵﾘｯｸｽ神戸(ｱｲｵｰｸ)</t>
    <rPh sb="5" eb="7">
      <t>コウベ</t>
    </rPh>
    <phoneticPr fontId="13"/>
  </si>
  <si>
    <t>S331V-0175066</t>
    <phoneticPr fontId="13"/>
  </si>
  <si>
    <t>ｵﾘｯｸｽ自動車株式会社</t>
    <rPh sb="5" eb="8">
      <t>ジドウシャ</t>
    </rPh>
    <rPh sb="8" eb="12">
      <t>カブシキガイシャ</t>
    </rPh>
    <phoneticPr fontId="13"/>
  </si>
  <si>
    <t>7/28</t>
    <phoneticPr fontId="13"/>
  </si>
  <si>
    <t>27/12</t>
    <phoneticPr fontId="13"/>
  </si>
  <si>
    <t>ｼﾄﾛｴﾝDS5 ｴﾃﾞｨｼｮﾝ1955</t>
    <phoneticPr fontId="13"/>
  </si>
  <si>
    <t>なにわ 326 む 2369</t>
    <phoneticPr fontId="13"/>
  </si>
  <si>
    <t>VF7KF5FVAFS518815</t>
    <phoneticPr fontId="13"/>
  </si>
  <si>
    <t>大阪ｶﾞｽｵｰﾄｻｰﾋﾞｽ株式会社</t>
    <rPh sb="0" eb="2">
      <t>オオサカ</t>
    </rPh>
    <rPh sb="13" eb="17">
      <t>カブシキガイシャ</t>
    </rPh>
    <phoneticPr fontId="13"/>
  </si>
  <si>
    <t>8/7</t>
    <phoneticPr fontId="13"/>
  </si>
  <si>
    <t>BMWﾐﾆﾛｰﾄﾞｽﾀｰ ｼﾞｮﾝｸｰﾊﾟｰﾜｰｸｽ</t>
    <phoneticPr fontId="13"/>
  </si>
  <si>
    <t>5/8</t>
    <phoneticPr fontId="13"/>
  </si>
  <si>
    <t>福岡 534 め 329</t>
    <rPh sb="0" eb="2">
      <t>フクオカ</t>
    </rPh>
    <phoneticPr fontId="13"/>
  </si>
  <si>
    <t>地図SD川本さんに渡しました</t>
    <rPh sb="0" eb="2">
      <t>チズ</t>
    </rPh>
    <rPh sb="4" eb="6">
      <t>カワモト</t>
    </rPh>
    <rPh sb="9" eb="10">
      <t>ワタ</t>
    </rPh>
    <phoneticPr fontId="13"/>
  </si>
  <si>
    <t>501 む 2590</t>
    <phoneticPr fontId="13"/>
  </si>
  <si>
    <t>WMWSY920X0T495774</t>
    <phoneticPr fontId="13"/>
  </si>
  <si>
    <t>坂本 智史</t>
    <rPh sb="0" eb="2">
      <t>サカモト</t>
    </rPh>
    <rPh sb="3" eb="4">
      <t>トモ</t>
    </rPh>
    <rPh sb="4" eb="5">
      <t>シ</t>
    </rPh>
    <phoneticPr fontId="13"/>
  </si>
  <si>
    <t xml:space="preserve">ﾐﾆB-CAS （ZIPから）地図SD (車内） 保証書 取説 ﾅﾋﾞ取 ｷｰﾚｽ   </t>
    <rPh sb="15" eb="17">
      <t>チズ</t>
    </rPh>
    <rPh sb="21" eb="23">
      <t>シャナイ</t>
    </rPh>
    <rPh sb="25" eb="28">
      <t>ホショウショ</t>
    </rPh>
    <rPh sb="29" eb="31">
      <t>トリセツ</t>
    </rPh>
    <rPh sb="35" eb="36">
      <t>トリ</t>
    </rPh>
    <phoneticPr fontId="13"/>
  </si>
  <si>
    <t xml:space="preserve">ﾎﾟﾙｼｪ ｶｲｴﾝ </t>
    <phoneticPr fontId="13"/>
  </si>
  <si>
    <t>山口 301 な 254</t>
    <rPh sb="0" eb="2">
      <t>ヤマグチ</t>
    </rPh>
    <phoneticPr fontId="13"/>
  </si>
  <si>
    <t>374 つ 6</t>
    <phoneticPr fontId="13"/>
  </si>
  <si>
    <t>WP1ZZZ9YZKDA35448</t>
    <phoneticPr fontId="13"/>
  </si>
  <si>
    <t>山口日産自動車 株式会社</t>
    <rPh sb="0" eb="7">
      <t>ヤマグチニッサンジドウシャ</t>
    </rPh>
    <rPh sb="8" eb="12">
      <t>カブシキガイシャ</t>
    </rPh>
    <phoneticPr fontId="13"/>
  </si>
  <si>
    <t>7/29</t>
    <phoneticPr fontId="13"/>
  </si>
  <si>
    <t>保証書 取説 ｷｰﾚｽ ﾘﾓｺﾝ ﾜﾝｵｰﾅｰ</t>
    <rPh sb="0" eb="3">
      <t>ホショウショ</t>
    </rPh>
    <rPh sb="4" eb="6">
      <t>トリセツ</t>
    </rPh>
    <phoneticPr fontId="13"/>
  </si>
  <si>
    <t>付属品一式会長に渡してます</t>
    <rPh sb="0" eb="4">
      <t>フゾクヒンイッ</t>
    </rPh>
    <rPh sb="4" eb="5">
      <t>シキ</t>
    </rPh>
    <rPh sb="5" eb="7">
      <t>カイチョウ</t>
    </rPh>
    <rPh sb="8" eb="9">
      <t>ワタ</t>
    </rPh>
    <phoneticPr fontId="13"/>
  </si>
  <si>
    <t>14/11</t>
    <phoneticPr fontId="13"/>
  </si>
  <si>
    <t>ﾚﾝｼﾞﾛｰﾊﾞｰｲｳﾞｫｰｸﾞ</t>
    <phoneticPr fontId="13"/>
  </si>
  <si>
    <t>5/11</t>
    <phoneticPr fontId="13"/>
  </si>
  <si>
    <t>岐阜 303 の 8000</t>
    <rPh sb="0" eb="2">
      <t>ギフ</t>
    </rPh>
    <phoneticPr fontId="13"/>
  </si>
  <si>
    <t>ｺﾞｰﾙﾄﾞ</t>
    <phoneticPr fontId="13"/>
  </si>
  <si>
    <t>SALLM-AMA33A114650</t>
    <phoneticPr fontId="13"/>
  </si>
  <si>
    <t>医療法人社団 仙寿会</t>
    <rPh sb="0" eb="6">
      <t>イリョウホウジンシャダン</t>
    </rPh>
    <rPh sb="7" eb="10">
      <t>センジュカイ</t>
    </rPh>
    <phoneticPr fontId="13"/>
  </si>
  <si>
    <t>8/23</t>
    <phoneticPr fontId="13"/>
  </si>
  <si>
    <t>9月抹消済</t>
    <rPh sb="1" eb="2">
      <t>ガツ</t>
    </rPh>
    <rPh sb="2" eb="5">
      <t>マッショウズ</t>
    </rPh>
    <phoneticPr fontId="13"/>
  </si>
  <si>
    <t>BMWﾐﾆ ｼﾞｮﾝｸｰﾊﾟｰﾜｰｸｽ ｺﾝﾊﾞｰﾁﾌﾞﾙ</t>
    <phoneticPr fontId="13"/>
  </si>
  <si>
    <t>4/11</t>
    <phoneticPr fontId="13"/>
  </si>
  <si>
    <t>大阪 303 な 9850</t>
    <rPh sb="0" eb="2">
      <t>オオサカ</t>
    </rPh>
    <phoneticPr fontId="13"/>
  </si>
  <si>
    <t>A138636</t>
    <phoneticPr fontId="13"/>
  </si>
  <si>
    <t>ﾐｯﾄﾞﾅｲﾄﾌﾞﾗｯｸ</t>
    <phoneticPr fontId="13"/>
  </si>
  <si>
    <t>WMWWH920303A88884</t>
    <phoneticPr fontId="13"/>
  </si>
  <si>
    <t>ﾋﾞｰ･ｴﾑ･ﾀﾞﾌﾞﾘｭｰ･ｼﾞｬﾊﾟﾝ・ﾌｧｲﾅﾝｽ株式会社</t>
    <rPh sb="28" eb="32">
      <t>カブシキガイシャ</t>
    </rPh>
    <phoneticPr fontId="13"/>
  </si>
  <si>
    <t>9/20</t>
    <phoneticPr fontId="13"/>
  </si>
  <si>
    <t>10月抹消済</t>
    <rPh sb="2" eb="3">
      <t>ガツ</t>
    </rPh>
    <rPh sb="3" eb="6">
      <t>マッショウズ</t>
    </rPh>
    <phoneticPr fontId="13"/>
  </si>
  <si>
    <t>30/1</t>
    <phoneticPr fontId="13"/>
  </si>
  <si>
    <t>BMW523d ﾂｰﾘﾝｸﾞ Mｽﾎﾟｰﾂ</t>
    <phoneticPr fontId="13"/>
  </si>
  <si>
    <t>春日井 314 つ 5</t>
    <rPh sb="0" eb="3">
      <t>カスガイ</t>
    </rPh>
    <phoneticPr fontId="13"/>
  </si>
  <si>
    <t>ｱﾙﾋﾟﾝﾎﾜｲﾄ</t>
    <phoneticPr fontId="13"/>
  </si>
  <si>
    <t>WBAJM72080G986476</t>
    <phoneticPr fontId="13"/>
  </si>
  <si>
    <t>ｷｰﾚｽ(車内)  保証書 取説 ﾜﾝｵｰﾅｰ</t>
    <rPh sb="5" eb="7">
      <t>シャナイ</t>
    </rPh>
    <rPh sb="10" eb="13">
      <t>ホショウショ</t>
    </rPh>
    <rPh sb="14" eb="16">
      <t>トリセツ</t>
    </rPh>
    <phoneticPr fontId="13"/>
  </si>
  <si>
    <t>9月抹消済</t>
    <phoneticPr fontId="13"/>
  </si>
  <si>
    <t>ﾗﾝﾄﾞﾛｰﾊﾞｰﾃﾞｨｽｶﾊﾞﾘｰ4 SE</t>
    <phoneticPr fontId="13"/>
  </si>
  <si>
    <t>京都 330 み 2555</t>
    <rPh sb="0" eb="2">
      <t>キョウト</t>
    </rPh>
    <phoneticPr fontId="13"/>
  </si>
  <si>
    <t>SALLAJAD3DA670117</t>
    <phoneticPr fontId="13"/>
  </si>
  <si>
    <t>株式会社 京滋ﾏﾂﾀﾞ</t>
    <rPh sb="0" eb="4">
      <t>カブシキガイシャ</t>
    </rPh>
    <rPh sb="5" eb="6">
      <t>キョウ</t>
    </rPh>
    <rPh sb="6" eb="7">
      <t>ジ</t>
    </rPh>
    <phoneticPr fontId="13"/>
  </si>
  <si>
    <t>9/4</t>
    <phoneticPr fontId="13"/>
  </si>
  <si>
    <t>20/3</t>
    <phoneticPr fontId="13"/>
  </si>
  <si>
    <t>ｱｽﾄﾝﾏｰﾃｨﾝ V8ｳﾞｧﾝﾃｰｼﾞ</t>
    <phoneticPr fontId="13"/>
  </si>
  <si>
    <t>沼津 399 た 1766</t>
    <rPh sb="0" eb="2">
      <t>ヌマヅ</t>
    </rPh>
    <phoneticPr fontId="13"/>
  </si>
  <si>
    <t>ｶﾞﾝﾒﾀ</t>
    <phoneticPr fontId="13"/>
  </si>
  <si>
    <t>SCFBFD3BJ8GC09611</t>
    <phoneticPr fontId="13"/>
  </si>
  <si>
    <t>株式会社ﾜｰﾙﾄﾞｽﾀｰｴﾝﾀｰﾌﾟﾗｲｽﾞ</t>
    <rPh sb="0" eb="4">
      <t>カブシキガイシャ</t>
    </rPh>
    <phoneticPr fontId="13"/>
  </si>
  <si>
    <t>9/13</t>
    <phoneticPr fontId="13"/>
  </si>
  <si>
    <t>保証書 取説 ｷｰﾚｽ ｽﾍﾟｱｷｰ ﾘﾓｺﾝX2</t>
    <rPh sb="0" eb="3">
      <t>ホショウショ</t>
    </rPh>
    <rPh sb="4" eb="6">
      <t>トリセツ</t>
    </rPh>
    <phoneticPr fontId="13"/>
  </si>
  <si>
    <t>ｼﾞｬｶﾞｰXF ﾌﾟﾚｽﾃｰｼﾞ</t>
    <phoneticPr fontId="13"/>
  </si>
  <si>
    <t>6/8</t>
    <phoneticPr fontId="13"/>
  </si>
  <si>
    <t>名古屋 31M つ 8000</t>
    <rPh sb="0" eb="3">
      <t>ナゴヤ</t>
    </rPh>
    <phoneticPr fontId="13"/>
  </si>
  <si>
    <t>301 て 8185</t>
    <phoneticPr fontId="13"/>
  </si>
  <si>
    <t>ﾌﾞﾛﾝｽﾞ</t>
    <phoneticPr fontId="13"/>
  </si>
  <si>
    <t>SAJBB4AG5HCY46447</t>
    <phoneticPr fontId="13"/>
  </si>
  <si>
    <t>9/15</t>
    <phoneticPr fontId="13"/>
  </si>
  <si>
    <t>保証書 取説 ｷｰﾚｽ ﾏｲｸﾛSD ﾐﾆB-CAS ﾘﾓｺﾝ</t>
    <rPh sb="0" eb="3">
      <t>ホショウショ</t>
    </rPh>
    <rPh sb="4" eb="6">
      <t>トリセツ</t>
    </rPh>
    <phoneticPr fontId="13"/>
  </si>
  <si>
    <t>MﾍﾞﾝﾂGLC200 ｽﾎﾟｰﾂ</t>
    <phoneticPr fontId="13"/>
  </si>
  <si>
    <t>神戸 330 は 461</t>
    <rPh sb="0" eb="2">
      <t>コウベ</t>
    </rPh>
    <phoneticPr fontId="13"/>
  </si>
  <si>
    <t>TAA近畿</t>
    <rPh sb="3" eb="5">
      <t>キンキ</t>
    </rPh>
    <phoneticPr fontId="13"/>
  </si>
  <si>
    <t>WDC2539422F283571</t>
    <phoneticPr fontId="13"/>
  </si>
  <si>
    <t>ﾈｯﾂﾄﾖﾀ神戸株式会社</t>
    <rPh sb="6" eb="8">
      <t>コウベ</t>
    </rPh>
    <rPh sb="8" eb="12">
      <t>カブシキガイシャ</t>
    </rPh>
    <phoneticPr fontId="13"/>
  </si>
  <si>
    <t>取説 ｷｰﾚｽ ｽﾀｰﾄﾎﾞﾀﾝ (車内）  保証書 ﾜﾝｵｰﾅｰ</t>
    <rPh sb="0" eb="2">
      <t>トリセツ</t>
    </rPh>
    <rPh sb="18" eb="20">
      <t>シャナイ</t>
    </rPh>
    <rPh sb="23" eb="26">
      <t>ホショウショ</t>
    </rPh>
    <phoneticPr fontId="13"/>
  </si>
  <si>
    <t>29/9</t>
    <phoneticPr fontId="13"/>
  </si>
  <si>
    <t>ﾗﾝﾄﾞﾛｰﾊﾞｰ ﾃﾞｨｽｶﾊﾞﾘｰｽﾎﾟｰﾂ HSE</t>
    <phoneticPr fontId="13"/>
  </si>
  <si>
    <t>富山 330 せ 8136</t>
    <rPh sb="0" eb="2">
      <t>トヤマ</t>
    </rPh>
    <phoneticPr fontId="13"/>
  </si>
  <si>
    <t>A143001</t>
    <phoneticPr fontId="13"/>
  </si>
  <si>
    <t>SALCA2AG8HH693312</t>
    <phoneticPr fontId="13"/>
  </si>
  <si>
    <t>村田 雅文</t>
    <rPh sb="0" eb="2">
      <t>ムラタ</t>
    </rPh>
    <rPh sb="3" eb="5">
      <t>マサフミ</t>
    </rPh>
    <phoneticPr fontId="13"/>
  </si>
  <si>
    <t>27/7</t>
    <phoneticPr fontId="13"/>
  </si>
  <si>
    <t>ｱｽﾄﾝﾏｰﾃｨﾝV8 ｳﾞｧﾝﾃｰｼﾞ</t>
    <phoneticPr fontId="13"/>
  </si>
  <si>
    <t>筑豊 331 は 929</t>
    <rPh sb="0" eb="2">
      <t>チクホウ</t>
    </rPh>
    <phoneticPr fontId="13"/>
  </si>
  <si>
    <t>保証書 取説 ｶﾞﾗｽｷｰ</t>
    <rPh sb="0" eb="3">
      <t>ホショウショ</t>
    </rPh>
    <rPh sb="4" eb="6">
      <t>トリセツ</t>
    </rPh>
    <phoneticPr fontId="13"/>
  </si>
  <si>
    <t>301 て 8181</t>
    <phoneticPr fontId="13"/>
  </si>
  <si>
    <t>SCFEJBAKJFGC19507</t>
    <phoneticPr fontId="13"/>
  </si>
  <si>
    <t>株式会社久恒組</t>
    <rPh sb="0" eb="4">
      <t>カブシキガイシャ</t>
    </rPh>
    <rPh sb="4" eb="5">
      <t>ヒサ</t>
    </rPh>
    <rPh sb="5" eb="6">
      <t>コウ</t>
    </rPh>
    <rPh sb="6" eb="7">
      <t>クミ</t>
    </rPh>
    <phoneticPr fontId="13"/>
  </si>
  <si>
    <t>9/22</t>
    <phoneticPr fontId="13"/>
  </si>
  <si>
    <t>BMW530Iﾂｰﾘﾝｸﾞ Mｽﾎﾟｰﾂ</t>
    <phoneticPr fontId="13"/>
  </si>
  <si>
    <t>神戸 329 み 7279</t>
    <rPh sb="0" eb="2">
      <t>コウベ</t>
    </rPh>
    <phoneticPr fontId="13"/>
  </si>
  <si>
    <t>WBAJL32040G635396</t>
    <phoneticPr fontId="13"/>
  </si>
  <si>
    <t>10/1</t>
    <phoneticPr fontId="13"/>
  </si>
  <si>
    <t>盛岡 310 さ 3732</t>
    <rPh sb="0" eb="2">
      <t>モリオカ</t>
    </rPh>
    <phoneticPr fontId="13"/>
  </si>
  <si>
    <t>WMWXM520803A55310</t>
    <phoneticPr fontId="13"/>
  </si>
  <si>
    <t>株式会社ﾉｰｽﾌﾛﾝﾃｨｱ</t>
    <rPh sb="0" eb="4">
      <t>カブシキガイシャ</t>
    </rPh>
    <phoneticPr fontId="13"/>
  </si>
  <si>
    <t>10/6</t>
    <phoneticPr fontId="13"/>
  </si>
  <si>
    <t>26/1</t>
    <phoneticPr fontId="13"/>
  </si>
  <si>
    <t>N BOX G SSﾊﾟｯｹｰｼﾞ</t>
    <phoneticPr fontId="13"/>
  </si>
  <si>
    <t>なにわ 583 ね 412</t>
    <phoneticPr fontId="13"/>
  </si>
  <si>
    <t>581 ま 2285</t>
    <phoneticPr fontId="13"/>
  </si>
  <si>
    <t>ﾐﾗｲﾌﾞ大阪(AS)</t>
    <rPh sb="5" eb="7">
      <t>オオサカ</t>
    </rPh>
    <phoneticPr fontId="13"/>
  </si>
  <si>
    <t>JF1-1324950</t>
    <phoneticPr fontId="13"/>
  </si>
  <si>
    <t>北幅 愛</t>
    <rPh sb="0" eb="2">
      <t>キタハバ</t>
    </rPh>
    <rPh sb="3" eb="4">
      <t>アイ</t>
    </rPh>
    <phoneticPr fontId="13"/>
  </si>
  <si>
    <t>10/13</t>
    <phoneticPr fontId="13"/>
  </si>
  <si>
    <t>保証書 ｷｰﾚｽ(ﾒｶｷｰ無)</t>
    <rPh sb="0" eb="3">
      <t>ホショウショ</t>
    </rPh>
    <rPh sb="13" eb="14">
      <t>ナシ</t>
    </rPh>
    <phoneticPr fontId="13"/>
  </si>
  <si>
    <t>16/2</t>
    <phoneticPr fontId="13"/>
  </si>
  <si>
    <t>ﾗﾝﾄﾞﾛｰﾊﾞｰﾃﾞｨｽｶﾊﾞﾘｰ</t>
    <phoneticPr fontId="13"/>
  </si>
  <si>
    <t>山梨 300 て 2844</t>
    <rPh sb="0" eb="2">
      <t>ヤマナシ</t>
    </rPh>
    <phoneticPr fontId="13"/>
  </si>
  <si>
    <t>SALLTAMP34A842663</t>
    <phoneticPr fontId="13"/>
  </si>
  <si>
    <t>望月 一人</t>
    <rPh sb="0" eb="2">
      <t>モチヅキ</t>
    </rPh>
    <rPh sb="3" eb="5">
      <t>ヒトリ</t>
    </rPh>
    <phoneticPr fontId="13"/>
  </si>
  <si>
    <t>10/18</t>
    <phoneticPr fontId="13"/>
  </si>
  <si>
    <t>保証書 取説 ｽﾍﾟｱｷｰ（ﾎﾞﾀﾝ壊れてる） ﾜﾝｵｰﾅｰ</t>
    <rPh sb="0" eb="3">
      <t>ホショウショ</t>
    </rPh>
    <rPh sb="4" eb="6">
      <t>トリセツ</t>
    </rPh>
    <rPh sb="18" eb="19">
      <t>コワ</t>
    </rPh>
    <phoneticPr fontId="13"/>
  </si>
  <si>
    <t>10月抹消済</t>
  </si>
  <si>
    <t>BMWﾐﾆｸｰﾊﾟｰSD ｸﾛｽｵｰﾊﾞｰｵｰﾙ4</t>
    <phoneticPr fontId="13"/>
  </si>
  <si>
    <t>なにわ 326 め 9781</t>
    <phoneticPr fontId="13"/>
  </si>
  <si>
    <t>WMWYU520703D54985</t>
    <phoneticPr fontId="13"/>
  </si>
  <si>
    <t>ﾄﾖﾀｶﾛｰﾗ新大阪株式会社</t>
    <rPh sb="7" eb="14">
      <t>シンオオサカカブシキガイシャ</t>
    </rPh>
    <phoneticPr fontId="13"/>
  </si>
  <si>
    <t>28/3</t>
    <phoneticPr fontId="13"/>
  </si>
  <si>
    <t>ｱｳﾃﾞｨRS6ｱﾊﾞﾝﾄ</t>
    <phoneticPr fontId="13"/>
  </si>
  <si>
    <t>宇都宮 335 ふ 555</t>
    <rPh sb="0" eb="3">
      <t>ウツノミヤ</t>
    </rPh>
    <phoneticPr fontId="13"/>
  </si>
  <si>
    <t>A152371</t>
    <phoneticPr fontId="13"/>
  </si>
  <si>
    <t>ﾌﾞﾗｯｸ</t>
    <phoneticPr fontId="13"/>
  </si>
  <si>
    <t>WUAZZZ4G0GN903516</t>
    <phoneticPr fontId="13"/>
  </si>
  <si>
    <t>大塚 裕紀</t>
    <rPh sb="0" eb="2">
      <t>オオツカ</t>
    </rPh>
    <rPh sb="3" eb="4">
      <t>ヒロ</t>
    </rPh>
    <rPh sb="4" eb="5">
      <t>キ</t>
    </rPh>
    <phoneticPr fontId="13"/>
  </si>
  <si>
    <t>11/12</t>
    <phoneticPr fontId="13"/>
  </si>
  <si>
    <t>2/10</t>
    <phoneticPr fontId="13"/>
  </si>
  <si>
    <t>ﾌﾟｼﾞｮｰ208 GTﾗｲﾝ</t>
    <phoneticPr fontId="13"/>
  </si>
  <si>
    <t>宮崎 330 り 3751</t>
    <rPh sb="0" eb="2">
      <t>ミヤザキ</t>
    </rPh>
    <phoneticPr fontId="13"/>
  </si>
  <si>
    <t>301 と 422</t>
    <phoneticPr fontId="13"/>
  </si>
  <si>
    <t>JU福岡(まとめ)</t>
    <rPh sb="2" eb="4">
      <t>フクオカ</t>
    </rPh>
    <phoneticPr fontId="13"/>
  </si>
  <si>
    <t>VR3UPHNKSLT078789</t>
    <phoneticPr fontId="13"/>
  </si>
  <si>
    <t>株式会社ﾌｧｰﾚﾝ九州</t>
    <rPh sb="0" eb="4">
      <t>カブシキガイシャ</t>
    </rPh>
    <rPh sb="9" eb="11">
      <t>キュウシュウ</t>
    </rPh>
    <phoneticPr fontId="13"/>
  </si>
  <si>
    <t>11/10</t>
    <phoneticPr fontId="13"/>
  </si>
  <si>
    <t>保証書 取説 ｷｰﾚｽ(車内)</t>
    <rPh sb="0" eb="3">
      <t>ホショウショ</t>
    </rPh>
    <rPh sb="4" eb="6">
      <t>トリセツ</t>
    </rPh>
    <phoneticPr fontId="13"/>
  </si>
  <si>
    <t>30/8</t>
    <phoneticPr fontId="13"/>
  </si>
  <si>
    <t>大阪 303 ほ 4690</t>
    <rPh sb="0" eb="2">
      <t>オオサカ</t>
    </rPh>
    <phoneticPr fontId="13"/>
  </si>
  <si>
    <t>保証書 取説 ｽﾏｰﾄｷｰ ﾜﾝｵｰﾅｰ</t>
    <rPh sb="0" eb="3">
      <t>ホショウショ</t>
    </rPh>
    <rPh sb="4" eb="6">
      <t>トリセツ</t>
    </rPh>
    <phoneticPr fontId="13"/>
  </si>
  <si>
    <t>301 て 9803</t>
    <phoneticPr fontId="13"/>
  </si>
  <si>
    <t>ﾐﾗｲﾌﾞ大阪(ｱｲｵｰｸ)</t>
    <rPh sb="5" eb="7">
      <t>オオサカ</t>
    </rPh>
    <phoneticPr fontId="13"/>
  </si>
  <si>
    <t>WMWXN920902H65388</t>
    <phoneticPr fontId="13"/>
  </si>
  <si>
    <t>大阪ﾏﾂﾀﾞ販売株式会社</t>
    <rPh sb="0" eb="2">
      <t>オオサカ</t>
    </rPh>
    <rPh sb="6" eb="8">
      <t>ハンバイ</t>
    </rPh>
    <rPh sb="8" eb="12">
      <t>カブシキガイシャ</t>
    </rPh>
    <phoneticPr fontId="13"/>
  </si>
  <si>
    <t>11/24</t>
    <phoneticPr fontId="13"/>
  </si>
  <si>
    <t>ﾗﾝﾄﾞﾛｰﾊﾞｰﾃﾞｨｽｶﾊﾞﾘｰ4WD</t>
    <phoneticPr fontId="13"/>
  </si>
  <si>
    <t>なにわ 326 も 5158</t>
    <phoneticPr fontId="13"/>
  </si>
  <si>
    <t>緑</t>
    <rPh sb="0" eb="1">
      <t>ミドリ</t>
    </rPh>
    <phoneticPr fontId="13"/>
  </si>
  <si>
    <t>SALLT-AMP34A829923</t>
    <phoneticPr fontId="13"/>
  </si>
  <si>
    <t>株式会社ﾗｸﾞｻﾞｽ･ｸﾘｴｲﾄ</t>
    <rPh sb="0" eb="4">
      <t>カブシキガイシャ</t>
    </rPh>
    <phoneticPr fontId="13"/>
  </si>
  <si>
    <t>11/17</t>
    <phoneticPr fontId="13"/>
  </si>
  <si>
    <t>BMW X5ｘﾄﾞﾗｲﾌﾞ35ｄ Mｽﾎﾟｰﾂ</t>
    <phoneticPr fontId="13"/>
  </si>
  <si>
    <t>6/7</t>
    <phoneticPr fontId="13"/>
  </si>
  <si>
    <t>神戸 304 と 741</t>
    <rPh sb="0" eb="2">
      <t>コウベ</t>
    </rPh>
    <phoneticPr fontId="13"/>
  </si>
  <si>
    <t>301 と 418</t>
    <phoneticPr fontId="13"/>
  </si>
  <si>
    <t>ﾐﾈﾗﾙﾎﾜｲﾄ</t>
    <phoneticPr fontId="13"/>
  </si>
  <si>
    <t>WBAKS420900J70300</t>
    <phoneticPr fontId="13"/>
  </si>
  <si>
    <t>株式会社ﾔﾅｾ</t>
    <phoneticPr fontId="13"/>
  </si>
  <si>
    <t>11/22</t>
    <phoneticPr fontId="13"/>
  </si>
  <si>
    <t>ﾗﾝﾄﾞﾛｰﾊﾞｰ ﾃﾞｨｽｶﾊﾞﾘｰ4 SE</t>
    <phoneticPr fontId="13"/>
  </si>
  <si>
    <t>熊本 399 そ 5336</t>
    <rPh sb="0" eb="2">
      <t>クマモト</t>
    </rPh>
    <phoneticPr fontId="13"/>
  </si>
  <si>
    <t>SALLAJAD3A654588</t>
    <phoneticPr fontId="13"/>
  </si>
  <si>
    <t>株式会社 IDOM</t>
    <rPh sb="0" eb="4">
      <t>カブシキカイシャ</t>
    </rPh>
    <phoneticPr fontId="13"/>
  </si>
  <si>
    <t>11/25</t>
    <phoneticPr fontId="13"/>
  </si>
  <si>
    <t>BMW M3 ｾﾀﾞﾝ ｺﾝﾍﾟﾃｨｼｮﾝ</t>
    <phoneticPr fontId="13"/>
  </si>
  <si>
    <t>6/10</t>
    <phoneticPr fontId="13"/>
  </si>
  <si>
    <t>品川 32C な    3</t>
    <rPh sb="0" eb="2">
      <t>シナガワ</t>
    </rPh>
    <phoneticPr fontId="13"/>
  </si>
  <si>
    <t>301 と 1347</t>
    <phoneticPr fontId="13"/>
  </si>
  <si>
    <t>A155476</t>
    <phoneticPr fontId="13"/>
  </si>
  <si>
    <t>WBS32AY0X0FL29375</t>
    <phoneticPr fontId="13"/>
  </si>
  <si>
    <t>株式会社 ｵﾘｴﾝﾄｺｰﾎﾟﾚｰｼｮﾝ</t>
    <rPh sb="0" eb="4">
      <t>カブシキカイシャ</t>
    </rPh>
    <phoneticPr fontId="13"/>
  </si>
  <si>
    <t>ｷｰﾚｽ ｶｰﾄﾞｷｰ(車内)  保証書 取説 ﾜﾝｵｰﾅｰ</t>
    <rPh sb="17" eb="20">
      <t>ホショウショ</t>
    </rPh>
    <rPh sb="21" eb="23">
      <t>トリセツ</t>
    </rPh>
    <phoneticPr fontId="13"/>
  </si>
  <si>
    <t>10月抹消済</t>
    <rPh sb="2" eb="3">
      <t>ガツ</t>
    </rPh>
    <rPh sb="3" eb="5">
      <t>マッショウ</t>
    </rPh>
    <rPh sb="5" eb="6">
      <t>ズ</t>
    </rPh>
    <phoneticPr fontId="13"/>
  </si>
  <si>
    <t>30/2</t>
    <phoneticPr fontId="13"/>
  </si>
  <si>
    <t>BMWﾐﾆｸｰﾊﾟｰSD ｸﾛｽｵｰﾊﾞｰ ｵｰﾙ4</t>
    <phoneticPr fontId="13"/>
  </si>
  <si>
    <t>宇都宮 301 み 5034</t>
    <rPh sb="0" eb="3">
      <t>ウツノミヤ</t>
    </rPh>
    <phoneticPr fontId="13"/>
  </si>
  <si>
    <t>WMWYU520403D55348</t>
    <phoneticPr fontId="13"/>
  </si>
  <si>
    <t>株式会社｣ﾃｨｰｴﾑｼｰ</t>
    <rPh sb="0" eb="4">
      <t>カブシキガイシャ</t>
    </rPh>
    <phoneticPr fontId="13"/>
  </si>
  <si>
    <t>12/1</t>
    <phoneticPr fontId="13"/>
  </si>
  <si>
    <t>保証書 手帳 取説 ｷｰﾚｽ ﾜﾝｵｰﾅｰ</t>
    <rPh sb="0" eb="3">
      <t>ホショウショ</t>
    </rPh>
    <rPh sb="4" eb="6">
      <t>テチョウ</t>
    </rPh>
    <rPh sb="7" eb="9">
      <t>トリセツ</t>
    </rPh>
    <phoneticPr fontId="13"/>
  </si>
  <si>
    <t>12月抹消済</t>
    <rPh sb="2" eb="3">
      <t>ガツ</t>
    </rPh>
    <rPh sb="3" eb="6">
      <t>マッショウズ</t>
    </rPh>
    <phoneticPr fontId="13"/>
  </si>
  <si>
    <t>ﾗﾝﾄﾞﾛｰﾊﾞｰ ｲｳﾞｫｰｸﾞ HSE ﾀﾞｲﾅﾐｯｸ</t>
    <phoneticPr fontId="13"/>
  </si>
  <si>
    <t>5/10/5</t>
    <phoneticPr fontId="13"/>
  </si>
  <si>
    <t>横浜 343 ほ 924</t>
    <rPh sb="0" eb="2">
      <t>ヨコハマ</t>
    </rPh>
    <phoneticPr fontId="13"/>
  </si>
  <si>
    <t>301 と 1341</t>
    <phoneticPr fontId="13"/>
  </si>
  <si>
    <t>SALVA2AG2GH144499</t>
    <phoneticPr fontId="13"/>
  </si>
  <si>
    <t>12/4</t>
    <phoneticPr fontId="13"/>
  </si>
  <si>
    <t>6月抹消済</t>
    <rPh sb="1" eb="2">
      <t>ガツ</t>
    </rPh>
    <rPh sb="2" eb="4">
      <t>マッショウ</t>
    </rPh>
    <rPh sb="4" eb="5">
      <t>ズ</t>
    </rPh>
    <phoneticPr fontId="13"/>
  </si>
  <si>
    <t>BMW X6 XDrive 35d Mｽﾎﾟｰﾂ</t>
    <phoneticPr fontId="13"/>
  </si>
  <si>
    <t>名古屋 307 ち 6067</t>
    <rPh sb="0" eb="3">
      <t>ナゴヤ</t>
    </rPh>
    <phoneticPr fontId="13"/>
  </si>
  <si>
    <t>375 す 6</t>
    <phoneticPr fontId="13"/>
  </si>
  <si>
    <t>WBAGT220309D78923</t>
    <phoneticPr fontId="13"/>
  </si>
  <si>
    <t>ﾖｼﾀﾞ自動車株式会社</t>
    <rPh sb="4" eb="7">
      <t>ジドウシャ</t>
    </rPh>
    <rPh sb="7" eb="11">
      <t>カブシキガイシャ</t>
    </rPh>
    <phoneticPr fontId="13"/>
  </si>
  <si>
    <t>12/8</t>
    <phoneticPr fontId="13"/>
  </si>
  <si>
    <t>ｷｰﾚｽ (車内）  保証書 取説 ｶｰﾄﾞ型ｷｰ ﾜﾝｵｰﾅｰ</t>
    <rPh sb="6" eb="8">
      <t>シャナイ</t>
    </rPh>
    <rPh sb="11" eb="14">
      <t>ホショウショ</t>
    </rPh>
    <rPh sb="15" eb="17">
      <t>トリセツ</t>
    </rPh>
    <rPh sb="22" eb="23">
      <t>ガタ</t>
    </rPh>
    <phoneticPr fontId="13"/>
  </si>
  <si>
    <t>VW ｺﾞﾙﾌｳﾞｧﾘｱﾝﾄ TSI Rﾗｲﾝ</t>
    <phoneticPr fontId="13"/>
  </si>
  <si>
    <t>一宮 300 わ 2202</t>
    <rPh sb="0" eb="2">
      <t>イチノミヤ</t>
    </rPh>
    <phoneticPr fontId="13"/>
  </si>
  <si>
    <t>WVWZZZAUZHP515812</t>
    <phoneticPr fontId="13"/>
  </si>
  <si>
    <t>株式会社Rev</t>
    <rPh sb="0" eb="4">
      <t>カブシキガイシャ</t>
    </rPh>
    <phoneticPr fontId="13"/>
  </si>
  <si>
    <t>保証書 ﾅﾋﾞ取 ｷｰﾚｽ その他部品 ﾚﾝﾀｶｰ</t>
    <rPh sb="0" eb="3">
      <t>ホショウショ</t>
    </rPh>
    <rPh sb="7" eb="8">
      <t>トリ</t>
    </rPh>
    <rPh sb="16" eb="19">
      <t>タブヒン</t>
    </rPh>
    <phoneticPr fontId="13"/>
  </si>
  <si>
    <t>BMW M2 ﾍﾞｰｽｸﾞﾚｰﾄﾞ</t>
    <phoneticPr fontId="13"/>
  </si>
  <si>
    <t>鳥取 347 ち 358</t>
    <rPh sb="0" eb="2">
      <t>トットリ</t>
    </rPh>
    <phoneticPr fontId="13"/>
  </si>
  <si>
    <t>301 と 1344</t>
    <phoneticPr fontId="13"/>
  </si>
  <si>
    <t>WBS1H92030V818137</t>
    <phoneticPr fontId="13"/>
  </si>
  <si>
    <t>鳥取ﾄﾖﾀ自動車株式会社</t>
    <rPh sb="0" eb="2">
      <t>トットリ</t>
    </rPh>
    <rPh sb="5" eb="8">
      <t>ジドウシャ</t>
    </rPh>
    <rPh sb="8" eb="12">
      <t>カブシキガイシャ</t>
    </rPh>
    <phoneticPr fontId="13"/>
  </si>
  <si>
    <t>12/13</t>
    <phoneticPr fontId="13"/>
  </si>
  <si>
    <t>保証書 取説(車内)</t>
    <rPh sb="0" eb="3">
      <t>ホショウショ</t>
    </rPh>
    <rPh sb="4" eb="6">
      <t>トリセツ</t>
    </rPh>
    <rPh sb="7" eb="9">
      <t>シャナイ</t>
    </rPh>
    <phoneticPr fontId="13"/>
  </si>
  <si>
    <t>6月抹消済</t>
    <rPh sb="1" eb="2">
      <t>ガツ</t>
    </rPh>
    <rPh sb="2" eb="5">
      <t>マッショウズ</t>
    </rPh>
    <phoneticPr fontId="13"/>
  </si>
  <si>
    <t>BMW M4ｸｰﾍﾟｺﾝﾍﾟﾃｨｼｮﾝ</t>
    <phoneticPr fontId="13"/>
  </si>
  <si>
    <t>6/5</t>
    <phoneticPr fontId="13"/>
  </si>
  <si>
    <t>京都 323 ほ 358</t>
    <rPh sb="0" eb="2">
      <t>キョウト</t>
    </rPh>
    <phoneticPr fontId="13"/>
  </si>
  <si>
    <t>32X ね 5</t>
    <phoneticPr fontId="13"/>
  </si>
  <si>
    <t>WBS32AZ070CG71255</t>
    <phoneticPr fontId="13"/>
  </si>
  <si>
    <t>株式会社 ｵｰﾄｾﾞｽﾄ</t>
    <rPh sb="0" eb="4">
      <t>カブシキガイシャ</t>
    </rPh>
    <phoneticPr fontId="13"/>
  </si>
  <si>
    <t>保証書 取説 ﾃﾞｨｽﾌﾟﾚｲｷｰ 記録OK</t>
    <rPh sb="0" eb="3">
      <t>ホショウショ</t>
    </rPh>
    <rPh sb="4" eb="6">
      <t>トリセツ</t>
    </rPh>
    <rPh sb="18" eb="20">
      <t>キロク</t>
    </rPh>
    <phoneticPr fontId="13"/>
  </si>
  <si>
    <t>ﾌﾟｼﾞｮｰ208 GT 5HB</t>
    <phoneticPr fontId="13"/>
  </si>
  <si>
    <t>三重 331 ち 2026</t>
    <rPh sb="0" eb="2">
      <t>ミエ</t>
    </rPh>
    <phoneticPr fontId="13"/>
  </si>
  <si>
    <t>301 と 872</t>
    <phoneticPr fontId="13"/>
  </si>
  <si>
    <t>ｲｴﾛｰⅡ</t>
    <phoneticPr fontId="13"/>
  </si>
  <si>
    <t>VR3UPHNKSMT032107</t>
    <phoneticPr fontId="13"/>
  </si>
  <si>
    <t>12/29</t>
    <phoneticPr fontId="13"/>
  </si>
  <si>
    <t xml:space="preserve"> 抹消済</t>
    <rPh sb="1" eb="3">
      <t>マッショウ</t>
    </rPh>
    <rPh sb="3" eb="4">
      <t>ズ</t>
    </rPh>
    <phoneticPr fontId="13"/>
  </si>
  <si>
    <t>ｼﾞｬｶﾞｰXF ﾌﾟﾚｽﾃｰｼﾞ25T</t>
    <phoneticPr fontId="13"/>
  </si>
  <si>
    <t>奈良 368 み 9</t>
    <rPh sb="0" eb="2">
      <t>ナラ</t>
    </rPh>
    <phoneticPr fontId="13"/>
  </si>
  <si>
    <t>JU奈良(まとめ)</t>
    <rPh sb="2" eb="4">
      <t>ナラ</t>
    </rPh>
    <phoneticPr fontId="13"/>
  </si>
  <si>
    <t>ｱﾙﾃｨﾒｯﾄﾌﾞﾗｯｸ</t>
    <phoneticPr fontId="13"/>
  </si>
  <si>
    <t>SAJBB4AG1GCY14982</t>
    <phoneticPr fontId="13"/>
  </si>
  <si>
    <t>米田 勝</t>
    <rPh sb="0" eb="2">
      <t>ヨネダ</t>
    </rPh>
    <rPh sb="3" eb="4">
      <t>マサル</t>
    </rPh>
    <phoneticPr fontId="13"/>
  </si>
  <si>
    <t>H1/4</t>
    <phoneticPr fontId="13"/>
  </si>
  <si>
    <t>MﾍﾞﾝﾂSL 300SL</t>
    <phoneticPr fontId="13"/>
  </si>
  <si>
    <t>品川 301 ね 5896</t>
    <rPh sb="0" eb="2">
      <t>シナガワ</t>
    </rPh>
    <phoneticPr fontId="13"/>
  </si>
  <si>
    <t>A162647</t>
    <phoneticPr fontId="13"/>
  </si>
  <si>
    <t>WDB1070411A098680</t>
    <phoneticPr fontId="13"/>
  </si>
  <si>
    <t>山崎 冨美子</t>
    <rPh sb="0" eb="2">
      <t>ヤマザキ</t>
    </rPh>
    <rPh sb="3" eb="6">
      <t>トミコ</t>
    </rPh>
    <phoneticPr fontId="13"/>
  </si>
  <si>
    <t>2/12</t>
    <phoneticPr fontId="13"/>
  </si>
  <si>
    <t>取説 記録15枚 ｽﾍﾟｱｷｰX2</t>
    <rPh sb="0" eb="2">
      <t>トリセツ</t>
    </rPh>
    <rPh sb="3" eb="5">
      <t>キロク</t>
    </rPh>
    <rPh sb="7" eb="8">
      <t>マイ</t>
    </rPh>
    <phoneticPr fontId="13"/>
  </si>
  <si>
    <t>2月抹消済</t>
    <rPh sb="1" eb="5">
      <t>ガツマッショウズミ</t>
    </rPh>
    <phoneticPr fontId="13"/>
  </si>
  <si>
    <t>30/7</t>
    <phoneticPr fontId="13"/>
  </si>
  <si>
    <t>BMW320dﾂｰﾘﾝｸﾞ MｽﾎﾟｰﾂEDｼｬﾄﾞｳ</t>
    <phoneticPr fontId="13"/>
  </si>
  <si>
    <t>横浜 305 ふ 6492</t>
    <rPh sb="0" eb="2">
      <t>ヨコハマ</t>
    </rPh>
    <phoneticPr fontId="13"/>
  </si>
  <si>
    <t>WBA8H920X0A263780</t>
    <phoneticPr fontId="13"/>
  </si>
  <si>
    <t>株式会社 ﾃﾞｽﾃｨｰﾉ</t>
    <rPh sb="0" eb="4">
      <t>カブシキガイシャ</t>
    </rPh>
    <phoneticPr fontId="13"/>
  </si>
  <si>
    <t>ｷｰﾚｽ(車内)  保証書 取説</t>
    <rPh sb="10" eb="13">
      <t>ホショウショ</t>
    </rPh>
    <rPh sb="14" eb="16">
      <t>トリセツ</t>
    </rPh>
    <phoneticPr fontId="13"/>
  </si>
  <si>
    <t>名古屋 336 そ 3100</t>
    <rPh sb="0" eb="3">
      <t>ナゴヤ</t>
    </rPh>
    <phoneticPr fontId="13"/>
  </si>
  <si>
    <t>SAJBB4AG3GCY14594</t>
    <phoneticPr fontId="13"/>
  </si>
  <si>
    <t>株式会社ﾎﾜｲﾄﾊｳｽ</t>
    <rPh sb="0" eb="4">
      <t>カブシキガイシャ</t>
    </rPh>
    <phoneticPr fontId="13"/>
  </si>
  <si>
    <t>1/19</t>
    <phoneticPr fontId="13"/>
  </si>
  <si>
    <t>ｷｰﾚｽ(車内) 保証書 取説</t>
    <rPh sb="9" eb="12">
      <t>ホショウショ</t>
    </rPh>
    <rPh sb="13" eb="15">
      <t>トリセツ</t>
    </rPh>
    <phoneticPr fontId="13"/>
  </si>
  <si>
    <t>BMWﾐﾆ ｼﾞｮﾝｸｰﾊﾟｰﾜｰｸｽ</t>
    <phoneticPr fontId="13"/>
  </si>
  <si>
    <t>なにわ 330 た 2995</t>
    <phoneticPr fontId="13"/>
  </si>
  <si>
    <t>301 と 1933</t>
    <phoneticPr fontId="13"/>
  </si>
  <si>
    <t>WMWXM920X02F19078</t>
    <phoneticPr fontId="13"/>
  </si>
  <si>
    <t>1/31</t>
    <phoneticPr fontId="13"/>
  </si>
  <si>
    <t>ｼﾞｬｶﾞｰXF 25Tﾌﾟﾚｽﾃｰｼﾞ</t>
    <phoneticPr fontId="13"/>
  </si>
  <si>
    <t>岐阜 333 ち 863</t>
    <rPh sb="0" eb="2">
      <t>ギフ</t>
    </rPh>
    <phoneticPr fontId="13"/>
  </si>
  <si>
    <t>301 と 2648</t>
    <phoneticPr fontId="13"/>
  </si>
  <si>
    <t>SAJBB4AG3GCY18743</t>
    <phoneticPr fontId="13"/>
  </si>
  <si>
    <t>株式会社ｼﾞｬｯｸｽ</t>
    <rPh sb="0" eb="4">
      <t>カブシキガイシャ</t>
    </rPh>
    <phoneticPr fontId="13"/>
  </si>
  <si>
    <t>29/11</t>
    <phoneticPr fontId="13"/>
  </si>
  <si>
    <t>ﾎﾟﾙｼｪﾏｶﾝS</t>
    <phoneticPr fontId="13"/>
  </si>
  <si>
    <t>福岡 331 ろ 1305</t>
    <rPh sb="0" eb="2">
      <t>フクオカ</t>
    </rPh>
    <phoneticPr fontId="13"/>
  </si>
  <si>
    <t>ﾌﾞﾗｳﾝ</t>
    <phoneticPr fontId="13"/>
  </si>
  <si>
    <t>WP1ZZZ95ZJLB31201</t>
    <phoneticPr fontId="13"/>
  </si>
  <si>
    <t>原田 明治</t>
    <rPh sb="0" eb="2">
      <t>ハラダ</t>
    </rPh>
    <rPh sb="3" eb="5">
      <t>メイジ</t>
    </rPh>
    <phoneticPr fontId="13"/>
  </si>
  <si>
    <t xml:space="preserve">保証書 取説 ｷｰﾚｽ ﾘﾓｺﾝ（ｺﾑﾃｯｸ） </t>
    <rPh sb="0" eb="3">
      <t>ホショウショ</t>
    </rPh>
    <rPh sb="4" eb="6">
      <t>トリセツ</t>
    </rPh>
    <phoneticPr fontId="13"/>
  </si>
  <si>
    <t>2/3</t>
    <phoneticPr fontId="13"/>
  </si>
  <si>
    <t>BMWﾐﾆｸｰﾊﾟｰS ﾍﾞｰｽｸﾞﾚｰﾄﾞ</t>
    <phoneticPr fontId="13"/>
  </si>
  <si>
    <t>名古屋 355 る 718</t>
    <rPh sb="0" eb="3">
      <t>ナゴヤ</t>
    </rPh>
    <phoneticPr fontId="13"/>
  </si>
  <si>
    <t>WMWXU920X02M46324</t>
    <phoneticPr fontId="13"/>
  </si>
  <si>
    <t>2月抹消済</t>
    <rPh sb="1" eb="4">
      <t>ガツマッショウ</t>
    </rPh>
    <rPh sb="4" eb="5">
      <t>ズ</t>
    </rPh>
    <phoneticPr fontId="13"/>
  </si>
  <si>
    <t>ｼﾄﾛｴﾝC4 ｸﾞﾗﾝﾄﾞﾋﾟｶｿ</t>
    <phoneticPr fontId="13"/>
  </si>
  <si>
    <t>滋賀 301 に 179</t>
    <rPh sb="0" eb="2">
      <t>シガ</t>
    </rPh>
    <phoneticPr fontId="13"/>
  </si>
  <si>
    <t>ｻｰﾌﾞﾙ</t>
    <phoneticPr fontId="13"/>
  </si>
  <si>
    <t>VF73AAHXTGJ834933</t>
    <phoneticPr fontId="13"/>
  </si>
  <si>
    <t>株式会社京磁ﾏﾂﾀﾞ</t>
    <rPh sb="0" eb="4">
      <t>カブシキガイシャ</t>
    </rPh>
    <rPh sb="4" eb="5">
      <t>キョウ</t>
    </rPh>
    <rPh sb="5" eb="6">
      <t>ジ</t>
    </rPh>
    <phoneticPr fontId="13"/>
  </si>
  <si>
    <t>2/16</t>
    <phoneticPr fontId="13"/>
  </si>
  <si>
    <t>24/1</t>
    <phoneticPr fontId="13"/>
  </si>
  <si>
    <t>ﾗﾝﾄﾞﾛｰﾊﾞｰ ﾚﾝｼﾞﾛｰﾊﾞｰｽﾎﾟｰﾂ ｵｰﾄﾊﾞｲｵｸﾞﾗ</t>
    <phoneticPr fontId="13"/>
  </si>
  <si>
    <t>板橋 300 さ 8092</t>
    <rPh sb="0" eb="2">
      <t>イタバシ</t>
    </rPh>
    <phoneticPr fontId="13"/>
  </si>
  <si>
    <t>SALLSJAE3CA726498</t>
    <phoneticPr fontId="13"/>
  </si>
  <si>
    <t>株式会社ﾄﾗｯﾄﾞｲﾝﾀｰﾅｼｮﾅﾙ</t>
    <rPh sb="0" eb="4">
      <t>カブシキカイシャ</t>
    </rPh>
    <phoneticPr fontId="13"/>
  </si>
  <si>
    <t>2/23</t>
    <phoneticPr fontId="13"/>
  </si>
  <si>
    <t>保証書 取説 ﾅﾋﾞ取 ｷｰﾚｽ ﾜﾝｵｰﾅｰ</t>
    <rPh sb="0" eb="3">
      <t>ホショウショ</t>
    </rPh>
    <rPh sb="4" eb="6">
      <t>トリセツ</t>
    </rPh>
    <rPh sb="10" eb="11">
      <t>トリ</t>
    </rPh>
    <phoneticPr fontId="13"/>
  </si>
  <si>
    <t>30/6</t>
    <phoneticPr fontId="13"/>
  </si>
  <si>
    <t>ｼﾞｬｶﾞｰ Fﾍﾟｲｽ S</t>
    <phoneticPr fontId="13"/>
  </si>
  <si>
    <t>なにわ 326 や 7958</t>
    <phoneticPr fontId="13"/>
  </si>
  <si>
    <t>SADCA2AV3JA278942</t>
    <phoneticPr fontId="13"/>
  </si>
  <si>
    <t>双日ｵｰﾄｸﾞﾙｰﾌﾟ大阪株式会社</t>
    <rPh sb="0" eb="1">
      <t>ソウ</t>
    </rPh>
    <rPh sb="1" eb="2">
      <t>ニチ</t>
    </rPh>
    <rPh sb="11" eb="13">
      <t>オオサカ</t>
    </rPh>
    <rPh sb="13" eb="17">
      <t>カブシキガイシャ</t>
    </rPh>
    <phoneticPr fontId="13"/>
  </si>
  <si>
    <t>2/28</t>
    <phoneticPr fontId="13"/>
  </si>
  <si>
    <t>ﾗﾝﾄﾞﾛｰﾊﾞｰ ﾃﾞｨｽｶﾊﾞﾘｰ HSEﾗｸﾞｼﾞｭｱﾘｰ</t>
    <phoneticPr fontId="13"/>
  </si>
  <si>
    <t>6/6</t>
    <phoneticPr fontId="13"/>
  </si>
  <si>
    <t>大阪 303 さ 9361</t>
    <rPh sb="0" eb="2">
      <t>オオサカ</t>
    </rPh>
    <phoneticPr fontId="13"/>
  </si>
  <si>
    <t>SALCA2AG3FH535053</t>
    <phoneticPr fontId="13"/>
  </si>
  <si>
    <t>株式会社IDOM</t>
    <rPh sb="0" eb="4">
      <t>カブシキカイシャ</t>
    </rPh>
    <phoneticPr fontId="13"/>
  </si>
  <si>
    <t>3/2</t>
    <phoneticPr fontId="13"/>
  </si>
  <si>
    <t xml:space="preserve">保証書 取説 ﾅﾋﾞ取 ｷｰﾚｽ </t>
    <rPh sb="0" eb="3">
      <t>ホショウショ</t>
    </rPh>
    <rPh sb="4" eb="6">
      <t>トリセツ</t>
    </rPh>
    <rPh sb="10" eb="11">
      <t>トリ</t>
    </rPh>
    <phoneticPr fontId="13"/>
  </si>
  <si>
    <t>25/8</t>
    <phoneticPr fontId="13"/>
  </si>
  <si>
    <t>ｼﾞｰﾌﾟﾗﾝｸﾞﾗｰｱﾝﾘﾐﾃｯﾄﾞ ﾙﾋﾞｺﾝ10Th</t>
    <phoneticPr fontId="13"/>
  </si>
  <si>
    <t>7/2</t>
    <phoneticPr fontId="13"/>
  </si>
  <si>
    <t>世田谷 300そ1681</t>
    <rPh sb="0" eb="3">
      <t>セタガヤ</t>
    </rPh>
    <phoneticPr fontId="13"/>
  </si>
  <si>
    <t>sellca</t>
    <phoneticPr fontId="13"/>
  </si>
  <si>
    <t>A168307</t>
    <phoneticPr fontId="13"/>
  </si>
  <si>
    <t>1C4HJWMG9DL675988</t>
    <phoneticPr fontId="13"/>
  </si>
  <si>
    <t>宮崎 陽介</t>
    <rPh sb="0" eb="2">
      <t>ミヤザキ</t>
    </rPh>
    <rPh sb="3" eb="5">
      <t>ヨウスケ</t>
    </rPh>
    <phoneticPr fontId="13"/>
  </si>
  <si>
    <t>3/18</t>
    <phoneticPr fontId="13"/>
  </si>
  <si>
    <t>保証書 取説 ｽﾍﾟｱｷｰ 印鑑証明１通不備</t>
    <rPh sb="0" eb="3">
      <t>ホショウショ</t>
    </rPh>
    <rPh sb="4" eb="6">
      <t>トリセツ</t>
    </rPh>
    <rPh sb="14" eb="18">
      <t>インカンショウメイ</t>
    </rPh>
    <rPh sb="19" eb="20">
      <t>ツウ</t>
    </rPh>
    <rPh sb="20" eb="22">
      <t>フビ</t>
    </rPh>
    <phoneticPr fontId="13"/>
  </si>
  <si>
    <t>23/5</t>
    <phoneticPr fontId="13"/>
  </si>
  <si>
    <t>ﾚﾝｼﾞﾛｰﾊﾞｰRSP 5.0V8</t>
    <phoneticPr fontId="13"/>
  </si>
  <si>
    <t>滋賀 301 ね 3400</t>
    <rPh sb="0" eb="2">
      <t>シガ</t>
    </rPh>
    <phoneticPr fontId="13"/>
  </si>
  <si>
    <t>SALLSJAD3BA281293</t>
    <phoneticPr fontId="13"/>
  </si>
  <si>
    <t>永田 真也</t>
    <rPh sb="0" eb="2">
      <t>ナガタ</t>
    </rPh>
    <rPh sb="3" eb="5">
      <t>シンヤ</t>
    </rPh>
    <phoneticPr fontId="13"/>
  </si>
  <si>
    <t>3/17</t>
    <phoneticPr fontId="13"/>
  </si>
  <si>
    <t>BMWﾐﾆ ｸｰﾊﾟｰSｸﾛｽｵｰﾊﾞｰ</t>
    <phoneticPr fontId="13"/>
  </si>
  <si>
    <t>久留米 399ち5285</t>
    <rPh sb="0" eb="3">
      <t>クルメ</t>
    </rPh>
    <phoneticPr fontId="13"/>
  </si>
  <si>
    <t>TAA九州</t>
    <rPh sb="3" eb="5">
      <t>キュウシュウ</t>
    </rPh>
    <phoneticPr fontId="13"/>
  </si>
  <si>
    <t>WMWYS920503E58680</t>
    <phoneticPr fontId="13"/>
  </si>
  <si>
    <t>株式会社 九州ﾏﾂﾀﾞ</t>
    <rPh sb="0" eb="4">
      <t>カブシキカイシャ</t>
    </rPh>
    <rPh sb="5" eb="7">
      <t>キュウシュウ</t>
    </rPh>
    <phoneticPr fontId="13"/>
  </si>
  <si>
    <t>3/21</t>
    <phoneticPr fontId="13"/>
  </si>
  <si>
    <t>ｼﾄﾛｴﾝC4ﾋﾟｶｿｼｬｲﾝﾌﾞﾙｰHDI</t>
    <phoneticPr fontId="13"/>
  </si>
  <si>
    <t>福島 330な5213</t>
    <rPh sb="0" eb="2">
      <t>フクシマ</t>
    </rPh>
    <phoneticPr fontId="13"/>
  </si>
  <si>
    <t>保証書 取説 ｽﾏｰﾄｷｰ</t>
    <rPh sb="0" eb="3">
      <t>ホショウショ</t>
    </rPh>
    <rPh sb="4" eb="6">
      <t>トリセツ</t>
    </rPh>
    <phoneticPr fontId="13"/>
  </si>
  <si>
    <t>VF73DAHXTG3910202</t>
    <phoneticPr fontId="13"/>
  </si>
  <si>
    <t>長沢 幸善</t>
    <rPh sb="0" eb="2">
      <t>ナガサワ</t>
    </rPh>
    <rPh sb="3" eb="4">
      <t>ユキ</t>
    </rPh>
    <rPh sb="4" eb="5">
      <t>ゼン</t>
    </rPh>
    <phoneticPr fontId="13"/>
  </si>
  <si>
    <t>3/26</t>
    <phoneticPr fontId="13"/>
  </si>
  <si>
    <t>ｽﾍﾟｱｷｰ抜いてます</t>
    <rPh sb="6" eb="7">
      <t>ヌ</t>
    </rPh>
    <phoneticPr fontId="13"/>
  </si>
  <si>
    <t>25/11</t>
    <phoneticPr fontId="13"/>
  </si>
  <si>
    <t>ﾚﾝｼﾞﾛｰﾊﾞｰｽﾎﾟｰﾂSE</t>
    <phoneticPr fontId="13"/>
  </si>
  <si>
    <t>岡山381た1</t>
    <rPh sb="0" eb="2">
      <t>オカヤマ</t>
    </rPh>
    <phoneticPr fontId="13"/>
  </si>
  <si>
    <t>SALWA2VE9EA313260</t>
    <phoneticPr fontId="13"/>
  </si>
  <si>
    <t>株式会社ｺﾝﾁﾈﾝﾄ</t>
    <rPh sb="0" eb="4">
      <t>カブシキガイシャ</t>
    </rPh>
    <phoneticPr fontId="13"/>
  </si>
  <si>
    <t>保証書 取説 ﾅﾋﾞ取</t>
    <rPh sb="0" eb="3">
      <t>ホショウショ</t>
    </rPh>
    <rPh sb="4" eb="6">
      <t>トリセツ</t>
    </rPh>
    <rPh sb="10" eb="11">
      <t>トリ</t>
    </rPh>
    <phoneticPr fontId="13"/>
  </si>
  <si>
    <t>ﾚﾝｼﾞﾛｰﾊﾞｰｽﾎﾟｰﾂ SE</t>
    <phoneticPr fontId="13"/>
  </si>
  <si>
    <t>浜松 301 や 8210</t>
    <rPh sb="0" eb="2">
      <t>ハママツ</t>
    </rPh>
    <phoneticPr fontId="13"/>
  </si>
  <si>
    <t>A174567</t>
    <phoneticPr fontId="13"/>
  </si>
  <si>
    <t>SALWA2VE7FA534115</t>
    <phoneticPr fontId="13"/>
  </si>
  <si>
    <t>4/27</t>
    <phoneticPr fontId="13"/>
  </si>
  <si>
    <t>取説 ﾅﾋﾞ取</t>
    <rPh sb="0" eb="2">
      <t>トリセツ</t>
    </rPh>
    <rPh sb="6" eb="7">
      <t>トリ</t>
    </rPh>
    <phoneticPr fontId="13"/>
  </si>
  <si>
    <t>練馬 346 ひ 1002</t>
    <rPh sb="0" eb="2">
      <t>ネリマ</t>
    </rPh>
    <phoneticPr fontId="13"/>
  </si>
  <si>
    <t>SAJBB4AG0HCY46338</t>
    <phoneticPr fontId="13"/>
  </si>
  <si>
    <t>入山 高行</t>
    <rPh sb="0" eb="2">
      <t>イリヤマ</t>
    </rPh>
    <rPh sb="3" eb="5">
      <t>タカユキ</t>
    </rPh>
    <phoneticPr fontId="13"/>
  </si>
  <si>
    <t>4/15</t>
    <phoneticPr fontId="13"/>
  </si>
  <si>
    <t>25/3</t>
    <phoneticPr fontId="13"/>
  </si>
  <si>
    <t>ﾗﾝﾄﾞﾛｰﾊﾞｰ ﾚﾝｼﾞﾛｰﾊﾞｰｲｳﾞｫｰｸﾞ ﾋﾟｭｱ</t>
    <phoneticPr fontId="13"/>
  </si>
  <si>
    <t>湘南 370 り 77</t>
    <rPh sb="0" eb="2">
      <t>ショウナン</t>
    </rPh>
    <phoneticPr fontId="13"/>
  </si>
  <si>
    <t>A179627</t>
    <phoneticPr fontId="13"/>
  </si>
  <si>
    <t>SALVA2AGXDH718956</t>
    <phoneticPr fontId="13"/>
  </si>
  <si>
    <t>杉山 明</t>
    <rPh sb="0" eb="2">
      <t>スギヤマ</t>
    </rPh>
    <rPh sb="3" eb="4">
      <t>アキラ</t>
    </rPh>
    <phoneticPr fontId="13"/>
  </si>
  <si>
    <t>5/14</t>
    <phoneticPr fontId="13"/>
  </si>
  <si>
    <t>ﾃﾞｲｽﾞﾙｰｸｽ ﾊｲｳｪｲｽﾀｰXGﾊﾟｯｹｰｼﾞ</t>
    <phoneticPr fontId="13"/>
  </si>
  <si>
    <t>6/12</t>
    <phoneticPr fontId="13"/>
  </si>
  <si>
    <t>川崎580ち9300</t>
    <rPh sb="0" eb="2">
      <t>カワサキ</t>
    </rPh>
    <phoneticPr fontId="13"/>
  </si>
  <si>
    <t>581 む 1451</t>
    <phoneticPr fontId="13"/>
  </si>
  <si>
    <t>ｾﾞﾛｶｰｾﾚ大阪（ｱｲ）</t>
    <rPh sb="7" eb="9">
      <t>オオサカ</t>
    </rPh>
    <phoneticPr fontId="13"/>
  </si>
  <si>
    <t>B21A-0217585</t>
    <phoneticPr fontId="13"/>
  </si>
  <si>
    <t>株式会社ｾﾞﾛ</t>
    <rPh sb="0" eb="4">
      <t>カブシキガイシャ</t>
    </rPh>
    <phoneticPr fontId="13"/>
  </si>
  <si>
    <t>5/20</t>
    <phoneticPr fontId="13"/>
  </si>
  <si>
    <t>LR ﾚﾝｼﾞﾛｰﾊﾞｰｽﾎﾟｰﾂ ｵｰﾄﾊﾞｲｵｸﾞﾗﾌｨｰｽﾎﾟｰﾂ</t>
    <phoneticPr fontId="13"/>
  </si>
  <si>
    <t>6/6/16</t>
    <phoneticPr fontId="13"/>
  </si>
  <si>
    <t>新潟 301 む 9801</t>
    <rPh sb="0" eb="2">
      <t>ニイガタ</t>
    </rPh>
    <phoneticPr fontId="13"/>
  </si>
  <si>
    <t>JU新潟</t>
    <rPh sb="2" eb="4">
      <t>ニイガタ</t>
    </rPh>
    <phoneticPr fontId="13"/>
  </si>
  <si>
    <t>SALLSJAE3BA292267</t>
    <phoneticPr fontId="13"/>
  </si>
  <si>
    <t>TQMｲﾝﾀｰﾅｼｮﾅﾙ株式会社</t>
    <rPh sb="12" eb="16">
      <t>カブシキガイシャ</t>
    </rPh>
    <phoneticPr fontId="13"/>
  </si>
  <si>
    <t>6/1</t>
    <phoneticPr fontId="13"/>
  </si>
  <si>
    <t xml:space="preserve">記録5枚 取説 ｷｰﾚｽ </t>
    <rPh sb="0" eb="2">
      <t>キロク</t>
    </rPh>
    <rPh sb="3" eb="4">
      <t>マイ</t>
    </rPh>
    <rPh sb="5" eb="7">
      <t>トリセツ</t>
    </rPh>
    <phoneticPr fontId="13"/>
  </si>
  <si>
    <t>ﾗﾝﾄﾞﾛｰﾊﾞｰ ﾚﾝｼﾞﾛｰﾊﾞｰｽﾎﾟｰﾂ 5.0 V8</t>
    <phoneticPr fontId="13"/>
  </si>
  <si>
    <t>宮崎300ゆ4261</t>
    <rPh sb="0" eb="2">
      <t>ミヤザキ</t>
    </rPh>
    <phoneticPr fontId="13"/>
  </si>
  <si>
    <t>JU福岡</t>
    <rPh sb="2" eb="4">
      <t>フクオカ</t>
    </rPh>
    <phoneticPr fontId="13"/>
  </si>
  <si>
    <t>SALLSJAD3DA797873</t>
    <phoneticPr fontId="13"/>
  </si>
  <si>
    <t>株式会社 ﾅｶﾑﾗ自動車</t>
    <rPh sb="0" eb="4">
      <t>カブシキカイシャ</t>
    </rPh>
    <rPh sb="9" eb="12">
      <t>ジドウシャ</t>
    </rPh>
    <phoneticPr fontId="13"/>
  </si>
  <si>
    <t>保証書 取説 ﾅﾋﾞ取 ｷｰﾚｽ（車内）</t>
    <rPh sb="0" eb="3">
      <t>ホショウショ</t>
    </rPh>
    <rPh sb="4" eb="6">
      <t>トリセツ</t>
    </rPh>
    <rPh sb="10" eb="11">
      <t>トリ</t>
    </rPh>
    <rPh sb="17" eb="19">
      <t>シャナイ</t>
    </rPh>
    <phoneticPr fontId="13"/>
  </si>
  <si>
    <t>BMW</t>
    <phoneticPr fontId="13"/>
  </si>
  <si>
    <t>品川 39A て 3177</t>
    <rPh sb="0" eb="2">
      <t>シナガワ</t>
    </rPh>
    <phoneticPr fontId="13"/>
  </si>
  <si>
    <t>JU福岡（まとめ）</t>
    <rPh sb="2" eb="4">
      <t>フクオカ</t>
    </rPh>
    <phoneticPr fontId="13"/>
  </si>
  <si>
    <t>WBA6A02000DZ12993</t>
    <phoneticPr fontId="13"/>
  </si>
  <si>
    <t>株式会社JCM</t>
    <rPh sb="0" eb="4">
      <t>カブシキガイシャ</t>
    </rPh>
    <phoneticPr fontId="13"/>
  </si>
  <si>
    <t>ｷｰﾚｽ</t>
    <phoneticPr fontId="13"/>
  </si>
  <si>
    <t>30/12</t>
    <phoneticPr fontId="13"/>
  </si>
  <si>
    <t>BMW X2 Xﾄﾞﾗｲﾌﾞ20I MｽﾎﾟｰﾂX</t>
    <phoneticPr fontId="13"/>
  </si>
  <si>
    <t>大阪363す39</t>
    <rPh sb="0" eb="2">
      <t>オオサカ</t>
    </rPh>
    <phoneticPr fontId="13"/>
  </si>
  <si>
    <t>A182977</t>
    <phoneticPr fontId="13"/>
  </si>
  <si>
    <t>WBAYH52090EK63268</t>
    <phoneticPr fontId="13"/>
  </si>
  <si>
    <t>山科 陽子</t>
    <rPh sb="0" eb="2">
      <t>ヤマシナ</t>
    </rPh>
    <rPh sb="3" eb="5">
      <t>ヨウコ</t>
    </rPh>
    <phoneticPr fontId="13"/>
  </si>
  <si>
    <t>7/16</t>
    <phoneticPr fontId="13"/>
  </si>
  <si>
    <t>保証書 取説 ﾜﾝｵｰﾅｰ ｷｰﾚｽ（車内）←ﾌﾞｯｸにいれて付属品部屋</t>
    <rPh sb="0" eb="3">
      <t>ホショウショ</t>
    </rPh>
    <rPh sb="4" eb="6">
      <t>トリセツ</t>
    </rPh>
    <rPh sb="19" eb="21">
      <t>シャナイ</t>
    </rPh>
    <rPh sb="31" eb="36">
      <t>フゾクヒンベヤ</t>
    </rPh>
    <phoneticPr fontId="13"/>
  </si>
  <si>
    <t>21/3</t>
    <phoneticPr fontId="13"/>
  </si>
  <si>
    <t>ﾗﾝﾄﾞﾛｰﾊﾞｰﾃﾞｨｽｶﾊﾞﾘｰⅢ 4WD S</t>
    <phoneticPr fontId="13"/>
  </si>
  <si>
    <t>6/10/10</t>
    <phoneticPr fontId="13"/>
  </si>
  <si>
    <t>函館 330 ふ 918</t>
    <rPh sb="0" eb="2">
      <t>ハコダテ</t>
    </rPh>
    <phoneticPr fontId="13"/>
  </si>
  <si>
    <t>USS札幌</t>
    <rPh sb="3" eb="5">
      <t>サッポロ</t>
    </rPh>
    <phoneticPr fontId="13"/>
  </si>
  <si>
    <t>SALLAJA438A458314</t>
    <phoneticPr fontId="13"/>
  </si>
  <si>
    <t>株式会社北日本ｵｰﾄﾊﾞｯｸｽ</t>
    <rPh sb="0" eb="4">
      <t>カブシキガイシャ</t>
    </rPh>
    <rPh sb="4" eb="7">
      <t>キタニホン</t>
    </rPh>
    <phoneticPr fontId="13"/>
  </si>
  <si>
    <t>6/23</t>
    <phoneticPr fontId="13"/>
  </si>
  <si>
    <t>29/12</t>
    <phoneticPr fontId="13"/>
  </si>
  <si>
    <t>BMW523ｄ Ｍｽﾎﾟｰﾂ</t>
    <phoneticPr fontId="13"/>
  </si>
  <si>
    <t>奈良 358 ぬ 358</t>
    <rPh sb="0" eb="2">
      <t>ナラ</t>
    </rPh>
    <phoneticPr fontId="13"/>
  </si>
  <si>
    <t>301 と 8624</t>
    <phoneticPr fontId="13"/>
  </si>
  <si>
    <t>WBAJC32050G581087</t>
    <phoneticPr fontId="13"/>
  </si>
  <si>
    <t>ﾋﾞｰｴﾑﾀﾞﾌﾞﾘｭｰｼﾞｬﾊﾟﾝﾌｧｲﾅﾝｽ株式会社</t>
    <rPh sb="24" eb="28">
      <t>カブシキカイシャ</t>
    </rPh>
    <phoneticPr fontId="13"/>
  </si>
  <si>
    <t>7/6</t>
    <phoneticPr fontId="13"/>
  </si>
  <si>
    <t>29/5</t>
    <phoneticPr fontId="13"/>
  </si>
  <si>
    <t>ｱﾊﾞﾙﾄ124 ｽﾊﾟｲﾀﾞｰ</t>
    <phoneticPr fontId="13"/>
  </si>
  <si>
    <t>豊橋 333 そ 124</t>
    <rPh sb="0" eb="2">
      <t>トヨハシ</t>
    </rPh>
    <phoneticPr fontId="13"/>
  </si>
  <si>
    <t>301 と 8626</t>
    <phoneticPr fontId="13"/>
  </si>
  <si>
    <t>Pﾎﾜｲﾄ</t>
    <phoneticPr fontId="13"/>
  </si>
  <si>
    <t>JC8NF2EKA00127761</t>
    <phoneticPr fontId="13"/>
  </si>
  <si>
    <t>辰広商事株式会社</t>
    <rPh sb="0" eb="1">
      <t>タツ</t>
    </rPh>
    <rPh sb="1" eb="2">
      <t>ヒロ</t>
    </rPh>
    <rPh sb="2" eb="4">
      <t>ショウジ</t>
    </rPh>
    <rPh sb="4" eb="8">
      <t>カブシキガイシャ</t>
    </rPh>
    <phoneticPr fontId="13"/>
  </si>
  <si>
    <t>6/30</t>
    <phoneticPr fontId="13"/>
  </si>
  <si>
    <t>ｱﾙﾌｧﾛﾒｵ ｼﾞｭﾘｱ ｳﾞｪﾛｰﾁｪ</t>
    <phoneticPr fontId="13"/>
  </si>
  <si>
    <t>北九州301す3171</t>
    <rPh sb="0" eb="3">
      <t>キタキュウシュウ</t>
    </rPh>
    <phoneticPr fontId="13"/>
  </si>
  <si>
    <t>ZAREAENN2J7576563</t>
    <phoneticPr fontId="13"/>
  </si>
  <si>
    <t>ﾈｯﾂﾄﾖﾀ北九州株式会社</t>
    <rPh sb="6" eb="9">
      <t>キタキュウシュウ</t>
    </rPh>
    <rPh sb="9" eb="13">
      <t>カブシキガイシャ</t>
    </rPh>
    <phoneticPr fontId="13"/>
  </si>
  <si>
    <t>7/1</t>
    <phoneticPr fontId="13"/>
  </si>
  <si>
    <t>ｷｰﾚｽ（車内） 保証書</t>
    <rPh sb="5" eb="7">
      <t>シャナイ</t>
    </rPh>
    <rPh sb="9" eb="12">
      <t>ホショウショ</t>
    </rPh>
    <phoneticPr fontId="13"/>
  </si>
  <si>
    <t>ﾊｲｾﾞｯﾄｶｰｺﾞ ﾃﾞﾗｯｸｽ SaⅢ</t>
    <phoneticPr fontId="13"/>
  </si>
  <si>
    <t>多摩 484 ろ 571</t>
    <rPh sb="0" eb="2">
      <t>タマ</t>
    </rPh>
    <phoneticPr fontId="13"/>
  </si>
  <si>
    <t>S321V-0371749</t>
    <phoneticPr fontId="13"/>
  </si>
  <si>
    <t>ｵﾘｯｸｽ自動車株式会社</t>
    <rPh sb="5" eb="12">
      <t>ジドウシャカブシキガイシャ</t>
    </rPh>
    <phoneticPr fontId="13"/>
  </si>
  <si>
    <t>Mﾍﾞﾝﾂ S400ｄｽﾎﾟｰﾂﾘﾐﾃｯﾄﾞ</t>
    <phoneticPr fontId="13"/>
  </si>
  <si>
    <t>なにわ332の5523</t>
    <phoneticPr fontId="13"/>
  </si>
  <si>
    <t>33H ふ 5</t>
    <phoneticPr fontId="13"/>
  </si>
  <si>
    <t>W1K2220342A563559</t>
    <phoneticPr fontId="13"/>
  </si>
  <si>
    <t>ﾊｰﾋﾞｽﾄ有限会社</t>
    <rPh sb="6" eb="8">
      <t>ユウゲン</t>
    </rPh>
    <rPh sb="8" eb="10">
      <t>カイシャ</t>
    </rPh>
    <phoneticPr fontId="13"/>
  </si>
  <si>
    <t>7/13</t>
    <phoneticPr fontId="13"/>
  </si>
  <si>
    <t>ｼﾞｬｶﾞｰXF ｽﾎﾟｰﾂﾌﾞﾚｲｸ ﾌﾟﾚｽﾃｰｼﾞ</t>
    <phoneticPr fontId="13"/>
  </si>
  <si>
    <t>京都352ふ2001</t>
    <rPh sb="0" eb="2">
      <t>キョウト</t>
    </rPh>
    <phoneticPr fontId="13"/>
  </si>
  <si>
    <t>ｱﾗｲﾍﾞｲ</t>
    <phoneticPr fontId="13"/>
  </si>
  <si>
    <t>SAJBB2AX0JCY68284</t>
    <phoneticPr fontId="13"/>
  </si>
  <si>
    <t>7/9</t>
    <phoneticPr fontId="13"/>
  </si>
  <si>
    <t>ｼﾞｬｶﾞｰ Fﾍﾟｲｽ 20ｄﾌﾟﾚｽﾃｰｼﾞ</t>
    <phoneticPr fontId="13"/>
  </si>
  <si>
    <t>6/3/22</t>
    <phoneticPr fontId="13"/>
  </si>
  <si>
    <t>仙台330と1068</t>
    <rPh sb="0" eb="2">
      <t>センダイ</t>
    </rPh>
    <phoneticPr fontId="13"/>
  </si>
  <si>
    <t>SADCA2ANIHA099762</t>
    <phoneticPr fontId="13"/>
  </si>
  <si>
    <t>株式会社横浜ﾕｰﾎﾟｽ</t>
    <rPh sb="0" eb="4">
      <t>カブシキカイシャ</t>
    </rPh>
    <rPh sb="4" eb="6">
      <t>ヨコハマ</t>
    </rPh>
    <phoneticPr fontId="13"/>
  </si>
  <si>
    <t>26/6</t>
    <phoneticPr fontId="13"/>
  </si>
  <si>
    <t>ｱﾙﾌｧﾛﾒｵ ﾐﾄ ｺﾝﾍﾟﾃｨﾂｨｵｰﾈ</t>
    <phoneticPr fontId="13"/>
  </si>
  <si>
    <t>神戸 329 も 6792</t>
    <rPh sb="0" eb="2">
      <t>コウベ</t>
    </rPh>
    <phoneticPr fontId="13"/>
  </si>
  <si>
    <t>ZAR9550000X020267</t>
    <phoneticPr fontId="13"/>
  </si>
  <si>
    <t>7/20</t>
    <phoneticPr fontId="13"/>
  </si>
  <si>
    <t>取説 ｷｰﾚｽ ﾐﾆB-CAS</t>
    <rPh sb="0" eb="2">
      <t>トリセツ</t>
    </rPh>
    <phoneticPr fontId="13"/>
  </si>
  <si>
    <t xml:space="preserve">ｱﾙﾌｧﾛﾒｵ ﾐﾄ </t>
    <phoneticPr fontId="13"/>
  </si>
  <si>
    <t>7/3</t>
    <phoneticPr fontId="13"/>
  </si>
  <si>
    <t>京都349る325</t>
    <rPh sb="0" eb="2">
      <t>キョウト</t>
    </rPh>
    <phoneticPr fontId="13"/>
  </si>
  <si>
    <t>HAA神戸</t>
    <rPh sb="3" eb="5">
      <t>コウベ</t>
    </rPh>
    <phoneticPr fontId="13"/>
  </si>
  <si>
    <t>ZAR9550000X066139</t>
    <phoneticPr fontId="13"/>
  </si>
  <si>
    <t>株式会社ｴﾇｽﾞ･ｶﾝﾊﾟﾆｰ</t>
    <rPh sb="0" eb="4">
      <t>カブシキガイシャ</t>
    </rPh>
    <phoneticPr fontId="13"/>
  </si>
  <si>
    <t>7/27</t>
    <phoneticPr fontId="13"/>
  </si>
  <si>
    <t>22/2</t>
    <phoneticPr fontId="13"/>
  </si>
  <si>
    <t>ﾗﾝﾄﾞﾛｰﾊﾞｰ ﾃﾞｨｽｶﾊﾞﾘｰ4 HSE</t>
    <phoneticPr fontId="13"/>
  </si>
  <si>
    <t>川崎 330 ふ 8311</t>
    <rPh sb="0" eb="2">
      <t>カワサキ</t>
    </rPh>
    <phoneticPr fontId="13"/>
  </si>
  <si>
    <t>SALLAJAD3AA525392</t>
    <phoneticPr fontId="13"/>
  </si>
  <si>
    <t>原田 圭子</t>
    <rPh sb="0" eb="2">
      <t>ハラダ</t>
    </rPh>
    <rPh sb="3" eb="5">
      <t>ケイコ</t>
    </rPh>
    <phoneticPr fontId="13"/>
  </si>
  <si>
    <t>整備記録簿 取説 ﾅﾋﾞ取</t>
    <rPh sb="0" eb="5">
      <t>セイビキロクボ</t>
    </rPh>
    <rPh sb="6" eb="8">
      <t>トリセツ</t>
    </rPh>
    <rPh sb="12" eb="13">
      <t>トリ</t>
    </rPh>
    <phoneticPr fontId="13"/>
  </si>
  <si>
    <t>LRﾚﾝｼﾞﾛｰﾊﾞｰ　ｵｰﾄﾊﾞｲｵｸﾞﾗﾌｨ</t>
    <phoneticPr fontId="13"/>
  </si>
  <si>
    <t>福岡 303 つ 3266</t>
    <rPh sb="0" eb="2">
      <t>フクオカ</t>
    </rPh>
    <phoneticPr fontId="13"/>
  </si>
  <si>
    <t>保証書　取説　ｽﾍﾟｱｷｰ　ﾘﾓｺﾝ</t>
    <rPh sb="0" eb="3">
      <t>ホショウショ</t>
    </rPh>
    <rPh sb="4" eb="6">
      <t>トリセツ</t>
    </rPh>
    <phoneticPr fontId="13"/>
  </si>
  <si>
    <t>SALGA3EF1EA185638</t>
    <phoneticPr fontId="13"/>
  </si>
  <si>
    <t>株式会社田中商店</t>
    <rPh sb="0" eb="4">
      <t>カブシキガイシャ</t>
    </rPh>
    <rPh sb="4" eb="8">
      <t>タナカショウテン</t>
    </rPh>
    <phoneticPr fontId="13"/>
  </si>
  <si>
    <t>8/3</t>
    <phoneticPr fontId="13"/>
  </si>
  <si>
    <t>保証書 取説 ﾅﾋﾞ取 ｷｰﾚｽ ﾘﾓｺﾝ ﾄﾗﾝｸ開閉ﾎﾞﾀﾝの部品X2</t>
    <rPh sb="0" eb="3">
      <t>ホショウショ</t>
    </rPh>
    <rPh sb="4" eb="6">
      <t>トリセツ</t>
    </rPh>
    <rPh sb="10" eb="11">
      <t>トリ</t>
    </rPh>
    <rPh sb="26" eb="28">
      <t>カイヘイ</t>
    </rPh>
    <rPh sb="33" eb="35">
      <t>ブヒン</t>
    </rPh>
    <phoneticPr fontId="13"/>
  </si>
  <si>
    <t>26/8</t>
    <phoneticPr fontId="13"/>
  </si>
  <si>
    <t>LRﾚﾝｼﾞﾛｰﾊﾞｰｽﾎﾟｰﾂ　SE</t>
    <phoneticPr fontId="13"/>
  </si>
  <si>
    <t>7/5</t>
    <phoneticPr fontId="13"/>
  </si>
  <si>
    <t>大阪 371 は 315</t>
    <rPh sb="0" eb="2">
      <t>オオサカ</t>
    </rPh>
    <phoneticPr fontId="13"/>
  </si>
  <si>
    <t>SALWA2VE8EA386734</t>
    <phoneticPr fontId="13"/>
  </si>
  <si>
    <t>8/8</t>
    <phoneticPr fontId="13"/>
  </si>
  <si>
    <t>滋賀 321 ふ 77</t>
    <rPh sb="0" eb="2">
      <t>シガ</t>
    </rPh>
    <phoneticPr fontId="13"/>
  </si>
  <si>
    <t>ﾎﾝﾀﾞ関西（まとめ）</t>
    <rPh sb="4" eb="6">
      <t>カンサイ</t>
    </rPh>
    <phoneticPr fontId="13"/>
  </si>
  <si>
    <t>ﾊﾟｰﾙﾎﾜｲﾄ</t>
    <phoneticPr fontId="13"/>
  </si>
  <si>
    <t>WMWXR92080TP20759</t>
    <phoneticPr fontId="13"/>
  </si>
  <si>
    <t>株式会社ﾎﾝﾀﾞｵｰﾄﾌｸﾅｶﾞ</t>
    <rPh sb="0" eb="4">
      <t>カブシキガイシャ</t>
    </rPh>
    <phoneticPr fontId="13"/>
  </si>
  <si>
    <t>8/22</t>
    <phoneticPr fontId="13"/>
  </si>
  <si>
    <t>整備記録 取説 ｷｰﾚｽ</t>
    <rPh sb="0" eb="2">
      <t>セイビ</t>
    </rPh>
    <rPh sb="2" eb="4">
      <t>キロク</t>
    </rPh>
    <rPh sb="5" eb="7">
      <t>トリセツ</t>
    </rPh>
    <phoneticPr fontId="13"/>
  </si>
  <si>
    <t>19/9</t>
    <phoneticPr fontId="13"/>
  </si>
  <si>
    <t>7/1/14</t>
    <phoneticPr fontId="13"/>
  </si>
  <si>
    <t>静岡 301 ね 978</t>
    <rPh sb="0" eb="2">
      <t>シズオカ</t>
    </rPh>
    <phoneticPr fontId="13"/>
  </si>
  <si>
    <t>A194860</t>
    <phoneticPr fontId="13"/>
  </si>
  <si>
    <t>WBSNB92040CY10210</t>
    <phoneticPr fontId="13"/>
  </si>
  <si>
    <t>山下始</t>
    <rPh sb="0" eb="2">
      <t>ヤマシタ</t>
    </rPh>
    <rPh sb="2" eb="3">
      <t>ハジ</t>
    </rPh>
    <phoneticPr fontId="13"/>
  </si>
  <si>
    <t>8/31</t>
    <phoneticPr fontId="13"/>
  </si>
  <si>
    <t>取説 整備手帳 ｷｰﾚｽ</t>
    <rPh sb="0" eb="2">
      <t>トリセツ</t>
    </rPh>
    <rPh sb="3" eb="7">
      <t>セイビテチョウ</t>
    </rPh>
    <phoneticPr fontId="13"/>
  </si>
  <si>
    <t>不具合の為名変するかｸﾚｰﾑ中</t>
    <rPh sb="0" eb="3">
      <t>フグアイ</t>
    </rPh>
    <rPh sb="4" eb="5">
      <t>タメ</t>
    </rPh>
    <rPh sb="5" eb="7">
      <t>メイヘン</t>
    </rPh>
    <rPh sb="14" eb="15">
      <t>チュウ</t>
    </rPh>
    <phoneticPr fontId="13"/>
  </si>
  <si>
    <t>ｼﾞﾑﾆｰ1300 ｼｴﾗｴﾙｸ</t>
    <phoneticPr fontId="13"/>
  </si>
  <si>
    <t>奈良430 さ 8969</t>
    <rPh sb="0" eb="2">
      <t>ナラ</t>
    </rPh>
    <phoneticPr fontId="13"/>
  </si>
  <si>
    <t>A195327</t>
    <phoneticPr fontId="13"/>
  </si>
  <si>
    <t>JB31W-109190</t>
    <phoneticPr fontId="13"/>
  </si>
  <si>
    <t>福田涼</t>
    <rPh sb="0" eb="2">
      <t>フクダ</t>
    </rPh>
    <rPh sb="2" eb="3">
      <t>リョウ</t>
    </rPh>
    <phoneticPr fontId="13"/>
  </si>
  <si>
    <t>8/29</t>
    <phoneticPr fontId="13"/>
  </si>
  <si>
    <t>MINI MINI ｸｰﾊﾟD</t>
    <phoneticPr fontId="13"/>
  </si>
  <si>
    <t>堺 399 の 116</t>
    <rPh sb="0" eb="1">
      <t>サカイ</t>
    </rPh>
    <phoneticPr fontId="13"/>
  </si>
  <si>
    <t>CAA中部(まとめ)</t>
    <rPh sb="3" eb="5">
      <t>チュウブ</t>
    </rPh>
    <phoneticPr fontId="13"/>
  </si>
  <si>
    <t>ｶｰｷ</t>
    <phoneticPr fontId="13"/>
  </si>
  <si>
    <t>WMWXN320502H81858</t>
    <phoneticPr fontId="13"/>
  </si>
  <si>
    <t>8/27</t>
    <phoneticPr fontId="13"/>
  </si>
  <si>
    <t>1411回</t>
    <rPh sb="4" eb="5">
      <t>カイ</t>
    </rPh>
    <phoneticPr fontId="13"/>
  </si>
  <si>
    <t>25/6</t>
    <phoneticPr fontId="13"/>
  </si>
  <si>
    <t>BMW M6 ｸﾞﾗﾝｸｰﾍﾟ</t>
    <phoneticPr fontId="13"/>
  </si>
  <si>
    <t>7/3/18</t>
    <phoneticPr fontId="13"/>
  </si>
  <si>
    <t>福岡 340 ひ 106</t>
    <rPh sb="0" eb="2">
      <t>フクオカ</t>
    </rPh>
    <phoneticPr fontId="13"/>
  </si>
  <si>
    <t>WBS6C91050DV73255</t>
    <phoneticPr fontId="13"/>
  </si>
  <si>
    <t>株式会社ﾃｸﾉ・ｱｰﾄ</t>
    <rPh sb="0" eb="4">
      <t>カブシキガイシャ</t>
    </rPh>
    <phoneticPr fontId="13"/>
  </si>
  <si>
    <t>9/7</t>
    <phoneticPr fontId="13"/>
  </si>
  <si>
    <t>保証書 取説 ｷｰﾚｽ ﾅﾋﾞ取説 ﾄﾞﾗﾚｺﾏｲｸﾛSD ﾃﾚﾋﾞｷｬﾝｾﾗｰのUSB</t>
    <rPh sb="0" eb="3">
      <t>ホショウショ</t>
    </rPh>
    <rPh sb="4" eb="6">
      <t>トリセツ</t>
    </rPh>
    <rPh sb="15" eb="17">
      <t>トリセツ</t>
    </rPh>
    <phoneticPr fontId="13"/>
  </si>
  <si>
    <t>6/12/3</t>
    <phoneticPr fontId="13"/>
  </si>
  <si>
    <t>水戸 301 ね 421</t>
    <rPh sb="0" eb="2">
      <t>ミト</t>
    </rPh>
    <phoneticPr fontId="13"/>
  </si>
  <si>
    <t>SALCA2AG5GH562160</t>
    <phoneticPr fontId="13"/>
  </si>
  <si>
    <t>ライズ 株式会社</t>
    <rPh sb="4" eb="8">
      <t>カブシキガイシャ</t>
    </rPh>
    <phoneticPr fontId="13"/>
  </si>
  <si>
    <t>9/10</t>
    <phoneticPr fontId="13"/>
  </si>
  <si>
    <t>保証書 取説 ﾅﾋﾞ取説 ｷｰﾚｽ</t>
    <rPh sb="0" eb="3">
      <t>ホショウショ</t>
    </rPh>
    <rPh sb="4" eb="6">
      <t>トリセツ</t>
    </rPh>
    <rPh sb="10" eb="12">
      <t>トリセツ</t>
    </rPh>
    <phoneticPr fontId="13"/>
  </si>
  <si>
    <t>ﾗﾝﾄﾞﾛｰﾊﾞｰ ﾃﾞｨｽｶﾊﾞﾘｰｽﾎﾟｰﾂ HSEラグ</t>
    <phoneticPr fontId="13"/>
  </si>
  <si>
    <t>6/3/21</t>
    <phoneticPr fontId="13"/>
  </si>
  <si>
    <t>仙台 331 さ 814</t>
    <rPh sb="0" eb="2">
      <t>センダイ</t>
    </rPh>
    <phoneticPr fontId="13"/>
  </si>
  <si>
    <t>SALCA2AG8HH661766</t>
    <phoneticPr fontId="13"/>
  </si>
  <si>
    <t>ｶﾒｲｵｰﾄ株式会社</t>
    <rPh sb="6" eb="10">
      <t>カブシキガイシャ</t>
    </rPh>
    <phoneticPr fontId="13"/>
  </si>
  <si>
    <t>9/12</t>
    <phoneticPr fontId="13"/>
  </si>
  <si>
    <t>ﾛｰﾊﾞｰﾃﾞｨｽｶﾊﾞﾘｰｽﾎﾟｰﾂ HSE</t>
    <phoneticPr fontId="13"/>
  </si>
  <si>
    <t>鹿児島 333 ね 888</t>
    <rPh sb="0" eb="3">
      <t>カゴシマ</t>
    </rPh>
    <phoneticPr fontId="13"/>
  </si>
  <si>
    <t>SALCA2AX2JH776482</t>
    <phoneticPr fontId="13"/>
  </si>
  <si>
    <t>BMWﾐﾆ ｸｰﾊﾟｰSD ｵｰﾙ4ｸﾛｽｵｰﾊﾞｰ</t>
    <phoneticPr fontId="13"/>
  </si>
  <si>
    <t>6/3/24</t>
    <phoneticPr fontId="13"/>
  </si>
  <si>
    <t>奈良 331 は 8723</t>
    <rPh sb="0" eb="2">
      <t>ナラ</t>
    </rPh>
    <phoneticPr fontId="13"/>
  </si>
  <si>
    <t>377 る 6</t>
    <phoneticPr fontId="13"/>
  </si>
  <si>
    <t>WMW22BU0403N09061</t>
    <phoneticPr fontId="13"/>
  </si>
  <si>
    <t>大阪 303 む 5727</t>
    <rPh sb="0" eb="2">
      <t>オオサカ</t>
    </rPh>
    <phoneticPr fontId="13"/>
  </si>
  <si>
    <t>WMW22BU0703M38678</t>
    <phoneticPr fontId="13"/>
  </si>
  <si>
    <t>橋本 大輔</t>
    <rPh sb="0" eb="2">
      <t>ハシモト</t>
    </rPh>
    <rPh sb="3" eb="5">
      <t>ダイスケ</t>
    </rPh>
    <phoneticPr fontId="13"/>
  </si>
  <si>
    <t>9/24</t>
    <phoneticPr fontId="13"/>
  </si>
  <si>
    <t>ｴﾌﾞﾘｲﾜｺﾞﾝ PZﾀｰﾎﾞ</t>
    <phoneticPr fontId="13"/>
  </si>
  <si>
    <t>神戸 583 ね 3987</t>
    <rPh sb="0" eb="2">
      <t>コウベ</t>
    </rPh>
    <phoneticPr fontId="13"/>
  </si>
  <si>
    <t>ｸﾚｰﾑ済み</t>
    <rPh sb="4" eb="5">
      <t>ズ</t>
    </rPh>
    <phoneticPr fontId="13"/>
  </si>
  <si>
    <t>ﾊﾟｰﾙ</t>
    <phoneticPr fontId="13"/>
  </si>
  <si>
    <t>DA17W-105404</t>
    <phoneticPr fontId="13"/>
  </si>
  <si>
    <t>花井 仁志</t>
    <rPh sb="0" eb="2">
      <t>ハナイ</t>
    </rPh>
    <rPh sb="3" eb="4">
      <t>ヒトシ</t>
    </rPh>
    <rPh sb="4" eb="5">
      <t>ココロザシ</t>
    </rPh>
    <phoneticPr fontId="13"/>
  </si>
  <si>
    <t>10/10</t>
    <phoneticPr fontId="13"/>
  </si>
  <si>
    <t>取説 保証書（車内）</t>
    <rPh sb="0" eb="2">
      <t>トリセツ</t>
    </rPh>
    <rPh sb="3" eb="6">
      <t>ホショウショ</t>
    </rPh>
    <rPh sb="7" eb="9">
      <t>シャナイ</t>
    </rPh>
    <phoneticPr fontId="13"/>
  </si>
  <si>
    <t>1/12</t>
    <phoneticPr fontId="13"/>
  </si>
  <si>
    <t>ｼﾞｬｶﾞｰ XF ﾌﾟﾚｽﾃｰｼﾞ</t>
    <phoneticPr fontId="13"/>
  </si>
  <si>
    <t>広島 301 ゆ 4169</t>
    <rPh sb="0" eb="2">
      <t>ヒロシマ</t>
    </rPh>
    <phoneticPr fontId="13"/>
  </si>
  <si>
    <t>SAJBB4AX2KCY82006</t>
    <phoneticPr fontId="13"/>
  </si>
  <si>
    <t>株式会社ｺﾝｸｴｽﾄ</t>
    <rPh sb="0" eb="4">
      <t>カブシキガイシャ</t>
    </rPh>
    <phoneticPr fontId="13"/>
  </si>
  <si>
    <t>相模 399 ほ 2910</t>
    <rPh sb="0" eb="2">
      <t>サガミ</t>
    </rPh>
    <phoneticPr fontId="13"/>
  </si>
  <si>
    <t>SALWA2VEXGA647574</t>
    <phoneticPr fontId="13"/>
  </si>
  <si>
    <t>ｳｲﾙﾌﾟﾗｽｴﾝﾊﾝｽ株式会社</t>
    <rPh sb="12" eb="16">
      <t>カブシキガイシャ</t>
    </rPh>
    <phoneticPr fontId="13"/>
  </si>
  <si>
    <t>保証書 ﾅﾋﾞ取 ｷｰﾚｽ</t>
    <rPh sb="0" eb="3">
      <t>ホショウショ</t>
    </rPh>
    <rPh sb="7" eb="8">
      <t>トリ</t>
    </rPh>
    <phoneticPr fontId="13"/>
  </si>
  <si>
    <t>1/11</t>
    <phoneticPr fontId="13"/>
  </si>
  <si>
    <t>BMWﾐﾆ ｸｰﾊﾟｰ60ｲﾔｰｽﾞｴﾃﾞｨｼｮﾝ</t>
    <phoneticPr fontId="13"/>
  </si>
  <si>
    <t>7/10/23</t>
    <phoneticPr fontId="13"/>
  </si>
  <si>
    <t>所沢 302 す 1822</t>
    <rPh sb="0" eb="2">
      <t>トコロザワ</t>
    </rPh>
    <phoneticPr fontId="13"/>
  </si>
  <si>
    <t xml:space="preserve"> 301 な 3358</t>
    <phoneticPr fontId="13"/>
  </si>
  <si>
    <t>WMWXR32070TS34909</t>
    <phoneticPr fontId="13"/>
  </si>
  <si>
    <t>有限会社ﾏﾙﾐｽﾞｵｰﾄ</t>
    <rPh sb="0" eb="4">
      <t>ユウゲンガイシャ</t>
    </rPh>
    <phoneticPr fontId="13"/>
  </si>
  <si>
    <t>11/5</t>
    <phoneticPr fontId="13"/>
  </si>
  <si>
    <t>6/12/19</t>
    <phoneticPr fontId="13"/>
  </si>
  <si>
    <t>神戸 304 ぬ 7637</t>
    <rPh sb="0" eb="2">
      <t>コウベ</t>
    </rPh>
    <phoneticPr fontId="13"/>
  </si>
  <si>
    <t>354 ろ 32</t>
    <phoneticPr fontId="13"/>
  </si>
  <si>
    <t>WMWXR920602L54578</t>
    <phoneticPr fontId="13"/>
  </si>
  <si>
    <t>有限会社吉田自動車</t>
    <rPh sb="0" eb="4">
      <t>ユウゲンガイシャ</t>
    </rPh>
    <rPh sb="4" eb="6">
      <t>ヨシダ</t>
    </rPh>
    <rPh sb="6" eb="9">
      <t>ジドウシャ</t>
    </rPh>
    <phoneticPr fontId="13"/>
  </si>
  <si>
    <t>11/21</t>
    <phoneticPr fontId="13"/>
  </si>
  <si>
    <t>保証書 取説 ｷｰﾚｽ ﾘﾓｺﾝ×3</t>
    <rPh sb="0" eb="3">
      <t>ホショウショ</t>
    </rPh>
    <rPh sb="4" eb="6">
      <t>トリセツ</t>
    </rPh>
    <phoneticPr fontId="13"/>
  </si>
  <si>
    <t>28</t>
    <phoneticPr fontId="13"/>
  </si>
  <si>
    <t>BMW M2</t>
    <phoneticPr fontId="13"/>
  </si>
  <si>
    <t>姫路 301 て 432</t>
    <rPh sb="0" eb="2">
      <t>ヒメジ</t>
    </rPh>
    <phoneticPr fontId="13"/>
  </si>
  <si>
    <t>佐伯</t>
    <rPh sb="0" eb="2">
      <t>サエキ</t>
    </rPh>
    <phoneticPr fontId="13"/>
  </si>
  <si>
    <t>WBA1H92000V817902</t>
    <phoneticPr fontId="13"/>
  </si>
  <si>
    <t>佐伯 薫</t>
    <rPh sb="3" eb="4">
      <t>カオル</t>
    </rPh>
    <phoneticPr fontId="13"/>
  </si>
  <si>
    <t>B</t>
    <phoneticPr fontId="13"/>
  </si>
  <si>
    <t>ﾜｺﾞﾝR FZ</t>
    <phoneticPr fontId="13"/>
  </si>
  <si>
    <t>倉敷 581 ろ 2310</t>
    <rPh sb="0" eb="2">
      <t>クラシキ</t>
    </rPh>
    <phoneticPr fontId="13"/>
  </si>
  <si>
    <t>LAA岡山</t>
    <rPh sb="3" eb="5">
      <t>オカヤマ</t>
    </rPh>
    <phoneticPr fontId="13"/>
  </si>
  <si>
    <t>MH44S-171915</t>
    <phoneticPr fontId="13"/>
  </si>
  <si>
    <t>株式会社ｽｽﾞｷ自販関西倉敷営業所</t>
    <rPh sb="0" eb="4">
      <t>カブシキガイシャ</t>
    </rPh>
    <rPh sb="8" eb="10">
      <t>ジハン</t>
    </rPh>
    <rPh sb="10" eb="12">
      <t>カンサイ</t>
    </rPh>
    <rPh sb="12" eb="14">
      <t>クラシキ</t>
    </rPh>
    <rPh sb="14" eb="17">
      <t>エイギョウショ</t>
    </rPh>
    <phoneticPr fontId="13"/>
  </si>
  <si>
    <t>1/25</t>
    <phoneticPr fontId="13"/>
  </si>
  <si>
    <t>19/5</t>
    <phoneticPr fontId="13"/>
  </si>
  <si>
    <t>ｱｳﾃﾞｨA4 DTMﾘﾐﾃｯﾄﾞ</t>
    <phoneticPr fontId="13"/>
  </si>
  <si>
    <t>滋賀 330 ろ 1918</t>
    <rPh sb="0" eb="2">
      <t>シガ</t>
    </rPh>
    <phoneticPr fontId="13"/>
  </si>
  <si>
    <t>WUAZZZ8E57A802147</t>
    <phoneticPr fontId="13"/>
  </si>
  <si>
    <t>ﾄﾞｽｻﾝﾄｽ ｱｶﾞﾒﾉ</t>
    <phoneticPr fontId="13"/>
  </si>
  <si>
    <t>ﾗﾝﾄﾞﾛｰﾊﾞｰ ﾃﾞｨｽｶﾊﾞﾘｰ4SE</t>
    <phoneticPr fontId="13"/>
  </si>
  <si>
    <t>6/6/13</t>
    <phoneticPr fontId="13"/>
  </si>
  <si>
    <t>名古屋 305 む 5500</t>
    <rPh sb="0" eb="3">
      <t>ナゴヤ</t>
    </rPh>
    <phoneticPr fontId="13"/>
  </si>
  <si>
    <t>SALLAJAD3BA572705</t>
    <phoneticPr fontId="13"/>
  </si>
  <si>
    <t>2/1</t>
    <phoneticPr fontId="13"/>
  </si>
  <si>
    <t>保証書 取説 ﾅﾋﾞ取説</t>
    <rPh sb="0" eb="3">
      <t>ホショウショ</t>
    </rPh>
    <rPh sb="4" eb="6">
      <t>トリセツ</t>
    </rPh>
    <rPh sb="10" eb="12">
      <t>トリセツ</t>
    </rPh>
    <phoneticPr fontId="13"/>
  </si>
  <si>
    <t>BMWﾐﾆ ｸｰﾊﾟｰS</t>
    <phoneticPr fontId="13"/>
  </si>
  <si>
    <t>なにわ 39A せ 5011</t>
    <phoneticPr fontId="13"/>
  </si>
  <si>
    <t>WMWXU920X02N68147</t>
    <phoneticPr fontId="13"/>
  </si>
  <si>
    <t>株式会社はなまる</t>
    <rPh sb="0" eb="4">
      <t>カブシキガイシャ</t>
    </rPh>
    <phoneticPr fontId="13"/>
  </si>
  <si>
    <t>書類発送時確認(はなまる)</t>
    <rPh sb="0" eb="2">
      <t>ショルイ</t>
    </rPh>
    <rPh sb="2" eb="4">
      <t>ハッソウ</t>
    </rPh>
    <rPh sb="4" eb="5">
      <t>ジ</t>
    </rPh>
    <rPh sb="5" eb="7">
      <t>カクニン</t>
    </rPh>
    <phoneticPr fontId="13"/>
  </si>
  <si>
    <t>22/8</t>
    <phoneticPr fontId="13"/>
  </si>
  <si>
    <t>ﾚﾝｼﾞﾛｰﾊﾞｰｽﾎﾟｰﾂ 5.0 V8ｽｰﾊﾟｰﾁｬｰｼﾞﾄﾞ</t>
    <phoneticPr fontId="13"/>
  </si>
  <si>
    <t>7/8/27</t>
    <phoneticPr fontId="13"/>
  </si>
  <si>
    <t>名古屋 331 ね 1615</t>
    <rPh sb="0" eb="3">
      <t>ナゴヤ</t>
    </rPh>
    <phoneticPr fontId="13"/>
  </si>
  <si>
    <t>SALLSJAE3AA256402</t>
    <phoneticPr fontId="13"/>
  </si>
  <si>
    <t>ﾔﾅｾｵｰﾄﾓｰﾃｨﾌﾞ株式会社</t>
    <rPh sb="12" eb="14">
      <t>カブシキ</t>
    </rPh>
    <rPh sb="14" eb="16">
      <t>カイシャ</t>
    </rPh>
    <phoneticPr fontId="13"/>
  </si>
  <si>
    <t>保証書 取説 ｷｰﾚｽ（車内）</t>
    <rPh sb="0" eb="3">
      <t>ホショウショ</t>
    </rPh>
    <rPh sb="4" eb="6">
      <t>トリセツ</t>
    </rPh>
    <rPh sb="12" eb="14">
      <t>シャナイ</t>
    </rPh>
    <phoneticPr fontId="13"/>
  </si>
  <si>
    <t>ｱｳﾃﾞｨA6ｱﾊﾞﾝﾄ 45TFSIｸﾜﾄﾛｽﾎﾟｰﾂSﾗｲﾝ</t>
    <phoneticPr fontId="13"/>
  </si>
  <si>
    <t>札幌 330 む 6648</t>
    <rPh sb="0" eb="2">
      <t>サッポロ</t>
    </rPh>
    <phoneticPr fontId="13"/>
  </si>
  <si>
    <t>34A ね 5</t>
    <phoneticPr fontId="13"/>
  </si>
  <si>
    <t>WAUZZZF20LN034289</t>
    <phoneticPr fontId="13"/>
  </si>
  <si>
    <t>有限会社ｱﾈｻﾞｷｶﾝﾊﾟﾆｰ</t>
    <rPh sb="0" eb="4">
      <t>ユウゲンカイシャ</t>
    </rPh>
    <phoneticPr fontId="13"/>
  </si>
  <si>
    <t>保証書 取説 車検ｽﾃｯｶｰ</t>
    <rPh sb="0" eb="3">
      <t>ホショウショ</t>
    </rPh>
    <rPh sb="4" eb="6">
      <t>トリセツ</t>
    </rPh>
    <rPh sb="7" eb="9">
      <t>シャケン</t>
    </rPh>
    <phoneticPr fontId="13"/>
  </si>
  <si>
    <t>7/12/23</t>
    <phoneticPr fontId="13"/>
  </si>
  <si>
    <t>福岡 358 ゆ 320</t>
    <rPh sb="0" eb="2">
      <t>フクオカ</t>
    </rPh>
    <phoneticPr fontId="13"/>
  </si>
  <si>
    <t>保証書 取説 ﾄﾞﾗﾚｺSD</t>
    <rPh sb="0" eb="3">
      <t>ホショウショ</t>
    </rPh>
    <rPh sb="4" eb="6">
      <t>トリセツ</t>
    </rPh>
    <phoneticPr fontId="13"/>
  </si>
  <si>
    <t>ｸｲｯｸ売れｷｬﾝｾﾙ</t>
    <rPh sb="4" eb="5">
      <t>ウ</t>
    </rPh>
    <phoneticPr fontId="13"/>
  </si>
  <si>
    <t>301 な 9051</t>
    <phoneticPr fontId="13"/>
  </si>
  <si>
    <t>WMWXM520103A53348</t>
    <phoneticPr fontId="13"/>
  </si>
  <si>
    <t>福家 真美</t>
    <rPh sb="0" eb="2">
      <t>フクイエ</t>
    </rPh>
    <rPh sb="3" eb="5">
      <t>マミ</t>
    </rPh>
    <phoneticPr fontId="13"/>
  </si>
  <si>
    <t>3/7</t>
    <phoneticPr fontId="13"/>
  </si>
  <si>
    <t>4/25書類付属品返却済</t>
    <rPh sb="4" eb="6">
      <t>ショルイ</t>
    </rPh>
    <rPh sb="6" eb="9">
      <t>フゾクヒン</t>
    </rPh>
    <rPh sb="9" eb="11">
      <t>ヘンキャク</t>
    </rPh>
    <rPh sb="11" eb="12">
      <t>ズ</t>
    </rPh>
    <phoneticPr fontId="13"/>
  </si>
  <si>
    <t>BMW1ｼﾘｰｽﾞ 118IMｽﾎﾟｰﾂEDｼｬﾄﾞ</t>
    <phoneticPr fontId="13"/>
  </si>
  <si>
    <t>6/11/20</t>
    <phoneticPr fontId="13"/>
  </si>
  <si>
    <t>湘南 302 ち 7640</t>
    <rPh sb="0" eb="2">
      <t>ショウナン</t>
    </rPh>
    <phoneticPr fontId="13"/>
  </si>
  <si>
    <t>WBA1R520005C76105</t>
    <phoneticPr fontId="13"/>
  </si>
  <si>
    <t>株式会社ｴｺﾉﾐｰ湘南</t>
    <rPh sb="0" eb="4">
      <t>カブシキガイシャ</t>
    </rPh>
    <rPh sb="9" eb="11">
      <t>ショウナン</t>
    </rPh>
    <phoneticPr fontId="13"/>
  </si>
  <si>
    <t>3/8</t>
    <phoneticPr fontId="13"/>
  </si>
  <si>
    <t>BMWﾐﾆ3HB ｼﾞｮﾝｸｰﾊﾟｰﾜｰｸｽ</t>
    <phoneticPr fontId="13"/>
  </si>
  <si>
    <t>なにわ 39A ち 268</t>
    <phoneticPr fontId="13"/>
  </si>
  <si>
    <t>保証書 取説 Ｓｷｰ</t>
    <rPh sb="0" eb="3">
      <t>ホショウショ</t>
    </rPh>
    <rPh sb="4" eb="6">
      <t>トリセツ</t>
    </rPh>
    <phoneticPr fontId="13"/>
  </si>
  <si>
    <t>WMWXR92060TP21358</t>
    <phoneticPr fontId="13"/>
  </si>
  <si>
    <t>双日ｵｰﾄｸﾞﾙｰﾌﾟ大阪株式会社</t>
    <rPh sb="0" eb="2">
      <t>フタビ</t>
    </rPh>
    <rPh sb="11" eb="13">
      <t>オオサカ</t>
    </rPh>
    <rPh sb="13" eb="17">
      <t>カブシキガイシャ</t>
    </rPh>
    <phoneticPr fontId="13"/>
  </si>
  <si>
    <t>3/23</t>
    <phoneticPr fontId="13"/>
  </si>
  <si>
    <t>BMW M4 ｸｰﾍﾟｺﾝﾍﾟﾃｨｼｮﾝ</t>
    <phoneticPr fontId="13"/>
  </si>
  <si>
    <t>6/11</t>
    <phoneticPr fontId="13"/>
  </si>
  <si>
    <t>山口 330 そ 3867</t>
    <rPh sb="0" eb="2">
      <t>ヤマグチ</t>
    </rPh>
    <phoneticPr fontId="13"/>
  </si>
  <si>
    <t>TAA広島</t>
    <rPh sb="3" eb="5">
      <t>ヒロシマ</t>
    </rPh>
    <phoneticPr fontId="13"/>
  </si>
  <si>
    <t>WBS4Y92010AC60618</t>
    <phoneticPr fontId="13"/>
  </si>
  <si>
    <t>ｸﾙｰｼﾞﾝｸﾞｵｰﾄ株式会社</t>
    <rPh sb="11" eb="15">
      <t>カブシキガイシャ</t>
    </rPh>
    <phoneticPr fontId="13"/>
  </si>
  <si>
    <t>3/16</t>
    <phoneticPr fontId="13"/>
  </si>
  <si>
    <t>ｱﾊﾞﾙﾄ595 ｺﾝﾍﾟﾃｨﾂｨｵｰﾈ</t>
    <phoneticPr fontId="13"/>
  </si>
  <si>
    <t>7/1/30</t>
    <phoneticPr fontId="13"/>
  </si>
  <si>
    <t>広島 534 ゆ 595</t>
    <rPh sb="0" eb="2">
      <t>ヒロシマ</t>
    </rPh>
    <phoneticPr fontId="13"/>
  </si>
  <si>
    <t>ZFA3120000JD08145</t>
    <phoneticPr fontId="13"/>
  </si>
  <si>
    <t>3/29</t>
    <phoneticPr fontId="13"/>
  </si>
  <si>
    <t>ｼﾞｬｶﾞｰ XFｽﾎﾟｰﾂﾌﾞﾚｲｸ ﾌﾟﾚｽﾃｰｼﾞ</t>
    <phoneticPr fontId="13"/>
  </si>
  <si>
    <t>広島 339 せ 308</t>
    <rPh sb="0" eb="2">
      <t>ヒロシマ</t>
    </rPh>
    <phoneticPr fontId="13"/>
  </si>
  <si>
    <t>301 な 9762</t>
    <phoneticPr fontId="13"/>
  </si>
  <si>
    <t>SAJBB2AX7KCY74097</t>
    <phoneticPr fontId="13"/>
  </si>
  <si>
    <t>BMW M235ｉ ｸｰﾍﾟ</t>
    <phoneticPr fontId="13"/>
  </si>
  <si>
    <t>京都 399 る 3960</t>
    <rPh sb="0" eb="2">
      <t>キョウト</t>
    </rPh>
    <phoneticPr fontId="13"/>
  </si>
  <si>
    <t>WBA1J72050VX31952</t>
    <phoneticPr fontId="13"/>
  </si>
  <si>
    <t>株式会社服部ﾓｰﾀｰｽ</t>
    <rPh sb="0" eb="4">
      <t>カブシキカイシャ</t>
    </rPh>
    <rPh sb="4" eb="6">
      <t>ハットリ</t>
    </rPh>
    <phoneticPr fontId="13"/>
  </si>
  <si>
    <t>ﾅﾋﾞ取説（車内）保証書 取説 ｷｰﾚｽ ﾜﾝｵｰﾅｰ</t>
    <rPh sb="3" eb="5">
      <t>トリセツ</t>
    </rPh>
    <rPh sb="6" eb="8">
      <t>シャナイ</t>
    </rPh>
    <rPh sb="9" eb="12">
      <t>ホショウショ</t>
    </rPh>
    <rPh sb="13" eb="15">
      <t>トリセツ</t>
    </rPh>
    <phoneticPr fontId="13"/>
  </si>
  <si>
    <t>4/</t>
    <phoneticPr fontId="13"/>
  </si>
  <si>
    <t>N-BOX</t>
    <phoneticPr fontId="13"/>
  </si>
  <si>
    <t>姫路 590 と 1105</t>
    <rPh sb="0" eb="2">
      <t>ヒメジ</t>
    </rPh>
    <phoneticPr fontId="13"/>
  </si>
  <si>
    <t>谷村様</t>
    <rPh sb="0" eb="2">
      <t>タニムラ</t>
    </rPh>
    <rPh sb="2" eb="3">
      <t>サマ</t>
    </rPh>
    <phoneticPr fontId="13"/>
  </si>
  <si>
    <t>JF3-2383933</t>
    <phoneticPr fontId="13"/>
  </si>
  <si>
    <t>谷村 隆平</t>
    <rPh sb="0" eb="2">
      <t>タニムラ</t>
    </rPh>
    <rPh sb="3" eb="5">
      <t>リュウヘイ</t>
    </rPh>
    <phoneticPr fontId="13"/>
  </si>
  <si>
    <t>BMWﾐﾆ</t>
    <phoneticPr fontId="13"/>
  </si>
  <si>
    <t>大阪 399 も 400</t>
    <rPh sb="0" eb="2">
      <t>オオサカ</t>
    </rPh>
    <phoneticPr fontId="13"/>
  </si>
  <si>
    <t>ﾐﾗｲﾌﾞ大阪（ｱｲｵｰｸ）</t>
    <rPh sb="5" eb="7">
      <t>オオサカ</t>
    </rPh>
    <phoneticPr fontId="13"/>
  </si>
  <si>
    <t>WMWXN920X02M18083</t>
    <phoneticPr fontId="13"/>
  </si>
  <si>
    <t>大阪ﾏﾂﾀﾞ販売株式会社</t>
    <rPh sb="0" eb="2">
      <t>オオサカ</t>
    </rPh>
    <rPh sb="6" eb="12">
      <t>ハンバイカブシキガイシャ</t>
    </rPh>
    <phoneticPr fontId="13"/>
  </si>
  <si>
    <t>5/16</t>
    <phoneticPr fontId="13"/>
  </si>
  <si>
    <t>保証書 取説 ﾘﾓｺﾝ ｷｰﾚｽ ﾜﾝｵｰﾅｰ</t>
    <rPh sb="0" eb="3">
      <t>ホショウショ</t>
    </rPh>
    <rPh sb="4" eb="6">
      <t>トリセツ</t>
    </rPh>
    <phoneticPr fontId="13"/>
  </si>
  <si>
    <t>BMWﾐﾆｸｰﾊﾟｰD ｸﾛｽｵｰﾊﾞｰ</t>
    <phoneticPr fontId="13"/>
  </si>
  <si>
    <t>6/8/24</t>
    <phoneticPr fontId="13"/>
  </si>
  <si>
    <t>堺 330 な 7255</t>
    <rPh sb="0" eb="1">
      <t>サカイ</t>
    </rPh>
    <phoneticPr fontId="13"/>
  </si>
  <si>
    <t>WMWYT920203D52376</t>
    <phoneticPr fontId="13"/>
  </si>
  <si>
    <t>ﾘﾓｺﾝ×2（車内）保証書 取説 ｷｰﾚｽ</t>
    <rPh sb="7" eb="9">
      <t>シャナイ</t>
    </rPh>
    <rPh sb="10" eb="13">
      <t>ホショウショ</t>
    </rPh>
    <rPh sb="14" eb="16">
      <t>トリセツ</t>
    </rPh>
    <phoneticPr fontId="13"/>
  </si>
  <si>
    <t>3/11</t>
    <phoneticPr fontId="13"/>
  </si>
  <si>
    <t>広島 373 す 1212</t>
    <rPh sb="0" eb="2">
      <t>ヒロシマ</t>
    </rPh>
    <phoneticPr fontId="13"/>
  </si>
  <si>
    <t>WMW52DH0002R32468</t>
    <phoneticPr fontId="13"/>
  </si>
  <si>
    <t>広島ﾄﾖﾀ自動車株式会社</t>
    <rPh sb="0" eb="2">
      <t>ヒロシマ</t>
    </rPh>
    <rPh sb="5" eb="12">
      <t>ジドウシャカブシキカイシャ</t>
    </rPh>
    <phoneticPr fontId="13"/>
  </si>
  <si>
    <t>5/18</t>
    <phoneticPr fontId="13"/>
  </si>
  <si>
    <t>取説 ｷｰﾚｽ（車内）保証書</t>
    <rPh sb="0" eb="2">
      <t>トリセツ</t>
    </rPh>
    <rPh sb="8" eb="10">
      <t>シャナイ</t>
    </rPh>
    <rPh sb="11" eb="14">
      <t>ホショウショ</t>
    </rPh>
    <phoneticPr fontId="13"/>
  </si>
  <si>
    <t>7/6/28</t>
    <phoneticPr fontId="13"/>
  </si>
  <si>
    <t>豊田 300 も 1028</t>
    <rPh sb="0" eb="2">
      <t>トヨタ</t>
    </rPh>
    <phoneticPr fontId="13"/>
  </si>
  <si>
    <t>ｽﾏｰﾄｷｰ</t>
    <phoneticPr fontId="13"/>
  </si>
  <si>
    <t>301に 2202</t>
    <phoneticPr fontId="13"/>
  </si>
  <si>
    <t>WMWXU72030TN22691</t>
    <phoneticPr fontId="13"/>
  </si>
  <si>
    <t>株式会社ﾔﾅｷﾞｻﾜHD</t>
    <rPh sb="0" eb="4">
      <t>カブシキガイシャ</t>
    </rPh>
    <phoneticPr fontId="13"/>
  </si>
  <si>
    <t>5/21</t>
    <phoneticPr fontId="13"/>
  </si>
  <si>
    <t xml:space="preserve">保証書 取説 ｷｰﾚｽ </t>
    <rPh sb="0" eb="3">
      <t>ホショウショ</t>
    </rPh>
    <rPh sb="4" eb="6">
      <t>トリセツ</t>
    </rPh>
    <phoneticPr fontId="13"/>
  </si>
  <si>
    <t>FAX番号078-304-6644</t>
    <rPh sb="3" eb="5">
      <t>バンゴウ</t>
    </rPh>
    <phoneticPr fontId="13"/>
  </si>
  <si>
    <t>22/</t>
    <phoneticPr fontId="13"/>
  </si>
  <si>
    <t>CR-Z</t>
    <phoneticPr fontId="13"/>
  </si>
  <si>
    <t>尾張小牧 382 ひ 8008</t>
    <rPh sb="0" eb="4">
      <t>オバリコマキ</t>
    </rPh>
    <phoneticPr fontId="13"/>
  </si>
  <si>
    <t>友松様</t>
    <rPh sb="0" eb="2">
      <t>トモマツ</t>
    </rPh>
    <rPh sb="2" eb="3">
      <t>サマ</t>
    </rPh>
    <phoneticPr fontId="13"/>
  </si>
  <si>
    <t>ZF1-1017566</t>
    <phoneticPr fontId="13"/>
  </si>
  <si>
    <t>友松 淳治</t>
    <rPh sb="0" eb="2">
      <t>トモマツ</t>
    </rPh>
    <rPh sb="3" eb="4">
      <t>ジュン</t>
    </rPh>
    <rPh sb="4" eb="5">
      <t>ジ</t>
    </rPh>
    <phoneticPr fontId="13"/>
  </si>
  <si>
    <t>保証書 取説 ｷｰﾚｽ ｽﾍﾟｱｷｰ</t>
    <rPh sb="0" eb="3">
      <t>ホショウショ</t>
    </rPh>
    <rPh sb="4" eb="6">
      <t>トリセツ</t>
    </rPh>
    <phoneticPr fontId="13"/>
  </si>
  <si>
    <t>2/9</t>
    <phoneticPr fontId="13"/>
  </si>
  <si>
    <t>品川 39A ね 1458</t>
    <rPh sb="0" eb="2">
      <t>シナガワ</t>
    </rPh>
    <phoneticPr fontId="13"/>
  </si>
  <si>
    <t>WMWXR920902N22603</t>
    <phoneticPr fontId="13"/>
  </si>
  <si>
    <t>ﾋﾞｰ･ｴﾑﾀﾞﾌﾞﾘｭｰｼﾞｬﾊﾟﾝﾌｧｲﾅﾝｽ株式会社</t>
    <rPh sb="25" eb="29">
      <t>カブシキガイシャ</t>
    </rPh>
    <phoneticPr fontId="13"/>
  </si>
  <si>
    <t>6/13</t>
    <phoneticPr fontId="13"/>
  </si>
  <si>
    <t>岡山 324 て 5</t>
    <rPh sb="0" eb="2">
      <t>オカヤマ</t>
    </rPh>
    <phoneticPr fontId="13"/>
  </si>
  <si>
    <t>301 に 4003</t>
    <phoneticPr fontId="13"/>
  </si>
  <si>
    <t>SAJBB4AG7GCY21595</t>
    <phoneticPr fontId="13"/>
  </si>
  <si>
    <t>小谷 祐太</t>
    <rPh sb="0" eb="2">
      <t>コタニ</t>
    </rPh>
    <rPh sb="3" eb="5">
      <t>ユウタ</t>
    </rPh>
    <phoneticPr fontId="13"/>
  </si>
  <si>
    <t>BMWﾐﾆ ｸﾗﾌﾞﾏﾝ ｸｰﾊﾟｰSD</t>
    <phoneticPr fontId="13"/>
  </si>
  <si>
    <t>神戸 304 の 3294</t>
    <rPh sb="0" eb="2">
      <t>コウベ</t>
    </rPh>
    <phoneticPr fontId="13"/>
  </si>
  <si>
    <t>WMWLR520X02F14634</t>
    <phoneticPr fontId="13"/>
  </si>
  <si>
    <t>株式会社ｷｭﾋﾞｯｸ</t>
    <rPh sb="0" eb="4">
      <t>カブシキガイシャ</t>
    </rPh>
    <phoneticPr fontId="13"/>
  </si>
  <si>
    <t>N-BOX Lﾀｰﾎﾞ</t>
    <phoneticPr fontId="13"/>
  </si>
  <si>
    <t>京都 583 る 3580</t>
    <rPh sb="0" eb="2">
      <t>キョウト</t>
    </rPh>
    <phoneticPr fontId="13"/>
  </si>
  <si>
    <t>ﾎﾝﾀﾞ関西</t>
    <rPh sb="4" eb="6">
      <t>カンサイ</t>
    </rPh>
    <phoneticPr fontId="13"/>
  </si>
  <si>
    <t>JF3-2323589</t>
    <phoneticPr fontId="13"/>
  </si>
  <si>
    <t>株式会社ﾎﾝﾀﾞﾓﾋﾞﾘﾃｨ近畿</t>
    <rPh sb="0" eb="4">
      <t>カブシキガイシャ</t>
    </rPh>
    <rPh sb="14" eb="16">
      <t>キンキ</t>
    </rPh>
    <phoneticPr fontId="13"/>
  </si>
  <si>
    <t>保証書 ｴﾝﾀﾒSD 通信端末</t>
    <rPh sb="0" eb="3">
      <t>ホショウショ</t>
    </rPh>
    <rPh sb="11" eb="15">
      <t>ツウシンタンマツ</t>
    </rPh>
    <phoneticPr fontId="13"/>
  </si>
  <si>
    <t>ｷｬﾘｨﾄﾗｯｸ 金太郎ﾀﾞﾝﾌﾟ</t>
    <rPh sb="9" eb="12">
      <t>キンタロウ</t>
    </rPh>
    <phoneticPr fontId="13"/>
  </si>
  <si>
    <t>7/2/19</t>
    <phoneticPr fontId="13"/>
  </si>
  <si>
    <t>練馬 480 こ 4766</t>
    <rPh sb="0" eb="2">
      <t>ネリマ</t>
    </rPh>
    <phoneticPr fontId="13"/>
  </si>
  <si>
    <t>ｽﾍﾟｱｷｰ</t>
    <phoneticPr fontId="13"/>
  </si>
  <si>
    <t>480 ぬ 2059</t>
    <phoneticPr fontId="13"/>
  </si>
  <si>
    <t>DA16T-356548</t>
    <phoneticPr fontId="13"/>
  </si>
  <si>
    <t>加藤 昌三</t>
    <rPh sb="0" eb="2">
      <t>カトウ</t>
    </rPh>
    <rPh sb="3" eb="4">
      <t>マサ</t>
    </rPh>
    <rPh sb="4" eb="5">
      <t>サン</t>
    </rPh>
    <phoneticPr fontId="13"/>
  </si>
  <si>
    <t>千葉 329 ゆ 5734</t>
    <rPh sb="0" eb="2">
      <t>チバ</t>
    </rPh>
    <phoneticPr fontId="13"/>
  </si>
  <si>
    <t>WMWXY520902N89147</t>
    <phoneticPr fontId="13"/>
  </si>
  <si>
    <t>株式会社ﾓﾄｰﾚﾝﾚﾋﾟｵ</t>
    <rPh sb="0" eb="4">
      <t>カブシキガイシャ</t>
    </rPh>
    <phoneticPr fontId="13"/>
  </si>
  <si>
    <t>6/25</t>
    <phoneticPr fontId="13"/>
  </si>
  <si>
    <t>保証書 取説 ｷｰﾚｽ ﾏｲｸﾛSD ﾘﾓｺﾝ×2 ﾛｯｸﾅｯﾄ ﾜﾝｵｰﾅｰ</t>
    <rPh sb="0" eb="3">
      <t>ホショウショ</t>
    </rPh>
    <rPh sb="4" eb="6">
      <t>トリセツ</t>
    </rPh>
    <phoneticPr fontId="13"/>
  </si>
  <si>
    <t>N-BOXｶｽﾀﾑ L</t>
    <phoneticPr fontId="13"/>
  </si>
  <si>
    <t>7/2/1</t>
    <phoneticPr fontId="13"/>
  </si>
  <si>
    <t>島根 585 や 6</t>
    <rPh sb="0" eb="2">
      <t>シマネ</t>
    </rPh>
    <phoneticPr fontId="13"/>
  </si>
  <si>
    <t>581 や 4191</t>
    <phoneticPr fontId="13"/>
  </si>
  <si>
    <t>USS神戸</t>
    <rPh sb="3" eb="5">
      <t>コウベ</t>
    </rPh>
    <phoneticPr fontId="13"/>
  </si>
  <si>
    <t>JF3-5121015</t>
    <phoneticPr fontId="13"/>
  </si>
  <si>
    <t>株式会社ｾﾃﾞｨﾅｵｰﾄﾘｰｽ</t>
    <rPh sb="0" eb="4">
      <t>カブシキガイシャ</t>
    </rPh>
    <phoneticPr fontId="13"/>
  </si>
  <si>
    <t>保証書 取説 ﾅﾝﾊﾞｰ持ち出し</t>
    <rPh sb="0" eb="3">
      <t>ホショウショ</t>
    </rPh>
    <rPh sb="4" eb="6">
      <t>トリセツ</t>
    </rPh>
    <rPh sb="12" eb="13">
      <t>モ</t>
    </rPh>
    <rPh sb="14" eb="15">
      <t>ダ</t>
    </rPh>
    <phoneticPr fontId="13"/>
  </si>
  <si>
    <t>売れたら伴さん連絡する</t>
    <rPh sb="0" eb="1">
      <t>ウ</t>
    </rPh>
    <rPh sb="4" eb="5">
      <t>バン</t>
    </rPh>
    <rPh sb="7" eb="9">
      <t>レンラク</t>
    </rPh>
    <phoneticPr fontId="13"/>
  </si>
  <si>
    <t>名古屋 326 ぬ 6083</t>
    <rPh sb="0" eb="3">
      <t>ナゴヤ</t>
    </rPh>
    <phoneticPr fontId="13"/>
  </si>
  <si>
    <t>ﾍﾞｰｼﾞｭ</t>
    <phoneticPr fontId="13"/>
  </si>
  <si>
    <t>WMWXY520902N65284</t>
    <phoneticPr fontId="13"/>
  </si>
  <si>
    <t>ﾈｯﾂﾄﾖﾀ中部株式会社</t>
    <rPh sb="6" eb="8">
      <t>チュウブ</t>
    </rPh>
    <rPh sb="8" eb="12">
      <t>カブシキガイシャ</t>
    </rPh>
    <phoneticPr fontId="13"/>
  </si>
  <si>
    <t>BMWﾐﾆ ｸｰﾊﾟｰSDｸﾛｽｵｰﾊﾞｰ</t>
    <phoneticPr fontId="13"/>
  </si>
  <si>
    <t>世田谷 399 せ 7593</t>
    <rPh sb="0" eb="3">
      <t>セタガヤ</t>
    </rPh>
    <phoneticPr fontId="13"/>
  </si>
  <si>
    <t>WMWYU520403B71818</t>
    <phoneticPr fontId="13"/>
  </si>
  <si>
    <t>ｹｰｴﾑﾄﾚｰﾃﾞｨﾝｸﾞ株式会社</t>
    <rPh sb="13" eb="17">
      <t>カブシキガイシャ</t>
    </rPh>
    <phoneticPr fontId="13"/>
  </si>
  <si>
    <t>保証書 取説 ｷｰﾚｽ ﾛｯｸﾅｯﾄ ﾜﾝｵｰﾅｰ</t>
    <rPh sb="0" eb="3">
      <t>ホショウショ</t>
    </rPh>
    <rPh sb="4" eb="6">
      <t>トリセツ</t>
    </rPh>
    <phoneticPr fontId="13"/>
  </si>
  <si>
    <t>7/5/21</t>
    <phoneticPr fontId="13"/>
  </si>
  <si>
    <t>京都 536 つ 595</t>
    <rPh sb="0" eb="2">
      <t>キョウト</t>
    </rPh>
    <phoneticPr fontId="13"/>
  </si>
  <si>
    <t>501 も 155</t>
    <phoneticPr fontId="13"/>
  </si>
  <si>
    <t>ZFA3120000JA26172</t>
    <phoneticPr fontId="13"/>
  </si>
  <si>
    <t>株式会社ﾊｲﾎﾟｲﾝﾄ</t>
    <rPh sb="0" eb="4">
      <t>カブシキガイシャ</t>
    </rPh>
    <phoneticPr fontId="13"/>
  </si>
  <si>
    <t>30/4</t>
    <phoneticPr fontId="13"/>
  </si>
  <si>
    <t>ｱｳﾃﾞｨRS3 ｾﾀﾞﾝﾍﾞｰｽｸﾞﾚｰﾄﾞ</t>
    <phoneticPr fontId="13"/>
  </si>
  <si>
    <t>市川 399 さ 7295</t>
    <rPh sb="0" eb="2">
      <t>イチカワ</t>
    </rPh>
    <phoneticPr fontId="13"/>
  </si>
  <si>
    <t>WUAZZZ8V4H1900894</t>
    <phoneticPr fontId="13"/>
  </si>
  <si>
    <t>6/21</t>
    <phoneticPr fontId="13"/>
  </si>
  <si>
    <t>車内鍵1つ</t>
    <rPh sb="0" eb="2">
      <t>シャナイ</t>
    </rPh>
    <rPh sb="2" eb="3">
      <t>カギ</t>
    </rPh>
    <phoneticPr fontId="13"/>
  </si>
  <si>
    <t>BMWﾐﾆ ｸｰﾊﾟｰSｸﾗﾌﾞﾏﾝ</t>
    <phoneticPr fontId="13"/>
  </si>
  <si>
    <t>倉敷 399 す 3651</t>
    <rPh sb="0" eb="2">
      <t>クラシキ</t>
    </rPh>
    <phoneticPr fontId="13"/>
  </si>
  <si>
    <t>WMWLU320702G08179</t>
    <phoneticPr fontId="13"/>
  </si>
  <si>
    <t>ﾌﾚｯｸｽｵｰﾄ株式会社</t>
    <rPh sb="8" eb="12">
      <t>カブシキガイシャ</t>
    </rPh>
    <phoneticPr fontId="13"/>
  </si>
  <si>
    <t>6/27</t>
    <phoneticPr fontId="13"/>
  </si>
  <si>
    <t>保証書 取説 ｷｰﾚｽ(車内)ﾜﾝｵｰﾅｰ</t>
    <rPh sb="0" eb="3">
      <t>ホショウショ</t>
    </rPh>
    <rPh sb="4" eb="6">
      <t>トリセツ</t>
    </rPh>
    <rPh sb="12" eb="14">
      <t>シャナイ</t>
    </rPh>
    <phoneticPr fontId="13"/>
  </si>
  <si>
    <t>8/2/13</t>
    <phoneticPr fontId="13"/>
  </si>
  <si>
    <t>横浜 305 ら 8596</t>
    <rPh sb="0" eb="2">
      <t>ヨコハマ</t>
    </rPh>
    <phoneticPr fontId="13"/>
  </si>
  <si>
    <t>301 に 4005</t>
    <phoneticPr fontId="13"/>
  </si>
  <si>
    <t>WMWXU920X0TN55148</t>
    <phoneticPr fontId="13"/>
  </si>
  <si>
    <t>株式会社ﾃﾞｽﾃｨｰﾉ</t>
    <rPh sb="0" eb="4">
      <t>カブシキガイシャ</t>
    </rPh>
    <phoneticPr fontId="13"/>
  </si>
  <si>
    <t>6/28</t>
    <phoneticPr fontId="13"/>
  </si>
  <si>
    <t>取説 ｷｰﾚｽ</t>
    <rPh sb="0" eb="2">
      <t>トリセツ</t>
    </rPh>
    <phoneticPr fontId="13"/>
  </si>
  <si>
    <t>ｱｳﾃﾞｨ S1 4WD</t>
    <phoneticPr fontId="13"/>
  </si>
  <si>
    <t>相模 399 ま 679</t>
    <rPh sb="0" eb="2">
      <t>サガミ</t>
    </rPh>
    <phoneticPr fontId="13"/>
  </si>
  <si>
    <t>ｵﾘｯｸｽ厚木(ｱｲｵｰｸ)</t>
    <rPh sb="5" eb="7">
      <t>アツギ</t>
    </rPh>
    <phoneticPr fontId="13"/>
  </si>
  <si>
    <t>黄色</t>
    <rPh sb="0" eb="2">
      <t>キイロ</t>
    </rPh>
    <phoneticPr fontId="13"/>
  </si>
  <si>
    <t>WAUZZZ8X5GB049399</t>
    <phoneticPr fontId="13"/>
  </si>
  <si>
    <t>7/4</t>
    <phoneticPr fontId="13"/>
  </si>
  <si>
    <t>ｱｳﾃﾞｨS4ｱﾊﾞﾝﾄ ﾍﾞｰｽｸﾞﾚｰﾄﾞ</t>
    <phoneticPr fontId="13"/>
  </si>
  <si>
    <t>7/4/4</t>
    <phoneticPr fontId="13"/>
  </si>
  <si>
    <t>つくば 300 や 9901</t>
    <phoneticPr fontId="13"/>
  </si>
  <si>
    <t>301 に 4006</t>
    <phoneticPr fontId="13"/>
  </si>
  <si>
    <t>WAUZZZF41JA025414</t>
    <phoneticPr fontId="13"/>
  </si>
  <si>
    <t>高野 雄一</t>
    <rPh sb="0" eb="2">
      <t>タカノ</t>
    </rPh>
    <rPh sb="3" eb="5">
      <t>ユウイチ</t>
    </rPh>
    <phoneticPr fontId="13"/>
  </si>
  <si>
    <t>ｽｰﾌﾟﾗ RZ</t>
    <phoneticPr fontId="13"/>
  </si>
  <si>
    <t>神戸 32M ね 9999</t>
    <rPh sb="0" eb="2">
      <t>コウベ</t>
    </rPh>
    <phoneticPr fontId="13"/>
  </si>
  <si>
    <t>301 に 6301</t>
    <phoneticPr fontId="13"/>
  </si>
  <si>
    <t>A236884</t>
    <phoneticPr fontId="13"/>
  </si>
  <si>
    <t>その他</t>
    <rPh sb="2" eb="3">
      <t>タ</t>
    </rPh>
    <phoneticPr fontId="13"/>
  </si>
  <si>
    <t>DB42-0030705</t>
    <phoneticPr fontId="13"/>
  </si>
  <si>
    <t>8/19</t>
    <phoneticPr fontId="13"/>
  </si>
  <si>
    <t>30/</t>
    <phoneticPr fontId="13"/>
  </si>
  <si>
    <t>ｱﾊﾞﾙﾄ595 ｺﾍﾟﾝﾃｨﾂｨｵｰﾈ</t>
    <phoneticPr fontId="13"/>
  </si>
  <si>
    <t>7/11/28</t>
    <phoneticPr fontId="13"/>
  </si>
  <si>
    <t>宮﨑 501 な 1358</t>
    <rPh sb="0" eb="2">
      <t>ミヤザキ</t>
    </rPh>
    <phoneticPr fontId="13"/>
  </si>
  <si>
    <t>501 も 852</t>
    <phoneticPr fontId="13"/>
  </si>
  <si>
    <t>ZFA3120000J932469</t>
    <phoneticPr fontId="13"/>
  </si>
  <si>
    <t>7/12</t>
    <phoneticPr fontId="13"/>
  </si>
  <si>
    <t>31/1</t>
    <phoneticPr fontId="13"/>
  </si>
  <si>
    <t>BMWﾐﾆｸｰﾊﾟｰ ｶﾞﾝﾃﾞｨED</t>
    <phoneticPr fontId="13"/>
  </si>
  <si>
    <t>8/1</t>
    <phoneticPr fontId="13"/>
  </si>
  <si>
    <t>京都 341 と 1206</t>
    <rPh sb="0" eb="2">
      <t>キョウト</t>
    </rPh>
    <phoneticPr fontId="13"/>
  </si>
  <si>
    <t>301 に 5251</t>
    <phoneticPr fontId="13"/>
  </si>
  <si>
    <t>WMWXR32060TL82369</t>
    <phoneticPr fontId="13"/>
  </si>
  <si>
    <t>株式会社ﾌｧｰﾚﾝ古都</t>
    <rPh sb="0" eb="4">
      <t>カブシキガイシャ</t>
    </rPh>
    <rPh sb="9" eb="11">
      <t>コト</t>
    </rPh>
    <phoneticPr fontId="13"/>
  </si>
  <si>
    <t>7/18</t>
    <phoneticPr fontId="13"/>
  </si>
  <si>
    <t>ﾎﾟﾙｼｪ ﾊﾟﾅﾒｰﾗ GTS</t>
    <phoneticPr fontId="13"/>
  </si>
  <si>
    <t>7/12/7</t>
    <phoneticPr fontId="13"/>
  </si>
  <si>
    <t>北九州 330 そ 3259</t>
    <rPh sb="0" eb="3">
      <t>キタキュウシュウ</t>
    </rPh>
    <phoneticPr fontId="13"/>
  </si>
  <si>
    <t>301 に 5248</t>
    <phoneticPr fontId="13"/>
  </si>
  <si>
    <t>WP0ZZZ97ZEL080705</t>
    <phoneticPr fontId="13"/>
  </si>
  <si>
    <t>安倍 敬治</t>
    <rPh sb="0" eb="2">
      <t>アベ</t>
    </rPh>
    <rPh sb="3" eb="5">
      <t>ケイジ</t>
    </rPh>
    <phoneticPr fontId="13"/>
  </si>
  <si>
    <t>7/19</t>
    <phoneticPr fontId="13"/>
  </si>
  <si>
    <t>地図SD（車内）保証書 ｷｰﾚｽ ﾅﾋﾞ取説</t>
    <rPh sb="0" eb="2">
      <t>チズ</t>
    </rPh>
    <rPh sb="5" eb="7">
      <t>シャナイ</t>
    </rPh>
    <rPh sb="8" eb="11">
      <t>ホショウショ</t>
    </rPh>
    <rPh sb="20" eb="22">
      <t>トリセツ</t>
    </rPh>
    <phoneticPr fontId="13"/>
  </si>
  <si>
    <t>6/11/23</t>
    <phoneticPr fontId="13"/>
  </si>
  <si>
    <t>神戸 562 む 32</t>
    <rPh sb="0" eb="2">
      <t>コウベ</t>
    </rPh>
    <phoneticPr fontId="13"/>
  </si>
  <si>
    <t>ZFABF13H8NJF45891</t>
    <phoneticPr fontId="13"/>
  </si>
  <si>
    <t>7/21</t>
    <phoneticPr fontId="13"/>
  </si>
  <si>
    <t>7/9/29</t>
    <phoneticPr fontId="13"/>
  </si>
  <si>
    <t>神戸 33P さ 22</t>
    <rPh sb="0" eb="2">
      <t>コウベ</t>
    </rPh>
    <phoneticPr fontId="13"/>
  </si>
  <si>
    <t>301 に 5252</t>
    <phoneticPr fontId="13"/>
  </si>
  <si>
    <t>WMW52DK0002R49859</t>
    <phoneticPr fontId="13"/>
  </si>
  <si>
    <t>株式会社ｼｭﾃﾙﾝ神戸中央</t>
    <rPh sb="0" eb="4">
      <t>カブシキガイシャ</t>
    </rPh>
    <rPh sb="9" eb="11">
      <t>コウベ</t>
    </rPh>
    <rPh sb="11" eb="13">
      <t>チュウオウ</t>
    </rPh>
    <phoneticPr fontId="13"/>
  </si>
  <si>
    <t>7/25</t>
    <phoneticPr fontId="13"/>
  </si>
  <si>
    <t>京都 302 ち 7201</t>
    <rPh sb="0" eb="2">
      <t>キョウト</t>
    </rPh>
    <phoneticPr fontId="13"/>
  </si>
  <si>
    <t>WMWYU520303D56006</t>
    <phoneticPr fontId="13"/>
  </si>
  <si>
    <t>株式会社服部ﾓｰﾀｰ商会</t>
    <rPh sb="0" eb="4">
      <t>カブシキガイシャ</t>
    </rPh>
    <rPh sb="4" eb="6">
      <t>ハットリ</t>
    </rPh>
    <rPh sb="10" eb="12">
      <t>ショウカイ</t>
    </rPh>
    <phoneticPr fontId="13"/>
  </si>
  <si>
    <t>ｽﾏｰﾄ ﾌｫｰﾂ‐ｴﾚｸﾄﾘｯｸD BRABUS</t>
    <phoneticPr fontId="13"/>
  </si>
  <si>
    <t>富士山 541 す 1515</t>
    <rPh sb="0" eb="3">
      <t>フジサン</t>
    </rPh>
    <phoneticPr fontId="13"/>
  </si>
  <si>
    <t>WME4513922K744044</t>
    <phoneticPr fontId="13"/>
  </si>
  <si>
    <t>株式会社ﾈｸｽﾃｰｼﾞ</t>
    <phoneticPr fontId="13"/>
  </si>
  <si>
    <t>ｷｰﾚｽ(車内)保証書 取説 ﾜﾝｵｰﾅｰ</t>
    <rPh sb="8" eb="11">
      <t>ホショウショ</t>
    </rPh>
    <rPh sb="12" eb="14">
      <t>トリセツ</t>
    </rPh>
    <phoneticPr fontId="13"/>
  </si>
  <si>
    <t>23/</t>
    <phoneticPr fontId="13"/>
  </si>
  <si>
    <t>ｼﾞｬｶﾞｰ XK ｺﾝﾊﾞｰﾁﾌﾞﾙ</t>
    <phoneticPr fontId="13"/>
  </si>
  <si>
    <t>島根 331 そ 520</t>
    <rPh sb="0" eb="2">
      <t>シマネ</t>
    </rPh>
    <phoneticPr fontId="13"/>
  </si>
  <si>
    <t>(有)ｵｰﾄｻﾛﾝﾜｲｽﾞ</t>
    <rPh sb="1" eb="2">
      <t>タモツ</t>
    </rPh>
    <phoneticPr fontId="13"/>
  </si>
  <si>
    <t>SAJKC46P0CLB45378</t>
    <phoneticPr fontId="13"/>
  </si>
  <si>
    <t>中島 孝晃</t>
    <rPh sb="0" eb="2">
      <t>ナカシマ</t>
    </rPh>
    <rPh sb="3" eb="5">
      <t>タカアキ</t>
    </rPh>
    <phoneticPr fontId="13"/>
  </si>
  <si>
    <t xml:space="preserve">整備手帳 保証書(ﾃﾞｨｰﾗｰ印なし)取説 </t>
    <rPh sb="0" eb="4">
      <t>セイビテチョウ</t>
    </rPh>
    <rPh sb="5" eb="8">
      <t>ホショウショ</t>
    </rPh>
    <rPh sb="15" eb="16">
      <t>イン</t>
    </rPh>
    <rPh sb="19" eb="21">
      <t>トリセツ</t>
    </rPh>
    <phoneticPr fontId="13"/>
  </si>
  <si>
    <t>抹消済</t>
    <rPh sb="2" eb="3">
      <t>ズ</t>
    </rPh>
    <phoneticPr fontId="13"/>
  </si>
  <si>
    <t>MﾍﾞﾝﾂCLA ｼｭｰB4 CLA220SB</t>
    <phoneticPr fontId="13"/>
  </si>
  <si>
    <t>6/9/28</t>
    <phoneticPr fontId="13"/>
  </si>
  <si>
    <t>横浜 305 る 6392</t>
    <rPh sb="0" eb="2">
      <t>ヨコハマ</t>
    </rPh>
    <phoneticPr fontId="13"/>
  </si>
  <si>
    <t>WDD1179472N557889</t>
    <phoneticPr fontId="13"/>
  </si>
  <si>
    <t>有限会社 ｽﾍﾟｰｽﾌｧｸﾄﾘｰ</t>
    <rPh sb="0" eb="4">
      <t>ユウゲンガイシャ</t>
    </rPh>
    <phoneticPr fontId="13"/>
  </si>
  <si>
    <t>24/7</t>
    <phoneticPr fontId="13"/>
  </si>
  <si>
    <t>ｺﾍﾟﾝ ｱｸﾃｨﾌﾞﾄｯﾌﾟ</t>
    <phoneticPr fontId="13"/>
  </si>
  <si>
    <t>7/8/2</t>
    <phoneticPr fontId="13"/>
  </si>
  <si>
    <t>福井 590 に 117</t>
    <rPh sb="0" eb="2">
      <t>フクイ</t>
    </rPh>
    <phoneticPr fontId="13"/>
  </si>
  <si>
    <t>581 や 8747</t>
    <phoneticPr fontId="13"/>
  </si>
  <si>
    <t>L880K-0058158</t>
    <phoneticPr fontId="13"/>
  </si>
  <si>
    <t>平瀬 俊行</t>
    <rPh sb="0" eb="2">
      <t>ヒラセ</t>
    </rPh>
    <rPh sb="3" eb="4">
      <t>シュン</t>
    </rPh>
    <rPh sb="4" eb="5">
      <t>ギョウ</t>
    </rPh>
    <phoneticPr fontId="13"/>
  </si>
  <si>
    <t>地図SD（車内）保証書 取説 ｽﾍﾟｱｷｰ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</si>
  <si>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1/7</t>
    <phoneticPr fontId="13"/>
  </si>
  <si>
    <t>ﾌﾟｼﾞｮｰ508 GTﾌﾞﾙｰHDI</t>
    <phoneticPr fontId="13"/>
  </si>
  <si>
    <t>熊本 301 ま 6425</t>
    <rPh sb="0" eb="2">
      <t>クマモト</t>
    </rPh>
    <phoneticPr fontId="13"/>
  </si>
  <si>
    <t>VR3FHEHZRKY071142</t>
    <phoneticPr fontId="13"/>
  </si>
  <si>
    <t>株式会社WECARS</t>
    <rPh sb="0" eb="4">
      <t>カブシキガイシャ</t>
    </rPh>
    <phoneticPr fontId="13"/>
  </si>
  <si>
    <t>8/10</t>
    <phoneticPr fontId="13"/>
  </si>
  <si>
    <t>整備手帳 取説 ｷｰﾚｽ</t>
    <rPh sb="0" eb="4">
      <t>セイビテチョウ</t>
    </rPh>
    <rPh sb="5" eb="7">
      <t>トリセツ</t>
    </rPh>
    <phoneticPr fontId="13"/>
  </si>
  <si>
    <t>BMWﾐﾆ ｸｰﾊﾟｰDｸﾛｽｵｰﾊﾞｰｵｰﾙ4</t>
    <phoneticPr fontId="13"/>
  </si>
  <si>
    <t>なにわ 39A と 5763</t>
    <phoneticPr fontId="13"/>
  </si>
  <si>
    <t>WMWYU120103E06295</t>
    <phoneticPr fontId="13"/>
  </si>
  <si>
    <t>大阪 399 も 3721</t>
    <rPh sb="0" eb="2">
      <t>オオサカ</t>
    </rPh>
    <phoneticPr fontId="13"/>
  </si>
  <si>
    <t>WMWXR520602L01999</t>
    <phoneticPr fontId="13"/>
  </si>
  <si>
    <t>8/17</t>
    <phoneticPr fontId="13"/>
  </si>
  <si>
    <t>保証書 取説 ﾄﾞﾗﾚｺ取説 ｷｰﾚｽ</t>
    <rPh sb="0" eb="3">
      <t>ホショウショ</t>
    </rPh>
    <rPh sb="4" eb="6">
      <t>トリセツ</t>
    </rPh>
    <rPh sb="12" eb="14">
      <t>トリセツ</t>
    </rPh>
    <phoneticPr fontId="13"/>
  </si>
  <si>
    <t>7/3/4</t>
    <phoneticPr fontId="13"/>
  </si>
  <si>
    <t>宮崎 300 ら 5105</t>
    <rPh sb="0" eb="2">
      <t>ミヤザキ</t>
    </rPh>
    <phoneticPr fontId="13"/>
  </si>
  <si>
    <t>TAA南九州</t>
    <rPh sb="3" eb="4">
      <t>ミナミ</t>
    </rPh>
    <rPh sb="4" eb="6">
      <t>キュウシュウ</t>
    </rPh>
    <phoneticPr fontId="13"/>
  </si>
  <si>
    <t>WMWLN720402D35416</t>
    <phoneticPr fontId="13"/>
  </si>
  <si>
    <t>田中 浩</t>
    <rPh sb="0" eb="2">
      <t>タナカ</t>
    </rPh>
    <rPh sb="3" eb="4">
      <t>ヒロシ</t>
    </rPh>
    <phoneticPr fontId="13"/>
  </si>
  <si>
    <t>保証書 取説 ｷｰﾚｽ ﾄﾞﾗﾚｺﾏｲｸﾛSD</t>
    <rPh sb="0" eb="3">
      <t>ホショウショ</t>
    </rPh>
    <rPh sb="4" eb="6">
      <t>トリセツ</t>
    </rPh>
    <phoneticPr fontId="13"/>
  </si>
  <si>
    <t>BMWﾐﾆ JCW</t>
    <phoneticPr fontId="13"/>
  </si>
  <si>
    <t>6/10/31</t>
    <phoneticPr fontId="13"/>
  </si>
  <si>
    <t>山口 331 に 7218</t>
    <rPh sb="0" eb="2">
      <t>ヤマグチ</t>
    </rPh>
    <phoneticPr fontId="13"/>
  </si>
  <si>
    <t>WMW72DH0802R14910</t>
    <phoneticPr fontId="13"/>
  </si>
  <si>
    <t>SMBCﾌｧｲﾅﾝｼｬﾙｻｰﾋﾞｽ株式会社</t>
    <phoneticPr fontId="13"/>
  </si>
  <si>
    <t>8/20</t>
    <phoneticPr fontId="13"/>
  </si>
  <si>
    <t>31/4</t>
    <phoneticPr fontId="13"/>
  </si>
  <si>
    <t>ｼﾄﾛｴﾝG C4 ﾋﾟｶｿ</t>
    <phoneticPr fontId="13"/>
  </si>
  <si>
    <t>8/4</t>
    <phoneticPr fontId="13"/>
  </si>
  <si>
    <t>熊本 370 ら 358</t>
    <rPh sb="0" eb="2">
      <t>クマモト</t>
    </rPh>
    <phoneticPr fontId="13"/>
  </si>
  <si>
    <t>301 に 5906</t>
    <phoneticPr fontId="13"/>
  </si>
  <si>
    <t>VF73AAHXTKJ567533</t>
    <phoneticPr fontId="13"/>
  </si>
  <si>
    <t>株式会社ﾎﾝﾀﾞﾓﾋﾞﾘﾃｨ九州</t>
    <rPh sb="0" eb="4">
      <t>カブシキガイシャ</t>
    </rPh>
    <rPh sb="14" eb="16">
      <t>キュウシュウ</t>
    </rPh>
    <phoneticPr fontId="13"/>
  </si>
  <si>
    <t>取説 ﾅﾋﾞ取説 ｷｰﾚｽ（車内）</t>
    <rPh sb="0" eb="2">
      <t>トリセツ</t>
    </rPh>
    <rPh sb="6" eb="8">
      <t>トリセツ</t>
    </rPh>
    <rPh sb="14" eb="16">
      <t>シャナイ</t>
    </rPh>
    <phoneticPr fontId="13"/>
  </si>
  <si>
    <t>1/10</t>
    <phoneticPr fontId="13"/>
  </si>
  <si>
    <t>ｱﾙﾌｧｰﾄﾞ 2.5S</t>
    <phoneticPr fontId="13"/>
  </si>
  <si>
    <t>相模 330 た 7774</t>
    <rPh sb="0" eb="1">
      <t>ソウ</t>
    </rPh>
    <phoneticPr fontId="13"/>
  </si>
  <si>
    <t>34L は 5</t>
    <phoneticPr fontId="13"/>
  </si>
  <si>
    <t>A242836</t>
    <phoneticPr fontId="13"/>
  </si>
  <si>
    <t>AGH30-0286760</t>
    <phoneticPr fontId="13"/>
  </si>
  <si>
    <t>ｲｵﾝﾌﾟﾛﾀﾞｸﾄﾌｧｲﾅﾝｽ株式会社</t>
    <rPh sb="16" eb="20">
      <t>カブシキガイシャ</t>
    </rPh>
    <phoneticPr fontId="13"/>
  </si>
  <si>
    <t>9/9</t>
    <phoneticPr fontId="13"/>
  </si>
  <si>
    <t>BMWﾐﾆ ｼﾞｮﾝｸｰﾊﾟｰﾜｰｸｽ ｸﾗﾌﾞﾏﾝ</t>
    <phoneticPr fontId="13"/>
  </si>
  <si>
    <t>札幌 331 ね 5432</t>
    <rPh sb="0" eb="2">
      <t>サッポロ</t>
    </rPh>
    <phoneticPr fontId="13"/>
  </si>
  <si>
    <t>WMWLV920802H71116</t>
    <phoneticPr fontId="13"/>
  </si>
  <si>
    <t>株式会社Super Fast Action</t>
    <rPh sb="0" eb="4">
      <t>カブシキガイシャ</t>
    </rPh>
    <phoneticPr fontId="13"/>
  </si>
  <si>
    <t>8/26</t>
    <phoneticPr fontId="13"/>
  </si>
  <si>
    <t>4/3</t>
    <phoneticPr fontId="13"/>
  </si>
  <si>
    <t>BMWﾐﾆ ｸｰﾊﾟｰDﾌﾞﾘｯｸﾚｰﾝE</t>
    <phoneticPr fontId="13"/>
  </si>
  <si>
    <t>大阪 331 め 3855</t>
    <rPh sb="0" eb="2">
      <t>オオサカ</t>
    </rPh>
    <phoneticPr fontId="13"/>
  </si>
  <si>
    <t>301 に 6709</t>
    <phoneticPr fontId="13"/>
  </si>
  <si>
    <t>WMW12DV0302S07093</t>
    <phoneticPr fontId="13"/>
  </si>
  <si>
    <t>ﾋﾞｰｴﾑﾀﾞﾌﾞﾘｭｰｼﾞｬﾊﾟﾝﾌｧｲﾅﾝｽ株式会社</t>
    <rPh sb="24" eb="26">
      <t>カブシキ</t>
    </rPh>
    <rPh sb="26" eb="28">
      <t>カイシャ</t>
    </rPh>
    <phoneticPr fontId="13"/>
  </si>
  <si>
    <t>8/30</t>
    <phoneticPr fontId="13"/>
  </si>
  <si>
    <t>3/6</t>
    <phoneticPr fontId="13"/>
  </si>
  <si>
    <t>BMW3ｼﾘｰｽﾞ 320D XDﾂｰﾘﾝﾝｸﾞMｽﾎﾟｰﾂ</t>
    <phoneticPr fontId="13"/>
  </si>
  <si>
    <t>福井 330 す 3347</t>
    <rPh sb="0" eb="2">
      <t>フクイ</t>
    </rPh>
    <phoneticPr fontId="13"/>
  </si>
  <si>
    <t>301 に 6711</t>
    <phoneticPr fontId="13"/>
  </si>
  <si>
    <t>WBA6L72080FL32642</t>
    <phoneticPr fontId="13"/>
  </si>
  <si>
    <t>中山 正祥</t>
    <rPh sb="0" eb="2">
      <t>ナカヤマ</t>
    </rPh>
    <rPh sb="3" eb="4">
      <t>マサ</t>
    </rPh>
    <rPh sb="4" eb="5">
      <t>ショウ</t>
    </rPh>
    <phoneticPr fontId="13"/>
  </si>
  <si>
    <t>9/5</t>
    <phoneticPr fontId="13"/>
  </si>
  <si>
    <t>6/11/26</t>
    <phoneticPr fontId="13"/>
  </si>
  <si>
    <t>豊田 333 の 78</t>
    <rPh sb="0" eb="2">
      <t>トヨタ</t>
    </rPh>
    <phoneticPr fontId="13"/>
  </si>
  <si>
    <t>WMWXN920X02H65965</t>
    <phoneticPr fontId="13"/>
  </si>
  <si>
    <t>保証書(中古車保証書)取説 ｷｰﾚｽ</t>
    <rPh sb="0" eb="3">
      <t>ホショウショ</t>
    </rPh>
    <rPh sb="4" eb="7">
      <t>チュウコシャ</t>
    </rPh>
    <rPh sb="7" eb="10">
      <t>ホショウショ</t>
    </rPh>
    <rPh sb="11" eb="13">
      <t>トリセツ</t>
    </rPh>
    <phoneticPr fontId="13"/>
  </si>
  <si>
    <t>23/12</t>
    <phoneticPr fontId="13"/>
  </si>
  <si>
    <t>ｼﾞﾑﾆｰ ｸﾛｽｱﾄﾞﾍﾞﾝﾁｬｰXC</t>
    <phoneticPr fontId="13"/>
  </si>
  <si>
    <t>広島 580 み 4481</t>
    <rPh sb="0" eb="2">
      <t>ヒロシマ</t>
    </rPh>
    <phoneticPr fontId="13"/>
  </si>
  <si>
    <t>581 ゆ 1138</t>
    <phoneticPr fontId="13"/>
  </si>
  <si>
    <t>JB23W-668042</t>
    <phoneticPr fontId="13"/>
  </si>
  <si>
    <t>US神戸ﾜﾝｸﾘ×なら抹消</t>
    <rPh sb="2" eb="4">
      <t>コウベ</t>
    </rPh>
    <rPh sb="11" eb="13">
      <t>マッショウ</t>
    </rPh>
    <phoneticPr fontId="13"/>
  </si>
  <si>
    <t>ﾊｲｾﾞｯﾄｶｰｺﾞ ｸﾙｰｽﾞSA3</t>
    <phoneticPr fontId="13"/>
  </si>
  <si>
    <t>7/1/25</t>
    <phoneticPr fontId="13"/>
  </si>
  <si>
    <t>三重 480 ね 6563</t>
    <rPh sb="0" eb="2">
      <t>ミエ</t>
    </rPh>
    <phoneticPr fontId="13"/>
  </si>
  <si>
    <t>480 ぬ 3825</t>
    <phoneticPr fontId="13"/>
  </si>
  <si>
    <t>S321V-0482335</t>
    <phoneticPr fontId="13"/>
  </si>
  <si>
    <t>株式会社ﾀﾞｲﾊﾂ三重</t>
    <rPh sb="0" eb="4">
      <t>カブシキガイシャ</t>
    </rPh>
    <rPh sb="9" eb="11">
      <t>ミエ</t>
    </rPh>
    <phoneticPr fontId="13"/>
  </si>
  <si>
    <t>ﾊｽﾗｰ G</t>
    <phoneticPr fontId="13"/>
  </si>
  <si>
    <t>名古屋 597 ろ 9471</t>
    <rPh sb="0" eb="3">
      <t>ナゴヤ</t>
    </rPh>
    <phoneticPr fontId="13"/>
  </si>
  <si>
    <t>予定</t>
    <phoneticPr fontId="13"/>
  </si>
  <si>
    <t>MR41S-231266</t>
    <phoneticPr fontId="13"/>
  </si>
  <si>
    <t>株式会社JCM名古屋支店</t>
    <rPh sb="0" eb="4">
      <t>カブシキガイシャ</t>
    </rPh>
    <rPh sb="7" eb="12">
      <t>ナゴヤシテン</t>
    </rPh>
    <phoneticPr fontId="13"/>
  </si>
  <si>
    <t>ｱｳﾃﾞｨA5ｽﾎﾟｰﾂﾊﾞｯｸ2.0TFSI</t>
    <phoneticPr fontId="13"/>
  </si>
  <si>
    <t>市川 399 さ 7817</t>
    <rPh sb="0" eb="2">
      <t>イチカワ</t>
    </rPh>
    <phoneticPr fontId="13"/>
  </si>
  <si>
    <t>WAUZZZF56JA022355</t>
    <phoneticPr fontId="13"/>
  </si>
  <si>
    <t>9/14</t>
    <phoneticPr fontId="13"/>
  </si>
  <si>
    <t>BMWﾐﾆ ｸｰﾊﾟｰD</t>
    <phoneticPr fontId="13"/>
  </si>
  <si>
    <t>7/10</t>
    <phoneticPr fontId="13"/>
  </si>
  <si>
    <t>広島 346 は 1007</t>
    <rPh sb="0" eb="2">
      <t>ヒロシマ</t>
    </rPh>
    <phoneticPr fontId="13"/>
  </si>
  <si>
    <t>301 に 7250</t>
    <phoneticPr fontId="13"/>
  </si>
  <si>
    <t>WMWXY320602N38029</t>
    <phoneticPr fontId="13"/>
  </si>
  <si>
    <t>ﾈｯﾂﾄﾖﾀ広島株式会社</t>
    <rPh sb="6" eb="8">
      <t>ヒロシマ</t>
    </rPh>
    <rPh sb="8" eb="12">
      <t>カブシキガイシャ</t>
    </rPh>
    <phoneticPr fontId="13"/>
  </si>
  <si>
    <t>ｴﾌﾞﾘｲ ｼﾞｮｲﾝﾀｰﾎﾞ</t>
    <phoneticPr fontId="13"/>
  </si>
  <si>
    <t>8/8/5</t>
    <phoneticPr fontId="13"/>
  </si>
  <si>
    <t>名古屋 480 め 1591</t>
    <rPh sb="0" eb="3">
      <t>ナゴヤ</t>
    </rPh>
    <phoneticPr fontId="13"/>
  </si>
  <si>
    <t>480 ぬ 3764</t>
    <phoneticPr fontId="13"/>
  </si>
  <si>
    <t>DA17V-883486</t>
    <phoneticPr fontId="13"/>
  </si>
  <si>
    <t>ﾄﾞﾝ ﾘﾔﾅｱﾗﾁ ｼﾞｬﾅｶ</t>
    <phoneticPr fontId="13"/>
  </si>
  <si>
    <t>3/9</t>
    <phoneticPr fontId="13"/>
  </si>
  <si>
    <t>N-BOX ｶｽﾀﾑL</t>
    <phoneticPr fontId="13"/>
  </si>
  <si>
    <t>和泉 583 こ 5301</t>
    <rPh sb="0" eb="2">
      <t>イズミ</t>
    </rPh>
    <phoneticPr fontId="13"/>
  </si>
  <si>
    <t>JF3-5075672</t>
    <phoneticPr fontId="13"/>
  </si>
  <si>
    <t>株式会社ﾎﾝﾀﾞ泉州販売</t>
    <rPh sb="0" eb="4">
      <t>カブシキガイシャ</t>
    </rPh>
    <rPh sb="8" eb="12">
      <t>センシュウハンバイ</t>
    </rPh>
    <phoneticPr fontId="13"/>
  </si>
  <si>
    <t>保証書 取説 ﾅﾋﾞ取説 ｷｰﾚｽ ｴﾝﾀﾒＳＤ</t>
    <rPh sb="0" eb="3">
      <t>ホショウショ</t>
    </rPh>
    <rPh sb="4" eb="6">
      <t>トリセツ</t>
    </rPh>
    <rPh sb="10" eb="12">
      <t>トリセツ</t>
    </rPh>
    <phoneticPr fontId="13"/>
  </si>
  <si>
    <t>ｱﾊﾞﾙﾄ500e</t>
    <phoneticPr fontId="13"/>
  </si>
  <si>
    <t>姫路 501 め 4170</t>
    <rPh sb="0" eb="2">
      <t>ヒメジ</t>
    </rPh>
    <phoneticPr fontId="13"/>
  </si>
  <si>
    <t>501 め 4170</t>
    <phoneticPr fontId="13"/>
  </si>
  <si>
    <t>新車</t>
    <rPh sb="0" eb="2">
      <t>シンシャ</t>
    </rPh>
    <phoneticPr fontId="13"/>
  </si>
  <si>
    <t>ZEAEFA265RX181491</t>
    <phoneticPr fontId="13"/>
  </si>
  <si>
    <t>有限会社ティーズクラブ</t>
    <rPh sb="0" eb="4">
      <t>ユウゲンガイシャ</t>
    </rPh>
    <phoneticPr fontId="13"/>
  </si>
  <si>
    <t>9/17</t>
    <phoneticPr fontId="13"/>
  </si>
  <si>
    <t>7/9/18</t>
    <phoneticPr fontId="13"/>
  </si>
  <si>
    <t>神戸 376 な 320</t>
    <rPh sb="0" eb="2">
      <t>コウベ</t>
    </rPh>
    <phoneticPr fontId="13"/>
  </si>
  <si>
    <t>301 に 8034</t>
    <phoneticPr fontId="13"/>
  </si>
  <si>
    <t>WMWXR92070TP20400</t>
    <phoneticPr fontId="13"/>
  </si>
  <si>
    <t>有限会社ﾃｨｴﾑﾒﾃﾞｨｶﾙｻｰﾋﾞｽ</t>
    <rPh sb="0" eb="4">
      <t>ユウゲンガイシャ</t>
    </rPh>
    <phoneticPr fontId="13"/>
  </si>
  <si>
    <t>9/29</t>
    <phoneticPr fontId="13"/>
  </si>
  <si>
    <t>7/2/16</t>
    <phoneticPr fontId="13"/>
  </si>
  <si>
    <t>岡山 331 た 1032</t>
    <rPh sb="0" eb="2">
      <t>オカヤマ</t>
    </rPh>
    <phoneticPr fontId="13"/>
  </si>
  <si>
    <t>WMWXR920702M32043</t>
    <phoneticPr fontId="13"/>
  </si>
  <si>
    <t>16</t>
  </si>
  <si>
    <t>ﾃﾞｨｽｶﾊﾞﾘｰ</t>
  </si>
  <si>
    <t>姫路　335　ほ　8080</t>
  </si>
  <si>
    <t>小野</t>
  </si>
  <si>
    <t>SALLTAM34A866381</t>
  </si>
  <si>
    <t>小野　洋</t>
  </si>
  <si>
    <t>14</t>
  </si>
  <si>
    <t>ｽﾊﾞﾙ　ｲﾝﾌﾟﾚｯｻ</t>
  </si>
  <si>
    <t>神戸　302　や　9872</t>
  </si>
  <si>
    <t>稲井</t>
  </si>
  <si>
    <t>CDB-013755</t>
  </si>
  <si>
    <t>稲井　光一</t>
  </si>
  <si>
    <t>5</t>
  </si>
  <si>
    <t>ﾊﾟｼﾞｪﾛ</t>
  </si>
  <si>
    <t>姫路　33　て　6063</t>
  </si>
  <si>
    <t>井上</t>
  </si>
  <si>
    <t>V46-4015544</t>
  </si>
  <si>
    <t>柳瀬　良之</t>
  </si>
  <si>
    <t>19</t>
  </si>
  <si>
    <t>ﾊﾞﾓｽ</t>
    <phoneticPr fontId="13"/>
  </si>
  <si>
    <t>静岡　580　ぬ　5270</t>
  </si>
  <si>
    <t>赤堀</t>
  </si>
  <si>
    <t>HM1-2702294</t>
  </si>
  <si>
    <t>赤堀　圭太</t>
  </si>
  <si>
    <t>BMWﾐﾆ　ｸｰﾊﾟｰ　ｸﾛｽｵｰﾊﾞｰ</t>
  </si>
  <si>
    <t>神戸　340　す　503</t>
  </si>
  <si>
    <t>ｾﾌﾞﾝｽﾀｰ</t>
  </si>
  <si>
    <t>WMWZB32040WL91244</t>
  </si>
  <si>
    <t>小山　良太</t>
  </si>
  <si>
    <t>27</t>
  </si>
  <si>
    <t>BMWﾐﾆ　ｸﾛｽｵｰﾊﾞｰ</t>
  </si>
  <si>
    <t>大阪　337　ろ　5858</t>
  </si>
  <si>
    <t>小矢田</t>
    <rPh sb="0" eb="2">
      <t>コヤ</t>
    </rPh>
    <rPh sb="2" eb="3">
      <t>ダ</t>
    </rPh>
    <phoneticPr fontId="13"/>
  </si>
  <si>
    <t>WMWZB72000WT67398</t>
  </si>
  <si>
    <t>小矢田　亮</t>
  </si>
  <si>
    <t>29</t>
  </si>
  <si>
    <t>神戸　303　て　8944</t>
  </si>
  <si>
    <t>井澤</t>
    <rPh sb="0" eb="2">
      <t>イザワ</t>
    </rPh>
    <phoneticPr fontId="13"/>
  </si>
  <si>
    <t>ｾﾌﾞﾝｽﾀｰ東灘</t>
    <rPh sb="7" eb="9">
      <t>ヒガシナダ</t>
    </rPh>
    <phoneticPr fontId="13"/>
  </si>
  <si>
    <t>WMWXM520X02D00792</t>
  </si>
  <si>
    <t>株式会社　ｾﾌﾞﾝｽﾀｰ</t>
  </si>
  <si>
    <t>20</t>
  </si>
  <si>
    <t>姫路 530 な 3746</t>
  </si>
  <si>
    <t>向井</t>
  </si>
  <si>
    <t>WMWMF32090TW20369</t>
  </si>
  <si>
    <t>向井 正行</t>
  </si>
  <si>
    <t>31/2</t>
  </si>
  <si>
    <t>姫路 533 ね 922</t>
  </si>
  <si>
    <t>宮本</t>
  </si>
  <si>
    <t>WMWMF32070TT28848</t>
  </si>
  <si>
    <t>宮本 みどり</t>
  </si>
  <si>
    <t>28</t>
  </si>
  <si>
    <t>ｼﾄﾛｴﾝ DS5</t>
  </si>
  <si>
    <t>神戸 331 な 3775</t>
  </si>
  <si>
    <t>生駒</t>
    <rPh sb="0" eb="1">
      <t>イ</t>
    </rPh>
    <rPh sb="1" eb="2">
      <t>コマ</t>
    </rPh>
    <phoneticPr fontId="13"/>
  </si>
  <si>
    <t>MINI宝塚</t>
  </si>
  <si>
    <t>VF7KF5GZTGS500990</t>
    <phoneticPr fontId="13"/>
  </si>
  <si>
    <t>株式会社 ｾﾌﾞﾝｽﾀｰ</t>
  </si>
  <si>
    <t>25</t>
  </si>
  <si>
    <t>BMWﾐﾆｼﾞｮﾝｸｰﾊﾟｰﾜｰｸｽ ｸﾛｽｵｰﾊﾞｰ</t>
  </si>
  <si>
    <t>神戸 330 ほ 9608</t>
  </si>
  <si>
    <t>間人</t>
    <phoneticPr fontId="13"/>
  </si>
  <si>
    <t>ｱﾌﾞｿﾘｭｰﾄﾌﾞﾗｯｸ</t>
  </si>
  <si>
    <t>WMWXD12050WN20243</t>
  </si>
  <si>
    <t>高嶋 修 （ﾋﾞｰｴﾑﾀﾞﾌﾞﾘｭｰ）</t>
  </si>
  <si>
    <t>BMWﾐﾆｸﾗﾌﾞﾏﾝ</t>
  </si>
  <si>
    <t>神戸 530 な 3324</t>
  </si>
  <si>
    <t>石川</t>
    <rPh sb="0" eb="2">
      <t>イシカワ</t>
    </rPh>
    <phoneticPr fontId="13"/>
  </si>
  <si>
    <t>ﾀﾞｰｸｼﾙﾊﾞｰ</t>
  </si>
  <si>
    <t>WMWMM32050TN78353</t>
  </si>
  <si>
    <t>造田 彰</t>
  </si>
  <si>
    <t>不動車</t>
    <rPh sb="0" eb="2">
      <t>フドウ</t>
    </rPh>
    <rPh sb="2" eb="3">
      <t>クルマ</t>
    </rPh>
    <phoneticPr fontId="13"/>
  </si>
  <si>
    <t>ｱﾊﾞﾙﾄ500 ﾊｰﾏﾝ</t>
  </si>
  <si>
    <t>和泉 599 や 2209</t>
  </si>
  <si>
    <t>業販</t>
    <rPh sb="0" eb="1">
      <t>ギョウ</t>
    </rPh>
    <rPh sb="1" eb="2">
      <t>ハン</t>
    </rPh>
    <phoneticPr fontId="13"/>
  </si>
  <si>
    <t>ﾘﾘｰｽ大阪狭山店</t>
  </si>
  <si>
    <t>ZFA31200000459520</t>
  </si>
  <si>
    <t>株式会社ｴｰﾋﾞｰｼｰｺｰﾎﾟﾚｰｼｮﾝ</t>
  </si>
  <si>
    <t>32/12</t>
  </si>
  <si>
    <t>神戸 343 と 618</t>
  </si>
  <si>
    <t>奥住</t>
    <rPh sb="0" eb="1">
      <t>オク</t>
    </rPh>
    <rPh sb="1" eb="2">
      <t>スミ</t>
    </rPh>
    <phoneticPr fontId="13"/>
  </si>
  <si>
    <t>ｻﾝﾀﾞｰｸﾞﾚｰﾒﾀ</t>
  </si>
  <si>
    <t>WMWXS720202C47832</t>
  </si>
  <si>
    <t>長濱 信和</t>
  </si>
  <si>
    <t>神戸 331 ぬ 3298</t>
  </si>
  <si>
    <t>保証書 ｷｰﾚｽ</t>
    <rPh sb="0" eb="3">
      <t>ホショウショ</t>
    </rPh>
    <phoneticPr fontId="13"/>
  </si>
  <si>
    <t>ﾋﾟｭｱﾊﾞｰｶﾞﾝﾃﾞｨ</t>
  </si>
  <si>
    <t>WMWLN320302B33742</t>
  </si>
  <si>
    <t>加藤 知彰</t>
  </si>
  <si>
    <t>神戸 353 ゆ 38</t>
  </si>
  <si>
    <t>杉永</t>
    <rPh sb="0" eb="2">
      <t>スギナガ</t>
    </rPh>
    <phoneticPr fontId="13"/>
  </si>
  <si>
    <t>ﾍﾟｯﾊﾟｰﾎﾜｲﾄ</t>
  </si>
  <si>
    <t>WMWXS520702C89126</t>
  </si>
  <si>
    <t>武 韻恩</t>
  </si>
  <si>
    <t>BMWﾐﾆｸｰﾊﾟｰ ｸﾗﾌﾞﾏﾝ</t>
  </si>
  <si>
    <t>4/2</t>
  </si>
  <si>
    <t>神戸 373 て 7878</t>
  </si>
  <si>
    <t>生駒</t>
    <rPh sb="0" eb="2">
      <t>イコマ</t>
    </rPh>
    <phoneticPr fontId="13"/>
  </si>
  <si>
    <t>301 ち 2067</t>
  </si>
  <si>
    <t>MINI宝塚</t>
    <rPh sb="4" eb="6">
      <t>タカラヅカ</t>
    </rPh>
    <phoneticPr fontId="13"/>
  </si>
  <si>
    <t>ﾌﾞﾚｲｼﾝｸﾞﾚｯﾄﾞ</t>
  </si>
  <si>
    <t>WMWLN320302F15222</t>
  </si>
  <si>
    <t>白谷 克彦</t>
  </si>
  <si>
    <t>姫路 530 み 865</t>
  </si>
  <si>
    <t>春木</t>
  </si>
  <si>
    <t>ﾁｮｺﾚｰﾄ</t>
  </si>
  <si>
    <t>WMWML32010TM94761</t>
  </si>
  <si>
    <t>春木 健太郎</t>
  </si>
  <si>
    <t>神戸 346 ら 710</t>
  </si>
  <si>
    <t>横山</t>
  </si>
  <si>
    <t>ﾌﾞﾚｲｼﾞﾝｸﾞﾚｯﾄﾞ</t>
  </si>
  <si>
    <t>WMWXM52050T928430</t>
  </si>
  <si>
    <t>横山 大樹</t>
  </si>
  <si>
    <t>2</t>
  </si>
  <si>
    <t>BMW218I ｸﾞﾗﾝｸｰﾍﾟ</t>
  </si>
  <si>
    <t>神戸 31L る 22</t>
  </si>
  <si>
    <t>市田</t>
    <rPh sb="0" eb="2">
      <t>イチダ</t>
    </rPh>
    <phoneticPr fontId="13"/>
  </si>
  <si>
    <t>31P さ 5</t>
  </si>
  <si>
    <t>WBA12AK0607F66379</t>
  </si>
  <si>
    <t>乾 晶浩</t>
  </si>
  <si>
    <t>BMWﾐﾆｸｰﾊﾟｰS ｸﾗﾌﾞﾏﾝ</t>
  </si>
  <si>
    <t>神戸 375 ぬ 118</t>
  </si>
  <si>
    <t>WMWLN720502D34064</t>
  </si>
  <si>
    <t>井上 裕喜</t>
  </si>
  <si>
    <t>BMWﾐﾆｸｰﾊﾟｰS ｸﾗﾌﾞﾏﾝ</t>
    <phoneticPr fontId="13"/>
  </si>
  <si>
    <t>神戸 331 な 6588</t>
    <rPh sb="0" eb="2">
      <t>コウベ</t>
    </rPh>
    <phoneticPr fontId="13"/>
  </si>
  <si>
    <t>ﾋﾟｭｱﾊﾞｰｶﾞﾝﾃﾞｨ</t>
    <phoneticPr fontId="13"/>
  </si>
  <si>
    <t>WMWLN720602D96718</t>
    <phoneticPr fontId="13"/>
  </si>
  <si>
    <t>株式会社 芙蓉ﾗｲﾌｻﾎﾟｰﾄ</t>
    <rPh sb="0" eb="4">
      <t>カブシキガイシャ</t>
    </rPh>
    <rPh sb="5" eb="6">
      <t>フ</t>
    </rPh>
    <rPh sb="6" eb="7">
      <t>ヨウ</t>
    </rPh>
    <phoneticPr fontId="13"/>
  </si>
  <si>
    <t>3</t>
    <phoneticPr fontId="13"/>
  </si>
  <si>
    <t>NEW MINIｸｰﾊﾟｰS ｺﾝﾊﾞｰﾁﾌﾞﾙ</t>
    <phoneticPr fontId="13"/>
  </si>
  <si>
    <t>姫路 350 は   32</t>
    <rPh sb="0" eb="2">
      <t>ヒメジ</t>
    </rPh>
    <phoneticPr fontId="13"/>
  </si>
  <si>
    <t>350 は 32</t>
    <phoneticPr fontId="13"/>
  </si>
  <si>
    <t>㈱ﾓﾄｰﾚﾝ神戸</t>
    <rPh sb="6" eb="8">
      <t>コウベ</t>
    </rPh>
    <phoneticPr fontId="13"/>
  </si>
  <si>
    <t>ｾﾞｽﾃｨｰｲｴﾛｰ</t>
    <phoneticPr fontId="13"/>
  </si>
  <si>
    <t>WMW42DL0203N35471</t>
    <phoneticPr fontId="13"/>
  </si>
  <si>
    <t>有限会社 ﾃｨｰｽﾞｸﾗﾌﾞ</t>
    <rPh sb="0" eb="4">
      <t>ユウゲンカイシャ</t>
    </rPh>
    <phoneticPr fontId="13"/>
  </si>
  <si>
    <t>大阪 330 に 980</t>
    <rPh sb="0" eb="2">
      <t>オオサカ</t>
    </rPh>
    <phoneticPr fontId="13"/>
  </si>
  <si>
    <t>301 て 1655</t>
    <phoneticPr fontId="13"/>
  </si>
  <si>
    <t xml:space="preserve"> </t>
    <phoneticPr fontId="13"/>
  </si>
  <si>
    <t>MINI神戸東灘</t>
    <rPh sb="4" eb="6">
      <t>コウベ</t>
    </rPh>
    <rPh sb="6" eb="8">
      <t>ヒガシナダ</t>
    </rPh>
    <phoneticPr fontId="13"/>
  </si>
  <si>
    <t>ｽﾀｰﾗｲﾄﾌﾞﾙｰﾒﾀﾙｯｸ</t>
    <phoneticPr fontId="13"/>
  </si>
  <si>
    <t>WMWZB72070WU16354</t>
    <phoneticPr fontId="13"/>
  </si>
  <si>
    <t>赤塚 雄一</t>
    <rPh sb="0" eb="2">
      <t>アカツカ</t>
    </rPh>
    <rPh sb="3" eb="5">
      <t>ユウイチ</t>
    </rPh>
    <phoneticPr fontId="13"/>
  </si>
  <si>
    <t>12</t>
    <phoneticPr fontId="13"/>
  </si>
  <si>
    <t>ﾛｰﾊﾞｰ ﾐﾆｸｰﾊﾟｰ</t>
    <phoneticPr fontId="13"/>
  </si>
  <si>
    <t>姫路 541 ね 3298</t>
    <rPh sb="0" eb="2">
      <t>ヒメジ</t>
    </rPh>
    <phoneticPr fontId="13"/>
  </si>
  <si>
    <t>川端</t>
    <rPh sb="0" eb="2">
      <t>カワバタ</t>
    </rPh>
    <phoneticPr fontId="13"/>
  </si>
  <si>
    <t>SAXXN-WAXKYD177695</t>
    <phoneticPr fontId="13"/>
  </si>
  <si>
    <t>川端 正子</t>
    <rPh sb="0" eb="2">
      <t>カワバタ</t>
    </rPh>
    <rPh sb="3" eb="5">
      <t>マサコ</t>
    </rPh>
    <phoneticPr fontId="13"/>
  </si>
  <si>
    <t>31</t>
    <phoneticPr fontId="13"/>
  </si>
  <si>
    <t>神戸 303 ふ 9747</t>
    <rPh sb="0" eb="2">
      <t>コウベ</t>
    </rPh>
    <phoneticPr fontId="13"/>
  </si>
  <si>
    <t>ﾌﾞﾘﾃｨｯｼｭﾚｰｼﾝｸﾞｸﾞﾘｰﾝ</t>
    <phoneticPr fontId="13"/>
  </si>
  <si>
    <t>WMWXN320102H82618</t>
    <phoneticPr fontId="13"/>
  </si>
  <si>
    <t>高木 克彦</t>
    <rPh sb="0" eb="2">
      <t>タカギ</t>
    </rPh>
    <rPh sb="3" eb="5">
      <t>カツヒコ</t>
    </rPh>
    <phoneticPr fontId="13"/>
  </si>
  <si>
    <t>2月抹消済</t>
    <phoneticPr fontId="13"/>
  </si>
  <si>
    <t>27</t>
    <phoneticPr fontId="13"/>
  </si>
  <si>
    <t>ｱﾙﾌｧﾛﾒｵﾐﾄ ｺﾝﾍﾟﾃｨｵｰﾈ</t>
    <phoneticPr fontId="13"/>
  </si>
  <si>
    <t>京都 302 に 7879</t>
    <rPh sb="0" eb="2">
      <t>キョウト</t>
    </rPh>
    <phoneticPr fontId="13"/>
  </si>
  <si>
    <t>藤野さん事故の為下取りで引取</t>
    <rPh sb="0" eb="2">
      <t>フジノ</t>
    </rPh>
    <rPh sb="4" eb="6">
      <t>ジコ</t>
    </rPh>
    <rPh sb="7" eb="8">
      <t>タメ</t>
    </rPh>
    <rPh sb="8" eb="10">
      <t>シタド</t>
    </rPh>
    <rPh sb="12" eb="14">
      <t>ヒキトリ</t>
    </rPh>
    <phoneticPr fontId="13"/>
  </si>
  <si>
    <t>藤野</t>
    <rPh sb="0" eb="2">
      <t>フジノ</t>
    </rPh>
    <phoneticPr fontId="13"/>
  </si>
  <si>
    <t>ﾋﾞｱﾝｺﾞ</t>
    <phoneticPr fontId="13"/>
  </si>
  <si>
    <t>ZAR9550000X041358</t>
    <phoneticPr fontId="13"/>
  </si>
  <si>
    <t>藤野 麻琴</t>
    <rPh sb="0" eb="2">
      <t>フジノ</t>
    </rPh>
    <rPh sb="3" eb="5">
      <t>マコト</t>
    </rPh>
    <phoneticPr fontId="13"/>
  </si>
  <si>
    <t>30</t>
    <phoneticPr fontId="13"/>
  </si>
  <si>
    <t>神戸 331 そ 1426</t>
    <rPh sb="0" eb="2">
      <t>コウベ</t>
    </rPh>
    <phoneticPr fontId="13"/>
  </si>
  <si>
    <t>301 て 3140</t>
    <phoneticPr fontId="13"/>
  </si>
  <si>
    <t>ｱｲﾗﾝﾄﾞﾌﾞﾙｰ</t>
    <phoneticPr fontId="13"/>
  </si>
  <si>
    <t>WMWYT920303E82022</t>
    <phoneticPr fontId="13"/>
  </si>
  <si>
    <t>桒山 陽一郎（ﾋﾞｰｴﾑﾀﾞﾌﾞﾘｭｰ)</t>
    <rPh sb="0" eb="1">
      <t>クワ</t>
    </rPh>
    <rPh sb="1" eb="2">
      <t>ヤマ</t>
    </rPh>
    <rPh sb="3" eb="6">
      <t>ヨウイチロウ</t>
    </rPh>
    <phoneticPr fontId="13"/>
  </si>
  <si>
    <t>1</t>
    <phoneticPr fontId="13"/>
  </si>
  <si>
    <t>ｼﾄﾛｴﾝC3</t>
    <phoneticPr fontId="13"/>
  </si>
  <si>
    <t>神戸 389 さ 115</t>
    <rPh sb="0" eb="2">
      <t>コウベ</t>
    </rPh>
    <phoneticPr fontId="13"/>
  </si>
  <si>
    <t>VF7SXHNZTKT571763</t>
    <phoneticPr fontId="13"/>
  </si>
  <si>
    <t>畒 裕美子</t>
    <rPh sb="0" eb="1">
      <t>ホ</t>
    </rPh>
    <rPh sb="2" eb="5">
      <t>ユミコ</t>
    </rPh>
    <phoneticPr fontId="13"/>
  </si>
  <si>
    <t>7月抹消済</t>
    <rPh sb="1" eb="5">
      <t>ガツマッショウズ</t>
    </rPh>
    <phoneticPr fontId="13"/>
  </si>
  <si>
    <t>神戸 350 る 213</t>
    <rPh sb="0" eb="2">
      <t>コウベ</t>
    </rPh>
    <phoneticPr fontId="13"/>
  </si>
  <si>
    <t>山下</t>
    <rPh sb="0" eb="2">
      <t>ヤマシタ</t>
    </rPh>
    <phoneticPr fontId="13"/>
  </si>
  <si>
    <t xml:space="preserve">MINI宝塚 </t>
    <rPh sb="4" eb="6">
      <t>タカラヅカ</t>
    </rPh>
    <phoneticPr fontId="13"/>
  </si>
  <si>
    <t>ﾗｲﾄﾎﾜｲﾄ</t>
    <phoneticPr fontId="13"/>
  </si>
  <si>
    <t>WMWYT920703D53510</t>
    <phoneticPr fontId="13"/>
  </si>
  <si>
    <t>奥山 仁人（ﾋﾞｰｴﾑﾀﾞﾌﾞﾘｭ）</t>
    <rPh sb="0" eb="2">
      <t>オクヤマ</t>
    </rPh>
    <rPh sb="3" eb="4">
      <t>ジン</t>
    </rPh>
    <rPh sb="4" eb="5">
      <t>ヒト</t>
    </rPh>
    <phoneticPr fontId="13"/>
  </si>
  <si>
    <t>BMWﾐﾆｸｰﾊﾟｰSD ｸﾛｽｵｰﾊﾞｰ</t>
    <phoneticPr fontId="13"/>
  </si>
  <si>
    <t>神戸 336 の 3298</t>
    <rPh sb="0" eb="2">
      <t>コウベ</t>
    </rPh>
    <phoneticPr fontId="13"/>
  </si>
  <si>
    <t>MINI神戸東灘</t>
    <rPh sb="4" eb="8">
      <t>コウベヒガシナダ</t>
    </rPh>
    <phoneticPr fontId="13"/>
  </si>
  <si>
    <t>ｱﾌﾞｿﾙﾄﾌﾞﾗｯｸ</t>
    <phoneticPr fontId="13"/>
  </si>
  <si>
    <t>WMWZB72020WU16455</t>
    <phoneticPr fontId="13"/>
  </si>
  <si>
    <t>眞鍋 敏行</t>
    <rPh sb="0" eb="2">
      <t>マナベ</t>
    </rPh>
    <rPh sb="3" eb="5">
      <t>トシユキ</t>
    </rPh>
    <phoneticPr fontId="13"/>
  </si>
  <si>
    <t>29</t>
    <phoneticPr fontId="13"/>
  </si>
  <si>
    <t>神戸 359 つ 511</t>
    <rPh sb="0" eb="2">
      <t>コウベ</t>
    </rPh>
    <phoneticPr fontId="13"/>
  </si>
  <si>
    <t>WBS1J52050VD24118</t>
    <phoneticPr fontId="13"/>
  </si>
  <si>
    <t>北 裕介(ﾋﾞｰ･ｴﾑ･ﾀﾞﾌﾞﾘｭｰ)</t>
    <rPh sb="0" eb="1">
      <t>キタ</t>
    </rPh>
    <rPh sb="2" eb="4">
      <t>ユウスケ</t>
    </rPh>
    <phoneticPr fontId="13"/>
  </si>
  <si>
    <t>2</t>
    <phoneticPr fontId="13"/>
  </si>
  <si>
    <t>神戸 303 や 4348</t>
    <rPh sb="0" eb="2">
      <t>コウベ</t>
    </rPh>
    <phoneticPr fontId="13"/>
  </si>
  <si>
    <t>301 て 9279</t>
    <phoneticPr fontId="13"/>
  </si>
  <si>
    <t>ｱｲﾗﾝﾄﾞﾌﾞﾙｰﾒﾀﾘｯｸ</t>
    <phoneticPr fontId="13"/>
  </si>
  <si>
    <t>WMWYT920503L43071</t>
    <phoneticPr fontId="13"/>
  </si>
  <si>
    <t>豊和 （株）  (ﾋﾞｰ･ｴﾑ･ﾀﾞﾌﾞﾘｭｰ)</t>
    <rPh sb="0" eb="1">
      <t>トヨ</t>
    </rPh>
    <rPh sb="1" eb="2">
      <t>ワ</t>
    </rPh>
    <rPh sb="3" eb="6">
      <t>カブ</t>
    </rPh>
    <phoneticPr fontId="13"/>
  </si>
  <si>
    <t>神戸 360 も 1124</t>
    <rPh sb="0" eb="2">
      <t>コウベ</t>
    </rPh>
    <phoneticPr fontId="13"/>
  </si>
  <si>
    <t>鵜瀬</t>
    <rPh sb="0" eb="2">
      <t>ウセ</t>
    </rPh>
    <phoneticPr fontId="13"/>
  </si>
  <si>
    <t>WMWXR920002L25996</t>
    <phoneticPr fontId="13"/>
  </si>
  <si>
    <t>鵜瀬 祐之</t>
    <rPh sb="0" eb="2">
      <t>ウセ</t>
    </rPh>
    <rPh sb="3" eb="5">
      <t>ユウスケ</t>
    </rPh>
    <phoneticPr fontId="13"/>
  </si>
  <si>
    <t>21</t>
    <phoneticPr fontId="13"/>
  </si>
  <si>
    <t>ﾚﾝｼﾞﾛｰﾊﾞｰ</t>
    <phoneticPr fontId="13"/>
  </si>
  <si>
    <t>神戸 345 に 335</t>
    <rPh sb="0" eb="2">
      <t>コウベ</t>
    </rPh>
    <phoneticPr fontId="13"/>
  </si>
  <si>
    <t>元村</t>
    <rPh sb="0" eb="2">
      <t>モトムラ</t>
    </rPh>
    <phoneticPr fontId="13"/>
  </si>
  <si>
    <t>SALLSJAE3AA219740</t>
    <phoneticPr fontId="13"/>
  </si>
  <si>
    <t>（株）ｵﾘｴﾝﾄｺｰﾎﾟﾚｰｼｮﾝ</t>
    <rPh sb="0" eb="3">
      <t>カブ</t>
    </rPh>
    <phoneticPr fontId="13"/>
  </si>
  <si>
    <t>4</t>
    <phoneticPr fontId="13"/>
  </si>
  <si>
    <t>EKﾜｺﾞﾝ</t>
    <phoneticPr fontId="13"/>
  </si>
  <si>
    <t>姫路 583 ら 2300</t>
    <rPh sb="0" eb="2">
      <t>ヒメジ</t>
    </rPh>
    <phoneticPr fontId="13"/>
  </si>
  <si>
    <t>三菱自動車(新車)</t>
    <rPh sb="0" eb="5">
      <t>ミツビシジドウシャ</t>
    </rPh>
    <rPh sb="6" eb="8">
      <t>シンシャ</t>
    </rPh>
    <phoneticPr fontId="13"/>
  </si>
  <si>
    <t>B34A-0400704</t>
    <phoneticPr fontId="13"/>
  </si>
  <si>
    <t>兵庫三菱自動車販売㈱</t>
    <rPh sb="0" eb="2">
      <t>ヒョウゴ</t>
    </rPh>
    <rPh sb="2" eb="7">
      <t>ミツビシジドウシャ</t>
    </rPh>
    <rPh sb="7" eb="9">
      <t>ハンバイ</t>
    </rPh>
    <phoneticPr fontId="13"/>
  </si>
  <si>
    <t>BMW530I Mｽﾎﾟｰﾂ</t>
    <phoneticPr fontId="13"/>
  </si>
  <si>
    <t>なにわ 340 ち 919</t>
    <phoneticPr fontId="13"/>
  </si>
  <si>
    <t>鈴木</t>
    <rPh sb="0" eb="2">
      <t>スズキ</t>
    </rPh>
    <phoneticPr fontId="13"/>
  </si>
  <si>
    <t>WBAJA51020G876991</t>
    <phoneticPr fontId="13"/>
  </si>
  <si>
    <t>鈴木 圭一</t>
    <rPh sb="0" eb="2">
      <t>スズキ</t>
    </rPh>
    <rPh sb="3" eb="5">
      <t>ケイイチ</t>
    </rPh>
    <phoneticPr fontId="13"/>
  </si>
  <si>
    <t>ﾗﾝﾄﾞﾛｰﾊﾞｰﾃﾞｨｽｶﾊﾞﾘｰｽﾎﾟｰﾂ</t>
    <phoneticPr fontId="13"/>
  </si>
  <si>
    <t>神戸337は8358</t>
    <rPh sb="0" eb="2">
      <t>コウベ</t>
    </rPh>
    <phoneticPr fontId="13"/>
  </si>
  <si>
    <t>細見</t>
    <rPh sb="0" eb="2">
      <t>ホソミ</t>
    </rPh>
    <phoneticPr fontId="13"/>
  </si>
  <si>
    <t>SALCA2AG5HH672708</t>
    <phoneticPr fontId="13"/>
  </si>
  <si>
    <t>細見 龍太郎</t>
    <rPh sb="0" eb="2">
      <t>ホソミ</t>
    </rPh>
    <rPh sb="3" eb="6">
      <t>リュウタロウ</t>
    </rPh>
    <phoneticPr fontId="13"/>
  </si>
  <si>
    <t>25</t>
    <phoneticPr fontId="13"/>
  </si>
  <si>
    <t>ﾚﾝｼﾞﾛｰﾊﾞｰｽﾎﾟｰﾂ</t>
    <phoneticPr fontId="13"/>
  </si>
  <si>
    <t>品川330ね2071</t>
    <rPh sb="0" eb="2">
      <t>シナガワ</t>
    </rPh>
    <phoneticPr fontId="13"/>
  </si>
  <si>
    <t>（株）trema</t>
    <phoneticPr fontId="13"/>
  </si>
  <si>
    <t>SALLSJAD3DA792511</t>
    <phoneticPr fontId="13"/>
  </si>
  <si>
    <t>株式会社trema</t>
    <rPh sb="0" eb="4">
      <t>カブシキガイシャ</t>
    </rPh>
    <phoneticPr fontId="13"/>
  </si>
  <si>
    <t>8月抹消済</t>
    <rPh sb="1" eb="2">
      <t>ガツ</t>
    </rPh>
    <rPh sb="2" eb="4">
      <t>マッショウ</t>
    </rPh>
    <rPh sb="4" eb="5">
      <t>ズ</t>
    </rPh>
    <phoneticPr fontId="13"/>
  </si>
  <si>
    <t>BMWﾐﾆｸｰﾊﾟｰBAYSWATER</t>
  </si>
  <si>
    <t>大阪　531　み　2332</t>
  </si>
  <si>
    <r>
      <rPr>
        <sz val="11"/>
        <color rgb="FFFF0000"/>
        <rFont val="ＭＳ Ｐゴシック"/>
        <family val="3"/>
        <charset val="128"/>
        <scheme val="minor"/>
      </rPr>
      <t>整備中</t>
    </r>
    <r>
      <rPr>
        <sz val="11"/>
        <color theme="1"/>
        <rFont val="ＭＳ Ｐゴシック"/>
        <family val="3"/>
        <charset val="128"/>
        <scheme val="minor"/>
      </rPr>
      <t>2024//ﾚﾝﾀｶｰに移行</t>
    </r>
    <rPh sb="0" eb="3">
      <t>セイビチュウ</t>
    </rPh>
    <rPh sb="15" eb="17">
      <t>イコウ</t>
    </rPh>
    <phoneticPr fontId="13"/>
  </si>
  <si>
    <t>ｾﾌﾞﾝｽﾀｰ　</t>
    <phoneticPr fontId="13"/>
  </si>
  <si>
    <t>黒</t>
    <phoneticPr fontId="13"/>
  </si>
  <si>
    <t>WMWSU32010T629659</t>
    <phoneticPr fontId="13"/>
  </si>
  <si>
    <t>藤本　誠史</t>
  </si>
  <si>
    <t>保証書 取説 ｷｰﾚｽ</t>
    <phoneticPr fontId="13"/>
  </si>
  <si>
    <t>R25-010から26-903へ変更</t>
    <rPh sb="16" eb="18">
      <t>ヘンコウ</t>
    </rPh>
    <phoneticPr fontId="13"/>
  </si>
  <si>
    <t>N-WGNｶｽﾀﾑ ﾀｰﾎﾞSS ｽﾀｲﾙﾊﾟｯｹｰｼﾞ</t>
    <phoneticPr fontId="13"/>
  </si>
  <si>
    <t>名古屋 58A に 7409</t>
    <rPh sb="0" eb="3">
      <t>ナゴヤ</t>
    </rPh>
    <phoneticPr fontId="13"/>
  </si>
  <si>
    <t>JU愛知(まとめ)</t>
    <rPh sb="2" eb="4">
      <t>アイチ</t>
    </rPh>
    <phoneticPr fontId="13"/>
  </si>
  <si>
    <t>JH1-2215407</t>
    <phoneticPr fontId="13"/>
  </si>
  <si>
    <t>有限会社 坂元商会</t>
    <rPh sb="0" eb="4">
      <t>ユウゲンカイシャ</t>
    </rPh>
    <rPh sb="5" eb="7">
      <t>サカモト</t>
    </rPh>
    <rPh sb="7" eb="9">
      <t>ショウカイ</t>
    </rPh>
    <phoneticPr fontId="13"/>
  </si>
  <si>
    <t>地図SD(車内)ｷｰﾚｽ</t>
    <phoneticPr fontId="13"/>
  </si>
  <si>
    <t>MﾍﾞﾝﾂAMG Eｸﾗｽ E43</t>
    <phoneticPr fontId="13"/>
  </si>
  <si>
    <t>大阪 378 ゆ 1225</t>
    <rPh sb="0" eb="2">
      <t>オオサカ</t>
    </rPh>
    <phoneticPr fontId="13"/>
  </si>
  <si>
    <t>34P の 5</t>
    <phoneticPr fontId="13"/>
  </si>
  <si>
    <t>WDD2130642A461799</t>
    <phoneticPr fontId="13"/>
  </si>
  <si>
    <t>10/11</t>
    <phoneticPr fontId="13"/>
  </si>
  <si>
    <t>BMWﾐﾆ WG JCWｸﾗﾌﾞﾏﾝ</t>
    <phoneticPr fontId="13"/>
  </si>
  <si>
    <t>7/3/24</t>
    <phoneticPr fontId="13"/>
  </si>
  <si>
    <t>倉敷 500 つ 4952</t>
    <rPh sb="0" eb="2">
      <t>クラシキ</t>
    </rPh>
    <phoneticPr fontId="13"/>
  </si>
  <si>
    <t>WMWZG92050TZ88814</t>
    <phoneticPr fontId="13"/>
  </si>
  <si>
    <t>依田 修一</t>
    <rPh sb="0" eb="1">
      <t>イ</t>
    </rPh>
    <rPh sb="1" eb="2">
      <t>タ</t>
    </rPh>
    <rPh sb="3" eb="5">
      <t>シュウイチ</t>
    </rPh>
    <phoneticPr fontId="13"/>
  </si>
  <si>
    <t>10/8</t>
    <phoneticPr fontId="13"/>
  </si>
  <si>
    <t>28/5</t>
    <phoneticPr fontId="13"/>
  </si>
  <si>
    <t>VWｺﾞﾙﾌ ﾄｩｰﾗﾝ</t>
    <phoneticPr fontId="13"/>
  </si>
  <si>
    <t>愛媛 300 め 7466</t>
    <rPh sb="0" eb="2">
      <t>エヒメ</t>
    </rPh>
    <phoneticPr fontId="13"/>
  </si>
  <si>
    <t>WVGZZZ1TZGW561750</t>
    <phoneticPr fontId="13"/>
  </si>
  <si>
    <t>株式会社ﾎﾝﾀﾞﾓﾋﾞﾘﾃｨ中四国</t>
    <rPh sb="0" eb="4">
      <t>カブシキガイシャ</t>
    </rPh>
    <rPh sb="14" eb="15">
      <t>ナカ</t>
    </rPh>
    <rPh sb="15" eb="17">
      <t>シコク</t>
    </rPh>
    <phoneticPr fontId="13"/>
  </si>
  <si>
    <t>取説(車内)ｷｰﾚｽ</t>
    <rPh sb="0" eb="2">
      <t>トリセツ</t>
    </rPh>
    <rPh sb="3" eb="5">
      <t>シャナイ</t>
    </rPh>
    <phoneticPr fontId="13"/>
  </si>
  <si>
    <t>BMWﾐﾆ 5D</t>
    <phoneticPr fontId="13"/>
  </si>
  <si>
    <t>7/9/24</t>
    <phoneticPr fontId="13"/>
  </si>
  <si>
    <t>福岡 334 ぬ 3298</t>
    <rPh sb="0" eb="2">
      <t>フクオカ</t>
    </rPh>
    <phoneticPr fontId="13"/>
  </si>
  <si>
    <t>301 に 9292</t>
    <phoneticPr fontId="13"/>
  </si>
  <si>
    <t>ﾎﾝﾀﾞ九州（まとめ）</t>
    <rPh sb="4" eb="6">
      <t>キュウシュウ</t>
    </rPh>
    <phoneticPr fontId="13"/>
  </si>
  <si>
    <t>WMWXU72040TN31044</t>
    <phoneticPr fontId="13"/>
  </si>
  <si>
    <t>10/15</t>
    <phoneticPr fontId="13"/>
  </si>
  <si>
    <t>取説 ｷｰﾚｽ（車内）</t>
    <rPh sb="0" eb="2">
      <t>トリセツ</t>
    </rPh>
    <rPh sb="8" eb="10">
      <t>シャナイ</t>
    </rPh>
    <phoneticPr fontId="13"/>
  </si>
  <si>
    <t>28/</t>
    <phoneticPr fontId="13"/>
  </si>
  <si>
    <t>ﾎﾟﾙｼｪｹｲﾏﾝ GT4</t>
    <phoneticPr fontId="13"/>
  </si>
  <si>
    <t>姫路 330 の 969</t>
    <rPh sb="0" eb="2">
      <t>ヒメジ</t>
    </rPh>
    <phoneticPr fontId="13"/>
  </si>
  <si>
    <t>330 の 969</t>
    <phoneticPr fontId="13"/>
  </si>
  <si>
    <t>関口様</t>
    <rPh sb="0" eb="2">
      <t>セキグチ</t>
    </rPh>
    <rPh sb="2" eb="3">
      <t>サマ</t>
    </rPh>
    <phoneticPr fontId="13"/>
  </si>
  <si>
    <t>WP0ZZZ98ZGK189667</t>
    <phoneticPr fontId="13"/>
  </si>
  <si>
    <t>関口 圭一郎</t>
    <rPh sb="0" eb="2">
      <t>セキグチ</t>
    </rPh>
    <rPh sb="3" eb="6">
      <t>ケイイチロウ</t>
    </rPh>
    <phoneticPr fontId="13"/>
  </si>
  <si>
    <t>10/7</t>
    <phoneticPr fontId="13"/>
  </si>
  <si>
    <t>7/6/29</t>
    <phoneticPr fontId="13"/>
  </si>
  <si>
    <t>前橋 300 て 9018</t>
    <rPh sb="0" eb="2">
      <t>マエバシ</t>
    </rPh>
    <phoneticPr fontId="13"/>
  </si>
  <si>
    <t>301 に 9293</t>
    <phoneticPr fontId="13"/>
  </si>
  <si>
    <t>WMWXU92040TE41732</t>
    <phoneticPr fontId="13"/>
  </si>
  <si>
    <t>2/7</t>
    <phoneticPr fontId="13"/>
  </si>
  <si>
    <t>N-BOXｶｽﾀﾑ GLﾎﾝﾀﾞｾﾝｼﾝｸﾞ</t>
    <phoneticPr fontId="13"/>
  </si>
  <si>
    <t>7/7</t>
    <phoneticPr fontId="13"/>
  </si>
  <si>
    <t>奈良 583 す 1613</t>
    <rPh sb="0" eb="2">
      <t>ナラ</t>
    </rPh>
    <phoneticPr fontId="13"/>
  </si>
  <si>
    <t>581 ゆ 4656</t>
    <phoneticPr fontId="13"/>
  </si>
  <si>
    <t>茶色</t>
    <rPh sb="0" eb="2">
      <t>チャイロ</t>
    </rPh>
    <phoneticPr fontId="13"/>
  </si>
  <si>
    <t>JF3-1505879</t>
    <phoneticPr fontId="13"/>
  </si>
  <si>
    <t>ﾎﾝﾀﾞ奈良自販株式会社</t>
    <rPh sb="4" eb="6">
      <t>ナラ</t>
    </rPh>
    <rPh sb="6" eb="12">
      <t>ジハンカブシキガイシャ</t>
    </rPh>
    <phoneticPr fontId="13"/>
  </si>
  <si>
    <t>ﾅﾝﾊﾞｰ伴さん持ち出し中</t>
    <phoneticPr fontId="13"/>
  </si>
  <si>
    <t>ﾏﾂﾀﾞ2 15S ﾌﾟﾛｱｸﾃｨﾌﾞ</t>
    <phoneticPr fontId="13"/>
  </si>
  <si>
    <t>岡山 599 に 1070</t>
    <rPh sb="0" eb="2">
      <t>オカヤマ</t>
    </rPh>
    <phoneticPr fontId="13"/>
  </si>
  <si>
    <t>DJLFS-704905</t>
    <phoneticPr fontId="13"/>
  </si>
  <si>
    <t>株式会社ｼﾃｨﾗｲﾄ</t>
    <rPh sb="0" eb="4">
      <t>カブシキガイシャ</t>
    </rPh>
    <phoneticPr fontId="13"/>
  </si>
  <si>
    <t>10/31</t>
    <phoneticPr fontId="13"/>
  </si>
  <si>
    <t>ｼﾞｬｶﾞｰXE XEﾌﾟﾚｽﾃｰｼﾞ</t>
    <phoneticPr fontId="13"/>
  </si>
  <si>
    <t>7/3/31</t>
    <phoneticPr fontId="13"/>
  </si>
  <si>
    <t>倉敷 300 ち 8373</t>
    <rPh sb="0" eb="2">
      <t>クラシキ</t>
    </rPh>
    <phoneticPr fontId="13"/>
  </si>
  <si>
    <t>SAJAB4AGXGA930690</t>
    <phoneticPr fontId="13"/>
  </si>
  <si>
    <t>映ｸﾗ株式会社</t>
    <rPh sb="0" eb="1">
      <t>エイ</t>
    </rPh>
    <rPh sb="3" eb="5">
      <t>カブシキ</t>
    </rPh>
    <rPh sb="5" eb="7">
      <t>カイシャ</t>
    </rPh>
    <phoneticPr fontId="13"/>
  </si>
  <si>
    <t>10/26</t>
    <phoneticPr fontId="13"/>
  </si>
  <si>
    <t>保証書 取説 ﾅﾋﾞ取説 ｷｰﾚｽ ﾜﾝｵｰﾅｰ</t>
    <rPh sb="0" eb="3">
      <t>ホショウショ</t>
    </rPh>
    <rPh sb="4" eb="6">
      <t>トリセツ</t>
    </rPh>
    <rPh sb="10" eb="12">
      <t>トリセツ</t>
    </rPh>
    <phoneticPr fontId="13"/>
  </si>
  <si>
    <t>1/</t>
    <phoneticPr fontId="13"/>
  </si>
  <si>
    <t>BMWﾐﾆ ｸｰﾊﾟｰJCW</t>
    <phoneticPr fontId="13"/>
  </si>
  <si>
    <t>姫路 331 ゆ 2127</t>
    <rPh sb="0" eb="2">
      <t>ヒメジ</t>
    </rPh>
    <phoneticPr fontId="13"/>
  </si>
  <si>
    <t>浜野様</t>
    <rPh sb="0" eb="2">
      <t>ハマノ</t>
    </rPh>
    <rPh sb="2" eb="3">
      <t>サマ</t>
    </rPh>
    <phoneticPr fontId="13"/>
  </si>
  <si>
    <t>WMWJZ920702L43465</t>
    <phoneticPr fontId="13"/>
  </si>
  <si>
    <t>10/20</t>
    <phoneticPr fontId="13"/>
  </si>
  <si>
    <t>ﾊｲｴｰｽﾊﾞﾝ ｽｰﾊﾟｰGL ﾌﾟﾗｲﾑｾﾚｸｼｮﾝ</t>
    <phoneticPr fontId="13"/>
  </si>
  <si>
    <t>7/1/23</t>
    <phoneticPr fontId="13"/>
  </si>
  <si>
    <t>名古屋 430 ま 314</t>
    <rPh sb="0" eb="3">
      <t>ナゴヤ</t>
    </rPh>
    <phoneticPr fontId="13"/>
  </si>
  <si>
    <t>405 す 5</t>
    <phoneticPr fontId="13"/>
  </si>
  <si>
    <t>TRH200-0192039</t>
    <phoneticPr fontId="13"/>
  </si>
  <si>
    <t>有限会社加藤建材</t>
    <rPh sb="0" eb="4">
      <t>ユウゲンガイシャ</t>
    </rPh>
    <rPh sb="4" eb="6">
      <t>カトウ</t>
    </rPh>
    <rPh sb="6" eb="8">
      <t>ケンザイ</t>
    </rPh>
    <phoneticPr fontId="13"/>
  </si>
  <si>
    <t>保証書 取説 ﾅﾋﾞ取説 名変期限11/28まで</t>
    <rPh sb="0" eb="3">
      <t>ホショウショ</t>
    </rPh>
    <rPh sb="4" eb="6">
      <t>トリセツ</t>
    </rPh>
    <rPh sb="10" eb="12">
      <t>トリセツ</t>
    </rPh>
    <rPh sb="13" eb="17">
      <t>メイヘンキゲン</t>
    </rPh>
    <phoneticPr fontId="13"/>
  </si>
  <si>
    <t>BMW 5ｼﾘｰｽﾞ 530i Mｽﾎﾟｰﾂ</t>
    <phoneticPr fontId="13"/>
  </si>
  <si>
    <t>京都 399 る 9889</t>
    <rPh sb="0" eb="2">
      <t>キョウト</t>
    </rPh>
    <phoneticPr fontId="13"/>
  </si>
  <si>
    <t>WBAJL32040G635365</t>
    <phoneticPr fontId="13"/>
  </si>
  <si>
    <t>10/29</t>
    <phoneticPr fontId="13"/>
  </si>
  <si>
    <t>BMWﾐﾆ ｸｰﾊﾟｰD ｸﾛｽｵｰﾊﾞｰ</t>
    <phoneticPr fontId="13"/>
  </si>
  <si>
    <t>大阪 360 ふ 1112</t>
    <rPh sb="0" eb="2">
      <t>オオサカ</t>
    </rPh>
    <phoneticPr fontId="13"/>
  </si>
  <si>
    <t>WMWYT920503F82347</t>
    <phoneticPr fontId="13"/>
  </si>
  <si>
    <t>大阪ﾄﾖﾍﾟｯﾄ株式会社</t>
    <rPh sb="0" eb="2">
      <t>オオサカ</t>
    </rPh>
    <rPh sb="8" eb="12">
      <t>カブシキカイシャ</t>
    </rPh>
    <phoneticPr fontId="13"/>
  </si>
  <si>
    <t>保証書 取説 ｷｰﾚｽ(車内)ﾜﾝｵｰﾅｰ</t>
    <rPh sb="0" eb="3">
      <t>ホショウショ</t>
    </rPh>
    <rPh sb="4" eb="6">
      <t>トリセツ</t>
    </rPh>
    <phoneticPr fontId="13"/>
  </si>
  <si>
    <t>ｱｳﾃﾞｨS1 ﾍﾞｰｽｸﾞﾚｰﾄﾞ</t>
    <phoneticPr fontId="13"/>
  </si>
  <si>
    <t>香川 330 ゆ 155</t>
    <rPh sb="0" eb="2">
      <t>カガワ</t>
    </rPh>
    <phoneticPr fontId="13"/>
  </si>
  <si>
    <t>TAA四国</t>
    <rPh sb="3" eb="5">
      <t>シコク</t>
    </rPh>
    <phoneticPr fontId="13"/>
  </si>
  <si>
    <t>WAUZZZ8XXHB094050</t>
    <phoneticPr fontId="13"/>
  </si>
  <si>
    <t>香川ﾄﾖﾀ自動車株式会社</t>
    <rPh sb="0" eb="2">
      <t>カガワ</t>
    </rPh>
    <rPh sb="5" eb="12">
      <t>ジドウシャカブシキガイシャ</t>
    </rPh>
    <phoneticPr fontId="13"/>
  </si>
  <si>
    <t>福井 333 に 129</t>
    <rPh sb="0" eb="2">
      <t>フクイ</t>
    </rPh>
    <phoneticPr fontId="13"/>
  </si>
  <si>
    <t>301 に 8692</t>
    <phoneticPr fontId="13"/>
  </si>
  <si>
    <t>WMWXU92080TE42110</t>
    <phoneticPr fontId="13"/>
  </si>
  <si>
    <t>株式会社北陸ﾏﾂﾀﾞ</t>
    <rPh sb="0" eb="4">
      <t>カブシキガイシャ</t>
    </rPh>
    <rPh sb="4" eb="6">
      <t>ホクリク</t>
    </rPh>
    <phoneticPr fontId="13"/>
  </si>
  <si>
    <t>7/3/28</t>
    <phoneticPr fontId="13"/>
  </si>
  <si>
    <t>和歌山 300 む 122</t>
    <rPh sb="0" eb="3">
      <t>ワカヤマ</t>
    </rPh>
    <phoneticPr fontId="13"/>
  </si>
  <si>
    <t>WMWXT720302G65958</t>
    <phoneticPr fontId="13"/>
  </si>
  <si>
    <t>酒井 貴司</t>
    <rPh sb="0" eb="2">
      <t>サカイ</t>
    </rPh>
    <rPh sb="3" eb="4">
      <t>タカシ</t>
    </rPh>
    <rPh sb="4" eb="5">
      <t>シ</t>
    </rPh>
    <phoneticPr fontId="13"/>
  </si>
  <si>
    <t>11/8</t>
    <phoneticPr fontId="13"/>
  </si>
  <si>
    <t>ﾘﾓｺﾝ（車内）保証書 取説 ｷｰﾚｽ</t>
    <rPh sb="5" eb="7">
      <t>シャナイ</t>
    </rPh>
    <rPh sb="8" eb="11">
      <t>ホショウショ</t>
    </rPh>
    <rPh sb="12" eb="14">
      <t>トリセツ</t>
    </rPh>
    <phoneticPr fontId="13"/>
  </si>
  <si>
    <t>29/1</t>
    <phoneticPr fontId="13"/>
  </si>
  <si>
    <t>BMWﾐﾆ ｸｰﾊﾟｰSD ｸﾗﾌﾞﾏﾝ</t>
    <phoneticPr fontId="13"/>
  </si>
  <si>
    <t>北九州 360 や 123</t>
    <rPh sb="0" eb="3">
      <t>キタキュウシュウ</t>
    </rPh>
    <phoneticPr fontId="13"/>
  </si>
  <si>
    <t>WMWLR520802F14311</t>
    <phoneticPr fontId="13"/>
  </si>
  <si>
    <t>ﾘﾓｺﾝ(車内)</t>
    <phoneticPr fontId="13"/>
  </si>
  <si>
    <t>3/12</t>
    <phoneticPr fontId="13"/>
  </si>
  <si>
    <t>ﾌﾟｼﾞｮｰﾘﾌﾀｰ</t>
    <phoneticPr fontId="13"/>
  </si>
  <si>
    <t>なにわ 39A に 6037</t>
    <phoneticPr fontId="13"/>
  </si>
  <si>
    <t>VR3ECYHZRMJ801736</t>
    <phoneticPr fontId="13"/>
  </si>
  <si>
    <t>大阪ｽﾊﾞﾙ株式会社</t>
    <rPh sb="0" eb="2">
      <t>オオサカ</t>
    </rPh>
    <rPh sb="6" eb="10">
      <t>カブシキガイシャ</t>
    </rPh>
    <phoneticPr fontId="13"/>
  </si>
  <si>
    <t>11/3</t>
    <phoneticPr fontId="13"/>
  </si>
  <si>
    <t xml:space="preserve">ｷｰﾚｽ(車内)保証書 取説 ﾅﾋﾞ取 </t>
    <rPh sb="8" eb="11">
      <t>ホショウショ</t>
    </rPh>
    <rPh sb="12" eb="14">
      <t>トリセツ</t>
    </rPh>
    <rPh sb="18" eb="19">
      <t>トリ</t>
    </rPh>
    <phoneticPr fontId="13"/>
  </si>
  <si>
    <t>ｼﾞｬｶﾞｰ XFﾌﾟﾚｽﾃｰｼﾞ</t>
    <phoneticPr fontId="13"/>
  </si>
  <si>
    <t>名古屋 353 み 3103</t>
    <rPh sb="0" eb="3">
      <t>ナゴヤ</t>
    </rPh>
    <phoneticPr fontId="13"/>
  </si>
  <si>
    <t>保証書 取説 ｽﾍﾟｱｷｰ</t>
    <phoneticPr fontId="13"/>
  </si>
  <si>
    <t>SAJBB4AG5GCY23409</t>
    <phoneticPr fontId="13"/>
  </si>
  <si>
    <t>11/7</t>
    <phoneticPr fontId="13"/>
  </si>
  <si>
    <t>ｱｳﾃﾞｨ S1 2.0TFSI ｸﾜﾄﾛ</t>
    <phoneticPr fontId="13"/>
  </si>
  <si>
    <t>8/2</t>
    <phoneticPr fontId="13"/>
  </si>
  <si>
    <t>三重 301 む 2628</t>
    <rPh sb="0" eb="2">
      <t>ミエ</t>
    </rPh>
    <phoneticPr fontId="13"/>
  </si>
  <si>
    <t>301 に 9290</t>
    <phoneticPr fontId="13"/>
  </si>
  <si>
    <t>WAUZZZ8X8HB031867</t>
    <phoneticPr fontId="13"/>
  </si>
  <si>
    <t>株式会社ｾﾃﾞｨﾅ</t>
    <rPh sb="0" eb="4">
      <t>カブシキガイシャ</t>
    </rPh>
    <phoneticPr fontId="13"/>
  </si>
  <si>
    <t>保証書 取説 ﾅﾋﾞ取 ｷｰﾚｽ ﾜﾝｵｰﾅｰ 12/12まで</t>
    <rPh sb="0" eb="3">
      <t>ホショウショ</t>
    </rPh>
    <rPh sb="4" eb="6">
      <t>トリセツ</t>
    </rPh>
    <rPh sb="10" eb="11">
      <t>トリ</t>
    </rPh>
    <phoneticPr fontId="13"/>
  </si>
  <si>
    <t>ｱｳﾃﾞｨ S1 2.0</t>
    <phoneticPr fontId="13"/>
  </si>
  <si>
    <t>石川 300 や 7374</t>
    <rPh sb="0" eb="2">
      <t>イシカワ</t>
    </rPh>
    <phoneticPr fontId="13"/>
  </si>
  <si>
    <t>301 ぬ 648</t>
    <phoneticPr fontId="13"/>
  </si>
  <si>
    <t>WAUZZZ8X9FB002746</t>
    <phoneticPr fontId="13"/>
  </si>
  <si>
    <t>株式会社IDOM</t>
    <rPh sb="0" eb="4">
      <t>カブシキガイシャ</t>
    </rPh>
    <phoneticPr fontId="13"/>
  </si>
  <si>
    <t>大阪 31F ほ 8000</t>
    <rPh sb="0" eb="2">
      <t>オオサカ</t>
    </rPh>
    <phoneticPr fontId="13"/>
  </si>
  <si>
    <t>保証書 ｽﾍﾟｱｷｰ ﾜﾝｵｰﾅｰ</t>
    <rPh sb="0" eb="3">
      <t>ホショウショ</t>
    </rPh>
    <phoneticPr fontId="13"/>
  </si>
  <si>
    <t>301 ぬ 551</t>
    <phoneticPr fontId="13"/>
  </si>
  <si>
    <t>WMWXT720602H92185</t>
    <phoneticPr fontId="13"/>
  </si>
  <si>
    <t>取説(車内)保証書 ｷｰﾚｽ ﾜﾝｵｰﾅｰ</t>
    <rPh sb="0" eb="2">
      <t>トリセツ</t>
    </rPh>
    <rPh sb="3" eb="5">
      <t>シャナイ</t>
    </rPh>
    <rPh sb="6" eb="9">
      <t>ホショウショ</t>
    </rPh>
    <phoneticPr fontId="13"/>
  </si>
  <si>
    <t>ｼﾞｬｶﾞｰ XF S</t>
    <phoneticPr fontId="13"/>
  </si>
  <si>
    <t>長崎 331 ち 3311</t>
    <rPh sb="0" eb="2">
      <t>ナガサキ</t>
    </rPh>
    <phoneticPr fontId="13"/>
  </si>
  <si>
    <t>SAJBB4AV3HCY38359</t>
    <phoneticPr fontId="13"/>
  </si>
  <si>
    <t>有限会社ﾌﾘｰｳｪｲ</t>
    <rPh sb="0" eb="4">
      <t>ユウゲンカイシャ</t>
    </rPh>
    <phoneticPr fontId="13"/>
  </si>
  <si>
    <t>7/5/19</t>
    <phoneticPr fontId="13"/>
  </si>
  <si>
    <t>なにわ 302 さ 1288</t>
    <phoneticPr fontId="13"/>
  </si>
  <si>
    <t>ﾍﾞｲｵｰｸ</t>
    <phoneticPr fontId="13"/>
  </si>
  <si>
    <t>WMWXM720603B16679</t>
    <phoneticPr fontId="13"/>
  </si>
  <si>
    <t>玉川 民平</t>
    <rPh sb="0" eb="2">
      <t>タマカワ</t>
    </rPh>
    <rPh sb="3" eb="4">
      <t>ミン</t>
    </rPh>
    <rPh sb="4" eb="5">
      <t>ヘイ</t>
    </rPh>
    <phoneticPr fontId="13"/>
  </si>
  <si>
    <t>12/01</t>
    <phoneticPr fontId="13"/>
  </si>
  <si>
    <t>高知 343 ら 1</t>
    <rPh sb="0" eb="2">
      <t>コウチ</t>
    </rPh>
    <phoneticPr fontId="13"/>
  </si>
  <si>
    <t>WMWXS720602C50961</t>
    <phoneticPr fontId="13"/>
  </si>
  <si>
    <t>藤原 恭代</t>
    <rPh sb="0" eb="2">
      <t>フジワラ</t>
    </rPh>
    <rPh sb="3" eb="5">
      <t>ヤスヨ</t>
    </rPh>
    <phoneticPr fontId="13"/>
  </si>
  <si>
    <t>22/3</t>
    <phoneticPr fontId="13"/>
  </si>
  <si>
    <t>ｺﾍﾟﾝ ｱﾙﾃｨﾒｯﾄﾚｻﾞｰﾊﾟｯｹｰｼﾞ</t>
    <phoneticPr fontId="13"/>
  </si>
  <si>
    <t>奈良 580 ち 2443</t>
    <rPh sb="0" eb="2">
      <t>ナラ</t>
    </rPh>
    <phoneticPr fontId="13"/>
  </si>
  <si>
    <t>581 ゆ 6384</t>
    <phoneticPr fontId="13"/>
  </si>
  <si>
    <t>L880K-0052790</t>
    <phoneticPr fontId="13"/>
  </si>
  <si>
    <t>峯本 希容子</t>
    <rPh sb="0" eb="2">
      <t>ミネモト</t>
    </rPh>
    <rPh sb="3" eb="4">
      <t>ノゾミ</t>
    </rPh>
    <rPh sb="4" eb="6">
      <t>ヨウコ</t>
    </rPh>
    <phoneticPr fontId="13"/>
  </si>
  <si>
    <t>BMWﾐﾆｸｰﾊﾟｰ JCW</t>
    <phoneticPr fontId="13"/>
  </si>
  <si>
    <t>岡山 333 は 3298</t>
    <rPh sb="0" eb="2">
      <t>オカヤマ</t>
    </rPh>
    <phoneticPr fontId="13"/>
  </si>
  <si>
    <t>WMWXR920302L12756</t>
    <phoneticPr fontId="13"/>
  </si>
  <si>
    <t>株式会社ｱﾙｺﾝ岡山</t>
    <rPh sb="0" eb="4">
      <t>カブシキガイシャ</t>
    </rPh>
    <rPh sb="8" eb="10">
      <t>オカヤマ</t>
    </rPh>
    <phoneticPr fontId="13"/>
  </si>
  <si>
    <t>12/6</t>
    <phoneticPr fontId="13"/>
  </si>
  <si>
    <t>22/12</t>
    <phoneticPr fontId="13"/>
  </si>
  <si>
    <t>ｱﾙﾌｧﾛﾒｵ ﾌﾞﾚﾗ JTSQﾄﾛﾆｯｸｲﾀﾘｱﾝﾃﾞｨﾍﾟﾝﾃﾞﾝﾄ</t>
    <phoneticPr fontId="13"/>
  </si>
  <si>
    <t>福井 300 る 7429</t>
    <rPh sb="0" eb="2">
      <t>フクイ</t>
    </rPh>
    <phoneticPr fontId="13"/>
  </si>
  <si>
    <t>ﾀﾞｰｸﾁﾀﾆｳﾑ</t>
    <phoneticPr fontId="13"/>
  </si>
  <si>
    <t>ZAR93900005031399</t>
    <phoneticPr fontId="13"/>
  </si>
  <si>
    <t>12/14</t>
    <phoneticPr fontId="13"/>
  </si>
  <si>
    <t xml:space="preserve">ｷｰﾚｽ(車内)取説 </t>
    <rPh sb="5" eb="7">
      <t>シャナイ</t>
    </rPh>
    <rPh sb="8" eb="10">
      <t>トリセツ</t>
    </rPh>
    <phoneticPr fontId="13"/>
  </si>
  <si>
    <t>ｼﾞｬｶﾞｰ XF Rｽﾎﾟｰﾂ</t>
    <phoneticPr fontId="13"/>
  </si>
  <si>
    <t>和泉 329 て 6724</t>
    <rPh sb="0" eb="2">
      <t>イズミ</t>
    </rPh>
    <phoneticPr fontId="13"/>
  </si>
  <si>
    <t>SAJBB4AVXHCY30033</t>
    <phoneticPr fontId="13"/>
  </si>
  <si>
    <t>阪谷 昌宏</t>
    <rPh sb="0" eb="2">
      <t>サカタニ</t>
    </rPh>
    <rPh sb="3" eb="5">
      <t>マサヒロ</t>
    </rPh>
    <phoneticPr fontId="13"/>
  </si>
  <si>
    <t>8/2/1</t>
    <phoneticPr fontId="13"/>
  </si>
  <si>
    <t>一宮 331 り 56</t>
    <rPh sb="0" eb="2">
      <t>イチノミヤ</t>
    </rPh>
    <phoneticPr fontId="13"/>
  </si>
  <si>
    <t>301 ぬ 1581</t>
    <phoneticPr fontId="13"/>
  </si>
  <si>
    <t>WMWXR92060TP20825</t>
    <phoneticPr fontId="13"/>
  </si>
  <si>
    <t>愛知ﾄﾖﾀWEST株式会社</t>
    <rPh sb="0" eb="2">
      <t>アイチ</t>
    </rPh>
    <rPh sb="9" eb="13">
      <t>カブシキガイシャ</t>
    </rPh>
    <phoneticPr fontId="13"/>
  </si>
  <si>
    <t>12/15</t>
    <phoneticPr fontId="13"/>
  </si>
  <si>
    <t>ｼﾞｬｶﾞｰXE S</t>
    <phoneticPr fontId="13"/>
  </si>
  <si>
    <t>神戸 303 は 5143</t>
    <rPh sb="0" eb="2">
      <t>コウベ</t>
    </rPh>
    <phoneticPr fontId="13"/>
  </si>
  <si>
    <t>SAJAB4AV0HA963066</t>
    <phoneticPr fontId="13"/>
  </si>
  <si>
    <t>株式会社神戸ﾏﾂﾀﾞ</t>
    <rPh sb="0" eb="4">
      <t>カブシキカイシャ</t>
    </rPh>
    <rPh sb="4" eb="6">
      <t>コウベ</t>
    </rPh>
    <phoneticPr fontId="13"/>
  </si>
  <si>
    <t>4/12</t>
    <phoneticPr fontId="13"/>
  </si>
  <si>
    <t>ﾌﾟｼﾞｮｰ308 GTﾌﾞﾙｰHdi</t>
    <phoneticPr fontId="13"/>
  </si>
  <si>
    <t>7/12/26</t>
    <phoneticPr fontId="13"/>
  </si>
  <si>
    <t>名古屋 335 つ 2131</t>
    <rPh sb="0" eb="3">
      <t>ナゴヤ</t>
    </rPh>
    <phoneticPr fontId="13"/>
  </si>
  <si>
    <t>343 ひ 308</t>
    <phoneticPr fontId="13"/>
  </si>
  <si>
    <t>JU愛知</t>
    <rPh sb="2" eb="4">
      <t>アイチ</t>
    </rPh>
    <phoneticPr fontId="13"/>
  </si>
  <si>
    <t>VR3FBYHZTNY620272</t>
    <phoneticPr fontId="13"/>
  </si>
  <si>
    <t>株式会社ZERO</t>
    <rPh sb="0" eb="4">
      <t>カブシキガイシャ</t>
    </rPh>
    <phoneticPr fontId="13"/>
  </si>
  <si>
    <t>21/9</t>
    <phoneticPr fontId="13"/>
  </si>
  <si>
    <t>ｱｳﾃﾞｨ RS6ｱﾊﾞﾝﾄ</t>
    <phoneticPr fontId="13"/>
  </si>
  <si>
    <t>8/10/3</t>
    <phoneticPr fontId="13"/>
  </si>
  <si>
    <t>尾張小牧 302 る 3166</t>
    <rPh sb="0" eb="4">
      <t>オワリコマキ</t>
    </rPh>
    <phoneticPr fontId="13"/>
  </si>
  <si>
    <t>WUAZZZ4F99N900530</t>
    <phoneticPr fontId="13"/>
  </si>
  <si>
    <t>森 和男</t>
    <rPh sb="0" eb="1">
      <t>モリ</t>
    </rPh>
    <rPh sb="2" eb="4">
      <t>カズオ</t>
    </rPh>
    <phoneticPr fontId="13"/>
  </si>
  <si>
    <t>12/19</t>
    <phoneticPr fontId="13"/>
  </si>
  <si>
    <t>保証書 取説 ｷｰﾚｽ ﾌﾟﾗｷ-</t>
    <rPh sb="0" eb="3">
      <t>ホショウショ</t>
    </rPh>
    <rPh sb="4" eb="6">
      <t>トリセツ</t>
    </rPh>
    <phoneticPr fontId="13"/>
  </si>
  <si>
    <t>30/11</t>
    <phoneticPr fontId="13"/>
  </si>
  <si>
    <t>ﾎﾞﾙﾎﾞV40 T5 Rﾃﾞｻﾞｲﾝ</t>
    <phoneticPr fontId="13"/>
  </si>
  <si>
    <t>堺 374 と 77</t>
    <rPh sb="0" eb="1">
      <t>サカイ</t>
    </rPh>
    <phoneticPr fontId="13"/>
  </si>
  <si>
    <t>301 ぬ 1120</t>
    <phoneticPr fontId="13"/>
  </si>
  <si>
    <t>YV1MV402DJ2504513</t>
    <phoneticPr fontId="13"/>
  </si>
  <si>
    <t>抹消</t>
    <rPh sb="0" eb="2">
      <t>マッショウ</t>
    </rPh>
    <phoneticPr fontId="13"/>
  </si>
  <si>
    <t>久留米 399 つ 3085</t>
    <rPh sb="0" eb="3">
      <t>クルメ</t>
    </rPh>
    <phoneticPr fontId="13"/>
  </si>
  <si>
    <t>ﾚﾝﾀｶｰ</t>
    <phoneticPr fontId="13"/>
  </si>
  <si>
    <t>WMWXR920X0TP20715</t>
    <phoneticPr fontId="13"/>
  </si>
  <si>
    <t>株式会社SIC</t>
    <rPh sb="0" eb="4">
      <t>カブシキガイシャ</t>
    </rPh>
    <phoneticPr fontId="13"/>
  </si>
  <si>
    <t>12/26</t>
    <phoneticPr fontId="13"/>
  </si>
  <si>
    <t>保証書 取説(車内)ﾚﾝﾀｶｰ</t>
    <rPh sb="0" eb="3">
      <t>ホショウショ</t>
    </rPh>
    <rPh sb="4" eb="6">
      <t>トリセツ</t>
    </rPh>
    <phoneticPr fontId="13"/>
  </si>
  <si>
    <t>8/6/28</t>
    <phoneticPr fontId="13"/>
  </si>
  <si>
    <t>神戸 334 せ 1962</t>
    <rPh sb="0" eb="2">
      <t>コウベ</t>
    </rPh>
    <phoneticPr fontId="13"/>
  </si>
  <si>
    <t>301 ぬ 1582</t>
    <phoneticPr fontId="13"/>
  </si>
  <si>
    <t>WMWXM720002A77092</t>
    <phoneticPr fontId="13"/>
  </si>
  <si>
    <t>大西 敏也</t>
    <rPh sb="0" eb="2">
      <t>オオニシ</t>
    </rPh>
    <rPh sb="3" eb="5">
      <t>トシヤ</t>
    </rPh>
    <phoneticPr fontId="13"/>
  </si>
  <si>
    <t>BMWﾐﾆ ｸﾛｽｵｰﾊﾞｰ JCWALL4</t>
    <phoneticPr fontId="13"/>
  </si>
  <si>
    <t>札幌 343 ふ 500</t>
    <rPh sb="0" eb="2">
      <t>サッポロ</t>
    </rPh>
    <phoneticPr fontId="13"/>
  </si>
  <si>
    <t>301 ぬ 1214</t>
    <phoneticPr fontId="13"/>
  </si>
  <si>
    <t>WMWYV920803E43341</t>
    <phoneticPr fontId="13"/>
  </si>
  <si>
    <t>株式会社ﾓﾄｰﾚﾝ札幌</t>
    <rPh sb="0" eb="4">
      <t>カブシキガイシャ</t>
    </rPh>
    <rPh sb="9" eb="11">
      <t>サッポロ</t>
    </rPh>
    <phoneticPr fontId="13"/>
  </si>
  <si>
    <t>保証書 取説 ｷｰﾚｽ 車庫出しOK</t>
    <rPh sb="0" eb="3">
      <t>ホショウショ</t>
    </rPh>
    <rPh sb="4" eb="6">
      <t>トリセツ</t>
    </rPh>
    <rPh sb="12" eb="15">
      <t>シャコダ</t>
    </rPh>
    <phoneticPr fontId="13"/>
  </si>
  <si>
    <t>保証書R6距離ﾃﾞｨｰﾗｰ訂正済</t>
    <rPh sb="0" eb="3">
      <t>ホショウショ</t>
    </rPh>
    <rPh sb="5" eb="7">
      <t>キョリ</t>
    </rPh>
    <rPh sb="13" eb="15">
      <t>テイセイ</t>
    </rPh>
    <rPh sb="15" eb="16">
      <t>ズ</t>
    </rPh>
    <phoneticPr fontId="13"/>
  </si>
  <si>
    <t>8/10/29</t>
    <phoneticPr fontId="13"/>
  </si>
  <si>
    <t>大阪 342 と 329</t>
    <rPh sb="0" eb="2">
      <t>オオサカ</t>
    </rPh>
    <phoneticPr fontId="13"/>
  </si>
  <si>
    <t>301 ぬ 2278</t>
    <phoneticPr fontId="13"/>
  </si>
  <si>
    <t>WMWXT320402F06763</t>
    <phoneticPr fontId="13"/>
  </si>
  <si>
    <t>株式会社ﾎﾝﾀﾞﾓﾋﾞﾘﾃｨ近畿</t>
    <rPh sb="0" eb="4">
      <t>カブシキカイシャ</t>
    </rPh>
    <rPh sb="14" eb="16">
      <t>キンキ</t>
    </rPh>
    <phoneticPr fontId="13"/>
  </si>
  <si>
    <t>取説（車内）</t>
    <rPh sb="0" eb="2">
      <t>トリセツ</t>
    </rPh>
    <rPh sb="3" eb="5">
      <t>シャナイ</t>
    </rPh>
    <phoneticPr fontId="13"/>
  </si>
  <si>
    <t>BMWﾐﾆ ｸｰﾊﾟｰD ｸﾗﾌﾞﾏﾝ</t>
    <phoneticPr fontId="13"/>
  </si>
  <si>
    <t>8/11</t>
    <phoneticPr fontId="13"/>
  </si>
  <si>
    <t>横浜 34F つ 11</t>
    <rPh sb="0" eb="2">
      <t>ヨコハマ</t>
    </rPh>
    <phoneticPr fontId="13"/>
  </si>
  <si>
    <t>301 ぬ 2279</t>
    <phoneticPr fontId="13"/>
  </si>
  <si>
    <t>WMW32BC0102N67057</t>
    <phoneticPr fontId="13"/>
  </si>
  <si>
    <t>株式会社ｼｭﾃﾙﾝ世田谷</t>
    <rPh sb="0" eb="4">
      <t>カブシキガイシャ</t>
    </rPh>
    <rPh sb="9" eb="12">
      <t>セタガヤ</t>
    </rPh>
    <phoneticPr fontId="13"/>
  </si>
  <si>
    <t>1/21</t>
    <phoneticPr fontId="13"/>
  </si>
  <si>
    <t>ｱｳﾃﾞｨ  S1 ｽﾎﾟｰﾂﾊﾞｯｸ</t>
    <phoneticPr fontId="13"/>
  </si>
  <si>
    <t>横浜 306 せ 915</t>
    <rPh sb="0" eb="2">
      <t>ヨコハマ</t>
    </rPh>
    <phoneticPr fontId="13"/>
  </si>
  <si>
    <t>整備手帳 取説 ｽﾍﾟｱｷｰ</t>
    <rPh sb="0" eb="4">
      <t>セイビテチョウ</t>
    </rPh>
    <rPh sb="5" eb="7">
      <t>トリセツ</t>
    </rPh>
    <phoneticPr fontId="13"/>
  </si>
  <si>
    <t>301 ぬ 2891</t>
    <phoneticPr fontId="13"/>
  </si>
  <si>
    <t>WAUZZZ8X2FB002815</t>
    <phoneticPr fontId="13"/>
  </si>
  <si>
    <t>7/3/9</t>
    <phoneticPr fontId="13"/>
  </si>
  <si>
    <t>堺 328 る 88</t>
    <rPh sb="0" eb="1">
      <t>サカイ</t>
    </rPh>
    <phoneticPr fontId="13"/>
  </si>
  <si>
    <t>35C り 5</t>
    <phoneticPr fontId="13"/>
  </si>
  <si>
    <t>A261322</t>
    <phoneticPr fontId="13"/>
  </si>
  <si>
    <t>AGH30-0305997</t>
    <phoneticPr fontId="13"/>
  </si>
  <si>
    <t>福田 淳</t>
    <rPh sb="0" eb="2">
      <t>フクダ</t>
    </rPh>
    <rPh sb="3" eb="4">
      <t>ジュン</t>
    </rPh>
    <phoneticPr fontId="13"/>
  </si>
  <si>
    <t>ｼﾄﾛｴﾝｸﾞﾗﾝﾄﾞC4 ﾋﾟｶｿ</t>
    <phoneticPr fontId="13"/>
  </si>
  <si>
    <t>岡山 330 ま 2574</t>
    <rPh sb="0" eb="2">
      <t>オカヤマ</t>
    </rPh>
    <phoneticPr fontId="13"/>
  </si>
  <si>
    <t>VF73AAHXTHJ807009</t>
    <phoneticPr fontId="13"/>
  </si>
  <si>
    <t>山陽村上ﾓｰﾀｰ株式会社</t>
    <rPh sb="0" eb="2">
      <t>サンヨウ</t>
    </rPh>
    <rPh sb="2" eb="4">
      <t>ムラカミ</t>
    </rPh>
    <rPh sb="8" eb="12">
      <t>カブシキガイシャ</t>
    </rPh>
    <phoneticPr fontId="13"/>
  </si>
  <si>
    <t>2/4</t>
    <phoneticPr fontId="13"/>
  </si>
  <si>
    <t>ｷｰﾚｽ（車内）保証書 取説 ﾜﾝｵｰﾅｰ</t>
    <rPh sb="5" eb="7">
      <t>シャナイ</t>
    </rPh>
    <rPh sb="8" eb="11">
      <t>ホショウショ</t>
    </rPh>
    <rPh sb="12" eb="14">
      <t>トリセツ</t>
    </rPh>
    <phoneticPr fontId="13"/>
  </si>
  <si>
    <t>ﾌﾚｱﾜｺﾞﾝｶｽﾀﾑ ｽﾀｲﾙﾊｲﾌﾞﾘｯﾄﾞXS</t>
    <phoneticPr fontId="13"/>
  </si>
  <si>
    <t>神戸 583 す 6010</t>
    <rPh sb="0" eb="2">
      <t>コウベ</t>
    </rPh>
    <phoneticPr fontId="13"/>
  </si>
  <si>
    <t>MM53S-732707</t>
    <phoneticPr fontId="13"/>
  </si>
  <si>
    <t>株式会社神戸ﾏﾂﾀﾞ</t>
    <rPh sb="0" eb="4">
      <t>カブシキガイシャ</t>
    </rPh>
    <rPh sb="4" eb="6">
      <t>コウベ</t>
    </rPh>
    <phoneticPr fontId="13"/>
  </si>
  <si>
    <t>1/3</t>
    <phoneticPr fontId="13"/>
  </si>
  <si>
    <t>CX-5 20Sﾌﾟﾛｱｸﾃｨﾌﾞ</t>
    <phoneticPr fontId="13"/>
  </si>
  <si>
    <t>8/3/28</t>
    <phoneticPr fontId="13"/>
  </si>
  <si>
    <t>岐阜 302 ほ 9063</t>
    <rPh sb="0" eb="2">
      <t>ギフ</t>
    </rPh>
    <phoneticPr fontId="13"/>
  </si>
  <si>
    <t>301 ぬ 4332</t>
    <phoneticPr fontId="13"/>
  </si>
  <si>
    <t>A260630</t>
    <phoneticPr fontId="13"/>
  </si>
  <si>
    <t>KFEP-303140</t>
    <phoneticPr fontId="13"/>
  </si>
  <si>
    <t>起 宗将</t>
    <rPh sb="0" eb="1">
      <t>オ</t>
    </rPh>
    <rPh sb="2" eb="3">
      <t>ソウ</t>
    </rPh>
    <rPh sb="3" eb="4">
      <t>マサル</t>
    </rPh>
    <phoneticPr fontId="13"/>
  </si>
  <si>
    <t>22/4</t>
    <phoneticPr fontId="13"/>
  </si>
  <si>
    <t>7/6/12</t>
    <phoneticPr fontId="13"/>
  </si>
  <si>
    <t>三重 586 う 1234</t>
    <rPh sb="0" eb="2">
      <t>ミエ</t>
    </rPh>
    <phoneticPr fontId="13"/>
  </si>
  <si>
    <t>581 よ 1806</t>
    <phoneticPr fontId="13"/>
  </si>
  <si>
    <t>L880K-0052883</t>
    <phoneticPr fontId="13"/>
  </si>
  <si>
    <t>谷口 肇</t>
    <rPh sb="0" eb="2">
      <t>タニグチ</t>
    </rPh>
    <rPh sb="3" eb="4">
      <t>ハジメ</t>
    </rPh>
    <phoneticPr fontId="13"/>
  </si>
  <si>
    <t>2/6</t>
    <phoneticPr fontId="13"/>
  </si>
  <si>
    <t>BMWﾐﾆ ｸｰﾊﾟｰSDｵｰﾙ4ｸﾛｽｵｰﾊﾞｰ</t>
    <phoneticPr fontId="13"/>
  </si>
  <si>
    <t>神戸 346 に 3110</t>
    <rPh sb="0" eb="2">
      <t>コウベ</t>
    </rPh>
    <phoneticPr fontId="13"/>
  </si>
  <si>
    <t>WMWZZBU0303N98590</t>
    <phoneticPr fontId="13"/>
  </si>
  <si>
    <t>齊藤 泉</t>
    <rPh sb="0" eb="2">
      <t>サイトウ</t>
    </rPh>
    <rPh sb="3" eb="4">
      <t>イズミ</t>
    </rPh>
    <phoneticPr fontId="13"/>
  </si>
  <si>
    <t>徳島 335 は 37</t>
    <rPh sb="0" eb="2">
      <t>トクシマ</t>
    </rPh>
    <phoneticPr fontId="13"/>
  </si>
  <si>
    <t>WMWXR920802L12350</t>
    <phoneticPr fontId="13"/>
  </si>
  <si>
    <t>徳島ﾄﾖﾀ自動車株式会社</t>
    <rPh sb="0" eb="2">
      <t>トクシマ</t>
    </rPh>
    <rPh sb="5" eb="8">
      <t>ジドウシャ</t>
    </rPh>
    <rPh sb="8" eb="12">
      <t>カブシキガイシャ</t>
    </rPh>
    <phoneticPr fontId="13"/>
  </si>
  <si>
    <t>保証書 取説(車内)ﾜﾝｵｰﾅｰ</t>
    <rPh sb="0" eb="3">
      <t>ホショウショ</t>
    </rPh>
    <rPh sb="4" eb="6">
      <t>トリセツ</t>
    </rPh>
    <phoneticPr fontId="13"/>
  </si>
  <si>
    <t>広島 336 す 357</t>
    <rPh sb="0" eb="2">
      <t>ヒロシマ</t>
    </rPh>
    <phoneticPr fontId="13"/>
  </si>
  <si>
    <t>301 ぬ 4634</t>
    <phoneticPr fontId="13"/>
  </si>
  <si>
    <t>WMWLN720702H57325</t>
    <phoneticPr fontId="13"/>
  </si>
  <si>
    <t>ﾄﾖﾀｶﾛｰﾗ広島株式会社</t>
    <rPh sb="7" eb="9">
      <t>ヒロシマ</t>
    </rPh>
    <rPh sb="9" eb="13">
      <t>カブシキガイシャ</t>
    </rPh>
    <phoneticPr fontId="13"/>
  </si>
  <si>
    <t>福岡 330 せ 5247</t>
    <rPh sb="0" eb="2">
      <t>フクオカ</t>
    </rPh>
    <phoneticPr fontId="13"/>
  </si>
  <si>
    <t>SAJAB4AV7JCP34023</t>
    <phoneticPr fontId="13"/>
  </si>
  <si>
    <t>福岡ﾄﾖﾀ自動車株式会社</t>
    <rPh sb="0" eb="2">
      <t>フクオカ</t>
    </rPh>
    <rPh sb="5" eb="8">
      <t>ジドウシャ</t>
    </rPh>
    <rPh sb="8" eb="12">
      <t>カブシキガイシャ</t>
    </rPh>
    <phoneticPr fontId="13"/>
  </si>
  <si>
    <t>19/6</t>
    <phoneticPr fontId="13"/>
  </si>
  <si>
    <t>BMW M6</t>
    <phoneticPr fontId="13"/>
  </si>
  <si>
    <t>所沢 352 め 11</t>
    <rPh sb="0" eb="2">
      <t>トコロザワ</t>
    </rPh>
    <phoneticPr fontId="13"/>
  </si>
  <si>
    <t>WBSEH92000CM77096</t>
    <phoneticPr fontId="13"/>
  </si>
  <si>
    <t>中田 淳</t>
    <rPh sb="0" eb="2">
      <t>ナカタ</t>
    </rPh>
    <rPh sb="3" eb="4">
      <t>アツシ</t>
    </rPh>
    <phoneticPr fontId="13"/>
  </si>
  <si>
    <t>保証書 その他取説 ﾘﾓｺﾝ3個</t>
    <rPh sb="0" eb="3">
      <t>ホショウショ</t>
    </rPh>
    <rPh sb="6" eb="7">
      <t>タ</t>
    </rPh>
    <rPh sb="7" eb="9">
      <t>トリセツ</t>
    </rPh>
    <rPh sb="15" eb="16">
      <t>コ</t>
    </rPh>
    <phoneticPr fontId="13"/>
  </si>
  <si>
    <t>ﾎﾞﾙﾎﾞ V40 D4</t>
    <phoneticPr fontId="13"/>
  </si>
  <si>
    <t>神戸 318 な 8080</t>
    <rPh sb="0" eb="2">
      <t>コウベ</t>
    </rPh>
    <phoneticPr fontId="13"/>
  </si>
  <si>
    <t>TAA兵庫</t>
    <rPh sb="3" eb="5">
      <t>ヒョウゴ</t>
    </rPh>
    <phoneticPr fontId="13"/>
  </si>
  <si>
    <t>YV1MVA8RDK2547513</t>
    <phoneticPr fontId="13"/>
  </si>
  <si>
    <t>兵庫ｽﾊﾞﾙ自動車株式会社</t>
    <rPh sb="0" eb="2">
      <t>ヒョウゴ</t>
    </rPh>
    <rPh sb="6" eb="13">
      <t>ジドウシャカブシキガイシャ</t>
    </rPh>
    <phoneticPr fontId="13"/>
  </si>
  <si>
    <t>2/13</t>
    <phoneticPr fontId="13"/>
  </si>
  <si>
    <t>ｷｰﾚｽ（車内）保証書 取説</t>
    <rPh sb="5" eb="7">
      <t>シャナイ</t>
    </rPh>
    <rPh sb="8" eb="11">
      <t>ホショウショ</t>
    </rPh>
    <rPh sb="12" eb="14">
      <t>トリセツ</t>
    </rPh>
    <phoneticPr fontId="13"/>
  </si>
  <si>
    <t>ｱｳﾃﾞｨQ3 TFSI ｸﾜﾄﾛ</t>
    <phoneticPr fontId="13"/>
  </si>
  <si>
    <t>札幌 399 ほ 223</t>
    <rPh sb="0" eb="2">
      <t>サッポロ</t>
    </rPh>
    <phoneticPr fontId="13"/>
  </si>
  <si>
    <t>WAUZZZ8U5FR033019</t>
    <phoneticPr fontId="13"/>
  </si>
  <si>
    <t>2/15</t>
    <phoneticPr fontId="13"/>
  </si>
  <si>
    <t>ｱﾙﾌｧﾛﾒｵ ｽﾃﾙｳﾞｨｵ2.2ﾀｰﾎﾞﾃﾞｨｰｾﾞﾙQ4</t>
    <phoneticPr fontId="13"/>
  </si>
  <si>
    <t>8/5/30</t>
    <phoneticPr fontId="13"/>
  </si>
  <si>
    <t>名古屋 398 つ 2</t>
    <rPh sb="0" eb="3">
      <t>ナゴヤ</t>
    </rPh>
    <phoneticPr fontId="13"/>
  </si>
  <si>
    <t>301 ぬ 4007</t>
    <phoneticPr fontId="13"/>
  </si>
  <si>
    <t>ZARPAHGX3K7C53684</t>
    <phoneticPr fontId="13"/>
  </si>
  <si>
    <t>保証書 取説 ﾘﾓｺﾝ ｷｰﾚｽ</t>
    <rPh sb="0" eb="3">
      <t>ホショウショ</t>
    </rPh>
    <rPh sb="4" eb="6">
      <t>トリセツ</t>
    </rPh>
    <phoneticPr fontId="13"/>
  </si>
  <si>
    <t>ｱﾙﾄﾗﾊﾟﾝ ﾓｰﾄﾞ</t>
    <phoneticPr fontId="13"/>
  </si>
  <si>
    <t>7/10/28</t>
    <phoneticPr fontId="13"/>
  </si>
  <si>
    <t>富山 581 さ 7986</t>
    <rPh sb="0" eb="2">
      <t>トヤマ</t>
    </rPh>
    <phoneticPr fontId="13"/>
  </si>
  <si>
    <t>581 よ 4002</t>
    <phoneticPr fontId="13"/>
  </si>
  <si>
    <t>HE33S-300071</t>
    <phoneticPr fontId="13"/>
  </si>
  <si>
    <t>保証書 取説 ﾅﾋﾞ取説 ﾜﾝｵｰﾅｰ ｷｰﾚｽ</t>
    <rPh sb="0" eb="3">
      <t>ホショウショ</t>
    </rPh>
    <rPh sb="4" eb="6">
      <t>トリセツ</t>
    </rPh>
    <rPh sb="10" eb="12">
      <t>トリセツ</t>
    </rPh>
    <phoneticPr fontId="13"/>
  </si>
  <si>
    <t>ﾅﾝﾊﾞｰ持ち出し中</t>
    <rPh sb="5" eb="6">
      <t>モ</t>
    </rPh>
    <rPh sb="7" eb="8">
      <t>ダ</t>
    </rPh>
    <rPh sb="9" eb="10">
      <t>チュウ</t>
    </rPh>
    <phoneticPr fontId="13"/>
  </si>
  <si>
    <t>ﾎﾞﾙﾎﾞV40 ｸﾛｽｶﾝﾄﾘｰD4ｱｸﾃｨﾌﾞED</t>
    <phoneticPr fontId="13"/>
  </si>
  <si>
    <t>栃木 342 つ 3588</t>
    <rPh sb="0" eb="2">
      <t>トチギ</t>
    </rPh>
    <phoneticPr fontId="13"/>
  </si>
  <si>
    <t>301 ぬ 3625</t>
    <phoneticPr fontId="13"/>
  </si>
  <si>
    <t>CAA東京（まとめ）</t>
    <rPh sb="3" eb="5">
      <t>トウキョウ</t>
    </rPh>
    <phoneticPr fontId="13"/>
  </si>
  <si>
    <t>YV1MZA8RDJ2155250</t>
    <phoneticPr fontId="13"/>
  </si>
  <si>
    <t>株式会社ｱﾌﾟﾗｽ</t>
    <rPh sb="0" eb="4">
      <t>カブシキガイシャ</t>
    </rPh>
    <phoneticPr fontId="13"/>
  </si>
  <si>
    <t>2/25</t>
    <phoneticPr fontId="13"/>
  </si>
  <si>
    <t>保証書 取説 ﾘﾓｺﾝ</t>
    <rPh sb="0" eb="3">
      <t>ホショウショ</t>
    </rPh>
    <rPh sb="4" eb="6">
      <t>トリセツ</t>
    </rPh>
    <phoneticPr fontId="13"/>
  </si>
  <si>
    <t>千葉 326 さ 6373</t>
    <rPh sb="0" eb="2">
      <t>チバ</t>
    </rPh>
    <phoneticPr fontId="13"/>
  </si>
  <si>
    <t>TAA関東</t>
    <rPh sb="3" eb="5">
      <t>カントウ</t>
    </rPh>
    <phoneticPr fontId="13"/>
  </si>
  <si>
    <t>WMWXT320402H68041</t>
    <phoneticPr fontId="13"/>
  </si>
  <si>
    <t>千葉ｽﾊﾞﾙ株式会社</t>
    <rPh sb="0" eb="2">
      <t>チバ</t>
    </rPh>
    <rPh sb="6" eb="10">
      <t>カブシキガイシャ</t>
    </rPh>
    <phoneticPr fontId="13"/>
  </si>
  <si>
    <t>ｷｰﾚｽ(車内)保証書 取説</t>
    <rPh sb="8" eb="11">
      <t>ホショウショ</t>
    </rPh>
    <rPh sb="12" eb="14">
      <t>トリセツ</t>
    </rPh>
    <phoneticPr fontId="13"/>
  </si>
  <si>
    <t>26/5</t>
    <phoneticPr fontId="13"/>
  </si>
  <si>
    <t>ﾊｽﾗｰ Xﾀｰﾎﾞ</t>
    <phoneticPr fontId="13"/>
  </si>
  <si>
    <t>名古屋 58A ね 8851</t>
    <rPh sb="0" eb="3">
      <t>ナゴヤ</t>
    </rPh>
    <phoneticPr fontId="13"/>
  </si>
  <si>
    <t>581よ 4004</t>
    <phoneticPr fontId="13"/>
  </si>
  <si>
    <t>MR31S-809824</t>
    <phoneticPr fontId="13"/>
  </si>
  <si>
    <t>有限会社坂元商会</t>
    <rPh sb="0" eb="4">
      <t>ユウゲンガイシャ</t>
    </rPh>
    <rPh sb="4" eb="6">
      <t>サカモト</t>
    </rPh>
    <rPh sb="6" eb="8">
      <t>ショウカイ</t>
    </rPh>
    <phoneticPr fontId="13"/>
  </si>
  <si>
    <t>2/27</t>
    <phoneticPr fontId="13"/>
  </si>
  <si>
    <t>ﾐﾗｺｺｱ ﾌﾟﾗｽX</t>
    <phoneticPr fontId="13"/>
  </si>
  <si>
    <t>8/3/14</t>
    <phoneticPr fontId="13"/>
  </si>
  <si>
    <t>松本 584 せ 626</t>
    <rPh sb="0" eb="2">
      <t>マツモト</t>
    </rPh>
    <phoneticPr fontId="13"/>
  </si>
  <si>
    <t>581 よ 4017</t>
    <phoneticPr fontId="13"/>
  </si>
  <si>
    <t>L675S-0219609</t>
    <phoneticPr fontId="13"/>
  </si>
  <si>
    <t>伊藤 杏奈</t>
    <rPh sb="0" eb="2">
      <t>イトウ</t>
    </rPh>
    <rPh sb="3" eb="5">
      <t>アンナ</t>
    </rPh>
    <phoneticPr fontId="13"/>
  </si>
  <si>
    <t>保証書 取説(車内)</t>
    <rPh sb="0" eb="3">
      <t>ホショウショ</t>
    </rPh>
    <rPh sb="4" eb="6">
      <t>トリセツ</t>
    </rPh>
    <phoneticPr fontId="13"/>
  </si>
  <si>
    <t>ｼﾞｬｶﾞｰXF Rｽﾎﾟｰﾂｱﾄﾞﾊﾞﾝｽﾄﾞﾊﾟｰｸｱｼｽﾄﾊﾞｯｸ</t>
    <phoneticPr fontId="13"/>
  </si>
  <si>
    <t>千葉 326 さ 8104</t>
    <rPh sb="0" eb="2">
      <t>チバ</t>
    </rPh>
    <phoneticPr fontId="13"/>
  </si>
  <si>
    <t>SAJBB4AV5GCY00226</t>
    <phoneticPr fontId="13"/>
  </si>
  <si>
    <t>ｼﾞﾑﾆｰ W</t>
    <phoneticPr fontId="13"/>
  </si>
  <si>
    <t>7/7/26</t>
    <phoneticPr fontId="13"/>
  </si>
  <si>
    <t>岐阜 580 す 3714</t>
    <rPh sb="0" eb="2">
      <t>ギフ</t>
    </rPh>
    <phoneticPr fontId="13"/>
  </si>
  <si>
    <t>581 よ 8752</t>
    <phoneticPr fontId="13"/>
  </si>
  <si>
    <t>JB23W-518459</t>
    <phoneticPr fontId="13"/>
  </si>
  <si>
    <t>星川 晏秀</t>
    <rPh sb="0" eb="2">
      <t>ホシカワ</t>
    </rPh>
    <rPh sb="4" eb="5">
      <t>ヒデ</t>
    </rPh>
    <phoneticPr fontId="13"/>
  </si>
  <si>
    <t>保証書 取説 ﾅﾋﾞ取 ｽﾍﾟｱｷｰ車内写真あり</t>
    <rPh sb="0" eb="3">
      <t>ホショウショ</t>
    </rPh>
    <rPh sb="4" eb="6">
      <t>トリセツ</t>
    </rPh>
    <rPh sb="10" eb="11">
      <t>トリ</t>
    </rPh>
    <rPh sb="18" eb="20">
      <t>シャナイ</t>
    </rPh>
    <rPh sb="20" eb="22">
      <t>シャシン</t>
    </rPh>
    <phoneticPr fontId="13"/>
  </si>
  <si>
    <t>BMWﾐﾆｸｰﾊﾟｰ ｱｲｽﾌﾞﾙｰｴﾃﾞｨｼｮﾝ</t>
    <phoneticPr fontId="13"/>
  </si>
  <si>
    <t>京都 399 ろ 8128</t>
    <rPh sb="0" eb="2">
      <t>キョウト</t>
    </rPh>
    <phoneticPr fontId="13"/>
  </si>
  <si>
    <t>WMWXR32090TL99554</t>
    <phoneticPr fontId="13"/>
  </si>
  <si>
    <t>O-RUSHｲﾝﾀｰﾅｼｮﾅﾙ株式会社</t>
    <rPh sb="15" eb="19">
      <t>カブシキガイシャ</t>
    </rPh>
    <phoneticPr fontId="13"/>
  </si>
  <si>
    <t>保証書 取説 ｷｰﾚｽ ﾚﾝﾀｶｰ</t>
    <rPh sb="0" eb="3">
      <t>ホショウショ</t>
    </rPh>
    <rPh sb="4" eb="6">
      <t>トリセツ</t>
    </rPh>
    <phoneticPr fontId="13"/>
  </si>
  <si>
    <t>8/3/24</t>
    <phoneticPr fontId="13"/>
  </si>
  <si>
    <t>神戸 302 ゆ 4728</t>
    <rPh sb="0" eb="2">
      <t>コウベ</t>
    </rPh>
    <phoneticPr fontId="13"/>
  </si>
  <si>
    <t>301 ぬ 4635</t>
    <phoneticPr fontId="13"/>
  </si>
  <si>
    <t>WAUZZZ8X3FB008896</t>
    <phoneticPr fontId="13"/>
  </si>
  <si>
    <t>増井 一博</t>
    <rPh sb="0" eb="2">
      <t>マスイ</t>
    </rPh>
    <rPh sb="3" eb="5">
      <t>カズヒロ</t>
    </rPh>
    <phoneticPr fontId="13"/>
  </si>
  <si>
    <r>
      <t xml:space="preserve">保証書 取説 ｷｰﾚｽ ﾜﾝｵｰﾅｰ </t>
    </r>
    <r>
      <rPr>
        <sz val="10"/>
        <color theme="4" tint="-0.499984740745262"/>
        <rFont val="ＭＳ Ｐゴシック"/>
        <family val="3"/>
        <charset val="128"/>
        <scheme val="minor"/>
      </rPr>
      <t>会長連絡済</t>
    </r>
    <rPh sb="0" eb="3">
      <t>ホショウショ</t>
    </rPh>
    <rPh sb="4" eb="6">
      <t>トリセツ</t>
    </rPh>
    <rPh sb="19" eb="21">
      <t>カイチョウ</t>
    </rPh>
    <rPh sb="21" eb="23">
      <t>レンラク</t>
    </rPh>
    <rPh sb="23" eb="24">
      <t>ズ</t>
    </rPh>
    <phoneticPr fontId="13"/>
  </si>
  <si>
    <t>保証書訂正済</t>
    <rPh sb="0" eb="3">
      <t>ホショウショ</t>
    </rPh>
    <rPh sb="3" eb="5">
      <t>テイセイ</t>
    </rPh>
    <rPh sb="5" eb="6">
      <t>ズ</t>
    </rPh>
    <phoneticPr fontId="13"/>
  </si>
  <si>
    <t>横浜 387 せ 15</t>
    <rPh sb="0" eb="2">
      <t>ヨコハマ</t>
    </rPh>
    <phoneticPr fontId="13"/>
  </si>
  <si>
    <t>WMWXR920102M64325</t>
    <phoneticPr fontId="13"/>
  </si>
  <si>
    <t>ﾄﾖﾀｳｴｲﾝｽﾞｸﾞﾙｰﾌﾟﾃｨｰｱｯﾌﾟ株式会社</t>
    <rPh sb="22" eb="26">
      <t>カブシキガイシャ</t>
    </rPh>
    <phoneticPr fontId="13"/>
  </si>
  <si>
    <t>3/15</t>
    <phoneticPr fontId="13"/>
  </si>
  <si>
    <t>26/</t>
    <phoneticPr fontId="13"/>
  </si>
  <si>
    <t xml:space="preserve">VW ﾊﾟｻｰﾄ ｳﾞｧﾘｱﾝﾄ </t>
    <phoneticPr fontId="13"/>
  </si>
  <si>
    <t>姫路 330 て 3650</t>
    <rPh sb="0" eb="2">
      <t>ヒメジ</t>
    </rPh>
    <phoneticPr fontId="13"/>
  </si>
  <si>
    <t>神井様</t>
    <rPh sb="0" eb="1">
      <t>カミ</t>
    </rPh>
    <rPh sb="1" eb="2">
      <t>イ</t>
    </rPh>
    <rPh sb="2" eb="3">
      <t>サマ</t>
    </rPh>
    <phoneticPr fontId="13"/>
  </si>
  <si>
    <t>WVWZZZ3CZEE165374</t>
    <phoneticPr fontId="13"/>
  </si>
  <si>
    <t>神井 隆寿</t>
    <rPh sb="0" eb="2">
      <t>カミイ</t>
    </rPh>
    <rPh sb="3" eb="4">
      <t>リュウ</t>
    </rPh>
    <rPh sb="4" eb="5">
      <t>ジュ</t>
    </rPh>
    <phoneticPr fontId="13"/>
  </si>
  <si>
    <t>地図SD（車内）保証書 取説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</si>
  <si>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VWｺﾞﾙﾌ GTI ｸﾗﾌﾞｽﾎﾟｰﾂﾄﾗｯｸED</t>
    <phoneticPr fontId="13"/>
  </si>
  <si>
    <t>7/9/26</t>
    <phoneticPr fontId="13"/>
  </si>
  <si>
    <t>横浜 306 そ 219</t>
    <rPh sb="0" eb="2">
      <t>ヨコハマ</t>
    </rPh>
    <phoneticPr fontId="13"/>
  </si>
  <si>
    <t>WVWZZZAUZGW312069</t>
    <phoneticPr fontId="13"/>
  </si>
  <si>
    <t>株式会社ﾔﾅｾ</t>
    <rPh sb="0" eb="4">
      <t>カブシキカイシャ</t>
    </rPh>
    <phoneticPr fontId="13"/>
  </si>
  <si>
    <t>3/14</t>
    <phoneticPr fontId="13"/>
  </si>
  <si>
    <t>ｸﾛｽﾋﾞｰ ﾊｲﾌﾞﾘｯﾄﾞMZ</t>
    <phoneticPr fontId="13"/>
  </si>
  <si>
    <t>8/10/30</t>
    <phoneticPr fontId="13"/>
  </si>
  <si>
    <t>愛媛 537 に 39</t>
    <rPh sb="0" eb="2">
      <t>エヒメ</t>
    </rPh>
    <phoneticPr fontId="13"/>
  </si>
  <si>
    <t>501 も 6485</t>
    <phoneticPr fontId="13"/>
  </si>
  <si>
    <t>MN71S-155282</t>
    <phoneticPr fontId="13"/>
  </si>
  <si>
    <t>株式会社ｽｽﾞｷ自販松山</t>
    <rPh sb="0" eb="4">
      <t>カブシキガイシャ</t>
    </rPh>
    <rPh sb="8" eb="10">
      <t>ジハン</t>
    </rPh>
    <rPh sb="10" eb="12">
      <t>マツヤマ</t>
    </rPh>
    <phoneticPr fontId="13"/>
  </si>
  <si>
    <t>ﾚｸｻｽ RX Fｽﾎﾟｰﾂ</t>
    <phoneticPr fontId="13"/>
  </si>
  <si>
    <t>8/2/23</t>
    <phoneticPr fontId="13"/>
  </si>
  <si>
    <t>神戸 31H ひ 77</t>
    <rPh sb="0" eb="2">
      <t>コウベ</t>
    </rPh>
    <phoneticPr fontId="13"/>
  </si>
  <si>
    <t>35H に 5</t>
    <phoneticPr fontId="13"/>
  </si>
  <si>
    <t>A268967</t>
    <phoneticPr fontId="13"/>
  </si>
  <si>
    <t>GYL25-0010594</t>
    <phoneticPr fontId="13"/>
  </si>
  <si>
    <t>平原 福生</t>
    <rPh sb="0" eb="2">
      <t>ヒラハラ</t>
    </rPh>
    <rPh sb="3" eb="4">
      <t>フク</t>
    </rPh>
    <rPh sb="4" eb="5">
      <t>セイ</t>
    </rPh>
    <phoneticPr fontId="13"/>
  </si>
  <si>
    <t>17/2</t>
    <phoneticPr fontId="13"/>
  </si>
  <si>
    <t xml:space="preserve">ﾚﾝｼﾞﾛｰﾊﾞｰ </t>
    <phoneticPr fontId="13"/>
  </si>
  <si>
    <t>神戸 334 ひ 2131</t>
    <rPh sb="0" eb="2">
      <t>コウベ</t>
    </rPh>
    <phoneticPr fontId="13"/>
  </si>
  <si>
    <t>元村様</t>
    <rPh sb="0" eb="2">
      <t>モトムラ</t>
    </rPh>
    <rPh sb="2" eb="3">
      <t>サマ</t>
    </rPh>
    <phoneticPr fontId="13"/>
  </si>
  <si>
    <t>SALLMAM35A183345</t>
    <phoneticPr fontId="13"/>
  </si>
  <si>
    <t>元村 昌平</t>
    <rPh sb="0" eb="2">
      <t>モトムラ</t>
    </rPh>
    <rPh sb="3" eb="5">
      <t>ショウヘイ</t>
    </rPh>
    <phoneticPr fontId="13"/>
  </si>
  <si>
    <t>BMW X1 xDrive18d Xﾗｲﾝ</t>
    <phoneticPr fontId="13"/>
  </si>
  <si>
    <t>広島 347 や 72</t>
    <rPh sb="0" eb="2">
      <t>ヒロシマ</t>
    </rPh>
    <phoneticPr fontId="13"/>
  </si>
  <si>
    <t>WBA32AD0605P57721</t>
    <phoneticPr fontId="13"/>
  </si>
  <si>
    <t>株式会社ﾊﾞﾙｺﾑﾓｰﾀｰｽ</t>
    <rPh sb="0" eb="4">
      <t>カブシキカイシャ</t>
    </rPh>
    <phoneticPr fontId="13"/>
  </si>
  <si>
    <t>ｱｳﾃﾞｨｰ S1 ｽﾎﾟｰﾂﾊﾞｯｸ</t>
    <phoneticPr fontId="13"/>
  </si>
  <si>
    <t>8/1/26</t>
    <phoneticPr fontId="13"/>
  </si>
  <si>
    <t>佐世保 331 て 105</t>
    <rPh sb="0" eb="3">
      <t>サセボ</t>
    </rPh>
    <phoneticPr fontId="13"/>
  </si>
  <si>
    <t>WAUZZZ8X4F004145</t>
    <phoneticPr fontId="13"/>
  </si>
  <si>
    <t>株式会社ｳｲﾝｸﾞｽ</t>
    <rPh sb="0" eb="4">
      <t>カブシキカイシャ</t>
    </rPh>
    <phoneticPr fontId="13"/>
  </si>
  <si>
    <t>24/2</t>
    <phoneticPr fontId="13"/>
  </si>
  <si>
    <t>ｼﾞｬｶﾞｰ XKR</t>
    <phoneticPr fontId="13"/>
  </si>
  <si>
    <t>堺 300 は 4138</t>
    <rPh sb="0" eb="1">
      <t>サカイ</t>
    </rPh>
    <phoneticPr fontId="13"/>
  </si>
  <si>
    <t>泉様</t>
    <rPh sb="0" eb="1">
      <t>イズミ</t>
    </rPh>
    <rPh sb="1" eb="2">
      <t>サマ</t>
    </rPh>
    <phoneticPr fontId="13"/>
  </si>
  <si>
    <t>SAJKC43R5CMB47000</t>
    <phoneticPr fontId="13"/>
  </si>
  <si>
    <t>泉 晋作</t>
    <rPh sb="0" eb="1">
      <t>イズミ</t>
    </rPh>
    <rPh sb="2" eb="4">
      <t>シンサク</t>
    </rPh>
    <phoneticPr fontId="13"/>
  </si>
  <si>
    <t>VWｱｯﾌﾟ！ GTI</t>
    <phoneticPr fontId="13"/>
  </si>
  <si>
    <t>伊豆 535 み 358</t>
    <rPh sb="0" eb="2">
      <t>イズ</t>
    </rPh>
    <phoneticPr fontId="13"/>
  </si>
  <si>
    <t>WVWZZZAAZJD190118</t>
    <phoneticPr fontId="13"/>
  </si>
  <si>
    <t>月岡 久雄</t>
    <rPh sb="0" eb="2">
      <t>ツキオカ</t>
    </rPh>
    <rPh sb="3" eb="5">
      <t>ヒサオ</t>
    </rPh>
    <phoneticPr fontId="13"/>
  </si>
  <si>
    <t>15/4</t>
    <phoneticPr fontId="13"/>
  </si>
  <si>
    <t>ﾚﾝｼﾞﾛｰﾊﾞｰ ﾃﾞｨｽｶﾊﾞﾘｰ HSE</t>
    <phoneticPr fontId="13"/>
  </si>
  <si>
    <t>8/4/27</t>
    <phoneticPr fontId="13"/>
  </si>
  <si>
    <t>和泉 336 つ 215</t>
    <rPh sb="0" eb="2">
      <t>イズミ</t>
    </rPh>
    <phoneticPr fontId="13"/>
  </si>
  <si>
    <t>SALLT-AMP33A807115</t>
    <phoneticPr fontId="13"/>
  </si>
  <si>
    <t>株式会社辻農機</t>
    <rPh sb="0" eb="4">
      <t>カブシキガイシャ</t>
    </rPh>
    <rPh sb="4" eb="5">
      <t>ツジ</t>
    </rPh>
    <rPh sb="5" eb="7">
      <t>ノウキ</t>
    </rPh>
    <phoneticPr fontId="13"/>
  </si>
  <si>
    <t>4/18</t>
    <phoneticPr fontId="13"/>
  </si>
  <si>
    <t>保証書 取説 ﾅﾋﾞ取説 ｷｰﾚｽ(ﾎﾞﾀﾝ部分破損）</t>
    <rPh sb="0" eb="3">
      <t>ホショウショ</t>
    </rPh>
    <rPh sb="4" eb="6">
      <t>トリセツ</t>
    </rPh>
    <rPh sb="10" eb="12">
      <t>トリセツ</t>
    </rPh>
    <rPh sb="22" eb="24">
      <t>ブブン</t>
    </rPh>
    <rPh sb="24" eb="26">
      <t>ハソン</t>
    </rPh>
    <phoneticPr fontId="13"/>
  </si>
  <si>
    <t>ｱｳﾃﾞｨｰS1 2.0TFSIｸﾜﾄﾛ</t>
    <phoneticPr fontId="13"/>
  </si>
  <si>
    <t>8/6/7</t>
    <phoneticPr fontId="13"/>
  </si>
  <si>
    <t>川越 330 た 8086</t>
    <rPh sb="0" eb="2">
      <t>カワゴエ</t>
    </rPh>
    <phoneticPr fontId="13"/>
  </si>
  <si>
    <t>301 ぬ 7033</t>
    <phoneticPr fontId="13"/>
  </si>
  <si>
    <t>WAUZZZ8XXFB028479</t>
    <phoneticPr fontId="13"/>
  </si>
  <si>
    <t>加島 倫</t>
    <rPh sb="0" eb="2">
      <t>カシマ</t>
    </rPh>
    <rPh sb="3" eb="4">
      <t>リン</t>
    </rPh>
    <phoneticPr fontId="13"/>
  </si>
  <si>
    <t>4/20</t>
    <phoneticPr fontId="13"/>
  </si>
  <si>
    <t>ﾜｺﾞﾝR ｽﾃｨﾝｸﾞﾚｰX</t>
    <phoneticPr fontId="13"/>
  </si>
  <si>
    <t>7/11/24</t>
    <phoneticPr fontId="13"/>
  </si>
  <si>
    <t>飛騨 580 か 1577</t>
    <rPh sb="0" eb="2">
      <t>ヒダ</t>
    </rPh>
    <phoneticPr fontId="13"/>
  </si>
  <si>
    <t>581 よ 9287</t>
    <phoneticPr fontId="13"/>
  </si>
  <si>
    <t>ﾎﾝﾀﾞ名古屋(まとめ)</t>
    <rPh sb="4" eb="7">
      <t>ナゴヤ</t>
    </rPh>
    <phoneticPr fontId="13"/>
  </si>
  <si>
    <t>MH44S-459117</t>
    <phoneticPr fontId="13"/>
  </si>
  <si>
    <t>株式会社ﾎﾝﾀﾞｶｰｽﾞ飛騨</t>
    <rPh sb="0" eb="4">
      <t>カブシキガイシャ</t>
    </rPh>
    <rPh sb="12" eb="14">
      <t>ヒダ</t>
    </rPh>
    <phoneticPr fontId="13"/>
  </si>
  <si>
    <t>ﾅﾝﾊﾞｰ持ち出し中</t>
    <phoneticPr fontId="13"/>
  </si>
  <si>
    <t>ｱｳﾃﾞｨｰ S4 ｱﾊﾞﾝﾄ</t>
    <phoneticPr fontId="13"/>
  </si>
  <si>
    <t>飛鳥 399 ね 771</t>
    <rPh sb="0" eb="2">
      <t>アスカ</t>
    </rPh>
    <phoneticPr fontId="13"/>
  </si>
  <si>
    <t>WAUZZZF48JA233029</t>
    <phoneticPr fontId="13"/>
  </si>
  <si>
    <t>奈良ｽﾊﾞﾙ自動車株式会社</t>
    <rPh sb="0" eb="2">
      <t>ナラ</t>
    </rPh>
    <rPh sb="6" eb="13">
      <t>ジドウシャカブシキガイシャ</t>
    </rPh>
    <phoneticPr fontId="13"/>
  </si>
  <si>
    <t>新車(ﾃﾞﾓｶｰ)</t>
    <rPh sb="0" eb="2">
      <t>シンシャ</t>
    </rPh>
    <phoneticPr fontId="13"/>
  </si>
  <si>
    <t>10/4</t>
    <phoneticPr fontId="13"/>
  </si>
  <si>
    <t>ﾓﾄｰﾚﾝ神戸</t>
    <rPh sb="5" eb="7">
      <t>コウベ</t>
    </rPh>
    <phoneticPr fontId="13"/>
  </si>
  <si>
    <t>WMW32GD090W95087</t>
    <phoneticPr fontId="13"/>
  </si>
  <si>
    <t>有限会社ﾃｨｰｽﾞｸﾗﾌﾞ</t>
    <rPh sb="0" eb="4">
      <t>ユウゲンカイシャ</t>
    </rPh>
    <phoneticPr fontId="13"/>
  </si>
  <si>
    <t>ﾎﾟﾙｼｪｹｲﾏﾝ ﾍﾞｰｽ</t>
    <phoneticPr fontId="13"/>
  </si>
  <si>
    <t>名古屋 331 て 981</t>
    <rPh sb="0" eb="3">
      <t>ナゴヤ</t>
    </rPh>
    <phoneticPr fontId="13"/>
  </si>
  <si>
    <t>WP0ZZZ98ZFK160840</t>
    <phoneticPr fontId="13"/>
  </si>
  <si>
    <t>黒長 伸一</t>
    <rPh sb="0" eb="1">
      <t>クロ</t>
    </rPh>
    <rPh sb="1" eb="2">
      <t>ナガ</t>
    </rPh>
    <rPh sb="3" eb="5">
      <t>シンイチ</t>
    </rPh>
    <phoneticPr fontId="13"/>
  </si>
  <si>
    <t>5/15</t>
    <phoneticPr fontId="13"/>
  </si>
  <si>
    <t>保証書 取説 ﾅﾋﾞ取説 ｷｰﾚｽ ﾘﾓｺﾝ 地図SD ﾜﾝｵｰﾅｰ</t>
    <rPh sb="0" eb="3">
      <t>ホショウショ</t>
    </rPh>
    <rPh sb="4" eb="6">
      <t>トリセツ</t>
    </rPh>
    <rPh sb="10" eb="12">
      <t>トリセツ</t>
    </rPh>
    <rPh sb="23" eb="25">
      <t>チズ</t>
    </rPh>
    <phoneticPr fontId="13"/>
  </si>
  <si>
    <t>ｱｳﾃﾞｨS6 ﾍﾞｰｽｸﾞﾚｰﾄﾞ</t>
    <phoneticPr fontId="13"/>
  </si>
  <si>
    <t>7/10/24</t>
    <phoneticPr fontId="13"/>
  </si>
  <si>
    <t>所沢 302 す 9658</t>
    <rPh sb="0" eb="2">
      <t>トコロザワ</t>
    </rPh>
    <phoneticPr fontId="13"/>
  </si>
  <si>
    <t>WAUZZZ4G0HN005395</t>
    <phoneticPr fontId="13"/>
  </si>
  <si>
    <t>保証書 取説 ｷｰﾚｽ ﾌﾟﾗｷｰ</t>
    <rPh sb="0" eb="3">
      <t>ホショウショ</t>
    </rPh>
    <rPh sb="4" eb="6">
      <t>トリセツ</t>
    </rPh>
    <phoneticPr fontId="13"/>
  </si>
  <si>
    <t>26/10</t>
    <phoneticPr fontId="13"/>
  </si>
  <si>
    <t>BMW M4 ｸｰﾍﾟ</t>
    <phoneticPr fontId="13"/>
  </si>
  <si>
    <t>滋賀 399 た 6415</t>
    <rPh sb="0" eb="2">
      <t>シガ</t>
    </rPh>
    <phoneticPr fontId="13"/>
  </si>
  <si>
    <t>WBS3R92080K340188</t>
    <phoneticPr fontId="13"/>
  </si>
  <si>
    <t>株式会社HAZ</t>
    <rPh sb="0" eb="4">
      <t>カブシキガイシャ</t>
    </rPh>
    <phoneticPr fontId="13"/>
  </si>
  <si>
    <t>ｱｳﾃﾞｨ A6ｱﾊﾞﾝﾄ 2.0TFSI SﾗｲﾝP</t>
    <phoneticPr fontId="13"/>
  </si>
  <si>
    <t>佐世保 399 す 1089</t>
    <rPh sb="0" eb="3">
      <t>サセボ</t>
    </rPh>
    <phoneticPr fontId="13"/>
  </si>
  <si>
    <t>WAUZZZ4G1GN112650</t>
    <phoneticPr fontId="13"/>
  </si>
  <si>
    <t>株式会社ｻﾝﾖｰ自動車</t>
    <rPh sb="0" eb="4">
      <t>カブシキガイシャ</t>
    </rPh>
    <rPh sb="8" eb="11">
      <t>ジドウシャ</t>
    </rPh>
    <phoneticPr fontId="13"/>
  </si>
  <si>
    <t>5/27</t>
    <phoneticPr fontId="13"/>
  </si>
  <si>
    <t>ﾚﾝｼﾞﾛｰﾊﾞｰ ｳﾞｫｰｸﾞ 3.0V6ｽｰﾊﾟｰﾁｬｰｼﾞﾄﾞ</t>
    <phoneticPr fontId="13"/>
  </si>
  <si>
    <t>7/6/20</t>
    <phoneticPr fontId="13"/>
  </si>
  <si>
    <t>横浜 39A7 み 826</t>
    <rPh sb="0" eb="2">
      <t>ヨコハマ</t>
    </rPh>
    <phoneticPr fontId="13"/>
  </si>
  <si>
    <t>SALGA2VEXEA167357</t>
    <phoneticPr fontId="13"/>
  </si>
  <si>
    <t>FRONTLINE株式会社</t>
    <rPh sb="9" eb="13">
      <t>カブシキガイシャ</t>
    </rPh>
    <phoneticPr fontId="13"/>
  </si>
  <si>
    <t>5/24</t>
    <phoneticPr fontId="13"/>
  </si>
  <si>
    <t>保証書 取説 ﾅﾋﾞ取 ｷｰﾚｽ ﾜﾝｵｰﾅｰ</t>
    <rPh sb="0" eb="3">
      <t>ホショウショ</t>
    </rPh>
    <rPh sb="4" eb="6">
      <t>トリセツ</t>
    </rPh>
    <rPh sb="10" eb="11">
      <t>　</t>
    </rPh>
    <phoneticPr fontId="13"/>
  </si>
  <si>
    <t>ﾚｸｻｽ IS  IS250CﾊﾞｰｼﾞｮﾝL</t>
    <phoneticPr fontId="13"/>
  </si>
  <si>
    <t>8/10/27</t>
    <phoneticPr fontId="13"/>
  </si>
  <si>
    <t>豊橋 332 ま 250</t>
    <rPh sb="0" eb="2">
      <t>ユタカハシ</t>
    </rPh>
    <phoneticPr fontId="13"/>
  </si>
  <si>
    <t>301 ぬ 8638</t>
    <phoneticPr fontId="13"/>
  </si>
  <si>
    <t>A280657</t>
    <phoneticPr fontId="13"/>
  </si>
  <si>
    <t>GSE20-2505578</t>
    <phoneticPr fontId="13"/>
  </si>
  <si>
    <t>尾藤 亜世</t>
    <rPh sb="0" eb="2">
      <t>ビトウ</t>
    </rPh>
    <rPh sb="3" eb="4">
      <t>ア</t>
    </rPh>
    <rPh sb="4" eb="5">
      <t>ヨ</t>
    </rPh>
    <phoneticPr fontId="13"/>
  </si>
  <si>
    <t>25/</t>
    <phoneticPr fontId="13"/>
  </si>
  <si>
    <t>ｱｳﾃﾞｨA6</t>
    <phoneticPr fontId="13"/>
  </si>
  <si>
    <t>大阪 333 は 1997</t>
    <rPh sb="0" eb="2">
      <t>オオサカ</t>
    </rPh>
    <phoneticPr fontId="13"/>
  </si>
  <si>
    <t>村井様</t>
    <rPh sb="0" eb="2">
      <t>ムライ</t>
    </rPh>
    <rPh sb="2" eb="3">
      <t>サマ</t>
    </rPh>
    <phoneticPr fontId="13"/>
  </si>
  <si>
    <t>WAUZZZ4G2DN057881</t>
    <phoneticPr fontId="13"/>
  </si>
  <si>
    <t>村井 聡</t>
    <rPh sb="0" eb="2">
      <t>ムライ</t>
    </rPh>
    <rPh sb="3" eb="4">
      <t>サトシ</t>
    </rPh>
    <phoneticPr fontId="13"/>
  </si>
  <si>
    <t>5/26</t>
    <phoneticPr fontId="13"/>
  </si>
  <si>
    <t>ｱﾊﾞﾙﾄ 595 ｺﾝﾍﾟﾃｨﾂｨｵｰﾈ</t>
    <phoneticPr fontId="13"/>
  </si>
  <si>
    <t>8/5/15</t>
    <phoneticPr fontId="13"/>
  </si>
  <si>
    <t>湘南 503 す 165</t>
    <rPh sb="0" eb="2">
      <t>ショウナン</t>
    </rPh>
    <phoneticPr fontId="13"/>
  </si>
  <si>
    <t>501　も　8623</t>
    <phoneticPr fontId="13"/>
  </si>
  <si>
    <t>ZFA3120000JB38541</t>
    <phoneticPr fontId="13"/>
  </si>
  <si>
    <t>5/30</t>
    <phoneticPr fontId="13"/>
  </si>
  <si>
    <t>ｼﾞｬｶﾞｰ Fぺｲｽ Rｽﾎﾟｰﾂ</t>
    <phoneticPr fontId="13"/>
  </si>
  <si>
    <t>野田 399 ま 3394</t>
    <rPh sb="0" eb="2">
      <t>ノダ</t>
    </rPh>
    <phoneticPr fontId="13"/>
  </si>
  <si>
    <t>SADCA2AV7HA071125</t>
    <phoneticPr fontId="13"/>
  </si>
  <si>
    <t>株式会社ﾄｯﾌﾟﾗﾝｸ</t>
    <rPh sb="0" eb="4">
      <t>カブシキガイシャ</t>
    </rPh>
    <phoneticPr fontId="13"/>
  </si>
  <si>
    <t>ｽﾍﾟｰｼｱ 車椅子移動車X</t>
    <rPh sb="7" eb="10">
      <t>クルマイス</t>
    </rPh>
    <rPh sb="10" eb="13">
      <t>イドウシャ</t>
    </rPh>
    <phoneticPr fontId="13"/>
  </si>
  <si>
    <t>名古屋 582 え 228</t>
    <rPh sb="0" eb="3">
      <t>ナゴヤ</t>
    </rPh>
    <phoneticPr fontId="13"/>
  </si>
  <si>
    <t>TAA中部</t>
    <rPh sb="3" eb="5">
      <t>チュウブ</t>
    </rPh>
    <phoneticPr fontId="13"/>
  </si>
  <si>
    <t>水色</t>
    <rPh sb="0" eb="2">
      <t>ミズイロ</t>
    </rPh>
    <phoneticPr fontId="13"/>
  </si>
  <si>
    <t>MK42S-128395</t>
    <phoneticPr fontId="13"/>
  </si>
  <si>
    <t>株式会社ﾄﾖﾀﾚﾝﾀﾘｰｽ愛知</t>
    <rPh sb="0" eb="4">
      <t>カブシキガイシャ</t>
    </rPh>
    <rPh sb="13" eb="15">
      <t>アイチ</t>
    </rPh>
    <phoneticPr fontId="13"/>
  </si>
  <si>
    <t>保証書 取説 ｷｰﾚｽ ﾘﾓｺﾝ(車内)</t>
    <rPh sb="0" eb="3">
      <t>ホショウショ</t>
    </rPh>
    <rPh sb="4" eb="6">
      <t>トリセツ</t>
    </rPh>
    <phoneticPr fontId="13"/>
  </si>
  <si>
    <t>岐阜 302 や 2800</t>
    <rPh sb="0" eb="2">
      <t>ギフ</t>
    </rPh>
    <phoneticPr fontId="13"/>
  </si>
  <si>
    <t>WAUZZZ8X0FB004708</t>
    <phoneticPr fontId="13"/>
  </si>
  <si>
    <t>山本 徹</t>
    <rPh sb="0" eb="2">
      <t>ヤマモト</t>
    </rPh>
    <rPh sb="3" eb="4">
      <t>トオル</t>
    </rPh>
    <phoneticPr fontId="13"/>
  </si>
  <si>
    <t>ｷｰﾚｽ×2　ﾌﾟﾗｷｰ×1（車内）保証書 取説</t>
    <rPh sb="15" eb="17">
      <t>シャナイ</t>
    </rPh>
    <rPh sb="18" eb="21">
      <t>ホショウショ</t>
    </rPh>
    <rPh sb="22" eb="24">
      <t>トリセツ</t>
    </rPh>
    <phoneticPr fontId="13"/>
  </si>
  <si>
    <t>2/5</t>
    <phoneticPr fontId="13"/>
  </si>
  <si>
    <t>ｼﾄﾛｴﾝ ｸﾞﾗﾝﾄﾞC4ｽﾍﾟｰｽﾂｱﾗｰ</t>
    <phoneticPr fontId="13"/>
  </si>
  <si>
    <t>千葉 326 せ 2792</t>
    <rPh sb="0" eb="2">
      <t>チバ</t>
    </rPh>
    <phoneticPr fontId="13"/>
  </si>
  <si>
    <t>VF73AEHYRKJ797510</t>
    <phoneticPr fontId="13"/>
  </si>
  <si>
    <t>ﾐﾗｺｺｱ　ｺｺｱﾌﾟﾗｽXｽﾍﾟｼｬﾙｺｰﾃﾞ</t>
    <phoneticPr fontId="13"/>
  </si>
  <si>
    <t>9/3/12</t>
    <phoneticPr fontId="13"/>
  </si>
  <si>
    <t>A282373</t>
    <phoneticPr fontId="13"/>
  </si>
  <si>
    <t>ｱｲﾎﾞﾘｰ</t>
    <phoneticPr fontId="13"/>
  </si>
  <si>
    <t>ﾚﾝｼﾞﾛｰﾊﾞｰ  ｽﾎﾟｰﾂ</t>
    <phoneticPr fontId="13"/>
  </si>
  <si>
    <t>9/3/26</t>
    <phoneticPr fontId="13"/>
  </si>
  <si>
    <t>なにわ 31K み 88</t>
    <phoneticPr fontId="13"/>
  </si>
  <si>
    <t>301 ぬ 9396</t>
    <phoneticPr fontId="13"/>
  </si>
  <si>
    <t>中西様</t>
    <rPh sb="0" eb="2">
      <t>ナカニシ</t>
    </rPh>
    <rPh sb="2" eb="3">
      <t>サマ</t>
    </rPh>
    <phoneticPr fontId="13"/>
  </si>
  <si>
    <t>SALWA2VE4GA572712</t>
    <phoneticPr fontId="13"/>
  </si>
  <si>
    <t>中西 仁</t>
    <rPh sb="0" eb="2">
      <t>ナカニシ</t>
    </rPh>
    <rPh sb="3" eb="4">
      <t>ジン</t>
    </rPh>
    <phoneticPr fontId="13"/>
  </si>
  <si>
    <t>保証書 取説</t>
    <rPh sb="4" eb="6">
      <t>トリセツ</t>
    </rPh>
    <phoneticPr fontId="13"/>
  </si>
  <si>
    <t>BMW225　XEｱｸﾃｨﾌﾞT　Mｽﾎﾟｰﾂ</t>
    <phoneticPr fontId="13"/>
  </si>
  <si>
    <t>8/1/30</t>
    <phoneticPr fontId="13"/>
  </si>
  <si>
    <t>京都　302　む　203</t>
    <rPh sb="0" eb="2">
      <t>キョウト</t>
    </rPh>
    <phoneticPr fontId="13"/>
  </si>
  <si>
    <t>保証書　ｽﾍﾟｱｷｰ</t>
    <rPh sb="0" eb="3">
      <t>ホショウショ</t>
    </rPh>
    <phoneticPr fontId="13"/>
  </si>
  <si>
    <t>整備記録こちらで訂正済　ﾃﾞｨｰﾗｰ確認OK</t>
    <phoneticPr fontId="13"/>
  </si>
  <si>
    <t>WBA2C72010V365308</t>
    <phoneticPr fontId="13"/>
  </si>
  <si>
    <t>株式会社服部ﾓｰﾀｰ商会</t>
    <rPh sb="4" eb="6">
      <t>ハットリ</t>
    </rPh>
    <rPh sb="10" eb="12">
      <t>ショウカイ</t>
    </rPh>
    <phoneticPr fontId="13"/>
  </si>
  <si>
    <t>ｱﾊﾞﾙﾄ595　ｺﾝﾍﾟﾃｨﾂｨｵｰﾈ</t>
    <phoneticPr fontId="13"/>
  </si>
  <si>
    <t>7/10/9</t>
    <phoneticPr fontId="13"/>
  </si>
  <si>
    <t>なにわ　530　は　5567</t>
    <phoneticPr fontId="13"/>
  </si>
  <si>
    <t>保証書　取説　ｽﾍﾟｱｷｰ</t>
    <rPh sb="0" eb="3">
      <t>ホショウショ</t>
    </rPh>
    <rPh sb="4" eb="6">
      <t>トリセツ</t>
    </rPh>
    <phoneticPr fontId="13"/>
  </si>
  <si>
    <t>ZFA3120000J984188</t>
    <phoneticPr fontId="13"/>
  </si>
  <si>
    <t>ﾏﾂﾀﾞｵｰﾄﾘｰｽ株式会社</t>
    <rPh sb="10" eb="14">
      <t>カブシキカイシャ</t>
    </rPh>
    <phoneticPr fontId="13"/>
  </si>
  <si>
    <t>保証書 取説　ｷｰﾚｽ</t>
    <rPh sb="4" eb="6">
      <t>トリセツ</t>
    </rPh>
    <phoneticPr fontId="13"/>
  </si>
  <si>
    <t>4/4</t>
    <phoneticPr fontId="13"/>
  </si>
  <si>
    <t>滋賀　599　ち　9375</t>
    <rPh sb="0" eb="2">
      <t>シガ</t>
    </rPh>
    <phoneticPr fontId="13"/>
  </si>
  <si>
    <t>ZFABF13H4NJF98152</t>
    <phoneticPr fontId="13"/>
  </si>
  <si>
    <t>株式会社ﾈｸｽﾃｰｼﾞ</t>
    <rPh sb="0" eb="4">
      <t>カブシキカイシャ</t>
    </rPh>
    <phoneticPr fontId="13"/>
  </si>
  <si>
    <t>25/1</t>
    <phoneticPr fontId="13"/>
  </si>
  <si>
    <t>N-BOX+ｶｽﾀﾑGﾀｰﾎﾞﾊﾟｯｹｰｼﾞ</t>
    <phoneticPr fontId="13"/>
  </si>
  <si>
    <t>8/1/24</t>
    <phoneticPr fontId="13"/>
  </si>
  <si>
    <t>愛媛 586 む 7</t>
    <rPh sb="0" eb="2">
      <t>エヒメ</t>
    </rPh>
    <phoneticPr fontId="13"/>
  </si>
  <si>
    <t>ｽﾛｰﾌﾟ付きなだけ　福祉車両×確認済</t>
    <rPh sb="5" eb="6">
      <t>ツ</t>
    </rPh>
    <rPh sb="11" eb="15">
      <t>フクシシャリョウ</t>
    </rPh>
    <rPh sb="16" eb="18">
      <t>カクニン</t>
    </rPh>
    <rPh sb="18" eb="19">
      <t>スミ</t>
    </rPh>
    <phoneticPr fontId="13"/>
  </si>
  <si>
    <t>582 あ3938</t>
    <phoneticPr fontId="13"/>
  </si>
  <si>
    <t>JF1-4100019</t>
    <phoneticPr fontId="13"/>
  </si>
  <si>
    <t>淺田　俊明</t>
    <rPh sb="0" eb="2">
      <t>アサダ</t>
    </rPh>
    <rPh sb="3" eb="4">
      <t>シュン</t>
    </rPh>
    <rPh sb="4" eb="5">
      <t>アキラ</t>
    </rPh>
    <phoneticPr fontId="13"/>
  </si>
  <si>
    <t>保証書　取説　ﾅﾋﾞ取説　地図SD　B-CAS</t>
    <rPh sb="0" eb="3">
      <t>ホショウショ</t>
    </rPh>
    <rPh sb="4" eb="6">
      <t>トリセツ</t>
    </rPh>
    <rPh sb="10" eb="12">
      <t>トリセツ</t>
    </rPh>
    <rPh sb="13" eb="15">
      <t>チズ</t>
    </rPh>
    <phoneticPr fontId="13"/>
  </si>
  <si>
    <t>ﾅﾝﾊﾞｰ持ち出し</t>
    <rPh sb="5" eb="6">
      <t>モ</t>
    </rPh>
    <rPh sb="7" eb="8">
      <t>ダ</t>
    </rPh>
    <phoneticPr fontId="13"/>
  </si>
  <si>
    <t>N-BOX G Lﾊﾟｯｹｰｼﾞ</t>
    <phoneticPr fontId="13"/>
  </si>
  <si>
    <t>9/5/29</t>
    <phoneticPr fontId="13"/>
  </si>
  <si>
    <t>愛媛 583 さ 2630</t>
    <rPh sb="0" eb="2">
      <t>エヒメ</t>
    </rPh>
    <phoneticPr fontId="13"/>
  </si>
  <si>
    <t>582 あ 3936</t>
    <phoneticPr fontId="13"/>
  </si>
  <si>
    <t>ﾎﾝﾀﾞ関西(まとめ)</t>
    <rPh sb="5" eb="6">
      <t>（</t>
    </rPh>
    <phoneticPr fontId="13"/>
  </si>
  <si>
    <t>JF1-1831645</t>
    <phoneticPr fontId="13"/>
  </si>
  <si>
    <t>株式会社ﾎﾝﾀﾞﾓﾋﾞﾘﾃｨ中四国</t>
    <rPh sb="0" eb="4">
      <t>カブシキカイシャ</t>
    </rPh>
    <rPh sb="14" eb="17">
      <t>ナカシコクカブシキカイシャ</t>
    </rPh>
    <phoneticPr fontId="13"/>
  </si>
  <si>
    <t>ｱﾙﾄﾗﾊﾟﾝｼｮｺﾗ G</t>
    <phoneticPr fontId="13"/>
  </si>
  <si>
    <t>名古屋 583 こ 2410</t>
    <rPh sb="0" eb="3">
      <t>ナゴヤ</t>
    </rPh>
    <phoneticPr fontId="13"/>
  </si>
  <si>
    <t>ﾋﾟﾝｸ</t>
    <phoneticPr fontId="13"/>
  </si>
  <si>
    <t>HE22S-840532</t>
    <phoneticPr fontId="13"/>
  </si>
  <si>
    <t>ﾄﾖﾀﾓﾋﾞﾘﾃｨ東名古屋株式会社</t>
    <rPh sb="9" eb="12">
      <t>ナゴヤ</t>
    </rPh>
    <rPh sb="12" eb="16">
      <t>カブシキガイシャ</t>
    </rPh>
    <phoneticPr fontId="13"/>
  </si>
  <si>
    <t>6/19</t>
    <phoneticPr fontId="13"/>
  </si>
  <si>
    <t>保証書 取説 (車内)</t>
    <rPh sb="0" eb="3">
      <t>ホショウショ</t>
    </rPh>
    <rPh sb="4" eb="6">
      <t>トリセツ</t>
    </rPh>
    <phoneticPr fontId="13"/>
  </si>
  <si>
    <t>BMWﾐﾆｸｰﾊﾟｰSD ｸﾛｽｵｰﾊﾞｰﾏﾘﾝ</t>
    <phoneticPr fontId="13"/>
  </si>
  <si>
    <t>8/9/6</t>
    <phoneticPr fontId="13"/>
  </si>
  <si>
    <t>杉並 310 ち 3121</t>
    <rPh sb="0" eb="2">
      <t>スギナミ</t>
    </rPh>
    <phoneticPr fontId="13"/>
  </si>
  <si>
    <t>301　ぬ　8022</t>
    <phoneticPr fontId="13"/>
  </si>
  <si>
    <t>WMWZB72020WT67287</t>
    <phoneticPr fontId="13"/>
  </si>
  <si>
    <t>佐藤　和穂</t>
    <rPh sb="0" eb="2">
      <t>サトウ</t>
    </rPh>
    <rPh sb="3" eb="5">
      <t>カズホ</t>
    </rPh>
    <phoneticPr fontId="13"/>
  </si>
  <si>
    <t>6/22</t>
    <phoneticPr fontId="13"/>
  </si>
  <si>
    <t>保証書　取説　ﾜﾝｵｰﾅｰ</t>
    <rPh sb="0" eb="3">
      <t>ホショウショ</t>
    </rPh>
    <rPh sb="4" eb="6">
      <t>トリセツ</t>
    </rPh>
    <phoneticPr fontId="13"/>
  </si>
  <si>
    <t>7/7/30</t>
    <phoneticPr fontId="13"/>
  </si>
  <si>
    <t>なにわ 342 ゆ 919</t>
    <phoneticPr fontId="13"/>
  </si>
  <si>
    <t>鈴木様</t>
    <rPh sb="0" eb="2">
      <t>スズキ</t>
    </rPh>
    <rPh sb="2" eb="3">
      <t>サマ</t>
    </rPh>
    <phoneticPr fontId="13"/>
  </si>
  <si>
    <t>WBSJF02040GA03342</t>
    <phoneticPr fontId="13"/>
  </si>
  <si>
    <t>保証書 取説 ｷｰﾚｽ ﾒｶｷｰ ｴﾝﾌﾞﾚﾑ</t>
    <rPh sb="0" eb="3">
      <t>ホショウショ</t>
    </rPh>
    <rPh sb="4" eb="6">
      <t>トリセツ</t>
    </rPh>
    <phoneticPr fontId="13"/>
  </si>
  <si>
    <t>8/1/27</t>
    <phoneticPr fontId="13"/>
  </si>
  <si>
    <t>大阪 34L ほ 55</t>
    <rPh sb="0" eb="2">
      <t>オオサカ</t>
    </rPh>
    <phoneticPr fontId="13"/>
  </si>
  <si>
    <t>301 ぬ 9398</t>
    <phoneticPr fontId="13"/>
  </si>
  <si>
    <t>富田様</t>
    <rPh sb="0" eb="2">
      <t>トミタ</t>
    </rPh>
    <rPh sb="2" eb="3">
      <t>サマ</t>
    </rPh>
    <phoneticPr fontId="13"/>
  </si>
  <si>
    <t>WMWXR920602N69054</t>
    <phoneticPr fontId="13"/>
  </si>
  <si>
    <t>富田 高広</t>
    <rPh sb="0" eb="2">
      <t>トミタ</t>
    </rPh>
    <rPh sb="3" eb="5">
      <t>タカヒロ</t>
    </rPh>
    <phoneticPr fontId="13"/>
  </si>
  <si>
    <t>6/14</t>
    <phoneticPr fontId="13"/>
  </si>
  <si>
    <t>ｼﾞｬｶﾞｰXE　XEﾎﾟｰﾄﾌｫﾘｵ</t>
    <phoneticPr fontId="13"/>
  </si>
  <si>
    <t>世田谷 399 せ 9832</t>
    <rPh sb="0" eb="3">
      <t>セタガヤ</t>
    </rPh>
    <phoneticPr fontId="13"/>
  </si>
  <si>
    <t>SAJAB4AGXGA937543</t>
    <phoneticPr fontId="13"/>
  </si>
  <si>
    <t>株式会社ﾀｳ</t>
    <rPh sb="0" eb="4">
      <t>カブシキガイシャ</t>
    </rPh>
    <phoneticPr fontId="13"/>
  </si>
  <si>
    <t>所有者株式会社ﾀｳの為 売 注意!!</t>
    <rPh sb="0" eb="3">
      <t>ショユウシャ</t>
    </rPh>
    <rPh sb="3" eb="7">
      <t>カブシキガイシャ</t>
    </rPh>
    <rPh sb="10" eb="11">
      <t>タメ</t>
    </rPh>
    <rPh sb="12" eb="13">
      <t>ウ</t>
    </rPh>
    <rPh sb="14" eb="16">
      <t>チュウイ</t>
    </rPh>
    <phoneticPr fontId="13"/>
  </si>
  <si>
    <t>ﾊｽﾗｰ G ﾃﾞｭｱﾙｶﾒﾗﾌﾞﾚｰｷｻﾎﾟｰﾄ</t>
    <phoneticPr fontId="13"/>
  </si>
  <si>
    <t>千葉　788　ろ　8052</t>
    <rPh sb="0" eb="2">
      <t>チバ</t>
    </rPh>
    <phoneticPr fontId="13"/>
  </si>
  <si>
    <t xml:space="preserve">取説 </t>
    <rPh sb="0" eb="2">
      <t>トリセツ</t>
    </rPh>
    <phoneticPr fontId="13"/>
  </si>
  <si>
    <t>MR41S-350039</t>
    <phoneticPr fontId="13"/>
  </si>
  <si>
    <t>株式会社ｽｽﾞｷ自販千葉</t>
    <rPh sb="0" eb="4">
      <t>カブシキカイシャ</t>
    </rPh>
    <rPh sb="8" eb="10">
      <t>ジハン</t>
    </rPh>
    <rPh sb="10" eb="12">
      <t>チバ</t>
    </rPh>
    <phoneticPr fontId="13"/>
  </si>
  <si>
    <t>6/26</t>
    <phoneticPr fontId="13"/>
  </si>
  <si>
    <t>ｷｰﾚｽ　地図SD（車内）整備手帳　取説</t>
    <rPh sb="5" eb="7">
      <t>チズ</t>
    </rPh>
    <rPh sb="10" eb="12">
      <t>シャナイ</t>
    </rPh>
    <rPh sb="13" eb="17">
      <t>セイビテチョウ</t>
    </rPh>
    <rPh sb="18" eb="20">
      <t>トリセツ</t>
    </rPh>
    <phoneticPr fontId="13"/>
  </si>
  <si>
    <t>ｼﾞﾑﾆｰ ﾗﾝﾄﾞﾍﾞﾝｼｬｰ</t>
    <phoneticPr fontId="13"/>
  </si>
  <si>
    <t>8/6/30</t>
    <phoneticPr fontId="13"/>
  </si>
  <si>
    <t>和泉　582　あ　1981</t>
    <rPh sb="0" eb="2">
      <t>イズミ</t>
    </rPh>
    <phoneticPr fontId="13"/>
  </si>
  <si>
    <t>ﾅﾝﾊﾞｰ</t>
    <phoneticPr fontId="13"/>
  </si>
  <si>
    <t>582 あ 3941</t>
    <phoneticPr fontId="13"/>
  </si>
  <si>
    <t>JB23W-741395</t>
    <phoneticPr fontId="13"/>
  </si>
  <si>
    <t>株式会社Garnet Star</t>
    <rPh sb="0" eb="4">
      <t>カブシキカイシャ</t>
    </rPh>
    <phoneticPr fontId="13"/>
  </si>
  <si>
    <t>7/19からﾅﾝﾊﾞｰ持ち出し</t>
    <phoneticPr fontId="13"/>
  </si>
  <si>
    <t>ﾋﾞｰｸﾞﾙﾌｧﾝ　EVﾄｩｸﾄｩｸ</t>
    <phoneticPr fontId="13"/>
  </si>
  <si>
    <t>無</t>
    <rPh sb="0" eb="1">
      <t>ナ</t>
    </rPh>
    <phoneticPr fontId="13"/>
  </si>
  <si>
    <t>2 京都 ろ 4430</t>
    <rPh sb="2" eb="4">
      <t>キョウト</t>
    </rPh>
    <phoneticPr fontId="13"/>
  </si>
  <si>
    <t xml:space="preserve"> 1 姫路 そ 9957</t>
    <rPh sb="3" eb="5">
      <t>ヒメジ</t>
    </rPh>
    <phoneticPr fontId="13"/>
  </si>
  <si>
    <t>A284860</t>
    <phoneticPr fontId="13"/>
  </si>
  <si>
    <t>L3ZFJC2AXNY003185</t>
    <phoneticPr fontId="13"/>
  </si>
  <si>
    <t>山口 雅優</t>
    <rPh sb="0" eb="2">
      <t>ヤマグチ</t>
    </rPh>
    <rPh sb="3" eb="4">
      <t>マサ</t>
    </rPh>
    <rPh sb="4" eb="5">
      <t>ユウ</t>
    </rPh>
    <phoneticPr fontId="13"/>
  </si>
  <si>
    <t>ｱﾙﾄﾗﾊﾟﾝ L</t>
    <phoneticPr fontId="13"/>
  </si>
  <si>
    <t>7/9/10</t>
    <phoneticPr fontId="13"/>
  </si>
  <si>
    <t>岡山　587　て　106</t>
    <rPh sb="0" eb="2">
      <t>オカヤマ</t>
    </rPh>
    <phoneticPr fontId="13"/>
  </si>
  <si>
    <t>HE33S-256801</t>
    <phoneticPr fontId="13"/>
  </si>
  <si>
    <t>株式会社ｳｫｯｼｭ</t>
    <rPh sb="0" eb="4">
      <t>カブシキカイシャ</t>
    </rPh>
    <phoneticPr fontId="13"/>
  </si>
  <si>
    <t>保証書（車内）記録紙１枚　取説</t>
    <rPh sb="0" eb="3">
      <t>ホショウショ</t>
    </rPh>
    <rPh sb="4" eb="6">
      <t>シャナイ</t>
    </rPh>
    <rPh sb="7" eb="9">
      <t>キロク</t>
    </rPh>
    <rPh sb="9" eb="10">
      <t>カミ</t>
    </rPh>
    <rPh sb="11" eb="12">
      <t>マイ</t>
    </rPh>
    <rPh sb="13" eb="15">
      <t>トリセツ</t>
    </rPh>
    <phoneticPr fontId="13"/>
  </si>
  <si>
    <t>18/5</t>
    <phoneticPr fontId="13"/>
  </si>
  <si>
    <t>ﾐﾗｼﾞｰﾉ  ﾐﾆﾗｲﾄ</t>
    <phoneticPr fontId="13"/>
  </si>
  <si>
    <t>9/5/25</t>
    <phoneticPr fontId="13"/>
  </si>
  <si>
    <t>岡山 581 ゆ 5611</t>
    <rPh sb="0" eb="2">
      <t>オカヤマ</t>
    </rPh>
    <phoneticPr fontId="13"/>
  </si>
  <si>
    <t>582 あ 3950</t>
    <phoneticPr fontId="13"/>
  </si>
  <si>
    <t>L650S-0040028</t>
    <phoneticPr fontId="13"/>
  </si>
  <si>
    <t>池上 令</t>
    <rPh sb="0" eb="2">
      <t>イケガミ</t>
    </rPh>
    <rPh sb="3" eb="4">
      <t>レイ</t>
    </rPh>
    <phoneticPr fontId="13"/>
  </si>
  <si>
    <t>1/8</t>
    <phoneticPr fontId="13"/>
  </si>
  <si>
    <t>BMWﾐﾆ　JCW</t>
    <phoneticPr fontId="13"/>
  </si>
  <si>
    <t>8/5</t>
    <phoneticPr fontId="13"/>
  </si>
  <si>
    <t>姫路　331　て　5580</t>
    <rPh sb="0" eb="2">
      <t>ヒメジ</t>
    </rPh>
    <phoneticPr fontId="13"/>
  </si>
  <si>
    <t>保証書　取説　Sｷｰ</t>
    <rPh sb="0" eb="3">
      <t>ホショウショ</t>
    </rPh>
    <rPh sb="4" eb="6">
      <t>トリセツ</t>
    </rPh>
    <phoneticPr fontId="13"/>
  </si>
  <si>
    <t>331 て 5580</t>
    <phoneticPr fontId="13"/>
  </si>
  <si>
    <t>WMWXR920602L07227</t>
    <phoneticPr fontId="13"/>
  </si>
  <si>
    <t>家根 里佳</t>
    <rPh sb="0" eb="2">
      <t>イエネ</t>
    </rPh>
    <rPh sb="3" eb="5">
      <t>リカ</t>
    </rPh>
    <phoneticPr fontId="13"/>
  </si>
  <si>
    <t>6/29</t>
    <phoneticPr fontId="13"/>
  </si>
  <si>
    <t>ﾗﾝﾎﾞﾙｷﾞｰﾆ　ｳﾗｶﾝ</t>
    <phoneticPr fontId="13"/>
  </si>
  <si>
    <t>9/6</t>
    <phoneticPr fontId="13"/>
  </si>
  <si>
    <t>姫路　331　て　1929</t>
    <rPh sb="0" eb="2">
      <t>ヒメジ</t>
    </rPh>
    <phoneticPr fontId="13"/>
  </si>
  <si>
    <t>331 て 1929</t>
    <phoneticPr fontId="13"/>
  </si>
  <si>
    <t>黒川様</t>
    <rPh sb="0" eb="3">
      <t>クロカワサマ</t>
    </rPh>
    <phoneticPr fontId="13"/>
  </si>
  <si>
    <t>ZHWEC2ZF4JLA09388</t>
    <phoneticPr fontId="13"/>
  </si>
  <si>
    <t>株式会社ｵﾘｴﾝﾄｺｰﾎﾟﾚｰｼｮﾝ</t>
    <rPh sb="0" eb="4">
      <t>カブシキカイシャ</t>
    </rPh>
    <phoneticPr fontId="13"/>
  </si>
  <si>
    <t>14/2</t>
    <phoneticPr fontId="13"/>
  </si>
  <si>
    <t>ﾐﾗｼﾞｰﾉ　ﾐﾆﾗｲﾄｽﾍﾟｼｬﾙﾀｰﾎﾞ</t>
    <phoneticPr fontId="13"/>
  </si>
  <si>
    <t>7/8/30</t>
    <phoneticPr fontId="13"/>
  </si>
  <si>
    <t>袖ヶ浦 581 え 8884</t>
    <rPh sb="0" eb="3">
      <t>ソデガウラ</t>
    </rPh>
    <phoneticPr fontId="13"/>
  </si>
  <si>
    <t>582 あ 3564</t>
    <phoneticPr fontId="13"/>
  </si>
  <si>
    <t>A285320</t>
    <phoneticPr fontId="13"/>
  </si>
  <si>
    <t>L700S-0276568</t>
    <phoneticPr fontId="13"/>
  </si>
  <si>
    <t>中川 海渡</t>
    <rPh sb="0" eb="2">
      <t>ナカガワ</t>
    </rPh>
    <rPh sb="3" eb="4">
      <t>ウミ</t>
    </rPh>
    <rPh sb="4" eb="5">
      <t>ワタル</t>
    </rPh>
    <phoneticPr fontId="13"/>
  </si>
  <si>
    <t>ﾊｲｾﾞｯﾄT　冷凍</t>
    <rPh sb="8" eb="10">
      <t>レイトウ</t>
    </rPh>
    <phoneticPr fontId="13"/>
  </si>
  <si>
    <t>神戸 481 り 3065</t>
    <rPh sb="0" eb="2">
      <t>コウベ</t>
    </rPh>
    <phoneticPr fontId="13"/>
  </si>
  <si>
    <t>S500P-0091044</t>
    <phoneticPr fontId="13"/>
  </si>
  <si>
    <t>ﾔﾏﾄ運輸株式会社</t>
    <rPh sb="3" eb="9">
      <t>ウンユカブシキガイシャ</t>
    </rPh>
    <phoneticPr fontId="13"/>
  </si>
  <si>
    <t>沼津 399 ち 2995</t>
    <rPh sb="0" eb="2">
      <t>ヌマヅ</t>
    </rPh>
    <phoneticPr fontId="13"/>
  </si>
  <si>
    <t>VF7SXHNZTJT546523</t>
    <phoneticPr fontId="13"/>
  </si>
  <si>
    <t>株式会社ｴｰｴﾙｼｰ</t>
    <rPh sb="0" eb="4">
      <t>カブシキガイシャ</t>
    </rPh>
    <phoneticPr fontId="13"/>
  </si>
  <si>
    <t>ﾜｺﾞﾝRｽﾃｨﾝｸﾞﾚｰ 4WD</t>
    <phoneticPr fontId="13"/>
  </si>
  <si>
    <t>岐阜 585 ろ 9630</t>
    <rPh sb="0" eb="2">
      <t>ギフ</t>
    </rPh>
    <phoneticPr fontId="13"/>
  </si>
  <si>
    <t>ﾐﾗｲﾌﾞ愛知(ｱｲｵｰｸ)</t>
    <rPh sb="5" eb="7">
      <t>アイチ</t>
    </rPh>
    <phoneticPr fontId="13"/>
  </si>
  <si>
    <t>MH23S-594324</t>
    <phoneticPr fontId="13"/>
  </si>
  <si>
    <t>岐阜ﾄﾖﾍﾟｯﾄ株式会社</t>
    <rPh sb="0" eb="2">
      <t>ギフ</t>
    </rPh>
    <rPh sb="8" eb="12">
      <t>カブシキガイシャ</t>
    </rPh>
    <phoneticPr fontId="13"/>
  </si>
  <si>
    <t>ｱｳﾃﾞｨA6　ｵｰﾙﾛｰﾄﾞｸﾜﾄﾛﾍﾞｰｽｸﾞﾚｰﾄﾞ</t>
    <phoneticPr fontId="13"/>
  </si>
  <si>
    <t>筑豊 333 せ 26</t>
    <rPh sb="0" eb="2">
      <t>チクホウ</t>
    </rPh>
    <phoneticPr fontId="13"/>
  </si>
  <si>
    <t>WAUZZZ4G1EN168505</t>
    <phoneticPr fontId="13"/>
  </si>
  <si>
    <t>鶴本 修</t>
    <rPh sb="0" eb="2">
      <t>ツルモト</t>
    </rPh>
    <rPh sb="3" eb="4">
      <t>オサム</t>
    </rPh>
    <phoneticPr fontId="13"/>
  </si>
  <si>
    <t>ｼﾞｬｶﾞｰ XF ｽﾎﾟｰﾂﾌﾟﾚｽﾃｰｼﾞ</t>
    <phoneticPr fontId="13"/>
  </si>
  <si>
    <t>江東 310 す 3928</t>
    <rPh sb="0" eb="2">
      <t>エトウ</t>
    </rPh>
    <phoneticPr fontId="13"/>
  </si>
  <si>
    <t>301 ね 423</t>
    <phoneticPr fontId="13"/>
  </si>
  <si>
    <t>SAJBB2AX1JCY67791</t>
    <phoneticPr fontId="13"/>
  </si>
  <si>
    <t>大谷 潤</t>
    <rPh sb="0" eb="2">
      <t>オオタニ</t>
    </rPh>
    <rPh sb="3" eb="4">
      <t>ジュン</t>
    </rPh>
    <phoneticPr fontId="13"/>
  </si>
  <si>
    <t>8/3/21</t>
    <phoneticPr fontId="13"/>
  </si>
  <si>
    <t>愛媛 332 た 1812</t>
    <rPh sb="0" eb="2">
      <t>エヒメ</t>
    </rPh>
    <phoneticPr fontId="13"/>
  </si>
  <si>
    <t>SAJBB4AV9HCY34848</t>
    <phoneticPr fontId="13"/>
  </si>
  <si>
    <t>保証書 取説 ｷｰﾚｽ ﾒｶｷｰ</t>
    <rPh sb="0" eb="3">
      <t>ホショウショ</t>
    </rPh>
    <rPh sb="4" eb="6">
      <t>トリセツ</t>
    </rPh>
    <phoneticPr fontId="13"/>
  </si>
  <si>
    <t>ﾉｱ Si</t>
    <phoneticPr fontId="13"/>
  </si>
  <si>
    <t>8/5/27</t>
    <phoneticPr fontId="13"/>
  </si>
  <si>
    <t>群馬 330 む 3819</t>
    <rPh sb="0" eb="2">
      <t>グンマ</t>
    </rPh>
    <phoneticPr fontId="13"/>
  </si>
  <si>
    <t>保証書後送ｾﾙｶ確認中</t>
    <rPh sb="0" eb="3">
      <t>ホショウショ</t>
    </rPh>
    <rPh sb="3" eb="5">
      <t>ゴソウ</t>
    </rPh>
    <rPh sb="8" eb="10">
      <t>カクニン</t>
    </rPh>
    <rPh sb="10" eb="11">
      <t>チュウ</t>
    </rPh>
    <phoneticPr fontId="13"/>
  </si>
  <si>
    <t>A287529</t>
    <phoneticPr fontId="13"/>
  </si>
  <si>
    <t>ZRR80-0671892</t>
    <phoneticPr fontId="13"/>
  </si>
  <si>
    <t>ﾄﾖﾀｶﾛｰﾗ群馬株式会社</t>
    <rPh sb="7" eb="9">
      <t>グンマ</t>
    </rPh>
    <rPh sb="9" eb="13">
      <t>カブシキガイシャ</t>
    </rPh>
    <phoneticPr fontId="13"/>
  </si>
  <si>
    <t>直送</t>
    <rPh sb="0" eb="2">
      <t>チョクソウ</t>
    </rPh>
    <phoneticPr fontId="13"/>
  </si>
  <si>
    <t xml:space="preserve">ﾏｲｸﾛ地図SD(車内)整備手帳 取説 </t>
    <rPh sb="12" eb="14">
      <t>セイビ</t>
    </rPh>
    <rPh sb="14" eb="16">
      <t>テチョウ</t>
    </rPh>
    <rPh sb="17" eb="19">
      <t>トリセツ</t>
    </rPh>
    <phoneticPr fontId="13"/>
  </si>
  <si>
    <t>1265回37410売ｷｬﾝｾﾙ ｽﾍﾟｱｷｰ返送なし</t>
    <rPh sb="4" eb="5">
      <t>カイ</t>
    </rPh>
    <rPh sb="10" eb="11">
      <t>ウ</t>
    </rPh>
    <rPh sb="23" eb="25">
      <t>ヘンソウ</t>
    </rPh>
    <phoneticPr fontId="13"/>
  </si>
  <si>
    <t>ﾊｲｾﾞｯﾄｶｰｺﾞ SA3</t>
    <phoneticPr fontId="13"/>
  </si>
  <si>
    <t>なにわ 687 ろ 2835</t>
    <phoneticPr fontId="13"/>
  </si>
  <si>
    <t>S321V-0441933</t>
    <phoneticPr fontId="13"/>
  </si>
  <si>
    <t>株式会社ｲﾁﾈﾝ</t>
    <rPh sb="0" eb="4">
      <t>カブシキガイシャ</t>
    </rPh>
    <phoneticPr fontId="13"/>
  </si>
  <si>
    <t>7/17</t>
    <phoneticPr fontId="13"/>
  </si>
  <si>
    <t>保証書なしｸﾚｰﾑ済 値引き22.000</t>
    <rPh sb="0" eb="3">
      <t>ホショウショ</t>
    </rPh>
    <rPh sb="9" eb="10">
      <t>ズ</t>
    </rPh>
    <rPh sb="11" eb="13">
      <t>ネビ</t>
    </rPh>
    <phoneticPr fontId="13"/>
  </si>
  <si>
    <t>ﾙﾉｰ ﾙｰﾃｼｱ ｲﾝﾃﾝｽ ﾃｯｸﾊﾟｯｸ</t>
    <phoneticPr fontId="13"/>
  </si>
  <si>
    <t>8/6/3</t>
    <phoneticPr fontId="13"/>
  </si>
  <si>
    <t>神戸 358 ふ 725</t>
    <rPh sb="0" eb="2">
      <t>コウベ</t>
    </rPh>
    <phoneticPr fontId="13"/>
  </si>
  <si>
    <t xml:space="preserve">         </t>
    <phoneticPr fontId="13"/>
  </si>
  <si>
    <t>301 ぬ 9782</t>
    <phoneticPr fontId="13"/>
  </si>
  <si>
    <t>VF1RJA001M0821154</t>
    <phoneticPr fontId="13"/>
  </si>
  <si>
    <t>7/22</t>
    <phoneticPr fontId="13"/>
  </si>
  <si>
    <t>保証書 取説 ｽﾍﾟｱｷｰ ﾜﾝｵｰﾅｰ 車庫出し</t>
    <rPh sb="0" eb="3">
      <t>ホショウショ</t>
    </rPh>
    <rPh sb="4" eb="6">
      <t>トリセツ</t>
    </rPh>
    <rPh sb="21" eb="24">
      <t>シャコダ</t>
    </rPh>
    <phoneticPr fontId="13"/>
  </si>
  <si>
    <t>ﾊｲｳｪｲｽﾀｰX Vｾﾚｸｼｮﾝ</t>
    <phoneticPr fontId="13"/>
  </si>
  <si>
    <t>8/5/11</t>
    <phoneticPr fontId="13"/>
  </si>
  <si>
    <t>沼津 580 て 2403</t>
    <rPh sb="0" eb="2">
      <t>ヌマヅ</t>
    </rPh>
    <phoneticPr fontId="13"/>
  </si>
  <si>
    <t>A288237</t>
    <phoneticPr fontId="13"/>
  </si>
  <si>
    <t>B21A-0336200</t>
    <phoneticPr fontId="13"/>
  </si>
  <si>
    <t>久野 明日香</t>
    <rPh sb="0" eb="2">
      <t>クノ</t>
    </rPh>
    <rPh sb="3" eb="6">
      <t>アスカ</t>
    </rPh>
    <phoneticPr fontId="13"/>
  </si>
  <si>
    <t>7/24</t>
    <phoneticPr fontId="13"/>
  </si>
  <si>
    <t>29/</t>
    <phoneticPr fontId="13"/>
  </si>
  <si>
    <t>倉敷 300 ぬ 3858</t>
    <rPh sb="0" eb="2">
      <t>クラシキ</t>
    </rPh>
    <phoneticPr fontId="13"/>
  </si>
  <si>
    <t>SALCA2AG4HH650568</t>
    <phoneticPr fontId="13"/>
  </si>
  <si>
    <t>有限会社ｶﾞﾚｰｼﾞｲﾝﾍﾟﾘｱﾙ</t>
    <rPh sb="0" eb="4">
      <t>ユウゲンカイシャ</t>
    </rPh>
    <phoneticPr fontId="13"/>
  </si>
  <si>
    <t xml:space="preserve">ｱｳﾃﾞｨ TTS ｸｰﾍﾟ </t>
    <phoneticPr fontId="13"/>
  </si>
  <si>
    <t>9/2/27</t>
    <phoneticPr fontId="13"/>
  </si>
  <si>
    <t>品川 330 る 8666</t>
    <rPh sb="0" eb="2">
      <t>シナガワ</t>
    </rPh>
    <phoneticPr fontId="13"/>
  </si>
  <si>
    <t>301 ぬ 9850</t>
    <phoneticPr fontId="13"/>
  </si>
  <si>
    <t>TRUZZZFV2L1003717</t>
    <phoneticPr fontId="13"/>
  </si>
  <si>
    <t>医療法人社団関戸ｸﾘﾆｯｸ</t>
    <rPh sb="0" eb="6">
      <t>イリョウホウジンシャダン</t>
    </rPh>
    <rPh sb="6" eb="8">
      <t>セキド</t>
    </rPh>
    <phoneticPr fontId="13"/>
  </si>
  <si>
    <t xml:space="preserve">保証書 取説 ｷｰﾚｽ ﾜﾝｵｰﾅｰ </t>
    <rPh sb="0" eb="3">
      <t>ホショウショ</t>
    </rPh>
    <rPh sb="4" eb="6">
      <t>トリセツ</t>
    </rPh>
    <phoneticPr fontId="13"/>
  </si>
  <si>
    <t>ﾗﾝﾄﾞｸﾙｰｻﾞｰ</t>
    <phoneticPr fontId="13"/>
  </si>
  <si>
    <t>新車 ﾈｯﾂﾄﾖﾀ</t>
    <rPh sb="0" eb="2">
      <t>シンシャ</t>
    </rPh>
    <phoneticPr fontId="13"/>
  </si>
  <si>
    <t>GDJ76-1007991</t>
    <phoneticPr fontId="13"/>
  </si>
  <si>
    <t>瀧井 良介</t>
    <rPh sb="0" eb="2">
      <t>タキイ</t>
    </rPh>
    <rPh sb="3" eb="5">
      <t>リョウスケ</t>
    </rPh>
    <phoneticPr fontId="13"/>
  </si>
  <si>
    <t>7/15</t>
    <phoneticPr fontId="13"/>
  </si>
  <si>
    <t>N-BOXｶｽﾀﾑ G ﾀｰﾎﾞ Lﾊﾟｯｹｰｼﾞ</t>
    <phoneticPr fontId="13"/>
  </si>
  <si>
    <t>江東 580 ろ 902</t>
    <rPh sb="0" eb="2">
      <t>エトウ</t>
    </rPh>
    <phoneticPr fontId="13"/>
  </si>
  <si>
    <t>紫</t>
    <rPh sb="0" eb="1">
      <t>ムラサキ</t>
    </rPh>
    <phoneticPr fontId="13"/>
  </si>
  <si>
    <t>JF1-2504730</t>
    <phoneticPr fontId="13"/>
  </si>
  <si>
    <t>三井住友ｶｰﾄﾞ株式会社</t>
    <rPh sb="0" eb="4">
      <t>ミツイスミトモ</t>
    </rPh>
    <rPh sb="8" eb="12">
      <t>カブシキガイシャ</t>
    </rPh>
    <phoneticPr fontId="13"/>
  </si>
  <si>
    <t>ﾊｽﾗｰ ﾊｲﾌﾞﾘｯﾄﾞG</t>
    <phoneticPr fontId="13"/>
  </si>
  <si>
    <t>広島 586 ろ 6997</t>
    <rPh sb="0" eb="2">
      <t>ヒロシマ</t>
    </rPh>
    <phoneticPr fontId="13"/>
  </si>
  <si>
    <t>MR92S-189270</t>
    <phoneticPr fontId="13"/>
  </si>
  <si>
    <t>ﾀｲﾑｽﾞﾓﾋﾞﾘﾃｨ株式会社</t>
    <rPh sb="11" eb="15">
      <t>カブシキガイシャ</t>
    </rPh>
    <phoneticPr fontId="13"/>
  </si>
  <si>
    <t>ｷｭｰﾌﾞ 福祉車両</t>
    <rPh sb="6" eb="10">
      <t>フクシシャリョウ</t>
    </rPh>
    <phoneticPr fontId="13"/>
  </si>
  <si>
    <t>品川 899 と 9477</t>
    <rPh sb="0" eb="2">
      <t>シナガワ</t>
    </rPh>
    <phoneticPr fontId="13"/>
  </si>
  <si>
    <t>Z12-400402</t>
    <phoneticPr fontId="13"/>
  </si>
  <si>
    <t>日本ｶｰｿﾘｭｰｼﾞｮﾝ株式会社</t>
    <rPh sb="0" eb="2">
      <t>ニッポン</t>
    </rPh>
    <rPh sb="12" eb="16">
      <t>カブシキガイシャ</t>
    </rPh>
    <phoneticPr fontId="13"/>
  </si>
  <si>
    <t>20/11</t>
    <phoneticPr fontId="13"/>
  </si>
  <si>
    <t>ﾐﾗｼﾞｰﾉ L</t>
    <phoneticPr fontId="13"/>
  </si>
  <si>
    <t>7/11</t>
    <phoneticPr fontId="13"/>
  </si>
  <si>
    <t>岡山 583 さ 173</t>
    <rPh sb="0" eb="2">
      <t>オカヤマ</t>
    </rPh>
    <phoneticPr fontId="13"/>
  </si>
  <si>
    <t>582 あ 6429</t>
    <phoneticPr fontId="13"/>
  </si>
  <si>
    <t>L650S-0077550</t>
    <phoneticPr fontId="13"/>
  </si>
  <si>
    <t>稲川 真央</t>
    <rPh sb="0" eb="2">
      <t>イナカワ</t>
    </rPh>
    <rPh sb="3" eb="5">
      <t>マオ</t>
    </rPh>
    <phoneticPr fontId="13"/>
  </si>
  <si>
    <t>ｶﾛｰﾗﾌｨｰﾙﾀﾞｰ ﾊｲﾌﾞﾘｯﾄﾞEX</t>
    <phoneticPr fontId="13"/>
  </si>
  <si>
    <t>名古屋 778 そ 723</t>
    <rPh sb="0" eb="3">
      <t>ナゴヤ</t>
    </rPh>
    <phoneticPr fontId="13"/>
  </si>
  <si>
    <t>NKE165-7232054</t>
    <phoneticPr fontId="13"/>
  </si>
  <si>
    <t>株式会社ﾄﾖﾀﾚﾝﾀﾘｰｽ名古屋</t>
    <rPh sb="0" eb="4">
      <t>カブシキガイシャ</t>
    </rPh>
    <rPh sb="13" eb="16">
      <t>ナゴヤ</t>
    </rPh>
    <phoneticPr fontId="13"/>
  </si>
  <si>
    <t>保証書 取説 ｷｰﾚｽ(車内)地図SD</t>
    <rPh sb="0" eb="3">
      <t>ホショウショ</t>
    </rPh>
    <rPh sb="4" eb="6">
      <t>トリセツ</t>
    </rPh>
    <rPh sb="15" eb="17">
      <t>チズ</t>
    </rPh>
    <phoneticPr fontId="13"/>
  </si>
  <si>
    <t>ｱｸｱ Z</t>
    <phoneticPr fontId="13"/>
  </si>
  <si>
    <t>8/8/25</t>
    <phoneticPr fontId="13"/>
  </si>
  <si>
    <t>福山 501 に 2763</t>
    <rPh sb="0" eb="2">
      <t>フクヤマ</t>
    </rPh>
    <phoneticPr fontId="13"/>
  </si>
  <si>
    <t>501 も 9419</t>
    <phoneticPr fontId="13"/>
  </si>
  <si>
    <t>MXPK11-2012623</t>
    <phoneticPr fontId="13"/>
  </si>
  <si>
    <t>法野 庫夫</t>
    <rPh sb="0" eb="1">
      <t>ホウ</t>
    </rPh>
    <rPh sb="1" eb="2">
      <t>ノ</t>
    </rPh>
    <rPh sb="3" eb="4">
      <t>コ</t>
    </rPh>
    <rPh sb="4" eb="5">
      <t>オット</t>
    </rPh>
    <phoneticPr fontId="13"/>
  </si>
  <si>
    <t>岡山 336 さ 8228</t>
    <rPh sb="0" eb="2">
      <t>オカヤマ</t>
    </rPh>
    <phoneticPr fontId="13"/>
  </si>
  <si>
    <t>WMWXM720203B16534</t>
    <phoneticPr fontId="13"/>
  </si>
  <si>
    <t>BMWﾐﾆｸｰﾊﾟｰS ｾﾌﾞﾝ</t>
    <phoneticPr fontId="13"/>
  </si>
  <si>
    <t>品川 303 つ 620</t>
    <rPh sb="0" eb="2">
      <t>シナガワ</t>
    </rPh>
    <phoneticPr fontId="13"/>
  </si>
  <si>
    <t>WMWXM720302A80097</t>
    <phoneticPr fontId="13"/>
  </si>
  <si>
    <t>株式会社ABEMOTORS</t>
    <rPh sb="0" eb="4">
      <t>カブシキガイシャ</t>
    </rPh>
    <phoneticPr fontId="13"/>
  </si>
  <si>
    <t>7/26</t>
    <phoneticPr fontId="13"/>
  </si>
  <si>
    <t>N-BOXｶｽﾀﾑ Lﾀｰﾎﾞｽﾀｲﾙ</t>
    <phoneticPr fontId="13"/>
  </si>
  <si>
    <t>9/2/21</t>
    <phoneticPr fontId="13"/>
  </si>
  <si>
    <t>和歌山 589 て 31</t>
    <rPh sb="0" eb="3">
      <t>ワカヤマ</t>
    </rPh>
    <phoneticPr fontId="13"/>
  </si>
  <si>
    <t>A291227</t>
    <phoneticPr fontId="13"/>
  </si>
  <si>
    <t>JF3-2356198</t>
    <phoneticPr fontId="13"/>
  </si>
  <si>
    <t>株式会社ﾎﾝﾀﾞﾌｧｲﾅｽ</t>
    <rPh sb="0" eb="4">
      <t>カブシキカイシャ</t>
    </rPh>
    <phoneticPr fontId="13"/>
  </si>
  <si>
    <t>8/28</t>
    <phoneticPr fontId="13"/>
  </si>
  <si>
    <t>ﾌﾚｱｸﾛｽｵｰﾊﾞｰ ZT</t>
    <phoneticPr fontId="13"/>
  </si>
  <si>
    <t>9/9/9</t>
    <phoneticPr fontId="13"/>
  </si>
  <si>
    <t>横浜 584 も 2255</t>
    <rPh sb="0" eb="2">
      <t>ヨコハマ</t>
    </rPh>
    <phoneticPr fontId="13"/>
  </si>
  <si>
    <t>A291451</t>
    <phoneticPr fontId="13"/>
  </si>
  <si>
    <t>MS52S-450200</t>
    <phoneticPr fontId="13"/>
  </si>
  <si>
    <t>石川 優依</t>
    <rPh sb="0" eb="2">
      <t>イシカワ</t>
    </rPh>
    <rPh sb="3" eb="5">
      <t>ユイ</t>
    </rPh>
    <phoneticPr fontId="13"/>
  </si>
  <si>
    <t>広島 581 く 1740</t>
    <rPh sb="0" eb="2">
      <t>ヒロシマ</t>
    </rPh>
    <phoneticPr fontId="13"/>
  </si>
  <si>
    <t>582 あ 6435</t>
    <phoneticPr fontId="13"/>
  </si>
  <si>
    <t>HE22S-849651</t>
    <phoneticPr fontId="13"/>
  </si>
  <si>
    <t>株式会社ｽｽﾞｷ自販広島</t>
    <rPh sb="0" eb="4">
      <t>カブシキガイシャ</t>
    </rPh>
    <rPh sb="8" eb="10">
      <t>ジハン</t>
    </rPh>
    <rPh sb="10" eb="12">
      <t>ヒロシマ</t>
    </rPh>
    <phoneticPr fontId="13"/>
  </si>
  <si>
    <t>保証書 取説 ｷｰﾚｽ(車内)</t>
    <rPh sb="0" eb="3">
      <t>ホショウショ</t>
    </rPh>
    <rPh sb="4" eb="6">
      <t>トリセツ</t>
    </rPh>
    <rPh sb="12" eb="14">
      <t>シャナイ</t>
    </rPh>
    <phoneticPr fontId="13"/>
  </si>
  <si>
    <t>BMWﾐﾆ ｳﾞｨｸﾄﾘｱ</t>
    <phoneticPr fontId="13"/>
  </si>
  <si>
    <t>名古屋 326 ほ 6258</t>
    <rPh sb="0" eb="3">
      <t>ナゴヤ</t>
    </rPh>
    <phoneticPr fontId="13"/>
  </si>
  <si>
    <t>CAA岐阜(まとめ)</t>
    <rPh sb="3" eb="5">
      <t>ギフ</t>
    </rPh>
    <phoneticPr fontId="13"/>
  </si>
  <si>
    <t>WMWXR120302M92161</t>
    <phoneticPr fontId="13"/>
  </si>
  <si>
    <t>ﾀﾝﾄ 車椅子移動車</t>
    <rPh sb="4" eb="7">
      <t>クルマイス</t>
    </rPh>
    <rPh sb="7" eb="10">
      <t>イドウシャ</t>
    </rPh>
    <phoneticPr fontId="13"/>
  </si>
  <si>
    <t>多摩 591 ろ 3619</t>
    <rPh sb="0" eb="2">
      <t>タマ</t>
    </rPh>
    <phoneticPr fontId="13"/>
  </si>
  <si>
    <t>LA600S-0604649</t>
    <phoneticPr fontId="13"/>
  </si>
  <si>
    <t>取説 ﾘﾓｺﾝ (車内)保証書</t>
    <rPh sb="0" eb="2">
      <t>トリセツ</t>
    </rPh>
    <rPh sb="9" eb="11">
      <t>シャナイ</t>
    </rPh>
    <rPh sb="12" eb="15">
      <t>ホショウショ</t>
    </rPh>
    <phoneticPr fontId="13"/>
  </si>
  <si>
    <t>富士山 581 ふ 1877</t>
    <rPh sb="0" eb="3">
      <t>フジサン</t>
    </rPh>
    <phoneticPr fontId="13"/>
  </si>
  <si>
    <t>JF1-2503576</t>
    <phoneticPr fontId="13"/>
  </si>
  <si>
    <t>勝野 保延</t>
    <rPh sb="0" eb="2">
      <t>カツノ</t>
    </rPh>
    <rPh sb="3" eb="4">
      <t>ホ</t>
    </rPh>
    <rPh sb="4" eb="5">
      <t>ノ</t>
    </rPh>
    <phoneticPr fontId="13"/>
  </si>
  <si>
    <t>取説 ﾅﾋﾞ取 ｷｰﾚｽ</t>
    <rPh sb="0" eb="2">
      <t>トリセツ</t>
    </rPh>
    <rPh sb="6" eb="7">
      <t>トリ</t>
    </rPh>
    <phoneticPr fontId="13"/>
  </si>
  <si>
    <t>BMW 6ｼﾘｰｽﾞ 630i ｸﾞﾗﾝﾂｰﾘｽﾓ</t>
    <phoneticPr fontId="13"/>
  </si>
  <si>
    <t>8/4/23</t>
    <phoneticPr fontId="13"/>
  </si>
  <si>
    <t>福岡 303 ひ 7552</t>
    <rPh sb="0" eb="2">
      <t>フクオカ</t>
    </rPh>
    <phoneticPr fontId="13"/>
  </si>
  <si>
    <t>WBAJX620X0BJ23953</t>
    <phoneticPr fontId="13"/>
  </si>
  <si>
    <t>8/12</t>
    <phoneticPr fontId="13"/>
  </si>
  <si>
    <t>所沢 302 た 3774</t>
    <rPh sb="0" eb="2">
      <t>トコロザワ</t>
    </rPh>
    <phoneticPr fontId="13"/>
  </si>
  <si>
    <t>3014 ぬ 9848</t>
    <phoneticPr fontId="13"/>
  </si>
  <si>
    <t>ﾎﾝﾀﾞ東京(まとめ)</t>
    <rPh sb="4" eb="6">
      <t>トウキョウ</t>
    </rPh>
    <phoneticPr fontId="13"/>
  </si>
  <si>
    <t>WMWXM720102E25630</t>
    <phoneticPr fontId="13"/>
  </si>
  <si>
    <t>株式会社ﾎﾝﾀﾞﾓﾋﾞﾘﾃｨ南関東</t>
    <rPh sb="0" eb="4">
      <t>カブシキガイシャ</t>
    </rPh>
    <rPh sb="14" eb="15">
      <t>ミナミ</t>
    </rPh>
    <rPh sb="15" eb="17">
      <t>カントウ</t>
    </rPh>
    <phoneticPr fontId="13"/>
  </si>
  <si>
    <t xml:space="preserve">ｷｰﾚｽ(車内)保証書 取説 </t>
    <rPh sb="5" eb="7">
      <t>シャナイ</t>
    </rPh>
    <rPh sb="8" eb="11">
      <t>ホショウショ</t>
    </rPh>
    <rPh sb="12" eb="14">
      <t>トリセツ</t>
    </rPh>
    <phoneticPr fontId="13"/>
  </si>
  <si>
    <t>BMW3ｼﾘｰｽﾞ 320i Mｽﾎﾟｰﾂ</t>
    <phoneticPr fontId="13"/>
  </si>
  <si>
    <t>世田谷 300 て 836</t>
    <rPh sb="0" eb="3">
      <t>セタガヤ</t>
    </rPh>
    <phoneticPr fontId="13"/>
  </si>
  <si>
    <t>WBA8A16050NT28799</t>
    <phoneticPr fontId="13"/>
  </si>
  <si>
    <t>保証書 取説 ｷｰﾚｽ ﾅﾋﾞ取</t>
    <rPh sb="0" eb="3">
      <t>ホショウショ</t>
    </rPh>
    <rPh sb="4" eb="6">
      <t>トリセツ</t>
    </rPh>
    <rPh sb="15" eb="16">
      <t>トリ</t>
    </rPh>
    <phoneticPr fontId="13"/>
  </si>
  <si>
    <t>23/4</t>
    <phoneticPr fontId="13"/>
  </si>
  <si>
    <t>ﾊﾟｼﾞｬﾛﾐﾆ VR</t>
    <phoneticPr fontId="13"/>
  </si>
  <si>
    <t>8/6</t>
    <phoneticPr fontId="13"/>
  </si>
  <si>
    <t>山口 581 む 5776</t>
    <rPh sb="0" eb="2">
      <t>ヤマグチ</t>
    </rPh>
    <phoneticPr fontId="13"/>
  </si>
  <si>
    <t>582 あ 6427</t>
    <phoneticPr fontId="13"/>
  </si>
  <si>
    <t>H58A-1005839</t>
    <phoneticPr fontId="13"/>
  </si>
  <si>
    <t>ﾜｺﾞﾝR ﾘﾐﾃｯﾄﾞ</t>
    <phoneticPr fontId="13"/>
  </si>
  <si>
    <t>和泉 585 を 1717</t>
    <rPh sb="0" eb="2">
      <t>イズミ</t>
    </rPh>
    <phoneticPr fontId="13"/>
  </si>
  <si>
    <t>MH23S-714551</t>
    <phoneticPr fontId="13"/>
  </si>
  <si>
    <t>株式会社南海ｽｽﾞｷ</t>
    <rPh sb="0" eb="4">
      <t>カブシキガイシャ</t>
    </rPh>
    <rPh sb="4" eb="6">
      <t>ナンカイ</t>
    </rPh>
    <phoneticPr fontId="13"/>
  </si>
  <si>
    <t>ﾗﾝﾄﾞﾛｰﾊﾞｰ ﾚﾝｼﾞﾛｰﾊﾞｰｲｳﾞｫｰｸ</t>
    <phoneticPr fontId="13"/>
  </si>
  <si>
    <t>8/7/27</t>
    <phoneticPr fontId="13"/>
  </si>
  <si>
    <t>習志野 393 そ 55</t>
    <rPh sb="0" eb="3">
      <t>ナラシノ</t>
    </rPh>
    <phoneticPr fontId="13"/>
  </si>
  <si>
    <t>SALGA2EV1HA344303</t>
    <phoneticPr fontId="13"/>
  </si>
  <si>
    <t>1/9</t>
    <phoneticPr fontId="13"/>
  </si>
  <si>
    <t>ｼﾞｬｶﾞｰ XF</t>
    <phoneticPr fontId="13"/>
  </si>
  <si>
    <t>8/9/29</t>
    <phoneticPr fontId="13"/>
  </si>
  <si>
    <t>足立 354 ら 1117</t>
    <rPh sb="0" eb="2">
      <t>アダチ</t>
    </rPh>
    <phoneticPr fontId="13"/>
  </si>
  <si>
    <t>301 ね 424</t>
    <phoneticPr fontId="13"/>
  </si>
  <si>
    <t>SAJBB4AX2LCY85117</t>
    <phoneticPr fontId="13"/>
  </si>
  <si>
    <t>小倉不動産株式会社</t>
    <rPh sb="0" eb="2">
      <t>オグラ</t>
    </rPh>
    <rPh sb="2" eb="5">
      <t>フドウサン</t>
    </rPh>
    <rPh sb="5" eb="9">
      <t>カブシキガイシャ</t>
    </rPh>
    <phoneticPr fontId="13"/>
  </si>
  <si>
    <t>ﾃﾞｲｽﾞ ﾊｲｳｪｽﾀｰX</t>
    <phoneticPr fontId="13"/>
  </si>
  <si>
    <t>7/9/30</t>
    <phoneticPr fontId="13"/>
  </si>
  <si>
    <t>飛騨　580　か　7476</t>
    <rPh sb="0" eb="2">
      <t>ヒダ</t>
    </rPh>
    <phoneticPr fontId="13"/>
  </si>
  <si>
    <t>B21Wｰ0187607</t>
    <phoneticPr fontId="13"/>
  </si>
  <si>
    <t>沖本 恵</t>
    <rPh sb="0" eb="2">
      <t>オキモト</t>
    </rPh>
    <rPh sb="3" eb="4">
      <t>メグミ</t>
    </rPh>
    <phoneticPr fontId="13"/>
  </si>
  <si>
    <t>地図SD(車内)保証書 取説</t>
    <rPh sb="8" eb="11">
      <t>ホショウショ</t>
    </rPh>
    <rPh sb="12" eb="14">
      <t>トリセツ</t>
    </rPh>
    <phoneticPr fontId="13"/>
  </si>
  <si>
    <t>3/１</t>
    <phoneticPr fontId="13"/>
  </si>
  <si>
    <t>ﾊｽﾗｰ　ハイブリッドXﾀｰﾎﾞ</t>
    <phoneticPr fontId="13"/>
  </si>
  <si>
    <t>品川 5X0 ろ 3943</t>
    <rPh sb="0" eb="2">
      <t>シナガワ</t>
    </rPh>
    <phoneticPr fontId="13"/>
  </si>
  <si>
    <t>MR52Sｰ122096</t>
    <phoneticPr fontId="13"/>
  </si>
  <si>
    <t>保証書 取説 ﾜﾝｵｰﾅｰ無視OK</t>
    <rPh sb="0" eb="3">
      <t>ホショウショ</t>
    </rPh>
    <rPh sb="4" eb="6">
      <t>トリセツ</t>
    </rPh>
    <rPh sb="13" eb="15">
      <t>ムシ</t>
    </rPh>
    <phoneticPr fontId="13"/>
  </si>
  <si>
    <t>N-BOXｶｽﾀﾑ　GLﾎﾝﾀﾞｾﾝｼﾝｸﾞ</t>
    <phoneticPr fontId="13"/>
  </si>
  <si>
    <t>品川 5X0 ろ 4917</t>
    <rPh sb="0" eb="2">
      <t>シナガワ</t>
    </rPh>
    <phoneticPr fontId="13"/>
  </si>
  <si>
    <t>JF3-1291626</t>
    <phoneticPr fontId="13"/>
  </si>
  <si>
    <t>整備手帳 取説 ﾅﾋﾞ取(車内)</t>
    <rPh sb="0" eb="4">
      <t>セイビテチョウ</t>
    </rPh>
    <rPh sb="5" eb="7">
      <t>トリセツ</t>
    </rPh>
    <rPh sb="11" eb="12">
      <t>トリ</t>
    </rPh>
    <rPh sb="13" eb="15">
      <t>シャナイ</t>
    </rPh>
    <phoneticPr fontId="13"/>
  </si>
  <si>
    <t>N-BOX GLﾎﾝﾀﾞｾﾝｼﾝｸﾞ</t>
    <phoneticPr fontId="13"/>
  </si>
  <si>
    <t>9/4/27</t>
    <phoneticPr fontId="13"/>
  </si>
  <si>
    <t>所沢 783 つ 77</t>
    <rPh sb="0" eb="2">
      <t>トコロザワ</t>
    </rPh>
    <phoneticPr fontId="13"/>
  </si>
  <si>
    <t>A292757</t>
    <phoneticPr fontId="13"/>
  </si>
  <si>
    <t>JF3-1037904</t>
    <phoneticPr fontId="13"/>
  </si>
  <si>
    <t>ﾌﾟﾚﾐｱ株式会社</t>
    <rPh sb="5" eb="9">
      <t>カブシキカイシャ</t>
    </rPh>
    <phoneticPr fontId="13"/>
  </si>
  <si>
    <t>ｱﾙﾌｧｰﾄﾞ 2.5 SAﾊﾟｯｹｰｼﾞ</t>
    <phoneticPr fontId="13"/>
  </si>
  <si>
    <t>8/3/6</t>
    <phoneticPr fontId="13"/>
  </si>
  <si>
    <t>A288861</t>
    <phoneticPr fontId="13"/>
  </si>
  <si>
    <t>AGH30-0135182</t>
    <phoneticPr fontId="13"/>
  </si>
  <si>
    <t>ﾀﾝﾄ X 福祉車</t>
    <rPh sb="6" eb="9">
      <t>フクシシャ</t>
    </rPh>
    <phoneticPr fontId="13"/>
  </si>
  <si>
    <t>神戸 595 ろ 9195</t>
    <rPh sb="0" eb="2">
      <t>コウベ</t>
    </rPh>
    <phoneticPr fontId="13"/>
  </si>
  <si>
    <t>LA650S-0219668</t>
    <phoneticPr fontId="13"/>
  </si>
  <si>
    <t>保証書 取説 SD ﾘﾓｺﾝ ﾅﾋﾞ取</t>
    <rPh sb="0" eb="3">
      <t>ホショウショ</t>
    </rPh>
    <rPh sb="4" eb="6">
      <t>トリセツ</t>
    </rPh>
    <rPh sb="18" eb="19">
      <t>トリ</t>
    </rPh>
    <phoneticPr fontId="13"/>
  </si>
  <si>
    <t>BMWﾐﾆｸｰﾊﾟｰ SDｸﾗﾌﾞﾏﾝ</t>
    <phoneticPr fontId="13"/>
  </si>
  <si>
    <t>品川 31X や 7</t>
    <rPh sb="0" eb="2">
      <t>シナガワ</t>
    </rPh>
    <phoneticPr fontId="13"/>
  </si>
  <si>
    <t>WMW32BC0002M62221</t>
    <phoneticPr fontId="13"/>
  </si>
  <si>
    <t>ﾀﾝﾄ G</t>
    <phoneticPr fontId="13"/>
  </si>
  <si>
    <t>三河 584 き 703</t>
    <rPh sb="0" eb="2">
      <t>ミカワ</t>
    </rPh>
    <phoneticPr fontId="13"/>
  </si>
  <si>
    <t>582 あ 8913</t>
    <phoneticPr fontId="13"/>
  </si>
  <si>
    <t>ﾎﾝﾀﾞ名古屋(まとめ)</t>
    <rPh sb="6" eb="7">
      <t>（</t>
    </rPh>
    <phoneticPr fontId="13"/>
  </si>
  <si>
    <t>L375S-0424295</t>
    <phoneticPr fontId="13"/>
  </si>
  <si>
    <t>株式会社ﾎﾝﾀﾞﾓﾋﾞﾘﾃｨ中部</t>
    <rPh sb="0" eb="4">
      <t>カブシキガイシャ</t>
    </rPh>
    <rPh sb="14" eb="16">
      <t>チュウブ</t>
    </rPh>
    <phoneticPr fontId="13"/>
  </si>
  <si>
    <t>N-BOXｶｽﾀﾑ SSﾌﾞﾗｯｸｽﾀｲﾙ</t>
    <phoneticPr fontId="13"/>
  </si>
  <si>
    <t>福井 581 か 9145</t>
    <rPh sb="0" eb="2">
      <t>フクイ</t>
    </rPh>
    <phoneticPr fontId="13"/>
  </si>
  <si>
    <t>582 あ 8928</t>
    <phoneticPr fontId="13"/>
  </si>
  <si>
    <t>JF1-1873125</t>
    <phoneticPr fontId="13"/>
  </si>
  <si>
    <t>ﾎﾝﾀﾞｶｰｽﾞ福井株式会社</t>
    <rPh sb="8" eb="10">
      <t>フクイ</t>
    </rPh>
    <rPh sb="10" eb="14">
      <t>カブシキガイシャ</t>
    </rPh>
    <phoneticPr fontId="13"/>
  </si>
  <si>
    <t>通信機器</t>
    <rPh sb="0" eb="4">
      <t>ツウシンキキ</t>
    </rPh>
    <phoneticPr fontId="13"/>
  </si>
  <si>
    <t>8/4/1</t>
    <phoneticPr fontId="13"/>
  </si>
  <si>
    <t>K13-068801</t>
    <phoneticPr fontId="13"/>
  </si>
  <si>
    <t>8/21</t>
    <phoneticPr fontId="13"/>
  </si>
  <si>
    <t>24/10</t>
    <phoneticPr fontId="13"/>
  </si>
  <si>
    <t xml:space="preserve">ｳﾞｪﾙﾌｧｲｱ 2.4 Z </t>
    <phoneticPr fontId="13"/>
  </si>
  <si>
    <t>7/10/4</t>
    <phoneticPr fontId="13"/>
  </si>
  <si>
    <t>習志野 338 に 1124</t>
    <rPh sb="0" eb="3">
      <t>ナラシノ</t>
    </rPh>
    <phoneticPr fontId="13"/>
  </si>
  <si>
    <t>A293189</t>
    <phoneticPr fontId="13"/>
  </si>
  <si>
    <t>ANH20-8242208</t>
    <phoneticPr fontId="13"/>
  </si>
  <si>
    <t>医療法人社団 象和会</t>
    <rPh sb="0" eb="4">
      <t>イリョウホウジン</t>
    </rPh>
    <rPh sb="4" eb="6">
      <t>シャダン</t>
    </rPh>
    <rPh sb="7" eb="8">
      <t>ゾウ</t>
    </rPh>
    <rPh sb="8" eb="9">
      <t>ワ</t>
    </rPh>
    <rPh sb="9" eb="10">
      <t>カイ</t>
    </rPh>
    <phoneticPr fontId="13"/>
  </si>
  <si>
    <t>9/28</t>
    <phoneticPr fontId="13"/>
  </si>
  <si>
    <t>BMWﾐﾆ ｼﾞｮﾝｸｰﾊﾟｰ ﾜｰｸｽ</t>
    <phoneticPr fontId="13"/>
  </si>
  <si>
    <t>大宮 39A さ 1926</t>
    <rPh sb="0" eb="2">
      <t>オオミヤ</t>
    </rPh>
    <phoneticPr fontId="13"/>
  </si>
  <si>
    <t>ﾐﾗｲﾌﾞ埼玉(ｱｲｵｰｸ)</t>
    <rPh sb="5" eb="7">
      <t>サイタマ</t>
    </rPh>
    <phoneticPr fontId="13"/>
  </si>
  <si>
    <t>WMWXR920402N09516</t>
    <phoneticPr fontId="13"/>
  </si>
  <si>
    <t>株式会社ﾓﾄｰﾚﾝ埼玉</t>
    <rPh sb="0" eb="4">
      <t>カブシキガイシャ</t>
    </rPh>
    <rPh sb="9" eb="11">
      <t>サイタマ</t>
    </rPh>
    <phoneticPr fontId="13"/>
  </si>
  <si>
    <t>ﾙﾉｰ ﾙｰﾃｼｱ ｲﾝﾃﾝｽﾌﾟﾗｽ</t>
    <phoneticPr fontId="13"/>
  </si>
  <si>
    <t>大阪 303 ま 5955</t>
    <rPh sb="0" eb="2">
      <t>オオサカ</t>
    </rPh>
    <phoneticPr fontId="13"/>
  </si>
  <si>
    <t>VF1RJA008M0836573</t>
    <phoneticPr fontId="13"/>
  </si>
  <si>
    <t>8/9</t>
    <phoneticPr fontId="13"/>
  </si>
  <si>
    <t>末梢</t>
    <rPh sb="0" eb="2">
      <t>マッショウ</t>
    </rPh>
    <phoneticPr fontId="13"/>
  </si>
  <si>
    <t>VW ｻﾞ･ﾋﾞｰﾄﾙ ﾃﾞｻﾞｲﾝ</t>
    <phoneticPr fontId="13"/>
  </si>
  <si>
    <t>名古屋 395 す 32</t>
    <rPh sb="0" eb="3">
      <t>ナゴヤ</t>
    </rPh>
    <phoneticPr fontId="13"/>
  </si>
  <si>
    <t>ﾚﾝﾀｶｰ歴あり ｸﾚｰﾑ済</t>
    <rPh sb="5" eb="6">
      <t>レキ</t>
    </rPh>
    <rPh sb="13" eb="14">
      <t>ズ</t>
    </rPh>
    <phoneticPr fontId="13"/>
  </si>
  <si>
    <t>WVWZZZ16ZHM601156</t>
    <phoneticPr fontId="13"/>
  </si>
  <si>
    <t>株式会社K&amp;H</t>
    <rPh sb="0" eb="4">
      <t>カブシキガイシャ</t>
    </rPh>
    <phoneticPr fontId="13"/>
  </si>
  <si>
    <t>ｷｰﾚｽ(車内)保証書 取説 ﾅﾋﾞ取 ｷｰﾚｽ 地図SD  ﾚﾝﾀｶｰ歴あり</t>
    <rPh sb="5" eb="7">
      <t>シャナイ</t>
    </rPh>
    <rPh sb="8" eb="11">
      <t>ホショウショ</t>
    </rPh>
    <rPh sb="12" eb="14">
      <t>トリセツ</t>
    </rPh>
    <rPh sb="18" eb="19">
      <t>トリ</t>
    </rPh>
    <rPh sb="25" eb="27">
      <t>チズ</t>
    </rPh>
    <rPh sb="36" eb="37">
      <t>レキ</t>
    </rPh>
    <phoneticPr fontId="13"/>
  </si>
  <si>
    <t>ﾚﾝﾀｶｰで出品する</t>
    <rPh sb="6" eb="8">
      <t>シュッピン</t>
    </rPh>
    <phoneticPr fontId="13"/>
  </si>
  <si>
    <t>ﾐﾗｲｰｽ G SA3</t>
    <phoneticPr fontId="13"/>
  </si>
  <si>
    <t>S</t>
    <phoneticPr fontId="13"/>
  </si>
  <si>
    <t>奈良 581 て 5461</t>
    <rPh sb="0" eb="2">
      <t>ナラ</t>
    </rPh>
    <phoneticPr fontId="13"/>
  </si>
  <si>
    <t>582 あ 8914</t>
    <phoneticPr fontId="13"/>
  </si>
  <si>
    <t>LA350S-0436779</t>
    <phoneticPr fontId="13"/>
  </si>
  <si>
    <t>有限会社PMS</t>
    <rPh sb="0" eb="4">
      <t>ユウゲンガイシャ</t>
    </rPh>
    <phoneticPr fontId="13"/>
  </si>
  <si>
    <t>静岡 399 に 8562</t>
    <rPh sb="0" eb="2">
      <t>シズオカ</t>
    </rPh>
    <phoneticPr fontId="13"/>
  </si>
  <si>
    <t>WMWXR52030TM83591</t>
    <phoneticPr fontId="13"/>
  </si>
  <si>
    <t>静岡ﾄﾖﾀ自動車株式会社</t>
    <rPh sb="0" eb="2">
      <t>シズオカ</t>
    </rPh>
    <rPh sb="5" eb="12">
      <t>ジドウシャカブシキガイシャ</t>
    </rPh>
    <phoneticPr fontId="13"/>
  </si>
  <si>
    <t>取説 ｷｰﾚｽ ﾘﾓｺﾝ2個(車内)保証書 ﾜﾝｵｰﾅｰ</t>
    <rPh sb="0" eb="2">
      <t>トリセツ</t>
    </rPh>
    <rPh sb="13" eb="14">
      <t>コ</t>
    </rPh>
    <rPh sb="18" eb="21">
      <t>ホショウショ</t>
    </rPh>
    <phoneticPr fontId="13"/>
  </si>
  <si>
    <t>8/6/26</t>
    <phoneticPr fontId="13"/>
  </si>
  <si>
    <t>千葉 303 せ 5884</t>
    <rPh sb="0" eb="2">
      <t>チバ</t>
    </rPh>
    <phoneticPr fontId="13"/>
  </si>
  <si>
    <t>SAJBB4AX3KCY82208</t>
    <phoneticPr fontId="13"/>
  </si>
  <si>
    <t>ﾒﾙｾﾃﾞｽﾍﾞﾝﾂ AMG A35</t>
    <phoneticPr fontId="13"/>
  </si>
  <si>
    <t>神戸 330 ら 4616</t>
    <rPh sb="0" eb="2">
      <t>コウベ</t>
    </rPh>
    <phoneticPr fontId="13"/>
  </si>
  <si>
    <t>W1K1771512J221346</t>
    <phoneticPr fontId="13"/>
  </si>
  <si>
    <t>ﾜｺﾞﾝR FX</t>
    <phoneticPr fontId="13"/>
  </si>
  <si>
    <t>7/11/26</t>
    <phoneticPr fontId="13"/>
  </si>
  <si>
    <t>三重 582 け 7946</t>
    <rPh sb="0" eb="2">
      <t>ミエ</t>
    </rPh>
    <phoneticPr fontId="13"/>
  </si>
  <si>
    <t>582 あ 8857</t>
    <phoneticPr fontId="13"/>
  </si>
  <si>
    <t>MH34S-373479</t>
    <phoneticPr fontId="13"/>
  </si>
  <si>
    <t>速水 慶子</t>
    <rPh sb="0" eb="2">
      <t>ハヤミズ</t>
    </rPh>
    <rPh sb="3" eb="5">
      <t>ケイコ</t>
    </rPh>
    <phoneticPr fontId="13"/>
  </si>
  <si>
    <t>23/6</t>
    <phoneticPr fontId="13"/>
  </si>
  <si>
    <t>ｻﾝﾊﾞｰT TB</t>
    <phoneticPr fontId="13"/>
  </si>
  <si>
    <t>札幌　483　け　5000</t>
    <rPh sb="0" eb="2">
      <t>サッポロ</t>
    </rPh>
    <phoneticPr fontId="13"/>
  </si>
  <si>
    <t>TT2-513037</t>
    <phoneticPr fontId="13"/>
  </si>
  <si>
    <t>今　倫康</t>
    <rPh sb="0" eb="1">
      <t>イマ</t>
    </rPh>
    <rPh sb="2" eb="3">
      <t>ミチ</t>
    </rPh>
    <rPh sb="3" eb="4">
      <t>ヤス</t>
    </rPh>
    <phoneticPr fontId="13"/>
  </si>
  <si>
    <t xml:space="preserve">保証書　取説 </t>
    <rPh sb="0" eb="3">
      <t>ホショウショ</t>
    </rPh>
    <rPh sb="4" eb="6">
      <t>トリセツ</t>
    </rPh>
    <phoneticPr fontId="13"/>
  </si>
  <si>
    <t>ﾌｨｯﾄ13Gﾓﾃﾞｭｰﾛｽﾀｲﾙ</t>
    <phoneticPr fontId="13"/>
  </si>
  <si>
    <t>8/1/17</t>
    <phoneticPr fontId="13"/>
  </si>
  <si>
    <t>岡山 502 ふ 4979</t>
    <rPh sb="0" eb="2">
      <t>オカヤマ</t>
    </rPh>
    <phoneticPr fontId="13"/>
  </si>
  <si>
    <t>GK3-9300353</t>
    <phoneticPr fontId="13"/>
  </si>
  <si>
    <t>株式会社ｳｫｯｼｭ</t>
    <rPh sb="0" eb="4">
      <t>カブシキガイシャ</t>
    </rPh>
    <phoneticPr fontId="13"/>
  </si>
  <si>
    <t>保証書 取説 ﾅﾋﾞ取 ｷｰﾚｽ 通信端末</t>
    <rPh sb="0" eb="3">
      <t>ホショウショ</t>
    </rPh>
    <rPh sb="4" eb="6">
      <t>トリセツ</t>
    </rPh>
    <rPh sb="10" eb="11">
      <t>　</t>
    </rPh>
    <rPh sb="17" eb="18">
      <t>ツウシン</t>
    </rPh>
    <rPh sb="18" eb="20">
      <t>タンマツ</t>
    </rPh>
    <phoneticPr fontId="13"/>
  </si>
  <si>
    <t>7/11/15</t>
    <phoneticPr fontId="13"/>
  </si>
  <si>
    <t>福山 583 き 2055</t>
    <rPh sb="0" eb="2">
      <t>フクヤマ</t>
    </rPh>
    <phoneticPr fontId="13"/>
  </si>
  <si>
    <t>582 あ 8855</t>
    <phoneticPr fontId="13"/>
  </si>
  <si>
    <t>DA17W-166754</t>
    <phoneticPr fontId="13"/>
  </si>
  <si>
    <t>川崎 宗一</t>
    <rPh sb="0" eb="2">
      <t>カワサキ</t>
    </rPh>
    <rPh sb="3" eb="5">
      <t>ソウイチ</t>
    </rPh>
    <phoneticPr fontId="13"/>
  </si>
  <si>
    <t>ｼﾄﾛｴﾝ C4 ﾋﾟｶｿ</t>
    <phoneticPr fontId="13"/>
  </si>
  <si>
    <t>姫路 330 は 1034</t>
    <rPh sb="0" eb="2">
      <t>ヒメジ</t>
    </rPh>
    <phoneticPr fontId="13"/>
  </si>
  <si>
    <t>杉本様</t>
    <rPh sb="0" eb="2">
      <t>スギモト</t>
    </rPh>
    <rPh sb="2" eb="3">
      <t>サマ</t>
    </rPh>
    <phoneticPr fontId="13"/>
  </si>
  <si>
    <t>VF73A5GZTEJ738812</t>
    <phoneticPr fontId="13"/>
  </si>
  <si>
    <t>杉本 英美</t>
    <rPh sb="0" eb="2">
      <t>スギモト</t>
    </rPh>
    <rPh sb="3" eb="4">
      <t>エイ</t>
    </rPh>
    <rPh sb="4" eb="5">
      <t>ミ</t>
    </rPh>
    <phoneticPr fontId="13"/>
  </si>
  <si>
    <t>8/5/25</t>
    <phoneticPr fontId="13"/>
  </si>
  <si>
    <t>姫路 336 な 5296</t>
    <rPh sb="0" eb="2">
      <t>ヒメジ</t>
    </rPh>
    <phoneticPr fontId="13"/>
  </si>
  <si>
    <t>前原様</t>
    <rPh sb="0" eb="2">
      <t>マエハラ</t>
    </rPh>
    <rPh sb="2" eb="3">
      <t>サマ</t>
    </rPh>
    <phoneticPr fontId="13"/>
  </si>
  <si>
    <t>WMWXS520802B38313</t>
    <phoneticPr fontId="13"/>
  </si>
  <si>
    <t>前原 則保</t>
    <rPh sb="0" eb="2">
      <t>マエハラ</t>
    </rPh>
    <rPh sb="3" eb="4">
      <t>ノリ</t>
    </rPh>
    <rPh sb="4" eb="5">
      <t>タモツ</t>
    </rPh>
    <phoneticPr fontId="13"/>
  </si>
  <si>
    <t>N-BOX GLﾊﾟｯｹｰｼﾞ</t>
    <phoneticPr fontId="13"/>
  </si>
  <si>
    <t>浜松 583 て 422</t>
    <rPh sb="0" eb="2">
      <t>ハママツ</t>
    </rPh>
    <phoneticPr fontId="13"/>
  </si>
  <si>
    <t>582 あ 8930</t>
    <phoneticPr fontId="13"/>
  </si>
  <si>
    <t>JF1-1832524</t>
    <phoneticPr fontId="13"/>
  </si>
  <si>
    <t>8/24</t>
    <phoneticPr fontId="13"/>
  </si>
  <si>
    <t>ﾀﾝﾄｶｽﾀﾑ ｽﾛｰﾊﾟｰRS</t>
    <phoneticPr fontId="13"/>
  </si>
  <si>
    <t>品川 5X0 ろ 4911</t>
    <rPh sb="0" eb="2">
      <t>シナガワ</t>
    </rPh>
    <phoneticPr fontId="13"/>
  </si>
  <si>
    <t>LA650S-0087705</t>
    <phoneticPr fontId="13"/>
  </si>
  <si>
    <t>保証書 取説 ｽﾛｰﾊﾟｰ取説 ｷｰﾚｽ ﾘﾓｺﾝ (車内)</t>
    <rPh sb="0" eb="3">
      <t>ホショウショ</t>
    </rPh>
    <rPh sb="4" eb="6">
      <t>トリセツ</t>
    </rPh>
    <rPh sb="13" eb="15">
      <t>トリセツ</t>
    </rPh>
    <phoneticPr fontId="13"/>
  </si>
  <si>
    <t>ｱｳﾃﾞｨ A4 ｵｰﾙﾛｰﾄﾞｸﾜﾄﾛ</t>
    <phoneticPr fontId="13"/>
  </si>
  <si>
    <t>品川 361 そ 1215</t>
    <rPh sb="0" eb="2">
      <t>シナガワ</t>
    </rPh>
    <phoneticPr fontId="13"/>
  </si>
  <si>
    <t>WAUZZZF47JA218375</t>
    <phoneticPr fontId="13"/>
  </si>
  <si>
    <t>張 錫年</t>
    <rPh sb="0" eb="1">
      <t>ハリ</t>
    </rPh>
    <rPh sb="2" eb="3">
      <t>スズ</t>
    </rPh>
    <rPh sb="3" eb="4">
      <t>トシ</t>
    </rPh>
    <phoneticPr fontId="13"/>
  </si>
  <si>
    <r>
      <rPr>
        <sz val="9"/>
        <color theme="4" tint="-0.499984740745262"/>
        <rFont val="ＭＳ Ｐゴシック"/>
        <family val="3"/>
        <charset val="128"/>
        <scheme val="minor"/>
      </rPr>
      <t>整備手帳(保証書切られてなしｸﾚｰﾑ会長対応済)取説 ｷｰﾚｽ</t>
    </r>
    <r>
      <rPr>
        <sz val="11"/>
        <color theme="4" tint="-0.499984740745262"/>
        <rFont val="ＭＳ Ｐゴシック"/>
        <family val="3"/>
        <charset val="128"/>
        <scheme val="minor"/>
      </rPr>
      <t xml:space="preserve"> </t>
    </r>
    <r>
      <rPr>
        <sz val="11"/>
        <color rgb="FFFF0000"/>
        <rFont val="ＭＳ Ｐゴシック"/>
        <family val="3"/>
        <charset val="128"/>
        <scheme val="minor"/>
      </rPr>
      <t>9/20まで</t>
    </r>
    <rPh sb="0" eb="4">
      <t>セイビテチョウ</t>
    </rPh>
    <rPh sb="5" eb="8">
      <t>ホショウショ</t>
    </rPh>
    <rPh sb="8" eb="9">
      <t>キ</t>
    </rPh>
    <rPh sb="18" eb="20">
      <t>カイチョウ</t>
    </rPh>
    <rPh sb="20" eb="22">
      <t>タイオウ</t>
    </rPh>
    <rPh sb="22" eb="23">
      <t>ズ</t>
    </rPh>
    <rPh sb="24" eb="26">
      <t>トリセツ</t>
    </rPh>
    <phoneticPr fontId="13"/>
  </si>
  <si>
    <t>ｳﾞｪｾﾞﾙ G</t>
    <phoneticPr fontId="13"/>
  </si>
  <si>
    <t>8/8/17</t>
    <phoneticPr fontId="13"/>
  </si>
  <si>
    <t>A294951</t>
    <phoneticPr fontId="13"/>
  </si>
  <si>
    <t>RV3-1000215</t>
    <phoneticPr fontId="13"/>
  </si>
  <si>
    <t>N-WGNｶｽﾀﾑ Gﾀｰﾎﾞﾊﾟｯｹｰｼﾞ</t>
    <phoneticPr fontId="13"/>
  </si>
  <si>
    <t>A296043</t>
    <phoneticPr fontId="13"/>
  </si>
  <si>
    <t>JH1-2032035</t>
    <phoneticPr fontId="13"/>
  </si>
  <si>
    <t>13/1</t>
    <phoneticPr fontId="13"/>
  </si>
  <si>
    <t>ﾐﾗｼﾞｰﾉ ﾐﾆﾗｲﾄｽﾍﾟｼｬﾙ</t>
    <phoneticPr fontId="13"/>
  </si>
  <si>
    <t>多摩 583 あ 8340</t>
    <rPh sb="0" eb="2">
      <t>タマ</t>
    </rPh>
    <phoneticPr fontId="13"/>
  </si>
  <si>
    <t>582 あ 8917</t>
    <phoneticPr fontId="13"/>
  </si>
  <si>
    <t>L700S-0191547</t>
    <phoneticPr fontId="13"/>
  </si>
  <si>
    <t>中部自動車販売株式会社</t>
    <rPh sb="0" eb="2">
      <t>チュウブ</t>
    </rPh>
    <rPh sb="2" eb="11">
      <t>ジドウシャハンバイカブシキガイシャ</t>
    </rPh>
    <phoneticPr fontId="13"/>
  </si>
  <si>
    <t>保証書角印なし (保証書扱いなる)</t>
    <rPh sb="0" eb="3">
      <t>ホショウショ</t>
    </rPh>
    <rPh sb="3" eb="5">
      <t>カクイン</t>
    </rPh>
    <rPh sb="9" eb="12">
      <t>ホショウショ</t>
    </rPh>
    <rPh sb="12" eb="13">
      <t>アツカ</t>
    </rPh>
    <phoneticPr fontId="13"/>
  </si>
  <si>
    <t>N-BOX GLﾀｰﾎﾞﾎﾝﾀﾞｾﾝｼﾝｸﾞ</t>
    <phoneticPr fontId="13"/>
  </si>
  <si>
    <t>8/7/21</t>
    <phoneticPr fontId="13"/>
  </si>
  <si>
    <t>熊谷 781 ね 358</t>
    <rPh sb="0" eb="2">
      <t>クマヤ</t>
    </rPh>
    <phoneticPr fontId="13"/>
  </si>
  <si>
    <t>A293016</t>
    <phoneticPr fontId="13"/>
  </si>
  <si>
    <t>JF3-1280486</t>
    <phoneticPr fontId="13"/>
  </si>
  <si>
    <t>株式会社ﾎﾝﾀﾞﾌｧｲﾅﾝｽ</t>
    <rPh sb="0" eb="4">
      <t>カブシキガイシャ</t>
    </rPh>
    <phoneticPr fontId="13"/>
  </si>
  <si>
    <t>9/25</t>
    <phoneticPr fontId="13"/>
  </si>
  <si>
    <t>5/9</t>
    <phoneticPr fontId="13"/>
  </si>
  <si>
    <t>ﾀﾝﾄｶｽﾀﾑ RS</t>
    <phoneticPr fontId="13"/>
  </si>
  <si>
    <t>奈良 596 ゆ 15</t>
    <rPh sb="0" eb="2">
      <t>ナラ</t>
    </rPh>
    <phoneticPr fontId="13"/>
  </si>
  <si>
    <t>582 あ 8918</t>
    <phoneticPr fontId="13"/>
  </si>
  <si>
    <t>ﾐﾗｲﾌﾞ大阪(ｱｲｵｰｸ)</t>
    <rPh sb="6" eb="13">
      <t>（アイオーク）</t>
    </rPh>
    <phoneticPr fontId="13"/>
  </si>
  <si>
    <t>LA650S-0346499</t>
    <phoneticPr fontId="13"/>
  </si>
  <si>
    <t>ｼﾞｬｶﾞｰ Eﾍﾟｲｽ</t>
    <phoneticPr fontId="13"/>
  </si>
  <si>
    <t>練馬 329 す 3025</t>
    <rPh sb="0" eb="2">
      <t>ネリマ</t>
    </rPh>
    <phoneticPr fontId="13"/>
  </si>
  <si>
    <t>SADFA2AN1K1Z54965</t>
    <phoneticPr fontId="13"/>
  </si>
  <si>
    <t>ｵｰｸｽﾓﾋﾞﾘﾃｨ株式会社</t>
    <rPh sb="10" eb="14">
      <t>カブシキガイシャ</t>
    </rPh>
    <phoneticPr fontId="13"/>
  </si>
  <si>
    <t>N-BOXｶｽﾀﾑ Lﾀｰﾎﾞ</t>
    <phoneticPr fontId="13"/>
  </si>
  <si>
    <t>名古屋 58A く 9928</t>
    <rPh sb="0" eb="3">
      <t>ナゴヤ</t>
    </rPh>
    <phoneticPr fontId="13"/>
  </si>
  <si>
    <t>JF3-2372565</t>
    <phoneticPr fontId="13"/>
  </si>
  <si>
    <t>株式会社TOIDA</t>
    <rPh sb="0" eb="4">
      <t>カブシキガイシャ</t>
    </rPh>
    <phoneticPr fontId="13"/>
  </si>
  <si>
    <t>ﾑｰﾌﾞｶｽﾀﾑ X ﾊｲﾊﾟｰ</t>
    <phoneticPr fontId="13"/>
  </si>
  <si>
    <t>岐阜 581 ね 9295</t>
    <rPh sb="0" eb="2">
      <t>ギフ</t>
    </rPh>
    <phoneticPr fontId="13"/>
  </si>
  <si>
    <t>582 あ 8921</t>
    <phoneticPr fontId="13"/>
  </si>
  <si>
    <t>NAA名古屋</t>
    <rPh sb="3" eb="6">
      <t>ナゴヤ</t>
    </rPh>
    <phoneticPr fontId="13"/>
  </si>
  <si>
    <t>LA150S-0028037</t>
    <phoneticPr fontId="13"/>
  </si>
  <si>
    <t>岐阜日産自動車販売株式会社</t>
    <rPh sb="0" eb="4">
      <t>ギフニッサン</t>
    </rPh>
    <rPh sb="4" eb="13">
      <t>ジドウシャハンバイカブシキガイシャ</t>
    </rPh>
    <phoneticPr fontId="13"/>
  </si>
  <si>
    <t>取説 Sｷｰ</t>
    <rPh sb="0" eb="2">
      <t>トリセツ</t>
    </rPh>
    <phoneticPr fontId="13"/>
  </si>
  <si>
    <t>ｳｪｲｸ GﾀｰﾎﾞSA3</t>
    <phoneticPr fontId="13"/>
  </si>
  <si>
    <t>なにわ 5P5 ろ 5599</t>
    <phoneticPr fontId="13"/>
  </si>
  <si>
    <t>LA710S-0035972</t>
    <phoneticPr fontId="13"/>
  </si>
  <si>
    <t>保証書 取説 ｷｰﾚｽ SD3個</t>
    <rPh sb="0" eb="3">
      <t>ホショウショ</t>
    </rPh>
    <rPh sb="4" eb="6">
      <t>トリセツ</t>
    </rPh>
    <rPh sb="15" eb="16">
      <t>コ</t>
    </rPh>
    <phoneticPr fontId="13"/>
  </si>
  <si>
    <t>ﾀﾝﾄ X ｽﾀｲﾙｾﾚｸｼｮﾝ</t>
    <phoneticPr fontId="13"/>
  </si>
  <si>
    <t>9/1</t>
    <phoneticPr fontId="13"/>
  </si>
  <si>
    <t>豊橋 581 う 8218</t>
    <rPh sb="0" eb="2">
      <t>トヨハシ</t>
    </rPh>
    <phoneticPr fontId="13"/>
  </si>
  <si>
    <t>582 あ 8922</t>
    <phoneticPr fontId="13"/>
  </si>
  <si>
    <t>LA650S-0178692</t>
    <phoneticPr fontId="13"/>
  </si>
  <si>
    <t>株式会社渥美ﾓｰﾀｰｽ</t>
    <rPh sb="0" eb="4">
      <t>カブシキガイシャ</t>
    </rPh>
    <rPh sb="4" eb="6">
      <t>アツミ</t>
    </rPh>
    <phoneticPr fontId="13"/>
  </si>
  <si>
    <t>BMWﾐﾆｼﾞｮﾝｸｰﾊﾟｰﾜｰｸｽ ﾌﾟﾚﾐｱﾑﾌﾟﾗｽ</t>
    <phoneticPr fontId="13"/>
  </si>
  <si>
    <t>8/11/17</t>
    <phoneticPr fontId="13"/>
  </si>
  <si>
    <t>神戸 346 そ 1278</t>
    <rPh sb="0" eb="2">
      <t>コウベ</t>
    </rPh>
    <phoneticPr fontId="13"/>
  </si>
  <si>
    <t>301 ね 1825</t>
    <phoneticPr fontId="13"/>
  </si>
  <si>
    <t>WMW72DH0802R32002</t>
    <phoneticPr fontId="13"/>
  </si>
  <si>
    <t>N-BOX GLﾊﾟｯｹｰｼﾞ 福祉車両</t>
    <rPh sb="16" eb="20">
      <t>フクシシャリョウ</t>
    </rPh>
    <phoneticPr fontId="13"/>
  </si>
  <si>
    <t>豊橋 580 ね 124</t>
    <rPh sb="0" eb="2">
      <t>トヨハシ</t>
    </rPh>
    <phoneticPr fontId="13"/>
  </si>
  <si>
    <t>JF1-8502099</t>
    <phoneticPr fontId="13"/>
  </si>
  <si>
    <t>ｻﾝｸｽﾓﾋﾞﾘﾃｨ株式会社</t>
    <rPh sb="10" eb="14">
      <t>カブシキガイシャ</t>
    </rPh>
    <phoneticPr fontId="13"/>
  </si>
  <si>
    <t>保証書 取説 ｽﾏｰﾄｷｰ ﾘﾓｺﾝ ﾜﾝｵｰﾅｰ</t>
    <rPh sb="0" eb="3">
      <t>ホショウショ</t>
    </rPh>
    <rPh sb="4" eb="6">
      <t>トリセツ</t>
    </rPh>
    <phoneticPr fontId="13"/>
  </si>
  <si>
    <t>ﾉｰﾄ eﾊﾟﾜｰS</t>
    <phoneticPr fontId="13"/>
  </si>
  <si>
    <t>8/3/13</t>
    <phoneticPr fontId="13"/>
  </si>
  <si>
    <t>A296161</t>
    <phoneticPr fontId="13"/>
  </si>
  <si>
    <t>E13-186979</t>
    <phoneticPr fontId="13"/>
  </si>
  <si>
    <t>ｳﾞｫｸｼｰ ﾊｲﾌﾞﾘｯﾄZS</t>
    <phoneticPr fontId="13"/>
  </si>
  <si>
    <t>久留米 301 す 4522</t>
    <rPh sb="0" eb="3">
      <t>クルメ</t>
    </rPh>
    <phoneticPr fontId="13"/>
  </si>
  <si>
    <t>A294638</t>
    <phoneticPr fontId="13"/>
  </si>
  <si>
    <t>ZWR80-0444007</t>
    <phoneticPr fontId="13"/>
  </si>
  <si>
    <t>株式会社MB</t>
    <rPh sb="0" eb="4">
      <t>カブシキガイシャ</t>
    </rPh>
    <phoneticPr fontId="13"/>
  </si>
  <si>
    <t>21/4</t>
    <phoneticPr fontId="13"/>
  </si>
  <si>
    <t>ﾊﾟｼﾞｪﾛﾐﾆ ﾅﾋﾞｴﾃﾞｨｼｮﾝ VR</t>
    <phoneticPr fontId="13"/>
  </si>
  <si>
    <t>8/4/20</t>
    <phoneticPr fontId="13"/>
  </si>
  <si>
    <t>香川 581 そ 2199</t>
    <rPh sb="0" eb="2">
      <t>カガワ</t>
    </rPh>
    <phoneticPr fontId="13"/>
  </si>
  <si>
    <t>582 あ 8936</t>
    <phoneticPr fontId="13"/>
  </si>
  <si>
    <t>H58A-0808092</t>
    <phoneticPr fontId="13"/>
  </si>
  <si>
    <t>香川三菱自動車販売株式会社</t>
    <rPh sb="0" eb="2">
      <t>カガワ</t>
    </rPh>
    <rPh sb="2" eb="4">
      <t>ミツビシ</t>
    </rPh>
    <rPh sb="4" eb="13">
      <t>ジドウシャハンバイカブシキガイシャ</t>
    </rPh>
    <phoneticPr fontId="13"/>
  </si>
  <si>
    <t>保証書 取説(車内)記録紙5枚</t>
    <rPh sb="0" eb="3">
      <t>ホショウショ</t>
    </rPh>
    <rPh sb="4" eb="6">
      <t>トリセツ</t>
    </rPh>
    <rPh sb="7" eb="9">
      <t>シャナイ</t>
    </rPh>
    <rPh sb="10" eb="13">
      <t>キロクシ</t>
    </rPh>
    <rPh sb="14" eb="15">
      <t>マイ</t>
    </rPh>
    <phoneticPr fontId="13"/>
  </si>
  <si>
    <t>27/</t>
    <phoneticPr fontId="13"/>
  </si>
  <si>
    <t>ﾚﾝｼﾞﾛｰﾊﾞｰｲｳﾞｫｰｸ</t>
    <phoneticPr fontId="13"/>
  </si>
  <si>
    <t>なにわ 345 る 323</t>
    <phoneticPr fontId="13"/>
  </si>
  <si>
    <t>菅山様</t>
    <rPh sb="0" eb="2">
      <t>スガヤマ</t>
    </rPh>
    <rPh sb="2" eb="3">
      <t>サマ</t>
    </rPh>
    <phoneticPr fontId="13"/>
  </si>
  <si>
    <t>SALVA2AG9FH065975</t>
    <phoneticPr fontId="13"/>
  </si>
  <si>
    <t>菅山 亮</t>
    <rPh sb="0" eb="2">
      <t>スガヤマ</t>
    </rPh>
    <rPh sb="3" eb="4">
      <t>リョウ</t>
    </rPh>
    <phoneticPr fontId="13"/>
  </si>
  <si>
    <t>ﾃﾞｨｽｶﾊﾞﾘｰｽﾎﾟｰﾂ HSEﾗｸﾞｼﾞｭｱﾘｰ</t>
    <phoneticPr fontId="13"/>
  </si>
  <si>
    <t>練馬 302 ね 512</t>
    <rPh sb="0" eb="2">
      <t>ネリマ</t>
    </rPh>
    <phoneticPr fontId="13"/>
  </si>
  <si>
    <t>301 ね 1826</t>
    <phoneticPr fontId="13"/>
  </si>
  <si>
    <t>SALCA2AG6HH678100</t>
    <phoneticPr fontId="13"/>
  </si>
  <si>
    <t>ﾄﾖﾀﾓﾋﾞﾘﾃｨ東京株式会社</t>
    <rPh sb="9" eb="11">
      <t>トウキョウ</t>
    </rPh>
    <rPh sb="11" eb="15">
      <t>カブシキガイシャ</t>
    </rPh>
    <phoneticPr fontId="13"/>
  </si>
  <si>
    <t>取説 ｷｰﾚｽ (車内)保証書</t>
    <rPh sb="0" eb="2">
      <t>トリセツ</t>
    </rPh>
    <rPh sb="12" eb="15">
      <t>ホショウショ</t>
    </rPh>
    <phoneticPr fontId="13"/>
  </si>
  <si>
    <t>ﾊｲｾﾞｯﾄｶｰｺﾞ ﾃﾞﾗｯｸｽSA3</t>
    <phoneticPr fontId="13"/>
  </si>
  <si>
    <t>なにわ 480 ゆ 5555</t>
    <phoneticPr fontId="13"/>
  </si>
  <si>
    <t>S321V-0430127</t>
    <phoneticPr fontId="13"/>
  </si>
  <si>
    <t>杉元 拓也</t>
    <rPh sb="0" eb="2">
      <t>スギモト</t>
    </rPh>
    <rPh sb="3" eb="5">
      <t>タクヤ</t>
    </rPh>
    <phoneticPr fontId="13"/>
  </si>
  <si>
    <t>保証書 取説 ｽﾍﾟｱｷｰ ﾘﾓｺﾝ ﾜﾝｵｰﾅｰ</t>
    <rPh sb="0" eb="3">
      <t>ホショウショ</t>
    </rPh>
    <rPh sb="4" eb="6">
      <t>トリセツ</t>
    </rPh>
    <phoneticPr fontId="13"/>
  </si>
  <si>
    <t>ﾊｲｴｰｽﾊﾞﾝ ｽｰﾊﾟｰGL</t>
    <phoneticPr fontId="13"/>
  </si>
  <si>
    <t>8/8/1</t>
    <phoneticPr fontId="13"/>
  </si>
  <si>
    <t>A295306</t>
    <phoneticPr fontId="13"/>
  </si>
  <si>
    <t>TRH200-0361116</t>
    <phoneticPr fontId="13"/>
  </si>
  <si>
    <t>ﾃﾞｲｽﾞﾙｰｸｽ X ﾊｲｳｪｲｽﾀｰGﾊﾟｯｹｰｼﾞ</t>
    <phoneticPr fontId="13"/>
  </si>
  <si>
    <t>名古屋 599 ろ 8268</t>
    <rPh sb="0" eb="3">
      <t>ナゴヤ</t>
    </rPh>
    <phoneticPr fontId="13"/>
  </si>
  <si>
    <t>B21A-0253748</t>
    <phoneticPr fontId="13"/>
  </si>
  <si>
    <t>地図SD</t>
    <phoneticPr fontId="13"/>
  </si>
  <si>
    <t>ｷｬﾘｲﾄﾗｯｸ KX</t>
    <phoneticPr fontId="13"/>
  </si>
  <si>
    <t>豊橋 480 そ 7527</t>
    <rPh sb="0" eb="2">
      <t>トヨハシ</t>
    </rPh>
    <phoneticPr fontId="13"/>
  </si>
  <si>
    <t>DA16T-177477</t>
    <phoneticPr fontId="13"/>
  </si>
  <si>
    <t>ｶﾛｰﾗﾌｨｰﾙﾀﾞｰ ﾊｲﾌﾞﾘｯﾄG</t>
    <phoneticPr fontId="13"/>
  </si>
  <si>
    <t>三河 503 さ 4641</t>
    <rPh sb="0" eb="2">
      <t>ミカワ</t>
    </rPh>
    <phoneticPr fontId="13"/>
  </si>
  <si>
    <t>NKE165-7184941</t>
    <phoneticPr fontId="13"/>
  </si>
  <si>
    <t>ﾄﾖﾀｶﾛｰﾗ愛知株式会社</t>
    <rPh sb="7" eb="9">
      <t>アイチ</t>
    </rPh>
    <rPh sb="9" eb="13">
      <t>カブシキガイシャ</t>
    </rPh>
    <phoneticPr fontId="13"/>
  </si>
  <si>
    <t>ｳﾞｪﾙﾌｧｲｱ 2.4Z ｺﾞｰﾙﾃﾞﾝｱｲｽﾞ</t>
    <phoneticPr fontId="13"/>
  </si>
  <si>
    <t>名古屋 339 つ 773</t>
    <rPh sb="0" eb="3">
      <t>ナゴヤ</t>
    </rPh>
    <phoneticPr fontId="13"/>
  </si>
  <si>
    <t>ANH20-8260763</t>
    <phoneticPr fontId="13"/>
  </si>
  <si>
    <t>東海ﾏﾂﾀﾞ販売株式会社</t>
    <rPh sb="0" eb="2">
      <t>トウカイ</t>
    </rPh>
    <rPh sb="6" eb="12">
      <t>ハンバイカブシキガイシャ</t>
    </rPh>
    <phoneticPr fontId="13"/>
  </si>
  <si>
    <t>24/8</t>
    <phoneticPr fontId="13"/>
  </si>
  <si>
    <t>ｱﾙﾄﾗﾊﾟﾝ G</t>
    <phoneticPr fontId="13"/>
  </si>
  <si>
    <t>福井 583 た 136</t>
    <rPh sb="0" eb="2">
      <t>フクイ</t>
    </rPh>
    <phoneticPr fontId="13"/>
  </si>
  <si>
    <t>HE22S-250286</t>
    <phoneticPr fontId="13"/>
  </si>
  <si>
    <t>福井ｽｽﾞｷ自動車販売株式会社</t>
    <rPh sb="0" eb="2">
      <t>フクイ</t>
    </rPh>
    <rPh sb="6" eb="9">
      <t>ジドウシャ</t>
    </rPh>
    <rPh sb="9" eb="15">
      <t>ハンバイカブシキガイシャ</t>
    </rPh>
    <phoneticPr fontId="13"/>
  </si>
  <si>
    <t>名古屋 599 ろ 8290</t>
    <rPh sb="0" eb="3">
      <t>ナゴヤ</t>
    </rPh>
    <phoneticPr fontId="13"/>
  </si>
  <si>
    <t>MH34S-349529</t>
    <phoneticPr fontId="13"/>
  </si>
  <si>
    <t>ｷﾘｯｸｽﾘｰｽ株式会社</t>
    <rPh sb="8" eb="12">
      <t>カブシキガイシャ</t>
    </rPh>
    <phoneticPr fontId="13"/>
  </si>
  <si>
    <t>9/8</t>
    <phoneticPr fontId="13"/>
  </si>
  <si>
    <t>ｷｬｽﾄ ｽﾀｲﾙG</t>
    <phoneticPr fontId="13"/>
  </si>
  <si>
    <t>岐阜 582 ね 5030</t>
    <rPh sb="0" eb="2">
      <t>ギフ</t>
    </rPh>
    <phoneticPr fontId="13"/>
  </si>
  <si>
    <t>NAA名古屋(まとめ)</t>
    <rPh sb="3" eb="6">
      <t>ナゴヤ</t>
    </rPh>
    <phoneticPr fontId="13"/>
  </si>
  <si>
    <t>LA250S-0230287</t>
    <phoneticPr fontId="13"/>
  </si>
  <si>
    <t>岐阜日産自動車株式会社</t>
    <rPh sb="0" eb="7">
      <t>ギフニッサンジドウシャ</t>
    </rPh>
    <rPh sb="7" eb="11">
      <t>カブシキカイシャ</t>
    </rPh>
    <phoneticPr fontId="13"/>
  </si>
  <si>
    <t>保証書 取説 ｷｰﾚｽ 地図SD</t>
    <rPh sb="0" eb="3">
      <t>ホショウショ</t>
    </rPh>
    <rPh sb="4" eb="6">
      <t>トリセツ</t>
    </rPh>
    <rPh sb="12" eb="14">
      <t>チズ</t>
    </rPh>
    <phoneticPr fontId="13"/>
  </si>
  <si>
    <t>岐阜 582 む 2967</t>
    <rPh sb="0" eb="2">
      <t>ギフ</t>
    </rPh>
    <phoneticPr fontId="13"/>
  </si>
  <si>
    <t>582 あ 8850</t>
    <phoneticPr fontId="13"/>
  </si>
  <si>
    <t>MH85S-208792</t>
    <phoneticPr fontId="13"/>
  </si>
  <si>
    <t>有限会社宇野ﾓｰﾀｰｽ</t>
    <rPh sb="0" eb="4">
      <t>ユウゲンガイシャ</t>
    </rPh>
    <rPh sb="4" eb="6">
      <t>ウノ</t>
    </rPh>
    <phoneticPr fontId="13"/>
  </si>
  <si>
    <t>京都 588 ろ 7020</t>
    <rPh sb="0" eb="2">
      <t>キョウト</t>
    </rPh>
    <phoneticPr fontId="13"/>
  </si>
  <si>
    <t>保証書なしｸﾚｰﾑ済み</t>
    <rPh sb="0" eb="3">
      <t>ホショウショ</t>
    </rPh>
    <rPh sb="9" eb="10">
      <t>ズ</t>
    </rPh>
    <phoneticPr fontId="13"/>
  </si>
  <si>
    <t>MR41S-298034</t>
    <phoneticPr fontId="13"/>
  </si>
  <si>
    <t>有限会社大藪自動車工業</t>
    <rPh sb="0" eb="4">
      <t>ユウゲンガイシャ</t>
    </rPh>
    <rPh sb="4" eb="5">
      <t>ダイ</t>
    </rPh>
    <rPh sb="5" eb="6">
      <t>ヤブ</t>
    </rPh>
    <rPh sb="6" eb="9">
      <t>ジドウシャ</t>
    </rPh>
    <rPh sb="9" eb="11">
      <t>コウギョウ</t>
    </rPh>
    <phoneticPr fontId="13"/>
  </si>
  <si>
    <r>
      <t xml:space="preserve">取説 ﾅﾋﾞ取 地図SD </t>
    </r>
    <r>
      <rPr>
        <sz val="11"/>
        <color rgb="FFFF0000"/>
        <rFont val="ＭＳ Ｐゴシック"/>
        <family val="3"/>
        <charset val="128"/>
        <scheme val="minor"/>
      </rPr>
      <t>保証書なし</t>
    </r>
    <rPh sb="0" eb="2">
      <t>トリセツ</t>
    </rPh>
    <rPh sb="6" eb="7">
      <t>　</t>
    </rPh>
    <rPh sb="8" eb="9">
      <t>チズ</t>
    </rPh>
    <rPh sb="9" eb="11">
      <t>ＳＤ</t>
    </rPh>
    <rPh sb="13" eb="16">
      <t>ホショウショ</t>
    </rPh>
    <phoneticPr fontId="13"/>
  </si>
  <si>
    <t>15/1</t>
    <phoneticPr fontId="13"/>
  </si>
  <si>
    <t>ﾈｲｷｯﾄﾞ ﾀｰﾎﾞG</t>
    <phoneticPr fontId="13"/>
  </si>
  <si>
    <t>8/2/21</t>
    <phoneticPr fontId="13"/>
  </si>
  <si>
    <t>静岡 583 か 4545</t>
    <rPh sb="0" eb="2">
      <t>シズオカ</t>
    </rPh>
    <phoneticPr fontId="13"/>
  </si>
  <si>
    <t>582 あ 8923</t>
    <phoneticPr fontId="13"/>
  </si>
  <si>
    <t>L750S-0064753</t>
    <phoneticPr fontId="13"/>
  </si>
  <si>
    <t>株式会社EVIMA</t>
    <rPh sb="0" eb="4">
      <t>カブシキガイシャ</t>
    </rPh>
    <phoneticPr fontId="13"/>
  </si>
  <si>
    <t>保証書(ﾃﾞｨｰﾗｰ印なし 点検に印あり保扱い)取説 ｷｰﾚｽ</t>
    <rPh sb="0" eb="3">
      <t>ホショウショ</t>
    </rPh>
    <rPh sb="10" eb="11">
      <t>イン</t>
    </rPh>
    <rPh sb="14" eb="16">
      <t>テンケン</t>
    </rPh>
    <rPh sb="17" eb="18">
      <t>イン</t>
    </rPh>
    <rPh sb="20" eb="22">
      <t>アツカイ</t>
    </rPh>
    <rPh sb="24" eb="26">
      <t>トリセツ</t>
    </rPh>
    <phoneticPr fontId="13"/>
  </si>
  <si>
    <t>ﾊｽﾗｰ Jｽﾀｲﾙﾀｰﾎﾞ</t>
    <phoneticPr fontId="13"/>
  </si>
  <si>
    <t>8/2/14</t>
    <phoneticPr fontId="13"/>
  </si>
  <si>
    <t>長野 581 と 3017</t>
    <rPh sb="0" eb="2">
      <t>ナガノ</t>
    </rPh>
    <phoneticPr fontId="13"/>
  </si>
  <si>
    <t>582 あ 8848</t>
    <phoneticPr fontId="13"/>
  </si>
  <si>
    <t>MR52S-128495</t>
    <phoneticPr fontId="13"/>
  </si>
  <si>
    <t>春日井 580 わ 1287</t>
    <rPh sb="0" eb="3">
      <t>カスガイ</t>
    </rPh>
    <phoneticPr fontId="13"/>
  </si>
  <si>
    <t>保証書 取説 ｽﾍﾟｱｷｰ ﾚﾝﾀｶｰ</t>
    <rPh sb="0" eb="3">
      <t>ホショウショ</t>
    </rPh>
    <rPh sb="4" eb="6">
      <t>トリセツ</t>
    </rPh>
    <phoneticPr fontId="13"/>
  </si>
  <si>
    <t>582 あ 8845</t>
    <phoneticPr fontId="13"/>
  </si>
  <si>
    <t>DA17W-210614</t>
    <phoneticPr fontId="13"/>
  </si>
  <si>
    <t>株式会社ｸﾞｯﾄﾞｽﾋﾟｰﾄﾞ</t>
    <rPh sb="0" eb="4">
      <t>カブシキガイシャ</t>
    </rPh>
    <phoneticPr fontId="13"/>
  </si>
  <si>
    <t>保証書 取説 ﾅﾋﾞ取 ｷｰﾚｽ ｽﾍﾟｱｷｰ ﾚﾝﾀｶｰ</t>
    <rPh sb="0" eb="3">
      <t>ホショウショ</t>
    </rPh>
    <rPh sb="4" eb="6">
      <t>トリセツ</t>
    </rPh>
    <rPh sb="10" eb="11">
      <t>トリ</t>
    </rPh>
    <phoneticPr fontId="13"/>
  </si>
  <si>
    <t>ｷｬｽﾄ ｽﾀｲﾙX ﾘﾐﾃｯﾄﾞSA3</t>
    <phoneticPr fontId="13"/>
  </si>
  <si>
    <t>三河 581 う 7563</t>
    <rPh sb="0" eb="2">
      <t>ミカワ</t>
    </rPh>
    <phoneticPr fontId="13"/>
  </si>
  <si>
    <t>582 あ 8925</t>
    <phoneticPr fontId="13"/>
  </si>
  <si>
    <t>LA250S-0182886</t>
    <phoneticPr fontId="13"/>
  </si>
  <si>
    <t>平山 千恵</t>
    <rPh sb="0" eb="2">
      <t>ヒラヤマ</t>
    </rPh>
    <rPh sb="3" eb="5">
      <t>チエ</t>
    </rPh>
    <phoneticPr fontId="13"/>
  </si>
  <si>
    <t>保証書 取説 地図SD(車内)</t>
    <rPh sb="0" eb="3">
      <t>ホショウショ</t>
    </rPh>
    <rPh sb="4" eb="6">
      <t>トリセツ</t>
    </rPh>
    <phoneticPr fontId="13"/>
  </si>
  <si>
    <t>なにわ 430 と 317</t>
    <phoneticPr fontId="13"/>
  </si>
  <si>
    <t>A277661</t>
    <phoneticPr fontId="13"/>
  </si>
  <si>
    <t>TRH200-0363924</t>
    <phoneticPr fontId="13"/>
  </si>
  <si>
    <t>碓井　貴裕</t>
    <rPh sb="0" eb="2">
      <t>ウスイ</t>
    </rPh>
    <rPh sb="3" eb="5">
      <t>タカヒロ</t>
    </rPh>
    <phoneticPr fontId="13"/>
  </si>
  <si>
    <t>保証書　取説</t>
    <rPh sb="0" eb="3">
      <t>ホショウショ</t>
    </rPh>
    <rPh sb="4" eb="6">
      <t>トリセツ</t>
    </rPh>
    <phoneticPr fontId="13"/>
  </si>
  <si>
    <t>ﾀﾝﾄ ｶｽﾀﾑRS</t>
    <phoneticPr fontId="13"/>
  </si>
  <si>
    <t>9/2/20</t>
    <phoneticPr fontId="13"/>
  </si>
  <si>
    <t>島根 581 え 3192</t>
    <rPh sb="0" eb="2">
      <t>シマネ</t>
    </rPh>
    <phoneticPr fontId="13"/>
  </si>
  <si>
    <t>582 あ 8927</t>
    <phoneticPr fontId="13"/>
  </si>
  <si>
    <t>LA650S-0073299</t>
    <phoneticPr fontId="13"/>
  </si>
  <si>
    <t>新田 朋生</t>
    <rPh sb="0" eb="2">
      <t>ニッタ</t>
    </rPh>
    <rPh sb="3" eb="4">
      <t>トモ</t>
    </rPh>
    <rPh sb="4" eb="5">
      <t>イ</t>
    </rPh>
    <phoneticPr fontId="13"/>
  </si>
  <si>
    <t>地図SD(車内)保証書 ｷｰﾚｽ</t>
    <rPh sb="0" eb="2">
      <t>チズ</t>
    </rPh>
    <rPh sb="5" eb="7">
      <t>シャナイ</t>
    </rPh>
    <rPh sb="8" eb="11">
      <t>ホショウショ</t>
    </rPh>
    <phoneticPr fontId="13"/>
  </si>
  <si>
    <t>25/12</t>
    <phoneticPr fontId="13"/>
  </si>
  <si>
    <t>ｼﾞﾑﾆｰ ｸﾛｽｱﾄﾞﾍﾞﾝﾁｬｰ</t>
    <phoneticPr fontId="13"/>
  </si>
  <si>
    <t>高知 583 あ 453</t>
    <rPh sb="0" eb="2">
      <t>コウチ</t>
    </rPh>
    <phoneticPr fontId="13"/>
  </si>
  <si>
    <t>582 あ 8910</t>
    <phoneticPr fontId="13"/>
  </si>
  <si>
    <t>JB23W-704640</t>
    <phoneticPr fontId="13"/>
  </si>
  <si>
    <t>洒井 雄平</t>
    <rPh sb="0" eb="2">
      <t>サカイ</t>
    </rPh>
    <rPh sb="3" eb="4">
      <t>オ</t>
    </rPh>
    <rPh sb="4" eb="5">
      <t>ヒラ</t>
    </rPh>
    <phoneticPr fontId="13"/>
  </si>
  <si>
    <t>ｽﾍﾟｰｼｱﾊｲﾌﾞﾘｯﾄG</t>
    <phoneticPr fontId="13"/>
  </si>
  <si>
    <t>出雲 580 あ 2400</t>
    <rPh sb="0" eb="2">
      <t>イズモ</t>
    </rPh>
    <phoneticPr fontId="13"/>
  </si>
  <si>
    <t>MK53S-316907</t>
    <phoneticPr fontId="13"/>
  </si>
  <si>
    <t>ﾆｼｵ有限会社</t>
    <rPh sb="3" eb="7">
      <t>ユウゲンガイシャ</t>
    </rPh>
    <phoneticPr fontId="13"/>
  </si>
  <si>
    <t>保証書 取説 ｷｰﾚｽ ﾅﾋﾞ取 ﾜﾝｵｰﾅｰ</t>
    <rPh sb="0" eb="3">
      <t>ホショウショ</t>
    </rPh>
    <rPh sb="4" eb="6">
      <t>トリセツ</t>
    </rPh>
    <rPh sb="15" eb="16">
      <t>トリ</t>
    </rPh>
    <phoneticPr fontId="13"/>
  </si>
  <si>
    <t>VW ｻﾞﾋﾞｰﾄﾙ Rﾗｲﾝ ﾏｲｽﾀｰ</t>
    <phoneticPr fontId="13"/>
  </si>
  <si>
    <t>8/9/26</t>
    <phoneticPr fontId="13"/>
  </si>
  <si>
    <t>神戸 304 も 4663</t>
    <rPh sb="0" eb="2">
      <t>コウベ</t>
    </rPh>
    <phoneticPr fontId="13"/>
  </si>
  <si>
    <t>WVWZZZ16ZKM720152</t>
    <phoneticPr fontId="13"/>
  </si>
  <si>
    <r>
      <rPr>
        <sz val="11"/>
        <color rgb="FFFF0000"/>
        <rFont val="ＭＳ Ｐゴシック"/>
        <family val="3"/>
        <charset val="128"/>
        <scheme val="minor"/>
      </rPr>
      <t xml:space="preserve">地図SD問い合わせ中ﾅﾋﾞなしｸﾚｰﾑにはならない？ </t>
    </r>
    <r>
      <rPr>
        <sz val="11"/>
        <color theme="3"/>
        <rFont val="ＭＳ Ｐゴシック"/>
        <family val="3"/>
        <charset val="128"/>
        <scheme val="minor"/>
      </rPr>
      <t>ｷｰﾚｽ</t>
    </r>
    <rPh sb="0" eb="2">
      <t>チズ</t>
    </rPh>
    <rPh sb="4" eb="5">
      <t>ト</t>
    </rPh>
    <rPh sb="6" eb="7">
      <t>ア</t>
    </rPh>
    <rPh sb="9" eb="10">
      <t>チュウ</t>
    </rPh>
    <phoneticPr fontId="13"/>
  </si>
  <si>
    <t>品番；NK-SD-10</t>
    <rPh sb="0" eb="2">
      <t>ヒンバン</t>
    </rPh>
    <phoneticPr fontId="13"/>
  </si>
  <si>
    <t xml:space="preserve">ｼﾞｰﾌﾟﾗﾝｸﾞﾗｰｱﾝﾘﾐﾃｯﾄﾞ </t>
    <phoneticPr fontId="13"/>
  </si>
  <si>
    <t>品川 39A み 1047</t>
    <rPh sb="0" eb="2">
      <t>シナガワ</t>
    </rPh>
    <phoneticPr fontId="13"/>
  </si>
  <si>
    <t>整備手帳 取説</t>
    <rPh sb="0" eb="4">
      <t>セイビテチョウ</t>
    </rPh>
    <rPh sb="5" eb="7">
      <t>トリセツ</t>
    </rPh>
    <phoneticPr fontId="13"/>
  </si>
  <si>
    <t>1C4HJXLN0LW258701</t>
    <phoneticPr fontId="13"/>
  </si>
  <si>
    <t>株式会社ｵｰｸﾈｯﾄ</t>
    <rPh sb="0" eb="4">
      <t>カブシキガイシャ</t>
    </rPh>
    <phoneticPr fontId="13"/>
  </si>
  <si>
    <t>品川 39A ま 112</t>
    <rPh sb="0" eb="2">
      <t>シナガワ</t>
    </rPh>
    <phoneticPr fontId="13"/>
  </si>
  <si>
    <t>WMWYT920203L89764</t>
    <phoneticPr fontId="13"/>
  </si>
  <si>
    <t>ｱﾄﾚｰﾜｺﾞﾝ ｶｽﾀﾑﾀｰﾎﾞRS</t>
    <phoneticPr fontId="13"/>
  </si>
  <si>
    <t>8/11/26</t>
    <phoneticPr fontId="13"/>
  </si>
  <si>
    <t>福岡 581き 7177</t>
    <rPh sb="0" eb="2">
      <t>フクオカ</t>
    </rPh>
    <phoneticPr fontId="13"/>
  </si>
  <si>
    <t>A298005</t>
    <phoneticPr fontId="13"/>
  </si>
  <si>
    <t>S321G-0056847</t>
    <phoneticPr fontId="13"/>
  </si>
  <si>
    <t>半田 信幸</t>
    <rPh sb="0" eb="2">
      <t>ハンダ</t>
    </rPh>
    <rPh sb="3" eb="5">
      <t>ノブユキ</t>
    </rPh>
    <phoneticPr fontId="13"/>
  </si>
  <si>
    <t>N-BOX GL ﾊﾟｯｹｰｼﾞ</t>
    <phoneticPr fontId="13"/>
  </si>
  <si>
    <t>鳥取 580 と 7681</t>
    <rPh sb="0" eb="2">
      <t>トットリ</t>
    </rPh>
    <phoneticPr fontId="13"/>
  </si>
  <si>
    <t>ﾎﾝﾀﾞ関西(まとめ)</t>
    <rPh sb="4" eb="6">
      <t>カンサイ</t>
    </rPh>
    <phoneticPr fontId="13"/>
  </si>
  <si>
    <t>JF1-1498734</t>
    <phoneticPr fontId="13"/>
  </si>
  <si>
    <t>ﾎﾝﾀﾞ山陰中央株式会社</t>
    <rPh sb="4" eb="6">
      <t>サンイン</t>
    </rPh>
    <rPh sb="6" eb="8">
      <t>チュウオウ</t>
    </rPh>
    <rPh sb="8" eb="12">
      <t>カブシキガイシャ</t>
    </rPh>
    <phoneticPr fontId="13"/>
  </si>
  <si>
    <t>18/11</t>
    <phoneticPr fontId="13"/>
  </si>
  <si>
    <t>ﾐﾗｼﾞｰﾉ X</t>
    <phoneticPr fontId="13"/>
  </si>
  <si>
    <t>和泉 580 さ 5966</t>
    <rPh sb="0" eb="2">
      <t>イズミ</t>
    </rPh>
    <phoneticPr fontId="13"/>
  </si>
  <si>
    <t>L650S-0051523</t>
    <phoneticPr fontId="13"/>
  </si>
  <si>
    <t>坂東 百菜美</t>
    <rPh sb="0" eb="1">
      <t>サカ</t>
    </rPh>
    <rPh sb="1" eb="2">
      <t>ヒガシ</t>
    </rPh>
    <rPh sb="3" eb="4">
      <t>モモ</t>
    </rPh>
    <rPh sb="4" eb="6">
      <t>ナミ</t>
    </rPh>
    <phoneticPr fontId="13"/>
  </si>
  <si>
    <t>ﾊｽﾗｰ J</t>
    <phoneticPr fontId="13"/>
  </si>
  <si>
    <t>広島 581 は 6868</t>
    <rPh sb="0" eb="2">
      <t>ヒロシマ</t>
    </rPh>
    <phoneticPr fontId="13"/>
  </si>
  <si>
    <t>MR41S-355402</t>
    <phoneticPr fontId="13"/>
  </si>
  <si>
    <t>株式会社広島自動車検査場</t>
    <rPh sb="0" eb="4">
      <t>カブシキガイシャ</t>
    </rPh>
    <rPh sb="4" eb="6">
      <t>ヒロシマ</t>
    </rPh>
    <rPh sb="6" eb="9">
      <t>ジドウシャ</t>
    </rPh>
    <rPh sb="9" eb="12">
      <t>ケンサジョウ</t>
    </rPh>
    <phoneticPr fontId="13"/>
  </si>
  <si>
    <t>9/11</t>
    <phoneticPr fontId="13"/>
  </si>
  <si>
    <t>地図SD(車内)保証書 取説</t>
    <rPh sb="0" eb="2">
      <t>チズ</t>
    </rPh>
    <rPh sb="8" eb="11">
      <t>ホショウショ</t>
    </rPh>
    <rPh sb="12" eb="14">
      <t>トリセツ</t>
    </rPh>
    <phoneticPr fontId="13"/>
  </si>
  <si>
    <t>ｽﾍﾟｰｼｱ ﾊｲﾌﾞﾘｯﾄG</t>
    <phoneticPr fontId="13"/>
  </si>
  <si>
    <t>品川 5X0 ろ 8860</t>
    <rPh sb="0" eb="2">
      <t>シナガワ</t>
    </rPh>
    <phoneticPr fontId="13"/>
  </si>
  <si>
    <t>ｵﾘｯｸｽ福岡(ｱｲｵｰｸ)</t>
    <rPh sb="5" eb="7">
      <t>フクオカ</t>
    </rPh>
    <phoneticPr fontId="13"/>
  </si>
  <si>
    <t>MK53S-337848</t>
    <phoneticPr fontId="13"/>
  </si>
  <si>
    <t>記録紙1枚</t>
    <rPh sb="0" eb="3">
      <t>キロクシ</t>
    </rPh>
    <rPh sb="4" eb="5">
      <t>マイ</t>
    </rPh>
    <phoneticPr fontId="13"/>
  </si>
  <si>
    <t>NV100ｸﾘｯﾊﾟｰ ﾊﾞﾝ GX</t>
    <phoneticPr fontId="13"/>
  </si>
  <si>
    <t>岐阜 480 の 5244</t>
    <rPh sb="0" eb="2">
      <t>ギフ</t>
    </rPh>
    <phoneticPr fontId="13"/>
  </si>
  <si>
    <t>DR17V-570579</t>
    <phoneticPr fontId="13"/>
  </si>
  <si>
    <t>ﾄﾖﾀｶﾛｰﾗﾈｯﾂ岐阜株式会社</t>
    <rPh sb="10" eb="12">
      <t>ギフ</t>
    </rPh>
    <rPh sb="12" eb="16">
      <t>カブシキガイシャ</t>
    </rPh>
    <phoneticPr fontId="13"/>
  </si>
  <si>
    <t>豊橋 580 み 8233</t>
    <rPh sb="0" eb="2">
      <t>トヨハシ</t>
    </rPh>
    <phoneticPr fontId="13"/>
  </si>
  <si>
    <t>JF1-1970892</t>
    <phoneticPr fontId="13"/>
  </si>
  <si>
    <t>株式会社ｽｽﾞｷ自販東海</t>
    <rPh sb="0" eb="4">
      <t>カブシキガイシャ</t>
    </rPh>
    <rPh sb="8" eb="10">
      <t>ジハン</t>
    </rPh>
    <rPh sb="10" eb="12">
      <t>トウカイ</t>
    </rPh>
    <phoneticPr fontId="13"/>
  </si>
  <si>
    <t>ｷｰﾚｽ(ﾒｶｷｰなし)(車内)保証書 取説 ﾅﾋﾞ取</t>
    <rPh sb="16" eb="19">
      <t>ホショウショ</t>
    </rPh>
    <rPh sb="20" eb="22">
      <t>トリセツ</t>
    </rPh>
    <rPh sb="26" eb="27">
      <t>トリ</t>
    </rPh>
    <phoneticPr fontId="13"/>
  </si>
  <si>
    <t>ﾒﾙｾﾃﾞｽﾍﾞﾝﾂ Aｸﾗｽ 180 ｴﾃﾞｨｼｮﾝ</t>
    <phoneticPr fontId="13"/>
  </si>
  <si>
    <t>香川 316 や 5000</t>
    <rPh sb="0" eb="2">
      <t>カガワ</t>
    </rPh>
    <phoneticPr fontId="13"/>
  </si>
  <si>
    <t>WDD1770842J047555</t>
    <phoneticPr fontId="13"/>
  </si>
  <si>
    <t>宮武 知基</t>
    <rPh sb="0" eb="1">
      <t>ミヤ</t>
    </rPh>
    <rPh sb="3" eb="4">
      <t>チ</t>
    </rPh>
    <rPh sb="4" eb="5">
      <t>モトイ</t>
    </rPh>
    <phoneticPr fontId="13"/>
  </si>
  <si>
    <t>ﾐﾗｺｺｱ X</t>
    <phoneticPr fontId="13"/>
  </si>
  <si>
    <t>名古屋 599 ろ 8159</t>
    <rPh sb="0" eb="3">
      <t>ナゴヤ</t>
    </rPh>
    <phoneticPr fontId="13"/>
  </si>
  <si>
    <t>L675S-0195980</t>
    <phoneticPr fontId="13"/>
  </si>
  <si>
    <t>ｷｬﾘｰﾄﾗｯｸ KX</t>
    <phoneticPr fontId="13"/>
  </si>
  <si>
    <t>豊橋 480 そ 96</t>
    <rPh sb="0" eb="2">
      <t>トヨハシ</t>
    </rPh>
    <phoneticPr fontId="13"/>
  </si>
  <si>
    <t>ﾓｽｸﾞﾚｰ</t>
    <phoneticPr fontId="13"/>
  </si>
  <si>
    <t>DA16T-799631</t>
    <phoneticPr fontId="13"/>
  </si>
  <si>
    <t>有限会社ﾌｼﾞﾐｵｰﾄ</t>
    <rPh sb="0" eb="4">
      <t>ユウゲンガイシャ</t>
    </rPh>
    <phoneticPr fontId="13"/>
  </si>
  <si>
    <t>ﾊｽﾗｰ ﾊｲﾌﾞﾘｯﾄ Xﾀｰﾎﾞ</t>
    <phoneticPr fontId="13"/>
  </si>
  <si>
    <t>品川 5X0 ろ 9872</t>
    <rPh sb="0" eb="2">
      <t>シナガワ</t>
    </rPh>
    <phoneticPr fontId="13"/>
  </si>
  <si>
    <t>MR52S-152240</t>
    <phoneticPr fontId="13"/>
  </si>
  <si>
    <t>ﾑｰﾌﾞｷｬﾝﾊﾞｽ ｽﾄﾗｲﾌﾟG</t>
    <phoneticPr fontId="13"/>
  </si>
  <si>
    <t>品川 5X0 ろ 9873</t>
    <rPh sb="0" eb="2">
      <t>シナガワ</t>
    </rPh>
    <phoneticPr fontId="13"/>
  </si>
  <si>
    <t>LA850S-0059743</t>
    <phoneticPr fontId="13"/>
  </si>
  <si>
    <t>VW ｺﾞﾙﾌ R</t>
    <phoneticPr fontId="13"/>
  </si>
  <si>
    <t>8/11/23</t>
    <phoneticPr fontId="13"/>
  </si>
  <si>
    <t>奈良 301 ね 130</t>
    <rPh sb="0" eb="2">
      <t>ナラ</t>
    </rPh>
    <phoneticPr fontId="13"/>
  </si>
  <si>
    <t>WVWZZZAUZJW060423</t>
    <phoneticPr fontId="13"/>
  </si>
  <si>
    <t>奈良中央三菱自動車販売株式会社</t>
    <rPh sb="0" eb="2">
      <t>ナラ</t>
    </rPh>
    <rPh sb="2" eb="4">
      <t>チュウオウ</t>
    </rPh>
    <rPh sb="4" eb="6">
      <t>ミツビシ</t>
    </rPh>
    <rPh sb="6" eb="9">
      <t>ジドウシャ</t>
    </rPh>
    <rPh sb="9" eb="11">
      <t>ハンバイ</t>
    </rPh>
    <rPh sb="11" eb="15">
      <t>カブシキガイシャ</t>
    </rPh>
    <phoneticPr fontId="13"/>
  </si>
  <si>
    <t>ﾜｺﾞﾝR ｶｽﾀﾑZ ﾊｲﾌﾞﾘｯﾄZX</t>
    <phoneticPr fontId="13"/>
  </si>
  <si>
    <t>京都 582 く 4023</t>
    <rPh sb="0" eb="2">
      <t>キョウト</t>
    </rPh>
    <phoneticPr fontId="13"/>
  </si>
  <si>
    <t>MH95S-222955</t>
    <phoneticPr fontId="13"/>
  </si>
  <si>
    <t>株式会社ﾌｼﾞｻﾝｵｰﾄ</t>
    <rPh sb="0" eb="4">
      <t>カブシキガイシャ</t>
    </rPh>
    <phoneticPr fontId="13"/>
  </si>
  <si>
    <t>保証書 取説 SD ｷｰﾚｽ ﾜﾝｵｰﾅｰ</t>
    <rPh sb="0" eb="3">
      <t>ホショウショ</t>
    </rPh>
    <rPh sb="4" eb="6">
      <t>トリセツ</t>
    </rPh>
    <phoneticPr fontId="13"/>
  </si>
  <si>
    <t>BMW 3ｼﾘｰｽﾞ 320d xdrive Mｽﾎﾟｰﾂ</t>
    <phoneticPr fontId="13"/>
  </si>
  <si>
    <t>名古屋 370 み 20</t>
    <rPh sb="0" eb="3">
      <t>ナゴヤ</t>
    </rPh>
    <phoneticPr fontId="13"/>
  </si>
  <si>
    <t>WBA5V72000FH38987</t>
    <phoneticPr fontId="13"/>
  </si>
  <si>
    <t>ｼﾄﾛｴﾝ C3ｼｬｲﾝ</t>
    <phoneticPr fontId="13"/>
  </si>
  <si>
    <t>8/9/18</t>
    <phoneticPr fontId="13"/>
  </si>
  <si>
    <t>豊橋 301 み 5572</t>
    <rPh sb="0" eb="2">
      <t>トヨハシ</t>
    </rPh>
    <phoneticPr fontId="13"/>
  </si>
  <si>
    <t>Tha Vehicles株式会社</t>
    <rPh sb="12" eb="16">
      <t>カブシキガイシャ</t>
    </rPh>
    <phoneticPr fontId="13"/>
  </si>
  <si>
    <t>8/10/6</t>
    <phoneticPr fontId="13"/>
  </si>
  <si>
    <t>福井 580 つ 6218</t>
    <rPh sb="0" eb="2">
      <t>フクイ</t>
    </rPh>
    <phoneticPr fontId="13"/>
  </si>
  <si>
    <t>MH23S-685336</t>
    <phoneticPr fontId="13"/>
  </si>
  <si>
    <t>株式会社ｶｰﾈｰｼｮﾝ</t>
    <rPh sb="0" eb="4">
      <t>カブシキガイシャ</t>
    </rPh>
    <phoneticPr fontId="13"/>
  </si>
  <si>
    <t>記録紙2枚</t>
    <rPh sb="0" eb="3">
      <t>キロクシ</t>
    </rPh>
    <rPh sb="4" eb="5">
      <t>マイ</t>
    </rPh>
    <phoneticPr fontId="13"/>
  </si>
  <si>
    <t>ﾑｰﾌﾞｶｽﾀﾑ X SA</t>
    <phoneticPr fontId="13"/>
  </si>
  <si>
    <t>MOTA</t>
    <phoneticPr fontId="13"/>
  </si>
  <si>
    <t>LA100S-1109806</t>
    <phoneticPr fontId="13"/>
  </si>
  <si>
    <t>ｳﾞｪﾙﾌｧｲｱ 2.5ZA ｴﾃﾞｨｼｮﾝｺﾞﾙﾃﾞﾝｱｲｽﾞ</t>
    <phoneticPr fontId="13"/>
  </si>
  <si>
    <t>8/9/25</t>
    <phoneticPr fontId="13"/>
  </si>
  <si>
    <t>A298312</t>
    <phoneticPr fontId="13"/>
  </si>
  <si>
    <t>AGH30-0130040</t>
    <phoneticPr fontId="13"/>
  </si>
  <si>
    <t>ｽﾍﾟｰｼｱｶｽﾀﾑ ﾊｲﾌﾞﾘｯﾄ</t>
    <phoneticPr fontId="13"/>
  </si>
  <si>
    <t>岡山 581 の 2243</t>
    <rPh sb="0" eb="2">
      <t>オカヤマ</t>
    </rPh>
    <phoneticPr fontId="13"/>
  </si>
  <si>
    <t>MK53S-758034</t>
    <phoneticPr fontId="13"/>
  </si>
  <si>
    <t>ｽｽﾞｷ岡山販売株式会社</t>
    <rPh sb="4" eb="12">
      <t>オカヤマハンバイカブシキガイシャ</t>
    </rPh>
    <phoneticPr fontId="13"/>
  </si>
  <si>
    <t>ｸﾛｽﾋﾞｰ ﾊｲﾌﾞﾘｯﾄMZ</t>
    <phoneticPr fontId="13"/>
  </si>
  <si>
    <t>8/7/23</t>
    <phoneticPr fontId="13"/>
  </si>
  <si>
    <t>岡山 502 は 4515</t>
    <phoneticPr fontId="13"/>
  </si>
  <si>
    <t>MN71S-312636</t>
    <phoneticPr fontId="13"/>
  </si>
  <si>
    <t>保証書 取説 地図SD</t>
    <rPh sb="0" eb="3">
      <t>ホショウショ</t>
    </rPh>
    <rPh sb="4" eb="6">
      <t>トリセツ</t>
    </rPh>
    <phoneticPr fontId="13"/>
  </si>
  <si>
    <t>BMWﾐﾆｸｰﾊﾟｰD</t>
    <phoneticPr fontId="13"/>
  </si>
  <si>
    <t>8/7/1</t>
    <phoneticPr fontId="13"/>
  </si>
  <si>
    <t>佐賀 301 さ 4968</t>
    <rPh sb="0" eb="2">
      <t>サガ</t>
    </rPh>
    <phoneticPr fontId="13"/>
  </si>
  <si>
    <t>WMWXT320X02F06511</t>
    <phoneticPr fontId="13"/>
  </si>
  <si>
    <t>株式会社BUDDICA</t>
    <rPh sb="0" eb="4">
      <t>カブシキガイシャ</t>
    </rPh>
    <phoneticPr fontId="13"/>
  </si>
  <si>
    <t>奈良 301 な 5608</t>
    <rPh sb="0" eb="2">
      <t>ナラ</t>
    </rPh>
    <phoneticPr fontId="13"/>
  </si>
  <si>
    <t>VF7SXHNZTHT601254</t>
    <phoneticPr fontId="13"/>
  </si>
  <si>
    <t>株式会社壱</t>
    <rPh sb="0" eb="4">
      <t>カブシキガイシャ</t>
    </rPh>
    <rPh sb="4" eb="5">
      <t>イチ</t>
    </rPh>
    <phoneticPr fontId="13"/>
  </si>
  <si>
    <t>9/21</t>
    <phoneticPr fontId="13"/>
  </si>
  <si>
    <t>なにわ 313 ゆ 7788</t>
    <phoneticPr fontId="13"/>
  </si>
  <si>
    <t>WMWXR920702M16411</t>
    <phoneticPr fontId="13"/>
  </si>
  <si>
    <t>保証書 取説 ﾜﾝｵｰﾅｰ？</t>
    <rPh sb="0" eb="3">
      <t>ホショウショ</t>
    </rPh>
    <rPh sb="4" eb="6">
      <t>トリセツ</t>
    </rPh>
    <phoneticPr fontId="13"/>
  </si>
  <si>
    <t>BMW3ｼﾘｰｽﾞ 320 xdriveMｽﾎﾟｰﾂ</t>
    <phoneticPr fontId="13"/>
  </si>
  <si>
    <t>広島 399 な 9743</t>
    <rPh sb="0" eb="2">
      <t>ヒロシマ</t>
    </rPh>
    <phoneticPr fontId="13"/>
  </si>
  <si>
    <t>WBA5V72010AJ48601</t>
    <phoneticPr fontId="13"/>
  </si>
  <si>
    <t>取説 ﾚﾝﾀｶｰ</t>
    <rPh sb="0" eb="2">
      <t>トリセツ</t>
    </rPh>
    <phoneticPr fontId="13"/>
  </si>
  <si>
    <t>BMW X1 xdrive18d</t>
    <phoneticPr fontId="13"/>
  </si>
  <si>
    <t>山口 330 り 2028</t>
    <rPh sb="0" eb="2">
      <t>ヤマグチ</t>
    </rPh>
    <phoneticPr fontId="13"/>
  </si>
  <si>
    <t>WBA32AD0105S95830</t>
    <phoneticPr fontId="13"/>
  </si>
  <si>
    <t>株式会社ﾎﾝﾀﾞｶｰｽﾞ山口中央</t>
    <rPh sb="0" eb="4">
      <t>カブシキガイシャ</t>
    </rPh>
    <rPh sb="12" eb="14">
      <t>ヤマグチ</t>
    </rPh>
    <rPh sb="14" eb="16">
      <t>チュウオウ</t>
    </rPh>
    <phoneticPr fontId="13"/>
  </si>
  <si>
    <t>取説(車内)保証書 ｷｰﾚｽ ﾜﾝｵｰﾅｰ</t>
    <rPh sb="0" eb="2">
      <t>トリセツ</t>
    </rPh>
    <rPh sb="6" eb="9">
      <t>ホショウショ</t>
    </rPh>
    <phoneticPr fontId="13"/>
  </si>
  <si>
    <t>N-BOXｶｽﾀﾑ SSﾊﾟｯｹｰｼﾞ</t>
    <phoneticPr fontId="13"/>
  </si>
  <si>
    <t>市川 580 ろ 4750</t>
    <rPh sb="0" eb="2">
      <t>イチカワ</t>
    </rPh>
    <phoneticPr fontId="13"/>
  </si>
  <si>
    <t>JF1-1459971</t>
    <phoneticPr fontId="13"/>
  </si>
  <si>
    <t>株式会社ﾎﾝﾀﾞﾍﾞﾙﾉ市川</t>
    <rPh sb="0" eb="4">
      <t>カブシキガイシャ</t>
    </rPh>
    <rPh sb="12" eb="14">
      <t>イチカワ</t>
    </rPh>
    <phoneticPr fontId="13"/>
  </si>
  <si>
    <t>ｼﾞﾑﾆｰ ﾗﾝﾄﾞﾍﾞﾝﾁｬｰ</t>
    <phoneticPr fontId="13"/>
  </si>
  <si>
    <t>8/3/20</t>
    <phoneticPr fontId="13"/>
  </si>
  <si>
    <t>A298970</t>
    <phoneticPr fontId="13"/>
  </si>
  <si>
    <t>JB23W-742973</t>
    <phoneticPr fontId="13"/>
  </si>
  <si>
    <t>ｽｰﾊﾟｰｷｬﾘｲ X</t>
    <phoneticPr fontId="13"/>
  </si>
  <si>
    <t>9/8/26</t>
    <phoneticPr fontId="13"/>
  </si>
  <si>
    <t>A298111</t>
    <phoneticPr fontId="13"/>
  </si>
  <si>
    <t>DA16T-471992</t>
    <phoneticPr fontId="13"/>
  </si>
  <si>
    <t>ﾉｰﾄ S</t>
    <phoneticPr fontId="13"/>
  </si>
  <si>
    <t>7/12/20</t>
    <phoneticPr fontId="13"/>
  </si>
  <si>
    <t>A299591</t>
    <phoneticPr fontId="13"/>
  </si>
  <si>
    <t>E13-000926</t>
    <phoneticPr fontId="13"/>
  </si>
  <si>
    <t>ﾑｰﾌﾞ X SA</t>
    <phoneticPr fontId="13"/>
  </si>
  <si>
    <t>7/11/27</t>
    <phoneticPr fontId="13"/>
  </si>
  <si>
    <t>いわき 580 ね 7586</t>
    <phoneticPr fontId="13"/>
  </si>
  <si>
    <t>A296930</t>
    <phoneticPr fontId="13"/>
  </si>
  <si>
    <t>LA100S-1085746</t>
    <phoneticPr fontId="13"/>
  </si>
  <si>
    <t>田中 賢希</t>
    <rPh sb="0" eb="2">
      <t>タナカ</t>
    </rPh>
    <rPh sb="3" eb="4">
      <t>ケン</t>
    </rPh>
    <rPh sb="4" eb="5">
      <t>キ</t>
    </rPh>
    <phoneticPr fontId="13"/>
  </si>
  <si>
    <t>ﾀﾌﾄ G</t>
    <phoneticPr fontId="13"/>
  </si>
  <si>
    <t>横浜 787 こ 358</t>
    <rPh sb="0" eb="2">
      <t>ヨコハマ</t>
    </rPh>
    <phoneticPr fontId="13"/>
  </si>
  <si>
    <t>LA900S-0029284</t>
    <phoneticPr fontId="13"/>
  </si>
  <si>
    <t>9/27</t>
    <phoneticPr fontId="13"/>
  </si>
  <si>
    <t>保証書 取説 SD</t>
    <rPh sb="0" eb="3">
      <t>ホショウショ</t>
    </rPh>
    <rPh sb="4" eb="6">
      <t>トリセツ</t>
    </rPh>
    <phoneticPr fontId="13"/>
  </si>
  <si>
    <t>25/2</t>
    <phoneticPr fontId="13"/>
  </si>
  <si>
    <t>大阪 542 の 8888</t>
    <rPh sb="0" eb="2">
      <t>オオサカ</t>
    </rPh>
    <phoneticPr fontId="13"/>
  </si>
  <si>
    <t>WMWZP32080TY79518</t>
    <phoneticPr fontId="13"/>
  </si>
  <si>
    <t>田中 勉</t>
    <rPh sb="0" eb="2">
      <t>タナカ</t>
    </rPh>
    <rPh sb="3" eb="4">
      <t>ベン</t>
    </rPh>
    <phoneticPr fontId="13"/>
  </si>
  <si>
    <t>ｷｰﾚｽ (車内)取説</t>
    <rPh sb="9" eb="11">
      <t>トリセツ</t>
    </rPh>
    <phoneticPr fontId="13"/>
  </si>
  <si>
    <t>6/？</t>
    <phoneticPr fontId="13"/>
  </si>
  <si>
    <t>ｴﾌﾞﾘｨ PA 4WD</t>
    <phoneticPr fontId="13"/>
  </si>
  <si>
    <t>島根 480 ち 9675</t>
    <rPh sb="0" eb="2">
      <t>シマネ</t>
    </rPh>
    <phoneticPr fontId="13"/>
  </si>
  <si>
    <t>保証書 取説 ﾅﾝﾊﾞｰ</t>
    <rPh sb="0" eb="3">
      <t>ホショウショ</t>
    </rPh>
    <rPh sb="4" eb="6">
      <t>トリセツ</t>
    </rPh>
    <phoneticPr fontId="13"/>
  </si>
  <si>
    <t>DA17V-890305</t>
    <phoneticPr fontId="13"/>
  </si>
  <si>
    <t>株式会社ｽｽﾞｷ自販島根</t>
    <rPh sb="0" eb="4">
      <t>カブシキガイシャ</t>
    </rPh>
    <rPh sb="8" eb="10">
      <t>ジハン</t>
    </rPh>
    <rPh sb="10" eb="12">
      <t>シマネ</t>
    </rPh>
    <phoneticPr fontId="13"/>
  </si>
  <si>
    <t>ｴﾌﾞﾘｨ PAﾘﾐﾃｯﾄﾞ</t>
    <phoneticPr fontId="13"/>
  </si>
  <si>
    <t>香川 480 わ 2055</t>
    <rPh sb="0" eb="2">
      <t>カガワ</t>
    </rPh>
    <phoneticPr fontId="13"/>
  </si>
  <si>
    <t>保証書 取説 ﾚﾝﾀｶｰ</t>
    <rPh sb="0" eb="3">
      <t>ホショウショ</t>
    </rPh>
    <rPh sb="4" eb="6">
      <t>トリセツ</t>
    </rPh>
    <phoneticPr fontId="13"/>
  </si>
  <si>
    <t>DA17V-897113</t>
    <phoneticPr fontId="13"/>
  </si>
  <si>
    <t>株式会社ｺｰﾁｪ</t>
    <rPh sb="0" eb="4">
      <t>カブシキガイシャ</t>
    </rPh>
    <phoneticPr fontId="13"/>
  </si>
  <si>
    <t>ﾑｰﾌﾞｷｬﾝﾊﾞｽ X ﾌﾞﾗｯｸｲﾝﾃﾘｱﾘﾐﾃｯﾄﾞ SA3</t>
    <phoneticPr fontId="13"/>
  </si>
  <si>
    <t>広島 586 の 417</t>
    <rPh sb="0" eb="2">
      <t>ヒロシマ</t>
    </rPh>
    <phoneticPr fontId="13"/>
  </si>
  <si>
    <t>LA800S-0212677</t>
    <phoneticPr fontId="13"/>
  </si>
  <si>
    <t>株式会社ｻｺﾀﾞ車輌</t>
    <rPh sb="0" eb="4">
      <t>カブシキガイシャ</t>
    </rPh>
    <rPh sb="8" eb="10">
      <t>シャリョウ</t>
    </rPh>
    <phoneticPr fontId="13"/>
  </si>
  <si>
    <t>取説 地図SD(車内)ﾅﾝﾊﾞｰ</t>
    <rPh sb="0" eb="2">
      <t>トリセツ</t>
    </rPh>
    <rPh sb="3" eb="5">
      <t>チズ</t>
    </rPh>
    <rPh sb="8" eb="10">
      <t>シャナイ</t>
    </rPh>
    <phoneticPr fontId="13"/>
  </si>
  <si>
    <t>ﾐﾗｲｰｽ L</t>
    <phoneticPr fontId="13"/>
  </si>
  <si>
    <t>倉敷 580 ゆ 1352</t>
    <rPh sb="0" eb="2">
      <t>クラシキ</t>
    </rPh>
    <phoneticPr fontId="13"/>
  </si>
  <si>
    <t>LA300S-1399333</t>
    <phoneticPr fontId="13"/>
  </si>
  <si>
    <t>ﾄﾖﾀｶﾛｰﾗ岡山株式会社</t>
    <rPh sb="7" eb="9">
      <t>オカヤマ</t>
    </rPh>
    <rPh sb="9" eb="13">
      <t>カブシキガイシャ</t>
    </rPh>
    <phoneticPr fontId="13"/>
  </si>
  <si>
    <t>ﾐﾗｲｰｽ L SA</t>
    <phoneticPr fontId="13"/>
  </si>
  <si>
    <t>倉敷 580 て 8131</t>
    <rPh sb="0" eb="2">
      <t>クラシキ</t>
    </rPh>
    <phoneticPr fontId="13"/>
  </si>
  <si>
    <t>LA300S-1270006</t>
    <phoneticPr fontId="13"/>
  </si>
  <si>
    <t>地図SD (車内)</t>
    <rPh sb="0" eb="2">
      <t>チズ</t>
    </rPh>
    <phoneticPr fontId="13"/>
  </si>
  <si>
    <t>ﾎﾞﾙﾎﾞ V40 ｸﾛｽｶﾝﾄﾘｰ</t>
    <phoneticPr fontId="13"/>
  </si>
  <si>
    <t>福岡 342 の 512</t>
    <rPh sb="0" eb="2">
      <t>フクオカ</t>
    </rPh>
    <phoneticPr fontId="13"/>
  </si>
  <si>
    <t>YV1MZ402CK2181773</t>
    <phoneticPr fontId="13"/>
  </si>
  <si>
    <t>ﾄﾖﾀｶﾛｰﾗ博多株式会社</t>
    <rPh sb="7" eb="9">
      <t>ハカタ</t>
    </rPh>
    <rPh sb="9" eb="13">
      <t>カブシキガイシャ</t>
    </rPh>
    <phoneticPr fontId="13"/>
  </si>
  <si>
    <t>9/16</t>
    <phoneticPr fontId="13"/>
  </si>
  <si>
    <t>ｽﾍﾟｰｼｱｶｽﾀﾑ  ﾊｲﾌﾞﾘｯﾄXS</t>
    <phoneticPr fontId="13"/>
  </si>
  <si>
    <t>品川 5P1 ろ 9860</t>
    <rPh sb="0" eb="2">
      <t>シナガワ</t>
    </rPh>
    <phoneticPr fontId="13"/>
  </si>
  <si>
    <t>MK53S-735128</t>
    <phoneticPr fontId="13"/>
  </si>
  <si>
    <t>VW ｻﾞﾋﾞｰﾄﾙ ｶﾌﾞﾘｵﾚ</t>
    <phoneticPr fontId="13"/>
  </si>
  <si>
    <t>9/2/13</t>
    <phoneticPr fontId="13"/>
  </si>
  <si>
    <t>大宮 389 ほ 7788</t>
    <rPh sb="0" eb="2">
      <t>オオミヤ</t>
    </rPh>
    <phoneticPr fontId="13"/>
  </si>
  <si>
    <t>WVWZZZ16ZEM807730</t>
    <phoneticPr fontId="13"/>
  </si>
  <si>
    <t>久保 明</t>
    <rPh sb="0" eb="2">
      <t>クボ</t>
    </rPh>
    <rPh sb="3" eb="4">
      <t>アキラ</t>
    </rPh>
    <phoneticPr fontId="13"/>
  </si>
  <si>
    <r>
      <rPr>
        <sz val="11"/>
        <color theme="3"/>
        <rFont val="ＭＳ Ｐゴシック"/>
        <family val="3"/>
        <charset val="128"/>
        <scheme val="minor"/>
      </rPr>
      <t>取説 地図SD (車内)整備手帳</t>
    </r>
    <r>
      <rPr>
        <sz val="11"/>
        <color theme="4" tint="-0.499984740745262"/>
        <rFont val="ＭＳ Ｐゴシック"/>
        <family val="3"/>
        <charset val="128"/>
        <scheme val="minor"/>
      </rPr>
      <t xml:space="preserve"> ｷｰﾚｽ ﾅﾋﾞ取</t>
    </r>
    <rPh sb="0" eb="2">
      <t>トリセツ</t>
    </rPh>
    <rPh sb="3" eb="5">
      <t>チズ</t>
    </rPh>
    <rPh sb="12" eb="16">
      <t>セイビテチョウ</t>
    </rPh>
    <rPh sb="25" eb="26">
      <t>トリ</t>
    </rPh>
    <phoneticPr fontId="13"/>
  </si>
  <si>
    <t>15/10</t>
    <phoneticPr fontId="13"/>
  </si>
  <si>
    <t>ｼﾞﾑﾆｰ  XC</t>
    <phoneticPr fontId="13"/>
  </si>
  <si>
    <t>京都 582 と 1239</t>
    <rPh sb="0" eb="2">
      <t>キョウト</t>
    </rPh>
    <phoneticPr fontId="13"/>
  </si>
  <si>
    <t>JB23W-334711</t>
    <phoneticPr fontId="13"/>
  </si>
  <si>
    <t>塩尻 幸太</t>
    <rPh sb="0" eb="2">
      <t>シオジリ</t>
    </rPh>
    <rPh sb="3" eb="4">
      <t>ユキ</t>
    </rPh>
    <rPh sb="4" eb="5">
      <t>フトシ</t>
    </rPh>
    <phoneticPr fontId="13"/>
  </si>
  <si>
    <t>保証書 ﾅﾋﾞ取 ﾅﾝﾊﾞｰ</t>
    <rPh sb="0" eb="3">
      <t>ホショウショ</t>
    </rPh>
    <rPh sb="7" eb="8">
      <t>トリ</t>
    </rPh>
    <phoneticPr fontId="13"/>
  </si>
  <si>
    <t>ﾌﾟｼﾞｮｰ 5008 ｱﾘｭｰﾙ</t>
    <phoneticPr fontId="13"/>
  </si>
  <si>
    <t>姫路 399 な 2843</t>
    <rPh sb="0" eb="2">
      <t>ヒメジ</t>
    </rPh>
    <phoneticPr fontId="13"/>
  </si>
  <si>
    <t>VF3M45GZWHL054700</t>
    <phoneticPr fontId="13"/>
  </si>
  <si>
    <t>ﾈｯﾂﾄﾖﾀ兵庫株式会社</t>
    <rPh sb="6" eb="8">
      <t>ヒョウゴ</t>
    </rPh>
    <rPh sb="8" eb="12">
      <t>カブシキガイシャ</t>
    </rPh>
    <phoneticPr fontId="13"/>
  </si>
  <si>
    <t>取説 ｷｰﾚｽ 地図SD miniB-CAS</t>
    <rPh sb="0" eb="2">
      <t>トリセツ</t>
    </rPh>
    <rPh sb="8" eb="10">
      <t>チズ</t>
    </rPh>
    <phoneticPr fontId="13"/>
  </si>
  <si>
    <t>ﾒﾙｾﾃﾞｽﾍﾞﾝﾂ CLA180</t>
    <phoneticPr fontId="13"/>
  </si>
  <si>
    <t>神戸 39A せ 3411</t>
    <rPh sb="0" eb="2">
      <t>コウベ</t>
    </rPh>
    <phoneticPr fontId="13"/>
  </si>
  <si>
    <t>WDD1173422N554046</t>
    <phoneticPr fontId="13"/>
  </si>
  <si>
    <t>ｽﾀｰﾄﾎﾞﾀﾝ ｷｰﾚｽ</t>
    <phoneticPr fontId="13"/>
  </si>
  <si>
    <t>24/5</t>
    <phoneticPr fontId="13"/>
  </si>
  <si>
    <t>MRﾜｺﾞﾝ 10ｱﾆﾊﾞｰｻﾘｰﾘﾐﾃｯﾄﾞ</t>
    <phoneticPr fontId="13"/>
  </si>
  <si>
    <t>7/5/17</t>
    <phoneticPr fontId="13"/>
  </si>
  <si>
    <t>四日市 580 か 2217</t>
    <rPh sb="0" eb="3">
      <t>ヨッカイチ</t>
    </rPh>
    <phoneticPr fontId="13"/>
  </si>
  <si>
    <t>MF33S-181939</t>
    <phoneticPr fontId="13"/>
  </si>
  <si>
    <t>SYED SHAH NIAZ HUSSAIN</t>
    <phoneticPr fontId="13"/>
  </si>
  <si>
    <t>ﾀﾝﾄ L</t>
    <phoneticPr fontId="13"/>
  </si>
  <si>
    <t>9/3/29</t>
    <phoneticPr fontId="13"/>
  </si>
  <si>
    <t>富山 581 た 5345</t>
    <rPh sb="0" eb="2">
      <t>トヤマ</t>
    </rPh>
    <phoneticPr fontId="13"/>
  </si>
  <si>
    <t>LA660S-0057745</t>
    <phoneticPr fontId="13"/>
  </si>
  <si>
    <t>株式会社ｵﾘｺｵｰﾄﾘｰｽ</t>
    <rPh sb="0" eb="4">
      <t>カブシキガイシャ</t>
    </rPh>
    <phoneticPr fontId="13"/>
  </si>
  <si>
    <t>取説 ｽﾍﾟｱｷｰ ﾜﾝｵｰﾅｰ</t>
    <rPh sb="0" eb="2">
      <t>トリセツ</t>
    </rPh>
    <phoneticPr fontId="13"/>
  </si>
  <si>
    <t>ﾀﾝﾄｶｽﾀﾑ X</t>
    <phoneticPr fontId="13"/>
  </si>
  <si>
    <t>8/4/13</t>
    <phoneticPr fontId="13"/>
  </si>
  <si>
    <t>伊豆 580 て 6424</t>
    <rPh sb="0" eb="2">
      <t>イズ</t>
    </rPh>
    <phoneticPr fontId="13"/>
  </si>
  <si>
    <t>三須 舞美</t>
    <rPh sb="0" eb="1">
      <t>サン</t>
    </rPh>
    <rPh sb="1" eb="2">
      <t>ス</t>
    </rPh>
    <rPh sb="3" eb="4">
      <t>マイ</t>
    </rPh>
    <rPh sb="4" eb="5">
      <t>ミ</t>
    </rPh>
    <phoneticPr fontId="13"/>
  </si>
  <si>
    <t>ﾑｰﾌﾞｶｽﾀﾑ RS ﾊｲﾊﾟｰLTD</t>
    <phoneticPr fontId="13"/>
  </si>
  <si>
    <t>大阪 581 ま 9303</t>
    <rPh sb="0" eb="2">
      <t>オオサカ</t>
    </rPh>
    <phoneticPr fontId="13"/>
  </si>
  <si>
    <t>LA150S-2020654</t>
    <phoneticPr fontId="13"/>
  </si>
  <si>
    <t>西日本三菱自動車株式会社</t>
    <rPh sb="0" eb="12">
      <t>ニシニホンミツビシジドウシャカブシキガイシャ</t>
    </rPh>
    <phoneticPr fontId="13"/>
  </si>
  <si>
    <t>保証書 ｽﾍﾟｱｷｰ  取説</t>
    <rPh sb="0" eb="3">
      <t>ホショウショ</t>
    </rPh>
    <rPh sb="12" eb="14">
      <t>トリセツ</t>
    </rPh>
    <phoneticPr fontId="13"/>
  </si>
  <si>
    <t>ekｸﾛｽｽﾍﾟｰｽ T</t>
    <phoneticPr fontId="13"/>
  </si>
  <si>
    <t>神戸 594 ろ 1343</t>
    <rPh sb="0" eb="2">
      <t>コウベ</t>
    </rPh>
    <phoneticPr fontId="13"/>
  </si>
  <si>
    <t>B35A-0007282</t>
    <phoneticPr fontId="13"/>
  </si>
  <si>
    <t>兵庫三菱自動車販売株式会社</t>
    <rPh sb="0" eb="2">
      <t>ヒョウゴ</t>
    </rPh>
    <rPh sb="2" eb="4">
      <t>ミツビシ</t>
    </rPh>
    <rPh sb="4" eb="7">
      <t>ジドウシャ</t>
    </rPh>
    <rPh sb="7" eb="9">
      <t>ハンバイ</t>
    </rPh>
    <rPh sb="9" eb="13">
      <t>カブシキガイシャ</t>
    </rPh>
    <phoneticPr fontId="13"/>
  </si>
  <si>
    <t>保証書 取説 ﾏｲｸﾛSD ﾅﾋﾞ取  ﾚﾝﾀｶｰ</t>
    <rPh sb="0" eb="3">
      <t>ホショウショ</t>
    </rPh>
    <rPh sb="4" eb="6">
      <t>トリセツ</t>
    </rPh>
    <rPh sb="17" eb="18">
      <t>トリ</t>
    </rPh>
    <phoneticPr fontId="13"/>
  </si>
  <si>
    <t>8/8/31</t>
    <phoneticPr fontId="13"/>
  </si>
  <si>
    <t>名古屋 593 や 8000</t>
    <rPh sb="0" eb="3">
      <t>ナゴヤ</t>
    </rPh>
    <phoneticPr fontId="13"/>
  </si>
  <si>
    <t>DA17W-270519</t>
    <phoneticPr fontId="13"/>
  </si>
  <si>
    <t>保証書 取説 ﾅﾋﾞ取 ｷｰﾚｽ その他ｷｰ2個</t>
    <rPh sb="0" eb="3">
      <t>ホショウショ</t>
    </rPh>
    <rPh sb="4" eb="6">
      <t>トリセツ</t>
    </rPh>
    <rPh sb="10" eb="11">
      <t>トリ</t>
    </rPh>
    <rPh sb="19" eb="20">
      <t>タ</t>
    </rPh>
    <rPh sb="23" eb="24">
      <t>コ</t>
    </rPh>
    <phoneticPr fontId="13"/>
  </si>
  <si>
    <t>N-BOXｶｽﾀﾑ L ﾀｰﾎﾞ</t>
    <phoneticPr fontId="13"/>
  </si>
  <si>
    <t>三重 582 そ 928</t>
    <rPh sb="0" eb="2">
      <t>ミエ</t>
    </rPh>
    <phoneticPr fontId="13"/>
  </si>
  <si>
    <t>JF3-2335462</t>
    <phoneticPr fontId="13"/>
  </si>
  <si>
    <t>三重日産自動車株式会社</t>
    <rPh sb="0" eb="2">
      <t>ミエ</t>
    </rPh>
    <rPh sb="2" eb="11">
      <t>ニッサンジドウシャカブシキガイシャ</t>
    </rPh>
    <phoneticPr fontId="13"/>
  </si>
  <si>
    <t>保証書 ｷｰﾚｽ ｴﾝﾀﾒSD ﾘﾓｺﾝ ﾏｲｸﾛSD</t>
    <rPh sb="0" eb="3">
      <t>ホショウショ</t>
    </rPh>
    <phoneticPr fontId="13"/>
  </si>
  <si>
    <t>多摩 303 ち 4119</t>
    <rPh sb="0" eb="2">
      <t>タマ</t>
    </rPh>
    <phoneticPr fontId="13"/>
  </si>
  <si>
    <t>WMWXU92040TE41665</t>
    <phoneticPr fontId="13"/>
  </si>
  <si>
    <t>東京ｽﾊﾞﾙ株式会社</t>
    <rPh sb="0" eb="2">
      <t>トウキョウ</t>
    </rPh>
    <rPh sb="6" eb="10">
      <t>カブシキガイシャ</t>
    </rPh>
    <phoneticPr fontId="13"/>
  </si>
  <si>
    <t>ﾙﾉｰﾄｩｲﾝｺﾞ S ﾘﾐﾃｯﾄﾞ</t>
    <phoneticPr fontId="13"/>
  </si>
  <si>
    <t>横浜 505 め 4764</t>
    <rPh sb="0" eb="2">
      <t>ヨコハマ</t>
    </rPh>
    <phoneticPr fontId="13"/>
  </si>
  <si>
    <t>VF1AH0002L0813260</t>
    <phoneticPr fontId="13"/>
  </si>
  <si>
    <t>株式会社ｻﾝｵｰﾀｽ</t>
    <rPh sb="0" eb="4">
      <t>カブシキガイシャ</t>
    </rPh>
    <phoneticPr fontId="13"/>
  </si>
  <si>
    <t>ﾀﾝﾄ Xｾﾚｸｼｮﾝ</t>
    <phoneticPr fontId="13"/>
  </si>
  <si>
    <t>7/11/23</t>
    <phoneticPr fontId="13"/>
  </si>
  <si>
    <t>和泉 595 も 5296</t>
    <rPh sb="0" eb="2">
      <t>イズミ</t>
    </rPh>
    <phoneticPr fontId="13"/>
  </si>
  <si>
    <t>LA650S-0108180</t>
    <phoneticPr fontId="13"/>
  </si>
  <si>
    <t>ﾊｽﾗｰ Jｽﾀｲﾙ</t>
    <phoneticPr fontId="13"/>
  </si>
  <si>
    <t>三重 582 い 51</t>
    <rPh sb="0" eb="2">
      <t>ミエ</t>
    </rPh>
    <phoneticPr fontId="13"/>
  </si>
  <si>
    <t>MR92S-197672</t>
    <phoneticPr fontId="13"/>
  </si>
  <si>
    <t>ｴﾌｴﾙｼｰ株式会社</t>
    <rPh sb="6" eb="10">
      <t>カブシキガイシャ</t>
    </rPh>
    <phoneticPr fontId="13"/>
  </si>
  <si>
    <t>ｺﾍﾟﾝ ｱﾙﾃｨﾒｯﾄｴﾃﾞｨｼｮﾝS</t>
    <phoneticPr fontId="13"/>
  </si>
  <si>
    <t>なにわ 5P6 ろ 2781</t>
    <phoneticPr fontId="13"/>
  </si>
  <si>
    <t>L880K-0057220</t>
    <phoneticPr fontId="13"/>
  </si>
  <si>
    <t>ﾙﾉｰ ｶﾝｸﾞｰ ｾﾞﾝ</t>
    <phoneticPr fontId="13"/>
  </si>
  <si>
    <t>滋賀 351 に 330</t>
    <rPh sb="0" eb="2">
      <t>シガ</t>
    </rPh>
    <phoneticPr fontId="13"/>
  </si>
  <si>
    <t>VF1KWB2B6K0802435</t>
    <phoneticPr fontId="13"/>
  </si>
  <si>
    <t>ﾌｨｯﾄ eHEV</t>
    <phoneticPr fontId="13"/>
  </si>
  <si>
    <t>7/10/30</t>
    <phoneticPr fontId="13"/>
  </si>
  <si>
    <t>豊田 533 ほ 3588</t>
    <rPh sb="0" eb="2">
      <t>トヨタ</t>
    </rPh>
    <phoneticPr fontId="13"/>
  </si>
  <si>
    <t>A300547</t>
    <phoneticPr fontId="13"/>
  </si>
  <si>
    <t>GR3-1303330</t>
    <phoneticPr fontId="13"/>
  </si>
  <si>
    <t>杉山 智基</t>
    <rPh sb="0" eb="2">
      <t>スギヤマ</t>
    </rPh>
    <rPh sb="3" eb="5">
      <t>トモキ</t>
    </rPh>
    <phoneticPr fontId="13"/>
  </si>
  <si>
    <t>ﾙｰｸｽ ﾊｲｳｪｲｽﾀｰ</t>
    <phoneticPr fontId="13"/>
  </si>
  <si>
    <t>9/6/1</t>
    <phoneticPr fontId="13"/>
  </si>
  <si>
    <t>八王子 581 け 8079</t>
    <rPh sb="0" eb="3">
      <t>ハチオウジ</t>
    </rPh>
    <phoneticPr fontId="13"/>
  </si>
  <si>
    <t>A300015</t>
    <phoneticPr fontId="13"/>
  </si>
  <si>
    <t>ML21S-594219</t>
    <phoneticPr fontId="13"/>
  </si>
  <si>
    <t>小川 隼人</t>
    <rPh sb="0" eb="2">
      <t>オガワ</t>
    </rPh>
    <rPh sb="3" eb="4">
      <t>シュン</t>
    </rPh>
    <rPh sb="4" eb="5">
      <t>ヒト</t>
    </rPh>
    <phoneticPr fontId="13"/>
  </si>
  <si>
    <t>ｳﾞｫｸｼｰ ﾊｲﾌﾞﾘｯﾄZS 煌 3</t>
    <rPh sb="17" eb="18">
      <t>キラメ</t>
    </rPh>
    <phoneticPr fontId="13"/>
  </si>
  <si>
    <t>7/11/9</t>
    <phoneticPr fontId="13"/>
  </si>
  <si>
    <t>川崎 301 ち 7322</t>
    <rPh sb="0" eb="2">
      <t>カワサキ</t>
    </rPh>
    <phoneticPr fontId="13"/>
  </si>
  <si>
    <t>A298456</t>
    <phoneticPr fontId="13"/>
  </si>
  <si>
    <t>ZWR80-0476467</t>
    <phoneticPr fontId="13"/>
  </si>
  <si>
    <t>齋川　浩一</t>
    <rPh sb="0" eb="2">
      <t>サイカワ</t>
    </rPh>
    <rPh sb="3" eb="5">
      <t>コウイチ</t>
    </rPh>
    <phoneticPr fontId="13"/>
  </si>
  <si>
    <t>LA900S-0056312</t>
    <phoneticPr fontId="13"/>
  </si>
  <si>
    <t>JF3-1154413</t>
    <phoneticPr fontId="13"/>
  </si>
  <si>
    <t xml:space="preserve">ﾊｽﾗｰ </t>
    <phoneticPr fontId="13"/>
  </si>
  <si>
    <t>なにわ 5P3 ろ 5846</t>
    <phoneticPr fontId="13"/>
  </si>
  <si>
    <t>MR31S-119324</t>
    <phoneticPr fontId="13"/>
  </si>
  <si>
    <t>ｽﾃﾗ L ｽﾏｰﾄｱｼｽﾄ</t>
    <phoneticPr fontId="13"/>
  </si>
  <si>
    <t>8/1/29</t>
    <phoneticPr fontId="13"/>
  </si>
  <si>
    <t>広島 582 す 712</t>
    <rPh sb="0" eb="2">
      <t>ヒロシマ</t>
    </rPh>
    <phoneticPr fontId="13"/>
  </si>
  <si>
    <t>LA150F-0001989</t>
    <phoneticPr fontId="13"/>
  </si>
  <si>
    <t>新畠 健太</t>
    <rPh sb="0" eb="1">
      <t>シン</t>
    </rPh>
    <rPh sb="1" eb="2">
      <t>ハタケ</t>
    </rPh>
    <rPh sb="3" eb="5">
      <t>ケンタ</t>
    </rPh>
    <phoneticPr fontId="13"/>
  </si>
  <si>
    <t>ﾐﾗｲｰｽ G ﾘﾐﾃｯﾄﾞ</t>
    <phoneticPr fontId="13"/>
  </si>
  <si>
    <t>8/2/18</t>
    <phoneticPr fontId="13"/>
  </si>
  <si>
    <t>倉敷 580 よ 702</t>
    <rPh sb="0" eb="2">
      <t>クラシキ</t>
    </rPh>
    <phoneticPr fontId="13"/>
  </si>
  <si>
    <t>LA350S-0139414</t>
    <phoneticPr fontId="13"/>
  </si>
  <si>
    <t>磯部 浩紀</t>
    <rPh sb="0" eb="2">
      <t>イソベ</t>
    </rPh>
    <rPh sb="3" eb="5">
      <t>ヒロキ</t>
    </rPh>
    <phoneticPr fontId="13"/>
  </si>
  <si>
    <t>ｱﾙﾄﾜｰｸｽ</t>
    <phoneticPr fontId="13"/>
  </si>
  <si>
    <t>8/9/3</t>
    <phoneticPr fontId="13"/>
  </si>
  <si>
    <t>福山 580 よ 7019</t>
    <rPh sb="0" eb="2">
      <t>フクヤマ</t>
    </rPh>
    <phoneticPr fontId="13"/>
  </si>
  <si>
    <t>HA36S-871547</t>
    <phoneticPr fontId="13"/>
  </si>
  <si>
    <t>池口 進一</t>
    <rPh sb="0" eb="2">
      <t>イケグチ</t>
    </rPh>
    <rPh sb="3" eb="5">
      <t>シンイチ</t>
    </rPh>
    <phoneticPr fontId="13"/>
  </si>
  <si>
    <t>ﾎﾞﾙﾎﾞ V90 D4 ﾉﾙﾃﾞｨｯｸｴﾃﾞｨｼｮﾝ</t>
    <phoneticPr fontId="13"/>
  </si>
  <si>
    <t>8/12/25</t>
    <phoneticPr fontId="13"/>
  </si>
  <si>
    <t>岡山 31L も 8</t>
    <rPh sb="0" eb="2">
      <t>オカヤマ</t>
    </rPh>
    <phoneticPr fontId="13"/>
  </si>
  <si>
    <t>YV1PWA8MDK1106272</t>
    <phoneticPr fontId="13"/>
  </si>
  <si>
    <t>株式会社ｶｰｳﾞｨﾚﾁﾞ</t>
    <rPh sb="0" eb="4">
      <t>カブシキガイシャ</t>
    </rPh>
    <phoneticPr fontId="13"/>
  </si>
  <si>
    <t>ｷｰﾚｽ (車内)保証書 取説</t>
    <rPh sb="9" eb="12">
      <t>ホショウショ</t>
    </rPh>
    <rPh sb="13" eb="15">
      <t>トリセツ</t>
    </rPh>
    <phoneticPr fontId="13"/>
  </si>
  <si>
    <t>8/3/26</t>
    <phoneticPr fontId="13"/>
  </si>
  <si>
    <t>大阪 337 ふ 3223</t>
    <rPh sb="0" eb="2">
      <t>オオサカ</t>
    </rPh>
    <phoneticPr fontId="13"/>
  </si>
  <si>
    <t>竹下様</t>
    <rPh sb="0" eb="2">
      <t>タケシタ</t>
    </rPh>
    <rPh sb="2" eb="3">
      <t>サマ</t>
    </rPh>
    <phoneticPr fontId="13"/>
  </si>
  <si>
    <t>WMWXR520X0TV10270</t>
    <phoneticPr fontId="13"/>
  </si>
  <si>
    <t>BMW X1</t>
    <phoneticPr fontId="13"/>
  </si>
  <si>
    <t>熊本 366 め 1188</t>
    <rPh sb="0" eb="2">
      <t>クマモト</t>
    </rPh>
    <phoneticPr fontId="13"/>
  </si>
  <si>
    <t>WBAHT920205N32913</t>
    <phoneticPr fontId="13"/>
  </si>
  <si>
    <t>ﾌﾟｼﾞｮｰ 208 GT</t>
    <phoneticPr fontId="13"/>
  </si>
  <si>
    <t>熊本 301 み 8794</t>
    <rPh sb="0" eb="2">
      <t>クマモト</t>
    </rPh>
    <phoneticPr fontId="13"/>
  </si>
  <si>
    <t>VR3UPHNKSNT039347</t>
    <phoneticPr fontId="13"/>
  </si>
  <si>
    <t>株式会社九州ﾕｰﾎﾟｽ</t>
    <rPh sb="0" eb="4">
      <t>カブシキガイシャ</t>
    </rPh>
    <rPh sb="4" eb="6">
      <t>キュウシュウ</t>
    </rPh>
    <phoneticPr fontId="13"/>
  </si>
  <si>
    <t xml:space="preserve">ｱﾊﾞﾙﾄ595 ｺﾝﾍﾟﾃｨﾂｨｵｰﾈ </t>
    <phoneticPr fontId="13"/>
  </si>
  <si>
    <t>品川 59F さ 8182</t>
    <rPh sb="0" eb="2">
      <t>シナガワ</t>
    </rPh>
    <phoneticPr fontId="13"/>
  </si>
  <si>
    <t>ZFA3120000JC23982</t>
    <phoneticPr fontId="13"/>
  </si>
  <si>
    <t>ｱﾙﾄﾗﾊﾟﾝｼｮｺﾗ X ｵｰﾃﾞｨｵ</t>
    <phoneticPr fontId="13"/>
  </si>
  <si>
    <t>7/12/24</t>
    <phoneticPr fontId="13"/>
  </si>
  <si>
    <t>A299959</t>
    <phoneticPr fontId="13"/>
  </si>
  <si>
    <t>HE22S-849281</t>
    <phoneticPr fontId="13"/>
  </si>
  <si>
    <t>20/10</t>
    <phoneticPr fontId="13"/>
  </si>
  <si>
    <t>ﾐﾗｼﾞｰﾉ ﾌﾟﾚﾐｱﾑ X</t>
    <phoneticPr fontId="13"/>
  </si>
  <si>
    <t>奈良 584 ろ 1216</t>
    <rPh sb="0" eb="2">
      <t>ナラ</t>
    </rPh>
    <phoneticPr fontId="13"/>
  </si>
  <si>
    <t>L650S-0075674</t>
    <phoneticPr fontId="13"/>
  </si>
  <si>
    <t>株式会社ﾛｰﾄﾞｶｰ</t>
    <rPh sb="0" eb="4">
      <t>カブシキガイシャ</t>
    </rPh>
    <phoneticPr fontId="13"/>
  </si>
  <si>
    <t xml:space="preserve">N-WGNｶｽﾀﾑ G </t>
    <phoneticPr fontId="13"/>
  </si>
  <si>
    <t>京都 581 と 1912</t>
    <rPh sb="0" eb="2">
      <t>キョウト</t>
    </rPh>
    <phoneticPr fontId="13"/>
  </si>
  <si>
    <t>JH1-1324762</t>
    <phoneticPr fontId="13"/>
  </si>
  <si>
    <t>福嶋 正人</t>
    <rPh sb="0" eb="1">
      <t>フク</t>
    </rPh>
    <rPh sb="1" eb="2">
      <t>シマ</t>
    </rPh>
    <rPh sb="3" eb="5">
      <t>マサト</t>
    </rPh>
    <phoneticPr fontId="13"/>
  </si>
  <si>
    <t>保証書 取説 ﾅﾋﾞ取 ｷｰﾚｽ 地図SD</t>
    <rPh sb="0" eb="3">
      <t>ホショウショ</t>
    </rPh>
    <rPh sb="4" eb="6">
      <t>トリセツ</t>
    </rPh>
    <rPh sb="10" eb="11">
      <t>トリ</t>
    </rPh>
    <rPh sb="17" eb="19">
      <t>チズ</t>
    </rPh>
    <phoneticPr fontId="13"/>
  </si>
  <si>
    <t>品番；CN-RE03D</t>
    <rPh sb="0" eb="2">
      <t>ヒンバン</t>
    </rPh>
    <phoneticPr fontId="13"/>
  </si>
  <si>
    <t>7/12/25</t>
    <phoneticPr fontId="13"/>
  </si>
  <si>
    <t>なにわ 583 よ 322</t>
    <phoneticPr fontId="13"/>
  </si>
  <si>
    <t>DA17W-167351</t>
    <phoneticPr fontId="13"/>
  </si>
  <si>
    <t>隅垣 麻里</t>
    <rPh sb="0" eb="1">
      <t>スミ</t>
    </rPh>
    <rPh sb="1" eb="2">
      <t>カキ</t>
    </rPh>
    <rPh sb="3" eb="5">
      <t>マリ</t>
    </rPh>
    <phoneticPr fontId="13"/>
  </si>
  <si>
    <t>保証書 取説 (車内)</t>
    <rPh sb="0" eb="3">
      <t>ホショウショ</t>
    </rPh>
    <rPh sb="4" eb="6">
      <t>トリセツ</t>
    </rPh>
    <rPh sb="8" eb="10">
      <t>シャナイ</t>
    </rPh>
    <phoneticPr fontId="13"/>
  </si>
  <si>
    <t>ｱﾙﾌｧﾛﾒｵ ｳﾞｪﾛｰﾁｪ</t>
    <phoneticPr fontId="13"/>
  </si>
  <si>
    <t>8/4/14</t>
    <phoneticPr fontId="13"/>
  </si>
  <si>
    <t>京都 346 み 228</t>
    <rPh sb="0" eb="2">
      <t>キョウト</t>
    </rPh>
    <phoneticPr fontId="13"/>
  </si>
  <si>
    <t>ZAR94000007551522</t>
    <phoneticPr fontId="13"/>
  </si>
  <si>
    <t>保証書 取説 ｷｰﾚｽ ｺｰﾄﾞｶｰﾄﾞ</t>
    <rPh sb="0" eb="3">
      <t>ホショウショ</t>
    </rPh>
    <rPh sb="4" eb="6">
      <t>トリセツ</t>
    </rPh>
    <phoneticPr fontId="13"/>
  </si>
  <si>
    <t xml:space="preserve">ｴﾌﾞﾘｲﾜｺﾞﾝ PZﾀｰﾎﾞ </t>
    <phoneticPr fontId="13"/>
  </si>
  <si>
    <t>品川 5P9 ろ 9644</t>
    <rPh sb="0" eb="2">
      <t>シナガワ</t>
    </rPh>
    <phoneticPr fontId="13"/>
  </si>
  <si>
    <t>DA17W-351676</t>
    <phoneticPr fontId="13"/>
  </si>
  <si>
    <t>昭和ﾘｰｽ株式会社</t>
    <rPh sb="0" eb="2">
      <t>ショウワ</t>
    </rPh>
    <rPh sb="5" eb="9">
      <t>カブシキガイシャ</t>
    </rPh>
    <phoneticPr fontId="13"/>
  </si>
  <si>
    <t>ｼﾞｰﾌﾟ ﾚﾈｹﾞｰﾄ ﾘﾐﾃｯﾄﾞ</t>
    <phoneticPr fontId="13"/>
  </si>
  <si>
    <t>市川 310 ぬ 5884</t>
    <rPh sb="0" eb="2">
      <t>イチカワ</t>
    </rPh>
    <phoneticPr fontId="13"/>
  </si>
  <si>
    <t>1C4BU0000LP69463</t>
    <phoneticPr fontId="13"/>
  </si>
  <si>
    <t>ﾔﾅｾｵｰﾄﾓｰﾃｨﾌﾞ株式会社</t>
    <rPh sb="12" eb="16">
      <t>カブシキガイシャ</t>
    </rPh>
    <phoneticPr fontId="13"/>
  </si>
  <si>
    <t>ｱｳﾃﾞｨA3 ｽﾎﾟｰﾂﾊﾞｯｸ</t>
    <phoneticPr fontId="13"/>
  </si>
  <si>
    <t>名古屋 307 ゆ 7273</t>
    <rPh sb="0" eb="3">
      <t>ナゴヤ</t>
    </rPh>
    <phoneticPr fontId="13"/>
  </si>
  <si>
    <t>WAUZZZ8V0LA011402</t>
    <phoneticPr fontId="13"/>
  </si>
  <si>
    <t>28/1</t>
    <phoneticPr fontId="13"/>
  </si>
  <si>
    <t>BMWﾐﾆﾜﾝ 5ﾄﾞｱ</t>
    <phoneticPr fontId="13"/>
  </si>
  <si>
    <t>石川 399 せ 6952</t>
    <rPh sb="0" eb="2">
      <t>イシカワ</t>
    </rPh>
    <phoneticPr fontId="13"/>
  </si>
  <si>
    <t>WMWXS120902C74104</t>
    <phoneticPr fontId="13"/>
  </si>
  <si>
    <t>株式会社ｲｰﾋﾟｰｴﾑｺｰﾎﾟﾚｰｼｮﾝ</t>
    <rPh sb="0" eb="4">
      <t>カブシキガイシャ</t>
    </rPh>
    <phoneticPr fontId="13"/>
  </si>
  <si>
    <t>ﾐﾗｺｺｱX</t>
    <phoneticPr fontId="13"/>
  </si>
  <si>
    <t>大阪 581 つ 5053</t>
    <rPh sb="0" eb="2">
      <t>オオサカ</t>
    </rPh>
    <phoneticPr fontId="13"/>
  </si>
  <si>
    <t>L675S-0181536</t>
    <phoneticPr fontId="13"/>
  </si>
  <si>
    <t>ｱｸｱ S ｽﾀｲﾙﾌﾞﾗｯｸ</t>
    <phoneticPr fontId="13"/>
  </si>
  <si>
    <t>神戸 536 ろ 507</t>
    <rPh sb="0" eb="2">
      <t>コウベ</t>
    </rPh>
    <phoneticPr fontId="13"/>
  </si>
  <si>
    <t>NHP10-6600070</t>
    <phoneticPr fontId="13"/>
  </si>
  <si>
    <t>27/11</t>
    <phoneticPr fontId="13"/>
  </si>
  <si>
    <t>ｷｬｽﾄｽﾀｲﾙ X SA2</t>
    <phoneticPr fontId="13"/>
  </si>
  <si>
    <t>大阪 582 と 3495</t>
    <rPh sb="0" eb="2">
      <t>オオサカ</t>
    </rPh>
    <phoneticPr fontId="13"/>
  </si>
  <si>
    <t>LA250S-0005721</t>
    <phoneticPr fontId="13"/>
  </si>
  <si>
    <t>地図SD (車内) ﾅﾝﾊﾞｰ</t>
    <rPh sb="0" eb="2">
      <t>チズ</t>
    </rPh>
    <phoneticPr fontId="13"/>
  </si>
  <si>
    <t>24/9</t>
    <phoneticPr fontId="13"/>
  </si>
  <si>
    <t>ﾊﾟﾚｯﾄ LTD 2</t>
    <phoneticPr fontId="13"/>
  </si>
  <si>
    <t>なにわ 5P6 ろ 733</t>
    <phoneticPr fontId="13"/>
  </si>
  <si>
    <t>MK21S-275220</t>
    <phoneticPr fontId="13"/>
  </si>
  <si>
    <t>ﾗｲﾌ G</t>
    <phoneticPr fontId="13"/>
  </si>
  <si>
    <t>愛媛 580 は 3579</t>
    <rPh sb="0" eb="2">
      <t>エヒメ</t>
    </rPh>
    <phoneticPr fontId="13"/>
  </si>
  <si>
    <t>JC1-1404545</t>
    <phoneticPr fontId="13"/>
  </si>
  <si>
    <t>株式会社ﾎﾝﾀﾞﾓﾋﾞﾘﾃｨ中四国</t>
    <rPh sb="0" eb="4">
      <t>カブシキガイシャ</t>
    </rPh>
    <rPh sb="14" eb="17">
      <t>ナカシコク</t>
    </rPh>
    <phoneticPr fontId="13"/>
  </si>
  <si>
    <t>N-BOX SSﾊﾟｯｹｰｼﾞ</t>
    <phoneticPr fontId="13"/>
  </si>
  <si>
    <t>鳥取 580 と 7194</t>
    <rPh sb="0" eb="2">
      <t>トットリ</t>
    </rPh>
    <phoneticPr fontId="13"/>
  </si>
  <si>
    <t>JF1-1458145</t>
    <phoneticPr fontId="13"/>
  </si>
  <si>
    <t>和泉 785 に 18</t>
    <rPh sb="0" eb="2">
      <t>イズミ</t>
    </rPh>
    <phoneticPr fontId="13"/>
  </si>
  <si>
    <t>LA700S-0175539</t>
    <phoneticPr fontId="13"/>
  </si>
  <si>
    <t>地図SD (車内)取説 ｷｰﾚｽ</t>
    <rPh sb="0" eb="2">
      <t>チズ</t>
    </rPh>
    <rPh sb="9" eb="11">
      <t>トリセツ</t>
    </rPh>
    <phoneticPr fontId="13"/>
  </si>
  <si>
    <t>N-BOXｶｽﾀﾑL</t>
    <phoneticPr fontId="13"/>
  </si>
  <si>
    <t>鈴鹿 580 わ 1946</t>
    <rPh sb="0" eb="2">
      <t>スズカ</t>
    </rPh>
    <phoneticPr fontId="13"/>
  </si>
  <si>
    <t>JF3-5288768</t>
    <phoneticPr fontId="13"/>
  </si>
  <si>
    <t>株式会社ﾎﾝﾀﾞﾌﾟﾘﾓﾄﾘｺ</t>
    <rPh sb="0" eb="4">
      <t>カブシキガイシャ</t>
    </rPh>
    <phoneticPr fontId="13"/>
  </si>
  <si>
    <t>福井 580 や 4137</t>
    <rPh sb="0" eb="2">
      <t>フクイ</t>
    </rPh>
    <phoneticPr fontId="13"/>
  </si>
  <si>
    <t>JF3-1513400</t>
    <phoneticPr fontId="13"/>
  </si>
  <si>
    <t>27/10</t>
    <phoneticPr fontId="13"/>
  </si>
  <si>
    <t>三河 332 ろ 309</t>
    <rPh sb="0" eb="2">
      <t>ミカワ</t>
    </rPh>
    <phoneticPr fontId="13"/>
  </si>
  <si>
    <t>ﾎﾝﾀﾞ名古屋</t>
    <rPh sb="4" eb="7">
      <t>ナゴヤ</t>
    </rPh>
    <phoneticPr fontId="13"/>
  </si>
  <si>
    <t>WMWX520602B40464</t>
    <phoneticPr fontId="13"/>
  </si>
  <si>
    <t>取説 ｷｰﾚｽ (車内)</t>
    <rPh sb="0" eb="2">
      <t>トリセツ</t>
    </rPh>
    <phoneticPr fontId="13"/>
  </si>
  <si>
    <t>ｼｴﾝﾀ ﾊｲﾌﾞﾘｯﾄZ</t>
    <phoneticPr fontId="13"/>
  </si>
  <si>
    <t>9/11/7</t>
    <phoneticPr fontId="13"/>
  </si>
  <si>
    <t>福山 533 ぬ 226</t>
    <rPh sb="0" eb="2">
      <t>フクヤマ</t>
    </rPh>
    <phoneticPr fontId="13"/>
  </si>
  <si>
    <t>A299791</t>
    <phoneticPr fontId="13"/>
  </si>
  <si>
    <t>MXPL10-1176958</t>
    <phoneticPr fontId="13"/>
  </si>
  <si>
    <t>北島 美樹</t>
    <rPh sb="0" eb="2">
      <t>キタジマ</t>
    </rPh>
    <rPh sb="3" eb="5">
      <t>ミキ</t>
    </rPh>
    <phoneticPr fontId="13"/>
  </si>
  <si>
    <t>N-ONE ﾌﾟﾚﾐｱﾑ</t>
    <phoneticPr fontId="13"/>
  </si>
  <si>
    <t>8/1/3</t>
    <phoneticPr fontId="13"/>
  </si>
  <si>
    <t>倉敷 584 さ 417</t>
    <rPh sb="0" eb="2">
      <t>クラシキ</t>
    </rPh>
    <phoneticPr fontId="13"/>
  </si>
  <si>
    <t>A299467</t>
    <phoneticPr fontId="13"/>
  </si>
  <si>
    <t>JG1-1213937</t>
    <phoneticPr fontId="13"/>
  </si>
  <si>
    <t>高橋 映子</t>
    <rPh sb="0" eb="2">
      <t>タカハシ</t>
    </rPh>
    <rPh sb="3" eb="5">
      <t>エイコ</t>
    </rPh>
    <phoneticPr fontId="13"/>
  </si>
  <si>
    <t>ﾀﾝﾄ ｶｽﾀﾑX</t>
    <phoneticPr fontId="13"/>
  </si>
  <si>
    <t>8/4/8</t>
    <phoneticPr fontId="13"/>
  </si>
  <si>
    <t>A300130</t>
    <phoneticPr fontId="13"/>
  </si>
  <si>
    <t>LA650S-1091509</t>
    <phoneticPr fontId="13"/>
  </si>
  <si>
    <t>9/3/10</t>
    <phoneticPr fontId="13"/>
  </si>
  <si>
    <t>香川 346 す 5005</t>
    <rPh sb="0" eb="2">
      <t>カガワ</t>
    </rPh>
    <phoneticPr fontId="13"/>
  </si>
  <si>
    <t xml:space="preserve">保証書 取説 ｽﾍﾟｱｷｰ </t>
    <rPh sb="0" eb="3">
      <t>ホショウショ</t>
    </rPh>
    <rPh sb="4" eb="6">
      <t>トリセツ</t>
    </rPh>
    <phoneticPr fontId="13"/>
  </si>
  <si>
    <t>A301164</t>
    <phoneticPr fontId="13"/>
  </si>
  <si>
    <t>AGH30-0412420</t>
    <phoneticPr fontId="13"/>
  </si>
  <si>
    <t>株式会社岡島興業</t>
    <rPh sb="0" eb="4">
      <t>カブシキガイシャ</t>
    </rPh>
    <rPh sb="4" eb="6">
      <t>オカジマ</t>
    </rPh>
    <rPh sb="6" eb="8">
      <t>コウギョウ</t>
    </rPh>
    <phoneticPr fontId="13"/>
  </si>
  <si>
    <t>ﾘﾓｺﾝ (車内)保証書 取説 ｷｰﾚｽ</t>
    <rPh sb="9" eb="12">
      <t>ホショウショ</t>
    </rPh>
    <rPh sb="13" eb="15">
      <t>トリセツ</t>
    </rPh>
    <phoneticPr fontId="13"/>
  </si>
  <si>
    <t>ｵｰﾗ ﾆｽﾓ</t>
    <phoneticPr fontId="13"/>
  </si>
  <si>
    <t>8/7/24</t>
    <phoneticPr fontId="13"/>
  </si>
  <si>
    <t>A301146</t>
    <phoneticPr fontId="13"/>
  </si>
  <si>
    <t>FE13-351853</t>
    <phoneticPr fontId="13"/>
  </si>
  <si>
    <t>ﾔﾘｽｸﾛｽ Z</t>
    <phoneticPr fontId="13"/>
  </si>
  <si>
    <t>MZPB10-3015656</t>
    <phoneticPr fontId="13"/>
  </si>
  <si>
    <t>ﾀﾝﾄｶｽﾀﾑ RS ﾄｯﾌﾟｴﾃﾞｨｼｮﾝ</t>
    <phoneticPr fontId="13"/>
  </si>
  <si>
    <t>長野 580 め 729</t>
    <rPh sb="0" eb="2">
      <t>ナガノ</t>
    </rPh>
    <phoneticPr fontId="13"/>
  </si>
  <si>
    <t>LA610S-0073753</t>
    <phoneticPr fontId="13"/>
  </si>
  <si>
    <t>川名 篤</t>
    <rPh sb="0" eb="2">
      <t>カワナ</t>
    </rPh>
    <rPh sb="3" eb="4">
      <t>アツシ</t>
    </rPh>
    <phoneticPr fontId="13"/>
  </si>
  <si>
    <t>ｽﾍﾟｰｽｶｽﾀﾑ ﾊｲﾌﾞﾘｯﾄXS</t>
    <phoneticPr fontId="13"/>
  </si>
  <si>
    <t>神戸 581 わ 4178</t>
    <rPh sb="0" eb="2">
      <t>コウベ</t>
    </rPh>
    <phoneticPr fontId="13"/>
  </si>
  <si>
    <t>MK53S-495951</t>
    <phoneticPr fontId="13"/>
  </si>
  <si>
    <t>株式会社ｲｸｾﾝｵｰﾄ</t>
    <rPh sb="0" eb="4">
      <t>カブシキガイシャ</t>
    </rPh>
    <phoneticPr fontId="13"/>
  </si>
  <si>
    <t>沖縄 582 さ 7308</t>
    <rPh sb="0" eb="2">
      <t>オキナワ</t>
    </rPh>
    <phoneticPr fontId="13"/>
  </si>
  <si>
    <t>MR92S-363165</t>
    <phoneticPr fontId="13"/>
  </si>
  <si>
    <t>池原 佑菜</t>
    <rPh sb="0" eb="2">
      <t>イケハラ</t>
    </rPh>
    <rPh sb="3" eb="5">
      <t>ユウナ</t>
    </rPh>
    <phoneticPr fontId="13"/>
  </si>
  <si>
    <t>ｱﾙﾄﾗﾊﾟﾝ 10THｱﾆﾊﾞｰｻﾘｰﾘﾐﾃｯﾄﾞ</t>
    <phoneticPr fontId="13"/>
  </si>
  <si>
    <t>大阪 589 ら 15</t>
    <rPh sb="0" eb="2">
      <t>オオサカ</t>
    </rPh>
    <phoneticPr fontId="13"/>
  </si>
  <si>
    <t>HE22S-255772</t>
    <phoneticPr fontId="13"/>
  </si>
  <si>
    <t>ｴﾌﾞﾘｨｼﾞｮｲﾝ 4WD</t>
    <phoneticPr fontId="13"/>
  </si>
  <si>
    <t>広島 481 ろ 8463</t>
    <rPh sb="0" eb="2">
      <t>ヒロシマ</t>
    </rPh>
    <phoneticPr fontId="13"/>
  </si>
  <si>
    <t>DA17-429249</t>
    <phoneticPr fontId="13"/>
  </si>
  <si>
    <t>NX・TCﾘｰｽ&amp;ﾌｧｲﾅﾝｽ株式会社広島支店</t>
    <rPh sb="15" eb="19">
      <t>カブシキガイシャ</t>
    </rPh>
    <rPh sb="19" eb="21">
      <t>ヒロシマ</t>
    </rPh>
    <rPh sb="21" eb="23">
      <t>シテン</t>
    </rPh>
    <phoneticPr fontId="13"/>
  </si>
  <si>
    <t>23/10</t>
    <phoneticPr fontId="13"/>
  </si>
  <si>
    <t>ｱﾙﾄﾗﾊﾟﾝ ﾘﾐﾃｯﾄﾞ</t>
    <phoneticPr fontId="13"/>
  </si>
  <si>
    <t>香川 586 は 23</t>
    <rPh sb="0" eb="2">
      <t>カガワ</t>
    </rPh>
    <phoneticPr fontId="13"/>
  </si>
  <si>
    <t>HE22S-213361</t>
    <phoneticPr fontId="13"/>
  </si>
  <si>
    <t>保証書 取説 ｷｰﾚｽ B-CAS</t>
    <rPh sb="0" eb="3">
      <t>ホショウショ</t>
    </rPh>
    <rPh sb="4" eb="6">
      <t>トリセツ</t>
    </rPh>
    <phoneticPr fontId="13"/>
  </si>
  <si>
    <t>ｳﾞｪﾙﾌｧｲｱ 2.4Z ｺﾞｰﾙﾃﾞﾝｱｲｽﾞ2</t>
    <phoneticPr fontId="13"/>
  </si>
  <si>
    <t>広島 335 ゆ 812</t>
    <rPh sb="0" eb="2">
      <t>ヒロシマ</t>
    </rPh>
    <phoneticPr fontId="13"/>
  </si>
  <si>
    <t>ANH20-8345453</t>
    <phoneticPr fontId="13"/>
  </si>
  <si>
    <t>ﾀｳﾝﾎﾞｯｸｽ Gｽﾍﾟｼｬﾙ</t>
    <phoneticPr fontId="13"/>
  </si>
  <si>
    <t>広島 582 き 798</t>
    <rPh sb="0" eb="2">
      <t>ヒロシマ</t>
    </rPh>
    <phoneticPr fontId="13"/>
  </si>
  <si>
    <t>DS17W-300736</t>
    <phoneticPr fontId="13"/>
  </si>
  <si>
    <t>広島三菱自動車販売株式会社</t>
    <rPh sb="0" eb="2">
      <t>ヒロシマ</t>
    </rPh>
    <rPh sb="2" eb="7">
      <t>ミツビシジドウシャ</t>
    </rPh>
    <rPh sb="7" eb="9">
      <t>ハンバイ</t>
    </rPh>
    <rPh sb="9" eb="13">
      <t>カブシキガイシャ</t>
    </rPh>
    <phoneticPr fontId="13"/>
  </si>
  <si>
    <t>ﾑｰﾌﾞｺﾝﾃ ｶｽﾀﾑ RS</t>
    <phoneticPr fontId="13"/>
  </si>
  <si>
    <t>広島 580 め 9973</t>
    <rPh sb="0" eb="2">
      <t>ヒロシマ</t>
    </rPh>
    <phoneticPr fontId="13"/>
  </si>
  <si>
    <t>L585S-0029273</t>
    <phoneticPr fontId="13"/>
  </si>
  <si>
    <t>ﾀﾞｲﾊﾂ広島販売株式会社</t>
    <rPh sb="5" eb="7">
      <t>ヒロシマ</t>
    </rPh>
    <rPh sb="7" eb="13">
      <t>ハンバイカブシキガイシャ</t>
    </rPh>
    <phoneticPr fontId="13"/>
  </si>
  <si>
    <t>保証書 取説 地図SD(車内)</t>
    <rPh sb="0" eb="3">
      <t>ホショウショ</t>
    </rPh>
    <rPh sb="4" eb="6">
      <t>トリセツ</t>
    </rPh>
    <rPh sb="7" eb="9">
      <t>チズ</t>
    </rPh>
    <phoneticPr fontId="13"/>
  </si>
  <si>
    <t>ﾐﾗｲｰｽ X SA3</t>
    <phoneticPr fontId="13"/>
  </si>
  <si>
    <t>広島 581 み 1701</t>
    <rPh sb="0" eb="2">
      <t>ヒロシマ</t>
    </rPh>
    <phoneticPr fontId="13"/>
  </si>
  <si>
    <t>LA350S-0225120</t>
    <phoneticPr fontId="13"/>
  </si>
  <si>
    <t>株式会社ﾄﾖﾀﾚﾝﾘｰｽ広島</t>
    <rPh sb="0" eb="4">
      <t>カブシキガイシャ</t>
    </rPh>
    <rPh sb="12" eb="14">
      <t>ヒロシマ</t>
    </rPh>
    <phoneticPr fontId="13"/>
  </si>
  <si>
    <t>保証書 取説 ﾏｲｸﾛ地図SD(車内)</t>
    <rPh sb="0" eb="3">
      <t>ホショウショ</t>
    </rPh>
    <rPh sb="4" eb="6">
      <t>トリセツ</t>
    </rPh>
    <rPh sb="11" eb="13">
      <t>チズ</t>
    </rPh>
    <phoneticPr fontId="13"/>
  </si>
  <si>
    <t>AZﾜｺﾞﾝ XG</t>
    <phoneticPr fontId="13"/>
  </si>
  <si>
    <t>広島 580 も 7704</t>
    <rPh sb="0" eb="2">
      <t>ヒロシマ</t>
    </rPh>
    <phoneticPr fontId="13"/>
  </si>
  <si>
    <t>MJ23S-184743</t>
    <phoneticPr fontId="13"/>
  </si>
  <si>
    <t>保証書 取説 ｽﾍﾟｱｷｰ(車内)</t>
    <rPh sb="0" eb="3">
      <t>ホショウショ</t>
    </rPh>
    <rPh sb="4" eb="6">
      <t>トリセツ</t>
    </rPh>
    <rPh sb="14" eb="16">
      <t>シャナイ</t>
    </rPh>
    <phoneticPr fontId="13"/>
  </si>
  <si>
    <t>ﾜｺﾞﾝR FAｽﾃｨﾝｸﾞﾚｰ X</t>
    <phoneticPr fontId="13"/>
  </si>
  <si>
    <t>広島 582 す 6871</t>
    <rPh sb="0" eb="2">
      <t>ヒロシマ</t>
    </rPh>
    <phoneticPr fontId="13"/>
  </si>
  <si>
    <t>MH23S-681023</t>
    <phoneticPr fontId="13"/>
  </si>
  <si>
    <t>下地 政宏</t>
    <rPh sb="0" eb="2">
      <t>シモヂ</t>
    </rPh>
    <rPh sb="3" eb="5">
      <t>マサヒロ</t>
    </rPh>
    <phoneticPr fontId="13"/>
  </si>
  <si>
    <t>福山 581 さ 7689</t>
    <rPh sb="0" eb="2">
      <t>フクヤマ</t>
    </rPh>
    <phoneticPr fontId="13"/>
  </si>
  <si>
    <t>MH34S-116875</t>
    <phoneticPr fontId="13"/>
  </si>
  <si>
    <t>有限会社ﾐﾊﾗﾎﾞｰﾄ自動車販売</t>
    <rPh sb="0" eb="4">
      <t>ユウゲンガイシャ</t>
    </rPh>
    <rPh sb="11" eb="16">
      <t>ジドウシャハンバイ</t>
    </rPh>
    <phoneticPr fontId="13"/>
  </si>
  <si>
    <t>8/6/29</t>
    <phoneticPr fontId="13"/>
  </si>
  <si>
    <t>練馬 302 ね 1653</t>
    <rPh sb="0" eb="2">
      <t>ネリマ</t>
    </rPh>
    <phoneticPr fontId="13"/>
  </si>
  <si>
    <t>WBAHT920805G90935</t>
    <phoneticPr fontId="13"/>
  </si>
  <si>
    <t>ﾌｨｱｯﾄ500C 1.2ｶﾙﾄ</t>
    <phoneticPr fontId="13"/>
  </si>
  <si>
    <t>8/12/26</t>
    <phoneticPr fontId="13"/>
  </si>
  <si>
    <t>横浜 506 そ 2330</t>
    <rPh sb="0" eb="2">
      <t>ヨコハマ</t>
    </rPh>
    <phoneticPr fontId="13"/>
  </si>
  <si>
    <t>ZFABF1BG1MJF14554</t>
    <phoneticPr fontId="13"/>
  </si>
  <si>
    <t>ｱｳﾃﾞｨ TTｸｰﾍﾟ 1.8TFSI Sﾗｲﾝ</t>
    <phoneticPr fontId="13"/>
  </si>
  <si>
    <t>8/6/27</t>
    <phoneticPr fontId="13"/>
  </si>
  <si>
    <t>多摩 304 そ 9768</t>
    <rPh sb="0" eb="2">
      <t>タマ</t>
    </rPh>
    <phoneticPr fontId="13"/>
  </si>
  <si>
    <t>TRUZZZ8J8D1007007</t>
    <phoneticPr fontId="13"/>
  </si>
  <si>
    <t>株式会社ﾓｰﾄﾚﾝ東名横浜</t>
    <rPh sb="0" eb="4">
      <t>カブシキガイシャ</t>
    </rPh>
    <rPh sb="9" eb="11">
      <t>トウメイ</t>
    </rPh>
    <rPh sb="11" eb="13">
      <t>ヨコハマ</t>
    </rPh>
    <phoneticPr fontId="13"/>
  </si>
  <si>
    <t>BMW X1 xdrive18ｄ</t>
    <phoneticPr fontId="13"/>
  </si>
  <si>
    <t>なにわ 39A ま 6891</t>
    <phoneticPr fontId="13"/>
  </si>
  <si>
    <t>WBAHT920X05G89110</t>
    <phoneticPr fontId="13"/>
  </si>
  <si>
    <t>株式会社ｽｽﾞｷ自販近畿</t>
    <rPh sb="0" eb="4">
      <t>カブシキガイシャ</t>
    </rPh>
    <rPh sb="8" eb="10">
      <t>ジハン</t>
    </rPh>
    <rPh sb="10" eb="12">
      <t>キンキ</t>
    </rPh>
    <phoneticPr fontId="13"/>
  </si>
  <si>
    <t>ｷｰﾚｽ(車内)保証書 ﾘﾓｺﾝ</t>
    <rPh sb="8" eb="11">
      <t>ホショウショ</t>
    </rPh>
    <phoneticPr fontId="13"/>
  </si>
  <si>
    <t>豊橋 584 ぬ 1012</t>
    <rPh sb="0" eb="2">
      <t>トヨハシ</t>
    </rPh>
    <phoneticPr fontId="13"/>
  </si>
  <si>
    <t>HE33S-303122</t>
    <phoneticPr fontId="13"/>
  </si>
  <si>
    <t>株式会社ｽｽﾞｷ自販東海</t>
    <rPh sb="0" eb="4">
      <t>カブシキガイシャ</t>
    </rPh>
    <rPh sb="9" eb="11">
      <t>トウカイ</t>
    </rPh>
    <phoneticPr fontId="13"/>
  </si>
  <si>
    <t>ﾀﾝﾄ ｶｽﾀﾑ RS ﾄｯﾌﾟｴﾃﾞｨｼｮﾝSA3</t>
    <phoneticPr fontId="13"/>
  </si>
  <si>
    <t>静岡 584 ろ 8696</t>
    <rPh sb="0" eb="2">
      <t>シズオカ</t>
    </rPh>
    <phoneticPr fontId="13"/>
  </si>
  <si>
    <t>LA600S-0749055</t>
    <phoneticPr fontId="13"/>
  </si>
  <si>
    <t>ﾄﾖﾀﾕﾅｲﾃｯﾄﾞ静岡株式会社</t>
    <rPh sb="10" eb="12">
      <t>シズオカ</t>
    </rPh>
    <rPh sb="12" eb="16">
      <t>カブシキガイシャ</t>
    </rPh>
    <phoneticPr fontId="13"/>
  </si>
  <si>
    <t>ﾎﾞﾙﾎﾞ XC60</t>
    <phoneticPr fontId="13"/>
  </si>
  <si>
    <t>名古屋 332 に 848</t>
    <rPh sb="0" eb="3">
      <t>ナゴヤ</t>
    </rPh>
    <phoneticPr fontId="13"/>
  </si>
  <si>
    <t>YV1UZA8MCL1498479</t>
    <phoneticPr fontId="13"/>
  </si>
  <si>
    <t>整備手帳 取説 ｷｰﾚｽ ｽﾍﾟｱｷｰ (車内)</t>
    <rPh sb="0" eb="4">
      <t>セイビテチョウ</t>
    </rPh>
    <rPh sb="5" eb="7">
      <t>トリセツ</t>
    </rPh>
    <phoneticPr fontId="13"/>
  </si>
  <si>
    <t>VW ｻﾞﾋﾞｰﾄﾙﾃﾞｻﾞｲﾝ</t>
    <phoneticPr fontId="13"/>
  </si>
  <si>
    <t>松本 300 ら 4832</t>
    <rPh sb="0" eb="2">
      <t>マツモト</t>
    </rPh>
    <phoneticPr fontId="13"/>
  </si>
  <si>
    <t>WVWZZZ16ZHM603039</t>
    <phoneticPr fontId="13"/>
  </si>
  <si>
    <t>NTP-VG株式会社</t>
    <rPh sb="6" eb="10">
      <t>カブシキガイシャ</t>
    </rPh>
    <phoneticPr fontId="13"/>
  </si>
  <si>
    <t>取説 ｷｰﾚｽ (車内)地図SD</t>
    <rPh sb="0" eb="2">
      <t>トリセツ</t>
    </rPh>
    <rPh sb="12" eb="14">
      <t>チズ</t>
    </rPh>
    <phoneticPr fontId="13"/>
  </si>
  <si>
    <t>ﾌﾟﾛﾎﾞｯｸｽ DXｺﾝﾌｫｰﾄ</t>
    <phoneticPr fontId="13"/>
  </si>
  <si>
    <t>四日市 400 わ 185</t>
    <rPh sb="0" eb="3">
      <t>ヨッカイチ</t>
    </rPh>
    <phoneticPr fontId="13"/>
  </si>
  <si>
    <t>保証書 ﾚﾝﾀｶｰ</t>
    <rPh sb="0" eb="3">
      <t>ホショウショ</t>
    </rPh>
    <phoneticPr fontId="13"/>
  </si>
  <si>
    <t>NSP160-0063019</t>
    <phoneticPr fontId="13"/>
  </si>
  <si>
    <t>株式会社ﾄﾖﾀﾚﾝﾘｰｽ三重</t>
    <rPh sb="0" eb="4">
      <t>カブシキガイシャ</t>
    </rPh>
    <rPh sb="12" eb="14">
      <t>ミエ</t>
    </rPh>
    <phoneticPr fontId="13"/>
  </si>
  <si>
    <t>取説 ｽﾍﾟｱｷｰ 地図SD (車内)保証書 ﾚﾝﾀｶｰ</t>
    <rPh sb="0" eb="2">
      <t>トリセツ</t>
    </rPh>
    <rPh sb="10" eb="12">
      <t>チズ</t>
    </rPh>
    <rPh sb="19" eb="22">
      <t>ホショウショ</t>
    </rPh>
    <phoneticPr fontId="13"/>
  </si>
  <si>
    <t>京都 590 こ 314</t>
    <rPh sb="0" eb="2">
      <t>キョウト</t>
    </rPh>
    <phoneticPr fontId="13"/>
  </si>
  <si>
    <t>MK53S-983930</t>
    <phoneticPr fontId="13"/>
  </si>
  <si>
    <t>ｽﾍﾟｰｽｶｽﾀﾑ ﾊｲﾌﾞﾘｯﾄGS</t>
    <phoneticPr fontId="13"/>
  </si>
  <si>
    <t>姫路 581 た 6347</t>
    <rPh sb="0" eb="2">
      <t>ヒメジ</t>
    </rPh>
    <phoneticPr fontId="13"/>
  </si>
  <si>
    <t>MK53S-574653</t>
    <phoneticPr fontId="13"/>
  </si>
  <si>
    <t>阿部 敏也</t>
    <rPh sb="0" eb="2">
      <t>アベ</t>
    </rPh>
    <rPh sb="3" eb="4">
      <t>トシ</t>
    </rPh>
    <rPh sb="4" eb="5">
      <t>ヤ</t>
    </rPh>
    <phoneticPr fontId="13"/>
  </si>
  <si>
    <t xml:space="preserve">ﾏｲｸﾛ地図SD(車内)保証書 取説 ｷｰﾚｽ </t>
    <rPh sb="12" eb="15">
      <t>ホショウショ</t>
    </rPh>
    <rPh sb="16" eb="18">
      <t>トリセツ</t>
    </rPh>
    <phoneticPr fontId="13"/>
  </si>
  <si>
    <t>ｱﾊﾞﾙﾄ 595 ﾊﾟｰﾌｫｰﾏﾝｽPKG</t>
    <phoneticPr fontId="13"/>
  </si>
  <si>
    <t>庄内 500 ひ 7689</t>
    <rPh sb="0" eb="2">
      <t>ショウナイ</t>
    </rPh>
    <phoneticPr fontId="13"/>
  </si>
  <si>
    <t>ZFA3120000JC45705</t>
    <phoneticPr fontId="13"/>
  </si>
  <si>
    <t>有限会社ROSSO</t>
    <rPh sb="0" eb="4">
      <t>ユウゲンガイシャ</t>
    </rPh>
    <phoneticPr fontId="13"/>
  </si>
  <si>
    <t>ｸﾗｲｽﾗｰ ｼﾞｰﾌﾟｺﾝﾊﾟｽ</t>
    <phoneticPr fontId="13"/>
  </si>
  <si>
    <t>京都 32F ふ 8</t>
    <rPh sb="0" eb="2">
      <t>キョウト</t>
    </rPh>
    <phoneticPr fontId="13"/>
  </si>
  <si>
    <t>MCANJRCB2MFA73733</t>
    <phoneticPr fontId="13"/>
  </si>
  <si>
    <t>京都ﾄﾖﾍﾟｯﾄ株式会社</t>
    <rPh sb="0" eb="2">
      <t>キョウト</t>
    </rPh>
    <rPh sb="8" eb="12">
      <t>カブシキガイシャ</t>
    </rPh>
    <phoneticPr fontId="13"/>
  </si>
  <si>
    <t>9/26</t>
    <phoneticPr fontId="13"/>
  </si>
  <si>
    <t>ｸﾗｲｽﾗｰ ﾚﾈｹﾞｰﾄ</t>
    <phoneticPr fontId="13"/>
  </si>
  <si>
    <t>なにわ 39A み 2833</t>
    <phoneticPr fontId="13"/>
  </si>
  <si>
    <t>1V4NJCD14MPM42767</t>
    <phoneticPr fontId="13"/>
  </si>
  <si>
    <t>ﾄﾖﾀﾓﾋﾞﾘﾃｨｻｰﾋﾞｽ新大阪株式会社</t>
    <rPh sb="14" eb="17">
      <t>シンオオサカ</t>
    </rPh>
    <rPh sb="17" eb="21">
      <t>カブシキガイシャ</t>
    </rPh>
    <phoneticPr fontId="13"/>
  </si>
  <si>
    <t>ﾒﾙｾﾃﾞｽﾍﾞﾝﾂ C 200ﾜｺﾞﾝ</t>
    <phoneticPr fontId="13"/>
  </si>
  <si>
    <t>岡山 301 も 6180</t>
    <rPh sb="0" eb="2">
      <t>オカヤマ</t>
    </rPh>
    <phoneticPr fontId="13"/>
  </si>
  <si>
    <t>WDD2052772F914399</t>
    <phoneticPr fontId="13"/>
  </si>
  <si>
    <t>山陽ﾔﾅｾ株式会社</t>
    <rPh sb="0" eb="2">
      <t>サンヨウ</t>
    </rPh>
    <rPh sb="5" eb="9">
      <t>カブシキガイシャ</t>
    </rPh>
    <phoneticPr fontId="13"/>
  </si>
  <si>
    <t>ｱｸｱ S ｽﾏｰﾄｴﾝﾄﾘｰﾊﾟｯｹｰｼﾞ</t>
    <phoneticPr fontId="13"/>
  </si>
  <si>
    <t>多摩 503 と 204</t>
    <rPh sb="0" eb="2">
      <t>タマ</t>
    </rPh>
    <phoneticPr fontId="13"/>
  </si>
  <si>
    <t>NHP10-2351876</t>
    <phoneticPr fontId="13"/>
  </si>
  <si>
    <t>東日本三菱自動車株式会社</t>
    <rPh sb="0" eb="12">
      <t>ヒガシニホンミツビシジドウシャカブシキガイシャ</t>
    </rPh>
    <phoneticPr fontId="13"/>
  </si>
  <si>
    <t>ｷｰﾚｽ SD</t>
    <phoneticPr fontId="13"/>
  </si>
  <si>
    <t>N-ONE  G</t>
    <phoneticPr fontId="13"/>
  </si>
  <si>
    <t>三河 581 ち 9647</t>
    <rPh sb="0" eb="2">
      <t>ミカワ</t>
    </rPh>
    <phoneticPr fontId="13"/>
  </si>
  <si>
    <t>JG1-1216266</t>
    <phoneticPr fontId="13"/>
  </si>
  <si>
    <t>加藤自動車株式会社</t>
    <rPh sb="0" eb="2">
      <t>カトウ</t>
    </rPh>
    <rPh sb="2" eb="5">
      <t>ジドウシャ</t>
    </rPh>
    <rPh sb="5" eb="9">
      <t>カブシキガイシャ</t>
    </rPh>
    <phoneticPr fontId="13"/>
  </si>
  <si>
    <t>ﾊｽﾗｰ ﾊｲﾌﾞﾘｯﾄG</t>
    <phoneticPr fontId="13"/>
  </si>
  <si>
    <t>三河 581 ち 9844</t>
    <rPh sb="0" eb="2">
      <t>ミカワ</t>
    </rPh>
    <phoneticPr fontId="13"/>
  </si>
  <si>
    <t>MR92S-139525</t>
    <phoneticPr fontId="13"/>
  </si>
  <si>
    <t>ﾄｯﾌﾟﾜｰﾙﾄﾞ株式会社</t>
    <rPh sb="9" eb="13">
      <t>カブシキガイシャ</t>
    </rPh>
    <phoneticPr fontId="13"/>
  </si>
  <si>
    <t>N-BOXｶｽﾀﾑ SSﾌﾞﾗｯｸ</t>
    <phoneticPr fontId="13"/>
  </si>
  <si>
    <t>品川 5X1 ろ 1188</t>
    <rPh sb="0" eb="2">
      <t>シナガワ</t>
    </rPh>
    <phoneticPr fontId="13"/>
  </si>
  <si>
    <t>JF1-1951616</t>
    <phoneticPr fontId="13"/>
  </si>
  <si>
    <t>ﾀｳﾝBOX Gｽﾍﾟｼｬﾙ</t>
    <phoneticPr fontId="13"/>
  </si>
  <si>
    <t>9/3/28</t>
    <phoneticPr fontId="13"/>
  </si>
  <si>
    <t>多摩 581 つ 8979</t>
    <rPh sb="0" eb="2">
      <t>タマ</t>
    </rPh>
    <phoneticPr fontId="13"/>
  </si>
  <si>
    <t>DS17W-140610</t>
    <phoneticPr fontId="13"/>
  </si>
  <si>
    <t>N-BOX GL ﾎﾝﾀﾞｾﾝｼﾝｸﾞ</t>
    <phoneticPr fontId="13"/>
  </si>
  <si>
    <t>名古屋 581 わ 1288</t>
    <rPh sb="0" eb="3">
      <t>ナゴヤ</t>
    </rPh>
    <phoneticPr fontId="13"/>
  </si>
  <si>
    <t>JF3-1154351</t>
    <phoneticPr fontId="13"/>
  </si>
  <si>
    <t>株式会社ﾀｶｻﾜ</t>
    <rPh sb="0" eb="4">
      <t>カブシキガイシャ</t>
    </rPh>
    <phoneticPr fontId="13"/>
  </si>
  <si>
    <t>保証書 ﾚﾝﾀｶｰｸﾚｰﾑ</t>
    <rPh sb="0" eb="3">
      <t>ホショウショ</t>
    </rPh>
    <phoneticPr fontId="13"/>
  </si>
  <si>
    <t>23/9</t>
    <phoneticPr fontId="13"/>
  </si>
  <si>
    <t>ﾃﾞｨｱｽ ｽﾛｰﾌﾟ付 ﾄﾗﾝｽｹｱ</t>
    <rPh sb="11" eb="12">
      <t>ツ</t>
    </rPh>
    <phoneticPr fontId="13"/>
  </si>
  <si>
    <t>三重 880 あ 1330</t>
    <rPh sb="0" eb="2">
      <t>ミエ</t>
    </rPh>
    <phoneticPr fontId="13"/>
  </si>
  <si>
    <t>S321N-0000706</t>
    <phoneticPr fontId="13"/>
  </si>
  <si>
    <t>服部 弘美</t>
    <rPh sb="0" eb="2">
      <t>ハットリ</t>
    </rPh>
    <rPh sb="3" eb="5">
      <t>ヒロミ</t>
    </rPh>
    <phoneticPr fontId="13"/>
  </si>
  <si>
    <t>N-BOX G SSﾊﾟｯｹｰｼﾞ</t>
    <phoneticPr fontId="13"/>
  </si>
  <si>
    <t>ﾅﾋﾞ取</t>
    <rPh sb="3" eb="4">
      <t>トリ</t>
    </rPh>
    <phoneticPr fontId="13"/>
  </si>
  <si>
    <t>JF1-1970592</t>
    <phoneticPr fontId="13"/>
  </si>
  <si>
    <t>ｽｸﾗﾑﾜｺﾞﾝ PZ ﾀｰﾎﾞ</t>
    <phoneticPr fontId="13"/>
  </si>
  <si>
    <t>DG17W-100773</t>
    <phoneticPr fontId="13"/>
  </si>
  <si>
    <t>ﾜｺﾞﾝR FXﾘﾐﾃｯﾄﾞ</t>
    <phoneticPr fontId="13"/>
  </si>
  <si>
    <t>尾張小牧 589 ろ 7196</t>
    <rPh sb="0" eb="4">
      <t>オワリコマキ</t>
    </rPh>
    <phoneticPr fontId="13"/>
  </si>
  <si>
    <t>ﾐﾗｲﾌﾞ愛知(ｱｲｵｰｸ)</t>
    <rPh sb="6" eb="13">
      <t>（アイオーク）</t>
    </rPh>
    <phoneticPr fontId="13"/>
  </si>
  <si>
    <t>MH34S-102969</t>
    <phoneticPr fontId="13"/>
  </si>
  <si>
    <t>愛知ﾀﾞｲﾊﾂ株式会社</t>
    <rPh sb="0" eb="2">
      <t>アイチ</t>
    </rPh>
    <rPh sb="7" eb="11">
      <t>カブシキガイシャ</t>
    </rPh>
    <phoneticPr fontId="13"/>
  </si>
  <si>
    <t>ﾀﾝﾄ ｽﾛｰﾊﾟｰX</t>
    <phoneticPr fontId="13"/>
  </si>
  <si>
    <t>鹿児島 582 な 3263</t>
    <rPh sb="0" eb="3">
      <t>カゴシマ</t>
    </rPh>
    <phoneticPr fontId="13"/>
  </si>
  <si>
    <t>LA650S-0210624</t>
    <phoneticPr fontId="13"/>
  </si>
  <si>
    <t>原田 章三</t>
    <rPh sb="0" eb="2">
      <t>ハラダ</t>
    </rPh>
    <rPh sb="3" eb="4">
      <t>アキラ</t>
    </rPh>
    <rPh sb="4" eb="5">
      <t>ミ</t>
    </rPh>
    <phoneticPr fontId="13"/>
  </si>
  <si>
    <t>ﾃﾞﾘｶﾐﾆ Tﾌﾟﾚﾐｱﾑ</t>
    <phoneticPr fontId="13"/>
  </si>
  <si>
    <t>8/2/28</t>
    <phoneticPr fontId="13"/>
  </si>
  <si>
    <t>神戸 581 わ 6321</t>
    <rPh sb="0" eb="2">
      <t>コウベ</t>
    </rPh>
    <phoneticPr fontId="13"/>
  </si>
  <si>
    <t>B38A-0512889</t>
    <phoneticPr fontId="13"/>
  </si>
  <si>
    <t>三菱自動車ﾌｧｲﾅﾝｽ株式会社</t>
    <rPh sb="0" eb="2">
      <t>ミツビシ</t>
    </rPh>
    <rPh sb="2" eb="5">
      <t>ジドウシャ</t>
    </rPh>
    <rPh sb="11" eb="15">
      <t>カブシキガイシャ</t>
    </rPh>
    <phoneticPr fontId="13"/>
  </si>
  <si>
    <t>保証書 取説 SD ｽﾍﾟｱｷｰ ﾚﾝﾀｶｰ</t>
    <rPh sb="0" eb="3">
      <t>ホショウショ</t>
    </rPh>
    <rPh sb="4" eb="6">
      <t>トリセツ</t>
    </rPh>
    <phoneticPr fontId="13"/>
  </si>
  <si>
    <t>N-ONE  ﾌﾟﾚﾐｱﾑﾂｱﾗｰ</t>
    <phoneticPr fontId="13"/>
  </si>
  <si>
    <t>鈴鹿 588 い 1001</t>
    <rPh sb="0" eb="2">
      <t>スズカ</t>
    </rPh>
    <phoneticPr fontId="13"/>
  </si>
  <si>
    <t>JG3-2015870</t>
    <phoneticPr fontId="13"/>
  </si>
  <si>
    <t>株式会社ﾎﾝﾀﾞ四輪販売三重北</t>
    <rPh sb="0" eb="4">
      <t>カブシキガイシャ</t>
    </rPh>
    <rPh sb="8" eb="10">
      <t>ヨンリン</t>
    </rPh>
    <rPh sb="10" eb="12">
      <t>ハンバイ</t>
    </rPh>
    <rPh sb="12" eb="14">
      <t>ミエ</t>
    </rPh>
    <rPh sb="14" eb="15">
      <t>キタ</t>
    </rPh>
    <phoneticPr fontId="13"/>
  </si>
  <si>
    <t>保証書 ﾜﾝｵｰﾅｰ無視OK</t>
    <rPh sb="0" eb="3">
      <t>ホショウショ</t>
    </rPh>
    <rPh sb="10" eb="12">
      <t>ムシ</t>
    </rPh>
    <phoneticPr fontId="13"/>
  </si>
  <si>
    <t>NV100ｸﾘｯﾊﾟｰDX</t>
    <phoneticPr fontId="13"/>
  </si>
  <si>
    <t>9/7/29</t>
    <phoneticPr fontId="13"/>
  </si>
  <si>
    <t>鈴鹿 480 え 7513</t>
    <rPh sb="0" eb="2">
      <t>スズカ</t>
    </rPh>
    <phoneticPr fontId="13"/>
  </si>
  <si>
    <t>DR17V-474411</t>
    <phoneticPr fontId="13"/>
  </si>
  <si>
    <t>中山ﾄｰﾏｽ</t>
    <rPh sb="0" eb="2">
      <t>ナカヤマ</t>
    </rPh>
    <phoneticPr fontId="13"/>
  </si>
  <si>
    <t>奈良 581 ち 5901</t>
    <rPh sb="0" eb="2">
      <t>ナラ</t>
    </rPh>
    <phoneticPr fontId="13"/>
  </si>
  <si>
    <t>保証書 取説 ﾅﾋﾞ取 ｽﾍﾟｱｷｰ</t>
    <rPh sb="0" eb="3">
      <t>ホショウショ</t>
    </rPh>
    <rPh sb="4" eb="6">
      <t>トリセツ</t>
    </rPh>
    <rPh sb="10" eb="11">
      <t>トリ</t>
    </rPh>
    <phoneticPr fontId="13"/>
  </si>
  <si>
    <t>MR92S-416369</t>
    <phoneticPr fontId="13"/>
  </si>
  <si>
    <t>株式会社stoico</t>
    <rPh sb="0" eb="4">
      <t>カブシキガイシャ</t>
    </rPh>
    <phoneticPr fontId="13"/>
  </si>
  <si>
    <t>保証書 取説  ｽﾍﾟｱｷｰ</t>
    <rPh sb="0" eb="3">
      <t>ホショウショ</t>
    </rPh>
    <rPh sb="4" eb="6">
      <t>トリセツ</t>
    </rPh>
    <phoneticPr fontId="13"/>
  </si>
  <si>
    <t>BMWﾐﾆｸｰﾊﾟｰ ﾛｰｽﾞｳｯﾄﾞｴﾃﾞｨｼｮﾝ</t>
    <phoneticPr fontId="13"/>
  </si>
  <si>
    <t>千葉 326 そ 2266</t>
    <rPh sb="0" eb="2">
      <t>チバ</t>
    </rPh>
    <phoneticPr fontId="13"/>
  </si>
  <si>
    <t>WMWXU720502N07504</t>
    <phoneticPr fontId="13"/>
  </si>
  <si>
    <t>ｷｰﾚｽ(車内)保証書 取説 ﾜﾝｵｰﾅｰ</t>
    <rPh sb="5" eb="7">
      <t>シャナイ</t>
    </rPh>
    <rPh sb="8" eb="11">
      <t>ホショウショ</t>
    </rPh>
    <rPh sb="12" eb="14">
      <t>トリセツ</t>
    </rPh>
    <phoneticPr fontId="13"/>
  </si>
  <si>
    <t>ｼﾄﾛｴﾝ ﾍﾞﾙﾗﾝｺﾞ</t>
    <phoneticPr fontId="13"/>
  </si>
  <si>
    <t>一宮 300 に 4787</t>
    <rPh sb="0" eb="2">
      <t>イチノミヤ</t>
    </rPh>
    <phoneticPr fontId="13"/>
  </si>
  <si>
    <t>VR7ECYHZRMJ595514</t>
    <phoneticPr fontId="13"/>
  </si>
  <si>
    <t>ﾙｰｸｽ ﾊｲｳｪｲｽﾀｰS</t>
    <phoneticPr fontId="13"/>
  </si>
  <si>
    <t>A294261</t>
    <phoneticPr fontId="13"/>
  </si>
  <si>
    <t>17/9</t>
    <phoneticPr fontId="13"/>
  </si>
  <si>
    <t>ﾊﾟｼﾞｪﾛﾐﾆ VR</t>
    <phoneticPr fontId="13"/>
  </si>
  <si>
    <t>8/9/13</t>
    <phoneticPr fontId="13"/>
  </si>
  <si>
    <t>A301712</t>
    <phoneticPr fontId="13"/>
  </si>
  <si>
    <t>H58A-0607402</t>
    <phoneticPr fontId="13"/>
  </si>
  <si>
    <t>ｱﾙﾌｧｰﾄﾞ 2.5S ﾀｲﾌﾟｺﾞｰﾙﾄﾞ</t>
    <phoneticPr fontId="13"/>
  </si>
  <si>
    <t>7/2/24</t>
    <phoneticPr fontId="13"/>
  </si>
  <si>
    <t>A300265</t>
    <phoneticPr fontId="13"/>
  </si>
  <si>
    <t>AGH30-0406457</t>
    <phoneticPr fontId="13"/>
  </si>
  <si>
    <t>ｳﾞｪﾙﾌｧｲｱ 2.4Z</t>
    <phoneticPr fontId="13"/>
  </si>
  <si>
    <t>9/3/30</t>
    <phoneticPr fontId="13"/>
  </si>
  <si>
    <t>岐阜 369 ひ 2</t>
    <rPh sb="0" eb="2">
      <t>ギフ</t>
    </rPh>
    <phoneticPr fontId="13"/>
  </si>
  <si>
    <t>A301429</t>
    <phoneticPr fontId="13"/>
  </si>
  <si>
    <t>ANH20-8216330</t>
    <phoneticPr fontId="13"/>
  </si>
  <si>
    <t>市村　奨巴</t>
    <rPh sb="0" eb="2">
      <t>イチムラ</t>
    </rPh>
    <rPh sb="3" eb="4">
      <t>ショウ</t>
    </rPh>
    <rPh sb="4" eb="5">
      <t>トモエ</t>
    </rPh>
    <phoneticPr fontId="13"/>
  </si>
  <si>
    <t>ﾚｸｻｽ RX</t>
    <phoneticPr fontId="13"/>
  </si>
  <si>
    <t>8/5/14</t>
    <phoneticPr fontId="13"/>
  </si>
  <si>
    <t>姫路 301 た 4400</t>
    <rPh sb="0" eb="2">
      <t>ヒメジ</t>
    </rPh>
    <phoneticPr fontId="13"/>
  </si>
  <si>
    <t>A301613</t>
    <phoneticPr fontId="13"/>
  </si>
  <si>
    <t>GYL25-0011422</t>
    <phoneticPr fontId="13"/>
  </si>
  <si>
    <t>有限会社　関山塗装</t>
    <rPh sb="0" eb="4">
      <t>ユウゲンガイシャ</t>
    </rPh>
    <rPh sb="5" eb="7">
      <t>セキヤマ</t>
    </rPh>
    <rPh sb="7" eb="9">
      <t>トソウ</t>
    </rPh>
    <phoneticPr fontId="13"/>
  </si>
  <si>
    <t>N-BOX GL</t>
    <phoneticPr fontId="13"/>
  </si>
  <si>
    <t>8/3/17</t>
    <phoneticPr fontId="13"/>
  </si>
  <si>
    <t>福岡 592 ぬ 321</t>
    <rPh sb="0" eb="2">
      <t>フクオカ</t>
    </rPh>
    <phoneticPr fontId="13"/>
  </si>
  <si>
    <t>A301338</t>
    <phoneticPr fontId="13"/>
  </si>
  <si>
    <t>JF3-1005800</t>
    <phoneticPr fontId="13"/>
  </si>
  <si>
    <t>岩本　寿美子</t>
    <rPh sb="0" eb="2">
      <t>イワモト</t>
    </rPh>
    <rPh sb="3" eb="4">
      <t>コトブキ</t>
    </rPh>
    <rPh sb="4" eb="5">
      <t>ミ</t>
    </rPh>
    <rPh sb="5" eb="6">
      <t>コ</t>
    </rPh>
    <phoneticPr fontId="13"/>
  </si>
  <si>
    <t>保証書　取説　ｽﾍﾟｱｷｰ　ﾚﾝﾀｶｰ申告</t>
    <rPh sb="0" eb="3">
      <t>ホショウショ</t>
    </rPh>
    <rPh sb="4" eb="6">
      <t>トリセツ</t>
    </rPh>
    <rPh sb="19" eb="21">
      <t>シンコク</t>
    </rPh>
    <phoneticPr fontId="13"/>
  </si>
  <si>
    <t>ﾚﾝﾀｶｰ申告</t>
    <rPh sb="5" eb="7">
      <t>シンコク</t>
    </rPh>
    <phoneticPr fontId="13"/>
  </si>
  <si>
    <t>ﾑｰﾌﾞｷｬﾝﾊﾞｽ XﾘﾐﾃｯﾄﾞﾒｲｸｱｯﾌﾟSA2</t>
    <phoneticPr fontId="13"/>
  </si>
  <si>
    <t>取説 ﾜﾝｵｰﾅｰ</t>
    <rPh sb="0" eb="2">
      <t>トリセツ</t>
    </rPh>
    <phoneticPr fontId="13"/>
  </si>
  <si>
    <t>A301414</t>
    <phoneticPr fontId="13"/>
  </si>
  <si>
    <t>LA800S-0018490</t>
    <phoneticPr fontId="13"/>
  </si>
  <si>
    <t>ｳﾞｪﾙﾌｧｲｱ Z</t>
    <phoneticPr fontId="13"/>
  </si>
  <si>
    <t>9/9/27</t>
    <phoneticPr fontId="13"/>
  </si>
  <si>
    <t>A300599</t>
    <phoneticPr fontId="13"/>
  </si>
  <si>
    <t>AYH30-0068591</t>
    <phoneticPr fontId="13"/>
  </si>
  <si>
    <t>ｷｬｽﾄｽﾀｲﾙ G SA3</t>
    <phoneticPr fontId="13"/>
  </si>
  <si>
    <t>8/8/19</t>
    <phoneticPr fontId="13"/>
  </si>
  <si>
    <t>A301286</t>
    <phoneticPr fontId="13"/>
  </si>
  <si>
    <t>LA250S-0215428</t>
    <phoneticPr fontId="13"/>
  </si>
  <si>
    <t>ｺﾍﾟﾝ ｴｸｽﾌﾟﾚｲS</t>
    <phoneticPr fontId="13"/>
  </si>
  <si>
    <t>9/1/30</t>
    <phoneticPr fontId="13"/>
  </si>
  <si>
    <t>A299814</t>
    <phoneticPr fontId="13"/>
  </si>
  <si>
    <t>LA400K-0013037</t>
    <phoneticPr fontId="13"/>
  </si>
  <si>
    <t>ﾀﾝﾄ ｶｽﾀﾑ RS</t>
    <phoneticPr fontId="13"/>
  </si>
  <si>
    <t>8/2/11</t>
    <phoneticPr fontId="13"/>
  </si>
  <si>
    <t>和泉 588 や 86</t>
    <rPh sb="0" eb="2">
      <t>イズミ</t>
    </rPh>
    <phoneticPr fontId="13"/>
  </si>
  <si>
    <t>LA600S-0244663</t>
    <phoneticPr fontId="13"/>
  </si>
  <si>
    <t>疋田 浩一</t>
    <rPh sb="0" eb="2">
      <t>ヒキタ</t>
    </rPh>
    <rPh sb="3" eb="5">
      <t>コウイチ</t>
    </rPh>
    <phoneticPr fontId="13"/>
  </si>
  <si>
    <t>保証書 取説 ｷｰﾚｽ SD</t>
    <rPh sb="0" eb="3">
      <t>ホショウショ</t>
    </rPh>
    <rPh sb="4" eb="6">
      <t>トリセツ</t>
    </rPh>
    <phoneticPr fontId="13"/>
  </si>
  <si>
    <t>ｱﾙﾄﾗﾊﾟﾝ Fﾘﾐﾃｯﾄﾞ</t>
    <phoneticPr fontId="13"/>
  </si>
  <si>
    <t>8/11/25</t>
    <phoneticPr fontId="13"/>
  </si>
  <si>
    <t>島根 580 も 9802</t>
    <rPh sb="0" eb="2">
      <t>シマネ</t>
    </rPh>
    <phoneticPr fontId="13"/>
  </si>
  <si>
    <t>HE33S-184179</t>
    <phoneticPr fontId="13"/>
  </si>
  <si>
    <t>本田 小春</t>
    <rPh sb="0" eb="2">
      <t>ホンダ</t>
    </rPh>
    <rPh sb="3" eb="5">
      <t>コハル</t>
    </rPh>
    <phoneticPr fontId="13"/>
  </si>
  <si>
    <t>EKｽﾍﾟｰｽ G ｾｰﾌﾃｨｰﾊﾟｯｹｰｼﾞ</t>
    <phoneticPr fontId="13"/>
  </si>
  <si>
    <t>9/1/27</t>
    <phoneticPr fontId="13"/>
  </si>
  <si>
    <t>出雲 580 い 5546</t>
    <rPh sb="0" eb="2">
      <t>イズモ</t>
    </rPh>
    <phoneticPr fontId="13"/>
  </si>
  <si>
    <t>B11A-0201567</t>
    <phoneticPr fontId="13"/>
  </si>
  <si>
    <t>山本 泰士</t>
    <rPh sb="0" eb="2">
      <t>ヤマモト</t>
    </rPh>
    <rPh sb="3" eb="4">
      <t>ヤスシ</t>
    </rPh>
    <rPh sb="4" eb="5">
      <t>シ</t>
    </rPh>
    <phoneticPr fontId="13"/>
  </si>
  <si>
    <t>保証書 取説 地図SD (車内)</t>
    <rPh sb="0" eb="3">
      <t>ホショウショ</t>
    </rPh>
    <rPh sb="4" eb="6">
      <t>トリセツ</t>
    </rPh>
    <rPh sb="7" eb="9">
      <t>チズ</t>
    </rPh>
    <phoneticPr fontId="13"/>
  </si>
  <si>
    <t>8/3/12</t>
    <phoneticPr fontId="13"/>
  </si>
  <si>
    <t>福山 580 な 8286</t>
    <rPh sb="0" eb="2">
      <t>フクヤマ</t>
    </rPh>
    <phoneticPr fontId="13"/>
  </si>
  <si>
    <t xml:space="preserve">ﾘｻｲｸﾙ料金違う￥8930 計算書くる </t>
    <rPh sb="5" eb="7">
      <t>リョウキン</t>
    </rPh>
    <rPh sb="7" eb="8">
      <t>チガ</t>
    </rPh>
    <rPh sb="15" eb="18">
      <t>ケイサンショ</t>
    </rPh>
    <phoneticPr fontId="13"/>
  </si>
  <si>
    <t>MH34S-159569</t>
    <phoneticPr fontId="13"/>
  </si>
  <si>
    <t>内樋 絵里</t>
    <rPh sb="0" eb="1">
      <t>ウチ</t>
    </rPh>
    <rPh sb="3" eb="5">
      <t>エリ</t>
    </rPh>
    <phoneticPr fontId="13"/>
  </si>
  <si>
    <r>
      <t xml:space="preserve">保証書 </t>
    </r>
    <r>
      <rPr>
        <sz val="11"/>
        <color theme="3"/>
        <rFont val="ＭＳ Ｐゴシック"/>
        <family val="3"/>
        <charset val="128"/>
        <scheme val="minor"/>
      </rPr>
      <t>取説なし ｸﾚｰﾑ良さん連絡済</t>
    </r>
    <rPh sb="0" eb="3">
      <t>ホショウショ</t>
    </rPh>
    <rPh sb="4" eb="6">
      <t>トリセツ</t>
    </rPh>
    <rPh sb="13" eb="14">
      <t>リョウ</t>
    </rPh>
    <rPh sb="16" eb="18">
      <t>レンラク</t>
    </rPh>
    <rPh sb="18" eb="19">
      <t>ズ</t>
    </rPh>
    <phoneticPr fontId="13"/>
  </si>
  <si>
    <t>ﾙﾉｰｶﾝｸﾞｰ ｸﾙｰﾙ</t>
    <phoneticPr fontId="13"/>
  </si>
  <si>
    <t>横浜 392 ね 808</t>
    <rPh sb="0" eb="2">
      <t>ヨコハマ</t>
    </rPh>
    <phoneticPr fontId="13"/>
  </si>
  <si>
    <t>VF1KW14B3L0809987</t>
    <phoneticPr fontId="13"/>
  </si>
  <si>
    <t>神奈川ﾄﾖﾀ自動車株式会社</t>
    <rPh sb="0" eb="3">
      <t>カナガワ</t>
    </rPh>
    <rPh sb="6" eb="13">
      <t>ジドウシャカブシキガイシャ</t>
    </rPh>
    <phoneticPr fontId="13"/>
  </si>
  <si>
    <t>保証書 取説 ｷｰﾚｽ2個 SD</t>
    <rPh sb="0" eb="3">
      <t>ホショウショ</t>
    </rPh>
    <rPh sb="4" eb="6">
      <t>トリセツ</t>
    </rPh>
    <rPh sb="12" eb="13">
      <t>コ</t>
    </rPh>
    <phoneticPr fontId="13"/>
  </si>
  <si>
    <t>熊本 335 ふ 2828</t>
    <rPh sb="0" eb="2">
      <t>クマモト</t>
    </rPh>
    <phoneticPr fontId="13"/>
  </si>
  <si>
    <t>WMWXR320X0TL99563</t>
    <phoneticPr fontId="13"/>
  </si>
  <si>
    <t>ﾎﾞﾙﾎﾞV90 ｸﾛｽｶﾝﾄﾘｰ</t>
    <phoneticPr fontId="13"/>
  </si>
  <si>
    <t>大宮 39A さ 2253</t>
    <rPh sb="0" eb="2">
      <t>オオミヤ</t>
    </rPh>
    <phoneticPr fontId="13"/>
  </si>
  <si>
    <t>YV1PZ10MCJ1026649</t>
    <phoneticPr fontId="13"/>
  </si>
  <si>
    <t>ﾌｧｰｽﾄｵｰﾄ株式会社</t>
    <rPh sb="8" eb="12">
      <t>カブシキガイシャ</t>
    </rPh>
    <phoneticPr fontId="13"/>
  </si>
  <si>
    <t>DA17W-252225</t>
    <phoneticPr fontId="13"/>
  </si>
  <si>
    <t>品番；CN-RE06WD</t>
    <rPh sb="0" eb="2">
      <t>ヒンバン</t>
    </rPh>
    <phoneticPr fontId="13"/>
  </si>
  <si>
    <t>NV100ｸﾘｯﾊﾟｰﾘｵG</t>
    <phoneticPr fontId="13"/>
  </si>
  <si>
    <t>DR64W-403508</t>
    <phoneticPr fontId="13"/>
  </si>
  <si>
    <t>品番；MC314D-A</t>
    <rPh sb="0" eb="2">
      <t>ヒンバン</t>
    </rPh>
    <phoneticPr fontId="13"/>
  </si>
  <si>
    <t>ｴﾌﾞﾘｲﾜｺﾞﾝ 福祉車両</t>
    <rPh sb="10" eb="14">
      <t>フクシシャリョウ</t>
    </rPh>
    <phoneticPr fontId="13"/>
  </si>
  <si>
    <t>9/1/14</t>
    <phoneticPr fontId="13"/>
  </si>
  <si>
    <t>京都 581 め 8711</t>
    <rPh sb="0" eb="2">
      <t>キョウト</t>
    </rPh>
    <phoneticPr fontId="13"/>
  </si>
  <si>
    <t>DA17W-206465</t>
    <phoneticPr fontId="13"/>
  </si>
  <si>
    <t>品番；CN-RZ743W</t>
    <rPh sb="0" eb="2">
      <t>ヒンバン</t>
    </rPh>
    <phoneticPr fontId="13"/>
  </si>
  <si>
    <t>BMW i3</t>
    <phoneticPr fontId="13"/>
  </si>
  <si>
    <t>WBY8P420007F23255</t>
    <phoneticPr fontId="13"/>
  </si>
  <si>
    <t>BMW 3ｼﾘｰｽﾞ 320d Mｽﾎﾟｰﾂ</t>
    <phoneticPr fontId="13"/>
  </si>
  <si>
    <t>WBA5V700908B54420</t>
    <phoneticPr fontId="13"/>
  </si>
  <si>
    <t>神戸 365 や 24</t>
    <rPh sb="0" eb="2">
      <t>コウベ</t>
    </rPh>
    <phoneticPr fontId="13"/>
  </si>
  <si>
    <t>WMWXS720X02C47819</t>
    <phoneticPr fontId="13"/>
  </si>
  <si>
    <t>岡山 336 み 816</t>
    <rPh sb="0" eb="2">
      <t>オカヤマ</t>
    </rPh>
    <phoneticPr fontId="13"/>
  </si>
  <si>
    <t>WMW22DJ0602P75221</t>
    <phoneticPr fontId="13"/>
  </si>
  <si>
    <t>ﾒﾙｾﾃﾞｽﾍﾞﾝﾂ G350d ﾗｸﾞｼﾞｭｱﾘｰ</t>
    <phoneticPr fontId="13"/>
  </si>
  <si>
    <t>神戸 349 む 531</t>
    <rPh sb="0" eb="2">
      <t>コウベ</t>
    </rPh>
    <phoneticPr fontId="13"/>
  </si>
  <si>
    <t>WDB4633482X293383</t>
    <phoneticPr fontId="13"/>
  </si>
  <si>
    <t>ﾑｰﾌﾞｷｬﾝﾊﾞｽ X SA3</t>
    <phoneticPr fontId="13"/>
  </si>
  <si>
    <t>LA800S-0207990</t>
    <phoneticPr fontId="13"/>
  </si>
  <si>
    <t>ﾀﾌﾄ Gﾀｰﾎﾞ ｸﾛﾑﾍﾞﾝﾁｬｰ</t>
    <phoneticPr fontId="13"/>
  </si>
  <si>
    <t>LA900S-0108737</t>
    <phoneticPr fontId="13"/>
  </si>
  <si>
    <t>ﾐﾗｲｰｽ L SA3</t>
    <phoneticPr fontId="13"/>
  </si>
  <si>
    <t>LA350S-0342616</t>
    <phoneticPr fontId="13"/>
  </si>
  <si>
    <t>WMW72DH0102R55685</t>
    <phoneticPr fontId="13"/>
  </si>
  <si>
    <t>N-BOX ｶｽﾀﾑ G Lﾎﾝﾀﾞｾﾝｼﾝｸﾞ</t>
    <phoneticPr fontId="13"/>
  </si>
  <si>
    <t>JF3-1513054</t>
    <phoneticPr fontId="13"/>
  </si>
  <si>
    <t>ﾜｺﾞﾝR  ｽﾃｨﾝｸﾞﾚｰJｽﾀｲﾙ</t>
    <phoneticPr fontId="13"/>
  </si>
  <si>
    <t>香川 580 ほ 2384</t>
    <rPh sb="0" eb="2">
      <t>カガワ</t>
    </rPh>
    <phoneticPr fontId="13"/>
  </si>
  <si>
    <t>MH44S-463526</t>
    <phoneticPr fontId="13"/>
  </si>
  <si>
    <t>MH34S-385781</t>
    <phoneticPr fontId="13"/>
  </si>
  <si>
    <t>静岡 583 ね 2400</t>
    <rPh sb="0" eb="2">
      <t>シズオカ</t>
    </rPh>
    <phoneticPr fontId="13"/>
  </si>
  <si>
    <t>JF3-5037295</t>
    <phoneticPr fontId="13"/>
  </si>
  <si>
    <t>株式会社ﾎﾝﾀﾞｶｰｽﾞ浜松千代田店</t>
    <rPh sb="0" eb="4">
      <t>カブシキガイシャ</t>
    </rPh>
    <rPh sb="12" eb="14">
      <t>ハママツ</t>
    </rPh>
    <rPh sb="14" eb="17">
      <t>チヨダ</t>
    </rPh>
    <rPh sb="17" eb="18">
      <t>ミセ</t>
    </rPh>
    <phoneticPr fontId="13"/>
  </si>
  <si>
    <t>保証書　取説　</t>
    <rPh sb="0" eb="3">
      <t>ホショウショ</t>
    </rPh>
    <rPh sb="4" eb="6">
      <t>トリセツ</t>
    </rPh>
    <phoneticPr fontId="13"/>
  </si>
  <si>
    <t>ｽﾍﾟｰｼｱｷﾞｱ ﾏｲｽﾀｲﾙ</t>
    <phoneticPr fontId="13"/>
  </si>
  <si>
    <t>9/10/12</t>
    <phoneticPr fontId="13"/>
  </si>
  <si>
    <t>A302621</t>
    <phoneticPr fontId="13"/>
  </si>
  <si>
    <t>MK53S-812131</t>
    <phoneticPr fontId="13"/>
  </si>
  <si>
    <t>ﾀﾝﾄ X ﾎﾜｲﾄｱｸｾﾝﾄ SA2</t>
    <phoneticPr fontId="13"/>
  </si>
  <si>
    <t>8/12/18</t>
    <phoneticPr fontId="13"/>
  </si>
  <si>
    <t>A302454</t>
    <phoneticPr fontId="13"/>
  </si>
  <si>
    <t>LA600S-0360778</t>
    <phoneticPr fontId="13"/>
  </si>
  <si>
    <t>ﾌﾟﾘｳｽ Z</t>
    <phoneticPr fontId="13"/>
  </si>
  <si>
    <t>A301641</t>
    <phoneticPr fontId="13"/>
  </si>
  <si>
    <t>MXWH60-4029136</t>
    <phoneticPr fontId="13"/>
  </si>
  <si>
    <t>ｴﾌﾞﾘｲﾜｺﾞﾝ JP TB</t>
    <phoneticPr fontId="13"/>
  </si>
  <si>
    <t>品川 5X1 ろ 3369</t>
    <rPh sb="0" eb="2">
      <t>シナガワ</t>
    </rPh>
    <phoneticPr fontId="13"/>
  </si>
  <si>
    <t>DA17W-283697</t>
    <phoneticPr fontId="13"/>
  </si>
  <si>
    <t>品川 5X1 ろ 416</t>
    <rPh sb="0" eb="2">
      <t>シナガワ</t>
    </rPh>
    <phoneticPr fontId="13"/>
  </si>
  <si>
    <t>JF3-1497423</t>
    <phoneticPr fontId="13"/>
  </si>
  <si>
    <t>ﾜｺﾞﾝR ﾊｲﾌﾞﾘｯﾄ FX</t>
    <phoneticPr fontId="13"/>
  </si>
  <si>
    <t>品川 5X0 ろ 4390</t>
    <rPh sb="0" eb="2">
      <t>シナガワ</t>
    </rPh>
    <phoneticPr fontId="13"/>
  </si>
  <si>
    <t>MH95S-126158</t>
    <phoneticPr fontId="13"/>
  </si>
  <si>
    <t xml:space="preserve">N-BOX </t>
    <phoneticPr fontId="13"/>
  </si>
  <si>
    <t>札幌 582 わ 5356</t>
    <rPh sb="0" eb="2">
      <t>サッポロ</t>
    </rPh>
    <phoneticPr fontId="13"/>
  </si>
  <si>
    <t>JF5-1043762</t>
    <phoneticPr fontId="13"/>
  </si>
  <si>
    <t>北見 580 わ 1416</t>
    <rPh sb="0" eb="2">
      <t>キタミ</t>
    </rPh>
    <phoneticPr fontId="13"/>
  </si>
  <si>
    <t>JF5-1042721</t>
    <phoneticPr fontId="13"/>
  </si>
  <si>
    <t>函館 580 わ 2962</t>
    <rPh sb="0" eb="2">
      <t>ハコダテ</t>
    </rPh>
    <phoneticPr fontId="13"/>
  </si>
  <si>
    <t>JF5-1043757</t>
    <phoneticPr fontId="13"/>
  </si>
  <si>
    <t>北見 580 わ 1417</t>
    <rPh sb="0" eb="2">
      <t>キタミ</t>
    </rPh>
    <phoneticPr fontId="13"/>
  </si>
  <si>
    <t>JF5-1042722</t>
    <phoneticPr fontId="13"/>
  </si>
  <si>
    <t>ﾐﾗｲｰｽ X ﾘﾐﾃｯﾄﾞ</t>
    <phoneticPr fontId="13"/>
  </si>
  <si>
    <t>品川 5P6 ろ 4233</t>
    <rPh sb="0" eb="2">
      <t>シナガワ</t>
    </rPh>
    <phoneticPr fontId="13"/>
  </si>
  <si>
    <t>LA350S-0059135</t>
    <phoneticPr fontId="13"/>
  </si>
  <si>
    <t>ﾒﾙｾﾃﾞｽﾍﾞﾝﾂ Cｸﾗｽｾﾀﾞﾝ 220dｱﾊﾞﾝｷﾞｬﾙﾄ</t>
    <phoneticPr fontId="13"/>
  </si>
  <si>
    <t>足立 302 ら 7634</t>
    <rPh sb="0" eb="2">
      <t>アダチ</t>
    </rPh>
    <phoneticPr fontId="13"/>
  </si>
  <si>
    <t>WDD2050142R488462</t>
    <phoneticPr fontId="13"/>
  </si>
  <si>
    <t>株式会社ｼｭﾃﾙﾝ墨田</t>
    <rPh sb="0" eb="4">
      <t>カブシキガイシャ</t>
    </rPh>
    <rPh sb="9" eb="11">
      <t>スミダ</t>
    </rPh>
    <phoneticPr fontId="13"/>
  </si>
  <si>
    <t>ﾒﾙｾﾃﾞｽﾍﾞﾝﾂ CLAｼｭｰﾃｨﾝｸﾞﾌﾞﾚｰｸ 180</t>
    <phoneticPr fontId="13"/>
  </si>
  <si>
    <t>足立 326 そ 7979</t>
    <rPh sb="0" eb="2">
      <t>アダチ</t>
    </rPh>
    <phoneticPr fontId="13"/>
  </si>
  <si>
    <t>WDD1179422N708018</t>
    <phoneticPr fontId="13"/>
  </si>
  <si>
    <t>BMW 5ｼﾘｰｽﾞ 523i ｽﾎﾟｰﾂ</t>
    <phoneticPr fontId="13"/>
  </si>
  <si>
    <t>なにわ 31Y す 18</t>
    <phoneticPr fontId="13"/>
  </si>
  <si>
    <t>WBA5A32070D792803</t>
    <phoneticPr fontId="13"/>
  </si>
  <si>
    <t>大阪ﾄﾖﾍﾟｯﾄ株式会社</t>
    <rPh sb="0" eb="2">
      <t>オオサカ</t>
    </rPh>
    <rPh sb="8" eb="12">
      <t>カブシキガイシャ</t>
    </rPh>
    <phoneticPr fontId="13"/>
  </si>
  <si>
    <t>ﾜｺﾞﾝRｽﾃｨﾝｸﾞﾚｰ T</t>
    <phoneticPr fontId="13"/>
  </si>
  <si>
    <t>和泉 583 く 750</t>
    <rPh sb="0" eb="2">
      <t>イズミ</t>
    </rPh>
    <phoneticPr fontId="13"/>
  </si>
  <si>
    <t>MH44S-804727</t>
    <phoneticPr fontId="13"/>
  </si>
  <si>
    <t>大阪ﾀﾞｲﾊﾂ販売株式会社</t>
    <rPh sb="0" eb="2">
      <t>オオサカ</t>
    </rPh>
    <rPh sb="7" eb="13">
      <t>ハンバイカブシキガイシャ</t>
    </rPh>
    <phoneticPr fontId="13"/>
  </si>
  <si>
    <t>ﾜｺﾞﾝRｽﾃｨﾝｸﾞﾚｰ X</t>
    <phoneticPr fontId="13"/>
  </si>
  <si>
    <t>大阪 581 け 4491</t>
    <rPh sb="0" eb="2">
      <t>オオサカ</t>
    </rPh>
    <phoneticPr fontId="13"/>
  </si>
  <si>
    <t>MH44S-453415</t>
    <phoneticPr fontId="13"/>
  </si>
  <si>
    <t>株式会社ｽｽﾞｷ自販近畿中古車本部</t>
    <rPh sb="0" eb="4">
      <t>カブシキガイシャ</t>
    </rPh>
    <rPh sb="8" eb="10">
      <t>ジハン</t>
    </rPh>
    <rPh sb="10" eb="12">
      <t>キンキ</t>
    </rPh>
    <rPh sb="12" eb="15">
      <t>チュウコシャ</t>
    </rPh>
    <rPh sb="15" eb="17">
      <t>ホンブ</t>
    </rPh>
    <phoneticPr fontId="13"/>
  </si>
  <si>
    <t>ﾌｨｱｯﾄ500</t>
    <phoneticPr fontId="13"/>
  </si>
  <si>
    <t>香川 501 ち 8360</t>
    <rPh sb="0" eb="2">
      <t>カガワ</t>
    </rPh>
    <phoneticPr fontId="13"/>
  </si>
  <si>
    <t>ZFA3120000J758508</t>
    <phoneticPr fontId="13"/>
  </si>
  <si>
    <t>米澤 智光</t>
    <rPh sb="0" eb="2">
      <t>ヨネザワ</t>
    </rPh>
    <rPh sb="3" eb="4">
      <t>チ</t>
    </rPh>
    <rPh sb="4" eb="5">
      <t>ヒカル</t>
    </rPh>
    <phoneticPr fontId="13"/>
  </si>
  <si>
    <t>ｽﾍﾟｰｼｱｶｽﾀﾑ ﾊｲﾌﾞﾘｯﾄXSﾀｰﾎﾞ</t>
    <phoneticPr fontId="13"/>
  </si>
  <si>
    <t>広島 583 よ 7222</t>
    <rPh sb="0" eb="2">
      <t>ヒロシマ</t>
    </rPh>
    <phoneticPr fontId="13"/>
  </si>
  <si>
    <t>MK53S-972406</t>
    <phoneticPr fontId="13"/>
  </si>
  <si>
    <t>保証書 取説 ｷｰﾚｽ  (車内)</t>
    <rPh sb="0" eb="3">
      <t>ホショウショ</t>
    </rPh>
    <rPh sb="4" eb="6">
      <t>トリセツ</t>
    </rPh>
    <phoneticPr fontId="13"/>
  </si>
  <si>
    <t>ﾊｽﾗｰ ﾊｲﾌﾞﾘｯﾄX</t>
    <phoneticPr fontId="13"/>
  </si>
  <si>
    <t>島根 581 あ 5758</t>
    <rPh sb="0" eb="2">
      <t>シマネ</t>
    </rPh>
    <phoneticPr fontId="13"/>
  </si>
  <si>
    <t>MR92S-122660</t>
    <phoneticPr fontId="13"/>
  </si>
  <si>
    <t>保証書　取説　ｷｰﾚｽ(車内)</t>
    <rPh sb="0" eb="3">
      <t>ホショウショ</t>
    </rPh>
    <rPh sb="4" eb="6">
      <t>トリセツ</t>
    </rPh>
    <rPh sb="12" eb="14">
      <t>シャナイ</t>
    </rPh>
    <phoneticPr fontId="13"/>
  </si>
  <si>
    <t>ﾜｺﾞﾝR ﾊｲﾌﾞﾘｯﾄFZ</t>
    <phoneticPr fontId="13"/>
  </si>
  <si>
    <t>福山 581 す 621</t>
    <rPh sb="0" eb="2">
      <t>フクヤマ</t>
    </rPh>
    <phoneticPr fontId="13"/>
  </si>
  <si>
    <t>MH95S-171317</t>
    <phoneticPr fontId="13"/>
  </si>
  <si>
    <t>有限会社釜本自動車</t>
    <rPh sb="0" eb="4">
      <t>ユウゲンガイシャ</t>
    </rPh>
    <rPh sb="4" eb="6">
      <t>カマモト</t>
    </rPh>
    <rPh sb="6" eb="9">
      <t>ジドウシャ</t>
    </rPh>
    <phoneticPr fontId="13"/>
  </si>
  <si>
    <t>ｷｰﾚｽ(車内)保証書 取説</t>
    <rPh sb="5" eb="7">
      <t>シャナイ</t>
    </rPh>
    <rPh sb="8" eb="11">
      <t>ホショウショ</t>
    </rPh>
    <rPh sb="12" eb="14">
      <t>トリセツ</t>
    </rPh>
    <phoneticPr fontId="13"/>
  </si>
  <si>
    <t>福岡 39A た 4531</t>
    <rPh sb="0" eb="2">
      <t>フクオカ</t>
    </rPh>
    <phoneticPr fontId="13"/>
  </si>
  <si>
    <t>WMWXR32020TL98911</t>
    <phoneticPr fontId="13"/>
  </si>
  <si>
    <t>福岡ﾄﾖﾀ自動車株式会社</t>
    <rPh sb="0" eb="2">
      <t>フクオカ</t>
    </rPh>
    <rPh sb="5" eb="12">
      <t>ジドウシャカブシキガイシャ</t>
    </rPh>
    <phoneticPr fontId="13"/>
  </si>
  <si>
    <t>福岡 303 ふ 5387</t>
    <rPh sb="0" eb="2">
      <t>フクオカ</t>
    </rPh>
    <phoneticPr fontId="13"/>
  </si>
  <si>
    <t>WMWXM520902G36417</t>
    <phoneticPr fontId="13"/>
  </si>
  <si>
    <t>福岡ｽﾊﾞﾙ株式会社</t>
    <rPh sb="0" eb="2">
      <t>フクオカ</t>
    </rPh>
    <rPh sb="6" eb="10">
      <t>カブシキガイシャ</t>
    </rPh>
    <phoneticPr fontId="13"/>
  </si>
  <si>
    <t>9/8/21</t>
    <phoneticPr fontId="13"/>
  </si>
  <si>
    <t>川崎 331 ふ 5532</t>
    <rPh sb="0" eb="2">
      <t>カワサキ</t>
    </rPh>
    <phoneticPr fontId="13"/>
  </si>
  <si>
    <t>WMWYV920403E42283</t>
    <phoneticPr fontId="13"/>
  </si>
  <si>
    <t>ｳｴｲﾝｽﾞﾄﾖﾀ神奈川株式会社</t>
    <rPh sb="9" eb="12">
      <t>カナガワ</t>
    </rPh>
    <rPh sb="12" eb="16">
      <t>カブシキガイシャ</t>
    </rPh>
    <phoneticPr fontId="13"/>
  </si>
  <si>
    <t>ｼﾞﾑﾆｰ ｼｴﾗJL</t>
    <phoneticPr fontId="13"/>
  </si>
  <si>
    <t>8/11/15</t>
    <phoneticPr fontId="13"/>
  </si>
  <si>
    <t>A301940</t>
    <phoneticPr fontId="13"/>
  </si>
  <si>
    <t>JB74W-195254</t>
    <phoneticPr fontId="13"/>
  </si>
  <si>
    <t xml:space="preserve">ﾀﾝﾄ X </t>
    <phoneticPr fontId="13"/>
  </si>
  <si>
    <t>徳島 580 ち 4851</t>
    <rPh sb="0" eb="2">
      <t>トクシマ</t>
    </rPh>
    <phoneticPr fontId="13"/>
  </si>
  <si>
    <t>LAA四国</t>
    <rPh sb="3" eb="5">
      <t>シコク</t>
    </rPh>
    <phoneticPr fontId="13"/>
  </si>
  <si>
    <t>ｼｬﾝﾊﾟﾝ</t>
    <phoneticPr fontId="13"/>
  </si>
  <si>
    <t>L375S-0583170</t>
    <phoneticPr fontId="13"/>
  </si>
  <si>
    <t>株式会社加藤自動車相談所</t>
    <rPh sb="0" eb="4">
      <t>カブシキガイシャ</t>
    </rPh>
    <rPh sb="4" eb="6">
      <t>カトウ</t>
    </rPh>
    <rPh sb="6" eb="9">
      <t>ジドウシャ</t>
    </rPh>
    <rPh sb="9" eb="11">
      <t>ソウダン</t>
    </rPh>
    <rPh sb="11" eb="12">
      <t>ジョ</t>
    </rPh>
    <phoneticPr fontId="13"/>
  </si>
  <si>
    <t>ハイゼットｶｰｺﾞ ﾃﾞﾗｯｸｽSA3</t>
    <phoneticPr fontId="13"/>
  </si>
  <si>
    <t>S321V-0507131</t>
    <phoneticPr fontId="13"/>
  </si>
  <si>
    <t>ｾﾚﾅ ﾊｲｳｪｲｽﾀｰS ﾊｲﾌﾞﾘｯﾄ</t>
    <phoneticPr fontId="13"/>
  </si>
  <si>
    <t>なにわ 39A み 4455</t>
    <phoneticPr fontId="13"/>
  </si>
  <si>
    <t>HFC26-236952</t>
    <phoneticPr fontId="13"/>
  </si>
  <si>
    <t>日産大阪販売株式会社</t>
    <rPh sb="0" eb="6">
      <t>ニッサンオオサカハンバイ</t>
    </rPh>
    <rPh sb="6" eb="10">
      <t>カブシキガイシャ</t>
    </rPh>
    <phoneticPr fontId="13"/>
  </si>
  <si>
    <t>地図SD</t>
    <rPh sb="0" eb="2">
      <t>チズ</t>
    </rPh>
    <phoneticPr fontId="13"/>
  </si>
  <si>
    <t>品番；AVN-ZX03i</t>
    <rPh sb="0" eb="2">
      <t>ヒンバン</t>
    </rPh>
    <phoneticPr fontId="13"/>
  </si>
  <si>
    <t>ｴﾌﾞﾘｲﾊﾞﾝ ｼﾞｮｲﾝ</t>
    <phoneticPr fontId="13"/>
  </si>
  <si>
    <t>なにわ 480 ぬ 6923</t>
    <phoneticPr fontId="13"/>
  </si>
  <si>
    <t>DA17V-643964</t>
    <phoneticPr fontId="13"/>
  </si>
  <si>
    <t>岐阜 589 た 1211</t>
    <rPh sb="0" eb="2">
      <t>ギフ</t>
    </rPh>
    <phoneticPr fontId="13"/>
  </si>
  <si>
    <t>MH85S-159408</t>
    <phoneticPr fontId="13"/>
  </si>
  <si>
    <t>村上 和弘</t>
    <rPh sb="0" eb="2">
      <t>ムラカミ</t>
    </rPh>
    <rPh sb="3" eb="5">
      <t>カズヒロ</t>
    </rPh>
    <phoneticPr fontId="13"/>
  </si>
  <si>
    <t>名古屋 593 な 16</t>
    <rPh sb="0" eb="3">
      <t>ナゴヤ</t>
    </rPh>
    <phoneticPr fontId="13"/>
  </si>
  <si>
    <t>JB23W-764192</t>
    <phoneticPr fontId="13"/>
  </si>
  <si>
    <t>三河 580 に 7464</t>
    <rPh sb="0" eb="2">
      <t>ミカワ</t>
    </rPh>
    <phoneticPr fontId="13"/>
  </si>
  <si>
    <t>L880K-0057298</t>
    <phoneticPr fontId="13"/>
  </si>
  <si>
    <t>ﾒﾙｾﾃﾞｽﾍﾞﾝﾂCｸﾗｽ</t>
    <phoneticPr fontId="13"/>
  </si>
  <si>
    <t>名古屋 307 す 8181</t>
    <rPh sb="0" eb="3">
      <t>ナゴヤ</t>
    </rPh>
    <phoneticPr fontId="13"/>
  </si>
  <si>
    <t>WDD2052142F842346</t>
    <phoneticPr fontId="13"/>
  </si>
  <si>
    <t>取説 ｷｰﾚｽ(車内)</t>
    <rPh sb="0" eb="2">
      <t>トリセツ</t>
    </rPh>
    <rPh sb="8" eb="10">
      <t>シャナイ</t>
    </rPh>
    <phoneticPr fontId="13"/>
  </si>
  <si>
    <t>ｼﾞﾑﾆｰ XG</t>
    <phoneticPr fontId="13"/>
  </si>
  <si>
    <t>長野 581 な 7805</t>
    <rPh sb="0" eb="2">
      <t>ナガノ</t>
    </rPh>
    <phoneticPr fontId="13"/>
  </si>
  <si>
    <t>JB23W-739599</t>
    <phoneticPr fontId="13"/>
  </si>
  <si>
    <t>WMWXM520802G36540</t>
    <phoneticPr fontId="13"/>
  </si>
  <si>
    <t>ｱﾙﾄ 5D L</t>
    <phoneticPr fontId="13"/>
  </si>
  <si>
    <t>保証書 取説 ｽﾍﾟｱｷｰ ﾅﾝﾊﾞｰ</t>
    <rPh sb="0" eb="3">
      <t>ホショウショ</t>
    </rPh>
    <rPh sb="4" eb="6">
      <t>トリセツ</t>
    </rPh>
    <phoneticPr fontId="13"/>
  </si>
  <si>
    <t>HA37S-187277</t>
    <phoneticPr fontId="13"/>
  </si>
  <si>
    <t>ｽﾍﾟｰｼｱｶｽﾀﾑ ﾊｲﾌﾞﾘｯﾄXS</t>
    <phoneticPr fontId="13"/>
  </si>
  <si>
    <t>MK53S-902760</t>
    <phoneticPr fontId="13"/>
  </si>
  <si>
    <t>大阪 582 て 8126</t>
    <rPh sb="0" eb="2">
      <t>オオサカ</t>
    </rPh>
    <phoneticPr fontId="13"/>
  </si>
  <si>
    <t>JF1-1854598</t>
    <phoneticPr fontId="13"/>
  </si>
  <si>
    <t>MK34S-367974</t>
    <phoneticPr fontId="13"/>
  </si>
  <si>
    <t>23/11</t>
    <phoneticPr fontId="13"/>
  </si>
  <si>
    <t>ｽﾃﾗｶｽﾀﾑ R</t>
    <phoneticPr fontId="13"/>
  </si>
  <si>
    <t>堺 580 け 6319</t>
    <rPh sb="0" eb="1">
      <t>サカイ</t>
    </rPh>
    <phoneticPr fontId="13"/>
  </si>
  <si>
    <t>LA100F-0008707</t>
    <phoneticPr fontId="13"/>
  </si>
  <si>
    <t>ﾑｰﾌﾞカスタム RS</t>
    <phoneticPr fontId="13"/>
  </si>
  <si>
    <t>LA110S-0032360</t>
    <phoneticPr fontId="13"/>
  </si>
  <si>
    <t>ｴﾌﾞﾘｨVｼﾞｮｲﾝ</t>
    <phoneticPr fontId="13"/>
  </si>
  <si>
    <t>DA17V-832762</t>
    <phoneticPr fontId="13"/>
  </si>
  <si>
    <t>8/3/9</t>
    <phoneticPr fontId="13"/>
  </si>
  <si>
    <t>MK53S-741451</t>
    <phoneticPr fontId="13"/>
  </si>
  <si>
    <t>24/？</t>
    <phoneticPr fontId="13"/>
  </si>
  <si>
    <t>AZﾜｺﾞﾝ ｶｽﾀﾑｽﾀｲﾙ XT</t>
    <phoneticPr fontId="13"/>
  </si>
  <si>
    <t>MJ23S-862255</t>
    <phoneticPr fontId="13"/>
  </si>
  <si>
    <t>ﾀﾌﾄ Gﾀﾞｰｸｸﾛﾑﾍﾞﾝﾁｬｰ</t>
    <phoneticPr fontId="13"/>
  </si>
  <si>
    <t>名古屋 58A ふ 6472</t>
    <rPh sb="0" eb="3">
      <t>ナゴヤ</t>
    </rPh>
    <phoneticPr fontId="13"/>
  </si>
  <si>
    <t>LA900S-0170252</t>
    <phoneticPr fontId="13"/>
  </si>
  <si>
    <t>名古屋 582 ゆ 5015</t>
    <rPh sb="0" eb="3">
      <t>ナゴヤ</t>
    </rPh>
    <phoneticPr fontId="13"/>
  </si>
  <si>
    <t>DR17W-252820</t>
    <phoneticPr fontId="13"/>
  </si>
  <si>
    <t>8/8/22</t>
    <phoneticPr fontId="13"/>
  </si>
  <si>
    <t>春日井 580 さ 2647</t>
    <rPh sb="0" eb="3">
      <t>カスガイ</t>
    </rPh>
    <phoneticPr fontId="13"/>
  </si>
  <si>
    <t>LA650S-0343672</t>
    <phoneticPr fontId="13"/>
  </si>
  <si>
    <t>21/8</t>
    <phoneticPr fontId="13"/>
  </si>
  <si>
    <t>MK23S-198522</t>
    <phoneticPr fontId="13"/>
  </si>
  <si>
    <t>ﾒﾙｾﾃﾞｽﾍﾞﾝﾂ C200 AV AMGﾗｲﾝ</t>
    <phoneticPr fontId="13"/>
  </si>
  <si>
    <t>神戸 304 も 958</t>
    <rPh sb="0" eb="2">
      <t>コウベ</t>
    </rPh>
    <phoneticPr fontId="13"/>
  </si>
  <si>
    <t>WDD2050772R508115</t>
    <phoneticPr fontId="13"/>
  </si>
  <si>
    <t>ｱｳﾃﾞｨS1 ｽﾎﾟｰﾂﾊﾞｯｸ 2.0TFSIｸﾜﾄﾛ</t>
    <phoneticPr fontId="13"/>
  </si>
  <si>
    <t>仙台 301 さ 8159</t>
    <rPh sb="0" eb="2">
      <t>センダイ</t>
    </rPh>
    <phoneticPr fontId="13"/>
  </si>
  <si>
    <t>WAUZZZ8X3FB004752</t>
    <phoneticPr fontId="13"/>
  </si>
  <si>
    <t>DA17W-155262</t>
    <phoneticPr fontId="13"/>
  </si>
  <si>
    <t>ｽｲﾌﾄ ﾊｲﾌﾞﾘｯﾄRS</t>
    <phoneticPr fontId="13"/>
  </si>
  <si>
    <t>ZC53S-405404</t>
    <phoneticPr fontId="13"/>
  </si>
  <si>
    <t>ekﾜｺﾞﾝ M ｲｰｱｼｽﾄ</t>
    <phoneticPr fontId="13"/>
  </si>
  <si>
    <t>B11W-0222670</t>
    <phoneticPr fontId="13"/>
  </si>
  <si>
    <t>ｺﾍﾟﾝ GRｽﾎﾟｰﾂ</t>
    <phoneticPr fontId="13"/>
  </si>
  <si>
    <t>LA400K-0048482</t>
    <phoneticPr fontId="13"/>
  </si>
  <si>
    <t>ﾜｺﾞﾝR FA</t>
    <phoneticPr fontId="13"/>
  </si>
  <si>
    <t>MH34S-435644</t>
    <phoneticPr fontId="13"/>
  </si>
  <si>
    <t>NV100ｸﾘｯﾊﾟｰ DX</t>
    <phoneticPr fontId="13"/>
  </si>
  <si>
    <t>DR17V-114633</t>
    <phoneticPr fontId="13"/>
  </si>
  <si>
    <t>ｷｬﾘｨﾄﾗｯｸ KU</t>
    <phoneticPr fontId="13"/>
  </si>
  <si>
    <t>DA63T-718038</t>
    <phoneticPr fontId="13"/>
  </si>
  <si>
    <t>ｽﾍﾟｰｼｱ X</t>
    <phoneticPr fontId="13"/>
  </si>
  <si>
    <t>MK32S-140581</t>
    <phoneticPr fontId="13"/>
  </si>
  <si>
    <t>ﾐﾆｷｬﾌﾞ Vﾀｲﾌﾟ</t>
    <phoneticPr fontId="13"/>
  </si>
  <si>
    <t>U16T-1904797</t>
    <phoneticPr fontId="13"/>
  </si>
  <si>
    <t>20/5</t>
    <phoneticPr fontId="13"/>
  </si>
  <si>
    <t>ﾐﾗｼﾞｰﾉ 5D ﾌﾟﾚﾐｱﾑX</t>
    <phoneticPr fontId="13"/>
  </si>
  <si>
    <t>名古屋 58A そ 8820</t>
    <rPh sb="0" eb="3">
      <t>ナゴヤ</t>
    </rPh>
    <phoneticPr fontId="13"/>
  </si>
  <si>
    <t>L650S-0070712</t>
    <phoneticPr fontId="13"/>
  </si>
  <si>
    <t xml:space="preserve">ｱﾊﾞﾙﾄ 595 </t>
    <phoneticPr fontId="13"/>
  </si>
  <si>
    <t>尾張小牧 503 に 8214</t>
    <rPh sb="0" eb="4">
      <t>オワリコマキ</t>
    </rPh>
    <phoneticPr fontId="13"/>
  </si>
  <si>
    <t>ZFA3120000JE69892</t>
    <phoneticPr fontId="13"/>
  </si>
  <si>
    <t>ﾎﾞﾙﾎﾞ V60 B5 Rﾃﾞｻﾞｲﾝ</t>
    <phoneticPr fontId="13"/>
  </si>
  <si>
    <t>YV1ZWL1MDM2428767</t>
    <phoneticPr fontId="13"/>
  </si>
  <si>
    <t>ｼﾞｬｶﾞｰ EﾍﾟｰｽP300</t>
    <phoneticPr fontId="13"/>
  </si>
  <si>
    <t>名古屋 391 す 1117</t>
    <rPh sb="0" eb="3">
      <t>ナゴヤ</t>
    </rPh>
    <phoneticPr fontId="13"/>
  </si>
  <si>
    <t>SADFA2AXXK1Z67201</t>
    <phoneticPr fontId="13"/>
  </si>
  <si>
    <t xml:space="preserve">ｱﾊﾞﾙﾄ 595  </t>
    <phoneticPr fontId="13"/>
  </si>
  <si>
    <t>8/9/20</t>
    <phoneticPr fontId="13"/>
  </si>
  <si>
    <t>名古屋 508 ふ 2568</t>
    <rPh sb="0" eb="3">
      <t>ナゴヤ</t>
    </rPh>
    <phoneticPr fontId="13"/>
  </si>
  <si>
    <t>ZFABF11H5NJF43101</t>
    <phoneticPr fontId="13"/>
  </si>
  <si>
    <t>ｼﾄﾛｴﾝ C3 ｺﾛﾗﾄﾞｴﾃﾞｨｼｮﾝ</t>
    <phoneticPr fontId="13"/>
  </si>
  <si>
    <t>VF7SXHNZTJT625862</t>
    <phoneticPr fontId="13"/>
  </si>
  <si>
    <t>WMWXM520003A53843</t>
    <phoneticPr fontId="13"/>
  </si>
  <si>
    <t>ｵｰﾗ ﾆﾓｽ ﾌﾟﾛﾊﾟｲﾛｯﾄ</t>
    <phoneticPr fontId="13"/>
  </si>
  <si>
    <t>7/11/29</t>
    <phoneticPr fontId="13"/>
  </si>
  <si>
    <t>A301327</t>
    <phoneticPr fontId="13"/>
  </si>
  <si>
    <t>FE13-298018</t>
    <phoneticPr fontId="13"/>
  </si>
  <si>
    <t>ﾊｲｾﾞｯﾄﾄﾗｯｸ ｼﾞｬﾝﾎﾞ</t>
    <phoneticPr fontId="13"/>
  </si>
  <si>
    <t>9/5/23</t>
    <phoneticPr fontId="13"/>
  </si>
  <si>
    <t>A300646</t>
    <phoneticPr fontId="13"/>
  </si>
  <si>
    <t>S510P-0360245</t>
    <phoneticPr fontId="13"/>
  </si>
  <si>
    <t>A302484</t>
    <phoneticPr fontId="13"/>
  </si>
  <si>
    <t>MXWH60-4047910</t>
    <phoneticPr fontId="13"/>
  </si>
  <si>
    <t>8/2/8</t>
    <phoneticPr fontId="13"/>
  </si>
  <si>
    <t>A300844</t>
    <phoneticPr fontId="13"/>
  </si>
  <si>
    <t>MR92S-138328</t>
    <phoneticPr fontId="13"/>
  </si>
  <si>
    <t>A301145</t>
    <phoneticPr fontId="13"/>
  </si>
  <si>
    <t>JF3-5322525</t>
    <phoneticPr fontId="13"/>
  </si>
  <si>
    <t>ﾏﾂﾀﾞ CX30 20S i</t>
    <phoneticPr fontId="13"/>
  </si>
  <si>
    <t>10/8/21</t>
    <phoneticPr fontId="13"/>
  </si>
  <si>
    <t>A301597</t>
    <phoneticPr fontId="13"/>
  </si>
  <si>
    <t>ﾗｲﾄｸﾞﾚｰ</t>
    <phoneticPr fontId="13"/>
  </si>
  <si>
    <t>DMEJ3R-160070</t>
    <phoneticPr fontId="13"/>
  </si>
  <si>
    <t>A302337</t>
    <phoneticPr fontId="13"/>
  </si>
  <si>
    <t>AGH30-9035524</t>
    <phoneticPr fontId="13"/>
  </si>
  <si>
    <t>ｸﾗｳﾝ S ｽﾎﾟｰﾂｽﾀｲﾙ</t>
    <phoneticPr fontId="13"/>
  </si>
  <si>
    <t>8/11/24</t>
    <phoneticPr fontId="13"/>
  </si>
  <si>
    <t>A302309</t>
    <phoneticPr fontId="13"/>
  </si>
  <si>
    <t>ARS220-1003978</t>
    <phoneticPr fontId="13"/>
  </si>
  <si>
    <t>MH35S-122413</t>
    <phoneticPr fontId="13"/>
  </si>
  <si>
    <t>ﾃﾞｲｽﾞ　X</t>
    <phoneticPr fontId="13"/>
  </si>
  <si>
    <t>B21W-0341172</t>
    <phoneticPr fontId="13"/>
  </si>
  <si>
    <t>N-BOXｶｽﾀﾑ G ﾀｰﾎﾞLﾊﾟｯｹｰｼﾞ</t>
    <phoneticPr fontId="13"/>
  </si>
  <si>
    <t>8/5/16</t>
    <phoneticPr fontId="13"/>
  </si>
  <si>
    <t>JF1-2406184</t>
    <phoneticPr fontId="13"/>
  </si>
  <si>
    <t>ﾌﾟﾛﾎﾞｯｸｽ G</t>
    <phoneticPr fontId="13"/>
  </si>
  <si>
    <t>NCP165-0108413</t>
    <phoneticPr fontId="13"/>
  </si>
  <si>
    <t>ｱﾙﾄﾗﾊﾟﾝ X</t>
    <phoneticPr fontId="13"/>
  </si>
  <si>
    <t>HE33S-150838</t>
    <phoneticPr fontId="13"/>
  </si>
  <si>
    <t>ﾐﾗｲｰｽ G ﾘﾐﾃｯﾄﾞSA3</t>
    <phoneticPr fontId="13"/>
  </si>
  <si>
    <t>8/10/13</t>
    <phoneticPr fontId="13"/>
  </si>
  <si>
    <t>LA350S-0283142</t>
    <phoneticPr fontId="13"/>
  </si>
  <si>
    <t>ｺﾍﾟﾝ  ﾛｰﾌﾞ</t>
    <phoneticPr fontId="13"/>
  </si>
  <si>
    <t>LA400K-0015110</t>
    <phoneticPr fontId="13"/>
  </si>
  <si>
    <t>15/6</t>
    <phoneticPr fontId="13"/>
  </si>
  <si>
    <t xml:space="preserve">Keiﾜｰｸｽ </t>
    <phoneticPr fontId="13"/>
  </si>
  <si>
    <t>8/9/2</t>
    <phoneticPr fontId="13"/>
  </si>
  <si>
    <t>HN22S-761744</t>
    <phoneticPr fontId="13"/>
  </si>
  <si>
    <t>ﾊｽﾗｰ X</t>
    <phoneticPr fontId="13"/>
  </si>
  <si>
    <t>8/8/28</t>
    <phoneticPr fontId="13"/>
  </si>
  <si>
    <t>MR41S-271208</t>
    <phoneticPr fontId="13"/>
  </si>
  <si>
    <t>LA900S-0022288</t>
    <phoneticPr fontId="13"/>
  </si>
  <si>
    <t>ｱﾙﾄ S</t>
    <phoneticPr fontId="13"/>
  </si>
  <si>
    <t>HA36S-547615</t>
    <phoneticPr fontId="13"/>
  </si>
  <si>
    <t>8/6/5</t>
    <phoneticPr fontId="13"/>
  </si>
  <si>
    <t>JF1-1231806</t>
    <phoneticPr fontId="13"/>
  </si>
  <si>
    <t>24/12</t>
    <phoneticPr fontId="13"/>
  </si>
  <si>
    <t>N-ONE GLﾊﾟｯｹｰｼﾞ</t>
    <phoneticPr fontId="13"/>
  </si>
  <si>
    <t>7/11/8</t>
    <phoneticPr fontId="13"/>
  </si>
  <si>
    <t>JG1-1014787</t>
    <phoneticPr fontId="13"/>
  </si>
  <si>
    <t>ﾐﾗｼﾞｰﾉ ﾐﾆﾗｲﾄ ｽﾍﾟｼｬﾙ</t>
    <phoneticPr fontId="13"/>
  </si>
  <si>
    <t>8/9/24</t>
    <phoneticPr fontId="13"/>
  </si>
  <si>
    <t>L700S-0314010</t>
    <phoneticPr fontId="13"/>
  </si>
  <si>
    <t>ﾑｰﾌﾞ X</t>
    <phoneticPr fontId="13"/>
  </si>
  <si>
    <t>LA100S-0005839</t>
    <phoneticPr fontId="13"/>
  </si>
  <si>
    <t>23/8</t>
    <phoneticPr fontId="13"/>
  </si>
  <si>
    <t>ﾊﾟﾚｯﾄ SWﾘﾐﾃｯﾄﾞ</t>
    <phoneticPr fontId="13"/>
  </si>
  <si>
    <t>8/11/13</t>
    <phoneticPr fontId="13"/>
  </si>
  <si>
    <t>MK21S-401609</t>
    <phoneticPr fontId="13"/>
  </si>
  <si>
    <t>保証書 取説  (車内)</t>
    <rPh sb="0" eb="3">
      <t>ホショウショ</t>
    </rPh>
    <rPh sb="4" eb="6">
      <t>トリセツ</t>
    </rPh>
    <phoneticPr fontId="13"/>
  </si>
  <si>
    <t>ｾﾙﾎﾞ G ﾘﾐﾃｯﾄﾞ2</t>
    <phoneticPr fontId="13"/>
  </si>
  <si>
    <t>7/11/19</t>
    <phoneticPr fontId="13"/>
  </si>
  <si>
    <t>HG21S-162935</t>
    <phoneticPr fontId="13"/>
  </si>
  <si>
    <t>HE22S-847098</t>
    <phoneticPr fontId="13"/>
  </si>
  <si>
    <t>ＶＷ ｼｬﾗﾝ</t>
    <phoneticPr fontId="13"/>
  </si>
  <si>
    <t>8/3/10</t>
    <phoneticPr fontId="13"/>
  </si>
  <si>
    <t>神戸 303 ぬ 2340</t>
    <rPh sb="0" eb="2">
      <t>コウベ</t>
    </rPh>
    <phoneticPr fontId="13"/>
  </si>
  <si>
    <t>横井様</t>
    <rPh sb="0" eb="2">
      <t>ヨコイ</t>
    </rPh>
    <rPh sb="2" eb="3">
      <t>サマ</t>
    </rPh>
    <phoneticPr fontId="13"/>
  </si>
  <si>
    <t>WVWZZZ7NZDV014179</t>
    <phoneticPr fontId="13"/>
  </si>
  <si>
    <t>横井 努</t>
    <rPh sb="0" eb="2">
      <t>ヨコイ</t>
    </rPh>
    <rPh sb="3" eb="4">
      <t>ツトム</t>
    </rPh>
    <phoneticPr fontId="13"/>
  </si>
  <si>
    <t>N-BOXｶｽﾀﾑ ｺｰﾃﾞｨﾈｰﾄｽﾀｲﾙ</t>
    <phoneticPr fontId="13"/>
  </si>
  <si>
    <t>8/10/17</t>
    <phoneticPr fontId="13"/>
  </si>
  <si>
    <t>JF5-2001383</t>
    <phoneticPr fontId="13"/>
  </si>
  <si>
    <t>ｾﾚﾅ ﾊｲｳｪｲｽﾀｰ</t>
    <phoneticPr fontId="13"/>
  </si>
  <si>
    <t>8/5/28</t>
    <phoneticPr fontId="13"/>
  </si>
  <si>
    <t>神戸 302 る 8943</t>
    <rPh sb="0" eb="2">
      <t>コウベ</t>
    </rPh>
    <phoneticPr fontId="13"/>
  </si>
  <si>
    <t>HFC26-272947</t>
    <phoneticPr fontId="13"/>
  </si>
  <si>
    <t>岡山 581 ま 4997</t>
    <rPh sb="0" eb="2">
      <t>オカヤマ</t>
    </rPh>
    <phoneticPr fontId="13"/>
  </si>
  <si>
    <t>LA350S-0358019</t>
    <phoneticPr fontId="13"/>
  </si>
  <si>
    <t>ﾃﾞｲｽﾞ ﾊｲｳｪｲｽﾀｰX</t>
    <phoneticPr fontId="13"/>
  </si>
  <si>
    <t>神戸 582 ね 3872</t>
    <rPh sb="0" eb="2">
      <t>コウベ</t>
    </rPh>
    <phoneticPr fontId="13"/>
  </si>
  <si>
    <t>B21W-0642837</t>
    <phoneticPr fontId="13"/>
  </si>
  <si>
    <t>ｴﾌﾞﾘｨｼﾞｮｲﾝ</t>
    <phoneticPr fontId="13"/>
  </si>
  <si>
    <t>8/8/29</t>
    <phoneticPr fontId="13"/>
  </si>
  <si>
    <t>神戸 480 や 3920</t>
    <rPh sb="0" eb="2">
      <t>コウベ</t>
    </rPh>
    <phoneticPr fontId="13"/>
  </si>
  <si>
    <t>DA17V-767397</t>
    <phoneticPr fontId="13"/>
  </si>
  <si>
    <t>EKｽﾍﾟｰｽｶｽﾀﾑ T</t>
    <phoneticPr fontId="13"/>
  </si>
  <si>
    <t>岡山 583 せ 8626</t>
    <rPh sb="0" eb="2">
      <t>オカヤマ</t>
    </rPh>
    <phoneticPr fontId="13"/>
  </si>
  <si>
    <t>保証書 取説 ｽﾍﾟｱｷｰ 地図SD</t>
    <rPh sb="0" eb="3">
      <t>ホショウショ</t>
    </rPh>
    <rPh sb="4" eb="6">
      <t>トリセツ</t>
    </rPh>
    <rPh sb="14" eb="16">
      <t>チズ</t>
    </rPh>
    <phoneticPr fontId="13"/>
  </si>
  <si>
    <t>B11A-0120906</t>
    <phoneticPr fontId="13"/>
  </si>
  <si>
    <t>JB23W-711238</t>
    <phoneticPr fontId="13"/>
  </si>
  <si>
    <t>品番；NX613</t>
    <rPh sb="0" eb="2">
      <t>ヒンバン</t>
    </rPh>
    <phoneticPr fontId="13"/>
  </si>
  <si>
    <t>WMWXN320302G79832</t>
    <phoneticPr fontId="13"/>
  </si>
  <si>
    <t>ﾗｲﾄｸﾞﾘｰﾝ</t>
    <phoneticPr fontId="13"/>
  </si>
  <si>
    <t>VF7SXHNTJT626630</t>
    <phoneticPr fontId="13"/>
  </si>
  <si>
    <t>VW ｱﾙﾃｵﾝ TSI</t>
    <phoneticPr fontId="13"/>
  </si>
  <si>
    <t>WVWZZZ3HZKE005930</t>
    <phoneticPr fontId="13"/>
  </si>
  <si>
    <t>SALRA2AV8JA068478</t>
    <phoneticPr fontId="13"/>
  </si>
  <si>
    <t>ﾒﾙｾﾃﾞｽﾍﾞﾝﾂ Cｸﾗｽ 220d</t>
    <phoneticPr fontId="13"/>
  </si>
  <si>
    <t>WDD2052142F947649</t>
    <phoneticPr fontId="13"/>
  </si>
  <si>
    <t>WMWXN320X02H81970</t>
    <phoneticPr fontId="13"/>
  </si>
  <si>
    <t>WMW22DV0402S95561</t>
    <phoneticPr fontId="13"/>
  </si>
  <si>
    <t>WMWXN320302H82586</t>
    <phoneticPr fontId="13"/>
  </si>
  <si>
    <t>ﾑｰﾌﾞｷｬﾝﾊﾞｽ ｽﾄﾗｲﾌﾟｽ X</t>
    <phoneticPr fontId="13"/>
  </si>
  <si>
    <t>LA850S-1012021</t>
    <phoneticPr fontId="13"/>
  </si>
  <si>
    <t>ｽﾍﾟｰｽｶｽﾀﾑ ﾊｲﾌﾞﾘｯﾄXSﾀｰﾎﾞ</t>
    <phoneticPr fontId="13"/>
  </si>
  <si>
    <t>MK54S-147425</t>
    <phoneticPr fontId="13"/>
  </si>
  <si>
    <t>MR31S-829447</t>
    <phoneticPr fontId="13"/>
  </si>
  <si>
    <t>22/9</t>
    <phoneticPr fontId="13"/>
  </si>
  <si>
    <t>ﾙｰｸｽ ﾊｲｳｪｲｽﾀｰﾀｰﾎﾞ</t>
    <phoneticPr fontId="13"/>
  </si>
  <si>
    <t>ML21S-950635</t>
    <phoneticPr fontId="13"/>
  </si>
  <si>
    <t>BMWﾐﾆｸｰﾊﾟｰS ｵｰﾌﾟﾝ</t>
    <phoneticPr fontId="13"/>
  </si>
  <si>
    <t>島根 307 み 2000</t>
    <rPh sb="0" eb="2">
      <t>シマネ</t>
    </rPh>
    <phoneticPr fontId="13"/>
  </si>
  <si>
    <t>保証書 ﾅﾝﾊﾞｰ</t>
    <rPh sb="0" eb="3">
      <t>ホショウショ</t>
    </rPh>
    <phoneticPr fontId="13"/>
  </si>
  <si>
    <t>JF3-2410445</t>
    <phoneticPr fontId="13"/>
  </si>
  <si>
    <t>LA650S-0203083</t>
    <phoneticPr fontId="13"/>
  </si>
  <si>
    <t>ﾎﾞﾙﾎﾞ XC40 ﾘﾁｬｼﾞ T5 ｲﾝｽｴｸｽ</t>
    <phoneticPr fontId="13"/>
  </si>
  <si>
    <t>大阪 356 ぬ 718</t>
    <rPh sb="0" eb="2">
      <t>オオサカ</t>
    </rPh>
    <phoneticPr fontId="13"/>
  </si>
  <si>
    <t>YV1XZBBMFN2767929</t>
    <phoneticPr fontId="13"/>
  </si>
  <si>
    <t>LA650S-0323741</t>
    <phoneticPr fontId="13"/>
  </si>
  <si>
    <t>LA350S-0104562</t>
    <phoneticPr fontId="13"/>
  </si>
  <si>
    <t>ｱｳﾃﾞｨA7 ｽﾎﾟｰﾂﾊﾞｯｸ</t>
    <phoneticPr fontId="13"/>
  </si>
  <si>
    <t>WAUZZZ4G8JN034004</t>
    <phoneticPr fontId="13"/>
  </si>
  <si>
    <t xml:space="preserve">BMWﾐﾆｸｰﾊﾟｰ </t>
    <phoneticPr fontId="13"/>
  </si>
  <si>
    <t>石川 301 さ 7775</t>
    <rPh sb="0" eb="2">
      <t>イシカワ</t>
    </rPh>
    <phoneticPr fontId="13"/>
  </si>
  <si>
    <t>WMWXS520102F20750</t>
    <phoneticPr fontId="13"/>
  </si>
  <si>
    <t>BMWX3 xdrive20d Xﾗｲﾝ</t>
    <phoneticPr fontId="13"/>
  </si>
  <si>
    <t>品川 302 む 7420</t>
    <rPh sb="0" eb="2">
      <t>シナガワ</t>
    </rPh>
    <phoneticPr fontId="13"/>
  </si>
  <si>
    <t>WBATX320600Z13351</t>
    <phoneticPr fontId="13"/>
  </si>
  <si>
    <t>BMWﾐﾆｸｰﾊﾟｰｸﾗﾌﾞﾏﾝ</t>
    <phoneticPr fontId="13"/>
  </si>
  <si>
    <t>WMWLV320802L40947</t>
    <phoneticPr fontId="13"/>
  </si>
  <si>
    <t>ｳﾞｪﾙﾌｧｲｱ 2.5Z</t>
    <phoneticPr fontId="13"/>
  </si>
  <si>
    <t>A302470</t>
    <phoneticPr fontId="13"/>
  </si>
  <si>
    <t>AGH30-0070013</t>
    <phoneticPr fontId="13"/>
  </si>
  <si>
    <t>ｼｴﾝﾀ  Z</t>
    <phoneticPr fontId="13"/>
  </si>
  <si>
    <t>8/5/29</t>
    <phoneticPr fontId="13"/>
  </si>
  <si>
    <t>A302474</t>
    <phoneticPr fontId="13"/>
  </si>
  <si>
    <t>MXPC10-1021963</t>
    <phoneticPr fontId="13"/>
  </si>
  <si>
    <t>ﾚｸｻｽ LS 460</t>
    <phoneticPr fontId="13"/>
  </si>
  <si>
    <t>9/2/4</t>
    <phoneticPr fontId="13"/>
  </si>
  <si>
    <t>A302725</t>
    <phoneticPr fontId="13"/>
  </si>
  <si>
    <t>USF40-5137792</t>
    <phoneticPr fontId="13"/>
  </si>
  <si>
    <t>ｽﾃｯﾌﾟﾜｺﾞﾝ ｽﾊﾟｰﾀﾞ ﾎﾝﾀﾞｾﾝｼﾝｸﾞ</t>
    <phoneticPr fontId="13"/>
  </si>
  <si>
    <t>A302723</t>
    <phoneticPr fontId="13"/>
  </si>
  <si>
    <t>RP3-1324361</t>
    <phoneticPr fontId="13"/>
  </si>
  <si>
    <t>1697回</t>
  </si>
  <si>
    <t>①</t>
    <phoneticPr fontId="13"/>
  </si>
  <si>
    <t>7/12/4</t>
    <phoneticPr fontId="13"/>
  </si>
  <si>
    <t>福岡 583 か 5598</t>
  </si>
  <si>
    <t>T'sﾚﾝﾀｶｰに使用</t>
  </si>
  <si>
    <t>580 わ 3989</t>
    <phoneticPr fontId="13"/>
  </si>
  <si>
    <t>MH44S-168107</t>
  </si>
  <si>
    <t>いきてる株式会社</t>
    <phoneticPr fontId="13"/>
  </si>
  <si>
    <t>取説 保証書 ○</t>
  </si>
  <si>
    <t>26/3</t>
  </si>
  <si>
    <t>②</t>
    <phoneticPr fontId="13"/>
  </si>
  <si>
    <t>ﾉｰﾄ X ｴﾏｰｼﾞｪﾝｼｰﾌﾞﾚｰｷﾊﾟｯｹｰｼﾞ</t>
  </si>
  <si>
    <t>8/6/11</t>
    <phoneticPr fontId="13"/>
  </si>
  <si>
    <t>春日部 507 ひ 333</t>
  </si>
  <si>
    <t>T'sﾚﾝﾀｶｰ使用</t>
  </si>
  <si>
    <t>500 わ 7954</t>
    <phoneticPr fontId="13"/>
  </si>
  <si>
    <t>A02985</t>
  </si>
  <si>
    <t>E12-225207</t>
    <phoneticPr fontId="13"/>
  </si>
  <si>
    <t>三星医療電機株式会社</t>
  </si>
  <si>
    <t>取説 保証書 ﾅﾋﾞ取 ﾜﾝｵｰﾅｰ（車内にあった）</t>
  </si>
  <si>
    <t>③</t>
    <phoneticPr fontId="13"/>
  </si>
  <si>
    <t>ｱｳﾃﾞｨRS Q3</t>
    <phoneticPr fontId="13"/>
  </si>
  <si>
    <t>7/11/7</t>
    <phoneticPr fontId="13"/>
  </si>
  <si>
    <t>神戸 304 た  141</t>
    <rPh sb="0" eb="2">
      <t>コウベ</t>
    </rPh>
    <phoneticPr fontId="13"/>
  </si>
  <si>
    <t>HAA9/24 1122回82157成約ｷｬﾝｾﾙ 10/23書類戻り済</t>
    <phoneticPr fontId="13"/>
  </si>
  <si>
    <t>2022/10/23ﾚﾝﾀｶｰに移行</t>
    <rPh sb="16" eb="18">
      <t>イコウ</t>
    </rPh>
    <phoneticPr fontId="13"/>
  </si>
  <si>
    <t>300 わ 4626</t>
    <phoneticPr fontId="13"/>
  </si>
  <si>
    <t>橋本</t>
    <rPh sb="0" eb="2">
      <t>ハシモト</t>
    </rPh>
    <phoneticPr fontId="13"/>
  </si>
  <si>
    <t>WUAZZZ8U0FR900350</t>
    <phoneticPr fontId="13"/>
  </si>
  <si>
    <t>橋本 政人</t>
    <rPh sb="0" eb="2">
      <t>ハシモト</t>
    </rPh>
    <rPh sb="3" eb="5">
      <t>マサト</t>
    </rPh>
    <phoneticPr fontId="13"/>
  </si>
  <si>
    <t>S24-076aからR24-009へ変更</t>
    <rPh sb="18" eb="20">
      <t>ヘンコウ</t>
    </rPh>
    <phoneticPr fontId="13"/>
  </si>
  <si>
    <t>661回</t>
    <phoneticPr fontId="13"/>
  </si>
  <si>
    <t>ｱｳﾃﾞｨS3　ｽﾎﾟｰﾂB　TFSI</t>
  </si>
  <si>
    <t>7/7/31</t>
    <phoneticPr fontId="13"/>
  </si>
  <si>
    <t>湘南　301　む　538</t>
  </si>
  <si>
    <t>2024/7/31ﾚﾝﾀｶｰに移行</t>
    <rPh sb="15" eb="17">
      <t>イコウ</t>
    </rPh>
    <phoneticPr fontId="13"/>
  </si>
  <si>
    <t>300 わ 6062</t>
    <phoneticPr fontId="13"/>
  </si>
  <si>
    <t>WAUZZZ8P8BA029243</t>
  </si>
  <si>
    <t>有限会社ｵｰﾄｴｰｽ</t>
    <rPh sb="0" eb="4">
      <t>ユウゲンガイシャ</t>
    </rPh>
    <phoneticPr fontId="13"/>
  </si>
  <si>
    <t>25-062からR25-015へ変更</t>
    <rPh sb="16" eb="18">
      <t>ヘンコウ</t>
    </rPh>
    <phoneticPr fontId="13"/>
  </si>
  <si>
    <t>BMWﾐﾆ ｸｰﾊﾟｰDｸﾛｽｵｰﾊﾞｰ</t>
    <phoneticPr fontId="13"/>
  </si>
  <si>
    <t>8/5/12</t>
    <phoneticPr fontId="13"/>
  </si>
  <si>
    <t>広島 331 も 3298</t>
    <rPh sb="0" eb="2">
      <t>ヒロシマ</t>
    </rPh>
    <phoneticPr fontId="13"/>
  </si>
  <si>
    <t>2025/5/13 ﾚﾝﾀｶｰに移行</t>
    <rPh sb="16" eb="18">
      <t>イコウ</t>
    </rPh>
    <phoneticPr fontId="13"/>
  </si>
  <si>
    <t>300 わ 6615</t>
    <phoneticPr fontId="13"/>
  </si>
  <si>
    <t>WMWXD32030WN36369</t>
    <phoneticPr fontId="13"/>
  </si>
  <si>
    <t>26-242からR26-009へ変更</t>
    <rPh sb="16" eb="18">
      <t>ヘンコウ</t>
    </rPh>
    <phoneticPr fontId="13"/>
  </si>
  <si>
    <t>④</t>
    <phoneticPr fontId="13"/>
  </si>
  <si>
    <t>⑤</t>
    <phoneticPr fontId="13"/>
  </si>
  <si>
    <t>R27-001</t>
    <phoneticPr fontId="13"/>
  </si>
  <si>
    <t>R27-002</t>
  </si>
  <si>
    <t>R27-003</t>
  </si>
  <si>
    <t>R27-004</t>
  </si>
  <si>
    <t>R27-005</t>
  </si>
  <si>
    <t>ワゴンR</t>
    <phoneticPr fontId="13"/>
  </si>
  <si>
    <t>MH34S-209570</t>
    <phoneticPr fontId="13"/>
  </si>
  <si>
    <t>25/7</t>
    <phoneticPr fontId="13"/>
  </si>
  <si>
    <t>Lﾌﾞﾙｰ</t>
    <phoneticPr fontId="13"/>
  </si>
  <si>
    <t>8/7/30</t>
    <phoneticPr fontId="13"/>
  </si>
  <si>
    <t>姫路 581 ほ 8584</t>
    <rPh sb="0" eb="2">
      <t>ヒメジ</t>
    </rPh>
    <phoneticPr fontId="13"/>
  </si>
  <si>
    <t>ムーヴ</t>
    <phoneticPr fontId="13"/>
  </si>
  <si>
    <t>LA100S-0139789</t>
    <phoneticPr fontId="13"/>
  </si>
  <si>
    <t>9/5/28</t>
    <phoneticPr fontId="13"/>
  </si>
  <si>
    <t>姫路 580 ふ 3026</t>
    <rPh sb="0" eb="2">
      <t>ヒメジ</t>
    </rPh>
    <phoneticPr fontId="13"/>
  </si>
  <si>
    <t>MH34S-348009</t>
    <phoneticPr fontId="13"/>
  </si>
  <si>
    <t>9/8/3</t>
    <phoneticPr fontId="13"/>
  </si>
  <si>
    <t>姫路 581 も 8068</t>
    <rPh sb="0" eb="2">
      <t>ヒメジ</t>
    </rPh>
    <phoneticPr fontId="13"/>
  </si>
  <si>
    <t>スペーシア</t>
    <phoneticPr fontId="13"/>
  </si>
  <si>
    <t>MK32S-171563</t>
    <phoneticPr fontId="13"/>
  </si>
  <si>
    <t>26/2</t>
    <phoneticPr fontId="13"/>
  </si>
  <si>
    <t>ピンク</t>
    <phoneticPr fontId="13"/>
  </si>
  <si>
    <t>8/10/24</t>
    <phoneticPr fontId="13"/>
  </si>
  <si>
    <t>姫路 581 ゆ 1986</t>
    <rPh sb="0" eb="2">
      <t>ヒメジ</t>
    </rPh>
    <phoneticPr fontId="13"/>
  </si>
  <si>
    <t>旧26-900</t>
    <rPh sb="0" eb="1">
      <t>キュウ</t>
    </rPh>
    <phoneticPr fontId="13"/>
  </si>
  <si>
    <t>フィットHV</t>
    <phoneticPr fontId="13"/>
  </si>
  <si>
    <t>GP1-1109206</t>
    <phoneticPr fontId="13"/>
  </si>
  <si>
    <t>9/3/17</t>
    <phoneticPr fontId="13"/>
  </si>
  <si>
    <t>姫路 501 む 8101</t>
    <rPh sb="0" eb="2">
      <t>ヒメジ</t>
    </rPh>
    <phoneticPr fontId="13"/>
  </si>
  <si>
    <t>フィット</t>
    <phoneticPr fontId="13"/>
  </si>
  <si>
    <t>キューブ</t>
    <phoneticPr fontId="13"/>
  </si>
  <si>
    <t>デミオ</t>
    <phoneticPr fontId="13"/>
  </si>
  <si>
    <t>ベリーサ</t>
    <phoneticPr fontId="13"/>
  </si>
  <si>
    <t>DC5W-338230</t>
    <phoneticPr fontId="13"/>
  </si>
  <si>
    <t>22/1</t>
    <phoneticPr fontId="13"/>
  </si>
  <si>
    <t>8/10/14</t>
    <phoneticPr fontId="13"/>
  </si>
  <si>
    <t>姫路 501 む 3911</t>
    <rPh sb="0" eb="2">
      <t>ヒメジ</t>
    </rPh>
    <phoneticPr fontId="13"/>
  </si>
  <si>
    <t>DE3FS-548820</t>
    <phoneticPr fontId="13"/>
  </si>
  <si>
    <t>8/4/2</t>
    <phoneticPr fontId="13"/>
  </si>
  <si>
    <t>姫路 501 む 8167</t>
    <rPh sb="0" eb="2">
      <t>ヒメジ</t>
    </rPh>
    <phoneticPr fontId="13"/>
  </si>
  <si>
    <t>ミラージュ</t>
    <phoneticPr fontId="13"/>
  </si>
  <si>
    <t>A05A-0009519</t>
    <phoneticPr fontId="13"/>
  </si>
  <si>
    <t>姫路 501 て 9110</t>
    <rPh sb="0" eb="2">
      <t>ヒメジ</t>
    </rPh>
    <phoneticPr fontId="13"/>
  </si>
  <si>
    <t>ソリオ</t>
    <phoneticPr fontId="13"/>
  </si>
  <si>
    <t>MA15S-213095</t>
    <phoneticPr fontId="13"/>
  </si>
  <si>
    <t>8/5/21</t>
    <phoneticPr fontId="13"/>
  </si>
  <si>
    <t>姫路 501 め 460</t>
    <rPh sb="0" eb="2">
      <t>ヒメジ</t>
    </rPh>
    <phoneticPr fontId="13"/>
  </si>
  <si>
    <t>Z12-038369</t>
    <phoneticPr fontId="13"/>
  </si>
  <si>
    <t>21/7</t>
    <phoneticPr fontId="13"/>
  </si>
  <si>
    <t>姫路 301 む 9535</t>
    <rPh sb="0" eb="2">
      <t>ヒメジ</t>
    </rPh>
    <phoneticPr fontId="13"/>
  </si>
  <si>
    <t>MA15S-952437</t>
    <phoneticPr fontId="13"/>
  </si>
  <si>
    <t>9/4/20</t>
    <phoneticPr fontId="13"/>
  </si>
  <si>
    <t>姫路 501 め 8190</t>
    <rPh sb="0" eb="2">
      <t>ヒメジ</t>
    </rPh>
    <phoneticPr fontId="13"/>
  </si>
  <si>
    <t>シエンタ</t>
    <phoneticPr fontId="13"/>
  </si>
  <si>
    <t>NCP81-5146438</t>
    <phoneticPr fontId="13"/>
  </si>
  <si>
    <t>8/8/30</t>
    <phoneticPr fontId="13"/>
  </si>
  <si>
    <t>姫路 501 め 6924</t>
    <rPh sb="0" eb="2">
      <t>ヒメジ</t>
    </rPh>
    <phoneticPr fontId="13"/>
  </si>
  <si>
    <t>アクア</t>
    <phoneticPr fontId="13"/>
  </si>
  <si>
    <t>NHP10-6063158</t>
    <phoneticPr fontId="13"/>
  </si>
  <si>
    <t>9/7/18</t>
    <phoneticPr fontId="13"/>
  </si>
  <si>
    <t>姫路 501 め 8934</t>
    <rPh sb="0" eb="2">
      <t>ヒメジ</t>
    </rPh>
    <phoneticPr fontId="13"/>
  </si>
  <si>
    <t>NHP10-2026527</t>
    <phoneticPr fontId="13"/>
  </si>
  <si>
    <t>姫路 501 も 805</t>
    <rPh sb="0" eb="2">
      <t>ヒメジ</t>
    </rPh>
    <phoneticPr fontId="13"/>
  </si>
  <si>
    <t>旧25-5539</t>
    <rPh sb="0" eb="1">
      <t>キュウ</t>
    </rPh>
    <phoneticPr fontId="13"/>
  </si>
  <si>
    <t>プリウス</t>
    <phoneticPr fontId="13"/>
  </si>
  <si>
    <t>ZVW30-0277422</t>
    <phoneticPr fontId="13"/>
  </si>
  <si>
    <t>姫路 301 に 5255</t>
    <rPh sb="0" eb="2">
      <t>ヒメジ</t>
    </rPh>
    <phoneticPr fontId="13"/>
  </si>
  <si>
    <t>旧25-4986</t>
    <rPh sb="0" eb="1">
      <t>キュウ</t>
    </rPh>
    <phoneticPr fontId="13"/>
  </si>
  <si>
    <t>デリカ</t>
    <phoneticPr fontId="13"/>
  </si>
  <si>
    <t>MB15S-500840</t>
    <phoneticPr fontId="13"/>
  </si>
  <si>
    <t>8/12/24</t>
    <phoneticPr fontId="13"/>
  </si>
  <si>
    <t>姫路 501 も 5387</t>
    <rPh sb="0" eb="2">
      <t>ヒメジ</t>
    </rPh>
    <phoneticPr fontId="13"/>
  </si>
  <si>
    <t>旧26-1998</t>
    <rPh sb="0" eb="1">
      <t>キュウ</t>
    </rPh>
    <phoneticPr fontId="13"/>
  </si>
  <si>
    <t>ZVW30-5381970</t>
    <phoneticPr fontId="13"/>
  </si>
  <si>
    <t>8/12/15</t>
    <phoneticPr fontId="13"/>
  </si>
  <si>
    <t>姫路 301 ぬ 2893</t>
    <rPh sb="0" eb="2">
      <t>ヒメジ</t>
    </rPh>
    <phoneticPr fontId="13"/>
  </si>
  <si>
    <t>旧26-2558</t>
    <rPh sb="0" eb="1">
      <t>キュウ</t>
    </rPh>
    <phoneticPr fontId="13"/>
  </si>
  <si>
    <t>GP5-1004384</t>
    <phoneticPr fontId="13"/>
  </si>
  <si>
    <t>8/7/6</t>
    <phoneticPr fontId="13"/>
  </si>
  <si>
    <t>姫路 501 も 8358</t>
    <rPh sb="0" eb="2">
      <t>ヒメジ</t>
    </rPh>
    <phoneticPr fontId="13"/>
  </si>
  <si>
    <t>旧26-4609</t>
    <rPh sb="0" eb="1">
      <t>キュウ</t>
    </rPh>
    <phoneticPr fontId="13"/>
  </si>
  <si>
    <t>NHP10-2353688</t>
    <phoneticPr fontId="13"/>
  </si>
  <si>
    <t>9/9/2</t>
    <phoneticPr fontId="13"/>
  </si>
  <si>
    <t>姫路 501 も 8357</t>
    <rPh sb="0" eb="2">
      <t>ヒメジ</t>
    </rPh>
    <phoneticPr fontId="13"/>
  </si>
  <si>
    <t>旧26-4462</t>
    <rPh sb="0" eb="1">
      <t>キュウ</t>
    </rPh>
    <phoneticPr fontId="13"/>
  </si>
  <si>
    <t>状況</t>
    <rPh sb="0" eb="2">
      <t>ジョウキョウ</t>
    </rPh>
    <phoneticPr fontId="13"/>
  </si>
  <si>
    <t>売上日</t>
    <rPh sb="0" eb="2">
      <t>ウリアゲ</t>
    </rPh>
    <rPh sb="2" eb="3">
      <t>ビ</t>
    </rPh>
    <phoneticPr fontId="13"/>
  </si>
  <si>
    <t xml:space="preserve">ｱﾙﾄﾜｰｸｽ </t>
    <phoneticPr fontId="13"/>
  </si>
  <si>
    <t>HA36S-912287</t>
    <phoneticPr fontId="13"/>
  </si>
  <si>
    <t>ﾐﾗｲｰｽ　X　35ｔｈｱﾆﾊﾞｰｻﾘｰｺﾞｰﾙﾄﾞ</t>
    <phoneticPr fontId="13"/>
  </si>
  <si>
    <t>LA300S-1390343</t>
    <phoneticPr fontId="13"/>
  </si>
  <si>
    <t>BMWﾐﾆｸｰﾊﾟｰ　SE　Xｵｰﾊﾞｰｵｰﾙ4</t>
    <phoneticPr fontId="13"/>
  </si>
  <si>
    <t>ﾀﾝﾄｶｽﾀﾑ　ｶｽﾀﾑX</t>
    <phoneticPr fontId="13"/>
  </si>
  <si>
    <t>LA650S-0161378</t>
    <phoneticPr fontId="13"/>
  </si>
  <si>
    <t>ﾊｽﾗｰ　X</t>
    <phoneticPr fontId="13"/>
  </si>
  <si>
    <t>MR41S-326851</t>
    <phoneticPr fontId="13"/>
  </si>
  <si>
    <t>ｾﾙﾎﾞ　SR</t>
    <phoneticPr fontId="13"/>
  </si>
  <si>
    <t>HG21S-420647</t>
    <phoneticPr fontId="13"/>
  </si>
  <si>
    <t>ﾐﾗｲｰｽ　L　SA3</t>
    <phoneticPr fontId="13"/>
  </si>
  <si>
    <t>LA350S-0294379</t>
    <phoneticPr fontId="13"/>
  </si>
  <si>
    <t>ﾐﾗｺｺｱ　ｺｺｱﾌﾟﾗｽG</t>
    <phoneticPr fontId="13"/>
  </si>
  <si>
    <t>L675S-0048338</t>
    <phoneticPr fontId="13"/>
  </si>
  <si>
    <t>N-BOX　G　Lﾊﾟｯｹｰｼﾞ</t>
    <phoneticPr fontId="13"/>
  </si>
  <si>
    <t>JF1-1943445</t>
    <phoneticPr fontId="13"/>
  </si>
  <si>
    <t>ﾀﾌﾄ　G　ｱﾄﾞﾍﾞﾝﾁｬｰ</t>
    <phoneticPr fontId="13"/>
  </si>
  <si>
    <t>LA900S-0080255</t>
    <phoneticPr fontId="13"/>
  </si>
  <si>
    <t>ﾊｽﾗｰ　Xﾀｰﾎﾞ</t>
    <phoneticPr fontId="13"/>
  </si>
  <si>
    <t>MR41S-638133</t>
    <phoneticPr fontId="13"/>
  </si>
  <si>
    <t>ﾀﾝﾄ　Xﾘﾐﾃｯﾄﾞ</t>
    <phoneticPr fontId="13"/>
  </si>
  <si>
    <t>L375S-0278496</t>
    <phoneticPr fontId="13"/>
  </si>
  <si>
    <t>ﾃﾞｲｽﾞ　J　</t>
    <phoneticPr fontId="13"/>
  </si>
  <si>
    <t>B21W-0413537</t>
    <phoneticPr fontId="13"/>
  </si>
  <si>
    <t>ﾜｺﾞﾝRｽﾃｨﾝｸﾞﾚｰ　X</t>
    <phoneticPr fontId="13"/>
  </si>
  <si>
    <t>MH44S-459377</t>
    <phoneticPr fontId="13"/>
  </si>
  <si>
    <t>WMWXU52000TH95286</t>
    <phoneticPr fontId="13"/>
  </si>
  <si>
    <t>BMWﾐﾆ　JCWｸﾗﾌﾞﾏﾝ</t>
    <phoneticPr fontId="13"/>
  </si>
  <si>
    <t>ｵﾘｯｸｽ神戸（ｱｲｵｰｸ)</t>
    <rPh sb="5" eb="7">
      <t>コウベ</t>
    </rPh>
    <phoneticPr fontId="13"/>
  </si>
  <si>
    <t>LA350S-0229449</t>
    <phoneticPr fontId="13"/>
  </si>
  <si>
    <t>LA350S-0226750</t>
    <phoneticPr fontId="13"/>
  </si>
  <si>
    <t>MH85S-117686</t>
    <phoneticPr fontId="13"/>
  </si>
  <si>
    <t>JF3-1537849</t>
    <phoneticPr fontId="13"/>
  </si>
  <si>
    <t>B33W-0003090</t>
    <phoneticPr fontId="13"/>
  </si>
  <si>
    <t>ｵﾘｯｸｽ福岡（ｱｲｵｰｸ)</t>
    <rPh sb="5" eb="7">
      <t>フクオカ</t>
    </rPh>
    <phoneticPr fontId="13"/>
  </si>
  <si>
    <t>LA350S-0195972</t>
    <phoneticPr fontId="13"/>
  </si>
  <si>
    <t>JF5-1013250</t>
    <phoneticPr fontId="13"/>
  </si>
  <si>
    <t>JF5-1013241</t>
    <phoneticPr fontId="13"/>
  </si>
  <si>
    <t>JF5-1013246</t>
    <phoneticPr fontId="13"/>
  </si>
  <si>
    <t>JF5-1013234</t>
    <phoneticPr fontId="13"/>
  </si>
  <si>
    <t>JF5-1013244</t>
    <phoneticPr fontId="13"/>
  </si>
  <si>
    <t>JF3-5091164</t>
    <phoneticPr fontId="13"/>
  </si>
  <si>
    <t>JF3-5086467</t>
    <phoneticPr fontId="13"/>
  </si>
  <si>
    <t>27-001</t>
    <phoneticPr fontId="13"/>
  </si>
  <si>
    <t>27-002</t>
  </si>
  <si>
    <t>27-003</t>
  </si>
  <si>
    <t>27-004</t>
  </si>
  <si>
    <t>27-005</t>
  </si>
  <si>
    <t>27-006</t>
  </si>
  <si>
    <t>27-007</t>
  </si>
  <si>
    <t>27-008</t>
  </si>
  <si>
    <t>27-009</t>
  </si>
  <si>
    <t>27-010</t>
  </si>
  <si>
    <t>27-011</t>
  </si>
  <si>
    <t>27-012</t>
  </si>
  <si>
    <t>27-013</t>
  </si>
  <si>
    <t>27-014</t>
  </si>
  <si>
    <t>27-015</t>
  </si>
  <si>
    <t>27-016</t>
  </si>
  <si>
    <t>27-017</t>
  </si>
  <si>
    <t>27-018</t>
  </si>
  <si>
    <t>27-019</t>
  </si>
  <si>
    <t>27-020</t>
  </si>
  <si>
    <t>27-021</t>
  </si>
  <si>
    <t>27-022</t>
  </si>
  <si>
    <t>27-023</t>
  </si>
  <si>
    <t>27-024</t>
  </si>
  <si>
    <t>27-025</t>
  </si>
  <si>
    <t>27-026</t>
  </si>
  <si>
    <t>27-027</t>
  </si>
  <si>
    <t>27-028</t>
  </si>
  <si>
    <t>27-029</t>
  </si>
  <si>
    <t>27-030</t>
  </si>
  <si>
    <t>27-031</t>
  </si>
  <si>
    <t>27-032</t>
  </si>
  <si>
    <t>27-033</t>
  </si>
  <si>
    <t>27-034</t>
  </si>
  <si>
    <t>27-035</t>
  </si>
  <si>
    <t>27-036</t>
  </si>
  <si>
    <t>27-037</t>
  </si>
  <si>
    <t>27-038</t>
  </si>
  <si>
    <t>27-039</t>
  </si>
  <si>
    <t>27-040</t>
  </si>
  <si>
    <t>27-041</t>
  </si>
  <si>
    <t>27-042</t>
  </si>
  <si>
    <t>27-043</t>
  </si>
  <si>
    <t>27-044</t>
  </si>
  <si>
    <t>27-045</t>
  </si>
  <si>
    <t>27-046</t>
  </si>
  <si>
    <t>27-047</t>
  </si>
  <si>
    <t>27-048</t>
  </si>
  <si>
    <t>27-049</t>
  </si>
  <si>
    <t>27-050</t>
  </si>
  <si>
    <t>27-051</t>
  </si>
  <si>
    <t>27-052</t>
  </si>
  <si>
    <t>27-053</t>
  </si>
  <si>
    <t>27-054</t>
  </si>
  <si>
    <t>27-055</t>
  </si>
  <si>
    <t>27-056</t>
  </si>
  <si>
    <t>27-057</t>
  </si>
  <si>
    <t>27-058</t>
  </si>
  <si>
    <t>27-059</t>
  </si>
  <si>
    <t>27-060</t>
  </si>
  <si>
    <t>27-061</t>
  </si>
  <si>
    <t>27-062</t>
  </si>
  <si>
    <t>27-063</t>
  </si>
  <si>
    <t>27-064</t>
  </si>
  <si>
    <t>27-065</t>
  </si>
  <si>
    <t>27-066</t>
  </si>
  <si>
    <t>27-067</t>
  </si>
  <si>
    <t>27-068</t>
  </si>
  <si>
    <t>27-069</t>
  </si>
  <si>
    <t>27-070</t>
  </si>
  <si>
    <t>27-071</t>
  </si>
  <si>
    <t>27-072</t>
  </si>
  <si>
    <t>27-073</t>
  </si>
  <si>
    <t>27-074</t>
  </si>
  <si>
    <t>27-075</t>
  </si>
  <si>
    <t>27-076</t>
  </si>
  <si>
    <t>27-077</t>
  </si>
  <si>
    <t>27-078</t>
  </si>
  <si>
    <t>27-079</t>
  </si>
  <si>
    <t>27-080</t>
  </si>
  <si>
    <t>27-081</t>
  </si>
  <si>
    <t>27-082</t>
  </si>
  <si>
    <t>27-083</t>
  </si>
  <si>
    <t>27-084</t>
  </si>
  <si>
    <t>27-085</t>
  </si>
  <si>
    <t>27-086</t>
  </si>
  <si>
    <t>27-087</t>
  </si>
  <si>
    <t>27-088</t>
  </si>
  <si>
    <t>27-089</t>
  </si>
  <si>
    <t>27-090</t>
  </si>
  <si>
    <t>27-091</t>
  </si>
  <si>
    <t>27-092</t>
  </si>
  <si>
    <t>27-093</t>
  </si>
  <si>
    <t>27-094</t>
  </si>
  <si>
    <t>27-095</t>
  </si>
  <si>
    <t>27-096</t>
  </si>
  <si>
    <t>27-097</t>
  </si>
  <si>
    <t>27-098</t>
  </si>
  <si>
    <t>27-099</t>
  </si>
  <si>
    <t>27-100</t>
  </si>
  <si>
    <t>27-101</t>
  </si>
  <si>
    <t>27-102</t>
  </si>
  <si>
    <t>27-103</t>
  </si>
  <si>
    <t>27-104</t>
  </si>
  <si>
    <t>27-105</t>
  </si>
  <si>
    <t>27-106</t>
  </si>
  <si>
    <t>27-107</t>
  </si>
  <si>
    <t>27-108</t>
  </si>
  <si>
    <t>27-109</t>
  </si>
  <si>
    <t>27-111</t>
  </si>
  <si>
    <t>27-112</t>
  </si>
  <si>
    <t>27-113</t>
  </si>
  <si>
    <t>27-114</t>
  </si>
  <si>
    <t>27-115</t>
  </si>
  <si>
    <t>27-116</t>
  </si>
  <si>
    <t>27-117</t>
  </si>
  <si>
    <t>27-118</t>
  </si>
  <si>
    <t>27-119</t>
  </si>
  <si>
    <t>27-120</t>
  </si>
  <si>
    <t>27-121</t>
  </si>
  <si>
    <t>27-122</t>
  </si>
  <si>
    <t>27-123</t>
  </si>
  <si>
    <t>27-124</t>
  </si>
  <si>
    <t>27-125</t>
  </si>
  <si>
    <t>27-126</t>
  </si>
  <si>
    <t>27-127</t>
  </si>
  <si>
    <t>27-128</t>
  </si>
  <si>
    <t>27-129</t>
  </si>
  <si>
    <t>27-130</t>
  </si>
  <si>
    <t>27-131</t>
  </si>
  <si>
    <t>27-132</t>
  </si>
  <si>
    <t>27-133</t>
  </si>
  <si>
    <t>27-134</t>
  </si>
  <si>
    <t>27-135</t>
  </si>
  <si>
    <t>27-136</t>
  </si>
  <si>
    <t>27-137</t>
  </si>
  <si>
    <t>27-138</t>
  </si>
  <si>
    <t>27-139</t>
  </si>
  <si>
    <t>27-140</t>
  </si>
  <si>
    <t>27-141</t>
  </si>
  <si>
    <t>27-142</t>
  </si>
  <si>
    <t>27-143</t>
  </si>
  <si>
    <t>27-145</t>
  </si>
  <si>
    <t>27-146</t>
  </si>
  <si>
    <t>27-147</t>
  </si>
  <si>
    <t>27-148</t>
  </si>
  <si>
    <t>27-149</t>
  </si>
  <si>
    <t>27-150</t>
  </si>
  <si>
    <t>27-151</t>
  </si>
  <si>
    <t>27-152</t>
  </si>
  <si>
    <t>27-153</t>
  </si>
  <si>
    <t>27-154</t>
  </si>
  <si>
    <t>27-155</t>
  </si>
  <si>
    <t>27-156</t>
  </si>
  <si>
    <t>27-157</t>
  </si>
  <si>
    <t>27-158</t>
  </si>
  <si>
    <t>27-159</t>
  </si>
  <si>
    <t>27-160</t>
  </si>
  <si>
    <t>27-161</t>
  </si>
  <si>
    <t>27-162</t>
  </si>
  <si>
    <t>27-163</t>
  </si>
  <si>
    <t>27-164</t>
  </si>
  <si>
    <t>27-165</t>
  </si>
  <si>
    <t>27-166</t>
  </si>
  <si>
    <t>27-167</t>
  </si>
  <si>
    <t>27-168</t>
  </si>
  <si>
    <t>27-169</t>
  </si>
  <si>
    <t>27-170</t>
  </si>
  <si>
    <t>27-171</t>
  </si>
  <si>
    <t>27-172</t>
  </si>
  <si>
    <t>27-173</t>
  </si>
  <si>
    <t>27-174</t>
  </si>
  <si>
    <t>27-175</t>
  </si>
  <si>
    <t>27-176</t>
  </si>
  <si>
    <t>27-177</t>
  </si>
  <si>
    <t>27-178</t>
  </si>
  <si>
    <t>27-179</t>
  </si>
  <si>
    <t>27-180</t>
  </si>
  <si>
    <t>27-181</t>
  </si>
  <si>
    <t>27-182</t>
  </si>
  <si>
    <t>27-183</t>
  </si>
  <si>
    <t>27-184</t>
  </si>
  <si>
    <t>27-185</t>
  </si>
  <si>
    <t>27-186</t>
  </si>
  <si>
    <t>27-187</t>
  </si>
  <si>
    <t>27-188</t>
  </si>
  <si>
    <t>27-189</t>
  </si>
  <si>
    <t>27-190</t>
  </si>
  <si>
    <t>27-191</t>
  </si>
  <si>
    <t>27-192</t>
  </si>
  <si>
    <t>27-193</t>
  </si>
  <si>
    <t>27-194</t>
  </si>
  <si>
    <t>27-195</t>
  </si>
  <si>
    <t>27-196</t>
  </si>
  <si>
    <t>27-197</t>
  </si>
  <si>
    <t>27-198</t>
  </si>
  <si>
    <t>27-199</t>
  </si>
  <si>
    <t>27-200</t>
  </si>
  <si>
    <t>27-201</t>
  </si>
  <si>
    <t>27-202</t>
  </si>
  <si>
    <t>27-203</t>
  </si>
  <si>
    <t>27-204</t>
  </si>
  <si>
    <t>27-205</t>
  </si>
  <si>
    <t>27-206</t>
  </si>
  <si>
    <t>27-207</t>
  </si>
  <si>
    <t>27-208</t>
  </si>
  <si>
    <t>27-209</t>
  </si>
  <si>
    <t>27-210</t>
  </si>
  <si>
    <t>27-211</t>
  </si>
  <si>
    <t>27-212</t>
  </si>
  <si>
    <t>27-213</t>
  </si>
  <si>
    <t>27-214</t>
  </si>
  <si>
    <t>27-215</t>
  </si>
  <si>
    <t>27-216</t>
  </si>
  <si>
    <t>27-217</t>
  </si>
  <si>
    <t>27-218</t>
  </si>
  <si>
    <t>27-219</t>
  </si>
  <si>
    <t>27-220</t>
  </si>
  <si>
    <t>27-221</t>
  </si>
  <si>
    <t>27-222</t>
  </si>
  <si>
    <t>27-223</t>
  </si>
  <si>
    <t>27-224</t>
  </si>
  <si>
    <t>27-225</t>
  </si>
  <si>
    <t>27-226</t>
  </si>
  <si>
    <t>27-227</t>
  </si>
  <si>
    <t>27-228</t>
  </si>
  <si>
    <t>27-229</t>
  </si>
  <si>
    <t>27-230</t>
  </si>
  <si>
    <t>27-231</t>
  </si>
  <si>
    <t>27-232</t>
  </si>
  <si>
    <t>27-233</t>
  </si>
  <si>
    <t>27-234</t>
  </si>
  <si>
    <t>27-235</t>
  </si>
  <si>
    <t>27-236</t>
  </si>
  <si>
    <t>27-237</t>
  </si>
  <si>
    <t>27-238</t>
  </si>
  <si>
    <t>27-239</t>
  </si>
  <si>
    <t>27-240</t>
  </si>
  <si>
    <t>27-241</t>
  </si>
  <si>
    <t>27-242</t>
  </si>
  <si>
    <t>27-243</t>
  </si>
  <si>
    <t>27-244</t>
  </si>
  <si>
    <t>27-245</t>
  </si>
  <si>
    <t>27-246</t>
  </si>
  <si>
    <t>27-247</t>
  </si>
  <si>
    <t>27-248</t>
  </si>
  <si>
    <t>27-249</t>
  </si>
  <si>
    <t>27-250</t>
  </si>
  <si>
    <t>27-251</t>
  </si>
  <si>
    <t>27-252</t>
  </si>
  <si>
    <t>27-253</t>
  </si>
  <si>
    <t>27-254</t>
  </si>
  <si>
    <t>27-255</t>
  </si>
  <si>
    <t>27-256</t>
  </si>
  <si>
    <t>27-257</t>
  </si>
  <si>
    <t>27-258</t>
  </si>
  <si>
    <t>27-259</t>
  </si>
  <si>
    <t>27-260</t>
  </si>
  <si>
    <t>27-261</t>
  </si>
  <si>
    <t>27-262</t>
  </si>
  <si>
    <t>27-263</t>
  </si>
  <si>
    <t>27-264</t>
  </si>
  <si>
    <t>27-265</t>
  </si>
  <si>
    <t>27-266</t>
  </si>
  <si>
    <t>27-267</t>
  </si>
  <si>
    <t>27-268</t>
  </si>
  <si>
    <t>27-269</t>
  </si>
  <si>
    <t>27-270</t>
  </si>
  <si>
    <t>27-271</t>
  </si>
  <si>
    <t>27-272</t>
  </si>
  <si>
    <t>27-273</t>
  </si>
  <si>
    <t>27-274</t>
  </si>
  <si>
    <t>27-275</t>
  </si>
  <si>
    <t>27-276</t>
  </si>
  <si>
    <t>27-277</t>
  </si>
  <si>
    <t>27-278</t>
  </si>
  <si>
    <t>27-279</t>
  </si>
  <si>
    <t>27-280</t>
  </si>
  <si>
    <t>27-281</t>
  </si>
  <si>
    <t>27-282</t>
  </si>
  <si>
    <t>27-283</t>
  </si>
  <si>
    <t>27-284</t>
  </si>
  <si>
    <t>27-285</t>
  </si>
  <si>
    <t>27-286</t>
  </si>
  <si>
    <t>27-287</t>
  </si>
  <si>
    <t>27-288</t>
  </si>
  <si>
    <t>27-289</t>
  </si>
  <si>
    <t>27-290</t>
  </si>
  <si>
    <t>27-291</t>
  </si>
  <si>
    <t>27-292</t>
  </si>
  <si>
    <t>27-293</t>
  </si>
  <si>
    <t>27-294</t>
  </si>
  <si>
    <t>27-295</t>
  </si>
  <si>
    <t>27-296</t>
  </si>
  <si>
    <t>27-297</t>
  </si>
  <si>
    <t>27-298</t>
  </si>
  <si>
    <t>27-299</t>
  </si>
  <si>
    <t>27-300</t>
  </si>
  <si>
    <t>27-301</t>
  </si>
  <si>
    <t>27-302</t>
  </si>
  <si>
    <t>27-303</t>
  </si>
  <si>
    <t>27-304</t>
  </si>
  <si>
    <t>27-305</t>
  </si>
  <si>
    <t>27-306</t>
  </si>
  <si>
    <t>27-307</t>
  </si>
  <si>
    <t>27-308</t>
  </si>
  <si>
    <t>27-309</t>
  </si>
  <si>
    <t>27-310</t>
  </si>
  <si>
    <t>27-311</t>
  </si>
  <si>
    <t>27-312</t>
  </si>
  <si>
    <t>27-313</t>
  </si>
  <si>
    <t>27-314</t>
  </si>
  <si>
    <t>27-315</t>
  </si>
  <si>
    <t>27-316</t>
  </si>
  <si>
    <t>27-317</t>
  </si>
  <si>
    <t>27-318</t>
  </si>
  <si>
    <t>27-319</t>
  </si>
  <si>
    <t>27-320</t>
  </si>
  <si>
    <t>27-321</t>
  </si>
  <si>
    <t>27-322</t>
  </si>
  <si>
    <t>27-323</t>
  </si>
  <si>
    <t>27-324</t>
  </si>
  <si>
    <t>27-325</t>
  </si>
  <si>
    <t>27-326</t>
  </si>
  <si>
    <t>27-327</t>
  </si>
  <si>
    <t>27-328</t>
  </si>
  <si>
    <t>27-329</t>
  </si>
  <si>
    <t>27-330</t>
  </si>
  <si>
    <t>27-331</t>
  </si>
  <si>
    <t>27-332</t>
  </si>
  <si>
    <t>27-333</t>
  </si>
  <si>
    <t>27-334</t>
  </si>
  <si>
    <t>27-335</t>
  </si>
  <si>
    <t>27-336</t>
  </si>
  <si>
    <t>27-337</t>
  </si>
  <si>
    <t>27-338</t>
  </si>
  <si>
    <t>27-339</t>
  </si>
  <si>
    <t>27-340</t>
  </si>
  <si>
    <t>27-341</t>
  </si>
  <si>
    <t>27-342</t>
  </si>
  <si>
    <t>27-343</t>
  </si>
  <si>
    <t>27-344</t>
  </si>
  <si>
    <t>27-345</t>
  </si>
  <si>
    <t>27-346</t>
  </si>
  <si>
    <t>27-347</t>
  </si>
  <si>
    <t>27-348</t>
  </si>
  <si>
    <t>27-349</t>
  </si>
  <si>
    <t>27-350</t>
  </si>
  <si>
    <t>27-351</t>
  </si>
  <si>
    <t>27-352</t>
  </si>
  <si>
    <t>27-353</t>
  </si>
  <si>
    <t>27-354</t>
  </si>
  <si>
    <t>27-355</t>
  </si>
  <si>
    <t>27-356</t>
  </si>
  <si>
    <t>27-357</t>
  </si>
  <si>
    <t>27-358</t>
  </si>
  <si>
    <t>27-359</t>
  </si>
  <si>
    <t>27-360</t>
  </si>
  <si>
    <t>27-361</t>
  </si>
  <si>
    <t>27-362</t>
  </si>
  <si>
    <t>27-363</t>
  </si>
  <si>
    <t>27-364</t>
  </si>
  <si>
    <t>27-365</t>
  </si>
  <si>
    <t>27-366</t>
  </si>
  <si>
    <t>27-367</t>
  </si>
  <si>
    <t>27-368</t>
  </si>
  <si>
    <t>27-369</t>
  </si>
  <si>
    <t>27-370</t>
  </si>
  <si>
    <t>27-371</t>
  </si>
  <si>
    <t>27-372</t>
  </si>
  <si>
    <t>27-373</t>
  </si>
  <si>
    <t>27-374</t>
  </si>
  <si>
    <t>27-375</t>
  </si>
  <si>
    <t>27-376</t>
  </si>
  <si>
    <t>27-377</t>
  </si>
  <si>
    <t>27-378</t>
  </si>
  <si>
    <t>27-379</t>
  </si>
  <si>
    <t>27-380</t>
  </si>
  <si>
    <t>27-381</t>
  </si>
  <si>
    <t>27-382</t>
  </si>
  <si>
    <t>27-383</t>
  </si>
  <si>
    <t>27-384</t>
  </si>
  <si>
    <t>27-385</t>
  </si>
  <si>
    <t>27-386</t>
  </si>
  <si>
    <t>27-387</t>
  </si>
  <si>
    <t>27-388</t>
  </si>
  <si>
    <t>27-389</t>
  </si>
  <si>
    <t>27-390</t>
  </si>
  <si>
    <t>27-391</t>
  </si>
  <si>
    <t>27-392</t>
  </si>
  <si>
    <t>27-393</t>
  </si>
  <si>
    <t>27-394</t>
  </si>
  <si>
    <t>27-395</t>
  </si>
  <si>
    <t>27-396</t>
  </si>
  <si>
    <t>27-397</t>
  </si>
  <si>
    <t>27-398</t>
  </si>
  <si>
    <t>27-399</t>
  </si>
  <si>
    <t>27-400</t>
  </si>
  <si>
    <t>27-401</t>
  </si>
  <si>
    <t>27-402</t>
  </si>
  <si>
    <t>27-403</t>
  </si>
  <si>
    <t>27-404</t>
  </si>
  <si>
    <t>27-405</t>
  </si>
  <si>
    <t>27-406</t>
  </si>
  <si>
    <t>27-407</t>
  </si>
  <si>
    <t>27-408</t>
  </si>
  <si>
    <t>27-409</t>
  </si>
  <si>
    <t>27-410</t>
  </si>
  <si>
    <t>27-411</t>
  </si>
  <si>
    <t>27-412</t>
  </si>
  <si>
    <t>27-413</t>
  </si>
  <si>
    <t>27-414</t>
  </si>
  <si>
    <t>27-415</t>
  </si>
  <si>
    <t>27-416</t>
  </si>
  <si>
    <t>27-417</t>
  </si>
  <si>
    <t>27-418</t>
  </si>
  <si>
    <t>27-419</t>
  </si>
  <si>
    <t>27-420</t>
  </si>
  <si>
    <t>27-421</t>
  </si>
  <si>
    <t>27-422</t>
  </si>
  <si>
    <t>27-423</t>
  </si>
  <si>
    <t>27-424</t>
  </si>
  <si>
    <t>27-425</t>
  </si>
  <si>
    <t>27-426</t>
  </si>
  <si>
    <t>27-427</t>
  </si>
  <si>
    <t>27-428</t>
  </si>
  <si>
    <t>27-429</t>
  </si>
  <si>
    <t>27-430</t>
  </si>
  <si>
    <t>27-431</t>
  </si>
  <si>
    <t>27-432</t>
  </si>
  <si>
    <t>27-433</t>
  </si>
  <si>
    <t>27-434</t>
  </si>
  <si>
    <t>27-435</t>
  </si>
  <si>
    <t>27-436</t>
  </si>
  <si>
    <t>27-437</t>
  </si>
  <si>
    <t>27-438</t>
  </si>
  <si>
    <t>27-439</t>
  </si>
  <si>
    <t>27-440</t>
  </si>
  <si>
    <t>27-441</t>
  </si>
  <si>
    <t>27-442</t>
  </si>
  <si>
    <t>27-443</t>
  </si>
  <si>
    <t>27-444</t>
  </si>
  <si>
    <t>27-445</t>
  </si>
  <si>
    <t>27-446</t>
  </si>
  <si>
    <t>27-447</t>
  </si>
  <si>
    <t>27-448</t>
  </si>
  <si>
    <t>27-449</t>
  </si>
  <si>
    <t>27-450</t>
  </si>
  <si>
    <t>27-451</t>
  </si>
  <si>
    <t>27-452</t>
  </si>
  <si>
    <t>27-453</t>
  </si>
  <si>
    <t>27-454</t>
  </si>
  <si>
    <t>27-455</t>
  </si>
  <si>
    <t>27-456</t>
  </si>
  <si>
    <t>27-457</t>
  </si>
  <si>
    <t>27-458</t>
  </si>
  <si>
    <t>27-459</t>
  </si>
  <si>
    <t>27-460</t>
  </si>
  <si>
    <t>27-461</t>
  </si>
  <si>
    <t>27-462</t>
  </si>
  <si>
    <t>27-463</t>
  </si>
  <si>
    <t>27-464</t>
  </si>
  <si>
    <t>27-465</t>
  </si>
  <si>
    <t>27-466</t>
  </si>
  <si>
    <t>27-467</t>
  </si>
  <si>
    <t>27-468</t>
  </si>
  <si>
    <t>27-469</t>
  </si>
  <si>
    <t>27-470</t>
  </si>
  <si>
    <t>27-471</t>
  </si>
  <si>
    <t>27-472</t>
  </si>
  <si>
    <t>27-473</t>
  </si>
  <si>
    <t>27-474</t>
  </si>
  <si>
    <t>27-475</t>
  </si>
  <si>
    <t>27-476</t>
  </si>
  <si>
    <t>27-477</t>
  </si>
  <si>
    <t>27-478</t>
  </si>
  <si>
    <t>27-479</t>
  </si>
  <si>
    <t>27-480</t>
  </si>
  <si>
    <t>27-481</t>
  </si>
  <si>
    <t>27-482</t>
  </si>
  <si>
    <t>27-483</t>
  </si>
  <si>
    <t>27-484</t>
  </si>
  <si>
    <t>27-485</t>
  </si>
  <si>
    <t>27-486</t>
  </si>
  <si>
    <t>27-487</t>
  </si>
  <si>
    <t>27-488</t>
  </si>
  <si>
    <t>27-489</t>
  </si>
  <si>
    <t>27-490</t>
  </si>
  <si>
    <t>27-491</t>
  </si>
  <si>
    <t>27-492</t>
  </si>
  <si>
    <t>27-493</t>
  </si>
  <si>
    <t>27-494</t>
  </si>
  <si>
    <t>27-495</t>
  </si>
  <si>
    <t>27-496</t>
  </si>
  <si>
    <t>27-497</t>
  </si>
  <si>
    <t>27-498</t>
  </si>
  <si>
    <t>27-499</t>
  </si>
  <si>
    <t>27-500</t>
  </si>
  <si>
    <t>27-501</t>
  </si>
  <si>
    <t>27-502</t>
  </si>
  <si>
    <t>27-503</t>
  </si>
  <si>
    <t>27-504</t>
  </si>
  <si>
    <t>27-505</t>
  </si>
  <si>
    <t>27-506</t>
  </si>
  <si>
    <t>27-507</t>
  </si>
  <si>
    <t>27-508</t>
  </si>
  <si>
    <t>27-509</t>
  </si>
  <si>
    <t>27-510</t>
  </si>
  <si>
    <t>27-511</t>
  </si>
  <si>
    <t>27-512</t>
  </si>
  <si>
    <t>27-513</t>
  </si>
  <si>
    <t>27-514</t>
  </si>
  <si>
    <t>27-515</t>
  </si>
  <si>
    <t>27-516</t>
  </si>
  <si>
    <t>27-517</t>
  </si>
  <si>
    <t>27-518</t>
  </si>
  <si>
    <t>27-519</t>
  </si>
  <si>
    <t>27-520</t>
  </si>
  <si>
    <t>27-521</t>
  </si>
  <si>
    <t>27-522</t>
  </si>
  <si>
    <t>27-523</t>
  </si>
  <si>
    <t>27-524</t>
  </si>
  <si>
    <t>27-525</t>
  </si>
  <si>
    <t>27-526</t>
  </si>
  <si>
    <t>27-527</t>
  </si>
  <si>
    <t>27-528</t>
  </si>
  <si>
    <t>27-529</t>
  </si>
  <si>
    <t>27-530</t>
  </si>
  <si>
    <t>27-531</t>
  </si>
  <si>
    <t>27-532</t>
  </si>
  <si>
    <t>27-533</t>
  </si>
  <si>
    <t>27-534</t>
  </si>
  <si>
    <t>27-535</t>
  </si>
  <si>
    <t>27-536</t>
  </si>
  <si>
    <t>27-537</t>
  </si>
  <si>
    <t>27-538</t>
  </si>
  <si>
    <t>27-539</t>
  </si>
  <si>
    <t>27-540</t>
  </si>
  <si>
    <t>27-541</t>
  </si>
  <si>
    <t>27-542</t>
  </si>
  <si>
    <t>27-543</t>
  </si>
  <si>
    <t>27-544</t>
  </si>
  <si>
    <t>27-545</t>
  </si>
  <si>
    <t>27-546</t>
  </si>
  <si>
    <t>27-547</t>
  </si>
  <si>
    <t>27-548</t>
  </si>
  <si>
    <t>27-549</t>
  </si>
  <si>
    <t>27-550</t>
  </si>
  <si>
    <t>27-551</t>
  </si>
  <si>
    <t>27-552</t>
  </si>
  <si>
    <t>27-553</t>
  </si>
  <si>
    <t>27-554</t>
  </si>
  <si>
    <t>27-555</t>
  </si>
  <si>
    <t>27-556</t>
  </si>
  <si>
    <t>27-557</t>
  </si>
  <si>
    <t>27-558</t>
  </si>
  <si>
    <t>27-559</t>
  </si>
  <si>
    <t>27-560</t>
  </si>
  <si>
    <t>27-561</t>
  </si>
  <si>
    <t>27-562</t>
  </si>
  <si>
    <t>27-563</t>
  </si>
  <si>
    <t>27-564</t>
  </si>
  <si>
    <t>27-565</t>
  </si>
  <si>
    <t>27-566</t>
  </si>
  <si>
    <t>27-567</t>
  </si>
  <si>
    <t>27-568</t>
  </si>
  <si>
    <t>27-569</t>
  </si>
  <si>
    <t>27-570</t>
  </si>
  <si>
    <t>27-571</t>
  </si>
  <si>
    <t>27-572</t>
  </si>
  <si>
    <t>27-573</t>
  </si>
  <si>
    <t>27-574</t>
  </si>
  <si>
    <t>27-575</t>
  </si>
  <si>
    <t>27-576</t>
  </si>
  <si>
    <t>27-577</t>
  </si>
  <si>
    <t>27-578</t>
  </si>
  <si>
    <t>27-579</t>
  </si>
  <si>
    <t>27-580</t>
  </si>
  <si>
    <t>27-581</t>
  </si>
  <si>
    <t>27-582</t>
  </si>
  <si>
    <t>27-583</t>
  </si>
  <si>
    <t>27-584</t>
  </si>
  <si>
    <t>27-585</t>
  </si>
  <si>
    <t>27-586</t>
  </si>
  <si>
    <t>27-587</t>
  </si>
  <si>
    <t>27-588</t>
  </si>
  <si>
    <t>27-589</t>
  </si>
  <si>
    <t>27-590</t>
  </si>
  <si>
    <t>27-591</t>
  </si>
  <si>
    <t>27-592</t>
  </si>
  <si>
    <t>27-593</t>
  </si>
  <si>
    <t>27-594</t>
  </si>
  <si>
    <t>27-595</t>
  </si>
  <si>
    <t>27-596</t>
  </si>
  <si>
    <t>27-597</t>
  </si>
  <si>
    <t>27-599</t>
  </si>
  <si>
    <t>27-600</t>
  </si>
  <si>
    <t>27-601</t>
  </si>
  <si>
    <t>27-602</t>
  </si>
  <si>
    <t>27-603</t>
  </si>
  <si>
    <t>27-604</t>
  </si>
  <si>
    <t>27-605</t>
  </si>
  <si>
    <t>27-606</t>
  </si>
  <si>
    <t>27-607</t>
  </si>
  <si>
    <t>27-608</t>
  </si>
  <si>
    <t>27-609</t>
  </si>
  <si>
    <t>27-610</t>
  </si>
  <si>
    <t>27-611</t>
  </si>
  <si>
    <t>27-612</t>
  </si>
  <si>
    <t>27-613</t>
  </si>
  <si>
    <t>27-614</t>
  </si>
  <si>
    <t>27-615</t>
  </si>
  <si>
    <t>27-616</t>
  </si>
  <si>
    <t>27-617</t>
  </si>
  <si>
    <t>27-618</t>
  </si>
  <si>
    <t>27-619</t>
  </si>
  <si>
    <t>27-620</t>
  </si>
  <si>
    <t>27-621</t>
  </si>
  <si>
    <t>27-622</t>
  </si>
  <si>
    <t>27-623</t>
  </si>
  <si>
    <t>27-624</t>
  </si>
  <si>
    <t>27-625</t>
  </si>
  <si>
    <t>27-626</t>
  </si>
  <si>
    <t>27-627</t>
  </si>
  <si>
    <t>27-628</t>
  </si>
  <si>
    <t>27-629</t>
  </si>
  <si>
    <t>27-630</t>
  </si>
  <si>
    <t>27-631</t>
  </si>
  <si>
    <t>27-632</t>
  </si>
  <si>
    <t>27-633</t>
  </si>
  <si>
    <t>27-634</t>
  </si>
  <si>
    <t>27-635</t>
  </si>
  <si>
    <t>27-636</t>
  </si>
  <si>
    <t>27-637</t>
  </si>
  <si>
    <t>27-638</t>
  </si>
  <si>
    <t>27-639</t>
  </si>
  <si>
    <t>27-640</t>
  </si>
  <si>
    <t>27-641</t>
  </si>
  <si>
    <t>27-642</t>
  </si>
  <si>
    <t>27-643</t>
  </si>
  <si>
    <t>27-644</t>
  </si>
  <si>
    <t>27-645</t>
  </si>
  <si>
    <t>27-646</t>
  </si>
  <si>
    <t>27-647</t>
  </si>
  <si>
    <t>27-648</t>
  </si>
  <si>
    <t>27-649</t>
  </si>
  <si>
    <t>27-650</t>
  </si>
  <si>
    <t>27-651</t>
  </si>
  <si>
    <t>27-652</t>
  </si>
  <si>
    <t>27-653</t>
  </si>
  <si>
    <t>27-654</t>
  </si>
  <si>
    <t>27-655</t>
  </si>
  <si>
    <t>27-656</t>
  </si>
  <si>
    <t>27-657</t>
  </si>
  <si>
    <t>27-658</t>
  </si>
  <si>
    <t>27-659</t>
  </si>
  <si>
    <t>27-660</t>
  </si>
  <si>
    <t>27-661</t>
  </si>
  <si>
    <t>27-662</t>
  </si>
  <si>
    <t>27-663</t>
  </si>
  <si>
    <t>27-664</t>
  </si>
  <si>
    <t>27-665</t>
  </si>
  <si>
    <t>27-666</t>
  </si>
  <si>
    <t>27-667</t>
  </si>
  <si>
    <t>27-668</t>
  </si>
  <si>
    <t>27-669</t>
  </si>
  <si>
    <t>27-670</t>
  </si>
  <si>
    <t>27-671</t>
  </si>
  <si>
    <t>27-672</t>
  </si>
  <si>
    <t>27-673</t>
  </si>
  <si>
    <t>27-674</t>
  </si>
  <si>
    <t>27-675</t>
  </si>
  <si>
    <t>27-676</t>
  </si>
  <si>
    <t>27-677</t>
  </si>
  <si>
    <t>27-678</t>
  </si>
  <si>
    <t>27-679</t>
  </si>
  <si>
    <t>27-680</t>
  </si>
  <si>
    <t>27-681</t>
  </si>
  <si>
    <t>27-682</t>
  </si>
  <si>
    <t>27-683</t>
  </si>
  <si>
    <t>27-684</t>
  </si>
  <si>
    <t>27-685</t>
  </si>
  <si>
    <t>27-686</t>
  </si>
  <si>
    <t>27-687</t>
  </si>
  <si>
    <t>27-688</t>
  </si>
  <si>
    <t>27-689</t>
  </si>
  <si>
    <t>27-690</t>
  </si>
  <si>
    <t>27-691</t>
  </si>
  <si>
    <t>27-692</t>
  </si>
  <si>
    <t>27-693</t>
  </si>
  <si>
    <t>27-694</t>
  </si>
  <si>
    <t>27-695</t>
  </si>
  <si>
    <t>27-696</t>
  </si>
  <si>
    <t>27-697</t>
  </si>
  <si>
    <t>27-698</t>
  </si>
  <si>
    <t>27-699</t>
  </si>
  <si>
    <t>27-700</t>
  </si>
  <si>
    <t>27-701</t>
  </si>
  <si>
    <t>27-702</t>
  </si>
  <si>
    <t>27-703</t>
  </si>
  <si>
    <t>27-704</t>
  </si>
  <si>
    <t>27-705</t>
  </si>
  <si>
    <t>27-706</t>
  </si>
  <si>
    <t>27-707</t>
  </si>
  <si>
    <t>27-708</t>
  </si>
  <si>
    <t>27-709</t>
  </si>
  <si>
    <t>27-711</t>
  </si>
  <si>
    <t>27-712</t>
  </si>
  <si>
    <t>27-713</t>
  </si>
  <si>
    <t>27-714</t>
  </si>
  <si>
    <t>27-715</t>
  </si>
  <si>
    <t>27-716</t>
  </si>
  <si>
    <t>27-717</t>
  </si>
  <si>
    <t>27-718</t>
  </si>
  <si>
    <t>27-719</t>
  </si>
  <si>
    <t>27-720</t>
  </si>
  <si>
    <t>27-721</t>
  </si>
  <si>
    <t>27-722</t>
  </si>
  <si>
    <t>27-723</t>
  </si>
  <si>
    <t>27-724</t>
  </si>
  <si>
    <t>27-725</t>
  </si>
  <si>
    <t>27-726</t>
  </si>
  <si>
    <t>27-727</t>
  </si>
  <si>
    <t>27-728</t>
  </si>
  <si>
    <t>27-729</t>
  </si>
  <si>
    <t>27-730</t>
  </si>
  <si>
    <t>27-731</t>
  </si>
  <si>
    <t>27-732</t>
  </si>
  <si>
    <t>27-733</t>
  </si>
  <si>
    <t>27-734</t>
  </si>
  <si>
    <t>27-735</t>
  </si>
  <si>
    <t>27-736</t>
  </si>
  <si>
    <t>27-737</t>
  </si>
  <si>
    <t>27-738</t>
  </si>
  <si>
    <t>27-739</t>
  </si>
  <si>
    <t>27-740</t>
  </si>
  <si>
    <t>27-741</t>
  </si>
  <si>
    <t>27-742</t>
  </si>
  <si>
    <t>27-743</t>
  </si>
  <si>
    <t>27-744</t>
  </si>
  <si>
    <t>27-745</t>
  </si>
  <si>
    <t>27-746</t>
  </si>
  <si>
    <t>27-747</t>
  </si>
  <si>
    <t>27-748</t>
  </si>
  <si>
    <t>27-749</t>
  </si>
  <si>
    <t>27-750</t>
  </si>
  <si>
    <t>27-751</t>
  </si>
  <si>
    <t>27-752</t>
  </si>
  <si>
    <t>27-753</t>
  </si>
  <si>
    <t>27-754</t>
  </si>
  <si>
    <t>27-755</t>
  </si>
  <si>
    <t>27-756</t>
  </si>
  <si>
    <t>27-757</t>
  </si>
  <si>
    <t>27-758</t>
  </si>
  <si>
    <t>27-759</t>
  </si>
  <si>
    <t>27-760</t>
  </si>
  <si>
    <t>27-761</t>
  </si>
  <si>
    <t>27-762</t>
  </si>
  <si>
    <t>27-763</t>
  </si>
  <si>
    <t>27-764</t>
  </si>
  <si>
    <t>27-765</t>
  </si>
  <si>
    <t>27-766</t>
  </si>
  <si>
    <t>27-767</t>
  </si>
  <si>
    <t>27-768</t>
  </si>
  <si>
    <t>27-769</t>
  </si>
  <si>
    <t>27-770</t>
  </si>
  <si>
    <t>27-771</t>
  </si>
  <si>
    <t>27-772</t>
  </si>
  <si>
    <t>27-773</t>
  </si>
  <si>
    <t>27-774</t>
  </si>
  <si>
    <t>27-775</t>
  </si>
  <si>
    <t>27-776</t>
  </si>
  <si>
    <t>27-777</t>
  </si>
  <si>
    <t>27-778</t>
  </si>
  <si>
    <t>27-779</t>
  </si>
  <si>
    <t>27-780</t>
  </si>
  <si>
    <t>27-781</t>
  </si>
  <si>
    <t>27-782</t>
  </si>
  <si>
    <t>27-783</t>
  </si>
  <si>
    <t>27-784</t>
  </si>
  <si>
    <t>27-785</t>
  </si>
  <si>
    <t>27-786</t>
  </si>
  <si>
    <t>27-787</t>
  </si>
  <si>
    <t>27-788</t>
  </si>
  <si>
    <t>27-789</t>
  </si>
  <si>
    <t>27-790</t>
  </si>
  <si>
    <t>27-791</t>
  </si>
  <si>
    <t>27-792</t>
  </si>
  <si>
    <t>27-793</t>
  </si>
  <si>
    <t>27-794</t>
  </si>
  <si>
    <t>27-795</t>
  </si>
  <si>
    <t>27-796</t>
  </si>
  <si>
    <t>27-797</t>
  </si>
  <si>
    <t>27-798</t>
  </si>
  <si>
    <t>27-799</t>
  </si>
  <si>
    <t>27-800</t>
  </si>
  <si>
    <t>27-801</t>
  </si>
  <si>
    <t>27-802</t>
  </si>
  <si>
    <t>27-803</t>
  </si>
  <si>
    <t>27-804</t>
  </si>
  <si>
    <t>27-805</t>
  </si>
  <si>
    <t>27-806</t>
  </si>
  <si>
    <t>27-807</t>
  </si>
  <si>
    <t>27-808</t>
  </si>
  <si>
    <t>27-809</t>
  </si>
  <si>
    <t>27-810</t>
  </si>
  <si>
    <t>27-811</t>
  </si>
  <si>
    <t>27-812</t>
  </si>
  <si>
    <t>27-813</t>
  </si>
  <si>
    <t>27-814</t>
  </si>
  <si>
    <t>27-815</t>
  </si>
  <si>
    <t>27-816</t>
  </si>
  <si>
    <t>27-817</t>
  </si>
  <si>
    <t>27-818</t>
  </si>
  <si>
    <t>27-819</t>
  </si>
  <si>
    <t>27-820</t>
  </si>
  <si>
    <t>27-821</t>
  </si>
  <si>
    <t>27-822</t>
  </si>
  <si>
    <t>27-823</t>
  </si>
  <si>
    <t>27-824</t>
  </si>
  <si>
    <t>27-825</t>
  </si>
  <si>
    <t>27-826</t>
  </si>
  <si>
    <t>27-827</t>
  </si>
  <si>
    <t>27-828</t>
  </si>
  <si>
    <t>27-829</t>
  </si>
  <si>
    <t>27-830</t>
  </si>
  <si>
    <t>27-831</t>
  </si>
  <si>
    <t>27-832</t>
  </si>
  <si>
    <t>27-833</t>
  </si>
  <si>
    <t>27-834</t>
  </si>
  <si>
    <t>27-835</t>
  </si>
  <si>
    <t>27-836</t>
  </si>
  <si>
    <t>27-837</t>
  </si>
  <si>
    <t>27-838</t>
  </si>
  <si>
    <t>27-839</t>
  </si>
  <si>
    <t>27-840</t>
  </si>
  <si>
    <t>27-841</t>
  </si>
  <si>
    <t>27-842</t>
  </si>
  <si>
    <t>27-843</t>
  </si>
  <si>
    <t>27-844</t>
  </si>
  <si>
    <t>27-845</t>
  </si>
  <si>
    <t>27-846</t>
  </si>
  <si>
    <t>27-847</t>
  </si>
  <si>
    <t>27-848</t>
  </si>
  <si>
    <t>27-849</t>
  </si>
  <si>
    <t>27-850</t>
  </si>
  <si>
    <t>27-851</t>
  </si>
  <si>
    <t>27-852</t>
  </si>
  <si>
    <t>27-853</t>
  </si>
  <si>
    <t>27-854</t>
  </si>
  <si>
    <t>27-855</t>
  </si>
  <si>
    <t>27-856</t>
  </si>
  <si>
    <t>27-857</t>
  </si>
  <si>
    <t>27-858</t>
  </si>
  <si>
    <t>27-859</t>
  </si>
  <si>
    <t>27-860</t>
  </si>
  <si>
    <t>27-861</t>
  </si>
  <si>
    <t>27-862</t>
  </si>
  <si>
    <t>27-863</t>
  </si>
  <si>
    <t>27-864</t>
  </si>
  <si>
    <t>27-865</t>
  </si>
  <si>
    <t>27-866</t>
  </si>
  <si>
    <t>27-867</t>
  </si>
  <si>
    <t>27-868</t>
  </si>
  <si>
    <t>27-869</t>
  </si>
  <si>
    <t>27-870</t>
  </si>
  <si>
    <t>27-871</t>
  </si>
  <si>
    <t>27-872</t>
  </si>
  <si>
    <t>27-873</t>
  </si>
  <si>
    <t>27-874</t>
  </si>
  <si>
    <t>27-875</t>
  </si>
  <si>
    <t>27-876</t>
  </si>
  <si>
    <t>27-877</t>
  </si>
  <si>
    <t>27-878</t>
  </si>
  <si>
    <t>27-879</t>
  </si>
  <si>
    <t>27-880</t>
  </si>
  <si>
    <t>27-881</t>
  </si>
  <si>
    <t>27-882</t>
  </si>
  <si>
    <t>27-883</t>
  </si>
  <si>
    <t>27-884</t>
  </si>
  <si>
    <t>27-885</t>
  </si>
  <si>
    <t>27-886</t>
  </si>
  <si>
    <t>27-887</t>
  </si>
  <si>
    <t>27-888</t>
  </si>
  <si>
    <t>27-889</t>
  </si>
  <si>
    <t>27-890</t>
  </si>
  <si>
    <t>27-891</t>
  </si>
  <si>
    <t>27-892</t>
  </si>
  <si>
    <t>27-893</t>
  </si>
  <si>
    <t>27-894</t>
  </si>
  <si>
    <t>27-895</t>
  </si>
  <si>
    <t>27-896</t>
  </si>
  <si>
    <t>27-897</t>
  </si>
  <si>
    <t>27-898</t>
  </si>
  <si>
    <t>27-899</t>
  </si>
  <si>
    <t>27-900</t>
  </si>
  <si>
    <t>27-901</t>
  </si>
  <si>
    <t>27-902</t>
  </si>
  <si>
    <t>27-903</t>
  </si>
  <si>
    <t>27-904</t>
  </si>
  <si>
    <t>27-905</t>
  </si>
  <si>
    <t>27-906</t>
  </si>
  <si>
    <t>27-907</t>
  </si>
  <si>
    <t>27-908</t>
  </si>
  <si>
    <t>27-909</t>
  </si>
  <si>
    <t>27-910</t>
  </si>
  <si>
    <t>27-911</t>
  </si>
  <si>
    <t>27-912</t>
  </si>
  <si>
    <t>27-914</t>
  </si>
  <si>
    <t>27-915</t>
  </si>
  <si>
    <t>27-916</t>
  </si>
  <si>
    <t>27-917</t>
  </si>
  <si>
    <t>27-918</t>
  </si>
  <si>
    <t>27-919</t>
  </si>
  <si>
    <t>27-920</t>
  </si>
  <si>
    <t>27-921</t>
  </si>
  <si>
    <t>27-922</t>
  </si>
  <si>
    <t>27-923</t>
  </si>
  <si>
    <t>27-924</t>
  </si>
  <si>
    <t>27-925</t>
  </si>
  <si>
    <t>27-926</t>
  </si>
  <si>
    <t>27-927</t>
  </si>
  <si>
    <t>27-928</t>
  </si>
  <si>
    <t>27-929</t>
  </si>
  <si>
    <t>27-930</t>
  </si>
  <si>
    <t>27-931</t>
  </si>
  <si>
    <t>27-932</t>
  </si>
  <si>
    <t>27-933</t>
  </si>
  <si>
    <t>27-934</t>
  </si>
  <si>
    <t>27-935</t>
  </si>
  <si>
    <t>27-936</t>
  </si>
  <si>
    <t>27-937</t>
  </si>
  <si>
    <t>27-938</t>
  </si>
  <si>
    <t>27-939</t>
  </si>
  <si>
    <t>27-940</t>
  </si>
  <si>
    <t>27-941</t>
  </si>
  <si>
    <t>27-942</t>
  </si>
  <si>
    <t>27-943</t>
  </si>
  <si>
    <t>27-944</t>
  </si>
  <si>
    <t>27-945</t>
  </si>
  <si>
    <t>27-946</t>
  </si>
  <si>
    <t>27-947</t>
  </si>
  <si>
    <t>27-948</t>
  </si>
  <si>
    <t>27-949</t>
  </si>
  <si>
    <t>27-950</t>
  </si>
  <si>
    <t>27-951</t>
  </si>
  <si>
    <t>27-952</t>
  </si>
  <si>
    <t>27-953</t>
  </si>
  <si>
    <t>27-954</t>
  </si>
  <si>
    <t>27-955</t>
  </si>
  <si>
    <t>27-956</t>
  </si>
  <si>
    <t>27-957</t>
  </si>
  <si>
    <t>27-958</t>
  </si>
  <si>
    <t>27-959</t>
  </si>
  <si>
    <t>27-960</t>
  </si>
  <si>
    <t>27-961</t>
  </si>
  <si>
    <t>27-962</t>
  </si>
  <si>
    <t>27-963</t>
  </si>
  <si>
    <t>27-964</t>
  </si>
  <si>
    <t>27-965</t>
  </si>
  <si>
    <t>27-966</t>
  </si>
  <si>
    <t>27-967</t>
  </si>
  <si>
    <t>27-968</t>
  </si>
  <si>
    <t>27-969</t>
  </si>
  <si>
    <t>27-970</t>
  </si>
  <si>
    <t>27-971</t>
  </si>
  <si>
    <t>27-972</t>
  </si>
  <si>
    <t>27-973</t>
  </si>
  <si>
    <t>27-974</t>
  </si>
  <si>
    <t>27-975</t>
  </si>
  <si>
    <t>27-976</t>
  </si>
  <si>
    <t>27-977</t>
  </si>
  <si>
    <t>27-978</t>
  </si>
  <si>
    <t>27-979</t>
  </si>
  <si>
    <t>27-980</t>
  </si>
  <si>
    <t>27-981</t>
  </si>
  <si>
    <t>27-982</t>
  </si>
  <si>
    <t>社会福祉法人 福知山学園</t>
    <rPh sb="0" eb="2">
      <t>シャカイ</t>
    </rPh>
    <rPh sb="2" eb="4">
      <t>フクシ</t>
    </rPh>
    <rPh sb="4" eb="6">
      <t>ホウジン</t>
    </rPh>
    <rPh sb="7" eb="10">
      <t>フクチヤマ</t>
    </rPh>
    <rPh sb="10" eb="12">
      <t>ガクエン</t>
    </rPh>
    <phoneticPr fontId="13"/>
  </si>
  <si>
    <t>10/2</t>
    <phoneticPr fontId="13"/>
  </si>
  <si>
    <t>保証書 取説 ﾅﾋﾞ取 ｷｰﾚｽ ﾘﾓｺﾝ SD ﾜﾝｵｰﾅｰ</t>
    <rPh sb="0" eb="3">
      <t>ホショウショ</t>
    </rPh>
    <rPh sb="4" eb="6">
      <t>トリセツ</t>
    </rPh>
    <rPh sb="10" eb="11">
      <t>トリ</t>
    </rPh>
    <phoneticPr fontId="13"/>
  </si>
  <si>
    <t>豊橋 581 す 1588</t>
    <rPh sb="0" eb="2">
      <t>トヨハシ</t>
    </rPh>
    <phoneticPr fontId="13"/>
  </si>
  <si>
    <t>WMWYU720203E33539</t>
    <phoneticPr fontId="13"/>
  </si>
  <si>
    <t>高知 331 そ 425</t>
    <rPh sb="0" eb="2">
      <t>コウチ</t>
    </rPh>
    <phoneticPr fontId="13"/>
  </si>
  <si>
    <t>22/7</t>
    <phoneticPr fontId="13"/>
  </si>
  <si>
    <t>山口 581 け 8335</t>
    <rPh sb="0" eb="2">
      <t>ヤマグチ</t>
    </rPh>
    <phoneticPr fontId="13"/>
  </si>
  <si>
    <t>北九州 594 ゆ 17</t>
    <rPh sb="0" eb="3">
      <t>キタキュウシュウ</t>
    </rPh>
    <phoneticPr fontId="13"/>
  </si>
  <si>
    <t>BMWﾐﾆ　ﾜﾝ ｳﾞｨｸﾄﾘｱ</t>
    <phoneticPr fontId="13"/>
  </si>
  <si>
    <t>ﾀﾞｰｸｸﾞﾘｰﾝ</t>
    <phoneticPr fontId="13"/>
  </si>
  <si>
    <t>WMWLV920202D67499</t>
    <phoneticPr fontId="13"/>
  </si>
  <si>
    <t>所沢 377 る 358</t>
    <rPh sb="0" eb="2">
      <t>トコロザワ</t>
    </rPh>
    <phoneticPr fontId="13"/>
  </si>
  <si>
    <t>N　BOX GLﾎﾝﾀﾞｾﾝｼﾝｸﾞ</t>
    <phoneticPr fontId="13"/>
  </si>
  <si>
    <t>和泉 581 よ 1243</t>
    <rPh sb="0" eb="2">
      <t>イズミ</t>
    </rPh>
    <phoneticPr fontId="13"/>
  </si>
  <si>
    <t>福岡 582 ぬ 4358</t>
    <rPh sb="0" eb="2">
      <t>フクオカ</t>
    </rPh>
    <phoneticPr fontId="13"/>
  </si>
  <si>
    <t>福岡 582 ぬ 4348</t>
    <rPh sb="0" eb="2">
      <t>フクオカ</t>
    </rPh>
    <phoneticPr fontId="13"/>
  </si>
  <si>
    <t>福岡 582 ぬ 4350</t>
    <rPh sb="0" eb="2">
      <t>フクオカ</t>
    </rPh>
    <phoneticPr fontId="13"/>
  </si>
  <si>
    <t>福岡 582 ぬ 4352</t>
    <rPh sb="0" eb="2">
      <t>フクオカ</t>
    </rPh>
    <phoneticPr fontId="13"/>
  </si>
  <si>
    <t>福岡 582 ぬ 4346</t>
    <rPh sb="0" eb="2">
      <t>フクオカ</t>
    </rPh>
    <phoneticPr fontId="13"/>
  </si>
  <si>
    <t>27-983</t>
  </si>
  <si>
    <t>27-984</t>
  </si>
  <si>
    <t>27-985</t>
  </si>
  <si>
    <t>27-986</t>
  </si>
  <si>
    <t>S500P-0186627</t>
    <phoneticPr fontId="13"/>
  </si>
  <si>
    <t>ﾊｲｾﾞｯﾄﾄﾗｯｸ</t>
    <phoneticPr fontId="13"/>
  </si>
  <si>
    <t>ｶﾛｰﾗﾌｨｰﾙﾀﾞｰﾊｲﾌﾞﾘｯﾄﾞG ﾀﾞﾌﾞﾙﾊﾞｲﾋﾞｰ</t>
    <phoneticPr fontId="13"/>
  </si>
  <si>
    <t>NKE165-8040321</t>
    <phoneticPr fontId="13"/>
  </si>
  <si>
    <t>YV1XZBBMFL2342864</t>
    <phoneticPr fontId="13"/>
  </si>
  <si>
    <t>ﾌﾟﾛﾎﾞｯｸｽ DXｺﾝﾌｫｰﾄ ｾｰﾌﾃｨｾﾝｽ</t>
    <phoneticPr fontId="13"/>
  </si>
  <si>
    <t>NCP160-0148319</t>
    <phoneticPr fontId="13"/>
  </si>
  <si>
    <t>MH34S-141816</t>
    <phoneticPr fontId="13"/>
  </si>
  <si>
    <t>HAA神戸(ﾜﾝｸﾘ)</t>
    <rPh sb="3" eb="5">
      <t>コウベ</t>
    </rPh>
    <phoneticPr fontId="13"/>
  </si>
  <si>
    <t>HAA神戸(ﾜﾝｸﾘ)</t>
    <phoneticPr fontId="13"/>
  </si>
  <si>
    <t>神戸 590 ち 116</t>
    <rPh sb="0" eb="2">
      <t>コウベ</t>
    </rPh>
    <phoneticPr fontId="13"/>
  </si>
  <si>
    <t>車検証原本ｾﾙｶへ返送10/3</t>
    <rPh sb="0" eb="3">
      <t>シャケンショウ</t>
    </rPh>
    <rPh sb="3" eb="5">
      <t>ゲンポン</t>
    </rPh>
    <rPh sb="9" eb="11">
      <t>ヘンソウ</t>
    </rPh>
    <phoneticPr fontId="13"/>
  </si>
  <si>
    <t>なにわ 39A ま 8765</t>
    <phoneticPr fontId="13"/>
  </si>
  <si>
    <t>双日ｵｰﾄｸﾞﾙｰﾌﾟ大阪株式会社</t>
    <rPh sb="0" eb="2">
      <t>ソウビ</t>
    </rPh>
    <rPh sb="11" eb="13">
      <t>オオサカ</t>
    </rPh>
    <rPh sb="13" eb="17">
      <t>カブシキガイシャ</t>
    </rPh>
    <phoneticPr fontId="13"/>
  </si>
  <si>
    <t>鳥取 583 み 900</t>
    <rPh sb="0" eb="2">
      <t>トットリ</t>
    </rPh>
    <phoneticPr fontId="13"/>
  </si>
  <si>
    <t>株式会社Booth tha Life</t>
    <rPh sb="0" eb="4">
      <t>カブシキガイシャ</t>
    </rPh>
    <phoneticPr fontId="13"/>
  </si>
  <si>
    <t>堺 583 え 1048</t>
    <rPh sb="0" eb="1">
      <t>サカイ</t>
    </rPh>
    <phoneticPr fontId="13"/>
  </si>
  <si>
    <t>有限会社矢唐</t>
    <rPh sb="0" eb="4">
      <t>ユウゲンガイシャ</t>
    </rPh>
    <rPh sb="4" eb="5">
      <t>ヤ</t>
    </rPh>
    <rPh sb="5" eb="6">
      <t>トウ</t>
    </rPh>
    <phoneticPr fontId="13"/>
  </si>
  <si>
    <t>保証書 取説 ｽﾍﾟｱｷｰ SD ﾅﾋﾞ取 ﾜﾝｵｰﾅｰ</t>
    <rPh sb="0" eb="3">
      <t>ホショウショ</t>
    </rPh>
    <rPh sb="4" eb="6">
      <t>トリセツ</t>
    </rPh>
    <rPh sb="20" eb="21">
      <t>トリ</t>
    </rPh>
    <phoneticPr fontId="13"/>
  </si>
  <si>
    <t>眞鍋 巧</t>
    <rPh sb="0" eb="2">
      <t>マナベ</t>
    </rPh>
    <rPh sb="3" eb="4">
      <t>タクミ</t>
    </rPh>
    <phoneticPr fontId="13"/>
  </si>
  <si>
    <t>品川 39A み 1922</t>
    <rPh sb="0" eb="2">
      <t>シナガワ</t>
    </rPh>
    <phoneticPr fontId="13"/>
  </si>
  <si>
    <t>畑澤 雄太</t>
    <rPh sb="0" eb="1">
      <t>ハタケ</t>
    </rPh>
    <rPh sb="1" eb="2">
      <t>サワ</t>
    </rPh>
    <rPh sb="3" eb="5">
      <t>ユウタ</t>
    </rPh>
    <phoneticPr fontId="13"/>
  </si>
  <si>
    <t>川畑 泰仁</t>
    <rPh sb="0" eb="2">
      <t>カワバタ</t>
    </rPh>
    <rPh sb="3" eb="4">
      <t>ヤスシ</t>
    </rPh>
    <rPh sb="4" eb="5">
      <t>ジン</t>
    </rPh>
    <phoneticPr fontId="13"/>
  </si>
  <si>
    <t>保証書 AI取説 ｷｰﾚｽ SD</t>
    <rPh sb="0" eb="3">
      <t>ホショウショ</t>
    </rPh>
    <rPh sb="6" eb="8">
      <t>トリセツ</t>
    </rPh>
    <phoneticPr fontId="13"/>
  </si>
  <si>
    <t>豊橋 332 す 1209</t>
    <rPh sb="0" eb="2">
      <t>トヨハシ</t>
    </rPh>
    <phoneticPr fontId="13"/>
  </si>
  <si>
    <t>保証書 取説 ｽﾍﾟｱｷｰ(車内)ﾜﾝｵｰﾅｰ</t>
    <rPh sb="0" eb="3">
      <t>ホショウショ</t>
    </rPh>
    <rPh sb="4" eb="6">
      <t>トリセツ</t>
    </rPh>
    <rPh sb="14" eb="16">
      <t>シャナイ</t>
    </rPh>
    <phoneticPr fontId="13"/>
  </si>
  <si>
    <t>尾張小牧 399 の 7551</t>
    <rPh sb="0" eb="4">
      <t>オワリコマキ</t>
    </rPh>
    <phoneticPr fontId="13"/>
  </si>
  <si>
    <t>練馬 336 ふ 309</t>
    <rPh sb="0" eb="2">
      <t>ネリマ</t>
    </rPh>
    <phoneticPr fontId="13"/>
  </si>
  <si>
    <t>株式会社ｴｽ・ｸﾙｰ</t>
    <rPh sb="0" eb="4">
      <t>カブシキガイシャ</t>
    </rPh>
    <phoneticPr fontId="13"/>
  </si>
  <si>
    <t>湘南 347 に 1108</t>
    <rPh sb="0" eb="2">
      <t>ショウナン</t>
    </rPh>
    <phoneticPr fontId="13"/>
  </si>
  <si>
    <t>菅原 博昭</t>
    <rPh sb="0" eb="2">
      <t>スガワラ</t>
    </rPh>
    <rPh sb="3" eb="5">
      <t>ヒロアキ</t>
    </rPh>
    <phoneticPr fontId="13"/>
  </si>
  <si>
    <t>鳥取 580 に 5312</t>
    <rPh sb="0" eb="2">
      <t>トットリ</t>
    </rPh>
    <phoneticPr fontId="13"/>
  </si>
  <si>
    <t>株式会社ﾎﾝﾀﾞｶｰｽﾞ鳥取</t>
    <rPh sb="0" eb="4">
      <t>カブシキガイシャ</t>
    </rPh>
    <rPh sb="12" eb="14">
      <t>トットリ</t>
    </rPh>
    <phoneticPr fontId="13"/>
  </si>
  <si>
    <t>神戸 583 ま 5108</t>
    <rPh sb="0" eb="2">
      <t>コウベ</t>
    </rPh>
    <phoneticPr fontId="13"/>
  </si>
  <si>
    <t>株式会社ｱｯﾌﾟﾙｺｰﾎﾟﾚｰｼｮﾝ</t>
    <rPh sb="0" eb="4">
      <t>カブシキガイシャ</t>
    </rPh>
    <phoneticPr fontId="13"/>
  </si>
  <si>
    <t>保証書 取説 ｽﾍﾟｱｷｰ ﾅﾋﾞ取 SD</t>
    <rPh sb="0" eb="3">
      <t>ホショウショ</t>
    </rPh>
    <rPh sb="4" eb="6">
      <t>トリセツ</t>
    </rPh>
    <rPh sb="17" eb="18">
      <t>トリ</t>
    </rPh>
    <phoneticPr fontId="13"/>
  </si>
  <si>
    <t>27-987</t>
  </si>
  <si>
    <t>27-988</t>
  </si>
  <si>
    <t>27-989</t>
  </si>
  <si>
    <t>ｴﾌﾞﾘｲﾜｺﾞﾝ PZﾀｰﾎﾞｽﾍﾟｼｬﾙ</t>
    <phoneticPr fontId="13"/>
  </si>
  <si>
    <t>DA17W-263233</t>
    <phoneticPr fontId="13"/>
  </si>
  <si>
    <t>和泉 596 ほ 24</t>
    <rPh sb="0" eb="2">
      <t>イズミ</t>
    </rPh>
    <phoneticPr fontId="13"/>
  </si>
  <si>
    <t>27-990</t>
  </si>
  <si>
    <t>27-991</t>
  </si>
  <si>
    <t>WMWXN920402H65539</t>
    <phoneticPr fontId="13"/>
  </si>
  <si>
    <t>8/3/27</t>
    <phoneticPr fontId="13"/>
  </si>
  <si>
    <t>山梨 335 り 87</t>
    <rPh sb="0" eb="2">
      <t>ヤマナシ</t>
    </rPh>
    <phoneticPr fontId="13"/>
  </si>
  <si>
    <t>WMWXU720102L29820</t>
    <phoneticPr fontId="13"/>
  </si>
  <si>
    <t>所沢 332 の 456</t>
    <rPh sb="0" eb="2">
      <t>トコロザワ</t>
    </rPh>
    <phoneticPr fontId="13"/>
  </si>
  <si>
    <t>ｸｲｯｸﾈｯﾄﾜｰｸ</t>
    <phoneticPr fontId="13"/>
  </si>
  <si>
    <t>27-992</t>
  </si>
  <si>
    <t>27-993</t>
  </si>
  <si>
    <t>27-994</t>
  </si>
  <si>
    <t>27-995</t>
  </si>
  <si>
    <t>27-996</t>
  </si>
  <si>
    <t>27-997</t>
  </si>
  <si>
    <t>27-998</t>
  </si>
  <si>
    <t>NAA大阪</t>
    <rPh sb="3" eb="5">
      <t>オオサカ</t>
    </rPh>
    <phoneticPr fontId="13"/>
  </si>
  <si>
    <t>27-999</t>
  </si>
  <si>
    <t>27-1000</t>
  </si>
  <si>
    <t>27-1001</t>
  </si>
  <si>
    <t>27-1002</t>
  </si>
  <si>
    <t>27-1003</t>
  </si>
  <si>
    <t>LA110S-0053108</t>
    <phoneticPr fontId="13"/>
  </si>
  <si>
    <t>HE22S-255383</t>
    <phoneticPr fontId="13"/>
  </si>
  <si>
    <t>B11S-0029004</t>
    <phoneticPr fontId="13"/>
  </si>
  <si>
    <t>MR31S-268025</t>
    <phoneticPr fontId="13"/>
  </si>
  <si>
    <t>MR41S-363905</t>
    <phoneticPr fontId="13"/>
  </si>
  <si>
    <t>LA800S-0267950</t>
    <phoneticPr fontId="13"/>
  </si>
  <si>
    <t>S510P-0062184</t>
    <phoneticPr fontId="13"/>
  </si>
  <si>
    <t>B44W-0406458</t>
    <phoneticPr fontId="13"/>
  </si>
  <si>
    <t>S700V-0106058</t>
    <phoneticPr fontId="13"/>
  </si>
  <si>
    <t>DR17V-880111</t>
    <phoneticPr fontId="13"/>
  </si>
  <si>
    <t>B45W-0401266</t>
    <phoneticPr fontId="13"/>
  </si>
  <si>
    <t>WMWXU920802M56835</t>
    <phoneticPr fontId="13"/>
  </si>
  <si>
    <t>tax言われたら伴さん連絡</t>
    <rPh sb="3" eb="4">
      <t>イ</t>
    </rPh>
    <rPh sb="8" eb="9">
      <t>バン</t>
    </rPh>
    <rPh sb="11" eb="13">
      <t>レンラク</t>
    </rPh>
    <phoneticPr fontId="13"/>
  </si>
  <si>
    <t>ｱﾙﾄﾗﾊﾟﾝ 10thｱﾆﾊﾞｰｻﾘｰﾘﾐﾃｯﾄﾞ</t>
    <phoneticPr fontId="13"/>
  </si>
  <si>
    <t>EKｽﾍﾟｰｽｶｽﾀﾑ G ｱｼｽﾄ</t>
    <phoneticPr fontId="13"/>
  </si>
  <si>
    <t>7/12/18</t>
    <phoneticPr fontId="13"/>
  </si>
  <si>
    <t>ﾊｽﾗｰ ﾀﾌﾜｲﾙﾄﾞ</t>
    <phoneticPr fontId="13"/>
  </si>
  <si>
    <t>ﾑｰﾌﾞｷｬﾝﾊﾞｽ XﾒｲｸｱｯﾌﾟﾘﾐﾃｯﾄﾞSA3</t>
    <phoneticPr fontId="13"/>
  </si>
  <si>
    <t>8/6/10</t>
    <phoneticPr fontId="13"/>
  </si>
  <si>
    <t>ﾊｲｾﾞｯﾄT ｼﾞｬﾝﾎﾞ</t>
    <phoneticPr fontId="13"/>
  </si>
  <si>
    <t>ﾃﾞｲｽﾞ  ﾊｲｳｪｲｽﾀｰX</t>
    <phoneticPr fontId="13"/>
  </si>
  <si>
    <t>滋賀 583 せ 9100</t>
    <rPh sb="0" eb="2">
      <t>シガ</t>
    </rPh>
    <phoneticPr fontId="13"/>
  </si>
  <si>
    <t>ｱﾄﾚｰ RS</t>
    <phoneticPr fontId="13"/>
  </si>
  <si>
    <t>NV100ｸﾘｯﾊﾟｰ GXﾀｰﾎﾞ</t>
    <phoneticPr fontId="13"/>
  </si>
  <si>
    <t>ﾃﾞｲｽﾞ ﾊｲｳｪｲｽﾀｰGﾀｰﾎﾞﾌﾟﾛﾊﾟｲﾛｯﾄ</t>
    <phoneticPr fontId="13"/>
  </si>
  <si>
    <t>三重 582 け 3223</t>
    <rPh sb="0" eb="2">
      <t>ミエ</t>
    </rPh>
    <phoneticPr fontId="13"/>
  </si>
  <si>
    <t>ﾊｲｾﾞｯﾄﾄﾗｯｸ 多目的ﾀﾞﾝﾌﾟ</t>
    <rPh sb="11" eb="14">
      <t>タモクテキ</t>
    </rPh>
    <phoneticPr fontId="13"/>
  </si>
  <si>
    <t>S510P-0592690</t>
    <phoneticPr fontId="13"/>
  </si>
  <si>
    <t>名古屋 480 め 8453</t>
    <rPh sb="0" eb="3">
      <t>ナゴヤ</t>
    </rPh>
    <phoneticPr fontId="13"/>
  </si>
  <si>
    <t>河原 利恵</t>
    <rPh sb="0" eb="2">
      <t>カワハラ</t>
    </rPh>
    <rPh sb="3" eb="5">
      <t>トシエ</t>
    </rPh>
    <phoneticPr fontId="13"/>
  </si>
  <si>
    <t>10/3</t>
    <phoneticPr fontId="13"/>
  </si>
  <si>
    <t>保証書 取説 地図SD</t>
    <rPh sb="0" eb="3">
      <t>ホショウショ</t>
    </rPh>
    <rPh sb="4" eb="6">
      <t>トリセツ</t>
    </rPh>
    <rPh sb="7" eb="9">
      <t>チズ</t>
    </rPh>
    <phoneticPr fontId="13"/>
  </si>
  <si>
    <t>滋賀 583 い 8754</t>
    <rPh sb="0" eb="2">
      <t>シガ</t>
    </rPh>
    <phoneticPr fontId="13"/>
  </si>
  <si>
    <t>株式会社ﾘﾊﾞﾃｨ</t>
    <rPh sb="0" eb="4">
      <t>カブシキガイシャ</t>
    </rPh>
    <phoneticPr fontId="13"/>
  </si>
  <si>
    <t>徳島 335 ね 70</t>
    <rPh sb="0" eb="2">
      <t>トクシマ</t>
    </rPh>
    <phoneticPr fontId="13"/>
  </si>
  <si>
    <t>保証書 取説 ←ｽﾄｯｸ</t>
    <rPh sb="0" eb="3">
      <t>ホショウショ</t>
    </rPh>
    <rPh sb="4" eb="6">
      <t>トリセツ</t>
    </rPh>
    <phoneticPr fontId="13"/>
  </si>
  <si>
    <t>株式会社ｵﾘｺｵｰﾄﾘｰｽ</t>
    <phoneticPr fontId="13"/>
  </si>
  <si>
    <t>株式会社橋本鋲螺</t>
    <rPh sb="0" eb="4">
      <t>カブシキガイシャ</t>
    </rPh>
    <rPh sb="4" eb="6">
      <t>ハシモト</t>
    </rPh>
    <rPh sb="6" eb="8">
      <t>ビョウラ</t>
    </rPh>
    <phoneticPr fontId="13"/>
  </si>
  <si>
    <t>岐阜 339 す 214</t>
    <rPh sb="0" eb="2">
      <t>ギフ</t>
    </rPh>
    <phoneticPr fontId="13"/>
  </si>
  <si>
    <t>名古屋 307 む 5593</t>
    <rPh sb="0" eb="3">
      <t>ナゴヤ</t>
    </rPh>
    <phoneticPr fontId="13"/>
  </si>
  <si>
    <t>桂川 洋行</t>
    <rPh sb="0" eb="2">
      <t>カツラガワ</t>
    </rPh>
    <rPh sb="3" eb="4">
      <t>ヨウ</t>
    </rPh>
    <rPh sb="4" eb="5">
      <t>ユ</t>
    </rPh>
    <phoneticPr fontId="13"/>
  </si>
  <si>
    <t>地図SD(保管BOX)記録紙1枚</t>
    <rPh sb="0" eb="2">
      <t>チズ</t>
    </rPh>
    <rPh sb="5" eb="7">
      <t>ホカン</t>
    </rPh>
    <rPh sb="11" eb="14">
      <t>キロクシ</t>
    </rPh>
    <rPh sb="15" eb="16">
      <t>マイ</t>
    </rPh>
    <phoneticPr fontId="13"/>
  </si>
  <si>
    <t>千葉 581 ふ 351</t>
    <rPh sb="0" eb="2">
      <t>チバ</t>
    </rPh>
    <phoneticPr fontId="13"/>
  </si>
  <si>
    <t>山下 忠之</t>
    <rPh sb="0" eb="2">
      <t>ヤマシタ</t>
    </rPh>
    <rPh sb="3" eb="5">
      <t>タダユキ</t>
    </rPh>
    <phoneticPr fontId="13"/>
  </si>
  <si>
    <t>川崎 583 く 1998</t>
    <rPh sb="0" eb="2">
      <t>カワサキ</t>
    </rPh>
    <phoneticPr fontId="13"/>
  </si>
  <si>
    <t>高嶺 昌弘</t>
    <rPh sb="0" eb="2">
      <t>タカミネ</t>
    </rPh>
    <rPh sb="3" eb="5">
      <t>アキヒロ</t>
    </rPh>
    <phoneticPr fontId="13"/>
  </si>
  <si>
    <t>山形 581 こ 978</t>
    <rPh sb="0" eb="2">
      <t>ヤマガタ</t>
    </rPh>
    <phoneticPr fontId="13"/>
  </si>
  <si>
    <t>長堀 諒大</t>
    <rPh sb="0" eb="2">
      <t>ナガホリ</t>
    </rPh>
    <rPh sb="3" eb="4">
      <t>リョウ</t>
    </rPh>
    <rPh sb="4" eb="5">
      <t>ダイ</t>
    </rPh>
    <phoneticPr fontId="13"/>
  </si>
  <si>
    <t>記録紙1枚 取説 ｽﾍﾟｱｷｰ</t>
    <rPh sb="0" eb="3">
      <t>キロクシ</t>
    </rPh>
    <rPh sb="4" eb="5">
      <t>マイ</t>
    </rPh>
    <rPh sb="6" eb="8">
      <t>トリセツ</t>
    </rPh>
    <phoneticPr fontId="13"/>
  </si>
  <si>
    <t>和泉 416 ぬ 8</t>
    <rPh sb="0" eb="2">
      <t>イズミ</t>
    </rPh>
    <phoneticPr fontId="13"/>
  </si>
  <si>
    <t>坂東 海</t>
    <rPh sb="0" eb="2">
      <t>バンドウ</t>
    </rPh>
    <rPh sb="3" eb="4">
      <t>ウミ</t>
    </rPh>
    <phoneticPr fontId="13"/>
  </si>
  <si>
    <t>充電ｹｰﾌﾞﾙ車内写メあり  保証書 取説 ｷｰﾚｽ ﾜﾝｵｰﾅｰ</t>
    <rPh sb="0" eb="2">
      <t>ジュウデン</t>
    </rPh>
    <rPh sb="7" eb="9">
      <t>シャナイ</t>
    </rPh>
    <rPh sb="9" eb="10">
      <t>シャ</t>
    </rPh>
    <rPh sb="15" eb="18">
      <t>ホショウショ</t>
    </rPh>
    <rPh sb="19" eb="21">
      <t>トリセツ</t>
    </rPh>
    <phoneticPr fontId="13"/>
  </si>
  <si>
    <t>名古屋 305 ゆ 7379</t>
    <rPh sb="0" eb="3">
      <t>ナゴヤ</t>
    </rPh>
    <phoneticPr fontId="13"/>
  </si>
  <si>
    <t>名古屋 599 ろ 9759</t>
    <rPh sb="0" eb="3">
      <t>ナゴヤ</t>
    </rPh>
    <phoneticPr fontId="13"/>
  </si>
  <si>
    <t>株式会社ｽｽﾞｷ名古屋</t>
    <rPh sb="0" eb="4">
      <t>カブシキガイシャ</t>
    </rPh>
    <rPh sb="8" eb="11">
      <t>ナゴヤ</t>
    </rPh>
    <phoneticPr fontId="13"/>
  </si>
  <si>
    <t>ﾅﾜｽﾞ ﾑﾊﾏﾄﾞ</t>
    <phoneticPr fontId="13"/>
  </si>
  <si>
    <t>保証書 取説 地図ﾃﾞｨｽｸ 名変期間10/24まで</t>
    <rPh sb="0" eb="3">
      <t>ホショウショ</t>
    </rPh>
    <rPh sb="4" eb="6">
      <t>トリセツ</t>
    </rPh>
    <rPh sb="7" eb="9">
      <t>チズ</t>
    </rPh>
    <rPh sb="15" eb="19">
      <t>メイヘンキカン</t>
    </rPh>
    <phoneticPr fontId="13"/>
  </si>
  <si>
    <t>保証書 取説 ﾜﾝｵｰﾅｰ ﾅﾋﾞ取</t>
    <rPh sb="0" eb="3">
      <t>ホショウショ</t>
    </rPh>
    <rPh sb="4" eb="6">
      <t>トリセツ</t>
    </rPh>
    <rPh sb="17" eb="18">
      <t>トリ</t>
    </rPh>
    <phoneticPr fontId="13"/>
  </si>
  <si>
    <t>有限会社AOKI TRADING COMPANY</t>
    <rPh sb="0" eb="4">
      <t>ユウゲンガイシャ</t>
    </rPh>
    <phoneticPr fontId="13"/>
  </si>
  <si>
    <t>愛知県中古自動車販売株式会社</t>
    <rPh sb="0" eb="3">
      <t>アイチケン</t>
    </rPh>
    <rPh sb="3" eb="5">
      <t>チュウコ</t>
    </rPh>
    <rPh sb="5" eb="8">
      <t>ジドウシャ</t>
    </rPh>
    <rPh sb="8" eb="10">
      <t>ハンバイ</t>
    </rPh>
    <rPh sb="10" eb="14">
      <t>カブシキガイシャ</t>
    </rPh>
    <phoneticPr fontId="13"/>
  </si>
  <si>
    <t>保証書 取説 ｷｰﾚｽ SD ﾘﾓｺﾝ</t>
    <rPh sb="0" eb="3">
      <t>ホショウショ</t>
    </rPh>
    <rPh sb="4" eb="6">
      <t>トリセツ</t>
    </rPh>
    <phoneticPr fontId="13"/>
  </si>
  <si>
    <t>品川 699 ろ 4847</t>
    <rPh sb="0" eb="2">
      <t>シナガワ</t>
    </rPh>
    <phoneticPr fontId="13"/>
  </si>
  <si>
    <t>日本ｶｰｿﾘｭｰｼﾞｮﾝ株式会社</t>
    <rPh sb="0" eb="2">
      <t>ニホン</t>
    </rPh>
    <rPh sb="12" eb="16">
      <t>カブシキガイシャ</t>
    </rPh>
    <phoneticPr fontId="13"/>
  </si>
  <si>
    <t>四日市 580 ろ 9514</t>
    <rPh sb="0" eb="3">
      <t>ヨッカイチ</t>
    </rPh>
    <phoneticPr fontId="13"/>
  </si>
  <si>
    <t>名古屋 58A ひ 4299</t>
    <phoneticPr fontId="13"/>
  </si>
  <si>
    <t>株式会社ﾀﾞｲﾊﾂ三重</t>
    <rPh sb="9" eb="11">
      <t>ミエ</t>
    </rPh>
    <phoneticPr fontId="13"/>
  </si>
  <si>
    <t>品川 5X1 ろ 1625</t>
    <rPh sb="0" eb="2">
      <t>シナガワ</t>
    </rPh>
    <phoneticPr fontId="13"/>
  </si>
  <si>
    <t>ENEOSﾄﾚｰﾃﾞｨﾝｸﾞ株式会社</t>
    <rPh sb="14" eb="18">
      <t>カブシキガイシャ</t>
    </rPh>
    <phoneticPr fontId="13"/>
  </si>
  <si>
    <t>保証書 取説 ﾅﾋﾞ取 ｽﾍﾟｱｷｰ2個 ﾜﾝｵｰﾅｰ</t>
    <rPh sb="0" eb="3">
      <t>ホショウショ</t>
    </rPh>
    <rPh sb="4" eb="6">
      <t>トリセツ</t>
    </rPh>
    <rPh sb="10" eb="11">
      <t>トリ</t>
    </rPh>
    <rPh sb="19" eb="20">
      <t>コ</t>
    </rPh>
    <phoneticPr fontId="13"/>
  </si>
  <si>
    <t>倉敷 583 う 3038</t>
    <rPh sb="0" eb="2">
      <t>クラシキ</t>
    </rPh>
    <phoneticPr fontId="13"/>
  </si>
  <si>
    <t>森内 勇</t>
    <rPh sb="0" eb="2">
      <t>モリウチ</t>
    </rPh>
    <rPh sb="3" eb="4">
      <t>イサム</t>
    </rPh>
    <phoneticPr fontId="13"/>
  </si>
  <si>
    <t>取説 ｽﾏｰﾄｷｰ車内2個あり</t>
    <rPh sb="0" eb="2">
      <t>トリセツ</t>
    </rPh>
    <rPh sb="9" eb="11">
      <t>シャナイ</t>
    </rPh>
    <rPh sb="12" eb="13">
      <t>コ</t>
    </rPh>
    <phoneticPr fontId="13"/>
  </si>
  <si>
    <t>島根 580 ほ 8378</t>
    <rPh sb="0" eb="2">
      <t>シマネ</t>
    </rPh>
    <phoneticPr fontId="13"/>
  </si>
  <si>
    <t>神戸 582 き 9798</t>
    <rPh sb="0" eb="2">
      <t>コウベ</t>
    </rPh>
    <phoneticPr fontId="13"/>
  </si>
  <si>
    <t>株式会社松尾ﾓｰﾀｰｽ</t>
    <rPh sb="0" eb="4">
      <t>カブシキガイシャ</t>
    </rPh>
    <rPh sb="4" eb="6">
      <t>マツオ</t>
    </rPh>
    <phoneticPr fontId="13"/>
  </si>
  <si>
    <t>ｽﾍﾟｱｷｰ写メなし 保証書 取説 ﾜﾝｵｰﾅｰ</t>
    <rPh sb="6" eb="7">
      <t>シャ</t>
    </rPh>
    <rPh sb="11" eb="14">
      <t>ホショウショ</t>
    </rPh>
    <rPh sb="15" eb="17">
      <t>トリセツ</t>
    </rPh>
    <phoneticPr fontId="13"/>
  </si>
  <si>
    <t>岡山 400 に 6638</t>
    <rPh sb="0" eb="2">
      <t>オカヤマ</t>
    </rPh>
    <phoneticPr fontId="13"/>
  </si>
  <si>
    <t>旭東ｽｽﾞｷ販売株式会社</t>
    <rPh sb="0" eb="1">
      <t>アサヒ</t>
    </rPh>
    <rPh sb="1" eb="2">
      <t>ヒガシ</t>
    </rPh>
    <rPh sb="6" eb="12">
      <t>ハンバイカブシキガイシャ</t>
    </rPh>
    <phoneticPr fontId="13"/>
  </si>
  <si>
    <t>岡山 581 ゆ 3502</t>
    <rPh sb="0" eb="2">
      <t>オカヤマ</t>
    </rPh>
    <phoneticPr fontId="13"/>
  </si>
  <si>
    <t>株式会社ｳｨｯｼｭ</t>
    <rPh sb="0" eb="4">
      <t>カブシキガイシャ</t>
    </rPh>
    <phoneticPr fontId="13"/>
  </si>
  <si>
    <t>保証書 取説 ﾅﾋﾞ取 SD ナンバー</t>
    <rPh sb="0" eb="3">
      <t>ホショウショ</t>
    </rPh>
    <rPh sb="4" eb="6">
      <t>トリセツ</t>
    </rPh>
    <rPh sb="10" eb="11">
      <t>トリ</t>
    </rPh>
    <phoneticPr fontId="13"/>
  </si>
  <si>
    <t>倉敷 580 よ 8490</t>
    <rPh sb="0" eb="2">
      <t>クラシキ</t>
    </rPh>
    <phoneticPr fontId="13"/>
  </si>
  <si>
    <t>𡈽江 達彦</t>
    <rPh sb="2" eb="3">
      <t>エ</t>
    </rPh>
    <rPh sb="4" eb="6">
      <t>タツヒコ</t>
    </rPh>
    <phoneticPr fontId="13"/>
  </si>
  <si>
    <t>広島 581 さ 7903</t>
    <rPh sb="0" eb="2">
      <t>ヒロシマ</t>
    </rPh>
    <phoneticPr fontId="13"/>
  </si>
  <si>
    <t>広島 585 ら 722</t>
    <rPh sb="0" eb="2">
      <t>ヒロシマ</t>
    </rPh>
    <phoneticPr fontId="13"/>
  </si>
  <si>
    <t>今崎 貴成</t>
    <rPh sb="0" eb="1">
      <t>イマ</t>
    </rPh>
    <rPh sb="1" eb="2">
      <t>サキ</t>
    </rPh>
    <rPh sb="3" eb="4">
      <t>タカ</t>
    </rPh>
    <rPh sb="4" eb="5">
      <t>ナリ</t>
    </rPh>
    <phoneticPr fontId="13"/>
  </si>
  <si>
    <t>なにわ 5P4 ろ 9175</t>
    <phoneticPr fontId="13"/>
  </si>
  <si>
    <t>ｽﾏｰﾄｷｰ車内あり</t>
    <rPh sb="6" eb="8">
      <t>シャナイ</t>
    </rPh>
    <phoneticPr fontId="13"/>
  </si>
  <si>
    <t>ｽｽﾞｷ大阪販売株式会社</t>
    <rPh sb="4" eb="6">
      <t>オオサカ</t>
    </rPh>
    <rPh sb="6" eb="12">
      <t>ハンバイカブシキガイシャ</t>
    </rPh>
    <phoneticPr fontId="13"/>
  </si>
  <si>
    <t>地図SD (車内)保証書 取説 ｽﾍﾟｱｷｰ</t>
    <rPh sb="0" eb="2">
      <t>チズ</t>
    </rPh>
    <rPh sb="9" eb="12">
      <t>ホショウショ</t>
    </rPh>
    <rPh sb="13" eb="15">
      <t>トリセツ</t>
    </rPh>
    <phoneticPr fontId="13"/>
  </si>
  <si>
    <t>なにわ 581 せ 133</t>
    <phoneticPr fontId="13"/>
  </si>
  <si>
    <t xml:space="preserve">ナンバー ﾏｲｸﾛSD </t>
    <phoneticPr fontId="13"/>
  </si>
  <si>
    <t>なにわ 690 ろ 7602</t>
    <phoneticPr fontId="13"/>
  </si>
  <si>
    <t>名古屋 480 そ 1108</t>
    <rPh sb="0" eb="3">
      <t>ナゴヤ</t>
    </rPh>
    <phoneticPr fontId="13"/>
  </si>
  <si>
    <t>宮地 幸子</t>
    <rPh sb="0" eb="2">
      <t>ミヤジ</t>
    </rPh>
    <rPh sb="3" eb="5">
      <t>サチコ</t>
    </rPh>
    <phoneticPr fontId="13"/>
  </si>
  <si>
    <t>長野ﾄﾖﾀ自動車株式会社ChuーCar商品ｾﾝﾀｰ</t>
    <rPh sb="0" eb="2">
      <t>ナガノ</t>
    </rPh>
    <rPh sb="5" eb="12">
      <t>ジドウシャカブシキガイシャ</t>
    </rPh>
    <rPh sb="19" eb="21">
      <t>ショウヒン</t>
    </rPh>
    <phoneticPr fontId="13"/>
  </si>
  <si>
    <t>山口 587 ぬ 127</t>
    <rPh sb="0" eb="2">
      <t>ヤマグチ</t>
    </rPh>
    <phoneticPr fontId="13"/>
  </si>
  <si>
    <t>滋賀 582 ろ 8788</t>
    <rPh sb="0" eb="2">
      <t>シガ</t>
    </rPh>
    <phoneticPr fontId="13"/>
  </si>
  <si>
    <t>株式会社ﾀWECARS</t>
    <phoneticPr fontId="13"/>
  </si>
  <si>
    <t>株式会社ｶｰﾁｽ</t>
    <rPh sb="0" eb="4">
      <t>カブシキガイシャ</t>
    </rPh>
    <phoneticPr fontId="13"/>
  </si>
  <si>
    <t>株式会社JCM大阪支店</t>
    <rPh sb="0" eb="4">
      <t>カブシキガイシャ</t>
    </rPh>
    <rPh sb="7" eb="9">
      <t>オオサカ</t>
    </rPh>
    <rPh sb="9" eb="11">
      <t>シテン</t>
    </rPh>
    <phoneticPr fontId="13"/>
  </si>
  <si>
    <t>保証書 取説 ｽﾍﾟｱｷｰ ﾜﾝｵｰﾅｰ？ ナンバー</t>
    <rPh sb="0" eb="3">
      <t>ホショウショ</t>
    </rPh>
    <rPh sb="4" eb="6">
      <t>トリセツ</t>
    </rPh>
    <phoneticPr fontId="13"/>
  </si>
  <si>
    <t>神戸 58A か 4390</t>
    <rPh sb="0" eb="2">
      <t>コウベ</t>
    </rPh>
    <phoneticPr fontId="13"/>
  </si>
  <si>
    <t>中条 誠治</t>
    <rPh sb="0" eb="2">
      <t>ナカジョウ</t>
    </rPh>
    <rPh sb="3" eb="4">
      <t>マコト</t>
    </rPh>
    <rPh sb="4" eb="5">
      <t>ジ</t>
    </rPh>
    <phoneticPr fontId="13"/>
  </si>
  <si>
    <t>保証書 取説 ｽﾍﾟｱｷｰ ナンバー</t>
    <rPh sb="0" eb="3">
      <t>ホショウショ</t>
    </rPh>
    <rPh sb="4" eb="6">
      <t>トリセツ</t>
    </rPh>
    <phoneticPr fontId="13"/>
  </si>
  <si>
    <t>群馬 583 つ 3756</t>
    <rPh sb="0" eb="2">
      <t>グンマ</t>
    </rPh>
    <phoneticPr fontId="13"/>
  </si>
  <si>
    <t>保証書 取説 SD ﾅﾋﾞ取</t>
    <rPh sb="0" eb="3">
      <t>ホショウショ</t>
    </rPh>
    <rPh sb="4" eb="6">
      <t>トリセツ</t>
    </rPh>
    <rPh sb="13" eb="14">
      <t>トリ</t>
    </rPh>
    <phoneticPr fontId="13"/>
  </si>
  <si>
    <t>春日井 480 ろ 6084</t>
    <rPh sb="0" eb="3">
      <t>カスガイ</t>
    </rPh>
    <phoneticPr fontId="13"/>
  </si>
  <si>
    <t>株式会社旭ﾓｰﾀｰｽ</t>
    <rPh sb="0" eb="4">
      <t>カブシキガイシャ</t>
    </rPh>
    <rPh sb="4" eb="5">
      <t>アサヒ</t>
    </rPh>
    <phoneticPr fontId="13"/>
  </si>
  <si>
    <t>柏 586 を 33</t>
    <rPh sb="0" eb="1">
      <t>カシワ</t>
    </rPh>
    <phoneticPr fontId="13"/>
  </si>
  <si>
    <t>小川 哲也</t>
    <rPh sb="0" eb="2">
      <t>オガワ</t>
    </rPh>
    <rPh sb="3" eb="5">
      <t>テツヤ</t>
    </rPh>
    <phoneticPr fontId="13"/>
  </si>
  <si>
    <t>横浜 587 と 925</t>
    <rPh sb="0" eb="2">
      <t>ヨコハマ</t>
    </rPh>
    <phoneticPr fontId="13"/>
  </si>
  <si>
    <t>杉山 強</t>
    <rPh sb="0" eb="2">
      <t>スギヤマ</t>
    </rPh>
    <rPh sb="3" eb="4">
      <t>ツヨ</t>
    </rPh>
    <phoneticPr fontId="13"/>
  </si>
  <si>
    <t>相模 580 ほ 5214</t>
    <rPh sb="0" eb="1">
      <t>アイ</t>
    </rPh>
    <rPh sb="1" eb="2">
      <t>モ</t>
    </rPh>
    <phoneticPr fontId="13"/>
  </si>
  <si>
    <t>株式会社ﾄｰﾀｽ</t>
    <rPh sb="0" eb="4">
      <t>カブシキガイシャ</t>
    </rPh>
    <phoneticPr fontId="13"/>
  </si>
  <si>
    <t>岡山 581 な 5092</t>
    <rPh sb="0" eb="2">
      <t>オカヤマ</t>
    </rPh>
    <phoneticPr fontId="13"/>
  </si>
  <si>
    <t>広島 581 ぬ 9713</t>
    <rPh sb="0" eb="2">
      <t>ヒロシマ</t>
    </rPh>
    <phoneticPr fontId="13"/>
  </si>
  <si>
    <t>壇上 恵美子</t>
    <rPh sb="0" eb="1">
      <t>ダン</t>
    </rPh>
    <rPh sb="1" eb="2">
      <t>ジョウ</t>
    </rPh>
    <rPh sb="3" eb="6">
      <t>エミコ</t>
    </rPh>
    <phoneticPr fontId="13"/>
  </si>
  <si>
    <t>岡山 584 ろ 2075</t>
    <rPh sb="0" eb="2">
      <t>オカヤマ</t>
    </rPh>
    <phoneticPr fontId="13"/>
  </si>
  <si>
    <t>株式会社ｼﾃｨﾗｲﾄ</t>
    <phoneticPr fontId="13"/>
  </si>
  <si>
    <t>愛媛 580 な 4746</t>
    <rPh sb="0" eb="2">
      <t>エヒメ</t>
    </rPh>
    <phoneticPr fontId="13"/>
  </si>
  <si>
    <t>若松 由美子</t>
    <rPh sb="0" eb="2">
      <t>ワカマツ</t>
    </rPh>
    <rPh sb="3" eb="6">
      <t>ユミコ</t>
    </rPh>
    <phoneticPr fontId="13"/>
  </si>
  <si>
    <t>名古屋 487 ろ 490</t>
    <phoneticPr fontId="13"/>
  </si>
  <si>
    <t>取説 ｽﾍﾟｱｷｰ (車内)保証書</t>
    <rPh sb="0" eb="2">
      <t>トリセツ</t>
    </rPh>
    <rPh sb="14" eb="17">
      <t>ホショウショ</t>
    </rPh>
    <phoneticPr fontId="13"/>
  </si>
  <si>
    <t>姫路 582 あ 9408</t>
    <rPh sb="0" eb="2">
      <t>ヒメジ</t>
    </rPh>
    <phoneticPr fontId="13"/>
  </si>
  <si>
    <t>保証書 取説 ｷｰﾚｽ ナンバー</t>
    <rPh sb="0" eb="3">
      <t>ホショウショ</t>
    </rPh>
    <rPh sb="4" eb="6">
      <t>トリセツ</t>
    </rPh>
    <phoneticPr fontId="13"/>
  </si>
  <si>
    <t>有限会社松野鉄金工作所</t>
    <rPh sb="0" eb="4">
      <t>ユウゲンガイシャ</t>
    </rPh>
    <rPh sb="4" eb="6">
      <t>マツノ</t>
    </rPh>
    <rPh sb="6" eb="7">
      <t>テツ</t>
    </rPh>
    <rPh sb="7" eb="8">
      <t>カネ</t>
    </rPh>
    <rPh sb="8" eb="10">
      <t>コウサク</t>
    </rPh>
    <rPh sb="10" eb="11">
      <t>ショ</t>
    </rPh>
    <phoneticPr fontId="13"/>
  </si>
  <si>
    <t>岡山ﾀﾞｲﾊﾂ販売株式会社</t>
    <rPh sb="0" eb="2">
      <t>オカヤマ</t>
    </rPh>
    <rPh sb="8" eb="12">
      <t>カブシキガイシャ</t>
    </rPh>
    <phoneticPr fontId="13"/>
  </si>
  <si>
    <t>保証書 取説 ﾄﾞﾗﾚｺﾏｲｸﾛSD</t>
    <rPh sb="0" eb="3">
      <t>ホショウショ</t>
    </rPh>
    <rPh sb="4" eb="6">
      <t>トリセツ</t>
    </rPh>
    <phoneticPr fontId="13"/>
  </si>
  <si>
    <t>佐賀 300 や 292</t>
    <rPh sb="0" eb="2">
      <t>サガ</t>
    </rPh>
    <phoneticPr fontId="13"/>
  </si>
  <si>
    <t>広島 330 つ 2044</t>
    <rPh sb="0" eb="2">
      <t>ヒロシマ</t>
    </rPh>
    <phoneticPr fontId="13"/>
  </si>
  <si>
    <t>保証書 取説 ｷｰﾚｽ ﾏｲｸﾛSD</t>
    <rPh sb="0" eb="3">
      <t>ホショウショ</t>
    </rPh>
    <rPh sb="4" eb="6">
      <t>トリセツ</t>
    </rPh>
    <phoneticPr fontId="13"/>
  </si>
  <si>
    <t>株式会社ﾎﾝﾀﾞｶｰｽﾞ東海</t>
    <rPh sb="0" eb="4">
      <t>カブシキガイシャ</t>
    </rPh>
    <rPh sb="12" eb="14">
      <t>トウカイ</t>
    </rPh>
    <phoneticPr fontId="13"/>
  </si>
  <si>
    <t>和泉 329 な 5511</t>
    <rPh sb="0" eb="2">
      <t>イズミ</t>
    </rPh>
    <phoneticPr fontId="13"/>
  </si>
  <si>
    <t>株式会社Road Spirit</t>
    <rPh sb="0" eb="4">
      <t>カブシキガイシャ</t>
    </rPh>
    <phoneticPr fontId="13"/>
  </si>
  <si>
    <t>京都 302 に 2796</t>
    <rPh sb="0" eb="2">
      <t>キョウト</t>
    </rPh>
    <phoneticPr fontId="13"/>
  </si>
  <si>
    <t>富山 342 に 32</t>
    <rPh sb="0" eb="2">
      <t>トヤマ</t>
    </rPh>
    <phoneticPr fontId="13"/>
  </si>
  <si>
    <t>ﾜﾀﾔ自動車株式会社</t>
    <rPh sb="3" eb="6">
      <t>ジドウシャ</t>
    </rPh>
    <rPh sb="6" eb="10">
      <t>カブシキガイシャ</t>
    </rPh>
    <phoneticPr fontId="13"/>
  </si>
  <si>
    <t>取説 ｷｰﾚｽ(車内)保証書 ﾜﾝｵｰﾅｰかも</t>
    <rPh sb="0" eb="2">
      <t>トリセツ</t>
    </rPh>
    <rPh sb="8" eb="10">
      <t>シャナイ</t>
    </rPh>
    <rPh sb="11" eb="14">
      <t>ホショウショ</t>
    </rPh>
    <phoneticPr fontId="13"/>
  </si>
  <si>
    <t>ｷｬﾝｾﾙ 書類返送10/4</t>
    <rPh sb="6" eb="8">
      <t>ショルイ</t>
    </rPh>
    <rPh sb="8" eb="10">
      <t>ヘンソウ</t>
    </rPh>
    <phoneticPr fontId="13"/>
  </si>
  <si>
    <t>582 い 829</t>
    <phoneticPr fontId="13"/>
  </si>
  <si>
    <t>582 い 828</t>
    <phoneticPr fontId="13"/>
  </si>
  <si>
    <t>27-1004</t>
  </si>
  <si>
    <t>27-1005</t>
  </si>
  <si>
    <t>27-1006</t>
  </si>
  <si>
    <t>27-1007</t>
  </si>
  <si>
    <t>27-1008</t>
  </si>
  <si>
    <t>27-1009</t>
  </si>
  <si>
    <t>27-1010</t>
  </si>
  <si>
    <t>27-1011</t>
  </si>
  <si>
    <t>27-1012</t>
  </si>
  <si>
    <t>27-1013</t>
  </si>
  <si>
    <t>27-1014</t>
  </si>
  <si>
    <t>27-1015</t>
  </si>
  <si>
    <t>MK53S-504549</t>
    <phoneticPr fontId="13"/>
  </si>
  <si>
    <t>ｽﾍﾟｰｼｱｷﾞｱ ﾊｲﾌﾞﾘｯﾄﾞXZ</t>
    <phoneticPr fontId="13"/>
  </si>
  <si>
    <t>LA150S-1048056</t>
    <phoneticPr fontId="13"/>
  </si>
  <si>
    <t>MH55S-115290</t>
    <phoneticPr fontId="13"/>
  </si>
  <si>
    <t>MJ34S-368738</t>
    <phoneticPr fontId="13"/>
  </si>
  <si>
    <t>ﾌﾚｱ XG</t>
    <phoneticPr fontId="13"/>
  </si>
  <si>
    <t>GP5-3085404</t>
    <phoneticPr fontId="13"/>
  </si>
  <si>
    <t>MK54S-128941</t>
    <phoneticPr fontId="13"/>
  </si>
  <si>
    <t xml:space="preserve">N-BOX　G　Lﾊﾟｯｹｰｼﾞ </t>
    <phoneticPr fontId="13"/>
  </si>
  <si>
    <t>JF1-1843146</t>
    <phoneticPr fontId="13"/>
  </si>
  <si>
    <t>ﾜｺﾞﾝR ｶｽﾀﾑ Z ﾊｲﾌﾞﾘｯﾄﾞ</t>
    <phoneticPr fontId="13"/>
  </si>
  <si>
    <t>MH55S-930821</t>
    <phoneticPr fontId="13"/>
  </si>
  <si>
    <t>GP5-4008608</t>
    <phoneticPr fontId="13"/>
  </si>
  <si>
    <t>ﾊﾟﾚｯﾄ SWTS</t>
    <phoneticPr fontId="13"/>
  </si>
  <si>
    <t>MK21S-956896</t>
    <phoneticPr fontId="13"/>
  </si>
  <si>
    <t>MR31S-251501</t>
    <phoneticPr fontId="13"/>
  </si>
  <si>
    <t>27-1016</t>
  </si>
  <si>
    <t>27-1017</t>
  </si>
  <si>
    <t>27-1018</t>
  </si>
  <si>
    <t>27-1019</t>
  </si>
  <si>
    <t>27-1020</t>
  </si>
  <si>
    <t>27-1021</t>
  </si>
  <si>
    <t>27-1022</t>
  </si>
  <si>
    <t>27-1023</t>
  </si>
  <si>
    <t>27-1024</t>
  </si>
  <si>
    <t>27-1025</t>
  </si>
  <si>
    <t>27-1026</t>
  </si>
  <si>
    <t>27-1027</t>
  </si>
  <si>
    <t>27-1028</t>
  </si>
  <si>
    <t>27-1029</t>
  </si>
  <si>
    <t>27-1030</t>
  </si>
  <si>
    <t>27-1031</t>
  </si>
  <si>
    <t>ﾒﾙｾﾃﾞｽﾍﾞﾝﾂ Cｽﾃｰｼｮﾝ C200</t>
    <phoneticPr fontId="13"/>
  </si>
  <si>
    <t>JF3-2312582</t>
    <phoneticPr fontId="13"/>
  </si>
  <si>
    <t>ﾀﾌﾄ Gﾀｰﾎﾞ</t>
    <phoneticPr fontId="13"/>
  </si>
  <si>
    <t>LA900S-0086145</t>
    <phoneticPr fontId="13"/>
  </si>
  <si>
    <t>S700V-0096171</t>
    <phoneticPr fontId="13"/>
  </si>
  <si>
    <t>N-BOXｶｽﾀﾑ ﾀｰﾎﾞ</t>
    <phoneticPr fontId="13"/>
  </si>
  <si>
    <t>JF5-2015253</t>
    <phoneticPr fontId="13"/>
  </si>
  <si>
    <t>MR41S-365715</t>
    <phoneticPr fontId="13"/>
  </si>
  <si>
    <t>N-BOXｶｽﾀﾑ L ｽﾛｰﾌﾟ</t>
    <phoneticPr fontId="13"/>
  </si>
  <si>
    <t>JF3-8404443</t>
    <phoneticPr fontId="13"/>
  </si>
  <si>
    <t>DA64V-916833</t>
    <phoneticPr fontId="13"/>
  </si>
  <si>
    <t>ﾜｺﾞﾝR HV</t>
    <phoneticPr fontId="13"/>
  </si>
  <si>
    <t>MH55S-100258</t>
    <phoneticPr fontId="13"/>
  </si>
  <si>
    <t>ｱﾙﾄﾗﾊﾟﾝ XL</t>
    <phoneticPr fontId="13"/>
  </si>
  <si>
    <t>HE22S-438591</t>
    <phoneticPr fontId="13"/>
  </si>
  <si>
    <t>MR52S-150470</t>
    <phoneticPr fontId="13"/>
  </si>
  <si>
    <t>LA600S-0577220</t>
    <phoneticPr fontId="13"/>
  </si>
  <si>
    <t>27-1032</t>
  </si>
  <si>
    <t>27-1033</t>
  </si>
  <si>
    <t>27-1034</t>
  </si>
  <si>
    <t>27-1035</t>
  </si>
  <si>
    <t>27-1036</t>
  </si>
  <si>
    <t>27-1037</t>
  </si>
  <si>
    <t>27-1038</t>
  </si>
  <si>
    <t>MH34S-509127</t>
    <phoneticPr fontId="13"/>
  </si>
  <si>
    <t>JG1-1209531</t>
    <phoneticPr fontId="13"/>
  </si>
  <si>
    <t>ﾐﾗｲｰｽ XﾘﾐﾃｯﾄﾞSA3</t>
    <phoneticPr fontId="13"/>
  </si>
  <si>
    <t>LA350S-0160178</t>
    <phoneticPr fontId="13"/>
  </si>
  <si>
    <t>MH23S-914369</t>
    <phoneticPr fontId="13"/>
  </si>
  <si>
    <t>MH55S-263440</t>
    <phoneticPr fontId="13"/>
  </si>
  <si>
    <t>MH34S-702684</t>
    <phoneticPr fontId="13"/>
  </si>
  <si>
    <t xml:space="preserve">ﾑｰﾌﾞｶｽﾀﾑ RS </t>
    <phoneticPr fontId="13"/>
  </si>
  <si>
    <t>ﾜｺﾞﾝR ﾊｲﾌﾞﾘｯﾄﾞ FX</t>
    <phoneticPr fontId="13"/>
  </si>
  <si>
    <t>27/？</t>
    <phoneticPr fontId="13"/>
  </si>
  <si>
    <t>ﾌｨｯﾄ ﾊｲﾌﾞﾘｯﾄﾞ Sﾊﾟｯｹｰｼﾞ</t>
    <phoneticPr fontId="13"/>
  </si>
  <si>
    <t>9/6/12</t>
    <phoneticPr fontId="13"/>
  </si>
  <si>
    <t>ｽﾍﾟｰｼｱｶｽﾀﾑ ﾊｲﾌﾞﾘｯﾄﾞ XS ﾀｰﾎﾞ</t>
    <phoneticPr fontId="13"/>
  </si>
  <si>
    <t>9/7/8</t>
    <phoneticPr fontId="13"/>
  </si>
  <si>
    <t>ﾌｨｯﾄ ﾊｲﾌﾞﾘｯﾄﾞ Fﾊﾟｯｹｰｼﾞ</t>
    <phoneticPr fontId="13"/>
  </si>
  <si>
    <t>WMWXY520002M98798</t>
    <phoneticPr fontId="13"/>
  </si>
  <si>
    <t>ﾒﾙｾﾃﾞｽﾍﾞﾝﾂ 5D V260 ﾛﾝｸﾞ</t>
    <phoneticPr fontId="13"/>
  </si>
  <si>
    <t>WDF44781323525950</t>
    <phoneticPr fontId="13"/>
  </si>
  <si>
    <t>ﾗﾝｸﾞﾗｰｱﾝﾘﾐﾃｯﾄﾞ ｸﾗｲJﾗﾝｸﾞ ｽﾎﾟｰﾂ</t>
    <phoneticPr fontId="13"/>
  </si>
  <si>
    <t>名古屋 369 ら 1121</t>
    <rPh sb="0" eb="3">
      <t>ナゴヤ</t>
    </rPh>
    <phoneticPr fontId="13"/>
  </si>
  <si>
    <t>WDD2052422F188854</t>
    <phoneticPr fontId="13"/>
  </si>
  <si>
    <t>岐阜 303 ね 7969</t>
    <rPh sb="0" eb="2">
      <t>ギフ</t>
    </rPh>
    <phoneticPr fontId="13"/>
  </si>
  <si>
    <t>WMWXS720502C47646</t>
    <phoneticPr fontId="13"/>
  </si>
  <si>
    <t>春日井 304 な 1</t>
    <rPh sb="0" eb="3">
      <t>カスガイ</t>
    </rPh>
    <phoneticPr fontId="13"/>
  </si>
  <si>
    <t>8/3/15</t>
    <phoneticPr fontId="13"/>
  </si>
  <si>
    <t>滋賀 583 は 3100</t>
    <rPh sb="0" eb="2">
      <t>シガ</t>
    </rPh>
    <phoneticPr fontId="13"/>
  </si>
  <si>
    <t>保証書 取説 ﾅﾋﾞ取 ｽﾍﾟｱｷｰ ﾜﾝｵｰﾅｰ</t>
    <rPh sb="0" eb="3">
      <t>ホショウショ</t>
    </rPh>
    <rPh sb="4" eb="6">
      <t>トリセツ</t>
    </rPh>
    <rPh sb="10" eb="11">
      <t>トリ</t>
    </rPh>
    <phoneticPr fontId="13"/>
  </si>
  <si>
    <t>9/1/28</t>
    <phoneticPr fontId="13"/>
  </si>
  <si>
    <t>滋賀 586 せ 2323</t>
    <rPh sb="0" eb="2">
      <t>シガ</t>
    </rPh>
    <phoneticPr fontId="13"/>
  </si>
  <si>
    <t>ハイゼットｶｰｺﾞ ﾃﾞﾗｯｸｽ</t>
    <phoneticPr fontId="13"/>
  </si>
  <si>
    <t>豊田 483 う 1114</t>
    <rPh sb="0" eb="2">
      <t>トヨタ</t>
    </rPh>
    <phoneticPr fontId="13"/>
  </si>
  <si>
    <t>松本 584 は 504</t>
    <rPh sb="0" eb="2">
      <t>マツモト</t>
    </rPh>
    <phoneticPr fontId="13"/>
  </si>
  <si>
    <t>一宮 580 ち 3097</t>
    <rPh sb="0" eb="2">
      <t>イチノミヤ</t>
    </rPh>
    <phoneticPr fontId="13"/>
  </si>
  <si>
    <t>三重 585 ち 3636</t>
    <rPh sb="0" eb="2">
      <t>ミエ</t>
    </rPh>
    <phoneticPr fontId="13"/>
  </si>
  <si>
    <t>26/4</t>
    <phoneticPr fontId="13"/>
  </si>
  <si>
    <t>三河 581 こ 6829</t>
    <rPh sb="0" eb="2">
      <t>ミカワ</t>
    </rPh>
    <phoneticPr fontId="13"/>
  </si>
  <si>
    <t>浜松 581 め 5044</t>
    <rPh sb="0" eb="2">
      <t>ハママツ</t>
    </rPh>
    <phoneticPr fontId="13"/>
  </si>
  <si>
    <t xml:space="preserve">ｱｳﾃﾞｨ S1 ｽﾎﾟｰﾂﾊﾞｯｸ </t>
    <phoneticPr fontId="13"/>
  </si>
  <si>
    <t>WAUZZZ8X3HB005788</t>
    <phoneticPr fontId="13"/>
  </si>
  <si>
    <t>京都 336 り 8282</t>
    <rPh sb="0" eb="2">
      <t>キョウト</t>
    </rPh>
    <phoneticPr fontId="13"/>
  </si>
  <si>
    <t>N-ONE ﾌﾟﾚﾐｱﾑ SS</t>
    <phoneticPr fontId="13"/>
  </si>
  <si>
    <t>9/6/26</t>
    <phoneticPr fontId="13"/>
  </si>
  <si>
    <t>岡崎 580 そ 9571</t>
    <rPh sb="0" eb="2">
      <t>オカザキ</t>
    </rPh>
    <phoneticPr fontId="13"/>
  </si>
  <si>
    <t>岡崎 580 ち 7667</t>
    <rPh sb="0" eb="2">
      <t>オカザキ</t>
    </rPh>
    <phoneticPr fontId="13"/>
  </si>
  <si>
    <t>ﾜｺﾞﾝR HV FX</t>
    <phoneticPr fontId="13"/>
  </si>
  <si>
    <t>名古屋 582 ひ 7867</t>
    <rPh sb="0" eb="3">
      <t>ナゴヤ</t>
    </rPh>
    <phoneticPr fontId="13"/>
  </si>
  <si>
    <t>保証書 地図SD</t>
    <rPh sb="0" eb="3">
      <t>ホショウショ</t>
    </rPh>
    <rPh sb="4" eb="6">
      <t>チズ</t>
    </rPh>
    <phoneticPr fontId="13"/>
  </si>
  <si>
    <t>ﾜｺﾞﾝR ｽﾃｨﾝｸﾞﾚｰ X</t>
    <phoneticPr fontId="13"/>
  </si>
  <si>
    <t>三河 581 つ 1841</t>
    <rPh sb="0" eb="2">
      <t>ミカワ</t>
    </rPh>
    <phoneticPr fontId="13"/>
  </si>
  <si>
    <t>27-1039</t>
  </si>
  <si>
    <t>27-1040</t>
  </si>
  <si>
    <t>27-1041</t>
  </si>
  <si>
    <t>27-1042</t>
  </si>
  <si>
    <t>27-1043</t>
  </si>
  <si>
    <t>A303306</t>
    <phoneticPr fontId="13"/>
  </si>
  <si>
    <t>JF3-2316467</t>
    <phoneticPr fontId="13"/>
  </si>
  <si>
    <t>A302581</t>
    <phoneticPr fontId="13"/>
  </si>
  <si>
    <t>ｴﾌﾞﾘｲﾜｺﾞﾝ JPﾀｰﾎﾞ</t>
    <phoneticPr fontId="13"/>
  </si>
  <si>
    <t>DA17W-309911</t>
    <phoneticPr fontId="13"/>
  </si>
  <si>
    <t>A304489</t>
    <phoneticPr fontId="13"/>
  </si>
  <si>
    <t>TRH200-0369157</t>
    <phoneticPr fontId="13"/>
  </si>
  <si>
    <t>8/2/7</t>
    <phoneticPr fontId="13"/>
  </si>
  <si>
    <t>A303517</t>
    <phoneticPr fontId="13"/>
  </si>
  <si>
    <t>ｾﾚﾅ ﾗｲﾀﾞｰﾌﾞﾗｯｸﾗｲﾝ ZZS HV</t>
    <phoneticPr fontId="13"/>
  </si>
  <si>
    <t>HC26-119149</t>
    <phoneticPr fontId="13"/>
  </si>
  <si>
    <t>A302521</t>
    <phoneticPr fontId="13"/>
  </si>
  <si>
    <t>ｼﾞﾑﾆｰ XC</t>
    <phoneticPr fontId="13"/>
  </si>
  <si>
    <t>JB64W-251312</t>
    <phoneticPr fontId="13"/>
  </si>
  <si>
    <t>9/6/21</t>
    <phoneticPr fontId="13"/>
  </si>
  <si>
    <t>山口 330 ま 5300</t>
    <rPh sb="0" eb="2">
      <t>ヤマグチ</t>
    </rPh>
    <phoneticPr fontId="13"/>
  </si>
  <si>
    <t>保証書 取説 ｽﾍﾟｱｷｰ←ｽﾄｯｸ</t>
    <rPh sb="0" eb="3">
      <t>ホショウショ</t>
    </rPh>
    <rPh sb="4" eb="6">
      <t>トリセツ</t>
    </rPh>
    <phoneticPr fontId="13"/>
  </si>
  <si>
    <t>神戸 39A せ 7178</t>
    <rPh sb="0" eb="2">
      <t>コウベ</t>
    </rPh>
    <phoneticPr fontId="13"/>
  </si>
  <si>
    <t>ﾘﾓｺﾝ(車内)取説 ｷｰﾚｽ</t>
    <rPh sb="5" eb="7">
      <t>シャナイ</t>
    </rPh>
    <rPh sb="8" eb="10">
      <t>トリセツ</t>
    </rPh>
    <phoneticPr fontId="13"/>
  </si>
  <si>
    <t>ｷｰﾚｽ(車内)整備手帳 取説</t>
    <rPh sb="5" eb="7">
      <t>シャナイ</t>
    </rPh>
    <rPh sb="8" eb="12">
      <t>セイビテチョウ</t>
    </rPh>
    <rPh sb="13" eb="15">
      <t>トリセツ</t>
    </rPh>
    <phoneticPr fontId="13"/>
  </si>
  <si>
    <t>倉敷 583 あ 3138</t>
    <rPh sb="0" eb="2">
      <t>クラシキ</t>
    </rPh>
    <phoneticPr fontId="13"/>
  </si>
  <si>
    <t>淺野 美智子</t>
    <rPh sb="0" eb="2">
      <t>アサノ</t>
    </rPh>
    <rPh sb="3" eb="6">
      <t>ミチコ</t>
    </rPh>
    <phoneticPr fontId="13"/>
  </si>
  <si>
    <t>LA650S-0474447</t>
    <phoneticPr fontId="13"/>
  </si>
  <si>
    <t>ｼﾞｬｯｸｽﾘｰｽ株式会社</t>
    <rPh sb="9" eb="13">
      <t>カブシキガイシャ</t>
    </rPh>
    <phoneticPr fontId="13"/>
  </si>
  <si>
    <t>宮城 581 な 9012</t>
    <rPh sb="0" eb="2">
      <t>ミヤギ</t>
    </rPh>
    <phoneticPr fontId="13"/>
  </si>
  <si>
    <t>小野寺 加奈恵</t>
    <rPh sb="0" eb="3">
      <t>オノデラ</t>
    </rPh>
    <rPh sb="4" eb="7">
      <t>カナエ</t>
    </rPh>
    <phoneticPr fontId="13"/>
  </si>
  <si>
    <t>奈良 387 た 1001</t>
    <rPh sb="0" eb="2">
      <t>ナラ</t>
    </rPh>
    <phoneticPr fontId="13"/>
  </si>
  <si>
    <t>奈良ﾄﾖﾀ株式会社</t>
    <rPh sb="0" eb="2">
      <t>ナラ</t>
    </rPh>
    <rPh sb="5" eb="9">
      <t>カブシキガイシャ</t>
    </rPh>
    <phoneticPr fontId="13"/>
  </si>
  <si>
    <t>春日井 399 ち 8311</t>
    <rPh sb="0" eb="3">
      <t>カスガイ</t>
    </rPh>
    <phoneticPr fontId="13"/>
  </si>
  <si>
    <t>名古屋 326 み 232</t>
    <rPh sb="0" eb="3">
      <t>ナゴヤ</t>
    </rPh>
    <phoneticPr fontId="13"/>
  </si>
  <si>
    <t>株式会社EDEN</t>
    <rPh sb="0" eb="4">
      <t>カブシキガイシャ</t>
    </rPh>
    <phoneticPr fontId="13"/>
  </si>
  <si>
    <t>取説 ﾅﾋﾞ取 (車内)保証書 ｷｰﾚｽ ｶｰﾄﾞｷｰ</t>
    <rPh sb="0" eb="2">
      <t>トリセツ</t>
    </rPh>
    <rPh sb="6" eb="7">
      <t>トリ</t>
    </rPh>
    <rPh sb="9" eb="11">
      <t>シャナイ</t>
    </rPh>
    <rPh sb="12" eb="15">
      <t>ホショウショ</t>
    </rPh>
    <phoneticPr fontId="13"/>
  </si>
  <si>
    <t>品川 5X1 ろ 179</t>
    <rPh sb="0" eb="2">
      <t>シナガワ</t>
    </rPh>
    <phoneticPr fontId="13"/>
  </si>
  <si>
    <t>27-1044</t>
  </si>
  <si>
    <t>HA36S-933429</t>
    <phoneticPr fontId="13"/>
  </si>
  <si>
    <t>27-1045</t>
  </si>
  <si>
    <t>27-1046</t>
  </si>
  <si>
    <t>ﾙﾉｰｶﾝｸﾞｰ ｾﾞﾝ</t>
    <phoneticPr fontId="13"/>
  </si>
  <si>
    <t>VF1KW14B3L0819782</t>
    <phoneticPr fontId="13"/>
  </si>
  <si>
    <t>久留米 337 は 113</t>
    <rPh sb="0" eb="3">
      <t>クルメ</t>
    </rPh>
    <phoneticPr fontId="13"/>
  </si>
  <si>
    <t>ﾒﾙｾﾃﾞｽﾍﾞﾝﾂ Eｸﾗｽｽﾃｰｼｮﾝﾜｺﾞﾝ E43</t>
    <phoneticPr fontId="13"/>
  </si>
  <si>
    <t>WDD2132642A296093</t>
    <phoneticPr fontId="13"/>
  </si>
  <si>
    <t>長崎 330 つ 5375</t>
    <rPh sb="0" eb="2">
      <t>ナガサキ</t>
    </rPh>
    <phoneticPr fontId="13"/>
  </si>
  <si>
    <t>保証書 取説 (車内)ｽﾍﾟｱｷｰ</t>
    <rPh sb="0" eb="3">
      <t>ホショウショ</t>
    </rPh>
    <rPh sb="4" eb="6">
      <t>トリセツ</t>
    </rPh>
    <rPh sb="8" eb="10">
      <t>シャナイ</t>
    </rPh>
    <phoneticPr fontId="13"/>
  </si>
  <si>
    <t xml:space="preserve">保証書　取説　ｷｰﾚｽ </t>
    <rPh sb="0" eb="3">
      <t>ホショウショ</t>
    </rPh>
    <rPh sb="4" eb="6">
      <t>トリセツ</t>
    </rPh>
    <phoneticPr fontId="13"/>
  </si>
  <si>
    <t>充電ｹｰﾌﾞﾙ言われたら伴さん連絡する</t>
    <rPh sb="0" eb="2">
      <t>ジュウデン</t>
    </rPh>
    <rPh sb="7" eb="8">
      <t>イ</t>
    </rPh>
    <rPh sb="12" eb="13">
      <t>バン</t>
    </rPh>
    <rPh sb="15" eb="17">
      <t>レンラク</t>
    </rPh>
    <phoneticPr fontId="13"/>
  </si>
  <si>
    <t>保証書 取説 ｷｰﾚｽ(車内)ﾚﾝﾀｶｰ</t>
    <rPh sb="0" eb="3">
      <t>ホショウショ</t>
    </rPh>
    <rPh sb="4" eb="6">
      <t>トリセツ</t>
    </rPh>
    <rPh sb="12" eb="14">
      <t>シャナイ</t>
    </rPh>
    <phoneticPr fontId="13"/>
  </si>
  <si>
    <t>土浦 301 は 5808</t>
    <rPh sb="0" eb="2">
      <t>ツチウラ</t>
    </rPh>
    <phoneticPr fontId="13"/>
  </si>
  <si>
    <t>北岡 竜希</t>
    <rPh sb="0" eb="2">
      <t>キタオカ</t>
    </rPh>
    <rPh sb="3" eb="4">
      <t>リュウ</t>
    </rPh>
    <rPh sb="4" eb="5">
      <t>ノゾミ</t>
    </rPh>
    <phoneticPr fontId="13"/>
  </si>
  <si>
    <t>仙台 483 え 3588</t>
    <rPh sb="0" eb="2">
      <t>センダイ</t>
    </rPh>
    <phoneticPr fontId="13"/>
  </si>
  <si>
    <t>株式会社ｽｽﾞｷ自販宮城</t>
    <rPh sb="0" eb="4">
      <t>カブシキガイシャ</t>
    </rPh>
    <rPh sb="8" eb="10">
      <t>ジハン</t>
    </rPh>
    <rPh sb="10" eb="12">
      <t>ミヤギ</t>
    </rPh>
    <phoneticPr fontId="13"/>
  </si>
  <si>
    <t>なにわ 5P6 ろ 7170</t>
    <phoneticPr fontId="13"/>
  </si>
  <si>
    <t>島根 581 う 7010</t>
    <rPh sb="0" eb="2">
      <t>シマネ</t>
    </rPh>
    <phoneticPr fontId="13"/>
  </si>
  <si>
    <t>島根ﾀﾞｲﾊﾂ販売株式会社</t>
    <rPh sb="0" eb="2">
      <t>シマネ</t>
    </rPh>
    <rPh sb="8" eb="12">
      <t>カブシキガイシャ</t>
    </rPh>
    <phoneticPr fontId="13"/>
  </si>
  <si>
    <t>27-1047</t>
  </si>
  <si>
    <t>27-1048</t>
  </si>
  <si>
    <t>27-1049</t>
  </si>
  <si>
    <t>27-1050</t>
  </si>
  <si>
    <t>27-1051</t>
  </si>
  <si>
    <t>27-1052</t>
  </si>
  <si>
    <t>27-1053</t>
  </si>
  <si>
    <t>27-1054</t>
  </si>
  <si>
    <t>27-1055</t>
  </si>
  <si>
    <t>27-1056</t>
  </si>
  <si>
    <t>ｱｳﾃﾞｨ A6 ｱﾊﾞﾝﾄ ｸﾜﾄﾛ</t>
    <phoneticPr fontId="13"/>
  </si>
  <si>
    <t>WAUZZZ4G6JN036821</t>
    <phoneticPr fontId="13"/>
  </si>
  <si>
    <t>横浜 306 ち 3613</t>
    <rPh sb="0" eb="2">
      <t>ヨコハマ</t>
    </rPh>
    <phoneticPr fontId="13"/>
  </si>
  <si>
    <t>27-1057</t>
  </si>
  <si>
    <t>27-1058</t>
  </si>
  <si>
    <t>27-1059</t>
  </si>
  <si>
    <t>27-1060</t>
  </si>
  <si>
    <t>27-1061</t>
  </si>
  <si>
    <t>27-1062</t>
  </si>
  <si>
    <t>B21W-0623055</t>
    <phoneticPr fontId="13"/>
  </si>
  <si>
    <t>N-BOX G ｽﾛｰﾌﾟﾎﾝﾀﾞｾﾝｼﾝｸﾞ</t>
    <phoneticPr fontId="13"/>
  </si>
  <si>
    <t>JF3-8401753</t>
    <phoneticPr fontId="13"/>
  </si>
  <si>
    <t>8/7/14</t>
    <phoneticPr fontId="13"/>
  </si>
  <si>
    <t>徳島 580 め 6508</t>
    <rPh sb="0" eb="2">
      <t>トクシマ</t>
    </rPh>
    <phoneticPr fontId="13"/>
  </si>
  <si>
    <t>HE33S-151603</t>
    <phoneticPr fontId="13"/>
  </si>
  <si>
    <t>K880K-0043359</t>
    <phoneticPr fontId="13"/>
  </si>
  <si>
    <t>26/？</t>
    <phoneticPr fontId="13"/>
  </si>
  <si>
    <t>JB23W-710421</t>
    <phoneticPr fontId="13"/>
  </si>
  <si>
    <t>倉敷 580 ち 3426</t>
    <rPh sb="0" eb="2">
      <t>クラシキ</t>
    </rPh>
    <phoneticPr fontId="13"/>
  </si>
  <si>
    <t>ﾃﾞｲｽﾞﾙｰｸｽ ﾊｲｳｪｲｽﾀｰX</t>
    <phoneticPr fontId="13"/>
  </si>
  <si>
    <t>B21A-0553070</t>
    <phoneticPr fontId="13"/>
  </si>
  <si>
    <t>DA64W-443480</t>
    <phoneticPr fontId="13"/>
  </si>
  <si>
    <t>ｱﾙﾄ ﾜｰｸｽ</t>
    <phoneticPr fontId="13"/>
  </si>
  <si>
    <t>HA36S-887130</t>
    <phoneticPr fontId="13"/>
  </si>
  <si>
    <t>高知 580 ね 390</t>
    <rPh sb="0" eb="2">
      <t>コウチ</t>
    </rPh>
    <phoneticPr fontId="13"/>
  </si>
  <si>
    <t>ﾀﾝﾄ ｶｽﾀﾑ X</t>
    <phoneticPr fontId="13"/>
  </si>
  <si>
    <t>LA650S-0225220</t>
    <phoneticPr fontId="13"/>
  </si>
  <si>
    <t>ｼﾄﾛｴﾝ C3 ｴｱﾛｸﾛｽSUV ｼｬｲﾝ ﾊﾟｯｸ</t>
    <phoneticPr fontId="13"/>
  </si>
  <si>
    <t>VF72RHNS1N4354761</t>
    <phoneticPr fontId="13"/>
  </si>
  <si>
    <t>8/3/22</t>
    <phoneticPr fontId="13"/>
  </si>
  <si>
    <t>なにわ 368 み 12</t>
    <phoneticPr fontId="13"/>
  </si>
  <si>
    <t>ﾒﾙｾﾃﾞｽﾍﾞﾝﾂ B180</t>
    <phoneticPr fontId="13"/>
  </si>
  <si>
    <t>WDD2462422J526781</t>
    <phoneticPr fontId="13"/>
  </si>
  <si>
    <t>ﾒﾙｾﾃﾞｽﾍﾞﾝﾂ B200d AMGﾗｲﾝ</t>
    <phoneticPr fontId="13"/>
  </si>
  <si>
    <t>京都 355 ら 3636</t>
    <rPh sb="0" eb="2">
      <t>キョウト</t>
    </rPh>
    <phoneticPr fontId="13"/>
  </si>
  <si>
    <t>WMWXM520403A03432</t>
    <phoneticPr fontId="13"/>
  </si>
  <si>
    <t>鳥取 300 ぬ 7412</t>
    <rPh sb="0" eb="2">
      <t>トットリ</t>
    </rPh>
    <phoneticPr fontId="13"/>
  </si>
  <si>
    <t>VW ｻﾞﾋﾞｰﾄﾙ ﾃﾞｻﾞｲﾝ</t>
    <phoneticPr fontId="13"/>
  </si>
  <si>
    <t>WVWZZZ16ZHM612130</t>
    <phoneticPr fontId="13"/>
  </si>
  <si>
    <t>神戸 327 ま 1118</t>
    <rPh sb="0" eb="2">
      <t>コウベ</t>
    </rPh>
    <phoneticPr fontId="13"/>
  </si>
  <si>
    <t>BMWﾐﾆｸｰﾊﾟｰD ｸﾗﾌﾞﾏﾝ</t>
    <phoneticPr fontId="13"/>
  </si>
  <si>
    <t>WMW72BB0702M55902</t>
    <phoneticPr fontId="13"/>
  </si>
  <si>
    <t>W1K2470122J277510</t>
    <phoneticPr fontId="13"/>
  </si>
  <si>
    <t>株式会社中国ﾎﾝﾀﾞ販売</t>
    <rPh sb="4" eb="6">
      <t>チュウゴク</t>
    </rPh>
    <rPh sb="10" eb="12">
      <t>ハンバイ</t>
    </rPh>
    <phoneticPr fontId="13"/>
  </si>
  <si>
    <t>ｷｬﾝｾﾙ 書類返送10/7</t>
    <rPh sb="6" eb="8">
      <t>ショルイ</t>
    </rPh>
    <rPh sb="8" eb="10">
      <t>ヘンソウ</t>
    </rPh>
    <phoneticPr fontId="13"/>
  </si>
  <si>
    <t>A305030</t>
    <phoneticPr fontId="13"/>
  </si>
  <si>
    <t>5/6</t>
    <phoneticPr fontId="13"/>
  </si>
  <si>
    <t>ｸﾞﾘｰﾝ</t>
    <phoneticPr fontId="13"/>
  </si>
  <si>
    <t>ｱｸｱ　X</t>
    <phoneticPr fontId="13"/>
  </si>
  <si>
    <t>MXPK11ｰ2141168</t>
    <phoneticPr fontId="13"/>
  </si>
  <si>
    <t>8/6/26</t>
    <phoneticPr fontId="13"/>
  </si>
  <si>
    <t>A305284</t>
    <phoneticPr fontId="13"/>
  </si>
  <si>
    <t>29/9</t>
    <phoneticPr fontId="13"/>
  </si>
  <si>
    <t>赤</t>
    <rPh sb="0" eb="1">
      <t>アカ</t>
    </rPh>
    <phoneticPr fontId="13"/>
  </si>
  <si>
    <t>ｱｸｾﾗｽﾎﾟｰﾂ　22XD　Lﾊﾟｯｹｰｼﾞ</t>
    <phoneticPr fontId="13"/>
  </si>
  <si>
    <t>BM2FS-202163</t>
    <phoneticPr fontId="13"/>
  </si>
  <si>
    <t>8/4/10</t>
    <phoneticPr fontId="13"/>
  </si>
  <si>
    <t>A305080</t>
    <phoneticPr fontId="13"/>
  </si>
  <si>
    <t>ｼﾙﾊﾞｰ</t>
    <phoneticPr fontId="13"/>
  </si>
  <si>
    <t>ｼｴﾝﾀ　ﾊｲﾌﾞﾘｯﾄ　ﾌｧﾝﾍﾞｰｽ</t>
    <phoneticPr fontId="13"/>
  </si>
  <si>
    <t>NHP170-7173500</t>
    <phoneticPr fontId="13"/>
  </si>
  <si>
    <t>8/5</t>
    <phoneticPr fontId="13"/>
  </si>
  <si>
    <t>A296389</t>
    <phoneticPr fontId="13"/>
  </si>
  <si>
    <t>30/10</t>
    <phoneticPr fontId="13"/>
  </si>
  <si>
    <t>ﾍﾞｰｼﾞｭ</t>
    <phoneticPr fontId="13"/>
  </si>
  <si>
    <t>ﾑｰﾌﾞｷｬﾝﾊﾞｽ　XﾒｲｸｱｯﾌﾟﾘﾐﾃｯﾄﾞSA3</t>
    <phoneticPr fontId="13"/>
  </si>
  <si>
    <t>LA800S-0137062</t>
    <phoneticPr fontId="13"/>
  </si>
  <si>
    <t>７/10/9</t>
    <phoneticPr fontId="13"/>
  </si>
  <si>
    <t>A303197</t>
    <phoneticPr fontId="13"/>
  </si>
  <si>
    <t>5/5</t>
    <phoneticPr fontId="13"/>
  </si>
  <si>
    <t>黒</t>
    <rPh sb="0" eb="1">
      <t>クロ</t>
    </rPh>
    <phoneticPr fontId="13"/>
  </si>
  <si>
    <t>ｸﾗｳﾝ　ｸﾛｽｵｰﾊﾞｰ　G　ｱﾊﾞﾝｽﾄﾞ</t>
    <phoneticPr fontId="13"/>
  </si>
  <si>
    <t>AZSH35-6009076</t>
    <phoneticPr fontId="13"/>
  </si>
  <si>
    <t>8/5/29</t>
    <phoneticPr fontId="13"/>
  </si>
  <si>
    <t>R</t>
    <phoneticPr fontId="13"/>
  </si>
  <si>
    <t>A305139</t>
    <phoneticPr fontId="13"/>
  </si>
  <si>
    <t>26/11</t>
    <phoneticPr fontId="13"/>
  </si>
  <si>
    <t>ｸﾞﾚｰ</t>
    <phoneticPr fontId="13"/>
  </si>
  <si>
    <t>ﾑｰﾌﾞｶｽﾀﾑ　XﾘﾐﾃｯﾄﾞSA</t>
    <phoneticPr fontId="13"/>
  </si>
  <si>
    <t>LA100S-1112958</t>
    <phoneticPr fontId="13"/>
  </si>
  <si>
    <t>７/11/25</t>
    <phoneticPr fontId="13"/>
  </si>
  <si>
    <t>A305170</t>
    <phoneticPr fontId="13"/>
  </si>
  <si>
    <t>5/1</t>
    <phoneticPr fontId="13"/>
  </si>
  <si>
    <t>AZSH35-4002250</t>
    <phoneticPr fontId="13"/>
  </si>
  <si>
    <t>8/1/4</t>
    <phoneticPr fontId="13"/>
  </si>
  <si>
    <t>保証書　取説　ｽﾍﾟｱｷｰ　ﾜﾝｵｰﾅｰ</t>
    <rPh sb="0" eb="3">
      <t>ホショウショ</t>
    </rPh>
    <rPh sb="4" eb="6">
      <t>トリセツ</t>
    </rPh>
    <phoneticPr fontId="13"/>
  </si>
  <si>
    <t>A304732</t>
    <phoneticPr fontId="13"/>
  </si>
  <si>
    <t>29/3</t>
    <phoneticPr fontId="13"/>
  </si>
  <si>
    <t>ﾊﾟｰﾙ</t>
    <phoneticPr fontId="13"/>
  </si>
  <si>
    <t>C-HR　G</t>
    <phoneticPr fontId="13"/>
  </si>
  <si>
    <t>ZYX10-2024660</t>
    <phoneticPr fontId="13"/>
  </si>
  <si>
    <t>8/5/15</t>
    <phoneticPr fontId="13"/>
  </si>
  <si>
    <t>A303730</t>
    <phoneticPr fontId="13"/>
  </si>
  <si>
    <t>30/11</t>
    <phoneticPr fontId="13"/>
  </si>
  <si>
    <t>ﾚｸｻｽ　RX300　Fｽﾎﾟｰﾂ</t>
    <phoneticPr fontId="13"/>
  </si>
  <si>
    <t>AGL20-0011349</t>
    <phoneticPr fontId="13"/>
  </si>
  <si>
    <t>7/11/20</t>
    <phoneticPr fontId="13"/>
  </si>
  <si>
    <t>A305121</t>
    <phoneticPr fontId="13"/>
  </si>
  <si>
    <t>1/11</t>
    <phoneticPr fontId="13"/>
  </si>
  <si>
    <t>白</t>
    <rPh sb="0" eb="1">
      <t>シロ</t>
    </rPh>
    <phoneticPr fontId="13"/>
  </si>
  <si>
    <t>NT100　ｸﾘｯﾊﾟｰﾄﾗｯｸ</t>
    <phoneticPr fontId="13"/>
  </si>
  <si>
    <t>DR16T-396448</t>
    <phoneticPr fontId="13"/>
  </si>
  <si>
    <t>7/11/10</t>
    <phoneticPr fontId="13"/>
  </si>
  <si>
    <t>A299835</t>
    <phoneticPr fontId="13"/>
  </si>
  <si>
    <t>3/1</t>
    <phoneticPr fontId="13"/>
  </si>
  <si>
    <t>青</t>
    <rPh sb="0" eb="1">
      <t>アオ</t>
    </rPh>
    <phoneticPr fontId="13"/>
  </si>
  <si>
    <t>MR52S-128599</t>
    <phoneticPr fontId="13"/>
  </si>
  <si>
    <t>8/1/28</t>
    <phoneticPr fontId="13"/>
  </si>
  <si>
    <t>A303264</t>
    <phoneticPr fontId="13"/>
  </si>
  <si>
    <t>3/11</t>
    <phoneticPr fontId="13"/>
  </si>
  <si>
    <t>ｽｲﾌﾄ　ｽﾎﾟｰﾂ</t>
    <phoneticPr fontId="13"/>
  </si>
  <si>
    <t>ZC33S-416685</t>
    <phoneticPr fontId="13"/>
  </si>
  <si>
    <t>8/11/23</t>
    <phoneticPr fontId="13"/>
  </si>
  <si>
    <t>A304266</t>
    <phoneticPr fontId="13"/>
  </si>
  <si>
    <t>１/2</t>
    <phoneticPr fontId="13"/>
  </si>
  <si>
    <t>ｼｴﾝﾀ　G</t>
    <phoneticPr fontId="13"/>
  </si>
  <si>
    <t>NSP170-7191162</t>
    <phoneticPr fontId="13"/>
  </si>
  <si>
    <t>8/2/25</t>
    <phoneticPr fontId="13"/>
  </si>
  <si>
    <t>A302025</t>
    <phoneticPr fontId="13"/>
  </si>
  <si>
    <t>30/3</t>
    <phoneticPr fontId="13"/>
  </si>
  <si>
    <t>ﾈｲﾋﾞｰ</t>
    <phoneticPr fontId="13"/>
  </si>
  <si>
    <t>CX5　XDLﾊﾟｯｹｰｼﾞ</t>
    <phoneticPr fontId="13"/>
  </si>
  <si>
    <t>KF2P-200931</t>
    <phoneticPr fontId="13"/>
  </si>
  <si>
    <t>9/3/14</t>
    <phoneticPr fontId="13"/>
  </si>
  <si>
    <t>A304807</t>
    <phoneticPr fontId="13"/>
  </si>
  <si>
    <t>4/9</t>
    <phoneticPr fontId="13"/>
  </si>
  <si>
    <t>黄色</t>
    <rPh sb="0" eb="2">
      <t>キイロ</t>
    </rPh>
    <phoneticPr fontId="13"/>
  </si>
  <si>
    <t>ｽﾍﾟｰｼｱｷﾞｱ　ﾊｲﾌﾞﾘｯﾄXZﾀｰﾎﾞ</t>
    <phoneticPr fontId="13"/>
  </si>
  <si>
    <t>MK53S-976825</t>
    <phoneticPr fontId="13"/>
  </si>
  <si>
    <t>9/9/19</t>
    <phoneticPr fontId="13"/>
  </si>
  <si>
    <t>A304894</t>
    <phoneticPr fontId="13"/>
  </si>
  <si>
    <t>4/11</t>
    <phoneticPr fontId="13"/>
  </si>
  <si>
    <t>ｼｴﾝﾀ　ﾊｲﾌﾞﾘｯﾄZ</t>
    <phoneticPr fontId="13"/>
  </si>
  <si>
    <t>MXPL10-1004573</t>
    <phoneticPr fontId="13"/>
  </si>
  <si>
    <t>7/11/24</t>
    <phoneticPr fontId="13"/>
  </si>
  <si>
    <t>HAA神戸</t>
    <rPh sb="3" eb="5">
      <t>コウベ</t>
    </rPh>
    <phoneticPr fontId="13"/>
  </si>
  <si>
    <t>HAA神戸</t>
    <phoneticPr fontId="13"/>
  </si>
  <si>
    <t>USS神戸(ﾜﾝｸﾘ)</t>
    <rPh sb="3" eb="5">
      <t>コウベ</t>
    </rPh>
    <phoneticPr fontId="13"/>
  </si>
  <si>
    <t>27-1063</t>
  </si>
  <si>
    <t>27-1064</t>
  </si>
  <si>
    <t>27-1065</t>
  </si>
  <si>
    <t>27-1066</t>
  </si>
  <si>
    <t>27-1067</t>
  </si>
  <si>
    <t>27-1068</t>
  </si>
  <si>
    <t>27-1069</t>
  </si>
  <si>
    <t>27-1070</t>
  </si>
  <si>
    <t>27-1071</t>
  </si>
  <si>
    <t>27-1072</t>
  </si>
  <si>
    <t>27-1073</t>
  </si>
  <si>
    <t>27-1074</t>
  </si>
  <si>
    <t>27-1075</t>
  </si>
  <si>
    <t>27-1076</t>
  </si>
  <si>
    <t>27-1077</t>
  </si>
  <si>
    <t>27-1078</t>
  </si>
  <si>
    <t>27-1079</t>
  </si>
  <si>
    <t>27-1080</t>
  </si>
  <si>
    <t>27-1081</t>
  </si>
  <si>
    <t>27-1082</t>
  </si>
  <si>
    <t>27-1083</t>
  </si>
  <si>
    <t>27-1084</t>
  </si>
  <si>
    <t>27-1085</t>
  </si>
  <si>
    <t>27-1086</t>
  </si>
  <si>
    <t>27-1087</t>
  </si>
  <si>
    <t>ﾊｽﾗｰ　Jｽﾀｲﾙﾀｰﾎﾞ</t>
    <phoneticPr fontId="13"/>
  </si>
  <si>
    <t>BMW 3ｼﾘｰｽﾞ 320iMｽﾎﾟｰﾂ</t>
    <phoneticPr fontId="13"/>
  </si>
  <si>
    <t>大阪 535 は 924</t>
    <rPh sb="0" eb="2">
      <t>オオサカ</t>
    </rPh>
    <phoneticPr fontId="13"/>
  </si>
  <si>
    <t xml:space="preserve">BMWﾐﾆｸｰﾊﾟｰD </t>
    <phoneticPr fontId="13"/>
  </si>
  <si>
    <t>大阪 334 と 1975</t>
    <rPh sb="0" eb="2">
      <t>オオサカ</t>
    </rPh>
    <phoneticPr fontId="13"/>
  </si>
  <si>
    <t>BMWﾐﾆｸｰﾊﾟｰS ｸﾗｼｯｸﾄﾘﾑ</t>
    <phoneticPr fontId="13"/>
  </si>
  <si>
    <t>岡山 301 ひ 3711</t>
    <rPh sb="0" eb="2">
      <t>オカヤマ</t>
    </rPh>
    <phoneticPr fontId="13"/>
  </si>
  <si>
    <t>BMW 2ｼﾘｰｽﾞ ｸｰﾍﾟMｽﾎﾟｰﾂ</t>
    <phoneticPr fontId="13"/>
  </si>
  <si>
    <t>MJ34S-110098</t>
    <phoneticPr fontId="13"/>
  </si>
  <si>
    <t>浜松 581 て 6170</t>
    <rPh sb="0" eb="2">
      <t>ハママツ</t>
    </rPh>
    <phoneticPr fontId="13"/>
  </si>
  <si>
    <t>ｴﾌﾞﾘｲﾜｺﾞﾝ PZTBﾊｲﾙｰﾌ</t>
    <phoneticPr fontId="13"/>
  </si>
  <si>
    <t>DA17W-251582</t>
    <phoneticPr fontId="13"/>
  </si>
  <si>
    <t>富士山 589 ぬ 225</t>
    <rPh sb="0" eb="3">
      <t>フジサン</t>
    </rPh>
    <phoneticPr fontId="13"/>
  </si>
  <si>
    <t>LA350S-0226114</t>
    <phoneticPr fontId="13"/>
  </si>
  <si>
    <t>WMWXT720302H18576</t>
    <phoneticPr fontId="13"/>
  </si>
  <si>
    <t>17/7</t>
    <phoneticPr fontId="13"/>
  </si>
  <si>
    <t>ﾊｲｾﾞｯﾄﾄﾗｯｸ ﾊﾟﾜｽﾃｽﾍﾟｼｬﾙ</t>
    <phoneticPr fontId="13"/>
  </si>
  <si>
    <t>S210P-2024076</t>
    <phoneticPr fontId="13"/>
  </si>
  <si>
    <t>ｴﾌﾞﾘｲ PCﾊﾞｯｸｶﾒﾗ付ﾃﾞｨｽﾌﾟﾚｲｵｰﾃﾞｨｵ</t>
    <rPh sb="15" eb="16">
      <t>ツ</t>
    </rPh>
    <phoneticPr fontId="13"/>
  </si>
  <si>
    <t>DA17V-693597</t>
    <phoneticPr fontId="13"/>
  </si>
  <si>
    <t>ﾋﾟｸｼｽｴﾎﾟｯｸ L SA3</t>
    <phoneticPr fontId="13"/>
  </si>
  <si>
    <t>LA350A-0040070</t>
    <phoneticPr fontId="13"/>
  </si>
  <si>
    <t>LA350S-0445737</t>
    <phoneticPr fontId="13"/>
  </si>
  <si>
    <t>高知 599 ち 1</t>
    <rPh sb="0" eb="2">
      <t>コウチ</t>
    </rPh>
    <phoneticPr fontId="13"/>
  </si>
  <si>
    <t>LA350S-0343348</t>
    <phoneticPr fontId="13"/>
  </si>
  <si>
    <t>DA17W-343087</t>
    <phoneticPr fontId="13"/>
  </si>
  <si>
    <t>神戸 582 や 8813</t>
    <rPh sb="0" eb="2">
      <t>コウベ</t>
    </rPh>
    <phoneticPr fontId="13"/>
  </si>
  <si>
    <t>ﾊｽﾗｰ　G</t>
    <phoneticPr fontId="13"/>
  </si>
  <si>
    <t>MR41S-207182</t>
    <phoneticPr fontId="13"/>
  </si>
  <si>
    <t>LA350S-0280533</t>
    <phoneticPr fontId="13"/>
  </si>
  <si>
    <t>高知 580 み 2763</t>
    <rPh sb="0" eb="2">
      <t>コウチ</t>
    </rPh>
    <phoneticPr fontId="13"/>
  </si>
  <si>
    <t>DA64W-440704</t>
    <phoneticPr fontId="13"/>
  </si>
  <si>
    <t>582 い 954</t>
    <phoneticPr fontId="13"/>
  </si>
  <si>
    <t>582 い 943</t>
    <phoneticPr fontId="13"/>
  </si>
  <si>
    <t>582 い 948</t>
    <phoneticPr fontId="13"/>
  </si>
  <si>
    <t>582 い 951</t>
    <phoneticPr fontId="13"/>
  </si>
  <si>
    <t>582 い 946</t>
    <phoneticPr fontId="13"/>
  </si>
  <si>
    <t>582 い 945</t>
    <phoneticPr fontId="13"/>
  </si>
  <si>
    <t>582 い 955</t>
    <phoneticPr fontId="13"/>
  </si>
  <si>
    <t>582 い 950</t>
    <phoneticPr fontId="13"/>
  </si>
  <si>
    <t>582 い 952</t>
    <phoneticPr fontId="13"/>
  </si>
  <si>
    <t>582 い 947</t>
    <phoneticPr fontId="13"/>
  </si>
  <si>
    <t>582 い 944</t>
    <phoneticPr fontId="13"/>
  </si>
  <si>
    <t>ﾊｽﾗｰ ﾜﾝﾀﾞﾗｰ</t>
    <phoneticPr fontId="13"/>
  </si>
  <si>
    <t>MR41S-359225</t>
    <phoneticPr fontId="13"/>
  </si>
  <si>
    <t>広島 587 て 215</t>
    <rPh sb="0" eb="2">
      <t>ヒロシマ</t>
    </rPh>
    <phoneticPr fontId="13"/>
  </si>
  <si>
    <t>S700V-0024072</t>
    <phoneticPr fontId="13"/>
  </si>
  <si>
    <t>福山 480 せ 2028</t>
    <rPh sb="0" eb="2">
      <t>フクヤマ</t>
    </rPh>
    <phoneticPr fontId="13"/>
  </si>
  <si>
    <t>尾張小牧 534 も 823</t>
    <rPh sb="0" eb="4">
      <t>オワリコマキ</t>
    </rPh>
    <phoneticPr fontId="13"/>
  </si>
  <si>
    <t>岡崎 理津子</t>
    <rPh sb="0" eb="2">
      <t>オカザキ</t>
    </rPh>
    <rPh sb="3" eb="6">
      <t>リツコ</t>
    </rPh>
    <phoneticPr fontId="13"/>
  </si>
  <si>
    <t>ﾈｯﾂﾄﾖﾀ南国株式会社</t>
    <rPh sb="6" eb="8">
      <t>ナンゴク</t>
    </rPh>
    <rPh sb="8" eb="12">
      <t>カブシキガイシャ</t>
    </rPh>
    <phoneticPr fontId="13"/>
  </si>
  <si>
    <t>香川 586 う 226</t>
    <rPh sb="0" eb="2">
      <t>カガワ</t>
    </rPh>
    <phoneticPr fontId="13"/>
  </si>
  <si>
    <t>亀井 友記</t>
    <rPh sb="0" eb="2">
      <t>カメイ</t>
    </rPh>
    <rPh sb="3" eb="4">
      <t>トモ</t>
    </rPh>
    <rPh sb="4" eb="5">
      <t>キ</t>
    </rPh>
    <phoneticPr fontId="13"/>
  </si>
  <si>
    <t>川崎 501 ぬ 4241</t>
    <rPh sb="0" eb="2">
      <t>カワサキ</t>
    </rPh>
    <phoneticPr fontId="13"/>
  </si>
  <si>
    <t>髙山 慧大</t>
    <rPh sb="0" eb="2">
      <t>タカヤマ</t>
    </rPh>
    <rPh sb="3" eb="4">
      <t>サトシ</t>
    </rPh>
    <rPh sb="4" eb="5">
      <t>ダイ</t>
    </rPh>
    <phoneticPr fontId="13"/>
  </si>
  <si>
    <t>四日市 580 ろ 9347</t>
    <rPh sb="0" eb="3">
      <t>ヨッカイチ</t>
    </rPh>
    <phoneticPr fontId="13"/>
  </si>
  <si>
    <t>永井自動車工業株式会社</t>
    <rPh sb="0" eb="2">
      <t>ナガイ</t>
    </rPh>
    <rPh sb="2" eb="5">
      <t>ジドウシャ</t>
    </rPh>
    <rPh sb="5" eb="7">
      <t>コウギョウ</t>
    </rPh>
    <rPh sb="7" eb="11">
      <t>カブシキガイシャ</t>
    </rPh>
    <phoneticPr fontId="13"/>
  </si>
  <si>
    <t>小林 洋介</t>
    <rPh sb="0" eb="2">
      <t>コバヤシ</t>
    </rPh>
    <rPh sb="3" eb="5">
      <t>ヨウスケ</t>
    </rPh>
    <phoneticPr fontId="13"/>
  </si>
  <si>
    <t>ｷｰﾚｽ SD B-CAS</t>
    <phoneticPr fontId="13"/>
  </si>
  <si>
    <t>富山 584 ろ 28</t>
    <rPh sb="0" eb="2">
      <t>トヤマ</t>
    </rPh>
    <phoneticPr fontId="13"/>
  </si>
  <si>
    <t>なにわ 5P6 ろ 4394</t>
    <phoneticPr fontId="13"/>
  </si>
  <si>
    <t>なにわ 5P6 ろ 5369</t>
    <phoneticPr fontId="13"/>
  </si>
  <si>
    <t>福山 580 の 8982</t>
    <rPh sb="0" eb="2">
      <t>フクヤマ</t>
    </rPh>
    <phoneticPr fontId="13"/>
  </si>
  <si>
    <t>広島 580 は 4888</t>
    <rPh sb="0" eb="2">
      <t>ヒロシマ</t>
    </rPh>
    <phoneticPr fontId="13"/>
  </si>
  <si>
    <t>広島 586 さ 114</t>
    <rPh sb="0" eb="2">
      <t>ヒロシマ</t>
    </rPh>
    <phoneticPr fontId="13"/>
  </si>
  <si>
    <t>広島三菱自動車販売株式会社</t>
    <rPh sb="0" eb="2">
      <t>ヒロシマ</t>
    </rPh>
    <rPh sb="2" eb="4">
      <t>ミツビシ</t>
    </rPh>
    <rPh sb="4" eb="7">
      <t>ジドウシャ</t>
    </rPh>
    <rPh sb="7" eb="13">
      <t>ハンバイカブシキガイシャ</t>
    </rPh>
    <phoneticPr fontId="13"/>
  </si>
  <si>
    <t>広島 586 ろ 8026</t>
    <rPh sb="0" eb="2">
      <t>ヒロシマ</t>
    </rPh>
    <phoneticPr fontId="13"/>
  </si>
  <si>
    <t>広島 581 ち 9807</t>
    <rPh sb="0" eb="2">
      <t>ヒロシマ</t>
    </rPh>
    <phoneticPr fontId="13"/>
  </si>
  <si>
    <t>京都 583 そ 6218</t>
    <rPh sb="0" eb="2">
      <t>キョウト</t>
    </rPh>
    <phoneticPr fontId="13"/>
  </si>
  <si>
    <t>株式会社ｼﾞｬｯｸｽ</t>
    <phoneticPr fontId="13"/>
  </si>
  <si>
    <t>ﾙﾉｰｶﾝｸﾞｰ ﾊﾟﾅｼｪ</t>
    <phoneticPr fontId="13"/>
  </si>
  <si>
    <t>VF1KW14B3L0818686</t>
    <phoneticPr fontId="13"/>
  </si>
  <si>
    <t>ｼﾄﾛｴﾝ DS7ｸﾛｽﾊﾞｯｸ ﾙｰｳﾞﾙ ﾌﾞﾙｰ</t>
    <phoneticPr fontId="13"/>
  </si>
  <si>
    <t>VR1JJEHZRLY049121</t>
    <phoneticPr fontId="13"/>
  </si>
  <si>
    <t>WMWXS720402C50523</t>
    <phoneticPr fontId="13"/>
  </si>
  <si>
    <t xml:space="preserve">ｱﾙﾄﾗﾊﾟﾝ X </t>
    <phoneticPr fontId="13"/>
  </si>
  <si>
    <t>HE33S-424656</t>
    <phoneticPr fontId="13"/>
  </si>
  <si>
    <t>ﾐﾗｲｰｽ</t>
    <phoneticPr fontId="13"/>
  </si>
  <si>
    <t>LA350S-0227423</t>
    <phoneticPr fontId="13"/>
  </si>
  <si>
    <t>MR41S-120447</t>
    <phoneticPr fontId="13"/>
  </si>
  <si>
    <t>広島 581 さ 3441</t>
    <rPh sb="0" eb="2">
      <t>ヒロシマ</t>
    </rPh>
    <phoneticPr fontId="13"/>
  </si>
  <si>
    <t>ﾑｰﾌﾞｺﾝﾃ</t>
    <phoneticPr fontId="13"/>
  </si>
  <si>
    <t>L575S-0232502</t>
    <phoneticPr fontId="13"/>
  </si>
  <si>
    <t>ｳｪｲｸ G ﾀｰﾎﾞ VS</t>
    <phoneticPr fontId="13"/>
  </si>
  <si>
    <t>LA700S-0180142</t>
    <phoneticPr fontId="13"/>
  </si>
  <si>
    <t>倉敷 580 ゆ 6497</t>
    <rPh sb="0" eb="2">
      <t>クラシキ</t>
    </rPh>
    <phoneticPr fontId="13"/>
  </si>
  <si>
    <t>有限会社ｶﾙﾏﾄｯﾌﾟ</t>
    <rPh sb="0" eb="4">
      <t>ユウゲンガイシャ</t>
    </rPh>
    <phoneticPr fontId="13"/>
  </si>
  <si>
    <t>半田 佳菜</t>
    <rPh sb="0" eb="2">
      <t>ハンダ</t>
    </rPh>
    <rPh sb="3" eb="4">
      <t>カ</t>
    </rPh>
    <rPh sb="4" eb="5">
      <t>ナ</t>
    </rPh>
    <phoneticPr fontId="13"/>
  </si>
  <si>
    <t>保証書 取説 ﾅﾋﾞ取 地図SD B-CAS</t>
    <rPh sb="0" eb="3">
      <t>ホショウショ</t>
    </rPh>
    <rPh sb="4" eb="6">
      <t>トリセツ</t>
    </rPh>
    <rPh sb="10" eb="11">
      <t>トリ</t>
    </rPh>
    <rPh sb="12" eb="14">
      <t>チズ</t>
    </rPh>
    <phoneticPr fontId="13"/>
  </si>
  <si>
    <t>ｶﾛｰﾗﾌｨｰﾙﾀﾞｰ 1.5G ｴｱﾛﾂｱﾗｰ</t>
    <phoneticPr fontId="13"/>
  </si>
  <si>
    <t>NZE161-7124801</t>
    <phoneticPr fontId="13"/>
  </si>
  <si>
    <t>パレットX</t>
    <phoneticPr fontId="13"/>
  </si>
  <si>
    <t>MK21S-274105</t>
    <phoneticPr fontId="13"/>
  </si>
  <si>
    <t>A302892</t>
    <phoneticPr fontId="13"/>
  </si>
  <si>
    <t>1/2</t>
    <phoneticPr fontId="13"/>
  </si>
  <si>
    <t>ﾊｽﾗｰ Jｽﾀｲﾙ3</t>
    <phoneticPr fontId="13"/>
  </si>
  <si>
    <t>MR41S-326990</t>
    <phoneticPr fontId="13"/>
  </si>
  <si>
    <t>27-1088</t>
  </si>
  <si>
    <t>A304180</t>
    <phoneticPr fontId="13"/>
  </si>
  <si>
    <t>GDH201-1097239</t>
    <phoneticPr fontId="13"/>
  </si>
  <si>
    <t>7/10/19</t>
    <phoneticPr fontId="13"/>
  </si>
  <si>
    <t>27-1089</t>
  </si>
  <si>
    <t>582 い 1083</t>
    <phoneticPr fontId="13"/>
  </si>
  <si>
    <t>582 い 1084</t>
    <phoneticPr fontId="13"/>
  </si>
  <si>
    <t>582 い 1085</t>
    <phoneticPr fontId="13"/>
  </si>
  <si>
    <t>福井 330 て 8067</t>
    <rPh sb="0" eb="2">
      <t>フクイ</t>
    </rPh>
    <phoneticPr fontId="13"/>
  </si>
  <si>
    <t>株式会社ｼﾈｸｽﾃｰｼﾞ</t>
    <rPh sb="0" eb="4">
      <t>カブシキガイシャ</t>
    </rPh>
    <phoneticPr fontId="13"/>
  </si>
  <si>
    <t>保証書 取説 ｷｰﾚｽ→ストック</t>
    <rPh sb="0" eb="3">
      <t>ホショウショ</t>
    </rPh>
    <rPh sb="4" eb="6">
      <t>トリセツ</t>
    </rPh>
    <phoneticPr fontId="13"/>
  </si>
  <si>
    <t>ﾏｲｸﾛSD</t>
    <phoneticPr fontId="13"/>
  </si>
  <si>
    <t>名古屋 778 た 284</t>
    <rPh sb="0" eb="3">
      <t>ナゴヤ</t>
    </rPh>
    <phoneticPr fontId="13"/>
  </si>
  <si>
    <t>WMWLR920802F96175</t>
    <phoneticPr fontId="13"/>
  </si>
  <si>
    <t>BMW 3ｼﾘｰｽﾞ 320 dxdriveﾂｰﾘﾝｸﾞMｽﾎﾟ</t>
    <phoneticPr fontId="13"/>
  </si>
  <si>
    <t>WBA6L72050FJ43334</t>
    <phoneticPr fontId="13"/>
  </si>
  <si>
    <t>ｽﾍﾟｱｷｰ(車内)保証書 取説</t>
    <rPh sb="7" eb="9">
      <t>シャナイ</t>
    </rPh>
    <rPh sb="10" eb="13">
      <t>ホショウショ</t>
    </rPh>
    <rPh sb="14" eb="16">
      <t>トリセツ</t>
    </rPh>
    <phoneticPr fontId="13"/>
  </si>
  <si>
    <t>地図SD(車内)→ｽﾄｯｸ 保証書 取説 SD</t>
    <rPh sb="0" eb="2">
      <t>チズ</t>
    </rPh>
    <rPh sb="5" eb="7">
      <t>シャナイ</t>
    </rPh>
    <rPh sb="14" eb="17">
      <t>ホショウショ</t>
    </rPh>
    <rPh sb="18" eb="20">
      <t>トリセツ</t>
    </rPh>
    <phoneticPr fontId="13"/>
  </si>
  <si>
    <t>地図SD(車内)保証書 取説 ﾅﾋﾞ取</t>
    <rPh sb="0" eb="2">
      <t>チズ</t>
    </rPh>
    <rPh sb="5" eb="7">
      <t>シャナイ</t>
    </rPh>
    <rPh sb="8" eb="11">
      <t>ホショウショ</t>
    </rPh>
    <rPh sb="12" eb="14">
      <t>トリセツ</t>
    </rPh>
    <rPh sb="18" eb="19">
      <t>トリ</t>
    </rPh>
    <phoneticPr fontId="13"/>
  </si>
  <si>
    <t>品川 39A み 1189</t>
    <rPh sb="0" eb="2">
      <t>シナガワ</t>
    </rPh>
    <phoneticPr fontId="13"/>
  </si>
  <si>
    <t>飯室 実</t>
    <rPh sb="0" eb="2">
      <t>イイムロ</t>
    </rPh>
    <rPh sb="3" eb="4">
      <t>ミノル</t>
    </rPh>
    <phoneticPr fontId="13"/>
  </si>
  <si>
    <t>保証書 ｷｰﾚｽ ﾜﾝｵｰﾅｰ</t>
    <rPh sb="0" eb="3">
      <t>ホショウショ</t>
    </rPh>
    <phoneticPr fontId="13"/>
  </si>
  <si>
    <t>WMWWG720003C83915</t>
    <phoneticPr fontId="13"/>
  </si>
  <si>
    <t>株式会社ﾎﾝﾀﾞｶｰｽﾞ松江</t>
    <rPh sb="0" eb="4">
      <t>カブシキガイシャ</t>
    </rPh>
    <rPh sb="12" eb="14">
      <t>マツエ</t>
    </rPh>
    <phoneticPr fontId="13"/>
  </si>
  <si>
    <t>US神戸からtax言われたら伴さん連絡</t>
    <rPh sb="2" eb="4">
      <t>コウベ</t>
    </rPh>
    <rPh sb="9" eb="10">
      <t>イ</t>
    </rPh>
    <rPh sb="14" eb="15">
      <t>バン</t>
    </rPh>
    <rPh sb="17" eb="19">
      <t>レンラク</t>
    </rPh>
    <phoneticPr fontId="13"/>
  </si>
  <si>
    <t>品番：CN-RE05WD</t>
    <rPh sb="0" eb="2">
      <t>ヒンバン</t>
    </rPh>
    <phoneticPr fontId="13"/>
  </si>
  <si>
    <t>神戸 520 ゆ 358</t>
    <rPh sb="0" eb="2">
      <t>コウベ</t>
    </rPh>
    <phoneticPr fontId="13"/>
  </si>
  <si>
    <t>田村 賢一</t>
    <rPh sb="0" eb="2">
      <t>タムラ</t>
    </rPh>
    <rPh sb="3" eb="5">
      <t>ケンイチ</t>
    </rPh>
    <phoneticPr fontId="13"/>
  </si>
  <si>
    <t>野田 585 み 5678</t>
    <rPh sb="0" eb="2">
      <t>ノダ</t>
    </rPh>
    <phoneticPr fontId="13"/>
  </si>
  <si>
    <t>松本 昌彦</t>
    <rPh sb="0" eb="2">
      <t>マツモト</t>
    </rPh>
    <rPh sb="3" eb="5">
      <t>マサヒコ</t>
    </rPh>
    <phoneticPr fontId="13"/>
  </si>
  <si>
    <t>足立 583 む 3150</t>
    <rPh sb="0" eb="2">
      <t>アダチ</t>
    </rPh>
    <phoneticPr fontId="13"/>
  </si>
  <si>
    <t>小島 隆司</t>
    <rPh sb="0" eb="2">
      <t>コジマ</t>
    </rPh>
    <rPh sb="3" eb="5">
      <t>タカシ</t>
    </rPh>
    <phoneticPr fontId="13"/>
  </si>
  <si>
    <t>広島 591 え 27</t>
    <rPh sb="0" eb="2">
      <t>ヒロシマ</t>
    </rPh>
    <phoneticPr fontId="13"/>
  </si>
  <si>
    <t>高知 580 み 9386</t>
    <rPh sb="0" eb="2">
      <t>コウチ</t>
    </rPh>
    <phoneticPr fontId="13"/>
  </si>
  <si>
    <t>高知ﾀﾞｲﾊﾂ販売株式会社</t>
    <rPh sb="0" eb="2">
      <t>コウチ</t>
    </rPh>
    <rPh sb="7" eb="13">
      <t>ハンバイカブシキガイシャ</t>
    </rPh>
    <phoneticPr fontId="13"/>
  </si>
  <si>
    <t>堺 580 み 630</t>
    <rPh sb="0" eb="1">
      <t>サカイ</t>
    </rPh>
    <phoneticPr fontId="13"/>
  </si>
  <si>
    <t>株式会社ﾎﾝﾀﾞﾌﾟﾘﾓ大阪南</t>
    <rPh sb="0" eb="4">
      <t>カブシキガイシャ</t>
    </rPh>
    <rPh sb="12" eb="14">
      <t>オオサカ</t>
    </rPh>
    <rPh sb="14" eb="15">
      <t>ミナミ</t>
    </rPh>
    <phoneticPr fontId="13"/>
  </si>
  <si>
    <t>広島 580 ひ 116</t>
    <rPh sb="0" eb="2">
      <t>ヒロシマ</t>
    </rPh>
    <phoneticPr fontId="13"/>
  </si>
  <si>
    <t>品川 49A そ 583</t>
    <rPh sb="0" eb="2">
      <t>シナガワ</t>
    </rPh>
    <phoneticPr fontId="13"/>
  </si>
  <si>
    <t>ﾄﾖﾀﾓﾋﾞﾘﾃｨｻｰﾋﾞｽ株式会社</t>
    <rPh sb="14" eb="18">
      <t>カブシキガイシャ</t>
    </rPh>
    <phoneticPr fontId="13"/>
  </si>
  <si>
    <t>27-913</t>
    <phoneticPr fontId="13"/>
  </si>
  <si>
    <t>愛媛 587 ふ 121</t>
    <rPh sb="0" eb="2">
      <t>エヒメ</t>
    </rPh>
    <phoneticPr fontId="13"/>
  </si>
  <si>
    <t>竹本 数馬</t>
    <rPh sb="0" eb="2">
      <t>タケモト</t>
    </rPh>
    <rPh sb="3" eb="5">
      <t>カズマ</t>
    </rPh>
    <phoneticPr fontId="13"/>
  </si>
  <si>
    <t>保証書 取説 miniB-CAS</t>
    <rPh sb="0" eb="3">
      <t>ホショウショ</t>
    </rPh>
    <rPh sb="4" eb="6">
      <t>トリセツ</t>
    </rPh>
    <phoneticPr fontId="13"/>
  </si>
  <si>
    <t>27-1090</t>
  </si>
  <si>
    <t>27-1091</t>
  </si>
  <si>
    <t>27-1092</t>
  </si>
  <si>
    <t>27-1093</t>
  </si>
  <si>
    <t>27-1094</t>
  </si>
  <si>
    <t>27-1095</t>
  </si>
  <si>
    <t>27-1096</t>
  </si>
  <si>
    <t>27-1097</t>
  </si>
  <si>
    <t>27-1098</t>
  </si>
  <si>
    <t>27-1099</t>
  </si>
  <si>
    <t>27-1100</t>
  </si>
  <si>
    <t>27-1101</t>
  </si>
  <si>
    <t>27-1102</t>
  </si>
  <si>
    <t>27-1103</t>
  </si>
  <si>
    <t>27-1104</t>
  </si>
  <si>
    <t>27-1105</t>
  </si>
  <si>
    <t>27-1106</t>
  </si>
  <si>
    <t>27-1107</t>
  </si>
  <si>
    <t>27-1108</t>
  </si>
  <si>
    <t>27-1109</t>
  </si>
  <si>
    <t>27-1110</t>
  </si>
  <si>
    <t>27-1111</t>
  </si>
  <si>
    <t>27-1112</t>
  </si>
  <si>
    <t>CAA東京(まとめ)</t>
    <rPh sb="3" eb="5">
      <t>トウキョウ</t>
    </rPh>
    <phoneticPr fontId="13"/>
  </si>
  <si>
    <t>WMWXU72050TR60807</t>
    <phoneticPr fontId="13"/>
  </si>
  <si>
    <t>27-1113</t>
  </si>
  <si>
    <t>27-1114</t>
  </si>
  <si>
    <t>27-1115</t>
  </si>
  <si>
    <t>27-1116</t>
  </si>
  <si>
    <t>DA17W-287494</t>
    <phoneticPr fontId="13"/>
  </si>
  <si>
    <t>JF3-2060014</t>
    <phoneticPr fontId="13"/>
  </si>
  <si>
    <t>LA810S-0038065</t>
    <phoneticPr fontId="13"/>
  </si>
  <si>
    <t>27-1117</t>
  </si>
  <si>
    <t>27-1118</t>
  </si>
  <si>
    <t>27-1119</t>
  </si>
  <si>
    <t>27-1120</t>
  </si>
  <si>
    <t>27-1121</t>
  </si>
  <si>
    <t>27-1122</t>
  </si>
  <si>
    <t>ｱﾙﾄﾗﾊﾟﾝ X L</t>
    <phoneticPr fontId="13"/>
  </si>
  <si>
    <t>HE22S-434524</t>
    <phoneticPr fontId="13"/>
  </si>
  <si>
    <t>24/6</t>
    <phoneticPr fontId="13"/>
  </si>
  <si>
    <t>HE22S-242948</t>
    <phoneticPr fontId="13"/>
  </si>
  <si>
    <t>ﾙﾉｰ ﾄｩｲﾝｺﾞ GT</t>
    <phoneticPr fontId="13"/>
  </si>
  <si>
    <t>VF1AHB55AH0767079</t>
    <phoneticPr fontId="13"/>
  </si>
  <si>
    <t>MN71S-319078</t>
    <phoneticPr fontId="13"/>
  </si>
  <si>
    <t>27-1123</t>
  </si>
  <si>
    <t>27-1124</t>
  </si>
  <si>
    <t>27-1125</t>
  </si>
  <si>
    <t>27-1126</t>
  </si>
  <si>
    <t>27-1127</t>
  </si>
  <si>
    <t>ｴﾌﾞﾘｲﾜｺﾞﾝ PZﾀｰﾎﾞ ｽﾍﾟｼｬﾙ</t>
    <phoneticPr fontId="13"/>
  </si>
  <si>
    <t>DA17W-259766</t>
    <phoneticPr fontId="13"/>
  </si>
  <si>
    <t>なにわ 581 き 497</t>
    <phoneticPr fontId="13"/>
  </si>
  <si>
    <t>MK42S-208697</t>
    <phoneticPr fontId="13"/>
  </si>
  <si>
    <t>ﾍﾞﾝﾂ Cｸﾗｽ C220d ｱﾊﾞﾝｷﾞｬﾙﾄﾞ AMGﾗｲﾝ</t>
    <phoneticPr fontId="13"/>
  </si>
  <si>
    <t>WDD2050142R522562</t>
    <phoneticPr fontId="13"/>
  </si>
  <si>
    <t>尾張小牧 303 す 3228</t>
    <rPh sb="0" eb="4">
      <t>オワリコマキ</t>
    </rPh>
    <phoneticPr fontId="13"/>
  </si>
  <si>
    <t>BMWﾐﾆ ﾜﾝ</t>
    <phoneticPr fontId="13"/>
  </si>
  <si>
    <t>WMWXN720403A95439</t>
    <phoneticPr fontId="13"/>
  </si>
  <si>
    <t>静岡 330 ふ 2338</t>
    <rPh sb="0" eb="2">
      <t>シズオカ</t>
    </rPh>
    <phoneticPr fontId="13"/>
  </si>
  <si>
    <t>WMWZB72060WU16149</t>
    <phoneticPr fontId="13"/>
  </si>
  <si>
    <t>27-1128</t>
  </si>
  <si>
    <t>VW ｱﾙﾃｵﾝ TSI 4ﾓｰｼｮﾝ Rﾗｲﾝｱﾄﾞﾊﾞﾝｽ</t>
    <phoneticPr fontId="13"/>
  </si>
  <si>
    <t>WVWZZZ3HZJE505877</t>
    <phoneticPr fontId="13"/>
  </si>
  <si>
    <t>岐阜 31ｋ て 8008</t>
    <rPh sb="0" eb="2">
      <t>ギフ</t>
    </rPh>
    <phoneticPr fontId="13"/>
  </si>
  <si>
    <t>N-BOX GEXﾀｰﾎﾞ ﾎﾝﾀﾞｾﾝｼﾝｸﾞ</t>
    <phoneticPr fontId="13"/>
  </si>
  <si>
    <t>ﾑｰﾌﾞｷｬﾝﾊﾞｽ　ﾌﾞﾗｯｸｲﾝﾃﾘｱﾘﾐﾃｯﾄﾞSA3</t>
    <phoneticPr fontId="13"/>
  </si>
  <si>
    <t>ｼﾞｬｶﾞｰ Eﾍﾟｲｽ Rﾀﾞｲﾅﾐｯｸ SE250PS</t>
    <phoneticPr fontId="13"/>
  </si>
  <si>
    <t>SADF2AX3L1Z90725</t>
    <phoneticPr fontId="13"/>
  </si>
  <si>
    <t>湘南 325 は 555</t>
    <rPh sb="0" eb="2">
      <t>ショウナン</t>
    </rPh>
    <phoneticPr fontId="13"/>
  </si>
  <si>
    <t>DA17W-148962</t>
    <phoneticPr fontId="13"/>
  </si>
  <si>
    <t>8/11/29</t>
    <phoneticPr fontId="13"/>
  </si>
  <si>
    <t>9/3/21</t>
    <phoneticPr fontId="13"/>
  </si>
  <si>
    <t>ｸﾛｽﾋﾞｰ  HVMZｾﾞﾝﾎｳｲﾓﾆﾀｰｶﾒﾗ</t>
    <phoneticPr fontId="13"/>
  </si>
  <si>
    <t>9/1/8</t>
    <phoneticPr fontId="13"/>
  </si>
  <si>
    <t>ZFA3120000JE22133</t>
    <phoneticPr fontId="13"/>
  </si>
  <si>
    <t>大宮 540 ぬ 2828</t>
    <rPh sb="0" eb="2">
      <t>オオミヤ</t>
    </rPh>
    <phoneticPr fontId="13"/>
  </si>
  <si>
    <t>LA650S-0433069</t>
    <phoneticPr fontId="13"/>
  </si>
  <si>
    <t>大阪 794 ひ 77</t>
    <rPh sb="0" eb="2">
      <t>オオサカ</t>
    </rPh>
    <phoneticPr fontId="13"/>
  </si>
  <si>
    <t>パレットﾘﾐﾃｯﾄﾞ2</t>
    <phoneticPr fontId="13"/>
  </si>
  <si>
    <t>MK21S-280282</t>
    <phoneticPr fontId="13"/>
  </si>
  <si>
    <t>MH34S-353201</t>
    <phoneticPr fontId="13"/>
  </si>
  <si>
    <t>岐阜 480 た 4655</t>
    <rPh sb="0" eb="2">
      <t>ギフ</t>
    </rPh>
    <phoneticPr fontId="13"/>
  </si>
  <si>
    <t>有限会社佐々木ﾓｰﾀｰｽ</t>
    <rPh sb="0" eb="4">
      <t>ユウゲンガイシャ</t>
    </rPh>
    <rPh sb="4" eb="7">
      <t>ササキ</t>
    </rPh>
    <phoneticPr fontId="13"/>
  </si>
  <si>
    <t>多摩 592 ろ 2690</t>
    <rPh sb="0" eb="2">
      <t>タマ</t>
    </rPh>
    <phoneticPr fontId="13"/>
  </si>
  <si>
    <t>岐阜 580 わ 5998</t>
    <rPh sb="0" eb="2">
      <t>ギフ</t>
    </rPh>
    <phoneticPr fontId="13"/>
  </si>
  <si>
    <t>三菱ｵｰﾄﾘｰｽ株式会社</t>
    <rPh sb="0" eb="2">
      <t>ミツビシ</t>
    </rPh>
    <rPh sb="8" eb="12">
      <t>カブシキガイシャ</t>
    </rPh>
    <phoneticPr fontId="13"/>
  </si>
  <si>
    <t>ｷｰﾚｽ(車内)保証書 取説 ﾜﾝｵｰﾅｰ 名変期間10/31</t>
    <rPh sb="5" eb="7">
      <t>シャナイ</t>
    </rPh>
    <rPh sb="8" eb="11">
      <t>ホショウショ</t>
    </rPh>
    <rPh sb="12" eb="14">
      <t>トリセツ</t>
    </rPh>
    <rPh sb="22" eb="26">
      <t>メイヘンキカン</t>
    </rPh>
    <phoneticPr fontId="13"/>
  </si>
  <si>
    <t>1C4HJWKG1JL877268</t>
    <phoneticPr fontId="13"/>
  </si>
  <si>
    <t>左藤 文俊</t>
    <rPh sb="0" eb="2">
      <t>サトウ</t>
    </rPh>
    <rPh sb="3" eb="5">
      <t>フミトシ</t>
    </rPh>
    <phoneticPr fontId="13"/>
  </si>
  <si>
    <t>301 ね 2367</t>
    <phoneticPr fontId="13"/>
  </si>
  <si>
    <t>480 ね 1317</t>
    <phoneticPr fontId="13"/>
  </si>
  <si>
    <t>582 い 1255</t>
    <phoneticPr fontId="13"/>
  </si>
  <si>
    <t>582 い 1256</t>
    <phoneticPr fontId="13"/>
  </si>
  <si>
    <t>582 い 1257</t>
    <phoneticPr fontId="13"/>
  </si>
  <si>
    <t>582 い 1258</t>
    <phoneticPr fontId="13"/>
  </si>
  <si>
    <t>582 い 1259</t>
    <phoneticPr fontId="13"/>
  </si>
  <si>
    <t>582 い 1260</t>
    <phoneticPr fontId="13"/>
  </si>
  <si>
    <t>TAA中部</t>
    <rPh sb="3" eb="5">
      <t>チュウブ</t>
    </rPh>
    <phoneticPr fontId="13"/>
  </si>
  <si>
    <t>3/9</t>
    <phoneticPr fontId="13"/>
  </si>
  <si>
    <t>白</t>
    <rPh sb="0" eb="1">
      <t>シロ</t>
    </rPh>
    <phoneticPr fontId="13"/>
  </si>
  <si>
    <t>NV100ｸﾘｯﾊﾟｰﾊﾞﾝ　DX　GLｾｰﾌﾃｨｰﾊﾟｯｹｰｼﾞ</t>
    <phoneticPr fontId="13"/>
  </si>
  <si>
    <t>DR17V-475536</t>
    <phoneticPr fontId="13"/>
  </si>
  <si>
    <t>29/8</t>
    <phoneticPr fontId="13"/>
  </si>
  <si>
    <t>青</t>
    <rPh sb="0" eb="1">
      <t>アオ</t>
    </rPh>
    <phoneticPr fontId="13"/>
  </si>
  <si>
    <t>ﾊｽﾗｰ　Ｊｽﾀｲﾙ２ﾀｰﾎﾞ</t>
    <phoneticPr fontId="13"/>
  </si>
  <si>
    <t>MR41Sｰ627915</t>
    <phoneticPr fontId="13"/>
  </si>
  <si>
    <t>8/8</t>
    <phoneticPr fontId="13"/>
  </si>
  <si>
    <t>松本　587　ら　358</t>
    <rPh sb="0" eb="2">
      <t>マツモト</t>
    </rPh>
    <phoneticPr fontId="13"/>
  </si>
  <si>
    <t>TAA東北</t>
    <rPh sb="3" eb="5">
      <t>トウホク</t>
    </rPh>
    <phoneticPr fontId="13"/>
  </si>
  <si>
    <t>30/9</t>
    <phoneticPr fontId="13"/>
  </si>
  <si>
    <t>BMWﾐﾆ</t>
    <phoneticPr fontId="13"/>
  </si>
  <si>
    <t>WMWXR32000TE32718</t>
    <phoneticPr fontId="13"/>
  </si>
  <si>
    <t>ZIP大阪</t>
    <rPh sb="3" eb="5">
      <t>オオサカ</t>
    </rPh>
    <phoneticPr fontId="13"/>
  </si>
  <si>
    <t>30/3</t>
    <phoneticPr fontId="13"/>
  </si>
  <si>
    <t>ﾒﾙｾﾃﾞｽﾍﾞﾝﾂ　G　350D</t>
    <phoneticPr fontId="13"/>
  </si>
  <si>
    <t>WDB46334824287433</t>
    <phoneticPr fontId="13"/>
  </si>
  <si>
    <t>9/3</t>
    <phoneticPr fontId="13"/>
  </si>
  <si>
    <t>和歌山　300　る　8877</t>
    <phoneticPr fontId="13"/>
  </si>
  <si>
    <t>ZIP大阪</t>
    <phoneticPr fontId="13"/>
  </si>
  <si>
    <t>28/12</t>
    <phoneticPr fontId="13"/>
  </si>
  <si>
    <t>黒</t>
    <rPh sb="0" eb="1">
      <t>クロ</t>
    </rPh>
    <phoneticPr fontId="13"/>
  </si>
  <si>
    <t>ﾜｺﾞﾝR　FX</t>
    <phoneticPr fontId="13"/>
  </si>
  <si>
    <t>MH34S-546207</t>
    <phoneticPr fontId="13"/>
  </si>
  <si>
    <t>26/2</t>
    <phoneticPr fontId="13"/>
  </si>
  <si>
    <t>ﾊﾟｰﾙ</t>
    <phoneticPr fontId="13"/>
  </si>
  <si>
    <t>ｽﾍﾟｰｼｱ　X</t>
    <phoneticPr fontId="13"/>
  </si>
  <si>
    <t>MK32S-173985</t>
    <phoneticPr fontId="13"/>
  </si>
  <si>
    <t>9/2/27</t>
    <phoneticPr fontId="13"/>
  </si>
  <si>
    <t>3/7</t>
    <phoneticPr fontId="13"/>
  </si>
  <si>
    <t>ｼﾙﾊﾞｰ</t>
    <phoneticPr fontId="13"/>
  </si>
  <si>
    <t>ｽﾍﾟｰｼｱ　ﾊｲﾌﾞﾘｯﾄX</t>
    <phoneticPr fontId="13"/>
  </si>
  <si>
    <t>MK53S-367023</t>
    <phoneticPr fontId="13"/>
  </si>
  <si>
    <t>31/3</t>
    <phoneticPr fontId="13"/>
  </si>
  <si>
    <t>ﾊｽﾗｰ　A</t>
    <phoneticPr fontId="13"/>
  </si>
  <si>
    <t>MR31S-120657</t>
    <phoneticPr fontId="13"/>
  </si>
  <si>
    <t>27/5</t>
    <phoneticPr fontId="13"/>
  </si>
  <si>
    <t>ﾊｽﾗｰXﾀｰﾎﾞ　４WD</t>
    <phoneticPr fontId="13"/>
  </si>
  <si>
    <t>MR31S-841125</t>
    <phoneticPr fontId="13"/>
  </si>
  <si>
    <t>８/5</t>
    <phoneticPr fontId="13"/>
  </si>
  <si>
    <t>R</t>
    <phoneticPr fontId="13"/>
  </si>
  <si>
    <t>2/5</t>
    <phoneticPr fontId="13"/>
  </si>
  <si>
    <t>水色</t>
    <rPh sb="0" eb="2">
      <t>ミズイロ</t>
    </rPh>
    <phoneticPr fontId="13"/>
  </si>
  <si>
    <t>ﾑｰﾌﾞX　ﾘﾐﾃｯﾄﾞ　SA３</t>
    <phoneticPr fontId="13"/>
  </si>
  <si>
    <t>LA150S-2058113</t>
    <phoneticPr fontId="13"/>
  </si>
  <si>
    <t>9/5</t>
    <phoneticPr fontId="13"/>
  </si>
  <si>
    <t>名古屋　582　む　2410</t>
    <rPh sb="0" eb="3">
      <t>ナゴヤ</t>
    </rPh>
    <phoneticPr fontId="13"/>
  </si>
  <si>
    <t>30/6</t>
    <phoneticPr fontId="13"/>
  </si>
  <si>
    <t>ﾃﾞｲｽﾞﾙｰｸｽ　ﾊｲｳｪｽﾀｰ　Gﾀｰﾎﾞ</t>
    <phoneticPr fontId="13"/>
  </si>
  <si>
    <t>B21A-0509798</t>
    <phoneticPr fontId="13"/>
  </si>
  <si>
    <t>9/6/28</t>
    <phoneticPr fontId="13"/>
  </si>
  <si>
    <t>一宮　580　ぬ　2364</t>
    <rPh sb="0" eb="2">
      <t>イチノミヤ</t>
    </rPh>
    <phoneticPr fontId="13"/>
  </si>
  <si>
    <t>5/2</t>
    <phoneticPr fontId="13"/>
  </si>
  <si>
    <t>ﾑｰﾌﾞｷｬﾝﾊﾞｽ　Gﾀｰﾎﾞ</t>
    <phoneticPr fontId="13"/>
  </si>
  <si>
    <t>LA850S-0023483</t>
    <phoneticPr fontId="13"/>
  </si>
  <si>
    <t>24/4</t>
    <phoneticPr fontId="13"/>
  </si>
  <si>
    <t>ﾗﾊﾟﾝ　10Thｱﾆﾊﾞｰｻﾘｰ</t>
    <phoneticPr fontId="13"/>
  </si>
  <si>
    <t>HE22S-236545</t>
    <phoneticPr fontId="13"/>
  </si>
  <si>
    <t>6/7</t>
    <phoneticPr fontId="13"/>
  </si>
  <si>
    <t>赤</t>
    <rPh sb="0" eb="1">
      <t>アカ</t>
    </rPh>
    <phoneticPr fontId="13"/>
  </si>
  <si>
    <t>ｽﾍﾟｰｼｱｶｽﾀﾑ　XSﾀｰﾎﾞ</t>
    <phoneticPr fontId="13"/>
  </si>
  <si>
    <t>MK54S-128444</t>
    <phoneticPr fontId="13"/>
  </si>
  <si>
    <t>9/7/18</t>
    <phoneticPr fontId="13"/>
  </si>
  <si>
    <t>３/8</t>
    <phoneticPr fontId="13"/>
  </si>
  <si>
    <t>ﾀﾝﾄ　ｶｽﾀﾑ　X</t>
    <phoneticPr fontId="13"/>
  </si>
  <si>
    <t>LA650S-1099958</t>
    <phoneticPr fontId="13"/>
  </si>
  <si>
    <t>ﾍﾞｰｼﾞｭ</t>
    <phoneticPr fontId="13"/>
  </si>
  <si>
    <t>ｱﾙﾄﾗﾊﾟﾝ　X</t>
    <phoneticPr fontId="13"/>
  </si>
  <si>
    <t>HE３３S-325436</t>
    <phoneticPr fontId="13"/>
  </si>
  <si>
    <t>24/8</t>
    <phoneticPr fontId="13"/>
  </si>
  <si>
    <t>ｴﾌﾞﾘｨﾜｺﾞﾝ PZﾀｰﾎﾞ</t>
    <phoneticPr fontId="13"/>
  </si>
  <si>
    <t>DA64W-405982</t>
    <phoneticPr fontId="13"/>
  </si>
  <si>
    <t>26/10</t>
    <phoneticPr fontId="13"/>
  </si>
  <si>
    <t>MH34S-373032</t>
    <phoneticPr fontId="13"/>
  </si>
  <si>
    <t>岐阜　581　て　2151</t>
    <rPh sb="0" eb="2">
      <t>ギフ</t>
    </rPh>
    <phoneticPr fontId="13"/>
  </si>
  <si>
    <t>岐阜　581　な 6044</t>
    <rPh sb="0" eb="2">
      <t>ギフ</t>
    </rPh>
    <phoneticPr fontId="13"/>
  </si>
  <si>
    <t>名古屋　58A　ね　8133</t>
    <rPh sb="0" eb="3">
      <t>ナゴヤ</t>
    </rPh>
    <phoneticPr fontId="13"/>
  </si>
  <si>
    <t>HAA神戸</t>
    <rPh sb="3" eb="5">
      <t>コウベ</t>
    </rPh>
    <phoneticPr fontId="13"/>
  </si>
  <si>
    <t>多摩 592 ろ 2627</t>
    <rPh sb="0" eb="2">
      <t>タマ</t>
    </rPh>
    <phoneticPr fontId="13"/>
  </si>
  <si>
    <t>TAA近畿(ﾜﾝﾌﾟﾗ)</t>
    <rPh sb="3" eb="5">
      <t>キンキ</t>
    </rPh>
    <phoneticPr fontId="13"/>
  </si>
  <si>
    <t>27-1129</t>
  </si>
  <si>
    <t>27-1130</t>
  </si>
  <si>
    <t>WMWYT920903F82738</t>
    <phoneticPr fontId="13"/>
  </si>
  <si>
    <t>27-1131</t>
  </si>
  <si>
    <t>27-1132</t>
  </si>
  <si>
    <t>27-1133</t>
  </si>
  <si>
    <t>27-1134</t>
  </si>
  <si>
    <t>ANH20-8334850</t>
    <phoneticPr fontId="13"/>
  </si>
  <si>
    <t>ｱﾙﾌｧｰﾄﾞ 240S Cﾊﾟｯｹｰｼﾞ</t>
    <phoneticPr fontId="13"/>
  </si>
  <si>
    <t>27-1135</t>
  </si>
  <si>
    <t>27-1136</t>
  </si>
  <si>
    <t>27-1137</t>
  </si>
  <si>
    <t>27-1138</t>
  </si>
  <si>
    <t>27-1139</t>
  </si>
  <si>
    <t>27-1140</t>
  </si>
  <si>
    <t>27-1141</t>
  </si>
  <si>
    <t>27-1142</t>
  </si>
  <si>
    <t>27-1143</t>
  </si>
  <si>
    <t>27-1144</t>
  </si>
  <si>
    <t>27-1145</t>
  </si>
  <si>
    <t>27-1146</t>
  </si>
  <si>
    <t>27-1147</t>
  </si>
  <si>
    <t>27-1148</t>
  </si>
  <si>
    <t>27-1149</t>
  </si>
  <si>
    <t>27-1150</t>
  </si>
  <si>
    <t>27-1151</t>
  </si>
  <si>
    <t>27-1152</t>
  </si>
  <si>
    <t>27-1153</t>
  </si>
  <si>
    <t>ﾀﾝﾄ ｽﾛｰﾊﾟｰL</t>
    <phoneticPr fontId="13"/>
  </si>
  <si>
    <t>LA650S-0087742</t>
    <phoneticPr fontId="13"/>
  </si>
  <si>
    <t>JF1-1533033</t>
    <phoneticPr fontId="13"/>
  </si>
  <si>
    <t>MR92S-339226</t>
    <phoneticPr fontId="13"/>
  </si>
  <si>
    <t>三河 583 け 1923</t>
    <rPh sb="0" eb="2">
      <t>ミカワ</t>
    </rPh>
    <phoneticPr fontId="13"/>
  </si>
  <si>
    <t>MR41S-290335</t>
    <phoneticPr fontId="13"/>
  </si>
  <si>
    <t>岐阜 583 え 3052</t>
    <rPh sb="0" eb="2">
      <t>ギフ</t>
    </rPh>
    <phoneticPr fontId="13"/>
  </si>
  <si>
    <t>DA17W-355523</t>
    <phoneticPr fontId="13"/>
  </si>
  <si>
    <t>滋賀 583 そ 7787</t>
    <rPh sb="0" eb="2">
      <t>シガ</t>
    </rPh>
    <phoneticPr fontId="13"/>
  </si>
  <si>
    <t>MR92S-138300</t>
    <phoneticPr fontId="13"/>
  </si>
  <si>
    <t>ｽﾍﾟｰｼｱｶｽﾀﾑ　ﾊｲﾌﾞﾘｯﾄﾞXS</t>
    <phoneticPr fontId="13"/>
  </si>
  <si>
    <t>MK53S-671857</t>
    <phoneticPr fontId="13"/>
  </si>
  <si>
    <t>DA64W-360188</t>
    <phoneticPr fontId="13"/>
  </si>
  <si>
    <t>7/12/15</t>
    <phoneticPr fontId="13"/>
  </si>
  <si>
    <t>豊橋 580 ね 8235</t>
    <rPh sb="0" eb="2">
      <t>トヨハシ</t>
    </rPh>
    <phoneticPr fontId="13"/>
  </si>
  <si>
    <t>ｴﾌﾞﾘｨｼﾞｮｲﾝ ﾀｰﾎﾞ</t>
    <phoneticPr fontId="13"/>
  </si>
  <si>
    <t>DA17V-747064</t>
    <phoneticPr fontId="13"/>
  </si>
  <si>
    <t>福山 480 そ 3716</t>
    <rPh sb="0" eb="2">
      <t>フクヤマ</t>
    </rPh>
    <phoneticPr fontId="13"/>
  </si>
  <si>
    <t>MR52S-132822</t>
    <phoneticPr fontId="13"/>
  </si>
  <si>
    <t>名古屋 582 よ 8157</t>
    <rPh sb="0" eb="3">
      <t>ナゴヤ</t>
    </rPh>
    <phoneticPr fontId="13"/>
  </si>
  <si>
    <t>WMWXM520002E53486</t>
    <phoneticPr fontId="13"/>
  </si>
  <si>
    <t>9/7/3</t>
    <phoneticPr fontId="13"/>
  </si>
  <si>
    <t>岐阜 303 ね 7344</t>
    <rPh sb="0" eb="2">
      <t>ギフ</t>
    </rPh>
    <phoneticPr fontId="13"/>
  </si>
  <si>
    <t>N-WGNｶｽﾀﾑ G</t>
    <phoneticPr fontId="13"/>
  </si>
  <si>
    <t>JH1-1411626</t>
    <phoneticPr fontId="13"/>
  </si>
  <si>
    <t>保証書 ｽﾏｰﾄｷｰ</t>
    <rPh sb="0" eb="3">
      <t>ホショウショ</t>
    </rPh>
    <phoneticPr fontId="13"/>
  </si>
  <si>
    <t>DA64W-439761</t>
    <phoneticPr fontId="13"/>
  </si>
  <si>
    <t>MK32S-219495</t>
    <phoneticPr fontId="13"/>
  </si>
  <si>
    <t>480 ね 1336</t>
    <phoneticPr fontId="13"/>
  </si>
  <si>
    <t>480 ね 1335</t>
    <phoneticPr fontId="13"/>
  </si>
  <si>
    <t>480 ね 1334</t>
    <phoneticPr fontId="13"/>
  </si>
  <si>
    <t>480 ね 1333</t>
    <phoneticPr fontId="13"/>
  </si>
  <si>
    <t>582 い 1324</t>
    <phoneticPr fontId="13"/>
  </si>
  <si>
    <t>582 い 1323</t>
    <phoneticPr fontId="13"/>
  </si>
  <si>
    <t>582 い 1322</t>
    <phoneticPr fontId="13"/>
  </si>
  <si>
    <t>582 い 1321</t>
    <phoneticPr fontId="13"/>
  </si>
  <si>
    <t>582 い 1320</t>
    <phoneticPr fontId="13"/>
  </si>
  <si>
    <t>582 い 1319</t>
    <phoneticPr fontId="13"/>
  </si>
  <si>
    <t>582 い 1318</t>
    <phoneticPr fontId="13"/>
  </si>
  <si>
    <t>582 い 1317</t>
    <phoneticPr fontId="13"/>
  </si>
  <si>
    <t>582 い 1316</t>
    <phoneticPr fontId="13"/>
  </si>
  <si>
    <t>582 い 1315</t>
    <phoneticPr fontId="13"/>
  </si>
  <si>
    <t>582 い 1313</t>
    <phoneticPr fontId="13"/>
  </si>
  <si>
    <t>582 い 1312</t>
    <phoneticPr fontId="13"/>
  </si>
  <si>
    <t>582 い 1311</t>
    <phoneticPr fontId="13"/>
  </si>
  <si>
    <t>582 い 1310</t>
    <phoneticPr fontId="13"/>
  </si>
  <si>
    <t>山口 ルリ子</t>
    <rPh sb="0" eb="2">
      <t>ヤマグチ</t>
    </rPh>
    <rPh sb="5" eb="6">
      <t>コ</t>
    </rPh>
    <phoneticPr fontId="13"/>
  </si>
  <si>
    <t>福田 茂樹</t>
    <rPh sb="0" eb="2">
      <t>フクダ</t>
    </rPh>
    <rPh sb="3" eb="5">
      <t>シゲキ</t>
    </rPh>
    <phoneticPr fontId="13"/>
  </si>
  <si>
    <t>伊藤 正幸</t>
    <rPh sb="0" eb="2">
      <t>イトウ</t>
    </rPh>
    <rPh sb="3" eb="5">
      <t>マサユキ</t>
    </rPh>
    <phoneticPr fontId="13"/>
  </si>
  <si>
    <t>浜松 301 め 7128</t>
    <rPh sb="0" eb="2">
      <t>ハママツ</t>
    </rPh>
    <phoneticPr fontId="13"/>
  </si>
  <si>
    <t>浜松日産自動車株式会社</t>
    <rPh sb="0" eb="2">
      <t>ハママツ</t>
    </rPh>
    <rPh sb="2" eb="4">
      <t>ニッサン</t>
    </rPh>
    <rPh sb="4" eb="7">
      <t>ジドウシャ</t>
    </rPh>
    <rPh sb="7" eb="11">
      <t>カブシキガイシャ</t>
    </rPh>
    <phoneticPr fontId="13"/>
  </si>
  <si>
    <t>保証書 ﾚﾝﾀｶｰ 取説 ｷｰﾚｽ</t>
    <rPh sb="0" eb="3">
      <t>ホショウショ</t>
    </rPh>
    <rPh sb="10" eb="12">
      <t>トリセツ</t>
    </rPh>
    <phoneticPr fontId="13"/>
  </si>
  <si>
    <t>多摩 591 ろ 5478</t>
    <rPh sb="0" eb="2">
      <t>タマ</t>
    </rPh>
    <phoneticPr fontId="13"/>
  </si>
  <si>
    <t>なにわ 5P6 ろ 7138</t>
    <phoneticPr fontId="13"/>
  </si>
  <si>
    <t>岐阜 582 あ 1253</t>
    <rPh sb="0" eb="2">
      <t>ギフ</t>
    </rPh>
    <phoneticPr fontId="13"/>
  </si>
  <si>
    <t>石榑自動車興業株式会社</t>
    <rPh sb="0" eb="1">
      <t>イシ</t>
    </rPh>
    <rPh sb="1" eb="2">
      <t>クレ</t>
    </rPh>
    <rPh sb="2" eb="5">
      <t>ジドウシャ</t>
    </rPh>
    <rPh sb="5" eb="7">
      <t>コウギョウ</t>
    </rPh>
    <rPh sb="7" eb="11">
      <t>カブシキガイシャ</t>
    </rPh>
    <phoneticPr fontId="13"/>
  </si>
  <si>
    <t>福山 530 に 7535</t>
    <rPh sb="0" eb="2">
      <t>フクヤマ</t>
    </rPh>
    <phoneticPr fontId="13"/>
  </si>
  <si>
    <t>倉敷 500 て 923</t>
    <rPh sb="0" eb="2">
      <t>クラシキ</t>
    </rPh>
    <phoneticPr fontId="13"/>
  </si>
  <si>
    <t>広島 583 き 7588</t>
    <rPh sb="0" eb="2">
      <t>ヒロシマ</t>
    </rPh>
    <phoneticPr fontId="13"/>
  </si>
  <si>
    <t>株式会社広島ﾏﾂﾀﾞ</t>
    <rPh sb="0" eb="4">
      <t>カブシキガイシャ</t>
    </rPh>
    <rPh sb="4" eb="6">
      <t>ヒロシマ</t>
    </rPh>
    <phoneticPr fontId="13"/>
  </si>
  <si>
    <t>地図SD(車内 書類についてる)</t>
    <rPh sb="0" eb="2">
      <t>チズ</t>
    </rPh>
    <rPh sb="5" eb="7">
      <t>シャナイ</t>
    </rPh>
    <rPh sb="8" eb="10">
      <t>ショルイ</t>
    </rPh>
    <phoneticPr fontId="13"/>
  </si>
  <si>
    <t>愛媛 583 か 6755</t>
    <rPh sb="0" eb="2">
      <t>エヒメ</t>
    </rPh>
    <phoneticPr fontId="13"/>
  </si>
  <si>
    <t>愛媛ﾄﾖﾀ自動車株式会社</t>
    <rPh sb="0" eb="2">
      <t>エヒメ</t>
    </rPh>
    <rPh sb="5" eb="8">
      <t>ジドウシャ</t>
    </rPh>
    <rPh sb="8" eb="12">
      <t>カブシキガイシャ</t>
    </rPh>
    <phoneticPr fontId="13"/>
  </si>
  <si>
    <t>保証書 取説 (車内) 車内鍵2つあり</t>
    <rPh sb="0" eb="3">
      <t>ホショウショ</t>
    </rPh>
    <rPh sb="4" eb="6">
      <t>トリセツ</t>
    </rPh>
    <rPh sb="8" eb="10">
      <t>シャナイ</t>
    </rPh>
    <rPh sb="12" eb="14">
      <t>シャナイ</t>
    </rPh>
    <rPh sb="14" eb="15">
      <t>カギ</t>
    </rPh>
    <phoneticPr fontId="13"/>
  </si>
  <si>
    <t>滋賀日産自動車株式会社</t>
    <rPh sb="0" eb="2">
      <t>シガ</t>
    </rPh>
    <rPh sb="2" eb="4">
      <t>ニッサン</t>
    </rPh>
    <rPh sb="4" eb="11">
      <t>ジドウシャカブシキガイシャ</t>
    </rPh>
    <phoneticPr fontId="13"/>
  </si>
  <si>
    <t>三重日産自動車株式会社</t>
    <rPh sb="0" eb="2">
      <t>ミエ</t>
    </rPh>
    <rPh sb="2" eb="4">
      <t>ニッサン</t>
    </rPh>
    <rPh sb="4" eb="7">
      <t>ジドウシャ</t>
    </rPh>
    <rPh sb="7" eb="11">
      <t>カブシキガイシャ</t>
    </rPh>
    <phoneticPr fontId="13"/>
  </si>
  <si>
    <t>なにわ 5P6 ろ  7618</t>
    <phoneticPr fontId="13"/>
  </si>
  <si>
    <t>日産大阪販売株式会社</t>
    <rPh sb="0" eb="2">
      <t>ニッサン</t>
    </rPh>
    <rPh sb="2" eb="4">
      <t>オオサカ</t>
    </rPh>
    <rPh sb="4" eb="10">
      <t>ハンバイカブシキガイシャ</t>
    </rPh>
    <phoneticPr fontId="13"/>
  </si>
  <si>
    <t>名古屋 483 け 226</t>
    <rPh sb="0" eb="3">
      <t>ナゴヤ</t>
    </rPh>
    <phoneticPr fontId="13"/>
  </si>
  <si>
    <t>保証書 取説 ｽﾍﾟｱｷｰ ｷｰﾚｽ</t>
    <rPh sb="0" eb="3">
      <t>ホショウショ</t>
    </rPh>
    <rPh sb="4" eb="6">
      <t>トリセツ</t>
    </rPh>
    <phoneticPr fontId="13"/>
  </si>
  <si>
    <t>株式会社SMC</t>
    <rPh sb="0" eb="4">
      <t>カブシキガイシャ</t>
    </rPh>
    <phoneticPr fontId="13"/>
  </si>
  <si>
    <t>MR41S-378892</t>
    <phoneticPr fontId="13"/>
  </si>
  <si>
    <t>保証書 ﾅﾋﾞ取</t>
    <rPh sb="0" eb="3">
      <t>ホショウショ</t>
    </rPh>
    <rPh sb="7" eb="8">
      <t>トリ</t>
    </rPh>
    <phoneticPr fontId="13"/>
  </si>
  <si>
    <t>保証書 取説 ﾜﾝｵｰﾅｰ ｷｰﾚｽ</t>
    <phoneticPr fontId="13"/>
  </si>
  <si>
    <t>582 い 1377</t>
    <phoneticPr fontId="13"/>
  </si>
  <si>
    <t>582 い 1379</t>
    <phoneticPr fontId="13"/>
  </si>
  <si>
    <t>582 い 1378</t>
    <phoneticPr fontId="13"/>
  </si>
  <si>
    <t xml:space="preserve">取説 ｷｰﾚｽ (車内→ｽﾄｯｸ)保証書 ﾅﾝﾊﾞｰ </t>
    <rPh sb="0" eb="2">
      <t>トリセツ</t>
    </rPh>
    <rPh sb="9" eb="11">
      <t>シャナイ</t>
    </rPh>
    <rPh sb="17" eb="20">
      <t>ホショウショ</t>
    </rPh>
    <phoneticPr fontId="13"/>
  </si>
  <si>
    <t>ﾌｨｱｯﾄ500 ﾂｲﾝｴｱﾄﾞﾙﾁｪｳﾞｨｰﾀ</t>
    <phoneticPr fontId="13"/>
  </si>
  <si>
    <t>取説 ｷｰﾚｽ(車内)保証書 ﾚﾝﾀｶｰ 取説 ｷｰﾚｽ</t>
    <rPh sb="0" eb="2">
      <t>トリセツ</t>
    </rPh>
    <rPh sb="8" eb="10">
      <t>シャナイ</t>
    </rPh>
    <rPh sb="11" eb="14">
      <t>ホショウショ</t>
    </rPh>
    <rPh sb="21" eb="23">
      <t>トリセツ</t>
    </rPh>
    <phoneticPr fontId="13"/>
  </si>
  <si>
    <t>LAA岡山</t>
    <rPh sb="3" eb="5">
      <t>オカヤマ</t>
    </rPh>
    <phoneticPr fontId="13"/>
  </si>
  <si>
    <t>27-1154</t>
  </si>
  <si>
    <t>27-1155</t>
  </si>
  <si>
    <t>27-1156</t>
  </si>
  <si>
    <t>27-1157</t>
  </si>
  <si>
    <t>27-1158</t>
  </si>
  <si>
    <t>27-1159</t>
  </si>
  <si>
    <t>27-1160</t>
  </si>
  <si>
    <t>27-1161</t>
  </si>
  <si>
    <t>27-1162</t>
  </si>
  <si>
    <t>27-1163</t>
  </si>
  <si>
    <t>27-1164</t>
  </si>
  <si>
    <t>27-1165</t>
  </si>
  <si>
    <t>27-1166</t>
  </si>
  <si>
    <t>27-1167</t>
  </si>
  <si>
    <t>27-1168</t>
  </si>
  <si>
    <t>27-1169</t>
  </si>
  <si>
    <t>29/11</t>
    <phoneticPr fontId="13"/>
  </si>
  <si>
    <t>白</t>
    <rPh sb="0" eb="1">
      <t>シロ</t>
    </rPh>
    <phoneticPr fontId="13"/>
  </si>
  <si>
    <t>ｴﾌﾞﾘｨﾊﾞﾝ　PA　ﾊｲﾙｰﾌ</t>
    <phoneticPr fontId="13"/>
  </si>
  <si>
    <t>DA17V-288263</t>
    <phoneticPr fontId="13"/>
  </si>
  <si>
    <t>2/4</t>
    <phoneticPr fontId="13"/>
  </si>
  <si>
    <t>ｱﾙﾄ　L</t>
    <phoneticPr fontId="13"/>
  </si>
  <si>
    <t>HA36S-544204</t>
    <phoneticPr fontId="13"/>
  </si>
  <si>
    <t>9/4/23</t>
    <phoneticPr fontId="13"/>
  </si>
  <si>
    <t>29/7</t>
    <phoneticPr fontId="13"/>
  </si>
  <si>
    <t>ﾍﾞｰｼﾞｭ</t>
    <phoneticPr fontId="13"/>
  </si>
  <si>
    <t>N-BOX Gﾀｰﾎﾞ　SSﾊﾟｯｹｰｼﾞ</t>
    <phoneticPr fontId="13"/>
  </si>
  <si>
    <t>JF1-2557202</t>
    <phoneticPr fontId="13"/>
  </si>
  <si>
    <t>8/7/13</t>
    <phoneticPr fontId="13"/>
  </si>
  <si>
    <t>26/3</t>
    <phoneticPr fontId="13"/>
  </si>
  <si>
    <t>黒</t>
    <rPh sb="0" eb="1">
      <t>クロ</t>
    </rPh>
    <phoneticPr fontId="13"/>
  </si>
  <si>
    <t>N-BOX G　ﾀｰﾎﾞ</t>
    <phoneticPr fontId="13"/>
  </si>
  <si>
    <t>JF1-2209520</t>
    <phoneticPr fontId="13"/>
  </si>
  <si>
    <t>9/3/27</t>
    <phoneticPr fontId="13"/>
  </si>
  <si>
    <t>3/3</t>
    <phoneticPr fontId="13"/>
  </si>
  <si>
    <t>紺</t>
    <rPh sb="0" eb="1">
      <t>コン</t>
    </rPh>
    <phoneticPr fontId="13"/>
  </si>
  <si>
    <t>N-ONE　ﾌﾟﾚﾐｱﾑﾂｱﾗｰ</t>
    <phoneticPr fontId="13"/>
  </si>
  <si>
    <t>JG4-2000031</t>
    <phoneticPr fontId="13"/>
  </si>
  <si>
    <t>6/7</t>
    <phoneticPr fontId="13"/>
  </si>
  <si>
    <t>ｼﾙﾊﾞｰ</t>
    <phoneticPr fontId="13"/>
  </si>
  <si>
    <t>ｴﾌﾞﾘｨ　PAﾘﾐﾃｯﾄﾞ</t>
    <phoneticPr fontId="13"/>
  </si>
  <si>
    <t>DA17-760927</t>
    <phoneticPr fontId="13"/>
  </si>
  <si>
    <t>8/7/30</t>
    <phoneticPr fontId="13"/>
  </si>
  <si>
    <t>青</t>
    <rPh sb="0" eb="1">
      <t>アオ</t>
    </rPh>
    <phoneticPr fontId="13"/>
  </si>
  <si>
    <t>ｴﾌﾞﾘｨｼﾞｮｲﾝ</t>
    <phoneticPr fontId="13"/>
  </si>
  <si>
    <t>DA17V-666523</t>
    <phoneticPr fontId="13"/>
  </si>
  <si>
    <t>ｴﾌﾞﾘｨ　PA</t>
    <phoneticPr fontId="13"/>
  </si>
  <si>
    <t>DA17V-766434</t>
    <phoneticPr fontId="13"/>
  </si>
  <si>
    <t>8/7</t>
    <phoneticPr fontId="13"/>
  </si>
  <si>
    <t>4/5</t>
    <phoneticPr fontId="13"/>
  </si>
  <si>
    <t>HA37S-107701</t>
    <phoneticPr fontId="13"/>
  </si>
  <si>
    <t>6/3</t>
    <phoneticPr fontId="13"/>
  </si>
  <si>
    <t>ｴﾌﾞﾘｨｼﾞｮｲﾝ　ﾀｰﾎﾞ</t>
    <phoneticPr fontId="13"/>
  </si>
  <si>
    <t>DA17V-746199</t>
    <phoneticPr fontId="13"/>
  </si>
  <si>
    <t>8/3/18</t>
    <phoneticPr fontId="13"/>
  </si>
  <si>
    <t>5/6</t>
    <phoneticPr fontId="13"/>
  </si>
  <si>
    <t>ｱﾙﾄ　A</t>
    <phoneticPr fontId="13"/>
  </si>
  <si>
    <t>HA37S-135935</t>
    <phoneticPr fontId="13"/>
  </si>
  <si>
    <t>8/6/14</t>
    <phoneticPr fontId="13"/>
  </si>
  <si>
    <t>30/9</t>
    <phoneticPr fontId="13"/>
  </si>
  <si>
    <t>ｵﾚﾝｼﾞ</t>
    <phoneticPr fontId="13"/>
  </si>
  <si>
    <t>ｱﾙﾄﾗﾊﾟﾝ　S　ｾﾚｸｼｮﾝ</t>
    <phoneticPr fontId="13"/>
  </si>
  <si>
    <t>HE33S-209084</t>
    <phoneticPr fontId="13"/>
  </si>
  <si>
    <t>6/12</t>
    <phoneticPr fontId="13"/>
  </si>
  <si>
    <t>ｴﾌﾞﾘｨ　PC</t>
    <phoneticPr fontId="13"/>
  </si>
  <si>
    <t>DA17V-753880</t>
    <phoneticPr fontId="13"/>
  </si>
  <si>
    <t>8/12/26</t>
    <phoneticPr fontId="13"/>
  </si>
  <si>
    <t>24/9</t>
    <phoneticPr fontId="13"/>
  </si>
  <si>
    <t>ﾜｺﾞﾝR　FX</t>
    <phoneticPr fontId="13"/>
  </si>
  <si>
    <t>MH34S-101556</t>
    <phoneticPr fontId="13"/>
  </si>
  <si>
    <t>27/3</t>
    <phoneticPr fontId="13"/>
  </si>
  <si>
    <t>ﾊﾟｰﾙ</t>
    <phoneticPr fontId="13"/>
  </si>
  <si>
    <t>8/3/30</t>
    <phoneticPr fontId="13"/>
  </si>
  <si>
    <t>27/7</t>
    <phoneticPr fontId="13"/>
  </si>
  <si>
    <t>JF1-1639260</t>
    <phoneticPr fontId="13"/>
  </si>
  <si>
    <t>取説　ｷｰﾚｽ(車内)保証書 ﾚﾝﾀｶｰ</t>
    <rPh sb="0" eb="2">
      <t>トリセツ</t>
    </rPh>
    <rPh sb="8" eb="10">
      <t>シャナイ</t>
    </rPh>
    <rPh sb="11" eb="14">
      <t>ホショウショ</t>
    </rPh>
    <phoneticPr fontId="13"/>
  </si>
  <si>
    <t>保証書 取説 ｷｰﾚｽ(車内)</t>
    <rPh sb="12" eb="14">
      <t>シャナイ</t>
    </rPh>
    <phoneticPr fontId="13"/>
  </si>
  <si>
    <t>保証書 取説 ｷｰﾚｽ(車内)　レンタカー</t>
    <rPh sb="12" eb="14">
      <t>シャナイ</t>
    </rPh>
    <phoneticPr fontId="13"/>
  </si>
  <si>
    <t>保証書 取説 ｷｰﾚｽ(車内)　レンタカー</t>
    <phoneticPr fontId="13"/>
  </si>
  <si>
    <t>取説　ｽﾍﾟｱｷｰ　(車内)保証書</t>
    <rPh sb="0" eb="2">
      <t>トリセツ</t>
    </rPh>
    <rPh sb="11" eb="13">
      <t>シャナイ</t>
    </rPh>
    <rPh sb="14" eb="17">
      <t>ホショウショ</t>
    </rPh>
    <phoneticPr fontId="13"/>
  </si>
  <si>
    <t>保証書　取説　ｽﾍﾟｱｷｰ(車内)保証書 ﾚﾝﾀｶｰ</t>
    <rPh sb="0" eb="3">
      <t>ホショウショ</t>
    </rPh>
    <rPh sb="4" eb="6">
      <t>トリセツ</t>
    </rPh>
    <rPh sb="17" eb="20">
      <t>ホショウショ</t>
    </rPh>
    <phoneticPr fontId="13"/>
  </si>
  <si>
    <t>保証書　(車内)</t>
    <rPh sb="0" eb="3">
      <t>ホショウショ</t>
    </rPh>
    <phoneticPr fontId="13"/>
  </si>
  <si>
    <t>保証書　ｽﾍﾟｱｷｰ(車内)</t>
    <rPh sb="0" eb="3">
      <t>ホショウショ</t>
    </rPh>
    <phoneticPr fontId="13"/>
  </si>
  <si>
    <t>保証書　取説　(車内)ｽﾍﾟｱｷｰ</t>
    <rPh sb="0" eb="3">
      <t>ホショウショ</t>
    </rPh>
    <rPh sb="4" eb="6">
      <t>トリセツ</t>
    </rPh>
    <phoneticPr fontId="13"/>
  </si>
  <si>
    <t>保証書　取説　地図SD(車内)ﾅﾝﾊﾞｰ</t>
    <rPh sb="0" eb="3">
      <t>ホショウショ</t>
    </rPh>
    <rPh sb="4" eb="6">
      <t>トリセツ</t>
    </rPh>
    <rPh sb="7" eb="9">
      <t>チズ</t>
    </rPh>
    <phoneticPr fontId="13"/>
  </si>
  <si>
    <t>地図SD(車内)保証書 取説 ﾅﾋﾞ取</t>
    <rPh sb="0" eb="2">
      <t>チズ</t>
    </rPh>
    <rPh sb="8" eb="11">
      <t>ホショウショ</t>
    </rPh>
    <rPh sb="12" eb="14">
      <t>トリセツ</t>
    </rPh>
    <rPh sb="18" eb="19">
      <t>トリ</t>
    </rPh>
    <phoneticPr fontId="13"/>
  </si>
  <si>
    <t>地図SD(車内)</t>
    <phoneticPr fontId="13"/>
  </si>
  <si>
    <t>保証書　取説　ﾅﾋﾞ取　(車内)</t>
    <rPh sb="0" eb="3">
      <t>ホショウショ</t>
    </rPh>
    <rPh sb="4" eb="6">
      <t>トリセツ</t>
    </rPh>
    <rPh sb="10" eb="11">
      <t>　</t>
    </rPh>
    <rPh sb="13" eb="15">
      <t>シャナイ</t>
    </rPh>
    <phoneticPr fontId="13"/>
  </si>
  <si>
    <t>取説　ｷｰﾚｽ(車内)</t>
    <rPh sb="0" eb="2">
      <t>トリセツ</t>
    </rPh>
    <rPh sb="8" eb="10">
      <t>シャナイ</t>
    </rPh>
    <phoneticPr fontId="13"/>
  </si>
  <si>
    <t>保証書　取説　地図SD(車内)</t>
    <rPh sb="0" eb="3">
      <t>ホショウショ</t>
    </rPh>
    <rPh sb="4" eb="6">
      <t>トリセツ</t>
    </rPh>
    <phoneticPr fontId="13"/>
  </si>
  <si>
    <t>保証書　取説　ﾏｲｸﾛ地図SD(車内)</t>
    <rPh sb="0" eb="3">
      <t>ホショウショ</t>
    </rPh>
    <rPh sb="4" eb="6">
      <t>トリセツ</t>
    </rPh>
    <rPh sb="11" eb="13">
      <t>チズ</t>
    </rPh>
    <rPh sb="16" eb="18">
      <t>シャナイ</t>
    </rPh>
    <phoneticPr fontId="13"/>
  </si>
  <si>
    <t>地図SD(車内)保証書 取説 ｽﾍﾟｱｷｰ</t>
    <rPh sb="8" eb="11">
      <t>ホショウショ</t>
    </rPh>
    <rPh sb="12" eb="14">
      <t>トリセツ</t>
    </rPh>
    <phoneticPr fontId="13"/>
  </si>
  <si>
    <t>ﾏｲｸﾛ地図SD(車内)整備手帳 取説 ﾅﾋﾞ取 ｷｰﾚｽ</t>
    <rPh sb="12" eb="16">
      <t>セイビテチョウ</t>
    </rPh>
    <rPh sb="17" eb="19">
      <t>トリセツ</t>
    </rPh>
    <rPh sb="23" eb="24">
      <t>トリ</t>
    </rPh>
    <phoneticPr fontId="13"/>
  </si>
  <si>
    <t>地図SD(車内)保証書 取説 ﾅﾋﾞ取 ｷｰﾚｽ</t>
    <rPh sb="8" eb="11">
      <t>ホショウショ</t>
    </rPh>
    <rPh sb="12" eb="14">
      <t>トリセツ</t>
    </rPh>
    <rPh sb="18" eb="19">
      <t>トリ</t>
    </rPh>
    <phoneticPr fontId="13"/>
  </si>
  <si>
    <t>地図SD(車内)保証書 取説 ｽﾍﾟｱｷｰ ﾜﾝｵｰﾅｰ</t>
    <rPh sb="8" eb="11">
      <t>ホショウショ</t>
    </rPh>
    <rPh sb="12" eb="14">
      <t>トリセツ</t>
    </rPh>
    <phoneticPr fontId="13"/>
  </si>
  <si>
    <t>充電ｶｰﾌﾞﾙ車内あり 保証書 取説 ｷｰﾚｽ ﾜﾝｵｰﾅｰ</t>
    <rPh sb="0" eb="2">
      <t>ジュウデン</t>
    </rPh>
    <rPh sb="7" eb="9">
      <t>シャナイ</t>
    </rPh>
    <rPh sb="12" eb="15">
      <t>ホショウショ</t>
    </rPh>
    <rPh sb="16" eb="18">
      <t>トリセツ</t>
    </rPh>
    <phoneticPr fontId="13"/>
  </si>
  <si>
    <t>充電ｹｰﾌﾞﾙ事務所には来てない</t>
    <rPh sb="0" eb="2">
      <t>ジュウデン</t>
    </rPh>
    <rPh sb="7" eb="10">
      <t>ジムショ</t>
    </rPh>
    <rPh sb="12" eb="13">
      <t>キ</t>
    </rPh>
    <phoneticPr fontId="13"/>
  </si>
  <si>
    <t>ﾏｲｸﾛ地図SD(車内)保証書 取説 ｷｰﾚｽ ﾅﾋﾞ取</t>
    <rPh sb="12" eb="15">
      <t>ホショウショ</t>
    </rPh>
    <rPh sb="16" eb="18">
      <t>トリセツ</t>
    </rPh>
    <rPh sb="27" eb="28">
      <t>トリ</t>
    </rPh>
    <phoneticPr fontId="13"/>
  </si>
  <si>
    <t>品番；NSZN-X70D</t>
    <rPh sb="0" eb="2">
      <t>ヒンバン</t>
    </rPh>
    <phoneticPr fontId="13"/>
  </si>
  <si>
    <t>保証書 取説 ｷｰﾚｽ(車内)</t>
    <phoneticPr fontId="13"/>
  </si>
  <si>
    <t>保証書 取説 (車内)</t>
    <phoneticPr fontId="13"/>
  </si>
  <si>
    <t>取説 ｷｰﾚｽ ﾘﾓｺﾝ(車内)</t>
    <rPh sb="0" eb="2">
      <t>トリセツ</t>
    </rPh>
    <rPh sb="13" eb="15">
      <t>シャナイ</t>
    </rPh>
    <phoneticPr fontId="13"/>
  </si>
  <si>
    <t>保証書 取説 ｷｰﾚｽ 地図SD (車内)</t>
    <rPh sb="12" eb="14">
      <t>チズ</t>
    </rPh>
    <phoneticPr fontId="13"/>
  </si>
  <si>
    <t>取説 ｷｰﾚｽ(車内)</t>
    <rPh sb="0" eb="2">
      <t>トリセツ</t>
    </rPh>
    <phoneticPr fontId="13"/>
  </si>
  <si>
    <t>地図SD(車内)</t>
    <rPh sb="0" eb="2">
      <t>チズ</t>
    </rPh>
    <phoneticPr fontId="13"/>
  </si>
  <si>
    <t>ｷｰﾚｽ(車内)</t>
    <phoneticPr fontId="13"/>
  </si>
  <si>
    <t>27-1170</t>
  </si>
  <si>
    <t>27-1171</t>
  </si>
  <si>
    <t>JF1-1610115</t>
    <phoneticPr fontId="13"/>
  </si>
  <si>
    <t>27-1172</t>
  </si>
  <si>
    <t>27-1173</t>
  </si>
  <si>
    <t>27-1174</t>
  </si>
  <si>
    <t>27-1175</t>
  </si>
  <si>
    <t>27-1176</t>
  </si>
  <si>
    <t>27-1177</t>
  </si>
  <si>
    <t>27-1178</t>
  </si>
  <si>
    <t>27-1179</t>
  </si>
  <si>
    <t>27-1180</t>
  </si>
  <si>
    <t>27-1181</t>
  </si>
  <si>
    <t>27-1182</t>
  </si>
  <si>
    <t>27-1183</t>
  </si>
  <si>
    <t>27-1184</t>
  </si>
  <si>
    <t>ﾒﾙｾﾃﾞｽﾍﾞﾝﾂ　E300 ｱﾊﾞﾝｷﾞｬﾙﾄ</t>
    <phoneticPr fontId="13"/>
  </si>
  <si>
    <t>WDD2130832A625119</t>
    <phoneticPr fontId="13"/>
  </si>
  <si>
    <t>富山 334 ち 2010</t>
    <rPh sb="0" eb="2">
      <t>トヤマ</t>
    </rPh>
    <phoneticPr fontId="13"/>
  </si>
  <si>
    <t>27-1185</t>
  </si>
  <si>
    <t>27-1186</t>
  </si>
  <si>
    <t>27-1187</t>
  </si>
  <si>
    <t>27-1188</t>
  </si>
  <si>
    <t>27-1189</t>
  </si>
  <si>
    <t>A305659</t>
    <phoneticPr fontId="13"/>
  </si>
  <si>
    <t>ｽﾍﾟｰｼｱ ﾊｲﾌﾞﾘｯﾄﾞ X</t>
    <phoneticPr fontId="13"/>
  </si>
  <si>
    <t>MK53S-462028</t>
    <phoneticPr fontId="13"/>
  </si>
  <si>
    <t>A304911</t>
    <phoneticPr fontId="13"/>
  </si>
  <si>
    <t>ﾃﾞｲｽﾞﾙｰｸｽ　ﾊｲｳｪｽﾀｰ　Xﾀｰﾎﾞ</t>
    <phoneticPr fontId="13"/>
  </si>
  <si>
    <t>B21A-0505912</t>
    <phoneticPr fontId="13"/>
  </si>
  <si>
    <t>A305321</t>
    <phoneticPr fontId="13"/>
  </si>
  <si>
    <t>LA600S-0403501</t>
    <phoneticPr fontId="13"/>
  </si>
  <si>
    <t>9/3/13</t>
    <phoneticPr fontId="13"/>
  </si>
  <si>
    <t>A305471</t>
    <phoneticPr fontId="13"/>
  </si>
  <si>
    <t>NV100ｸﾘｯﾊﾟｰﾊﾞﾝ　ＧＸﾀｰﾎﾞ</t>
    <phoneticPr fontId="13"/>
  </si>
  <si>
    <t>DR17V-823415</t>
    <phoneticPr fontId="13"/>
  </si>
  <si>
    <t>A296957</t>
    <phoneticPr fontId="13"/>
  </si>
  <si>
    <t>N-BOXﾀｰﾎﾞ SSﾊﾟｯｹｰｼﾞ</t>
    <phoneticPr fontId="13"/>
  </si>
  <si>
    <t>JF1-2552106</t>
    <phoneticPr fontId="13"/>
  </si>
  <si>
    <t>名古屋 326 ま 8105</t>
    <rPh sb="0" eb="3">
      <t>ナゴヤ</t>
    </rPh>
    <phoneticPr fontId="13"/>
  </si>
  <si>
    <t>名古屋 31Y み 16</t>
    <rPh sb="0" eb="3">
      <t>ナゴヤ</t>
    </rPh>
    <phoneticPr fontId="13"/>
  </si>
  <si>
    <t>冨松 秀紀</t>
    <rPh sb="0" eb="2">
      <t>トミマツ</t>
    </rPh>
    <rPh sb="3" eb="5">
      <t>ヒデキ</t>
    </rPh>
    <phoneticPr fontId="13"/>
  </si>
  <si>
    <t xml:space="preserve">保証書 取説 ｷｰﾚｽ </t>
    <phoneticPr fontId="13"/>
  </si>
  <si>
    <t>株式会社YAMAI</t>
    <rPh sb="0" eb="4">
      <t>カブシキガイシャ</t>
    </rPh>
    <phoneticPr fontId="13"/>
  </si>
  <si>
    <t>石井 妹</t>
    <rPh sb="0" eb="2">
      <t>イシイ</t>
    </rPh>
    <rPh sb="3" eb="4">
      <t>イモウト</t>
    </rPh>
    <phoneticPr fontId="13"/>
  </si>
  <si>
    <t>三重 583 い 5954</t>
    <rPh sb="0" eb="2">
      <t>ミエ</t>
    </rPh>
    <phoneticPr fontId="13"/>
  </si>
  <si>
    <t>保証書 取説 ﾅﾋﾞ取 ｽﾏｰﾄｷｰ SD</t>
    <rPh sb="0" eb="3">
      <t>ホショウショ</t>
    </rPh>
    <rPh sb="4" eb="6">
      <t>トリセツ</t>
    </rPh>
    <rPh sb="10" eb="11">
      <t>トリ</t>
    </rPh>
    <phoneticPr fontId="13"/>
  </si>
  <si>
    <t>なにわ 5P5 ろ 1050</t>
    <phoneticPr fontId="13"/>
  </si>
  <si>
    <t>多摩 584 て 333</t>
    <rPh sb="0" eb="2">
      <t>タマ</t>
    </rPh>
    <phoneticPr fontId="13"/>
  </si>
  <si>
    <t>千葉 792 ろ 7476</t>
    <rPh sb="0" eb="2">
      <t>チバ</t>
    </rPh>
    <phoneticPr fontId="13"/>
  </si>
  <si>
    <t>松本 585 か 1207</t>
    <rPh sb="0" eb="2">
      <t>マツモト</t>
    </rPh>
    <phoneticPr fontId="13"/>
  </si>
  <si>
    <t>取説 整備手帳(中古車)</t>
    <rPh sb="0" eb="2">
      <t>トリセツ</t>
    </rPh>
    <rPh sb="3" eb="7">
      <t>セイビテチョウ</t>
    </rPh>
    <rPh sb="8" eb="11">
      <t>チュウコシャ</t>
    </rPh>
    <phoneticPr fontId="13"/>
  </si>
  <si>
    <t>京都 789 い 22</t>
    <rPh sb="0" eb="2">
      <t>キョウト</t>
    </rPh>
    <phoneticPr fontId="13"/>
  </si>
  <si>
    <t>鈴木 尚久</t>
    <rPh sb="0" eb="2">
      <t>スズキ</t>
    </rPh>
    <rPh sb="3" eb="5">
      <t>ナオヒサ</t>
    </rPh>
    <phoneticPr fontId="13"/>
  </si>
  <si>
    <t>神戸 564 の 1125</t>
    <rPh sb="0" eb="2">
      <t>コウベ</t>
    </rPh>
    <phoneticPr fontId="13"/>
  </si>
  <si>
    <t>株式会社ｽｽﾞｷ自販兵庫</t>
    <rPh sb="0" eb="4">
      <t>カブシキガイシャ</t>
    </rPh>
    <rPh sb="8" eb="10">
      <t>ジハン</t>
    </rPh>
    <rPh sb="10" eb="12">
      <t>ヒョウゴ</t>
    </rPh>
    <phoneticPr fontId="13"/>
  </si>
  <si>
    <t>地図SD(車内)保証書 取説 ｽﾏｰﾄｷｰ ﾅﾋﾞ取 ﾜﾝｵｰﾅｰ</t>
    <rPh sb="8" eb="11">
      <t>ホショウショ</t>
    </rPh>
    <rPh sb="12" eb="14">
      <t>トリセツ</t>
    </rPh>
    <rPh sb="25" eb="26">
      <t>トリ</t>
    </rPh>
    <phoneticPr fontId="13"/>
  </si>
  <si>
    <t>倉敷 580 と 9997</t>
    <rPh sb="0" eb="2">
      <t>クラシキ</t>
    </rPh>
    <phoneticPr fontId="13"/>
  </si>
  <si>
    <t>広島 591 け 1012</t>
    <rPh sb="0" eb="2">
      <t>ヒロシマ</t>
    </rPh>
    <phoneticPr fontId="13"/>
  </si>
  <si>
    <t>竹下 直輝</t>
    <rPh sb="0" eb="2">
      <t>タケシタ</t>
    </rPh>
    <rPh sb="3" eb="5">
      <t>ナオキ</t>
    </rPh>
    <phoneticPr fontId="13"/>
  </si>
  <si>
    <t>保証書 取説 ｽﾏｰﾄｷｰ ﾅﾋﾞ取 ﾜﾝｵｰﾅｰ</t>
    <rPh sb="0" eb="3">
      <t>ホショウショ</t>
    </rPh>
    <rPh sb="4" eb="6">
      <t>トリセツ</t>
    </rPh>
    <rPh sb="17" eb="18">
      <t>トリ</t>
    </rPh>
    <phoneticPr fontId="13"/>
  </si>
  <si>
    <t>株式会社ﾗﾋﾞｯﾄ ｶｰﾈｯﾄﾜｰｸ</t>
    <rPh sb="0" eb="4">
      <t>カブシキガイシャ</t>
    </rPh>
    <phoneticPr fontId="13"/>
  </si>
  <si>
    <t>保証書 取説 ﾜﾝｵｰﾅｰ無視</t>
    <rPh sb="0" eb="3">
      <t>ホショウショ</t>
    </rPh>
    <rPh sb="4" eb="6">
      <t>トリセツ</t>
    </rPh>
    <rPh sb="13" eb="15">
      <t>ムシ</t>
    </rPh>
    <phoneticPr fontId="13"/>
  </si>
  <si>
    <t>岐阜 581 や 6867</t>
    <rPh sb="0" eb="2">
      <t>ギフ</t>
    </rPh>
    <phoneticPr fontId="13"/>
  </si>
  <si>
    <t>株式会社ﾌｧﾐﾘｰ</t>
    <rPh sb="0" eb="4">
      <t>カブシキガイシャ</t>
    </rPh>
    <phoneticPr fontId="13"/>
  </si>
  <si>
    <t>株式会社ﾈｸｽﾃｰｼﾞ共和ﾓｰﾀｰｽ</t>
    <rPh sb="11" eb="13">
      <t>キョウワ</t>
    </rPh>
    <phoneticPr fontId="13"/>
  </si>
  <si>
    <t>大阪 587 な 3333</t>
    <rPh sb="0" eb="2">
      <t>オオサカ</t>
    </rPh>
    <phoneticPr fontId="13"/>
  </si>
  <si>
    <t>株式会社ｼﾞｪｲﾎﾞｰｲ</t>
    <phoneticPr fontId="13"/>
  </si>
  <si>
    <t>保証書 取説 SD ｽﾍﾟｱｷｰ B-CAS</t>
    <rPh sb="0" eb="3">
      <t>ホショウショ</t>
    </rPh>
    <rPh sb="4" eb="6">
      <t>トリセツ</t>
    </rPh>
    <phoneticPr fontId="13"/>
  </si>
  <si>
    <t>株式会社ﾗｲｽﾞｵｰﾄ</t>
    <rPh sb="0" eb="4">
      <t>カブシキガイシャ</t>
    </rPh>
    <phoneticPr fontId="13"/>
  </si>
  <si>
    <t>鈴鹿 583 い 467</t>
    <rPh sb="0" eb="2">
      <t>スズカ</t>
    </rPh>
    <phoneticPr fontId="13"/>
  </si>
  <si>
    <t>株式会社ﾎﾝﾀﾞ四輪販売三重北</t>
    <rPh sb="0" eb="4">
      <t>カブシキガイシャ</t>
    </rPh>
    <rPh sb="8" eb="12">
      <t>ヨンリンハンバイ</t>
    </rPh>
    <rPh sb="12" eb="14">
      <t>ミエ</t>
    </rPh>
    <rPh sb="14" eb="15">
      <t>キタ</t>
    </rPh>
    <phoneticPr fontId="13"/>
  </si>
  <si>
    <t>ﾘﾓｺﾝ(車内)保証書 ﾜﾝｵｰﾅｰ</t>
    <rPh sb="5" eb="7">
      <t>シャナイ</t>
    </rPh>
    <rPh sb="8" eb="11">
      <t>ホショウショ</t>
    </rPh>
    <phoneticPr fontId="13"/>
  </si>
  <si>
    <t>株式会社古川損害保険事務所</t>
    <rPh sb="0" eb="4">
      <t>カブシキガイシャ</t>
    </rPh>
    <rPh sb="4" eb="6">
      <t>フルカワ</t>
    </rPh>
    <rPh sb="6" eb="10">
      <t>ソンガイホケン</t>
    </rPh>
    <rPh sb="10" eb="13">
      <t>ジムショ</t>
    </rPh>
    <phoneticPr fontId="13"/>
  </si>
  <si>
    <t>岸川 スミ子</t>
    <rPh sb="0" eb="2">
      <t>キシカワ</t>
    </rPh>
    <rPh sb="5" eb="6">
      <t>コ</t>
    </rPh>
    <phoneticPr fontId="13"/>
  </si>
  <si>
    <t>保証書 取説 ｽﾍﾟｱｷｰ ﾅﾋﾞ取 ﾜﾝｵｰﾅｰ</t>
    <rPh sb="0" eb="3">
      <t>ホショウショ</t>
    </rPh>
    <rPh sb="4" eb="6">
      <t>トリセツ</t>
    </rPh>
    <rPh sb="17" eb="18">
      <t>トリ</t>
    </rPh>
    <phoneticPr fontId="13"/>
  </si>
  <si>
    <t>大國 誉斗</t>
    <rPh sb="0" eb="2">
      <t>オオクニ</t>
    </rPh>
    <rPh sb="3" eb="4">
      <t>ホマレ</t>
    </rPh>
    <rPh sb="4" eb="5">
      <t>ト</t>
    </rPh>
    <phoneticPr fontId="13"/>
  </si>
  <si>
    <t>ｻﾑﾗｲﾄﾚｰﾃﾞｨﾝｸﾞ株式会社</t>
    <rPh sb="13" eb="17">
      <t>カブシキガイシャ</t>
    </rPh>
    <phoneticPr fontId="13"/>
  </si>
  <si>
    <t>有限会社中江工務店</t>
    <rPh sb="0" eb="4">
      <t>ユウゲンガイシャ</t>
    </rPh>
    <rPh sb="4" eb="6">
      <t>ナカエ</t>
    </rPh>
    <rPh sb="6" eb="9">
      <t>コウムテン</t>
    </rPh>
    <phoneticPr fontId="13"/>
  </si>
  <si>
    <t>小林 英昭</t>
    <rPh sb="0" eb="2">
      <t>コバヤシ</t>
    </rPh>
    <rPh sb="3" eb="5">
      <t>ヒデアキ</t>
    </rPh>
    <phoneticPr fontId="13"/>
  </si>
  <si>
    <t>柴田 麻衣</t>
    <rPh sb="0" eb="2">
      <t>シバタ</t>
    </rPh>
    <rPh sb="3" eb="5">
      <t>マイ</t>
    </rPh>
    <phoneticPr fontId="13"/>
  </si>
  <si>
    <t>鹿児島 332 り 114</t>
    <rPh sb="0" eb="3">
      <t>カゴシマ</t>
    </rPh>
    <phoneticPr fontId="13"/>
  </si>
  <si>
    <t>堀切 麗繕</t>
    <rPh sb="0" eb="2">
      <t>ホリキリ</t>
    </rPh>
    <rPh sb="3" eb="4">
      <t>レイ</t>
    </rPh>
    <rPh sb="4" eb="5">
      <t>ゼン</t>
    </rPh>
    <phoneticPr fontId="13"/>
  </si>
  <si>
    <t>福岡 531 さ 3</t>
    <rPh sb="0" eb="2">
      <t>フクオカ</t>
    </rPh>
    <phoneticPr fontId="13"/>
  </si>
  <si>
    <t>長尾 祐輝</t>
    <rPh sb="0" eb="2">
      <t>ナガオ</t>
    </rPh>
    <rPh sb="3" eb="4">
      <t>ユウ</t>
    </rPh>
    <rPh sb="4" eb="5">
      <t>テル</t>
    </rPh>
    <phoneticPr fontId="13"/>
  </si>
  <si>
    <t>北九州 584 ろ 9269</t>
    <rPh sb="0" eb="3">
      <t>キタキュウシュウ</t>
    </rPh>
    <phoneticPr fontId="13"/>
  </si>
  <si>
    <t>ﾀｽﾃｯｸﾚﾝﾀﾘｰｽ 株式会社</t>
    <rPh sb="12" eb="16">
      <t>カブシキガイシャ</t>
    </rPh>
    <phoneticPr fontId="13"/>
  </si>
  <si>
    <t>北九州 584 ろ 9278</t>
    <rPh sb="0" eb="3">
      <t>キタキュウシュウ</t>
    </rPh>
    <phoneticPr fontId="13"/>
  </si>
  <si>
    <t>越谷 580 か 440</t>
    <rPh sb="0" eb="2">
      <t>コシタニ</t>
    </rPh>
    <phoneticPr fontId="13"/>
  </si>
  <si>
    <t>田澤 貴子</t>
    <rPh sb="0" eb="2">
      <t>タサワ</t>
    </rPh>
    <rPh sb="3" eb="5">
      <t>タカコ</t>
    </rPh>
    <phoneticPr fontId="13"/>
  </si>
  <si>
    <t>足立 342 む 1004</t>
    <rPh sb="0" eb="2">
      <t>アダチ</t>
    </rPh>
    <phoneticPr fontId="13"/>
  </si>
  <si>
    <t>伊邉 弘樹</t>
    <rPh sb="0" eb="1">
      <t>イ</t>
    </rPh>
    <rPh sb="1" eb="2">
      <t>アタ</t>
    </rPh>
    <rPh sb="3" eb="5">
      <t>ヒロキ</t>
    </rPh>
    <phoneticPr fontId="13"/>
  </si>
  <si>
    <t>品川 580 た 7128</t>
    <rPh sb="0" eb="2">
      <t>シナガワ</t>
    </rPh>
    <phoneticPr fontId="13"/>
  </si>
  <si>
    <t>株式会社ﾊｳｽﾌﾚﾝﾄﾞ</t>
    <rPh sb="0" eb="4">
      <t>カブシキガイシャ</t>
    </rPh>
    <phoneticPr fontId="13"/>
  </si>
  <si>
    <t>なにわ 483 る 7000</t>
    <phoneticPr fontId="13"/>
  </si>
  <si>
    <t>日産大阪販売株式会社</t>
    <rPh sb="0" eb="10">
      <t>ニッサンオオサカハンバイカブシキガイシャ</t>
    </rPh>
    <phoneticPr fontId="13"/>
  </si>
  <si>
    <t>保証書 取説 ｽﾍﾟｱｷｰ miniB-CAS ﾏｲｸﾛSD</t>
    <rPh sb="0" eb="3">
      <t>ホショウショ</t>
    </rPh>
    <rPh sb="4" eb="6">
      <t>トリセツ</t>
    </rPh>
    <phoneticPr fontId="13"/>
  </si>
  <si>
    <t>品川 5X0 ろ 7327</t>
    <rPh sb="0" eb="2">
      <t>シナガワ</t>
    </rPh>
    <phoneticPr fontId="13"/>
  </si>
  <si>
    <t>日本ｶｰｿﾘｭｰｼﾞｮﾝｽﾞ株式会社</t>
    <rPh sb="0" eb="2">
      <t>ニホン</t>
    </rPh>
    <rPh sb="14" eb="18">
      <t>カブシキガイシャ</t>
    </rPh>
    <phoneticPr fontId="13"/>
  </si>
  <si>
    <t>株式会社山勝</t>
    <rPh sb="0" eb="4">
      <t>カブシキガイシャ</t>
    </rPh>
    <rPh sb="4" eb="6">
      <t>ヤマカツ</t>
    </rPh>
    <phoneticPr fontId="13"/>
  </si>
  <si>
    <t>四日市 580 か 7205</t>
    <rPh sb="0" eb="3">
      <t>ヨッカイチ</t>
    </rPh>
    <phoneticPr fontId="13"/>
  </si>
  <si>
    <t>株式会社ｱﾙﾌｧﾌﾟﾛｼﾞｪｸﾄ</t>
    <rPh sb="0" eb="4">
      <t>カブシキガイシャ</t>
    </rPh>
    <phoneticPr fontId="13"/>
  </si>
  <si>
    <t>岡山 584 ろ 2052</t>
    <rPh sb="0" eb="2">
      <t>オカヤマ</t>
    </rPh>
    <phoneticPr fontId="13"/>
  </si>
  <si>
    <t>ｽｽﾞｷ岡山販売株式会社</t>
    <rPh sb="4" eb="6">
      <t>オカヤマ</t>
    </rPh>
    <rPh sb="6" eb="12">
      <t>ハンバイカブシキガイシャ</t>
    </rPh>
    <phoneticPr fontId="13"/>
  </si>
  <si>
    <t>倉敷 587 つ 1223</t>
    <rPh sb="0" eb="2">
      <t>クラシキ</t>
    </rPh>
    <phoneticPr fontId="13"/>
  </si>
  <si>
    <t>佐々木 賢司</t>
    <rPh sb="0" eb="3">
      <t>ササキ</t>
    </rPh>
    <rPh sb="4" eb="6">
      <t>ケンジ</t>
    </rPh>
    <phoneticPr fontId="13"/>
  </si>
  <si>
    <t>岡山 581 ふ 8856</t>
    <rPh sb="0" eb="2">
      <t>オカヤマ</t>
    </rPh>
    <phoneticPr fontId="13"/>
  </si>
  <si>
    <t>和泉 581 と 4717</t>
    <rPh sb="0" eb="2">
      <t>イズミ</t>
    </rPh>
    <phoneticPr fontId="13"/>
  </si>
  <si>
    <t>本多 一成</t>
    <rPh sb="0" eb="2">
      <t>ホンダ</t>
    </rPh>
    <rPh sb="3" eb="5">
      <t>カズナリ</t>
    </rPh>
    <phoneticPr fontId="13"/>
  </si>
  <si>
    <t>大阪 550 せ 12</t>
    <rPh sb="0" eb="2">
      <t>オオサカ</t>
    </rPh>
    <phoneticPr fontId="13"/>
  </si>
  <si>
    <t>神田 康雄</t>
    <rPh sb="0" eb="2">
      <t>カンダ</t>
    </rPh>
    <rPh sb="3" eb="5">
      <t>ヤスオ</t>
    </rPh>
    <phoneticPr fontId="13"/>
  </si>
  <si>
    <t>三重 333 て 2277</t>
    <rPh sb="0" eb="2">
      <t>ミエ</t>
    </rPh>
    <phoneticPr fontId="13"/>
  </si>
  <si>
    <t>日野 正太郎</t>
    <rPh sb="0" eb="2">
      <t>ヒノ</t>
    </rPh>
    <rPh sb="3" eb="6">
      <t>ショウタロウ</t>
    </rPh>
    <phoneticPr fontId="13"/>
  </si>
  <si>
    <t>京都 580 も 3981</t>
    <rPh sb="0" eb="2">
      <t>キョウト</t>
    </rPh>
    <phoneticPr fontId="13"/>
  </si>
  <si>
    <t>北山 暁子</t>
    <rPh sb="0" eb="2">
      <t>キタヤマ</t>
    </rPh>
    <rPh sb="3" eb="4">
      <t>アキ</t>
    </rPh>
    <rPh sb="4" eb="5">
      <t>コ</t>
    </rPh>
    <phoneticPr fontId="13"/>
  </si>
  <si>
    <t>大阪 581 か 7400</t>
    <rPh sb="0" eb="2">
      <t>オオサカ</t>
    </rPh>
    <phoneticPr fontId="13"/>
  </si>
  <si>
    <t>濱崎 秀和</t>
    <rPh sb="0" eb="2">
      <t>ハマサキ</t>
    </rPh>
    <rPh sb="3" eb="5">
      <t>ヒデカズ</t>
    </rPh>
    <phoneticPr fontId="13"/>
  </si>
  <si>
    <t>鎌田 大司</t>
    <rPh sb="0" eb="2">
      <t>カマダ</t>
    </rPh>
    <rPh sb="3" eb="4">
      <t>ダイ</t>
    </rPh>
    <rPh sb="4" eb="5">
      <t>ツカサ</t>
    </rPh>
    <phoneticPr fontId="13"/>
  </si>
  <si>
    <t>富山 580 み 1794</t>
    <rPh sb="0" eb="2">
      <t>トヤマ</t>
    </rPh>
    <phoneticPr fontId="13"/>
  </si>
  <si>
    <t>川越 583 た 2112</t>
    <rPh sb="0" eb="2">
      <t>カワコ</t>
    </rPh>
    <phoneticPr fontId="13"/>
  </si>
  <si>
    <t>櫻井 義雄</t>
    <rPh sb="0" eb="2">
      <t>サクライ</t>
    </rPh>
    <rPh sb="3" eb="5">
      <t>ヨシオ</t>
    </rPh>
    <phoneticPr fontId="13"/>
  </si>
  <si>
    <t>保証書 取説 ｽﾏｰﾄｷｰ ﾅﾋﾞ取</t>
    <rPh sb="0" eb="3">
      <t>ホショウショ</t>
    </rPh>
    <rPh sb="4" eb="6">
      <t>トリセツ</t>
    </rPh>
    <rPh sb="17" eb="18">
      <t>トリ</t>
    </rPh>
    <phoneticPr fontId="13"/>
  </si>
  <si>
    <t>WMW52DK0002P77672</t>
    <phoneticPr fontId="13"/>
  </si>
  <si>
    <t>WMWXT320502L06066</t>
    <phoneticPr fontId="13"/>
  </si>
  <si>
    <t>ZFABF1C83NJF49878</t>
    <phoneticPr fontId="13"/>
  </si>
  <si>
    <t>WBA8A120X0EJ43136</t>
    <phoneticPr fontId="13"/>
  </si>
  <si>
    <t>滋賀 301 ぬ 6564</t>
    <rPh sb="0" eb="2">
      <t>シガ</t>
    </rPh>
    <phoneticPr fontId="13"/>
  </si>
  <si>
    <t>株式会社ﾎﾝﾀﾞｸﾘｵ滋賀</t>
    <rPh sb="0" eb="4">
      <t>カブシキガイシャ</t>
    </rPh>
    <rPh sb="11" eb="13">
      <t>シガ</t>
    </rPh>
    <phoneticPr fontId="13"/>
  </si>
  <si>
    <t>WBA2H52020VD47098</t>
    <phoneticPr fontId="13"/>
  </si>
  <si>
    <t>岡山 301 む 8340</t>
    <rPh sb="0" eb="2">
      <t>オカヤマ</t>
    </rPh>
    <phoneticPr fontId="13"/>
  </si>
  <si>
    <t>堺 500 ほ 723</t>
    <rPh sb="0" eb="1">
      <t>サカイ</t>
    </rPh>
    <phoneticPr fontId="13"/>
  </si>
  <si>
    <t>習志野 302 さ 5327</t>
    <rPh sb="0" eb="3">
      <t>ナラシノ</t>
    </rPh>
    <phoneticPr fontId="13"/>
  </si>
  <si>
    <t>千葉ﾄﾖﾀ自動車株式会社</t>
    <rPh sb="0" eb="2">
      <t>チバ</t>
    </rPh>
    <rPh sb="5" eb="12">
      <t>ジドウシャカブシキガイシャ</t>
    </rPh>
    <phoneticPr fontId="13"/>
  </si>
  <si>
    <t>西澤 集人</t>
    <rPh sb="0" eb="2">
      <t>ニシザワ</t>
    </rPh>
    <rPh sb="3" eb="5">
      <t>シュウヒト</t>
    </rPh>
    <phoneticPr fontId="13"/>
  </si>
  <si>
    <t>MR41S-326157</t>
    <phoneticPr fontId="13"/>
  </si>
  <si>
    <t>MR41S-358398</t>
    <phoneticPr fontId="13"/>
  </si>
  <si>
    <t>ﾜｺﾞﾝR ﾊｲﾌﾞﾘｯﾄﾞFZ</t>
    <phoneticPr fontId="13"/>
  </si>
  <si>
    <t>MH95S-152932</t>
    <phoneticPr fontId="13"/>
  </si>
  <si>
    <t>WVWZZZAUZHW177579</t>
    <phoneticPr fontId="13"/>
  </si>
  <si>
    <t>横浜 32C る 2</t>
    <rPh sb="0" eb="2">
      <t>ヨコハマ</t>
    </rPh>
    <phoneticPr fontId="13"/>
  </si>
  <si>
    <t>BMW X3 xdrive2.0i Mｽﾎﾟｰﾂ</t>
    <phoneticPr fontId="13"/>
  </si>
  <si>
    <t>WBATR52020LD99845</t>
    <phoneticPr fontId="13"/>
  </si>
  <si>
    <t>DA17W-268437</t>
    <phoneticPr fontId="13"/>
  </si>
  <si>
    <t>8/10/10</t>
    <phoneticPr fontId="13"/>
  </si>
  <si>
    <t>三重 582 そ 4098</t>
    <rPh sb="0" eb="2">
      <t>ミエ</t>
    </rPh>
    <phoneticPr fontId="13"/>
  </si>
  <si>
    <t>ｽﾍﾟｰｼｱｶｽﾀﾑ ﾊｲﾌﾞﾘｯﾄﾞXS</t>
    <phoneticPr fontId="13"/>
  </si>
  <si>
    <t>MK53S-664567</t>
    <phoneticPr fontId="13"/>
  </si>
  <si>
    <t>徳島 580 み 1872</t>
    <rPh sb="0" eb="2">
      <t>トクシマ</t>
    </rPh>
    <phoneticPr fontId="13"/>
  </si>
  <si>
    <t>ｳﾞｪﾙﾌｧｲｱ 2.4 Z</t>
    <phoneticPr fontId="13"/>
  </si>
  <si>
    <t>ANH20-8228664</t>
    <phoneticPr fontId="13"/>
  </si>
  <si>
    <t>広島 341 も 8888</t>
    <rPh sb="0" eb="2">
      <t>ヒロシマ</t>
    </rPh>
    <phoneticPr fontId="13"/>
  </si>
  <si>
    <t>JB23W-745849</t>
    <phoneticPr fontId="13"/>
  </si>
  <si>
    <t>徳島 580 ぬ 5697</t>
    <rPh sb="0" eb="2">
      <t>トクシマ</t>
    </rPh>
    <phoneticPr fontId="13"/>
  </si>
  <si>
    <t>DA17W-250529</t>
    <phoneticPr fontId="13"/>
  </si>
  <si>
    <t>9/7/16</t>
    <phoneticPr fontId="13"/>
  </si>
  <si>
    <t>和歌山 581 せ 8347</t>
    <rPh sb="0" eb="3">
      <t>ワカヤマ</t>
    </rPh>
    <phoneticPr fontId="13"/>
  </si>
  <si>
    <t>JB23W-753960</t>
    <phoneticPr fontId="13"/>
  </si>
  <si>
    <t>ｴﾌﾞﾘｲﾊﾞﾝ PA</t>
    <phoneticPr fontId="13"/>
  </si>
  <si>
    <t>DA17V-619490</t>
    <phoneticPr fontId="13"/>
  </si>
  <si>
    <t>神戸 480 む 6086</t>
    <rPh sb="0" eb="2">
      <t>コウベ</t>
    </rPh>
    <phoneticPr fontId="13"/>
  </si>
  <si>
    <t>BMWﾐﾆｸｰﾊﾟｰ Dｸﾛｽｵｰﾊﾞｰ</t>
    <phoneticPr fontId="13"/>
  </si>
  <si>
    <t>WMWXD32020WT50628</t>
    <phoneticPr fontId="13"/>
  </si>
  <si>
    <t>愛媛 352 な 1010</t>
    <rPh sb="0" eb="2">
      <t>エヒメ</t>
    </rPh>
    <phoneticPr fontId="13"/>
  </si>
  <si>
    <t>BMW X5 xdrive35d Xﾗｲﾝ</t>
    <phoneticPr fontId="13"/>
  </si>
  <si>
    <t>WBAKS420700V25741</t>
    <phoneticPr fontId="13"/>
  </si>
  <si>
    <t>広島 302 な 821</t>
    <rPh sb="0" eb="2">
      <t>ヒロシマ</t>
    </rPh>
    <phoneticPr fontId="13"/>
  </si>
  <si>
    <t>WMWXS520202F21941</t>
    <phoneticPr fontId="13"/>
  </si>
  <si>
    <t>和歌山 300 る 6512</t>
    <rPh sb="0" eb="3">
      <t>ワカヤマ</t>
    </rPh>
    <phoneticPr fontId="13"/>
  </si>
  <si>
    <t>BMW 320d Mｽﾎﾟｰﾂ ｴﾃﾞｨｼｮﾝ</t>
    <phoneticPr fontId="13"/>
  </si>
  <si>
    <t>WBA5V72060FK08424</t>
    <phoneticPr fontId="13"/>
  </si>
  <si>
    <t>BMWﾐﾆｸｰﾊﾟｰSD ｾﾌﾞﾝ</t>
    <phoneticPr fontId="13"/>
  </si>
  <si>
    <t>WMWXN920X02D27270</t>
    <phoneticPr fontId="13"/>
  </si>
  <si>
    <t>ﾏﾙｰﾝ</t>
    <phoneticPr fontId="13"/>
  </si>
  <si>
    <t>京都 30K み 1000</t>
    <rPh sb="0" eb="2">
      <t>キョウト</t>
    </rPh>
    <phoneticPr fontId="13"/>
  </si>
  <si>
    <t>JF1-1890326</t>
    <phoneticPr fontId="13"/>
  </si>
  <si>
    <t>地図SD(車内)保証書 取説 ｷｰﾚｽ ﾜﾝｵｰﾅｰ</t>
    <rPh sb="8" eb="11">
      <t>ホショウショ</t>
    </rPh>
    <rPh sb="12" eb="14">
      <t>トリセツ</t>
    </rPh>
    <phoneticPr fontId="13"/>
  </si>
  <si>
    <t>ｷｬﾝｾﾙ</t>
    <phoneticPr fontId="13"/>
  </si>
  <si>
    <t>書類返送10/11</t>
    <rPh sb="0" eb="2">
      <t>ショルイ</t>
    </rPh>
    <rPh sb="2" eb="4">
      <t>ヘンソウ</t>
    </rPh>
    <phoneticPr fontId="13"/>
  </si>
  <si>
    <t>品川 5X1 ろ 3154</t>
    <rPh sb="0" eb="2">
      <t>シナガワ</t>
    </rPh>
    <phoneticPr fontId="13"/>
  </si>
  <si>
    <t>長崎 399 そ 3401</t>
    <rPh sb="0" eb="2">
      <t>ナガサキ</t>
    </rPh>
    <phoneticPr fontId="13"/>
  </si>
  <si>
    <t>株式会社MATSUFUJI</t>
    <rPh sb="0" eb="4">
      <t>カブシキガイシャ</t>
    </rPh>
    <phoneticPr fontId="13"/>
  </si>
  <si>
    <t>ﾑｰﾌﾞｷｬﾝﾊﾞｽ　Xﾌﾞﾗｯｸｲﾝﾃﾘｱ ﾘﾐﾃｯﾄﾞSA3</t>
    <phoneticPr fontId="13"/>
  </si>
  <si>
    <t>LA800S-0171870</t>
    <phoneticPr fontId="13"/>
  </si>
  <si>
    <t>8/4/24</t>
    <phoneticPr fontId="13"/>
  </si>
  <si>
    <t>岡山 587 そ 120</t>
    <rPh sb="0" eb="2">
      <t>オカヤマ</t>
    </rPh>
    <phoneticPr fontId="13"/>
  </si>
  <si>
    <t>多鹿　桂功</t>
    <rPh sb="0" eb="1">
      <t>オオ</t>
    </rPh>
    <rPh sb="1" eb="2">
      <t>シカ</t>
    </rPh>
    <rPh sb="3" eb="4">
      <t>カツラ</t>
    </rPh>
    <rPh sb="4" eb="5">
      <t>コウ</t>
    </rPh>
    <phoneticPr fontId="13"/>
  </si>
  <si>
    <t>10/12</t>
    <phoneticPr fontId="13"/>
  </si>
  <si>
    <t>保証書　　　地図SD</t>
    <rPh sb="0" eb="3">
      <t>ホショウショ</t>
    </rPh>
    <rPh sb="6" eb="8">
      <t>チズ</t>
    </rPh>
    <phoneticPr fontId="13"/>
  </si>
  <si>
    <t>広島　342　も　120</t>
    <rPh sb="0" eb="2">
      <t>ヒロシマ</t>
    </rPh>
    <phoneticPr fontId="13"/>
  </si>
  <si>
    <t>広島　399　に　582</t>
    <rPh sb="0" eb="2">
      <t>ヒロシマ</t>
    </rPh>
    <phoneticPr fontId="13"/>
  </si>
  <si>
    <t>江東　580　ろ　963</t>
    <rPh sb="0" eb="2">
      <t>コウトウ</t>
    </rPh>
    <phoneticPr fontId="13"/>
  </si>
  <si>
    <t>三井住友ｶｰﾄﾞ株式会社</t>
    <rPh sb="0" eb="2">
      <t>ミツイ</t>
    </rPh>
    <rPh sb="2" eb="4">
      <t>スミトモ</t>
    </rPh>
    <rPh sb="8" eb="12">
      <t>カブシキガイシャ</t>
    </rPh>
    <phoneticPr fontId="13"/>
  </si>
  <si>
    <t>なにわ　39A　み　3879</t>
    <phoneticPr fontId="13"/>
  </si>
  <si>
    <t>保証書　取説 ｷｰﾚｽ2個 (車内)</t>
    <rPh sb="0" eb="3">
      <t>ホショウショ</t>
    </rPh>
    <rPh sb="4" eb="6">
      <t>トリセツ</t>
    </rPh>
    <rPh sb="12" eb="13">
      <t>コ</t>
    </rPh>
    <phoneticPr fontId="13"/>
  </si>
  <si>
    <t>B21A-0502757</t>
    <phoneticPr fontId="13"/>
  </si>
  <si>
    <t>練馬　485　ろ　1954</t>
    <rPh sb="0" eb="2">
      <t>ネリマ</t>
    </rPh>
    <phoneticPr fontId="13"/>
  </si>
  <si>
    <t>住友三井ｵｰﾄｻｰﾋﾞｽ株式会社</t>
    <rPh sb="0" eb="4">
      <t>スミトモミツイ</t>
    </rPh>
    <rPh sb="12" eb="16">
      <t>カブシキガイシャ</t>
    </rPh>
    <phoneticPr fontId="13"/>
  </si>
  <si>
    <t xml:space="preserve">保証書 </t>
    <phoneticPr fontId="13"/>
  </si>
  <si>
    <t>名古屋　326　み　391</t>
    <rPh sb="0" eb="3">
      <t>ナゴヤ</t>
    </rPh>
    <phoneticPr fontId="13"/>
  </si>
  <si>
    <t>なにわ　5P5　ろ　8668</t>
    <phoneticPr fontId="13"/>
  </si>
  <si>
    <t>西日本三菱自動車販売株式</t>
    <rPh sb="0" eb="1">
      <t>ニシ</t>
    </rPh>
    <rPh sb="1" eb="3">
      <t>ニホン</t>
    </rPh>
    <rPh sb="3" eb="5">
      <t>ミツビシ</t>
    </rPh>
    <rPh sb="5" eb="8">
      <t>ジドウシャ</t>
    </rPh>
    <rPh sb="8" eb="12">
      <t>ハンバイカブシキ</t>
    </rPh>
    <phoneticPr fontId="13"/>
  </si>
  <si>
    <t>杉本　忠史</t>
    <rPh sb="0" eb="2">
      <t>スギモト</t>
    </rPh>
    <rPh sb="3" eb="5">
      <t>タダシ</t>
    </rPh>
    <phoneticPr fontId="13"/>
  </si>
  <si>
    <t>大阪　480　む　5294</t>
    <rPh sb="0" eb="2">
      <t>オオサカ</t>
    </rPh>
    <phoneticPr fontId="13"/>
  </si>
  <si>
    <t>株式会社ﾎﾞﾃﾞｨｼｮｯﾌﾟﾀｶﾉ</t>
    <rPh sb="0" eb="4">
      <t>カブシキガイシャ</t>
    </rPh>
    <phoneticPr fontId="13"/>
  </si>
  <si>
    <t>なにわ　5P6　ろ　5437</t>
    <phoneticPr fontId="13"/>
  </si>
  <si>
    <t>広島　582　さ　8885</t>
    <rPh sb="0" eb="2">
      <t>ヒロシマ</t>
    </rPh>
    <phoneticPr fontId="13"/>
  </si>
  <si>
    <t>関　祥太</t>
    <rPh sb="0" eb="1">
      <t>セキ</t>
    </rPh>
    <rPh sb="2" eb="3">
      <t>ショウ</t>
    </rPh>
    <rPh sb="3" eb="4">
      <t>フト</t>
    </rPh>
    <phoneticPr fontId="13"/>
  </si>
  <si>
    <t>岡山　592　な　999</t>
    <rPh sb="0" eb="2">
      <t>オカヤマ</t>
    </rPh>
    <phoneticPr fontId="13"/>
  </si>
  <si>
    <t>株式会社児玉測量設計</t>
    <rPh sb="0" eb="4">
      <t>カブシキガイシャ</t>
    </rPh>
    <rPh sb="4" eb="6">
      <t>コダマ</t>
    </rPh>
    <rPh sb="6" eb="8">
      <t>ソクリョウ</t>
    </rPh>
    <rPh sb="8" eb="10">
      <t>セッケイ</t>
    </rPh>
    <phoneticPr fontId="13"/>
  </si>
  <si>
    <t>有限会社ｻﾝｺｰｵｰﾄ</t>
    <rPh sb="0" eb="4">
      <t>ユウゲンカイシャ</t>
    </rPh>
    <phoneticPr fontId="13"/>
  </si>
  <si>
    <t>福山　580　の　6836</t>
    <rPh sb="0" eb="2">
      <t>フクヤマ</t>
    </rPh>
    <phoneticPr fontId="13"/>
  </si>
  <si>
    <t>赤坂　龍二</t>
    <rPh sb="0" eb="2">
      <t>アカサカ</t>
    </rPh>
    <rPh sb="3" eb="5">
      <t>リュウジ</t>
    </rPh>
    <phoneticPr fontId="13"/>
  </si>
  <si>
    <t>水戸　580　よ　2778</t>
    <rPh sb="0" eb="2">
      <t>ミト</t>
    </rPh>
    <phoneticPr fontId="13"/>
  </si>
  <si>
    <t>西川　直希</t>
    <rPh sb="0" eb="2">
      <t>ニシカワ</t>
    </rPh>
    <rPh sb="3" eb="4">
      <t>ナオ</t>
    </rPh>
    <rPh sb="4" eb="5">
      <t>キ</t>
    </rPh>
    <phoneticPr fontId="13"/>
  </si>
  <si>
    <t>久留米　331　や　119</t>
    <rPh sb="0" eb="3">
      <t>クルメ</t>
    </rPh>
    <phoneticPr fontId="13"/>
  </si>
  <si>
    <t>上田　孝則</t>
    <rPh sb="0" eb="2">
      <t>ウエダ</t>
    </rPh>
    <rPh sb="3" eb="5">
      <t>タカノリ</t>
    </rPh>
    <phoneticPr fontId="13"/>
  </si>
  <si>
    <t>大宮　581　う　8962</t>
    <rPh sb="0" eb="2">
      <t>オオミヤ</t>
    </rPh>
    <phoneticPr fontId="13"/>
  </si>
  <si>
    <t>林　みよ</t>
    <rPh sb="0" eb="1">
      <t>ハヤシ</t>
    </rPh>
    <phoneticPr fontId="13"/>
  </si>
  <si>
    <t>森田　旭</t>
    <rPh sb="0" eb="2">
      <t>モリタ</t>
    </rPh>
    <rPh sb="3" eb="4">
      <t>アサヒ</t>
    </rPh>
    <phoneticPr fontId="13"/>
  </si>
  <si>
    <t>保証書　ｷｰﾚｽ(車内)</t>
    <rPh sb="0" eb="3">
      <t>ホショウショ</t>
    </rPh>
    <phoneticPr fontId="13"/>
  </si>
  <si>
    <t>滋賀　336　ぬ　508</t>
    <rPh sb="0" eb="2">
      <t>シガ</t>
    </rPh>
    <phoneticPr fontId="13"/>
  </si>
  <si>
    <t>滋賀ｽﾊﾞﾙ自動車株式会社</t>
    <rPh sb="0" eb="2">
      <t>シガ</t>
    </rPh>
    <rPh sb="6" eb="9">
      <t>ジドウシャ</t>
    </rPh>
    <rPh sb="9" eb="13">
      <t>カブシキガイシャ</t>
    </rPh>
    <phoneticPr fontId="13"/>
  </si>
  <si>
    <t>名古屋　487　ろ　487</t>
    <rPh sb="0" eb="3">
      <t>ナゴヤ</t>
    </rPh>
    <phoneticPr fontId="13"/>
  </si>
  <si>
    <t>和歌山　581　と　6011</t>
    <phoneticPr fontId="13"/>
  </si>
  <si>
    <t>有限会社　鈴森自動車</t>
    <rPh sb="0" eb="4">
      <t>ユウゲンカイシャ</t>
    </rPh>
    <rPh sb="5" eb="7">
      <t>スズモリ</t>
    </rPh>
    <rPh sb="7" eb="10">
      <t>ジドウシャ</t>
    </rPh>
    <phoneticPr fontId="13"/>
  </si>
  <si>
    <t>ﾅﾝﾊﾞｰ　地図SD(車内)</t>
    <phoneticPr fontId="13"/>
  </si>
  <si>
    <t>京都　582　と　2290</t>
    <rPh sb="0" eb="2">
      <t>キョウト</t>
    </rPh>
    <phoneticPr fontId="13"/>
  </si>
  <si>
    <t>京都三菱自動車販売株式</t>
    <rPh sb="0" eb="2">
      <t>キョウト</t>
    </rPh>
    <rPh sb="2" eb="4">
      <t>ミツビシ</t>
    </rPh>
    <rPh sb="4" eb="11">
      <t>ジドウシャハンバイカブシキ</t>
    </rPh>
    <phoneticPr fontId="13"/>
  </si>
  <si>
    <t>保証書　取説　地図SD</t>
    <rPh sb="0" eb="3">
      <t>ホショウショ</t>
    </rPh>
    <rPh sb="4" eb="6">
      <t>トリセツ</t>
    </rPh>
    <rPh sb="7" eb="9">
      <t>チズ</t>
    </rPh>
    <phoneticPr fontId="13"/>
  </si>
  <si>
    <t>神戸　596　ろ　450</t>
    <rPh sb="0" eb="2">
      <t>コウベ</t>
    </rPh>
    <phoneticPr fontId="13"/>
  </si>
  <si>
    <t>堺　586　ろ　3245</t>
    <rPh sb="0" eb="1">
      <t>サカイ</t>
    </rPh>
    <phoneticPr fontId="13"/>
  </si>
  <si>
    <t>株式会社ﾖｼﾀﾞｵｰﾄｻｰﾋﾞｽ</t>
    <rPh sb="0" eb="4">
      <t>カブシキガイシャ</t>
    </rPh>
    <phoneticPr fontId="13"/>
  </si>
  <si>
    <t>高松　581　ろ　3123</t>
    <rPh sb="0" eb="2">
      <t>タカマツ</t>
    </rPh>
    <phoneticPr fontId="13"/>
  </si>
  <si>
    <t>姫路　586　ろ　8648</t>
    <rPh sb="0" eb="2">
      <t>ヒメジ</t>
    </rPh>
    <phoneticPr fontId="13"/>
  </si>
  <si>
    <t>氏原　千歳</t>
    <rPh sb="0" eb="2">
      <t>ウジハラ</t>
    </rPh>
    <rPh sb="3" eb="5">
      <t>チトセ</t>
    </rPh>
    <phoneticPr fontId="13"/>
  </si>
  <si>
    <t>足立 343 そ 713</t>
    <rPh sb="0" eb="2">
      <t>アダチ</t>
    </rPh>
    <phoneticPr fontId="13"/>
  </si>
  <si>
    <t>保証書 ﾅﾋﾞ取 ｽﾏｰﾄｷｰ</t>
    <rPh sb="0" eb="3">
      <t>ホショウショ</t>
    </rPh>
    <rPh sb="7" eb="8">
      <t>トリ</t>
    </rPh>
    <phoneticPr fontId="13"/>
  </si>
  <si>
    <t>ZIPより委任状戻 USS名古屋へ10/14返送済</t>
    <rPh sb="5" eb="8">
      <t>イニンジョウ</t>
    </rPh>
    <rPh sb="8" eb="9">
      <t>モド</t>
    </rPh>
    <rPh sb="13" eb="16">
      <t>ナゴヤ</t>
    </rPh>
    <rPh sb="22" eb="24">
      <t>ヘンソウ</t>
    </rPh>
    <rPh sb="24" eb="25">
      <t>ズ</t>
    </rPh>
    <phoneticPr fontId="13"/>
  </si>
  <si>
    <t>27-1190</t>
  </si>
  <si>
    <t>27-1191</t>
  </si>
  <si>
    <t>27-1192</t>
  </si>
  <si>
    <t>27-1193</t>
  </si>
  <si>
    <t>27-1194</t>
  </si>
  <si>
    <t>27-1195</t>
  </si>
  <si>
    <t>27-1196</t>
  </si>
  <si>
    <t>WMWXU920502M82552</t>
    <phoneticPr fontId="13"/>
  </si>
  <si>
    <t>保証書 取説 Ｓｷｰ ﾜﾝｵｰﾅｰ</t>
    <rPh sb="0" eb="3">
      <t>ホショウショ</t>
    </rPh>
    <rPh sb="4" eb="6">
      <t>トリセツ</t>
    </rPh>
    <phoneticPr fontId="13"/>
  </si>
  <si>
    <t>27-1197</t>
  </si>
  <si>
    <t>27-1198</t>
  </si>
  <si>
    <t>27-1199</t>
  </si>
  <si>
    <t>27-1200</t>
  </si>
  <si>
    <t>27-1201</t>
  </si>
  <si>
    <t>27-1202</t>
  </si>
  <si>
    <t>27-1203</t>
  </si>
  <si>
    <t>27-1204</t>
  </si>
  <si>
    <t>27-1205</t>
  </si>
  <si>
    <t>27-1206</t>
  </si>
  <si>
    <t>27-1207</t>
  </si>
  <si>
    <t>27-1208</t>
  </si>
  <si>
    <t>27-1209</t>
  </si>
  <si>
    <t>27-1210</t>
  </si>
  <si>
    <t>27-1211</t>
  </si>
  <si>
    <t>27-1212</t>
  </si>
  <si>
    <t>27-1213</t>
  </si>
  <si>
    <t>27-1214</t>
  </si>
  <si>
    <t>ﾙﾉｰ ﾄｩｲﾝｺﾞ ｲﾝﾃﾝｽ</t>
    <phoneticPr fontId="13"/>
  </si>
  <si>
    <t>香川 531 ら 2110</t>
    <rPh sb="0" eb="2">
      <t>カガワ</t>
    </rPh>
    <phoneticPr fontId="13"/>
  </si>
  <si>
    <t>BMW 3ｼﾘｰｽﾞ 320i</t>
    <phoneticPr fontId="13"/>
  </si>
  <si>
    <t>27-1215</t>
  </si>
  <si>
    <t>27-1216</t>
  </si>
  <si>
    <t>27-1217</t>
  </si>
  <si>
    <t>27-1218</t>
  </si>
  <si>
    <t>27-1219</t>
  </si>
  <si>
    <t>27-1220</t>
  </si>
  <si>
    <t>27-1221</t>
  </si>
  <si>
    <t>27-1222</t>
  </si>
  <si>
    <t>27-1223</t>
  </si>
  <si>
    <t>SAJAB4AX1LCP61836</t>
    <phoneticPr fontId="13"/>
  </si>
  <si>
    <t>MH95S-123950</t>
    <phoneticPr fontId="13"/>
  </si>
  <si>
    <t>WMWZP32090T761431</t>
    <phoneticPr fontId="13"/>
  </si>
  <si>
    <t>WAUZZZ8X5HB003248</t>
    <phoneticPr fontId="13"/>
  </si>
  <si>
    <t>WAUZZZ4G4HN119643</t>
    <phoneticPr fontId="13"/>
  </si>
  <si>
    <t>WMW42BT0903M58599</t>
    <phoneticPr fontId="13"/>
  </si>
  <si>
    <t>WAUZZZ8V6G1085011</t>
    <phoneticPr fontId="13"/>
  </si>
  <si>
    <t>ｱｳﾃﾞｨS3 ｾﾀﾞﾝ</t>
    <phoneticPr fontId="13"/>
  </si>
  <si>
    <t>WAUZZZGY4MA105344</t>
    <phoneticPr fontId="13"/>
  </si>
  <si>
    <t>ｼﾞｬｶﾞｰ XE HSE300PS</t>
    <phoneticPr fontId="13"/>
  </si>
  <si>
    <t>ﾜｺﾞﾝR ﾊｲﾌﾞﾘｯﾄﾞFX</t>
    <phoneticPr fontId="13"/>
  </si>
  <si>
    <t>BMWﾐﾆｸｰﾊﾟｰS  ｺﾝﾊﾞｰﾁﾌﾞﾙ ﾊｲｹﾞｰﾄ</t>
    <phoneticPr fontId="13"/>
  </si>
  <si>
    <t>京都 531 ひ 2729</t>
    <rPh sb="0" eb="2">
      <t>キョウト</t>
    </rPh>
    <phoneticPr fontId="13"/>
  </si>
  <si>
    <t>ｱｳﾃﾞｨ A1 ｽﾎﾟｰﾂ TFSI</t>
    <phoneticPr fontId="13"/>
  </si>
  <si>
    <t>ｱｳﾃﾞｨ A6 2.0 TFSIｸﾜﾄﾛ Sﾗｲﾝ</t>
    <phoneticPr fontId="13"/>
  </si>
  <si>
    <t>ｱｳﾃﾞｨ A3 ｾﾀﾞﾝ 1.4TFSI Cod</t>
    <phoneticPr fontId="13"/>
  </si>
  <si>
    <t>京都 349 は 1120</t>
    <rPh sb="0" eb="2">
      <t>キョウト</t>
    </rPh>
    <phoneticPr fontId="13"/>
  </si>
  <si>
    <t>なにわ 331 こ 7758</t>
    <phoneticPr fontId="13"/>
  </si>
  <si>
    <t>27-1224</t>
  </si>
  <si>
    <t>27-1225</t>
  </si>
  <si>
    <t>27-1226</t>
  </si>
  <si>
    <t>27-1227</t>
  </si>
  <si>
    <t>B21A-0377631</t>
    <phoneticPr fontId="13"/>
  </si>
  <si>
    <t>KE2FW-204966</t>
    <phoneticPr fontId="13"/>
  </si>
  <si>
    <t>ZD8-007823</t>
    <phoneticPr fontId="13"/>
  </si>
  <si>
    <t>ZVG11-1002684</t>
    <phoneticPr fontId="13"/>
  </si>
  <si>
    <t>RAV4 ﾊｲﾌﾞﾘｯﾄﾞ</t>
    <phoneticPr fontId="13"/>
  </si>
  <si>
    <t>AXAH54-4043797</t>
    <phoneticPr fontId="13"/>
  </si>
  <si>
    <t>AGH30-0043983</t>
    <phoneticPr fontId="13"/>
  </si>
  <si>
    <t>CX-5 XD ﾌﾟﾛｱｸﾃｨﾌﾞ</t>
    <phoneticPr fontId="13"/>
  </si>
  <si>
    <t>BRZ S</t>
    <phoneticPr fontId="13"/>
  </si>
  <si>
    <t>ｶﾛｰﾗｸﾛｽ ﾊｲﾌﾞﾘｯﾄﾞ Z</t>
    <phoneticPr fontId="13"/>
  </si>
  <si>
    <t>ｳﾞｪﾙﾌｧｲｱ  X</t>
    <phoneticPr fontId="13"/>
  </si>
  <si>
    <t>27-1228</t>
  </si>
  <si>
    <t>27-1229</t>
  </si>
  <si>
    <t>27-1230</t>
  </si>
  <si>
    <t>27-1231</t>
  </si>
  <si>
    <t>27-1232</t>
  </si>
  <si>
    <t>27-1233</t>
  </si>
  <si>
    <t>27-1234</t>
  </si>
  <si>
    <t>27-1235</t>
  </si>
  <si>
    <t>27-1236</t>
  </si>
  <si>
    <t>27-1237</t>
  </si>
  <si>
    <t>27-1238</t>
  </si>
  <si>
    <t>A306587</t>
    <phoneticPr fontId="13"/>
  </si>
  <si>
    <t>GDJ250-0011144</t>
    <phoneticPr fontId="13"/>
  </si>
  <si>
    <t>A306450</t>
    <phoneticPr fontId="13"/>
  </si>
  <si>
    <t>B21A-0341026</t>
    <phoneticPr fontId="13"/>
  </si>
  <si>
    <t>A306375</t>
    <phoneticPr fontId="13"/>
  </si>
  <si>
    <t>LA650S-0296469</t>
    <phoneticPr fontId="13"/>
  </si>
  <si>
    <t>A305704</t>
    <phoneticPr fontId="13"/>
  </si>
  <si>
    <t>JF1-1839152</t>
    <phoneticPr fontId="13"/>
  </si>
  <si>
    <t>A304988</t>
    <phoneticPr fontId="13"/>
  </si>
  <si>
    <t>AGH30-9017187</t>
    <phoneticPr fontId="13"/>
  </si>
  <si>
    <t>A303531</t>
    <phoneticPr fontId="13"/>
  </si>
  <si>
    <t>MG33S-433942</t>
    <phoneticPr fontId="13"/>
  </si>
  <si>
    <t>A302646</t>
    <phoneticPr fontId="13"/>
  </si>
  <si>
    <t>MXPJ10-3046313</t>
    <phoneticPr fontId="13"/>
  </si>
  <si>
    <t>27-1239</t>
  </si>
  <si>
    <t>27-1240</t>
  </si>
  <si>
    <t>A305867</t>
    <phoneticPr fontId="13"/>
  </si>
  <si>
    <t>NHP10-2357895</t>
    <phoneticPr fontId="13"/>
  </si>
  <si>
    <t>A306244</t>
    <phoneticPr fontId="13"/>
  </si>
  <si>
    <t>B21A-0549379</t>
    <phoneticPr fontId="13"/>
  </si>
  <si>
    <t>A305641</t>
    <phoneticPr fontId="13"/>
  </si>
  <si>
    <t>KG5P-353182</t>
    <phoneticPr fontId="13"/>
  </si>
  <si>
    <t>A305438</t>
    <phoneticPr fontId="13"/>
  </si>
  <si>
    <t>MXWH60-4003522</t>
    <phoneticPr fontId="13"/>
  </si>
  <si>
    <t>A304931</t>
    <phoneticPr fontId="13"/>
  </si>
  <si>
    <t>NHP10-6802487</t>
    <phoneticPr fontId="13"/>
  </si>
  <si>
    <t>A303664</t>
    <phoneticPr fontId="13"/>
  </si>
  <si>
    <t>KDH201-0178720</t>
    <phoneticPr fontId="13"/>
  </si>
  <si>
    <t>ﾗﾝﾄﾞｸﾙｰｻﾞｰ250 VX</t>
    <phoneticPr fontId="13"/>
  </si>
  <si>
    <t>9/10/29</t>
    <phoneticPr fontId="13"/>
  </si>
  <si>
    <t>ﾃﾞｲｽﾞﾙｰｸｽ  ﾊｲｳｪｲｽﾀｰXGﾊﾟｯｹｰｼﾞ</t>
    <phoneticPr fontId="13"/>
  </si>
  <si>
    <t>ﾀﾝﾄ ﾌｧﾝｸﾛｽ</t>
    <phoneticPr fontId="13"/>
  </si>
  <si>
    <t>8/3/29</t>
    <phoneticPr fontId="13"/>
  </si>
  <si>
    <t>N-BOXｶｽﾀﾑ  GLﾊﾟｯｹｰｼﾞ</t>
    <phoneticPr fontId="13"/>
  </si>
  <si>
    <t>ｱﾙﾌｧｰﾄﾞ 2.5 SCﾊﾟｯｹｰｼﾞ</t>
    <phoneticPr fontId="13"/>
  </si>
  <si>
    <t>ﾓｺ ﾄﾞﾙﾁｪX</t>
    <phoneticPr fontId="13"/>
  </si>
  <si>
    <t>ﾔﾘｽ ｸﾛｽ ﾊｲﾌﾞﾘｯﾄﾞZ</t>
    <phoneticPr fontId="13"/>
  </si>
  <si>
    <t>9/6/29</t>
    <phoneticPr fontId="13"/>
  </si>
  <si>
    <t>ｱｸｱ G G’S</t>
    <phoneticPr fontId="13"/>
  </si>
  <si>
    <t>7/11/3</t>
    <phoneticPr fontId="13"/>
  </si>
  <si>
    <t>ﾃﾞｲｽﾞﾙｰｸｽ S</t>
    <phoneticPr fontId="13"/>
  </si>
  <si>
    <t>8/2/20</t>
    <phoneticPr fontId="13"/>
  </si>
  <si>
    <t>CX8 25S ﾌﾞﾗｯｸﾄｰﾝｴﾃﾞｨｼｮﾝ</t>
    <phoneticPr fontId="13"/>
  </si>
  <si>
    <t>8/6/20</t>
    <phoneticPr fontId="13"/>
  </si>
  <si>
    <t>8/3/23</t>
    <phoneticPr fontId="13"/>
  </si>
  <si>
    <t>ｱｸｱ ｸﾛｽｵｰﾊﾞｰｸﾞﾗﾑ</t>
    <phoneticPr fontId="13"/>
  </si>
  <si>
    <t>8/3/5</t>
    <phoneticPr fontId="13"/>
  </si>
  <si>
    <t>ﾚｼﾞｱｽｴｰｽﾊﾞﾝ ｽｰﾊﾟｰGL</t>
    <phoneticPr fontId="13"/>
  </si>
  <si>
    <t>8/10/5</t>
    <phoneticPr fontId="13"/>
  </si>
  <si>
    <t>27-1241</t>
  </si>
  <si>
    <t>小林様</t>
    <rPh sb="0" eb="2">
      <t>コバヤシ</t>
    </rPh>
    <rPh sb="2" eb="3">
      <t>サマ</t>
    </rPh>
    <phoneticPr fontId="13"/>
  </si>
  <si>
    <t>ﾐﾗｺｺｱ</t>
    <phoneticPr fontId="13"/>
  </si>
  <si>
    <t>L675S-0064499</t>
    <phoneticPr fontId="13"/>
  </si>
  <si>
    <t>神戸 582 き 8020</t>
    <rPh sb="0" eb="2">
      <t>コウベ</t>
    </rPh>
    <phoneticPr fontId="13"/>
  </si>
  <si>
    <t>小林 亜矢子</t>
    <rPh sb="0" eb="2">
      <t>コバヤシ</t>
    </rPh>
    <rPh sb="3" eb="6">
      <t>アヤコ</t>
    </rPh>
    <phoneticPr fontId="13"/>
  </si>
  <si>
    <t>品番；CN-RZ843</t>
    <rPh sb="0" eb="2">
      <t>ヒンバン</t>
    </rPh>
    <phoneticPr fontId="13"/>
  </si>
  <si>
    <t>ｷｬﾝｾﾙ 一式返送10/13</t>
    <rPh sb="6" eb="8">
      <t>イッシキ</t>
    </rPh>
    <rPh sb="8" eb="10">
      <t>ヘンソウ</t>
    </rPh>
    <phoneticPr fontId="13"/>
  </si>
  <si>
    <t>滋賀 580 ほ 3818</t>
    <rPh sb="0" eb="2">
      <t>シガ</t>
    </rPh>
    <phoneticPr fontId="13"/>
  </si>
  <si>
    <t>滋賀ﾀﾞｲﾊﾂ販売株式会社</t>
    <rPh sb="0" eb="2">
      <t>シガ</t>
    </rPh>
    <rPh sb="8" eb="12">
      <t>カブシキガイシャ</t>
    </rPh>
    <phoneticPr fontId="13"/>
  </si>
  <si>
    <t>倉敷　500　な　2559</t>
    <phoneticPr fontId="13"/>
  </si>
  <si>
    <t>高知ﾀﾞｲﾊﾂ販売株式会社</t>
    <rPh sb="0" eb="2">
      <t>コウチ</t>
    </rPh>
    <rPh sb="8" eb="9">
      <t>カブ</t>
    </rPh>
    <rPh sb="9" eb="13">
      <t>カブシキガイシャ</t>
    </rPh>
    <phoneticPr fontId="13"/>
  </si>
  <si>
    <t>ｶｰﾄﾞｷｰ ｷｰﾚｽ(車内)保証書 取説 ﾅﾋﾞ取</t>
    <rPh sb="12" eb="14">
      <t>シャナイ</t>
    </rPh>
    <rPh sb="25" eb="26">
      <t>トリ</t>
    </rPh>
    <phoneticPr fontId="13"/>
  </si>
  <si>
    <t>保証書(車内)</t>
    <rPh sb="0" eb="3">
      <t>ホショウショ</t>
    </rPh>
    <rPh sb="4" eb="6">
      <t>シャナイ</t>
    </rPh>
    <phoneticPr fontId="13"/>
  </si>
  <si>
    <t>保証書 取説 地図SD(車内)</t>
    <rPh sb="0" eb="3">
      <t>ホショウショ</t>
    </rPh>
    <rPh sb="4" eb="6">
      <t>トリセツ</t>
    </rPh>
    <rPh sb="7" eb="9">
      <t>チズ</t>
    </rPh>
    <rPh sb="12" eb="14">
      <t>シャナイ</t>
    </rPh>
    <phoneticPr fontId="13"/>
  </si>
  <si>
    <t>福岡 330 つ 9602</t>
    <rPh sb="0" eb="2">
      <t>フクオカ</t>
    </rPh>
    <phoneticPr fontId="13"/>
  </si>
  <si>
    <t>福岡ﾄﾖﾍﾟｯﾄ株式会社</t>
    <rPh sb="0" eb="2">
      <t>フクオカ</t>
    </rPh>
    <rPh sb="8" eb="12">
      <t>カブシキガイシャ</t>
    </rPh>
    <phoneticPr fontId="13"/>
  </si>
  <si>
    <t>京都 582 く 3422</t>
    <rPh sb="0" eb="2">
      <t>キョウト</t>
    </rPh>
    <phoneticPr fontId="13"/>
  </si>
  <si>
    <t>ﾈｯﾂﾄﾖﾀﾔｻｶ株式会社</t>
    <rPh sb="9" eb="13">
      <t>カブシキガイシャ</t>
    </rPh>
    <phoneticPr fontId="13"/>
  </si>
  <si>
    <t>保証書 SD</t>
    <rPh sb="0" eb="3">
      <t>ホショウショ</t>
    </rPh>
    <phoneticPr fontId="13"/>
  </si>
  <si>
    <t>なにわ 581 き 4465</t>
    <phoneticPr fontId="13"/>
  </si>
  <si>
    <t>株式会社ﾄﾖﾀﾚﾝﾀﾘｰｽ新大阪</t>
    <rPh sb="0" eb="4">
      <t>カブシキガイシャ</t>
    </rPh>
    <rPh sb="13" eb="16">
      <t>シンオオサカ</t>
    </rPh>
    <phoneticPr fontId="13"/>
  </si>
  <si>
    <t>鳥取 480 あ 4526</t>
    <rPh sb="0" eb="2">
      <t>トットリ</t>
    </rPh>
    <phoneticPr fontId="13"/>
  </si>
  <si>
    <t>ﾄﾖﾀｶﾛｰﾗ鳥取株式会社</t>
    <rPh sb="7" eb="9">
      <t>トットリ</t>
    </rPh>
    <rPh sb="9" eb="13">
      <t>カブシキガイシャ</t>
    </rPh>
    <phoneticPr fontId="13"/>
  </si>
  <si>
    <t>長野ﾀﾞｲﾊﾂ販売株式会社</t>
    <rPh sb="0" eb="2">
      <t>ナガノ</t>
    </rPh>
    <rPh sb="8" eb="12">
      <t>カブシキガイシャ</t>
    </rPh>
    <phoneticPr fontId="13"/>
  </si>
  <si>
    <t>名古屋 58A ち 7795</t>
    <rPh sb="0" eb="3">
      <t>ナゴヤ</t>
    </rPh>
    <phoneticPr fontId="13"/>
  </si>
  <si>
    <t>和田 芽衣</t>
    <rPh sb="0" eb="2">
      <t>ワダ</t>
    </rPh>
    <rPh sb="3" eb="4">
      <t>メ</t>
    </rPh>
    <phoneticPr fontId="13"/>
  </si>
  <si>
    <t xml:space="preserve">ﾊｲｴｰｽﾊﾞﾝ ｽｰﾊﾟｰGL </t>
    <phoneticPr fontId="13"/>
  </si>
  <si>
    <t>GDH201-1093900</t>
    <phoneticPr fontId="13"/>
  </si>
  <si>
    <t>27-1242</t>
  </si>
  <si>
    <t>委任状差し替え依頼中 18に着？！</t>
    <rPh sb="14" eb="15">
      <t>チャク</t>
    </rPh>
    <phoneticPr fontId="13"/>
  </si>
  <si>
    <t>DA17W-207732</t>
    <phoneticPr fontId="13"/>
  </si>
  <si>
    <t>和泉 581 ね 1064</t>
    <rPh sb="0" eb="2">
      <t>イズミ</t>
    </rPh>
    <phoneticPr fontId="13"/>
  </si>
  <si>
    <t>ﾑｰﾌﾞ Xﾘﾐﾃｯﾄﾞ2 SA3</t>
    <phoneticPr fontId="13"/>
  </si>
  <si>
    <t>LA150S-2159014</t>
    <phoneticPr fontId="13"/>
  </si>
  <si>
    <t>大阪 582 と 6475</t>
    <rPh sb="0" eb="2">
      <t>オオサカ</t>
    </rPh>
    <phoneticPr fontId="13"/>
  </si>
  <si>
    <t>LA350S-0229072</t>
    <phoneticPr fontId="13"/>
  </si>
  <si>
    <t>ｱｳﾃﾞｨ A5 ｽﾎﾟｰﾂﾊﾞｯｸ</t>
    <phoneticPr fontId="13"/>
  </si>
  <si>
    <t>WAUZZZF54JA047769</t>
    <phoneticPr fontId="13"/>
  </si>
  <si>
    <t>BMW 1ｼﾘｰｽﾞ118d</t>
    <phoneticPr fontId="13"/>
  </si>
  <si>
    <t>WBA1S52060V842317</t>
    <phoneticPr fontId="13"/>
  </si>
  <si>
    <t>ﾀﾝﾄ ｶｽﾀﾑRS ﾄｯﾌﾟ</t>
    <phoneticPr fontId="13"/>
  </si>
  <si>
    <t>LA600S-0766730</t>
    <phoneticPr fontId="13"/>
  </si>
  <si>
    <t>MH34S-443318</t>
    <phoneticPr fontId="13"/>
  </si>
  <si>
    <t>HE22S-196628</t>
    <phoneticPr fontId="13"/>
  </si>
  <si>
    <t>倉敷 583 ち 719</t>
    <rPh sb="0" eb="2">
      <t>クラシキ</t>
    </rPh>
    <phoneticPr fontId="13"/>
  </si>
  <si>
    <t xml:space="preserve">BMWX5 </t>
    <phoneticPr fontId="13"/>
  </si>
  <si>
    <t>WBAKR020000K91026</t>
    <phoneticPr fontId="13"/>
  </si>
  <si>
    <t>広島 332 ろ 5858</t>
    <rPh sb="0" eb="2">
      <t>ヒロシマ</t>
    </rPh>
    <phoneticPr fontId="13"/>
  </si>
  <si>
    <t>WMWXM920X02G95855</t>
    <phoneticPr fontId="13"/>
  </si>
  <si>
    <t>ｱﾄﾚｰﾜｺﾞﾝ ｽﾛｰﾊﾟｰ ﾘｱｼｰﾄ</t>
    <phoneticPr fontId="13"/>
  </si>
  <si>
    <t>S321G-0078965</t>
    <phoneticPr fontId="13"/>
  </si>
  <si>
    <t>582 い 1531</t>
    <phoneticPr fontId="13"/>
  </si>
  <si>
    <t>582 い 1532</t>
    <phoneticPr fontId="13"/>
  </si>
  <si>
    <t>582 あ 9408</t>
    <phoneticPr fontId="13"/>
  </si>
  <si>
    <t>480 ね 1370</t>
    <phoneticPr fontId="13"/>
  </si>
  <si>
    <t>582 い 1427</t>
    <phoneticPr fontId="13"/>
  </si>
  <si>
    <t>582 い 1428</t>
    <phoneticPr fontId="13"/>
  </si>
  <si>
    <t>582 い 1429</t>
    <phoneticPr fontId="13"/>
  </si>
  <si>
    <t>582 い 1430</t>
    <phoneticPr fontId="13"/>
  </si>
  <si>
    <t>582 い 1431</t>
    <phoneticPr fontId="13"/>
  </si>
  <si>
    <t>582 い 1432</t>
    <phoneticPr fontId="13"/>
  </si>
  <si>
    <t>582 い 1433</t>
    <phoneticPr fontId="13"/>
  </si>
  <si>
    <t>582 い 1434</t>
    <phoneticPr fontId="13"/>
  </si>
  <si>
    <t>582 い 1435</t>
    <phoneticPr fontId="13"/>
  </si>
  <si>
    <t>582 い 1436</t>
    <phoneticPr fontId="13"/>
  </si>
  <si>
    <t>582 い 1437</t>
    <phoneticPr fontId="13"/>
  </si>
  <si>
    <t>582 い 1438</t>
    <phoneticPr fontId="13"/>
  </si>
  <si>
    <t>582 い 1439</t>
    <phoneticPr fontId="13"/>
  </si>
  <si>
    <t>LA650S-0300018</t>
    <phoneticPr fontId="13"/>
  </si>
  <si>
    <t>582 い 1440</t>
    <phoneticPr fontId="13"/>
  </si>
  <si>
    <t>582 い 1441</t>
    <phoneticPr fontId="13"/>
  </si>
  <si>
    <t>582 い 1444</t>
    <phoneticPr fontId="13"/>
  </si>
  <si>
    <t>582 い 1445</t>
    <phoneticPr fontId="13"/>
  </si>
  <si>
    <t>582 い 1446</t>
    <phoneticPr fontId="13"/>
  </si>
  <si>
    <t>582 い 1447</t>
    <phoneticPr fontId="13"/>
  </si>
  <si>
    <t>582 い 1448</t>
    <phoneticPr fontId="13"/>
  </si>
  <si>
    <t>582 い 1450</t>
    <phoneticPr fontId="13"/>
  </si>
  <si>
    <t>582 い 1451</t>
    <phoneticPr fontId="13"/>
  </si>
  <si>
    <t>582 い 1452</t>
    <phoneticPr fontId="13"/>
  </si>
  <si>
    <t>582 い 1453</t>
    <phoneticPr fontId="13"/>
  </si>
  <si>
    <t>582 い 1454</t>
    <phoneticPr fontId="13"/>
  </si>
  <si>
    <t>582 い 1455</t>
    <phoneticPr fontId="13"/>
  </si>
  <si>
    <t>582 い 1456</t>
    <phoneticPr fontId="13"/>
  </si>
  <si>
    <t>582 い 1457</t>
    <phoneticPr fontId="13"/>
  </si>
  <si>
    <t>582 い 1458</t>
    <phoneticPr fontId="13"/>
  </si>
  <si>
    <t>582 い 1459</t>
    <phoneticPr fontId="13"/>
  </si>
  <si>
    <t>501 ゆ 1167</t>
    <phoneticPr fontId="13"/>
  </si>
  <si>
    <t>301 ね 2504</t>
    <phoneticPr fontId="13"/>
  </si>
  <si>
    <t>301 ね 2503</t>
    <phoneticPr fontId="13"/>
  </si>
  <si>
    <t>301 ね 2502</t>
    <phoneticPr fontId="13"/>
  </si>
  <si>
    <t>501 ゆ 1166</t>
    <phoneticPr fontId="13"/>
  </si>
  <si>
    <t>301 ね 2501</t>
    <phoneticPr fontId="13"/>
  </si>
  <si>
    <t>301 ね 2500</t>
    <phoneticPr fontId="13"/>
  </si>
  <si>
    <t>501 ゆ 1168</t>
    <phoneticPr fontId="13"/>
  </si>
  <si>
    <t>仙台 330 と 8969</t>
    <rPh sb="0" eb="2">
      <t>センダイ</t>
    </rPh>
    <phoneticPr fontId="13"/>
  </si>
  <si>
    <t>ｽﾊﾞﾙ東北株式会社</t>
    <rPh sb="4" eb="6">
      <t>トウホク</t>
    </rPh>
    <rPh sb="6" eb="10">
      <t>カブシキガイシャ</t>
    </rPh>
    <phoneticPr fontId="13"/>
  </si>
  <si>
    <t>下関 500 つ 3920</t>
    <rPh sb="0" eb="2">
      <t>シモノセキ</t>
    </rPh>
    <phoneticPr fontId="13"/>
  </si>
  <si>
    <t>渡邊 航輔</t>
    <rPh sb="0" eb="2">
      <t>ワタナベ</t>
    </rPh>
    <rPh sb="3" eb="5">
      <t>コウスケ</t>
    </rPh>
    <phoneticPr fontId="13"/>
  </si>
  <si>
    <t>NCP160-0151342</t>
    <phoneticPr fontId="13"/>
  </si>
  <si>
    <t>LA350S-0238946</t>
    <phoneticPr fontId="13"/>
  </si>
  <si>
    <t>滋賀 581 ぬ 9693</t>
    <rPh sb="0" eb="2">
      <t>シガ</t>
    </rPh>
    <phoneticPr fontId="13"/>
  </si>
  <si>
    <t>27-1243</t>
  </si>
  <si>
    <t>27-1244</t>
  </si>
  <si>
    <t>27-1245</t>
  </si>
  <si>
    <t>27-1246</t>
  </si>
  <si>
    <t>27-1247</t>
  </si>
  <si>
    <t>27-1248</t>
  </si>
  <si>
    <t>27-1249</t>
  </si>
  <si>
    <t>27-1250</t>
  </si>
  <si>
    <t>27-1251</t>
  </si>
  <si>
    <t>27-1252</t>
  </si>
  <si>
    <t>27-1253</t>
  </si>
  <si>
    <t>27-1254</t>
  </si>
  <si>
    <t>27-1255</t>
  </si>
  <si>
    <t>LA350S-0229405</t>
    <phoneticPr fontId="13"/>
  </si>
  <si>
    <t>ﾊｲｾﾞｯﾄﾄﾗｯｸ ﾛｰﾀﾞﾝﾌﾟ</t>
    <phoneticPr fontId="13"/>
  </si>
  <si>
    <t>S510P-0427311</t>
    <phoneticPr fontId="13"/>
  </si>
  <si>
    <t>27-1256</t>
  </si>
  <si>
    <t>27-1257</t>
  </si>
  <si>
    <t>27-1258</t>
  </si>
  <si>
    <t>27-1259</t>
  </si>
  <si>
    <t>27-1260</t>
  </si>
  <si>
    <t>LA675S-0204827</t>
    <phoneticPr fontId="13"/>
  </si>
  <si>
    <t>8/7/22</t>
    <phoneticPr fontId="13"/>
  </si>
  <si>
    <t>JF1-1892255</t>
    <phoneticPr fontId="13"/>
  </si>
  <si>
    <t>HE22S-435862</t>
    <phoneticPr fontId="13"/>
  </si>
  <si>
    <t>27-1261</t>
  </si>
  <si>
    <t>27-1262</t>
  </si>
  <si>
    <t>ﾐﾗｺｺｱ ｺｺｱﾌﾟﾗｽX</t>
    <phoneticPr fontId="13"/>
  </si>
  <si>
    <t>L675S-0186490</t>
    <phoneticPr fontId="13"/>
  </si>
  <si>
    <t>VW ｺﾞﾙﾌﾄｩｰﾗﾝ</t>
    <phoneticPr fontId="13"/>
  </si>
  <si>
    <t>WVGZZZ1TZMW039674</t>
    <phoneticPr fontId="13"/>
  </si>
  <si>
    <t>尾張小牧 302 み 3986</t>
    <rPh sb="0" eb="4">
      <t>オワリコマキ</t>
    </rPh>
    <phoneticPr fontId="13"/>
  </si>
  <si>
    <t>滋賀 401 て 3333</t>
    <rPh sb="0" eb="2">
      <t>シガ</t>
    </rPh>
    <phoneticPr fontId="13"/>
  </si>
  <si>
    <t>岩永 政光</t>
    <rPh sb="0" eb="2">
      <t>イワナガ</t>
    </rPh>
    <rPh sb="3" eb="5">
      <t>マサミツ</t>
    </rPh>
    <phoneticPr fontId="13"/>
  </si>
  <si>
    <t>情報なし</t>
    <rPh sb="0" eb="2">
      <t>ジョウホウ</t>
    </rPh>
    <phoneticPr fontId="13"/>
  </si>
  <si>
    <t>HAA→US</t>
    <phoneticPr fontId="13"/>
  </si>
  <si>
    <t>地図SD(車内)HAA→USS</t>
    <phoneticPr fontId="13"/>
  </si>
  <si>
    <t>ｽﾀｰﾄﾎﾞﾀﾝ車内なし HAA→ZIP</t>
    <rPh sb="8" eb="10">
      <t>シャナイ</t>
    </rPh>
    <phoneticPr fontId="13"/>
  </si>
  <si>
    <t>日の出株式会社</t>
    <rPh sb="0" eb="1">
      <t>ヒ</t>
    </rPh>
    <rPh sb="2" eb="3">
      <t>デ</t>
    </rPh>
    <rPh sb="3" eb="7">
      <t>カブシキガイシャ</t>
    </rPh>
    <phoneticPr fontId="13"/>
  </si>
  <si>
    <t>藤田 香</t>
    <rPh sb="0" eb="2">
      <t>フジタ</t>
    </rPh>
    <rPh sb="3" eb="4">
      <t>カオ</t>
    </rPh>
    <phoneticPr fontId="13"/>
  </si>
  <si>
    <t>前田 正史</t>
    <rPh sb="0" eb="2">
      <t>マエダ</t>
    </rPh>
    <rPh sb="3" eb="4">
      <t>タダシ</t>
    </rPh>
    <phoneticPr fontId="13"/>
  </si>
  <si>
    <t>名古屋 582 み 1480</t>
    <rPh sb="0" eb="3">
      <t>ナゴヤ</t>
    </rPh>
    <phoneticPr fontId="13"/>
  </si>
  <si>
    <t>ﾃﾞｨｰﾌﾟﾗｽ株式会社</t>
    <rPh sb="8" eb="12">
      <t>カブシキガイシャ</t>
    </rPh>
    <phoneticPr fontId="13"/>
  </si>
  <si>
    <t xml:space="preserve">保証書 取説 ﾅﾝﾊﾞｰ </t>
    <rPh sb="0" eb="3">
      <t>ホショウショ</t>
    </rPh>
    <rPh sb="4" eb="6">
      <t>トリセツ</t>
    </rPh>
    <phoneticPr fontId="13"/>
  </si>
  <si>
    <t>大川 政之</t>
    <rPh sb="0" eb="2">
      <t>オオカワ</t>
    </rPh>
    <rPh sb="3" eb="5">
      <t>マサユキ</t>
    </rPh>
    <phoneticPr fontId="13"/>
  </si>
  <si>
    <t>保証書 取説 ｷｰﾚｽ リモコン ﾜﾝｵｰﾅｰ</t>
    <rPh sb="0" eb="3">
      <t>ホショウショ</t>
    </rPh>
    <rPh sb="4" eb="6">
      <t>トリセツ</t>
    </rPh>
    <phoneticPr fontId="13"/>
  </si>
  <si>
    <t>ｸﾚｰﾑ中</t>
    <rPh sb="4" eb="5">
      <t>チュウ</t>
    </rPh>
    <phoneticPr fontId="13"/>
  </si>
  <si>
    <t>LA360S-0042756</t>
    <phoneticPr fontId="13"/>
  </si>
  <si>
    <t>NCP160-0143953</t>
    <phoneticPr fontId="13"/>
  </si>
  <si>
    <t>尾張小牧 400 ね 1274</t>
    <rPh sb="0" eb="4">
      <t>オワリコマキ</t>
    </rPh>
    <phoneticPr fontId="13"/>
  </si>
  <si>
    <t>株式会社ｱｰｽｸﾘｰﾝ21</t>
    <rPh sb="0" eb="4">
      <t>カブシキガイシャ</t>
    </rPh>
    <phoneticPr fontId="13"/>
  </si>
  <si>
    <t>新潟 301 ら 9459</t>
    <rPh sb="0" eb="2">
      <t>ニイガタ</t>
    </rPh>
    <phoneticPr fontId="13"/>
  </si>
  <si>
    <t>ﾓﾄｰﾚﾝﾆｲｶﾞﾀ株式会社</t>
    <rPh sb="10" eb="14">
      <t>カブシキガイシャ</t>
    </rPh>
    <phoneticPr fontId="13"/>
  </si>
  <si>
    <t>島根 580 は 8124</t>
    <rPh sb="0" eb="2">
      <t>シマネ</t>
    </rPh>
    <phoneticPr fontId="13"/>
  </si>
  <si>
    <t>石倉 純一</t>
    <rPh sb="0" eb="2">
      <t>イシクラ</t>
    </rPh>
    <rPh sb="3" eb="5">
      <t>ジュンイチ</t>
    </rPh>
    <phoneticPr fontId="13"/>
  </si>
  <si>
    <t>保証書  取説 Ｓｷｰ</t>
    <rPh sb="5" eb="7">
      <t>トリセツ</t>
    </rPh>
    <phoneticPr fontId="13"/>
  </si>
  <si>
    <t>倉敷 580 よ 5438</t>
    <rPh sb="0" eb="2">
      <t>クラシキ</t>
    </rPh>
    <phoneticPr fontId="13"/>
  </si>
  <si>
    <t>東中国ｽｽﾞｷ自動車株式会社</t>
    <rPh sb="0" eb="1">
      <t>ヒガシ</t>
    </rPh>
    <rPh sb="1" eb="3">
      <t>チュウゴク</t>
    </rPh>
    <rPh sb="7" eb="10">
      <t>ジドウシャ</t>
    </rPh>
    <rPh sb="10" eb="14">
      <t>カブシキガイシャ</t>
    </rPh>
    <phoneticPr fontId="13"/>
  </si>
  <si>
    <t>姫路 583 さ 3825</t>
    <rPh sb="0" eb="2">
      <t>ヒメジ</t>
    </rPh>
    <phoneticPr fontId="13"/>
  </si>
  <si>
    <t>岡山 581 た 8231</t>
    <rPh sb="0" eb="2">
      <t>オカヤマ</t>
    </rPh>
    <phoneticPr fontId="13"/>
  </si>
  <si>
    <t>岡山 583 す 1098</t>
    <rPh sb="0" eb="2">
      <t>オカヤマ</t>
    </rPh>
    <phoneticPr fontId="13"/>
  </si>
  <si>
    <t>福山 480  さ 381</t>
    <rPh sb="0" eb="2">
      <t>フクヤマ</t>
    </rPh>
    <phoneticPr fontId="13"/>
  </si>
  <si>
    <t>飯田 壽造</t>
    <rPh sb="0" eb="2">
      <t>イイダ</t>
    </rPh>
    <rPh sb="3" eb="4">
      <t>コトブキ</t>
    </rPh>
    <rPh sb="4" eb="5">
      <t>ゾウ</t>
    </rPh>
    <phoneticPr fontId="13"/>
  </si>
  <si>
    <t>品川 580 つ 810</t>
    <rPh sb="0" eb="2">
      <t>シナガワ</t>
    </rPh>
    <phoneticPr fontId="13"/>
  </si>
  <si>
    <t>品川 5X1 ろ 6567</t>
    <rPh sb="0" eb="2">
      <t>シナガワ</t>
    </rPh>
    <phoneticPr fontId="13"/>
  </si>
  <si>
    <t>品川 5X1 ろ 6568</t>
    <rPh sb="0" eb="2">
      <t>シナガワ</t>
    </rPh>
    <phoneticPr fontId="13"/>
  </si>
  <si>
    <t>有限会社ｻｶｲｵｰﾄﾌﾞﾗｻﾞｰｽﾞ</t>
    <rPh sb="0" eb="4">
      <t>ユウゲンガイシャ</t>
    </rPh>
    <phoneticPr fontId="13"/>
  </si>
  <si>
    <t>地図SD(車内)保証書 取説 ｷｰﾚｽ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</si>
  <si>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高比良 誠</t>
    <rPh sb="0" eb="3">
      <t>タカヒラ</t>
    </rPh>
    <rPh sb="4" eb="5">
      <t>マコト</t>
    </rPh>
    <phoneticPr fontId="13"/>
  </si>
  <si>
    <t>野田 587 ろ 1595</t>
    <rPh sb="0" eb="2">
      <t>ノダ</t>
    </rPh>
    <phoneticPr fontId="13"/>
  </si>
  <si>
    <t>株式会社ﾘﾌﾟﾛﾜｰﾙﾄﾞ</t>
    <rPh sb="0" eb="4">
      <t>カブシキガイシャ</t>
    </rPh>
    <phoneticPr fontId="13"/>
  </si>
  <si>
    <t>鈴木 真理</t>
    <rPh sb="0" eb="2">
      <t>スズキ</t>
    </rPh>
    <rPh sb="3" eb="5">
      <t>マリ</t>
    </rPh>
    <phoneticPr fontId="13"/>
  </si>
  <si>
    <t>千葉 792 ろ 7785</t>
    <rPh sb="0" eb="2">
      <t>チバ</t>
    </rPh>
    <phoneticPr fontId="13"/>
  </si>
  <si>
    <t>辻 薫</t>
    <rPh sb="0" eb="1">
      <t>ツジ</t>
    </rPh>
    <rPh sb="2" eb="3">
      <t>カオル</t>
    </rPh>
    <phoneticPr fontId="13"/>
  </si>
  <si>
    <t>保証書  取説 Ｓｷｰ ﾜﾝｵｰﾅｰ</t>
    <rPh sb="5" eb="7">
      <t>トリセツ</t>
    </rPh>
    <phoneticPr fontId="13"/>
  </si>
  <si>
    <t>三河 584 せ 730</t>
    <rPh sb="0" eb="2">
      <t>ミカワ</t>
    </rPh>
    <phoneticPr fontId="13"/>
  </si>
  <si>
    <t>株式会社ｽｽﾞｷ自販中部</t>
    <rPh sb="0" eb="4">
      <t>カブシキガイシャ</t>
    </rPh>
    <rPh sb="8" eb="10">
      <t>ジハン</t>
    </rPh>
    <rPh sb="10" eb="12">
      <t>チュウブ</t>
    </rPh>
    <phoneticPr fontId="13"/>
  </si>
  <si>
    <t>広島 581 ぬ 5527</t>
    <rPh sb="0" eb="2">
      <t>ヒロシマ</t>
    </rPh>
    <phoneticPr fontId="13"/>
  </si>
  <si>
    <t>諏訪 580 け 6733</t>
    <rPh sb="0" eb="2">
      <t>スワ</t>
    </rPh>
    <phoneticPr fontId="13"/>
  </si>
  <si>
    <t>株式会社ｱﾄﾘｴﾋﾞｽﾀ</t>
    <rPh sb="0" eb="4">
      <t>カブシキガイシャ</t>
    </rPh>
    <phoneticPr fontId="13"/>
  </si>
  <si>
    <t>株式会社ｴｱｽﾄ</t>
    <rPh sb="0" eb="4">
      <t>カブシキガイシャ</t>
    </rPh>
    <phoneticPr fontId="13"/>
  </si>
  <si>
    <t>大阪 589 ろ 7681</t>
    <rPh sb="0" eb="2">
      <t>オオサカ</t>
    </rPh>
    <phoneticPr fontId="13"/>
  </si>
  <si>
    <t>有限会社ｽｽﾞｷﾌﾟﾗｻﾞ北摂</t>
    <rPh sb="0" eb="4">
      <t>ユウゲンガイシャ</t>
    </rPh>
    <phoneticPr fontId="13"/>
  </si>
  <si>
    <t>三重 581 け 9530</t>
    <rPh sb="0" eb="2">
      <t>ミエ</t>
    </rPh>
    <phoneticPr fontId="13"/>
  </si>
  <si>
    <t>株式会社ﾎﾝﾀﾞｶｰｽﾞ三重</t>
    <rPh sb="0" eb="4">
      <t>カブシキガイシャ</t>
    </rPh>
    <rPh sb="12" eb="14">
      <t>ミエ</t>
    </rPh>
    <phoneticPr fontId="13"/>
  </si>
  <si>
    <t>守本 葉子</t>
    <rPh sb="0" eb="2">
      <t>モリモト</t>
    </rPh>
    <rPh sb="3" eb="5">
      <t>ヨウコ</t>
    </rPh>
    <phoneticPr fontId="13"/>
  </si>
  <si>
    <t>長野 580 わ 2671</t>
    <rPh sb="0" eb="2">
      <t>ナガノ</t>
    </rPh>
    <phoneticPr fontId="13"/>
  </si>
  <si>
    <t>なにわ 5P6 ろ 9425</t>
    <phoneticPr fontId="13"/>
  </si>
  <si>
    <t>なにわ 5P6 ろ 9430</t>
    <phoneticPr fontId="13"/>
  </si>
  <si>
    <t>なにわ 580 ね 6832</t>
    <phoneticPr fontId="13"/>
  </si>
  <si>
    <t>戸畑 芽衣子</t>
    <rPh sb="0" eb="1">
      <t>ト</t>
    </rPh>
    <rPh sb="1" eb="2">
      <t>ハタケ</t>
    </rPh>
    <rPh sb="3" eb="6">
      <t>メイコ</t>
    </rPh>
    <phoneticPr fontId="13"/>
  </si>
  <si>
    <t>なにわ 5P5 ろ 4451</t>
    <phoneticPr fontId="13"/>
  </si>
  <si>
    <t>ﾘﾓｺﾝ(車内)保証書</t>
    <rPh sb="5" eb="7">
      <t>シャナイ</t>
    </rPh>
    <rPh sb="8" eb="11">
      <t>ホショウショ</t>
    </rPh>
    <phoneticPr fontId="13"/>
  </si>
  <si>
    <t>大阪 581 け 5356</t>
    <rPh sb="0" eb="2">
      <t>オオサカ</t>
    </rPh>
    <phoneticPr fontId="13"/>
  </si>
  <si>
    <t>中西 淑夫</t>
    <rPh sb="0" eb="2">
      <t>ナカニシ</t>
    </rPh>
    <rPh sb="3" eb="4">
      <t>シト</t>
    </rPh>
    <rPh sb="4" eb="5">
      <t>オット</t>
    </rPh>
    <phoneticPr fontId="13"/>
  </si>
  <si>
    <t>越谷 399 た 3779</t>
    <rPh sb="0" eb="2">
      <t>コシタニ</t>
    </rPh>
    <phoneticPr fontId="13"/>
  </si>
  <si>
    <t>株式会社ｸｰﾛﾊﾞｰﾗﾝﾄﾞ</t>
    <rPh sb="0" eb="4">
      <t>カブシキガイシャ</t>
    </rPh>
    <phoneticPr fontId="13"/>
  </si>
  <si>
    <t>一宮 580 ぬ 2926</t>
    <rPh sb="0" eb="2">
      <t>イチノミヤ</t>
    </rPh>
    <phoneticPr fontId="13"/>
  </si>
  <si>
    <t>福島 知美</t>
    <rPh sb="0" eb="2">
      <t>フクシマ</t>
    </rPh>
    <rPh sb="3" eb="4">
      <t>シ</t>
    </rPh>
    <rPh sb="4" eb="5">
      <t>ミ</t>
    </rPh>
    <phoneticPr fontId="13"/>
  </si>
  <si>
    <t>滋賀 330 せ 394</t>
    <rPh sb="0" eb="2">
      <t>シガ</t>
    </rPh>
    <phoneticPr fontId="13"/>
  </si>
  <si>
    <t>杉本 賢吾</t>
    <rPh sb="0" eb="2">
      <t>スギモト</t>
    </rPh>
    <rPh sb="3" eb="5">
      <t>ケンゴ</t>
    </rPh>
    <phoneticPr fontId="13"/>
  </si>
  <si>
    <t>浜松 588 の 117</t>
    <rPh sb="0" eb="2">
      <t>ハママツ</t>
    </rPh>
    <phoneticPr fontId="13"/>
  </si>
  <si>
    <t>阿部 沙代</t>
    <rPh sb="0" eb="2">
      <t>アベ</t>
    </rPh>
    <rPh sb="3" eb="5">
      <t>サヨ</t>
    </rPh>
    <phoneticPr fontId="13"/>
  </si>
  <si>
    <t>なにわ 585 き 1201</t>
    <phoneticPr fontId="13"/>
  </si>
  <si>
    <t>南部 隆介</t>
    <rPh sb="0" eb="2">
      <t>ミナミブ</t>
    </rPh>
    <rPh sb="3" eb="5">
      <t>リュウスケ</t>
    </rPh>
    <phoneticPr fontId="13"/>
  </si>
  <si>
    <t>足立 302 や 5887</t>
    <rPh sb="0" eb="2">
      <t>アダチ</t>
    </rPh>
    <phoneticPr fontId="13"/>
  </si>
  <si>
    <t>佐藤 亘</t>
    <rPh sb="0" eb="2">
      <t>サトウ</t>
    </rPh>
    <rPh sb="3" eb="4">
      <t>ワタル</t>
    </rPh>
    <phoneticPr fontId="13"/>
  </si>
  <si>
    <t>足立 590 め 358</t>
    <rPh sb="0" eb="2">
      <t>アダチ</t>
    </rPh>
    <phoneticPr fontId="13"/>
  </si>
  <si>
    <t>上田 朋子</t>
    <rPh sb="0" eb="2">
      <t>ウエダ</t>
    </rPh>
    <rPh sb="3" eb="5">
      <t>トモコ</t>
    </rPh>
    <phoneticPr fontId="13"/>
  </si>
  <si>
    <t>27-1263</t>
  </si>
  <si>
    <t>村上様</t>
    <rPh sb="0" eb="2">
      <t>ムラカミ</t>
    </rPh>
    <rPh sb="2" eb="3">
      <t>サマ</t>
    </rPh>
    <phoneticPr fontId="13"/>
  </si>
  <si>
    <t>BMW Z4</t>
    <phoneticPr fontId="13"/>
  </si>
  <si>
    <t>WBALL32010J081634</t>
    <phoneticPr fontId="13"/>
  </si>
  <si>
    <t>姫路 330 ま 2806</t>
    <rPh sb="0" eb="2">
      <t>ヒメジ</t>
    </rPh>
    <phoneticPr fontId="13"/>
  </si>
  <si>
    <t>村上 信也</t>
    <rPh sb="0" eb="2">
      <t>ムラカミ</t>
    </rPh>
    <rPh sb="3" eb="5">
      <t>シンヤ</t>
    </rPh>
    <phoneticPr fontId="13"/>
  </si>
  <si>
    <t>大宮 580 も 4301</t>
    <rPh sb="0" eb="2">
      <t>オオミヤ</t>
    </rPh>
    <phoneticPr fontId="13"/>
  </si>
  <si>
    <t>岡本 正美</t>
    <rPh sb="0" eb="2">
      <t>オカモト</t>
    </rPh>
    <rPh sb="3" eb="5">
      <t>マサミ</t>
    </rPh>
    <phoneticPr fontId="13"/>
  </si>
  <si>
    <t>宇都宮 399 ぬ 6454</t>
    <rPh sb="0" eb="3">
      <t>ウツノミヤ</t>
    </rPh>
    <phoneticPr fontId="13"/>
  </si>
  <si>
    <t>樋山 千春</t>
    <rPh sb="0" eb="2">
      <t>ヒヤマ</t>
    </rPh>
    <rPh sb="3" eb="5">
      <t>チハル</t>
    </rPh>
    <phoneticPr fontId="13"/>
  </si>
  <si>
    <t>ﾘﾓｺﾝ(車内)保証書 取説</t>
    <rPh sb="5" eb="7">
      <t>シャナイ</t>
    </rPh>
    <rPh sb="8" eb="11">
      <t>ホショウショ</t>
    </rPh>
    <rPh sb="12" eb="14">
      <t>トリセツ</t>
    </rPh>
    <phoneticPr fontId="13"/>
  </si>
  <si>
    <t>名古屋 326 み 1441</t>
    <rPh sb="0" eb="3">
      <t>ナゴヤ</t>
    </rPh>
    <phoneticPr fontId="13"/>
  </si>
  <si>
    <t>保証書白紙そのまま送る落札店言われたら良さんへ</t>
    <rPh sb="0" eb="3">
      <t>ホショウショ</t>
    </rPh>
    <rPh sb="3" eb="5">
      <t>ハクシ</t>
    </rPh>
    <rPh sb="9" eb="10">
      <t>オク</t>
    </rPh>
    <rPh sb="11" eb="14">
      <t>ラクサツテン</t>
    </rPh>
    <rPh sb="14" eb="15">
      <t>イ</t>
    </rPh>
    <rPh sb="19" eb="20">
      <t>リョウ</t>
    </rPh>
    <phoneticPr fontId="13"/>
  </si>
  <si>
    <t>地図SD(車内)保証書　取説　ｽﾍﾟｱｷｰ</t>
    <rPh sb="0" eb="2">
      <t>チズ</t>
    </rPh>
    <rPh sb="8" eb="11">
      <t>ホショウショ</t>
    </rPh>
    <rPh sb="12" eb="14">
      <t>トリセツ</t>
    </rPh>
    <phoneticPr fontId="13"/>
  </si>
  <si>
    <t>保証書 取説(車内)ｷｰﾚｽ 記録紙1枚</t>
    <rPh sb="0" eb="3">
      <t>ホショウショ</t>
    </rPh>
    <rPh sb="4" eb="6">
      <t>トリセツ</t>
    </rPh>
    <rPh sb="15" eb="18">
      <t>キロクシ</t>
    </rPh>
    <rPh sb="19" eb="20">
      <t>マイ</t>
    </rPh>
    <phoneticPr fontId="13"/>
  </si>
  <si>
    <t xml:space="preserve">取説 ｷｰﾚｽ ﾏｲｸﾛSD(車内)保証書 </t>
    <rPh sb="0" eb="2">
      <t>トリセツ</t>
    </rPh>
    <rPh sb="18" eb="21">
      <t>ホショウショ</t>
    </rPh>
    <phoneticPr fontId="13"/>
  </si>
  <si>
    <t xml:space="preserve">取説 ｽﾍﾟｱｷｰ(車内)保証書 </t>
    <rPh sb="0" eb="2">
      <t>トリセツ</t>
    </rPh>
    <phoneticPr fontId="13"/>
  </si>
  <si>
    <t>27-1264</t>
  </si>
  <si>
    <t>27-1266</t>
  </si>
  <si>
    <t>27-1267</t>
  </si>
  <si>
    <t>27-1268</t>
  </si>
  <si>
    <t>27-1269</t>
  </si>
  <si>
    <t>27-1270</t>
  </si>
  <si>
    <t>27-1271</t>
  </si>
  <si>
    <t>27-1272</t>
  </si>
  <si>
    <t>27-1273</t>
  </si>
  <si>
    <t>27-1274</t>
  </si>
  <si>
    <t>27-1275</t>
  </si>
  <si>
    <t>27-1276</t>
  </si>
  <si>
    <t>BMWﾐﾆ ｼﾞｬｰﾐﾝｸｰﾊﾟｰS</t>
    <phoneticPr fontId="13"/>
  </si>
  <si>
    <t>WMWXS720X02C48923</t>
    <phoneticPr fontId="13"/>
  </si>
  <si>
    <t>神戸 321 ぬ 2525</t>
    <rPh sb="0" eb="2">
      <t>コウベ</t>
    </rPh>
    <phoneticPr fontId="13"/>
  </si>
  <si>
    <t>27-1277</t>
  </si>
  <si>
    <t>JU神奈川(まとめ)</t>
    <rPh sb="2" eb="5">
      <t>カナガワ</t>
    </rPh>
    <phoneticPr fontId="13"/>
  </si>
  <si>
    <t>H58A-1003593</t>
    <phoneticPr fontId="13"/>
  </si>
  <si>
    <t>MR92S-231550</t>
    <phoneticPr fontId="13"/>
  </si>
  <si>
    <t>MR41S-269833</t>
    <phoneticPr fontId="13"/>
  </si>
  <si>
    <t>JG1-2032554</t>
    <phoneticPr fontId="13"/>
  </si>
  <si>
    <t>LA350S-0110252</t>
    <phoneticPr fontId="13"/>
  </si>
  <si>
    <t>LA600S-0739279</t>
    <phoneticPr fontId="13"/>
  </si>
  <si>
    <t>MR41S-123323</t>
    <phoneticPr fontId="13"/>
  </si>
  <si>
    <t>S510P-0111497</t>
    <phoneticPr fontId="13"/>
  </si>
  <si>
    <t>DA64W-307459</t>
    <phoneticPr fontId="13"/>
  </si>
  <si>
    <t>LA350S-0215743</t>
    <phoneticPr fontId="13"/>
  </si>
  <si>
    <t>WMWYT920103L67433</t>
    <phoneticPr fontId="13"/>
  </si>
  <si>
    <t>9/4/18</t>
    <phoneticPr fontId="13"/>
  </si>
  <si>
    <t>ﾊｽﾗｰ Ｆﾘﾐﾃｯﾄﾞ</t>
    <phoneticPr fontId="13"/>
  </si>
  <si>
    <t>N-ONE ﾌﾟﾚﾐｱﾑﾂｱﾗｰ</t>
    <phoneticPr fontId="13"/>
  </si>
  <si>
    <t>9/2/11</t>
    <phoneticPr fontId="13"/>
  </si>
  <si>
    <t>ﾐﾗｲｰｽ G</t>
    <phoneticPr fontId="13"/>
  </si>
  <si>
    <t>ﾀﾝﾄｶｽﾀﾑ ﾄｯﾌﾟｴﾃﾞｨｼｮﾝSA3</t>
    <phoneticPr fontId="13"/>
  </si>
  <si>
    <t>8/2/17</t>
    <phoneticPr fontId="13"/>
  </si>
  <si>
    <t>8/10/25</t>
    <phoneticPr fontId="13"/>
  </si>
  <si>
    <t>ﾊｲｾﾞｯﾄﾄﾗｯｸ  ｼﾞｬﾝﾎﾞ 55thｱﾆﾊﾞｰｻﾘ</t>
    <phoneticPr fontId="13"/>
  </si>
  <si>
    <t>8/7/28</t>
    <phoneticPr fontId="13"/>
  </si>
  <si>
    <t>ｴﾌﾞﾘｲﾜｺﾞﾝ  PZﾀｰﾎﾞ</t>
    <phoneticPr fontId="13"/>
  </si>
  <si>
    <t>BMWﾐﾆｸｰﾊﾟｰ ｸﾛｽｵｰﾊﾞｰD</t>
    <phoneticPr fontId="13"/>
  </si>
  <si>
    <t>582 い 1853</t>
    <phoneticPr fontId="13"/>
  </si>
  <si>
    <t>582 い 1852</t>
    <phoneticPr fontId="13"/>
  </si>
  <si>
    <t>地図SD ﾅﾝﾊﾞｰ</t>
    <rPh sb="0" eb="2">
      <t>チズ</t>
    </rPh>
    <phoneticPr fontId="13"/>
  </si>
  <si>
    <t>名古屋 590 ら 51</t>
    <rPh sb="0" eb="3">
      <t>ナゴヤ</t>
    </rPh>
    <phoneticPr fontId="13"/>
  </si>
  <si>
    <t>福岡 303 ふ 1725</t>
    <rPh sb="0" eb="2">
      <t>フクオカ</t>
    </rPh>
    <phoneticPr fontId="13"/>
  </si>
  <si>
    <t>八王子 330 は 2630</t>
    <rPh sb="0" eb="3">
      <t>ハチオウジ</t>
    </rPh>
    <phoneticPr fontId="13"/>
  </si>
  <si>
    <t>水村 利久</t>
    <rPh sb="0" eb="2">
      <t>ミズムラ</t>
    </rPh>
    <rPh sb="3" eb="5">
      <t>トシヒサ</t>
    </rPh>
    <phoneticPr fontId="13"/>
  </si>
  <si>
    <t>佐世保 333 ち 8118</t>
    <rPh sb="0" eb="3">
      <t>サセボ</t>
    </rPh>
    <phoneticPr fontId="13"/>
  </si>
  <si>
    <t>横山 邦彦</t>
    <rPh sb="0" eb="2">
      <t>ヨコヤマ</t>
    </rPh>
    <rPh sb="3" eb="5">
      <t>クニヒコ</t>
    </rPh>
    <phoneticPr fontId="13"/>
  </si>
  <si>
    <t>和泉 582 あ 4540</t>
    <rPh sb="0" eb="2">
      <t>イズミ</t>
    </rPh>
    <phoneticPr fontId="13"/>
  </si>
  <si>
    <t>ﾄﾖﾀｶﾛｰﾗ南海株式会社</t>
    <rPh sb="7" eb="9">
      <t>ナンカイ</t>
    </rPh>
    <rPh sb="9" eb="13">
      <t>カブシキガイシャ</t>
    </rPh>
    <phoneticPr fontId="13"/>
  </si>
  <si>
    <t>取説(車内)保証書</t>
    <rPh sb="0" eb="2">
      <t>トリセツ</t>
    </rPh>
    <rPh sb="3" eb="5">
      <t>シャナイ</t>
    </rPh>
    <rPh sb="6" eb="9">
      <t>ホショウショ</t>
    </rPh>
    <phoneticPr fontId="13"/>
  </si>
  <si>
    <t>川越 584 よ 168</t>
    <rPh sb="0" eb="2">
      <t>カワゴエ</t>
    </rPh>
    <phoneticPr fontId="13"/>
  </si>
  <si>
    <t>株式会社ｽｽﾞｷ自販西埼玉</t>
    <rPh sb="0" eb="4">
      <t>カブシキガイシャ</t>
    </rPh>
    <rPh sb="8" eb="10">
      <t>ジハン</t>
    </rPh>
    <rPh sb="10" eb="11">
      <t>ニシ</t>
    </rPh>
    <rPh sb="11" eb="13">
      <t>サイタマ</t>
    </rPh>
    <phoneticPr fontId="13"/>
  </si>
  <si>
    <t>なにわ 581 せ 1258</t>
    <phoneticPr fontId="13"/>
  </si>
  <si>
    <t>鳥取 580 も 8424</t>
    <rPh sb="0" eb="2">
      <t>トットリ</t>
    </rPh>
    <phoneticPr fontId="13"/>
  </si>
  <si>
    <t>株式会社ｽｽﾞｷ自販鳥取</t>
    <rPh sb="0" eb="4">
      <t>カブシキガイシャ</t>
    </rPh>
    <rPh sb="8" eb="10">
      <t>ジハン</t>
    </rPh>
    <rPh sb="10" eb="12">
      <t>トットリ</t>
    </rPh>
    <phoneticPr fontId="13"/>
  </si>
  <si>
    <t>香川 480 ち 5094</t>
    <rPh sb="0" eb="2">
      <t>カガワ</t>
    </rPh>
    <phoneticPr fontId="13"/>
  </si>
  <si>
    <t>株式会社ｽｽﾞｷ自販香川</t>
    <rPh sb="0" eb="4">
      <t>カブシキガイシャ</t>
    </rPh>
    <rPh sb="8" eb="10">
      <t>ジハン</t>
    </rPh>
    <rPh sb="10" eb="12">
      <t>カガワ</t>
    </rPh>
    <phoneticPr fontId="13"/>
  </si>
  <si>
    <t>香川 480 ち 6846</t>
    <rPh sb="0" eb="2">
      <t>カガワ</t>
    </rPh>
    <phoneticPr fontId="13"/>
  </si>
  <si>
    <t>鳥取 580 ゆ 5869</t>
    <rPh sb="0" eb="2">
      <t>トットリ</t>
    </rPh>
    <phoneticPr fontId="13"/>
  </si>
  <si>
    <t>株式会社ｽｽﾞｷ自販鳥取</t>
    <rPh sb="0" eb="4">
      <t>カブシキガイシャ</t>
    </rPh>
    <rPh sb="8" eb="12">
      <t>ジハントットリ</t>
    </rPh>
    <phoneticPr fontId="13"/>
  </si>
  <si>
    <t>広島 480 ぬ 4058</t>
    <rPh sb="0" eb="2">
      <t>ヒロシマ</t>
    </rPh>
    <phoneticPr fontId="13"/>
  </si>
  <si>
    <t>株式会社ｽｽﾞｷ自販広島</t>
    <rPh sb="0" eb="4">
      <t>カブシキガイシャ</t>
    </rPh>
    <rPh sb="9" eb="11">
      <t>ヒロシマ</t>
    </rPh>
    <phoneticPr fontId="13"/>
  </si>
  <si>
    <t>倉敷 580 よ 6172</t>
    <rPh sb="0" eb="2">
      <t>クラシキ</t>
    </rPh>
    <phoneticPr fontId="13"/>
  </si>
  <si>
    <t>奥村  顯壽</t>
    <rPh sb="0" eb="2">
      <t>オクムラ</t>
    </rPh>
    <rPh sb="5" eb="6">
      <t>コトブキ</t>
    </rPh>
    <phoneticPr fontId="13"/>
  </si>
  <si>
    <t>品川 39A み 6161</t>
    <rPh sb="0" eb="2">
      <t>シナガワ</t>
    </rPh>
    <phoneticPr fontId="13"/>
  </si>
  <si>
    <t>R27-006</t>
  </si>
  <si>
    <t>⑥</t>
    <phoneticPr fontId="13"/>
  </si>
  <si>
    <t>2025/    ﾚﾝﾀｶｰに移行</t>
    <rPh sb="15" eb="17">
      <t>イコウ</t>
    </rPh>
    <phoneticPr fontId="13"/>
  </si>
  <si>
    <t>27-144からR27-006へ変更</t>
    <rPh sb="16" eb="18">
      <t>ヘンコウ</t>
    </rPh>
    <phoneticPr fontId="13"/>
  </si>
  <si>
    <t>株式会社ｼｭﾃﾙﾝ和歌山</t>
    <rPh sb="0" eb="4">
      <t>カブシキガイシャ</t>
    </rPh>
    <rPh sb="9" eb="12">
      <t>ワカヤマ</t>
    </rPh>
    <phoneticPr fontId="13"/>
  </si>
  <si>
    <t>大前 悦民</t>
    <rPh sb="0" eb="2">
      <t>オオマエ</t>
    </rPh>
    <rPh sb="3" eb="4">
      <t>エツ</t>
    </rPh>
    <rPh sb="4" eb="5">
      <t>タミ</t>
    </rPh>
    <phoneticPr fontId="13"/>
  </si>
  <si>
    <t>27-1278</t>
  </si>
  <si>
    <t>27-1279</t>
  </si>
  <si>
    <t>27-1280</t>
  </si>
  <si>
    <t>27-1281</t>
  </si>
  <si>
    <t>27-1282</t>
  </si>
  <si>
    <t>ﾜｺﾞﾝR ｽﾏｲﾙ ﾊｲﾌﾞﾘｯﾄﾞX</t>
    <phoneticPr fontId="13"/>
  </si>
  <si>
    <t>MX91S-211607</t>
    <phoneticPr fontId="13"/>
  </si>
  <si>
    <t>ｳﾞｪﾙﾌｧｲｱ Z Aｴﾃﾞｨｼｮﾝ</t>
    <phoneticPr fontId="13"/>
  </si>
  <si>
    <t>AGH30-0228936</t>
    <phoneticPr fontId="13"/>
  </si>
  <si>
    <t>ｷｯｸｽ X</t>
    <phoneticPr fontId="13"/>
  </si>
  <si>
    <t>P15-013361</t>
    <phoneticPr fontId="13"/>
  </si>
  <si>
    <t>ｾﾚﾅ S ﾊｲﾌﾞﾘｯﾄﾞ ﾗｲﾀﾞｰ</t>
    <phoneticPr fontId="13"/>
  </si>
  <si>
    <t>HC26-118902</t>
    <phoneticPr fontId="13"/>
  </si>
  <si>
    <t>ﾉｱ Si ﾀﾞﾌﾞﾙﾊﾞｲﾋﾞｰ</t>
    <phoneticPr fontId="13"/>
  </si>
  <si>
    <t>ZRR80-0399555</t>
    <phoneticPr fontId="13"/>
  </si>
  <si>
    <t>ﾓｺ S</t>
    <phoneticPr fontId="13"/>
  </si>
  <si>
    <t>MG33S-187953</t>
    <phoneticPr fontId="13"/>
  </si>
  <si>
    <t>HE33S-111814</t>
    <phoneticPr fontId="13"/>
  </si>
  <si>
    <t>三重 582 き 5792</t>
    <rPh sb="0" eb="2">
      <t>ミエ</t>
    </rPh>
    <phoneticPr fontId="13"/>
  </si>
  <si>
    <t>ｴﾌﾞﾘｨﾊﾞﾝ PAﾘﾐﾃｯﾄﾞ</t>
    <phoneticPr fontId="13"/>
  </si>
  <si>
    <t>DA17V-458952</t>
    <phoneticPr fontId="13"/>
  </si>
  <si>
    <t>名古屋 480 ひ 2892</t>
    <rPh sb="0" eb="3">
      <t>ナゴヤ</t>
    </rPh>
    <phoneticPr fontId="13"/>
  </si>
  <si>
    <t xml:space="preserve">ｷｰﾚｽ ｽﾍﾟｱｷｰ2個(車内)保証書　取説 </t>
    <rPh sb="12" eb="13">
      <t>コ</t>
    </rPh>
    <rPh sb="17" eb="20">
      <t>ホショウショ</t>
    </rPh>
    <rPh sb="21" eb="23">
      <t>トリセツ</t>
    </rPh>
    <phoneticPr fontId="13"/>
  </si>
  <si>
    <t>27-1283</t>
  </si>
  <si>
    <t>27-1284</t>
  </si>
  <si>
    <t>27-1285</t>
  </si>
  <si>
    <t>27-1286</t>
  </si>
  <si>
    <t>27-1287</t>
  </si>
  <si>
    <t>27-1288</t>
  </si>
  <si>
    <t>27-1289</t>
  </si>
  <si>
    <t>27-1290</t>
  </si>
  <si>
    <t>27-1291</t>
  </si>
  <si>
    <t>27-1292</t>
  </si>
  <si>
    <t>27-1293</t>
  </si>
  <si>
    <t>BMWﾐﾆｸｰﾊﾟｰ SD ｸﾗﾌﾞﾏﾝ</t>
    <phoneticPr fontId="13"/>
  </si>
  <si>
    <t>ｷｬｽﾄ ｽﾀｲﾙ G</t>
    <phoneticPr fontId="13"/>
  </si>
  <si>
    <t>LA250S-0207623</t>
    <phoneticPr fontId="13"/>
  </si>
  <si>
    <t>ﾑｰﾌﾞｷｬﾝﾊﾞｽ ｽﾄﾗｲﾌﾟｽG</t>
    <phoneticPr fontId="13"/>
  </si>
  <si>
    <t>LA850G-0022632</t>
    <phoneticPr fontId="13"/>
  </si>
  <si>
    <t>ｱﾊﾞﾙﾄ595</t>
    <phoneticPr fontId="13"/>
  </si>
  <si>
    <t>JF1-1473819</t>
    <phoneticPr fontId="13"/>
  </si>
  <si>
    <t>MR31S-236122</t>
    <phoneticPr fontId="13"/>
  </si>
  <si>
    <t>27-1294</t>
  </si>
  <si>
    <t>27-1295</t>
  </si>
  <si>
    <t>27-1296</t>
  </si>
  <si>
    <t>27-1297</t>
  </si>
  <si>
    <t>27-1298</t>
  </si>
  <si>
    <t>27-1299</t>
  </si>
  <si>
    <t>27-1300</t>
  </si>
  <si>
    <t>27-1301</t>
  </si>
  <si>
    <t>27-1302</t>
  </si>
  <si>
    <t>27-1303</t>
  </si>
  <si>
    <t>27-1304</t>
  </si>
  <si>
    <t>27-1305</t>
  </si>
  <si>
    <t>27-1306</t>
  </si>
  <si>
    <t>27-1307</t>
  </si>
  <si>
    <t>27-1308</t>
  </si>
  <si>
    <t>ｱﾙﾄ L ﾘﾐﾃｯﾄﾞ 40周年記念</t>
    <rPh sb="15" eb="17">
      <t>シュウネン</t>
    </rPh>
    <rPh sb="17" eb="19">
      <t>キネン</t>
    </rPh>
    <phoneticPr fontId="13"/>
  </si>
  <si>
    <t>HA36S-519695</t>
    <phoneticPr fontId="13"/>
  </si>
  <si>
    <t>DA64V-480306</t>
    <phoneticPr fontId="13"/>
  </si>
  <si>
    <t>ﾌｨｯﾄ e；HEV</t>
    <phoneticPr fontId="13"/>
  </si>
  <si>
    <t>GR3-1378109</t>
    <phoneticPr fontId="13"/>
  </si>
  <si>
    <t>CX8 XDﾌﾟﾛｱｸﾃｨﾌﾞ</t>
    <phoneticPr fontId="13"/>
  </si>
  <si>
    <t>KG2P-308388</t>
    <phoneticPr fontId="13"/>
  </si>
  <si>
    <t>ｽｲﾌﾄ XL</t>
    <phoneticPr fontId="13"/>
  </si>
  <si>
    <t>ZC83S-102517</t>
    <phoneticPr fontId="13"/>
  </si>
  <si>
    <t>LA900S-0038338</t>
    <phoneticPr fontId="13"/>
  </si>
  <si>
    <t>N-BOXｶｽﾀﾑ  Lﾀｰﾎﾞ</t>
    <phoneticPr fontId="13"/>
  </si>
  <si>
    <t>JF3-2302285</t>
    <phoneticPr fontId="13"/>
  </si>
  <si>
    <t>ﾑｰﾌﾞｷｬﾝﾊﾞｽ Gﾒｲｸｱｯﾌﾟ</t>
    <phoneticPr fontId="13"/>
  </si>
  <si>
    <t>LA800S-0079365</t>
    <phoneticPr fontId="13"/>
  </si>
  <si>
    <t>BL3FW-100949</t>
    <phoneticPr fontId="13"/>
  </si>
  <si>
    <t>ｽﾍﾟｰｼｱｷﾞｱ ﾊｲﾌﾞﾘｯﾄﾞ</t>
    <phoneticPr fontId="13"/>
  </si>
  <si>
    <t>MK53S-754273</t>
    <phoneticPr fontId="13"/>
  </si>
  <si>
    <t>KGC30-0211045</t>
    <phoneticPr fontId="13"/>
  </si>
  <si>
    <t>ｳﾞｪｾﾞﾙ e；HEV Z</t>
    <phoneticPr fontId="13"/>
  </si>
  <si>
    <t>RV5-1018026</t>
    <phoneticPr fontId="13"/>
  </si>
  <si>
    <t>B5AW-0002799</t>
    <phoneticPr fontId="13"/>
  </si>
  <si>
    <t>ﾀﾝﾄｶｽﾀﾑX</t>
    <phoneticPr fontId="13"/>
  </si>
  <si>
    <t>L375S-0479954</t>
    <phoneticPr fontId="13"/>
  </si>
  <si>
    <t>S500P-0125758</t>
    <phoneticPr fontId="13"/>
  </si>
  <si>
    <t>ﾘｻｲｸﾙ料金違う￥8200計算書訂正OK</t>
    <rPh sb="5" eb="7">
      <t>リョウキン</t>
    </rPh>
    <rPh sb="7" eb="8">
      <t>チガ</t>
    </rPh>
    <rPh sb="14" eb="17">
      <t>ケイサンショ</t>
    </rPh>
    <rPh sb="17" eb="19">
      <t>テイセイ</t>
    </rPh>
    <phoneticPr fontId="13"/>
  </si>
  <si>
    <t>WMWLR520202F14224</t>
    <phoneticPr fontId="13"/>
  </si>
  <si>
    <t>松本 301 て 9804</t>
    <rPh sb="0" eb="2">
      <t>マツモト</t>
    </rPh>
    <phoneticPr fontId="13"/>
  </si>
  <si>
    <t>ﾐﾝﾄ</t>
    <phoneticPr fontId="13"/>
  </si>
  <si>
    <t>四日市 583 い 3425</t>
    <rPh sb="0" eb="3">
      <t>ヨッカイチ</t>
    </rPh>
    <phoneticPr fontId="13"/>
  </si>
  <si>
    <t>VR3UPHNKSLT125386</t>
    <phoneticPr fontId="13"/>
  </si>
  <si>
    <t>8/1/20</t>
    <phoneticPr fontId="13"/>
  </si>
  <si>
    <t>名古屋 390 や 30</t>
    <rPh sb="0" eb="3">
      <t>ナゴヤ</t>
    </rPh>
    <phoneticPr fontId="13"/>
  </si>
  <si>
    <t>ZFA3120000JB39403</t>
    <phoneticPr fontId="13"/>
  </si>
  <si>
    <t>ﾙﾉｰﾄｩｲﾝｺﾞ ｲﾝﾃﾝｽ</t>
    <phoneticPr fontId="13"/>
  </si>
  <si>
    <t>VF1AH0008N0840224</t>
    <phoneticPr fontId="13"/>
  </si>
  <si>
    <t>9/7/10</t>
    <phoneticPr fontId="13"/>
  </si>
  <si>
    <t>名古屋 583 と 2929</t>
    <rPh sb="0" eb="3">
      <t>ナゴヤ</t>
    </rPh>
    <phoneticPr fontId="13"/>
  </si>
  <si>
    <t>浜松 584 て 815</t>
    <rPh sb="0" eb="2">
      <t>ハママツ</t>
    </rPh>
    <phoneticPr fontId="13"/>
  </si>
  <si>
    <t>8/7/29</t>
    <phoneticPr fontId="13"/>
  </si>
  <si>
    <t>10/3/19</t>
    <phoneticPr fontId="13"/>
  </si>
  <si>
    <t>8/1/11</t>
    <phoneticPr fontId="13"/>
  </si>
  <si>
    <t>30/？</t>
    <phoneticPr fontId="13"/>
  </si>
  <si>
    <t>9/3/16</t>
    <phoneticPr fontId="13"/>
  </si>
  <si>
    <t>ｱｸｾﾗｽﾎﾟｰﾂ ｽﾋﾟｰﾄﾞｱｸｾﾗ</t>
    <phoneticPr fontId="13"/>
  </si>
  <si>
    <t>B-CAS</t>
    <phoneticPr fontId="13"/>
  </si>
  <si>
    <t>ﾊﾟｯｿ  1.0 ﾌﾟﾗｽHana Cﾊﾟｯｹｰｼﾞ</t>
    <phoneticPr fontId="13"/>
  </si>
  <si>
    <t>ekｸﾛｽ EV G</t>
    <phoneticPr fontId="13"/>
  </si>
  <si>
    <t>ﾊｲｾﾞｯﾄﾄﾗｯｸ ｼﾞｬﾝﾎﾞSA3</t>
    <phoneticPr fontId="13"/>
  </si>
  <si>
    <t>8/8/23</t>
    <phoneticPr fontId="13"/>
  </si>
  <si>
    <t>27-1309</t>
  </si>
  <si>
    <t>27-1310</t>
  </si>
  <si>
    <t>27-1311</t>
  </si>
  <si>
    <t>27-1312</t>
  </si>
  <si>
    <t>27-1313</t>
  </si>
  <si>
    <t>27-1314</t>
  </si>
  <si>
    <t>27-1315</t>
  </si>
  <si>
    <t>A306894</t>
    <phoneticPr fontId="13"/>
  </si>
  <si>
    <t>RV3-1011860</t>
    <phoneticPr fontId="13"/>
  </si>
  <si>
    <t>A306163</t>
    <phoneticPr fontId="13"/>
  </si>
  <si>
    <t>GDH206-1115375</t>
    <phoneticPr fontId="13"/>
  </si>
  <si>
    <t>9/5/6</t>
    <phoneticPr fontId="13"/>
  </si>
  <si>
    <t>A306352</t>
    <phoneticPr fontId="13"/>
  </si>
  <si>
    <t>LA650S-0050310</t>
    <phoneticPr fontId="13"/>
  </si>
  <si>
    <t>A306958</t>
    <phoneticPr fontId="13"/>
  </si>
  <si>
    <t>TRH200-0352934</t>
    <phoneticPr fontId="13"/>
  </si>
  <si>
    <t>8/1/19</t>
    <phoneticPr fontId="13"/>
  </si>
  <si>
    <t>A307059</t>
    <phoneticPr fontId="13"/>
  </si>
  <si>
    <t>RAV4 ｱﾄﾞﾍﾞﾝﾁｬｰ</t>
    <phoneticPr fontId="13"/>
  </si>
  <si>
    <t>MXAA54-5051929</t>
    <phoneticPr fontId="13"/>
  </si>
  <si>
    <t>10/4/10</t>
    <phoneticPr fontId="13"/>
  </si>
  <si>
    <t>A305736</t>
    <phoneticPr fontId="13"/>
  </si>
  <si>
    <t>ﾀﾝﾄｶｽﾀﾑ X ﾄｯﾌﾟｴﾃﾞｨｼｮﾝSA3</t>
    <phoneticPr fontId="13"/>
  </si>
  <si>
    <t>LA600S-0580402</t>
    <phoneticPr fontId="13"/>
  </si>
  <si>
    <t>8/9/21</t>
    <phoneticPr fontId="13"/>
  </si>
  <si>
    <t>A306447</t>
    <phoneticPr fontId="13"/>
  </si>
  <si>
    <t>B21A-0312293</t>
    <phoneticPr fontId="13"/>
  </si>
  <si>
    <t>WMWXN720903A08103</t>
    <phoneticPr fontId="13"/>
  </si>
  <si>
    <t>VF1AHB22AK0788699</t>
    <phoneticPr fontId="13"/>
  </si>
  <si>
    <t>名古屋 326 ま 8338</t>
    <rPh sb="0" eb="3">
      <t>ナゴヤ</t>
    </rPh>
    <phoneticPr fontId="13"/>
  </si>
  <si>
    <t>ｽﾊﾞﾙ中四国株式会社</t>
    <rPh sb="4" eb="6">
      <t>シコク</t>
    </rPh>
    <rPh sb="6" eb="10">
      <t>カブシキガイシャ</t>
    </rPh>
    <phoneticPr fontId="13"/>
  </si>
  <si>
    <t>福山 399 た 6297</t>
    <phoneticPr fontId="13"/>
  </si>
  <si>
    <t>愛媛 399 そ 2537</t>
    <rPh sb="0" eb="2">
      <t>エヒメ</t>
    </rPh>
    <phoneticPr fontId="13"/>
  </si>
  <si>
    <t>株式会社西四国ﾏﾂﾀﾞ</t>
    <rPh sb="0" eb="4">
      <t>カブシキガイシャ</t>
    </rPh>
    <rPh sb="4" eb="5">
      <t>ニシ</t>
    </rPh>
    <rPh sb="5" eb="7">
      <t>シコク</t>
    </rPh>
    <phoneticPr fontId="13"/>
  </si>
  <si>
    <t>有限会社 ｶｰﾊﾞﾝｸ・ﾄｰｱ</t>
    <rPh sb="0" eb="4">
      <t>ユウゲンガイシャ</t>
    </rPh>
    <phoneticPr fontId="13"/>
  </si>
  <si>
    <t>堀田 英利</t>
    <rPh sb="0" eb="2">
      <t>ホッタ</t>
    </rPh>
    <rPh sb="3" eb="5">
      <t>ヒデトシ</t>
    </rPh>
    <phoneticPr fontId="13"/>
  </si>
  <si>
    <t>多摩 592 ろ 965</t>
    <rPh sb="0" eb="2">
      <t>タマ</t>
    </rPh>
    <phoneticPr fontId="13"/>
  </si>
  <si>
    <t>保証書 取説 ﾚﾝﾀｶｰｸﾚｰﾑ</t>
    <rPh sb="0" eb="3">
      <t>ホショウショ</t>
    </rPh>
    <rPh sb="4" eb="6">
      <t>トリセツ</t>
    </rPh>
    <phoneticPr fontId="13"/>
  </si>
  <si>
    <t>名古屋 780 ろ 365</t>
    <rPh sb="0" eb="3">
      <t>ナゴヤ</t>
    </rPh>
    <phoneticPr fontId="13"/>
  </si>
  <si>
    <t>株式会社JCM名古屋支店</t>
    <rPh sb="0" eb="4">
      <t>カブシキガイシャ</t>
    </rPh>
    <rPh sb="7" eb="10">
      <t>ナゴヤ</t>
    </rPh>
    <rPh sb="10" eb="12">
      <t>シテン</t>
    </rPh>
    <phoneticPr fontId="13"/>
  </si>
  <si>
    <t>名古屋 586 み 1212</t>
    <rPh sb="0" eb="3">
      <t>ナゴヤ</t>
    </rPh>
    <phoneticPr fontId="13"/>
  </si>
  <si>
    <t>西尾 洋子</t>
    <rPh sb="0" eb="2">
      <t>ニシオ</t>
    </rPh>
    <rPh sb="3" eb="5">
      <t>ヨウコ</t>
    </rPh>
    <phoneticPr fontId="13"/>
  </si>
  <si>
    <t>なにわ 5P6 ろ 3695</t>
    <phoneticPr fontId="13"/>
  </si>
  <si>
    <t>株式会社ｱｲﾙｰ</t>
    <rPh sb="0" eb="4">
      <t>カブシキガイシャ</t>
    </rPh>
    <phoneticPr fontId="13"/>
  </si>
  <si>
    <t>なにわ 5P6 ろ 9135</t>
    <phoneticPr fontId="13"/>
  </si>
  <si>
    <t>有限会社岡山ﾎｰﾕｰ</t>
    <rPh sb="0" eb="4">
      <t>ユウゲンガイシャ</t>
    </rPh>
    <rPh sb="4" eb="6">
      <t>オカヤマ</t>
    </rPh>
    <phoneticPr fontId="13"/>
  </si>
  <si>
    <t>ﾈｯﾂﾄﾖﾀ岡山株式会社</t>
    <rPh sb="6" eb="8">
      <t>オカヤマ</t>
    </rPh>
    <rPh sb="8" eb="12">
      <t>カブシキガイシャ</t>
    </rPh>
    <phoneticPr fontId="13"/>
  </si>
  <si>
    <t>広島 581 た 4363</t>
    <rPh sb="0" eb="2">
      <t>ヒロシマ</t>
    </rPh>
    <phoneticPr fontId="13"/>
  </si>
  <si>
    <t>豊田 京子</t>
    <rPh sb="0" eb="2">
      <t>トヨタ</t>
    </rPh>
    <rPh sb="3" eb="5">
      <t>キョウコ</t>
    </rPh>
    <phoneticPr fontId="13"/>
  </si>
  <si>
    <t>山口 590 さ 87</t>
    <rPh sb="0" eb="2">
      <t>ヤマグチ</t>
    </rPh>
    <phoneticPr fontId="13"/>
  </si>
  <si>
    <t>株式会社ﾄﾖﾀﾚﾝﾀﾘｰｽ山口</t>
    <rPh sb="0" eb="4">
      <t>カブシキガイシャ</t>
    </rPh>
    <rPh sb="13" eb="15">
      <t>ヤマグチ</t>
    </rPh>
    <phoneticPr fontId="13"/>
  </si>
  <si>
    <t>岡山 581 に 7303</t>
    <rPh sb="0" eb="1">
      <t>オカ</t>
    </rPh>
    <rPh sb="1" eb="2">
      <t>ヤマ</t>
    </rPh>
    <phoneticPr fontId="13"/>
  </si>
  <si>
    <t>株式会社ﾄﾖﾀﾚﾝﾀﾘｰｽ岡山</t>
    <rPh sb="0" eb="4">
      <t>カブシキガイシャ</t>
    </rPh>
    <rPh sb="13" eb="15">
      <t>オカヤマ</t>
    </rPh>
    <phoneticPr fontId="13"/>
  </si>
  <si>
    <t>滋賀 588 よ 28</t>
    <rPh sb="0" eb="2">
      <t>シガ</t>
    </rPh>
    <phoneticPr fontId="13"/>
  </si>
  <si>
    <t>株式会社ﾛｰｶﾗｲｽﾞ</t>
    <rPh sb="0" eb="4">
      <t>カブシキガイシャ</t>
    </rPh>
    <phoneticPr fontId="13"/>
  </si>
  <si>
    <t>保証書 取説 ﾅﾋﾞ取 SD ｷｰﾚｽ</t>
    <rPh sb="0" eb="3">
      <t>ホショウショ</t>
    </rPh>
    <rPh sb="4" eb="6">
      <t>トリセツ</t>
    </rPh>
    <rPh sb="10" eb="11">
      <t>トリ</t>
    </rPh>
    <phoneticPr fontId="13"/>
  </si>
  <si>
    <t>山口 502 と 2714</t>
    <rPh sb="0" eb="2">
      <t>ヤマグチ</t>
    </rPh>
    <phoneticPr fontId="13"/>
  </si>
  <si>
    <t>阿波 博之</t>
    <rPh sb="0" eb="2">
      <t>アワ</t>
    </rPh>
    <rPh sb="3" eb="5">
      <t>ヒロユキ</t>
    </rPh>
    <phoneticPr fontId="13"/>
  </si>
  <si>
    <t>野田 530 ち 2927</t>
    <rPh sb="0" eb="2">
      <t>ノダ</t>
    </rPh>
    <phoneticPr fontId="13"/>
  </si>
  <si>
    <t>松浦 徹治</t>
    <rPh sb="0" eb="2">
      <t>マツウラ</t>
    </rPh>
    <rPh sb="3" eb="5">
      <t>テツハル</t>
    </rPh>
    <phoneticPr fontId="13"/>
  </si>
  <si>
    <t>WMWXT720702H91630</t>
    <phoneticPr fontId="13"/>
  </si>
  <si>
    <t>愛媛 336 さ 319</t>
    <rPh sb="0" eb="2">
      <t>エヒメ</t>
    </rPh>
    <phoneticPr fontId="13"/>
  </si>
  <si>
    <t>CX3 XDﾂｰﾘﾝｸﾞ</t>
    <phoneticPr fontId="13"/>
  </si>
  <si>
    <t>DK5FW-123410</t>
    <phoneticPr fontId="13"/>
  </si>
  <si>
    <t>ﾑｰﾌﾞｷｬﾝﾊﾞｽ Gﾌﾞﾗｯｸｲﾝﾃﾘｱ</t>
    <phoneticPr fontId="13"/>
  </si>
  <si>
    <t>LA800S-0224382</t>
    <phoneticPr fontId="13"/>
  </si>
  <si>
    <t>ﾃﾞｲｽﾞﾙｰｸｽ ﾊｲｳｪｲｽﾀｰG</t>
    <phoneticPr fontId="13"/>
  </si>
  <si>
    <t>B21A-0399818</t>
    <phoneticPr fontId="13"/>
  </si>
  <si>
    <t>ｽﾍﾟｰｼｱｶｽﾀﾑ XS</t>
    <phoneticPr fontId="13"/>
  </si>
  <si>
    <t>MK42S-631077</t>
    <phoneticPr fontId="13"/>
  </si>
  <si>
    <t>8/5/10</t>
    <phoneticPr fontId="13"/>
  </si>
  <si>
    <t>島根 580 み 7120</t>
    <rPh sb="0" eb="2">
      <t>シマネ</t>
    </rPh>
    <phoneticPr fontId="13"/>
  </si>
  <si>
    <t>MR41S-351460</t>
    <phoneticPr fontId="13"/>
  </si>
  <si>
    <t>ﾒﾙｾﾃﾞｽﾍﾞﾝﾂ Eｸﾗｽ E220d ｱﾊﾞﾝｷﾞｬﾙﾄ</t>
    <phoneticPr fontId="13"/>
  </si>
  <si>
    <t>WDD2130042A529621</t>
    <phoneticPr fontId="13"/>
  </si>
  <si>
    <t>神戸 304 や 1545</t>
    <rPh sb="0" eb="2">
      <t>コウベ</t>
    </rPh>
    <phoneticPr fontId="13"/>
  </si>
  <si>
    <t>WBA3B16020NP61276</t>
    <phoneticPr fontId="13"/>
  </si>
  <si>
    <t>ﾎﾞﾙﾎﾞ V40 ｸﾛｽｶﾝﾄﾘｰ D4</t>
    <phoneticPr fontId="13"/>
  </si>
  <si>
    <t>YV1MZA8RDK2172310</t>
    <phoneticPr fontId="13"/>
  </si>
  <si>
    <t>WMWXR320702L69216</t>
    <phoneticPr fontId="13"/>
  </si>
  <si>
    <t>大阪 340 ね 3298</t>
    <rPh sb="0" eb="2">
      <t>オオサカ</t>
    </rPh>
    <phoneticPr fontId="13"/>
  </si>
  <si>
    <t>品川 5X1 ろ 3377</t>
    <rPh sb="0" eb="2">
      <t>シナガワ</t>
    </rPh>
    <phoneticPr fontId="13"/>
  </si>
  <si>
    <t>品川 39A み 9091</t>
    <rPh sb="0" eb="2">
      <t>シナガワ</t>
    </rPh>
    <phoneticPr fontId="13"/>
  </si>
  <si>
    <t>DA17W-357600</t>
    <phoneticPr fontId="13"/>
  </si>
  <si>
    <t>10/1/5</t>
    <phoneticPr fontId="13"/>
  </si>
  <si>
    <t>和泉 791 い 1</t>
    <rPh sb="0" eb="2">
      <t>イズミ</t>
    </rPh>
    <phoneticPr fontId="13"/>
  </si>
  <si>
    <t>MR31S-206511</t>
    <phoneticPr fontId="13"/>
  </si>
  <si>
    <t>9/3/3</t>
    <phoneticPr fontId="13"/>
  </si>
  <si>
    <t>徳島 580 と 3811</t>
    <rPh sb="0" eb="2">
      <t>トクシマ</t>
    </rPh>
    <phoneticPr fontId="13"/>
  </si>
  <si>
    <t>ポルシェ ﾏｶﾝ S</t>
    <phoneticPr fontId="13"/>
  </si>
  <si>
    <t>WP1ZZZ95ZHLB25584</t>
    <phoneticPr fontId="13"/>
  </si>
  <si>
    <t>大阪 304 せ 5197</t>
    <rPh sb="0" eb="2">
      <t>オオサカ</t>
    </rPh>
    <phoneticPr fontId="13"/>
  </si>
  <si>
    <t>WMWXS520602G83667</t>
    <phoneticPr fontId="13"/>
  </si>
  <si>
    <t>北九州 301 な 6680</t>
    <rPh sb="0" eb="3">
      <t>キタキュウシュウ</t>
    </rPh>
    <phoneticPr fontId="13"/>
  </si>
  <si>
    <t>BMW X3 xdrive 20d Mｽﾎﾟｰﾂ</t>
    <phoneticPr fontId="13"/>
  </si>
  <si>
    <t>WBAWY320200N96663</t>
    <phoneticPr fontId="13"/>
  </si>
  <si>
    <t>福岡 330 て 8430</t>
    <rPh sb="0" eb="2">
      <t>フクオカ</t>
    </rPh>
    <phoneticPr fontId="13"/>
  </si>
  <si>
    <t>WVWZZZ3HZNE000153</t>
    <phoneticPr fontId="13"/>
  </si>
  <si>
    <t>9/6/20</t>
    <phoneticPr fontId="13"/>
  </si>
  <si>
    <t>福岡 348 ふ 3636</t>
    <rPh sb="0" eb="2">
      <t>フクオカ</t>
    </rPh>
    <phoneticPr fontId="13"/>
  </si>
  <si>
    <t>京都 581 て 4160</t>
    <rPh sb="0" eb="2">
      <t>キョウト</t>
    </rPh>
    <phoneticPr fontId="13"/>
  </si>
  <si>
    <t>小西 淳</t>
    <rPh sb="0" eb="2">
      <t>コニシ</t>
    </rPh>
    <rPh sb="3" eb="4">
      <t>ジュン</t>
    </rPh>
    <phoneticPr fontId="13"/>
  </si>
  <si>
    <t>10/19</t>
    <phoneticPr fontId="13"/>
  </si>
  <si>
    <t>WMWLU320302H63392</t>
    <phoneticPr fontId="13"/>
  </si>
  <si>
    <t>山下 綾子</t>
    <rPh sb="0" eb="2">
      <t>ヤマシタ</t>
    </rPh>
    <rPh sb="3" eb="5">
      <t>アヤコ</t>
    </rPh>
    <phoneticPr fontId="13"/>
  </si>
  <si>
    <t>保証書  取説 ｽﾍﾟｱｷｰ</t>
    <rPh sb="5" eb="7">
      <t>トリセツ</t>
    </rPh>
    <phoneticPr fontId="13"/>
  </si>
  <si>
    <t>山本 里司</t>
    <rPh sb="0" eb="2">
      <t>ヤマモト</t>
    </rPh>
    <rPh sb="3" eb="4">
      <t>サト</t>
    </rPh>
    <rPh sb="4" eb="5">
      <t>ツカサ</t>
    </rPh>
    <phoneticPr fontId="13"/>
  </si>
  <si>
    <t>地図SD(車内) 保証書 取説 ｽﾍﾟｱｷｰ</t>
    <rPh sb="0" eb="2">
      <t>チズ</t>
    </rPh>
    <rPh sb="9" eb="12">
      <t>ホショウショ</t>
    </rPh>
    <rPh sb="13" eb="15">
      <t>トリセツ</t>
    </rPh>
    <phoneticPr fontId="13"/>
  </si>
  <si>
    <t>27-1316</t>
  </si>
  <si>
    <t>27-1317</t>
  </si>
  <si>
    <t>27-1318</t>
  </si>
  <si>
    <t>27-1319</t>
  </si>
  <si>
    <t>27-1320</t>
  </si>
  <si>
    <t>ﾒﾙｾﾃﾞｽﾍﾞﾝﾂ A180ｽﾀｲﾙ AMGﾗｲﾝ</t>
    <phoneticPr fontId="13"/>
  </si>
  <si>
    <t>W1K1770842V055175</t>
    <phoneticPr fontId="13"/>
  </si>
  <si>
    <t>27-1321</t>
  </si>
  <si>
    <t>27-1322</t>
  </si>
  <si>
    <t>27-1323</t>
  </si>
  <si>
    <t>27-1324</t>
  </si>
  <si>
    <t>27-1325</t>
  </si>
  <si>
    <t>27-1326</t>
  </si>
  <si>
    <t>27-1327</t>
  </si>
  <si>
    <t>27-1328</t>
  </si>
  <si>
    <t>27-1329</t>
  </si>
  <si>
    <t>27-1330</t>
  </si>
  <si>
    <t>27-1331</t>
  </si>
  <si>
    <t>石田 怜</t>
    <rPh sb="0" eb="2">
      <t>イシダ</t>
    </rPh>
    <rPh sb="3" eb="4">
      <t>レイ</t>
    </rPh>
    <phoneticPr fontId="13"/>
  </si>
  <si>
    <t xml:space="preserve">保証書 取説 ﾅﾋﾞ取 </t>
    <rPh sb="0" eb="3">
      <t>ホショウショ</t>
    </rPh>
    <rPh sb="4" eb="6">
      <t>トリセツ</t>
    </rPh>
    <rPh sb="10" eb="11">
      <t>トリ</t>
    </rPh>
    <phoneticPr fontId="13"/>
  </si>
  <si>
    <t>品番；NSZP-X67D</t>
    <rPh sb="0" eb="2">
      <t>ヒンバン</t>
    </rPh>
    <phoneticPr fontId="13"/>
  </si>
  <si>
    <t>HA売非課税申告はいった</t>
    <rPh sb="2" eb="3">
      <t>ウ</t>
    </rPh>
    <rPh sb="3" eb="6">
      <t>ヒカゼイ</t>
    </rPh>
    <rPh sb="6" eb="8">
      <t>シンコク</t>
    </rPh>
    <phoneticPr fontId="13"/>
  </si>
  <si>
    <t>なにわ 586 き 8118</t>
    <phoneticPr fontId="13"/>
  </si>
  <si>
    <t>豆村自動車株式会社</t>
    <rPh sb="0" eb="1">
      <t>マメ</t>
    </rPh>
    <rPh sb="1" eb="2">
      <t>ムラ</t>
    </rPh>
    <rPh sb="2" eb="5">
      <t>ジドウシャ</t>
    </rPh>
    <rPh sb="5" eb="9">
      <t>カブシキガイシャ</t>
    </rPh>
    <phoneticPr fontId="13"/>
  </si>
  <si>
    <t>品川 48C ろ 9008</t>
    <rPh sb="0" eb="2">
      <t>シナガワ</t>
    </rPh>
    <phoneticPr fontId="13"/>
  </si>
  <si>
    <t>和泉 581 か 3853</t>
    <rPh sb="0" eb="2">
      <t>イズミ</t>
    </rPh>
    <phoneticPr fontId="13"/>
  </si>
  <si>
    <t>下岡 幸恵</t>
    <rPh sb="0" eb="2">
      <t>シモオカ</t>
    </rPh>
    <rPh sb="3" eb="5">
      <t>ユキエ</t>
    </rPh>
    <phoneticPr fontId="13"/>
  </si>
  <si>
    <t>浜中 隆二</t>
    <rPh sb="0" eb="2">
      <t>ハマナカ</t>
    </rPh>
    <rPh sb="3" eb="5">
      <t>リュウジ</t>
    </rPh>
    <phoneticPr fontId="13"/>
  </si>
  <si>
    <t>三河 581 す 872</t>
    <rPh sb="0" eb="2">
      <t>ミカワ</t>
    </rPh>
    <phoneticPr fontId="13"/>
  </si>
  <si>
    <t>宮本 達也</t>
    <rPh sb="0" eb="2">
      <t>ミヤモト</t>
    </rPh>
    <rPh sb="3" eb="5">
      <t>タツヤ</t>
    </rPh>
    <phoneticPr fontId="13"/>
  </si>
  <si>
    <t>名古屋 780 ろ 974</t>
    <rPh sb="0" eb="3">
      <t>ナゴヤ</t>
    </rPh>
    <phoneticPr fontId="13"/>
  </si>
  <si>
    <t>株式会社中電ｵｰﾄﾘｰｽ</t>
    <rPh sb="0" eb="4">
      <t>カブシキガイシャ</t>
    </rPh>
    <rPh sb="4" eb="6">
      <t>ナカデン</t>
    </rPh>
    <phoneticPr fontId="13"/>
  </si>
  <si>
    <t>横山 美保</t>
    <rPh sb="0" eb="2">
      <t>ヨコヤマ</t>
    </rPh>
    <rPh sb="3" eb="5">
      <t>ミホ</t>
    </rPh>
    <phoneticPr fontId="13"/>
  </si>
  <si>
    <t>株式会社ｵｰﾄｾﾝﾀｰ福知山</t>
    <rPh sb="0" eb="4">
      <t>カブシキガイシャ</t>
    </rPh>
    <rPh sb="11" eb="14">
      <t>フクチヤマ</t>
    </rPh>
    <phoneticPr fontId="13"/>
  </si>
  <si>
    <t>保証書  取説 ｷｰﾚｽ ﾜﾝｵｰﾅｰ</t>
    <rPh sb="5" eb="7">
      <t>トリセツ</t>
    </rPh>
    <phoneticPr fontId="13"/>
  </si>
  <si>
    <t>取説 ﾅﾋﾞ取 整備手帳 ｷｰﾚｽ</t>
    <rPh sb="0" eb="2">
      <t>トリセツ</t>
    </rPh>
    <rPh sb="6" eb="7">
      <t>トリ</t>
    </rPh>
    <rPh sb="8" eb="12">
      <t>セイビテチョウ</t>
    </rPh>
    <phoneticPr fontId="13"/>
  </si>
  <si>
    <t>京都 331 ち 1813</t>
    <rPh sb="0" eb="2">
      <t>キョウト</t>
    </rPh>
    <phoneticPr fontId="13"/>
  </si>
  <si>
    <t>神戸 39A せ 7406</t>
    <rPh sb="0" eb="2">
      <t>コウベ</t>
    </rPh>
    <phoneticPr fontId="13"/>
  </si>
  <si>
    <t>株式会社ﾊﾞﾙｺﾑﾓｰﾀｰｽ</t>
    <rPh sb="0" eb="4">
      <t>カブシキガイシャ</t>
    </rPh>
    <phoneticPr fontId="13"/>
  </si>
  <si>
    <t>ｱﾙｽﾀｰｵｰﾄ株式会社</t>
    <rPh sb="8" eb="12">
      <t>カブシキガイシャ</t>
    </rPh>
    <phoneticPr fontId="13"/>
  </si>
  <si>
    <t>USS神戸(ﾜﾝｸﾘ)</t>
    <phoneticPr fontId="13"/>
  </si>
  <si>
    <t>山口 301 せ 5734</t>
    <rPh sb="0" eb="2">
      <t>ヤマグチ</t>
    </rPh>
    <phoneticPr fontId="13"/>
  </si>
  <si>
    <t>株式会社ﾎﾝﾀﾞｶｰｽﾞ光東</t>
    <rPh sb="0" eb="4">
      <t>カブシキガイシャ</t>
    </rPh>
    <rPh sb="12" eb="13">
      <t>ミツ</t>
    </rPh>
    <rPh sb="13" eb="14">
      <t>ヒガシ</t>
    </rPh>
    <phoneticPr fontId="13"/>
  </si>
  <si>
    <t>取説 ｷｰﾚｽ→ｽﾄｯｸ</t>
    <rPh sb="0" eb="2">
      <t>トリセツ</t>
    </rPh>
    <phoneticPr fontId="13"/>
  </si>
  <si>
    <t>取説(車内)ｷｰﾚｽ</t>
    <rPh sb="0" eb="2">
      <t>トリセツ</t>
    </rPh>
    <phoneticPr fontId="13"/>
  </si>
  <si>
    <t>有限会社岡野商会</t>
    <rPh sb="0" eb="4">
      <t>ユウゲンガイシャ</t>
    </rPh>
    <rPh sb="4" eb="6">
      <t>オカノ</t>
    </rPh>
    <rPh sb="6" eb="8">
      <t>ショウカイ</t>
    </rPh>
    <phoneticPr fontId="13"/>
  </si>
  <si>
    <t>村上 知寛</t>
    <rPh sb="0" eb="2">
      <t>ムラカミ</t>
    </rPh>
    <rPh sb="3" eb="4">
      <t>チ</t>
    </rPh>
    <rPh sb="4" eb="5">
      <t>ヒロ</t>
    </rPh>
    <phoneticPr fontId="13"/>
  </si>
  <si>
    <t>ｳｴｽﾄｵｰﾄｻｰﾋﾞｽ株式会社</t>
    <rPh sb="12" eb="16">
      <t>カブシキガイシャ</t>
    </rPh>
    <phoneticPr fontId="13"/>
  </si>
  <si>
    <t>京都 589 い 13</t>
    <rPh sb="0" eb="2">
      <t>キョウト</t>
    </rPh>
    <phoneticPr fontId="13"/>
  </si>
  <si>
    <t>保証書 取説 ﾅﾋﾞ取 ｽﾏｰﾄｷｰ</t>
    <rPh sb="0" eb="3">
      <t>ホショウショ</t>
    </rPh>
    <rPh sb="4" eb="6">
      <t>トリセツ</t>
    </rPh>
    <rPh sb="10" eb="11">
      <t>トリ</t>
    </rPh>
    <phoneticPr fontId="13"/>
  </si>
  <si>
    <t>品番；CN-RE03WD</t>
    <rPh sb="0" eb="2">
      <t>ヒンバン</t>
    </rPh>
    <phoneticPr fontId="13"/>
  </si>
  <si>
    <t>品番；MM321D-LM</t>
    <rPh sb="0" eb="2">
      <t>ヒンバン</t>
    </rPh>
    <phoneticPr fontId="13"/>
  </si>
  <si>
    <t>27-1332</t>
  </si>
  <si>
    <t>27-1333</t>
  </si>
  <si>
    <t>27-1334</t>
  </si>
  <si>
    <t>27-1335</t>
  </si>
  <si>
    <t>27-1336</t>
  </si>
  <si>
    <t>27-1337</t>
  </si>
  <si>
    <t>27-1338</t>
  </si>
  <si>
    <t>27-1339</t>
  </si>
  <si>
    <t>27-1340</t>
  </si>
  <si>
    <t>B38A-0517364</t>
    <phoneticPr fontId="13"/>
  </si>
  <si>
    <t>HFC26-228513</t>
    <phoneticPr fontId="13"/>
  </si>
  <si>
    <t>RP3-1117379</t>
    <phoneticPr fontId="13"/>
  </si>
  <si>
    <t>MR52S-123039</t>
    <phoneticPr fontId="13"/>
  </si>
  <si>
    <t>MXPJ10-2011005</t>
    <phoneticPr fontId="13"/>
  </si>
  <si>
    <t>LA250S-0165906</t>
    <phoneticPr fontId="13"/>
  </si>
  <si>
    <t>MXPL10-1071807</t>
    <phoneticPr fontId="13"/>
  </si>
  <si>
    <t>MK53S-949253</t>
    <phoneticPr fontId="13"/>
  </si>
  <si>
    <t>ZRR80-0022040</t>
    <phoneticPr fontId="13"/>
  </si>
  <si>
    <t>ｾﾚﾅ S ﾊｲﾌﾞﾘｯﾄﾞ  ﾊｲｳｪｲS</t>
    <phoneticPr fontId="13"/>
  </si>
  <si>
    <t>ﾊｽﾗｰ J ｽﾀｲﾙﾀｰﾎﾞ</t>
    <phoneticPr fontId="13"/>
  </si>
  <si>
    <t>ﾔﾘｽｸﾛｽﾊｲﾌﾞﾘｯﾄﾞ Z</t>
    <phoneticPr fontId="13"/>
  </si>
  <si>
    <t>ｷｬｽﾄ ｽﾀｲﾙ G ﾘﾐﾃｯﾄﾞ</t>
    <phoneticPr fontId="13"/>
  </si>
  <si>
    <t>ｼｴﾝﾀ ﾊｲﾌﾞﾘｯﾄﾞZ</t>
    <phoneticPr fontId="13"/>
  </si>
  <si>
    <t>ｳﾞｫｸｼｰ ZS</t>
    <phoneticPr fontId="13"/>
  </si>
  <si>
    <t xml:space="preserve">BMWﾐﾆﾜﾝ </t>
    <phoneticPr fontId="13"/>
  </si>
  <si>
    <t>WMWXU52070TH94765</t>
    <phoneticPr fontId="13"/>
  </si>
  <si>
    <t>ｱｳﾃﾞｨA4 45TFSI ｸﾜﾄﾛﾏｲｽﾀ</t>
    <phoneticPr fontId="13"/>
  </si>
  <si>
    <t>WAUZZZF47KA107231</t>
    <phoneticPr fontId="13"/>
  </si>
  <si>
    <t>和歌山 330 な 7856</t>
    <rPh sb="0" eb="3">
      <t>ワカヤマ</t>
    </rPh>
    <phoneticPr fontId="13"/>
  </si>
  <si>
    <t>2008 ﾜｺﾞﾝ</t>
    <phoneticPr fontId="13"/>
  </si>
  <si>
    <t>姫路 330 す 7079</t>
    <rPh sb="0" eb="2">
      <t>ヒメジ</t>
    </rPh>
    <phoneticPr fontId="13"/>
  </si>
  <si>
    <t>ﾎﾝﾀﾞ九州</t>
    <rPh sb="4" eb="6">
      <t>キュウシュウ</t>
    </rPh>
    <phoneticPr fontId="13"/>
  </si>
  <si>
    <t>ｼﾞｰﾌﾟ ﾚﾈｹﾞｰﾄ LTD</t>
    <phoneticPr fontId="13"/>
  </si>
  <si>
    <t>1C4NJCD16MPN16058</t>
    <phoneticPr fontId="13"/>
  </si>
  <si>
    <t>福岡 364 て 330</t>
    <rPh sb="0" eb="2">
      <t>フクオカ</t>
    </rPh>
    <phoneticPr fontId="13"/>
  </si>
  <si>
    <t>A306923</t>
    <phoneticPr fontId="13"/>
  </si>
  <si>
    <t>AGH30-0069835</t>
    <phoneticPr fontId="13"/>
  </si>
  <si>
    <t>A307794</t>
    <phoneticPr fontId="13"/>
  </si>
  <si>
    <t>MXPJ10-2030251</t>
    <phoneticPr fontId="13"/>
  </si>
  <si>
    <t>A306956</t>
    <phoneticPr fontId="13"/>
  </si>
  <si>
    <t>MK53S-640791</t>
    <phoneticPr fontId="13"/>
  </si>
  <si>
    <t>A306115</t>
    <phoneticPr fontId="13"/>
  </si>
  <si>
    <t>AWS210-6079465</t>
    <phoneticPr fontId="13"/>
  </si>
  <si>
    <t>A306848</t>
    <phoneticPr fontId="13"/>
  </si>
  <si>
    <t>RT6-1300598</t>
    <phoneticPr fontId="13"/>
  </si>
  <si>
    <t>ｳﾞｪﾙﾌｧｲｱ 2.5X</t>
    <phoneticPr fontId="13"/>
  </si>
  <si>
    <t>9/4/19</t>
    <phoneticPr fontId="13"/>
  </si>
  <si>
    <t>8/8/18</t>
    <phoneticPr fontId="13"/>
  </si>
  <si>
    <t>ｸﾗｳﾝﾊｲﾌﾞﾘｯﾄﾞ ｱｽﾘｰﾄG</t>
    <phoneticPr fontId="13"/>
  </si>
  <si>
    <t>8/2/5</t>
    <phoneticPr fontId="13"/>
  </si>
  <si>
    <t>CR-V ﾊｲﾌﾞﾘｯﾄﾞ e；HEV FX</t>
    <phoneticPr fontId="13"/>
  </si>
  <si>
    <t>BMW 5ｼﾘｰｽﾞ ﾂｰﾘﾝｸﾞ 528iMｽﾎﾟｰﾂ</t>
    <phoneticPr fontId="13"/>
  </si>
  <si>
    <t>WBA5G52050D181517</t>
    <phoneticPr fontId="13"/>
  </si>
  <si>
    <t>神戸 303 ま 1611</t>
    <rPh sb="0" eb="2">
      <t>コウベ</t>
    </rPh>
    <phoneticPr fontId="13"/>
  </si>
  <si>
    <t>27-1341</t>
  </si>
  <si>
    <t>27-1342</t>
  </si>
  <si>
    <t>27-1343</t>
  </si>
  <si>
    <t>27-1344</t>
  </si>
  <si>
    <t>27-1345</t>
  </si>
  <si>
    <t>27-1346</t>
  </si>
  <si>
    <t>27-1347</t>
  </si>
  <si>
    <t>27-1348</t>
  </si>
  <si>
    <t>27-1349</t>
  </si>
  <si>
    <t>27-1350</t>
  </si>
  <si>
    <t>27-1351</t>
  </si>
  <si>
    <t>CX5 25TLﾊﾟｯｹｰｼﾞ</t>
    <phoneticPr fontId="13"/>
  </si>
  <si>
    <t>ｱﾙﾌｧｰﾄﾞ S Aﾊﾟｯｹｰｼﾞ</t>
    <phoneticPr fontId="13"/>
  </si>
  <si>
    <t>ﾌﾟﾘｳｽ X</t>
    <phoneticPr fontId="13"/>
  </si>
  <si>
    <t>TAA売 付属品車内？</t>
    <rPh sb="3" eb="4">
      <t>ウ</t>
    </rPh>
    <rPh sb="5" eb="8">
      <t>フゾクヒン</t>
    </rPh>
    <rPh sb="8" eb="10">
      <t>シャナイ</t>
    </rPh>
    <phoneticPr fontId="13"/>
  </si>
  <si>
    <t>愛媛 581 え 5136</t>
    <rPh sb="0" eb="2">
      <t>エヒメ</t>
    </rPh>
    <phoneticPr fontId="13"/>
  </si>
  <si>
    <t>株式会社ﾎﾝﾀﾞｶｰｽﾞ中央愛媛</t>
    <rPh sb="0" eb="4">
      <t>カブシキガイシャ</t>
    </rPh>
    <rPh sb="12" eb="14">
      <t>チュウオウ</t>
    </rPh>
    <rPh sb="14" eb="16">
      <t>エヒメ</t>
    </rPh>
    <phoneticPr fontId="13"/>
  </si>
  <si>
    <t>豊橋 581 け 2445</t>
    <rPh sb="0" eb="2">
      <t>トヨハシ</t>
    </rPh>
    <phoneticPr fontId="13"/>
  </si>
  <si>
    <t>愛媛 480 に 6925</t>
    <rPh sb="0" eb="2">
      <t>エヒメ</t>
    </rPh>
    <phoneticPr fontId="13"/>
  </si>
  <si>
    <t>出雲 480 あ 8530</t>
    <rPh sb="0" eb="2">
      <t>イヅモ</t>
    </rPh>
    <phoneticPr fontId="13"/>
  </si>
  <si>
    <t>倉敷 581 ろ 5959</t>
    <rPh sb="0" eb="2">
      <t>クラシキ</t>
    </rPh>
    <phoneticPr fontId="13"/>
  </si>
  <si>
    <t>三備ﾎﾝﾀﾞ販売株式会社</t>
    <rPh sb="0" eb="1">
      <t>サン</t>
    </rPh>
    <rPh sb="1" eb="2">
      <t>ビ</t>
    </rPh>
    <rPh sb="5" eb="7">
      <t>ハンバイ</t>
    </rPh>
    <rPh sb="7" eb="11">
      <t>カブシキガイシャ</t>
    </rPh>
    <phoneticPr fontId="13"/>
  </si>
  <si>
    <t>長野 480 と 6674</t>
    <rPh sb="0" eb="2">
      <t>ナガノ</t>
    </rPh>
    <phoneticPr fontId="13"/>
  </si>
  <si>
    <t>武捨 徳治</t>
    <rPh sb="0" eb="1">
      <t>ム</t>
    </rPh>
    <rPh sb="1" eb="2">
      <t>シャ</t>
    </rPh>
    <rPh sb="3" eb="4">
      <t>トク</t>
    </rPh>
    <rPh sb="4" eb="5">
      <t>ナオ</t>
    </rPh>
    <phoneticPr fontId="13"/>
  </si>
  <si>
    <t>相模 585 い 8118</t>
    <rPh sb="0" eb="1">
      <t>アイ</t>
    </rPh>
    <rPh sb="1" eb="2">
      <t>モ</t>
    </rPh>
    <phoneticPr fontId="13"/>
  </si>
  <si>
    <t>上床 あや</t>
    <rPh sb="0" eb="1">
      <t>ウエ</t>
    </rPh>
    <rPh sb="1" eb="2">
      <t>ユカ</t>
    </rPh>
    <phoneticPr fontId="13"/>
  </si>
  <si>
    <t>LA600S-0683786</t>
    <phoneticPr fontId="13"/>
  </si>
  <si>
    <t>DA17W-310210</t>
    <phoneticPr fontId="13"/>
  </si>
  <si>
    <t>ｱﾙﾄﾗﾊﾟﾝ S</t>
    <phoneticPr fontId="13"/>
  </si>
  <si>
    <t>HE33S-236561</t>
    <phoneticPr fontId="13"/>
  </si>
  <si>
    <t>MR41S-264257</t>
    <phoneticPr fontId="13"/>
  </si>
  <si>
    <t>DA17V-677758</t>
    <phoneticPr fontId="13"/>
  </si>
  <si>
    <t>保証書 取説 ﾅﾋﾞ取 ﾅﾝﾊﾞｰ</t>
    <rPh sb="0" eb="3">
      <t>ホショウショ</t>
    </rPh>
    <rPh sb="4" eb="6">
      <t>トリセツ</t>
    </rPh>
    <rPh sb="10" eb="11">
      <t>トリ</t>
    </rPh>
    <phoneticPr fontId="13"/>
  </si>
  <si>
    <t>MX91S-158387</t>
    <phoneticPr fontId="13"/>
  </si>
  <si>
    <t>MN71S-163689</t>
    <phoneticPr fontId="13"/>
  </si>
  <si>
    <t>大阪 504 ま 47</t>
    <rPh sb="0" eb="2">
      <t>オオサカ</t>
    </rPh>
    <phoneticPr fontId="13"/>
  </si>
  <si>
    <t>ZFANF2D12MP920543</t>
    <phoneticPr fontId="13"/>
  </si>
  <si>
    <t>ﾊｽﾗｰXﾀｰﾎﾞ</t>
    <phoneticPr fontId="13"/>
  </si>
  <si>
    <t>MR31S-837493</t>
    <phoneticPr fontId="13"/>
  </si>
  <si>
    <t>MK53S-067764</t>
    <phoneticPr fontId="13"/>
  </si>
  <si>
    <t>香川 580 わ 7578</t>
    <phoneticPr fontId="13"/>
  </si>
  <si>
    <t>22/10</t>
    <phoneticPr fontId="13"/>
  </si>
  <si>
    <t>ジムニー 4WD</t>
    <phoneticPr fontId="13"/>
  </si>
  <si>
    <t>JB23W-650886</t>
    <phoneticPr fontId="13"/>
  </si>
  <si>
    <t>LA900S-0093820</t>
    <phoneticPr fontId="13"/>
  </si>
  <si>
    <t>徳島 584 な 193</t>
    <rPh sb="0" eb="2">
      <t>トクシマ</t>
    </rPh>
    <phoneticPr fontId="13"/>
  </si>
  <si>
    <t>ｱｳﾃﾞｨQ2 30 TFSIｽﾎﾟｰﾂ</t>
    <phoneticPr fontId="13"/>
  </si>
  <si>
    <t>WAUZZZGA4LA004306</t>
    <phoneticPr fontId="13"/>
  </si>
  <si>
    <t>香川 334 さ 102</t>
    <rPh sb="0" eb="2">
      <t>カガワ</t>
    </rPh>
    <phoneticPr fontId="13"/>
  </si>
  <si>
    <t>ｴﾌﾞﾘｲ PC 4WD</t>
    <phoneticPr fontId="13"/>
  </si>
  <si>
    <t>DA17V-651384</t>
    <phoneticPr fontId="13"/>
  </si>
  <si>
    <t>JF1-1503813</t>
    <phoneticPr fontId="13"/>
  </si>
  <si>
    <t>ｷｬﾝｾﾙ 書類返送10/21</t>
    <rPh sb="6" eb="8">
      <t>ショルイ</t>
    </rPh>
    <rPh sb="8" eb="10">
      <t>ヘンソウ</t>
    </rPh>
    <phoneticPr fontId="13"/>
  </si>
  <si>
    <t>27-1352</t>
  </si>
  <si>
    <t>27-1353</t>
  </si>
  <si>
    <t>27-1354</t>
  </si>
  <si>
    <t>KF5P-303375</t>
    <phoneticPr fontId="13"/>
  </si>
  <si>
    <t>AGH30-0182861</t>
    <phoneticPr fontId="13"/>
  </si>
  <si>
    <t>ZVW60-4009986</t>
    <phoneticPr fontId="13"/>
  </si>
  <si>
    <t>MH23S-746962</t>
    <phoneticPr fontId="13"/>
  </si>
  <si>
    <t>VW Tﾛｯｸ TDI</t>
    <phoneticPr fontId="13"/>
  </si>
  <si>
    <t>WVGZZZA1ZMV122213</t>
    <phoneticPr fontId="13"/>
  </si>
  <si>
    <t>北九州 330 な 8577</t>
    <rPh sb="0" eb="3">
      <t>キタキュウシュウ</t>
    </rPh>
    <phoneticPr fontId="13"/>
  </si>
  <si>
    <t>初年月違う5/7月 ｸﾚｰﾑ済 HAAそのまま送る</t>
    <phoneticPr fontId="13"/>
  </si>
  <si>
    <t xml:space="preserve">取説 ｷｰﾚｽ(車内) 保証書 </t>
    <rPh sb="0" eb="2">
      <t>トリセツ</t>
    </rPh>
    <rPh sb="12" eb="15">
      <t>ホショウショ</t>
    </rPh>
    <phoneticPr fontId="13"/>
  </si>
  <si>
    <t>HAA売ｷｬﾝｾﾙ1271回80123</t>
    <rPh sb="3" eb="4">
      <t>ウ</t>
    </rPh>
    <rPh sb="13" eb="14">
      <t>カイ</t>
    </rPh>
    <phoneticPr fontId="13"/>
  </si>
  <si>
    <r>
      <t>保証書 取説</t>
    </r>
    <r>
      <rPr>
        <sz val="11"/>
        <color rgb="FFFF0000"/>
        <rFont val="ＭＳ Ｐゴシック"/>
        <family val="3"/>
        <charset val="128"/>
        <scheme val="minor"/>
      </rPr>
      <t xml:space="preserve"> </t>
    </r>
    <rPh sb="0" eb="3">
      <t>ホショウショ</t>
    </rPh>
    <rPh sb="4" eb="6">
      <t>トリセツ</t>
    </rPh>
    <phoneticPr fontId="13"/>
  </si>
  <si>
    <t>高知 330 て 676</t>
    <rPh sb="0" eb="2">
      <t>コウチ</t>
    </rPh>
    <phoneticPr fontId="13"/>
  </si>
  <si>
    <t>藤原 房子</t>
    <rPh sb="0" eb="2">
      <t>フジワラ</t>
    </rPh>
    <rPh sb="3" eb="5">
      <t>フサコ</t>
    </rPh>
    <phoneticPr fontId="13"/>
  </si>
  <si>
    <t>10/23</t>
    <phoneticPr fontId="13"/>
  </si>
  <si>
    <t>27-1355</t>
  </si>
  <si>
    <t>27-1356</t>
  </si>
  <si>
    <t>27-1357</t>
  </si>
  <si>
    <t>27-1358</t>
  </si>
  <si>
    <t>27-1359</t>
  </si>
  <si>
    <t>27-1360</t>
  </si>
  <si>
    <t>27-1361</t>
  </si>
  <si>
    <t>27-1362</t>
  </si>
  <si>
    <t>27-1363</t>
  </si>
  <si>
    <t>27-1364</t>
  </si>
  <si>
    <t>27-1365</t>
  </si>
  <si>
    <t>27-1366</t>
  </si>
  <si>
    <t>27-1367</t>
  </si>
  <si>
    <t>27-1368</t>
  </si>
  <si>
    <t>27-1369</t>
  </si>
  <si>
    <t>27-1370</t>
  </si>
  <si>
    <t>27-1371</t>
  </si>
  <si>
    <t>USSｰR名古屋</t>
    <rPh sb="5" eb="8">
      <t>ナゴヤ</t>
    </rPh>
    <phoneticPr fontId="13"/>
  </si>
  <si>
    <t>27-1372</t>
  </si>
  <si>
    <t>27-1373</t>
  </si>
  <si>
    <t>27-1374</t>
  </si>
  <si>
    <t>27-1375</t>
  </si>
  <si>
    <t>ﾑｰﾌﾞ L ｽﾏｰﾄｾﾚｸｼｮﾝSA</t>
    <phoneticPr fontId="13"/>
  </si>
  <si>
    <t>LA100S-0295661</t>
    <phoneticPr fontId="13"/>
  </si>
  <si>
    <t>ﾜｺﾞﾝR ｶｽﾀﾑ Z ﾊｲﾌﾞﾘｯﾄﾞZX</t>
    <phoneticPr fontId="13"/>
  </si>
  <si>
    <t>MH95S-278374</t>
    <phoneticPr fontId="13"/>
  </si>
  <si>
    <t>ｱﾙﾄﾗﾊﾟﾝ  T Lﾊﾟｯｹｰｼﾞ</t>
    <phoneticPr fontId="13"/>
  </si>
  <si>
    <t>HE22S-850036</t>
    <phoneticPr fontId="13"/>
  </si>
  <si>
    <t>HE33S-164743</t>
    <phoneticPr fontId="13"/>
  </si>
  <si>
    <t>27-1376</t>
  </si>
  <si>
    <t>27-1377</t>
  </si>
  <si>
    <t>27-1378</t>
  </si>
  <si>
    <t>27-1379</t>
  </si>
  <si>
    <t>日産ﾌﾟﾗｻﾞｿﾙ大阪(ｱｲｵｰｸ)</t>
    <rPh sb="0" eb="2">
      <t>ニッサン</t>
    </rPh>
    <rPh sb="9" eb="11">
      <t>オオサカ</t>
    </rPh>
    <phoneticPr fontId="13"/>
  </si>
  <si>
    <t>MG33S-148043</t>
    <phoneticPr fontId="13"/>
  </si>
  <si>
    <t>27-1380</t>
  </si>
  <si>
    <t>27-1381</t>
  </si>
  <si>
    <t>27-1382</t>
  </si>
  <si>
    <t>27-1383</t>
  </si>
  <si>
    <t>NCP160-0150638</t>
    <phoneticPr fontId="13"/>
  </si>
  <si>
    <t>LA350S-0216572</t>
    <phoneticPr fontId="13"/>
  </si>
  <si>
    <t>JF5-5006587</t>
    <phoneticPr fontId="13"/>
  </si>
  <si>
    <t>JF5-1136423</t>
    <phoneticPr fontId="13"/>
  </si>
  <si>
    <t>B11W-0217400</t>
    <phoneticPr fontId="13"/>
  </si>
  <si>
    <t>JF5-1013251</t>
    <phoneticPr fontId="13"/>
  </si>
  <si>
    <t>JF5-1013295</t>
    <phoneticPr fontId="13"/>
  </si>
  <si>
    <t>27-1384</t>
  </si>
  <si>
    <t>ﾐﾗｲｰｽ  G ﾘﾐﾃｯﾄﾞ SA3</t>
    <phoneticPr fontId="13"/>
  </si>
  <si>
    <t>LA350S-0397960</t>
    <phoneticPr fontId="13"/>
  </si>
  <si>
    <t>27-1385</t>
  </si>
  <si>
    <t>27-1386</t>
  </si>
  <si>
    <t>27-1387</t>
  </si>
  <si>
    <t>27-1388</t>
  </si>
  <si>
    <t>27-1389</t>
  </si>
  <si>
    <t>HE22S-190887</t>
    <phoneticPr fontId="13"/>
  </si>
  <si>
    <t>LA700S-0085111</t>
    <phoneticPr fontId="13"/>
  </si>
  <si>
    <t>WMWXS520502C90100</t>
    <phoneticPr fontId="13"/>
  </si>
  <si>
    <t>WMWXU72020TN29826</t>
    <phoneticPr fontId="13"/>
  </si>
  <si>
    <t>三河 581 い 5395</t>
    <rPh sb="0" eb="2">
      <t>ミカワ</t>
    </rPh>
    <phoneticPr fontId="13"/>
  </si>
  <si>
    <t>ｳｪｲｸ G ﾀｰﾎﾞSA2</t>
    <phoneticPr fontId="13"/>
  </si>
  <si>
    <t>金沢 300 ま 34</t>
    <rPh sb="0" eb="2">
      <t>カナザワ</t>
    </rPh>
    <phoneticPr fontId="13"/>
  </si>
  <si>
    <t>三河 330 さ 8232</t>
    <rPh sb="0" eb="2">
      <t>ミカワ</t>
    </rPh>
    <phoneticPr fontId="13"/>
  </si>
  <si>
    <t>ﾌﾟﾛﾎﾞｯｸｽﾊﾞﾝ F</t>
    <phoneticPr fontId="13"/>
  </si>
  <si>
    <t>ﾐﾗｲｰｽ  L SA3</t>
    <phoneticPr fontId="13"/>
  </si>
  <si>
    <t>N-BOX JOY</t>
    <phoneticPr fontId="13"/>
  </si>
  <si>
    <t>ekｶｽﾀﾑ G ｾｰﾌﾃｨﾊﾟｯｹｰｼﾞ</t>
    <phoneticPr fontId="13"/>
  </si>
  <si>
    <t>福岡 582 ぬ 4345</t>
    <rPh sb="0" eb="2">
      <t>フクオカ</t>
    </rPh>
    <phoneticPr fontId="13"/>
  </si>
  <si>
    <t>福岡 582 ぬ 4357</t>
    <rPh sb="0" eb="2">
      <t>フクオカ</t>
    </rPh>
    <phoneticPr fontId="13"/>
  </si>
  <si>
    <t>ﾌﾟｼﾞｮｰ 3008 ﾌﾞﾙｰHdi ｽﾍﾟｼｬﾙｴﾃﾞｨｼｮﾝ</t>
    <phoneticPr fontId="13"/>
  </si>
  <si>
    <t>VF3MJAHWWJS155161</t>
    <phoneticPr fontId="13"/>
  </si>
  <si>
    <t>9/6/2</t>
    <phoneticPr fontId="13"/>
  </si>
  <si>
    <t>7/12/12</t>
    <phoneticPr fontId="13"/>
  </si>
  <si>
    <t>名古屋 58A え 5426</t>
    <rPh sb="0" eb="3">
      <t>ナゴヤ</t>
    </rPh>
    <phoneticPr fontId="13"/>
  </si>
  <si>
    <t>27-1390</t>
  </si>
  <si>
    <t>27-1391</t>
  </si>
  <si>
    <t>27-1392</t>
  </si>
  <si>
    <t>27-1393</t>
  </si>
  <si>
    <t>ジムニー ﾀｰﾎﾞ ﾗﾝﾄﾞﾍﾞﾝﾁｬｰ</t>
    <phoneticPr fontId="13"/>
  </si>
  <si>
    <t>JB23W-756734</t>
    <phoneticPr fontId="13"/>
  </si>
  <si>
    <t>ﾊｽﾗｰ ﾊｲﾌﾞﾘｯﾄﾞX</t>
    <phoneticPr fontId="13"/>
  </si>
  <si>
    <t>MR92S-526931</t>
    <phoneticPr fontId="13"/>
  </si>
  <si>
    <t>10/6/26</t>
    <phoneticPr fontId="13"/>
  </si>
  <si>
    <t>ｽｸﾗﾑﾜｺﾞﾝ PZﾀｰﾎﾞ</t>
    <phoneticPr fontId="13"/>
  </si>
  <si>
    <t>DG17W-200181</t>
    <phoneticPr fontId="13"/>
  </si>
  <si>
    <t>神戸 58A え 9515</t>
    <rPh sb="0" eb="2">
      <t>コウベ</t>
    </rPh>
    <phoneticPr fontId="13"/>
  </si>
  <si>
    <t>ｷｬﾘｰﾄﾗｯｸ KCｴｱｺﾝ</t>
    <phoneticPr fontId="13"/>
  </si>
  <si>
    <t>DA16T-268626</t>
    <phoneticPr fontId="13"/>
  </si>
  <si>
    <t>所沢 341 も 2</t>
    <rPh sb="0" eb="2">
      <t>トコロザワ</t>
    </rPh>
    <phoneticPr fontId="13"/>
  </si>
  <si>
    <t>滋賀 581 さ 2719</t>
    <rPh sb="0" eb="2">
      <t>シガ</t>
    </rPh>
    <phoneticPr fontId="13"/>
  </si>
  <si>
    <t>有限会社今津ｵｰﾄｻｰﾋﾞｽ</t>
    <rPh sb="0" eb="4">
      <t>ユウゲンガイシャ</t>
    </rPh>
    <rPh sb="4" eb="6">
      <t>イマヅ</t>
    </rPh>
    <phoneticPr fontId="13"/>
  </si>
  <si>
    <t>赤塚 明子</t>
    <rPh sb="0" eb="2">
      <t>アカツカ</t>
    </rPh>
    <rPh sb="3" eb="5">
      <t>アキコ</t>
    </rPh>
    <phoneticPr fontId="13"/>
  </si>
  <si>
    <t>倉敷 483 か 7711</t>
    <rPh sb="0" eb="2">
      <t>クラシキ</t>
    </rPh>
    <phoneticPr fontId="13"/>
  </si>
  <si>
    <t>守本 守</t>
    <rPh sb="0" eb="2">
      <t>モリモト</t>
    </rPh>
    <rPh sb="3" eb="4">
      <t>マモル</t>
    </rPh>
    <phoneticPr fontId="13"/>
  </si>
  <si>
    <t>USS神戸</t>
    <phoneticPr fontId="13"/>
  </si>
  <si>
    <t>横浜 39A む 192</t>
    <rPh sb="0" eb="2">
      <t>ヨコハマ</t>
    </rPh>
    <phoneticPr fontId="13"/>
  </si>
  <si>
    <t>有限会社ｵｰﾄﾓﾊﾞｲﾙ</t>
    <rPh sb="0" eb="4">
      <t>ユウゲンガイシャ</t>
    </rPh>
    <phoneticPr fontId="13"/>
  </si>
  <si>
    <t>取説 ｷｰﾚｽ(車内)保証書</t>
    <rPh sb="0" eb="2">
      <t>トリセツ</t>
    </rPh>
    <rPh sb="11" eb="14">
      <t>ホショウショ</t>
    </rPh>
    <phoneticPr fontId="13"/>
  </si>
  <si>
    <t>ｳｲﾙﾌﾟﾗｽﾓﾄｰﾚﾝ株式会社</t>
    <rPh sb="12" eb="16">
      <t>カブシキガイシャ</t>
    </rPh>
    <phoneticPr fontId="13"/>
  </si>
  <si>
    <t>横浜 39A も 2371</t>
    <rPh sb="0" eb="2">
      <t>ヨコハマ</t>
    </rPh>
    <phoneticPr fontId="13"/>
  </si>
  <si>
    <t>株式会社ヤナセ</t>
    <rPh sb="0" eb="4">
      <t>カブシキガイシャ</t>
    </rPh>
    <phoneticPr fontId="13"/>
  </si>
  <si>
    <t>中川 博彦</t>
    <rPh sb="0" eb="2">
      <t>ナカガワ</t>
    </rPh>
    <rPh sb="3" eb="4">
      <t>ヒロシ</t>
    </rPh>
    <rPh sb="4" eb="5">
      <t>ヒコ</t>
    </rPh>
    <phoneticPr fontId="13"/>
  </si>
  <si>
    <t>堺 599 ま 2352</t>
    <rPh sb="0" eb="1">
      <t>サカイ</t>
    </rPh>
    <phoneticPr fontId="13"/>
  </si>
  <si>
    <t>滋賀 535 さ 716</t>
    <phoneticPr fontId="13"/>
  </si>
  <si>
    <t>柴田 克也</t>
    <rPh sb="0" eb="2">
      <t>シバタ</t>
    </rPh>
    <rPh sb="3" eb="5">
      <t>カツヤ</t>
    </rPh>
    <phoneticPr fontId="13"/>
  </si>
  <si>
    <t>株式会社IDOＭ</t>
    <rPh sb="0" eb="4">
      <t>カブシキガイシャ</t>
    </rPh>
    <phoneticPr fontId="13"/>
  </si>
  <si>
    <t>小田 夕子</t>
    <rPh sb="0" eb="2">
      <t>オダ</t>
    </rPh>
    <rPh sb="3" eb="5">
      <t>ユウコ</t>
    </rPh>
    <phoneticPr fontId="13"/>
  </si>
  <si>
    <t>MR92S-164180</t>
    <phoneticPr fontId="13"/>
  </si>
  <si>
    <t>和泉 582 い 1098</t>
    <rPh sb="0" eb="2">
      <t>イズミ</t>
    </rPh>
    <phoneticPr fontId="13"/>
  </si>
  <si>
    <t>ｱﾙﾄ 5D</t>
    <phoneticPr fontId="13"/>
  </si>
  <si>
    <t>HA36S-553602</t>
    <phoneticPr fontId="13"/>
  </si>
  <si>
    <t>広島 331 み 3050</t>
    <rPh sb="0" eb="2">
      <t>ヒロシマ</t>
    </rPh>
    <phoneticPr fontId="13"/>
  </si>
  <si>
    <t>竹本 憲二郎</t>
    <rPh sb="0" eb="2">
      <t>タケモト</t>
    </rPh>
    <rPh sb="3" eb="4">
      <t>ノリ</t>
    </rPh>
    <rPh sb="4" eb="6">
      <t>ジロウ</t>
    </rPh>
    <phoneticPr fontId="13"/>
  </si>
  <si>
    <t>愛媛 581 に 3737</t>
    <rPh sb="0" eb="2">
      <t>エヒメ</t>
    </rPh>
    <phoneticPr fontId="13"/>
  </si>
  <si>
    <t>ｷｬﾝｾﾙ 書類返送10/23</t>
    <rPh sb="6" eb="8">
      <t>ショルイ</t>
    </rPh>
    <rPh sb="8" eb="10">
      <t>ヘンソウ</t>
    </rPh>
    <phoneticPr fontId="13"/>
  </si>
  <si>
    <t>宮本  佳典</t>
    <rPh sb="0" eb="2">
      <t>ミヤモト</t>
    </rPh>
    <rPh sb="4" eb="5">
      <t>ケイ</t>
    </rPh>
    <rPh sb="5" eb="6">
      <t>ノリ</t>
    </rPh>
    <phoneticPr fontId="13"/>
  </si>
  <si>
    <t>岡山 534 め 8823</t>
    <rPh sb="0" eb="2">
      <t>オカヤマ</t>
    </rPh>
    <phoneticPr fontId="13"/>
  </si>
  <si>
    <t>瀬戸内ｽｽﾞｷ販売株式会社</t>
    <rPh sb="0" eb="3">
      <t>セトウチ</t>
    </rPh>
    <rPh sb="7" eb="13">
      <t>ハンバイカブシキガイシャ</t>
    </rPh>
    <phoneticPr fontId="13"/>
  </si>
  <si>
    <t>姫路 531 ろ 2527</t>
    <rPh sb="0" eb="2">
      <t>ヒメジ</t>
    </rPh>
    <phoneticPr fontId="13"/>
  </si>
  <si>
    <t>入江 潤</t>
    <rPh sb="0" eb="2">
      <t>イリエ</t>
    </rPh>
    <rPh sb="3" eb="4">
      <t>ジュン</t>
    </rPh>
    <phoneticPr fontId="13"/>
  </si>
  <si>
    <t>広島 792 ち 358</t>
    <rPh sb="0" eb="2">
      <t>ヒロシマ</t>
    </rPh>
    <phoneticPr fontId="13"/>
  </si>
  <si>
    <t>佐藤 誠</t>
    <rPh sb="0" eb="2">
      <t>サトウ</t>
    </rPh>
    <rPh sb="3" eb="4">
      <t>マコト</t>
    </rPh>
    <phoneticPr fontId="13"/>
  </si>
  <si>
    <t>取説 Ｓキー</t>
    <rPh sb="0" eb="2">
      <t>トリセツ</t>
    </rPh>
    <phoneticPr fontId="13"/>
  </si>
  <si>
    <t>岡山 581 よ 4684</t>
    <rPh sb="0" eb="2">
      <t>オカヤマ</t>
    </rPh>
    <phoneticPr fontId="13"/>
  </si>
  <si>
    <t>岡山 581 て 752</t>
    <rPh sb="0" eb="2">
      <t>オカヤマ</t>
    </rPh>
    <phoneticPr fontId="13"/>
  </si>
  <si>
    <t>中村 健二</t>
    <rPh sb="0" eb="2">
      <t>ナカムラ</t>
    </rPh>
    <rPh sb="3" eb="5">
      <t>ケンジ</t>
    </rPh>
    <phoneticPr fontId="13"/>
  </si>
  <si>
    <t>岡山 502 ふ 6762</t>
    <rPh sb="0" eb="2">
      <t>オカヤマ</t>
    </rPh>
    <phoneticPr fontId="13"/>
  </si>
  <si>
    <t>京都 336 に 2021</t>
    <rPh sb="0" eb="2">
      <t>キョウト</t>
    </rPh>
    <phoneticPr fontId="13"/>
  </si>
  <si>
    <t>福山 583 ふ 4869</t>
    <phoneticPr fontId="13"/>
  </si>
  <si>
    <t>板橋 399 そ 2482</t>
    <rPh sb="0" eb="2">
      <t>イタバシ</t>
    </rPh>
    <phoneticPr fontId="13"/>
  </si>
  <si>
    <t>株式会社関東ﾏﾂﾀﾞ</t>
    <rPh sb="0" eb="4">
      <t>カブシキガイシャ</t>
    </rPh>
    <rPh sb="4" eb="6">
      <t>カントウ</t>
    </rPh>
    <phoneticPr fontId="13"/>
  </si>
  <si>
    <t>なにわ 690 ろ 6711</t>
    <phoneticPr fontId="13"/>
  </si>
  <si>
    <t>住友三井ｵｰﾄｻｰﾋﾞｽ株式会社</t>
    <rPh sb="0" eb="2">
      <t>スミトモ</t>
    </rPh>
    <rPh sb="2" eb="4">
      <t>ミツイ</t>
    </rPh>
    <rPh sb="12" eb="16">
      <t>カブシキガイシャ</t>
    </rPh>
    <phoneticPr fontId="13"/>
  </si>
  <si>
    <t>木村 真人</t>
    <rPh sb="0" eb="2">
      <t>キムラ</t>
    </rPh>
    <rPh sb="3" eb="4">
      <t>マ</t>
    </rPh>
    <rPh sb="4" eb="5">
      <t>ヒト</t>
    </rPh>
    <phoneticPr fontId="13"/>
  </si>
  <si>
    <t>尾張小牧 581 ふ 1220</t>
    <rPh sb="0" eb="4">
      <t>オワリコマキ</t>
    </rPh>
    <phoneticPr fontId="13"/>
  </si>
  <si>
    <t>ﾜｸﾜｸ株式会社</t>
    <rPh sb="4" eb="8">
      <t>カブシキガイシャ</t>
    </rPh>
    <phoneticPr fontId="13"/>
  </si>
  <si>
    <t>岡山 584 ろ 2304</t>
    <rPh sb="0" eb="2">
      <t>オカヤマ</t>
    </rPh>
    <phoneticPr fontId="13"/>
  </si>
  <si>
    <t>ｼｰｴﾑｼｰ株式会社</t>
    <rPh sb="6" eb="10">
      <t>カブシキガイシャ</t>
    </rPh>
    <phoneticPr fontId="13"/>
  </si>
  <si>
    <t>記録簿</t>
    <rPh sb="0" eb="3">
      <t>キロクボ</t>
    </rPh>
    <phoneticPr fontId="13"/>
  </si>
  <si>
    <t>多摩 592 ろ 2631</t>
    <rPh sb="0" eb="2">
      <t>タマ</t>
    </rPh>
    <phoneticPr fontId="13"/>
  </si>
  <si>
    <t>一宮 580 つ 3782</t>
    <rPh sb="0" eb="2">
      <t>イチノミヤ</t>
    </rPh>
    <phoneticPr fontId="13"/>
  </si>
  <si>
    <t>株式会社児島自動車</t>
    <rPh sb="0" eb="4">
      <t>カブシキガイシャ</t>
    </rPh>
    <rPh sb="4" eb="6">
      <t>コジマ</t>
    </rPh>
    <rPh sb="6" eb="9">
      <t>ジドウシャ</t>
    </rPh>
    <phoneticPr fontId="13"/>
  </si>
  <si>
    <t>樽見 純奈</t>
    <rPh sb="0" eb="1">
      <t>タル</t>
    </rPh>
    <rPh sb="1" eb="2">
      <t>ミ</t>
    </rPh>
    <rPh sb="3" eb="4">
      <t>ジュン</t>
    </rPh>
    <rPh sb="4" eb="5">
      <t>ナ</t>
    </rPh>
    <phoneticPr fontId="13"/>
  </si>
  <si>
    <t>三重 581 ふ 7360</t>
    <rPh sb="0" eb="2">
      <t>ミエ</t>
    </rPh>
    <phoneticPr fontId="13"/>
  </si>
  <si>
    <t>三重 582 う 4260</t>
    <phoneticPr fontId="13"/>
  </si>
  <si>
    <t>岡田  勉</t>
    <rPh sb="0" eb="2">
      <t>オカダ</t>
    </rPh>
    <rPh sb="4" eb="5">
      <t>ベン</t>
    </rPh>
    <phoneticPr fontId="13"/>
  </si>
  <si>
    <t>ﾅﾋﾞ取 ｷｰﾚｽ(車内)保証書</t>
    <rPh sb="3" eb="4">
      <t>トリ</t>
    </rPh>
    <rPh sb="13" eb="16">
      <t>ホショウショ</t>
    </rPh>
    <phoneticPr fontId="13"/>
  </si>
  <si>
    <t>名古屋 581 は 174</t>
    <rPh sb="0" eb="3">
      <t>ナゴヤ</t>
    </rPh>
    <phoneticPr fontId="13"/>
  </si>
  <si>
    <t>山田 郁夫</t>
    <rPh sb="0" eb="2">
      <t>ヤマダ</t>
    </rPh>
    <rPh sb="3" eb="5">
      <t>イクオ</t>
    </rPh>
    <phoneticPr fontId="13"/>
  </si>
  <si>
    <t>多摩 592 ろ 3043</t>
    <rPh sb="0" eb="2">
      <t>タマ</t>
    </rPh>
    <phoneticPr fontId="13"/>
  </si>
  <si>
    <t>東日本三菱自動車販売株式会社</t>
    <rPh sb="0" eb="1">
      <t>ヒガシ</t>
    </rPh>
    <rPh sb="1" eb="3">
      <t>ニホン</t>
    </rPh>
    <rPh sb="3" eb="5">
      <t>ミツビシ</t>
    </rPh>
    <rPh sb="5" eb="14">
      <t>ジドウシャハンバイカブシキガイシャ</t>
    </rPh>
    <phoneticPr fontId="13"/>
  </si>
  <si>
    <t>Sｷｰ</t>
    <phoneticPr fontId="13"/>
  </si>
  <si>
    <t>倉敷 580 ほ 8360</t>
    <rPh sb="0" eb="2">
      <t>クラシキ</t>
    </rPh>
    <phoneticPr fontId="13"/>
  </si>
  <si>
    <t>イオンプロダクトファイナンス株式会社</t>
    <rPh sb="14" eb="18">
      <t>カブシキガイシャ</t>
    </rPh>
    <phoneticPr fontId="13"/>
  </si>
  <si>
    <t>尾張小牧 580 ゆ 1862</t>
    <rPh sb="0" eb="4">
      <t>オワリコマキ</t>
    </rPh>
    <phoneticPr fontId="13"/>
  </si>
  <si>
    <t>株式会社ｺﾞﾄｳｽﾊﾞﾙ</t>
    <rPh sb="0" eb="4">
      <t>カブシキガイシャ</t>
    </rPh>
    <phoneticPr fontId="13"/>
  </si>
  <si>
    <t>27-1265</t>
    <phoneticPr fontId="13"/>
  </si>
  <si>
    <t>堺 352 に 9999</t>
    <rPh sb="0" eb="1">
      <t>サカイ</t>
    </rPh>
    <phoneticPr fontId="13"/>
  </si>
  <si>
    <t>佐藤 隆志</t>
    <rPh sb="0" eb="2">
      <t>サトウ</t>
    </rPh>
    <rPh sb="3" eb="4">
      <t>タカシ</t>
    </rPh>
    <rPh sb="4" eb="5">
      <t>ココロザシ</t>
    </rPh>
    <phoneticPr fontId="13"/>
  </si>
  <si>
    <t xml:space="preserve">保証書 取説 Sｷｰ </t>
    <rPh sb="0" eb="3">
      <t>ホショウショ</t>
    </rPh>
    <rPh sb="4" eb="6">
      <t>トリセツ</t>
    </rPh>
    <phoneticPr fontId="13"/>
  </si>
  <si>
    <t>保証書 Sｷｰ B-CAS SD</t>
    <rPh sb="0" eb="3">
      <t>ホショウショ</t>
    </rPh>
    <phoneticPr fontId="13"/>
  </si>
  <si>
    <t>NSP160-0069208</t>
    <phoneticPr fontId="13"/>
  </si>
  <si>
    <t>BMWﾐﾆ 4WD</t>
    <phoneticPr fontId="13"/>
  </si>
  <si>
    <t>WMWYU520703L29842</t>
    <phoneticPr fontId="13"/>
  </si>
  <si>
    <t>仙台 301 ぬ 9352</t>
    <rPh sb="0" eb="2">
      <t>センダイ</t>
    </rPh>
    <phoneticPr fontId="13"/>
  </si>
  <si>
    <t>582 い 2325</t>
    <phoneticPr fontId="13"/>
  </si>
  <si>
    <t>楊 吉康</t>
    <rPh sb="0" eb="1">
      <t>ヨウ</t>
    </rPh>
    <rPh sb="2" eb="3">
      <t>キチ</t>
    </rPh>
    <rPh sb="3" eb="4">
      <t>ヤス</t>
    </rPh>
    <phoneticPr fontId="13"/>
  </si>
  <si>
    <t>世田谷 399 そ 2540</t>
    <rPh sb="0" eb="3">
      <t>セタガヤ</t>
    </rPh>
    <phoneticPr fontId="13"/>
  </si>
  <si>
    <t>Audi Voikswagen Retail Japan株式会社</t>
    <rPh sb="28" eb="32">
      <t>カブシキガイシャ</t>
    </rPh>
    <phoneticPr fontId="13"/>
  </si>
  <si>
    <t>横浜 32M せ 8</t>
    <rPh sb="0" eb="2">
      <t>ヨコハマ</t>
    </rPh>
    <phoneticPr fontId="13"/>
  </si>
  <si>
    <t>10/24</t>
    <phoneticPr fontId="13"/>
  </si>
  <si>
    <t>ZIP大阪(ﾜﾝﾌﾟﾗ)</t>
    <rPh sb="3" eb="5">
      <t>オオサカ</t>
    </rPh>
    <phoneticPr fontId="13"/>
  </si>
  <si>
    <t>973(346)</t>
    <phoneticPr fontId="13"/>
  </si>
  <si>
    <t>27-1394</t>
  </si>
  <si>
    <t>27-1395</t>
  </si>
  <si>
    <t>27-1396</t>
  </si>
  <si>
    <t>27-1397</t>
  </si>
  <si>
    <t>27-1398</t>
  </si>
  <si>
    <t>27-1399</t>
  </si>
  <si>
    <t>27-1400</t>
  </si>
  <si>
    <t>27-1401</t>
  </si>
  <si>
    <t>27-1402</t>
  </si>
  <si>
    <t>27-1403</t>
  </si>
  <si>
    <t>27-1404</t>
  </si>
  <si>
    <t>27-1405</t>
  </si>
  <si>
    <t>27-1406</t>
  </si>
  <si>
    <t>27-1407</t>
  </si>
  <si>
    <t>27-1408</t>
  </si>
  <si>
    <t>27-1409</t>
  </si>
  <si>
    <t xml:space="preserve">ﾒﾙｾﾃﾞｽﾍﾞﾝﾂ C 220d </t>
    <phoneticPr fontId="13"/>
  </si>
  <si>
    <t>WDD2050142R428051</t>
    <phoneticPr fontId="13"/>
  </si>
  <si>
    <t>WBAUJ32040LA95125</t>
    <phoneticPr fontId="13"/>
  </si>
  <si>
    <t>ﾌﾟｼﾞｮｰ 3008 ｸﾛｽｼﾃｨ</t>
    <phoneticPr fontId="13"/>
  </si>
  <si>
    <t>VF3MJEHZRLS203817</t>
    <phoneticPr fontId="13"/>
  </si>
  <si>
    <t>ﾒﾙｾﾃﾞｽﾍﾞﾝ GLC 220d</t>
    <phoneticPr fontId="13"/>
  </si>
  <si>
    <t>WDC2539052F656259</t>
    <phoneticPr fontId="13"/>
  </si>
  <si>
    <t>ｷｬﾃﾞｨﾗｯｸ XT5 ｸﾛｽｵｰﾊﾞｰ</t>
    <phoneticPr fontId="13"/>
  </si>
  <si>
    <t>1GYFN9RS1JZ231565</t>
    <phoneticPr fontId="13"/>
  </si>
  <si>
    <t>ﾌｨｱｯﾄ500 ﾄﾛﾎﾟｶｰﾚ</t>
    <phoneticPr fontId="13"/>
  </si>
  <si>
    <t>ZFA3120000J976953</t>
    <phoneticPr fontId="13"/>
  </si>
  <si>
    <t>ﾒﾙｾﾃﾞｽﾍﾞﾝﾂ C 220d  ﾜｺﾞﾝ</t>
    <phoneticPr fontId="13"/>
  </si>
  <si>
    <t>W1K2052142G003854</t>
    <phoneticPr fontId="13"/>
  </si>
  <si>
    <t>WMWXT320602G57586</t>
    <phoneticPr fontId="13"/>
  </si>
  <si>
    <t>27-1410</t>
  </si>
  <si>
    <t>27-1411</t>
  </si>
  <si>
    <t>27-1412</t>
  </si>
  <si>
    <t>27-1413</t>
  </si>
  <si>
    <t>27-1414</t>
  </si>
  <si>
    <t>MK53S-827420</t>
    <phoneticPr fontId="13"/>
  </si>
  <si>
    <t>LA650S-0340664</t>
    <phoneticPr fontId="13"/>
  </si>
  <si>
    <t>MR92S-188350</t>
    <phoneticPr fontId="13"/>
  </si>
  <si>
    <t>MK53S-496102</t>
    <phoneticPr fontId="13"/>
  </si>
  <si>
    <t>MR31S-119352</t>
    <phoneticPr fontId="13"/>
  </si>
  <si>
    <t>MR92S-224715</t>
    <phoneticPr fontId="13"/>
  </si>
  <si>
    <t>MK53S-312693</t>
    <phoneticPr fontId="13"/>
  </si>
  <si>
    <t>MK94S-213126</t>
    <phoneticPr fontId="13"/>
  </si>
  <si>
    <t>ML21S-161125</t>
    <phoneticPr fontId="13"/>
  </si>
  <si>
    <t>BMW X4 xdrive30I Mｽﾎﾟｰﾂ</t>
    <phoneticPr fontId="13"/>
  </si>
  <si>
    <t>豊橋 330 す 7855</t>
    <rPh sb="0" eb="2">
      <t>トヨハシ</t>
    </rPh>
    <phoneticPr fontId="13"/>
  </si>
  <si>
    <t>神戸 505 せ 9721</t>
    <rPh sb="0" eb="2">
      <t>コウベ</t>
    </rPh>
    <phoneticPr fontId="13"/>
  </si>
  <si>
    <t>奈良 301 ね 1723</t>
    <rPh sb="0" eb="2">
      <t>ナラ</t>
    </rPh>
    <phoneticPr fontId="13"/>
  </si>
  <si>
    <t>ﾊﾟﾚｯﾄ L</t>
    <phoneticPr fontId="13"/>
  </si>
  <si>
    <t>MK21S-270790</t>
    <phoneticPr fontId="13"/>
  </si>
  <si>
    <t>MK53S-490499</t>
    <phoneticPr fontId="13"/>
  </si>
  <si>
    <t>名古屋 58A ほ 2875</t>
    <rPh sb="0" eb="3">
      <t>ナゴヤ</t>
    </rPh>
    <phoneticPr fontId="13"/>
  </si>
  <si>
    <t>SD</t>
    <phoneticPr fontId="13"/>
  </si>
  <si>
    <t>ｽﾍﾟｰｼｱ ﾊｲﾌﾞﾘｯﾄﾞG</t>
    <phoneticPr fontId="13"/>
  </si>
  <si>
    <t>MK94S-242334</t>
    <phoneticPr fontId="13"/>
  </si>
  <si>
    <t>名古屋 58A ほ 3132</t>
    <rPh sb="0" eb="3">
      <t>ナゴヤ</t>
    </rPh>
    <phoneticPr fontId="13"/>
  </si>
  <si>
    <t>ｱｳﾃﾞｨTTｸｰﾍﾟ 1.8TFSI</t>
    <phoneticPr fontId="13"/>
  </si>
  <si>
    <t>TRUZZZFV3H1001160</t>
    <phoneticPr fontId="13"/>
  </si>
  <si>
    <t>8/4/12</t>
    <phoneticPr fontId="13"/>
  </si>
  <si>
    <t>四日市 300 せ 810</t>
    <rPh sb="0" eb="3">
      <t>ヨッカイチ</t>
    </rPh>
    <phoneticPr fontId="13"/>
  </si>
  <si>
    <t>WMWXU520502N51829</t>
    <phoneticPr fontId="13"/>
  </si>
  <si>
    <t>ｱｳﾃﾞｨS1 ｸﾜﾄﾛﾘﾐﾃｯﾄﾞ</t>
    <phoneticPr fontId="13"/>
  </si>
  <si>
    <t>WAUZZZ8X4GB036370</t>
    <phoneticPr fontId="13"/>
  </si>
  <si>
    <t>札幌 336 な 5656</t>
    <rPh sb="0" eb="2">
      <t>サッポロ</t>
    </rPh>
    <phoneticPr fontId="13"/>
  </si>
  <si>
    <t>MR41S-621007</t>
    <phoneticPr fontId="13"/>
  </si>
  <si>
    <t>JF1-1474374</t>
    <phoneticPr fontId="13"/>
  </si>
  <si>
    <t>三重 581 ほ 4176</t>
    <rPh sb="0" eb="2">
      <t>ミエ</t>
    </rPh>
    <phoneticPr fontId="13"/>
  </si>
  <si>
    <t>ﾊｽﾗｰG</t>
    <phoneticPr fontId="13"/>
  </si>
  <si>
    <t>MR41S-354492</t>
    <phoneticPr fontId="13"/>
  </si>
  <si>
    <t>三重 585 を 329</t>
    <rPh sb="0" eb="2">
      <t>ミエ</t>
    </rPh>
    <phoneticPr fontId="13"/>
  </si>
  <si>
    <t>MK53S-964144</t>
    <phoneticPr fontId="13"/>
  </si>
  <si>
    <t>MG33S-437521</t>
    <phoneticPr fontId="13"/>
  </si>
  <si>
    <t>松本 580 ほ 6739</t>
    <rPh sb="0" eb="2">
      <t>マツモト</t>
    </rPh>
    <phoneticPr fontId="13"/>
  </si>
  <si>
    <t>保証書 取説 ｲﾝﾃﾘｷｰ ﾜﾝｵｰﾅｰ</t>
    <rPh sb="0" eb="3">
      <t>ホショウショ</t>
    </rPh>
    <rPh sb="4" eb="6">
      <t>トリセツ</t>
    </rPh>
    <phoneticPr fontId="13"/>
  </si>
  <si>
    <t>N-BOXｶｽﾀﾑ G ﾀｰﾎﾞ</t>
    <phoneticPr fontId="13"/>
  </si>
  <si>
    <t>JF2-2507872</t>
    <phoneticPr fontId="13"/>
  </si>
  <si>
    <t>名古屋 586 け 128</t>
    <rPh sb="0" eb="3">
      <t>ナゴヤ</t>
    </rPh>
    <phoneticPr fontId="13"/>
  </si>
  <si>
    <t>ジムニー ﾜｲﾙﾄﾞｳｨﾝﾄﾞ</t>
    <phoneticPr fontId="13"/>
  </si>
  <si>
    <t>JB23W-516877</t>
    <phoneticPr fontId="13"/>
  </si>
  <si>
    <t>MK53S-509700</t>
    <phoneticPr fontId="13"/>
  </si>
  <si>
    <t>名古屋 58A ほ 2663</t>
    <rPh sb="0" eb="3">
      <t>ナゴヤ</t>
    </rPh>
    <phoneticPr fontId="13"/>
  </si>
  <si>
    <t>HE22S-890711</t>
    <phoneticPr fontId="13"/>
  </si>
  <si>
    <t>DA17W-347630</t>
    <phoneticPr fontId="13"/>
  </si>
  <si>
    <t>ﾃﾞｲｽﾞﾙｰｸｽ ﾊｲｳｪｲｽﾀｰ Xﾀｰﾎﾞ</t>
    <phoneticPr fontId="13"/>
  </si>
  <si>
    <t>B21A-0516524</t>
    <phoneticPr fontId="13"/>
  </si>
  <si>
    <t>ﾊﾟﾚｯﾄ T</t>
    <phoneticPr fontId="13"/>
  </si>
  <si>
    <t>MK21S-730227</t>
    <phoneticPr fontId="13"/>
  </si>
  <si>
    <t>ｱﾙﾄﾗﾊﾟﾝ X 全方向ﾓﾆﾀｰ</t>
    <rPh sb="10" eb="13">
      <t>ゼンホウコウ</t>
    </rPh>
    <phoneticPr fontId="13"/>
  </si>
  <si>
    <t>HE33S-182698</t>
    <phoneticPr fontId="13"/>
  </si>
  <si>
    <t>ｽﾍﾟｰｼｱ ｶｽﾀﾑ ﾊｲﾌﾞﾘｯﾄﾞXS</t>
    <phoneticPr fontId="13"/>
  </si>
  <si>
    <t>8/5/24</t>
    <phoneticPr fontId="13"/>
  </si>
  <si>
    <t>ﾊｽﾗｰ A</t>
    <phoneticPr fontId="13"/>
  </si>
  <si>
    <t>ｽﾍﾟｰｼｱ ﾊｲﾌﾞﾘｯﾄﾞX</t>
    <phoneticPr fontId="13"/>
  </si>
  <si>
    <t>ﾙｰｸｽ E</t>
    <phoneticPr fontId="13"/>
  </si>
  <si>
    <t>株式会社ｳｴﾊﾗ・ｵｰﾄ</t>
    <rPh sb="0" eb="4">
      <t>カブシキガイシャ</t>
    </rPh>
    <phoneticPr fontId="13"/>
  </si>
  <si>
    <t>岡山 580 は 9367</t>
    <rPh sb="0" eb="2">
      <t>オカヤマ</t>
    </rPh>
    <phoneticPr fontId="13"/>
  </si>
  <si>
    <t>山本 セツ子</t>
    <rPh sb="0" eb="2">
      <t>ヤマモト</t>
    </rPh>
    <rPh sb="5" eb="6">
      <t>コ</t>
    </rPh>
    <phoneticPr fontId="13"/>
  </si>
  <si>
    <t>名古屋 583 そ 2327</t>
    <rPh sb="0" eb="3">
      <t>ナゴヤ</t>
    </rPh>
    <phoneticPr fontId="13"/>
  </si>
  <si>
    <t>水谷 夕貴</t>
    <rPh sb="0" eb="2">
      <t>ミズタニ</t>
    </rPh>
    <rPh sb="3" eb="5">
      <t>ユウキ</t>
    </rPh>
    <phoneticPr fontId="13"/>
  </si>
  <si>
    <t>保証書 取説 ﾅﾋﾞ取 ｷｰﾚｽ 地図SD ﾏｲｸﾛSD miniB-CAS ﾜﾝｵｰﾅｰ</t>
    <rPh sb="0" eb="3">
      <t>ホショウショ</t>
    </rPh>
    <rPh sb="4" eb="6">
      <t>トリセツ</t>
    </rPh>
    <rPh sb="10" eb="11">
      <t>トリ</t>
    </rPh>
    <rPh sb="17" eb="19">
      <t>チズ</t>
    </rPh>
    <phoneticPr fontId="13"/>
  </si>
  <si>
    <t>27-1415</t>
  </si>
  <si>
    <t>大工原様</t>
    <rPh sb="0" eb="3">
      <t>ダイクハラ</t>
    </rPh>
    <rPh sb="3" eb="4">
      <t>サマ</t>
    </rPh>
    <phoneticPr fontId="13"/>
  </si>
  <si>
    <t>BMW 330i Mｽﾎﾟｰﾂ</t>
    <phoneticPr fontId="13"/>
  </si>
  <si>
    <t>WBA5R100708B62498</t>
    <phoneticPr fontId="13"/>
  </si>
  <si>
    <t>静岡 334 つ 408</t>
    <rPh sb="0" eb="2">
      <t>シズオカ</t>
    </rPh>
    <phoneticPr fontId="13"/>
  </si>
  <si>
    <t>土浦 583 あ 7660</t>
    <rPh sb="0" eb="2">
      <t>ツチウラ</t>
    </rPh>
    <phoneticPr fontId="13"/>
  </si>
  <si>
    <t>大谷 茂</t>
    <rPh sb="0" eb="2">
      <t>オオタニ</t>
    </rPh>
    <rPh sb="3" eb="4">
      <t>シゲル</t>
    </rPh>
    <phoneticPr fontId="13"/>
  </si>
  <si>
    <t>山梨 430 の 44</t>
    <rPh sb="0" eb="2">
      <t>ヤマナシ</t>
    </rPh>
    <phoneticPr fontId="13"/>
  </si>
  <si>
    <t>望月 光一郎</t>
    <rPh sb="0" eb="2">
      <t>ボウツキ</t>
    </rPh>
    <rPh sb="3" eb="6">
      <t>コウイチロウ</t>
    </rPh>
    <phoneticPr fontId="13"/>
  </si>
  <si>
    <t>27-1416</t>
  </si>
  <si>
    <t>27-1417</t>
  </si>
  <si>
    <t>27-1418</t>
  </si>
  <si>
    <t>27-1419</t>
  </si>
  <si>
    <t>27-1420</t>
  </si>
  <si>
    <t>ZN8-032222</t>
    <phoneticPr fontId="13"/>
  </si>
  <si>
    <t>MAYH10-2001676</t>
    <phoneticPr fontId="13"/>
  </si>
  <si>
    <t>GDH206-1109013</t>
    <phoneticPr fontId="13"/>
  </si>
  <si>
    <t>LA150S-2065524</t>
    <phoneticPr fontId="13"/>
  </si>
  <si>
    <t>MXPB10-3011479</t>
    <phoneticPr fontId="13"/>
  </si>
  <si>
    <t>GR86 RZ</t>
    <phoneticPr fontId="13"/>
  </si>
  <si>
    <t>ﾚｸｻｽ L BX ﾘﾗｯｸｽ</t>
    <phoneticPr fontId="13"/>
  </si>
  <si>
    <t>ﾊｲｴｰｽﾊﾞﾝ 4WD ｽｰﾊﾟｰGL</t>
    <phoneticPr fontId="13"/>
  </si>
  <si>
    <t>ﾑｰﾌﾞｶｽﾀﾑ X ﾘﾐﾃｯﾄﾞ</t>
    <phoneticPr fontId="13"/>
  </si>
  <si>
    <t>ﾔﾘｽｸﾛｽ G</t>
    <phoneticPr fontId="13"/>
  </si>
  <si>
    <t>WDD1770842J046453</t>
    <phoneticPr fontId="13"/>
  </si>
  <si>
    <t>A291110</t>
    <phoneticPr fontId="13"/>
  </si>
  <si>
    <t>ﾊｲｴｰｽﾊﾞﾝ  ｽｰﾊﾟｰGL ﾀﾞｰｸﾌﾟﾗｲﾑ</t>
    <phoneticPr fontId="13"/>
  </si>
  <si>
    <t>GDH201-1079299</t>
    <phoneticPr fontId="13"/>
  </si>
  <si>
    <t>A307940</t>
    <phoneticPr fontId="13"/>
  </si>
  <si>
    <t>1/1</t>
    <phoneticPr fontId="13"/>
  </si>
  <si>
    <t>LA600S-0735564</t>
    <phoneticPr fontId="13"/>
  </si>
  <si>
    <t>A308099</t>
    <phoneticPr fontId="13"/>
  </si>
  <si>
    <t>C-HR S GRｽﾎﾟｰﾂ</t>
    <phoneticPr fontId="13"/>
  </si>
  <si>
    <t>ZYX11-2004911</t>
    <phoneticPr fontId="13"/>
  </si>
  <si>
    <t>8/11/21</t>
    <phoneticPr fontId="13"/>
  </si>
  <si>
    <t>保証書 取説  ｷｰﾚｽ</t>
    <rPh sb="0" eb="3">
      <t>ホショウショ</t>
    </rPh>
    <rPh sb="4" eb="6">
      <t>トリセツ</t>
    </rPh>
    <phoneticPr fontId="13"/>
  </si>
  <si>
    <t>坂口 啓一</t>
    <rPh sb="0" eb="2">
      <t>サカグチ</t>
    </rPh>
    <rPh sb="3" eb="5">
      <t>ケイイチ</t>
    </rPh>
    <phoneticPr fontId="13"/>
  </si>
  <si>
    <t>10/25</t>
    <phoneticPr fontId="13"/>
  </si>
  <si>
    <t>ｱﾙﾌｧｰﾄﾞ S Cﾊﾟｯｹｰｼﾞ</t>
    <phoneticPr fontId="13"/>
  </si>
  <si>
    <t>27-1421</t>
  </si>
  <si>
    <t>27-1422</t>
  </si>
  <si>
    <t>27-1423</t>
  </si>
  <si>
    <t>27-1424</t>
  </si>
  <si>
    <t>27-1425</t>
  </si>
  <si>
    <t>27-1426</t>
  </si>
  <si>
    <t>27-1427</t>
  </si>
  <si>
    <t>27-1428</t>
  </si>
  <si>
    <t>27-1429</t>
  </si>
  <si>
    <t>27-1430</t>
  </si>
  <si>
    <t>27-1431</t>
  </si>
  <si>
    <t>27-1432</t>
  </si>
  <si>
    <t>27-1433</t>
  </si>
  <si>
    <t>27-1434</t>
  </si>
  <si>
    <t>27-1435</t>
  </si>
  <si>
    <t>27-1436</t>
  </si>
  <si>
    <t>27-1437</t>
  </si>
  <si>
    <t>27-1438</t>
  </si>
  <si>
    <t>27-1439</t>
  </si>
  <si>
    <t>27-1440</t>
  </si>
  <si>
    <t>27-1441</t>
  </si>
  <si>
    <t>27-1442</t>
  </si>
  <si>
    <t>27-1443</t>
  </si>
  <si>
    <t>27-1444</t>
  </si>
  <si>
    <t>27-1445</t>
  </si>
  <si>
    <t>27-1446</t>
  </si>
  <si>
    <t>27-1447</t>
  </si>
  <si>
    <t>27-1448</t>
  </si>
  <si>
    <t>27-1449</t>
  </si>
  <si>
    <t>27-1450</t>
  </si>
  <si>
    <t>27-1451</t>
  </si>
  <si>
    <t>27-1452</t>
  </si>
  <si>
    <t>LA250A-0002585</t>
    <phoneticPr fontId="13"/>
  </si>
  <si>
    <t>MK32S-206303</t>
    <phoneticPr fontId="13"/>
  </si>
  <si>
    <t>DA17V-627228</t>
    <phoneticPr fontId="13"/>
  </si>
  <si>
    <t>LA660S-0094882</t>
    <phoneticPr fontId="13"/>
  </si>
  <si>
    <t>ZVW51-8027389</t>
    <phoneticPr fontId="13"/>
  </si>
  <si>
    <t>ZVG11-1035960</t>
    <phoneticPr fontId="13"/>
  </si>
  <si>
    <t>DA17W-167453</t>
    <phoneticPr fontId="13"/>
  </si>
  <si>
    <t>JF1-8504105</t>
    <phoneticPr fontId="13"/>
  </si>
  <si>
    <t>ﾋﾟｸｼｽｼﾞｮｲ FX</t>
    <phoneticPr fontId="13"/>
  </si>
  <si>
    <t>8/2/27</t>
    <phoneticPr fontId="13"/>
  </si>
  <si>
    <t>8/7/26</t>
    <phoneticPr fontId="13"/>
  </si>
  <si>
    <t>ﾀﾝﾄ ﾌｧﾝｸﾛｽ ﾀｰﾎﾞ</t>
    <phoneticPr fontId="13"/>
  </si>
  <si>
    <t>ﾌﾟﾘｳｽ A ﾂｰﾘﾝｸﾞｾﾚｸｼｮﾝ</t>
    <phoneticPr fontId="13"/>
  </si>
  <si>
    <t>N-BOX+ GLﾊﾟｯｹｰｼﾞ ｽﾛｰﾊﾟｰ</t>
    <phoneticPr fontId="13"/>
  </si>
  <si>
    <t xml:space="preserve">BMWﾐﾆ </t>
    <phoneticPr fontId="13"/>
  </si>
  <si>
    <t>WMW12DV0602R36964</t>
    <phoneticPr fontId="13"/>
  </si>
  <si>
    <t>ﾊｲｾﾞｯﾄﾄﾗｯｸ ｺﾝﾊﾟｸﾄﾃｰﾙﾘﾌﾄ</t>
    <phoneticPr fontId="13"/>
  </si>
  <si>
    <t>S510P-0478090</t>
    <phoneticPr fontId="13"/>
  </si>
  <si>
    <t>岡山 480 に 4688</t>
    <rPh sb="0" eb="2">
      <t>オカヤマ</t>
    </rPh>
    <phoneticPr fontId="13"/>
  </si>
  <si>
    <t>ﾌﾟﾛﾎﾞｯｸｽ ﾊｲﾌﾞﾘｯﾄﾞ DX</t>
    <phoneticPr fontId="13"/>
  </si>
  <si>
    <t>NHP160-0023075</t>
    <phoneticPr fontId="13"/>
  </si>
  <si>
    <t>VF1KW04B3H0749655</t>
    <phoneticPr fontId="13"/>
  </si>
  <si>
    <t>株式会社ﾎﾝﾀﾞ販売和歌山</t>
    <rPh sb="0" eb="4">
      <t>カブシキガイシャ</t>
    </rPh>
    <rPh sb="8" eb="10">
      <t>ハンバイ</t>
    </rPh>
    <rPh sb="10" eb="13">
      <t>ワカヤマ</t>
    </rPh>
    <phoneticPr fontId="13"/>
  </si>
  <si>
    <t>富山 333 ふ 3030</t>
    <rPh sb="0" eb="2">
      <t>トヤマ</t>
    </rPh>
    <phoneticPr fontId="13"/>
  </si>
  <si>
    <t>小林 和幸</t>
    <rPh sb="0" eb="2">
      <t>コバヤシ</t>
    </rPh>
    <rPh sb="3" eb="5">
      <t>カズユキ</t>
    </rPh>
    <phoneticPr fontId="13"/>
  </si>
  <si>
    <t>大阪 504 そ 3491</t>
    <rPh sb="0" eb="2">
      <t>オオサカ</t>
    </rPh>
    <phoneticPr fontId="13"/>
  </si>
  <si>
    <t>寺内 禎英</t>
    <rPh sb="0" eb="2">
      <t>テラウチ</t>
    </rPh>
    <rPh sb="3" eb="4">
      <t>サダ</t>
    </rPh>
    <rPh sb="4" eb="5">
      <t>ヒデ</t>
    </rPh>
    <phoneticPr fontId="13"/>
  </si>
  <si>
    <t>岐阜 582 え 9726</t>
    <rPh sb="0" eb="2">
      <t>ギフ</t>
    </rPh>
    <phoneticPr fontId="13"/>
  </si>
  <si>
    <t>長谷川 保</t>
    <rPh sb="0" eb="3">
      <t>ハセガワ</t>
    </rPh>
    <rPh sb="4" eb="5">
      <t>ホ</t>
    </rPh>
    <phoneticPr fontId="13"/>
  </si>
  <si>
    <t>清宮 育実</t>
    <rPh sb="0" eb="1">
      <t>キヨ</t>
    </rPh>
    <rPh sb="1" eb="2">
      <t>ミヤ</t>
    </rPh>
    <rPh sb="3" eb="4">
      <t>イク</t>
    </rPh>
    <rPh sb="4" eb="5">
      <t>ジツ</t>
    </rPh>
    <phoneticPr fontId="13"/>
  </si>
  <si>
    <t>品川 5X1 ろ 7443</t>
    <rPh sb="0" eb="2">
      <t>シナガワ</t>
    </rPh>
    <phoneticPr fontId="13"/>
  </si>
  <si>
    <t>広島 586 ろ 8720</t>
    <rPh sb="0" eb="2">
      <t>ヒロシマ</t>
    </rPh>
    <phoneticPr fontId="13"/>
  </si>
  <si>
    <t>広島 480 ね 7131</t>
    <rPh sb="0" eb="2">
      <t>ヒロシマ</t>
    </rPh>
    <phoneticPr fontId="13"/>
  </si>
  <si>
    <t>U.S.Automotive株式会社</t>
    <rPh sb="14" eb="18">
      <t>カブシキガイシャ</t>
    </rPh>
    <phoneticPr fontId="13"/>
  </si>
  <si>
    <t>松本 580 よ 199</t>
    <rPh sb="0" eb="2">
      <t>マツモト</t>
    </rPh>
    <phoneticPr fontId="13"/>
  </si>
  <si>
    <t>中島 愛子</t>
    <rPh sb="0" eb="2">
      <t>ナカジマ</t>
    </rPh>
    <rPh sb="3" eb="5">
      <t>アイコ</t>
    </rPh>
    <phoneticPr fontId="13"/>
  </si>
  <si>
    <t>松本 483 あ 2336</t>
    <rPh sb="0" eb="2">
      <t>マツモト</t>
    </rPh>
    <phoneticPr fontId="13"/>
  </si>
  <si>
    <t>有限会社ｹｰｽﾞｲﾝﾀｰﾅｼｮﾅﾙ</t>
    <rPh sb="0" eb="4">
      <t>ユウゲンガイシャ</t>
    </rPh>
    <phoneticPr fontId="13"/>
  </si>
  <si>
    <t>南信州 580 あ 453</t>
    <rPh sb="0" eb="1">
      <t>ミナミ</t>
    </rPh>
    <rPh sb="1" eb="3">
      <t>シンシュウ</t>
    </rPh>
    <phoneticPr fontId="13"/>
  </si>
  <si>
    <t>大阪 480 も 7298</t>
    <rPh sb="0" eb="2">
      <t>オオサカ</t>
    </rPh>
    <phoneticPr fontId="13"/>
  </si>
  <si>
    <t>大阪ﾀﾞｲﾊﾂ販売株式会社</t>
    <rPh sb="0" eb="2">
      <t>オオサカ</t>
    </rPh>
    <rPh sb="7" eb="9">
      <t>ハンバイ</t>
    </rPh>
    <rPh sb="9" eb="13">
      <t>カブシキガイシャ</t>
    </rPh>
    <phoneticPr fontId="13"/>
  </si>
  <si>
    <t>和泉 580 ほ 8917</t>
    <rPh sb="0" eb="2">
      <t>イズミ</t>
    </rPh>
    <phoneticPr fontId="13"/>
  </si>
  <si>
    <t>株式会社日産ﾌｧｲﾅﾝｼｬﾙｻｰﾋﾞｽ</t>
    <rPh sb="0" eb="4">
      <t>カブシキガイシャ</t>
    </rPh>
    <rPh sb="4" eb="6">
      <t>ニッサン</t>
    </rPh>
    <phoneticPr fontId="13"/>
  </si>
  <si>
    <t>京都 581 さ 5921</t>
    <rPh sb="0" eb="2">
      <t>キョウト</t>
    </rPh>
    <phoneticPr fontId="13"/>
  </si>
  <si>
    <t>京都ｽﾊﾞﾙ自動車株式会社</t>
    <rPh sb="0" eb="2">
      <t>キョウト</t>
    </rPh>
    <rPh sb="6" eb="9">
      <t>ジドウシャ</t>
    </rPh>
    <rPh sb="9" eb="13">
      <t>カブシキガイシャ</t>
    </rPh>
    <phoneticPr fontId="13"/>
  </si>
  <si>
    <t>和泉 580 ふ 657</t>
    <rPh sb="0" eb="2">
      <t>イズミ</t>
    </rPh>
    <phoneticPr fontId="13"/>
  </si>
  <si>
    <t>株式会社ｽｽﾞｷ自販近畿中古車本部</t>
    <rPh sb="0" eb="4">
      <t>カブシキガイシャ</t>
    </rPh>
    <rPh sb="8" eb="10">
      <t>ジハン</t>
    </rPh>
    <rPh sb="10" eb="12">
      <t>キンキ</t>
    </rPh>
    <rPh sb="12" eb="14">
      <t>チュウコ</t>
    </rPh>
    <rPh sb="14" eb="15">
      <t>シャ</t>
    </rPh>
    <rPh sb="15" eb="17">
      <t>ホンブ</t>
    </rPh>
    <phoneticPr fontId="13"/>
  </si>
  <si>
    <t>大阪 582 け 6632</t>
    <rPh sb="0" eb="2">
      <t>オオサカ</t>
    </rPh>
    <phoneticPr fontId="13"/>
  </si>
  <si>
    <t>大阪 582 と 9224</t>
    <rPh sb="0" eb="2">
      <t>オオサカ</t>
    </rPh>
    <phoneticPr fontId="13"/>
  </si>
  <si>
    <t>大阪 580 わ 7231</t>
    <rPh sb="0" eb="2">
      <t>オオサカ</t>
    </rPh>
    <phoneticPr fontId="13"/>
  </si>
  <si>
    <t>ﾋﾞｼﾞﾈｽﾚﾝﾀｶｰ株式会社</t>
    <rPh sb="11" eb="15">
      <t>カブシキガイシャ</t>
    </rPh>
    <phoneticPr fontId="13"/>
  </si>
  <si>
    <t>和泉 587 て 72</t>
    <rPh sb="0" eb="2">
      <t>イズミ</t>
    </rPh>
    <phoneticPr fontId="13"/>
  </si>
  <si>
    <t>田﨑 正義</t>
    <rPh sb="0" eb="2">
      <t>タサキ</t>
    </rPh>
    <rPh sb="3" eb="5">
      <t>マサヨシ</t>
    </rPh>
    <phoneticPr fontId="13"/>
  </si>
  <si>
    <t>大阪 585 ぬ 822</t>
    <rPh sb="0" eb="2">
      <t>オオサカ</t>
    </rPh>
    <phoneticPr fontId="13"/>
  </si>
  <si>
    <t>株式会社Ancolie Societe</t>
    <rPh sb="0" eb="4">
      <t>カブシキガイシャ</t>
    </rPh>
    <phoneticPr fontId="13"/>
  </si>
  <si>
    <t>大宮 798 ろ 8268</t>
    <rPh sb="0" eb="2">
      <t>オオミヤ</t>
    </rPh>
    <phoneticPr fontId="13"/>
  </si>
  <si>
    <t>AGH30-0428448</t>
    <phoneticPr fontId="13"/>
  </si>
  <si>
    <t>ﾙﾉｰﾙｰﾃｼｱ</t>
    <phoneticPr fontId="13"/>
  </si>
  <si>
    <t>VF1RJA009M0827106</t>
    <phoneticPr fontId="13"/>
  </si>
  <si>
    <t>福岡 303 す 9751</t>
    <rPh sb="0" eb="2">
      <t>フクオカ</t>
    </rPh>
    <phoneticPr fontId="13"/>
  </si>
  <si>
    <t>MR41S-224661</t>
    <phoneticPr fontId="13"/>
  </si>
  <si>
    <t>N-BOXｶｽﾀﾑ GLﾊﾟｯｹｰｼﾞ</t>
    <phoneticPr fontId="13"/>
  </si>
  <si>
    <t>JF1-1223068</t>
    <phoneticPr fontId="13"/>
  </si>
  <si>
    <t>DA17W-287033</t>
    <phoneticPr fontId="13"/>
  </si>
  <si>
    <t>和歌山 585 に 910</t>
    <rPh sb="0" eb="3">
      <t>ワカヤマ</t>
    </rPh>
    <phoneticPr fontId="13"/>
  </si>
  <si>
    <t>ﾊｲｾﾞｯﾄﾄﾗｯｸ ﾊｲﾙｰﾌSA3</t>
    <phoneticPr fontId="13"/>
  </si>
  <si>
    <t>S500P-0123981</t>
    <phoneticPr fontId="13"/>
  </si>
  <si>
    <t>DA64W-383193</t>
    <phoneticPr fontId="13"/>
  </si>
  <si>
    <t>9/1/16</t>
    <phoneticPr fontId="13"/>
  </si>
  <si>
    <t>京都 788 こ 111</t>
    <rPh sb="0" eb="2">
      <t>キョウト</t>
    </rPh>
    <phoneticPr fontId="13"/>
  </si>
  <si>
    <t>ｱﾙﾄﾗﾊﾟﾝ Sｾﾚｸｼｮﾝ</t>
    <phoneticPr fontId="13"/>
  </si>
  <si>
    <t>HE33S-191416</t>
    <phoneticPr fontId="13"/>
  </si>
  <si>
    <t>9/2/8</t>
    <phoneticPr fontId="13"/>
  </si>
  <si>
    <t>京都 781 や 11</t>
    <rPh sb="0" eb="2">
      <t>キョウト</t>
    </rPh>
    <phoneticPr fontId="13"/>
  </si>
  <si>
    <t>WMWXN920702L46324</t>
    <phoneticPr fontId="13"/>
  </si>
  <si>
    <t>ｼﾄﾛｴﾝ C3 ｴﾃﾞｨｼｮﾝ2021</t>
    <phoneticPr fontId="13"/>
  </si>
  <si>
    <t>VF7SXHNPYLT635870</t>
    <phoneticPr fontId="13"/>
  </si>
  <si>
    <t xml:space="preserve">BMW 740i </t>
    <phoneticPr fontId="13"/>
  </si>
  <si>
    <t>WBA7A22030B182475</t>
    <phoneticPr fontId="13"/>
  </si>
  <si>
    <t>神戸 31X す 8008</t>
    <rPh sb="0" eb="2">
      <t>コウベ</t>
    </rPh>
    <phoneticPr fontId="13"/>
  </si>
  <si>
    <t>ｱｲｽﾌﾞﾙｰ</t>
    <phoneticPr fontId="13"/>
  </si>
  <si>
    <t>BMWﾐﾆｸｰﾊﾟｰS ｱｲｽﾌﾞﾙｰﾌﾞﾗｯｸｴﾃﾞｨｼｮﾝ</t>
    <phoneticPr fontId="13"/>
  </si>
  <si>
    <t>WMWXU92000TN55854</t>
    <phoneticPr fontId="13"/>
  </si>
  <si>
    <t>なにわ 301 ま 6009</t>
    <phoneticPr fontId="13"/>
  </si>
  <si>
    <t>ｴﾌﾞﾘｨｼﾞｮｲﾝﾀｰﾎﾞ</t>
    <phoneticPr fontId="13"/>
  </si>
  <si>
    <t>DA17V-750716</t>
    <phoneticPr fontId="13"/>
  </si>
  <si>
    <t>和泉 480 ね 6288</t>
    <rPh sb="0" eb="2">
      <t>イズミ</t>
    </rPh>
    <phoneticPr fontId="13"/>
  </si>
  <si>
    <t>BMWﾐﾆｸｰﾊﾟｰ S3ﾄﾞｱ</t>
    <phoneticPr fontId="13"/>
  </si>
  <si>
    <t>WMWXM720502A79971</t>
    <phoneticPr fontId="13"/>
  </si>
  <si>
    <t>足立 583 も 322</t>
    <rPh sb="0" eb="2">
      <t>アダチ</t>
    </rPh>
    <phoneticPr fontId="13"/>
  </si>
  <si>
    <t>目崎 光昭</t>
    <rPh sb="0" eb="2">
      <t>メサキ</t>
    </rPh>
    <rPh sb="3" eb="4">
      <t>ヒカル</t>
    </rPh>
    <phoneticPr fontId="13"/>
  </si>
  <si>
    <t>保証書 取説 ﾅﾋﾞ取 ﾜﾝｵｰﾅｰ</t>
    <rPh sb="0" eb="3">
      <t>ホショウショ</t>
    </rPh>
    <rPh sb="4" eb="6">
      <t>トリセツ</t>
    </rPh>
    <rPh sb="10" eb="11">
      <t>トリ</t>
    </rPh>
    <phoneticPr fontId="13"/>
  </si>
  <si>
    <t>HE33S-158096</t>
    <phoneticPr fontId="13"/>
  </si>
  <si>
    <t>鳥取 580 の 6704</t>
    <rPh sb="0" eb="2">
      <t>トットリ</t>
    </rPh>
    <phoneticPr fontId="13"/>
  </si>
  <si>
    <t>株式会社三木物流</t>
    <rPh sb="0" eb="4">
      <t>カブシキガイシャ</t>
    </rPh>
    <rPh sb="4" eb="8">
      <t>ミキブツリュウ</t>
    </rPh>
    <phoneticPr fontId="13"/>
  </si>
  <si>
    <t>名古屋　499　む　2328</t>
    <rPh sb="0" eb="3">
      <t>ナゴヤ</t>
    </rPh>
    <phoneticPr fontId="13"/>
  </si>
  <si>
    <t>畦地　邦彦</t>
    <rPh sb="0" eb="1">
      <t>ケイ</t>
    </rPh>
    <rPh sb="1" eb="2">
      <t>チ</t>
    </rPh>
    <rPh sb="3" eb="5">
      <t>クニヒコ</t>
    </rPh>
    <phoneticPr fontId="13"/>
  </si>
  <si>
    <t>取説　Sｷｰ</t>
    <rPh sb="0" eb="2">
      <t>トリセツ</t>
    </rPh>
    <phoneticPr fontId="13"/>
  </si>
  <si>
    <t>岡山　583　け　3470</t>
    <rPh sb="0" eb="2">
      <t>オカヤマ</t>
    </rPh>
    <phoneticPr fontId="13"/>
  </si>
  <si>
    <t>藤原　一広</t>
    <rPh sb="0" eb="2">
      <t>フジワラ</t>
    </rPh>
    <rPh sb="3" eb="5">
      <t>カズヒロ</t>
    </rPh>
    <phoneticPr fontId="13"/>
  </si>
  <si>
    <t>取説　ﾘﾓｺﾝ</t>
    <rPh sb="0" eb="2">
      <t>トリセツ</t>
    </rPh>
    <phoneticPr fontId="13"/>
  </si>
  <si>
    <t>株式会社　ﾓﾄｰﾚﾝﾃｨｰｱｲ</t>
    <rPh sb="0" eb="4">
      <t>カブシキガイシャ</t>
    </rPh>
    <phoneticPr fontId="13"/>
  </si>
  <si>
    <t>滋賀　339　ろ　1208</t>
    <rPh sb="0" eb="2">
      <t>シガ</t>
    </rPh>
    <phoneticPr fontId="13"/>
  </si>
  <si>
    <t>株式会社　HKS</t>
    <rPh sb="0" eb="4">
      <t>カブシキガイシャ</t>
    </rPh>
    <phoneticPr fontId="13"/>
  </si>
  <si>
    <t>大阪　582　え　3967</t>
    <rPh sb="0" eb="2">
      <t>オオサカ</t>
    </rPh>
    <phoneticPr fontId="13"/>
  </si>
  <si>
    <t>保証書　取説　Sｷｰ　地図SD　</t>
    <rPh sb="0" eb="3">
      <t>ホショウショ</t>
    </rPh>
    <rPh sb="4" eb="6">
      <t>トリセツ</t>
    </rPh>
    <rPh sb="11" eb="13">
      <t>チズ</t>
    </rPh>
    <phoneticPr fontId="13"/>
  </si>
  <si>
    <t>入川　正弘</t>
    <rPh sb="0" eb="2">
      <t>イリカワ</t>
    </rPh>
    <rPh sb="3" eb="5">
      <t>マサヒロ</t>
    </rPh>
    <phoneticPr fontId="13"/>
  </si>
  <si>
    <t>島　ひかる</t>
    <rPh sb="0" eb="1">
      <t>シマ</t>
    </rPh>
    <phoneticPr fontId="13"/>
  </si>
  <si>
    <t>尾崎　友哉</t>
    <rPh sb="0" eb="2">
      <t>オザキ</t>
    </rPh>
    <rPh sb="3" eb="5">
      <t>トモヤ</t>
    </rPh>
    <phoneticPr fontId="13"/>
  </si>
  <si>
    <t>光井　孝治</t>
    <rPh sb="0" eb="2">
      <t>ミツイ</t>
    </rPh>
    <rPh sb="3" eb="5">
      <t>コウジ</t>
    </rPh>
    <phoneticPr fontId="13"/>
  </si>
  <si>
    <t>島根　580　ゆ　2634</t>
    <rPh sb="0" eb="2">
      <t>シマネ</t>
    </rPh>
    <phoneticPr fontId="13"/>
  </si>
  <si>
    <t>ﾆｼｵ有限会社</t>
    <rPh sb="3" eb="7">
      <t>ユウゲンカイシャ</t>
    </rPh>
    <phoneticPr fontId="13"/>
  </si>
  <si>
    <t>品川　583　あ　7753</t>
    <rPh sb="0" eb="2">
      <t>シナガワ</t>
    </rPh>
    <phoneticPr fontId="13"/>
  </si>
  <si>
    <t>中村　有輝</t>
    <rPh sb="0" eb="2">
      <t>ナカムラ</t>
    </rPh>
    <rPh sb="3" eb="4">
      <t>ユウ</t>
    </rPh>
    <rPh sb="4" eb="5">
      <t>カガヤ</t>
    </rPh>
    <phoneticPr fontId="13"/>
  </si>
  <si>
    <t>横浜 405 せ 1111</t>
    <rPh sb="0" eb="2">
      <t>ヨコハマ</t>
    </rPh>
    <phoneticPr fontId="13"/>
  </si>
  <si>
    <t>大宮 331 り 7830</t>
    <rPh sb="0" eb="2">
      <t>オオミヤ</t>
    </rPh>
    <phoneticPr fontId="13"/>
  </si>
  <si>
    <t>10/5</t>
    <phoneticPr fontId="13"/>
  </si>
  <si>
    <t>27-1453</t>
  </si>
  <si>
    <t>27-1454</t>
  </si>
  <si>
    <t>27-1455</t>
  </si>
  <si>
    <t>27-1456</t>
  </si>
  <si>
    <t>WMW62BT0603M30994</t>
    <phoneticPr fontId="13"/>
  </si>
  <si>
    <t>27-1457</t>
  </si>
  <si>
    <t>27-1458</t>
  </si>
  <si>
    <t>27-1459</t>
  </si>
  <si>
    <t>27-1460</t>
  </si>
  <si>
    <t>27-1461</t>
  </si>
  <si>
    <t>27-1462</t>
  </si>
  <si>
    <t>27-1463</t>
  </si>
  <si>
    <t>27-1464</t>
  </si>
  <si>
    <t>27-1465</t>
  </si>
  <si>
    <t>27-1466</t>
  </si>
  <si>
    <t>27-1467</t>
  </si>
  <si>
    <t>27-1468</t>
  </si>
  <si>
    <t>27-1469</t>
  </si>
  <si>
    <t>27-1470</t>
  </si>
  <si>
    <t>株式会社ﾔﾅｾ近畿営業本部</t>
    <rPh sb="0" eb="4">
      <t>カブシキガイシャ</t>
    </rPh>
    <rPh sb="7" eb="9">
      <t>キンキ</t>
    </rPh>
    <rPh sb="9" eb="11">
      <t>エイギョウ</t>
    </rPh>
    <rPh sb="11" eb="13">
      <t>ホンブ</t>
    </rPh>
    <phoneticPr fontId="13"/>
  </si>
  <si>
    <t>整備手帳 取説 ｷｰﾚｽ ﾘﾓｺﾝ</t>
    <rPh sb="0" eb="4">
      <t>セイビテチョウ</t>
    </rPh>
    <rPh sb="5" eb="7">
      <t>トリセツ</t>
    </rPh>
    <phoneticPr fontId="13"/>
  </si>
  <si>
    <t>ｷｰﾚｽ(車内)</t>
    <rPh sb="5" eb="7">
      <t>シャナイ</t>
    </rPh>
    <phoneticPr fontId="13"/>
  </si>
  <si>
    <t>なにわ 39A む 537</t>
    <phoneticPr fontId="13"/>
  </si>
  <si>
    <t>那須 399 せ 873</t>
    <rPh sb="0" eb="2">
      <t>ナス</t>
    </rPh>
    <phoneticPr fontId="13"/>
  </si>
  <si>
    <t>株式会社ｼﾞｪｲ・ﾋﾟｰ</t>
    <rPh sb="0" eb="4">
      <t>カブシキガイシャ</t>
    </rPh>
    <phoneticPr fontId="13"/>
  </si>
  <si>
    <t>VF3CUHNZTKY052372</t>
    <phoneticPr fontId="13"/>
  </si>
  <si>
    <t>中央ﾎﾝﾀﾞ販売株式会社</t>
    <rPh sb="0" eb="2">
      <t>チュウオウ</t>
    </rPh>
    <rPh sb="7" eb="11">
      <t>カブシキガイシャ</t>
    </rPh>
    <phoneticPr fontId="13"/>
  </si>
  <si>
    <t>姫路 581 ゆ 6966</t>
    <rPh sb="0" eb="2">
      <t>ヒメジ</t>
    </rPh>
    <phoneticPr fontId="13"/>
  </si>
  <si>
    <t>姫路三菱自動車販売株式会社</t>
    <rPh sb="0" eb="4">
      <t>ヒメジミツビシ</t>
    </rPh>
    <rPh sb="4" eb="7">
      <t>ジドウシャ</t>
    </rPh>
    <rPh sb="7" eb="13">
      <t>ハンバイカブシキガイシャ</t>
    </rPh>
    <phoneticPr fontId="13"/>
  </si>
  <si>
    <t>佐賀 581 か 9351</t>
    <rPh sb="0" eb="2">
      <t>サガ</t>
    </rPh>
    <phoneticPr fontId="13"/>
  </si>
  <si>
    <t>古賀 照章</t>
    <rPh sb="0" eb="2">
      <t>コガ</t>
    </rPh>
    <rPh sb="3" eb="4">
      <t>テ</t>
    </rPh>
    <rPh sb="4" eb="5">
      <t>アキ</t>
    </rPh>
    <phoneticPr fontId="13"/>
  </si>
  <si>
    <t>10/27</t>
    <phoneticPr fontId="13"/>
  </si>
  <si>
    <t>越谷 315 や 24</t>
    <rPh sb="0" eb="2">
      <t>コシタニ</t>
    </rPh>
    <phoneticPr fontId="13"/>
  </si>
  <si>
    <t>武真 茜沙子</t>
    <rPh sb="0" eb="1">
      <t>タケ</t>
    </rPh>
    <rPh sb="1" eb="2">
      <t>マ</t>
    </rPh>
    <rPh sb="3" eb="4">
      <t>アカネ</t>
    </rPh>
    <rPh sb="4" eb="5">
      <t>サ</t>
    </rPh>
    <rPh sb="5" eb="6">
      <t>コ</t>
    </rPh>
    <phoneticPr fontId="13"/>
  </si>
  <si>
    <t>保証書 ｷｰﾚｽ 取説</t>
    <rPh sb="0" eb="3">
      <t>ホショウショ</t>
    </rPh>
    <rPh sb="9" eb="11">
      <t>トリセツ</t>
    </rPh>
    <phoneticPr fontId="13"/>
  </si>
  <si>
    <t>A308120</t>
    <phoneticPr fontId="13"/>
  </si>
  <si>
    <t>ﾏﾂﾀﾞ CX5- 25Sｽﾎﾟｰﾂｱﾋﾟｱﾗﾝｽ</t>
    <phoneticPr fontId="13"/>
  </si>
  <si>
    <t>KF5P-552784</t>
    <phoneticPr fontId="13"/>
  </si>
  <si>
    <t>27-1471</t>
  </si>
  <si>
    <t>27-1472</t>
  </si>
  <si>
    <t>27-1474</t>
  </si>
  <si>
    <t>JB23W-776287</t>
    <phoneticPr fontId="13"/>
  </si>
  <si>
    <t>ML21S-972536</t>
    <phoneticPr fontId="13"/>
  </si>
  <si>
    <t>MR52S-127959</t>
    <phoneticPr fontId="13"/>
  </si>
  <si>
    <t>ジムニー ﾗﾝﾄﾞﾍﾞﾝﾁｬｰ</t>
    <phoneticPr fontId="13"/>
  </si>
  <si>
    <t>ﾊｽﾗｰ ﾊｲﾌﾞﾘｯﾄﾞGﾀｰﾎﾞ</t>
    <phoneticPr fontId="13"/>
  </si>
  <si>
    <t>BMWﾐﾆｸｰﾊﾟーSD ｸﾛｽｵｰﾊﾞｰ</t>
    <phoneticPr fontId="13"/>
  </si>
  <si>
    <t>ｷｬﾝｾﾙ 書類 付属品返送10/27</t>
    <rPh sb="6" eb="8">
      <t>ショルイ</t>
    </rPh>
    <rPh sb="9" eb="12">
      <t>フゾクヒン</t>
    </rPh>
    <rPh sb="12" eb="14">
      <t>ヘンソウ</t>
    </rPh>
    <phoneticPr fontId="13"/>
  </si>
  <si>
    <t>ﾎﾞﾙﾎﾞV40 D4ﾓﾒﾝﾀﾑ</t>
    <phoneticPr fontId="13"/>
  </si>
  <si>
    <t>ﾎﾞﾙﾎﾞV40 T4 SE</t>
    <phoneticPr fontId="13"/>
  </si>
  <si>
    <t>YV1MV485BF2233945</t>
    <phoneticPr fontId="13"/>
  </si>
  <si>
    <t>WMW42BT0203M32216</t>
    <phoneticPr fontId="13"/>
  </si>
  <si>
    <t>ｱｳﾃﾞｨ Q2 35TDIｽﾎﾟｰﾂ</t>
    <phoneticPr fontId="13"/>
  </si>
  <si>
    <t>WAUZZZGA2LA082762</t>
    <phoneticPr fontId="13"/>
  </si>
  <si>
    <t>保証書 取説 Sｷｰ ﾜﾝｵｰﾅｰ</t>
    <rPh sb="0" eb="3">
      <t>ホショウショ</t>
    </rPh>
    <rPh sb="4" eb="6">
      <t>トリセツ</t>
    </rPh>
    <phoneticPr fontId="13"/>
  </si>
  <si>
    <t>A308858</t>
    <phoneticPr fontId="13"/>
  </si>
  <si>
    <t>AGH30-0168330</t>
    <phoneticPr fontId="13"/>
  </si>
  <si>
    <t>A307637</t>
    <phoneticPr fontId="13"/>
  </si>
  <si>
    <t>ｽｲﾌﾄ ｽﾎﾟｰﾂ</t>
    <phoneticPr fontId="13"/>
  </si>
  <si>
    <t>ZC33S-418283</t>
    <phoneticPr fontId="13"/>
  </si>
  <si>
    <t>取説 ｷｰﾚｽ(車内)保証書</t>
    <rPh sb="0" eb="2">
      <t>トリセツ</t>
    </rPh>
    <rPh sb="8" eb="10">
      <t>シャナイ</t>
    </rPh>
    <rPh sb="11" eb="14">
      <t>ホショウショ</t>
    </rPh>
    <phoneticPr fontId="13"/>
  </si>
  <si>
    <t>取説 地図SD(車内)保証書</t>
    <rPh sb="0" eb="2">
      <t>トリセツ</t>
    </rPh>
    <rPh sb="3" eb="5">
      <t>チズ</t>
    </rPh>
    <rPh sb="11" eb="14">
      <t>ホショウショ</t>
    </rPh>
    <phoneticPr fontId="13"/>
  </si>
  <si>
    <t>ｷｰﾚｽ2個(車内)</t>
    <rPh sb="5" eb="6">
      <t>コ</t>
    </rPh>
    <phoneticPr fontId="13"/>
  </si>
  <si>
    <t>ｷｰﾚｽ(車内)取説</t>
    <rPh sb="8" eb="10">
      <t>トリセツ</t>
    </rPh>
    <phoneticPr fontId="13"/>
  </si>
  <si>
    <t>書類返送10/25ｷｰﾚｽ返送10/27</t>
    <rPh sb="0" eb="4">
      <t>ショルイヘンソウ</t>
    </rPh>
    <rPh sb="13" eb="15">
      <t>ヘンソウ</t>
    </rPh>
    <phoneticPr fontId="13"/>
  </si>
  <si>
    <t>保証書 取説 ﾅﾋﾞ取 地図SD(車内)</t>
    <rPh sb="0" eb="3">
      <t>ホショウショ</t>
    </rPh>
    <rPh sb="4" eb="6">
      <t>トリセツ</t>
    </rPh>
    <rPh sb="10" eb="11">
      <t>トリ</t>
    </rPh>
    <rPh sb="12" eb="14">
      <t>チズ</t>
    </rPh>
    <phoneticPr fontId="13"/>
  </si>
  <si>
    <t>取説 地図SD(車内)保証書 ｷｰﾚｽ</t>
    <rPh sb="0" eb="2">
      <t>トリセツ</t>
    </rPh>
    <rPh sb="3" eb="5">
      <t>チズ</t>
    </rPh>
    <rPh sb="11" eb="14">
      <t>ホショウショ</t>
    </rPh>
    <phoneticPr fontId="13"/>
  </si>
  <si>
    <t>保証書 取説(車内)ﾅﾝﾊﾞｰ</t>
    <rPh sb="0" eb="3">
      <t>ホショウショ</t>
    </rPh>
    <rPh sb="4" eb="6">
      <t>トリセツ</t>
    </rPh>
    <phoneticPr fontId="13"/>
  </si>
  <si>
    <t>保証書 取説 ﾅﾋﾞ取 ｷｰﾚｽ(車内)</t>
    <rPh sb="0" eb="3">
      <t>ホショウショ</t>
    </rPh>
    <rPh sb="4" eb="6">
      <t>トリセツ</t>
    </rPh>
    <rPh sb="10" eb="11">
      <t>トリ</t>
    </rPh>
    <phoneticPr fontId="13"/>
  </si>
  <si>
    <t>ﾏｲｸﾛSD(車内)保証書 取説 ｷｰﾚｽ ｽﾍﾟｱｷｰ2個  ｴﾝｼﾞﾝｽﾀｰﾀｰ ﾜﾝｵｰﾅｰ</t>
    <rPh sb="10" eb="13">
      <t>ホショウショ</t>
    </rPh>
    <rPh sb="14" eb="16">
      <t>トリセツ</t>
    </rPh>
    <rPh sb="29" eb="30">
      <t>コ</t>
    </rPh>
    <phoneticPr fontId="13"/>
  </si>
  <si>
    <t xml:space="preserve">地図SD(車内)保証書 取説 </t>
    <rPh sb="0" eb="2">
      <t>チズ</t>
    </rPh>
    <rPh sb="8" eb="11">
      <t>ホショウショ</t>
    </rPh>
    <rPh sb="12" eb="14">
      <t>トリセツ</t>
    </rPh>
    <phoneticPr fontId="13"/>
  </si>
  <si>
    <t>ﾏｲｸﾛ地図SD(車内)保証書 取説 ﾜﾝｵｰﾅｰ</t>
    <rPh sb="12" eb="15">
      <t>ホショウショ</t>
    </rPh>
    <rPh sb="16" eb="18">
      <t>トリセツ</t>
    </rPh>
    <phoneticPr fontId="13"/>
  </si>
  <si>
    <t>地図SD(車内)保証書 取説 Sｷｰ</t>
    <rPh sb="8" eb="11">
      <t>ホショウショ</t>
    </rPh>
    <rPh sb="12" eb="14">
      <t>トリセツ</t>
    </rPh>
    <phoneticPr fontId="13"/>
  </si>
  <si>
    <t>地図SD(車内) 保証書 取説</t>
    <rPh sb="9" eb="12">
      <t>ホショウショ</t>
    </rPh>
    <rPh sb="13" eb="15">
      <t>トリセツ</t>
    </rPh>
    <phoneticPr fontId="13"/>
  </si>
  <si>
    <t>地図SD(車内)保証書 取説 ｷｰﾚｽ</t>
    <rPh sb="8" eb="11">
      <t>ホショウショ</t>
    </rPh>
    <rPh sb="12" eb="14">
      <t>トリセツ</t>
    </rPh>
    <phoneticPr fontId="13"/>
  </si>
  <si>
    <t>ﾏｲｸﾛ地図SD(車内)保証書 取説 ﾅﾋﾞ取</t>
    <rPh sb="12" eb="15">
      <t>ホショウショ</t>
    </rPh>
    <rPh sb="16" eb="18">
      <t>トリセツ</t>
    </rPh>
    <rPh sb="22" eb="23">
      <t>トリ</t>
    </rPh>
    <phoneticPr fontId="13"/>
  </si>
  <si>
    <t>ﾏｲｸﾛ地図SD(車内)保証書 取説 ｷｰﾚｽ</t>
    <rPh sb="12" eb="15">
      <t>ホショウショ</t>
    </rPh>
    <rPh sb="16" eb="18">
      <t>トリセツ</t>
    </rPh>
    <phoneticPr fontId="13"/>
  </si>
  <si>
    <t>301 ね 3016</t>
    <phoneticPr fontId="13"/>
  </si>
  <si>
    <t>301 ね 3017</t>
    <phoneticPr fontId="13"/>
  </si>
  <si>
    <t>書類返送10/28</t>
    <rPh sb="0" eb="4">
      <t>ショルイヘンソウ</t>
    </rPh>
    <phoneticPr fontId="13"/>
  </si>
  <si>
    <t>書類返送10/28</t>
    <rPh sb="0" eb="2">
      <t>ショルイ</t>
    </rPh>
    <rPh sb="2" eb="4">
      <t>ヘンソウ</t>
    </rPh>
    <phoneticPr fontId="13"/>
  </si>
  <si>
    <t>27-1475</t>
  </si>
  <si>
    <t>27-1476</t>
  </si>
  <si>
    <t>27-1477</t>
  </si>
  <si>
    <t>27-1478</t>
  </si>
  <si>
    <t>27-1479</t>
  </si>
  <si>
    <t>27-1480</t>
  </si>
  <si>
    <t>27-1481</t>
  </si>
  <si>
    <t>27-1482</t>
  </si>
  <si>
    <t>豊橋ﾔﾅｾ株式会社</t>
    <rPh sb="0" eb="2">
      <t>トヨハシ</t>
    </rPh>
    <rPh sb="5" eb="9">
      <t>カブシキガイシャ</t>
    </rPh>
    <phoneticPr fontId="13"/>
  </si>
  <si>
    <t>脇坂 萌夏</t>
    <rPh sb="0" eb="2">
      <t>ワキサカ</t>
    </rPh>
    <rPh sb="3" eb="5">
      <t>モエカ</t>
    </rPh>
    <phoneticPr fontId="13"/>
  </si>
  <si>
    <t xml:space="preserve"> 保証書 取説 ｽﾍﾟｱｷｰ</t>
    <rPh sb="1" eb="4">
      <t>ホショウショ</t>
    </rPh>
    <rPh sb="5" eb="7">
      <t>トリセツ</t>
    </rPh>
    <phoneticPr fontId="13"/>
  </si>
  <si>
    <t>名古屋 581 や 3665</t>
    <rPh sb="0" eb="3">
      <t>ナゴヤ</t>
    </rPh>
    <phoneticPr fontId="13"/>
  </si>
  <si>
    <t>株式会社ｱﾀｯｸｽ</t>
    <rPh sb="0" eb="4">
      <t>カブシキガイシャ</t>
    </rPh>
    <phoneticPr fontId="13"/>
  </si>
  <si>
    <t>MK53S-019190</t>
    <phoneticPr fontId="13"/>
  </si>
  <si>
    <t>なにわ 583 み 7733</t>
    <phoneticPr fontId="13"/>
  </si>
  <si>
    <t>ﾜｺﾞﾝR ｽﾃｨﾝｸﾞﾚｰ ﾊｲﾌﾞﾘｯﾄﾞX</t>
    <phoneticPr fontId="13"/>
  </si>
  <si>
    <t>MG55S-702592</t>
    <phoneticPr fontId="13"/>
  </si>
  <si>
    <t>LA400A-0003172</t>
    <phoneticPr fontId="13"/>
  </si>
  <si>
    <t>高松 580 き 9651</t>
    <rPh sb="0" eb="2">
      <t>タカマツ</t>
    </rPh>
    <phoneticPr fontId="13"/>
  </si>
  <si>
    <t xml:space="preserve">ﾀﾝﾄｶｽﾀﾑ RS </t>
    <phoneticPr fontId="13"/>
  </si>
  <si>
    <t>L385S-0101225</t>
    <phoneticPr fontId="13"/>
  </si>
  <si>
    <t>広島 580 よ 7141</t>
    <rPh sb="0" eb="2">
      <t>ヒロシマ</t>
    </rPh>
    <phoneticPr fontId="13"/>
  </si>
  <si>
    <t>ｳｪｲｸ GﾀｰﾎﾞﾘﾐﾃｯﾄﾞSA3</t>
    <phoneticPr fontId="13"/>
  </si>
  <si>
    <t>LA700S-0162711</t>
    <phoneticPr fontId="13"/>
  </si>
  <si>
    <t>広島 589 ひ 223</t>
    <rPh sb="0" eb="2">
      <t>ヒロシマ</t>
    </rPh>
    <phoneticPr fontId="13"/>
  </si>
  <si>
    <t>ｼﾄﾛｴﾝ C3</t>
    <phoneticPr fontId="13"/>
  </si>
  <si>
    <t>VF7SXHNZTKT548833</t>
    <phoneticPr fontId="13"/>
  </si>
  <si>
    <t>神戸 58A か 7597</t>
    <rPh sb="0" eb="2">
      <t>コウベ</t>
    </rPh>
    <phoneticPr fontId="13"/>
  </si>
  <si>
    <t>竹田 育穂</t>
    <rPh sb="0" eb="2">
      <t>タケダ</t>
    </rPh>
    <rPh sb="3" eb="4">
      <t>イク</t>
    </rPh>
    <rPh sb="4" eb="5">
      <t>ホ</t>
    </rPh>
    <phoneticPr fontId="13"/>
  </si>
  <si>
    <t>保証書 取説 ｷｰﾚｽ 地図SD SD</t>
    <rPh sb="0" eb="3">
      <t>ホショウショ</t>
    </rPh>
    <rPh sb="4" eb="6">
      <t>トリセツ</t>
    </rPh>
    <rPh sb="12" eb="14">
      <t>チズ</t>
    </rPh>
    <phoneticPr fontId="13"/>
  </si>
  <si>
    <t>神戸 480 ぬ 7636</t>
    <rPh sb="0" eb="2">
      <t>コウベ</t>
    </rPh>
    <phoneticPr fontId="13"/>
  </si>
  <si>
    <t>吉田 哲博</t>
    <rPh sb="0" eb="2">
      <t>ヨシダ</t>
    </rPh>
    <rPh sb="3" eb="4">
      <t>テツ</t>
    </rPh>
    <rPh sb="4" eb="5">
      <t>ヒロシ</t>
    </rPh>
    <phoneticPr fontId="13"/>
  </si>
  <si>
    <t>三重 582 そ 5240</t>
    <rPh sb="0" eb="2">
      <t>ミエ</t>
    </rPh>
    <phoneticPr fontId="13"/>
  </si>
  <si>
    <t>稲垣 翔也</t>
    <rPh sb="0" eb="2">
      <t>イナガキ</t>
    </rPh>
    <rPh sb="3" eb="4">
      <t>ショウ</t>
    </rPh>
    <rPh sb="4" eb="5">
      <t>ヤ</t>
    </rPh>
    <phoneticPr fontId="13"/>
  </si>
  <si>
    <t>保証書 取説 ｷｰﾚｽ ﾅﾝﾊﾞｰ</t>
    <rPh sb="0" eb="3">
      <t>ホショウショ</t>
    </rPh>
    <rPh sb="4" eb="6">
      <t>トリセツ</t>
    </rPh>
    <phoneticPr fontId="13"/>
  </si>
  <si>
    <t>横浜 581 な 6596</t>
    <rPh sb="0" eb="2">
      <t>ヨコハマ</t>
    </rPh>
    <phoneticPr fontId="13"/>
  </si>
  <si>
    <t>島田 登志夫</t>
    <rPh sb="0" eb="2">
      <t>シマダ</t>
    </rPh>
    <rPh sb="3" eb="6">
      <t>トシオ</t>
    </rPh>
    <phoneticPr fontId="13"/>
  </si>
  <si>
    <t>岡山 583 ゆ 1627</t>
    <rPh sb="0" eb="2">
      <t>オカヤマ</t>
    </rPh>
    <phoneticPr fontId="13"/>
  </si>
  <si>
    <t>WMWXS720202E46010</t>
    <phoneticPr fontId="13"/>
  </si>
  <si>
    <t>大阪 399 や 8792</t>
    <rPh sb="0" eb="2">
      <t>オオサカ</t>
    </rPh>
    <phoneticPr fontId="13"/>
  </si>
  <si>
    <t>神戸 348 る 728</t>
    <rPh sb="0" eb="2">
      <t>コウベ</t>
    </rPh>
    <phoneticPr fontId="13"/>
  </si>
  <si>
    <t>神戸ﾄﾖﾍﾟｯﾄ株式会社</t>
    <rPh sb="0" eb="2">
      <t>コウベ</t>
    </rPh>
    <rPh sb="8" eb="12">
      <t>カブシキガイシャ</t>
    </rPh>
    <phoneticPr fontId="13"/>
  </si>
  <si>
    <t>品川 49A そ 2410</t>
    <rPh sb="0" eb="2">
      <t>シナガワ</t>
    </rPh>
    <phoneticPr fontId="13"/>
  </si>
  <si>
    <t>HE22S-163586</t>
    <phoneticPr fontId="13"/>
  </si>
  <si>
    <t>WMWXV320102N87700</t>
    <phoneticPr fontId="13"/>
  </si>
  <si>
    <t>ｱｳﾃﾞｨ A4 ｱﾊﾞﾝﾄ 45TFSI ｸﾜﾄﾛ</t>
    <phoneticPr fontId="13"/>
  </si>
  <si>
    <t>WAUZZZF47MA011652</t>
    <phoneticPr fontId="13"/>
  </si>
  <si>
    <t>301 ね 3086</t>
    <phoneticPr fontId="13"/>
  </si>
  <si>
    <t>301 ね 3085</t>
    <phoneticPr fontId="13"/>
  </si>
  <si>
    <t>301 ね 3084</t>
    <phoneticPr fontId="13"/>
  </si>
  <si>
    <t>301 ね 3087</t>
    <phoneticPr fontId="13"/>
  </si>
  <si>
    <t>MH95S-135570</t>
    <phoneticPr fontId="13"/>
  </si>
  <si>
    <t>整備手帳 取説 ｷｰﾚｽ(車内)</t>
    <rPh sb="0" eb="4">
      <t>セイビテチョウ</t>
    </rPh>
    <rPh sb="5" eb="7">
      <t>トリセツ</t>
    </rPh>
    <rPh sb="13" eb="15">
      <t>シャナイ</t>
    </rPh>
    <phoneticPr fontId="13"/>
  </si>
  <si>
    <t>地図SD(車内)保証書 取説 ﾅﾋﾞ取 ｽﾏｰﾄｷｰ ﾜﾝｵｰﾅｰ</t>
    <rPh sb="8" eb="11">
      <t>ホショウショ</t>
    </rPh>
    <rPh sb="12" eb="14">
      <t>トリセツ</t>
    </rPh>
    <rPh sb="18" eb="19">
      <t>トリ</t>
    </rPh>
    <phoneticPr fontId="13"/>
  </si>
  <si>
    <t>品川 302 や 772</t>
    <rPh sb="0" eb="2">
      <t>シナガワ</t>
    </rPh>
    <phoneticPr fontId="13"/>
  </si>
  <si>
    <t>豊田 581 ろ 8421</t>
    <rPh sb="0" eb="2">
      <t>トヨタ</t>
    </rPh>
    <phoneticPr fontId="13"/>
  </si>
  <si>
    <t>株式会社ﾄｯﾌﾟﾜﾝ</t>
    <rPh sb="0" eb="4">
      <t>カブシキガイシャ</t>
    </rPh>
    <phoneticPr fontId="13"/>
  </si>
  <si>
    <t>GLOBAL TRADERS</t>
    <phoneticPr fontId="13"/>
  </si>
  <si>
    <t>ﾌｨﾔｰｽﾞﾏﾊｻﾌﾞ</t>
    <phoneticPr fontId="13"/>
  </si>
  <si>
    <t>ｷｬﾝｾﾙ10/30返送済</t>
    <rPh sb="10" eb="12">
      <t>ヘンソウ</t>
    </rPh>
    <rPh sb="12" eb="13">
      <t>ズ</t>
    </rPh>
    <phoneticPr fontId="13"/>
  </si>
  <si>
    <t>27-1483</t>
  </si>
  <si>
    <t>27-1484</t>
  </si>
  <si>
    <t>27-1485</t>
  </si>
  <si>
    <t>27-1486</t>
  </si>
  <si>
    <t>27-1487</t>
  </si>
  <si>
    <t>27-1488</t>
  </si>
  <si>
    <t>27-1489</t>
  </si>
  <si>
    <t>27-1490</t>
  </si>
  <si>
    <t>27-1491</t>
  </si>
  <si>
    <t>27-1492</t>
  </si>
  <si>
    <t>ﾃｨｰｽﾞ名変する</t>
    <rPh sb="5" eb="7">
      <t>メイヘン</t>
    </rPh>
    <phoneticPr fontId="13"/>
  </si>
  <si>
    <t>27-1493</t>
  </si>
  <si>
    <t>27-1494</t>
  </si>
  <si>
    <t>27-1495</t>
  </si>
  <si>
    <t>VWｻﾞﾋﾞｰﾄﾙ ﾌﾞﾗｯｸｽﾀｲﾙ</t>
    <phoneticPr fontId="13"/>
  </si>
  <si>
    <t>WVWZZZ16ZJM707055</t>
    <phoneticPr fontId="13"/>
  </si>
  <si>
    <t>BMWﾐﾆ ｸｰﾊﾟｰS ｸﾗﾌﾞﾏﾝ</t>
    <phoneticPr fontId="13"/>
  </si>
  <si>
    <t>WMWLN720602D35420</t>
    <phoneticPr fontId="13"/>
  </si>
  <si>
    <t>ｱﾊﾞﾙﾄ 595 ﾂｰﾘｽﾞﾓ</t>
    <phoneticPr fontId="13"/>
  </si>
  <si>
    <t>ZFA3120000J789284</t>
    <phoneticPr fontId="13"/>
  </si>
  <si>
    <t>27-1496</t>
  </si>
  <si>
    <t>27-1497</t>
  </si>
  <si>
    <t>27-1498</t>
  </si>
  <si>
    <t>27-1499</t>
  </si>
  <si>
    <t>27-1500</t>
  </si>
  <si>
    <t>27-1501</t>
  </si>
  <si>
    <t>27-1502</t>
  </si>
  <si>
    <t>27-1503</t>
  </si>
  <si>
    <t>27-1504</t>
  </si>
  <si>
    <t>27-1505</t>
  </si>
  <si>
    <t>27-1506</t>
  </si>
  <si>
    <t>27-1507</t>
  </si>
  <si>
    <t>27-1508</t>
  </si>
  <si>
    <t>27-1509</t>
  </si>
  <si>
    <t>27-1510</t>
  </si>
  <si>
    <t>27-1511</t>
  </si>
  <si>
    <t>27-1512</t>
  </si>
  <si>
    <t>27-1513</t>
  </si>
  <si>
    <t>27-1514</t>
  </si>
  <si>
    <t>27-1515</t>
  </si>
  <si>
    <t>27-1516</t>
  </si>
  <si>
    <t>27-1517</t>
  </si>
  <si>
    <t>27-1518</t>
  </si>
  <si>
    <t>HA36S-559629</t>
    <phoneticPr fontId="13"/>
  </si>
  <si>
    <t>LA350S-0111386</t>
    <phoneticPr fontId="13"/>
  </si>
  <si>
    <t>HA36S-560722</t>
    <phoneticPr fontId="13"/>
  </si>
  <si>
    <t>LA350S-0225802</t>
    <phoneticPr fontId="13"/>
  </si>
  <si>
    <t>HA36S-561455</t>
    <phoneticPr fontId="13"/>
  </si>
  <si>
    <t>HA36S-561269</t>
    <phoneticPr fontId="13"/>
  </si>
  <si>
    <t>HA36S-562297</t>
    <phoneticPr fontId="13"/>
  </si>
  <si>
    <t>HA36S-561402</t>
    <phoneticPr fontId="13"/>
  </si>
  <si>
    <t>HA36S-562313</t>
    <phoneticPr fontId="13"/>
  </si>
  <si>
    <t>HA36S-562346</t>
    <phoneticPr fontId="13"/>
  </si>
  <si>
    <t>HA36S-561400</t>
    <phoneticPr fontId="13"/>
  </si>
  <si>
    <t>HA36S-528728</t>
    <phoneticPr fontId="13"/>
  </si>
  <si>
    <t>HA36S-561395</t>
    <phoneticPr fontId="13"/>
  </si>
  <si>
    <t>HA36S-548681</t>
    <phoneticPr fontId="13"/>
  </si>
  <si>
    <t>HA36S-561284</t>
    <phoneticPr fontId="13"/>
  </si>
  <si>
    <t>MK42S-139206</t>
    <phoneticPr fontId="13"/>
  </si>
  <si>
    <t>HA36S-562535</t>
    <phoneticPr fontId="13"/>
  </si>
  <si>
    <t>HA36S-562796</t>
    <phoneticPr fontId="13"/>
  </si>
  <si>
    <t>LA350S-0233268</t>
    <phoneticPr fontId="13"/>
  </si>
  <si>
    <t>HA36S-561347</t>
    <phoneticPr fontId="13"/>
  </si>
  <si>
    <t>MH34S-372375</t>
    <phoneticPr fontId="13"/>
  </si>
  <si>
    <t>JF4-1051267</t>
    <phoneticPr fontId="13"/>
  </si>
  <si>
    <t>JF4-1051305</t>
    <phoneticPr fontId="13"/>
  </si>
  <si>
    <t>DA17W-134098</t>
    <phoneticPr fontId="13"/>
  </si>
  <si>
    <t>和泉 581 さ 4139</t>
    <rPh sb="0" eb="2">
      <t>イズミ</t>
    </rPh>
    <phoneticPr fontId="13"/>
  </si>
  <si>
    <t>保証書 取説 SD B-CAS</t>
    <rPh sb="0" eb="3">
      <t>ホショウショ</t>
    </rPh>
    <rPh sb="4" eb="6">
      <t>トリセツ</t>
    </rPh>
    <phoneticPr fontId="13"/>
  </si>
  <si>
    <t>ﾓｺ X</t>
    <phoneticPr fontId="13"/>
  </si>
  <si>
    <t>MG33S-679911</t>
    <phoneticPr fontId="13"/>
  </si>
  <si>
    <t>静岡 584 あ 1206</t>
    <rPh sb="0" eb="2">
      <t>シズオカ</t>
    </rPh>
    <phoneticPr fontId="13"/>
  </si>
  <si>
    <t>ﾗﾊﾟﾝ X</t>
    <phoneticPr fontId="13"/>
  </si>
  <si>
    <t>HE33S-115117</t>
    <phoneticPr fontId="13"/>
  </si>
  <si>
    <t>飛騨 580 き 957</t>
    <rPh sb="0" eb="2">
      <t>ヒダ</t>
    </rPh>
    <phoneticPr fontId="13"/>
  </si>
  <si>
    <t>ﾋﾟｸｼｽｼﾞｮｲ FXSA3</t>
    <phoneticPr fontId="13"/>
  </si>
  <si>
    <t>LA250S-0022950</t>
    <phoneticPr fontId="13"/>
  </si>
  <si>
    <t>伊勢志摩 583 く 831</t>
    <rPh sb="0" eb="4">
      <t>イセシマ</t>
    </rPh>
    <phoneticPr fontId="13"/>
  </si>
  <si>
    <t>ﾐﾗｲｰｽ Gﾘﾐﾃｯﾄﾞ SA3</t>
    <phoneticPr fontId="13"/>
  </si>
  <si>
    <t>LA350S-0387805</t>
    <phoneticPr fontId="13"/>
  </si>
  <si>
    <t>9/1/10</t>
    <phoneticPr fontId="13"/>
  </si>
  <si>
    <t>鈴鹿 580 ち 1977</t>
    <rPh sb="0" eb="2">
      <t>スズカ</t>
    </rPh>
    <phoneticPr fontId="13"/>
  </si>
  <si>
    <t>JB23W-756280</t>
    <phoneticPr fontId="13"/>
  </si>
  <si>
    <t>ｱﾙﾄ L</t>
    <phoneticPr fontId="13"/>
  </si>
  <si>
    <t>ｽﾍﾟｰｼｱ  G</t>
    <phoneticPr fontId="13"/>
  </si>
  <si>
    <t>ﾐﾗｲｰｽB SA3</t>
    <phoneticPr fontId="13"/>
  </si>
  <si>
    <t xml:space="preserve">ﾜｺﾞﾝR FX </t>
    <phoneticPr fontId="13"/>
  </si>
  <si>
    <t>ｱﾊﾞﾙﾄ 595</t>
    <phoneticPr fontId="13"/>
  </si>
  <si>
    <t>ZFABF13H4NJF99379</t>
    <phoneticPr fontId="13"/>
  </si>
  <si>
    <t>神戸 39A せ 9832</t>
    <rPh sb="0" eb="2">
      <t>コウベ</t>
    </rPh>
    <phoneticPr fontId="13"/>
  </si>
  <si>
    <t>10/30</t>
    <phoneticPr fontId="13"/>
  </si>
  <si>
    <t>なにわ 338 な 210</t>
    <phoneticPr fontId="13"/>
  </si>
  <si>
    <t>泉尾 賢司</t>
    <rPh sb="0" eb="2">
      <t>イズオ</t>
    </rPh>
    <rPh sb="3" eb="5">
      <t>ケンジ</t>
    </rPh>
    <phoneticPr fontId="13"/>
  </si>
  <si>
    <t>岐阜 58A あ 160</t>
    <rPh sb="0" eb="2">
      <t>ギフ</t>
    </rPh>
    <phoneticPr fontId="13"/>
  </si>
  <si>
    <t>株式会社ｱﾙｼｪｻｰﾋﾞｽ</t>
    <rPh sb="0" eb="4">
      <t>カブシキガイシャ</t>
    </rPh>
    <phoneticPr fontId="13"/>
  </si>
  <si>
    <t>名古屋 583 か 8492</t>
    <rPh sb="0" eb="3">
      <t>ナゴヤ</t>
    </rPh>
    <phoneticPr fontId="13"/>
  </si>
  <si>
    <t>品川 5X1 ろ 9119</t>
    <rPh sb="0" eb="2">
      <t>シナガワ</t>
    </rPh>
    <phoneticPr fontId="13"/>
  </si>
  <si>
    <t>27-1519</t>
  </si>
  <si>
    <t>27-1520</t>
  </si>
  <si>
    <t>HE33S-115756</t>
    <phoneticPr fontId="13"/>
  </si>
  <si>
    <t>神戸 582 み 7576</t>
    <rPh sb="0" eb="2">
      <t>コウベ</t>
    </rPh>
    <phoneticPr fontId="13"/>
  </si>
  <si>
    <t>N-BOX GﾀｰﾎﾞLﾊﾟｯｹｰｼﾞ</t>
    <phoneticPr fontId="13"/>
  </si>
  <si>
    <t>JF1-2235489</t>
    <phoneticPr fontId="13"/>
  </si>
  <si>
    <t>8/1/12</t>
    <phoneticPr fontId="13"/>
  </si>
  <si>
    <t>神戸 581 ね 9169</t>
    <rPh sb="0" eb="2">
      <t>コウベ</t>
    </rPh>
    <phoneticPr fontId="13"/>
  </si>
  <si>
    <t>相模 590 き 22</t>
    <phoneticPr fontId="13"/>
  </si>
  <si>
    <t>小林 大介</t>
    <rPh sb="0" eb="2">
      <t>コバヤシ</t>
    </rPh>
    <rPh sb="3" eb="5">
      <t>ダイスケ</t>
    </rPh>
    <phoneticPr fontId="13"/>
  </si>
  <si>
    <t>神戸 398 と 8080</t>
    <rPh sb="0" eb="2">
      <t>コウベ</t>
    </rPh>
    <phoneticPr fontId="13"/>
  </si>
  <si>
    <t>株式会社阪神小型ﾓｰﾀｰｽ</t>
    <rPh sb="0" eb="4">
      <t>カブシキガイシャ</t>
    </rPh>
    <rPh sb="4" eb="6">
      <t>ハンシン</t>
    </rPh>
    <rPh sb="6" eb="8">
      <t>コガタ</t>
    </rPh>
    <phoneticPr fontId="13"/>
  </si>
  <si>
    <t>八王子 399 と 6662</t>
    <rPh sb="0" eb="3">
      <t>ハチオウジ</t>
    </rPh>
    <phoneticPr fontId="13"/>
  </si>
  <si>
    <t>株式会社村内外車ｾﾝﾀｰ</t>
    <rPh sb="0" eb="4">
      <t>カブシキガイシャ</t>
    </rPh>
    <rPh sb="4" eb="6">
      <t>ムラウチ</t>
    </rPh>
    <rPh sb="6" eb="8">
      <t>ガイシャ</t>
    </rPh>
    <phoneticPr fontId="13"/>
  </si>
  <si>
    <t>神戸 39A せ 9675</t>
    <rPh sb="0" eb="2">
      <t>コウベ</t>
    </rPh>
    <phoneticPr fontId="13"/>
  </si>
  <si>
    <t>千葉 326 そ 8339</t>
    <rPh sb="0" eb="2">
      <t>チバ</t>
    </rPh>
    <phoneticPr fontId="13"/>
  </si>
  <si>
    <t>東邦ｵｰﾄ株式会社</t>
    <rPh sb="0" eb="2">
      <t>トウホウ</t>
    </rPh>
    <rPh sb="5" eb="9">
      <t>カブシキガイシャ</t>
    </rPh>
    <phoneticPr fontId="13"/>
  </si>
  <si>
    <t>株式会社ｼｭﾃﾙﾝ丸亀</t>
    <rPh sb="0" eb="4">
      <t>カブシキガイシャ</t>
    </rPh>
    <rPh sb="9" eb="11">
      <t>マルカメ</t>
    </rPh>
    <phoneticPr fontId="13"/>
  </si>
  <si>
    <t>横浜 39A も 7710</t>
    <rPh sb="0" eb="2">
      <t>ヨコハマ</t>
    </rPh>
    <phoneticPr fontId="13"/>
  </si>
  <si>
    <t>株式会社ｼﾞｰｴｽﾃｨｰ</t>
    <rPh sb="0" eb="4">
      <t>カブシキガイシャ</t>
    </rPh>
    <phoneticPr fontId="13"/>
  </si>
  <si>
    <t>301 ね 3210</t>
    <phoneticPr fontId="13"/>
  </si>
  <si>
    <t>301 ね 3218</t>
    <phoneticPr fontId="13"/>
  </si>
  <si>
    <t>301 ね 3219</t>
    <phoneticPr fontId="13"/>
  </si>
  <si>
    <t>SMBCﾌｧｲﾅﾝｽｻｰﾋﾞｽ株式会社</t>
    <rPh sb="15" eb="19">
      <t>カブシキガイシャ</t>
    </rPh>
    <phoneticPr fontId="13"/>
  </si>
  <si>
    <t xml:space="preserve">整備手帳 取説 </t>
    <rPh sb="0" eb="4">
      <t>セイビテチョウ</t>
    </rPh>
    <rPh sb="5" eb="7">
      <t>トリセツ</t>
    </rPh>
    <phoneticPr fontId="13"/>
  </si>
  <si>
    <t>多摩 499 つ 8214</t>
    <rPh sb="0" eb="2">
      <t>タマ</t>
    </rPh>
    <phoneticPr fontId="13"/>
  </si>
  <si>
    <t>27-1521</t>
  </si>
  <si>
    <t>WMWXU72080TR61742</t>
    <phoneticPr fontId="13"/>
  </si>
  <si>
    <t>奈良 301 ね 2022</t>
    <rPh sb="0" eb="2">
      <t>ナラ</t>
    </rPh>
    <phoneticPr fontId="13"/>
  </si>
  <si>
    <t>岡山 399 な 1686</t>
    <rPh sb="0" eb="2">
      <t>オカヤマ</t>
    </rPh>
    <phoneticPr fontId="13"/>
  </si>
  <si>
    <t>品川 5X1 ろ 8724</t>
    <rPh sb="0" eb="2">
      <t>シナガワ</t>
    </rPh>
    <phoneticPr fontId="13"/>
  </si>
  <si>
    <t>品川 5X1 ろ 7426</t>
    <rPh sb="0" eb="2">
      <t>シナガワ</t>
    </rPh>
    <phoneticPr fontId="13"/>
  </si>
  <si>
    <t>尾張小牧 580 ふ 7402</t>
    <rPh sb="0" eb="4">
      <t>オワリコマキ</t>
    </rPh>
    <phoneticPr fontId="13"/>
  </si>
  <si>
    <t>株式会社ﾌｧｰｽﾄﾍﾞﾙ</t>
    <rPh sb="0" eb="4">
      <t>カブシキガイシャ</t>
    </rPh>
    <phoneticPr fontId="13"/>
  </si>
  <si>
    <t>一宮 582 ろ 5021</t>
    <rPh sb="0" eb="2">
      <t>イチノミヤ</t>
    </rPh>
    <phoneticPr fontId="13"/>
  </si>
  <si>
    <t>MAHMOOD KASHIF</t>
    <phoneticPr fontId="13"/>
  </si>
  <si>
    <t>なにわ 5P6 ろ 2522</t>
    <phoneticPr fontId="13"/>
  </si>
  <si>
    <t>なにわ 5P7 ろ 2824</t>
    <phoneticPr fontId="13"/>
  </si>
  <si>
    <t>なにわ 5P7 ろ 2825</t>
    <phoneticPr fontId="13"/>
  </si>
  <si>
    <t>なにわ 5P7 ろ 2837</t>
    <phoneticPr fontId="13"/>
  </si>
  <si>
    <t>多摩 592 ろ 3469</t>
    <rPh sb="0" eb="2">
      <t>タマ</t>
    </rPh>
    <phoneticPr fontId="13"/>
  </si>
  <si>
    <t>株式会社MARTIN</t>
    <rPh sb="0" eb="4">
      <t>カブシキガイシャ</t>
    </rPh>
    <phoneticPr fontId="13"/>
  </si>
  <si>
    <t>なにわ 5P5 ろ 4453</t>
    <phoneticPr fontId="13"/>
  </si>
  <si>
    <t>岡山 581 た 8478</t>
    <rPh sb="0" eb="2">
      <t>オカヤマ</t>
    </rPh>
    <phoneticPr fontId="13"/>
  </si>
  <si>
    <t>倉敷 584 か 29</t>
    <rPh sb="0" eb="2">
      <t>クラシキ</t>
    </rPh>
    <phoneticPr fontId="13"/>
  </si>
  <si>
    <t>平田 尚子</t>
    <rPh sb="0" eb="2">
      <t>ヒラタ</t>
    </rPh>
    <rPh sb="3" eb="5">
      <t>ナオコ</t>
    </rPh>
    <phoneticPr fontId="13"/>
  </si>
  <si>
    <t>保証書 取説 ｽﾍﾟｱｷｰ ﾘﾓｺﾝ</t>
    <rPh sb="0" eb="3">
      <t>ホショウショ</t>
    </rPh>
    <rPh sb="4" eb="6">
      <t>トリセツ</t>
    </rPh>
    <phoneticPr fontId="13"/>
  </si>
  <si>
    <t>倉敷 583 て 7722</t>
    <rPh sb="0" eb="2">
      <t>クラシキ</t>
    </rPh>
    <phoneticPr fontId="13"/>
  </si>
  <si>
    <t>三木 雅子</t>
    <rPh sb="0" eb="2">
      <t>ミキ</t>
    </rPh>
    <rPh sb="3" eb="5">
      <t>マサコ</t>
    </rPh>
    <phoneticPr fontId="13"/>
  </si>
  <si>
    <t>広島 483 ま 323</t>
    <rPh sb="0" eb="2">
      <t>ヒロシマ</t>
    </rPh>
    <phoneticPr fontId="13"/>
  </si>
  <si>
    <t>佐々木 雅也</t>
    <rPh sb="0" eb="3">
      <t>ササキ</t>
    </rPh>
    <rPh sb="4" eb="6">
      <t>マサヤ</t>
    </rPh>
    <phoneticPr fontId="13"/>
  </si>
  <si>
    <t>ｽﾍﾟｱｷｰ2個</t>
    <rPh sb="7" eb="8">
      <t>コ</t>
    </rPh>
    <phoneticPr fontId="13"/>
  </si>
  <si>
    <t>神戸 58A か 1569</t>
    <rPh sb="0" eb="2">
      <t>コウベ</t>
    </rPh>
    <phoneticPr fontId="13"/>
  </si>
  <si>
    <t>株式会社ｽｽﾞｷ中兵庫販売</t>
    <rPh sb="0" eb="4">
      <t>カブシキガイシャ</t>
    </rPh>
    <rPh sb="8" eb="9">
      <t>ナカ</t>
    </rPh>
    <rPh sb="9" eb="11">
      <t>ヒョウゴ</t>
    </rPh>
    <phoneticPr fontId="13"/>
  </si>
  <si>
    <t>長野日産自動車株式会社</t>
    <rPh sb="0" eb="2">
      <t>ナガノ</t>
    </rPh>
    <rPh sb="2" eb="4">
      <t>ニッサン</t>
    </rPh>
    <rPh sb="4" eb="7">
      <t>ジドウシャ</t>
    </rPh>
    <rPh sb="7" eb="11">
      <t>カブシキガイシャ</t>
    </rPh>
    <phoneticPr fontId="13"/>
  </si>
  <si>
    <t>湘南 580 も 4830</t>
    <rPh sb="0" eb="2">
      <t>ショウナン</t>
    </rPh>
    <phoneticPr fontId="13"/>
  </si>
  <si>
    <t>ZEB AAMER</t>
    <phoneticPr fontId="13"/>
  </si>
  <si>
    <t>名古屋 780 ろ 772</t>
    <rPh sb="0" eb="3">
      <t>ナゴヤ</t>
    </rPh>
    <phoneticPr fontId="13"/>
  </si>
  <si>
    <t>愛知ｽｽﾞｷ販売株式会社</t>
    <rPh sb="0" eb="2">
      <t>アイチ</t>
    </rPh>
    <rPh sb="6" eb="12">
      <t>ハンバイカブシキガイシャ</t>
    </rPh>
    <phoneticPr fontId="13"/>
  </si>
  <si>
    <t>諏訪 583 な 1230</t>
    <rPh sb="0" eb="2">
      <t>スワ</t>
    </rPh>
    <phoneticPr fontId="13"/>
  </si>
  <si>
    <t>取説 中古車保証書</t>
    <rPh sb="0" eb="2">
      <t>トリセツ</t>
    </rPh>
    <rPh sb="3" eb="6">
      <t>チュウコシャ</t>
    </rPh>
    <rPh sb="6" eb="9">
      <t>ホショウショ</t>
    </rPh>
    <phoneticPr fontId="13"/>
  </si>
  <si>
    <t>三河 588 ふ 8</t>
    <rPh sb="0" eb="2">
      <t>ミカワ</t>
    </rPh>
    <phoneticPr fontId="13"/>
  </si>
  <si>
    <t>有限会社松木島ﾓｰﾀｰｽ</t>
    <rPh sb="0" eb="4">
      <t>ユウゲンガイシャ</t>
    </rPh>
    <rPh sb="4" eb="6">
      <t>マツキ</t>
    </rPh>
    <rPh sb="6" eb="7">
      <t>シマ</t>
    </rPh>
    <phoneticPr fontId="13"/>
  </si>
  <si>
    <t>保証書 取説 ﾅﾋﾞ取  ｽﾍﾟｱｷｰ</t>
    <rPh sb="0" eb="3">
      <t>ホショウショ</t>
    </rPh>
    <rPh sb="4" eb="6">
      <t>トリセツ</t>
    </rPh>
    <rPh sb="10" eb="11">
      <t>トリ</t>
    </rPh>
    <phoneticPr fontId="13"/>
  </si>
  <si>
    <t>加藤 芳治</t>
    <rPh sb="0" eb="2">
      <t>カトウ</t>
    </rPh>
    <rPh sb="3" eb="4">
      <t>ヨシ</t>
    </rPh>
    <rPh sb="4" eb="5">
      <t>ハル</t>
    </rPh>
    <phoneticPr fontId="13"/>
  </si>
  <si>
    <t>地図SD(車内)保証書 取説 ｽﾏｰﾄｷｰ ﾜﾝｵｰﾅｰ</t>
    <rPh sb="8" eb="11">
      <t>ホショウショ</t>
    </rPh>
    <rPh sb="12" eb="14">
      <t>トリセツ</t>
    </rPh>
    <phoneticPr fontId="13"/>
  </si>
  <si>
    <t>有限会社ｶｰｵｰﾀﾞｰM</t>
    <rPh sb="0" eb="4">
      <t>ユウゲンガイシャ</t>
    </rPh>
    <phoneticPr fontId="13"/>
  </si>
  <si>
    <t>三河 580 ぬ 5326</t>
    <rPh sb="0" eb="2">
      <t>ミカワ</t>
    </rPh>
    <phoneticPr fontId="13"/>
  </si>
  <si>
    <t>杉浦自動車工業 株式会社</t>
    <rPh sb="0" eb="2">
      <t>スギウラ</t>
    </rPh>
    <rPh sb="2" eb="5">
      <t>ジドウシャ</t>
    </rPh>
    <rPh sb="5" eb="7">
      <t>コウギョウ</t>
    </rPh>
    <rPh sb="8" eb="12">
      <t>カブシキガイシャ</t>
    </rPh>
    <phoneticPr fontId="13"/>
  </si>
  <si>
    <t>保証書 取説 ﾅﾋﾞﾃﾞｨｽｸ</t>
    <rPh sb="0" eb="3">
      <t>ホショウショ</t>
    </rPh>
    <rPh sb="4" eb="6">
      <t>トリセツ</t>
    </rPh>
    <phoneticPr fontId="13"/>
  </si>
  <si>
    <t>大阪 589 ろ 7912</t>
    <rPh sb="0" eb="2">
      <t>オオサカ</t>
    </rPh>
    <phoneticPr fontId="13"/>
  </si>
  <si>
    <t>株式会社SANRINK</t>
    <rPh sb="0" eb="4">
      <t>カブシキガイシャ</t>
    </rPh>
    <phoneticPr fontId="13"/>
  </si>
  <si>
    <t>初年度5/1→5/6</t>
    <rPh sb="0" eb="3">
      <t>ショネンド</t>
    </rPh>
    <phoneticPr fontId="13"/>
  </si>
  <si>
    <t>27-1522</t>
  </si>
  <si>
    <t>藤原様</t>
    <rPh sb="0" eb="2">
      <t>フジワラ</t>
    </rPh>
    <rPh sb="2" eb="3">
      <t>サマ</t>
    </rPh>
    <phoneticPr fontId="13"/>
  </si>
  <si>
    <t>ﾒﾙｾﾃﾞｽﾍﾞﾝﾂ S320</t>
    <phoneticPr fontId="13"/>
  </si>
  <si>
    <t>WDB220065-1A144459</t>
    <phoneticPr fontId="13"/>
  </si>
  <si>
    <t>神戸 332 ろ 1</t>
    <rPh sb="0" eb="2">
      <t>コウベ</t>
    </rPh>
    <phoneticPr fontId="13"/>
  </si>
  <si>
    <t>村上 晃</t>
    <rPh sb="0" eb="2">
      <t>ムラカミ</t>
    </rPh>
    <rPh sb="3" eb="4">
      <t>アキラ</t>
    </rPh>
    <phoneticPr fontId="13"/>
  </si>
  <si>
    <t>27-1523</t>
  </si>
  <si>
    <t>27-1524</t>
  </si>
  <si>
    <t>27-1525</t>
  </si>
  <si>
    <t>27-1526</t>
  </si>
  <si>
    <t>27-1527</t>
  </si>
  <si>
    <t>27-1528</t>
  </si>
  <si>
    <t>27-1529</t>
  </si>
  <si>
    <t>27-1530</t>
  </si>
  <si>
    <t>27-1531</t>
  </si>
  <si>
    <t>ｱｳﾃﾞｨ A5 ｽﾎﾟｰﾂB40 TFSI</t>
    <phoneticPr fontId="13"/>
  </si>
  <si>
    <t>WAUZZZF56KA064106</t>
    <phoneticPr fontId="13"/>
  </si>
  <si>
    <t>市川 310 や 95</t>
    <rPh sb="0" eb="2">
      <t>イチカワ</t>
    </rPh>
    <phoneticPr fontId="13"/>
  </si>
  <si>
    <t>31/12</t>
    <phoneticPr fontId="13"/>
  </si>
  <si>
    <t>BMW 3ｼﾘｰｽﾞ 330i Mｽﾎﾟｰﾂ</t>
    <phoneticPr fontId="13"/>
  </si>
  <si>
    <t>WBA5R12030AE80382</t>
    <phoneticPr fontId="13"/>
  </si>
  <si>
    <t>品川 332 ほ 140</t>
    <rPh sb="0" eb="2">
      <t>シナガワ</t>
    </rPh>
    <phoneticPr fontId="13"/>
  </si>
  <si>
    <t>27-1532</t>
  </si>
  <si>
    <t>27-1533</t>
  </si>
  <si>
    <t>ﾌｨｱｯﾄ500 ﾂｲﾝｴｱﾗｳﾝｼﾞ</t>
    <phoneticPr fontId="13"/>
  </si>
  <si>
    <t>ZFA3120000JB01604</t>
    <phoneticPr fontId="13"/>
  </si>
  <si>
    <t>8/4/16</t>
    <phoneticPr fontId="13"/>
  </si>
  <si>
    <t>三河 531 ひ 76</t>
    <rPh sb="0" eb="2">
      <t>ミカワ</t>
    </rPh>
    <phoneticPr fontId="13"/>
  </si>
  <si>
    <t>ｱｳﾃﾞｨ Q5 40TDIｽﾎﾟｰﾂ</t>
    <phoneticPr fontId="13"/>
  </si>
  <si>
    <t>WAUZZZFY6K2037220</t>
    <phoneticPr fontId="13"/>
  </si>
  <si>
    <t>浜松 331 に 3717</t>
    <rPh sb="0" eb="2">
      <t>ハママツ</t>
    </rPh>
    <phoneticPr fontId="13"/>
  </si>
  <si>
    <t>保証書 ｷｰﾚｽ ﾚﾝﾀｶｰ</t>
    <rPh sb="0" eb="3">
      <t>ホショウショ</t>
    </rPh>
    <phoneticPr fontId="13"/>
  </si>
  <si>
    <t>株式会社AID商会</t>
    <rPh sb="0" eb="4">
      <t>カブシキガイシャ</t>
    </rPh>
    <rPh sb="7" eb="9">
      <t>ショウカイ</t>
    </rPh>
    <phoneticPr fontId="13"/>
  </si>
  <si>
    <t>神戸 304 や 3304</t>
    <rPh sb="0" eb="2">
      <t>コウベ</t>
    </rPh>
    <phoneticPr fontId="13"/>
  </si>
  <si>
    <t>品川 49A そ 3221</t>
    <rPh sb="0" eb="2">
      <t>シナガワ</t>
    </rPh>
    <phoneticPr fontId="13"/>
  </si>
  <si>
    <t>愛媛 331 も 380</t>
    <rPh sb="0" eb="2">
      <t>エヒメ</t>
    </rPh>
    <phoneticPr fontId="13"/>
  </si>
  <si>
    <t>三河 584 ろ 1530</t>
    <rPh sb="0" eb="2">
      <t>ミカワ</t>
    </rPh>
    <phoneticPr fontId="13"/>
  </si>
  <si>
    <t>尾張小牧 581 つ 303</t>
    <rPh sb="0" eb="4">
      <t>オワリコマキ</t>
    </rPh>
    <phoneticPr fontId="13"/>
  </si>
  <si>
    <t>四日市 584 や 17</t>
    <rPh sb="0" eb="3">
      <t>ヨッカイチ</t>
    </rPh>
    <phoneticPr fontId="13"/>
  </si>
  <si>
    <t>滋賀 583 む 8007</t>
    <rPh sb="0" eb="2">
      <t>シガ</t>
    </rPh>
    <phoneticPr fontId="13"/>
  </si>
  <si>
    <t>福山 590 る 111</t>
    <rPh sb="0" eb="2">
      <t>フクヤマ</t>
    </rPh>
    <phoneticPr fontId="13"/>
  </si>
  <si>
    <t>杉原 伶奈</t>
    <rPh sb="0" eb="2">
      <t>スギハラ</t>
    </rPh>
    <rPh sb="3" eb="5">
      <t>レイナ</t>
    </rPh>
    <phoneticPr fontId="13"/>
  </si>
  <si>
    <t>ｷｬﾝｾﾙ 書類返送10/31</t>
    <rPh sb="6" eb="10">
      <t>ショルイヘンソウ</t>
    </rPh>
    <phoneticPr fontId="13"/>
  </si>
  <si>
    <t>ﾌｨｯﾄ eHEV ｸﾛｽﾀｰ</t>
    <phoneticPr fontId="13"/>
  </si>
  <si>
    <t>GR6-1104582</t>
    <phoneticPr fontId="13"/>
  </si>
  <si>
    <t>27-1534</t>
  </si>
  <si>
    <t>27-1535</t>
  </si>
  <si>
    <t>27-1536</t>
  </si>
  <si>
    <t>27-1537</t>
  </si>
  <si>
    <t>N-BOXｶｽﾀﾑ G EXﾎﾝﾀﾞｾﾝｼﾝｸﾞ</t>
    <phoneticPr fontId="13"/>
  </si>
  <si>
    <t>JF3-1047124</t>
    <phoneticPr fontId="13"/>
  </si>
  <si>
    <t>CX3 XDﾂｰﾘﾝｸﾞ Lﾊﾟｯｹｰｼﾞ</t>
    <phoneticPr fontId="13"/>
  </si>
  <si>
    <t>DK5AW-112650</t>
    <phoneticPr fontId="13"/>
  </si>
  <si>
    <t>ｽﾃｯﾌﾟﾜｺﾞﾝ eHEV ｽﾊﾟｰﾀﾞ ﾌﾟﾚﾐｱﾑﾗｲﾝ</t>
    <phoneticPr fontId="13"/>
  </si>
  <si>
    <t>RP8-1011983</t>
    <phoneticPr fontId="13"/>
  </si>
  <si>
    <t>ｱﾙﾌｧｰﾄﾞ S ﾀｲﾌﾟｺﾞｰﾙﾄﾞ</t>
    <phoneticPr fontId="13"/>
  </si>
  <si>
    <t>AGH30-0372608</t>
    <phoneticPr fontId="13"/>
  </si>
  <si>
    <t>MH34S-133374</t>
    <phoneticPr fontId="13"/>
  </si>
  <si>
    <t>582 い 3168</t>
    <phoneticPr fontId="13"/>
  </si>
  <si>
    <t>地図SD(車内)取説</t>
    <rPh sb="0" eb="2">
      <t>チズ</t>
    </rPh>
    <rPh sb="5" eb="7">
      <t>シャナイ</t>
    </rPh>
    <rPh sb="8" eb="10">
      <t>トリセツ</t>
    </rPh>
    <phoneticPr fontId="13"/>
  </si>
  <si>
    <t>地図SD(車内)保証書　取説　Sｷｰ</t>
    <rPh sb="8" eb="11">
      <t>ホショウショ</t>
    </rPh>
    <rPh sb="12" eb="14">
      <t>トリセツ</t>
    </rPh>
    <phoneticPr fontId="13"/>
  </si>
  <si>
    <t>保証書 ｷｰﾚｽ(車内)</t>
    <rPh sb="0" eb="3">
      <t>ホショウショ</t>
    </rPh>
    <rPh sb="9" eb="11">
      <t>シャナイ</t>
    </rPh>
    <phoneticPr fontId="13"/>
  </si>
  <si>
    <t>取説 ｷｰﾚｽ(車内)保証書 ﾚﾝﾀｶｰ</t>
    <rPh sb="0" eb="2">
      <t>トリセツ</t>
    </rPh>
    <rPh sb="11" eb="14">
      <t>ホショウショ</t>
    </rPh>
    <phoneticPr fontId="13"/>
  </si>
  <si>
    <t>ﾘﾓｺﾝ2個(車内)保証書 取説 ｷｰﾚｽ</t>
    <rPh sb="5" eb="6">
      <t>コ</t>
    </rPh>
    <rPh sb="10" eb="13">
      <t>ホショウショ</t>
    </rPh>
    <rPh sb="14" eb="16">
      <t>トリセツ</t>
    </rPh>
    <phoneticPr fontId="13"/>
  </si>
  <si>
    <t>27-1538</t>
  </si>
  <si>
    <t>27-1539</t>
  </si>
  <si>
    <t>27-1540</t>
  </si>
  <si>
    <t>27-1541</t>
  </si>
  <si>
    <t>27-1542</t>
  </si>
  <si>
    <t>27-1543</t>
  </si>
  <si>
    <t>27-1544</t>
  </si>
  <si>
    <t>27-1545</t>
  </si>
  <si>
    <t>27-1546</t>
  </si>
  <si>
    <t>27-1547</t>
  </si>
  <si>
    <t>27-1548</t>
  </si>
  <si>
    <t>LA250S-0045419</t>
    <phoneticPr fontId="13"/>
  </si>
  <si>
    <t>B11A-0300667</t>
    <phoneticPr fontId="13"/>
  </si>
  <si>
    <t>MH34S-542505</t>
    <phoneticPr fontId="13"/>
  </si>
  <si>
    <t>MXPK11-2108345</t>
    <phoneticPr fontId="13"/>
  </si>
  <si>
    <t>27-1549</t>
  </si>
  <si>
    <t>27-1550</t>
  </si>
  <si>
    <t>27-1551</t>
  </si>
  <si>
    <t>27-1552</t>
  </si>
  <si>
    <t>N-BOXｶｽﾀﾑ</t>
    <phoneticPr fontId="13"/>
  </si>
  <si>
    <t>JF5-1140086</t>
    <phoneticPr fontId="13"/>
  </si>
  <si>
    <t>MK53S-886587</t>
    <phoneticPr fontId="13"/>
  </si>
  <si>
    <t>ﾑｰﾌﾞｷｬﾝﾊﾞｽ Gﾌﾞﾗｯｸ</t>
    <phoneticPr fontId="13"/>
  </si>
  <si>
    <t>LA800S-0137233</t>
    <phoneticPr fontId="13"/>
  </si>
  <si>
    <t>LA800S-0157690</t>
    <phoneticPr fontId="13"/>
  </si>
  <si>
    <t>DA17W-200818</t>
    <phoneticPr fontId="13"/>
  </si>
  <si>
    <t>ｼｴﾝﾀ G</t>
    <phoneticPr fontId="13"/>
  </si>
  <si>
    <t>NSP170-7075881</t>
    <phoneticPr fontId="13"/>
  </si>
  <si>
    <t>JF1-3203449</t>
    <phoneticPr fontId="13"/>
  </si>
  <si>
    <t>ﾑｰﾌﾞｷｬﾝﾊﾞｽ Xﾘﾐﾃｯﾄﾞ</t>
    <phoneticPr fontId="13"/>
  </si>
  <si>
    <t>LA800S-0042660</t>
    <phoneticPr fontId="13"/>
  </si>
  <si>
    <t>LA100S-1020580</t>
    <phoneticPr fontId="13"/>
  </si>
  <si>
    <t>ｷｬｽﾄｱｸﾃｨﾊﾞ  G SA2</t>
    <phoneticPr fontId="13"/>
  </si>
  <si>
    <t>岐阜 581 ひ 163</t>
    <rPh sb="0" eb="2">
      <t>ギフ</t>
    </rPh>
    <phoneticPr fontId="13"/>
  </si>
  <si>
    <t>ekｽﾍﾟｰｽ Gｾｰﾌﾃｨﾊﾟｯｹｰｼﾞ</t>
    <phoneticPr fontId="13"/>
  </si>
  <si>
    <t>姫路 581 の 6112</t>
    <rPh sb="0" eb="2">
      <t>ヒメジ</t>
    </rPh>
    <phoneticPr fontId="13"/>
  </si>
  <si>
    <t>沖縄 506 れ 3871</t>
    <rPh sb="0" eb="2">
      <t>オキナワ</t>
    </rPh>
    <phoneticPr fontId="13"/>
  </si>
  <si>
    <t>10/2/24</t>
    <phoneticPr fontId="13"/>
  </si>
  <si>
    <t>ｽﾍﾟｰｼｱｷﾞｱ ﾊｲﾌﾞﾘｯﾄﾞX</t>
    <phoneticPr fontId="13"/>
  </si>
  <si>
    <t>ﾐﾝﾄｸﾞﾘｰﾝ</t>
    <phoneticPr fontId="13"/>
  </si>
  <si>
    <t>ﾑｰﾌﾞｷｬﾝﾊﾞｽ X ﾒｲｸｱｯﾌﾟﾘﾐﾃｯﾄﾞ SA3</t>
    <phoneticPr fontId="13"/>
  </si>
  <si>
    <t>ｴﾌﾞﾘｲﾜｺﾞﾝ PZﾀｰﾎﾞ ﾊｲﾙｰﾌ</t>
    <phoneticPr fontId="13"/>
  </si>
  <si>
    <t xml:space="preserve">ﾚﾝﾀｶｰ </t>
    <phoneticPr fontId="13"/>
  </si>
  <si>
    <t>9/8/16</t>
    <phoneticPr fontId="13"/>
  </si>
  <si>
    <t>8/4/3</t>
    <phoneticPr fontId="13"/>
  </si>
  <si>
    <t>ﾊｲｾﾞｯﾄｶｰｺﾞ DX SA3</t>
    <phoneticPr fontId="13"/>
  </si>
  <si>
    <t>S321V-0506133</t>
    <phoneticPr fontId="13"/>
  </si>
  <si>
    <t>11/1</t>
    <phoneticPr fontId="13"/>
  </si>
  <si>
    <t>ｽｽﾞｷ建設工業株式会社</t>
    <rPh sb="4" eb="6">
      <t>ケンセツ</t>
    </rPh>
    <rPh sb="6" eb="8">
      <t>コウギョウ</t>
    </rPh>
    <rPh sb="8" eb="12">
      <t>カブシキガイシャ</t>
    </rPh>
    <phoneticPr fontId="13"/>
  </si>
  <si>
    <t>保証書 取説 ｷｰﾚｽ ﾛｯｸﾅｯﾄ 詳細上げ</t>
    <rPh sb="0" eb="3">
      <t>ホショウショ</t>
    </rPh>
    <rPh sb="4" eb="6">
      <t>トリセツ</t>
    </rPh>
    <rPh sb="19" eb="21">
      <t>ショウサイ</t>
    </rPh>
    <rPh sb="21" eb="22">
      <t>ア</t>
    </rPh>
    <phoneticPr fontId="13"/>
  </si>
  <si>
    <t>山口 583 い 1744</t>
    <rPh sb="0" eb="2">
      <t>ヤマグチ</t>
    </rPh>
    <phoneticPr fontId="13"/>
  </si>
  <si>
    <t>株式会社ｽｽﾞｷ自販山口</t>
    <rPh sb="0" eb="4">
      <t>カブシキガイシャ</t>
    </rPh>
    <rPh sb="8" eb="10">
      <t>ジハン</t>
    </rPh>
    <rPh sb="10" eb="12">
      <t>ヤマグチ</t>
    </rPh>
    <phoneticPr fontId="13"/>
  </si>
  <si>
    <t>YV1MVA8RDK2555336</t>
    <phoneticPr fontId="13"/>
  </si>
  <si>
    <t>名古屋 362 ひ 718</t>
    <phoneticPr fontId="13"/>
  </si>
  <si>
    <t>日産ﾌﾟﾘﾝｽ名古屋販売株式会社</t>
    <rPh sb="0" eb="2">
      <t>ニッサン</t>
    </rPh>
    <rPh sb="7" eb="10">
      <t>ナゴヤ</t>
    </rPh>
    <rPh sb="10" eb="16">
      <t>ハンバイカブシキガイシャ</t>
    </rPh>
    <phoneticPr fontId="13"/>
  </si>
  <si>
    <t>橋本ｳｪﾙﾃﾞｨﾝｸﾞ株式会社</t>
    <rPh sb="0" eb="2">
      <t>ハシモト</t>
    </rPh>
    <rPh sb="11" eb="15">
      <t>カブシキガイシャ</t>
    </rPh>
    <phoneticPr fontId="13"/>
  </si>
  <si>
    <t>地図SD(車内)保証書 取説 ﾅﾋﾞ取</t>
    <rPh sb="8" eb="11">
      <t>ホショウショ</t>
    </rPh>
    <rPh sb="12" eb="14">
      <t>トリセツ</t>
    </rPh>
    <rPh sb="18" eb="19">
      <t>トリ</t>
    </rPh>
    <phoneticPr fontId="13"/>
  </si>
  <si>
    <t>保証書 取説 ｷｰﾚｽ2個</t>
    <rPh sb="0" eb="3">
      <t>ホショウショ</t>
    </rPh>
    <rPh sb="4" eb="6">
      <t>トリセツ</t>
    </rPh>
    <rPh sb="12" eb="13">
      <t>コ</t>
    </rPh>
    <phoneticPr fontId="13"/>
  </si>
  <si>
    <t>滋賀 580 ぬ 3631</t>
    <rPh sb="0" eb="2">
      <t>シガ</t>
    </rPh>
    <phoneticPr fontId="13"/>
  </si>
  <si>
    <t>ﾈｯﾂﾄﾖﾀびわこ株式会社</t>
    <rPh sb="9" eb="13">
      <t>カブシキガイシャ</t>
    </rPh>
    <phoneticPr fontId="13"/>
  </si>
  <si>
    <t>高松 580 く 507</t>
    <rPh sb="0" eb="2">
      <t>タカマツ</t>
    </rPh>
    <phoneticPr fontId="13"/>
  </si>
  <si>
    <t>山口 583 て 3025</t>
    <rPh sb="0" eb="2">
      <t>ヤマグチ</t>
    </rPh>
    <phoneticPr fontId="13"/>
  </si>
  <si>
    <t>整備手帳 取説 ﾅﾋﾞ取</t>
    <rPh sb="0" eb="4">
      <t>セイビテチョウ</t>
    </rPh>
    <rPh sb="5" eb="7">
      <t>トリセツ</t>
    </rPh>
    <rPh sb="11" eb="12">
      <t>トリ</t>
    </rPh>
    <phoneticPr fontId="13"/>
  </si>
  <si>
    <t>愛媛 583 う 1484</t>
    <rPh sb="0" eb="2">
      <t>エヒメ</t>
    </rPh>
    <phoneticPr fontId="13"/>
  </si>
  <si>
    <t>ﾄﾖﾀｶﾛｰﾗ愛媛株式会社</t>
    <rPh sb="7" eb="9">
      <t>エヒメ</t>
    </rPh>
    <rPh sb="9" eb="13">
      <t>カブシキガイシャ</t>
    </rPh>
    <phoneticPr fontId="13"/>
  </si>
  <si>
    <t>滋賀 581 い 9355</t>
    <rPh sb="0" eb="2">
      <t>シガ</t>
    </rPh>
    <phoneticPr fontId="13"/>
  </si>
  <si>
    <t>ﾅﾋﾞ取 B-CAS</t>
    <rPh sb="3" eb="4">
      <t>トリ</t>
    </rPh>
    <phoneticPr fontId="13"/>
  </si>
  <si>
    <t>土浦 330 に 8027</t>
    <rPh sb="0" eb="2">
      <t>ツチウラ</t>
    </rPh>
    <phoneticPr fontId="13"/>
  </si>
  <si>
    <t>脇島 善朗</t>
    <rPh sb="0" eb="2">
      <t>ワキシマ</t>
    </rPh>
    <rPh sb="3" eb="4">
      <t>ゼン</t>
    </rPh>
    <rPh sb="4" eb="5">
      <t>ロウ</t>
    </rPh>
    <phoneticPr fontId="13"/>
  </si>
  <si>
    <t>神戸 590 に 555</t>
    <rPh sb="0" eb="2">
      <t>コウベ</t>
    </rPh>
    <phoneticPr fontId="13"/>
  </si>
  <si>
    <t>松原 拓真</t>
    <rPh sb="0" eb="2">
      <t>マツバラ</t>
    </rPh>
    <rPh sb="3" eb="5">
      <t>タクマ</t>
    </rPh>
    <phoneticPr fontId="13"/>
  </si>
  <si>
    <t>野田 591 き 358</t>
    <rPh sb="0" eb="2">
      <t>ノダ</t>
    </rPh>
    <phoneticPr fontId="13"/>
  </si>
  <si>
    <t>菅原 鈴子</t>
    <rPh sb="0" eb="2">
      <t>スガワラ</t>
    </rPh>
    <rPh sb="3" eb="5">
      <t>スズコ</t>
    </rPh>
    <phoneticPr fontId="13"/>
  </si>
  <si>
    <t>習志野 330 た 8398</t>
    <rPh sb="0" eb="3">
      <t>ナラシノ</t>
    </rPh>
    <phoneticPr fontId="13"/>
  </si>
  <si>
    <t>島田 雄斗</t>
    <rPh sb="0" eb="2">
      <t>シマダ</t>
    </rPh>
    <rPh sb="3" eb="4">
      <t>ユウ</t>
    </rPh>
    <rPh sb="4" eb="5">
      <t>ト</t>
    </rPh>
    <phoneticPr fontId="13"/>
  </si>
  <si>
    <t>大阪 421 せ 8</t>
    <rPh sb="0" eb="2">
      <t>オオサカ</t>
    </rPh>
    <phoneticPr fontId="13"/>
  </si>
  <si>
    <t>株式会社ﾐﾅｸﾙ</t>
    <rPh sb="0" eb="4">
      <t>カブシキガイシャ</t>
    </rPh>
    <phoneticPr fontId="13"/>
  </si>
  <si>
    <t>山本 有玲</t>
    <rPh sb="0" eb="2">
      <t>ヤマモト</t>
    </rPh>
    <rPh sb="3" eb="4">
      <t>ユウ</t>
    </rPh>
    <rPh sb="4" eb="5">
      <t>レイ</t>
    </rPh>
    <phoneticPr fontId="13"/>
  </si>
  <si>
    <t>神戸 485 ろ 8872</t>
    <rPh sb="0" eb="2">
      <t>コウベ</t>
    </rPh>
    <phoneticPr fontId="13"/>
  </si>
  <si>
    <t>佐藤 由樹</t>
    <rPh sb="0" eb="2">
      <t>サトウ</t>
    </rPh>
    <rPh sb="3" eb="5">
      <t>ユキ</t>
    </rPh>
    <phoneticPr fontId="13"/>
  </si>
  <si>
    <t>保証書 取説 ｽﾃｯｶｰ</t>
    <rPh sb="0" eb="3">
      <t>ホショウショ</t>
    </rPh>
    <rPh sb="4" eb="6">
      <t>トリセツ</t>
    </rPh>
    <phoneticPr fontId="13"/>
  </si>
  <si>
    <t>柳 好美</t>
    <rPh sb="0" eb="1">
      <t>ヤナギ</t>
    </rPh>
    <rPh sb="2" eb="4">
      <t>ヨシミ</t>
    </rPh>
    <phoneticPr fontId="13"/>
  </si>
  <si>
    <t xml:space="preserve">保証書 取説 ﾅﾋﾞ取 ｷｰﾚｽ SD </t>
    <rPh sb="0" eb="3">
      <t>ホショウショ</t>
    </rPh>
    <rPh sb="4" eb="6">
      <t>トリセツ</t>
    </rPh>
    <rPh sb="10" eb="11">
      <t>トリ</t>
    </rPh>
    <phoneticPr fontId="13"/>
  </si>
  <si>
    <t>和泉 581 ね 9084</t>
    <rPh sb="0" eb="2">
      <t>イズミ</t>
    </rPh>
    <phoneticPr fontId="13"/>
  </si>
  <si>
    <t>神戸 338 る 1800</t>
    <rPh sb="0" eb="2">
      <t>コウベ</t>
    </rPh>
    <phoneticPr fontId="13"/>
  </si>
  <si>
    <t>水田 修</t>
    <rPh sb="0" eb="2">
      <t>ミズタ</t>
    </rPh>
    <rPh sb="3" eb="4">
      <t>シュウ</t>
    </rPh>
    <phoneticPr fontId="13"/>
  </si>
  <si>
    <t>河瀬 勝亮</t>
    <rPh sb="0" eb="2">
      <t>カワセ</t>
    </rPh>
    <rPh sb="3" eb="4">
      <t>カツ</t>
    </rPh>
    <rPh sb="4" eb="5">
      <t>リョウ</t>
    </rPh>
    <phoneticPr fontId="13"/>
  </si>
  <si>
    <t>和泉 329 な 6775</t>
    <rPh sb="0" eb="2">
      <t>イズミ</t>
    </rPh>
    <phoneticPr fontId="13"/>
  </si>
  <si>
    <t>堺 338 て 1101</t>
    <rPh sb="0" eb="1">
      <t>サカイ</t>
    </rPh>
    <phoneticPr fontId="13"/>
  </si>
  <si>
    <t>取説 ﾅﾋﾞ取 ｷｰﾚｽ 地図SD</t>
    <rPh sb="0" eb="2">
      <t>トリセツ</t>
    </rPh>
    <rPh sb="6" eb="7">
      <t>トリ</t>
    </rPh>
    <rPh sb="13" eb="15">
      <t>チズ</t>
    </rPh>
    <phoneticPr fontId="13"/>
  </si>
  <si>
    <t>なにわ 59C ち 1599</t>
    <phoneticPr fontId="13"/>
  </si>
  <si>
    <t>株式会社関西マツダ</t>
    <rPh sb="0" eb="4">
      <t>カブシキガイシャ</t>
    </rPh>
    <rPh sb="4" eb="6">
      <t>カンサイ</t>
    </rPh>
    <phoneticPr fontId="13"/>
  </si>
  <si>
    <t>広島 332 そ 177</t>
    <rPh sb="0" eb="2">
      <t>ヒロシマ</t>
    </rPh>
    <phoneticPr fontId="13"/>
  </si>
  <si>
    <t>福岡 39A た 5959</t>
    <rPh sb="0" eb="2">
      <t>フクオカ</t>
    </rPh>
    <phoneticPr fontId="13"/>
  </si>
  <si>
    <t>山梨 332 る 56</t>
    <rPh sb="0" eb="2">
      <t>ヤマナシ</t>
    </rPh>
    <phoneticPr fontId="13"/>
  </si>
  <si>
    <t>山梨ﾄﾖﾀ自動車株式会社</t>
    <rPh sb="0" eb="2">
      <t>ヤマナシ</t>
    </rPh>
    <rPh sb="5" eb="12">
      <t>ジドウシャカブシキガイシャ</t>
    </rPh>
    <phoneticPr fontId="13"/>
  </si>
  <si>
    <t>大阪 361 め 525</t>
    <rPh sb="0" eb="2">
      <t>オオサカ</t>
    </rPh>
    <phoneticPr fontId="13"/>
  </si>
  <si>
    <t>株式会社ﾎﾝﾀﾞ北大阪</t>
    <rPh sb="0" eb="4">
      <t>カブシキガイシャ</t>
    </rPh>
    <rPh sb="8" eb="9">
      <t>キタ</t>
    </rPh>
    <rPh sb="9" eb="11">
      <t>オオサカ</t>
    </rPh>
    <phoneticPr fontId="13"/>
  </si>
  <si>
    <t>なにわ 39A み 9532</t>
    <phoneticPr fontId="13"/>
  </si>
  <si>
    <t>NSP170-7116216</t>
    <phoneticPr fontId="13"/>
  </si>
  <si>
    <t>京都 532 ひ 401</t>
    <rPh sb="0" eb="2">
      <t>キョウト</t>
    </rPh>
    <phoneticPr fontId="13"/>
  </si>
  <si>
    <t>HE33S-336516</t>
    <phoneticPr fontId="13"/>
  </si>
  <si>
    <t>神戸 582 み 2507</t>
    <rPh sb="0" eb="2">
      <t>コウベ</t>
    </rPh>
    <phoneticPr fontId="13"/>
  </si>
  <si>
    <t>JF1-2503932</t>
    <phoneticPr fontId="13"/>
  </si>
  <si>
    <t>保証書 取説 ﾅﾋﾞ取 地図SD</t>
    <rPh sb="0" eb="3">
      <t>ホショウショ</t>
    </rPh>
    <rPh sb="4" eb="6">
      <t>トリセツ</t>
    </rPh>
    <rPh sb="10" eb="11">
      <t>トリ</t>
    </rPh>
    <rPh sb="12" eb="14">
      <t>チズ</t>
    </rPh>
    <phoneticPr fontId="13"/>
  </si>
  <si>
    <t>DA17V-885828</t>
    <phoneticPr fontId="13"/>
  </si>
  <si>
    <t>香川 483 た 84</t>
    <rPh sb="0" eb="2">
      <t>カガワ</t>
    </rPh>
    <phoneticPr fontId="13"/>
  </si>
  <si>
    <t>LA900S-0073678</t>
    <phoneticPr fontId="13"/>
  </si>
  <si>
    <t>8/10/23</t>
    <phoneticPr fontId="13"/>
  </si>
  <si>
    <t>神戸 59L は 3</t>
    <rPh sb="0" eb="2">
      <t>コウベ</t>
    </rPh>
    <phoneticPr fontId="13"/>
  </si>
  <si>
    <t xml:space="preserve">ﾒﾙｾﾃﾞｽﾍﾞﾝﾂ GLEｸｰﾍﾟ 350d </t>
    <phoneticPr fontId="13"/>
  </si>
  <si>
    <t>WDC2923242A132860</t>
    <phoneticPr fontId="13"/>
  </si>
  <si>
    <t>姫路 301 な 6519</t>
    <rPh sb="0" eb="2">
      <t>ヒメジ</t>
    </rPh>
    <phoneticPr fontId="13"/>
  </si>
  <si>
    <t>BMWﾐﾆｸｰﾊﾟｰ ｺﾝﾊﾞｰﾁﾌﾞﾙ</t>
    <phoneticPr fontId="13"/>
  </si>
  <si>
    <t>WMWWG320903C43681</t>
    <phoneticPr fontId="13"/>
  </si>
  <si>
    <r>
      <rPr>
        <sz val="11"/>
        <color rgb="FF7030A0"/>
        <rFont val="ＭＳ Ｐゴシック"/>
        <family val="3"/>
        <charset val="128"/>
        <scheme val="minor"/>
      </rPr>
      <t>ﾄﾖﾀ</t>
    </r>
    <r>
      <rPr>
        <sz val="11"/>
        <color theme="1"/>
        <rFont val="ＭＳ Ｐゴシック"/>
        <family val="3"/>
        <charset val="128"/>
        <scheme val="minor"/>
      </rPr>
      <t xml:space="preserve"> ｺﾍﾟﾝ GRｽﾎﾟｰﾂ</t>
    </r>
    <phoneticPr fontId="13"/>
  </si>
  <si>
    <t>岡山　395　て　18</t>
    <rPh sb="0" eb="2">
      <t>オカヤマ</t>
    </rPh>
    <phoneticPr fontId="13"/>
  </si>
  <si>
    <t>山口　581　ほ　896</t>
    <rPh sb="0" eb="2">
      <t>ヤマグチ</t>
    </rPh>
    <phoneticPr fontId="13"/>
  </si>
  <si>
    <t>なにわ　39A　む　1047</t>
    <phoneticPr fontId="13"/>
  </si>
  <si>
    <t>大阪ﾄﾖﾀSouth株式会社</t>
    <rPh sb="0" eb="2">
      <t>オオサカ</t>
    </rPh>
    <rPh sb="10" eb="14">
      <t>カブシキガイシャ</t>
    </rPh>
    <phoneticPr fontId="13"/>
  </si>
  <si>
    <t>長崎　399　そ　3597</t>
    <rPh sb="0" eb="2">
      <t>ナガサキ</t>
    </rPh>
    <phoneticPr fontId="13"/>
  </si>
  <si>
    <t>西九州ｽﾊﾞﾙ株式会社</t>
    <rPh sb="0" eb="1">
      <t>ニシ</t>
    </rPh>
    <rPh sb="1" eb="3">
      <t>キュウシュウ</t>
    </rPh>
    <rPh sb="7" eb="9">
      <t>カブシキ</t>
    </rPh>
    <rPh sb="9" eb="11">
      <t>カイシャ</t>
    </rPh>
    <phoneticPr fontId="13"/>
  </si>
  <si>
    <t>大阪　399　や　9269</t>
    <rPh sb="0" eb="2">
      <t>オオサカ</t>
    </rPh>
    <phoneticPr fontId="13"/>
  </si>
  <si>
    <t>Audi Voikswagen Retail Japan株式会社</t>
    <phoneticPr fontId="13"/>
  </si>
  <si>
    <t>株式会社ﾓﾄｰﾚﾝﾃｨｰｱｲ</t>
    <rPh sb="0" eb="4">
      <t>カブシキガイシャ</t>
    </rPh>
    <phoneticPr fontId="13"/>
  </si>
  <si>
    <t>11/2</t>
    <phoneticPr fontId="13"/>
  </si>
  <si>
    <t>堺 335 や 303</t>
    <rPh sb="0" eb="1">
      <t>サカイ</t>
    </rPh>
    <phoneticPr fontId="13"/>
  </si>
  <si>
    <t>四日市 599 す 8884</t>
    <rPh sb="0" eb="3">
      <t>ヨッカイチ</t>
    </rPh>
    <phoneticPr fontId="13"/>
  </si>
  <si>
    <t>品川 39A み 4816</t>
    <rPh sb="0" eb="2">
      <t>シナガワ</t>
    </rPh>
    <phoneticPr fontId="13"/>
  </si>
  <si>
    <t>株式会社ABEMOTORRS</t>
    <rPh sb="0" eb="4">
      <t>カブシキガイシャ</t>
    </rPh>
    <phoneticPr fontId="13"/>
  </si>
  <si>
    <t>有限会社YMSS</t>
    <rPh sb="0" eb="4">
      <t>ユウゲンガイシャ</t>
    </rPh>
    <phoneticPr fontId="13"/>
  </si>
  <si>
    <t>WMWZB72070WU16029</t>
    <phoneticPr fontId="13"/>
  </si>
  <si>
    <t>名古屋 326 み 378</t>
    <rPh sb="0" eb="3">
      <t>ナゴヤ</t>
    </rPh>
    <phoneticPr fontId="13"/>
  </si>
  <si>
    <t>取説(車内)保証書</t>
    <rPh sb="0" eb="2">
      <t>トリセツ</t>
    </rPh>
    <rPh sb="6" eb="9">
      <t>ホショウショ</t>
    </rPh>
    <phoneticPr fontId="13"/>
  </si>
  <si>
    <t>足立 331 ね 1185</t>
    <rPh sb="0" eb="2">
      <t>アダチ</t>
    </rPh>
    <phoneticPr fontId="13"/>
  </si>
  <si>
    <t>出来 誠</t>
    <rPh sb="0" eb="2">
      <t>デキ</t>
    </rPh>
    <rPh sb="3" eb="4">
      <t>マコト</t>
    </rPh>
    <phoneticPr fontId="13"/>
  </si>
  <si>
    <t>保証書 取説 ｶｰﾄﾞｷｰ ｷｰﾚｽ ﾜﾝｵｰﾅｰ</t>
    <rPh sb="0" eb="3">
      <t>ホショウショ</t>
    </rPh>
    <rPh sb="4" eb="6">
      <t>トリセツ</t>
    </rPh>
    <phoneticPr fontId="13"/>
  </si>
  <si>
    <t>27-1553</t>
  </si>
  <si>
    <t>27-1554</t>
  </si>
  <si>
    <t>27-1555</t>
  </si>
  <si>
    <t>27-1556</t>
  </si>
  <si>
    <t>27-1557</t>
  </si>
  <si>
    <t>27-1558</t>
  </si>
  <si>
    <t>27-1559</t>
  </si>
  <si>
    <t>27-1560</t>
  </si>
  <si>
    <t>ﾎﾝﾀﾞ東京</t>
    <rPh sb="4" eb="6">
      <t>トウキョウ</t>
    </rPh>
    <phoneticPr fontId="13"/>
  </si>
  <si>
    <t>WMWXU72030TN42679</t>
    <phoneticPr fontId="13"/>
  </si>
  <si>
    <t>27-1561</t>
  </si>
  <si>
    <t>27-1562</t>
  </si>
  <si>
    <t>27-1563</t>
  </si>
  <si>
    <t>27-1564</t>
  </si>
  <si>
    <t>BMWﾐﾆｸｰﾊﾟｰSD ｸﾗﾌﾞﾏﾝ</t>
    <phoneticPr fontId="13"/>
  </si>
  <si>
    <t>ｼｬﾗﾝ TSIｺﾝﾌｫｰﾄﾗｲﾝ</t>
    <phoneticPr fontId="13"/>
  </si>
  <si>
    <t>WVWZZZ7NZKV016243</t>
    <phoneticPr fontId="13"/>
  </si>
  <si>
    <t>福岡 331 せ 1426</t>
    <rPh sb="0" eb="2">
      <t>フクオカ</t>
    </rPh>
    <phoneticPr fontId="13"/>
  </si>
  <si>
    <t>27-1565</t>
  </si>
  <si>
    <t>27-1566</t>
  </si>
  <si>
    <t>27-1567</t>
  </si>
  <si>
    <t>27-1568</t>
  </si>
  <si>
    <t>VF34J5FVAFP001797</t>
    <phoneticPr fontId="13"/>
  </si>
  <si>
    <t>YV1XZK9MCM2446647</t>
    <phoneticPr fontId="13"/>
  </si>
  <si>
    <t>WAUZZZFY4K2131466</t>
    <phoneticPr fontId="13"/>
  </si>
  <si>
    <t>WBA32AA0305S46813</t>
    <phoneticPr fontId="13"/>
  </si>
  <si>
    <t>WMWLN320X02B33995</t>
    <phoneticPr fontId="13"/>
  </si>
  <si>
    <t>ﾌﾟｼﾞｮｰ RCZ GTﾗｲﾝ</t>
    <phoneticPr fontId="13"/>
  </si>
  <si>
    <t>ﾎﾞﾙﾎﾞ XC40 B4 AWD Rﾃﾞｻﾞｲﾝ</t>
    <phoneticPr fontId="13"/>
  </si>
  <si>
    <t>ｱｳﾃﾞｨ Q5 40TDIｸﾜﾄﾛｽﾎﾟｰﾂ</t>
    <phoneticPr fontId="13"/>
  </si>
  <si>
    <t>札幌 343 ゆ 322</t>
    <rPh sb="0" eb="2">
      <t>サッポロ</t>
    </rPh>
    <phoneticPr fontId="13"/>
  </si>
  <si>
    <t>BMW X1 sdrive18i xﾗｲﾝ</t>
    <phoneticPr fontId="13"/>
  </si>
  <si>
    <t>品川 334 つ 5885</t>
    <rPh sb="0" eb="2">
      <t>シナガワ</t>
    </rPh>
    <phoneticPr fontId="13"/>
  </si>
  <si>
    <t>BMWﾐﾆｸｰﾊﾟｰ ｸﾗﾌﾞﾏﾝ</t>
    <phoneticPr fontId="13"/>
  </si>
  <si>
    <t>27-1569</t>
  </si>
  <si>
    <t>27-1570</t>
  </si>
  <si>
    <t>27-1571</t>
  </si>
  <si>
    <t>27-1572</t>
  </si>
  <si>
    <t>27-1573</t>
  </si>
  <si>
    <t>AGH30-0391902</t>
    <phoneticPr fontId="13"/>
  </si>
  <si>
    <t>LA850S-0025576</t>
    <phoneticPr fontId="13"/>
  </si>
  <si>
    <t>LA900S-0109523</t>
    <phoneticPr fontId="13"/>
  </si>
  <si>
    <t>RP3-1307296</t>
    <phoneticPr fontId="13"/>
  </si>
  <si>
    <t>LA800S-0012917</t>
    <phoneticPr fontId="13"/>
  </si>
  <si>
    <t>27-1574</t>
  </si>
  <si>
    <t>27-1575</t>
  </si>
  <si>
    <t>27-1576</t>
  </si>
  <si>
    <t>27-1577</t>
  </si>
  <si>
    <t>A309707</t>
    <phoneticPr fontId="13"/>
  </si>
  <si>
    <t>AAZH20-6004604</t>
    <phoneticPr fontId="13"/>
  </si>
  <si>
    <t>A293133</t>
    <phoneticPr fontId="13"/>
  </si>
  <si>
    <t>DA17V-711785</t>
    <phoneticPr fontId="13"/>
  </si>
  <si>
    <t>A303281</t>
    <phoneticPr fontId="13"/>
  </si>
  <si>
    <t>AGH30-0451272</t>
    <phoneticPr fontId="13"/>
  </si>
  <si>
    <t>A309457</t>
    <phoneticPr fontId="13"/>
  </si>
  <si>
    <t>JJ1-3107858</t>
    <phoneticPr fontId="13"/>
  </si>
  <si>
    <t>ﾚｸｻｽ NX 350hFｽﾎﾟｰﾂ</t>
    <phoneticPr fontId="13"/>
  </si>
  <si>
    <t>ｴﾌﾞﾘｲﾜｺﾞﾝ PC</t>
    <phoneticPr fontId="13"/>
  </si>
  <si>
    <t>N-VAN+ｽﾀｲﾙ ﾌｧﾝ</t>
    <phoneticPr fontId="13"/>
  </si>
  <si>
    <t>8/2/6</t>
    <phoneticPr fontId="13"/>
  </si>
  <si>
    <t>ｱﾙﾌｧｰﾄﾞ  S</t>
    <phoneticPr fontId="13"/>
  </si>
  <si>
    <t>ﾑｰﾌﾞｷｬﾝﾊﾞｽ ｽﾄﾗｲﾌﾟｽ G</t>
    <phoneticPr fontId="13"/>
  </si>
  <si>
    <t xml:space="preserve">ﾀﾌﾄ Gﾀｰﾎﾞ </t>
    <phoneticPr fontId="13"/>
  </si>
  <si>
    <t>ｽﾃｯﾌﾟﾜｺﾞﾝ ｽﾊﾟｰﾀﾞ ｸｰﾙｽﾋﾟﾘｯﾄ Hｾﾝｼﾝｸﾞ</t>
    <phoneticPr fontId="13"/>
  </si>
  <si>
    <t>8/1/31</t>
    <phoneticPr fontId="13"/>
  </si>
  <si>
    <t>ｽﾍﾟｰｼｱｶｽﾀﾑ ﾊｲﾌﾞﾘｯﾄﾞXSﾀｰﾎﾞ</t>
    <phoneticPr fontId="13"/>
  </si>
  <si>
    <t>MK53S-868319</t>
    <phoneticPr fontId="13"/>
  </si>
  <si>
    <t>神戸 581 わ 2570</t>
    <rPh sb="0" eb="2">
      <t>コウベ</t>
    </rPh>
    <phoneticPr fontId="13"/>
  </si>
  <si>
    <t>MK53S-443978</t>
    <phoneticPr fontId="13"/>
  </si>
  <si>
    <t>和泉 581 み 1624</t>
    <rPh sb="0" eb="2">
      <t>イズミ</t>
    </rPh>
    <phoneticPr fontId="13"/>
  </si>
  <si>
    <t>LA350S-0394020</t>
    <phoneticPr fontId="13"/>
  </si>
  <si>
    <t>MH34S-376040</t>
    <phoneticPr fontId="13"/>
  </si>
  <si>
    <t>ﾚﾝｼﾞﾛｰﾊﾞｰｲｳﾞｫｰｸ 4WD</t>
    <phoneticPr fontId="13"/>
  </si>
  <si>
    <t>SALVA2AX8KH334333</t>
    <phoneticPr fontId="13"/>
  </si>
  <si>
    <t>書類返送11/4</t>
    <rPh sb="0" eb="2">
      <t>ショルイ</t>
    </rPh>
    <rPh sb="2" eb="4">
      <t>ヘンソウ</t>
    </rPh>
    <phoneticPr fontId="13"/>
  </si>
  <si>
    <t>整備手帳(角印なしゴム印あり) 取説 ﾜﾝｵｰﾅｰ詳細上げ</t>
    <rPh sb="0" eb="4">
      <t>セイビテチョウ</t>
    </rPh>
    <rPh sb="5" eb="7">
      <t>カクイン</t>
    </rPh>
    <rPh sb="11" eb="12">
      <t>イン</t>
    </rPh>
    <rPh sb="16" eb="18">
      <t>トリセツ</t>
    </rPh>
    <rPh sb="25" eb="27">
      <t>ショウサイ</t>
    </rPh>
    <rPh sb="27" eb="28">
      <t>ア</t>
    </rPh>
    <phoneticPr fontId="13"/>
  </si>
  <si>
    <t>300 わ 6860</t>
    <phoneticPr fontId="13"/>
  </si>
  <si>
    <t>LA600S-0748166</t>
    <phoneticPr fontId="13"/>
  </si>
  <si>
    <t>NCP160-0153125</t>
    <phoneticPr fontId="13"/>
  </si>
  <si>
    <t>保証書 取説 ｽﾍﾟｱｷｰ (車内)ﾜﾝｵｰﾅｰ</t>
    <rPh sb="0" eb="3">
      <t>ホショウショ</t>
    </rPh>
    <rPh sb="4" eb="6">
      <t>トリセツ</t>
    </rPh>
    <rPh sb="15" eb="17">
      <t>シャナイ</t>
    </rPh>
    <phoneticPr fontId="13"/>
  </si>
  <si>
    <t>tax言われたら伴さん連絡する</t>
    <rPh sb="3" eb="4">
      <t>イ</t>
    </rPh>
    <rPh sb="8" eb="9">
      <t>バン</t>
    </rPh>
    <rPh sb="11" eb="13">
      <t>レンラク</t>
    </rPh>
    <phoneticPr fontId="13"/>
  </si>
  <si>
    <t>tax言われたら伴さん連絡する</t>
    <phoneticPr fontId="13"/>
  </si>
  <si>
    <t>480 ね 1884</t>
    <phoneticPr fontId="13"/>
  </si>
  <si>
    <t>480 ね 1885</t>
    <phoneticPr fontId="13"/>
  </si>
  <si>
    <t>582 い 3387</t>
    <phoneticPr fontId="13"/>
  </si>
  <si>
    <t>582 い 3388</t>
    <phoneticPr fontId="13"/>
  </si>
  <si>
    <t>582 い 3389</t>
    <phoneticPr fontId="13"/>
  </si>
  <si>
    <t>582 い 3390</t>
    <phoneticPr fontId="13"/>
  </si>
  <si>
    <t>582 い 3391</t>
    <phoneticPr fontId="13"/>
  </si>
  <si>
    <t>582 い 3392</t>
    <phoneticPr fontId="13"/>
  </si>
  <si>
    <t>582 い 3393</t>
    <phoneticPr fontId="13"/>
  </si>
  <si>
    <t>582 い 3394</t>
    <phoneticPr fontId="13"/>
  </si>
  <si>
    <t>582 い 3395</t>
    <phoneticPr fontId="13"/>
  </si>
  <si>
    <t>582 い 3396</t>
    <phoneticPr fontId="13"/>
  </si>
  <si>
    <t>ﾌｨｱｯﾄ500X</t>
    <phoneticPr fontId="13"/>
  </si>
  <si>
    <t>ﾒﾙｾﾃﾞｽﾍﾞﾝﾂ Aｸﾗｽ 180 ｽﾀｲﾙ</t>
    <phoneticPr fontId="13"/>
  </si>
  <si>
    <t>WDD1770842J053095</t>
    <phoneticPr fontId="13"/>
  </si>
  <si>
    <t>ﾎﾞﾙﾎﾞ V40</t>
    <phoneticPr fontId="13"/>
  </si>
  <si>
    <t>YV1MVA8RDH2371827</t>
    <phoneticPr fontId="13"/>
  </si>
  <si>
    <t>ｷｰﾚｽ ﾘﾓｺﾝ</t>
    <phoneticPr fontId="13"/>
  </si>
  <si>
    <t>株式会社ﾌｧﾐﾘｰｶｰｼｮｯﾌﾟ</t>
    <rPh sb="0" eb="4">
      <t>カブシキガイシャ</t>
    </rPh>
    <phoneticPr fontId="13"/>
  </si>
  <si>
    <t>滋賀 301 と 4702</t>
    <rPh sb="0" eb="2">
      <t>シガ</t>
    </rPh>
    <phoneticPr fontId="13"/>
  </si>
  <si>
    <t>株式会社京滋ﾏﾂﾀﾞ</t>
    <rPh sb="0" eb="4">
      <t>カブシキガイシャ</t>
    </rPh>
    <rPh sb="4" eb="5">
      <t>キョウ</t>
    </rPh>
    <rPh sb="5" eb="6">
      <t>シゲ</t>
    </rPh>
    <phoneticPr fontId="13"/>
  </si>
  <si>
    <t>地図SD(車内)保証書 取説 ｷｰﾚｽ ﾜﾝｵｰﾅｰ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</si>
  <si>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L675S-0169063</t>
    <phoneticPr fontId="13"/>
  </si>
  <si>
    <t>なにわ 583 て 81</t>
    <phoneticPr fontId="13"/>
  </si>
  <si>
    <t>岩田 舞</t>
    <rPh sb="0" eb="2">
      <t>イワタ</t>
    </rPh>
    <rPh sb="3" eb="4">
      <t>マイ</t>
    </rPh>
    <phoneticPr fontId="13"/>
  </si>
  <si>
    <t>ｶﾛｰﾗﾌｨｰﾙﾀﾞｰﾊｲﾌﾞﾘｯﾄﾞ EX</t>
    <phoneticPr fontId="13"/>
  </si>
  <si>
    <t>NKE165-7263592</t>
    <phoneticPr fontId="13"/>
  </si>
  <si>
    <t>ﾌﾟｼﾞｮｰ ﾘﾌﾀｰ</t>
    <phoneticPr fontId="13"/>
  </si>
  <si>
    <t>VR3ECYHZRKJ832874</t>
    <phoneticPr fontId="13"/>
  </si>
  <si>
    <t>山口 336 て 327</t>
    <rPh sb="0" eb="2">
      <t>ヤマグチ</t>
    </rPh>
    <phoneticPr fontId="13"/>
  </si>
  <si>
    <t>品番；AVN-Z05i</t>
    <rPh sb="0" eb="2">
      <t>ヒンバン</t>
    </rPh>
    <phoneticPr fontId="13"/>
  </si>
  <si>
    <t>品番；NSZN-W71D</t>
    <rPh sb="0" eb="2">
      <t>ヒンバン</t>
    </rPh>
    <phoneticPr fontId="13"/>
  </si>
  <si>
    <t>品番；NSCD-W66</t>
    <rPh sb="0" eb="2">
      <t>ヒンバン</t>
    </rPh>
    <phoneticPr fontId="13"/>
  </si>
  <si>
    <t>保証書　取説　Sｷｰ ﾘﾓｺﾝ</t>
    <rPh sb="0" eb="3">
      <t>ホショウショ</t>
    </rPh>
    <rPh sb="4" eb="6">
      <t>トリセツ</t>
    </rPh>
    <phoneticPr fontId="13"/>
  </si>
  <si>
    <t>27-1578</t>
  </si>
  <si>
    <t>27-1579</t>
  </si>
  <si>
    <t>27-1580</t>
  </si>
  <si>
    <t>27-1581</t>
  </si>
  <si>
    <t>27-1582</t>
  </si>
  <si>
    <t>27-1583</t>
  </si>
  <si>
    <t>27-1584</t>
  </si>
  <si>
    <t>27-1585</t>
  </si>
  <si>
    <t>27-1586</t>
  </si>
  <si>
    <t>27-1587</t>
  </si>
  <si>
    <t>27-1588</t>
  </si>
  <si>
    <t>27-1589</t>
  </si>
  <si>
    <t>27-1590</t>
  </si>
  <si>
    <t>27-1591</t>
  </si>
  <si>
    <t>27-1592</t>
  </si>
  <si>
    <t>27-1593</t>
  </si>
  <si>
    <t>27-1594</t>
  </si>
  <si>
    <t>HA36S-555942</t>
    <phoneticPr fontId="13"/>
  </si>
  <si>
    <t>LA350S-0232444</t>
    <phoneticPr fontId="13"/>
  </si>
  <si>
    <t>MR92S-504463</t>
    <phoneticPr fontId="13"/>
  </si>
  <si>
    <t>JF1-1892550</t>
    <phoneticPr fontId="13"/>
  </si>
  <si>
    <t>JF3-1169143</t>
    <phoneticPr fontId="13"/>
  </si>
  <si>
    <t>LA150S-2064956</t>
    <phoneticPr fontId="13"/>
  </si>
  <si>
    <t>A309853</t>
    <phoneticPr fontId="13"/>
  </si>
  <si>
    <t>ﾊｲﾗｯｸｽ Z</t>
    <phoneticPr fontId="13"/>
  </si>
  <si>
    <t>GUN125-3924111</t>
    <phoneticPr fontId="13"/>
  </si>
  <si>
    <t>8/4/22</t>
    <phoneticPr fontId="13"/>
  </si>
  <si>
    <t>27-1595</t>
  </si>
  <si>
    <t>27-1596</t>
  </si>
  <si>
    <t>27-1597</t>
  </si>
  <si>
    <t>27-1598</t>
  </si>
  <si>
    <t>27-1599</t>
  </si>
  <si>
    <t>ﾐﾗｲｰｽ B SA3</t>
    <phoneticPr fontId="13"/>
  </si>
  <si>
    <t>ﾑｰﾌﾞ L SA3</t>
    <phoneticPr fontId="13"/>
  </si>
  <si>
    <t>27-1600</t>
  </si>
  <si>
    <t>27-1601</t>
  </si>
  <si>
    <t>27-1602</t>
  </si>
  <si>
    <t>27-1603</t>
  </si>
  <si>
    <t>DR17V-298655</t>
    <phoneticPr fontId="13"/>
  </si>
  <si>
    <t>DR17V-474287</t>
    <phoneticPr fontId="13"/>
  </si>
  <si>
    <t>DR17V-852467</t>
    <phoneticPr fontId="13"/>
  </si>
  <si>
    <t>DR17V-852624</t>
    <phoneticPr fontId="13"/>
  </si>
  <si>
    <t>DR17V-852059</t>
    <phoneticPr fontId="13"/>
  </si>
  <si>
    <t>ｴﾌﾞﾘｲ PAﾘﾐﾃｯﾄﾞ</t>
    <phoneticPr fontId="13"/>
  </si>
  <si>
    <t>DA17V-684921</t>
    <phoneticPr fontId="13"/>
  </si>
  <si>
    <t xml:space="preserve">NV100ｸﾘｯﾊﾟｰ GX </t>
    <phoneticPr fontId="13"/>
  </si>
  <si>
    <t>ｳﾞｪﾙﾌｧｲｱ 2.4 Z ｺﾞｰﾙﾃﾞﾝｱｲｽﾞ</t>
    <phoneticPr fontId="13"/>
  </si>
  <si>
    <t>ANH20-8264314</t>
    <phoneticPr fontId="13"/>
  </si>
  <si>
    <t>尾張小牧 333 て 910</t>
    <rPh sb="0" eb="4">
      <t>オワリコマキ</t>
    </rPh>
    <phoneticPr fontId="13"/>
  </si>
  <si>
    <t>NHP10-6578451</t>
    <phoneticPr fontId="13"/>
  </si>
  <si>
    <t>春日井 510 つ 1113</t>
    <rPh sb="0" eb="3">
      <t>カスガイ</t>
    </rPh>
    <phoneticPr fontId="13"/>
  </si>
  <si>
    <t>JF1-1927140</t>
    <phoneticPr fontId="13"/>
  </si>
  <si>
    <t>岐阜 583 す 2737</t>
    <rPh sb="0" eb="2">
      <t>ギフ</t>
    </rPh>
    <phoneticPr fontId="13"/>
  </si>
  <si>
    <t>ﾊｽﾗｰ Jｽﾀｲﾙ 3</t>
    <phoneticPr fontId="13"/>
  </si>
  <si>
    <t>MR41S-320953</t>
    <phoneticPr fontId="13"/>
  </si>
  <si>
    <t>名古屋 58A ほ 1656</t>
    <rPh sb="0" eb="3">
      <t>ナゴヤ</t>
    </rPh>
    <phoneticPr fontId="13"/>
  </si>
  <si>
    <t>保証書 取説 地図SD ｽﾍﾟｱｷｰ</t>
    <rPh sb="0" eb="3">
      <t>ホショウショ</t>
    </rPh>
    <rPh sb="4" eb="6">
      <t>トリセツ</t>
    </rPh>
    <rPh sb="7" eb="9">
      <t>チズ</t>
    </rPh>
    <phoneticPr fontId="13"/>
  </si>
  <si>
    <t>ﾜｺﾞﾝR ｽﾃｨﾝｸﾞﾚｰ</t>
    <phoneticPr fontId="13"/>
  </si>
  <si>
    <t>MH44S-477301</t>
    <phoneticPr fontId="13"/>
  </si>
  <si>
    <t>三河 580 ま 4634</t>
    <rPh sb="0" eb="2">
      <t>ミカワ</t>
    </rPh>
    <phoneticPr fontId="13"/>
  </si>
  <si>
    <t>ﾀｳﾝBOX G ﾊｲﾙｰﾌ</t>
    <phoneticPr fontId="13"/>
  </si>
  <si>
    <t>DS17W-250551</t>
    <phoneticPr fontId="13"/>
  </si>
  <si>
    <t>ﾀﾝﾄ X</t>
    <phoneticPr fontId="13"/>
  </si>
  <si>
    <t>L375S-0530060</t>
    <phoneticPr fontId="13"/>
  </si>
  <si>
    <t>ｷｬｽﾄ ｽﾀｲﾙG ﾀｰﾎﾞ</t>
    <phoneticPr fontId="13"/>
  </si>
  <si>
    <t>LA260S-0033269</t>
    <phoneticPr fontId="13"/>
  </si>
  <si>
    <t>松本 580 ゆ 483</t>
    <rPh sb="0" eb="2">
      <t>マツモト</t>
    </rPh>
    <phoneticPr fontId="13"/>
  </si>
  <si>
    <t>MK94S-252321</t>
    <phoneticPr fontId="13"/>
  </si>
  <si>
    <t>JF5-1183587</t>
    <phoneticPr fontId="13"/>
  </si>
  <si>
    <t>MR41S-366960</t>
    <phoneticPr fontId="13"/>
  </si>
  <si>
    <t>なにわ 5P6 ろ 3955</t>
    <phoneticPr fontId="13"/>
  </si>
  <si>
    <t>KD eｿﾘｭｰｼｮﾝｽﾞ株式会社</t>
    <rPh sb="13" eb="17">
      <t>カブシキガイシャ</t>
    </rPh>
    <phoneticPr fontId="13"/>
  </si>
  <si>
    <t>11/6</t>
    <phoneticPr fontId="13"/>
  </si>
  <si>
    <t>NSP160-0055033</t>
    <phoneticPr fontId="13"/>
  </si>
  <si>
    <t>神戸 588 き 501</t>
    <rPh sb="0" eb="2">
      <t>コウベ</t>
    </rPh>
    <phoneticPr fontId="13"/>
  </si>
  <si>
    <t>ﾒﾙｾﾃﾞｽﾍﾞﾝﾂ ｹﾞﾚﾝﾃﾞ 350 d</t>
    <phoneticPr fontId="13"/>
  </si>
  <si>
    <t>澤田 貴宣</t>
    <rPh sb="0" eb="2">
      <t>サワダ</t>
    </rPh>
    <rPh sb="3" eb="4">
      <t>タカ</t>
    </rPh>
    <rPh sb="4" eb="5">
      <t>セン</t>
    </rPh>
    <phoneticPr fontId="13"/>
  </si>
  <si>
    <t>ｽﾍﾟｱｷｰ(車内)保証書 取説 ｺｰﾄﾞｶｰﾄﾞ</t>
    <rPh sb="7" eb="9">
      <t>シャナイ</t>
    </rPh>
    <rPh sb="10" eb="13">
      <t>ホショウショ</t>
    </rPh>
    <rPh sb="14" eb="16">
      <t>トリセツ</t>
    </rPh>
    <phoneticPr fontId="13"/>
  </si>
  <si>
    <t>鳥取 330 ぬ 6226</t>
    <rPh sb="0" eb="2">
      <t>トットリ</t>
    </rPh>
    <phoneticPr fontId="13"/>
  </si>
  <si>
    <t>鳥取ﾄﾖﾀ自動車株式会社</t>
    <rPh sb="0" eb="2">
      <t>トットリ</t>
    </rPh>
    <rPh sb="5" eb="12">
      <t>ジドウシャカブシキガイシャ</t>
    </rPh>
    <phoneticPr fontId="13"/>
  </si>
  <si>
    <t>島根 580 の 5974</t>
    <rPh sb="0" eb="2">
      <t>シマネ</t>
    </rPh>
    <phoneticPr fontId="13"/>
  </si>
  <si>
    <t>保証書 取説(車内)ｷｰﾚｽ</t>
    <rPh sb="0" eb="3">
      <t>ホショウショ</t>
    </rPh>
    <rPh sb="4" eb="6">
      <t>トリセツ</t>
    </rPh>
    <rPh sb="7" eb="9">
      <t>シャナイ</t>
    </rPh>
    <phoneticPr fontId="13"/>
  </si>
  <si>
    <t>福山 581 か 1804</t>
    <rPh sb="0" eb="2">
      <t>フクヤマ</t>
    </rPh>
    <phoneticPr fontId="13"/>
  </si>
  <si>
    <t>福山 583 す 1335</t>
    <rPh sb="0" eb="2">
      <t>フクヤマ</t>
    </rPh>
    <phoneticPr fontId="13"/>
  </si>
  <si>
    <t xml:space="preserve">地図SD(車内)保証書 取説 </t>
    <rPh sb="8" eb="11">
      <t>ホショウショ</t>
    </rPh>
    <rPh sb="12" eb="14">
      <t>トリセツ</t>
    </rPh>
    <phoneticPr fontId="13"/>
  </si>
  <si>
    <t>京都 589 ろ 616</t>
    <rPh sb="0" eb="2">
      <t>キョウト</t>
    </rPh>
    <phoneticPr fontId="13"/>
  </si>
  <si>
    <t>株式会社ﾈﾄﾖﾍﾟｯﾄｽﾃｰｼｮﾝ山科</t>
    <rPh sb="0" eb="4">
      <t>カブシキガイシャ</t>
    </rPh>
    <rPh sb="17" eb="18">
      <t>ヤマ</t>
    </rPh>
    <rPh sb="18" eb="19">
      <t>カ</t>
    </rPh>
    <phoneticPr fontId="13"/>
  </si>
  <si>
    <t>岡本 慎介</t>
    <rPh sb="0" eb="2">
      <t>オカモト</t>
    </rPh>
    <rPh sb="3" eb="5">
      <t>シンスケ</t>
    </rPh>
    <phoneticPr fontId="13"/>
  </si>
  <si>
    <t>向井 里依</t>
    <rPh sb="0" eb="2">
      <t>ムカイ</t>
    </rPh>
    <rPh sb="3" eb="4">
      <t>サト</t>
    </rPh>
    <rPh sb="4" eb="5">
      <t>イ</t>
    </rPh>
    <phoneticPr fontId="13"/>
  </si>
  <si>
    <t>西山 延大</t>
    <rPh sb="0" eb="2">
      <t>ニシヤマ</t>
    </rPh>
    <rPh sb="3" eb="4">
      <t>ノ</t>
    </rPh>
    <rPh sb="4" eb="5">
      <t>オオ</t>
    </rPh>
    <phoneticPr fontId="13"/>
  </si>
  <si>
    <t>ﾊｹﾞｼﾀ ﾏｻｵ</t>
    <phoneticPr fontId="13"/>
  </si>
  <si>
    <t>鈴木 真理子</t>
    <rPh sb="0" eb="2">
      <t>スズキ</t>
    </rPh>
    <rPh sb="3" eb="6">
      <t>マリコ</t>
    </rPh>
    <phoneticPr fontId="13"/>
  </si>
  <si>
    <t>坂 日出代</t>
    <rPh sb="0" eb="1">
      <t>サカ</t>
    </rPh>
    <rPh sb="2" eb="3">
      <t>ヒ</t>
    </rPh>
    <rPh sb="3" eb="4">
      <t>デ</t>
    </rPh>
    <rPh sb="4" eb="5">
      <t>ヨ</t>
    </rPh>
    <phoneticPr fontId="13"/>
  </si>
  <si>
    <t>地図SD(車内) 保証書 取説 ﾅﾋﾞ取</t>
    <rPh sb="9" eb="12">
      <t>ホショウショ</t>
    </rPh>
    <rPh sb="13" eb="15">
      <t>トリセツ</t>
    </rPh>
    <rPh sb="19" eb="20">
      <t>トリ</t>
    </rPh>
    <phoneticPr fontId="13"/>
  </si>
  <si>
    <t>582 い 3598</t>
    <phoneticPr fontId="13"/>
  </si>
  <si>
    <t>582 い 3599</t>
    <phoneticPr fontId="13"/>
  </si>
  <si>
    <t>582 い 3600</t>
    <phoneticPr fontId="13"/>
  </si>
  <si>
    <t>582 い 3601</t>
    <phoneticPr fontId="13"/>
  </si>
  <si>
    <t>582 い 3602</t>
    <phoneticPr fontId="13"/>
  </si>
  <si>
    <t>27-1604</t>
  </si>
  <si>
    <t>27-1605</t>
  </si>
  <si>
    <t>27-1606</t>
  </si>
  <si>
    <t>27-1607</t>
  </si>
  <si>
    <t>27-1608</t>
  </si>
  <si>
    <t>27-1609</t>
  </si>
  <si>
    <t>ﾒﾙｾﾃﾞｽﾍﾞﾝﾂ E400ﾜｺﾞﾝ</t>
    <phoneticPr fontId="13"/>
  </si>
  <si>
    <t>WDD2132712A183168</t>
    <phoneticPr fontId="13"/>
  </si>
  <si>
    <t>VWｺﾞﾙﾌ R</t>
    <phoneticPr fontId="13"/>
  </si>
  <si>
    <t>WVWZZZAUZKW213236</t>
    <phoneticPr fontId="13"/>
  </si>
  <si>
    <t>WMWXS520402B37126</t>
    <phoneticPr fontId="13"/>
  </si>
  <si>
    <t>WVWZZZ16ZGM617721</t>
    <phoneticPr fontId="13"/>
  </si>
  <si>
    <t>京都 341 る 678</t>
    <rPh sb="0" eb="2">
      <t>キョウト</t>
    </rPh>
    <phoneticPr fontId="13"/>
  </si>
  <si>
    <t>奈良 330 ぬ 3583</t>
    <rPh sb="0" eb="2">
      <t>ナラ</t>
    </rPh>
    <phoneticPr fontId="13"/>
  </si>
  <si>
    <t>神戸 302 や 2432</t>
    <rPh sb="0" eb="2">
      <t>コウベ</t>
    </rPh>
    <phoneticPr fontId="13"/>
  </si>
  <si>
    <t>27-1610</t>
  </si>
  <si>
    <t>BMWﾐﾆｸｰﾊﾟｰ D ｸﾛｽｵｰﾊﾞｰ</t>
    <phoneticPr fontId="13"/>
  </si>
  <si>
    <t>WMWYT920103D52238</t>
    <phoneticPr fontId="13"/>
  </si>
  <si>
    <t>多摩 331 ね 8611</t>
    <rPh sb="0" eb="2">
      <t>タマ</t>
    </rPh>
    <phoneticPr fontId="13"/>
  </si>
  <si>
    <t>姫路 581 に 3964</t>
    <rPh sb="0" eb="2">
      <t>ヒメジ</t>
    </rPh>
    <phoneticPr fontId="13"/>
  </si>
  <si>
    <t>岡山 581 459</t>
    <rPh sb="0" eb="2">
      <t>オカヤマ</t>
    </rPh>
    <phoneticPr fontId="13"/>
  </si>
  <si>
    <t>福山 501 と 1623</t>
    <rPh sb="0" eb="2">
      <t>フクヤマ</t>
    </rPh>
    <phoneticPr fontId="13"/>
  </si>
  <si>
    <t>岩下 説志</t>
    <rPh sb="0" eb="2">
      <t>イワシタ</t>
    </rPh>
    <rPh sb="3" eb="4">
      <t>セツ</t>
    </rPh>
    <rPh sb="4" eb="5">
      <t>シ</t>
    </rPh>
    <phoneticPr fontId="13"/>
  </si>
  <si>
    <t>地図SD(車内)取説 ﾅﾋﾞ取</t>
    <rPh sb="0" eb="2">
      <t>チズ</t>
    </rPh>
    <rPh sb="5" eb="7">
      <t>シャナイ</t>
    </rPh>
    <rPh sb="8" eb="10">
      <t>トリセツ</t>
    </rPh>
    <rPh sb="14" eb="15">
      <t>トリ</t>
    </rPh>
    <phoneticPr fontId="13"/>
  </si>
  <si>
    <t>大阪 580 わ 6902</t>
    <rPh sb="0" eb="2">
      <t>オオサカ</t>
    </rPh>
    <phoneticPr fontId="13"/>
  </si>
  <si>
    <t>鹿児島 331 み 963</t>
    <rPh sb="0" eb="3">
      <t>カゴシマ</t>
    </rPh>
    <phoneticPr fontId="13"/>
  </si>
  <si>
    <t>株式会社南九州ﾏﾂﾀﾞ</t>
    <rPh sb="0" eb="4">
      <t>カブシキガイシャ</t>
    </rPh>
    <rPh sb="4" eb="5">
      <t>ミナミ</t>
    </rPh>
    <rPh sb="5" eb="7">
      <t>キュウシュウ</t>
    </rPh>
    <phoneticPr fontId="13"/>
  </si>
  <si>
    <t>保証書 Web取説 ﾅﾋﾞ取 ｷｰﾚｽ ﾏｲｸﾛSD ﾜﾝｵｰﾅｰ</t>
    <rPh sb="0" eb="3">
      <t>ホショウショ</t>
    </rPh>
    <rPh sb="7" eb="9">
      <t>トリセツ</t>
    </rPh>
    <rPh sb="13" eb="14">
      <t>トリ</t>
    </rPh>
    <phoneticPr fontId="13"/>
  </si>
  <si>
    <t>名古屋 586 ら 224</t>
    <rPh sb="0" eb="3">
      <t>ナゴヤ</t>
    </rPh>
    <phoneticPr fontId="13"/>
  </si>
  <si>
    <t>宮原 亨介</t>
    <rPh sb="0" eb="2">
      <t>ミヤハラ</t>
    </rPh>
    <rPh sb="3" eb="4">
      <t>リョウ</t>
    </rPh>
    <rPh sb="4" eb="5">
      <t>スケ</t>
    </rPh>
    <phoneticPr fontId="13"/>
  </si>
  <si>
    <t>尾張小牧 581 い 3137</t>
    <rPh sb="0" eb="4">
      <t>オワリコマキ</t>
    </rPh>
    <phoneticPr fontId="13"/>
  </si>
  <si>
    <t>中條 悦子</t>
    <rPh sb="0" eb="2">
      <t>ナカジョウ</t>
    </rPh>
    <rPh sb="3" eb="5">
      <t>エツコ</t>
    </rPh>
    <phoneticPr fontId="13"/>
  </si>
  <si>
    <t>27-1611</t>
  </si>
  <si>
    <t>27-1612</t>
  </si>
  <si>
    <t>27-1613</t>
  </si>
  <si>
    <t>27-1614</t>
  </si>
  <si>
    <t>27-1615</t>
  </si>
  <si>
    <t>27-1616</t>
  </si>
  <si>
    <t>27-1617</t>
  </si>
  <si>
    <t>27-1618</t>
  </si>
  <si>
    <t>27-1619</t>
  </si>
  <si>
    <t>品川 48F ろ 454</t>
    <rPh sb="0" eb="2">
      <t>シナガワ</t>
    </rPh>
    <phoneticPr fontId="13"/>
  </si>
  <si>
    <t>なにわ 5P7 ろ 4515</t>
    <phoneticPr fontId="13"/>
  </si>
  <si>
    <t>多摩 592 ろ 3896</t>
    <rPh sb="0" eb="2">
      <t>タマ</t>
    </rPh>
    <phoneticPr fontId="13"/>
  </si>
  <si>
    <t>多摩 592 ろ 3868</t>
    <rPh sb="0" eb="2">
      <t>タマ</t>
    </rPh>
    <phoneticPr fontId="13"/>
  </si>
  <si>
    <t>多摩 592 ろ 3901</t>
    <rPh sb="0" eb="2">
      <t>タマ</t>
    </rPh>
    <phoneticPr fontId="13"/>
  </si>
  <si>
    <t>多摩 592 ろ 3855</t>
    <rPh sb="0" eb="2">
      <t>タマ</t>
    </rPh>
    <phoneticPr fontId="13"/>
  </si>
  <si>
    <t>多摩 592 ろ 3898</t>
    <rPh sb="0" eb="2">
      <t>タマ</t>
    </rPh>
    <phoneticPr fontId="13"/>
  </si>
  <si>
    <t>尾張小牧 589 ろ 7843</t>
    <rPh sb="0" eb="4">
      <t>オワリコマキ</t>
    </rPh>
    <phoneticPr fontId="13"/>
  </si>
  <si>
    <t>ｷﾑﾗﾕﾆﾃｨｰ株式会社</t>
    <rPh sb="8" eb="12">
      <t>カブシキガイシャ</t>
    </rPh>
    <phoneticPr fontId="13"/>
  </si>
  <si>
    <t>多摩 592 ろ 3890</t>
    <rPh sb="0" eb="2">
      <t>タマ</t>
    </rPh>
    <phoneticPr fontId="13"/>
  </si>
  <si>
    <t>多摩 592 ろ 3894</t>
    <rPh sb="0" eb="2">
      <t>タマ</t>
    </rPh>
    <phoneticPr fontId="13"/>
  </si>
  <si>
    <t>諏訪 580 わ 354</t>
    <rPh sb="0" eb="2">
      <t>スワ</t>
    </rPh>
    <phoneticPr fontId="13"/>
  </si>
  <si>
    <t>柏 332 つ 1009</t>
    <rPh sb="0" eb="1">
      <t>カシワ</t>
    </rPh>
    <phoneticPr fontId="13"/>
  </si>
  <si>
    <t>多摩 592 ろ 3714</t>
    <rPh sb="0" eb="2">
      <t>タマ</t>
    </rPh>
    <phoneticPr fontId="13"/>
  </si>
  <si>
    <t>多摩 592 ろ 3876</t>
    <rPh sb="0" eb="2">
      <t>タマ</t>
    </rPh>
    <phoneticPr fontId="13"/>
  </si>
  <si>
    <t>ｱﾙﾄ L ｾｰﾌﾃｨｻﾎﾟｰﾄ</t>
    <phoneticPr fontId="13"/>
  </si>
  <si>
    <t>多摩 592 ろ 3874</t>
    <rPh sb="0" eb="2">
      <t>タマ</t>
    </rPh>
    <phoneticPr fontId="13"/>
  </si>
  <si>
    <t>多摩 592 ろ 3854</t>
    <rPh sb="0" eb="2">
      <t>タマ</t>
    </rPh>
    <phoneticPr fontId="13"/>
  </si>
  <si>
    <t>多摩 592 ろ 3869</t>
    <rPh sb="0" eb="2">
      <t>タマ</t>
    </rPh>
    <phoneticPr fontId="13"/>
  </si>
  <si>
    <t>多摩 592 ろ 3856</t>
    <rPh sb="0" eb="2">
      <t>タマ</t>
    </rPh>
    <phoneticPr fontId="13"/>
  </si>
  <si>
    <t>多摩 592 ろ 3900</t>
    <rPh sb="0" eb="2">
      <t>タマ</t>
    </rPh>
    <phoneticPr fontId="13"/>
  </si>
  <si>
    <t>多摩 592 ろ 3857</t>
    <rPh sb="0" eb="2">
      <t>タマ</t>
    </rPh>
    <phoneticPr fontId="13"/>
  </si>
  <si>
    <t>多摩 592 ろ 3860</t>
    <rPh sb="0" eb="2">
      <t>タマ</t>
    </rPh>
    <phoneticPr fontId="13"/>
  </si>
  <si>
    <t>多摩 592 ろ 3889</t>
    <rPh sb="0" eb="2">
      <t>タマ</t>
    </rPh>
    <phoneticPr fontId="13"/>
  </si>
  <si>
    <t>多摩 592 ろ 3972</t>
    <rPh sb="0" eb="2">
      <t>タマ</t>
    </rPh>
    <phoneticPr fontId="13"/>
  </si>
  <si>
    <t>多摩 592 ろ 3978</t>
    <rPh sb="0" eb="2">
      <t>タマ</t>
    </rPh>
    <phoneticPr fontId="13"/>
  </si>
  <si>
    <t>諏訪 580 わ 353</t>
    <rPh sb="0" eb="2">
      <t>スワ</t>
    </rPh>
    <phoneticPr fontId="13"/>
  </si>
  <si>
    <t>山内 真寿美</t>
    <rPh sb="0" eb="2">
      <t>ヤマウチ</t>
    </rPh>
    <rPh sb="3" eb="4">
      <t>マ</t>
    </rPh>
    <rPh sb="4" eb="6">
      <t>トシミ</t>
    </rPh>
    <phoneticPr fontId="13"/>
  </si>
  <si>
    <t>保証書 取説 ﾅﾋﾞ取 SD B-CAS ｷｰﾚｽ</t>
    <rPh sb="0" eb="3">
      <t>ホショウショ</t>
    </rPh>
    <rPh sb="4" eb="6">
      <t>トリセツ</t>
    </rPh>
    <rPh sb="10" eb="11">
      <t>トリ</t>
    </rPh>
    <phoneticPr fontId="13"/>
  </si>
  <si>
    <t>岡山 581 ち 3755</t>
    <rPh sb="0" eb="2">
      <t>オカヤマ</t>
    </rPh>
    <phoneticPr fontId="13"/>
  </si>
  <si>
    <t>萩原 基久美</t>
    <rPh sb="0" eb="2">
      <t>ハギワラ</t>
    </rPh>
    <rPh sb="3" eb="5">
      <t>モトヒサ</t>
    </rPh>
    <rPh sb="5" eb="6">
      <t>ミ</t>
    </rPh>
    <phoneticPr fontId="13"/>
  </si>
  <si>
    <t>和泉 480 ね 2391</t>
    <rPh sb="0" eb="2">
      <t>イズミ</t>
    </rPh>
    <phoneticPr fontId="13"/>
  </si>
  <si>
    <t>山田 光二</t>
    <rPh sb="0" eb="2">
      <t>ヤマダ</t>
    </rPh>
    <rPh sb="3" eb="4">
      <t>ヒカリ</t>
    </rPh>
    <rPh sb="4" eb="5">
      <t>ニ</t>
    </rPh>
    <phoneticPr fontId="13"/>
  </si>
  <si>
    <t>株式会社ｱｲﾃｨｼﾞｪｲ</t>
    <rPh sb="0" eb="4">
      <t>カブシキガイシャ</t>
    </rPh>
    <phoneticPr fontId="13"/>
  </si>
  <si>
    <t>582 い 3721</t>
    <phoneticPr fontId="13"/>
  </si>
  <si>
    <t>582 い 3722</t>
    <phoneticPr fontId="13"/>
  </si>
  <si>
    <t>582 い 3723</t>
    <phoneticPr fontId="13"/>
  </si>
  <si>
    <t>582 い 3720</t>
    <phoneticPr fontId="13"/>
  </si>
  <si>
    <t>ﾊｲｾﾞｯﾄﾄﾗｯｸ 4WD</t>
    <phoneticPr fontId="13"/>
  </si>
  <si>
    <t>S510P-0495649</t>
    <phoneticPr fontId="13"/>
  </si>
  <si>
    <t>ｳﾞｪｾﾞﾙ eHEV</t>
    <phoneticPr fontId="13"/>
  </si>
  <si>
    <t>RV5-1133423</t>
    <phoneticPr fontId="13"/>
  </si>
  <si>
    <t>S660 ｱﾙﾌｧ</t>
    <phoneticPr fontId="13"/>
  </si>
  <si>
    <t>JW5-1101479</t>
    <phoneticPr fontId="13"/>
  </si>
  <si>
    <t>ｶﾛｰﾗｸﾛｽ Z</t>
    <phoneticPr fontId="13"/>
  </si>
  <si>
    <t>ZSG10-1027323</t>
    <phoneticPr fontId="13"/>
  </si>
  <si>
    <t>MXPJ10-3163389</t>
    <phoneticPr fontId="13"/>
  </si>
  <si>
    <t>品川 332 も 2303</t>
    <rPh sb="0" eb="2">
      <t>シナガワ</t>
    </rPh>
    <phoneticPr fontId="13"/>
  </si>
  <si>
    <t>ﾌﾟﾛﾄﾝｴﾝｼﾞﾆｱﾘﾝｸﾞ株式会社</t>
    <rPh sb="15" eb="19">
      <t>カブシキガイシャ</t>
    </rPh>
    <phoneticPr fontId="13"/>
  </si>
  <si>
    <t>BMW3ｼﾘｰｽﾞ 320d xdriveﾂｰﾘﾝｸﾞ</t>
    <phoneticPr fontId="13"/>
  </si>
  <si>
    <t>WBA6L72070FK56234</t>
    <phoneticPr fontId="13"/>
  </si>
  <si>
    <t xml:space="preserve">ﾎﾟﾙｼｪ ﾎﾞｸｽﾀｰ </t>
    <phoneticPr fontId="13"/>
  </si>
  <si>
    <t>WP0ZZZ98ZDS104394</t>
    <phoneticPr fontId="13"/>
  </si>
  <si>
    <t>8/4/11</t>
    <phoneticPr fontId="13"/>
  </si>
  <si>
    <t>長野 301 に 4911</t>
    <rPh sb="0" eb="2">
      <t>ナガノ</t>
    </rPh>
    <phoneticPr fontId="13"/>
  </si>
  <si>
    <t>WMWXN920502H65601</t>
    <phoneticPr fontId="13"/>
  </si>
  <si>
    <t>8/4/25</t>
    <phoneticPr fontId="13"/>
  </si>
  <si>
    <t>名古屋 31M る 23</t>
    <rPh sb="0" eb="3">
      <t>ナゴヤ</t>
    </rPh>
    <phoneticPr fontId="13"/>
  </si>
  <si>
    <t>VF1KW14B3L0819306</t>
    <phoneticPr fontId="13"/>
  </si>
  <si>
    <t>岡崎 300 の 7453</t>
    <rPh sb="0" eb="2">
      <t>オカザキ</t>
    </rPh>
    <phoneticPr fontId="13"/>
  </si>
  <si>
    <t>BMW X3 xdrive20i Xﾗｲﾝ</t>
    <phoneticPr fontId="13"/>
  </si>
  <si>
    <t>WBATY16080N047294</t>
    <phoneticPr fontId="13"/>
  </si>
  <si>
    <t>札幌 352 ひ 910</t>
    <rPh sb="0" eb="2">
      <t>サッポロ</t>
    </rPh>
    <phoneticPr fontId="13"/>
  </si>
  <si>
    <t>582 い 3738</t>
    <phoneticPr fontId="13"/>
  </si>
  <si>
    <t>品川 39A む 2871</t>
    <rPh sb="0" eb="2">
      <t>シナガワ</t>
    </rPh>
    <phoneticPr fontId="13"/>
  </si>
  <si>
    <t>27-1620</t>
  </si>
  <si>
    <t>27-1621</t>
  </si>
  <si>
    <t>27-1622</t>
  </si>
  <si>
    <t>27-1623</t>
  </si>
  <si>
    <t>27-1624</t>
  </si>
  <si>
    <t>27-1625</t>
  </si>
  <si>
    <t>27-1626</t>
  </si>
  <si>
    <t>27-1627</t>
  </si>
  <si>
    <t>27-1628</t>
  </si>
  <si>
    <t>27-1629</t>
  </si>
  <si>
    <t>27-1630</t>
  </si>
  <si>
    <t>27-1631</t>
  </si>
  <si>
    <t>27-1632</t>
  </si>
  <si>
    <t>27-1633</t>
  </si>
  <si>
    <t>27-1634</t>
  </si>
  <si>
    <t>27-1635</t>
  </si>
  <si>
    <t>27-1636</t>
  </si>
  <si>
    <t>27-1637</t>
  </si>
  <si>
    <t>DA16T-579311</t>
    <phoneticPr fontId="13"/>
  </si>
  <si>
    <t>S510P-0604869</t>
    <phoneticPr fontId="13"/>
  </si>
  <si>
    <t>LA650S-1105509</t>
    <phoneticPr fontId="13"/>
  </si>
  <si>
    <t>MZAH10-2008230</t>
    <phoneticPr fontId="13"/>
  </si>
  <si>
    <t>MH55S-147184</t>
    <phoneticPr fontId="13"/>
  </si>
  <si>
    <t>ｽﾍﾟｰｼｱｶｽﾀﾑ ﾊｲﾌﾞﾘｯﾄﾞFX</t>
    <phoneticPr fontId="13"/>
  </si>
  <si>
    <t>MK53S-495616</t>
    <phoneticPr fontId="13"/>
  </si>
  <si>
    <t>ｽﾍﾟｰｼｱX</t>
    <phoneticPr fontId="13"/>
  </si>
  <si>
    <t>MK32S-235809</t>
    <phoneticPr fontId="13"/>
  </si>
  <si>
    <t>MK32S-114210</t>
    <phoneticPr fontId="13"/>
  </si>
  <si>
    <r>
      <rPr>
        <sz val="11"/>
        <color rgb="FFFF0000"/>
        <rFont val="ＭＳ Ｐゴシック"/>
        <family val="3"/>
        <charset val="128"/>
        <scheme val="minor"/>
      </rPr>
      <t xml:space="preserve">地図SD車内なしｸﾚｰﾑ済 </t>
    </r>
    <r>
      <rPr>
        <sz val="11"/>
        <color theme="4" tint="-0.499984740745262"/>
        <rFont val="ＭＳ Ｐゴシック"/>
        <family val="3"/>
        <charset val="128"/>
        <scheme val="minor"/>
      </rPr>
      <t>保証書 取説 ﾅﾋﾞ取</t>
    </r>
    <rPh sb="0" eb="2">
      <t>チズ</t>
    </rPh>
    <rPh sb="4" eb="6">
      <t>シャナイ</t>
    </rPh>
    <rPh sb="12" eb="13">
      <t>ズ</t>
    </rPh>
    <rPh sb="14" eb="17">
      <t>ホショウショ</t>
    </rPh>
    <rPh sb="18" eb="20">
      <t>トリセツ</t>
    </rPh>
    <rPh sb="24" eb="25">
      <t>トリ</t>
    </rPh>
    <phoneticPr fontId="13"/>
  </si>
  <si>
    <t>ﾚｸｻｽUX 250h Fｽﾎﾟｰﾂ</t>
    <phoneticPr fontId="13"/>
  </si>
  <si>
    <t>8/3/11</t>
    <phoneticPr fontId="13"/>
  </si>
  <si>
    <t>8/7/8</t>
    <phoneticPr fontId="13"/>
  </si>
  <si>
    <t>5/？</t>
    <phoneticPr fontId="13"/>
  </si>
  <si>
    <t>8/4/29</t>
    <phoneticPr fontId="13"/>
  </si>
  <si>
    <t>A310749</t>
    <phoneticPr fontId="13"/>
  </si>
  <si>
    <t>ICﾁｯﾌﾟ読み込まず差し替えする</t>
    <rPh sb="6" eb="7">
      <t>ヨ</t>
    </rPh>
    <rPh sb="8" eb="9">
      <t>コ</t>
    </rPh>
    <rPh sb="11" eb="12">
      <t>サ</t>
    </rPh>
    <rPh sb="13" eb="14">
      <t>カ</t>
    </rPh>
    <phoneticPr fontId="13"/>
  </si>
  <si>
    <t>TAA田原さん</t>
    <rPh sb="3" eb="5">
      <t>タハラ</t>
    </rPh>
    <phoneticPr fontId="13"/>
  </si>
  <si>
    <t>27-1638</t>
  </si>
  <si>
    <t>WMW32GX0102W96746</t>
    <phoneticPr fontId="13"/>
  </si>
  <si>
    <t>10/3/27</t>
    <phoneticPr fontId="13"/>
  </si>
  <si>
    <t>地図SD(車内)保証書 取説 ﾅﾋﾞ取 ﾜﾝｵｰﾅｰ</t>
    <rPh sb="0" eb="2">
      <t>チズ</t>
    </rPh>
    <rPh sb="5" eb="7">
      <t>シャナイ</t>
    </rPh>
    <rPh sb="8" eb="11">
      <t>ホショウショ</t>
    </rPh>
    <rPh sb="12" eb="14">
      <t>トリセツ</t>
    </rPh>
    <rPh sb="18" eb="19">
      <t>トリ</t>
    </rPh>
    <phoneticPr fontId="13"/>
  </si>
  <si>
    <t>保証書(整備手帳なし) 取説 ｷｰﾚｽ(車内)</t>
    <rPh sb="0" eb="3">
      <t>ホショウショ</t>
    </rPh>
    <rPh sb="4" eb="8">
      <t>セイビテチョウ</t>
    </rPh>
    <rPh sb="12" eb="14">
      <t>トリセツ</t>
    </rPh>
    <rPh sb="20" eb="22">
      <t>シャナイ</t>
    </rPh>
    <phoneticPr fontId="13"/>
  </si>
  <si>
    <t>整備手帳 取説 ｷｰﾚｽ(車内)</t>
    <rPh sb="0" eb="4">
      <t>セイビテチョウ</t>
    </rPh>
    <rPh sb="5" eb="7">
      <t>トリセツ</t>
    </rPh>
    <phoneticPr fontId="13"/>
  </si>
  <si>
    <t>保証書 取説 ｽﾍﾟｱｷｰ(車内)</t>
    <rPh sb="0" eb="3">
      <t>ホショウショ</t>
    </rPh>
    <rPh sb="4" eb="6">
      <t>トリセツ</t>
    </rPh>
    <phoneticPr fontId="13"/>
  </si>
  <si>
    <t>保証書 取説 ｷｰﾚｽ ｽﾍﾟｱｷｰ(車内)</t>
    <rPh sb="0" eb="3">
      <t>ホショウショ</t>
    </rPh>
    <rPh sb="4" eb="6">
      <t>トリセツ</t>
    </rPh>
    <phoneticPr fontId="13"/>
  </si>
  <si>
    <t>ｷｬﾃﾞﾗｯｸ XT4 ｽﾎﾟｰﾂ</t>
    <phoneticPr fontId="13"/>
  </si>
  <si>
    <t>1GYFZ9R46NF170095</t>
    <phoneticPr fontId="13"/>
  </si>
  <si>
    <t>取説 ｽﾍﾟｱｷｰ(車内)保証書</t>
    <rPh sb="0" eb="2">
      <t>トリセツ</t>
    </rPh>
    <rPh sb="10" eb="12">
      <t>シャナイ</t>
    </rPh>
    <rPh sb="13" eb="16">
      <t>ホショウショ</t>
    </rPh>
    <phoneticPr fontId="13"/>
  </si>
  <si>
    <t>保証書 中古保証書 取説 ｷｰﾚｽ</t>
    <rPh sb="0" eb="3">
      <t>ホショウショ</t>
    </rPh>
    <rPh sb="4" eb="6">
      <t>チュウコ</t>
    </rPh>
    <rPh sb="6" eb="9">
      <t>ホショウショ</t>
    </rPh>
    <rPh sb="10" eb="12">
      <t>トリセツ</t>
    </rPh>
    <phoneticPr fontId="13"/>
  </si>
  <si>
    <t>岡山 583 に 49</t>
    <rPh sb="0" eb="2">
      <t>オカヤマ</t>
    </rPh>
    <phoneticPr fontId="13"/>
  </si>
  <si>
    <t>和泉 482 ろ 7236</t>
    <rPh sb="0" eb="2">
      <t>イズミ</t>
    </rPh>
    <phoneticPr fontId="13"/>
  </si>
  <si>
    <t>和泉 482 ろ 8367</t>
    <rPh sb="0" eb="2">
      <t>イズミ</t>
    </rPh>
    <phoneticPr fontId="13"/>
  </si>
  <si>
    <t>和泉 483 す 1208</t>
    <rPh sb="0" eb="2">
      <t>イズミ</t>
    </rPh>
    <phoneticPr fontId="13"/>
  </si>
  <si>
    <t>株式会社日産ﾌｧｲﾅﾝｼｬﾙｻｰﾋﾞｽ</t>
    <rPh sb="0" eb="6">
      <t>カブシキガイシャニッサン</t>
    </rPh>
    <phoneticPr fontId="13"/>
  </si>
  <si>
    <t>和泉 482 ろ 8193</t>
    <rPh sb="0" eb="2">
      <t>イズミ</t>
    </rPh>
    <phoneticPr fontId="13"/>
  </si>
  <si>
    <t>和泉 482 ろ 8287</t>
    <rPh sb="0" eb="2">
      <t>イズミ</t>
    </rPh>
    <phoneticPr fontId="13"/>
  </si>
  <si>
    <t xml:space="preserve">ｶﾌﾟﾁｰﾉ </t>
    <phoneticPr fontId="13"/>
  </si>
  <si>
    <t>EA21R-103604</t>
    <phoneticPr fontId="13"/>
  </si>
  <si>
    <t>9/5/26</t>
    <phoneticPr fontId="13"/>
  </si>
  <si>
    <t>香川 586 ふ 2020</t>
    <rPh sb="0" eb="2">
      <t>カガワ</t>
    </rPh>
    <phoneticPr fontId="13"/>
  </si>
  <si>
    <t>WMWLR520902H69968</t>
    <phoneticPr fontId="13"/>
  </si>
  <si>
    <t>高知 300 ね 4613</t>
    <rPh sb="0" eb="2">
      <t>コウチ</t>
    </rPh>
    <phoneticPr fontId="13"/>
  </si>
  <si>
    <t>西森 仁勇</t>
    <rPh sb="0" eb="2">
      <t>ニシモリ</t>
    </rPh>
    <rPh sb="3" eb="4">
      <t>ジン</t>
    </rPh>
    <rPh sb="4" eb="5">
      <t>イサム</t>
    </rPh>
    <phoneticPr fontId="13"/>
  </si>
  <si>
    <t>保証書 取説 ｷｰﾚｽ ﾜﾝｵｰﾅｰ その他道具</t>
    <rPh sb="0" eb="3">
      <t>ホショウショ</t>
    </rPh>
    <rPh sb="4" eb="6">
      <t>トリセツ</t>
    </rPh>
    <rPh sb="21" eb="22">
      <t>タ</t>
    </rPh>
    <rPh sb="22" eb="24">
      <t>ドウグ</t>
    </rPh>
    <phoneticPr fontId="13"/>
  </si>
  <si>
    <t>なにわ 39A み 8171</t>
    <phoneticPr fontId="13"/>
  </si>
  <si>
    <t>MK53S-601487</t>
    <phoneticPr fontId="13"/>
  </si>
  <si>
    <t>ﾑｰﾌﾞｷｬﾝﾊﾞｽ L SA</t>
    <phoneticPr fontId="13"/>
  </si>
  <si>
    <t>LA800S-0028474</t>
    <phoneticPr fontId="13"/>
  </si>
  <si>
    <t>MR41S-331742</t>
    <phoneticPr fontId="13"/>
  </si>
  <si>
    <t>8/1/22</t>
    <phoneticPr fontId="13"/>
  </si>
  <si>
    <t>豊田 580 ね 1181</t>
    <rPh sb="0" eb="2">
      <t>トヨタ</t>
    </rPh>
    <phoneticPr fontId="13"/>
  </si>
  <si>
    <t>17/6</t>
    <phoneticPr fontId="13"/>
  </si>
  <si>
    <t>SALLTAMP34A837813</t>
    <phoneticPr fontId="13"/>
  </si>
  <si>
    <t>神戸 335 み 705</t>
    <rPh sb="0" eb="2">
      <t>コウベ</t>
    </rPh>
    <phoneticPr fontId="13"/>
  </si>
  <si>
    <t>WMWWJ520X03K36801</t>
    <phoneticPr fontId="13"/>
  </si>
  <si>
    <t>筑豊 332 め 326</t>
    <rPh sb="0" eb="2">
      <t>チクホウ</t>
    </rPh>
    <phoneticPr fontId="13"/>
  </si>
  <si>
    <t>ﾙﾉｰﾄｩｲﾝｺﾞ EDC</t>
    <phoneticPr fontId="13"/>
  </si>
  <si>
    <t>VF1AH000K0795727</t>
    <phoneticPr fontId="13"/>
  </si>
  <si>
    <t>奈良 542 す 707</t>
    <rPh sb="0" eb="2">
      <t>ナラ</t>
    </rPh>
    <phoneticPr fontId="13"/>
  </si>
  <si>
    <t>WMWXR920202N89933</t>
    <phoneticPr fontId="13"/>
  </si>
  <si>
    <t>大阪 375 や 888</t>
    <rPh sb="0" eb="2">
      <t>オオサカ</t>
    </rPh>
    <phoneticPr fontId="13"/>
  </si>
  <si>
    <t>27-1639</t>
  </si>
  <si>
    <t>27-1640</t>
  </si>
  <si>
    <t>27-1641</t>
  </si>
  <si>
    <t>27-1642</t>
  </si>
  <si>
    <t>27-1643</t>
  </si>
  <si>
    <t>27-1644</t>
  </si>
  <si>
    <t>27-1645</t>
  </si>
  <si>
    <t>27-1646</t>
  </si>
  <si>
    <t>27-1647</t>
  </si>
  <si>
    <t>27-1648</t>
  </si>
  <si>
    <t>ZFABF1C86NJF78601</t>
    <phoneticPr fontId="13"/>
  </si>
  <si>
    <t>ｼﾌﾄﾚﾊﾞｰ(車内)</t>
    <rPh sb="8" eb="10">
      <t>シャナイ</t>
    </rPh>
    <phoneticPr fontId="13"/>
  </si>
  <si>
    <t>なにわ 5P7 ろ 5771</t>
    <phoneticPr fontId="13"/>
  </si>
  <si>
    <t>山口ﾄﾖﾍﾟｯﾄ株式会社</t>
    <rPh sb="0" eb="2">
      <t>ヤマグチ</t>
    </rPh>
    <rPh sb="8" eb="12">
      <t>カブシキガイシャ</t>
    </rPh>
    <phoneticPr fontId="13"/>
  </si>
  <si>
    <t>福岡 39A た 6424</t>
    <rPh sb="0" eb="2">
      <t>フクオカ</t>
    </rPh>
    <phoneticPr fontId="13"/>
  </si>
  <si>
    <t>ﾈｯﾂﾄﾖﾀ福岡株式会社</t>
    <rPh sb="6" eb="8">
      <t>フクオカ</t>
    </rPh>
    <rPh sb="8" eb="12">
      <t>カブシキガイシャ</t>
    </rPh>
    <phoneticPr fontId="13"/>
  </si>
  <si>
    <t>大阪 331 の 2101</t>
    <rPh sb="0" eb="2">
      <t>オオサカ</t>
    </rPh>
    <phoneticPr fontId="13"/>
  </si>
  <si>
    <t>大下 純</t>
    <rPh sb="0" eb="2">
      <t>オオシタ</t>
    </rPh>
    <rPh sb="3" eb="4">
      <t>ジュン</t>
    </rPh>
    <phoneticPr fontId="13"/>
  </si>
  <si>
    <t>大阪 582 な 622</t>
    <rPh sb="0" eb="2">
      <t>オオサカ</t>
    </rPh>
    <phoneticPr fontId="13"/>
  </si>
  <si>
    <r>
      <rPr>
        <sz val="11"/>
        <color theme="3"/>
        <rFont val="ＭＳ Ｐゴシック"/>
        <family val="3"/>
        <charset val="128"/>
        <scheme val="minor"/>
      </rPr>
      <t>保証書(車体番号が違うｸﾚｰﾑ済み)</t>
    </r>
    <r>
      <rPr>
        <sz val="11"/>
        <color theme="4" tint="-0.499984740745262"/>
        <rFont val="ＭＳ Ｐゴシック"/>
        <family val="3"/>
        <charset val="128"/>
        <scheme val="minor"/>
      </rPr>
      <t xml:space="preserve"> 取説 ｷｰﾚｽ</t>
    </r>
    <rPh sb="0" eb="3">
      <t>ホショウショ</t>
    </rPh>
    <rPh sb="4" eb="8">
      <t>シャタイバンゴウ</t>
    </rPh>
    <rPh sb="9" eb="10">
      <t>チガ</t>
    </rPh>
    <rPh sb="15" eb="16">
      <t>ズ</t>
    </rPh>
    <rPh sb="19" eb="21">
      <t>トリセツ</t>
    </rPh>
    <phoneticPr fontId="13"/>
  </si>
  <si>
    <t>保証書車番違う スタンプ押してHA送る</t>
    <rPh sb="0" eb="3">
      <t>ホショウショ</t>
    </rPh>
    <rPh sb="3" eb="5">
      <t>シャバン</t>
    </rPh>
    <rPh sb="5" eb="6">
      <t>チガ</t>
    </rPh>
    <rPh sb="12" eb="13">
      <t>オ</t>
    </rPh>
    <rPh sb="17" eb="18">
      <t>オク</t>
    </rPh>
    <phoneticPr fontId="13"/>
  </si>
  <si>
    <t>言われたら会長へ</t>
    <rPh sb="0" eb="1">
      <t>イ</t>
    </rPh>
    <rPh sb="5" eb="7">
      <t>カイチョウ</t>
    </rPh>
    <phoneticPr fontId="13"/>
  </si>
  <si>
    <t>八王子 585 き 505</t>
    <rPh sb="0" eb="3">
      <t>ハチオウジ</t>
    </rPh>
    <phoneticPr fontId="13"/>
  </si>
  <si>
    <t>千葉 302 め 9716</t>
    <rPh sb="0" eb="2">
      <t>チバ</t>
    </rPh>
    <phoneticPr fontId="13"/>
  </si>
  <si>
    <t>ﾈｯﾂﾄﾖﾀ千葉株式会社</t>
    <rPh sb="6" eb="8">
      <t>チバ</t>
    </rPh>
    <rPh sb="8" eb="12">
      <t>カブシキガイシャ</t>
    </rPh>
    <phoneticPr fontId="13"/>
  </si>
  <si>
    <t>姫路 383 み 6</t>
    <rPh sb="0" eb="2">
      <t>ヒメジ</t>
    </rPh>
    <phoneticPr fontId="13"/>
  </si>
  <si>
    <t>兵庫ﾄﾖﾀ自動車株式会社</t>
    <rPh sb="0" eb="2">
      <t>ヒョウゴ</t>
    </rPh>
    <rPh sb="5" eb="12">
      <t>ジドウシャカブシキガイシャ</t>
    </rPh>
    <phoneticPr fontId="13"/>
  </si>
  <si>
    <t>501 ゆ 1870</t>
    <phoneticPr fontId="13"/>
  </si>
  <si>
    <t>501 ゆ 1869</t>
    <phoneticPr fontId="13"/>
  </si>
  <si>
    <t>301 ね 3586</t>
    <phoneticPr fontId="13"/>
  </si>
  <si>
    <t>301 ね 3585</t>
    <phoneticPr fontId="13"/>
  </si>
  <si>
    <t>301 ね 3584</t>
    <phoneticPr fontId="13"/>
  </si>
  <si>
    <t>582 い 3832</t>
    <phoneticPr fontId="13"/>
  </si>
  <si>
    <t>582 い 3831</t>
    <phoneticPr fontId="13"/>
  </si>
  <si>
    <t>582 い 3830</t>
    <phoneticPr fontId="13"/>
  </si>
  <si>
    <t>582 い 3829</t>
    <phoneticPr fontId="13"/>
  </si>
  <si>
    <t>582 い 3827</t>
    <phoneticPr fontId="13"/>
  </si>
  <si>
    <t>582 い 3825</t>
    <phoneticPr fontId="13"/>
  </si>
  <si>
    <t>582 い 3824</t>
    <phoneticPr fontId="13"/>
  </si>
  <si>
    <t>582 い 3823</t>
    <phoneticPr fontId="13"/>
  </si>
  <si>
    <t>582 い 3822</t>
    <phoneticPr fontId="13"/>
  </si>
  <si>
    <t>582 い 3821</t>
    <phoneticPr fontId="13"/>
  </si>
  <si>
    <t>582 い 3820</t>
    <phoneticPr fontId="13"/>
  </si>
  <si>
    <t>582 い 3819</t>
    <phoneticPr fontId="13"/>
  </si>
  <si>
    <t>480 ね 1969</t>
    <phoneticPr fontId="13"/>
  </si>
  <si>
    <t>自賠責離島自己負担記載</t>
    <phoneticPr fontId="13"/>
  </si>
  <si>
    <t>記録紙4枚(書類と保管)ﾚﾝﾀｶｰ 保証書取説 ﾅﾋﾞ取 ｷｰﾚｽ</t>
    <rPh sb="0" eb="3">
      <t>キロクシ</t>
    </rPh>
    <rPh sb="4" eb="5">
      <t>マイ</t>
    </rPh>
    <rPh sb="6" eb="8">
      <t>ショルイ</t>
    </rPh>
    <rPh sb="9" eb="11">
      <t>ホカン</t>
    </rPh>
    <rPh sb="18" eb="21">
      <t>ホショウショ</t>
    </rPh>
    <rPh sb="21" eb="23">
      <t>トリセツ</t>
    </rPh>
    <rPh sb="27" eb="28">
      <t>トリ</t>
    </rPh>
    <phoneticPr fontId="13"/>
  </si>
  <si>
    <t>大分 349 と 3588</t>
    <rPh sb="0" eb="2">
      <t>オオイタ</t>
    </rPh>
    <phoneticPr fontId="13"/>
  </si>
  <si>
    <t>大分ｽﾊﾞﾙ自動車株式会社</t>
    <rPh sb="0" eb="2">
      <t>オオイタ</t>
    </rPh>
    <rPh sb="6" eb="13">
      <t>ジドウシャカブシキガイシャ</t>
    </rPh>
    <phoneticPr fontId="13"/>
  </si>
  <si>
    <t>岡本 亮太</t>
    <rPh sb="0" eb="2">
      <t>オカモト</t>
    </rPh>
    <rPh sb="3" eb="5">
      <t>リョウタ</t>
    </rPh>
    <phoneticPr fontId="13"/>
  </si>
  <si>
    <t>保証書 取説 ｷｰﾚｽ ﾄﾞﾗﾚｺﾏｲｸﾛSD 名変12/24まで</t>
    <rPh sb="0" eb="3">
      <t>ホショウショ</t>
    </rPh>
    <rPh sb="4" eb="6">
      <t>トリセツ</t>
    </rPh>
    <rPh sb="24" eb="26">
      <t>メイヘン</t>
    </rPh>
    <phoneticPr fontId="13"/>
  </si>
  <si>
    <t>なにわ 39A む 5243</t>
    <phoneticPr fontId="13"/>
  </si>
  <si>
    <t>株式会社ｶｰﾈｸｽﾄ</t>
    <rPh sb="0" eb="4">
      <t>カブシキガイシャ</t>
    </rPh>
    <phoneticPr fontId="13"/>
  </si>
  <si>
    <t>取説 ﾘﾓｺﾝ</t>
    <rPh sb="0" eb="2">
      <t>トリセツ</t>
    </rPh>
    <phoneticPr fontId="13"/>
  </si>
  <si>
    <t>株式会社CAS</t>
    <rPh sb="0" eb="4">
      <t>カブシキガイシャ</t>
    </rPh>
    <phoneticPr fontId="13"/>
  </si>
  <si>
    <t>ｷｰﾚｽ(車内)保証書(保証蘭なし記録に印あり)取説</t>
    <rPh sb="8" eb="11">
      <t>ホショウショ</t>
    </rPh>
    <rPh sb="12" eb="14">
      <t>ホショウ</t>
    </rPh>
    <rPh sb="14" eb="15">
      <t>ラン</t>
    </rPh>
    <rPh sb="17" eb="19">
      <t>キロク</t>
    </rPh>
    <rPh sb="20" eb="21">
      <t>イン</t>
    </rPh>
    <rPh sb="24" eb="26">
      <t>トリセツ</t>
    </rPh>
    <phoneticPr fontId="13"/>
  </si>
  <si>
    <t>とちぎ 399 て 8986</t>
    <phoneticPr fontId="13"/>
  </si>
  <si>
    <t>株式会社ﾎﾝﾀﾞﾍﾞﾙﾉ新栃木</t>
    <rPh sb="0" eb="4">
      <t>カブシキガイシャ</t>
    </rPh>
    <rPh sb="12" eb="13">
      <t>シン</t>
    </rPh>
    <rPh sb="13" eb="15">
      <t>トチキ</t>
    </rPh>
    <phoneticPr fontId="13"/>
  </si>
  <si>
    <t>27-1649</t>
  </si>
  <si>
    <t>27-1650</t>
  </si>
  <si>
    <t>27-1651</t>
  </si>
  <si>
    <t>JF3-2412412</t>
    <phoneticPr fontId="13"/>
  </si>
  <si>
    <t>ﾑｰﾌﾞｶｽﾀﾑ</t>
    <phoneticPr fontId="13"/>
  </si>
  <si>
    <t>LA150S-1051758</t>
    <phoneticPr fontId="13"/>
  </si>
  <si>
    <t>ｳｪｲｸ Gﾀｰﾎﾞ SA3</t>
    <phoneticPr fontId="13"/>
  </si>
  <si>
    <t>A302597</t>
    <phoneticPr fontId="13"/>
  </si>
  <si>
    <t>RZ4-1007746</t>
    <phoneticPr fontId="13"/>
  </si>
  <si>
    <t>A311636</t>
    <phoneticPr fontId="13"/>
  </si>
  <si>
    <t>MA37S-121779</t>
    <phoneticPr fontId="13"/>
  </si>
  <si>
    <t>A311156</t>
    <phoneticPr fontId="13"/>
  </si>
  <si>
    <t>GUN125-3957939</t>
    <phoneticPr fontId="13"/>
  </si>
  <si>
    <t>ZRーV eHEV Z</t>
    <phoneticPr fontId="13"/>
  </si>
  <si>
    <t>ｿﾘｵ ﾊｲﾌﾞﾘｯﾄﾞ MX LED</t>
    <phoneticPr fontId="13"/>
  </si>
  <si>
    <t>8/11/18</t>
    <phoneticPr fontId="13"/>
  </si>
  <si>
    <t>ﾊｲﾗｯｸｽ Z GRｽﾎﾟｰﾂ</t>
    <phoneticPr fontId="13"/>
  </si>
  <si>
    <t>9/2/6</t>
    <phoneticPr fontId="13"/>
  </si>
  <si>
    <t>島根 332 の 373</t>
    <rPh sb="0" eb="2">
      <t>シマネ</t>
    </rPh>
    <phoneticPr fontId="13"/>
  </si>
  <si>
    <t>京都 302 ぬ 6257</t>
    <rPh sb="0" eb="2">
      <t>キョウト</t>
    </rPh>
    <phoneticPr fontId="13"/>
  </si>
  <si>
    <t>ﾌｨｱｯﾄ500 3D</t>
    <phoneticPr fontId="13"/>
  </si>
  <si>
    <t>和泉 540 や 500</t>
    <rPh sb="0" eb="2">
      <t>イズミ</t>
    </rPh>
    <phoneticPr fontId="13"/>
  </si>
  <si>
    <t>ﾙﾉｰﾄｩｲﾝｺﾞ</t>
    <phoneticPr fontId="13"/>
  </si>
  <si>
    <t>VW ｻﾞﾋﾞｰﾄﾙ ﾃﾞｻﾞｲﾝ ﾚｻﾞｰﾊﾟｯｹｰｼﾞ</t>
    <phoneticPr fontId="13"/>
  </si>
  <si>
    <t>大分 336 そ 3</t>
    <rPh sb="0" eb="2">
      <t>オオイタ</t>
    </rPh>
    <phoneticPr fontId="13"/>
  </si>
  <si>
    <t>WVWZZZ16ZFW617668</t>
    <phoneticPr fontId="13"/>
  </si>
  <si>
    <t>ﾃｽﾗ ﾓﾃﾞﾙ3</t>
    <phoneticPr fontId="13"/>
  </si>
  <si>
    <t>LRW3F7FS7NC665381</t>
    <phoneticPr fontId="13"/>
  </si>
  <si>
    <t>ﾎﾞﾙﾎﾞV60</t>
    <phoneticPr fontId="13"/>
  </si>
  <si>
    <t>YV1ZWK8M8P2524692</t>
    <phoneticPr fontId="13"/>
  </si>
  <si>
    <t>ｱｳﾃﾞｨA3 ｽﾎﾟｰﾂﾊﾞｯｸ 1.4 TFSI</t>
    <phoneticPr fontId="13"/>
  </si>
  <si>
    <t>WAUZZZ8V1HA085189</t>
    <phoneticPr fontId="13"/>
  </si>
  <si>
    <t>WAUZZZ8V1KA007969</t>
    <phoneticPr fontId="13"/>
  </si>
  <si>
    <t>ﾍﾞﾝﾂ Cｸﾗｽ ｾﾀﾞﾝ</t>
    <phoneticPr fontId="13"/>
  </si>
  <si>
    <t>WDD2050142R442469</t>
    <phoneticPr fontId="13"/>
  </si>
  <si>
    <t>WMWXT320002H68134</t>
    <phoneticPr fontId="13"/>
  </si>
  <si>
    <t>鈴鹿 580 け 9236</t>
    <rPh sb="0" eb="2">
      <t>スズカ</t>
    </rPh>
    <phoneticPr fontId="13"/>
  </si>
  <si>
    <t>渥美 理香</t>
    <rPh sb="0" eb="2">
      <t>アツミ</t>
    </rPh>
    <rPh sb="3" eb="5">
      <t>リカ</t>
    </rPh>
    <phoneticPr fontId="13"/>
  </si>
  <si>
    <t>堺 480 き 8686</t>
    <rPh sb="0" eb="1">
      <t>サカイ</t>
    </rPh>
    <phoneticPr fontId="13"/>
  </si>
  <si>
    <t>岩見 幸弘</t>
    <rPh sb="0" eb="2">
      <t>イワミ</t>
    </rPh>
    <rPh sb="3" eb="5">
      <t>サチヒロ</t>
    </rPh>
    <phoneticPr fontId="13"/>
  </si>
  <si>
    <t>保証書 取説 ｽﾍﾟｱｷｰ2個 ﾜﾝｵｰﾅｰ</t>
    <rPh sb="0" eb="3">
      <t>ホショウショ</t>
    </rPh>
    <rPh sb="4" eb="6">
      <t>トリセツ</t>
    </rPh>
    <rPh sb="14" eb="15">
      <t>コ</t>
    </rPh>
    <phoneticPr fontId="13"/>
  </si>
  <si>
    <t>広島 330 せ 4048</t>
    <rPh sb="0" eb="2">
      <t>ヒロシマ</t>
    </rPh>
    <phoneticPr fontId="13"/>
  </si>
  <si>
    <t>名古屋 401 ふ 5067</t>
    <rPh sb="0" eb="3">
      <t>ナゴヤ</t>
    </rPh>
    <phoneticPr fontId="13"/>
  </si>
  <si>
    <t>品川 59F す 9902</t>
    <rPh sb="0" eb="2">
      <t>シナガワ</t>
    </rPh>
    <phoneticPr fontId="13"/>
  </si>
  <si>
    <t>取説 ｷｰﾚｽ(車内)保証書 地図SD</t>
    <rPh sb="0" eb="2">
      <t>トリセツ</t>
    </rPh>
    <rPh sb="11" eb="14">
      <t>ホショウショ</t>
    </rPh>
    <rPh sb="15" eb="17">
      <t>チズ</t>
    </rPh>
    <phoneticPr fontId="13"/>
  </si>
  <si>
    <t>広島 400 ね 2044</t>
    <rPh sb="0" eb="2">
      <t>ヒロシマ</t>
    </rPh>
    <phoneticPr fontId="13"/>
  </si>
  <si>
    <t>中尾 拓人</t>
    <rPh sb="0" eb="2">
      <t>ナカオ</t>
    </rPh>
    <rPh sb="3" eb="4">
      <t>タク</t>
    </rPh>
    <rPh sb="4" eb="5">
      <t>ヒト</t>
    </rPh>
    <phoneticPr fontId="13"/>
  </si>
  <si>
    <t>保証書 取説 ﾅﾋﾞ取 ｷｰﾚｽ SD ﾏｲｸﾛSD</t>
    <rPh sb="0" eb="3">
      <t>ホショウショ</t>
    </rPh>
    <rPh sb="4" eb="6">
      <t>トリセツ</t>
    </rPh>
    <rPh sb="10" eb="11">
      <t>トリ</t>
    </rPh>
    <phoneticPr fontId="13"/>
  </si>
  <si>
    <t>川﨑様</t>
    <rPh sb="0" eb="2">
      <t>カワサキ</t>
    </rPh>
    <rPh sb="2" eb="3">
      <t>サマ</t>
    </rPh>
    <phoneticPr fontId="13"/>
  </si>
  <si>
    <t>ｾﾙﾎﾞ</t>
    <phoneticPr fontId="13"/>
  </si>
  <si>
    <t>HG21S-110300</t>
    <phoneticPr fontId="13"/>
  </si>
  <si>
    <t>姫路 581 ま 7888</t>
    <rPh sb="0" eb="2">
      <t>ヒメジ</t>
    </rPh>
    <phoneticPr fontId="13"/>
  </si>
  <si>
    <t>川﨑 楓香</t>
    <rPh sb="0" eb="2">
      <t>カワサキ</t>
    </rPh>
    <rPh sb="3" eb="5">
      <t>フウカ</t>
    </rPh>
    <phoneticPr fontId="13"/>
  </si>
  <si>
    <t>27-1652</t>
  </si>
  <si>
    <t>27-1653</t>
  </si>
  <si>
    <t>27-1654</t>
  </si>
  <si>
    <t>27-1655</t>
  </si>
  <si>
    <t>27-1656</t>
  </si>
  <si>
    <t>27-1657</t>
  </si>
  <si>
    <t>27-1658</t>
  </si>
  <si>
    <t>27-1659</t>
  </si>
  <si>
    <t>27-1660</t>
  </si>
  <si>
    <t>27-1661</t>
  </si>
  <si>
    <t>27-1662</t>
  </si>
  <si>
    <t>27-1663</t>
  </si>
  <si>
    <t>27-1664</t>
  </si>
  <si>
    <t>27-1665</t>
  </si>
  <si>
    <t>27-1666</t>
  </si>
  <si>
    <t>ﾊｲｾﾞｯﾄﾄﾗｯｸ ｼﾞｬﾝﾎﾞ ｴｸｽﾄﾗ</t>
    <phoneticPr fontId="13"/>
  </si>
  <si>
    <t>S500P-0153485</t>
    <phoneticPr fontId="13"/>
  </si>
  <si>
    <t>HE33S-542069</t>
    <phoneticPr fontId="13"/>
  </si>
  <si>
    <t>大阪 589 や 44</t>
    <rPh sb="0" eb="2">
      <t>オオサカ</t>
    </rPh>
    <phoneticPr fontId="13"/>
  </si>
  <si>
    <t>JF5-1006457</t>
    <phoneticPr fontId="13"/>
  </si>
  <si>
    <t>香川 580 わ 7615</t>
    <rPh sb="0" eb="2">
      <t>カガワ</t>
    </rPh>
    <phoneticPr fontId="13"/>
  </si>
  <si>
    <t>MJ34S-226583</t>
    <phoneticPr fontId="13"/>
  </si>
  <si>
    <t>譲渡証差し替えOK11/7返送 11/11着</t>
    <rPh sb="0" eb="1">
      <t>ユズル</t>
    </rPh>
    <rPh sb="1" eb="2">
      <t>ワタ</t>
    </rPh>
    <rPh sb="2" eb="3">
      <t>ショウ</t>
    </rPh>
    <rPh sb="3" eb="4">
      <t>サ</t>
    </rPh>
    <rPh sb="5" eb="6">
      <t>カ</t>
    </rPh>
    <rPh sb="13" eb="15">
      <t>ヘンソウ</t>
    </rPh>
    <rPh sb="21" eb="22">
      <t>チャク</t>
    </rPh>
    <phoneticPr fontId="13"/>
  </si>
  <si>
    <t>11/11</t>
    <phoneticPr fontId="13"/>
  </si>
  <si>
    <t>保証書 取説 ﾅﾋﾞ取 ｷｰﾚｽ ﾘﾓｺﾝ2個 SD ﾜﾝｵｰﾅｰ</t>
    <rPh sb="0" eb="3">
      <t>ホショウショ</t>
    </rPh>
    <rPh sb="4" eb="6">
      <t>トリセツ</t>
    </rPh>
    <rPh sb="10" eb="11">
      <t>トリ</t>
    </rPh>
    <rPh sb="22" eb="23">
      <t>コ</t>
    </rPh>
    <phoneticPr fontId="13"/>
  </si>
  <si>
    <t xml:space="preserve">ｷｰﾚｽ←ｽﾄｯｸ ミニB-CAS ﾏｲｸﾛSD </t>
    <phoneticPr fontId="13"/>
  </si>
  <si>
    <t>LA650S-0050139</t>
    <phoneticPr fontId="13"/>
  </si>
  <si>
    <t>大阪 583 む 164</t>
    <rPh sb="0" eb="2">
      <t>オオサカ</t>
    </rPh>
    <phoneticPr fontId="13"/>
  </si>
  <si>
    <t>ﾑｰﾌﾞｷｬﾝﾊﾞｽｽﾄﾗｲﾌﾟｽ G</t>
    <phoneticPr fontId="13"/>
  </si>
  <si>
    <t>LA850S-1006051</t>
    <phoneticPr fontId="13"/>
  </si>
  <si>
    <t>ﾎﾞﾙﾎﾞ XC40</t>
    <phoneticPr fontId="13"/>
  </si>
  <si>
    <t>YV1XZK9MDM2523891</t>
    <phoneticPr fontId="13"/>
  </si>
  <si>
    <t>2/？</t>
    <phoneticPr fontId="13"/>
  </si>
  <si>
    <t>LA900S-0021883</t>
    <phoneticPr fontId="13"/>
  </si>
  <si>
    <t>神戸 39A そ 680</t>
    <rPh sb="0" eb="2">
      <t>コウベ</t>
    </rPh>
    <phoneticPr fontId="13"/>
  </si>
  <si>
    <t>ﾅﾋﾞﾘﾓｺﾝ ｷｰﾚｽ</t>
    <phoneticPr fontId="13"/>
  </si>
  <si>
    <t>奈良 580 む 2792</t>
    <rPh sb="0" eb="2">
      <t>ナラ</t>
    </rPh>
    <phoneticPr fontId="13"/>
  </si>
  <si>
    <t>大西 奈月</t>
    <rPh sb="0" eb="2">
      <t>オオニシ</t>
    </rPh>
    <rPh sb="3" eb="5">
      <t>ナツキ</t>
    </rPh>
    <phoneticPr fontId="13"/>
  </si>
  <si>
    <t>保証書 取説 ﾅﾋﾞ取 SD</t>
    <rPh sb="0" eb="3">
      <t>ホショウショ</t>
    </rPh>
    <rPh sb="4" eb="6">
      <t>トリセツ</t>
    </rPh>
    <rPh sb="10" eb="11">
      <t>トリ</t>
    </rPh>
    <phoneticPr fontId="13"/>
  </si>
  <si>
    <t>三宅 諒</t>
    <rPh sb="0" eb="2">
      <t>ミヤケ</t>
    </rPh>
    <rPh sb="3" eb="4">
      <t>リョウ</t>
    </rPh>
    <phoneticPr fontId="13"/>
  </si>
  <si>
    <t>保証書 取説 ﾅﾋﾞ取 ﾏｲｸﾛSD ﾐﾆB-CAS ﾜﾝｵｰﾅｰ</t>
    <rPh sb="0" eb="3">
      <t>ホショウショ</t>
    </rPh>
    <rPh sb="4" eb="6">
      <t>トリセツ</t>
    </rPh>
    <rPh sb="10" eb="11">
      <t>トリ</t>
    </rPh>
    <phoneticPr fontId="13"/>
  </si>
  <si>
    <t>なにわ 581 せ 1760</t>
    <phoneticPr fontId="13"/>
  </si>
  <si>
    <t>保証書 取説 SD ﾅﾋﾞ取 ﾅﾝﾊﾞｰ</t>
    <rPh sb="0" eb="3">
      <t>ホショウショ</t>
    </rPh>
    <rPh sb="4" eb="6">
      <t>トリセツ</t>
    </rPh>
    <rPh sb="13" eb="14">
      <t>トリ</t>
    </rPh>
    <phoneticPr fontId="13"/>
  </si>
  <si>
    <t>大宮 798 ろ 8132</t>
    <rPh sb="0" eb="2">
      <t>オオミヤ</t>
    </rPh>
    <phoneticPr fontId="13"/>
  </si>
  <si>
    <t>品川 5X2 ろ 1877</t>
    <rPh sb="0" eb="2">
      <t>シナガワ</t>
    </rPh>
    <phoneticPr fontId="13"/>
  </si>
  <si>
    <t>品川 5X2 ろ 1876</t>
    <rPh sb="0" eb="2">
      <t>シナガワ</t>
    </rPh>
    <phoneticPr fontId="13"/>
  </si>
  <si>
    <t>名古屋 780 ろ 2262</t>
    <rPh sb="0" eb="3">
      <t>ナゴヤ</t>
    </rPh>
    <phoneticPr fontId="13"/>
  </si>
  <si>
    <t>株式会社FINE</t>
    <rPh sb="0" eb="4">
      <t>カブシキガイシャ</t>
    </rPh>
    <phoneticPr fontId="13"/>
  </si>
  <si>
    <t>株式会社深谷ﾓｰﾀｰｽ</t>
    <rPh sb="0" eb="4">
      <t>カブシキガイシャ</t>
    </rPh>
    <rPh sb="4" eb="6">
      <t>フカヤ</t>
    </rPh>
    <phoneticPr fontId="13"/>
  </si>
  <si>
    <t>渡邊 精仁</t>
    <rPh sb="0" eb="2">
      <t>ワタナベ</t>
    </rPh>
    <rPh sb="3" eb="4">
      <t>セイ</t>
    </rPh>
    <rPh sb="4" eb="5">
      <t>ヒトシ</t>
    </rPh>
    <phoneticPr fontId="13"/>
  </si>
  <si>
    <t>保証書 取説 SD ｷｰﾚｽ</t>
    <rPh sb="0" eb="3">
      <t>ホショウショ</t>
    </rPh>
    <rPh sb="4" eb="6">
      <t>トリセツ</t>
    </rPh>
    <phoneticPr fontId="13"/>
  </si>
  <si>
    <t>3/？</t>
    <phoneticPr fontId="13"/>
  </si>
  <si>
    <t>MR92S-198529</t>
    <phoneticPr fontId="13"/>
  </si>
  <si>
    <t>広島 598 や 1103</t>
    <rPh sb="0" eb="2">
      <t>ヒロシマ</t>
    </rPh>
    <phoneticPr fontId="13"/>
  </si>
  <si>
    <t>地図SD(車内)保証書 取説 ｷｰﾚｽ ﾚﾝﾀｶｰ</t>
    <rPh sb="8" eb="11">
      <t>ホショウショ</t>
    </rPh>
    <rPh sb="12" eb="14">
      <t>トリセツ</t>
    </rPh>
    <phoneticPr fontId="13"/>
  </si>
  <si>
    <t>小野 淳子</t>
    <rPh sb="0" eb="2">
      <t>オノ</t>
    </rPh>
    <rPh sb="3" eb="5">
      <t>ジュンコ</t>
    </rPh>
    <phoneticPr fontId="13"/>
  </si>
  <si>
    <t>なにわ 5P7 ろ 7412</t>
    <phoneticPr fontId="13"/>
  </si>
  <si>
    <t>名古屋 582 け 4704</t>
    <rPh sb="0" eb="3">
      <t>ナゴヤ</t>
    </rPh>
    <phoneticPr fontId="13"/>
  </si>
  <si>
    <t>株式会社気分屋</t>
    <rPh sb="0" eb="4">
      <t>カブシキガイシャ</t>
    </rPh>
    <rPh sb="4" eb="7">
      <t>キブンヤ</t>
    </rPh>
    <phoneticPr fontId="13"/>
  </si>
  <si>
    <t>保証書 取説 SD ｽﾍﾟｱｷｰ ﾜﾝｵｰﾅｰ</t>
    <rPh sb="0" eb="3">
      <t>ホショウショ</t>
    </rPh>
    <rPh sb="4" eb="6">
      <t>トリセツ</t>
    </rPh>
    <phoneticPr fontId="13"/>
  </si>
  <si>
    <t>兵庫ﾀﾞｲﾊﾂ販売株式会社</t>
    <rPh sb="0" eb="2">
      <t>ヒョウゴ</t>
    </rPh>
    <rPh sb="7" eb="9">
      <t>ハンバイ</t>
    </rPh>
    <rPh sb="9" eb="13">
      <t>カブシキガイシャ</t>
    </rPh>
    <phoneticPr fontId="13"/>
  </si>
  <si>
    <t>保証書 取説 ﾅﾋﾞ取 SD ﾏｲｸﾛSD ﾚﾝﾁ</t>
    <rPh sb="0" eb="3">
      <t>ホショウショ</t>
    </rPh>
    <rPh sb="4" eb="6">
      <t>トリセツ</t>
    </rPh>
    <rPh sb="10" eb="11">
      <t>トリ</t>
    </rPh>
    <phoneticPr fontId="13"/>
  </si>
  <si>
    <t>CAN</t>
    <phoneticPr fontId="13"/>
  </si>
  <si>
    <r>
      <t xml:space="preserve">取説 ﾅﾋﾞ取 ｽﾍﾟｱｷｰ </t>
    </r>
    <r>
      <rPr>
        <sz val="11"/>
        <color theme="3"/>
        <rFont val="ＭＳ Ｐゴシック"/>
        <family val="3"/>
        <charset val="128"/>
        <scheme val="minor"/>
      </rPr>
      <t>地図SD車内なしｶｺﾞ上がってきたら確認</t>
    </r>
    <rPh sb="0" eb="2">
      <t>トリセツ</t>
    </rPh>
    <rPh sb="6" eb="7">
      <t>トリ</t>
    </rPh>
    <rPh sb="15" eb="17">
      <t>チズ</t>
    </rPh>
    <rPh sb="19" eb="21">
      <t>シャナイ</t>
    </rPh>
    <rPh sb="26" eb="27">
      <t>ア</t>
    </rPh>
    <rPh sb="33" eb="35">
      <t>カクニン</t>
    </rPh>
    <phoneticPr fontId="13"/>
  </si>
  <si>
    <t>LA700S-0142712</t>
    <phoneticPr fontId="13"/>
  </si>
  <si>
    <t>VF1AH0008L0811870</t>
    <phoneticPr fontId="13"/>
  </si>
  <si>
    <t>LA900S-0108413</t>
    <phoneticPr fontId="13"/>
  </si>
  <si>
    <t>福山 583 さ 3810</t>
    <rPh sb="0" eb="2">
      <t>フクヤマ</t>
    </rPh>
    <phoneticPr fontId="13"/>
  </si>
  <si>
    <t>WMWXM72080T931334</t>
    <phoneticPr fontId="13"/>
  </si>
  <si>
    <t>1C4NJCD12NPN65291</t>
    <phoneticPr fontId="13"/>
  </si>
  <si>
    <t>広島 302 な 3404</t>
    <rPh sb="0" eb="2">
      <t>ヒロシマ</t>
    </rPh>
    <phoneticPr fontId="13"/>
  </si>
  <si>
    <t>VW ｻﾞﾋﾞｰﾄﾙ Rﾗｲﾝﾏｲｽﾀｰ</t>
    <phoneticPr fontId="13"/>
  </si>
  <si>
    <t>WVWZZZ16ZKM713627</t>
    <phoneticPr fontId="13"/>
  </si>
  <si>
    <t>広島 362 そ 117</t>
    <rPh sb="0" eb="2">
      <t>ヒロシマ</t>
    </rPh>
    <phoneticPr fontId="13"/>
  </si>
  <si>
    <t>北九州 581 い 6874</t>
    <rPh sb="0" eb="3">
      <t>キタキュウシュウ</t>
    </rPh>
    <phoneticPr fontId="13"/>
  </si>
  <si>
    <t>南 朱里</t>
    <rPh sb="0" eb="1">
      <t>ミナミ</t>
    </rPh>
    <rPh sb="2" eb="4">
      <t>シュリ</t>
    </rPh>
    <phoneticPr fontId="13"/>
  </si>
  <si>
    <t>582 い 3922</t>
    <phoneticPr fontId="13"/>
  </si>
  <si>
    <r>
      <t xml:space="preserve">保証書 取説 地図SD(車内) </t>
    </r>
    <r>
      <rPr>
        <sz val="9"/>
        <color theme="3"/>
        <rFont val="ＭＳ Ｐゴシック"/>
        <family val="3"/>
        <charset val="128"/>
        <scheme val="minor"/>
      </rPr>
      <t>ｽﾍﾟｱｷｰ車内上がって来なかった</t>
    </r>
    <rPh sb="0" eb="3">
      <t>ホショウショ</t>
    </rPh>
    <rPh sb="4" eb="6">
      <t>トリセツ</t>
    </rPh>
    <rPh sb="7" eb="9">
      <t>チズ</t>
    </rPh>
    <rPh sb="22" eb="24">
      <t>シャナイ</t>
    </rPh>
    <rPh sb="24" eb="25">
      <t>ア</t>
    </rPh>
    <rPh sb="28" eb="29">
      <t>コ</t>
    </rPh>
    <phoneticPr fontId="13"/>
  </si>
  <si>
    <t>NSP160-0065557</t>
    <phoneticPr fontId="13"/>
  </si>
  <si>
    <t>所沢 588 ね 1018</t>
    <rPh sb="0" eb="2">
      <t>トコロザワ</t>
    </rPh>
    <phoneticPr fontId="13"/>
  </si>
  <si>
    <t>秋丸 佳太</t>
    <rPh sb="0" eb="2">
      <t>アキマル</t>
    </rPh>
    <rPh sb="3" eb="4">
      <t>ケイ</t>
    </rPh>
    <rPh sb="4" eb="5">
      <t>タ</t>
    </rPh>
    <phoneticPr fontId="13"/>
  </si>
  <si>
    <t>保証書 取説 ﾅﾋﾞ取 ｷｰﾚｽ SD</t>
    <rPh sb="0" eb="3">
      <t>ホショウショ</t>
    </rPh>
    <rPh sb="4" eb="6">
      <t>トリセツ</t>
    </rPh>
    <rPh sb="10" eb="11">
      <t>トリ</t>
    </rPh>
    <phoneticPr fontId="13"/>
  </si>
  <si>
    <t>市川 312 ち 1000</t>
    <rPh sb="0" eb="2">
      <t>イチカワ</t>
    </rPh>
    <phoneticPr fontId="13"/>
  </si>
  <si>
    <t>福井 秀夫</t>
    <rPh sb="0" eb="2">
      <t>フクイ</t>
    </rPh>
    <rPh sb="3" eb="5">
      <t>ヒデオ</t>
    </rPh>
    <phoneticPr fontId="13"/>
  </si>
  <si>
    <t>株式会社志村ﾓｰﾀｰｽ</t>
    <rPh sb="0" eb="4">
      <t>カブシキガイシャ</t>
    </rPh>
    <rPh sb="4" eb="6">
      <t>シムラ</t>
    </rPh>
    <phoneticPr fontId="13"/>
  </si>
  <si>
    <t>WDB4633482X286277</t>
    <phoneticPr fontId="13"/>
  </si>
  <si>
    <t>千葉 326 せ 9996</t>
    <rPh sb="0" eb="2">
      <t>チバ</t>
    </rPh>
    <phoneticPr fontId="13"/>
  </si>
  <si>
    <t>保証書 取説 ｷｰﾚｽ ﾜﾝｵｰﾅｰかな</t>
    <rPh sb="0" eb="3">
      <t>ホショウショ</t>
    </rPh>
    <rPh sb="4" eb="6">
      <t>トリセツ</t>
    </rPh>
    <phoneticPr fontId="13"/>
  </si>
  <si>
    <t>NSP160-0061538</t>
    <phoneticPr fontId="13"/>
  </si>
  <si>
    <t>27-1667</t>
  </si>
  <si>
    <t>27-1668</t>
  </si>
  <si>
    <t>27-1669</t>
  </si>
  <si>
    <t>27-1670</t>
  </si>
  <si>
    <t>27-1671</t>
  </si>
  <si>
    <t>27-1672</t>
  </si>
  <si>
    <t>27-1673</t>
  </si>
  <si>
    <t>27-1674</t>
  </si>
  <si>
    <t>27-1675</t>
  </si>
  <si>
    <t>27-1676</t>
  </si>
  <si>
    <t>27-1677</t>
  </si>
  <si>
    <t>27-1678</t>
  </si>
  <si>
    <t>27-1679</t>
  </si>
  <si>
    <t>27-1680</t>
  </si>
  <si>
    <t>27-1681</t>
  </si>
  <si>
    <t>27-1682</t>
  </si>
  <si>
    <t>27-1683</t>
  </si>
  <si>
    <t>27-1684</t>
  </si>
  <si>
    <t>27-1685</t>
  </si>
  <si>
    <t>27-1686</t>
  </si>
  <si>
    <t>27-1687</t>
  </si>
  <si>
    <t>27-1688</t>
  </si>
  <si>
    <t>27-1689</t>
  </si>
  <si>
    <t>27-1690</t>
  </si>
  <si>
    <t>BMWﾐﾆ ｸﾗﾌﾞ Mﾊﾞｯｷﾝｶﾞﾑ</t>
    <phoneticPr fontId="13"/>
  </si>
  <si>
    <t>27-1691</t>
  </si>
  <si>
    <t>27-1692</t>
  </si>
  <si>
    <t>岐阜 582 こ 3647</t>
    <rPh sb="0" eb="2">
      <t>ギフ</t>
    </rPh>
    <phoneticPr fontId="13"/>
  </si>
  <si>
    <t>ﾌﾟﾚﾐｱﾌｧｲﾅﾝｼｬﾙｻｰﾋﾞｽ株式会社</t>
    <rPh sb="18" eb="22">
      <t>カブシキガイシャ</t>
    </rPh>
    <phoneticPr fontId="13"/>
  </si>
  <si>
    <t>11/13</t>
    <phoneticPr fontId="13"/>
  </si>
  <si>
    <t>横浜 332 む 9800</t>
    <rPh sb="0" eb="2">
      <t>ヨコハマ</t>
    </rPh>
    <phoneticPr fontId="13"/>
  </si>
  <si>
    <t>日産ﾌﾟﾘﾝｽ神奈川販売株式会社</t>
    <rPh sb="0" eb="2">
      <t>ニッサン</t>
    </rPh>
    <rPh sb="9" eb="11">
      <t>ハンバイ</t>
    </rPh>
    <rPh sb="11" eb="15">
      <t>カブシキガイシャ</t>
    </rPh>
    <phoneticPr fontId="13"/>
  </si>
  <si>
    <t>柏 584 て 810</t>
    <rPh sb="0" eb="1">
      <t>カシワ</t>
    </rPh>
    <phoneticPr fontId="13"/>
  </si>
  <si>
    <t>ﾑｰﾌﾞ</t>
    <phoneticPr fontId="13"/>
  </si>
  <si>
    <t>LA150S-2100737</t>
    <phoneticPr fontId="13"/>
  </si>
  <si>
    <t>JF3-5230639</t>
    <phoneticPr fontId="13"/>
  </si>
  <si>
    <t>MK94S-136770</t>
    <phoneticPr fontId="13"/>
  </si>
  <si>
    <t>HA36S-562622</t>
    <phoneticPr fontId="13"/>
  </si>
  <si>
    <t>HA365S-561821</t>
    <phoneticPr fontId="13"/>
  </si>
  <si>
    <t>LA150S-2065267</t>
    <phoneticPr fontId="13"/>
  </si>
  <si>
    <t>N-BOXｶｽﾀﾑ ﾀｰﾎﾞSSﾊﾟｯｹｰｼﾞ</t>
    <phoneticPr fontId="13"/>
  </si>
  <si>
    <t>JF1-2544266</t>
    <phoneticPr fontId="13"/>
  </si>
  <si>
    <t>27-1693</t>
  </si>
  <si>
    <t>27-1694</t>
  </si>
  <si>
    <t>27-1695</t>
  </si>
  <si>
    <t>27-1696</t>
  </si>
  <si>
    <t>27-1697</t>
  </si>
  <si>
    <t>27-1698</t>
  </si>
  <si>
    <t>27-1699</t>
  </si>
  <si>
    <t>JB23W-778114</t>
    <phoneticPr fontId="13"/>
  </si>
  <si>
    <t>DR17V-854529</t>
    <phoneticPr fontId="13"/>
  </si>
  <si>
    <t>28/？</t>
    <phoneticPr fontId="13"/>
  </si>
  <si>
    <t>MH34S-435461</t>
    <phoneticPr fontId="13"/>
  </si>
  <si>
    <t>静岡 584 こ 312</t>
    <rPh sb="0" eb="2">
      <t>シズオカ</t>
    </rPh>
    <phoneticPr fontId="13"/>
  </si>
  <si>
    <t>ANH20-8317588</t>
    <phoneticPr fontId="13"/>
  </si>
  <si>
    <t>豊橋 301 と 3965</t>
    <rPh sb="0" eb="2">
      <t>トヨハシ</t>
    </rPh>
    <phoneticPr fontId="13"/>
  </si>
  <si>
    <t>ANH20-8350691</t>
    <phoneticPr fontId="13"/>
  </si>
  <si>
    <t>名古屋 340 る 7778</t>
    <rPh sb="0" eb="3">
      <t>ナゴヤ</t>
    </rPh>
    <phoneticPr fontId="13"/>
  </si>
  <si>
    <t>WMWLN720X02D97774</t>
    <phoneticPr fontId="13"/>
  </si>
  <si>
    <t>ﾌｨｱｯﾄ500 ﾙｯｿ</t>
    <phoneticPr fontId="13"/>
  </si>
  <si>
    <t>ZFA3120000JA63754</t>
    <phoneticPr fontId="13"/>
  </si>
  <si>
    <t>YV1MVA8RDK2557410</t>
    <phoneticPr fontId="13"/>
  </si>
  <si>
    <t>譲渡証差し替HAA連絡 ZIP返送済</t>
    <rPh sb="0" eb="1">
      <t>ユズル</t>
    </rPh>
    <rPh sb="1" eb="2">
      <t>ワタ</t>
    </rPh>
    <rPh sb="2" eb="3">
      <t>ショウ</t>
    </rPh>
    <rPh sb="3" eb="4">
      <t>サ</t>
    </rPh>
    <rPh sb="5" eb="6">
      <t>カ</t>
    </rPh>
    <rPh sb="9" eb="11">
      <t>レンラク</t>
    </rPh>
    <rPh sb="15" eb="17">
      <t>ヘンソウ</t>
    </rPh>
    <rPh sb="17" eb="18">
      <t>ズ</t>
    </rPh>
    <phoneticPr fontId="13"/>
  </si>
  <si>
    <t>WMWYT920303D52709</t>
    <phoneticPr fontId="13"/>
  </si>
  <si>
    <t>千葉 303 そ 2141</t>
    <rPh sb="0" eb="2">
      <t>チバ</t>
    </rPh>
    <phoneticPr fontId="13"/>
  </si>
  <si>
    <t>14(金)HAA着予定 遅延</t>
    <rPh sb="3" eb="4">
      <t>キン</t>
    </rPh>
    <rPh sb="8" eb="9">
      <t>チャク</t>
    </rPh>
    <rPh sb="9" eb="11">
      <t>ヨテイ</t>
    </rPh>
    <rPh sb="12" eb="14">
      <t>チエン</t>
    </rPh>
    <phoneticPr fontId="13"/>
  </si>
  <si>
    <t>WMWLU920802H32903</t>
    <phoneticPr fontId="13"/>
  </si>
  <si>
    <t>横浜 304 ら 343</t>
    <rPh sb="0" eb="2">
      <t>ヨコハマ</t>
    </rPh>
    <phoneticPr fontId="13"/>
  </si>
  <si>
    <t>BMW X3 xdrive20d Mｽﾎﾟｰﾂ</t>
    <phoneticPr fontId="13"/>
  </si>
  <si>
    <t>WBAUZ36060N033634</t>
    <phoneticPr fontId="13"/>
  </si>
  <si>
    <t>9/7/30</t>
    <phoneticPr fontId="13"/>
  </si>
  <si>
    <t>多摩 346 め 312</t>
    <rPh sb="0" eb="2">
      <t>タマ</t>
    </rPh>
    <phoneticPr fontId="13"/>
  </si>
  <si>
    <t>MK53S-578789</t>
    <phoneticPr fontId="13"/>
  </si>
  <si>
    <t>ｱｸｱ G</t>
    <phoneticPr fontId="13"/>
  </si>
  <si>
    <t>NHP10-2211685</t>
    <phoneticPr fontId="13"/>
  </si>
  <si>
    <t>8/6/21</t>
    <phoneticPr fontId="13"/>
  </si>
  <si>
    <t>DA64W-413207</t>
    <phoneticPr fontId="13"/>
  </si>
  <si>
    <t>ﾊﾟﾚｯﾄ SW TS</t>
    <phoneticPr fontId="13"/>
  </si>
  <si>
    <t>MK21S-850615</t>
    <phoneticPr fontId="13"/>
  </si>
  <si>
    <t>石川 580 て 6959</t>
    <rPh sb="0" eb="2">
      <t>イシカワ</t>
    </rPh>
    <phoneticPr fontId="13"/>
  </si>
  <si>
    <t>ﾜｺﾞﾝR</t>
    <phoneticPr fontId="13"/>
  </si>
  <si>
    <t>MH34S-369985</t>
    <phoneticPr fontId="13"/>
  </si>
  <si>
    <t>ｽﾍﾟｰｼｱﾊｲﾌﾞﾘｯﾄﾞX</t>
    <phoneticPr fontId="13"/>
  </si>
  <si>
    <t>書類返送11/13</t>
    <rPh sb="0" eb="4">
      <t>ショルイヘンソウ</t>
    </rPh>
    <phoneticPr fontId="13"/>
  </si>
  <si>
    <t>MK53S-158880</t>
    <phoneticPr fontId="13"/>
  </si>
  <si>
    <t>HE33S-312167</t>
    <phoneticPr fontId="13"/>
  </si>
  <si>
    <t>ﾋﾟｸｼｽﾊﾞﾝ ﾃﾞﾗｯｸｽ</t>
    <phoneticPr fontId="13"/>
  </si>
  <si>
    <t>S700M-0004316</t>
    <phoneticPr fontId="13"/>
  </si>
  <si>
    <t>ｱﾄﾚｰ ｶｽﾀﾑﾀｰﾎﾞ RS</t>
    <phoneticPr fontId="13"/>
  </si>
  <si>
    <t>S321G-0063801</t>
    <phoneticPr fontId="13"/>
  </si>
  <si>
    <t>8/8/8</t>
    <phoneticPr fontId="13"/>
  </si>
  <si>
    <t>岐阜 582 ぬ 4794</t>
    <rPh sb="0" eb="2">
      <t>ギフ</t>
    </rPh>
    <phoneticPr fontId="13"/>
  </si>
  <si>
    <t>MR41S-614632</t>
    <phoneticPr fontId="13"/>
  </si>
  <si>
    <t>WMWXU720202L95924</t>
    <phoneticPr fontId="13"/>
  </si>
  <si>
    <t>9/2/26</t>
    <phoneticPr fontId="13"/>
  </si>
  <si>
    <t>青森 300 む 3594</t>
    <rPh sb="0" eb="2">
      <t>アオモリ</t>
    </rPh>
    <phoneticPr fontId="13"/>
  </si>
  <si>
    <t>USS神戸/992/10049</t>
    <rPh sb="3" eb="5">
      <t>コウベ</t>
    </rPh>
    <phoneticPr fontId="13"/>
  </si>
  <si>
    <t>売上先/回次/番号</t>
    <rPh sb="0" eb="2">
      <t>ウリアゲ</t>
    </rPh>
    <rPh sb="2" eb="3">
      <t>サキ</t>
    </rPh>
    <rPh sb="4" eb="6">
      <t>カイジ</t>
    </rPh>
    <rPh sb="7" eb="9">
      <t>バンゴウ</t>
    </rPh>
    <phoneticPr fontId="13"/>
  </si>
  <si>
    <t>ｷｬﾝｾﾙ 書類返送11/13</t>
    <rPh sb="6" eb="8">
      <t>ショルイ</t>
    </rPh>
    <rPh sb="8" eb="10">
      <t>ヘンソウ</t>
    </rPh>
    <phoneticPr fontId="13"/>
  </si>
  <si>
    <t>疋田 俊郎</t>
    <rPh sb="1" eb="2">
      <t>タ</t>
    </rPh>
    <rPh sb="3" eb="5">
      <t>トシロウ</t>
    </rPh>
    <phoneticPr fontId="13"/>
  </si>
  <si>
    <t>保証書 取説 ｷｰﾚｽ2個 ﾜﾝｵｰﾅｰ</t>
    <rPh sb="0" eb="3">
      <t>ホショウショ</t>
    </rPh>
    <rPh sb="4" eb="6">
      <t>トリセツ</t>
    </rPh>
    <rPh sb="12" eb="13">
      <t>コ</t>
    </rPh>
    <phoneticPr fontId="13"/>
  </si>
  <si>
    <t>岐阜 582 か 9388</t>
    <rPh sb="0" eb="2">
      <t>ギフ</t>
    </rPh>
    <phoneticPr fontId="13"/>
  </si>
  <si>
    <t>保証書 取説 ｷｰﾚｽ 12/4まで名変OK</t>
    <rPh sb="0" eb="3">
      <t>ホショウショ</t>
    </rPh>
    <rPh sb="4" eb="6">
      <t>トリセツ</t>
    </rPh>
    <rPh sb="18" eb="20">
      <t>メイヘン</t>
    </rPh>
    <phoneticPr fontId="13"/>
  </si>
  <si>
    <t>横浜 519 は 1118</t>
    <rPh sb="0" eb="2">
      <t>ヨコハマ</t>
    </rPh>
    <phoneticPr fontId="13"/>
  </si>
  <si>
    <t>坂井 学</t>
    <rPh sb="0" eb="2">
      <t>サカイ</t>
    </rPh>
    <rPh sb="3" eb="4">
      <t>マナ</t>
    </rPh>
    <phoneticPr fontId="13"/>
  </si>
  <si>
    <t>神戸 483 く 8116</t>
    <rPh sb="0" eb="2">
      <t>コウベ</t>
    </rPh>
    <phoneticPr fontId="13"/>
  </si>
  <si>
    <t>株式会社明石名石園</t>
    <rPh sb="0" eb="4">
      <t>カブシキガイシャ</t>
    </rPh>
    <rPh sb="4" eb="6">
      <t>アカシ</t>
    </rPh>
    <rPh sb="6" eb="7">
      <t>ナ</t>
    </rPh>
    <rPh sb="7" eb="8">
      <t>イシ</t>
    </rPh>
    <rPh sb="8" eb="9">
      <t>ソノ</t>
    </rPh>
    <phoneticPr fontId="13"/>
  </si>
  <si>
    <t>北野 美穂</t>
    <rPh sb="0" eb="2">
      <t>キタノ</t>
    </rPh>
    <rPh sb="3" eb="5">
      <t>ミホ</t>
    </rPh>
    <phoneticPr fontId="13"/>
  </si>
  <si>
    <t>滋賀 430 そ 728</t>
    <rPh sb="0" eb="2">
      <t>シガ</t>
    </rPh>
    <phoneticPr fontId="13"/>
  </si>
  <si>
    <t>滋賀ﾄﾖﾀ自動車株式会社</t>
    <rPh sb="5" eb="12">
      <t>ジドウシャカブシキガイシャ</t>
    </rPh>
    <phoneticPr fontId="13"/>
  </si>
  <si>
    <t>品川 5X2 ろ 788</t>
    <rPh sb="0" eb="2">
      <t>シナガワ</t>
    </rPh>
    <phoneticPr fontId="13"/>
  </si>
  <si>
    <t>品川 5X2 ろ 785</t>
    <rPh sb="0" eb="2">
      <t>シナガワ</t>
    </rPh>
    <phoneticPr fontId="13"/>
  </si>
  <si>
    <t>品川 5X2 ろ 776</t>
    <rPh sb="0" eb="2">
      <t>シナガワ</t>
    </rPh>
    <phoneticPr fontId="13"/>
  </si>
  <si>
    <t>なにわ 5P7 ろ 6430</t>
    <phoneticPr fontId="13"/>
  </si>
  <si>
    <t>多摩 592 ろ 4111</t>
    <rPh sb="0" eb="2">
      <t>タマ</t>
    </rPh>
    <phoneticPr fontId="13"/>
  </si>
  <si>
    <t>多摩 592 ろ 3977</t>
    <rPh sb="0" eb="2">
      <t>タマ</t>
    </rPh>
    <phoneticPr fontId="13"/>
  </si>
  <si>
    <t>岡山 581 よ 9459</t>
    <rPh sb="0" eb="2">
      <t>オカヤマ</t>
    </rPh>
    <phoneticPr fontId="13"/>
  </si>
  <si>
    <t>ｽｽﾞｷ自販株式会社</t>
    <rPh sb="4" eb="6">
      <t>ジハン</t>
    </rPh>
    <rPh sb="6" eb="10">
      <t>カブシキガイシャ</t>
    </rPh>
    <phoneticPr fontId="13"/>
  </si>
  <si>
    <t>岡山 481 ろ 91</t>
    <rPh sb="0" eb="2">
      <t>オカヤマ</t>
    </rPh>
    <phoneticPr fontId="13"/>
  </si>
  <si>
    <t>岡山 399 な 2756</t>
    <rPh sb="0" eb="2">
      <t>オカヤマ</t>
    </rPh>
    <phoneticPr fontId="13"/>
  </si>
  <si>
    <t>岡山ﾄﾖﾀ自動車株式会社</t>
    <rPh sb="0" eb="2">
      <t>オカヤマ</t>
    </rPh>
    <rPh sb="5" eb="12">
      <t>ジドウシャカブシキガイシャ</t>
    </rPh>
    <phoneticPr fontId="13"/>
  </si>
  <si>
    <t>坂田 真吾</t>
    <rPh sb="0" eb="2">
      <t>サカタ</t>
    </rPh>
    <rPh sb="3" eb="5">
      <t>シンゴ</t>
    </rPh>
    <phoneticPr fontId="13"/>
  </si>
  <si>
    <t>永樂 俊晴</t>
    <rPh sb="0" eb="1">
      <t>ナガ</t>
    </rPh>
    <rPh sb="1" eb="2">
      <t>ラク</t>
    </rPh>
    <rPh sb="3" eb="4">
      <t>シュン</t>
    </rPh>
    <rPh sb="4" eb="5">
      <t>ハレ</t>
    </rPh>
    <phoneticPr fontId="13"/>
  </si>
  <si>
    <t>岐阜 399 の 2675</t>
    <rPh sb="0" eb="2">
      <t>ギフ</t>
    </rPh>
    <phoneticPr fontId="13"/>
  </si>
  <si>
    <t>ｷｰﾚｽ(車内)保証書 ﾘﾓｺﾝ ﾜﾝｵｰﾅｰ</t>
    <rPh sb="5" eb="7">
      <t>シャナイ</t>
    </rPh>
    <rPh sb="8" eb="11">
      <t>ホショウショ</t>
    </rPh>
    <phoneticPr fontId="13"/>
  </si>
  <si>
    <t>山﨑 雄大</t>
    <rPh sb="0" eb="2">
      <t>ヤマザキ</t>
    </rPh>
    <rPh sb="3" eb="5">
      <t>ユウダイ</t>
    </rPh>
    <phoneticPr fontId="13"/>
  </si>
  <si>
    <t>保証書 取説 ﾅﾋﾞ取 ｷｰﾚｽ ﾘﾓｺﾝ</t>
    <rPh sb="0" eb="3">
      <t>ホショウショ</t>
    </rPh>
    <rPh sb="4" eb="6">
      <t>トリセツ</t>
    </rPh>
    <rPh sb="10" eb="11">
      <t>トリ</t>
    </rPh>
    <phoneticPr fontId="13"/>
  </si>
  <si>
    <t>宮田 健伍</t>
    <rPh sb="0" eb="2">
      <t>ミヤタ</t>
    </rPh>
    <rPh sb="3" eb="4">
      <t>ケン</t>
    </rPh>
    <rPh sb="4" eb="5">
      <t>ゴ</t>
    </rPh>
    <phoneticPr fontId="13"/>
  </si>
  <si>
    <r>
      <t xml:space="preserve">保証書 取説 ｷｰﾚｽ </t>
    </r>
    <r>
      <rPr>
        <sz val="11"/>
        <color rgb="FFFF0000"/>
        <rFont val="ＭＳ Ｐゴシック"/>
        <family val="3"/>
        <charset val="128"/>
        <scheme val="minor"/>
      </rPr>
      <t>名変12/18まで</t>
    </r>
    <rPh sb="0" eb="3">
      <t>ホショウショ</t>
    </rPh>
    <rPh sb="4" eb="6">
      <t>トリセツ</t>
    </rPh>
    <rPh sb="12" eb="14">
      <t>メイヘン</t>
    </rPh>
    <phoneticPr fontId="13"/>
  </si>
  <si>
    <t>27-1700</t>
  </si>
  <si>
    <t>27-1701</t>
  </si>
  <si>
    <t>27-1702</t>
  </si>
  <si>
    <t>WMWYT920103B68787</t>
    <phoneticPr fontId="13"/>
  </si>
  <si>
    <t>W1K1186122N413532</t>
    <phoneticPr fontId="13"/>
  </si>
  <si>
    <t>WAUZZZ4G8GN087794</t>
    <phoneticPr fontId="13"/>
  </si>
  <si>
    <t>神戸 306 ゆ 11</t>
    <rPh sb="0" eb="2">
      <t>コウベ</t>
    </rPh>
    <phoneticPr fontId="13"/>
  </si>
  <si>
    <t>ﾒﾙｾﾃﾞｽﾍﾞﾝﾂ CLA200d</t>
    <phoneticPr fontId="13"/>
  </si>
  <si>
    <t>ｱｳﾃﾞｨA6 ｱﾊﾞﾝﾄ 2.0TFSI</t>
    <phoneticPr fontId="13"/>
  </si>
  <si>
    <t>奈良 301 ね 2339</t>
    <rPh sb="0" eb="2">
      <t>ナラ</t>
    </rPh>
    <phoneticPr fontId="13"/>
  </si>
  <si>
    <t>582 い 4169</t>
    <phoneticPr fontId="13"/>
  </si>
  <si>
    <t>582 い 4165</t>
    <phoneticPr fontId="13"/>
  </si>
  <si>
    <t>582 い 4166</t>
    <phoneticPr fontId="13"/>
  </si>
  <si>
    <t>582 い 4168</t>
    <phoneticPr fontId="13"/>
  </si>
  <si>
    <t>582 い 4167</t>
    <phoneticPr fontId="13"/>
  </si>
  <si>
    <t>27-1703</t>
  </si>
  <si>
    <t>27-1704</t>
  </si>
  <si>
    <t>ﾎﾟﾙｼｪ  ﾏｶﾝS</t>
    <phoneticPr fontId="13"/>
  </si>
  <si>
    <t>27-1705</t>
  </si>
  <si>
    <t>27-1706</t>
  </si>
  <si>
    <t>27-1707</t>
  </si>
  <si>
    <t>WMWXR92090TP20513</t>
    <phoneticPr fontId="13"/>
  </si>
  <si>
    <t>多摩 304 た 4079</t>
    <rPh sb="0" eb="2">
      <t>タマ</t>
    </rPh>
    <phoneticPr fontId="13"/>
  </si>
  <si>
    <t>WP1ZZZ95ZJLB31299</t>
    <phoneticPr fontId="13"/>
  </si>
  <si>
    <t>横浜 306 て 1103</t>
    <rPh sb="0" eb="2">
      <t>ヨコハマ</t>
    </rPh>
    <phoneticPr fontId="13"/>
  </si>
  <si>
    <t>品番；CN-RZ853</t>
    <rPh sb="0" eb="2">
      <t>ヒンバン</t>
    </rPh>
    <phoneticPr fontId="13"/>
  </si>
  <si>
    <t>品番；VXM-175VFEi</t>
    <rPh sb="0" eb="2">
      <t>ヒンバン</t>
    </rPh>
    <phoneticPr fontId="13"/>
  </si>
  <si>
    <t>ｽﾍﾟｱｷｰ4個(車内)保証書 取説 ｷｰﾚｽ ﾜﾝｵｰﾅｰ</t>
    <rPh sb="7" eb="8">
      <t>コ</t>
    </rPh>
    <rPh sb="12" eb="15">
      <t>ホショウショ</t>
    </rPh>
    <rPh sb="16" eb="18">
      <t>トリセツ</t>
    </rPh>
    <phoneticPr fontId="13"/>
  </si>
  <si>
    <t>地図SD(車内)保証書 取説 ﾅﾋﾞ取 ｷｰﾚｽ</t>
    <rPh sb="0" eb="2">
      <t>チズ</t>
    </rPh>
    <rPh sb="8" eb="11">
      <t>ホショウショ</t>
    </rPh>
    <rPh sb="12" eb="14">
      <t>トリセツ</t>
    </rPh>
    <rPh sb="18" eb="19">
      <t>トリ</t>
    </rPh>
    <phoneticPr fontId="13"/>
  </si>
  <si>
    <t>地図SD(車内)保証書 取説 ｷｰﾚｽ</t>
    <rPh sb="0" eb="2">
      <t>チズ</t>
    </rPh>
    <rPh sb="8" eb="11">
      <t>ホショウショ</t>
    </rPh>
    <rPh sb="12" eb="14">
      <t>トリセツ</t>
    </rPh>
    <phoneticPr fontId="13"/>
  </si>
  <si>
    <t>岡山 588 の 821</t>
    <rPh sb="0" eb="2">
      <t>オカヤマ</t>
    </rPh>
    <phoneticPr fontId="13"/>
  </si>
  <si>
    <t>岡山ﾀﾞｲﾊﾂ販売株式会社</t>
    <rPh sb="0" eb="2">
      <t>オカヤマ</t>
    </rPh>
    <rPh sb="7" eb="13">
      <t>ハンバイカブシキガイシャ</t>
    </rPh>
    <phoneticPr fontId="13"/>
  </si>
  <si>
    <t>11/14</t>
    <phoneticPr fontId="13"/>
  </si>
  <si>
    <t>保証書 取説 ﾅﾋﾞ取 ｷｰﾚｽ SD ﾜﾝｵｰﾅｰ</t>
    <rPh sb="0" eb="3">
      <t>ホショウショ</t>
    </rPh>
    <rPh sb="4" eb="6">
      <t>トリセツ</t>
    </rPh>
    <rPh sb="10" eb="11">
      <t>トリ</t>
    </rPh>
    <phoneticPr fontId="13"/>
  </si>
  <si>
    <t>27-1709</t>
  </si>
  <si>
    <t>27-1710</t>
  </si>
  <si>
    <t>27-1711</t>
  </si>
  <si>
    <t>27-1712</t>
  </si>
  <si>
    <t>27-1713</t>
  </si>
  <si>
    <t>27-1714</t>
  </si>
  <si>
    <t>27-1715</t>
  </si>
  <si>
    <t>27-1716</t>
  </si>
  <si>
    <t>VF1KW04B3G0747191</t>
    <phoneticPr fontId="13"/>
  </si>
  <si>
    <t>27-1717</t>
  </si>
  <si>
    <t>名古屋 58A ほ 6398</t>
    <rPh sb="0" eb="3">
      <t>ナゴヤ</t>
    </rPh>
    <phoneticPr fontId="13"/>
  </si>
  <si>
    <t>ﾙﾉｰ ｶﾝｸﾞｰｾﾞﾝ</t>
    <phoneticPr fontId="13"/>
  </si>
  <si>
    <t>名古屋 352 ぬ 121</t>
    <rPh sb="0" eb="3">
      <t>ナゴヤ</t>
    </rPh>
    <phoneticPr fontId="13"/>
  </si>
  <si>
    <t>株式会社ｾﾌﾞﾝｽﾀｰ</t>
    <rPh sb="0" eb="4">
      <t>カブシキガイシャ</t>
    </rPh>
    <phoneticPr fontId="13"/>
  </si>
  <si>
    <t>岡山 322 た 18</t>
    <rPh sb="0" eb="2">
      <t>オカヤマ</t>
    </rPh>
    <phoneticPr fontId="13"/>
  </si>
  <si>
    <t>岡山 580 み 8816</t>
    <rPh sb="0" eb="2">
      <t>オカヤマ</t>
    </rPh>
    <phoneticPr fontId="13"/>
  </si>
  <si>
    <t>岡山 581 あ 4173</t>
    <rPh sb="0" eb="2">
      <t>オカヤマ</t>
    </rPh>
    <phoneticPr fontId="13"/>
  </si>
  <si>
    <t>世田谷 330 せ 8</t>
    <rPh sb="0" eb="3">
      <t>セタガヤ</t>
    </rPh>
    <phoneticPr fontId="13"/>
  </si>
  <si>
    <t>27-1718</t>
  </si>
  <si>
    <t>27-1719</t>
  </si>
  <si>
    <t>27-1720</t>
  </si>
  <si>
    <t>27-1721</t>
  </si>
  <si>
    <t>27-1722</t>
  </si>
  <si>
    <t>27-1723</t>
  </si>
  <si>
    <t>ﾊｽﾗｰ</t>
    <phoneticPr fontId="13"/>
  </si>
  <si>
    <t>MR41S-246874</t>
    <phoneticPr fontId="13"/>
  </si>
  <si>
    <t>ﾜｺﾞﾝR ﾊｲﾌﾞﾘｯﾄﾞFZ ﾘﾐﾃｯﾄﾞ</t>
    <phoneticPr fontId="13"/>
  </si>
  <si>
    <t>MH55S-242694</t>
    <phoneticPr fontId="13"/>
  </si>
  <si>
    <t>CX30 20S Lﾊﾟｯｹｰｼﾞ</t>
    <phoneticPr fontId="13"/>
  </si>
  <si>
    <t>DMEP-200244</t>
    <phoneticPr fontId="13"/>
  </si>
  <si>
    <t>ﾌﾘｰﾄﾞ eHEV ｴｱｰ EX</t>
    <phoneticPr fontId="13"/>
  </si>
  <si>
    <t>GT5-1015313</t>
    <phoneticPr fontId="13"/>
  </si>
  <si>
    <t>LA850S-0058269</t>
    <phoneticPr fontId="13"/>
  </si>
  <si>
    <t>ﾊﾟｯｿ 4WD ﾓｰﾀﾞ Gﾊﾟｯｹｰｼﾞ</t>
    <phoneticPr fontId="13"/>
  </si>
  <si>
    <t>M710A-0035827</t>
    <phoneticPr fontId="13"/>
  </si>
  <si>
    <t>ｼﾄﾛｴﾝ C3 ｴｱｸﾛｽSUV ｼｬｲﾝ</t>
    <phoneticPr fontId="13"/>
  </si>
  <si>
    <t>VF72RHNPXL4343015</t>
    <phoneticPr fontId="13"/>
  </si>
  <si>
    <t>ﾒﾙｾﾃﾞｽﾍﾞﾝﾂ Cｸﾗｽ 220dﾛｰﾚｳｽｴﾃﾞｨｼｮﾝ</t>
    <phoneticPr fontId="13"/>
  </si>
  <si>
    <t>W1K2050142R585971</t>
    <phoneticPr fontId="13"/>
  </si>
  <si>
    <t>A312568</t>
    <phoneticPr fontId="13"/>
  </si>
  <si>
    <t>MN71S-306469</t>
    <phoneticPr fontId="13"/>
  </si>
  <si>
    <t>A311708</t>
    <phoneticPr fontId="13"/>
  </si>
  <si>
    <t>MXWH60-4014751</t>
    <phoneticPr fontId="13"/>
  </si>
  <si>
    <t>A312461</t>
    <phoneticPr fontId="13"/>
  </si>
  <si>
    <t>AAZH26-1003586</t>
    <phoneticPr fontId="13"/>
  </si>
  <si>
    <t>A310908</t>
    <phoneticPr fontId="13"/>
  </si>
  <si>
    <t>WDC2923242A098669</t>
    <phoneticPr fontId="13"/>
  </si>
  <si>
    <t>A311412</t>
    <phoneticPr fontId="13"/>
  </si>
  <si>
    <t>KGC30-0215719</t>
    <phoneticPr fontId="13"/>
  </si>
  <si>
    <t>ｸﾛｽﾋﾞｰ ﾊｲﾌﾞﾘｯﾄﾞ MV</t>
    <phoneticPr fontId="13"/>
  </si>
  <si>
    <t>ﾌﾟﾘｳｽ G</t>
    <phoneticPr fontId="13"/>
  </si>
  <si>
    <t>ﾚｸｻｽ NX 450h Fｽﾎﾟｰﾂ</t>
    <phoneticPr fontId="13"/>
  </si>
  <si>
    <t>ﾒﾙｾﾃﾞｽﾍﾞﾝﾂ GLE350d 4マチック</t>
    <phoneticPr fontId="13"/>
  </si>
  <si>
    <t>9/5/18</t>
    <phoneticPr fontId="13"/>
  </si>
  <si>
    <t>ﾊﾟｯｿ  ﾌﾟﾗｽﾊﾅ</t>
    <phoneticPr fontId="13"/>
  </si>
  <si>
    <t>島根 583 き 3587</t>
    <rPh sb="0" eb="2">
      <t>シマネ</t>
    </rPh>
    <phoneticPr fontId="13"/>
  </si>
  <si>
    <t>三河 584 あ 324</t>
    <rPh sb="0" eb="2">
      <t>ミカワ</t>
    </rPh>
    <phoneticPr fontId="13"/>
  </si>
  <si>
    <t>甲斐 利章</t>
    <rPh sb="0" eb="1">
      <t>コウ</t>
    </rPh>
    <rPh sb="3" eb="4">
      <t>トシ</t>
    </rPh>
    <rPh sb="4" eb="5">
      <t>ショウ</t>
    </rPh>
    <phoneticPr fontId="13"/>
  </si>
  <si>
    <t>練馬 580 て 5290</t>
    <rPh sb="0" eb="2">
      <t>ネリマ</t>
    </rPh>
    <phoneticPr fontId="13"/>
  </si>
  <si>
    <t>大久保 学</t>
    <rPh sb="0" eb="3">
      <t>オオクボ</t>
    </rPh>
    <rPh sb="4" eb="5">
      <t>マナ</t>
    </rPh>
    <phoneticPr fontId="13"/>
  </si>
  <si>
    <t xml:space="preserve">地図SD(車内)保証書 取説 ﾅﾋﾞ取 </t>
    <rPh sb="0" eb="2">
      <t>チズ</t>
    </rPh>
    <rPh sb="8" eb="11">
      <t>ホショウショ</t>
    </rPh>
    <rPh sb="12" eb="14">
      <t>トリセツ</t>
    </rPh>
    <rPh sb="18" eb="19">
      <t>トリ</t>
    </rPh>
    <phoneticPr fontId="13"/>
  </si>
  <si>
    <t>501 ゆ 2008</t>
    <phoneticPr fontId="13"/>
  </si>
  <si>
    <t>501 ゆ 2009</t>
    <phoneticPr fontId="13"/>
  </si>
  <si>
    <t>301 ね 3766</t>
    <phoneticPr fontId="13"/>
  </si>
  <si>
    <t>八王子 480 そ 4743</t>
    <rPh sb="0" eb="3">
      <t>ハチオウジ</t>
    </rPh>
    <phoneticPr fontId="13"/>
  </si>
  <si>
    <t>岡部 晴彦</t>
    <rPh sb="0" eb="2">
      <t>オカベ</t>
    </rPh>
    <rPh sb="3" eb="5">
      <t>ハルヒコ</t>
    </rPh>
    <phoneticPr fontId="13"/>
  </si>
  <si>
    <t>A310613</t>
    <phoneticPr fontId="13"/>
  </si>
  <si>
    <t>HE22S-443684</t>
    <phoneticPr fontId="13"/>
  </si>
  <si>
    <t>品川 39A む 4405</t>
    <rPh sb="0" eb="2">
      <t>シナガワ</t>
    </rPh>
    <phoneticPr fontId="13"/>
  </si>
  <si>
    <t>ｶｰﾄﾞｷｰ</t>
    <phoneticPr fontId="13"/>
  </si>
  <si>
    <t>品川 39A む 4402</t>
    <rPh sb="0" eb="2">
      <t>シナガワ</t>
    </rPh>
    <phoneticPr fontId="13"/>
  </si>
  <si>
    <t>27-1724</t>
  </si>
  <si>
    <t>27-1725</t>
  </si>
  <si>
    <t>ｺﾍﾟﾝ ﾛｰﾌﾞ</t>
    <phoneticPr fontId="13"/>
  </si>
  <si>
    <t>27-1726</t>
  </si>
  <si>
    <t>27-1727</t>
  </si>
  <si>
    <t>27-1728</t>
  </si>
  <si>
    <t>27-1729</t>
  </si>
  <si>
    <t>27-1730</t>
  </si>
  <si>
    <t>27-1731</t>
  </si>
  <si>
    <t>27-1732</t>
  </si>
  <si>
    <t>27-1733</t>
  </si>
  <si>
    <t>27-1734</t>
  </si>
  <si>
    <t>27-1735</t>
  </si>
  <si>
    <t>27-1736</t>
  </si>
  <si>
    <t>27-1737</t>
  </si>
  <si>
    <t>27-1738</t>
  </si>
  <si>
    <t>27-1739</t>
  </si>
  <si>
    <t>27-1740</t>
  </si>
  <si>
    <t>27-1741</t>
  </si>
  <si>
    <t>27-1742</t>
  </si>
  <si>
    <t>27-1743</t>
  </si>
  <si>
    <t>27-1744</t>
  </si>
  <si>
    <t>MH34S-517613</t>
    <phoneticPr fontId="13"/>
  </si>
  <si>
    <t>ｽﾍﾟｰｼｱｶｽﾀﾑ ﾊｲﾌﾞﾘｯﾄﾞ</t>
    <phoneticPr fontId="13"/>
  </si>
  <si>
    <t>MK94S-117377</t>
    <phoneticPr fontId="13"/>
  </si>
  <si>
    <t>LA800S-0249892</t>
    <phoneticPr fontId="13"/>
  </si>
  <si>
    <t>ﾜｺﾞﾝRｶｽﾀﾑ Zﾊｲﾌﾞﾘｯﾄﾞ</t>
    <phoneticPr fontId="13"/>
  </si>
  <si>
    <t>MH95S-220907</t>
    <phoneticPr fontId="13"/>
  </si>
  <si>
    <t>ｴﾌﾞﾘｨｼﾞｮｲﾝ ﾃﾞｭｱﾙ</t>
    <phoneticPr fontId="13"/>
  </si>
  <si>
    <t>DA17V-616558</t>
    <phoneticPr fontId="13"/>
  </si>
  <si>
    <t>S700V-0006989</t>
    <phoneticPr fontId="13"/>
  </si>
  <si>
    <t>MR41S-331104</t>
    <phoneticPr fontId="13"/>
  </si>
  <si>
    <t xml:space="preserve">ｴﾌﾞﾘｨｼﾞｮｲﾝ ﾀｰﾎﾞ </t>
    <phoneticPr fontId="13"/>
  </si>
  <si>
    <t>DA17V-860642</t>
    <phoneticPr fontId="13"/>
  </si>
  <si>
    <t>YV1ZZL1MCN2089744</t>
    <phoneticPr fontId="13"/>
  </si>
  <si>
    <t>ｸﾛｽﾋﾞｰﾊｲﾌﾞﾘｯﾄﾞMZ</t>
    <phoneticPr fontId="13"/>
  </si>
  <si>
    <t>MN71S-210358</t>
    <phoneticPr fontId="13"/>
  </si>
  <si>
    <t>ﾊｽﾗｰ Jｽﾀｲﾙ 2ﾀｰﾎﾞ</t>
    <phoneticPr fontId="13"/>
  </si>
  <si>
    <t>MR41S-604044</t>
    <phoneticPr fontId="13"/>
  </si>
  <si>
    <t>L700S-0335860</t>
    <phoneticPr fontId="13"/>
  </si>
  <si>
    <t>9/3/9</t>
    <phoneticPr fontId="13"/>
  </si>
  <si>
    <t>ﾑｰﾌﾞｷｬﾝﾊﾟｽ G SA3</t>
    <phoneticPr fontId="13"/>
  </si>
  <si>
    <t>9/8/30</t>
    <phoneticPr fontId="13"/>
  </si>
  <si>
    <t>8/5/22</t>
    <phoneticPr fontId="13"/>
  </si>
  <si>
    <t>8/10/21</t>
    <phoneticPr fontId="13"/>
  </si>
  <si>
    <t>ﾎﾞﾙﾎﾞ V60 ｸﾛｽｶﾝﾄﾘｰ B5</t>
    <phoneticPr fontId="13"/>
  </si>
  <si>
    <t>9/1/19</t>
    <phoneticPr fontId="13"/>
  </si>
  <si>
    <t>8/12/11</t>
    <phoneticPr fontId="13"/>
  </si>
  <si>
    <t>ZIP保証書にならず一旦そのまま送る</t>
    <rPh sb="3" eb="6">
      <t>ホショウショ</t>
    </rPh>
    <rPh sb="10" eb="12">
      <t>イッタン</t>
    </rPh>
    <rPh sb="16" eb="17">
      <t>オク</t>
    </rPh>
    <phoneticPr fontId="13"/>
  </si>
  <si>
    <t>齊藤 大将</t>
    <rPh sb="0" eb="2">
      <t>サイトウ</t>
    </rPh>
    <rPh sb="3" eb="4">
      <t>ダイ</t>
    </rPh>
    <rPh sb="4" eb="5">
      <t>マサ</t>
    </rPh>
    <phoneticPr fontId="13"/>
  </si>
  <si>
    <t>11/15</t>
    <phoneticPr fontId="13"/>
  </si>
  <si>
    <t>取説(車内)保証書 ﾜﾝｵｰﾅｰ</t>
    <rPh sb="0" eb="2">
      <t>トリセツ</t>
    </rPh>
    <rPh sb="6" eb="9">
      <t>ホショウショ</t>
    </rPh>
    <phoneticPr fontId="13"/>
  </si>
  <si>
    <t>大阪 593 き 222</t>
    <rPh sb="0" eb="2">
      <t>オオサカ</t>
    </rPh>
    <phoneticPr fontId="13"/>
  </si>
  <si>
    <t>長野ﾀﾞｲﾊﾂ販売株式会社</t>
    <rPh sb="0" eb="2">
      <t>ナガノ</t>
    </rPh>
    <rPh sb="7" eb="13">
      <t>ハンバイカブシキガイシャ</t>
    </rPh>
    <phoneticPr fontId="13"/>
  </si>
  <si>
    <t>VF1AH0009P0853406</t>
    <phoneticPr fontId="13"/>
  </si>
  <si>
    <t>NV100ｸﾘｯﾊﾟｰ G</t>
    <phoneticPr fontId="13"/>
  </si>
  <si>
    <t>DR17W-251426</t>
    <phoneticPr fontId="13"/>
  </si>
  <si>
    <t>LA900S-0032317</t>
    <phoneticPr fontId="13"/>
  </si>
  <si>
    <t>LA400K-0010854</t>
    <phoneticPr fontId="13"/>
  </si>
  <si>
    <t>ｴｽﾃｨﾏ ｱｴﾗｽ</t>
    <phoneticPr fontId="13"/>
  </si>
  <si>
    <t>ACR55-7026072</t>
    <phoneticPr fontId="13"/>
  </si>
  <si>
    <t>ﾀﾝﾄｶｽﾀﾑ RS ﾄｯﾌﾟｴﾃﾞｨｼｮﾝSA3</t>
    <phoneticPr fontId="13"/>
  </si>
  <si>
    <t>LA600S-0699311</t>
    <phoneticPr fontId="13"/>
  </si>
  <si>
    <t>9/11/5</t>
    <phoneticPr fontId="13"/>
  </si>
  <si>
    <t>和泉 587 ほ 1025</t>
    <rPh sb="0" eb="2">
      <t>イズミ</t>
    </rPh>
    <phoneticPr fontId="13"/>
  </si>
  <si>
    <t>ﾃﾞｲｽﾞﾙｰｸｽ ﾊｲｳｪｲｽﾀｰGﾀｰﾎﾞ</t>
    <phoneticPr fontId="13"/>
  </si>
  <si>
    <t>B21A-0546104</t>
    <phoneticPr fontId="13"/>
  </si>
  <si>
    <t>神戸 588 す 801</t>
    <rPh sb="0" eb="2">
      <t>コウベ</t>
    </rPh>
    <phoneticPr fontId="13"/>
  </si>
  <si>
    <t>JF1-2532234</t>
    <phoneticPr fontId="13"/>
  </si>
  <si>
    <t>ﾒﾙｾﾃﾞｽﾍﾞﾝﾂAｸﾗｽ 200d AMGﾗｲﾝ</t>
    <phoneticPr fontId="13"/>
  </si>
  <si>
    <t>W1K1770122V053210</t>
    <phoneticPr fontId="13"/>
  </si>
  <si>
    <t>WHWVU520503D54838</t>
    <phoneticPr fontId="13"/>
  </si>
  <si>
    <t>和泉 330 す 695</t>
    <rPh sb="0" eb="2">
      <t>イズミ</t>
    </rPh>
    <phoneticPr fontId="13"/>
  </si>
  <si>
    <t>VF1AH0009M0823396</t>
    <phoneticPr fontId="13"/>
  </si>
  <si>
    <t>高松 500 せ 9492</t>
    <rPh sb="0" eb="2">
      <t>タカマツ</t>
    </rPh>
    <phoneticPr fontId="13"/>
  </si>
  <si>
    <t>ﾌﾟﾘｳｽ ｱﾙﾌｧｰ S ﾁｭｰﾝﾌﾞﾗｯｸ</t>
    <phoneticPr fontId="13"/>
  </si>
  <si>
    <t>ZVW41-0055336</t>
    <phoneticPr fontId="13"/>
  </si>
  <si>
    <t>姫路 301 さ 3104</t>
    <rPh sb="0" eb="2">
      <t>ヒメジ</t>
    </rPh>
    <phoneticPr fontId="13"/>
  </si>
  <si>
    <t>JP1-1909641</t>
    <phoneticPr fontId="13"/>
  </si>
  <si>
    <t>DA17W-259337</t>
    <phoneticPr fontId="13"/>
  </si>
  <si>
    <t>和歌山 583 ふ 41</t>
    <rPh sb="0" eb="3">
      <t>ワカヤマ</t>
    </rPh>
    <phoneticPr fontId="13"/>
  </si>
  <si>
    <t>ｱｳﾃﾞｨS3 ｽﾎﾟｰﾂﾊﾞｯｸ</t>
    <phoneticPr fontId="13"/>
  </si>
  <si>
    <t>WAUZZZ8V2KA002912</t>
    <phoneticPr fontId="13"/>
  </si>
  <si>
    <t>名古屋 651 つ 105</t>
    <rPh sb="0" eb="3">
      <t>ナゴヤ</t>
    </rPh>
    <phoneticPr fontId="13"/>
  </si>
  <si>
    <t>福岡 330 る 5039</t>
    <rPh sb="0" eb="2">
      <t>フクオカ</t>
    </rPh>
    <phoneticPr fontId="13"/>
  </si>
  <si>
    <t>習志野 331 つ 8887</t>
    <rPh sb="0" eb="3">
      <t>ナラシノ</t>
    </rPh>
    <phoneticPr fontId="13"/>
  </si>
  <si>
    <t>ｽﾍﾟｰｼｱｶｽﾀﾑﾊｲﾌﾞﾘｯﾄﾞXSﾀｰﾎﾞ</t>
    <phoneticPr fontId="13"/>
  </si>
  <si>
    <t>MK53S-931711</t>
    <phoneticPr fontId="13"/>
  </si>
  <si>
    <t>高松 580 く 565</t>
    <rPh sb="0" eb="2">
      <t>タカマツ</t>
    </rPh>
    <phoneticPr fontId="13"/>
  </si>
  <si>
    <t>SALVA2AXXJH293170</t>
    <phoneticPr fontId="13"/>
  </si>
  <si>
    <t>高松　510 す 404</t>
    <rPh sb="0" eb="2">
      <t>タカマツ</t>
    </rPh>
    <phoneticPr fontId="13"/>
  </si>
  <si>
    <t>株式会社ﾎﾝﾀﾞﾓﾋﾞﾘﾃｨ中四国</t>
    <rPh sb="0" eb="4">
      <t>カブシキガイシャ</t>
    </rPh>
    <rPh sb="14" eb="17">
      <t>チュウシコク</t>
    </rPh>
    <phoneticPr fontId="13"/>
  </si>
  <si>
    <t>WMWXU72090TR63208</t>
    <phoneticPr fontId="13"/>
  </si>
  <si>
    <t>VF1AH0006L0807784</t>
    <phoneticPr fontId="13"/>
  </si>
  <si>
    <t>松岡　宏一</t>
    <rPh sb="0" eb="2">
      <t>マツオカ</t>
    </rPh>
    <rPh sb="3" eb="5">
      <t>ヒロイチ</t>
    </rPh>
    <phoneticPr fontId="13"/>
  </si>
  <si>
    <t>和歌山 510 ひ 333</t>
    <rPh sb="0" eb="3">
      <t>ワカヤマ</t>
    </rPh>
    <phoneticPr fontId="13"/>
  </si>
  <si>
    <t>株式会社木下ﾓｰﾀｰｽ</t>
    <rPh sb="0" eb="4">
      <t>カブシキガイシャ</t>
    </rPh>
    <rPh sb="4" eb="6">
      <t>キノシタ</t>
    </rPh>
    <phoneticPr fontId="13"/>
  </si>
  <si>
    <t>保証書　取説　ｽﾍﾟｱｷｰ(車内)</t>
    <rPh sb="0" eb="3">
      <t>ホショウショ</t>
    </rPh>
    <rPh sb="4" eb="6">
      <t>トリセツ</t>
    </rPh>
    <rPh sb="14" eb="16">
      <t>シャナイ</t>
    </rPh>
    <phoneticPr fontId="13"/>
  </si>
  <si>
    <t>ｷｬﾝｾﾙ</t>
    <phoneticPr fontId="13"/>
  </si>
  <si>
    <t>CAN</t>
    <phoneticPr fontId="13"/>
  </si>
  <si>
    <t>岐阜 332 に 902</t>
    <rPh sb="0" eb="2">
      <t>ギフ</t>
    </rPh>
    <phoneticPr fontId="13"/>
  </si>
  <si>
    <t>ﾈｯﾂﾄﾖﾀ岐阜株式会社</t>
    <rPh sb="6" eb="8">
      <t>ギフ</t>
    </rPh>
    <rPh sb="8" eb="12">
      <t>カブシキガイシャ</t>
    </rPh>
    <phoneticPr fontId="13"/>
  </si>
  <si>
    <t>11/16</t>
    <phoneticPr fontId="13"/>
  </si>
  <si>
    <t>保証書 取説 ﾅﾋﾞ取 ｷｰﾚｽ ﾜﾝｵｰﾅｰ</t>
    <rPh sb="0" eb="3">
      <t>ホショウショ</t>
    </rPh>
    <rPh sb="4" eb="6">
      <t>トリセツ</t>
    </rPh>
    <rPh sb="10" eb="11">
      <t>トリ</t>
    </rPh>
    <phoneticPr fontId="13"/>
  </si>
  <si>
    <t>保証書</t>
    <rPh sb="0" eb="3">
      <t>ホショウショ</t>
    </rPh>
    <phoneticPr fontId="13"/>
  </si>
  <si>
    <t>松下 政義</t>
    <rPh sb="0" eb="2">
      <t>マツシタ</t>
    </rPh>
    <rPh sb="3" eb="5">
      <t>マサヨシ</t>
    </rPh>
    <phoneticPr fontId="13"/>
  </si>
  <si>
    <r>
      <t xml:space="preserve">取説 ｷｰﾚｽ ﾏｲｸﾛSD ﾜﾝｵｰﾅｰ </t>
    </r>
    <r>
      <rPr>
        <sz val="11"/>
        <color rgb="FFFF0000"/>
        <rFont val="ＭＳ Ｐゴシック"/>
        <family val="3"/>
        <charset val="128"/>
        <scheme val="minor"/>
      </rPr>
      <t>名変期限12/25まで</t>
    </r>
    <rPh sb="0" eb="2">
      <t>トリセツ</t>
    </rPh>
    <rPh sb="22" eb="26">
      <t>メイヘンキゲン</t>
    </rPh>
    <phoneticPr fontId="13"/>
  </si>
  <si>
    <t>岩本 哲郎</t>
    <rPh sb="0" eb="2">
      <t>イワモト</t>
    </rPh>
    <rPh sb="3" eb="5">
      <t>テツロウ</t>
    </rPh>
    <phoneticPr fontId="13"/>
  </si>
  <si>
    <t>保証書 取説 ｽﾍﾟｱｷｰ ﾅﾋﾞ取 ﾜﾝｵｰﾅｰ</t>
    <rPh sb="0" eb="3">
      <t>ホショウショ</t>
    </rPh>
    <rPh sb="4" eb="6">
      <t>トリセツ</t>
    </rPh>
    <rPh sb="17" eb="18">
      <t>トリ</t>
    </rPh>
    <phoneticPr fontId="13"/>
  </si>
  <si>
    <t>山下 真岐</t>
    <rPh sb="0" eb="2">
      <t>ヤマシタ</t>
    </rPh>
    <rPh sb="3" eb="4">
      <t>マ</t>
    </rPh>
    <rPh sb="4" eb="5">
      <t>チマタ</t>
    </rPh>
    <phoneticPr fontId="13"/>
  </si>
  <si>
    <t>保証書 取説 ｷｰﾚｽ</t>
    <rPh sb="0" eb="3">
      <t>ホショウショ</t>
    </rPh>
    <rPh sb="4" eb="6">
      <t>トリセツ</t>
    </rPh>
    <phoneticPr fontId="13"/>
  </si>
  <si>
    <t>大阪 399 ゆ 92</t>
    <rPh sb="0" eb="2">
      <t>オオサカ</t>
    </rPh>
    <phoneticPr fontId="13"/>
  </si>
  <si>
    <t>株式会社ﾓﾄｰﾚﾝ阪神</t>
    <rPh sb="0" eb="4">
      <t>カブシキガイシャ</t>
    </rPh>
    <rPh sb="9" eb="11">
      <t>ハンシン</t>
    </rPh>
    <phoneticPr fontId="13"/>
  </si>
  <si>
    <t>保証書 取説 ｷｰﾚｽ ﾜﾝｵｰﾅｰ</t>
    <rPh sb="0" eb="3">
      <t>ホショウショ</t>
    </rPh>
    <rPh sb="4" eb="6">
      <t>トリセツ</t>
    </rPh>
    <phoneticPr fontId="13"/>
  </si>
  <si>
    <t>株式会社ﾓﾄｰﾚﾝﾃｨｰｱｲ</t>
    <rPh sb="0" eb="4">
      <t>カブシキガイシャ</t>
    </rPh>
    <phoneticPr fontId="13"/>
  </si>
  <si>
    <t>株式会社ｾﾌﾞﾝｽﾀｰ</t>
    <rPh sb="0" eb="4">
      <t>カブシキガイシャ</t>
    </rPh>
    <phoneticPr fontId="13"/>
  </si>
  <si>
    <t>愛媛 300 ら 3646</t>
    <rPh sb="0" eb="2">
      <t>エヒメ</t>
    </rPh>
    <phoneticPr fontId="13"/>
  </si>
  <si>
    <t>ｱﾙｽﾀｰｵｰﾄ株式会社</t>
    <rPh sb="8" eb="12">
      <t>カブシキガイシャ</t>
    </rPh>
    <phoneticPr fontId="13"/>
  </si>
  <si>
    <t>浜松 538 む 321</t>
    <rPh sb="0" eb="2">
      <t>ハママツ</t>
    </rPh>
    <phoneticPr fontId="13"/>
  </si>
  <si>
    <t>株式会社WECARS</t>
    <rPh sb="0" eb="4">
      <t>カブシキガイシャ</t>
    </rPh>
    <phoneticPr fontId="13"/>
  </si>
  <si>
    <t>ｽﾍﾟｱｷｰ(車内)保証書 取説 ﾜﾝｵｰﾅｰ</t>
    <rPh sb="10" eb="13">
      <t>ホショウショ</t>
    </rPh>
    <rPh sb="14" eb="16">
      <t>トリセツ</t>
    </rPh>
    <phoneticPr fontId="13"/>
  </si>
  <si>
    <t>WMWXU920502N06204</t>
    <phoneticPr fontId="13"/>
  </si>
  <si>
    <t>株式会社ﾎﾝﾀﾞﾓﾋﾞﾘﾃｨ近畿</t>
    <rPh sb="0" eb="4">
      <t>カブシキガイシャ</t>
    </rPh>
    <rPh sb="14" eb="16">
      <t>キンキ</t>
    </rPh>
    <phoneticPr fontId="13"/>
  </si>
  <si>
    <t>千葉 583 な 2730</t>
    <rPh sb="0" eb="2">
      <t>チバ</t>
    </rPh>
    <phoneticPr fontId="13"/>
  </si>
  <si>
    <t>高垣 早苗</t>
    <rPh sb="0" eb="2">
      <t>タカガキ</t>
    </rPh>
    <rPh sb="3" eb="5">
      <t>サナエ</t>
    </rPh>
    <phoneticPr fontId="13"/>
  </si>
  <si>
    <t>保証書 ｽﾍﾟｱｷｰ</t>
    <rPh sb="0" eb="3">
      <t>ホショウショ</t>
    </rPh>
    <phoneticPr fontId="13"/>
  </si>
  <si>
    <t>福山 580 ま 8762</t>
    <rPh sb="0" eb="2">
      <t>フクヤマ</t>
    </rPh>
    <phoneticPr fontId="13"/>
  </si>
  <si>
    <t>保証書 取説</t>
    <rPh sb="0" eb="3">
      <t>ホショウショ</t>
    </rPh>
    <rPh sb="4" eb="6">
      <t>トリセツ</t>
    </rPh>
    <phoneticPr fontId="13"/>
  </si>
  <si>
    <t>瓦田 雄介</t>
    <rPh sb="0" eb="1">
      <t>カワラ</t>
    </rPh>
    <rPh sb="1" eb="2">
      <t>ダ</t>
    </rPh>
    <rPh sb="3" eb="5">
      <t>ユウスケ</t>
    </rPh>
    <phoneticPr fontId="13"/>
  </si>
  <si>
    <t>和歌山 330 た 1556</t>
    <rPh sb="0" eb="3">
      <t>ワカヤマ</t>
    </rPh>
    <phoneticPr fontId="13"/>
  </si>
  <si>
    <t>ﾎﾝﾀﾞﾌｧｲﾅﾝｽ</t>
    <phoneticPr fontId="13"/>
  </si>
  <si>
    <t>神戸 588 ふ 523</t>
    <rPh sb="0" eb="2">
      <t>コウベ</t>
    </rPh>
    <phoneticPr fontId="13"/>
  </si>
  <si>
    <t>西坂 秀彦</t>
    <rPh sb="0" eb="2">
      <t>ニシザカ</t>
    </rPh>
    <rPh sb="3" eb="5">
      <t>ヒデヒコ</t>
    </rPh>
    <phoneticPr fontId="13"/>
  </si>
  <si>
    <t>大阪 587 む 99</t>
    <rPh sb="0" eb="2">
      <t>オオサカ</t>
    </rPh>
    <phoneticPr fontId="13"/>
  </si>
  <si>
    <t>小林 莉久</t>
    <rPh sb="0" eb="2">
      <t>コバヤシ</t>
    </rPh>
    <rPh sb="3" eb="5">
      <t>リク</t>
    </rPh>
    <phoneticPr fontId="13"/>
  </si>
  <si>
    <t>27-1745</t>
  </si>
  <si>
    <t>27-1746</t>
  </si>
  <si>
    <t>27-1747</t>
  </si>
  <si>
    <t>27-1748</t>
  </si>
  <si>
    <t>27-1749</t>
  </si>
  <si>
    <t>ZIP東京</t>
    <rPh sb="3" eb="5">
      <t>トウキョウ</t>
    </rPh>
    <phoneticPr fontId="13"/>
  </si>
  <si>
    <t>WAUZZZF58HA026224</t>
    <phoneticPr fontId="13"/>
  </si>
  <si>
    <t>27-1750</t>
  </si>
  <si>
    <t>27-1751</t>
  </si>
  <si>
    <t>27-1752</t>
  </si>
  <si>
    <t>27-1753</t>
  </si>
  <si>
    <t>27-1754</t>
  </si>
  <si>
    <t>27-1755</t>
  </si>
  <si>
    <t>27-1756</t>
  </si>
  <si>
    <t>27-1757</t>
  </si>
  <si>
    <t>27-1758</t>
  </si>
  <si>
    <t>27-1759</t>
  </si>
  <si>
    <t>27-1760</t>
  </si>
  <si>
    <t>27-1761</t>
  </si>
  <si>
    <t>ﾎﾝﾀﾞ東京</t>
    <rPh sb="4" eb="6">
      <t>トウキョウ</t>
    </rPh>
    <phoneticPr fontId="13"/>
  </si>
  <si>
    <t>2/6</t>
    <phoneticPr fontId="13"/>
  </si>
  <si>
    <t>青</t>
    <rPh sb="0" eb="1">
      <t>アオ</t>
    </rPh>
    <phoneticPr fontId="13"/>
  </si>
  <si>
    <t>XC40 T5AWDｲﾝｽｸﾘﾌﾟｼｮﾝ</t>
    <phoneticPr fontId="13"/>
  </si>
  <si>
    <t>9/6</t>
    <phoneticPr fontId="13"/>
  </si>
  <si>
    <t>YV1XZ16MCL2294077</t>
    <phoneticPr fontId="13"/>
  </si>
  <si>
    <t>横浜 366 ね 1213</t>
    <rPh sb="0" eb="2">
      <t>ヨコハマ</t>
    </rPh>
    <phoneticPr fontId="13"/>
  </si>
  <si>
    <t>3/11</t>
    <phoneticPr fontId="13"/>
  </si>
  <si>
    <t>黒</t>
    <rPh sb="0" eb="1">
      <t>クロ</t>
    </rPh>
    <phoneticPr fontId="13"/>
  </si>
  <si>
    <t>BMWﾐﾆｸｰﾊﾟｰ D ｸﾛｽｵｰﾊﾞｰ</t>
    <phoneticPr fontId="13"/>
  </si>
  <si>
    <t>WMW42BT0703N65702</t>
    <phoneticPr fontId="13"/>
  </si>
  <si>
    <t>8/11</t>
    <phoneticPr fontId="13"/>
  </si>
  <si>
    <t>八王子 343 て 1020</t>
    <rPh sb="0" eb="3">
      <t>ハチオウジ</t>
    </rPh>
    <phoneticPr fontId="13"/>
  </si>
  <si>
    <t>29/7</t>
    <phoneticPr fontId="13"/>
  </si>
  <si>
    <t>ｱｳﾃﾞｨA5 SB 2.0TFSIｸﾜﾄﾛ</t>
    <phoneticPr fontId="13"/>
  </si>
  <si>
    <t>8/7</t>
    <phoneticPr fontId="13"/>
  </si>
  <si>
    <t>川越 333 ら 8787</t>
    <rPh sb="0" eb="2">
      <t>カワゴエ</t>
    </rPh>
    <phoneticPr fontId="13"/>
  </si>
  <si>
    <t>1275回37590売ｷｬﾝｾﾙ</t>
    <rPh sb="4" eb="5">
      <t>カイ</t>
    </rPh>
    <rPh sb="10" eb="11">
      <t>ウ</t>
    </rPh>
    <phoneticPr fontId="13"/>
  </si>
  <si>
    <t>神戸 360 り 1014</t>
    <rPh sb="0" eb="2">
      <t>コウベ</t>
    </rPh>
    <phoneticPr fontId="13"/>
  </si>
  <si>
    <t>神戸ﾄﾖﾍﾟｯﾄ株式会社</t>
    <rPh sb="0" eb="2">
      <t>コウベ</t>
    </rPh>
    <rPh sb="8" eb="12">
      <t>カブシキガイシャ</t>
    </rPh>
    <phoneticPr fontId="13"/>
  </si>
  <si>
    <t>11/17</t>
    <phoneticPr fontId="13"/>
  </si>
  <si>
    <t>ｷｰﾚｽ 記録紙1枚(車内)保証書 ﾜﾝｵｰﾅｰ</t>
    <rPh sb="5" eb="8">
      <t>キロクシ</t>
    </rPh>
    <rPh sb="9" eb="10">
      <t>マイ</t>
    </rPh>
    <rPh sb="14" eb="17">
      <t>ホショウショ</t>
    </rPh>
    <phoneticPr fontId="13"/>
  </si>
  <si>
    <t>ｷｬﾝｾﾙ 書類返送11/17</t>
    <rPh sb="6" eb="8">
      <t>ショルイ</t>
    </rPh>
    <rPh sb="8" eb="10">
      <t>ヘンソウ</t>
    </rPh>
    <phoneticPr fontId="13"/>
  </si>
  <si>
    <t>ｵｰｸﾈｯﾄ</t>
    <phoneticPr fontId="13"/>
  </si>
  <si>
    <t>1/11</t>
    <phoneticPr fontId="13"/>
  </si>
  <si>
    <t>白</t>
    <rPh sb="0" eb="1">
      <t>シロ</t>
    </rPh>
    <phoneticPr fontId="13"/>
  </si>
  <si>
    <t>ﾒﾙｾﾃﾞｽﾍﾞﾝﾂ Bｸﾗｽ 200d AMGﾗｲﾝ</t>
    <phoneticPr fontId="13"/>
  </si>
  <si>
    <t>WDD2470122J064400</t>
    <phoneticPr fontId="13"/>
  </si>
  <si>
    <t>30/9</t>
    <phoneticPr fontId="13"/>
  </si>
  <si>
    <t>WAUZZZ4M9JD059537</t>
    <phoneticPr fontId="13"/>
  </si>
  <si>
    <t>30/12</t>
    <phoneticPr fontId="13"/>
  </si>
  <si>
    <t>紺</t>
    <rPh sb="0" eb="1">
      <t>コン</t>
    </rPh>
    <phoneticPr fontId="13"/>
  </si>
  <si>
    <t>BMW 4ｼﾘｰｽﾞ ｸﾞﾗﾝｸｰﾍﾟ 440i ｲﾝｽﾀｲﾙｽﾎﾟｰﾂ</t>
    <phoneticPr fontId="13"/>
  </si>
  <si>
    <t>WBA4J52090BH83655</t>
    <phoneticPr fontId="13"/>
  </si>
  <si>
    <t>7/12</t>
    <phoneticPr fontId="13"/>
  </si>
  <si>
    <t>HAA神戸</t>
    <rPh sb="3" eb="5">
      <t>コウベ</t>
    </rPh>
    <phoneticPr fontId="13"/>
  </si>
  <si>
    <t>HAA神</t>
    <rPh sb="3" eb="4">
      <t>カミ</t>
    </rPh>
    <phoneticPr fontId="13"/>
  </si>
  <si>
    <t>ﾎﾝﾀﾞ名古屋</t>
    <rPh sb="4" eb="7">
      <t>ナゴヤ</t>
    </rPh>
    <phoneticPr fontId="13"/>
  </si>
  <si>
    <t>29/8</t>
    <phoneticPr fontId="13"/>
  </si>
  <si>
    <t>茶色</t>
    <rPh sb="0" eb="2">
      <t>チャイロ</t>
    </rPh>
    <phoneticPr fontId="13"/>
  </si>
  <si>
    <t>ﾒﾙｾﾃﾞｽﾍﾞﾝﾂ Bｸﾗｽ180</t>
    <phoneticPr fontId="13"/>
  </si>
  <si>
    <t>WDD2462422J457631</t>
    <phoneticPr fontId="13"/>
  </si>
  <si>
    <t>8/8</t>
    <phoneticPr fontId="13"/>
  </si>
  <si>
    <t>浜松 358 た 1188</t>
    <rPh sb="0" eb="2">
      <t>ハママツ</t>
    </rPh>
    <phoneticPr fontId="13"/>
  </si>
  <si>
    <t>581 の 6112</t>
    <phoneticPr fontId="13"/>
  </si>
  <si>
    <t>582 い 4397</t>
    <phoneticPr fontId="13"/>
  </si>
  <si>
    <t xml:space="preserve"> </t>
    <phoneticPr fontId="13"/>
  </si>
  <si>
    <t>582 い 4398</t>
    <phoneticPr fontId="13"/>
  </si>
  <si>
    <t>582 い 4399</t>
    <phoneticPr fontId="13"/>
  </si>
  <si>
    <t>582 い 4400</t>
    <phoneticPr fontId="13"/>
  </si>
  <si>
    <t>582 い 4393</t>
    <phoneticPr fontId="13"/>
  </si>
  <si>
    <t>480 ね 2116</t>
    <phoneticPr fontId="13"/>
  </si>
  <si>
    <t>582 い 4394</t>
    <phoneticPr fontId="13"/>
  </si>
  <si>
    <t>582 い 4395</t>
    <phoneticPr fontId="13"/>
  </si>
  <si>
    <t>582 い 4396</t>
    <phoneticPr fontId="13"/>
  </si>
  <si>
    <t>582 い 4392</t>
    <phoneticPr fontId="13"/>
  </si>
  <si>
    <t>取説 ｷｰﾚｽ SD(車内)</t>
    <rPh sb="0" eb="2">
      <t>トリセツ</t>
    </rPh>
    <rPh sb="11" eb="13">
      <t>シャナイ</t>
    </rPh>
    <phoneticPr fontId="13"/>
  </si>
  <si>
    <t>2/9</t>
    <phoneticPr fontId="13"/>
  </si>
  <si>
    <t>ﾌｨｱｯﾄ500 ﾂｲﾝｴｱﾗｳﾝｼﾞ</t>
    <phoneticPr fontId="13"/>
  </si>
  <si>
    <t>取説 ｷｰﾚｽ(車内)保証書 ﾚﾝﾀｶｰ</t>
    <rPh sb="0" eb="2">
      <t>トリセツ</t>
    </rPh>
    <rPh sb="8" eb="10">
      <t>シャナイ</t>
    </rPh>
    <rPh sb="11" eb="14">
      <t>ホショウショ</t>
    </rPh>
    <phoneticPr fontId="13"/>
  </si>
  <si>
    <t>保証書 ｽﾍﾟｱｷｰ(車内)</t>
    <rPh sb="0" eb="3">
      <t>ホショウショ</t>
    </rPh>
    <rPh sb="11" eb="13">
      <t>シャナイ</t>
    </rPh>
    <phoneticPr fontId="13"/>
  </si>
  <si>
    <t>保証書 取説 ｷｰﾚｽ(車内)</t>
    <rPh sb="0" eb="3">
      <t>ホショウショ</t>
    </rPh>
    <rPh sb="4" eb="6">
      <t>トリセツ</t>
    </rPh>
    <rPh sb="12" eb="14">
      <t>シャナイ</t>
    </rPh>
    <phoneticPr fontId="13"/>
  </si>
  <si>
    <t>地図SD(車内)</t>
    <rPh sb="0" eb="2">
      <t>チズ</t>
    </rPh>
    <rPh sb="5" eb="7">
      <t>シャナイ</t>
    </rPh>
    <phoneticPr fontId="13"/>
  </si>
  <si>
    <t>582 い 4387</t>
    <phoneticPr fontId="13"/>
  </si>
  <si>
    <t>480 ね 2115</t>
    <phoneticPr fontId="13"/>
  </si>
  <si>
    <t>582 い 4385</t>
    <phoneticPr fontId="13"/>
  </si>
  <si>
    <t>582 い 4383</t>
    <phoneticPr fontId="13"/>
  </si>
  <si>
    <t>582 い 4381</t>
    <phoneticPr fontId="13"/>
  </si>
  <si>
    <t>480 ね 2114</t>
    <phoneticPr fontId="13"/>
  </si>
  <si>
    <t>480 ね 2113</t>
    <phoneticPr fontId="13"/>
  </si>
  <si>
    <t>582 い 4377</t>
    <phoneticPr fontId="13"/>
  </si>
  <si>
    <t>582 い 4386</t>
    <phoneticPr fontId="13"/>
  </si>
  <si>
    <t>582 い 4384</t>
    <phoneticPr fontId="13"/>
  </si>
  <si>
    <t>582 い 4382</t>
    <phoneticPr fontId="13"/>
  </si>
  <si>
    <t>582 い 4380</t>
    <phoneticPr fontId="13"/>
  </si>
  <si>
    <t>582 い 4379</t>
    <phoneticPr fontId="13"/>
  </si>
  <si>
    <t>582 い 4378</t>
    <phoneticPr fontId="13"/>
  </si>
  <si>
    <t>582 い 4376</t>
    <phoneticPr fontId="13"/>
  </si>
  <si>
    <t>582 い 4401</t>
    <phoneticPr fontId="13"/>
  </si>
  <si>
    <t>地図SD車内なし</t>
    <rPh sb="0" eb="2">
      <t>チズ</t>
    </rPh>
    <rPh sb="4" eb="6">
      <t>シャナイ</t>
    </rPh>
    <phoneticPr fontId="13"/>
  </si>
  <si>
    <t>品番；NSZA-X64T</t>
    <rPh sb="0" eb="2">
      <t>ヒンバン</t>
    </rPh>
    <phoneticPr fontId="13"/>
  </si>
  <si>
    <t>品番；AVN-P10W</t>
    <rPh sb="0" eb="2">
      <t>ヒンバン</t>
    </rPh>
    <phoneticPr fontId="13"/>
  </si>
  <si>
    <t>品番；MM318D-W</t>
    <rPh sb="0" eb="2">
      <t>ヒンバン</t>
    </rPh>
    <phoneticPr fontId="13"/>
  </si>
  <si>
    <t>A312667</t>
    <phoneticPr fontId="13"/>
  </si>
  <si>
    <t>7/2</t>
    <phoneticPr fontId="13"/>
  </si>
  <si>
    <t>ﾚｸｻｽ LBX MORIZO RR</t>
    <phoneticPr fontId="13"/>
  </si>
  <si>
    <t>GAYA16-0001923</t>
    <phoneticPr fontId="13"/>
  </si>
  <si>
    <t>10/2/6</t>
    <phoneticPr fontId="13"/>
  </si>
  <si>
    <t>301 ね 3823</t>
    <phoneticPr fontId="13"/>
  </si>
  <si>
    <t>501 ゆ 2048</t>
    <phoneticPr fontId="13"/>
  </si>
  <si>
    <t>川越 335 ち 9000</t>
    <rPh sb="0" eb="2">
      <t>カワゴエ</t>
    </rPh>
    <phoneticPr fontId="13"/>
  </si>
  <si>
    <t>鶴若 流星</t>
    <rPh sb="0" eb="2">
      <t>ツルワカ</t>
    </rPh>
    <rPh sb="3" eb="5">
      <t>リュウセイ</t>
    </rPh>
    <phoneticPr fontId="13"/>
  </si>
  <si>
    <t>保証書 取説 ﾅﾋﾞ取</t>
    <rPh sb="0" eb="3">
      <t>ホショウショ</t>
    </rPh>
    <rPh sb="4" eb="6">
      <t>トリセツ</t>
    </rPh>
    <rPh sb="10" eb="11">
      <t>トリ</t>
    </rPh>
    <phoneticPr fontId="13"/>
  </si>
  <si>
    <t>HAA神戸(ﾜﾝｸﾘ)</t>
    <rPh sb="3" eb="5">
      <t>コウベ</t>
    </rPh>
    <phoneticPr fontId="13"/>
  </si>
  <si>
    <t>HAA神戸(ﾜﾝｸﾘ)</t>
    <phoneticPr fontId="13"/>
  </si>
  <si>
    <t>480 ね 2117</t>
    <phoneticPr fontId="13"/>
  </si>
  <si>
    <t>582 い 4402</t>
    <phoneticPr fontId="13"/>
  </si>
  <si>
    <t>582 い 4390</t>
    <phoneticPr fontId="13"/>
  </si>
  <si>
    <t>582 い 4391</t>
    <phoneticPr fontId="13"/>
  </si>
  <si>
    <t>27-1762</t>
  </si>
  <si>
    <t>27-1763</t>
  </si>
  <si>
    <t>27-1764</t>
  </si>
  <si>
    <t>27-1765</t>
  </si>
  <si>
    <t>27-1766</t>
  </si>
  <si>
    <t>27-1767</t>
  </si>
  <si>
    <t>27-1768</t>
  </si>
  <si>
    <t>ｱｳﾃﾞｨ Q7 2.0TFSIｸﾜﾄﾛｴｱｻｽSﾗｲﾝ</t>
    <phoneticPr fontId="13"/>
  </si>
  <si>
    <t>27-1769</t>
  </si>
  <si>
    <t>福井 581 ろ 4828</t>
    <rPh sb="0" eb="2">
      <t>フクイ</t>
    </rPh>
    <phoneticPr fontId="13"/>
  </si>
  <si>
    <t>ﾄﾖﾀｶﾛｰﾗ福井株式会社</t>
    <rPh sb="7" eb="9">
      <t>フクイ</t>
    </rPh>
    <rPh sb="9" eb="13">
      <t>カブシキガイシャ</t>
    </rPh>
    <phoneticPr fontId="13"/>
  </si>
  <si>
    <t>11/18</t>
    <phoneticPr fontId="13"/>
  </si>
  <si>
    <t>なにわ 39A む 3950</t>
    <phoneticPr fontId="13"/>
  </si>
  <si>
    <t>株式会社ｼｭﾃﾙﾝ天王寺</t>
    <rPh sb="0" eb="4">
      <t>カブシキガイシャ</t>
    </rPh>
    <rPh sb="9" eb="12">
      <t>テンノウジ</t>
    </rPh>
    <phoneticPr fontId="13"/>
  </si>
  <si>
    <t>名古屋 307 ね 8261</t>
    <rPh sb="0" eb="3">
      <t>ナゴヤ</t>
    </rPh>
    <phoneticPr fontId="13"/>
  </si>
  <si>
    <t>ﾄﾖﾀｶﾛｰﾗ愛知株会社</t>
    <rPh sb="7" eb="9">
      <t>アイチ</t>
    </rPh>
    <rPh sb="9" eb="10">
      <t>カブ</t>
    </rPh>
    <rPh sb="10" eb="12">
      <t>ガイシャ</t>
    </rPh>
    <phoneticPr fontId="13"/>
  </si>
  <si>
    <t>金沢 399 ち 7682</t>
    <rPh sb="0" eb="2">
      <t>カナザワ</t>
    </rPh>
    <phoneticPr fontId="13"/>
  </si>
  <si>
    <t>ﾈｯﾂﾄﾖﾀ石川株式会社</t>
    <rPh sb="6" eb="8">
      <t>イシカワ</t>
    </rPh>
    <rPh sb="8" eb="12">
      <t>カブシキガイシャ</t>
    </rPh>
    <phoneticPr fontId="13"/>
  </si>
  <si>
    <t>ﾈｯﾂﾄﾖﾀ東名古屋株式会社</t>
    <rPh sb="6" eb="7">
      <t>ヒガシ</t>
    </rPh>
    <rPh sb="7" eb="10">
      <t>ナゴヤ</t>
    </rPh>
    <rPh sb="10" eb="14">
      <t>カブシキガイシャ</t>
    </rPh>
    <phoneticPr fontId="13"/>
  </si>
  <si>
    <t>保証書 取説 ｷｰﾚｽ(車内) SD ﾜﾝｵｰﾅｰ</t>
    <rPh sb="0" eb="3">
      <t>ホショウショ</t>
    </rPh>
    <rPh sb="4" eb="6">
      <t>トリセツ</t>
    </rPh>
    <rPh sb="12" eb="14">
      <t>シャナイ</t>
    </rPh>
    <phoneticPr fontId="13"/>
  </si>
  <si>
    <t>愛知ﾄﾖﾀEAST株式会社</t>
    <rPh sb="0" eb="2">
      <t>アイチ</t>
    </rPh>
    <rPh sb="9" eb="13">
      <t>カブシキガイシャ</t>
    </rPh>
    <phoneticPr fontId="13"/>
  </si>
  <si>
    <t>千葉 487 ろ 5951</t>
    <rPh sb="0" eb="2">
      <t>チバ</t>
    </rPh>
    <phoneticPr fontId="13"/>
  </si>
  <si>
    <t>取説 (車内)保証書</t>
    <rPh sb="0" eb="2">
      <t>トリセツ</t>
    </rPh>
    <rPh sb="7" eb="10">
      <t>ホショウショ</t>
    </rPh>
    <phoneticPr fontId="13"/>
  </si>
  <si>
    <t>神戸 582 ま 7220</t>
    <rPh sb="0" eb="2">
      <t>コウベ</t>
    </rPh>
    <phoneticPr fontId="13"/>
  </si>
  <si>
    <t>HE33S-218889</t>
    <phoneticPr fontId="13"/>
  </si>
  <si>
    <t>ﾌﾟｼﾞｮｰ 3008 GTﾗｲﾝ ﾌﾞﾙｰHdi</t>
    <phoneticPr fontId="13"/>
  </si>
  <si>
    <t>VF3MJEHZRKS507555</t>
    <phoneticPr fontId="13"/>
  </si>
  <si>
    <t xml:space="preserve">ﾌﾟﾛﾎﾞｯｸｽ DXｺﾝﾌｫｰﾄ </t>
    <phoneticPr fontId="13"/>
  </si>
  <si>
    <t>NCP160-0149779</t>
    <phoneticPr fontId="13"/>
  </si>
  <si>
    <t>WVWZZZ16ZKM703079</t>
    <phoneticPr fontId="13"/>
  </si>
  <si>
    <t>WMWXT320702H68311</t>
    <phoneticPr fontId="13"/>
  </si>
  <si>
    <t>富士山 440 な 117</t>
    <rPh sb="0" eb="3">
      <t>フジサン</t>
    </rPh>
    <phoneticPr fontId="13"/>
  </si>
  <si>
    <t>株式会社LEAP</t>
    <rPh sb="0" eb="4">
      <t>カブシキガイシャ</t>
    </rPh>
    <phoneticPr fontId="13"/>
  </si>
  <si>
    <t>保証書 取説 ｷｰﾚｽ 地図SD(車内)</t>
    <rPh sb="0" eb="3">
      <t>ホショウショ</t>
    </rPh>
    <rPh sb="4" eb="6">
      <t>トリセツ</t>
    </rPh>
    <rPh sb="12" eb="14">
      <t>チズ</t>
    </rPh>
    <rPh sb="17" eb="19">
      <t>シャナイ</t>
    </rPh>
    <phoneticPr fontId="13"/>
  </si>
  <si>
    <t>取説 ｷｰﾚｽ ﾏｲｸﾛSD(車内)保証書</t>
    <rPh sb="0" eb="2">
      <t>トリセツ</t>
    </rPh>
    <rPh sb="15" eb="17">
      <t>シャナイ</t>
    </rPh>
    <rPh sb="18" eb="21">
      <t>ホショウショ</t>
    </rPh>
    <phoneticPr fontId="13"/>
  </si>
  <si>
    <t>NKE165-7239313</t>
    <phoneticPr fontId="13"/>
  </si>
  <si>
    <t>取説 ﾏｲｸﾛSD (車内)記録紙1枚</t>
    <rPh sb="0" eb="2">
      <t>トリセツ</t>
    </rPh>
    <rPh sb="14" eb="17">
      <t>キロクシ</t>
    </rPh>
    <rPh sb="18" eb="19">
      <t>マイ</t>
    </rPh>
    <phoneticPr fontId="13"/>
  </si>
  <si>
    <t>株式会社ﾓﾄｰﾚﾝ東都</t>
    <rPh sb="0" eb="4">
      <t>カブシキガイシャ</t>
    </rPh>
    <rPh sb="9" eb="11">
      <t>トウト</t>
    </rPh>
    <phoneticPr fontId="13"/>
  </si>
  <si>
    <t>取説 (車内)保証書 ｷｰﾚｽ</t>
    <rPh sb="0" eb="2">
      <t>トリセツ</t>
    </rPh>
    <rPh sb="4" eb="6">
      <t>シャナイ</t>
    </rPh>
    <rPh sb="7" eb="10">
      <t>ホショウショ</t>
    </rPh>
    <phoneticPr fontId="13"/>
  </si>
  <si>
    <t>多摩 332 る 2230</t>
    <rPh sb="0" eb="2">
      <t>タマ</t>
    </rPh>
    <phoneticPr fontId="13"/>
  </si>
  <si>
    <t>11/20</t>
    <phoneticPr fontId="13"/>
  </si>
  <si>
    <t>保証書 取説 ｷｰﾚｽ ｶ-ﾄﾞｷｰ</t>
    <rPh sb="0" eb="3">
      <t>ホショウショ</t>
    </rPh>
    <rPh sb="4" eb="6">
      <t>トリセツ</t>
    </rPh>
    <phoneticPr fontId="13"/>
  </si>
  <si>
    <t>27-1770</t>
  </si>
  <si>
    <t>27-1771</t>
  </si>
  <si>
    <t>27-1772</t>
  </si>
  <si>
    <t>27-1773</t>
  </si>
  <si>
    <t>27-1774</t>
  </si>
  <si>
    <t>27-1775</t>
  </si>
  <si>
    <t>27-1776</t>
  </si>
  <si>
    <t>27-1777</t>
  </si>
  <si>
    <t>27-1778</t>
  </si>
  <si>
    <t>27-1779</t>
  </si>
  <si>
    <t>27-1780</t>
  </si>
  <si>
    <t>27-1781</t>
  </si>
  <si>
    <t>27-1782</t>
  </si>
  <si>
    <t>NV100ｸﾘｯﾊﾟｰ GX</t>
    <phoneticPr fontId="13"/>
  </si>
  <si>
    <t>DR17V-450720</t>
    <phoneticPr fontId="13"/>
  </si>
  <si>
    <t>ﾌﾟｼﾞｮｰ ﾘﾌﾀｰ GT</t>
    <phoneticPr fontId="13"/>
  </si>
  <si>
    <t>VR3ECYHZRMJ793078</t>
    <phoneticPr fontId="13"/>
  </si>
  <si>
    <t>8/11/28</t>
    <phoneticPr fontId="13"/>
  </si>
  <si>
    <t>横浜 306 つ 7095</t>
    <rPh sb="0" eb="2">
      <t>ヨコハマ</t>
    </rPh>
    <phoneticPr fontId="13"/>
  </si>
  <si>
    <t>27-1783</t>
  </si>
  <si>
    <t>27-1784</t>
  </si>
  <si>
    <t>27-1785</t>
  </si>
  <si>
    <t>27-1786</t>
  </si>
  <si>
    <t>LA350S-0199874</t>
    <phoneticPr fontId="13"/>
  </si>
  <si>
    <t>LA650S-0165238</t>
    <phoneticPr fontId="13"/>
  </si>
  <si>
    <t>NSP160-0075775</t>
    <phoneticPr fontId="13"/>
  </si>
  <si>
    <t>NSP160-0054306</t>
    <phoneticPr fontId="13"/>
  </si>
  <si>
    <t>LA350S-0233341</t>
    <phoneticPr fontId="13"/>
  </si>
  <si>
    <t>LA660S-0010356</t>
    <phoneticPr fontId="13"/>
  </si>
  <si>
    <t>LA250S-0155206</t>
    <phoneticPr fontId="13"/>
  </si>
  <si>
    <t>ZFA3120000JD90607</t>
    <phoneticPr fontId="13"/>
  </si>
  <si>
    <t>NSP160-0077818</t>
    <phoneticPr fontId="13"/>
  </si>
  <si>
    <t>名古屋 402 わ 1186</t>
    <rPh sb="0" eb="3">
      <t>ナゴヤ</t>
    </rPh>
    <phoneticPr fontId="13"/>
  </si>
  <si>
    <t>ｷｬｽﾄ ｽﾀｲﾙG ﾌﾟﾗｲﾑｺﾚｸｼｮﾝSA3</t>
    <phoneticPr fontId="13"/>
  </si>
  <si>
    <t>ﾌﾟﾛﾎﾞｯｸｽﾊﾞﾝ G</t>
    <phoneticPr fontId="13"/>
  </si>
  <si>
    <t>ﾌﾟﾛﾎﾞｯｸｽﾊﾞﾝ DXｺﾝﾌｫｰﾄ</t>
    <phoneticPr fontId="13"/>
  </si>
  <si>
    <t>ﾀﾝﾄ 4WD X</t>
    <phoneticPr fontId="13"/>
  </si>
  <si>
    <t xml:space="preserve">N-ONE RS </t>
    <phoneticPr fontId="13"/>
  </si>
  <si>
    <t>JG3-2003050</t>
    <phoneticPr fontId="13"/>
  </si>
  <si>
    <t>MR92S-480297</t>
    <phoneticPr fontId="13"/>
  </si>
  <si>
    <t>LA650S-0281042</t>
    <phoneticPr fontId="13"/>
  </si>
  <si>
    <t>MK21S-284570</t>
    <phoneticPr fontId="13"/>
  </si>
  <si>
    <t>ｴﾙｸﾞﾗﾝﾄﾞ ﾊｲｳｪｲｽﾀｰｱｰﾊﾞﾝｸﾛﾑ</t>
    <phoneticPr fontId="13"/>
  </si>
  <si>
    <t>PE52-041626</t>
    <phoneticPr fontId="13"/>
  </si>
  <si>
    <t>大阪 302 に 7939</t>
    <rPh sb="0" eb="2">
      <t>オオサカ</t>
    </rPh>
    <phoneticPr fontId="13"/>
  </si>
  <si>
    <t>平田 吉之</t>
    <rPh sb="0" eb="2">
      <t>ヒラタ</t>
    </rPh>
    <rPh sb="3" eb="4">
      <t>ヨシ</t>
    </rPh>
    <rPh sb="4" eb="5">
      <t>ユキ</t>
    </rPh>
    <phoneticPr fontId="13"/>
  </si>
  <si>
    <t>品川 48F ろ 260</t>
    <rPh sb="0" eb="2">
      <t>シナガワ</t>
    </rPh>
    <phoneticPr fontId="13"/>
  </si>
  <si>
    <t>株式会社ﾄﾖﾀﾕｰｾﾞｯｸ</t>
    <rPh sb="0" eb="4">
      <t>カブシキガイシャ</t>
    </rPh>
    <phoneticPr fontId="13"/>
  </si>
  <si>
    <t>なにわ 479 や 525</t>
    <phoneticPr fontId="13"/>
  </si>
  <si>
    <t>株式会社ﾄﾖﾀﾚﾝﾀﾘｰｽ大阪</t>
    <rPh sb="0" eb="4">
      <t>カブシキガイシャ</t>
    </rPh>
    <rPh sb="13" eb="15">
      <t>オオサカ</t>
    </rPh>
    <phoneticPr fontId="13"/>
  </si>
  <si>
    <t>高知 332 ひ 327</t>
    <rPh sb="0" eb="2">
      <t>コウチ</t>
    </rPh>
    <phoneticPr fontId="13"/>
  </si>
  <si>
    <t>ﾈｯﾂﾄﾖﾀ高知株式会社</t>
    <rPh sb="6" eb="8">
      <t>コウチ</t>
    </rPh>
    <rPh sb="8" eb="12">
      <t>カブシキガイシャ</t>
    </rPh>
    <phoneticPr fontId="13"/>
  </si>
  <si>
    <t>神戸 304 ち 9960</t>
    <rPh sb="0" eb="2">
      <t>コウベ</t>
    </rPh>
    <phoneticPr fontId="13"/>
  </si>
  <si>
    <t>多摩 592 ろ 4422</t>
    <rPh sb="0" eb="2">
      <t>タマ</t>
    </rPh>
    <phoneticPr fontId="13"/>
  </si>
  <si>
    <t>株式会社ﾃﾗｽ</t>
    <rPh sb="0" eb="4">
      <t>カブシキガイシャ</t>
    </rPh>
    <phoneticPr fontId="13"/>
  </si>
  <si>
    <t>SHABBIR BILAL</t>
    <phoneticPr fontId="13"/>
  </si>
  <si>
    <t>倉敷 481 ね 8888</t>
    <rPh sb="0" eb="2">
      <t>クラシキ</t>
    </rPh>
    <phoneticPr fontId="13"/>
  </si>
  <si>
    <t>黒木 義輝</t>
    <rPh sb="0" eb="2">
      <t>クロキ</t>
    </rPh>
    <rPh sb="3" eb="5">
      <t>ヨシテル</t>
    </rPh>
    <phoneticPr fontId="13"/>
  </si>
  <si>
    <t>ﾔﾏﾑﾗ株式会社</t>
    <rPh sb="4" eb="8">
      <t>カブシキガイシャ</t>
    </rPh>
    <phoneticPr fontId="13"/>
  </si>
  <si>
    <t>倉敷 580 も 7845</t>
    <rPh sb="0" eb="2">
      <t>クラシキ</t>
    </rPh>
    <phoneticPr fontId="13"/>
  </si>
  <si>
    <t>三宅 妙子</t>
    <rPh sb="0" eb="2">
      <t>ミヤケ</t>
    </rPh>
    <rPh sb="3" eb="5">
      <t>タエコ</t>
    </rPh>
    <phoneticPr fontId="13"/>
  </si>
  <si>
    <t>HAｻﾅﾀﾞさん</t>
    <phoneticPr fontId="13"/>
  </si>
  <si>
    <t>ZFA3120000J839177</t>
    <phoneticPr fontId="13"/>
  </si>
  <si>
    <t>なにわ 479 や 2345</t>
    <phoneticPr fontId="13"/>
  </si>
  <si>
    <t>倉敷 781 を 24</t>
    <rPh sb="0" eb="2">
      <t>クラシキ</t>
    </rPh>
    <phoneticPr fontId="13"/>
  </si>
  <si>
    <t>岡山 480 に 1499</t>
    <rPh sb="0" eb="2">
      <t>オカヤマ</t>
    </rPh>
    <phoneticPr fontId="13"/>
  </si>
  <si>
    <t>東中国スズキ自動車株式会社岡山営業所</t>
    <rPh sb="0" eb="1">
      <t>ヒガシ</t>
    </rPh>
    <rPh sb="1" eb="3">
      <t>チュウゴク</t>
    </rPh>
    <rPh sb="6" eb="9">
      <t>ジドウシャ</t>
    </rPh>
    <rPh sb="9" eb="13">
      <t>カブシキガイシャ</t>
    </rPh>
    <rPh sb="13" eb="15">
      <t>オカヤマ</t>
    </rPh>
    <rPh sb="15" eb="17">
      <t>エイギョウ</t>
    </rPh>
    <rPh sb="17" eb="18">
      <t>ショ</t>
    </rPh>
    <phoneticPr fontId="13"/>
  </si>
  <si>
    <t>岡山 486 え 16</t>
    <rPh sb="0" eb="2">
      <t>オカヤマ</t>
    </rPh>
    <phoneticPr fontId="13"/>
  </si>
  <si>
    <t>神戸 581 み 2627</t>
    <rPh sb="0" eb="2">
      <t>コウベ</t>
    </rPh>
    <phoneticPr fontId="13"/>
  </si>
  <si>
    <t>井原 六郎</t>
    <rPh sb="0" eb="2">
      <t>イハラ</t>
    </rPh>
    <rPh sb="3" eb="5">
      <t>ロクロウ</t>
    </rPh>
    <phoneticPr fontId="13"/>
  </si>
  <si>
    <t>倉敷 5810 あ 685</t>
    <rPh sb="0" eb="2">
      <t>クラシキ</t>
    </rPh>
    <phoneticPr fontId="13"/>
  </si>
  <si>
    <t>神戸 596 ろ 3370</t>
    <rPh sb="0" eb="2">
      <t>コウベ</t>
    </rPh>
    <phoneticPr fontId="13"/>
  </si>
  <si>
    <t>青山 直樹</t>
    <rPh sb="0" eb="2">
      <t>アオヤマ</t>
    </rPh>
    <rPh sb="3" eb="5">
      <t>ナオキ</t>
    </rPh>
    <phoneticPr fontId="13"/>
  </si>
  <si>
    <t>京都 581 け 3795</t>
    <rPh sb="0" eb="2">
      <t>キョウト</t>
    </rPh>
    <phoneticPr fontId="13"/>
  </si>
  <si>
    <t>坂田 正弘</t>
    <rPh sb="0" eb="2">
      <t>サカタ</t>
    </rPh>
    <rPh sb="3" eb="5">
      <t>マサヒロ</t>
    </rPh>
    <phoneticPr fontId="13"/>
  </si>
  <si>
    <t>三重 480 ひ 3600</t>
    <rPh sb="0" eb="2">
      <t>ミエ</t>
    </rPh>
    <phoneticPr fontId="13"/>
  </si>
  <si>
    <t>株式会社伊藤ﾓｰﾀｰｽ</t>
    <rPh sb="0" eb="4">
      <t>カブシキガイシャ</t>
    </rPh>
    <rPh sb="4" eb="6">
      <t>イトウ</t>
    </rPh>
    <phoneticPr fontId="13"/>
  </si>
  <si>
    <t>名古屋 599 ろ 4563</t>
    <rPh sb="0" eb="3">
      <t>ナゴヤ</t>
    </rPh>
    <phoneticPr fontId="13"/>
  </si>
  <si>
    <t xml:space="preserve">ｷｰﾚｽ SD </t>
    <phoneticPr fontId="13"/>
  </si>
  <si>
    <t>なにわ 5P7 ろ 7737</t>
    <phoneticPr fontId="13"/>
  </si>
  <si>
    <t>堺 580 と 9681</t>
    <rPh sb="0" eb="1">
      <t>サカイ</t>
    </rPh>
    <phoneticPr fontId="13"/>
  </si>
  <si>
    <t>株式会社HHL</t>
    <rPh sb="0" eb="4">
      <t>カブシキガイシャ</t>
    </rPh>
    <phoneticPr fontId="13"/>
  </si>
  <si>
    <t>品川 5X2 ろ 1860</t>
    <rPh sb="0" eb="2">
      <t>シナガワ</t>
    </rPh>
    <phoneticPr fontId="13"/>
  </si>
  <si>
    <t>品川 5X2 ろ 1774</t>
    <rPh sb="0" eb="2">
      <t>シナガワ</t>
    </rPh>
    <phoneticPr fontId="13"/>
  </si>
  <si>
    <t>品川 5X2 ろ 1773</t>
    <rPh sb="0" eb="2">
      <t>シナガワ</t>
    </rPh>
    <phoneticPr fontId="13"/>
  </si>
  <si>
    <t>品川 5X2 ろ 1760</t>
    <rPh sb="0" eb="2">
      <t>シナガワ</t>
    </rPh>
    <phoneticPr fontId="13"/>
  </si>
  <si>
    <t>なにわ 583 す 8808</t>
    <phoneticPr fontId="13"/>
  </si>
  <si>
    <t>名鉄協商株式会社</t>
    <rPh sb="0" eb="2">
      <t>メイテツ</t>
    </rPh>
    <rPh sb="2" eb="8">
      <t>キョウショウカブシキガイシャ</t>
    </rPh>
    <phoneticPr fontId="13"/>
  </si>
  <si>
    <t>京都 585 ま 2011</t>
    <rPh sb="0" eb="2">
      <t>キョウト</t>
    </rPh>
    <phoneticPr fontId="13"/>
  </si>
  <si>
    <t>株式会社ﾄﾖﾀﾚﾝﾀﾘｰｽ京都</t>
    <rPh sb="0" eb="4">
      <t>カブシキガイシャ</t>
    </rPh>
    <rPh sb="13" eb="15">
      <t>キョウト</t>
    </rPh>
    <phoneticPr fontId="13"/>
  </si>
  <si>
    <t>品川 5X0 ろ 9050</t>
    <rPh sb="0" eb="2">
      <t>シナガワ</t>
    </rPh>
    <phoneticPr fontId="13"/>
  </si>
  <si>
    <t>広島 586 ろ 7107</t>
    <rPh sb="0" eb="2">
      <t>ヒロシマ</t>
    </rPh>
    <phoneticPr fontId="13"/>
  </si>
  <si>
    <t>301 ね 3976</t>
    <phoneticPr fontId="13"/>
  </si>
  <si>
    <t>582 い 4691</t>
    <phoneticPr fontId="13"/>
  </si>
  <si>
    <t>582 い 4690</t>
    <phoneticPr fontId="13"/>
  </si>
  <si>
    <t>神戸 330 む 1452</t>
    <rPh sb="0" eb="2">
      <t>コウベ</t>
    </rPh>
    <phoneticPr fontId="13"/>
  </si>
  <si>
    <t>山﨑 甲児</t>
    <rPh sb="0" eb="2">
      <t>ヤマザキ</t>
    </rPh>
    <rPh sb="3" eb="4">
      <t>コウ</t>
    </rPh>
    <phoneticPr fontId="13"/>
  </si>
  <si>
    <t>品川 39A む 5075</t>
    <rPh sb="0" eb="2">
      <t>シナガワ</t>
    </rPh>
    <phoneticPr fontId="13"/>
  </si>
  <si>
    <t>福山 300 や 6392</t>
    <rPh sb="0" eb="2">
      <t>フクヤマ</t>
    </rPh>
    <phoneticPr fontId="13"/>
  </si>
  <si>
    <t>ﾔｽﾊﾗｹﾐｶﾙ株式会社</t>
    <rPh sb="8" eb="12">
      <t>カブシキガイシャ</t>
    </rPh>
    <phoneticPr fontId="13"/>
  </si>
  <si>
    <t>山﨑 洋一</t>
    <rPh sb="0" eb="2">
      <t>ヤマザキ</t>
    </rPh>
    <rPh sb="3" eb="5">
      <t>ヨウイチ</t>
    </rPh>
    <phoneticPr fontId="13"/>
  </si>
  <si>
    <t>取説 ｷｰﾚｽ 保証書 (新車時車番なし 継承時あり)</t>
    <rPh sb="0" eb="2">
      <t>トリセツ</t>
    </rPh>
    <rPh sb="8" eb="11">
      <t>ホショウショ</t>
    </rPh>
    <rPh sb="13" eb="15">
      <t>シンシャ</t>
    </rPh>
    <rPh sb="15" eb="16">
      <t>ジ</t>
    </rPh>
    <rPh sb="16" eb="18">
      <t>シャバン</t>
    </rPh>
    <rPh sb="21" eb="23">
      <t>ケイショウ</t>
    </rPh>
    <rPh sb="23" eb="24">
      <t>ジ</t>
    </rPh>
    <phoneticPr fontId="13"/>
  </si>
  <si>
    <t>ｲﾝﾌﾟﾛﾌﾞ株式会社</t>
    <rPh sb="7" eb="11">
      <t>カブシキガイシャ</t>
    </rPh>
    <phoneticPr fontId="13"/>
  </si>
  <si>
    <t>名古屋 306 み 8310</t>
    <rPh sb="0" eb="3">
      <t>ナゴヤ</t>
    </rPh>
    <phoneticPr fontId="13"/>
  </si>
  <si>
    <t>東洋油脂株式会社</t>
    <rPh sb="0" eb="2">
      <t>トウヨウ</t>
    </rPh>
    <rPh sb="2" eb="4">
      <t>ユシ</t>
    </rPh>
    <rPh sb="4" eb="8">
      <t>カブシキガイシャ</t>
    </rPh>
    <phoneticPr fontId="13"/>
  </si>
  <si>
    <t>日産ﾌﾟﾘﾝｽ名古屋株式会社</t>
    <rPh sb="0" eb="2">
      <t>ニッサン</t>
    </rPh>
    <rPh sb="7" eb="10">
      <t>ナゴヤ</t>
    </rPh>
    <rPh sb="10" eb="14">
      <t>カブシキガイシャ</t>
    </rPh>
    <phoneticPr fontId="13"/>
  </si>
  <si>
    <t>愛媛 399 そ 2666</t>
    <rPh sb="0" eb="2">
      <t>エヒメ</t>
    </rPh>
    <phoneticPr fontId="13"/>
  </si>
  <si>
    <t>大阪 504 ち 9767</t>
    <rPh sb="0" eb="2">
      <t>オオサカ</t>
    </rPh>
    <phoneticPr fontId="13"/>
  </si>
  <si>
    <t>取説 ｷｰﾚｽ(車内)保証書 ﾜﾝｵｰﾅｰ</t>
    <rPh sb="0" eb="2">
      <t>トリセツ</t>
    </rPh>
    <rPh sb="11" eb="14">
      <t>ホショウショ</t>
    </rPh>
    <phoneticPr fontId="13"/>
  </si>
  <si>
    <t>27-1787</t>
  </si>
  <si>
    <t>27-1788</t>
  </si>
  <si>
    <t>27-1789</t>
  </si>
  <si>
    <t>27-1790</t>
  </si>
  <si>
    <t>27-1791</t>
  </si>
  <si>
    <t>27-1792</t>
  </si>
  <si>
    <t>WMWXR92010TP21414</t>
    <phoneticPr fontId="13"/>
  </si>
  <si>
    <t>27-1793</t>
  </si>
  <si>
    <t>27-1794</t>
  </si>
  <si>
    <t>27-1795</t>
  </si>
  <si>
    <t>27-1796</t>
  </si>
  <si>
    <t>27-1797</t>
  </si>
  <si>
    <t>27-1798</t>
  </si>
  <si>
    <t>27-1799</t>
  </si>
  <si>
    <t>27-1800</t>
  </si>
  <si>
    <t>27-1801</t>
  </si>
  <si>
    <t>27-1802</t>
  </si>
  <si>
    <t>MR92S-229253</t>
    <phoneticPr fontId="13"/>
  </si>
  <si>
    <t>MR52S-112916</t>
    <phoneticPr fontId="13"/>
  </si>
  <si>
    <t>LA150S-0132912</t>
    <phoneticPr fontId="13"/>
  </si>
  <si>
    <t>MM53S-340030</t>
    <phoneticPr fontId="13"/>
  </si>
  <si>
    <t>DA17V-921378</t>
    <phoneticPr fontId="13"/>
  </si>
  <si>
    <t>LA800S-0018937</t>
    <phoneticPr fontId="13"/>
  </si>
  <si>
    <t>LA250S-0120056</t>
    <phoneticPr fontId="13"/>
  </si>
  <si>
    <t>LA250S-0153976</t>
    <phoneticPr fontId="13"/>
  </si>
  <si>
    <t>JB23W-601721</t>
    <phoneticPr fontId="13"/>
  </si>
  <si>
    <t>DA64W-358038</t>
    <phoneticPr fontId="13"/>
  </si>
  <si>
    <t>LA100S-0030826</t>
    <phoneticPr fontId="13"/>
  </si>
  <si>
    <t>27-1803</t>
  </si>
  <si>
    <t>27-1804</t>
  </si>
  <si>
    <t>ﾊｽﾗｰ Jｽﾀｲﾙ ﾊｲﾌﾞﾘｯﾄﾞ</t>
    <phoneticPr fontId="13"/>
  </si>
  <si>
    <t>滋賀 581 ひ 6053</t>
    <rPh sb="0" eb="2">
      <t>シガ</t>
    </rPh>
    <phoneticPr fontId="13"/>
  </si>
  <si>
    <t>9/7/14</t>
    <phoneticPr fontId="13"/>
  </si>
  <si>
    <t>名古屋 58 ほ 4534</t>
    <rPh sb="0" eb="3">
      <t>ナゴヤ</t>
    </rPh>
    <phoneticPr fontId="13"/>
  </si>
  <si>
    <t>ﾑｰﾌﾞｶｽﾀﾑ RS ﾊｲﾊﾟｰSA3</t>
    <phoneticPr fontId="13"/>
  </si>
  <si>
    <t>9/2/14</t>
    <phoneticPr fontId="13"/>
  </si>
  <si>
    <t>ﾌﾚｱﾜｺﾞﾝ ﾊｲﾌﾞﾘｯﾄﾞXS</t>
    <phoneticPr fontId="13"/>
  </si>
  <si>
    <t>8/10/31</t>
    <phoneticPr fontId="13"/>
  </si>
  <si>
    <t>名古屋 58A ち 5173</t>
    <rPh sb="0" eb="3">
      <t>ナゴヤ</t>
    </rPh>
    <phoneticPr fontId="13"/>
  </si>
  <si>
    <t>9/5/13</t>
    <phoneticPr fontId="13"/>
  </si>
  <si>
    <t>岐阜 486 ち 7788</t>
    <rPh sb="0" eb="2">
      <t>ギフ</t>
    </rPh>
    <phoneticPr fontId="13"/>
  </si>
  <si>
    <t>ﾑｰﾌﾞｷｬﾝﾊﾟｽ XﾘﾐﾃｯﾄﾞSA2</t>
    <phoneticPr fontId="13"/>
  </si>
  <si>
    <t>ｷｬｽﾄ  ｱｸﾃｨﾊﾞG SA3</t>
    <phoneticPr fontId="13"/>
  </si>
  <si>
    <t>9/10/27</t>
    <phoneticPr fontId="13"/>
  </si>
  <si>
    <t>岐阜 58A あ 1776</t>
    <rPh sb="0" eb="2">
      <t>ギフ</t>
    </rPh>
    <phoneticPr fontId="13"/>
  </si>
  <si>
    <t>ｷｬｽﾄ ｽﾀｲﾙG ﾘﾐﾃｯﾄﾞSA3</t>
    <phoneticPr fontId="13"/>
  </si>
  <si>
    <t>8/1/6</t>
    <phoneticPr fontId="13"/>
  </si>
  <si>
    <t>一宮 580 ぬ 3659</t>
    <rPh sb="0" eb="2">
      <t>イチノミヤ</t>
    </rPh>
    <phoneticPr fontId="13"/>
  </si>
  <si>
    <t>20/7</t>
    <phoneticPr fontId="13"/>
  </si>
  <si>
    <t>9/7/17</t>
    <phoneticPr fontId="13"/>
  </si>
  <si>
    <t>名古屋 583 い 4587</t>
    <rPh sb="0" eb="3">
      <t>ナゴヤ</t>
    </rPh>
    <phoneticPr fontId="13"/>
  </si>
  <si>
    <t>BMWﾐﾆｸｰﾊﾟｰD ｸﾛｽｵｰﾊﾞｰｵｰﾙ４</t>
    <phoneticPr fontId="13"/>
  </si>
  <si>
    <t xml:space="preserve">ｴﾌﾞﾘｨW PZﾀｰﾎﾞ </t>
    <phoneticPr fontId="13"/>
  </si>
  <si>
    <t>23/2</t>
    <phoneticPr fontId="13"/>
  </si>
  <si>
    <t>ﾑｰﾌﾞｶｽﾀﾑ Xﾘﾐﾃｯﾄﾞ</t>
    <phoneticPr fontId="13"/>
  </si>
  <si>
    <t>27-1805</t>
  </si>
  <si>
    <t>27-1806</t>
  </si>
  <si>
    <t>27-1807</t>
  </si>
  <si>
    <t>27-1808</t>
  </si>
  <si>
    <t>27-1809</t>
  </si>
  <si>
    <t>27-1810</t>
  </si>
  <si>
    <t>27-1811</t>
  </si>
  <si>
    <t>ﾒﾙｾﾃﾞｽﾍﾞﾝﾂC 200ﾜｺﾞﾝ</t>
    <phoneticPr fontId="13"/>
  </si>
  <si>
    <t>WDD2052422F685348</t>
    <phoneticPr fontId="13"/>
  </si>
  <si>
    <t>BMW 530 I MSP</t>
    <phoneticPr fontId="13"/>
  </si>
  <si>
    <t>WBAJA52020G454749</t>
    <phoneticPr fontId="13"/>
  </si>
  <si>
    <t>BMW X3  xdrive 20d MSP</t>
    <phoneticPr fontId="13"/>
  </si>
  <si>
    <t>WBATX320X0LG59287</t>
    <phoneticPr fontId="13"/>
  </si>
  <si>
    <t>BMW 420 I ｸﾞﾗﾝｸｰﾍﾟ MSＰ</t>
    <phoneticPr fontId="13"/>
  </si>
  <si>
    <t>WBA4A32040D803820</t>
    <phoneticPr fontId="13"/>
  </si>
  <si>
    <t>ﾆｯｻ ｵｰﾗ ﾆﾓｽ</t>
    <phoneticPr fontId="13"/>
  </si>
  <si>
    <t>W1K2050142R572757</t>
    <phoneticPr fontId="13"/>
  </si>
  <si>
    <t>ﾎﾞﾙﾎﾞ V40 T2</t>
    <phoneticPr fontId="13"/>
  </si>
  <si>
    <t>YV1MV2820K2557917</t>
    <phoneticPr fontId="13"/>
  </si>
  <si>
    <t>神戸 333 ひ 1603</t>
    <rPh sb="0" eb="2">
      <t>コウベ</t>
    </rPh>
    <phoneticPr fontId="13"/>
  </si>
  <si>
    <t>FE13-211325</t>
    <phoneticPr fontId="13"/>
  </si>
  <si>
    <t>神戸 330 ふ 6598</t>
    <rPh sb="0" eb="2">
      <t>コウベ</t>
    </rPh>
    <phoneticPr fontId="13"/>
  </si>
  <si>
    <t>ﾒﾙｾﾃﾞｽﾍﾞﾝﾂC 220d ﾛｰﾚｳｽｴﾃﾞｨｼｮﾝ</t>
    <phoneticPr fontId="13"/>
  </si>
  <si>
    <t>姫路 132 ろ 11</t>
    <rPh sb="0" eb="2">
      <t>ヒメジ</t>
    </rPh>
    <phoneticPr fontId="13"/>
  </si>
  <si>
    <t>保証書 取説 ﾘﾓｺﾝ ｽﾍﾟｱｷｰ ﾜﾝｵｰﾅｰ</t>
    <rPh sb="0" eb="3">
      <t>ホショウショ</t>
    </rPh>
    <rPh sb="4" eb="6">
      <t>トリセツ</t>
    </rPh>
    <phoneticPr fontId="13"/>
  </si>
  <si>
    <t>足立 411 ち 1</t>
    <rPh sb="0" eb="2">
      <t>アダチ</t>
    </rPh>
    <phoneticPr fontId="13"/>
  </si>
  <si>
    <t>ﾈｯﾂﾄﾖﾀ埼玉株式会社</t>
    <rPh sb="6" eb="8">
      <t>サイタマ</t>
    </rPh>
    <rPh sb="8" eb="12">
      <t>カブシキガイシャ</t>
    </rPh>
    <phoneticPr fontId="13"/>
  </si>
  <si>
    <t>MR92S-352673</t>
    <phoneticPr fontId="13"/>
  </si>
  <si>
    <t>ｱﾄﾚｰﾜｺﾞﾝ ｶｽﾀﾑﾀｰﾎﾞ RS</t>
    <phoneticPr fontId="13"/>
  </si>
  <si>
    <t>S321G-0064653</t>
    <phoneticPr fontId="13"/>
  </si>
  <si>
    <t>ﾌｨｱｯﾄ 500 1.2ｶﾙﾄ</t>
    <phoneticPr fontId="13"/>
  </si>
  <si>
    <t>ZFA3120000JE35399</t>
    <phoneticPr fontId="13"/>
  </si>
  <si>
    <t>ﾙﾉｰ ﾄｩｲﾝｺﾞ ｲﾝﾃﾝｽ MT</t>
    <phoneticPr fontId="13"/>
  </si>
  <si>
    <t>VF1AH000XN0845814</t>
    <phoneticPr fontId="13"/>
  </si>
  <si>
    <t>9/8/2</t>
    <phoneticPr fontId="13"/>
  </si>
  <si>
    <t>春日井 500 つ 992</t>
    <rPh sb="0" eb="3">
      <t>カスガイ</t>
    </rPh>
    <phoneticPr fontId="13"/>
  </si>
  <si>
    <t>支配人証明 ﾃﾞｨｰﾗｰより11/21HA直送</t>
    <rPh sb="0" eb="3">
      <t>シハイニン</t>
    </rPh>
    <rPh sb="3" eb="5">
      <t>ショウメイ</t>
    </rPh>
    <rPh sb="21" eb="23">
      <t>チョクソウ</t>
    </rPh>
    <phoneticPr fontId="13"/>
  </si>
  <si>
    <t>愛媛 500 ゆ 1384</t>
    <rPh sb="0" eb="2">
      <t>エヒメ</t>
    </rPh>
    <phoneticPr fontId="13"/>
  </si>
  <si>
    <t>株式会社ｽｽﾞｷ販売愛媛</t>
    <rPh sb="0" eb="4">
      <t>カブシキガイシャ</t>
    </rPh>
    <rPh sb="8" eb="10">
      <t>ハンバイ</t>
    </rPh>
    <rPh sb="10" eb="12">
      <t>エヒメ</t>
    </rPh>
    <phoneticPr fontId="13"/>
  </si>
  <si>
    <t>株式会社ﾋﾞｯｸﾞｳｪｰﾌﾞｺｰﾎﾟﾚｰｼｮﾝ</t>
    <rPh sb="0" eb="4">
      <t>カブシキガイシャ</t>
    </rPh>
    <phoneticPr fontId="13"/>
  </si>
  <si>
    <t>岩根 由委</t>
    <rPh sb="0" eb="2">
      <t>イワネ</t>
    </rPh>
    <rPh sb="3" eb="4">
      <t>ユ</t>
    </rPh>
    <rPh sb="4" eb="5">
      <t>イ</t>
    </rPh>
    <phoneticPr fontId="13"/>
  </si>
  <si>
    <t>保証書 ｽﾍﾟｱｷｰ ｺｰﾄﾞｶｰﾄﾞ</t>
    <rPh sb="0" eb="3">
      <t>ホショウショ</t>
    </rPh>
    <phoneticPr fontId="13"/>
  </si>
  <si>
    <t>974(307)</t>
    <phoneticPr fontId="13"/>
  </si>
  <si>
    <t>ZFA3120000JC15886</t>
    <phoneticPr fontId="13"/>
  </si>
  <si>
    <t>熊谷 599 は 4287</t>
    <rPh sb="0" eb="2">
      <t>クマヤ</t>
    </rPh>
    <phoneticPr fontId="13"/>
  </si>
  <si>
    <t>株式会社ﾎﾝﾀﾞｶｰｽﾞ埼玉北</t>
    <rPh sb="0" eb="4">
      <t>カブシキガイシャ</t>
    </rPh>
    <rPh sb="12" eb="14">
      <t>サイタマ</t>
    </rPh>
    <rPh sb="14" eb="15">
      <t>キタ</t>
    </rPh>
    <phoneticPr fontId="13"/>
  </si>
  <si>
    <t>静岡 599 の 908</t>
    <rPh sb="0" eb="2">
      <t>シズオカ</t>
    </rPh>
    <phoneticPr fontId="13"/>
  </si>
  <si>
    <t>岡山 786 ひ 11</t>
    <rPh sb="0" eb="2">
      <t>オカヤマ</t>
    </rPh>
    <phoneticPr fontId="13"/>
  </si>
  <si>
    <t>姫路 330 ぬ 5912</t>
    <rPh sb="0" eb="2">
      <t>ヒメジ</t>
    </rPh>
    <phoneticPr fontId="13"/>
  </si>
  <si>
    <t>牛尾 浩</t>
    <rPh sb="0" eb="2">
      <t>ウシオ</t>
    </rPh>
    <rPh sb="3" eb="4">
      <t>ヒロシ</t>
    </rPh>
    <phoneticPr fontId="13"/>
  </si>
  <si>
    <t>書類戻り11/21</t>
    <rPh sb="0" eb="2">
      <t>ショルイ</t>
    </rPh>
    <rPh sb="2" eb="3">
      <t>モド</t>
    </rPh>
    <phoneticPr fontId="13"/>
  </si>
  <si>
    <t>神戸 352 は 73</t>
    <rPh sb="0" eb="2">
      <t>コウベ</t>
    </rPh>
    <phoneticPr fontId="13"/>
  </si>
  <si>
    <t>村尾 啓太</t>
    <rPh sb="0" eb="2">
      <t>ムラオ</t>
    </rPh>
    <rPh sb="3" eb="5">
      <t>ケイタ</t>
    </rPh>
    <phoneticPr fontId="13"/>
  </si>
  <si>
    <t>杉並 300 た 3686</t>
    <rPh sb="0" eb="2">
      <t>スギナミ</t>
    </rPh>
    <phoneticPr fontId="13"/>
  </si>
  <si>
    <t>荒戸 宏剛</t>
    <rPh sb="0" eb="2">
      <t>アラト</t>
    </rPh>
    <rPh sb="3" eb="4">
      <t>ヒロ</t>
    </rPh>
    <rPh sb="4" eb="5">
      <t>ツヨシ</t>
    </rPh>
    <phoneticPr fontId="13"/>
  </si>
  <si>
    <t>市川 399 す 858</t>
    <rPh sb="0" eb="2">
      <t>イチカワ</t>
    </rPh>
    <phoneticPr fontId="13"/>
  </si>
  <si>
    <t>ﾌﾟｼﾞｮｰ 3008 GT ﾌﾞﾙｰHdi</t>
    <phoneticPr fontId="13"/>
  </si>
  <si>
    <t>VF3MJEHZRKS164515</t>
    <phoneticPr fontId="13"/>
  </si>
  <si>
    <t>福井 333 ね 0345</t>
    <rPh sb="0" eb="2">
      <t>フクイ</t>
    </rPh>
    <phoneticPr fontId="13"/>
  </si>
  <si>
    <t>ｱｳﾃﾞｨ A1 ｽﾎﾟｰﾂﾊﾞｯｸ 1.0TFSIｽﾎﾟｰﾂ</t>
    <phoneticPr fontId="13"/>
  </si>
  <si>
    <t>WAUZZZ8X4GB096553</t>
    <phoneticPr fontId="13"/>
  </si>
  <si>
    <t>A312778</t>
    <phoneticPr fontId="13"/>
  </si>
  <si>
    <t>A312086</t>
    <phoneticPr fontId="13"/>
  </si>
  <si>
    <t>LA900S-0104776</t>
    <phoneticPr fontId="13"/>
  </si>
  <si>
    <t>9/7/9</t>
    <phoneticPr fontId="13"/>
  </si>
  <si>
    <t>A313310</t>
    <phoneticPr fontId="13"/>
  </si>
  <si>
    <t>ｺﾍﾟﾝ ｾﾛ S</t>
    <phoneticPr fontId="13"/>
  </si>
  <si>
    <t>LA400K-0020284</t>
    <phoneticPr fontId="13"/>
  </si>
  <si>
    <t>ﾒｶｷｰなしそのまま送る</t>
    <rPh sb="10" eb="11">
      <t>オク</t>
    </rPh>
    <phoneticPr fontId="13"/>
  </si>
  <si>
    <t>取説 ｽﾍﾟｱｷｰ(車内)</t>
    <rPh sb="0" eb="2">
      <t>トリセツ</t>
    </rPh>
    <phoneticPr fontId="13"/>
  </si>
  <si>
    <t>27-1812</t>
  </si>
  <si>
    <t>27-1813</t>
  </si>
  <si>
    <t>27-1814</t>
  </si>
  <si>
    <t>27-1815</t>
  </si>
  <si>
    <t>27-1816</t>
  </si>
  <si>
    <t>27-1817</t>
  </si>
  <si>
    <t>27-1818</t>
  </si>
  <si>
    <t>27-1819</t>
  </si>
  <si>
    <t>27-1820</t>
  </si>
  <si>
    <t>27-1821</t>
  </si>
  <si>
    <t>27-1822</t>
  </si>
  <si>
    <t>27-1823</t>
  </si>
  <si>
    <t>27-1824</t>
  </si>
  <si>
    <t>27-1825</t>
  </si>
  <si>
    <t>27-1826</t>
  </si>
  <si>
    <t>27-1827</t>
  </si>
  <si>
    <t>DA16T-753617</t>
    <phoneticPr fontId="13"/>
  </si>
  <si>
    <t>NKE165-7164269</t>
    <phoneticPr fontId="13"/>
  </si>
  <si>
    <t>ﾜｺﾞﾝRｽﾏｲﾙ ﾊｲﾌﾞﾘｯﾄﾞ</t>
    <phoneticPr fontId="13"/>
  </si>
  <si>
    <t>MX91S-125523</t>
    <phoneticPr fontId="13"/>
  </si>
  <si>
    <t>HE33S-219659</t>
    <phoneticPr fontId="13"/>
  </si>
  <si>
    <t>ｵｰﾗ ﾆﾓｽ</t>
    <phoneticPr fontId="13"/>
  </si>
  <si>
    <t>FE13-211179</t>
    <phoneticPr fontId="13"/>
  </si>
  <si>
    <t>ﾀﾝｸ ｶｽﾀﾑ G-T</t>
    <phoneticPr fontId="13"/>
  </si>
  <si>
    <t>M900A-0101566</t>
    <phoneticPr fontId="13"/>
  </si>
  <si>
    <t>LA150S-2061356</t>
    <phoneticPr fontId="13"/>
  </si>
  <si>
    <t xml:space="preserve">ｷｬﾘｰﾄﾗｯｸ KC </t>
    <phoneticPr fontId="13"/>
  </si>
  <si>
    <t>8/10/26</t>
    <phoneticPr fontId="13"/>
  </si>
  <si>
    <t>9/1/3</t>
    <phoneticPr fontId="13"/>
  </si>
  <si>
    <t>9/8/31</t>
    <phoneticPr fontId="13"/>
  </si>
  <si>
    <t>MXUA80-0025023</t>
    <phoneticPr fontId="13"/>
  </si>
  <si>
    <t>27-1828</t>
  </si>
  <si>
    <t>27-1829</t>
  </si>
  <si>
    <t>27-1830</t>
  </si>
  <si>
    <t>27-1831</t>
  </si>
  <si>
    <t>27-1832</t>
  </si>
  <si>
    <t>27-1833</t>
  </si>
  <si>
    <t>27-1834</t>
  </si>
  <si>
    <t>27-1835</t>
  </si>
  <si>
    <t>27-1836</t>
  </si>
  <si>
    <t>27-1837</t>
  </si>
  <si>
    <t>27-1838</t>
  </si>
  <si>
    <t>27-1839</t>
  </si>
  <si>
    <t>27-1840</t>
  </si>
  <si>
    <t>27-1841</t>
  </si>
  <si>
    <t>RC1-1121097</t>
    <phoneticPr fontId="13"/>
  </si>
  <si>
    <t>B21A-0513803</t>
    <phoneticPr fontId="13"/>
  </si>
  <si>
    <t>ZC33S-501635</t>
    <phoneticPr fontId="13"/>
  </si>
  <si>
    <t>JF3-2402923</t>
    <phoneticPr fontId="13"/>
  </si>
  <si>
    <t>ZVW41-0055946</t>
    <phoneticPr fontId="13"/>
  </si>
  <si>
    <t>JF3-1195350</t>
    <phoneticPr fontId="13"/>
  </si>
  <si>
    <t>JJ1-6004506</t>
    <phoneticPr fontId="13"/>
  </si>
  <si>
    <t>ZWE211-6076438</t>
    <phoneticPr fontId="13"/>
  </si>
  <si>
    <t>DA17W-127226</t>
    <phoneticPr fontId="13"/>
  </si>
  <si>
    <t>LA350S-0251154</t>
    <phoneticPr fontId="13"/>
  </si>
  <si>
    <t>JF1-8902323</t>
    <phoneticPr fontId="13"/>
  </si>
  <si>
    <t>AGH30-0086550</t>
    <phoneticPr fontId="13"/>
  </si>
  <si>
    <t>S321V-0466547</t>
    <phoneticPr fontId="13"/>
  </si>
  <si>
    <t>神戸 480 ま 4011</t>
    <rPh sb="0" eb="2">
      <t>コウベ</t>
    </rPh>
    <phoneticPr fontId="13"/>
  </si>
  <si>
    <t>ﾗﾝﾄﾞﾛｰﾊﾞｰ ﾚﾝｼﾞﾛｰﾊﾞｰ 4WD</t>
    <phoneticPr fontId="13"/>
  </si>
  <si>
    <t>SALGA2AVXJA513651</t>
    <phoneticPr fontId="13"/>
  </si>
  <si>
    <t>ﾊﾘｱｰ 2WD Z</t>
    <phoneticPr fontId="13"/>
  </si>
  <si>
    <t>ｵﾃﾞｯｾｲ ｱﾌﾞｿﾙﾄ EX</t>
    <phoneticPr fontId="13"/>
  </si>
  <si>
    <t>ﾃﾞｲｽﾞﾙｰｸｽ X</t>
    <phoneticPr fontId="13"/>
  </si>
  <si>
    <t>N-BOX ｶｽﾀﾑ L ﾀｰﾎﾞ ｽﾀｲﾙﾌﾟﾗｽ</t>
    <phoneticPr fontId="13"/>
  </si>
  <si>
    <t>ﾌﾟﾘｳｽ ｱﾙﾌｧｰ S ﾂｰﾘﾝｸﾞｾﾚｸｼｮﾝ</t>
    <phoneticPr fontId="13"/>
  </si>
  <si>
    <t>N-BOX ｶｽﾀﾑ GLﾎﾝﾀﾞｾﾝｼﾝｸﾞ</t>
    <phoneticPr fontId="13"/>
  </si>
  <si>
    <t xml:space="preserve">ﾀﾝﾄ Xﾀｰﾎﾞ SA2 </t>
    <phoneticPr fontId="13"/>
  </si>
  <si>
    <t xml:space="preserve"> N-VAN+ｽﾀｲﾙ ﾌｧﾝ ﾀｰﾎﾞ</t>
    <phoneticPr fontId="13"/>
  </si>
  <si>
    <t>ｶﾛｰﾗﾂｰﾘﾝｸﾞ ﾊｲﾌﾞﾘｯﾄﾞS</t>
    <phoneticPr fontId="13"/>
  </si>
  <si>
    <t>ｴﾌﾞﾘｲﾜｺﾞﾝ PZ ﾀｰﾎﾞ</t>
    <phoneticPr fontId="13"/>
  </si>
  <si>
    <t>N-BOX ｶｽﾀﾑ G</t>
    <phoneticPr fontId="13"/>
  </si>
  <si>
    <t>ｳﾞｪﾙﾌｧｲｱ Z Gｴﾃﾞｨｼｮﾝ</t>
    <phoneticPr fontId="13"/>
  </si>
  <si>
    <t>NV150AD</t>
    <phoneticPr fontId="13"/>
  </si>
  <si>
    <t>VY12-289394</t>
    <phoneticPr fontId="13"/>
  </si>
  <si>
    <t xml:space="preserve">取説 ｷｰﾚｽ(車内)保証書 </t>
    <rPh sb="0" eb="2">
      <t>トリセツ</t>
    </rPh>
    <rPh sb="11" eb="14">
      <t>ホショウショ</t>
    </rPh>
    <phoneticPr fontId="13"/>
  </si>
  <si>
    <t>取説 ｽﾍﾟｱｷｰ(車内)保証書</t>
    <rPh sb="0" eb="2">
      <t>トリセツ</t>
    </rPh>
    <rPh sb="13" eb="16">
      <t>ホショウショ</t>
    </rPh>
    <phoneticPr fontId="13"/>
  </si>
  <si>
    <t>取説 ｷｰﾚｽ ｽﾀｰﾄﾎﾞﾀﾝ(車内)保証書 ﾜﾝｵｰﾅｰ</t>
    <rPh sb="0" eb="2">
      <t>トリセツ</t>
    </rPh>
    <rPh sb="20" eb="23">
      <t>ホショウショ</t>
    </rPh>
    <phoneticPr fontId="13"/>
  </si>
  <si>
    <t>株式会社ﾎﾝﾀﾞｶｰｽﾞ中央神奈川</t>
    <rPh sb="0" eb="4">
      <t>カブシキガイシャ</t>
    </rPh>
    <rPh sb="12" eb="14">
      <t>チュウオウ</t>
    </rPh>
    <rPh sb="14" eb="17">
      <t>カナガワ</t>
    </rPh>
    <phoneticPr fontId="13"/>
  </si>
  <si>
    <t>倉敷 581 あ 914</t>
    <phoneticPr fontId="13"/>
  </si>
  <si>
    <t>福山 580 も 8460</t>
    <rPh sb="0" eb="2">
      <t>フクヤマ</t>
    </rPh>
    <phoneticPr fontId="13"/>
  </si>
  <si>
    <t>名古屋 780 ろ 1946</t>
    <rPh sb="0" eb="3">
      <t>ナゴヤ</t>
    </rPh>
    <phoneticPr fontId="13"/>
  </si>
  <si>
    <t>株式会社JCM 名古屋支店</t>
    <rPh sb="0" eb="4">
      <t>カブシキガイシャ</t>
    </rPh>
    <rPh sb="8" eb="11">
      <t>ナゴヤ</t>
    </rPh>
    <rPh sb="11" eb="13">
      <t>シテン</t>
    </rPh>
    <phoneticPr fontId="13"/>
  </si>
  <si>
    <t>岡崎 100 さ 5514</t>
    <rPh sb="0" eb="2">
      <t>オカザキ</t>
    </rPh>
    <phoneticPr fontId="13"/>
  </si>
  <si>
    <t>辻村 佳樹</t>
    <rPh sb="0" eb="2">
      <t>ツジムラ</t>
    </rPh>
    <rPh sb="3" eb="5">
      <t>ヨシキ</t>
    </rPh>
    <phoneticPr fontId="13"/>
  </si>
  <si>
    <t>保証書 取説 ﾅﾋﾞ取 ｷｰﾚｽ ｽﾍﾟｱｷｰ ﾜﾝｵｰﾅｰ</t>
    <rPh sb="0" eb="3">
      <t>ホショウショ</t>
    </rPh>
    <rPh sb="4" eb="6">
      <t>トリセツ</t>
    </rPh>
    <rPh sb="10" eb="11">
      <t>トリ</t>
    </rPh>
    <phoneticPr fontId="13"/>
  </si>
  <si>
    <t>福岡 32F そ 9</t>
    <rPh sb="0" eb="2">
      <t>フクオカ</t>
    </rPh>
    <phoneticPr fontId="13"/>
  </si>
  <si>
    <t>保証書 取説 ｶｰﾄﾞｷｰ ｷｰﾚｽ</t>
    <rPh sb="0" eb="3">
      <t>ホショウショ</t>
    </rPh>
    <rPh sb="4" eb="6">
      <t>トリセツ</t>
    </rPh>
    <phoneticPr fontId="13"/>
  </si>
  <si>
    <t>LA600S-0607716</t>
    <phoneticPr fontId="13"/>
  </si>
  <si>
    <t>和泉 782 ゆ 2</t>
    <rPh sb="0" eb="2">
      <t>イズミ</t>
    </rPh>
    <phoneticPr fontId="13"/>
  </si>
  <si>
    <t>S510P-0532178</t>
    <phoneticPr fontId="13"/>
  </si>
  <si>
    <t>滋賀 488 ゆ 5678</t>
    <rPh sb="0" eb="2">
      <t>シガ</t>
    </rPh>
    <phoneticPr fontId="13"/>
  </si>
  <si>
    <t>LA900S-0028221</t>
    <phoneticPr fontId="13"/>
  </si>
  <si>
    <t>ｼﾞﾑﾆｰ ﾜｲﾙﾄﾞｳｲﾝﾄﾞ</t>
    <phoneticPr fontId="13"/>
  </si>
  <si>
    <t>JB23W-606178</t>
    <phoneticPr fontId="13"/>
  </si>
  <si>
    <t>JB23W-694959</t>
    <phoneticPr fontId="13"/>
  </si>
  <si>
    <t>鳥取 580 つ 670</t>
    <rPh sb="0" eb="2">
      <t>トットリ</t>
    </rPh>
    <phoneticPr fontId="13"/>
  </si>
  <si>
    <t xml:space="preserve">ｱﾊﾞﾙﾄ595 </t>
    <phoneticPr fontId="13"/>
  </si>
  <si>
    <t>ZFA3120000JA37160</t>
    <phoneticPr fontId="13"/>
  </si>
  <si>
    <t>BMWﾐﾆｸｰﾊﾟｰD ｸﾛｽｵｰﾊﾞｰｵｰﾙ</t>
    <phoneticPr fontId="13"/>
  </si>
  <si>
    <t>WMW42BT0103M46589</t>
    <phoneticPr fontId="13"/>
  </si>
  <si>
    <t>DA17W-323937</t>
    <phoneticPr fontId="13"/>
  </si>
  <si>
    <t>8/7/17</t>
    <phoneticPr fontId="13"/>
  </si>
  <si>
    <t>倉敷 586 さ 1111</t>
    <rPh sb="0" eb="2">
      <t>クラシキ</t>
    </rPh>
    <phoneticPr fontId="13"/>
  </si>
  <si>
    <t>WMWXM720602A75539</t>
    <phoneticPr fontId="13"/>
  </si>
  <si>
    <t>所沢 330 ほ 2161</t>
    <rPh sb="0" eb="2">
      <t>トコロザワ</t>
    </rPh>
    <phoneticPr fontId="13"/>
  </si>
  <si>
    <t>京都 583 ち 8816</t>
    <rPh sb="0" eb="2">
      <t>キョウト</t>
    </rPh>
    <phoneticPr fontId="13"/>
  </si>
  <si>
    <t>木山 千裕</t>
    <rPh sb="0" eb="2">
      <t>キヤマ</t>
    </rPh>
    <rPh sb="3" eb="4">
      <t>セン</t>
    </rPh>
    <rPh sb="4" eb="5">
      <t>ユウ</t>
    </rPh>
    <phoneticPr fontId="13"/>
  </si>
  <si>
    <t>ﾑｰﾌﾞｷｬﾝﾊﾟｽ Gﾒｲｸｱｯﾌﾟﾘﾐﾃｯﾄﾞ</t>
    <phoneticPr fontId="13"/>
  </si>
  <si>
    <t>LA800S-0134870</t>
    <phoneticPr fontId="13"/>
  </si>
  <si>
    <t>N-BOX Ｌｽﾛｰﾌﾟ</t>
    <phoneticPr fontId="13"/>
  </si>
  <si>
    <t>ＪＦ3-8404768</t>
    <phoneticPr fontId="13"/>
  </si>
  <si>
    <t>DA17W-204854</t>
    <phoneticPr fontId="13"/>
  </si>
  <si>
    <t>京都 591 け 87</t>
    <rPh sb="0" eb="2">
      <t>キョウト</t>
    </rPh>
    <phoneticPr fontId="13"/>
  </si>
  <si>
    <t>ﾙﾉｰ ﾙｰﾃｼｱ ｲﾝﾃﾝｽ</t>
    <phoneticPr fontId="13"/>
  </si>
  <si>
    <t>VF1RJA007N0839076</t>
    <phoneticPr fontId="13"/>
  </si>
  <si>
    <t>静岡 301 ま 9953</t>
    <rPh sb="0" eb="2">
      <t>シズオカ</t>
    </rPh>
    <phoneticPr fontId="13"/>
  </si>
  <si>
    <t>山口 晏侍</t>
    <rPh sb="0" eb="2">
      <t>ヤマグチ</t>
    </rPh>
    <rPh sb="3" eb="4">
      <t>ク</t>
    </rPh>
    <rPh sb="4" eb="5">
      <t>サムライ</t>
    </rPh>
    <phoneticPr fontId="13"/>
  </si>
  <si>
    <t>WMWXU72020TN30569</t>
    <phoneticPr fontId="13"/>
  </si>
  <si>
    <t>京都 331 り 835</t>
    <rPh sb="0" eb="2">
      <t>キョウト</t>
    </rPh>
    <phoneticPr fontId="13"/>
  </si>
  <si>
    <t>LA600S-0440892</t>
    <phoneticPr fontId="13"/>
  </si>
  <si>
    <t>岐阜 399 の 2846</t>
    <rPh sb="0" eb="2">
      <t>ギフ</t>
    </rPh>
    <phoneticPr fontId="13"/>
  </si>
  <si>
    <t>株式会社ｸﾞﾛｰﾊﾞﾙﾌｨｰﾙﾄﾞ</t>
    <rPh sb="0" eb="4">
      <t>カブシキガイシャ</t>
    </rPh>
    <phoneticPr fontId="13"/>
  </si>
  <si>
    <t>株式会社ｸｰﾙﾏﾝ</t>
    <rPh sb="0" eb="4">
      <t>カブシキガイシャ</t>
    </rPh>
    <phoneticPr fontId="13"/>
  </si>
  <si>
    <t>野田 399 み 1346</t>
    <rPh sb="0" eb="2">
      <t>ノダ</t>
    </rPh>
    <phoneticPr fontId="13"/>
  </si>
  <si>
    <t>11/23</t>
    <phoneticPr fontId="13"/>
  </si>
  <si>
    <t>長崎 335 に 1115</t>
    <rPh sb="0" eb="2">
      <t>ナガサキ</t>
    </rPh>
    <phoneticPr fontId="13"/>
  </si>
  <si>
    <t>長崎ﾄﾖﾍﾟｯﾄ株式会社</t>
    <rPh sb="0" eb="2">
      <t>ナガサキ</t>
    </rPh>
    <rPh sb="8" eb="12">
      <t>カブシキガイシャ</t>
    </rPh>
    <phoneticPr fontId="13"/>
  </si>
  <si>
    <t>保証書 ｽﾍﾟｱｷｰ 地図SD</t>
    <rPh sb="0" eb="3">
      <t>ホショウショ</t>
    </rPh>
    <rPh sb="11" eb="13">
      <t>チズ</t>
    </rPh>
    <phoneticPr fontId="13"/>
  </si>
  <si>
    <t>株式会社ﾎﾝﾀﾞ東京西</t>
    <rPh sb="0" eb="4">
      <t>カブシキガイシャ</t>
    </rPh>
    <rPh sb="8" eb="10">
      <t>トウキョウ</t>
    </rPh>
    <rPh sb="10" eb="11">
      <t>ニシ</t>
    </rPh>
    <phoneticPr fontId="13"/>
  </si>
  <si>
    <t>横浜 350 せ 714</t>
    <rPh sb="0" eb="2">
      <t>ヨコハマ</t>
    </rPh>
    <phoneticPr fontId="13"/>
  </si>
  <si>
    <t>有若 隆史</t>
    <rPh sb="0" eb="1">
      <t>アリ</t>
    </rPh>
    <rPh sb="1" eb="2">
      <t>ワカ</t>
    </rPh>
    <rPh sb="3" eb="4">
      <t>タカシ</t>
    </rPh>
    <phoneticPr fontId="13"/>
  </si>
  <si>
    <t>なにわ 591 す 6</t>
    <phoneticPr fontId="13"/>
  </si>
  <si>
    <t>北村 誠</t>
    <rPh sb="0" eb="2">
      <t>キタムラ</t>
    </rPh>
    <rPh sb="3" eb="4">
      <t>マコト</t>
    </rPh>
    <phoneticPr fontId="13"/>
  </si>
  <si>
    <t>地図SD(車内)取説 ｽﾍﾟｱｷｰ ﾅﾋﾞ取 中古保証書</t>
    <rPh sb="0" eb="2">
      <t>チズ</t>
    </rPh>
    <rPh sb="8" eb="10">
      <t>トリセツ</t>
    </rPh>
    <rPh sb="21" eb="22">
      <t>トリ</t>
    </rPh>
    <rPh sb="23" eb="28">
      <t>チュウコホショウショ</t>
    </rPh>
    <phoneticPr fontId="13"/>
  </si>
  <si>
    <t>袖ヶ浦 587 う 522</t>
    <rPh sb="0" eb="3">
      <t>ソデガウラ</t>
    </rPh>
    <phoneticPr fontId="13"/>
  </si>
  <si>
    <t>西澤 典晃</t>
    <rPh sb="0" eb="2">
      <t>ニシザワ</t>
    </rPh>
    <rPh sb="3" eb="4">
      <t>ノリ</t>
    </rPh>
    <rPh sb="4" eb="5">
      <t>アキラ</t>
    </rPh>
    <phoneticPr fontId="13"/>
  </si>
  <si>
    <t>地図SD(車内)保証書 取説 ﾅﾋﾞ取 ｽﾍﾟｱｷｰ</t>
    <rPh sb="0" eb="2">
      <t>チズ</t>
    </rPh>
    <rPh sb="8" eb="11">
      <t>ホショウショ</t>
    </rPh>
    <rPh sb="12" eb="14">
      <t>トリセツ</t>
    </rPh>
    <rPh sb="18" eb="19">
      <t>トリ</t>
    </rPh>
    <phoneticPr fontId="13"/>
  </si>
  <si>
    <t>大阪 303 め 2814</t>
    <rPh sb="0" eb="2">
      <t>オオサカ</t>
    </rPh>
    <phoneticPr fontId="13"/>
  </si>
  <si>
    <t>藤村 成悟</t>
    <rPh sb="0" eb="2">
      <t>フジムラ</t>
    </rPh>
    <rPh sb="3" eb="4">
      <t>ナリ</t>
    </rPh>
    <rPh sb="4" eb="5">
      <t>サト</t>
    </rPh>
    <phoneticPr fontId="13"/>
  </si>
  <si>
    <t>北九州 399 て 6441</t>
    <rPh sb="0" eb="3">
      <t>キタキュウシュウ</t>
    </rPh>
    <phoneticPr fontId="13"/>
  </si>
  <si>
    <t>名古屋 531 ら 132</t>
    <rPh sb="0" eb="3">
      <t>ナゴヤ</t>
    </rPh>
    <phoneticPr fontId="13"/>
  </si>
  <si>
    <t>ﾄﾖﾀｶﾛｰﾗ名古屋株式会社</t>
    <rPh sb="7" eb="10">
      <t>ナゴヤ</t>
    </rPh>
    <rPh sb="10" eb="14">
      <t>カブシキガイシャ</t>
    </rPh>
    <phoneticPr fontId="13"/>
  </si>
  <si>
    <t>宇都宮 330 ら 1529</t>
    <rPh sb="0" eb="3">
      <t>ウツノミヤ</t>
    </rPh>
    <phoneticPr fontId="13"/>
  </si>
  <si>
    <t>小森 聡</t>
    <rPh sb="0" eb="2">
      <t>コモリ</t>
    </rPh>
    <rPh sb="3" eb="4">
      <t>サトシ</t>
    </rPh>
    <phoneticPr fontId="13"/>
  </si>
  <si>
    <t>和泉 482 ろ 8356</t>
    <rPh sb="0" eb="2">
      <t>イズミ</t>
    </rPh>
    <phoneticPr fontId="13"/>
  </si>
  <si>
    <t>株式会社日産ﾌｨﾅﾝｼｬﾙｻｰﾋﾞｽ</t>
    <rPh sb="0" eb="4">
      <t>カブシキガイシャ</t>
    </rPh>
    <rPh sb="4" eb="6">
      <t>ニッサン</t>
    </rPh>
    <phoneticPr fontId="13"/>
  </si>
  <si>
    <t>神戸 582 こ 5305</t>
    <rPh sb="0" eb="2">
      <t>コウベ</t>
    </rPh>
    <phoneticPr fontId="13"/>
  </si>
  <si>
    <t xml:space="preserve">ｷｰﾚｽ(車内)保証書 取説 </t>
    <rPh sb="8" eb="11">
      <t>ホショウショ</t>
    </rPh>
    <rPh sb="12" eb="14">
      <t>トリセツ</t>
    </rPh>
    <phoneticPr fontId="13"/>
  </si>
  <si>
    <t>春日部 584 け 85</t>
    <rPh sb="0" eb="3">
      <t>カスカベ</t>
    </rPh>
    <phoneticPr fontId="13"/>
  </si>
  <si>
    <t>小倉 均</t>
    <rPh sb="0" eb="2">
      <t>コグラ</t>
    </rPh>
    <rPh sb="3" eb="4">
      <t>ヒトシ</t>
    </rPh>
    <phoneticPr fontId="13"/>
  </si>
  <si>
    <t>相模 502 ふ 8420</t>
    <phoneticPr fontId="13"/>
  </si>
  <si>
    <t>前原 舜介</t>
    <rPh sb="0" eb="2">
      <t>マエハラ</t>
    </rPh>
    <rPh sb="3" eb="4">
      <t>シュン</t>
    </rPh>
    <rPh sb="4" eb="5">
      <t>スケ</t>
    </rPh>
    <phoneticPr fontId="13"/>
  </si>
  <si>
    <t>27-1842</t>
  </si>
  <si>
    <t>27-1843</t>
  </si>
  <si>
    <t>27-1844</t>
  </si>
  <si>
    <t>27-1845</t>
  </si>
  <si>
    <t>27-1846</t>
  </si>
  <si>
    <t>27-1847</t>
  </si>
  <si>
    <t>27-1848</t>
  </si>
  <si>
    <t>27-1849</t>
  </si>
  <si>
    <t>27-1850</t>
  </si>
  <si>
    <t>27-1851</t>
  </si>
  <si>
    <t>27-1852</t>
  </si>
  <si>
    <t>27-1853</t>
  </si>
  <si>
    <t>27-1854</t>
  </si>
  <si>
    <t>27-1855</t>
  </si>
  <si>
    <t>27-1856</t>
  </si>
  <si>
    <t>27-1857</t>
  </si>
  <si>
    <t>27-1858</t>
  </si>
  <si>
    <t>27-1859</t>
  </si>
  <si>
    <t>NCP160-0151296</t>
    <phoneticPr fontId="13"/>
  </si>
  <si>
    <t>27-1860</t>
  </si>
  <si>
    <t>27-1861</t>
  </si>
  <si>
    <t>27-1862</t>
  </si>
  <si>
    <t>27-1863</t>
  </si>
  <si>
    <t>27-1864</t>
  </si>
  <si>
    <t>27-1865</t>
  </si>
  <si>
    <t>27-1866</t>
  </si>
  <si>
    <t>27-1867</t>
  </si>
  <si>
    <t>27-1868</t>
  </si>
  <si>
    <t>27-1869</t>
  </si>
  <si>
    <t>YV1MZA8RDK2174828</t>
    <phoneticPr fontId="13"/>
  </si>
  <si>
    <t>WMWXM520502A62284</t>
    <phoneticPr fontId="13"/>
  </si>
  <si>
    <t>WBA5P500908C30510</t>
    <phoneticPr fontId="13"/>
  </si>
  <si>
    <t>WMWZB32050WL97781</t>
    <phoneticPr fontId="13"/>
  </si>
  <si>
    <t>ﾜｲﾝﾚｯﾄﾞ</t>
    <phoneticPr fontId="13"/>
  </si>
  <si>
    <t>WMWLN320602B33721</t>
    <phoneticPr fontId="13"/>
  </si>
  <si>
    <t>WAUZZZFY6J2033490</t>
    <phoneticPr fontId="13"/>
  </si>
  <si>
    <t>ｱｳﾃﾞｨ A1 ｽﾎﾟｰﾂﾊﾞｯｸ 25TFSI Sﾗｲﾝ</t>
    <phoneticPr fontId="13"/>
  </si>
  <si>
    <t>ﾎﾞﾙﾎﾞ V60</t>
    <phoneticPr fontId="13"/>
  </si>
  <si>
    <t>WAUZZZGB0MR019980</t>
    <phoneticPr fontId="13"/>
  </si>
  <si>
    <t>佐世保 331 ぬ 1207</t>
    <rPh sb="0" eb="3">
      <t>サセボ</t>
    </rPh>
    <phoneticPr fontId="13"/>
  </si>
  <si>
    <t>YV1FWA8RDH1369982</t>
    <phoneticPr fontId="13"/>
  </si>
  <si>
    <t>熊本 338 め 1120</t>
    <rPh sb="0" eb="2">
      <t>クマモト</t>
    </rPh>
    <phoneticPr fontId="13"/>
  </si>
  <si>
    <t>BMW 3ｼﾘｰｽﾞ ｾﾀﾞﾝ 330e Mｽﾎﾟｰﾂ</t>
    <phoneticPr fontId="13"/>
  </si>
  <si>
    <t>愛媛 331 め 1325</t>
    <rPh sb="0" eb="2">
      <t>エヒメ</t>
    </rPh>
    <phoneticPr fontId="13"/>
  </si>
  <si>
    <t>一宮 330 る 60</t>
    <rPh sb="0" eb="2">
      <t>イチノミヤ</t>
    </rPh>
    <phoneticPr fontId="13"/>
  </si>
  <si>
    <t>ｱｳﾃﾞｨ Q5 2.0 TFSI ｸﾜﾄﾛ1stｴﾃﾞｨｼｮﾝ</t>
    <phoneticPr fontId="13"/>
  </si>
  <si>
    <t>なにわ 302 そ 3211</t>
    <phoneticPr fontId="13"/>
  </si>
  <si>
    <t>27-1870</t>
  </si>
  <si>
    <t>27-1871</t>
  </si>
  <si>
    <t>RC1-1127715</t>
    <phoneticPr fontId="13"/>
  </si>
  <si>
    <t>LA800S-0089976</t>
    <phoneticPr fontId="13"/>
  </si>
  <si>
    <t>BPFP-106991</t>
    <phoneticPr fontId="13"/>
  </si>
  <si>
    <t>JG3-2112643</t>
    <phoneticPr fontId="13"/>
  </si>
  <si>
    <t>27-1872</t>
  </si>
  <si>
    <t>27-1873</t>
  </si>
  <si>
    <t>27-1874</t>
  </si>
  <si>
    <t>27-1875</t>
  </si>
  <si>
    <t>27-1876</t>
  </si>
  <si>
    <t>ﾑｰﾌﾞｷｬﾝﾊﾟｽ Gﾒｲｸｱｯﾌﾟ SA3</t>
    <phoneticPr fontId="13"/>
  </si>
  <si>
    <t>ﾏﾂﾀﾞ3 ｾﾀﾞﾝ 20S ﾌﾟﾛｱｸﾃｨﾌﾞ ﾂｰﾘﾝｸﾞｾﾚｸｼｮﾝ</t>
    <phoneticPr fontId="13"/>
  </si>
  <si>
    <t>A314020</t>
    <phoneticPr fontId="13"/>
  </si>
  <si>
    <t>JF3-2425320</t>
    <phoneticPr fontId="13"/>
  </si>
  <si>
    <t>A314142</t>
    <phoneticPr fontId="13"/>
  </si>
  <si>
    <t>25/10</t>
    <phoneticPr fontId="13"/>
  </si>
  <si>
    <t>L375S-0685474</t>
    <phoneticPr fontId="13"/>
  </si>
  <si>
    <t>8/10/20</t>
    <phoneticPr fontId="13"/>
  </si>
  <si>
    <t>A313594</t>
    <phoneticPr fontId="13"/>
  </si>
  <si>
    <t>LA100S-0211496</t>
    <phoneticPr fontId="13"/>
  </si>
  <si>
    <t>8/2/26</t>
    <phoneticPr fontId="13"/>
  </si>
  <si>
    <t>A313990</t>
    <phoneticPr fontId="13"/>
  </si>
  <si>
    <t>ﾏﾂﾀﾞ3   ﾌｧｽﾄﾊﾞｯｸ 20SL ﾊﾟｯｹｰｼﾞ</t>
    <phoneticPr fontId="13"/>
  </si>
  <si>
    <t>BPFP-113842</t>
    <phoneticPr fontId="13"/>
  </si>
  <si>
    <t>9/9/1</t>
    <phoneticPr fontId="13"/>
  </si>
  <si>
    <t>A313789</t>
    <phoneticPr fontId="13"/>
  </si>
  <si>
    <t>ｸﾗｳﾝ ｽﾎﾟｰﾂ Z</t>
    <phoneticPr fontId="13"/>
  </si>
  <si>
    <t>AZSH36-4041529</t>
    <phoneticPr fontId="13"/>
  </si>
  <si>
    <t>10/2/19</t>
    <phoneticPr fontId="13"/>
  </si>
  <si>
    <t>N-ONE ｾﾚｸﾄ</t>
    <phoneticPr fontId="13"/>
  </si>
  <si>
    <t>JG1-1308387</t>
    <phoneticPr fontId="13"/>
  </si>
  <si>
    <t>鳥取 581 い 3777</t>
    <rPh sb="0" eb="2">
      <t>トットリ</t>
    </rPh>
    <phoneticPr fontId="13"/>
  </si>
  <si>
    <t>LA650S-0100019</t>
    <phoneticPr fontId="13"/>
  </si>
  <si>
    <t>LA650S-1057956</t>
    <phoneticPr fontId="13"/>
  </si>
  <si>
    <t>LA350S-0197496</t>
    <phoneticPr fontId="13"/>
  </si>
  <si>
    <t>京都 582 て 9226</t>
    <rPh sb="0" eb="2">
      <t>キョウト</t>
    </rPh>
    <phoneticPr fontId="13"/>
  </si>
  <si>
    <t>N-BOXｶｽﾀﾑ G特別仕様車SS</t>
    <rPh sb="11" eb="16">
      <t>トクベツシヨウシャ</t>
    </rPh>
    <phoneticPr fontId="13"/>
  </si>
  <si>
    <t>JF1-1507008</t>
    <phoneticPr fontId="13"/>
  </si>
  <si>
    <t>LA650S-0273748</t>
    <phoneticPr fontId="13"/>
  </si>
  <si>
    <t>高知 580 よ 1704</t>
    <rPh sb="0" eb="2">
      <t>コウチ</t>
    </rPh>
    <phoneticPr fontId="13"/>
  </si>
  <si>
    <t>ﾊｽﾗｰ Gﾀｰﾎﾞ</t>
    <phoneticPr fontId="13"/>
  </si>
  <si>
    <t>MR41S-621496</t>
    <phoneticPr fontId="13"/>
  </si>
  <si>
    <t>高松 580 か 7398</t>
    <rPh sb="0" eb="2">
      <t>タカマツ</t>
    </rPh>
    <phoneticPr fontId="13"/>
  </si>
  <si>
    <t>ﾑｰﾌﾞｷｬﾝﾊﾟｽ X ﾌﾞﾗｯｸｲﾝﾃﾘｱﾘﾐﾃｯﾄﾞ</t>
    <phoneticPr fontId="13"/>
  </si>
  <si>
    <t>LA800S-0240174</t>
    <phoneticPr fontId="13"/>
  </si>
  <si>
    <t xml:space="preserve">ｼﾞﾑﾆｰ XG </t>
    <phoneticPr fontId="13"/>
  </si>
  <si>
    <t>JB23W-757143</t>
    <phoneticPr fontId="13"/>
  </si>
  <si>
    <t>広島 583 か 2509</t>
    <rPh sb="0" eb="2">
      <t>ヒロシマ</t>
    </rPh>
    <phoneticPr fontId="13"/>
  </si>
  <si>
    <t>ﾊｲｾﾞｯﾄｶｰｺﾞ DX</t>
    <phoneticPr fontId="13"/>
  </si>
  <si>
    <t>S331V-0240970</t>
    <phoneticPr fontId="13"/>
  </si>
  <si>
    <t>岡山 480 わ 2265</t>
    <rPh sb="0" eb="2">
      <t>オカヤマ</t>
    </rPh>
    <phoneticPr fontId="13"/>
  </si>
  <si>
    <t xml:space="preserve">ﾌｨｱｯﾄ 500 </t>
    <phoneticPr fontId="13"/>
  </si>
  <si>
    <t>ZFA3120000J709385</t>
    <phoneticPr fontId="13"/>
  </si>
  <si>
    <t>広島 399 に 1255</t>
    <rPh sb="0" eb="2">
      <t>ヒロシマ</t>
    </rPh>
    <phoneticPr fontId="13"/>
  </si>
  <si>
    <t>取説 ｷｰﾚｽ(車内)ﾅﾋﾞ取</t>
    <rPh sb="0" eb="2">
      <t>トリセツ</t>
    </rPh>
    <rPh sb="14" eb="15">
      <t>トリ</t>
    </rPh>
    <phoneticPr fontId="13"/>
  </si>
  <si>
    <t>ﾒﾙｾﾃﾞｽﾍﾞﾝﾂ Aｸﾗｽ</t>
    <phoneticPr fontId="13"/>
  </si>
  <si>
    <t>WDD1770122V050095</t>
    <phoneticPr fontId="13"/>
  </si>
  <si>
    <t>土浦 581 う 8792</t>
    <rPh sb="0" eb="2">
      <t>ツチウラ</t>
    </rPh>
    <phoneticPr fontId="13"/>
  </si>
  <si>
    <t>久保田 昇吾</t>
    <rPh sb="0" eb="3">
      <t>クボタ</t>
    </rPh>
    <rPh sb="4" eb="5">
      <t>ノボル</t>
    </rPh>
    <rPh sb="5" eb="6">
      <t>ワレ</t>
    </rPh>
    <phoneticPr fontId="13"/>
  </si>
  <si>
    <t>保証書 取説 ｽﾍﾟｱｷｰ ﾅﾋﾞ取</t>
    <rPh sb="0" eb="3">
      <t>ホショウショ</t>
    </rPh>
    <rPh sb="4" eb="6">
      <t>トリセツ</t>
    </rPh>
    <rPh sb="17" eb="18">
      <t>トリ</t>
    </rPh>
    <phoneticPr fontId="13"/>
  </si>
  <si>
    <t>なにわ 502 に 1407</t>
    <phoneticPr fontId="13"/>
  </si>
  <si>
    <t>株式会社ﾄﾖﾀﾚﾝﾀﾘｰｽ新大阪</t>
    <rPh sb="0" eb="4">
      <t>カブシキガイシャ</t>
    </rPh>
    <rPh sb="13" eb="14">
      <t>シン</t>
    </rPh>
    <rPh sb="14" eb="16">
      <t>オオサカ</t>
    </rPh>
    <phoneticPr fontId="13"/>
  </si>
  <si>
    <t>取説 ｷｰﾚｽ 地図SD(車内)保証書</t>
    <rPh sb="0" eb="2">
      <t>トリセツ</t>
    </rPh>
    <rPh sb="8" eb="10">
      <t>チズ</t>
    </rPh>
    <rPh sb="16" eb="19">
      <t>ホショウショ</t>
    </rPh>
    <phoneticPr fontId="13"/>
  </si>
  <si>
    <t>品川 49A そ 4681</t>
    <rPh sb="0" eb="2">
      <t>シナガワ</t>
    </rPh>
    <phoneticPr fontId="13"/>
  </si>
  <si>
    <t>神戸 39A そ 1666</t>
    <rPh sb="0" eb="2">
      <t>コウベ</t>
    </rPh>
    <phoneticPr fontId="13"/>
  </si>
  <si>
    <t>品川 303 つ 5759</t>
    <rPh sb="0" eb="2">
      <t>シナガワ</t>
    </rPh>
    <phoneticPr fontId="13"/>
  </si>
  <si>
    <t>株式会社ﾔﾅｾABEMOTORRS</t>
    <rPh sb="0" eb="4">
      <t>カブシキガイシャ</t>
    </rPh>
    <phoneticPr fontId="13"/>
  </si>
  <si>
    <t>野田 399 み 467</t>
    <rPh sb="0" eb="2">
      <t>ノダ</t>
    </rPh>
    <phoneticPr fontId="13"/>
  </si>
  <si>
    <t>株式会社CSｵｰﾄﾃﾞｨｰﾗｰ</t>
    <rPh sb="0" eb="4">
      <t>カブシキガイシャ</t>
    </rPh>
    <phoneticPr fontId="13"/>
  </si>
  <si>
    <t>保証書 取説 ﾘｻｲｸﾙ券(車内)</t>
    <rPh sb="0" eb="3">
      <t>ホショウショ</t>
    </rPh>
    <rPh sb="4" eb="6">
      <t>トリセツ</t>
    </rPh>
    <rPh sb="12" eb="13">
      <t>ケン</t>
    </rPh>
    <rPh sb="14" eb="16">
      <t>シャナイ</t>
    </rPh>
    <phoneticPr fontId="13"/>
  </si>
  <si>
    <t>WMWXU92040TN54934</t>
    <phoneticPr fontId="13"/>
  </si>
  <si>
    <t>書類付属品返送11/25</t>
    <rPh sb="0" eb="2">
      <t>ショルイ</t>
    </rPh>
    <rPh sb="2" eb="5">
      <t>フゾクヒン</t>
    </rPh>
    <rPh sb="5" eb="7">
      <t>ヘンソウ</t>
    </rPh>
    <phoneticPr fontId="13"/>
  </si>
  <si>
    <t>ﾌﾟﾛﾎﾞｯｸｽ GL</t>
    <phoneticPr fontId="13"/>
  </si>
  <si>
    <t>NSP160-0057264</t>
    <phoneticPr fontId="13"/>
  </si>
  <si>
    <t>未納の為抹消できず11/26完納済み</t>
    <rPh sb="0" eb="2">
      <t>ミノウ</t>
    </rPh>
    <rPh sb="3" eb="4">
      <t>タメ</t>
    </rPh>
    <rPh sb="4" eb="6">
      <t>マッショウ</t>
    </rPh>
    <rPh sb="14" eb="16">
      <t>カンノウ</t>
    </rPh>
    <rPh sb="16" eb="17">
      <t>ズ</t>
    </rPh>
    <phoneticPr fontId="13"/>
  </si>
  <si>
    <t>宇都宮 530 に 639</t>
    <rPh sb="0" eb="3">
      <t>ウツノミヤ</t>
    </rPh>
    <phoneticPr fontId="13"/>
  </si>
  <si>
    <t>五月女 玉江</t>
    <rPh sb="0" eb="2">
      <t>サツキ</t>
    </rPh>
    <rPh sb="2" eb="3">
      <t>オンナ</t>
    </rPh>
    <rPh sb="4" eb="5">
      <t>タマ</t>
    </rPh>
    <rPh sb="5" eb="6">
      <t>エ</t>
    </rPh>
    <phoneticPr fontId="13"/>
  </si>
  <si>
    <t>浜松 330 て 6782</t>
    <rPh sb="0" eb="2">
      <t>ハママツ</t>
    </rPh>
    <phoneticPr fontId="13"/>
  </si>
  <si>
    <t>土井 勝之</t>
    <rPh sb="0" eb="2">
      <t>ツチイ</t>
    </rPh>
    <rPh sb="3" eb="5">
      <t>カツユキ</t>
    </rPh>
    <phoneticPr fontId="13"/>
  </si>
  <si>
    <t>301 ね 4137</t>
    <phoneticPr fontId="13"/>
  </si>
  <si>
    <t>301 ね 4136</t>
    <phoneticPr fontId="13"/>
  </si>
  <si>
    <t>301 ね 4135</t>
    <phoneticPr fontId="13"/>
  </si>
  <si>
    <t>301 ね 4134</t>
    <phoneticPr fontId="13"/>
  </si>
  <si>
    <t>？</t>
    <phoneticPr fontId="13"/>
  </si>
  <si>
    <t>ｼﾄﾛｴﾝ C5 ｴｱｸﾛｽ ｼｬｲﾝ</t>
    <phoneticPr fontId="13"/>
  </si>
  <si>
    <t>VR7AJEHZRLL066009</t>
    <phoneticPr fontId="13"/>
  </si>
  <si>
    <t>ﾅﾝﾊﾞｰ持ち出し中USS神戸渡しOK</t>
    <rPh sb="5" eb="6">
      <t>モ</t>
    </rPh>
    <rPh sb="7" eb="8">
      <t>ダ</t>
    </rPh>
    <rPh sb="9" eb="10">
      <t>チュウ</t>
    </rPh>
    <rPh sb="13" eb="15">
      <t>コウベ</t>
    </rPh>
    <rPh sb="15" eb="16">
      <t>ワタ</t>
    </rPh>
    <phoneticPr fontId="13"/>
  </si>
  <si>
    <t>ﾃｨｰｽﾞ名変</t>
    <rPh sb="5" eb="7">
      <t>メイヘン</t>
    </rPh>
    <phoneticPr fontId="13"/>
  </si>
  <si>
    <t>神戸 581 も 8726</t>
    <rPh sb="0" eb="2">
      <t>コウベ</t>
    </rPh>
    <phoneticPr fontId="13"/>
  </si>
  <si>
    <t>株式会社BUDDICA</t>
    <rPh sb="0" eb="4">
      <t>カブシキガイシャ</t>
    </rPh>
    <phoneticPr fontId="13"/>
  </si>
  <si>
    <t>直送</t>
    <rPh sb="0" eb="2">
      <t>チョクソウ</t>
    </rPh>
    <phoneticPr fontId="13"/>
  </si>
  <si>
    <t>福岡 391 ゆ 117</t>
    <rPh sb="0" eb="2">
      <t>フクオカ</t>
    </rPh>
    <phoneticPr fontId="13"/>
  </si>
  <si>
    <t>株式会社ﾈｸｽﾃｰｼﾞ</t>
    <rPh sb="0" eb="4">
      <t>カブシキガイシャ</t>
    </rPh>
    <phoneticPr fontId="13"/>
  </si>
  <si>
    <t>ﾋﾞｰｴﾑﾀﾞﾌﾞﾘｭｰｼﾞｬﾊﾟﾝﾌｧｲﾅﾝｽ株式会社</t>
    <rPh sb="24" eb="28">
      <t>カブシキガイシャ</t>
    </rPh>
    <phoneticPr fontId="13"/>
  </si>
  <si>
    <t>保証書 取説 ｽﾍﾟｱｷｰ ﾘﾓｺﾝ ﾜﾝｵｰﾅｰ</t>
    <rPh sb="0" eb="3">
      <t>ホショウショ</t>
    </rPh>
    <rPh sb="4" eb="6">
      <t>トリセツ</t>
    </rPh>
    <phoneticPr fontId="13"/>
  </si>
  <si>
    <t>TAA近畿</t>
    <rPh sb="3" eb="5">
      <t>キンキ</t>
    </rPh>
    <phoneticPr fontId="13"/>
  </si>
  <si>
    <t>27-1877</t>
  </si>
  <si>
    <t>27-1878</t>
  </si>
  <si>
    <t>27-1879</t>
  </si>
  <si>
    <t>27-1880</t>
  </si>
  <si>
    <t>27-1881</t>
  </si>
  <si>
    <t>27-1882</t>
  </si>
  <si>
    <t>27-1883</t>
  </si>
  <si>
    <t>27-1884</t>
  </si>
  <si>
    <t>27-1885</t>
  </si>
  <si>
    <t>27-1886</t>
  </si>
  <si>
    <t>27-1887</t>
  </si>
  <si>
    <t>27-1888</t>
  </si>
  <si>
    <t>27-1889</t>
  </si>
  <si>
    <t>27-1890</t>
  </si>
  <si>
    <t>27-1891</t>
  </si>
  <si>
    <t>27-1892</t>
  </si>
  <si>
    <t>27-1893</t>
  </si>
  <si>
    <t>27-1894</t>
  </si>
  <si>
    <t>27-1895</t>
  </si>
  <si>
    <t>LUN名古屋</t>
    <rPh sb="3" eb="6">
      <t>ナゴヤ</t>
    </rPh>
    <phoneticPr fontId="13"/>
  </si>
  <si>
    <t>27-1896</t>
  </si>
  <si>
    <t xml:space="preserve"> LA350S-0184890</t>
    <phoneticPr fontId="13"/>
  </si>
  <si>
    <t>LA350S-0246998</t>
    <phoneticPr fontId="13"/>
  </si>
  <si>
    <t>LA900S-0123724</t>
    <phoneticPr fontId="13"/>
  </si>
  <si>
    <t>LA160S-2008394</t>
    <phoneticPr fontId="13"/>
  </si>
  <si>
    <t>27-1897</t>
  </si>
  <si>
    <t>27-1898</t>
  </si>
  <si>
    <t>27-1899</t>
  </si>
  <si>
    <t>27-1900</t>
  </si>
  <si>
    <t>27-1901</t>
  </si>
  <si>
    <t>27-1902</t>
  </si>
  <si>
    <t>ﾍﾞｲｵｰｸ</t>
    <phoneticPr fontId="13"/>
  </si>
  <si>
    <t>6/7</t>
    <phoneticPr fontId="13"/>
  </si>
  <si>
    <t>DA17V-764652</t>
    <phoneticPr fontId="13"/>
  </si>
  <si>
    <t>28/11</t>
    <phoneticPr fontId="13"/>
  </si>
  <si>
    <t>ﾜｺﾞﾝR FX</t>
    <phoneticPr fontId="13"/>
  </si>
  <si>
    <t>MH34S-445487</t>
    <phoneticPr fontId="13"/>
  </si>
  <si>
    <t>2/4</t>
    <phoneticPr fontId="13"/>
  </si>
  <si>
    <t>ﾀﾝﾄ ｶｽﾀﾑ RSｾﾚｸｼｮﾝ</t>
    <phoneticPr fontId="13"/>
  </si>
  <si>
    <t>LA650S-1039375</t>
    <phoneticPr fontId="13"/>
  </si>
  <si>
    <t>CAA中部(まとめ)</t>
    <rPh sb="3" eb="5">
      <t>チュウブ</t>
    </rPh>
    <phoneticPr fontId="13"/>
  </si>
  <si>
    <t>27-1903</t>
  </si>
  <si>
    <t>3/3</t>
    <phoneticPr fontId="13"/>
  </si>
  <si>
    <t>ｴﾌﾞﾘｲﾜｺﾞﾝ PZﾀｰﾎﾞｽﾍﾟｼｬﾙ</t>
    <phoneticPr fontId="13"/>
  </si>
  <si>
    <t>DA17W-262789</t>
    <phoneticPr fontId="13"/>
  </si>
  <si>
    <t>浜松 581 ま 1472</t>
    <rPh sb="0" eb="2">
      <t>ハママツ</t>
    </rPh>
    <phoneticPr fontId="13"/>
  </si>
  <si>
    <t>2/3</t>
    <phoneticPr fontId="13"/>
  </si>
  <si>
    <t>白</t>
    <rPh sb="0" eb="1">
      <t>シロ</t>
    </rPh>
    <phoneticPr fontId="13"/>
  </si>
  <si>
    <t>ﾎﾞﾙﾎﾞ XC40</t>
    <phoneticPr fontId="13"/>
  </si>
  <si>
    <t>YV1XZACMDL2292225</t>
    <phoneticPr fontId="13"/>
  </si>
  <si>
    <t>9/3</t>
    <phoneticPr fontId="13"/>
  </si>
  <si>
    <t>8/3</t>
    <phoneticPr fontId="13"/>
  </si>
  <si>
    <t>富山 356 に 8008</t>
    <rPh sb="0" eb="2">
      <t>トヤマ</t>
    </rPh>
    <phoneticPr fontId="13"/>
  </si>
  <si>
    <t>21/10</t>
    <phoneticPr fontId="13"/>
  </si>
  <si>
    <t>ｼﾞﾑﾆｰ ﾗﾝﾄﾞﾍﾞﾝﾁｬｰ</t>
    <phoneticPr fontId="13"/>
  </si>
  <si>
    <t>JB23W-615212</t>
    <phoneticPr fontId="13"/>
  </si>
  <si>
    <t>8/10</t>
    <phoneticPr fontId="13"/>
  </si>
  <si>
    <t>岐阜 582 も 9696</t>
    <rPh sb="0" eb="2">
      <t>ギフ</t>
    </rPh>
    <phoneticPr fontId="13"/>
  </si>
  <si>
    <t>31/3</t>
    <phoneticPr fontId="13"/>
  </si>
  <si>
    <t>BMW 6ｼﾘｰｽﾞ</t>
    <phoneticPr fontId="13"/>
  </si>
  <si>
    <t>WBAJX62070BJ23960</t>
    <phoneticPr fontId="13"/>
  </si>
  <si>
    <t>USS東京</t>
    <rPh sb="3" eb="5">
      <t>トウキョウ</t>
    </rPh>
    <phoneticPr fontId="13"/>
  </si>
  <si>
    <t>26/8</t>
    <phoneticPr fontId="13"/>
  </si>
  <si>
    <t>ﾗﾝﾄﾞﾛｰﾊﾞｰﾚﾝｼﾞﾛｰﾊﾞｰ3.0V6</t>
    <phoneticPr fontId="13"/>
  </si>
  <si>
    <t>SALGA2VE0EA179615</t>
    <phoneticPr fontId="13"/>
  </si>
  <si>
    <t>青</t>
    <rPh sb="0" eb="1">
      <t>アオ</t>
    </rPh>
    <phoneticPr fontId="13"/>
  </si>
  <si>
    <t>BMWﾐﾆｸｰﾊﾟｰ 2WD</t>
    <phoneticPr fontId="13"/>
  </si>
  <si>
    <t>WMW42BT0503N02548</t>
    <phoneticPr fontId="13"/>
  </si>
  <si>
    <t>1/11</t>
    <phoneticPr fontId="13"/>
  </si>
  <si>
    <t>3/2</t>
    <phoneticPr fontId="13"/>
  </si>
  <si>
    <t>紫</t>
    <rPh sb="0" eb="1">
      <t>ムラサキ</t>
    </rPh>
    <phoneticPr fontId="13"/>
  </si>
  <si>
    <t>5/1</t>
    <phoneticPr fontId="13"/>
  </si>
  <si>
    <t>ﾀﾌﾄ Gﾀﾞｰｸｸﾛﾑ ﾍﾞﾝﾁｬｰ</t>
    <phoneticPr fontId="13"/>
  </si>
  <si>
    <t>ﾑｰﾌﾞ 4WD X ﾘﾐﾃｯﾄﾞ2</t>
    <phoneticPr fontId="13"/>
  </si>
  <si>
    <t>ｴﾌﾞﾘｨｼﾞｮｲﾝ</t>
    <phoneticPr fontId="13"/>
  </si>
  <si>
    <t>8/7/3</t>
    <phoneticPr fontId="13"/>
  </si>
  <si>
    <t>黒</t>
    <rPh sb="0" eb="1">
      <t>クロ</t>
    </rPh>
    <phoneticPr fontId="13"/>
  </si>
  <si>
    <t>9/4</t>
    <phoneticPr fontId="13"/>
  </si>
  <si>
    <t>ﾐﾗｲﾌﾞ大阪(ｱｲｵｰｸ)</t>
    <rPh sb="5" eb="7">
      <t>オオサカ</t>
    </rPh>
    <phoneticPr fontId="13"/>
  </si>
  <si>
    <t>5/9</t>
    <phoneticPr fontId="13"/>
  </si>
  <si>
    <t>ｽﾃｯﾌﾟﾜｺﾞﾝ eHEVｽﾊﾟｰﾀﾞ</t>
    <phoneticPr fontId="13"/>
  </si>
  <si>
    <t>RP8-1042416</t>
    <phoneticPr fontId="13"/>
  </si>
  <si>
    <t>31/2</t>
    <phoneticPr fontId="13"/>
  </si>
  <si>
    <t>赤</t>
    <rPh sb="0" eb="1">
      <t>アカ</t>
    </rPh>
    <phoneticPr fontId="13"/>
  </si>
  <si>
    <t>ZWA10-2346744</t>
    <phoneticPr fontId="13"/>
  </si>
  <si>
    <t>ﾚｸｻｽ CT 200hﾊﾞｰｼﾞｮﾝC</t>
    <phoneticPr fontId="13"/>
  </si>
  <si>
    <t>8/2</t>
    <phoneticPr fontId="13"/>
  </si>
  <si>
    <t>京都 357 と 505</t>
    <rPh sb="0" eb="2">
      <t>キョウト</t>
    </rPh>
    <phoneticPr fontId="13"/>
  </si>
  <si>
    <t>2/11</t>
    <phoneticPr fontId="13"/>
  </si>
  <si>
    <t>ﾏﾂﾀﾞ 3ｾﾀﾞﾝ 20S Lﾊﾟｯｹｰｼﾞ</t>
    <phoneticPr fontId="13"/>
  </si>
  <si>
    <t>BPFP-115758</t>
    <phoneticPr fontId="13"/>
  </si>
  <si>
    <t>28/12</t>
    <phoneticPr fontId="13"/>
  </si>
  <si>
    <t>ﾌﾟﾘｳｽ ｱﾙﾌｧ Sﾂｰﾘﾝｸﾞｾﾚｸｼｮﾝ</t>
    <phoneticPr fontId="13"/>
  </si>
  <si>
    <t>ZVW41-0054378</t>
    <phoneticPr fontId="13"/>
  </si>
  <si>
    <t>30/10</t>
    <phoneticPr fontId="13"/>
  </si>
  <si>
    <t xml:space="preserve">ｽｲﾌﾄｽﾎﾟｰﾂ </t>
    <phoneticPr fontId="13"/>
  </si>
  <si>
    <t>ZC33S-115627</t>
    <phoneticPr fontId="13"/>
  </si>
  <si>
    <t>5/10</t>
    <phoneticPr fontId="13"/>
  </si>
  <si>
    <t>紺</t>
    <rPh sb="0" eb="1">
      <t>コン</t>
    </rPh>
    <phoneticPr fontId="13"/>
  </si>
  <si>
    <t>ﾜｺﾞﾝR ｽﾏｲﾙ ﾊｲﾌﾞﾘｯﾄﾞX</t>
    <phoneticPr fontId="13"/>
  </si>
  <si>
    <t>MX91S-206927</t>
    <phoneticPr fontId="13"/>
  </si>
  <si>
    <t>ｽﾍﾟｰｼｱｷﾞｱ ﾏｲｽﾀｲﾙ</t>
    <phoneticPr fontId="13"/>
  </si>
  <si>
    <t>JF3-5028768</t>
    <phoneticPr fontId="13"/>
  </si>
  <si>
    <t>4/2</t>
    <phoneticPr fontId="13"/>
  </si>
  <si>
    <t>ﾙｰｸｽﾊｲｳｪｲｽﾀｰX</t>
    <phoneticPr fontId="13"/>
  </si>
  <si>
    <t>B44A-0101877</t>
    <phoneticPr fontId="13"/>
  </si>
  <si>
    <t>9/2</t>
    <phoneticPr fontId="13"/>
  </si>
  <si>
    <t>奈良 584 そ 1551</t>
    <rPh sb="0" eb="2">
      <t>ナラ</t>
    </rPh>
    <phoneticPr fontId="13"/>
  </si>
  <si>
    <t>HAA神戸(ﾜﾝｸﾘ)</t>
    <rPh sb="3" eb="5">
      <t>コウベ</t>
    </rPh>
    <phoneticPr fontId="13"/>
  </si>
  <si>
    <t>株式会社IDOM</t>
    <rPh sb="0" eb="4">
      <t>カブシキガイシャ</t>
    </rPh>
    <phoneticPr fontId="13"/>
  </si>
  <si>
    <t>11/27</t>
    <phoneticPr fontId="13"/>
  </si>
  <si>
    <t>大川 修</t>
    <rPh sb="0" eb="2">
      <t>オオカワ</t>
    </rPh>
    <rPh sb="3" eb="4">
      <t>シュウ</t>
    </rPh>
    <phoneticPr fontId="13"/>
  </si>
  <si>
    <t>保証書 取説 ﾅﾋﾞ取 ｷｰﾚｽ SD B-CAS</t>
    <rPh sb="0" eb="3">
      <t>ホショウショ</t>
    </rPh>
    <rPh sb="4" eb="6">
      <t>トリセツ</t>
    </rPh>
    <rPh sb="10" eb="11">
      <t>トリ</t>
    </rPh>
    <phoneticPr fontId="13"/>
  </si>
  <si>
    <t>株式会社ﾔﾅｾ</t>
    <rPh sb="0" eb="4">
      <t>カブシキガイシャ</t>
    </rPh>
    <phoneticPr fontId="13"/>
  </si>
  <si>
    <t>保証書 取説 ｷｰﾚｽ</t>
    <rPh sb="0" eb="3">
      <t>ホショウショ</t>
    </rPh>
    <rPh sb="4" eb="6">
      <t>トリセツ</t>
    </rPh>
    <phoneticPr fontId="13"/>
  </si>
  <si>
    <t>福山 501 に 7968</t>
    <rPh sb="0" eb="2">
      <t>フクヤマ</t>
    </rPh>
    <phoneticPr fontId="13"/>
  </si>
  <si>
    <t>保証書 取説←ｽﾄｯｸ</t>
    <rPh sb="0" eb="3">
      <t>ホショウショ</t>
    </rPh>
    <rPh sb="4" eb="6">
      <t>トリセツ</t>
    </rPh>
    <phoneticPr fontId="13"/>
  </si>
  <si>
    <t>愛知ｽｽﾞｷ販売株式会社</t>
    <rPh sb="0" eb="2">
      <t>アイチ</t>
    </rPh>
    <rPh sb="6" eb="8">
      <t>ハンバイ</t>
    </rPh>
    <rPh sb="8" eb="12">
      <t>カブシキガイシャ</t>
    </rPh>
    <phoneticPr fontId="13"/>
  </si>
  <si>
    <t>有限会社ｵｵｽ</t>
    <rPh sb="0" eb="4">
      <t>ユウゲンカイシャ</t>
    </rPh>
    <phoneticPr fontId="13"/>
  </si>
  <si>
    <t>保証書 取説 ﾅﾋﾞ取 ﾘﾓｺﾝ</t>
    <rPh sb="0" eb="3">
      <t>ホショウショ</t>
    </rPh>
    <rPh sb="4" eb="6">
      <t>トリセツ</t>
    </rPh>
    <rPh sb="10" eb="11">
      <t>トリ</t>
    </rPh>
    <phoneticPr fontId="13"/>
  </si>
  <si>
    <t>有限会社ｵｰﾄｸﾞﾗﾝﾃﾞｨ</t>
    <rPh sb="0" eb="4">
      <t>ユウゲンカイシャ</t>
    </rPh>
    <phoneticPr fontId="13"/>
  </si>
  <si>
    <t>福井 589 ゆ 1001</t>
    <rPh sb="0" eb="2">
      <t>フクイ</t>
    </rPh>
    <phoneticPr fontId="13"/>
  </si>
  <si>
    <t>株式会社T‘ｌｉｎｅ</t>
    <rPh sb="0" eb="4">
      <t>カブシキガイシャ</t>
    </rPh>
    <phoneticPr fontId="13"/>
  </si>
  <si>
    <t>日産大阪販売株式会社</t>
    <rPh sb="0" eb="2">
      <t>ニッサン</t>
    </rPh>
    <rPh sb="2" eb="4">
      <t>オオサカ</t>
    </rPh>
    <rPh sb="4" eb="10">
      <t>ハンバイカブシキガイシャ</t>
    </rPh>
    <phoneticPr fontId="13"/>
  </si>
  <si>
    <t>保証書 取説 ﾅﾋﾞ取 ﾘﾓｺﾝ ﾜﾝｵｰﾅｰ</t>
    <rPh sb="0" eb="3">
      <t>ホショウショ</t>
    </rPh>
    <rPh sb="4" eb="6">
      <t>トリセツ</t>
    </rPh>
    <rPh sb="10" eb="11">
      <t>トリ</t>
    </rPh>
    <phoneticPr fontId="13"/>
  </si>
  <si>
    <t>三昌自動車株式会社</t>
    <rPh sb="0" eb="1">
      <t>サン</t>
    </rPh>
    <rPh sb="1" eb="2">
      <t>ショウ</t>
    </rPh>
    <rPh sb="2" eb="5">
      <t>ジドウシャ</t>
    </rPh>
    <rPh sb="5" eb="9">
      <t>カブシキガイシャ</t>
    </rPh>
    <phoneticPr fontId="13"/>
  </si>
  <si>
    <t>保証書 取説 ﾅﾋﾞ取 ｷｰﾚｽ</t>
    <rPh sb="0" eb="3">
      <t>ホショウショ</t>
    </rPh>
    <rPh sb="4" eb="6">
      <t>トリセツ</t>
    </rPh>
    <rPh sb="10" eb="11">
      <t>トリ</t>
    </rPh>
    <phoneticPr fontId="13"/>
  </si>
  <si>
    <t>なにわ 581 せ 3322</t>
    <phoneticPr fontId="13"/>
  </si>
  <si>
    <t>山路 勇士郎</t>
    <rPh sb="0" eb="1">
      <t>ヤマ</t>
    </rPh>
    <rPh sb="1" eb="2">
      <t>ジ</t>
    </rPh>
    <rPh sb="3" eb="4">
      <t>イサム</t>
    </rPh>
    <rPh sb="4" eb="6">
      <t>シロウ</t>
    </rPh>
    <phoneticPr fontId="13"/>
  </si>
  <si>
    <t>名古屋 582 す 8555</t>
    <rPh sb="0" eb="3">
      <t>ナゴヤ</t>
    </rPh>
    <phoneticPr fontId="13"/>
  </si>
  <si>
    <t>亀井 明</t>
    <rPh sb="0" eb="2">
      <t>カメイ</t>
    </rPh>
    <rPh sb="3" eb="4">
      <t>アキラ</t>
    </rPh>
    <phoneticPr fontId="13"/>
  </si>
  <si>
    <t>大宮 799 ろ 501</t>
    <rPh sb="0" eb="2">
      <t>オオミヤ</t>
    </rPh>
    <phoneticPr fontId="13"/>
  </si>
  <si>
    <t>株式会社ﾀｳ</t>
    <rPh sb="0" eb="4">
      <t>カブシキガイシャ</t>
    </rPh>
    <phoneticPr fontId="13"/>
  </si>
  <si>
    <t>TAA関東</t>
    <rPh sb="3" eb="5">
      <t>カントウ</t>
    </rPh>
    <phoneticPr fontId="13"/>
  </si>
  <si>
    <t>1/8</t>
    <phoneticPr fontId="13"/>
  </si>
  <si>
    <t>BMW X1 xdrive18d</t>
    <phoneticPr fontId="13"/>
  </si>
  <si>
    <t>WBAHT920X05N86881</t>
    <phoneticPr fontId="13"/>
  </si>
  <si>
    <t>USS神戸</t>
    <rPh sb="3" eb="5">
      <t>コウベ</t>
    </rPh>
    <phoneticPr fontId="13"/>
  </si>
  <si>
    <t>582 い 5318</t>
    <phoneticPr fontId="13"/>
  </si>
  <si>
    <t>TAA近畿(ﾜﾝﾌﾟﾗ)</t>
    <rPh sb="3" eb="5">
      <t>キンキ</t>
    </rPh>
    <phoneticPr fontId="13"/>
  </si>
  <si>
    <t>和泉 393 ま 10</t>
    <rPh sb="0" eb="2">
      <t>イズミ</t>
    </rPh>
    <phoneticPr fontId="13"/>
  </si>
  <si>
    <t>大阪ﾄﾖﾍﾟｯﾄ株式会社</t>
    <rPh sb="0" eb="2">
      <t>オオサカ</t>
    </rPh>
    <rPh sb="8" eb="12">
      <t>カブシキガイシャ</t>
    </rPh>
    <phoneticPr fontId="13"/>
  </si>
  <si>
    <t>保証書 取説 (車内) 記録間違ってる？2/2月分</t>
    <rPh sb="0" eb="3">
      <t>ホショウショ</t>
    </rPh>
    <rPh sb="4" eb="6">
      <t>トリセツ</t>
    </rPh>
    <rPh sb="8" eb="10">
      <t>シャナイ</t>
    </rPh>
    <rPh sb="12" eb="14">
      <t>キロク</t>
    </rPh>
    <rPh sb="14" eb="16">
      <t>マチガ</t>
    </rPh>
    <rPh sb="23" eb="24">
      <t>ガツ</t>
    </rPh>
    <rPh sb="24" eb="25">
      <t>ブン</t>
    </rPh>
    <phoneticPr fontId="13"/>
  </si>
  <si>
    <t>名古屋 322 に 7788</t>
    <rPh sb="0" eb="3">
      <t>ナゴヤ</t>
    </rPh>
    <phoneticPr fontId="13"/>
  </si>
  <si>
    <t>ﾔﾅｾﾊﾞｲｴﾙﾝﾓｰﾀｰｽﾞ株式会社</t>
    <rPh sb="15" eb="19">
      <t>カブシキガイシャ</t>
    </rPh>
    <phoneticPr fontId="13"/>
  </si>
  <si>
    <t>関西自動車株式会社</t>
    <rPh sb="0" eb="2">
      <t>カンサイ</t>
    </rPh>
    <rPh sb="2" eb="5">
      <t>ジドウシャ</t>
    </rPh>
    <rPh sb="5" eb="9">
      <t>カブシキガイシャ</t>
    </rPh>
    <phoneticPr fontId="13"/>
  </si>
  <si>
    <t>大阪 399 ゆ 365</t>
    <rPh sb="0" eb="2">
      <t>オオサカ</t>
    </rPh>
    <phoneticPr fontId="13"/>
  </si>
  <si>
    <t>神戸 346 の 8558</t>
    <rPh sb="0" eb="2">
      <t>コウベ</t>
    </rPh>
    <phoneticPr fontId="13"/>
  </si>
  <si>
    <t>ﾄﾖﾀｶﾛｰﾗ神戸株式会社</t>
    <rPh sb="7" eb="9">
      <t>コウベ</t>
    </rPh>
    <rPh sb="9" eb="13">
      <t>カブシキガイシャ</t>
    </rPh>
    <phoneticPr fontId="13"/>
  </si>
  <si>
    <t>名古屋 530 ひ 5033</t>
    <rPh sb="0" eb="3">
      <t>ナゴヤ</t>
    </rPh>
    <phoneticPr fontId="13"/>
  </si>
  <si>
    <t>ﾈｯﾂﾄﾖﾀ福井株式会社</t>
    <rPh sb="6" eb="8">
      <t>フクイ</t>
    </rPh>
    <rPh sb="8" eb="12">
      <t>カブシキガイシャ</t>
    </rPh>
    <phoneticPr fontId="13"/>
  </si>
  <si>
    <t>名古屋 326 み 4865</t>
    <rPh sb="0" eb="3">
      <t>ナゴヤ</t>
    </rPh>
    <phoneticPr fontId="13"/>
  </si>
  <si>
    <t>名古屋 306 ゆ 2855</t>
    <rPh sb="0" eb="3">
      <t>ナゴヤ</t>
    </rPh>
    <phoneticPr fontId="13"/>
  </si>
  <si>
    <t>神戸 31F ひ 17</t>
    <rPh sb="0" eb="2">
      <t>コウベ</t>
    </rPh>
    <phoneticPr fontId="13"/>
  </si>
  <si>
    <t>なにわ 400 み 5637</t>
    <phoneticPr fontId="13"/>
  </si>
  <si>
    <t>大阪 480 む 7172</t>
    <rPh sb="0" eb="2">
      <t>オオサカ</t>
    </rPh>
    <phoneticPr fontId="13"/>
  </si>
  <si>
    <t>株式会社ｴｰｽ・ｵｰﾄﾘｰｽ</t>
    <rPh sb="0" eb="4">
      <t>カブシキガイシャ</t>
    </rPh>
    <phoneticPr fontId="13"/>
  </si>
  <si>
    <t>湘南 580 ひ 4938</t>
    <rPh sb="0" eb="2">
      <t>ショウナン</t>
    </rPh>
    <phoneticPr fontId="13"/>
  </si>
  <si>
    <t>桑田 武</t>
    <rPh sb="0" eb="2">
      <t>クワタ</t>
    </rPh>
    <rPh sb="3" eb="4">
      <t>タケ</t>
    </rPh>
    <phoneticPr fontId="13"/>
  </si>
  <si>
    <t>相模 332 ろ 291</t>
    <rPh sb="0" eb="1">
      <t>アイ</t>
    </rPh>
    <rPh sb="1" eb="2">
      <t>モ</t>
    </rPh>
    <phoneticPr fontId="13"/>
  </si>
  <si>
    <t>井草 祐一</t>
    <rPh sb="0" eb="2">
      <t>イグサ</t>
    </rPh>
    <rPh sb="3" eb="5">
      <t>ユウイチ</t>
    </rPh>
    <phoneticPr fontId="13"/>
  </si>
  <si>
    <t>尾張小牧 589 ろ 8086</t>
    <rPh sb="0" eb="4">
      <t>オワリコマキ</t>
    </rPh>
    <phoneticPr fontId="13"/>
  </si>
  <si>
    <t>27-1904</t>
  </si>
  <si>
    <t>WBA32AD0105S14809</t>
    <phoneticPr fontId="13"/>
  </si>
  <si>
    <t>27-1905</t>
  </si>
  <si>
    <t>27-1906</t>
  </si>
  <si>
    <t>WMWWG720703C83197</t>
    <phoneticPr fontId="13"/>
  </si>
  <si>
    <t>多摩 499 つ 8769</t>
    <rPh sb="0" eb="2">
      <t>タマ</t>
    </rPh>
    <phoneticPr fontId="13"/>
  </si>
  <si>
    <t>27-1907</t>
  </si>
  <si>
    <t>27-1908</t>
  </si>
  <si>
    <t>27-1909</t>
  </si>
  <si>
    <t>27-1910</t>
  </si>
  <si>
    <t>27-1911</t>
  </si>
  <si>
    <t>27-1912</t>
  </si>
  <si>
    <t>27-1913</t>
  </si>
  <si>
    <t>27-1914</t>
  </si>
  <si>
    <t>27-1915</t>
  </si>
  <si>
    <t>27-1916</t>
  </si>
  <si>
    <t>27-1917</t>
  </si>
  <si>
    <t>27-1918</t>
  </si>
  <si>
    <t>27-1919</t>
  </si>
  <si>
    <t>27-1920</t>
  </si>
  <si>
    <t>MH34S-373653</t>
    <phoneticPr fontId="13"/>
  </si>
  <si>
    <t>JF3-1508262</t>
    <phoneticPr fontId="13"/>
  </si>
  <si>
    <t>LA700S-0079293</t>
    <phoneticPr fontId="13"/>
  </si>
  <si>
    <t>JF3-5332456</t>
    <phoneticPr fontId="13"/>
  </si>
  <si>
    <t>9/7/27</t>
    <phoneticPr fontId="13"/>
  </si>
  <si>
    <t>ｳｪｲｸ Gﾀｰﾎﾞ ﾚｼﾞｬｰｴﾃﾞｨｼｮﾝSA</t>
    <phoneticPr fontId="13"/>
  </si>
  <si>
    <t>MH95S-181568</t>
    <phoneticPr fontId="13"/>
  </si>
  <si>
    <t>ﾙｰｸｽ ﾊｲｳｪｲｽﾀｰX</t>
    <phoneticPr fontId="13"/>
  </si>
  <si>
    <t>B44A-0430740</t>
    <phoneticPr fontId="13"/>
  </si>
  <si>
    <t>岐阜 580 わ 9308</t>
    <rPh sb="0" eb="2">
      <t>ギフ</t>
    </rPh>
    <phoneticPr fontId="13"/>
  </si>
  <si>
    <t>ﾊｲｾﾞｯﾄｶｰｺﾞ DX ｶｰｺﾞｾﾊﾟﾚｰﾄ2ｼｰﾀｰ</t>
    <phoneticPr fontId="13"/>
  </si>
  <si>
    <t>S321V-0381914</t>
    <phoneticPr fontId="13"/>
  </si>
  <si>
    <t>尾張小牧 480 さ 2056</t>
    <rPh sb="0" eb="4">
      <t>オワリコマキ</t>
    </rPh>
    <phoneticPr fontId="13"/>
  </si>
  <si>
    <t>MK94S-286018</t>
    <phoneticPr fontId="13"/>
  </si>
  <si>
    <t>名古屋 58A ほ 8665</t>
    <rPh sb="0" eb="3">
      <t>ナゴヤ</t>
    </rPh>
    <phoneticPr fontId="13"/>
  </si>
  <si>
    <t>ｽﾍﾟｰｼｱｷﾞｱﾊｲﾌﾞﾘｯﾄﾞXZ</t>
    <phoneticPr fontId="13"/>
  </si>
  <si>
    <t>MK94S-299784</t>
    <phoneticPr fontId="13"/>
  </si>
  <si>
    <t>ｷｬｽﾄｱｸﾃｨﾊﾞ G SA2</t>
    <phoneticPr fontId="13"/>
  </si>
  <si>
    <t>LA250S-0061482</t>
    <phoneticPr fontId="13"/>
  </si>
  <si>
    <t>ﾙｰｸｽﾊｲｳｪｲｽﾀｰ ﾌﾟﾛﾊﾟｲﾛｯﾄｴﾃﾞｨｼｮﾝ</t>
    <phoneticPr fontId="13"/>
  </si>
  <si>
    <t>B44A-0025312</t>
    <phoneticPr fontId="13"/>
  </si>
  <si>
    <t>VW ｺﾞﾙﾌﾄｩｰﾗﾝ TSI ﾊｲﾗｲﾝ</t>
    <phoneticPr fontId="13"/>
  </si>
  <si>
    <t>WVGZZZ1TZLW053120</t>
    <phoneticPr fontId="13"/>
  </si>
  <si>
    <t>A314071</t>
    <phoneticPr fontId="13"/>
  </si>
  <si>
    <t>ｼﾞｰﾌﾟﾗﾝｸﾞﾗｰ ｱﾝﾘﾐﾃｯﾄﾞｽﾎﾟｰﾂ</t>
    <phoneticPr fontId="13"/>
  </si>
  <si>
    <t>1C4HJWKG8DL580258</t>
    <phoneticPr fontId="13"/>
  </si>
  <si>
    <t>8/4/9</t>
    <phoneticPr fontId="13"/>
  </si>
  <si>
    <t>A314424</t>
    <phoneticPr fontId="13"/>
  </si>
  <si>
    <t>N-BOXｶｽﾀﾑﾀｰﾎﾞ SSﾊﾟｯｹｰｼﾞ</t>
    <phoneticPr fontId="13"/>
  </si>
  <si>
    <t>JF2-2205406</t>
    <phoneticPr fontId="13"/>
  </si>
  <si>
    <t>A314532</t>
    <phoneticPr fontId="13"/>
  </si>
  <si>
    <t>JF5-1168022</t>
    <phoneticPr fontId="13"/>
  </si>
  <si>
    <t>10/6/25</t>
    <phoneticPr fontId="13"/>
  </si>
  <si>
    <t>多摩 591 ろ 6978</t>
    <rPh sb="0" eb="2">
      <t>タマ</t>
    </rPh>
    <phoneticPr fontId="13"/>
  </si>
  <si>
    <t>なにわ 5P7 ろ 9590</t>
    <phoneticPr fontId="13"/>
  </si>
  <si>
    <t>SDなしTAA連絡くるかも 車内確認してもらう</t>
    <rPh sb="7" eb="9">
      <t>レンラク</t>
    </rPh>
    <rPh sb="14" eb="16">
      <t>シャナイ</t>
    </rPh>
    <rPh sb="16" eb="18">
      <t>カクニン</t>
    </rPh>
    <phoneticPr fontId="13"/>
  </si>
  <si>
    <t>多摩 499 つ 8699</t>
    <rPh sb="0" eb="2">
      <t>タマ</t>
    </rPh>
    <phoneticPr fontId="13"/>
  </si>
  <si>
    <t>多摩 592 ろ 3872</t>
    <rPh sb="0" eb="2">
      <t>タマ</t>
    </rPh>
    <phoneticPr fontId="13"/>
  </si>
  <si>
    <t>春日井 300 と 3756</t>
    <rPh sb="0" eb="3">
      <t>カスガイ</t>
    </rPh>
    <phoneticPr fontId="13"/>
  </si>
  <si>
    <t>仲里 英敏</t>
    <rPh sb="0" eb="2">
      <t>ナカサト</t>
    </rPh>
    <rPh sb="3" eb="5">
      <t>ヒデトシ</t>
    </rPh>
    <phoneticPr fontId="13"/>
  </si>
  <si>
    <t>相模 586 ゆ 178</t>
    <rPh sb="0" eb="2">
      <t>サガミ</t>
    </rPh>
    <phoneticPr fontId="13"/>
  </si>
  <si>
    <t>佐々木 敬二</t>
    <rPh sb="0" eb="3">
      <t>ササキ</t>
    </rPh>
    <rPh sb="4" eb="5">
      <t>ケイ</t>
    </rPh>
    <rPh sb="5" eb="6">
      <t>フタ</t>
    </rPh>
    <phoneticPr fontId="13"/>
  </si>
  <si>
    <t>市原 311 て 22</t>
    <rPh sb="0" eb="2">
      <t>イチハラ</t>
    </rPh>
    <phoneticPr fontId="13"/>
  </si>
  <si>
    <t>林 宏樹</t>
    <rPh sb="0" eb="1">
      <t>ハヤシ</t>
    </rPh>
    <rPh sb="2" eb="4">
      <t>ヒロキ</t>
    </rPh>
    <phoneticPr fontId="13"/>
  </si>
  <si>
    <t>荻原 卓也</t>
    <rPh sb="0" eb="2">
      <t>オギワラ</t>
    </rPh>
    <rPh sb="3" eb="5">
      <t>タクヤ</t>
    </rPh>
    <phoneticPr fontId="13"/>
  </si>
  <si>
    <t>保証書 取説 ｵｰﾃﾞｨｵ取説 ﾜﾝｵｰﾅｰ</t>
    <rPh sb="0" eb="3">
      <t>ホショウショ</t>
    </rPh>
    <rPh sb="4" eb="6">
      <t>トリセツ</t>
    </rPh>
    <rPh sb="13" eb="15">
      <t>トリセツ</t>
    </rPh>
    <phoneticPr fontId="13"/>
  </si>
  <si>
    <t>神戸 596 ろ 3119</t>
    <rPh sb="0" eb="2">
      <t>コウベ</t>
    </rPh>
    <phoneticPr fontId="13"/>
  </si>
  <si>
    <t>岡山 585 み 526</t>
    <rPh sb="0" eb="2">
      <t>オカヤマ</t>
    </rPh>
    <phoneticPr fontId="13"/>
  </si>
  <si>
    <t>藤原 史浦</t>
    <rPh sb="0" eb="2">
      <t>フジワラ</t>
    </rPh>
    <rPh sb="3" eb="4">
      <t>シ</t>
    </rPh>
    <rPh sb="4" eb="5">
      <t>ウラ</t>
    </rPh>
    <phoneticPr fontId="13"/>
  </si>
  <si>
    <t>出雲 480 あ 6457</t>
    <rPh sb="0" eb="2">
      <t>イヅモ</t>
    </rPh>
    <phoneticPr fontId="13"/>
  </si>
  <si>
    <t>持田 昭義</t>
    <rPh sb="0" eb="2">
      <t>モチダ</t>
    </rPh>
    <rPh sb="3" eb="5">
      <t>アキヨシ</t>
    </rPh>
    <phoneticPr fontId="13"/>
  </si>
  <si>
    <t>岡山 581 な 8484</t>
    <rPh sb="0" eb="2">
      <t>オカヤマ</t>
    </rPh>
    <phoneticPr fontId="13"/>
  </si>
  <si>
    <t>奈良 583 き 5815</t>
    <rPh sb="0" eb="2">
      <t>ナラ</t>
    </rPh>
    <phoneticPr fontId="13"/>
  </si>
  <si>
    <t>株式会社ﾎﾝﾀﾞﾈｯﾄｷﾝｷ</t>
    <rPh sb="0" eb="4">
      <t>カブシキガイシャ</t>
    </rPh>
    <phoneticPr fontId="13"/>
  </si>
  <si>
    <t>奈良 584 ろ 1875</t>
    <rPh sb="0" eb="2">
      <t>ナラ</t>
    </rPh>
    <phoneticPr fontId="13"/>
  </si>
  <si>
    <t>大澤 ふみ</t>
    <rPh sb="0" eb="2">
      <t>オオサワ</t>
    </rPh>
    <phoneticPr fontId="13"/>
  </si>
  <si>
    <t>三重 582 そ 8302</t>
    <rPh sb="0" eb="2">
      <t>ミエ</t>
    </rPh>
    <phoneticPr fontId="13"/>
  </si>
  <si>
    <t>保証書 取説(車内)ﾅﾝﾊﾞｰ</t>
    <rPh sb="0" eb="3">
      <t>ホショウショ</t>
    </rPh>
    <rPh sb="4" eb="6">
      <t>トリセツ</t>
    </rPh>
    <rPh sb="7" eb="9">
      <t>シャナイ</t>
    </rPh>
    <phoneticPr fontId="13"/>
  </si>
  <si>
    <t>三河 580 め 8774</t>
    <rPh sb="0" eb="2">
      <t>ミカワ</t>
    </rPh>
    <phoneticPr fontId="13"/>
  </si>
  <si>
    <t>三矢 悠里子</t>
    <rPh sb="0" eb="2">
      <t>ミツヤ</t>
    </rPh>
    <rPh sb="3" eb="6">
      <t>ユリコ</t>
    </rPh>
    <phoneticPr fontId="13"/>
  </si>
  <si>
    <t>VF7SXHNZTHT714477</t>
    <phoneticPr fontId="13"/>
  </si>
  <si>
    <t>堺 300 に 8863</t>
    <rPh sb="0" eb="1">
      <t>サカイ</t>
    </rPh>
    <phoneticPr fontId="13"/>
  </si>
  <si>
    <t>新井 長伸</t>
    <rPh sb="0" eb="2">
      <t>アライ</t>
    </rPh>
    <rPh sb="3" eb="4">
      <t>ナガ</t>
    </rPh>
    <rPh sb="4" eb="5">
      <t>ノブ</t>
    </rPh>
    <phoneticPr fontId="13"/>
  </si>
  <si>
    <t>記録紙1枚←付属品保管場所へ</t>
    <rPh sb="0" eb="3">
      <t>キロクシ</t>
    </rPh>
    <rPh sb="4" eb="5">
      <t>マイ</t>
    </rPh>
    <rPh sb="6" eb="9">
      <t>フゾクヒン</t>
    </rPh>
    <rPh sb="9" eb="11">
      <t>ホカン</t>
    </rPh>
    <rPh sb="11" eb="13">
      <t>バショ</t>
    </rPh>
    <phoneticPr fontId="13"/>
  </si>
  <si>
    <t>横浜 338 せ 56</t>
    <rPh sb="0" eb="2">
      <t>ヨコハマ</t>
    </rPh>
    <phoneticPr fontId="13"/>
  </si>
  <si>
    <t>保証書 取説 ｷｰﾚｽ ｽﾀｰﾄﾎﾞﾀﾝ</t>
    <rPh sb="0" eb="3">
      <t>ホショウショ</t>
    </rPh>
    <rPh sb="4" eb="6">
      <t>トリセツ</t>
    </rPh>
    <phoneticPr fontId="13"/>
  </si>
  <si>
    <t>福山 581 え 7983</t>
    <rPh sb="0" eb="2">
      <t>フクヤマ</t>
    </rPh>
    <phoneticPr fontId="13"/>
  </si>
  <si>
    <t>槇 和之</t>
    <rPh sb="0" eb="1">
      <t>マキ</t>
    </rPh>
    <rPh sb="2" eb="4">
      <t>カズユキ</t>
    </rPh>
    <phoneticPr fontId="13"/>
  </si>
  <si>
    <t>家守 利玄</t>
    <rPh sb="0" eb="2">
      <t>イエモリ</t>
    </rPh>
    <rPh sb="3" eb="4">
      <t>トシ</t>
    </rPh>
    <rPh sb="4" eb="5">
      <t>ゲン</t>
    </rPh>
    <phoneticPr fontId="13"/>
  </si>
  <si>
    <t>A314316</t>
    <phoneticPr fontId="13"/>
  </si>
  <si>
    <t>ｾﾞｽﾄｽﾊﾟｰｸ W</t>
    <phoneticPr fontId="13"/>
  </si>
  <si>
    <t>JE1-1411947</t>
    <phoneticPr fontId="13"/>
  </si>
  <si>
    <t>A.313820</t>
    <phoneticPr fontId="13"/>
  </si>
  <si>
    <t>ﾗﾝﾄﾞｸﾙｰｻﾞｰﾌﾟﾗﾄﾞ TX</t>
    <phoneticPr fontId="13"/>
  </si>
  <si>
    <t>GDJ150-0021203</t>
    <phoneticPr fontId="13"/>
  </si>
  <si>
    <t>DKEFW-200690</t>
    <phoneticPr fontId="13"/>
  </si>
  <si>
    <t>JW5-6201460</t>
    <phoneticPr fontId="13"/>
  </si>
  <si>
    <t>MK53S-630722</t>
    <phoneticPr fontId="13"/>
  </si>
  <si>
    <t>CX-3 20S ﾌﾟﾛｱｸﾃｨﾌﾞ</t>
    <phoneticPr fontId="13"/>
  </si>
  <si>
    <t xml:space="preserve">S660 ﾓﾃﾞｭｰﾛX </t>
    <phoneticPr fontId="13"/>
  </si>
  <si>
    <t>27-1921</t>
  </si>
  <si>
    <t>27-1922</t>
  </si>
  <si>
    <t>27-1923</t>
  </si>
  <si>
    <t>27-1924</t>
  </si>
  <si>
    <t>27-1925</t>
  </si>
  <si>
    <t>27-1926</t>
  </si>
  <si>
    <t>27-1927</t>
  </si>
  <si>
    <t>27-1928</t>
  </si>
  <si>
    <t>27-1929</t>
  </si>
  <si>
    <t>27-1930</t>
  </si>
  <si>
    <t>27-1931</t>
  </si>
  <si>
    <t>27-1932</t>
  </si>
  <si>
    <t>27-1933</t>
  </si>
  <si>
    <t>27-1934</t>
  </si>
  <si>
    <t>27-1935</t>
  </si>
  <si>
    <t>27-1936</t>
  </si>
  <si>
    <t>名古屋 58A ほ 8377</t>
    <rPh sb="0" eb="3">
      <t>ナゴヤ</t>
    </rPh>
    <phoneticPr fontId="13"/>
  </si>
  <si>
    <t>27-1937</t>
  </si>
  <si>
    <t>27-1938</t>
  </si>
  <si>
    <t>27-1939</t>
  </si>
  <si>
    <t>27-1940</t>
  </si>
  <si>
    <t>27-1941</t>
  </si>
  <si>
    <t>27-1942</t>
  </si>
  <si>
    <t>27-1943</t>
  </si>
  <si>
    <t>27-1944</t>
  </si>
  <si>
    <t>27-1945</t>
  </si>
  <si>
    <t>27-1946</t>
  </si>
  <si>
    <t>27-1947</t>
  </si>
  <si>
    <t>27-1948</t>
  </si>
  <si>
    <t>27-1949</t>
  </si>
  <si>
    <t>27-1950</t>
  </si>
  <si>
    <t>27-1951</t>
  </si>
  <si>
    <t>27-1952</t>
  </si>
  <si>
    <t>JF1-1899107</t>
    <phoneticPr fontId="13"/>
  </si>
  <si>
    <t>LA600S-0163885</t>
    <phoneticPr fontId="13"/>
  </si>
  <si>
    <t>ｼﾞﾑﾆｰ XL 4WD</t>
    <phoneticPr fontId="13"/>
  </si>
  <si>
    <t>JB64W-303916</t>
    <phoneticPr fontId="13"/>
  </si>
  <si>
    <t>ｱｸｱ G ｿﾌﾄﾚｻﾞｰｾﾚｸｼｮﾝ</t>
    <phoneticPr fontId="13"/>
  </si>
  <si>
    <t>NHP10-6693793</t>
    <phoneticPr fontId="13"/>
  </si>
  <si>
    <t>TRJ150-0101696</t>
    <phoneticPr fontId="13"/>
  </si>
  <si>
    <t>N-BOXｶｽﾀﾑLﾀｰﾎﾞ</t>
    <phoneticPr fontId="13"/>
  </si>
  <si>
    <t>JF3-2442840</t>
    <phoneticPr fontId="13"/>
  </si>
  <si>
    <t>ｶﾛｰﾗﾌｨｰﾙﾀﾞｰﾊｲﾌﾞﾘｯﾄﾞ</t>
    <phoneticPr fontId="13"/>
  </si>
  <si>
    <t>NKE165-7256906</t>
    <phoneticPr fontId="13"/>
  </si>
  <si>
    <t>ｵﾃﾞｯｾｲ ｱﾌﾞｿﾙｰﾄ</t>
    <phoneticPr fontId="13"/>
  </si>
  <si>
    <t>RC1-1017665</t>
    <phoneticPr fontId="13"/>
  </si>
  <si>
    <t>BP5P-104261</t>
    <phoneticPr fontId="13"/>
  </si>
  <si>
    <t>MN71S-137291</t>
    <phoneticPr fontId="13"/>
  </si>
  <si>
    <t>YV1DZA8RDH2231801</t>
    <phoneticPr fontId="13"/>
  </si>
  <si>
    <t>WMW72BB0802N67219</t>
    <phoneticPr fontId="13"/>
  </si>
  <si>
    <t>WDD2130042A554286</t>
    <phoneticPr fontId="13"/>
  </si>
  <si>
    <t>WMWXU72040TR59423</t>
    <phoneticPr fontId="13"/>
  </si>
  <si>
    <t>L675S-0217369</t>
    <phoneticPr fontId="13"/>
  </si>
  <si>
    <t>ﾊﾟﾚｯﾄ X</t>
    <phoneticPr fontId="13"/>
  </si>
  <si>
    <t>MK21S-278875</t>
    <phoneticPr fontId="13"/>
  </si>
  <si>
    <t>ﾓｶ</t>
    <phoneticPr fontId="13"/>
  </si>
  <si>
    <t>N-BOXｶｽﾀﾑ G Lﾊﾟｯｹｰｼﾞ</t>
    <phoneticPr fontId="13"/>
  </si>
  <si>
    <t>8/12/21</t>
    <phoneticPr fontId="13"/>
  </si>
  <si>
    <t>8/1/8</t>
    <phoneticPr fontId="13"/>
  </si>
  <si>
    <t>9/3/19</t>
    <phoneticPr fontId="13"/>
  </si>
  <si>
    <t>ﾏﾂﾀﾞ 3 ﾌｧｽﾄﾊﾞｯｸ 15Sﾂｰﾘﾝｸﾞ</t>
    <phoneticPr fontId="13"/>
  </si>
  <si>
    <t>8/9/11</t>
    <phoneticPr fontId="13"/>
  </si>
  <si>
    <t>保証書 取説 地図SD ﾜﾝｵｰﾅｰ</t>
    <rPh sb="0" eb="3">
      <t>ホショウショ</t>
    </rPh>
    <rPh sb="4" eb="6">
      <t>トリセツ</t>
    </rPh>
    <rPh sb="7" eb="9">
      <t>チズ</t>
    </rPh>
    <phoneticPr fontId="13"/>
  </si>
  <si>
    <t>ﾒﾙｾﾃﾞｽﾍﾞﾝﾂEｸﾗｽ 220d ｱﾊﾞﾝｷﾞｬﾙﾄ</t>
    <phoneticPr fontId="13"/>
  </si>
  <si>
    <t>8/2/24</t>
    <phoneticPr fontId="13"/>
  </si>
  <si>
    <t>24/11</t>
    <phoneticPr fontId="13"/>
  </si>
  <si>
    <t>取説 地図SD</t>
    <rPh sb="0" eb="2">
      <t>トリセツ</t>
    </rPh>
    <rPh sb="3" eb="5">
      <t>チズ</t>
    </rPh>
    <phoneticPr fontId="13"/>
  </si>
  <si>
    <t>神戸 583 そ 6780</t>
    <rPh sb="0" eb="2">
      <t>コウベ</t>
    </rPh>
    <phoneticPr fontId="13"/>
  </si>
  <si>
    <t>今津 勲</t>
    <rPh sb="0" eb="2">
      <t>イマヅ</t>
    </rPh>
    <rPh sb="3" eb="4">
      <t>イサオ</t>
    </rPh>
    <phoneticPr fontId="13"/>
  </si>
  <si>
    <t>11/29</t>
    <phoneticPr fontId="13"/>
  </si>
  <si>
    <t>豊田 480 か 3816</t>
    <rPh sb="0" eb="2">
      <t>トヨタ</t>
    </rPh>
    <phoneticPr fontId="13"/>
  </si>
  <si>
    <t>日比谷 実</t>
    <rPh sb="0" eb="3">
      <t>ヒビヤ</t>
    </rPh>
    <rPh sb="4" eb="5">
      <t>ミノル</t>
    </rPh>
    <phoneticPr fontId="13"/>
  </si>
  <si>
    <t>取説 ﾘﾓｺﾝ ｷｰﾚｽ ﾜﾝｵｰﾅｰ</t>
    <rPh sb="0" eb="2">
      <t>トリセツ</t>
    </rPh>
    <phoneticPr fontId="13"/>
  </si>
  <si>
    <t>大阪 583 さ 400</t>
    <rPh sb="0" eb="2">
      <t>オオサカ</t>
    </rPh>
    <phoneticPr fontId="13"/>
  </si>
  <si>
    <t>宮下 辰支</t>
    <rPh sb="0" eb="2">
      <t>ミヤシタ</t>
    </rPh>
    <rPh sb="3" eb="4">
      <t>タツ</t>
    </rPh>
    <rPh sb="4" eb="5">
      <t>ササ</t>
    </rPh>
    <phoneticPr fontId="13"/>
  </si>
  <si>
    <t>L880K-0056973</t>
    <phoneticPr fontId="13"/>
  </si>
  <si>
    <t>ｼﾞｰﾌﾟﾚﾈｹﾞｰド ﾄﾚｲﾙﾎｰｸ</t>
    <phoneticPr fontId="13"/>
  </si>
  <si>
    <t>1C4NJDC12MPM26753</t>
    <phoneticPr fontId="13"/>
  </si>
  <si>
    <t xml:space="preserve">保証書 取説 ﾅﾋﾞ取説 ｷｰﾚｽ ｶｰﾄﾞｷｰ </t>
    <rPh sb="0" eb="3">
      <t>ホショウショ</t>
    </rPh>
    <rPh sb="4" eb="6">
      <t>トリセツ</t>
    </rPh>
    <rPh sb="10" eb="12">
      <t>トリセツ</t>
    </rPh>
    <phoneticPr fontId="13"/>
  </si>
  <si>
    <t>DA17W-210328</t>
    <phoneticPr fontId="13"/>
  </si>
  <si>
    <t>9/2/18</t>
    <phoneticPr fontId="13"/>
  </si>
  <si>
    <t>広島 786 ぬ 33</t>
    <rPh sb="0" eb="2">
      <t>ヒロシマ</t>
    </rPh>
    <phoneticPr fontId="13"/>
  </si>
  <si>
    <t>JF1-1670851</t>
    <phoneticPr fontId="13"/>
  </si>
  <si>
    <t>大阪 581 ゆ 9009</t>
    <rPh sb="0" eb="2">
      <t>オオサカ</t>
    </rPh>
    <phoneticPr fontId="13"/>
  </si>
  <si>
    <t>WMWXU52060TH96572</t>
    <phoneticPr fontId="13"/>
  </si>
  <si>
    <t>愛媛 336 む 827</t>
    <rPh sb="0" eb="2">
      <t>エヒメ</t>
    </rPh>
    <phoneticPr fontId="13"/>
  </si>
  <si>
    <t>ｴﾇ・ﾃｨ・愛媛 株式会社</t>
    <rPh sb="6" eb="8">
      <t>エヒメ</t>
    </rPh>
    <rPh sb="9" eb="13">
      <t>カブシキガイシャ</t>
    </rPh>
    <phoneticPr fontId="13"/>
  </si>
  <si>
    <t>長野 580 わ 2741</t>
    <rPh sb="0" eb="2">
      <t>ナガノ</t>
    </rPh>
    <phoneticPr fontId="13"/>
  </si>
  <si>
    <t>WMW32BC0102N39954</t>
    <phoneticPr fontId="13"/>
  </si>
  <si>
    <t>7/12/1</t>
    <phoneticPr fontId="13"/>
  </si>
  <si>
    <t>WMWYT920603B368655</t>
    <phoneticPr fontId="13"/>
  </si>
  <si>
    <t>8/2/22</t>
    <phoneticPr fontId="13"/>
  </si>
  <si>
    <t>久留米 338 て 515</t>
    <rPh sb="0" eb="3">
      <t>クルメ</t>
    </rPh>
    <phoneticPr fontId="13"/>
  </si>
  <si>
    <t>DA17W-131279</t>
    <phoneticPr fontId="13"/>
  </si>
  <si>
    <t>DA17W-208551</t>
    <phoneticPr fontId="13"/>
  </si>
  <si>
    <t>滋賀 581 よ 9856</t>
    <rPh sb="0" eb="2">
      <t>シガ</t>
    </rPh>
    <phoneticPr fontId="13"/>
  </si>
  <si>
    <t>充電ｹｰﾌﾞﾙ伴さん保管 保証書 取説 ｷｰﾚｽ ﾜﾝｵｰﾅｰ</t>
    <rPh sb="0" eb="2">
      <t>ジュウデン</t>
    </rPh>
    <rPh sb="7" eb="8">
      <t>バン</t>
    </rPh>
    <rPh sb="10" eb="12">
      <t>ホカン</t>
    </rPh>
    <rPh sb="13" eb="16">
      <t>ホショウショ</t>
    </rPh>
    <rPh sb="17" eb="19">
      <t>トリセツ</t>
    </rPh>
    <phoneticPr fontId="13"/>
  </si>
  <si>
    <t>株式会社ｻﾝ・ﾓﾄｰﾚﾝ</t>
    <rPh sb="0" eb="4">
      <t>カブシキガイシャ</t>
    </rPh>
    <phoneticPr fontId="13"/>
  </si>
  <si>
    <t>沖縄 300 め 7966</t>
    <rPh sb="0" eb="2">
      <t>オキナワ</t>
    </rPh>
    <phoneticPr fontId="13"/>
  </si>
  <si>
    <t>琉球日産自動車株式会社</t>
    <rPh sb="0" eb="2">
      <t>リュウキュウ</t>
    </rPh>
    <rPh sb="2" eb="4">
      <t>ニッサン</t>
    </rPh>
    <rPh sb="4" eb="11">
      <t>ジドウシャカブシキガイシャ</t>
    </rPh>
    <phoneticPr fontId="13"/>
  </si>
  <si>
    <t>千葉 326 た 1718</t>
    <rPh sb="0" eb="2">
      <t>チバ</t>
    </rPh>
    <phoneticPr fontId="13"/>
  </si>
  <si>
    <t>東洋ｵｰﾄ株式会社</t>
    <rPh sb="0" eb="2">
      <t>トウヨウ</t>
    </rPh>
    <rPh sb="5" eb="9">
      <t>カブシキガイシャ</t>
    </rPh>
    <phoneticPr fontId="13"/>
  </si>
  <si>
    <t>広島 502 ふ 1697</t>
    <rPh sb="0" eb="2">
      <t>ヒロシマ</t>
    </rPh>
    <phoneticPr fontId="13"/>
  </si>
  <si>
    <t>保証書 取説 ﾅﾋﾞ取 ﾏｲｸﾛSD</t>
    <rPh sb="0" eb="3">
      <t>ホショウショ</t>
    </rPh>
    <rPh sb="4" eb="6">
      <t>トリセツ</t>
    </rPh>
    <rPh sb="10" eb="11">
      <t>トリ</t>
    </rPh>
    <phoneticPr fontId="13"/>
  </si>
  <si>
    <t>品川 5X2 ろ 2833</t>
    <rPh sb="0" eb="2">
      <t>シナガワ</t>
    </rPh>
    <phoneticPr fontId="13"/>
  </si>
  <si>
    <t>なにわ 581 せ 3639</t>
    <phoneticPr fontId="13"/>
  </si>
  <si>
    <t>多摩 592 ろ 4880</t>
    <rPh sb="0" eb="2">
      <t>タマ</t>
    </rPh>
    <phoneticPr fontId="13"/>
  </si>
  <si>
    <t>なにわ 5P8 ろ 1038</t>
    <phoneticPr fontId="13"/>
  </si>
  <si>
    <t>なにわ 5P8 ろ 1037</t>
    <phoneticPr fontId="13"/>
  </si>
  <si>
    <t>松本 580 わ 2443</t>
    <rPh sb="0" eb="2">
      <t>マツモト</t>
    </rPh>
    <phoneticPr fontId="13"/>
  </si>
  <si>
    <t>ｼﾄﾛｴﾝ ﾍﾞﾙﾗﾝｺﾞ ｼｬｲﾝ</t>
    <phoneticPr fontId="13"/>
  </si>
  <si>
    <t>VR7ECYHZRMJ657787</t>
    <phoneticPr fontId="13"/>
  </si>
  <si>
    <t>8/6/6</t>
    <phoneticPr fontId="13"/>
  </si>
  <si>
    <t>佐賀 337 す 32</t>
    <rPh sb="0" eb="2">
      <t>サガ</t>
    </rPh>
    <phoneticPr fontId="13"/>
  </si>
  <si>
    <t>WMWLU320702H63329</t>
    <phoneticPr fontId="13"/>
  </si>
  <si>
    <t>品番；MM114D-A</t>
    <phoneticPr fontId="13"/>
  </si>
  <si>
    <t>抹消書類送る 伴さんにふる</t>
    <rPh sb="0" eb="2">
      <t>マッショウ</t>
    </rPh>
    <rPh sb="2" eb="4">
      <t>ショルイ</t>
    </rPh>
    <rPh sb="4" eb="5">
      <t>オク</t>
    </rPh>
    <rPh sb="7" eb="8">
      <t>バン</t>
    </rPh>
    <phoneticPr fontId="13"/>
  </si>
  <si>
    <t>WMWXY520502N34646</t>
    <phoneticPr fontId="13"/>
  </si>
  <si>
    <t>松戸 310 さ 3797</t>
    <rPh sb="0" eb="2">
      <t>マツト</t>
    </rPh>
    <phoneticPr fontId="13"/>
  </si>
  <si>
    <t>倉谷 純平</t>
    <rPh sb="0" eb="2">
      <t>クラタニ</t>
    </rPh>
    <rPh sb="3" eb="5">
      <t>ジュンペイ</t>
    </rPh>
    <phoneticPr fontId="13"/>
  </si>
  <si>
    <t>11/30</t>
    <phoneticPr fontId="13"/>
  </si>
  <si>
    <t>滋賀 367 さ 6</t>
    <rPh sb="0" eb="2">
      <t>シガ</t>
    </rPh>
    <phoneticPr fontId="13"/>
  </si>
  <si>
    <t>高濱 龍生</t>
    <rPh sb="0" eb="2">
      <t>タカハマ</t>
    </rPh>
    <rPh sb="3" eb="4">
      <t>リュウ</t>
    </rPh>
    <rPh sb="4" eb="5">
      <t>イ</t>
    </rPh>
    <phoneticPr fontId="13"/>
  </si>
  <si>
    <t>川崎 37 そ 1120</t>
    <rPh sb="0" eb="2">
      <t>カワサキ</t>
    </rPh>
    <phoneticPr fontId="13"/>
  </si>
  <si>
    <t>吉川 勝宣</t>
    <rPh sb="0" eb="2">
      <t>ヨシカワ</t>
    </rPh>
    <rPh sb="3" eb="4">
      <t>カツ</t>
    </rPh>
    <rPh sb="4" eb="5">
      <t>セン</t>
    </rPh>
    <phoneticPr fontId="13"/>
  </si>
  <si>
    <t>仙台 367 に 1001</t>
    <rPh sb="0" eb="2">
      <t>センダイ</t>
    </rPh>
    <phoneticPr fontId="13"/>
  </si>
  <si>
    <t>仙台ﾄﾖﾍﾟｯﾄ株式会社</t>
    <rPh sb="0" eb="2">
      <t>センダイ</t>
    </rPh>
    <rPh sb="8" eb="12">
      <t>カブシキガイシャ</t>
    </rPh>
    <phoneticPr fontId="13"/>
  </si>
  <si>
    <t>姫路 399 な 4260</t>
    <rPh sb="0" eb="2">
      <t>ヒメジ</t>
    </rPh>
    <phoneticPr fontId="13"/>
  </si>
  <si>
    <t>板橋 310 せ 2012</t>
    <rPh sb="0" eb="2">
      <t>イタバシ</t>
    </rPh>
    <phoneticPr fontId="13"/>
  </si>
  <si>
    <t>鳥居 浩幸</t>
    <rPh sb="0" eb="2">
      <t>トリイ</t>
    </rPh>
    <rPh sb="3" eb="4">
      <t>ヒロ</t>
    </rPh>
    <rPh sb="4" eb="5">
      <t>シアワ</t>
    </rPh>
    <phoneticPr fontId="13"/>
  </si>
  <si>
    <t>山口 400 て 188</t>
    <rPh sb="0" eb="2">
      <t>ヤマグチ</t>
    </rPh>
    <phoneticPr fontId="13"/>
  </si>
  <si>
    <t>株式会社ﾄﾖﾀﾚﾝﾘｰｽ山口</t>
    <rPh sb="0" eb="4">
      <t>カブシキガイシャ</t>
    </rPh>
    <rPh sb="12" eb="14">
      <t>ヤマグチ</t>
    </rPh>
    <phoneticPr fontId="13"/>
  </si>
  <si>
    <t>堺 586 ろ 3831</t>
    <rPh sb="0" eb="1">
      <t>サカイ</t>
    </rPh>
    <phoneticPr fontId="13"/>
  </si>
  <si>
    <t>姫路 580 と 3906</t>
    <rPh sb="0" eb="2">
      <t>ヒメジ</t>
    </rPh>
    <phoneticPr fontId="13"/>
  </si>
  <si>
    <t>姫路三菱自動車販売株式会社</t>
    <rPh sb="0" eb="2">
      <t>ヒメジ</t>
    </rPh>
    <rPh sb="2" eb="4">
      <t>ミツビシ</t>
    </rPh>
    <rPh sb="4" eb="13">
      <t>ジドウシャハンバイカブシキガイシャ</t>
    </rPh>
    <phoneticPr fontId="13"/>
  </si>
  <si>
    <t>神戸 39A そ 2273</t>
    <rPh sb="0" eb="2">
      <t>コウベ</t>
    </rPh>
    <phoneticPr fontId="13"/>
  </si>
  <si>
    <t>医療法人柳沢活道ヶ丘診療所</t>
    <rPh sb="0" eb="4">
      <t>イリョウホウジン</t>
    </rPh>
    <rPh sb="4" eb="5">
      <t>ヤナギ</t>
    </rPh>
    <rPh sb="5" eb="6">
      <t>サワ</t>
    </rPh>
    <rPh sb="6" eb="7">
      <t>カツ</t>
    </rPh>
    <rPh sb="7" eb="8">
      <t>ドウ</t>
    </rPh>
    <rPh sb="9" eb="10">
      <t>オカ</t>
    </rPh>
    <rPh sb="10" eb="13">
      <t>シンリョウジョ</t>
    </rPh>
    <phoneticPr fontId="13"/>
  </si>
  <si>
    <t>京都 530 た 7044</t>
    <rPh sb="0" eb="2">
      <t>キョウト</t>
    </rPh>
    <phoneticPr fontId="13"/>
  </si>
  <si>
    <t>高森 聖也</t>
    <rPh sb="0" eb="2">
      <t>タカモリ</t>
    </rPh>
    <rPh sb="3" eb="5">
      <t>セイヤ</t>
    </rPh>
    <phoneticPr fontId="13"/>
  </si>
  <si>
    <t>ｺｰﾄﾞｶｰﾄﾞ ｽﾍﾟｱｷｰ</t>
    <phoneticPr fontId="13"/>
  </si>
  <si>
    <t>WMW62BT0203M46948</t>
    <phoneticPr fontId="13"/>
  </si>
  <si>
    <t>伊勢志摩 399 て 2357</t>
    <rPh sb="0" eb="4">
      <t>イセシマ</t>
    </rPh>
    <phoneticPr fontId="13"/>
  </si>
  <si>
    <t>有限会社ｵﾌﾟｼｮﾝ</t>
    <rPh sb="0" eb="4">
      <t>ユウゲンカイシャ</t>
    </rPh>
    <phoneticPr fontId="13"/>
  </si>
  <si>
    <t>習志野 337 ろ 616</t>
    <rPh sb="0" eb="3">
      <t>ナラシノ</t>
    </rPh>
    <phoneticPr fontId="13"/>
  </si>
  <si>
    <t>なにわ 581 あ 2292</t>
    <phoneticPr fontId="13"/>
  </si>
  <si>
    <t>井上 翔太</t>
    <rPh sb="0" eb="2">
      <t>イノウエ</t>
    </rPh>
    <rPh sb="3" eb="5">
      <t>ショウタ</t>
    </rPh>
    <phoneticPr fontId="13"/>
  </si>
  <si>
    <t>堺 586 ろ 3851</t>
    <rPh sb="0" eb="1">
      <t>サカイ</t>
    </rPh>
    <phoneticPr fontId="13"/>
  </si>
  <si>
    <t>記録紙 取説 ﾅﾋﾞ取 ｽﾍﾟｱｷｰ SD</t>
    <rPh sb="0" eb="3">
      <t>キロクシ</t>
    </rPh>
    <rPh sb="4" eb="6">
      <t>トリセツ</t>
    </rPh>
    <rPh sb="10" eb="11">
      <t>トリ</t>
    </rPh>
    <phoneticPr fontId="13"/>
  </si>
  <si>
    <t>株式会社ｽﾞｽﾞｷ自販鳥取</t>
    <rPh sb="0" eb="4">
      <t>カブシキガイシャ</t>
    </rPh>
    <rPh sb="9" eb="11">
      <t>ジハン</t>
    </rPh>
    <rPh sb="11" eb="13">
      <t>トットリ</t>
    </rPh>
    <phoneticPr fontId="13"/>
  </si>
  <si>
    <t>有限会社創華</t>
    <rPh sb="0" eb="4">
      <t>ユウゲンカイシャ</t>
    </rPh>
    <rPh sb="4" eb="5">
      <t>キズ</t>
    </rPh>
    <rPh sb="5" eb="6">
      <t>ハル</t>
    </rPh>
    <phoneticPr fontId="13"/>
  </si>
  <si>
    <t>保証書 取説 ﾅﾋﾞ取 ﾅﾋﾞSD ｽﾏｰﾄｷｰ SDｶｰﾄﾞ</t>
    <rPh sb="0" eb="3">
      <t>ホショウショ</t>
    </rPh>
    <rPh sb="4" eb="6">
      <t>トリセツ</t>
    </rPh>
    <rPh sb="10" eb="11">
      <t>トリ</t>
    </rPh>
    <phoneticPr fontId="13"/>
  </si>
  <si>
    <t>神戸 582 と 3559</t>
    <rPh sb="0" eb="2">
      <t>コウベ</t>
    </rPh>
    <phoneticPr fontId="13"/>
  </si>
  <si>
    <t>株式会社山本自動車</t>
    <rPh sb="0" eb="4">
      <t>カブシキガイシャ</t>
    </rPh>
    <rPh sb="4" eb="6">
      <t>ヤマモト</t>
    </rPh>
    <rPh sb="6" eb="9">
      <t>ジドウシャ</t>
    </rPh>
    <phoneticPr fontId="13"/>
  </si>
  <si>
    <t>広島 594 こ 222</t>
    <rPh sb="0" eb="2">
      <t>ヒロシマ</t>
    </rPh>
    <phoneticPr fontId="13"/>
  </si>
  <si>
    <t>ｴﾑｹｲ石油株式会社</t>
    <rPh sb="4" eb="6">
      <t>セキユ</t>
    </rPh>
    <rPh sb="6" eb="10">
      <t>カブシキガイシャ</t>
    </rPh>
    <phoneticPr fontId="13"/>
  </si>
  <si>
    <t>27-1953</t>
  </si>
  <si>
    <t>27-1954</t>
  </si>
  <si>
    <t>27-1955</t>
  </si>
  <si>
    <t>27-1956</t>
  </si>
  <si>
    <t>27-1957</t>
  </si>
  <si>
    <t>27-1958</t>
  </si>
  <si>
    <t>27-1959</t>
  </si>
  <si>
    <t>27-1960</t>
  </si>
  <si>
    <t>27-1961</t>
  </si>
  <si>
    <t>27-1962</t>
  </si>
  <si>
    <t>27-1963</t>
  </si>
  <si>
    <t>27-1964</t>
  </si>
  <si>
    <t>ｽﾍﾟｱｷｰﾀﾞﾐｰ送る</t>
    <rPh sb="10" eb="11">
      <t>オク</t>
    </rPh>
    <phoneticPr fontId="13"/>
  </si>
  <si>
    <t>WMWXM520402D02764</t>
    <phoneticPr fontId="13"/>
  </si>
  <si>
    <t>株式会社ｵﾙﾄﾃｯｸ</t>
    <rPh sb="0" eb="4">
      <t>カブシキガイシャ</t>
    </rPh>
    <phoneticPr fontId="13"/>
  </si>
  <si>
    <t>WMWXM520902D00573</t>
    <phoneticPr fontId="13"/>
  </si>
  <si>
    <t>WMWLN720802D98549</t>
    <phoneticPr fontId="13"/>
  </si>
  <si>
    <t>ﾒﾙｾﾃﾞｽﾍﾞﾝﾂAｸﾗｽ 250 4ﾏｯﾁ AMGﾗｲﾝ</t>
    <phoneticPr fontId="13"/>
  </si>
  <si>
    <t>W1K1771472J198328</t>
    <phoneticPr fontId="13"/>
  </si>
  <si>
    <t>ｱｳﾃﾞｨS1 ｽﾎﾟｰﾂﾊﾞｯｸ ｸﾜﾄﾛﾘﾐﾃｯﾄﾞ</t>
    <phoneticPr fontId="13"/>
  </si>
  <si>
    <t>WAUZZZ8X0HB015212</t>
    <phoneticPr fontId="13"/>
  </si>
  <si>
    <t>ﾍﾞﾙﾗﾝｺﾞ ｼｬｲﾝ</t>
    <phoneticPr fontId="13"/>
  </si>
  <si>
    <t>広島 535 ほ 1525</t>
    <rPh sb="0" eb="2">
      <t>ヒロシマ</t>
    </rPh>
    <phoneticPr fontId="13"/>
  </si>
  <si>
    <t>Audi VolkswagenRetailjapan株式会社</t>
    <rPh sb="26" eb="30">
      <t>カブシキガイシャ</t>
    </rPh>
    <phoneticPr fontId="13"/>
  </si>
  <si>
    <t>品川 39A む 4184</t>
    <rPh sb="0" eb="2">
      <t>シナガワ</t>
    </rPh>
    <phoneticPr fontId="13"/>
  </si>
  <si>
    <t>BMW X2 xdrive18d MｽﾎﾟｰﾂX</t>
    <phoneticPr fontId="13"/>
  </si>
  <si>
    <t>NHP10-6429735</t>
    <phoneticPr fontId="13"/>
  </si>
  <si>
    <t>MR41S-314794</t>
    <phoneticPr fontId="13"/>
  </si>
  <si>
    <t>LA900S-0122740</t>
    <phoneticPr fontId="13"/>
  </si>
  <si>
    <t>WMWYT920403D51018</t>
    <phoneticPr fontId="13"/>
  </si>
  <si>
    <t>ｱｸｱ  G</t>
    <phoneticPr fontId="13"/>
  </si>
  <si>
    <t>ﾗｲﾄﾌﾞﾙｰ</t>
    <phoneticPr fontId="13"/>
  </si>
  <si>
    <t>ﾀﾌﾄ G ﾀﾞｰｸｸﾛﾑﾍﾞﾝﾁｬｰ</t>
    <phoneticPr fontId="13"/>
  </si>
  <si>
    <t>付属品車内あり</t>
    <rPh sb="0" eb="3">
      <t>フゾクヒン</t>
    </rPh>
    <rPh sb="3" eb="5">
      <t>シャナイ</t>
    </rPh>
    <phoneticPr fontId="13"/>
  </si>
  <si>
    <t>地図SD(車内)保証書 取説 ｽﾍﾟｱｷｰ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</si>
  <si>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保証書 ｽﾍﾟｱｷｰ(車内)</t>
    <rPh sb="0" eb="3">
      <t>ホショウショ</t>
    </rPh>
    <phoneticPr fontId="13"/>
  </si>
  <si>
    <t>保証書 取説 ｷｰﾚｽ ﾘﾓｺﾝ2個(車内)</t>
    <rPh sb="0" eb="3">
      <t>ホショウショ</t>
    </rPh>
    <rPh sb="4" eb="6">
      <t>トリセツ</t>
    </rPh>
    <rPh sb="17" eb="18">
      <t>コ</t>
    </rPh>
    <phoneticPr fontId="13"/>
  </si>
  <si>
    <t>保証書(車内)</t>
    <rPh sb="0" eb="3">
      <t>ホショウショ</t>
    </rPh>
    <phoneticPr fontId="13"/>
  </si>
  <si>
    <t>保証書 取説 ｽﾍﾟｱｷｰ 地図SD(車内)</t>
    <rPh sb="0" eb="3">
      <t>ホショウショ</t>
    </rPh>
    <rPh sb="4" eb="6">
      <t>トリセツ</t>
    </rPh>
    <rPh sb="14" eb="16">
      <t>チズ</t>
    </rPh>
    <phoneticPr fontId="13"/>
  </si>
  <si>
    <t>保証書(車内)取説 ﾅﾋﾞ取 ｽﾍﾟｱｷｰ 地図SD</t>
    <rPh sb="0" eb="3">
      <t>ホショウショ</t>
    </rPh>
    <rPh sb="7" eb="9">
      <t>トリセツ</t>
    </rPh>
    <rPh sb="13" eb="14">
      <t>トリ</t>
    </rPh>
    <rPh sb="22" eb="24">
      <t>チズ</t>
    </rPh>
    <phoneticPr fontId="13"/>
  </si>
  <si>
    <t>整備手帳 取説(車内)</t>
    <rPh sb="0" eb="4">
      <t>セイビテチョウ</t>
    </rPh>
    <rPh sb="5" eb="7">
      <t>トリセツ</t>
    </rPh>
    <phoneticPr fontId="13"/>
  </si>
  <si>
    <t>地図SD(車内)取説 ﾅﾋﾞ取</t>
    <rPh sb="0" eb="2">
      <t>チズ</t>
    </rPh>
    <rPh sb="8" eb="10">
      <t>トリセツ</t>
    </rPh>
    <rPh sb="14" eb="15">
      <t>トリ</t>
    </rPh>
    <phoneticPr fontId="13"/>
  </si>
  <si>
    <t>地図SD(車内)保証書 取説 ｽﾍﾟｱｷｰ ﾜﾝｵｰﾅｰ</t>
    <rPh sb="0" eb="2">
      <t>チズ</t>
    </rPh>
    <rPh sb="8" eb="11">
      <t>ホショウショ</t>
    </rPh>
    <rPh sb="12" eb="14">
      <t>トリセツ</t>
    </rPh>
    <phoneticPr fontId="13"/>
  </si>
  <si>
    <t>A313852</t>
    <phoneticPr fontId="13"/>
  </si>
  <si>
    <t>MR41S-329233</t>
    <phoneticPr fontId="13"/>
  </si>
  <si>
    <t>A315058</t>
    <phoneticPr fontId="13"/>
  </si>
  <si>
    <t>AGH30-0362709</t>
    <phoneticPr fontId="13"/>
  </si>
  <si>
    <t>405 の 5</t>
    <phoneticPr fontId="13"/>
  </si>
  <si>
    <t>27-1965</t>
  </si>
  <si>
    <t>27-1966</t>
  </si>
  <si>
    <t>27-1967</t>
  </si>
  <si>
    <t>27-1968</t>
  </si>
  <si>
    <t>27-1969</t>
  </si>
  <si>
    <t>27-1970</t>
  </si>
  <si>
    <t>27-1971</t>
  </si>
  <si>
    <t>27-1972</t>
  </si>
  <si>
    <t>27-1973</t>
  </si>
  <si>
    <t>品川 302 も 9446</t>
    <rPh sb="0" eb="2">
      <t>シナガワ</t>
    </rPh>
    <phoneticPr fontId="13"/>
  </si>
  <si>
    <t>27-1974</t>
  </si>
  <si>
    <t>27-1975</t>
  </si>
  <si>
    <t>27-1976</t>
  </si>
  <si>
    <t>27-1977</t>
  </si>
  <si>
    <t>27-1978</t>
  </si>
  <si>
    <t>27-1979</t>
  </si>
  <si>
    <t>27-1980</t>
  </si>
  <si>
    <t>27-1981</t>
  </si>
  <si>
    <t>27-1982</t>
  </si>
  <si>
    <t>27-1983</t>
  </si>
  <si>
    <t>27-1984</t>
  </si>
  <si>
    <t>27-1985</t>
  </si>
  <si>
    <t>27-1986</t>
  </si>
  <si>
    <t>A314952</t>
    <phoneticPr fontId="13"/>
  </si>
  <si>
    <t>DR17V-304428</t>
    <phoneticPr fontId="13"/>
  </si>
  <si>
    <t>A314420</t>
    <phoneticPr fontId="13"/>
  </si>
  <si>
    <t>B21W-0366909</t>
    <phoneticPr fontId="13"/>
  </si>
  <si>
    <t>A312416</t>
    <phoneticPr fontId="13"/>
  </si>
  <si>
    <t>AZSH36-4015375</t>
    <phoneticPr fontId="13"/>
  </si>
  <si>
    <t>A315002</t>
    <phoneticPr fontId="13"/>
  </si>
  <si>
    <t>DR17W-100093</t>
    <phoneticPr fontId="13"/>
  </si>
  <si>
    <t>A314162</t>
    <phoneticPr fontId="13"/>
  </si>
  <si>
    <t>LA600S-0467627</t>
    <phoneticPr fontId="13"/>
  </si>
  <si>
    <t>A313239</t>
    <phoneticPr fontId="13"/>
  </si>
  <si>
    <t>MXAA54-4026511</t>
    <phoneticPr fontId="13"/>
  </si>
  <si>
    <t>A314218</t>
    <phoneticPr fontId="13"/>
  </si>
  <si>
    <t>LA650S-0169785</t>
    <phoneticPr fontId="13"/>
  </si>
  <si>
    <t>A314715</t>
    <phoneticPr fontId="13"/>
  </si>
  <si>
    <t>WBABC42060BJ29995</t>
    <phoneticPr fontId="13"/>
  </si>
  <si>
    <t>ﾊｽﾗｰ  G</t>
    <phoneticPr fontId="13"/>
  </si>
  <si>
    <t>9/10/18</t>
    <phoneticPr fontId="13"/>
  </si>
  <si>
    <t>ｱﾙﾌｫｰﾄﾞ 2.5S ﾀｲﾌﾟｺﾞｰﾙﾄﾞ</t>
    <phoneticPr fontId="13"/>
  </si>
  <si>
    <t>NV100ｸﾘｯﾊﾟｰﾊﾞﾝ GX</t>
    <phoneticPr fontId="13"/>
  </si>
  <si>
    <t>9/2/25</t>
    <phoneticPr fontId="13"/>
  </si>
  <si>
    <t>ﾃﾞｲｽﾞ J</t>
    <phoneticPr fontId="13"/>
  </si>
  <si>
    <t>8/1/23</t>
    <phoneticPr fontId="13"/>
  </si>
  <si>
    <t>ｸﾗｳﾝｽﾎﾟｰﾂ HVZ</t>
    <phoneticPr fontId="13"/>
  </si>
  <si>
    <t>9/5/19</t>
    <phoneticPr fontId="13"/>
  </si>
  <si>
    <t>NV100ｸﾘｯﾊﾟｰﾘｵ E</t>
    <phoneticPr fontId="13"/>
  </si>
  <si>
    <t>ﾀﾝﾄ ｶｽﾀﾑRS ﾄｯﾌﾟｴﾃﾞｨｼｮﾝSA2</t>
    <phoneticPr fontId="13"/>
  </si>
  <si>
    <t>9/9/23</t>
    <phoneticPr fontId="13"/>
  </si>
  <si>
    <t>RAV4 G</t>
    <phoneticPr fontId="13"/>
  </si>
  <si>
    <t>ﾀﾝﾄ ｶｽﾀﾑX ｽﾀｲﾙｾﾚｸｼｮﾝ</t>
    <phoneticPr fontId="13"/>
  </si>
  <si>
    <t>8/12/19</t>
    <phoneticPr fontId="13"/>
  </si>
  <si>
    <t>BMW 8ｼﾘｰｽﾞ M850i xdriveｸｰﾍﾟ</t>
    <phoneticPr fontId="13"/>
  </si>
  <si>
    <t>MK94S-213115</t>
    <phoneticPr fontId="13"/>
  </si>
  <si>
    <t xml:space="preserve">ﾑｰﾌﾞ RS </t>
    <phoneticPr fontId="13"/>
  </si>
  <si>
    <t>LA850S-2003008</t>
    <phoneticPr fontId="13"/>
  </si>
  <si>
    <t>LA350S-0291167</t>
    <phoneticPr fontId="13"/>
  </si>
  <si>
    <t>和歌山 581 と 9111</t>
    <rPh sb="0" eb="3">
      <t>ワカヤマ</t>
    </rPh>
    <phoneticPr fontId="13"/>
  </si>
  <si>
    <t>N-BOXｶｽﾀﾑ ﾍﾞｰｽｸﾞﾚｰﾄﾞ</t>
    <phoneticPr fontId="13"/>
  </si>
  <si>
    <t>JF5-1088035</t>
    <phoneticPr fontId="13"/>
  </si>
  <si>
    <t>なにわ 580 わ 7743</t>
    <phoneticPr fontId="13"/>
  </si>
  <si>
    <t>ﾀﾝﾄ ﾌｫﾝｸﾛｽ</t>
    <phoneticPr fontId="13"/>
  </si>
  <si>
    <t>LA650S-0254181</t>
    <phoneticPr fontId="13"/>
  </si>
  <si>
    <t>なにわ 580 わ 6559</t>
    <phoneticPr fontId="13"/>
  </si>
  <si>
    <t>HE33S-242925</t>
    <phoneticPr fontId="13"/>
  </si>
  <si>
    <t>和泉 581 に 7956</t>
    <rPh sb="0" eb="2">
      <t>イズミ</t>
    </rPh>
    <phoneticPr fontId="13"/>
  </si>
  <si>
    <t>ｺﾍﾟﾝ ｾﾛ</t>
    <phoneticPr fontId="13"/>
  </si>
  <si>
    <t>LA400K-0019609</t>
    <phoneticPr fontId="13"/>
  </si>
  <si>
    <t>RA</t>
    <phoneticPr fontId="13"/>
  </si>
  <si>
    <t>HE33S-300007</t>
    <phoneticPr fontId="13"/>
  </si>
  <si>
    <t>三重 336 せ 385</t>
    <rPh sb="0" eb="2">
      <t>ミエ</t>
    </rPh>
    <phoneticPr fontId="13"/>
  </si>
  <si>
    <t>都 英漢</t>
    <rPh sb="0" eb="1">
      <t>ミヤコ</t>
    </rPh>
    <rPh sb="2" eb="3">
      <t>ヒデ</t>
    </rPh>
    <rPh sb="3" eb="4">
      <t>カン</t>
    </rPh>
    <phoneticPr fontId="13"/>
  </si>
  <si>
    <t>多摩 585 す 301</t>
    <rPh sb="0" eb="2">
      <t>タマ</t>
    </rPh>
    <phoneticPr fontId="13"/>
  </si>
  <si>
    <t>倉智 一芳</t>
    <rPh sb="0" eb="1">
      <t>クラ</t>
    </rPh>
    <rPh sb="1" eb="2">
      <t>チ</t>
    </rPh>
    <rPh sb="3" eb="5">
      <t>カズヨシ</t>
    </rPh>
    <phoneticPr fontId="13"/>
  </si>
  <si>
    <t>ﾚﾝﾀｶｰ 保証書</t>
    <rPh sb="6" eb="9">
      <t>ホショウショ</t>
    </rPh>
    <phoneticPr fontId="13"/>
  </si>
  <si>
    <t>ｱｳﾃﾞｨTTｸｰﾍﾟ</t>
    <phoneticPr fontId="13"/>
  </si>
  <si>
    <t>TRUZZZFV3G1013159</t>
    <phoneticPr fontId="13"/>
  </si>
  <si>
    <t>ｱｳﾃﾞｨA4 ｱﾊﾞﾝﾄ</t>
    <phoneticPr fontId="13"/>
  </si>
  <si>
    <t>WAUZZZF48KA119632</t>
    <phoneticPr fontId="13"/>
  </si>
  <si>
    <t>WMWXS720202C52450</t>
    <phoneticPr fontId="13"/>
  </si>
  <si>
    <t>BMW 3ｼﾘｰｽﾞ 320d ｽﾎﾟｰﾂ</t>
    <phoneticPr fontId="13"/>
  </si>
  <si>
    <t>WBA8B52020K433621</t>
    <phoneticPr fontId="13"/>
  </si>
  <si>
    <t>香川 376 ね 8008</t>
    <rPh sb="0" eb="2">
      <t>カガワ</t>
    </rPh>
    <phoneticPr fontId="13"/>
  </si>
  <si>
    <t>ﾊｲｾﾞｯﾄｶｰｺﾞ ｸﾙｰｽﾞ</t>
    <phoneticPr fontId="13"/>
  </si>
  <si>
    <t>S700V-0089879</t>
    <phoneticPr fontId="13"/>
  </si>
  <si>
    <t>ﾃﾞﾘｶﾐﾆ Tﾌﾟﾚﾐｱﾑ 4WD</t>
    <phoneticPr fontId="13"/>
  </si>
  <si>
    <t>B38A-0510780</t>
    <phoneticPr fontId="13"/>
  </si>
  <si>
    <t>LA600S-0192595</t>
    <phoneticPr fontId="13"/>
  </si>
  <si>
    <t>広島 593 は 100</t>
    <rPh sb="0" eb="2">
      <t>ヒロシマ</t>
    </rPh>
    <phoneticPr fontId="13"/>
  </si>
  <si>
    <t>名古屋 390 ひ 32</t>
    <rPh sb="0" eb="3">
      <t>ナゴヤ</t>
    </rPh>
    <phoneticPr fontId="13"/>
  </si>
  <si>
    <t>練馬 329 す 9939</t>
    <rPh sb="0" eb="2">
      <t>ネリマ</t>
    </rPh>
    <phoneticPr fontId="13"/>
  </si>
  <si>
    <t>三井住友ｵｰﾄｻｰﾋﾞｽ株式会社</t>
    <rPh sb="0" eb="4">
      <t>ミツイスミトモ</t>
    </rPh>
    <rPh sb="12" eb="16">
      <t>カブシキガイシャ</t>
    </rPh>
    <phoneticPr fontId="13"/>
  </si>
  <si>
    <t>和歌山 483 え 5306</t>
    <rPh sb="0" eb="3">
      <t>ワカヤマ</t>
    </rPh>
    <phoneticPr fontId="13"/>
  </si>
  <si>
    <t>米野 維行</t>
    <rPh sb="0" eb="2">
      <t>ヨネノ</t>
    </rPh>
    <rPh sb="3" eb="4">
      <t>イ</t>
    </rPh>
    <rPh sb="4" eb="5">
      <t>ユ</t>
    </rPh>
    <phoneticPr fontId="13"/>
  </si>
  <si>
    <t>奈良 581 と 2573</t>
    <rPh sb="0" eb="2">
      <t>ナラ</t>
    </rPh>
    <phoneticPr fontId="13"/>
  </si>
  <si>
    <t>東林 孝友</t>
    <rPh sb="0" eb="2">
      <t>ヒガシバヤシ</t>
    </rPh>
    <rPh sb="3" eb="5">
      <t>タカトモ</t>
    </rPh>
    <phoneticPr fontId="13"/>
  </si>
  <si>
    <t>品川 5X2 ろ 5352</t>
    <rPh sb="0" eb="2">
      <t>シナガワ</t>
    </rPh>
    <phoneticPr fontId="13"/>
  </si>
  <si>
    <t>株式会社JCＭ</t>
    <rPh sb="0" eb="4">
      <t>カブシキガイシャ</t>
    </rPh>
    <phoneticPr fontId="13"/>
  </si>
  <si>
    <t>名古屋 582 め 1482</t>
    <rPh sb="0" eb="3">
      <t>ナゴヤ</t>
    </rPh>
    <phoneticPr fontId="13"/>
  </si>
  <si>
    <t>坂野 滿昭</t>
    <rPh sb="0" eb="2">
      <t>サカノ</t>
    </rPh>
    <rPh sb="4" eb="5">
      <t>アキラ</t>
    </rPh>
    <phoneticPr fontId="13"/>
  </si>
  <si>
    <t>品川 5X2 ろ 4699</t>
    <rPh sb="0" eb="2">
      <t>シナガワ</t>
    </rPh>
    <phoneticPr fontId="13"/>
  </si>
  <si>
    <t>保証書 取説 ｽﾍﾟｱｷｰ ﾜﾝｵｰﾅｰ？</t>
    <rPh sb="0" eb="3">
      <t>ホショウショ</t>
    </rPh>
    <rPh sb="4" eb="6">
      <t>トリセツ</t>
    </rPh>
    <phoneticPr fontId="13"/>
  </si>
  <si>
    <t>堺 431 に 6666</t>
    <rPh sb="0" eb="1">
      <t>サカイ</t>
    </rPh>
    <phoneticPr fontId="13"/>
  </si>
  <si>
    <t>ﾈｯﾂﾄﾖﾀ南海株式会社</t>
    <rPh sb="6" eb="8">
      <t>ナンカイ</t>
    </rPh>
    <rPh sb="8" eb="12">
      <t>カブシキガイシャ</t>
    </rPh>
    <phoneticPr fontId="13"/>
  </si>
  <si>
    <t>越谷 311 り 1016</t>
    <rPh sb="0" eb="1">
      <t>コ</t>
    </rPh>
    <rPh sb="1" eb="2">
      <t>タニ</t>
    </rPh>
    <phoneticPr fontId="13"/>
  </si>
  <si>
    <t>BLOWIN株式会社</t>
    <rPh sb="6" eb="10">
      <t>カブシキガイシャ</t>
    </rPh>
    <phoneticPr fontId="13"/>
  </si>
  <si>
    <t>保証書 ｷｰﾚｽ ｶｰﾄﾞｷｰ ﾜﾝｵｰﾅ‐</t>
    <rPh sb="0" eb="3">
      <t>ホショウショ</t>
    </rPh>
    <phoneticPr fontId="13"/>
  </si>
  <si>
    <t>株式会社ｺﾔﾏ・ﾐﾗｲｴ</t>
    <rPh sb="0" eb="4">
      <t>カブシキガイシャ</t>
    </rPh>
    <phoneticPr fontId="13"/>
  </si>
  <si>
    <r>
      <t>保証書 ｷｰﾚｽ ﾜﾝｵｰﾅｰ</t>
    </r>
    <r>
      <rPr>
        <sz val="11"/>
        <color rgb="FFFF0000"/>
        <rFont val="ＭＳ Ｐゴシック"/>
        <family val="3"/>
        <charset val="128"/>
        <scheme val="minor"/>
      </rPr>
      <t xml:space="preserve">取説問い合わせ中 </t>
    </r>
    <rPh sb="0" eb="3">
      <t>ホショウショ</t>
    </rPh>
    <rPh sb="15" eb="17">
      <t>トリセツ</t>
    </rPh>
    <rPh sb="17" eb="18">
      <t>ト</t>
    </rPh>
    <rPh sb="19" eb="20">
      <t>ア</t>
    </rPh>
    <rPh sb="22" eb="23">
      <t>チュウ</t>
    </rPh>
    <phoneticPr fontId="13"/>
  </si>
  <si>
    <t>ｷｬﾝｾﾙ 12/4返送</t>
    <rPh sb="10" eb="12">
      <t>ヘンソウ</t>
    </rPh>
    <phoneticPr fontId="13"/>
  </si>
  <si>
    <t>27-1987</t>
  </si>
  <si>
    <t>27-1988</t>
  </si>
  <si>
    <t>27-1989</t>
  </si>
  <si>
    <t>27-1990</t>
  </si>
  <si>
    <t>27-1991</t>
  </si>
  <si>
    <t>27-1992</t>
  </si>
  <si>
    <t>27-1993</t>
  </si>
  <si>
    <t>27-1994</t>
  </si>
  <si>
    <t>27-1995</t>
  </si>
  <si>
    <t>27-1996</t>
  </si>
  <si>
    <t>27-1997</t>
  </si>
  <si>
    <t>27-1998</t>
  </si>
  <si>
    <t>27-1999</t>
  </si>
  <si>
    <t>27-2000</t>
  </si>
  <si>
    <t>27-2001</t>
  </si>
  <si>
    <t>27-2002</t>
  </si>
  <si>
    <t>27-2003</t>
  </si>
  <si>
    <t>27-2004</t>
  </si>
  <si>
    <t>27-2005</t>
  </si>
  <si>
    <t>27-2006</t>
  </si>
  <si>
    <t>27-2007</t>
  </si>
  <si>
    <t>27-2008</t>
  </si>
  <si>
    <t>27-2009</t>
  </si>
  <si>
    <t>27-2010</t>
  </si>
  <si>
    <t>27-2011</t>
  </si>
  <si>
    <t>27-2012</t>
  </si>
  <si>
    <t>27-2013</t>
  </si>
  <si>
    <t>27-2014</t>
  </si>
  <si>
    <t>ﾜｺﾞﾝRｶｽﾀﾑZ</t>
    <phoneticPr fontId="13"/>
  </si>
  <si>
    <t>MH55S-940440</t>
    <phoneticPr fontId="13"/>
  </si>
  <si>
    <t>ｱｳﾃﾞｨ S1 ｽﾎﾟｰﾂﾊﾞｯｸB</t>
    <phoneticPr fontId="13"/>
  </si>
  <si>
    <t>WAUZZZ8X2GB013170</t>
    <phoneticPr fontId="13"/>
  </si>
  <si>
    <t>ﾜｺﾞﾝR FX 4WD</t>
    <phoneticPr fontId="13"/>
  </si>
  <si>
    <t>MH34S-429821</t>
    <phoneticPr fontId="13"/>
  </si>
  <si>
    <t>松本 580 ふ 7692</t>
    <rPh sb="0" eb="2">
      <t>マツモト</t>
    </rPh>
    <phoneticPr fontId="13"/>
  </si>
  <si>
    <t>ﾎﾞﾙﾎﾞ XC90</t>
    <phoneticPr fontId="13"/>
  </si>
  <si>
    <t>YV1LF10MCJ1374885</t>
    <phoneticPr fontId="13"/>
  </si>
  <si>
    <t>豊橋 330 り 3710</t>
    <rPh sb="0" eb="2">
      <t>トヨハシ</t>
    </rPh>
    <phoneticPr fontId="13"/>
  </si>
  <si>
    <t>ｴｽｸｧｲｱ ﾊｲﾌﾞﾘｯﾄﾞG i</t>
    <phoneticPr fontId="13"/>
  </si>
  <si>
    <t>ZWR80-0197885</t>
    <phoneticPr fontId="13"/>
  </si>
  <si>
    <t>神戸 505 そ 4792</t>
    <rPh sb="0" eb="2">
      <t>コウベ</t>
    </rPh>
    <phoneticPr fontId="13"/>
  </si>
  <si>
    <t>ｽﾍﾟｰｼｱｷﾞｱ ﾊｲﾌﾞﾘｯﾄﾞX ﾀｰﾎﾞ</t>
    <phoneticPr fontId="13"/>
  </si>
  <si>
    <t>MK54S-144548</t>
    <phoneticPr fontId="13"/>
  </si>
  <si>
    <t>姫路 581 ゆ 4537</t>
    <rPh sb="0" eb="2">
      <t>ヒメジ</t>
    </rPh>
    <phoneticPr fontId="13"/>
  </si>
  <si>
    <t>ｽﾍﾟｰｼｱｷｶｽﾀﾑ ﾊｲﾌﾞﾘｯﾄﾞXS</t>
    <phoneticPr fontId="13"/>
  </si>
  <si>
    <t>MK53S-494079</t>
    <phoneticPr fontId="13"/>
  </si>
  <si>
    <t>MK53S-937678</t>
    <phoneticPr fontId="13"/>
  </si>
  <si>
    <t>ｽﾍﾟｰｼｱｷﾞｱ ﾊｲﾌﾞﾘｯﾄﾞXZﾀｰﾎﾞ</t>
    <phoneticPr fontId="13"/>
  </si>
  <si>
    <t>MK54S-142300</t>
    <phoneticPr fontId="13"/>
  </si>
  <si>
    <t>姫路 582 い 5677</t>
    <rPh sb="0" eb="2">
      <t>ヒメジ</t>
    </rPh>
    <phoneticPr fontId="13"/>
  </si>
  <si>
    <t>還付金印鑑証明依頼中</t>
    <rPh sb="0" eb="3">
      <t>カンプキン</t>
    </rPh>
    <rPh sb="3" eb="5">
      <t>インカン</t>
    </rPh>
    <rPh sb="5" eb="7">
      <t>ショウメイ</t>
    </rPh>
    <rPh sb="7" eb="9">
      <t>イライ</t>
    </rPh>
    <rPh sb="9" eb="10">
      <t>チュウ</t>
    </rPh>
    <phoneticPr fontId="13"/>
  </si>
  <si>
    <t>ﾃﾞﾘｶﾐﾆ Gﾌﾟﾚﾐｱﾑ</t>
    <phoneticPr fontId="13"/>
  </si>
  <si>
    <t>MH34S-702235</t>
    <phoneticPr fontId="13"/>
  </si>
  <si>
    <t>ﾊｲｾﾞｯﾄﾄﾗｯｸ ｽﾀﾝﾀﾞｰﾄﾞ</t>
    <phoneticPr fontId="13"/>
  </si>
  <si>
    <t>S500P-0184406</t>
    <phoneticPr fontId="13"/>
  </si>
  <si>
    <t>ﾗﾝﾄﾞﾛｰﾊﾞｰﾚﾝｼﾞﾛｰﾊﾞｰ 3.0V6</t>
    <phoneticPr fontId="13"/>
  </si>
  <si>
    <t>SALGA2VE6FA205300</t>
    <phoneticPr fontId="13"/>
  </si>
  <si>
    <t>8/2/2</t>
    <phoneticPr fontId="13"/>
  </si>
  <si>
    <t>横浜 340 そ 603</t>
    <rPh sb="0" eb="2">
      <t>ヨコハマ</t>
    </rPh>
    <phoneticPr fontId="13"/>
  </si>
  <si>
    <t>ｴﾌﾞﾘｨﾊﾞﾝ ｼﾞｮｲﾝ</t>
    <phoneticPr fontId="13"/>
  </si>
  <si>
    <t>DA17V-653635</t>
    <phoneticPr fontId="13"/>
  </si>
  <si>
    <t>和泉 480 に 9731</t>
    <rPh sb="0" eb="2">
      <t>イズミ</t>
    </rPh>
    <phoneticPr fontId="13"/>
  </si>
  <si>
    <t>JW5-1013903</t>
    <phoneticPr fontId="13"/>
  </si>
  <si>
    <t>和歌山 585 ち 660</t>
    <rPh sb="0" eb="3">
      <t>ワカヤマ</t>
    </rPh>
    <phoneticPr fontId="13"/>
  </si>
  <si>
    <t>ﾜｺﾞﾝRｽﾏｲﾙ ﾊｲﾌﾞﾘｯﾄﾞS</t>
    <phoneticPr fontId="13"/>
  </si>
  <si>
    <t>MX91S-315211</t>
    <phoneticPr fontId="13"/>
  </si>
  <si>
    <t>なにわ 581 す 3735</t>
    <phoneticPr fontId="13"/>
  </si>
  <si>
    <t>DG17W-300912</t>
    <phoneticPr fontId="13"/>
  </si>
  <si>
    <t>ﾙｰｸｽﾊｲｳｪｲｽﾀｰ X</t>
    <phoneticPr fontId="13"/>
  </si>
  <si>
    <t>B47A-0006952</t>
    <phoneticPr fontId="13"/>
  </si>
  <si>
    <t>京都 581 よ 5927</t>
    <rPh sb="0" eb="2">
      <t>キョウト</t>
    </rPh>
    <phoneticPr fontId="13"/>
  </si>
  <si>
    <t>ZC32S-305500</t>
    <phoneticPr fontId="13"/>
  </si>
  <si>
    <t>HE22S-275808</t>
    <phoneticPr fontId="13"/>
  </si>
  <si>
    <t>MK53S-488662</t>
    <phoneticPr fontId="13"/>
  </si>
  <si>
    <t>岡山 589 せ 1108</t>
    <rPh sb="0" eb="2">
      <t>オカヤマ</t>
    </rPh>
    <phoneticPr fontId="13"/>
  </si>
  <si>
    <t>小林  愛</t>
    <rPh sb="0" eb="2">
      <t>コバヤシ</t>
    </rPh>
    <rPh sb="4" eb="5">
      <t>アイ</t>
    </rPh>
    <phoneticPr fontId="13"/>
  </si>
  <si>
    <t>山口 300 る 1954</t>
    <rPh sb="0" eb="2">
      <t>ヤマグチ</t>
    </rPh>
    <phoneticPr fontId="13"/>
  </si>
  <si>
    <t>永尾 達弘</t>
    <rPh sb="0" eb="2">
      <t>ナガオ</t>
    </rPh>
    <rPh sb="3" eb="5">
      <t>タツヒロ</t>
    </rPh>
    <phoneticPr fontId="13"/>
  </si>
  <si>
    <t>なにわ 337 た 1616</t>
    <phoneticPr fontId="13"/>
  </si>
  <si>
    <t>ﾄﾖﾀｶﾛｰﾗ大阪株式会社</t>
    <rPh sb="7" eb="9">
      <t>オオサカ</t>
    </rPh>
    <rPh sb="9" eb="13">
      <t>カブシキガイシャ</t>
    </rPh>
    <phoneticPr fontId="13"/>
  </si>
  <si>
    <t>ﾏｲｸﾛ地図SD(車内)保証書 取説 ｷｰﾚｽ ﾒﾝﾃﾅｽｷｯﾄﾞ</t>
    <rPh sb="4" eb="6">
      <t>チズ</t>
    </rPh>
    <rPh sb="12" eb="15">
      <t>ホショウショ</t>
    </rPh>
    <rPh sb="16" eb="18">
      <t>トリセツ</t>
    </rPh>
    <phoneticPr fontId="13"/>
  </si>
  <si>
    <t>野間 和雄</t>
    <rPh sb="0" eb="2">
      <t>ノマ</t>
    </rPh>
    <rPh sb="3" eb="5">
      <t>カズオ</t>
    </rPh>
    <phoneticPr fontId="13"/>
  </si>
  <si>
    <t>保証書 取説 ﾅﾋﾞ取 ｽﾏｰﾄｷｰ(ﾒｶｷｰなし)ﾏｲｸﾛSD</t>
    <rPh sb="0" eb="3">
      <t>ホショウショ</t>
    </rPh>
    <rPh sb="4" eb="6">
      <t>トリセツ</t>
    </rPh>
    <rPh sb="10" eb="11">
      <t>トリ</t>
    </rPh>
    <phoneticPr fontId="13"/>
  </si>
  <si>
    <t>大阪 399 や 9198</t>
    <rPh sb="0" eb="2">
      <t>オオサカ</t>
    </rPh>
    <phoneticPr fontId="13"/>
  </si>
  <si>
    <t>和泉 329 に 13</t>
    <rPh sb="0" eb="2">
      <t>イズミ</t>
    </rPh>
    <phoneticPr fontId="13"/>
  </si>
  <si>
    <t>株式会社R</t>
    <rPh sb="0" eb="4">
      <t>カブシキガイシャ</t>
    </rPh>
    <phoneticPr fontId="13"/>
  </si>
  <si>
    <t>保証書 取説 ﾅﾋﾞ取 SD ﾐﾆB-CAS</t>
    <rPh sb="0" eb="3">
      <t>ホショウショ</t>
    </rPh>
    <rPh sb="4" eb="6">
      <t>トリセツ</t>
    </rPh>
    <rPh sb="10" eb="11">
      <t>トリ</t>
    </rPh>
    <phoneticPr fontId="13"/>
  </si>
  <si>
    <t>豊橋 581 あ 8179</t>
    <rPh sb="0" eb="2">
      <t>トヨハシ</t>
    </rPh>
    <phoneticPr fontId="13"/>
  </si>
  <si>
    <t>東愛知日産自動車株式会社</t>
    <rPh sb="0" eb="1">
      <t>ヒガシ</t>
    </rPh>
    <rPh sb="1" eb="3">
      <t>アイチ</t>
    </rPh>
    <rPh sb="3" eb="5">
      <t>ニッサン</t>
    </rPh>
    <rPh sb="5" eb="12">
      <t>ジドウシャカブシキガイシャ</t>
    </rPh>
    <phoneticPr fontId="13"/>
  </si>
  <si>
    <t>愛媛 358 り 23</t>
    <rPh sb="0" eb="2">
      <t>エヒメ</t>
    </rPh>
    <phoneticPr fontId="13"/>
  </si>
  <si>
    <t>日田 清次</t>
    <rPh sb="0" eb="1">
      <t>ヒ</t>
    </rPh>
    <rPh sb="1" eb="2">
      <t>タ</t>
    </rPh>
    <rPh sb="3" eb="4">
      <t>キヨ</t>
    </rPh>
    <rPh sb="4" eb="5">
      <t>ツギ</t>
    </rPh>
    <phoneticPr fontId="13"/>
  </si>
  <si>
    <t>神戸 583 た 3122</t>
    <rPh sb="0" eb="2">
      <t>コウベ</t>
    </rPh>
    <phoneticPr fontId="13"/>
  </si>
  <si>
    <t>岡 進</t>
    <rPh sb="0" eb="1">
      <t>オカ</t>
    </rPh>
    <rPh sb="2" eb="3">
      <t>ススム</t>
    </rPh>
    <phoneticPr fontId="13"/>
  </si>
  <si>
    <t>地図SD(車内)保証書 取説 Sｷｰ</t>
    <rPh sb="0" eb="2">
      <t>チズ</t>
    </rPh>
    <rPh sb="8" eb="11">
      <t>ホショウショ</t>
    </rPh>
    <rPh sb="12" eb="14">
      <t>トリセツ</t>
    </rPh>
    <phoneticPr fontId="13"/>
  </si>
  <si>
    <t>宇都宮 394 ら 358</t>
    <rPh sb="0" eb="3">
      <t>ウツノミヤ</t>
    </rPh>
    <phoneticPr fontId="13"/>
  </si>
  <si>
    <t>乙黒 昭彦</t>
    <rPh sb="0" eb="2">
      <t>オトグロ</t>
    </rPh>
    <rPh sb="3" eb="5">
      <t>アキヒコ</t>
    </rPh>
    <phoneticPr fontId="13"/>
  </si>
  <si>
    <t>宮﨑 599 そ 9847</t>
    <rPh sb="0" eb="2">
      <t>ミヤザキ</t>
    </rPh>
    <phoneticPr fontId="13"/>
  </si>
  <si>
    <t>邨上 義一</t>
    <rPh sb="1" eb="2">
      <t>カミ</t>
    </rPh>
    <rPh sb="3" eb="5">
      <t>ヨシカズ</t>
    </rPh>
    <phoneticPr fontId="13"/>
  </si>
  <si>
    <t>岐阜 586 ろ 1182</t>
    <rPh sb="0" eb="2">
      <t>ギフ</t>
    </rPh>
    <phoneticPr fontId="13"/>
  </si>
  <si>
    <t>奈良 589 て 1107</t>
    <phoneticPr fontId="13"/>
  </si>
  <si>
    <t>株式会社H&amp;YJAPANHOLDINGS</t>
    <rPh sb="0" eb="4">
      <t>カブシキガイシャ</t>
    </rPh>
    <phoneticPr fontId="13"/>
  </si>
  <si>
    <t>岐阜 586 ろ 1327</t>
    <rPh sb="0" eb="2">
      <t>ギフ</t>
    </rPh>
    <phoneticPr fontId="13"/>
  </si>
  <si>
    <t>徳島 330 た 8819</t>
    <rPh sb="0" eb="2">
      <t>トクシマ</t>
    </rPh>
    <phoneticPr fontId="13"/>
  </si>
  <si>
    <t>徳島ﾄﾖﾀ自動車株式会社</t>
    <rPh sb="0" eb="2">
      <t>トクシマ</t>
    </rPh>
    <rPh sb="5" eb="12">
      <t>ジドウシャカブシキガイシャ</t>
    </rPh>
    <phoneticPr fontId="13"/>
  </si>
  <si>
    <t>北九州 338 ぬ 1206</t>
    <rPh sb="0" eb="3">
      <t>キタキュウシュウ</t>
    </rPh>
    <phoneticPr fontId="13"/>
  </si>
  <si>
    <t>九州三菱自動車販売株式会社</t>
    <rPh sb="0" eb="2">
      <t>キュウシュウ</t>
    </rPh>
    <rPh sb="2" eb="4">
      <t>ミツビシ</t>
    </rPh>
    <rPh sb="4" eb="13">
      <t>ジドウシャハンバイカブシキガイシャ</t>
    </rPh>
    <phoneticPr fontId="13"/>
  </si>
  <si>
    <t>沖縄 300 ら 4110</t>
    <rPh sb="0" eb="2">
      <t>オキナワ</t>
    </rPh>
    <phoneticPr fontId="13"/>
  </si>
  <si>
    <t>株式会社沖縄ﾕｰﾎﾟｽ</t>
    <rPh sb="0" eb="4">
      <t>カブシキガイシャ</t>
    </rPh>
    <rPh sb="4" eb="6">
      <t>オキナワ</t>
    </rPh>
    <phoneticPr fontId="13"/>
  </si>
  <si>
    <t>練馬 334 ほ 64</t>
    <rPh sb="0" eb="2">
      <t>ネリマ</t>
    </rPh>
    <phoneticPr fontId="13"/>
  </si>
  <si>
    <t>ﾘﾓｺﾝ2個 ﾍｯﾄﾞﾌｫﾝ2個(車内)保証書 取説 ｷｰﾚｽ</t>
    <rPh sb="5" eb="6">
      <t>コ</t>
    </rPh>
    <rPh sb="15" eb="16">
      <t>コ</t>
    </rPh>
    <rPh sb="20" eb="23">
      <t>ホショウショ</t>
    </rPh>
    <rPh sb="24" eb="26">
      <t>トリセツ</t>
    </rPh>
    <phoneticPr fontId="13"/>
  </si>
  <si>
    <t>広島 338 や 620</t>
    <rPh sb="0" eb="2">
      <t>ヒロシマ</t>
    </rPh>
    <phoneticPr fontId="13"/>
  </si>
  <si>
    <t>古本 敏彦</t>
    <rPh sb="0" eb="1">
      <t>フル</t>
    </rPh>
    <rPh sb="1" eb="2">
      <t>モト</t>
    </rPh>
    <rPh sb="3" eb="5">
      <t>トシヒコ</t>
    </rPh>
    <phoneticPr fontId="13"/>
  </si>
  <si>
    <t>愛媛 345 も 21</t>
    <rPh sb="0" eb="2">
      <t>エヒメ</t>
    </rPh>
    <phoneticPr fontId="13"/>
  </si>
  <si>
    <t>井上 尚樹</t>
    <rPh sb="0" eb="2">
      <t>イノウエ</t>
    </rPh>
    <rPh sb="3" eb="5">
      <t>ナオキ</t>
    </rPh>
    <phoneticPr fontId="13"/>
  </si>
  <si>
    <t>岡山 330 も 1713</t>
    <rPh sb="0" eb="2">
      <t>オカヤマ</t>
    </rPh>
    <phoneticPr fontId="13"/>
  </si>
  <si>
    <t>小津 研二</t>
    <rPh sb="0" eb="1">
      <t>ショウ</t>
    </rPh>
    <rPh sb="1" eb="2">
      <t>ツ</t>
    </rPh>
    <rPh sb="3" eb="5">
      <t>ケンジ</t>
    </rPh>
    <phoneticPr fontId="13"/>
  </si>
  <si>
    <t>京都 431 ふ 20</t>
    <rPh sb="0" eb="2">
      <t>キョウト</t>
    </rPh>
    <phoneticPr fontId="13"/>
  </si>
  <si>
    <t>ﾈｯﾂﾄﾖﾀ鳥取株式会社</t>
    <rPh sb="6" eb="8">
      <t>トットリ</t>
    </rPh>
    <rPh sb="8" eb="12">
      <t>カブシキガイシャ</t>
    </rPh>
    <phoneticPr fontId="13"/>
  </si>
  <si>
    <t>株式会社ﾄﾖﾀﾚﾝﾘｰｽ岡山</t>
    <rPh sb="0" eb="4">
      <t>カブシキガイシャ</t>
    </rPh>
    <rPh sb="12" eb="14">
      <t>オカヤマ</t>
    </rPh>
    <phoneticPr fontId="13"/>
  </si>
  <si>
    <t>岡山 330 の 263</t>
    <rPh sb="0" eb="2">
      <t>オカヤマ</t>
    </rPh>
    <phoneticPr fontId="13"/>
  </si>
  <si>
    <t>脇 正二</t>
    <rPh sb="0" eb="1">
      <t>ワキ</t>
    </rPh>
    <rPh sb="2" eb="3">
      <t>マサ</t>
    </rPh>
    <rPh sb="3" eb="4">
      <t>ニ</t>
    </rPh>
    <phoneticPr fontId="13"/>
  </si>
  <si>
    <t>なにわ 5P8 ろ 1222</t>
    <phoneticPr fontId="13"/>
  </si>
  <si>
    <t>株式会社ﾄﾖﾀﾚﾝﾘｰｽ大阪</t>
    <rPh sb="0" eb="4">
      <t>カブシキガイシャ</t>
    </rPh>
    <rPh sb="12" eb="14">
      <t>オオサカ</t>
    </rPh>
    <phoneticPr fontId="13"/>
  </si>
  <si>
    <t>林谷 真司</t>
    <rPh sb="0" eb="1">
      <t>ハヤシ</t>
    </rPh>
    <rPh sb="1" eb="2">
      <t>タニ</t>
    </rPh>
    <rPh sb="3" eb="5">
      <t>シンジ</t>
    </rPh>
    <phoneticPr fontId="13"/>
  </si>
  <si>
    <t>那須 580 さ 7491</t>
    <rPh sb="0" eb="2">
      <t>ナス</t>
    </rPh>
    <phoneticPr fontId="13"/>
  </si>
  <si>
    <t>山田 修司</t>
    <rPh sb="0" eb="2">
      <t>ヤマダ</t>
    </rPh>
    <rPh sb="3" eb="5">
      <t>シュウジ</t>
    </rPh>
    <phoneticPr fontId="13"/>
  </si>
  <si>
    <t>姫路 581 む 7995</t>
    <rPh sb="0" eb="2">
      <t>ヒメジ</t>
    </rPh>
    <phoneticPr fontId="13"/>
  </si>
  <si>
    <t>瀨良 君代</t>
    <rPh sb="1" eb="2">
      <t>ヨシ</t>
    </rPh>
    <rPh sb="3" eb="5">
      <t>キミヨ</t>
    </rPh>
    <phoneticPr fontId="13"/>
  </si>
  <si>
    <t>大阪 590 せ 313</t>
    <rPh sb="0" eb="2">
      <t>オオサカ</t>
    </rPh>
    <phoneticPr fontId="13"/>
  </si>
  <si>
    <t>藤井 昇</t>
    <rPh sb="0" eb="2">
      <t>フジイ</t>
    </rPh>
    <rPh sb="3" eb="4">
      <t>ノボル</t>
    </rPh>
    <phoneticPr fontId="13"/>
  </si>
  <si>
    <t>和泉 581 て 3248</t>
    <rPh sb="0" eb="2">
      <t>イズミ</t>
    </rPh>
    <phoneticPr fontId="13"/>
  </si>
  <si>
    <t>馬場 裕史</t>
    <rPh sb="0" eb="2">
      <t>ババ</t>
    </rPh>
    <rPh sb="3" eb="4">
      <t>ユウ</t>
    </rPh>
    <phoneticPr fontId="13"/>
  </si>
  <si>
    <t>倉敷 580 ま 2006</t>
    <rPh sb="0" eb="2">
      <t>クラシキ</t>
    </rPh>
    <phoneticPr fontId="13"/>
  </si>
  <si>
    <t>和泉 581 い 8681</t>
    <rPh sb="0" eb="2">
      <t>イズミ</t>
    </rPh>
    <phoneticPr fontId="13"/>
  </si>
  <si>
    <t>株式会社ｹｲｽﾞ</t>
    <rPh sb="0" eb="4">
      <t>カブシキガイシャ</t>
    </rPh>
    <phoneticPr fontId="13"/>
  </si>
  <si>
    <t>なにわ 5P8 ろ 1927</t>
    <phoneticPr fontId="13"/>
  </si>
  <si>
    <t>足立 530 さ 4019</t>
    <rPh sb="0" eb="2">
      <t>アダチ</t>
    </rPh>
    <phoneticPr fontId="13"/>
  </si>
  <si>
    <t>ﾄﾖﾀﾓﾋﾞﾘﾃｨｻｰﾋﾞｽ東京株式会社</t>
    <rPh sb="14" eb="16">
      <t>トウキョウ</t>
    </rPh>
    <rPh sb="16" eb="20">
      <t>カブシキガイシャ</t>
    </rPh>
    <phoneticPr fontId="13"/>
  </si>
  <si>
    <t>岡山 584 ろ 2608</t>
    <rPh sb="0" eb="2">
      <t>オカヤマ</t>
    </rPh>
    <phoneticPr fontId="13"/>
  </si>
  <si>
    <t>倉敷 587 の 168</t>
    <rPh sb="0" eb="2">
      <t>クラシキ</t>
    </rPh>
    <phoneticPr fontId="13"/>
  </si>
  <si>
    <t>増川 由香</t>
    <rPh sb="0" eb="2">
      <t>マスカワ</t>
    </rPh>
    <rPh sb="3" eb="5">
      <t>ユカ</t>
    </rPh>
    <phoneticPr fontId="13"/>
  </si>
  <si>
    <t>なにわ 5P4 ろ 2331</t>
    <phoneticPr fontId="13"/>
  </si>
  <si>
    <t>滋賀 583 さ 8735</t>
    <rPh sb="0" eb="2">
      <t>シガ</t>
    </rPh>
    <phoneticPr fontId="13"/>
  </si>
  <si>
    <t>長岡 恵美</t>
    <rPh sb="0" eb="2">
      <t>ナガオカ</t>
    </rPh>
    <rPh sb="3" eb="5">
      <t>エミ</t>
    </rPh>
    <phoneticPr fontId="13"/>
  </si>
  <si>
    <t>有限会社ﾍﾞｽﾄﾄｰﾀﾙｵｰﾄ</t>
    <rPh sb="0" eb="4">
      <t>ユウゲンカイシャ</t>
    </rPh>
    <phoneticPr fontId="13"/>
  </si>
  <si>
    <t>千葉 793 ろ 1414</t>
    <rPh sb="0" eb="2">
      <t>チバ</t>
    </rPh>
    <phoneticPr fontId="13"/>
  </si>
  <si>
    <t>名古屋 581 わ 7015</t>
    <rPh sb="0" eb="3">
      <t>ナゴヤ</t>
    </rPh>
    <phoneticPr fontId="13"/>
  </si>
  <si>
    <t>J-netﾚﾝﾀﾘｰｽ株式会社</t>
    <rPh sb="11" eb="15">
      <t>カブシキガイシャ</t>
    </rPh>
    <phoneticPr fontId="13"/>
  </si>
  <si>
    <t>保証書 取説 Sｷｰ ﾚﾝﾀｶｰ</t>
    <rPh sb="0" eb="3">
      <t>ホショウショ</t>
    </rPh>
    <rPh sb="4" eb="6">
      <t>トリセツ</t>
    </rPh>
    <phoneticPr fontId="13"/>
  </si>
  <si>
    <t>株式会社ﾄﾖﾀﾚﾝﾘｰｽ愛知</t>
    <rPh sb="0" eb="4">
      <t>カブシキガイシャ</t>
    </rPh>
    <rPh sb="12" eb="14">
      <t>アイチ</t>
    </rPh>
    <phoneticPr fontId="13"/>
  </si>
  <si>
    <t>和泉 301 の 7657</t>
    <rPh sb="0" eb="2">
      <t>イズミ</t>
    </rPh>
    <phoneticPr fontId="13"/>
  </si>
  <si>
    <t>加減 秀樹</t>
    <rPh sb="0" eb="2">
      <t>カゲン</t>
    </rPh>
    <rPh sb="3" eb="5">
      <t>ヒデキ</t>
    </rPh>
    <phoneticPr fontId="13"/>
  </si>
  <si>
    <t>大分 336 や 4444</t>
    <rPh sb="0" eb="2">
      <t>オオイタ</t>
    </rPh>
    <phoneticPr fontId="13"/>
  </si>
  <si>
    <t>日産ﾌﾟﾘﾝｽ大分販売株式会社</t>
    <rPh sb="0" eb="2">
      <t>ニッサン</t>
    </rPh>
    <rPh sb="7" eb="9">
      <t>オオイタ</t>
    </rPh>
    <rPh sb="9" eb="15">
      <t>ハンバイカブシキガイシャ</t>
    </rPh>
    <phoneticPr fontId="13"/>
  </si>
  <si>
    <t>相模 330 ら 7979</t>
    <rPh sb="0" eb="2">
      <t>サガミ</t>
    </rPh>
    <phoneticPr fontId="13"/>
  </si>
  <si>
    <t>ｶｰﾄﾞｷｰ ｷｰﾚｽ(車内) 保証書 取説</t>
    <rPh sb="16" eb="19">
      <t>ホショウショ</t>
    </rPh>
    <rPh sb="20" eb="22">
      <t>トリセツ</t>
    </rPh>
    <phoneticPr fontId="13"/>
  </si>
  <si>
    <t>971(600)</t>
    <phoneticPr fontId="13"/>
  </si>
  <si>
    <t>KFEP-450953</t>
    <phoneticPr fontId="13"/>
  </si>
  <si>
    <t>MXPB15-3013029</t>
    <phoneticPr fontId="13"/>
  </si>
  <si>
    <t>27-2015</t>
  </si>
  <si>
    <t>27-2016</t>
  </si>
  <si>
    <t>27-2017</t>
  </si>
  <si>
    <t>27-2018</t>
  </si>
  <si>
    <t>27-2019</t>
  </si>
  <si>
    <t>27-2020</t>
  </si>
  <si>
    <t>27-2021</t>
  </si>
  <si>
    <t>27-2022</t>
  </si>
  <si>
    <t>27-2023</t>
  </si>
  <si>
    <t>27-2024</t>
  </si>
  <si>
    <t>27-2025</t>
  </si>
  <si>
    <t>27-2026</t>
  </si>
  <si>
    <t>27-2027</t>
  </si>
  <si>
    <t>27-2028</t>
  </si>
  <si>
    <t>CX5 20S ﾌﾟﾛｱｸﾃｨﾌﾞ</t>
    <phoneticPr fontId="13"/>
  </si>
  <si>
    <t>滋賀 34K と 11</t>
    <rPh sb="0" eb="2">
      <t>シガ</t>
    </rPh>
    <phoneticPr fontId="13"/>
  </si>
  <si>
    <t>ｼﾄﾛｴﾝ C3 ｴｱｸﾛｽ</t>
    <phoneticPr fontId="13"/>
  </si>
  <si>
    <t>VF72RHNPXL4248113</t>
    <phoneticPr fontId="13"/>
  </si>
  <si>
    <t>千葉 303 そ 8087</t>
    <rPh sb="0" eb="2">
      <t>チバ</t>
    </rPh>
    <phoneticPr fontId="13"/>
  </si>
  <si>
    <t>NCP160-0152409</t>
    <phoneticPr fontId="13"/>
  </si>
  <si>
    <t xml:space="preserve">ｼﾞｬｶﾞｰ XF ｽﾎﾟｰﾂﾌﾞﾚｲｸ </t>
    <phoneticPr fontId="13"/>
  </si>
  <si>
    <t>SAJBB2AX5LCY84712</t>
    <phoneticPr fontId="13"/>
  </si>
  <si>
    <t>8/10/8</t>
    <phoneticPr fontId="13"/>
  </si>
  <si>
    <t>相模 346 は 14</t>
    <rPh sb="0" eb="1">
      <t>ソウ</t>
    </rPh>
    <rPh sb="1" eb="2">
      <t>モ</t>
    </rPh>
    <phoneticPr fontId="13"/>
  </si>
  <si>
    <t>27-2029</t>
  </si>
  <si>
    <t>27-2030</t>
  </si>
  <si>
    <t>27-2031</t>
  </si>
  <si>
    <t>27-2032</t>
  </si>
  <si>
    <t>27-2033</t>
  </si>
  <si>
    <t>27-2034</t>
  </si>
  <si>
    <t>27-2035</t>
  </si>
  <si>
    <t>BMW M2 ｸｰﾍﾟ</t>
    <phoneticPr fontId="13"/>
  </si>
  <si>
    <t>WBS2U720007J54727</t>
    <phoneticPr fontId="13"/>
  </si>
  <si>
    <t>ﾒﾙｾﾃﾞｽﾍﾞﾝﾂ E 200ﾜｺﾞﾝ</t>
    <phoneticPr fontId="13"/>
  </si>
  <si>
    <t>W1K2132782B045516</t>
    <phoneticPr fontId="13"/>
  </si>
  <si>
    <t>WMWXS520302C93142</t>
    <phoneticPr fontId="13"/>
  </si>
  <si>
    <t>富山 314 ら 2</t>
    <rPh sb="0" eb="2">
      <t>トヤマ</t>
    </rPh>
    <phoneticPr fontId="13"/>
  </si>
  <si>
    <t>27-2036</t>
  </si>
  <si>
    <t>27-2037</t>
  </si>
  <si>
    <t>27-2038</t>
  </si>
  <si>
    <t>27-2039</t>
  </si>
  <si>
    <t>27-2040</t>
  </si>
  <si>
    <t>27-2041</t>
  </si>
  <si>
    <t>27-2042</t>
  </si>
  <si>
    <t>27-2043</t>
  </si>
  <si>
    <t>27-2044</t>
  </si>
  <si>
    <t>27-2045</t>
  </si>
  <si>
    <t>27-2046</t>
  </si>
  <si>
    <t>27-2047</t>
  </si>
  <si>
    <t>LA600S-0517514</t>
    <phoneticPr fontId="13"/>
  </si>
  <si>
    <t>HE33S-428800</t>
    <phoneticPr fontId="13"/>
  </si>
  <si>
    <t>LA800S-0248714</t>
    <phoneticPr fontId="13"/>
  </si>
  <si>
    <t>H58A-0904600</t>
    <phoneticPr fontId="13"/>
  </si>
  <si>
    <t>S710V-0006718</t>
    <phoneticPr fontId="13"/>
  </si>
  <si>
    <t>S321V-0391029</t>
    <phoneticPr fontId="13"/>
  </si>
  <si>
    <t>LA800S-0194218</t>
    <phoneticPr fontId="13"/>
  </si>
  <si>
    <t>DR17W-106189</t>
    <phoneticPr fontId="13"/>
  </si>
  <si>
    <t xml:space="preserve">N-BOXｶｽﾀﾑ </t>
    <phoneticPr fontId="13"/>
  </si>
  <si>
    <t>JF3-5291738</t>
    <phoneticPr fontId="13"/>
  </si>
  <si>
    <t>ｽﾍﾟｰｼｱ ｶｽﾀﾑ</t>
    <phoneticPr fontId="13"/>
  </si>
  <si>
    <t>MK94S-132824</t>
    <phoneticPr fontId="13"/>
  </si>
  <si>
    <t>JB23W-733996</t>
    <phoneticPr fontId="13"/>
  </si>
  <si>
    <t>MK53S-926795</t>
    <phoneticPr fontId="13"/>
  </si>
  <si>
    <t>DS17V-850751</t>
    <phoneticPr fontId="13"/>
  </si>
  <si>
    <t>LA250S-0032010</t>
    <phoneticPr fontId="13"/>
  </si>
  <si>
    <t>MR41S-357669</t>
    <phoneticPr fontId="13"/>
  </si>
  <si>
    <t>MR41S-243141</t>
    <phoneticPr fontId="13"/>
  </si>
  <si>
    <t>MN71S-416417</t>
    <phoneticPr fontId="13"/>
  </si>
  <si>
    <t>B38A-0501427</t>
    <phoneticPr fontId="13"/>
  </si>
  <si>
    <t>JF5-1160909</t>
    <phoneticPr fontId="13"/>
  </si>
  <si>
    <t>名古屋 58A ほ 8699</t>
    <rPh sb="0" eb="3">
      <t>ナゴヤ</t>
    </rPh>
    <phoneticPr fontId="13"/>
  </si>
  <si>
    <t>ｽﾍﾟｰｼｱｶｽﾀﾑ  XSﾀｰﾎﾞ</t>
    <phoneticPr fontId="13"/>
  </si>
  <si>
    <t>MK42S-796293</t>
    <phoneticPr fontId="13"/>
  </si>
  <si>
    <t>岐阜 581 は 2707</t>
    <rPh sb="0" eb="2">
      <t>ギフ</t>
    </rPh>
    <phoneticPr fontId="13"/>
  </si>
  <si>
    <t>JF5-1117069</t>
    <phoneticPr fontId="13"/>
  </si>
  <si>
    <t>名古屋 58A ほ 9889</t>
    <rPh sb="0" eb="3">
      <t>ナゴヤ</t>
    </rPh>
    <phoneticPr fontId="13"/>
  </si>
  <si>
    <t>ﾊｽﾗｰ ﾊｲﾌﾞﾘｯﾄﾞXﾀｰﾎﾞ</t>
    <phoneticPr fontId="13"/>
  </si>
  <si>
    <t>MR52S-117929</t>
    <phoneticPr fontId="13"/>
  </si>
  <si>
    <t>MK53S-487181</t>
    <phoneticPr fontId="13"/>
  </si>
  <si>
    <t>名古屋 58A ま 300</t>
    <rPh sb="0" eb="3">
      <t>ナゴヤ</t>
    </rPh>
    <phoneticPr fontId="13"/>
  </si>
  <si>
    <t>LA650S-1105576</t>
    <phoneticPr fontId="13"/>
  </si>
  <si>
    <t>VF1RJA009P0859915</t>
    <phoneticPr fontId="13"/>
  </si>
  <si>
    <t>名古屋 303 わ 1840</t>
    <rPh sb="0" eb="3">
      <t>ナゴヤ</t>
    </rPh>
    <phoneticPr fontId="13"/>
  </si>
  <si>
    <t>WVWZZZ16ZHM60205</t>
    <phoneticPr fontId="13"/>
  </si>
  <si>
    <t>ｼﾞｰﾌﾟﾗﾝｸﾞﾗｰ ｱﾝﾘﾐﾃｯﾄﾞ ｻﾊﾗ</t>
    <phoneticPr fontId="13"/>
  </si>
  <si>
    <t>1C4HJXLN3PW523780</t>
    <phoneticPr fontId="13"/>
  </si>
  <si>
    <t>A315296</t>
    <phoneticPr fontId="13"/>
  </si>
  <si>
    <t>LA600S-0722146</t>
    <phoneticPr fontId="13"/>
  </si>
  <si>
    <t>タント X SA3</t>
    <phoneticPr fontId="13"/>
  </si>
  <si>
    <t>ﾑｰﾌﾞｷｬﾝﾊﾞｽ GﾒｲｸｱｯﾌﾟﾘﾐﾃｯﾄﾞSA3</t>
    <phoneticPr fontId="13"/>
  </si>
  <si>
    <t>9/11/20</t>
    <phoneticPr fontId="13"/>
  </si>
  <si>
    <t>22/6</t>
    <phoneticPr fontId="13"/>
  </si>
  <si>
    <t>ﾊﾟｼﾞｪﾛﾐﾆ VRﾅﾋﾞｴﾃﾞｨｼｮﾝ</t>
    <phoneticPr fontId="13"/>
  </si>
  <si>
    <t>ﾊｲｾﾞｯﾄ  ｶｰｺﾞ ﾃﾞﾗｯｸｽ</t>
    <phoneticPr fontId="13"/>
  </si>
  <si>
    <t>8/11/27</t>
    <phoneticPr fontId="13"/>
  </si>
  <si>
    <t>ﾑｰﾌﾞｷｬﾝﾊﾟｽ Gﾌﾞﾗｯｸｲﾝﾃﾘｱﾘﾐﾃｯﾄﾞ</t>
    <phoneticPr fontId="13"/>
  </si>
  <si>
    <t xml:space="preserve">NV100ｸﾘｯﾊﾟｰﾘｵ </t>
    <phoneticPr fontId="13"/>
  </si>
  <si>
    <t>N-BOXｶｽﾀﾑ  L ﾎﾝﾀﾞｾﾝｼﾝｸﾞ</t>
    <phoneticPr fontId="13"/>
  </si>
  <si>
    <t>ﾐﾆｷｬﾌﾞ V ﾌﾞﾗﾎﾞｰ ﾀｰﾎﾞ</t>
    <phoneticPr fontId="13"/>
  </si>
  <si>
    <t>ｷｬｽﾄ ｽﾀｲﾙG SA2</t>
    <phoneticPr fontId="13"/>
  </si>
  <si>
    <t>9/1/24</t>
    <phoneticPr fontId="13"/>
  </si>
  <si>
    <t>ｸﾛｽﾋﾞｰ MZ 4WD</t>
    <phoneticPr fontId="13"/>
  </si>
  <si>
    <t>10/6/11</t>
    <phoneticPr fontId="13"/>
  </si>
  <si>
    <t>GYL25-0016937</t>
    <phoneticPr fontId="13"/>
  </si>
  <si>
    <t>AYH30-0127731</t>
    <phoneticPr fontId="13"/>
  </si>
  <si>
    <t>MXPJ10-2017943</t>
    <phoneticPr fontId="13"/>
  </si>
  <si>
    <t>ﾚｸｻｽ RX 450h Fｽﾎﾟｰﾂ</t>
    <phoneticPr fontId="13"/>
  </si>
  <si>
    <t>ｱﾙﾌｧｰﾄﾞ ﾊｲﾌﾞﾘｯﾄﾞ Sﾀｲﾌﾟ</t>
    <phoneticPr fontId="13"/>
  </si>
  <si>
    <t>ﾔﾘｽｸﾛｽ ﾊｲﾌﾞﾘｯﾄﾞZ</t>
    <phoneticPr fontId="13"/>
  </si>
  <si>
    <t>582 い 6032</t>
    <phoneticPr fontId="13"/>
  </si>
  <si>
    <t>582 い 6033</t>
    <phoneticPr fontId="13"/>
  </si>
  <si>
    <t>582 い 6034</t>
    <phoneticPr fontId="13"/>
  </si>
  <si>
    <t>582 い 6035</t>
    <phoneticPr fontId="13"/>
  </si>
  <si>
    <t>582 い 6036</t>
    <phoneticPr fontId="13"/>
  </si>
  <si>
    <t>582 い 6037</t>
    <phoneticPr fontId="13"/>
  </si>
  <si>
    <t>582 い 6038</t>
    <phoneticPr fontId="13"/>
  </si>
  <si>
    <t>582 い 6039</t>
    <phoneticPr fontId="13"/>
  </si>
  <si>
    <t>480 ね 2530</t>
    <phoneticPr fontId="13"/>
  </si>
  <si>
    <t>なにわ 581 せ 4023</t>
    <phoneticPr fontId="13"/>
  </si>
  <si>
    <t>立野 陽平</t>
    <rPh sb="0" eb="2">
      <t>タツノ</t>
    </rPh>
    <rPh sb="3" eb="5">
      <t>ヨウヘイ</t>
    </rPh>
    <phoneticPr fontId="13"/>
  </si>
  <si>
    <t>松嶋 祐哉</t>
    <rPh sb="0" eb="2">
      <t>マツシマ</t>
    </rPh>
    <rPh sb="3" eb="4">
      <t>ユウ</t>
    </rPh>
    <rPh sb="4" eb="5">
      <t>ヤ</t>
    </rPh>
    <phoneticPr fontId="13"/>
  </si>
  <si>
    <t>福岡 39A た 8674</t>
    <rPh sb="0" eb="2">
      <t>フクオカ</t>
    </rPh>
    <phoneticPr fontId="13"/>
  </si>
  <si>
    <t>株式会社KｰLimited</t>
    <rPh sb="0" eb="4">
      <t>カブシキガイシャ</t>
    </rPh>
    <phoneticPr fontId="13"/>
  </si>
  <si>
    <t>地図SD(車内)保証書 ｷｰﾚｽ</t>
    <rPh sb="0" eb="2">
      <t>チズ</t>
    </rPh>
    <rPh sb="8" eb="11">
      <t>ホショウショ</t>
    </rPh>
    <phoneticPr fontId="13"/>
  </si>
  <si>
    <t>地図SD(車内)保証書 取説 ﾅﾋﾞ取 ｷｰﾚｽ ﾜﾝｵｰﾅｰ</t>
    <rPh sb="0" eb="2">
      <t>チズ</t>
    </rPh>
    <rPh sb="8" eb="11">
      <t>ホショウショ</t>
    </rPh>
    <rPh sb="12" eb="14">
      <t>トリセツ</t>
    </rPh>
    <rPh sb="18" eb="19">
      <t>トリ</t>
    </rPh>
    <phoneticPr fontId="13"/>
  </si>
  <si>
    <t>地図SD(車内)保証書 取説 ｷｰﾚｽ ﾅﾋﾞ取 ﾜﾝｵｰﾅｰ</t>
    <rPh sb="0" eb="2">
      <t>チズ</t>
    </rPh>
    <rPh sb="8" eb="11">
      <t>ホショウショ</t>
    </rPh>
    <rPh sb="12" eb="14">
      <t>トリセツ</t>
    </rPh>
    <rPh sb="23" eb="24">
      <t>トリ</t>
    </rPh>
    <phoneticPr fontId="13"/>
  </si>
  <si>
    <t>取説 ﾘﾓｺﾝ(車内)</t>
    <rPh sb="0" eb="2">
      <t>トリセツ</t>
    </rPh>
    <phoneticPr fontId="13"/>
  </si>
  <si>
    <t>取説 ｷｰﾚｽ ﾍｯﾄﾞﾌｫﾝ ﾘﾓｺﾝ(車内)</t>
    <rPh sb="0" eb="2">
      <t>トリセツ</t>
    </rPh>
    <phoneticPr fontId="13"/>
  </si>
  <si>
    <t>ｷｰﾚｽ(車内)ﾜﾝｵｰﾅｰ</t>
    <phoneticPr fontId="13"/>
  </si>
  <si>
    <t>ﾘﾓｺﾝ(車内)保証書 取説 Sｷｰ ﾌﾘｯｸﾘﾓｺﾝ</t>
    <rPh sb="8" eb="11">
      <t>ホショウショ</t>
    </rPh>
    <rPh sb="12" eb="14">
      <t>トリセツ</t>
    </rPh>
    <phoneticPr fontId="13"/>
  </si>
  <si>
    <t>27-2048</t>
  </si>
  <si>
    <t>27-2049</t>
  </si>
  <si>
    <t>27-2050</t>
  </si>
  <si>
    <t>27-2051</t>
  </si>
  <si>
    <t>27-2052</t>
  </si>
  <si>
    <t>27-2053</t>
  </si>
  <si>
    <t>27-2054</t>
  </si>
  <si>
    <t>27-2055</t>
  </si>
  <si>
    <t>27-2056</t>
  </si>
  <si>
    <t>27-2057</t>
  </si>
  <si>
    <t>27-2058</t>
  </si>
  <si>
    <t>27-2059</t>
  </si>
  <si>
    <t>27-2060</t>
  </si>
  <si>
    <t>27-2061</t>
  </si>
  <si>
    <t>27-2062</t>
  </si>
  <si>
    <t>A315546</t>
    <phoneticPr fontId="13"/>
  </si>
  <si>
    <t>ﾗﾝﾄﾞｸﾙｰｻﾞｰ ﾌﾟﾗﾄﾞ TX Ｌﾊﾟｯｹｰｼﾞﾏｯﾄ</t>
    <phoneticPr fontId="13"/>
  </si>
  <si>
    <t>TRJ150－0151992</t>
    <phoneticPr fontId="13"/>
  </si>
  <si>
    <t>9/9/29</t>
    <phoneticPr fontId="13"/>
  </si>
  <si>
    <t>A314693</t>
    <phoneticPr fontId="13"/>
  </si>
  <si>
    <t>C-HR Gﾓｰﾄﾞ ﾈﾛ</t>
    <phoneticPr fontId="13"/>
  </si>
  <si>
    <t>ZYX11-2055220</t>
    <phoneticPr fontId="13"/>
  </si>
  <si>
    <t>9/8/29</t>
    <phoneticPr fontId="13"/>
  </si>
  <si>
    <t>A315162</t>
    <phoneticPr fontId="13"/>
  </si>
  <si>
    <t>ﾊｲﾗｯｸｽ Z ﾚﾎﾞﾛｯｺｴﾃﾞｨｼｮﾝ</t>
    <phoneticPr fontId="13"/>
  </si>
  <si>
    <t>GUN125-3957250</t>
    <phoneticPr fontId="13"/>
  </si>
  <si>
    <t>A314081</t>
    <phoneticPr fontId="13"/>
  </si>
  <si>
    <t>ﾊｽﾗｰ J ｽﾀｲﾙ2ﾀｰﾎﾞ</t>
    <phoneticPr fontId="13"/>
  </si>
  <si>
    <t>MR52S-315817</t>
    <phoneticPr fontId="13"/>
  </si>
  <si>
    <t>A314431</t>
    <phoneticPr fontId="13"/>
  </si>
  <si>
    <t>ﾗﾝﾄﾞｸﾙｰｻﾞｰ 250 VX</t>
    <phoneticPr fontId="13"/>
  </si>
  <si>
    <t>TRJ250-0017581</t>
    <phoneticPr fontId="13"/>
  </si>
  <si>
    <t>9/12/15</t>
    <phoneticPr fontId="13"/>
  </si>
  <si>
    <t>27-2063</t>
  </si>
  <si>
    <t>27-2064</t>
  </si>
  <si>
    <t>27-2065</t>
  </si>
  <si>
    <t>27-2066</t>
  </si>
  <si>
    <t>27-2067</t>
  </si>
  <si>
    <t>27-2068</t>
  </si>
  <si>
    <t>27-2069</t>
  </si>
  <si>
    <t>27-2070</t>
  </si>
  <si>
    <t>27-2071</t>
  </si>
  <si>
    <t>27-2072</t>
  </si>
  <si>
    <t>27-2073</t>
  </si>
  <si>
    <t>27-2074</t>
  </si>
  <si>
    <t>27-2075</t>
  </si>
  <si>
    <t>27-2076</t>
  </si>
  <si>
    <t>27-2077</t>
  </si>
  <si>
    <t>27-2078</t>
  </si>
  <si>
    <t>LA350S-0438276</t>
    <phoneticPr fontId="13"/>
  </si>
  <si>
    <t>滋賀 581 よ 267</t>
    <rPh sb="0" eb="2">
      <t>シガ</t>
    </rPh>
    <phoneticPr fontId="13"/>
  </si>
  <si>
    <t>MH55S-112299</t>
    <phoneticPr fontId="13"/>
  </si>
  <si>
    <t>8/10/4</t>
    <phoneticPr fontId="13"/>
  </si>
  <si>
    <t>L375S-0425123</t>
    <phoneticPr fontId="13"/>
  </si>
  <si>
    <t>8/5/23</t>
    <phoneticPr fontId="13"/>
  </si>
  <si>
    <t>N-ONE G</t>
    <phoneticPr fontId="13"/>
  </si>
  <si>
    <t>JG1-1200819</t>
    <phoneticPr fontId="13"/>
  </si>
  <si>
    <t>8/9/12</t>
    <phoneticPr fontId="13"/>
  </si>
  <si>
    <t>29/？</t>
    <phoneticPr fontId="13"/>
  </si>
  <si>
    <t>ﾚｸｻｽ IS 300h Fｽﾎﾟｰﾂ</t>
    <phoneticPr fontId="13"/>
  </si>
  <si>
    <t>AVE30-5062093</t>
    <phoneticPr fontId="13"/>
  </si>
  <si>
    <t>ｽｲﾌﾄ RS</t>
    <phoneticPr fontId="13"/>
  </si>
  <si>
    <t>ZC83S-137677</t>
    <phoneticPr fontId="13"/>
  </si>
  <si>
    <t>ﾌｫﾚｽﾀｰ X ﾌﾞﾚｲｸ</t>
    <phoneticPr fontId="13"/>
  </si>
  <si>
    <t>SK9-005644</t>
    <phoneticPr fontId="13"/>
  </si>
  <si>
    <t>9/8/24</t>
    <phoneticPr fontId="13"/>
  </si>
  <si>
    <t>ﾊｲｾﾞｯﾄﾄﾗｯｸ ｼﾞｬﾝﾎﾞｴｸｲｽﾄﾗ</t>
    <phoneticPr fontId="13"/>
  </si>
  <si>
    <t>S500P-0209752</t>
    <phoneticPr fontId="13"/>
  </si>
  <si>
    <t>9/9/4</t>
    <phoneticPr fontId="13"/>
  </si>
  <si>
    <t>ｱﾙﾄﾗﾊﾟﾝﾓｰﾄﾞ2型</t>
    <rPh sb="12" eb="13">
      <t>ガタ</t>
    </rPh>
    <phoneticPr fontId="13"/>
  </si>
  <si>
    <t>HE33S-256687</t>
    <phoneticPr fontId="13"/>
  </si>
  <si>
    <t>ｴﾌﾞﾘｲ ｼﾞｮｲﾝ6型</t>
    <rPh sb="12" eb="13">
      <t>ガタ</t>
    </rPh>
    <phoneticPr fontId="13"/>
  </si>
  <si>
    <t>DA17V-905169</t>
    <phoneticPr fontId="13"/>
  </si>
  <si>
    <t>9/3/24</t>
    <phoneticPr fontId="13"/>
  </si>
  <si>
    <t>HA36S-612375</t>
    <phoneticPr fontId="13"/>
  </si>
  <si>
    <t>ｱﾙﾄﾗﾊﾟﾝｼｮｺﾗ X</t>
    <phoneticPr fontId="13"/>
  </si>
  <si>
    <t>HE22S-824538</t>
    <phoneticPr fontId="13"/>
  </si>
  <si>
    <t>HE22S-277376</t>
    <phoneticPr fontId="13"/>
  </si>
  <si>
    <t>JF1-1074770</t>
    <phoneticPr fontId="13"/>
  </si>
  <si>
    <t>ﾅﾋﾞ取 取説 ﾜﾝｵｰﾅｰ 地図SD</t>
    <rPh sb="3" eb="4">
      <t>トリ</t>
    </rPh>
    <rPh sb="5" eb="7">
      <t>トリセツ</t>
    </rPh>
    <rPh sb="15" eb="17">
      <t>チズ</t>
    </rPh>
    <phoneticPr fontId="13"/>
  </si>
  <si>
    <t>川口 584 は 3939</t>
    <rPh sb="0" eb="2">
      <t>カワグチ</t>
    </rPh>
    <phoneticPr fontId="13"/>
  </si>
  <si>
    <t>井上 真希</t>
    <rPh sb="0" eb="2">
      <t>イノウエ</t>
    </rPh>
    <rPh sb="3" eb="5">
      <t>マキ</t>
    </rPh>
    <phoneticPr fontId="13"/>
  </si>
  <si>
    <t>保証書 取説 地図SD(車内)ｷｰﾚｽ</t>
    <rPh sb="0" eb="3">
      <t>ホショウショ</t>
    </rPh>
    <rPh sb="4" eb="6">
      <t>トリセツ</t>
    </rPh>
    <rPh sb="7" eb="9">
      <t>チズ</t>
    </rPh>
    <phoneticPr fontId="13"/>
  </si>
  <si>
    <t>広島 581 ね 6458</t>
    <rPh sb="0" eb="2">
      <t>ヒロシマ</t>
    </rPh>
    <phoneticPr fontId="13"/>
  </si>
  <si>
    <t>谷本 和夫</t>
    <rPh sb="0" eb="2">
      <t>タニモト</t>
    </rPh>
    <rPh sb="3" eb="5">
      <t>カズオ</t>
    </rPh>
    <phoneticPr fontId="13"/>
  </si>
  <si>
    <t>横浜 39A や 7408</t>
    <rPh sb="0" eb="2">
      <t>ヨコハマ</t>
    </rPh>
    <phoneticPr fontId="13"/>
  </si>
  <si>
    <t>三重 302 さ 9831</t>
    <rPh sb="0" eb="2">
      <t>ミエ</t>
    </rPh>
    <phoneticPr fontId="13"/>
  </si>
  <si>
    <t>三重ﾄﾖﾀ自動車株式会社</t>
    <rPh sb="0" eb="2">
      <t>ミエ</t>
    </rPh>
    <rPh sb="5" eb="12">
      <t>ジドウシャカブシキガイシャ</t>
    </rPh>
    <phoneticPr fontId="13"/>
  </si>
  <si>
    <t>なにわ 331 り 6699</t>
    <phoneticPr fontId="13"/>
  </si>
  <si>
    <t>福井 英夫</t>
    <rPh sb="0" eb="2">
      <t>フクイ</t>
    </rPh>
    <rPh sb="3" eb="5">
      <t>ヒデオ</t>
    </rPh>
    <phoneticPr fontId="13"/>
  </si>
  <si>
    <t>富士山 399 ぬ 8117</t>
    <rPh sb="0" eb="3">
      <t>フジサン</t>
    </rPh>
    <phoneticPr fontId="13"/>
  </si>
  <si>
    <t>株式会社ﾎﾝﾀﾞｶｰｽﾞ静岡</t>
    <rPh sb="0" eb="4">
      <t>カブシキガイシャ</t>
    </rPh>
    <rPh sb="12" eb="14">
      <t>シズオカ</t>
    </rPh>
    <phoneticPr fontId="13"/>
  </si>
  <si>
    <t>VR7ECYHZRLJ775218</t>
    <phoneticPr fontId="13"/>
  </si>
  <si>
    <t>書類返送12/6</t>
    <rPh sb="0" eb="2">
      <t>ショルイ</t>
    </rPh>
    <rPh sb="2" eb="4">
      <t>ヘンソウ</t>
    </rPh>
    <phoneticPr fontId="13"/>
  </si>
  <si>
    <t>戸田様</t>
    <rPh sb="0" eb="2">
      <t>トダ</t>
    </rPh>
    <rPh sb="2" eb="3">
      <t>サマ</t>
    </rPh>
    <phoneticPr fontId="13"/>
  </si>
  <si>
    <t>BMWﾐﾆｸﾛｽｵｰﾊﾞｰ</t>
    <phoneticPr fontId="13"/>
  </si>
  <si>
    <t>WMWZB32060WL97594</t>
    <phoneticPr fontId="13"/>
  </si>
  <si>
    <t>神戸 381 に 358</t>
    <rPh sb="0" eb="2">
      <t>コウベ</t>
    </rPh>
    <phoneticPr fontId="13"/>
  </si>
  <si>
    <t>戸田 こずえ</t>
    <rPh sb="0" eb="2">
      <t>トダ</t>
    </rPh>
    <phoneticPr fontId="13"/>
  </si>
  <si>
    <t>27-2079</t>
  </si>
  <si>
    <t>ｾﾚﾅ ﾊｲｳｪｲｽﾀｰS</t>
    <phoneticPr fontId="13"/>
  </si>
  <si>
    <t>FPC26-051218</t>
    <phoneticPr fontId="13"/>
  </si>
  <si>
    <t>9/1/17</t>
    <phoneticPr fontId="13"/>
  </si>
  <si>
    <t>福山 300 も 7638</t>
    <rPh sb="0" eb="2">
      <t>フクヤマ</t>
    </rPh>
    <phoneticPr fontId="13"/>
  </si>
  <si>
    <t>ｱｳﾃﾞｨTTｸｰﾍﾟ 2.0TFSI</t>
    <phoneticPr fontId="13"/>
  </si>
  <si>
    <t>TRUZZZFV4G1016779</t>
    <phoneticPr fontId="13"/>
  </si>
  <si>
    <t>9/4/16</t>
    <phoneticPr fontId="13"/>
  </si>
  <si>
    <t>熊本 332 は 2324</t>
    <rPh sb="0" eb="2">
      <t>クマモト</t>
    </rPh>
    <phoneticPr fontId="13"/>
  </si>
  <si>
    <t>ｱｳﾃﾞｨA6 2.0TFSIｸﾜﾄﾛ</t>
    <phoneticPr fontId="13"/>
  </si>
  <si>
    <t>WAUZZZ4G6GN112305</t>
    <phoneticPr fontId="13"/>
  </si>
  <si>
    <t>ZFA3120000J875916</t>
    <phoneticPr fontId="13"/>
  </si>
  <si>
    <t>久留米 501 ぬ 6639</t>
    <rPh sb="0" eb="3">
      <t>クルメ</t>
    </rPh>
    <phoneticPr fontId="13"/>
  </si>
  <si>
    <t>ｵｰﾗ NISMO</t>
    <phoneticPr fontId="13"/>
  </si>
  <si>
    <t>FE13-225873</t>
    <phoneticPr fontId="13"/>
  </si>
  <si>
    <t>姫路 333 て 1728</t>
    <rPh sb="0" eb="2">
      <t>ヒメジ</t>
    </rPh>
    <phoneticPr fontId="13"/>
  </si>
  <si>
    <t>ｱｸｱ GRｽﾎﾟｰﾂ</t>
    <phoneticPr fontId="13"/>
  </si>
  <si>
    <t>MXPK11-2133017</t>
    <phoneticPr fontId="13"/>
  </si>
  <si>
    <t>神戸 538 る 335</t>
    <rPh sb="0" eb="2">
      <t>コウベ</t>
    </rPh>
    <phoneticPr fontId="13"/>
  </si>
  <si>
    <t>ｽｲﾌﾄ  ｽﾎﾟｰﾂ</t>
    <phoneticPr fontId="13"/>
  </si>
  <si>
    <t>ZC32S-305769</t>
    <phoneticPr fontId="13"/>
  </si>
  <si>
    <t>ﾙｰｸｽﾊｲｳｪｲｽﾀｰ G</t>
    <phoneticPr fontId="13"/>
  </si>
  <si>
    <t>B45A-0315855</t>
    <phoneticPr fontId="13"/>
  </si>
  <si>
    <t>LA350S-0421240</t>
    <phoneticPr fontId="13"/>
  </si>
  <si>
    <t>岡山 581 や 4663</t>
    <rPh sb="0" eb="2">
      <t>オカヤマ</t>
    </rPh>
    <phoneticPr fontId="13"/>
  </si>
  <si>
    <t>9/8/20</t>
    <phoneticPr fontId="13"/>
  </si>
  <si>
    <t>富山 301 ほ 5515</t>
    <rPh sb="0" eb="2">
      <t>トヤマ</t>
    </rPh>
    <phoneticPr fontId="13"/>
  </si>
  <si>
    <t>VF72RHNPXL4389368</t>
    <phoneticPr fontId="13"/>
  </si>
  <si>
    <t>岐阜 371 ね 4</t>
    <rPh sb="0" eb="2">
      <t>ギフ</t>
    </rPh>
    <phoneticPr fontId="13"/>
  </si>
  <si>
    <t>BMW X3 xdrive20d</t>
    <phoneticPr fontId="13"/>
  </si>
  <si>
    <t>WBATX32080LG61300</t>
    <phoneticPr fontId="13"/>
  </si>
  <si>
    <t>広島 302 せ 6414</t>
    <rPh sb="0" eb="2">
      <t>ヒロシマ</t>
    </rPh>
    <phoneticPr fontId="13"/>
  </si>
  <si>
    <t>多摩 504 つ 1766</t>
    <rPh sb="0" eb="2">
      <t>タマ</t>
    </rPh>
    <phoneticPr fontId="13"/>
  </si>
  <si>
    <t>田中 綾萌</t>
    <rPh sb="0" eb="2">
      <t>タナカ</t>
    </rPh>
    <rPh sb="3" eb="4">
      <t>アヤ</t>
    </rPh>
    <rPh sb="4" eb="5">
      <t>モエ</t>
    </rPh>
    <phoneticPr fontId="13"/>
  </si>
  <si>
    <t>12/7</t>
    <phoneticPr fontId="13"/>
  </si>
  <si>
    <t>松崎 修司</t>
    <rPh sb="0" eb="2">
      <t>マツザキ</t>
    </rPh>
    <rPh sb="3" eb="5">
      <t>シュウジ</t>
    </rPh>
    <phoneticPr fontId="13"/>
  </si>
  <si>
    <t>取説 ﾅﾋﾞ取 ｷｰﾚｽ ←ｽﾄｯｸ</t>
    <rPh sb="0" eb="2">
      <t>トリセツ</t>
    </rPh>
    <rPh sb="6" eb="7">
      <t>トリ</t>
    </rPh>
    <phoneticPr fontId="13"/>
  </si>
  <si>
    <t>保証書 取説 ｷｰﾚｽ←ｽﾄｯｸ</t>
    <rPh sb="0" eb="3">
      <t>ホショウショ</t>
    </rPh>
    <rPh sb="4" eb="6">
      <t>トリセツ</t>
    </rPh>
    <phoneticPr fontId="13"/>
  </si>
  <si>
    <t>大宮 30A ふ 8888</t>
    <rPh sb="0" eb="2">
      <t>オオミヤ</t>
    </rPh>
    <phoneticPr fontId="13"/>
  </si>
  <si>
    <t>埼玉ﾄﾖﾍﾟｯﾄ株式会社</t>
    <rPh sb="0" eb="2">
      <t>サイタマ</t>
    </rPh>
    <rPh sb="8" eb="12">
      <t>カブシキガイシャ</t>
    </rPh>
    <phoneticPr fontId="13"/>
  </si>
  <si>
    <t>高松 300 そ 6870</t>
    <rPh sb="0" eb="2">
      <t>タカマツ</t>
    </rPh>
    <phoneticPr fontId="13"/>
  </si>
  <si>
    <t>ﾈｯﾂﾄﾖﾀ高松株式会社</t>
    <rPh sb="6" eb="8">
      <t>タカマツ</t>
    </rPh>
    <rPh sb="8" eb="12">
      <t>カブシキガイシャ</t>
    </rPh>
    <phoneticPr fontId="13"/>
  </si>
  <si>
    <t>神戸 382 す 1115</t>
    <rPh sb="0" eb="2">
      <t>コウベ</t>
    </rPh>
    <phoneticPr fontId="13"/>
  </si>
  <si>
    <t>株式会社ﾓﾄｰﾚﾝ神戸</t>
    <rPh sb="0" eb="4">
      <t>カブシキガイシャ</t>
    </rPh>
    <rPh sb="9" eb="11">
      <t>コウベ</t>
    </rPh>
    <phoneticPr fontId="13"/>
  </si>
  <si>
    <t>岐阜 399 の 3417</t>
    <rPh sb="0" eb="2">
      <t>ギフ</t>
    </rPh>
    <phoneticPr fontId="13"/>
  </si>
  <si>
    <t>大阪 581 て 9504</t>
    <rPh sb="0" eb="2">
      <t>オオサカ</t>
    </rPh>
    <phoneticPr fontId="13"/>
  </si>
  <si>
    <t>株式会社ｶﾐﾀｹﾓｰﾀｰｽ</t>
    <rPh sb="0" eb="4">
      <t>カブシキガイシャ</t>
    </rPh>
    <phoneticPr fontId="13"/>
  </si>
  <si>
    <t>八王子 580 ふ 6527</t>
    <rPh sb="0" eb="3">
      <t>ハチオウジ</t>
    </rPh>
    <phoneticPr fontId="13"/>
  </si>
  <si>
    <t>高野 一寛</t>
    <rPh sb="0" eb="2">
      <t>タカノ</t>
    </rPh>
    <rPh sb="3" eb="4">
      <t>イチ</t>
    </rPh>
    <rPh sb="4" eb="5">
      <t>ヒロ</t>
    </rPh>
    <phoneticPr fontId="13"/>
  </si>
  <si>
    <t>地図SD(車内)保証書 取説 ﾜﾝｵｰﾅｰ ｽﾍﾟｱｷｰ</t>
    <rPh sb="0" eb="2">
      <t>チズ</t>
    </rPh>
    <rPh sb="8" eb="11">
      <t>ホショウショ</t>
    </rPh>
    <rPh sb="12" eb="14">
      <t>トリセツ</t>
    </rPh>
    <phoneticPr fontId="13"/>
  </si>
  <si>
    <t>仙台 580 と 6346</t>
    <rPh sb="0" eb="2">
      <t>センダイ</t>
    </rPh>
    <phoneticPr fontId="13"/>
  </si>
  <si>
    <t>鈴木 秀俊</t>
    <rPh sb="0" eb="2">
      <t>スズキ</t>
    </rPh>
    <rPh sb="3" eb="4">
      <t>ヒデ</t>
    </rPh>
    <rPh sb="4" eb="5">
      <t>シュン</t>
    </rPh>
    <phoneticPr fontId="13"/>
  </si>
  <si>
    <r>
      <t>整備手帳</t>
    </r>
    <r>
      <rPr>
        <sz val="11"/>
        <color rgb="FFFF0000"/>
        <rFont val="ＭＳ Ｐゴシック"/>
        <family val="3"/>
        <charset val="128"/>
        <scheme val="minor"/>
      </rPr>
      <t xml:space="preserve">(ﾃﾞｨｰﾗｰ印なし)問い合わせ中 </t>
    </r>
    <r>
      <rPr>
        <sz val="11"/>
        <color theme="3"/>
        <rFont val="ＭＳ Ｐゴシック"/>
        <family val="3"/>
        <charset val="128"/>
        <scheme val="minor"/>
      </rPr>
      <t>取説 ｽﾍﾟｱｷｰ</t>
    </r>
    <rPh sb="0" eb="4">
      <t>セイビテチョウ</t>
    </rPh>
    <rPh sb="11" eb="12">
      <t>イン</t>
    </rPh>
    <rPh sb="15" eb="16">
      <t>ト</t>
    </rPh>
    <rPh sb="17" eb="18">
      <t>ア</t>
    </rPh>
    <rPh sb="20" eb="21">
      <t>チュウ</t>
    </rPh>
    <rPh sb="22" eb="24">
      <t>トリセツ</t>
    </rPh>
    <phoneticPr fontId="13"/>
  </si>
  <si>
    <t>滋賀 399 ち 4658</t>
    <rPh sb="0" eb="2">
      <t>シガ</t>
    </rPh>
    <phoneticPr fontId="13"/>
  </si>
  <si>
    <t>足立 326 そ 9611</t>
    <rPh sb="0" eb="2">
      <t>アダチ</t>
    </rPh>
    <phoneticPr fontId="13"/>
  </si>
  <si>
    <t>沖縄 330 た 1739</t>
    <rPh sb="0" eb="2">
      <t>オキナワ</t>
    </rPh>
    <phoneticPr fontId="13"/>
  </si>
  <si>
    <t>ﾓﾄｰﾚﾝ沖縄株式会社</t>
    <rPh sb="5" eb="7">
      <t>オキナワ</t>
    </rPh>
    <rPh sb="7" eb="11">
      <t>カブシキガイシャ</t>
    </rPh>
    <phoneticPr fontId="13"/>
  </si>
  <si>
    <t>27-2080</t>
  </si>
  <si>
    <t>27-2081</t>
  </si>
  <si>
    <t>27-2082</t>
  </si>
  <si>
    <t>27-2083</t>
  </si>
  <si>
    <t>27-2084</t>
  </si>
  <si>
    <t>27-2085</t>
  </si>
  <si>
    <t>27-2086</t>
  </si>
  <si>
    <t>27-2087</t>
  </si>
  <si>
    <t>27-2088</t>
  </si>
  <si>
    <t>27-2089</t>
  </si>
  <si>
    <t>27-2090</t>
  </si>
  <si>
    <t>27-2091</t>
  </si>
  <si>
    <t>27-2092</t>
  </si>
  <si>
    <t>27-2093</t>
  </si>
  <si>
    <t>WMWXR320402N81507</t>
    <phoneticPr fontId="13"/>
  </si>
  <si>
    <t>京都 331 ぬ 5101</t>
    <rPh sb="0" eb="2">
      <t>キョウト</t>
    </rPh>
    <phoneticPr fontId="13"/>
  </si>
  <si>
    <t>A314125</t>
    <phoneticPr fontId="13"/>
  </si>
  <si>
    <t>ﾊｽﾗｰ 特別仕様車Jｽﾀｲﾙ</t>
    <rPh sb="5" eb="10">
      <t>トクベツシヨウシャ</t>
    </rPh>
    <phoneticPr fontId="13"/>
  </si>
  <si>
    <t>MR92S-234177</t>
    <phoneticPr fontId="13"/>
  </si>
  <si>
    <t>27-2094</t>
  </si>
  <si>
    <t>VW ｱﾙﾃｵﾝ Rﾗｲﾝ4ﾓｰｼｮﾝ ｱﾄﾞﾊﾞﾝｽ</t>
    <phoneticPr fontId="13"/>
  </si>
  <si>
    <t>WVWZZZ3HZKE005738</t>
    <phoneticPr fontId="13"/>
  </si>
  <si>
    <t>ｱｳﾃﾞｨA3 ｽﾎﾟｰﾂﾊﾞｯｸ 30TFSI</t>
    <phoneticPr fontId="13"/>
  </si>
  <si>
    <t>WAUZZZ8V6LA070308</t>
    <phoneticPr fontId="13"/>
  </si>
  <si>
    <t>ｱｳﾃﾞｨA1 ｽﾎﾟｰﾂﾊﾞｯｸ</t>
    <phoneticPr fontId="13"/>
  </si>
  <si>
    <t>WAUZZZ8X0HB035928</t>
    <phoneticPr fontId="13"/>
  </si>
  <si>
    <t>T ﾛｯｸ TDIｽﾀｲﾙﾃﾞｻﾞｲﾝﾊﾟｯｹｰｼﾞ</t>
    <phoneticPr fontId="13"/>
  </si>
  <si>
    <t>ﾌｨｱｯﾄ500 C1.2ｶﾙﾄ</t>
    <phoneticPr fontId="13"/>
  </si>
  <si>
    <t>ﾌｨｱｯﾄ500 2D C1.2ﾎﾟｯﾌﾟ</t>
    <phoneticPr fontId="13"/>
  </si>
  <si>
    <t>福井 532 さ 193</t>
    <rPh sb="0" eb="2">
      <t>フクイ</t>
    </rPh>
    <phoneticPr fontId="13"/>
  </si>
  <si>
    <t>ﾎﾝﾀﾞ北海道(まとめ)</t>
    <rPh sb="4" eb="7">
      <t>ホッカイドウ</t>
    </rPh>
    <phoneticPr fontId="13"/>
  </si>
  <si>
    <t>VWｺﾞﾙﾌﾜｺﾞﾝ ｵｰﾙﾄﾗｯｸTSI</t>
    <phoneticPr fontId="13"/>
  </si>
  <si>
    <t>HE33S-515398</t>
    <phoneticPr fontId="13"/>
  </si>
  <si>
    <t>JB64W-113539</t>
    <phoneticPr fontId="13"/>
  </si>
  <si>
    <t>GDH206-1006053</t>
    <phoneticPr fontId="13"/>
  </si>
  <si>
    <t>LA600S-0617495</t>
    <phoneticPr fontId="13"/>
  </si>
  <si>
    <t>JB23W-751522</t>
    <phoneticPr fontId="13"/>
  </si>
  <si>
    <t>ｱﾙﾌｧｰﾄﾞ ﾊｲﾌﾞﾘｯﾄﾞ4WD</t>
    <phoneticPr fontId="13"/>
  </si>
  <si>
    <t>AYH30-0140791</t>
    <phoneticPr fontId="13"/>
  </si>
  <si>
    <t>B21A-0322088</t>
    <phoneticPr fontId="13"/>
  </si>
  <si>
    <t>BMWﾐﾆｸｰﾊﾟｰSｾﾌﾞﾝ</t>
    <phoneticPr fontId="13"/>
  </si>
  <si>
    <t>滋賀 330 せ 9857</t>
    <rPh sb="0" eb="2">
      <t>シガ</t>
    </rPh>
    <phoneticPr fontId="13"/>
  </si>
  <si>
    <t>ｼﾞﾑﾆｰ 4WD ﾗﾝﾄﾞﾍﾞﾝﾁｬｰ</t>
    <phoneticPr fontId="13"/>
  </si>
  <si>
    <t>ｼﾞﾑﾆｰ 4WD XC</t>
    <phoneticPr fontId="13"/>
  </si>
  <si>
    <t>地図SD(車内)保証書 取説 Sｷｰ ﾜﾝｵｰﾅｰ</t>
    <rPh sb="8" eb="11">
      <t>ホショウショ</t>
    </rPh>
    <rPh sb="12" eb="14">
      <t>トリセツ</t>
    </rPh>
    <phoneticPr fontId="13"/>
  </si>
  <si>
    <t>愛媛 337 せ 628</t>
    <rPh sb="0" eb="2">
      <t>エヒメ</t>
    </rPh>
    <phoneticPr fontId="13"/>
  </si>
  <si>
    <t>ﾈｯﾂﾄﾖﾀ愛媛株式会社</t>
    <rPh sb="6" eb="8">
      <t>エヒメ</t>
    </rPh>
    <rPh sb="8" eb="12">
      <t>カブシキガイシャ</t>
    </rPh>
    <phoneticPr fontId="13"/>
  </si>
  <si>
    <t>名古屋 582 ち 5979</t>
    <rPh sb="0" eb="3">
      <t>ナゴヤ</t>
    </rPh>
    <phoneticPr fontId="13"/>
  </si>
  <si>
    <t>岩田 直樹</t>
    <rPh sb="0" eb="2">
      <t>イワタ</t>
    </rPh>
    <rPh sb="3" eb="5">
      <t>ナオキ</t>
    </rPh>
    <phoneticPr fontId="13"/>
  </si>
  <si>
    <t xml:space="preserve">地図SD(車内) 保証書 取説 </t>
    <rPh sb="9" eb="12">
      <t>ホショウショ</t>
    </rPh>
    <rPh sb="13" eb="15">
      <t>トリセツ</t>
    </rPh>
    <phoneticPr fontId="13"/>
  </si>
  <si>
    <t>582 い 6215</t>
    <phoneticPr fontId="13"/>
  </si>
  <si>
    <t>582 い 6213</t>
    <phoneticPr fontId="13"/>
  </si>
  <si>
    <t>582 い 6214</t>
    <phoneticPr fontId="13"/>
  </si>
  <si>
    <t>582 い 6216</t>
    <phoneticPr fontId="13"/>
  </si>
  <si>
    <t>582 い 6217</t>
    <phoneticPr fontId="13"/>
  </si>
  <si>
    <t>582 い 6218</t>
    <phoneticPr fontId="13"/>
  </si>
  <si>
    <t>480 ね 2577</t>
    <phoneticPr fontId="13"/>
  </si>
  <si>
    <t>301 ね 4761</t>
    <phoneticPr fontId="13"/>
  </si>
  <si>
    <t>301 ね4760</t>
    <phoneticPr fontId="13"/>
  </si>
  <si>
    <t>301 ね 4759</t>
    <phoneticPr fontId="13"/>
  </si>
  <si>
    <t>301 ね 4758</t>
    <phoneticPr fontId="13"/>
  </si>
  <si>
    <t>30 ね 4757</t>
    <phoneticPr fontId="13"/>
  </si>
  <si>
    <t>501 ゆ 2618</t>
    <phoneticPr fontId="13"/>
  </si>
  <si>
    <t>501 ゆ 2617</t>
    <phoneticPr fontId="13"/>
  </si>
  <si>
    <t>301 ね 4755</t>
    <phoneticPr fontId="13"/>
  </si>
  <si>
    <t>301 ね 4756</t>
    <phoneticPr fontId="13"/>
  </si>
  <si>
    <t>岡山 531 せ 6262</t>
    <rPh sb="0" eb="2">
      <t>オカヤマ</t>
    </rPh>
    <phoneticPr fontId="13"/>
  </si>
  <si>
    <t>ｽﾊﾞﾙ中四国株式会社</t>
    <rPh sb="4" eb="5">
      <t>ナカ</t>
    </rPh>
    <rPh sb="5" eb="7">
      <t>シコク</t>
    </rPh>
    <rPh sb="7" eb="11">
      <t>カブシキガイシャ</t>
    </rPh>
    <phoneticPr fontId="13"/>
  </si>
  <si>
    <t>ｷｬﾝｾﾙ書類返送12/9</t>
    <rPh sb="5" eb="7">
      <t>ショルイ</t>
    </rPh>
    <rPh sb="7" eb="9">
      <t>ヘンソウ</t>
    </rPh>
    <phoneticPr fontId="13"/>
  </si>
  <si>
    <t>27-1473</t>
    <phoneticPr fontId="13"/>
  </si>
  <si>
    <t>27-2095</t>
  </si>
  <si>
    <t>27-2096</t>
  </si>
  <si>
    <t>27-2097</t>
  </si>
  <si>
    <t>27-2098</t>
  </si>
  <si>
    <t>27-2099</t>
  </si>
  <si>
    <t>27-2100</t>
  </si>
  <si>
    <t>27-2101</t>
  </si>
  <si>
    <t>27-2102</t>
  </si>
  <si>
    <t>27-2103</t>
  </si>
  <si>
    <t>27-2104</t>
  </si>
  <si>
    <t>27-2105</t>
  </si>
  <si>
    <t>27-2106</t>
  </si>
  <si>
    <t>27-2107</t>
  </si>
  <si>
    <t>27-2108</t>
  </si>
  <si>
    <t>27-2109</t>
  </si>
  <si>
    <t>27-2110</t>
  </si>
  <si>
    <t>27-2111</t>
  </si>
  <si>
    <t>27-2112</t>
  </si>
  <si>
    <t>27-2113</t>
  </si>
  <si>
    <t>27-2114</t>
  </si>
  <si>
    <t>A315758</t>
    <phoneticPr fontId="13"/>
  </si>
  <si>
    <t>AZSH32-0008335</t>
    <phoneticPr fontId="13"/>
  </si>
  <si>
    <t>A315524</t>
    <phoneticPr fontId="13"/>
  </si>
  <si>
    <t>AXUH80-0114491</t>
    <phoneticPr fontId="13"/>
  </si>
  <si>
    <t>A315592</t>
    <phoneticPr fontId="13"/>
  </si>
  <si>
    <t>MR92S-335305</t>
    <phoneticPr fontId="13"/>
  </si>
  <si>
    <t>ｸﾗｳﾝ Z</t>
    <phoneticPr fontId="13"/>
  </si>
  <si>
    <t>9/10/10</t>
    <phoneticPr fontId="13"/>
  </si>
  <si>
    <t>ﾊﾘｱｰ ﾊｲﾌﾞﾘｯﾄﾞ Z</t>
    <phoneticPr fontId="13"/>
  </si>
  <si>
    <t>10/2/17</t>
    <phoneticPr fontId="13"/>
  </si>
  <si>
    <t>品川 359 め 38</t>
    <rPh sb="0" eb="2">
      <t>シナガワ</t>
    </rPh>
    <phoneticPr fontId="13"/>
  </si>
  <si>
    <t>深山 美海</t>
    <rPh sb="0" eb="2">
      <t>フカヤマ</t>
    </rPh>
    <rPh sb="3" eb="4">
      <t>ミ</t>
    </rPh>
    <rPh sb="4" eb="5">
      <t>ウミ</t>
    </rPh>
    <phoneticPr fontId="13"/>
  </si>
  <si>
    <t>株式会社ｻﾝｸﾁｭｱﾘ</t>
    <rPh sb="0" eb="4">
      <t>カブシキガイシャ</t>
    </rPh>
    <phoneticPr fontId="13"/>
  </si>
  <si>
    <t>なにわ 39A む 1419</t>
    <phoneticPr fontId="13"/>
  </si>
  <si>
    <t>高松 399 す 5008</t>
    <rPh sb="0" eb="2">
      <t>タカマツ</t>
    </rPh>
    <phoneticPr fontId="13"/>
  </si>
  <si>
    <t>なにわ 39A む 9925</t>
    <phoneticPr fontId="13"/>
  </si>
  <si>
    <t>なにわ 302 せ 4914</t>
    <phoneticPr fontId="13"/>
  </si>
  <si>
    <t>広島 582 か 9821</t>
    <rPh sb="0" eb="2">
      <t>ヒロシマ</t>
    </rPh>
    <phoneticPr fontId="13"/>
  </si>
  <si>
    <t>広島ﾄﾖﾀ自動車株式会社</t>
    <rPh sb="0" eb="2">
      <t>ヒロシマ</t>
    </rPh>
    <rPh sb="5" eb="12">
      <t>ジドウシャカブシキガイシャ</t>
    </rPh>
    <phoneticPr fontId="13"/>
  </si>
  <si>
    <t>L675S-0205728</t>
    <phoneticPr fontId="13"/>
  </si>
  <si>
    <t>MK54S-102567</t>
    <phoneticPr fontId="13"/>
  </si>
  <si>
    <t>LA250S-0237100</t>
    <phoneticPr fontId="13"/>
  </si>
  <si>
    <t>ｷｬｽﾄ ｽﾀｲﾙG SA3</t>
    <phoneticPr fontId="13"/>
  </si>
  <si>
    <t>WBAWY320700V61889</t>
    <phoneticPr fontId="13"/>
  </si>
  <si>
    <t>MR41S-123275</t>
    <phoneticPr fontId="13"/>
  </si>
  <si>
    <t>LA650S-0053614</t>
    <phoneticPr fontId="13"/>
  </si>
  <si>
    <t>S710V-0042448</t>
    <phoneticPr fontId="13"/>
  </si>
  <si>
    <t>ﾌﾚｱﾜｺﾞﾝ ﾊｲﾌﾞﾘｯﾄﾞ XS</t>
    <phoneticPr fontId="13"/>
  </si>
  <si>
    <t>MK53S-101557</t>
    <phoneticPr fontId="13"/>
  </si>
  <si>
    <t>MR41S-338454</t>
    <phoneticPr fontId="13"/>
  </si>
  <si>
    <t>LA650S-0007861</t>
    <phoneticPr fontId="13"/>
  </si>
  <si>
    <t>NV100ｸﾘｯﾊﾟｰ ﾘｵ</t>
    <phoneticPr fontId="13"/>
  </si>
  <si>
    <t>DR17W-250815</t>
    <phoneticPr fontId="13"/>
  </si>
  <si>
    <t>S510P-0567196</t>
    <phoneticPr fontId="13"/>
  </si>
  <si>
    <t>福山 480 そ 1191</t>
    <rPh sb="0" eb="2">
      <t>フクヤマ</t>
    </rPh>
    <phoneticPr fontId="13"/>
  </si>
  <si>
    <t>ｼﾞｰﾌﾟ ｺﾝﾊﾟｽ 4W</t>
    <phoneticPr fontId="13"/>
  </si>
  <si>
    <t>MCANJRCB8MF77186</t>
    <phoneticPr fontId="13"/>
  </si>
  <si>
    <t>NCP160-0152740</t>
    <phoneticPr fontId="13"/>
  </si>
  <si>
    <t>ZFA3120000JD68498</t>
    <phoneticPr fontId="13"/>
  </si>
  <si>
    <t>福岡 540 の 8698</t>
    <rPh sb="0" eb="2">
      <t>フクオカ</t>
    </rPh>
    <phoneticPr fontId="13"/>
  </si>
  <si>
    <t>MXUA80-0025042</t>
    <phoneticPr fontId="13"/>
  </si>
  <si>
    <t>ﾊﾘｱｰ2WD G</t>
    <phoneticPr fontId="13"/>
  </si>
  <si>
    <t>纐纈 裕次郎</t>
    <rPh sb="0" eb="2">
      <t>コウケツ</t>
    </rPh>
    <rPh sb="3" eb="6">
      <t>ユウジロウ</t>
    </rPh>
    <phoneticPr fontId="13"/>
  </si>
  <si>
    <t>練馬 330 と 9029</t>
    <rPh sb="0" eb="2">
      <t>ネリマ</t>
    </rPh>
    <phoneticPr fontId="13"/>
  </si>
  <si>
    <t>WANG HAITAO</t>
    <phoneticPr fontId="13"/>
  </si>
  <si>
    <t>大阪 303 る 8393</t>
    <rPh sb="0" eb="2">
      <t>オオサカ</t>
    </rPh>
    <phoneticPr fontId="13"/>
  </si>
  <si>
    <t>浅田 泰弘</t>
    <rPh sb="0" eb="2">
      <t>アサダ</t>
    </rPh>
    <rPh sb="3" eb="5">
      <t>ヤスヒロ</t>
    </rPh>
    <phoneticPr fontId="13"/>
  </si>
  <si>
    <t>保証書 取説 ﾜﾝｵｰﾅｰ ｷｰﾚｽ</t>
    <rPh sb="0" eb="3">
      <t>ホショウショ</t>
    </rPh>
    <rPh sb="4" eb="6">
      <t>トリセツ</t>
    </rPh>
    <phoneticPr fontId="13"/>
  </si>
  <si>
    <t>香川 337 ぬ 1113</t>
    <rPh sb="0" eb="2">
      <t>カガワ</t>
    </rPh>
    <phoneticPr fontId="13"/>
  </si>
  <si>
    <t>山本 竜太</t>
    <rPh sb="0" eb="2">
      <t>ヤマモト</t>
    </rPh>
    <rPh sb="3" eb="5">
      <t>リュウタ</t>
    </rPh>
    <phoneticPr fontId="13"/>
  </si>
  <si>
    <t>つくば 583 う 3868</t>
    <phoneticPr fontId="13"/>
  </si>
  <si>
    <t>荒川 紘由</t>
    <rPh sb="0" eb="2">
      <t>アラカワ</t>
    </rPh>
    <rPh sb="3" eb="4">
      <t>ヒロ</t>
    </rPh>
    <rPh sb="4" eb="5">
      <t>ユウ</t>
    </rPh>
    <phoneticPr fontId="13"/>
  </si>
  <si>
    <t>青柳 愛子</t>
    <rPh sb="0" eb="2">
      <t>アオヤナギ</t>
    </rPh>
    <rPh sb="3" eb="5">
      <t>アイコ</t>
    </rPh>
    <phoneticPr fontId="13"/>
  </si>
  <si>
    <t>広島 581 み 7284</t>
    <rPh sb="0" eb="2">
      <t>ヒロシマ</t>
    </rPh>
    <phoneticPr fontId="13"/>
  </si>
  <si>
    <t>12/10</t>
    <phoneticPr fontId="13"/>
  </si>
  <si>
    <t>川崎 332 て 3030</t>
    <rPh sb="0" eb="2">
      <t>カワサキ</t>
    </rPh>
    <phoneticPr fontId="13"/>
  </si>
  <si>
    <t>樫木　忠雄</t>
    <rPh sb="0" eb="2">
      <t>カシワギ</t>
    </rPh>
    <rPh sb="3" eb="5">
      <t>タダオ</t>
    </rPh>
    <phoneticPr fontId="13"/>
  </si>
  <si>
    <t>品川　49A そ 6543</t>
    <rPh sb="0" eb="2">
      <t>シナガワ</t>
    </rPh>
    <phoneticPr fontId="13"/>
  </si>
  <si>
    <t>ﾄﾖﾀﾓﾋﾞﾘﾃｨｻｰﾋﾞㇲ株式会社</t>
    <rPh sb="14" eb="18">
      <t>カブシキガイシャ</t>
    </rPh>
    <phoneticPr fontId="13"/>
  </si>
  <si>
    <t>滋賀ﾀﾞｲﾊﾂ販売株式会社</t>
    <rPh sb="0" eb="2">
      <t>シガ</t>
    </rPh>
    <rPh sb="7" eb="9">
      <t>ハンバイ</t>
    </rPh>
    <rPh sb="9" eb="13">
      <t>カブシキガイシャ</t>
    </rPh>
    <phoneticPr fontId="13"/>
  </si>
  <si>
    <t>581 む 7995</t>
    <phoneticPr fontId="13"/>
  </si>
  <si>
    <t>582 い 6292</t>
    <phoneticPr fontId="13"/>
  </si>
  <si>
    <t>582 い 6294</t>
    <phoneticPr fontId="13"/>
  </si>
  <si>
    <t>582 い 6295</t>
    <phoneticPr fontId="13"/>
  </si>
  <si>
    <t>582 い 6296</t>
    <phoneticPr fontId="13"/>
  </si>
  <si>
    <t>582 い 6297</t>
    <phoneticPr fontId="13"/>
  </si>
  <si>
    <t>582 い 6298</t>
    <phoneticPr fontId="13"/>
  </si>
  <si>
    <t>582 い 6299</t>
    <phoneticPr fontId="13"/>
  </si>
  <si>
    <t>582 い 6300</t>
    <phoneticPr fontId="13"/>
  </si>
  <si>
    <t>582 い 6301</t>
    <phoneticPr fontId="13"/>
  </si>
  <si>
    <t>582 い 6302</t>
    <phoneticPr fontId="13"/>
  </si>
  <si>
    <t>愛媛 340 す 1177</t>
    <rPh sb="0" eb="2">
      <t>エヒメ</t>
    </rPh>
    <phoneticPr fontId="13"/>
  </si>
  <si>
    <t>池内 亮皓</t>
    <rPh sb="0" eb="2">
      <t>イケウチ</t>
    </rPh>
    <rPh sb="3" eb="4">
      <t>リョウ</t>
    </rPh>
    <phoneticPr fontId="13"/>
  </si>
  <si>
    <t>保証書 取説 ﾅﾋﾞ取 SD ﾜﾝｵｰﾅｰ</t>
    <rPh sb="0" eb="3">
      <t>ホショウショ</t>
    </rPh>
    <rPh sb="4" eb="6">
      <t>トリセツ</t>
    </rPh>
    <rPh sb="10" eb="11">
      <t>トリ</t>
    </rPh>
    <phoneticPr fontId="13"/>
  </si>
  <si>
    <t>宇都宮 581 ち 9494</t>
    <rPh sb="0" eb="3">
      <t>ウツノミヤ</t>
    </rPh>
    <phoneticPr fontId="13"/>
  </si>
  <si>
    <t>河野 龍子</t>
    <rPh sb="0" eb="2">
      <t>カワノ</t>
    </rPh>
    <rPh sb="3" eb="5">
      <t>タツコ</t>
    </rPh>
    <phoneticPr fontId="13"/>
  </si>
  <si>
    <t>京都 480 ふ 6166</t>
    <rPh sb="0" eb="2">
      <t>キョウト</t>
    </rPh>
    <phoneticPr fontId="13"/>
  </si>
  <si>
    <t>金成 親郎</t>
    <rPh sb="0" eb="1">
      <t>カナ</t>
    </rPh>
    <rPh sb="1" eb="2">
      <t>ナリ</t>
    </rPh>
    <rPh sb="3" eb="4">
      <t>オヤ</t>
    </rPh>
    <rPh sb="4" eb="5">
      <t>ロウ</t>
    </rPh>
    <phoneticPr fontId="13"/>
  </si>
  <si>
    <t>横浜 780 ま 1001</t>
    <rPh sb="0" eb="2">
      <t>ヨコハマ</t>
    </rPh>
    <phoneticPr fontId="13"/>
  </si>
  <si>
    <t>三浦 晃裕</t>
    <rPh sb="0" eb="2">
      <t>ミウラ</t>
    </rPh>
    <rPh sb="3" eb="4">
      <t>アキ</t>
    </rPh>
    <rPh sb="4" eb="5">
      <t>ユウ</t>
    </rPh>
    <phoneticPr fontId="13"/>
  </si>
  <si>
    <t>多摩 358 そ 3588</t>
    <rPh sb="0" eb="2">
      <t>タマ</t>
    </rPh>
    <phoneticPr fontId="13"/>
  </si>
  <si>
    <t>宮崎 正芳</t>
    <rPh sb="0" eb="2">
      <t>ミヤザキ</t>
    </rPh>
    <rPh sb="3" eb="4">
      <t>マサ</t>
    </rPh>
    <rPh sb="4" eb="5">
      <t>ヨシ</t>
    </rPh>
    <phoneticPr fontId="13"/>
  </si>
  <si>
    <t>川崎 353 め 1103</t>
    <rPh sb="0" eb="2">
      <t>カワサキ</t>
    </rPh>
    <phoneticPr fontId="13"/>
  </si>
  <si>
    <t>増田 鷹彦</t>
    <rPh sb="0" eb="2">
      <t>マスダ</t>
    </rPh>
    <rPh sb="3" eb="5">
      <t>タカヒコ</t>
    </rPh>
    <phoneticPr fontId="13"/>
  </si>
  <si>
    <t>大阪 583 て 735</t>
    <rPh sb="0" eb="2">
      <t>オオサカ</t>
    </rPh>
    <phoneticPr fontId="13"/>
  </si>
  <si>
    <t>佐藤 美智代</t>
    <rPh sb="0" eb="2">
      <t>サトウ</t>
    </rPh>
    <rPh sb="3" eb="6">
      <t>ミチヨ</t>
    </rPh>
    <phoneticPr fontId="13"/>
  </si>
  <si>
    <t>名古屋 307 ぬ 3127</t>
    <rPh sb="0" eb="3">
      <t>ナゴヤ</t>
    </rPh>
    <phoneticPr fontId="13"/>
  </si>
  <si>
    <t>江口 裕久</t>
    <rPh sb="0" eb="2">
      <t>エグチ</t>
    </rPh>
    <rPh sb="3" eb="4">
      <t>ユウ</t>
    </rPh>
    <rPh sb="4" eb="5">
      <t>ヒサ</t>
    </rPh>
    <phoneticPr fontId="13"/>
  </si>
  <si>
    <t>地図SD(車内)保証書 取説 ｷｰﾚｽ ﾅﾋﾞ取</t>
    <rPh sb="0" eb="2">
      <t>チズ</t>
    </rPh>
    <rPh sb="5" eb="7">
      <t>シャナイ</t>
    </rPh>
    <rPh sb="8" eb="11">
      <t>ホショウショ</t>
    </rPh>
    <rPh sb="12" eb="14">
      <t>トリセツ</t>
    </rPh>
    <rPh sb="23" eb="24">
      <t>トリ</t>
    </rPh>
    <phoneticPr fontId="13"/>
  </si>
  <si>
    <t>奈良 399 て 2978</t>
    <phoneticPr fontId="13"/>
  </si>
  <si>
    <t>岐阜 58A あ 6697</t>
    <rPh sb="0" eb="2">
      <t>ギフ</t>
    </rPh>
    <phoneticPr fontId="13"/>
  </si>
  <si>
    <t>木野村 康成</t>
    <rPh sb="0" eb="3">
      <t>キノムラ</t>
    </rPh>
    <rPh sb="4" eb="6">
      <t>ヤスナリ</t>
    </rPh>
    <phoneticPr fontId="13"/>
  </si>
  <si>
    <t>ｷｰﾚｽ(車内)保証書 取説 ﾅﾝﾊﾞｰ</t>
    <rPh sb="8" eb="11">
      <t>ホショウショ</t>
    </rPh>
    <rPh sb="12" eb="14">
      <t>トリセツ</t>
    </rPh>
    <phoneticPr fontId="13"/>
  </si>
  <si>
    <t>大阪 582 て 6353</t>
    <rPh sb="0" eb="2">
      <t>オオサカ</t>
    </rPh>
    <phoneticPr fontId="13"/>
  </si>
  <si>
    <t>有限会社ﾀｰﾄﾙ</t>
    <rPh sb="0" eb="4">
      <t>ユウゲンカイシャ</t>
    </rPh>
    <phoneticPr fontId="13"/>
  </si>
  <si>
    <t>保証書 取説 ｷｰﾚｽ ﾅﾝﾊﾞｰ ﾏｲｸﾛSD</t>
    <rPh sb="0" eb="3">
      <t>ホショウショ</t>
    </rPh>
    <rPh sb="4" eb="6">
      <t>トリセツ</t>
    </rPh>
    <phoneticPr fontId="13"/>
  </si>
  <si>
    <t>合同会社GROW</t>
    <rPh sb="0" eb="4">
      <t>ゴウドウカイシャ</t>
    </rPh>
    <phoneticPr fontId="13"/>
  </si>
  <si>
    <t>株式会社日邦ﾚﾝﾀｶｰｼｽﾃﾑ</t>
    <rPh sb="0" eb="4">
      <t>カブシキガイシャ</t>
    </rPh>
    <rPh sb="4" eb="5">
      <t>ニチ</t>
    </rPh>
    <rPh sb="5" eb="6">
      <t>クニ</t>
    </rPh>
    <phoneticPr fontId="13"/>
  </si>
  <si>
    <t>記録紙5枚 取説 ｷｰﾚｽ(車内)ﾚﾝﾀｶｰ 保証書</t>
    <rPh sb="0" eb="3">
      <t>キロクシ</t>
    </rPh>
    <rPh sb="4" eb="5">
      <t>マイ</t>
    </rPh>
    <rPh sb="6" eb="8">
      <t>トリセツ</t>
    </rPh>
    <rPh sb="23" eb="26">
      <t>ホショウショ</t>
    </rPh>
    <phoneticPr fontId="13"/>
  </si>
  <si>
    <t>記録紙1枚 取説 ｷｰﾚｽ(車内)保証書</t>
    <rPh sb="0" eb="3">
      <t>キロクシ</t>
    </rPh>
    <rPh sb="4" eb="5">
      <t>マイ</t>
    </rPh>
    <rPh sb="6" eb="8">
      <t>トリセツ</t>
    </rPh>
    <rPh sb="17" eb="20">
      <t>ホショウショ</t>
    </rPh>
    <phoneticPr fontId="13"/>
  </si>
  <si>
    <t>木内 隆哉</t>
    <rPh sb="0" eb="2">
      <t>キウチ</t>
    </rPh>
    <rPh sb="3" eb="5">
      <t>タカヤ</t>
    </rPh>
    <phoneticPr fontId="13"/>
  </si>
  <si>
    <t>鵜飼 尚美</t>
    <rPh sb="0" eb="2">
      <t>ウカイ</t>
    </rPh>
    <rPh sb="3" eb="5">
      <t>ナオミ</t>
    </rPh>
    <phoneticPr fontId="13"/>
  </si>
  <si>
    <t>KB INTERNATINAL COMPANY 株式会社</t>
    <rPh sb="24" eb="28">
      <t>カブシキガイシャ</t>
    </rPh>
    <phoneticPr fontId="13"/>
  </si>
  <si>
    <t>KB INTERNATINAL COMPANY 株式会社</t>
    <phoneticPr fontId="13"/>
  </si>
  <si>
    <t>広島 480 ぬ 1645</t>
    <rPh sb="0" eb="2">
      <t>ヒロシマ</t>
    </rPh>
    <phoneticPr fontId="13"/>
  </si>
  <si>
    <t>有限会社片岡自動車</t>
    <rPh sb="0" eb="4">
      <t>ユウゲンカイシャ</t>
    </rPh>
    <rPh sb="4" eb="6">
      <t>カタオカ</t>
    </rPh>
    <rPh sb="6" eb="9">
      <t>ジドウシャ</t>
    </rPh>
    <phoneticPr fontId="13"/>
  </si>
  <si>
    <t>木原 駿介</t>
    <rPh sb="0" eb="2">
      <t>キハラ</t>
    </rPh>
    <rPh sb="3" eb="5">
      <t>シュンスケ</t>
    </rPh>
    <phoneticPr fontId="13"/>
  </si>
  <si>
    <t>岡山 581 よ 9771</t>
    <rPh sb="0" eb="2">
      <t>オカヤマ</t>
    </rPh>
    <phoneticPr fontId="13"/>
  </si>
  <si>
    <t>株式会社Car Town</t>
    <rPh sb="0" eb="4">
      <t>カブシキガイシャ</t>
    </rPh>
    <phoneticPr fontId="13"/>
  </si>
  <si>
    <t>株式会社大栄商事</t>
    <rPh sb="0" eb="4">
      <t>カブシキガイシャ</t>
    </rPh>
    <rPh sb="4" eb="5">
      <t>オオ</t>
    </rPh>
    <rPh sb="5" eb="6">
      <t>エイ</t>
    </rPh>
    <rPh sb="6" eb="8">
      <t>ショウジ</t>
    </rPh>
    <phoneticPr fontId="13"/>
  </si>
  <si>
    <t>WBAYK720805N15542</t>
    <phoneticPr fontId="13"/>
  </si>
  <si>
    <t>姫路 399 な 4621</t>
    <rPh sb="0" eb="2">
      <t>ヒメジ</t>
    </rPh>
    <phoneticPr fontId="13"/>
  </si>
  <si>
    <t>株式会社ﾎﾝﾀﾞｶｰｽﾞ兵庫中央</t>
    <rPh sb="0" eb="4">
      <t>カブシキガイシャ</t>
    </rPh>
    <rPh sb="12" eb="14">
      <t>ヒョウゴ</t>
    </rPh>
    <phoneticPr fontId="13"/>
  </si>
  <si>
    <t>ZFABF12H9NJF44573</t>
    <phoneticPr fontId="13"/>
  </si>
  <si>
    <t>岡山 301 ね 631</t>
    <rPh sb="0" eb="2">
      <t>オカヤマ</t>
    </rPh>
    <phoneticPr fontId="13"/>
  </si>
  <si>
    <t>株式会社ｲｰﾋﾟｰｴﾑ ｺｰﾎﾟﾚｰｼｮﾝ</t>
    <rPh sb="0" eb="4">
      <t>カブシキガイシャ</t>
    </rPh>
    <phoneticPr fontId="13"/>
  </si>
  <si>
    <t>車検違うｸﾚｰﾑ済み</t>
    <rPh sb="0" eb="2">
      <t>シャケン</t>
    </rPh>
    <rPh sb="2" eb="3">
      <t>チガ</t>
    </rPh>
    <rPh sb="8" eb="9">
      <t>ズ</t>
    </rPh>
    <phoneticPr fontId="13"/>
  </si>
  <si>
    <t>横浜 583 い 3376</t>
    <rPh sb="0" eb="2">
      <t>ヨコハマ</t>
    </rPh>
    <phoneticPr fontId="13"/>
  </si>
  <si>
    <t>原 正之</t>
    <rPh sb="0" eb="1">
      <t>ハラ</t>
    </rPh>
    <rPh sb="2" eb="4">
      <t>タダシユキ</t>
    </rPh>
    <phoneticPr fontId="13"/>
  </si>
  <si>
    <t>12/11</t>
    <phoneticPr fontId="13"/>
  </si>
  <si>
    <t>地図SD(車内) 保証書 取説 ｽﾍﾟｱｷｰ</t>
    <rPh sb="9" eb="12">
      <t>ホショウショ</t>
    </rPh>
    <rPh sb="13" eb="15">
      <t>トリセツ</t>
    </rPh>
    <phoneticPr fontId="13"/>
  </si>
  <si>
    <t>多摩 587 う 3103</t>
    <rPh sb="0" eb="2">
      <t>タマ</t>
    </rPh>
    <phoneticPr fontId="13"/>
  </si>
  <si>
    <t>坂本 歩</t>
    <rPh sb="0" eb="2">
      <t>サカモト</t>
    </rPh>
    <rPh sb="3" eb="4">
      <t>アユミ</t>
    </rPh>
    <phoneticPr fontId="13"/>
  </si>
  <si>
    <t>地図SD(車内)保証書 ｷｰﾚｽ</t>
    <phoneticPr fontId="13"/>
  </si>
  <si>
    <t>27-2115</t>
  </si>
  <si>
    <t>27-2116</t>
  </si>
  <si>
    <t>27-2117</t>
  </si>
  <si>
    <t>27-2118</t>
  </si>
  <si>
    <t>27-2119</t>
  </si>
  <si>
    <t>27-2120</t>
  </si>
  <si>
    <t>27-2121</t>
  </si>
  <si>
    <t>27-2122</t>
  </si>
  <si>
    <t>27-2123</t>
  </si>
  <si>
    <t>27-2124</t>
  </si>
  <si>
    <t>27-2125</t>
  </si>
  <si>
    <t>27-2126</t>
  </si>
  <si>
    <t>27-2127</t>
  </si>
  <si>
    <t>27-2128</t>
  </si>
  <si>
    <t>27-2129</t>
  </si>
  <si>
    <t>27-2130</t>
  </si>
  <si>
    <t>27-2131</t>
  </si>
  <si>
    <t>27-2132</t>
  </si>
  <si>
    <t>27-2133</t>
  </si>
  <si>
    <t>27-2134</t>
  </si>
  <si>
    <t>27-2135</t>
  </si>
  <si>
    <t>27-2136</t>
  </si>
  <si>
    <t>27-2137</t>
  </si>
  <si>
    <t>27-2138</t>
  </si>
  <si>
    <t>27-2139</t>
  </si>
  <si>
    <t>ｷｬﾝｾﾙ 書類返送12/11</t>
    <rPh sb="6" eb="8">
      <t>ショルイ</t>
    </rPh>
    <rPh sb="8" eb="10">
      <t>ヘンソウ</t>
    </rPh>
    <phoneticPr fontId="13"/>
  </si>
  <si>
    <t>広島 502 む 3964</t>
    <rPh sb="0" eb="2">
      <t>ヒロシマ</t>
    </rPh>
    <phoneticPr fontId="13"/>
  </si>
  <si>
    <t>VF1KW14B3K0801798</t>
    <phoneticPr fontId="13"/>
  </si>
  <si>
    <t>JF5-1321341</t>
    <phoneticPr fontId="13"/>
  </si>
  <si>
    <t>HE33S-203631</t>
    <phoneticPr fontId="13"/>
  </si>
  <si>
    <t>LA350S-0427189</t>
    <phoneticPr fontId="13"/>
  </si>
  <si>
    <t>JF5-1041634</t>
    <phoneticPr fontId="13"/>
  </si>
  <si>
    <t>WMW32DK0702S78133</t>
    <phoneticPr fontId="13"/>
  </si>
  <si>
    <t>S321V-0517920</t>
    <phoneticPr fontId="13"/>
  </si>
  <si>
    <t>ZVW40-0019951</t>
    <phoneticPr fontId="13"/>
  </si>
  <si>
    <t>ﾌﾟﾘｳｽｱﾙﾌｧｰ S</t>
    <phoneticPr fontId="13"/>
  </si>
  <si>
    <t>BMW 2ｼﾘｰｽﾞ 225Xeｱｲﾊﾟﾌｫｰﾏﾝｽ</t>
    <phoneticPr fontId="13"/>
  </si>
  <si>
    <t>WBA6Y32010VG79765</t>
    <phoneticPr fontId="13"/>
  </si>
  <si>
    <t>27-2140</t>
  </si>
  <si>
    <t>27-2141</t>
  </si>
  <si>
    <t>27-2142</t>
  </si>
  <si>
    <t>27-2143</t>
  </si>
  <si>
    <t xml:space="preserve"> DA17W-310162</t>
    <phoneticPr fontId="13"/>
  </si>
  <si>
    <t>JF1-1905445</t>
    <phoneticPr fontId="13"/>
  </si>
  <si>
    <t>M700A-0184296</t>
    <phoneticPr fontId="13"/>
  </si>
  <si>
    <t>YV1FWA8RDH1341894</t>
    <phoneticPr fontId="13"/>
  </si>
  <si>
    <t>N-BOXｶｽﾀﾑ G SSﾌﾟﾗｯｸｽﾀｲﾙﾊﾟｯｹｰｼﾞ</t>
    <phoneticPr fontId="13"/>
  </si>
  <si>
    <t>ﾊﾟｯｿ ﾓｰﾀﾞﾁｬｰﾑ</t>
    <phoneticPr fontId="13"/>
  </si>
  <si>
    <t>ﾌﾟｼﾞｮｰ ﾘﾌﾀｰ GTﾗｲﾝ ﾌｧｰｽﾄﾘﾐﾃｯﾄﾞ</t>
    <phoneticPr fontId="13"/>
  </si>
  <si>
    <t>VR3ECYHZRLJ868164</t>
    <phoneticPr fontId="13"/>
  </si>
  <si>
    <t>JB23W-739400</t>
    <phoneticPr fontId="13"/>
  </si>
  <si>
    <t>NCP160-0151779</t>
    <phoneticPr fontId="13"/>
  </si>
  <si>
    <t>NSP160-0054568</t>
    <phoneticPr fontId="13"/>
  </si>
  <si>
    <t>尾張小牧 400 の 5641</t>
    <rPh sb="0" eb="4">
      <t>オワリコマキ</t>
    </rPh>
    <phoneticPr fontId="13"/>
  </si>
  <si>
    <t>ｳﾞｪｾﾞﾙ ﾊｲﾌﾞﾘｯﾄﾞ eHEV Z</t>
    <phoneticPr fontId="13"/>
  </si>
  <si>
    <t>RV5-1008918</t>
    <phoneticPr fontId="13"/>
  </si>
  <si>
    <t>ｳﾞｪﾙﾌｧｲｱ 2.4Z Gｴﾃﾞｨｼｮﾝ</t>
    <phoneticPr fontId="13"/>
  </si>
  <si>
    <t>ANH20-8351949</t>
    <phoneticPr fontId="13"/>
  </si>
  <si>
    <t>LA800S-0003811</t>
    <phoneticPr fontId="13"/>
  </si>
  <si>
    <t>ｷｬﾘｰﾄﾗｯｸ KC</t>
    <phoneticPr fontId="13"/>
  </si>
  <si>
    <t>DA16T-593372</t>
    <phoneticPr fontId="13"/>
  </si>
  <si>
    <t>和泉 480 な 7419</t>
    <rPh sb="0" eb="2">
      <t>イズミ</t>
    </rPh>
    <phoneticPr fontId="13"/>
  </si>
  <si>
    <t>MK94S-162335</t>
    <phoneticPr fontId="13"/>
  </si>
  <si>
    <t>奈良 581 と 2167</t>
    <rPh sb="0" eb="2">
      <t>ナラ</t>
    </rPh>
    <phoneticPr fontId="13"/>
  </si>
  <si>
    <t>N-BOXｶｽﾀﾑ G Lﾀｰﾎﾞﾎﾝﾀﾞｾﾝｼﾝｸﾞ</t>
    <phoneticPr fontId="13"/>
  </si>
  <si>
    <t>JF3-2097337</t>
    <phoneticPr fontId="13"/>
  </si>
  <si>
    <t>姫路 591 そ 118</t>
    <rPh sb="0" eb="2">
      <t>ヒメジ</t>
    </rPh>
    <phoneticPr fontId="13"/>
  </si>
  <si>
    <t xml:space="preserve">保証書 取説 ﾅﾋﾞ取 ｽﾍﾟｱｷｰ </t>
    <rPh sb="0" eb="3">
      <t>ホショウショ</t>
    </rPh>
    <rPh sb="4" eb="6">
      <t>トリセツ</t>
    </rPh>
    <rPh sb="10" eb="11">
      <t>トリ</t>
    </rPh>
    <phoneticPr fontId="13"/>
  </si>
  <si>
    <t>MK53S-341927</t>
    <phoneticPr fontId="13"/>
  </si>
  <si>
    <t>ﾌﾚｱｸﾛｽｵｰﾊﾞｰ XT</t>
    <phoneticPr fontId="13"/>
  </si>
  <si>
    <t>MS41S-601659</t>
    <phoneticPr fontId="13"/>
  </si>
  <si>
    <t>和泉 581 ほ 4616</t>
    <rPh sb="0" eb="2">
      <t>イズミ</t>
    </rPh>
    <phoneticPr fontId="13"/>
  </si>
  <si>
    <t>JF1-1807392</t>
    <phoneticPr fontId="13"/>
  </si>
  <si>
    <t>岐阜 582 ま 9852</t>
    <rPh sb="0" eb="2">
      <t>ギフ</t>
    </rPh>
    <phoneticPr fontId="13"/>
  </si>
  <si>
    <t>N-BOXｶｽﾀﾑ G</t>
    <phoneticPr fontId="13"/>
  </si>
  <si>
    <t>JF1-1505308</t>
    <phoneticPr fontId="13"/>
  </si>
  <si>
    <t xml:space="preserve">ｽﾃｨﾝｸﾞﾚｰ X </t>
    <phoneticPr fontId="13"/>
  </si>
  <si>
    <t>MH44S-462019</t>
    <phoneticPr fontId="13"/>
  </si>
  <si>
    <t>MR92S-175452</t>
    <phoneticPr fontId="13"/>
  </si>
  <si>
    <t>MRﾜｺﾞﾝ Wit XS</t>
    <phoneticPr fontId="13"/>
  </si>
  <si>
    <t>MF33S-432174</t>
    <phoneticPr fontId="13"/>
  </si>
  <si>
    <t>三重 595 な 18</t>
    <rPh sb="0" eb="2">
      <t>ミエ</t>
    </rPh>
    <phoneticPr fontId="13"/>
  </si>
  <si>
    <t>MK53S-810259</t>
    <phoneticPr fontId="13"/>
  </si>
  <si>
    <t>名古屋 58A ま 794</t>
    <rPh sb="0" eb="3">
      <t>ナゴヤ</t>
    </rPh>
    <phoneticPr fontId="13"/>
  </si>
  <si>
    <t>株式会社ﾜｲｽﾞ</t>
    <rPh sb="0" eb="4">
      <t>カブシキガイシャ</t>
    </rPh>
    <phoneticPr fontId="13"/>
  </si>
  <si>
    <t>富山 581 て 3689</t>
    <rPh sb="0" eb="2">
      <t>トヤマ</t>
    </rPh>
    <phoneticPr fontId="13"/>
  </si>
  <si>
    <t>有限会社くるまやﾐﾔﾊｳｽ</t>
    <rPh sb="0" eb="4">
      <t>ユウゲンカイシャ</t>
    </rPh>
    <phoneticPr fontId="13"/>
  </si>
  <si>
    <t>豊橋 583 え 1070</t>
    <rPh sb="0" eb="2">
      <t>トヨハシ</t>
    </rPh>
    <phoneticPr fontId="13"/>
  </si>
  <si>
    <t>松山 将喜</t>
    <rPh sb="0" eb="2">
      <t>マツヤマ</t>
    </rPh>
    <rPh sb="3" eb="4">
      <t>ショウ</t>
    </rPh>
    <rPh sb="4" eb="5">
      <t>ヨロコ</t>
    </rPh>
    <phoneticPr fontId="13"/>
  </si>
  <si>
    <t>京都 584 い 3339</t>
    <rPh sb="0" eb="2">
      <t>キョウト</t>
    </rPh>
    <phoneticPr fontId="13"/>
  </si>
  <si>
    <t>東 清孝</t>
    <rPh sb="0" eb="1">
      <t>ヒガシ</t>
    </rPh>
    <rPh sb="2" eb="4">
      <t>キヨタカ</t>
    </rPh>
    <phoneticPr fontId="13"/>
  </si>
  <si>
    <t>株式会社大神ﾓｰﾀｰ</t>
    <rPh sb="0" eb="4">
      <t>カブシキガイシャ</t>
    </rPh>
    <rPh sb="4" eb="6">
      <t>オオカミ</t>
    </rPh>
    <phoneticPr fontId="13"/>
  </si>
  <si>
    <t>972(338)</t>
    <phoneticPr fontId="13"/>
  </si>
  <si>
    <t>香川 480 わ 1997</t>
    <rPh sb="0" eb="2">
      <t>カガワ</t>
    </rPh>
    <phoneticPr fontId="13"/>
  </si>
  <si>
    <t>有限会社菱自ｵｰﾄｾﾝﾀｰ</t>
    <rPh sb="0" eb="4">
      <t>ユウゲンカイシャ</t>
    </rPh>
    <rPh sb="4" eb="6">
      <t>リョウジ</t>
    </rPh>
    <phoneticPr fontId="13"/>
  </si>
  <si>
    <t>梶野 孝幸</t>
    <rPh sb="0" eb="2">
      <t>カジノ</t>
    </rPh>
    <rPh sb="3" eb="5">
      <t>タカユキ</t>
    </rPh>
    <phoneticPr fontId="13"/>
  </si>
  <si>
    <t>三河 580 み 9236</t>
    <rPh sb="0" eb="2">
      <t>ミカワ</t>
    </rPh>
    <phoneticPr fontId="13"/>
  </si>
  <si>
    <t>西日本三菱自動車販売株式会社</t>
    <rPh sb="0" eb="3">
      <t>ニシニホン</t>
    </rPh>
    <rPh sb="3" eb="14">
      <t>ミツビシジドウシャハンバイカブシキガイシャ</t>
    </rPh>
    <phoneticPr fontId="13"/>
  </si>
  <si>
    <t xml:space="preserve">ｽﾍﾟｱｷｰ </t>
    <phoneticPr fontId="13"/>
  </si>
  <si>
    <t>四日市 580 ろ 9856</t>
    <rPh sb="0" eb="3">
      <t>ヨッカイチ</t>
    </rPh>
    <phoneticPr fontId="13"/>
  </si>
  <si>
    <t>有限会社平野商会</t>
    <rPh sb="0" eb="4">
      <t>ユウゲンカイシャ</t>
    </rPh>
    <rPh sb="4" eb="6">
      <t>ヒラノ</t>
    </rPh>
    <rPh sb="6" eb="8">
      <t>ショウカイ</t>
    </rPh>
    <phoneticPr fontId="13"/>
  </si>
  <si>
    <t>なにわ 5P8 ろ 3633</t>
    <phoneticPr fontId="13"/>
  </si>
  <si>
    <t>福山 584 ら 516</t>
    <rPh sb="0" eb="2">
      <t>フクヤマ</t>
    </rPh>
    <phoneticPr fontId="13"/>
  </si>
  <si>
    <t>出雲 580 え 8831</t>
    <rPh sb="0" eb="2">
      <t>イヅモ</t>
    </rPh>
    <phoneticPr fontId="13"/>
  </si>
  <si>
    <t>岡山 534 そ 85</t>
    <rPh sb="0" eb="2">
      <t>オカヤマ</t>
    </rPh>
    <phoneticPr fontId="13"/>
  </si>
  <si>
    <t>川尻 こころ</t>
    <rPh sb="0" eb="2">
      <t>カワジリ</t>
    </rPh>
    <phoneticPr fontId="13"/>
  </si>
  <si>
    <t>ﾏｲｸﾛ地図SD(車内)保証書 ﾅﾋﾞ取 ｽﾍﾟｱｷｰ</t>
    <rPh sb="4" eb="6">
      <t>チズ</t>
    </rPh>
    <rPh sb="12" eb="15">
      <t>ホショウショ</t>
    </rPh>
    <rPh sb="19" eb="20">
      <t>トリ</t>
    </rPh>
    <phoneticPr fontId="13"/>
  </si>
  <si>
    <t>582 い 6480</t>
    <phoneticPr fontId="13"/>
  </si>
  <si>
    <t>582 い 6481</t>
    <phoneticPr fontId="13"/>
  </si>
  <si>
    <t>582 い 6482</t>
    <phoneticPr fontId="13"/>
  </si>
  <si>
    <t>480 ね 2663</t>
    <phoneticPr fontId="13"/>
  </si>
  <si>
    <t>582 い 6483</t>
    <phoneticPr fontId="13"/>
  </si>
  <si>
    <t>582 い 6484</t>
    <phoneticPr fontId="13"/>
  </si>
  <si>
    <t>582 い 6485</t>
    <phoneticPr fontId="13"/>
  </si>
  <si>
    <t>582 い 6486</t>
    <phoneticPr fontId="13"/>
  </si>
  <si>
    <t>582 い 6487</t>
    <phoneticPr fontId="13"/>
  </si>
  <si>
    <t>582 い 6488</t>
    <phoneticPr fontId="13"/>
  </si>
  <si>
    <t>582 い 6489</t>
    <phoneticPr fontId="13"/>
  </si>
  <si>
    <t>480 ね 2664</t>
    <phoneticPr fontId="13"/>
  </si>
  <si>
    <t>480 ね 2665</t>
    <phoneticPr fontId="13"/>
  </si>
  <si>
    <t>301 ね 4896</t>
    <phoneticPr fontId="13"/>
  </si>
  <si>
    <t>豊橋 480 す 8685</t>
    <rPh sb="0" eb="2">
      <t>トヨハシ</t>
    </rPh>
    <phoneticPr fontId="13"/>
  </si>
  <si>
    <t>有限会社ﾌｼﾞﾐｵｰﾄ</t>
    <rPh sb="0" eb="4">
      <t>ユウゲンカイシャ</t>
    </rPh>
    <phoneticPr fontId="13"/>
  </si>
  <si>
    <t>12/12</t>
    <phoneticPr fontId="13"/>
  </si>
  <si>
    <t>なにわ 595 は 3</t>
    <phoneticPr fontId="13"/>
  </si>
  <si>
    <t>大谷 真未</t>
    <rPh sb="0" eb="2">
      <t>オオタニ</t>
    </rPh>
    <rPh sb="3" eb="4">
      <t>マ</t>
    </rPh>
    <rPh sb="4" eb="5">
      <t>ミ</t>
    </rPh>
    <phoneticPr fontId="13"/>
  </si>
  <si>
    <t>滋賀 346 と 3588</t>
    <rPh sb="0" eb="2">
      <t>シガ</t>
    </rPh>
    <phoneticPr fontId="13"/>
  </si>
  <si>
    <t>ﾄﾖﾀｶﾛｰﾗﾃ滋賀株式会社</t>
    <rPh sb="8" eb="10">
      <t>シガ</t>
    </rPh>
    <rPh sb="10" eb="14">
      <t>カブシキガイシャ</t>
    </rPh>
    <phoneticPr fontId="13"/>
  </si>
  <si>
    <t>四日市 580 か 4878</t>
    <rPh sb="0" eb="3">
      <t>ヨッカイチ</t>
    </rPh>
    <phoneticPr fontId="13"/>
  </si>
  <si>
    <t>三重三菱自動車販売株式会社</t>
    <rPh sb="0" eb="2">
      <t>ミエ</t>
    </rPh>
    <rPh sb="2" eb="13">
      <t>ミツビシジドウシャハンバイカブシキガイシャ</t>
    </rPh>
    <phoneticPr fontId="13"/>
  </si>
  <si>
    <t>四日市 580 か 6375</t>
    <rPh sb="0" eb="3">
      <t>ヨッカイチ</t>
    </rPh>
    <phoneticPr fontId="13"/>
  </si>
  <si>
    <t>豊橋 480 す 111</t>
    <rPh sb="0" eb="2">
      <t>トヨハシ</t>
    </rPh>
    <phoneticPr fontId="13"/>
  </si>
  <si>
    <t>名古屋 589 ほ 828</t>
    <rPh sb="0" eb="3">
      <t>ナゴヤ</t>
    </rPh>
    <phoneticPr fontId="13"/>
  </si>
  <si>
    <t>森田 将也</t>
    <rPh sb="0" eb="2">
      <t>モリタ</t>
    </rPh>
    <rPh sb="3" eb="5">
      <t>マサヤ</t>
    </rPh>
    <phoneticPr fontId="13"/>
  </si>
  <si>
    <t>名古屋 480 の 8355</t>
    <rPh sb="0" eb="3">
      <t>ナゴヤ</t>
    </rPh>
    <phoneticPr fontId="13"/>
  </si>
  <si>
    <t>安井 富俊</t>
    <rPh sb="0" eb="2">
      <t>ヤスイ</t>
    </rPh>
    <rPh sb="3" eb="4">
      <t>トミ</t>
    </rPh>
    <rPh sb="4" eb="5">
      <t>シュン</t>
    </rPh>
    <phoneticPr fontId="13"/>
  </si>
  <si>
    <t>浜松 582 け 8258</t>
    <rPh sb="0" eb="2">
      <t>ハママツ</t>
    </rPh>
    <phoneticPr fontId="13"/>
  </si>
  <si>
    <t>BUTT SOHAIL SHOUKAT</t>
    <phoneticPr fontId="13"/>
  </si>
  <si>
    <t>名古屋 58A ほ 8185</t>
    <rPh sb="0" eb="3">
      <t>ナゴヤ</t>
    </rPh>
    <phoneticPr fontId="13"/>
  </si>
  <si>
    <t>株式会社ｶｰ・ｴｽ・ｲﾉﾍﾞｰｼｮﾝ</t>
    <rPh sb="0" eb="4">
      <t>カブシキガイシャ</t>
    </rPh>
    <phoneticPr fontId="13"/>
  </si>
  <si>
    <t>杉並 312 む 5050</t>
    <rPh sb="0" eb="2">
      <t>スギナミ</t>
    </rPh>
    <phoneticPr fontId="13"/>
  </si>
  <si>
    <t>京都 329 さ 6869</t>
    <rPh sb="0" eb="2">
      <t>キョウト</t>
    </rPh>
    <phoneticPr fontId="13"/>
  </si>
  <si>
    <t>保証書 取説 Sｷｰ SD</t>
    <rPh sb="0" eb="3">
      <t>ホショウショ</t>
    </rPh>
    <rPh sb="4" eb="6">
      <t>トリセツ</t>
    </rPh>
    <phoneticPr fontId="13"/>
  </si>
  <si>
    <t>大宮 799 ろ 643</t>
    <rPh sb="0" eb="2">
      <t>オオミヤ</t>
    </rPh>
    <phoneticPr fontId="13"/>
  </si>
  <si>
    <t>株式会社大谷自動車</t>
    <rPh sb="0" eb="4">
      <t>カブシキガイシャ</t>
    </rPh>
    <rPh sb="4" eb="6">
      <t>オオタニ</t>
    </rPh>
    <rPh sb="6" eb="9">
      <t>ジドウシャ</t>
    </rPh>
    <phoneticPr fontId="13"/>
  </si>
  <si>
    <t>足立 泰志</t>
    <rPh sb="0" eb="2">
      <t>アダチ</t>
    </rPh>
    <rPh sb="3" eb="4">
      <t>ヤスシ</t>
    </rPh>
    <rPh sb="4" eb="5">
      <t>ココロザシ</t>
    </rPh>
    <phoneticPr fontId="13"/>
  </si>
  <si>
    <t>地図SD(車内)保証書 取説 Sｷｰ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</si>
  <si>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姫路 593 を 358</t>
    <rPh sb="0" eb="2">
      <t>ヒメジ</t>
    </rPh>
    <phoneticPr fontId="13"/>
  </si>
  <si>
    <t>那波 正博</t>
    <rPh sb="0" eb="2">
      <t>ナハ</t>
    </rPh>
    <rPh sb="3" eb="5">
      <t>マサヒロ</t>
    </rPh>
    <phoneticPr fontId="13"/>
  </si>
  <si>
    <t>岡山 484 く 96</t>
    <rPh sb="0" eb="2">
      <t>オカヤマ</t>
    </rPh>
    <phoneticPr fontId="13"/>
  </si>
  <si>
    <t>株式会社日国建設</t>
    <rPh sb="0" eb="4">
      <t>カブシキガイシャ</t>
    </rPh>
    <rPh sb="4" eb="5">
      <t>ニチ</t>
    </rPh>
    <rPh sb="5" eb="6">
      <t>コク</t>
    </rPh>
    <rPh sb="6" eb="8">
      <t>ケンセツ</t>
    </rPh>
    <phoneticPr fontId="13"/>
  </si>
  <si>
    <t>香川 480 ち 7735</t>
    <rPh sb="0" eb="2">
      <t>カガワ</t>
    </rPh>
    <phoneticPr fontId="13"/>
  </si>
  <si>
    <t>香川 370 ね 3</t>
    <rPh sb="0" eb="2">
      <t>カガワ</t>
    </rPh>
    <phoneticPr fontId="13"/>
  </si>
  <si>
    <t>瀬尾 哲司</t>
    <rPh sb="0" eb="1">
      <t>セ</t>
    </rPh>
    <rPh sb="1" eb="2">
      <t>オ</t>
    </rPh>
    <rPh sb="3" eb="5">
      <t>テツジ</t>
    </rPh>
    <phoneticPr fontId="13"/>
  </si>
  <si>
    <t>保証書 取説 SD ｷｰﾚｽ ｶｰﾄﾞｷｰ</t>
    <rPh sb="0" eb="3">
      <t>ホショウショ</t>
    </rPh>
    <rPh sb="4" eb="6">
      <t>トリセツ</t>
    </rPh>
    <phoneticPr fontId="13"/>
  </si>
  <si>
    <t>久留米 480 せ 3807</t>
    <rPh sb="0" eb="3">
      <t>クルメ</t>
    </rPh>
    <phoneticPr fontId="13"/>
  </si>
  <si>
    <t>三小田 貢</t>
    <rPh sb="0" eb="1">
      <t>サン</t>
    </rPh>
    <rPh sb="1" eb="3">
      <t>オダ</t>
    </rPh>
    <rPh sb="4" eb="5">
      <t>ミツグ</t>
    </rPh>
    <phoneticPr fontId="13"/>
  </si>
  <si>
    <t>広島 586 ぬ 1022</t>
    <rPh sb="0" eb="2">
      <t>ヒロシマ</t>
    </rPh>
    <phoneticPr fontId="13"/>
  </si>
  <si>
    <t>ｺﾞﾘﾗ不動産株式会社</t>
    <rPh sb="4" eb="7">
      <t>フドウサン</t>
    </rPh>
    <rPh sb="7" eb="11">
      <t>カブシキガイシャ</t>
    </rPh>
    <phoneticPr fontId="13"/>
  </si>
  <si>
    <t>袖ヶ浦 581 き 2407</t>
    <rPh sb="0" eb="3">
      <t>ソデガウラ</t>
    </rPh>
    <phoneticPr fontId="13"/>
  </si>
  <si>
    <t>大島 奈緒</t>
    <rPh sb="0" eb="2">
      <t>オオシマ</t>
    </rPh>
    <rPh sb="3" eb="5">
      <t>ナオ</t>
    </rPh>
    <phoneticPr fontId="13"/>
  </si>
  <si>
    <t>福山 581 す 2075</t>
    <rPh sb="0" eb="2">
      <t>フクヤマ</t>
    </rPh>
    <phoneticPr fontId="13"/>
  </si>
  <si>
    <t>SD B-CAS</t>
    <phoneticPr fontId="13"/>
  </si>
  <si>
    <t>なにわ 5P7 ろ 1129</t>
    <phoneticPr fontId="13"/>
  </si>
  <si>
    <t>品川 5X2 ろ 4208</t>
    <rPh sb="0" eb="2">
      <t>シナガワ</t>
    </rPh>
    <phoneticPr fontId="13"/>
  </si>
  <si>
    <t>なにわ 5P8 ろ 2564</t>
    <phoneticPr fontId="13"/>
  </si>
  <si>
    <t>福山 583 は 728</t>
    <rPh sb="0" eb="2">
      <t>フクヤマ</t>
    </rPh>
    <phoneticPr fontId="13"/>
  </si>
  <si>
    <t>広島 581 や 9360</t>
    <rPh sb="0" eb="2">
      <t>ヒロシマ</t>
    </rPh>
    <phoneticPr fontId="13"/>
  </si>
  <si>
    <t>中丸 靖岳</t>
    <rPh sb="0" eb="2">
      <t>ナカマル</t>
    </rPh>
    <rPh sb="3" eb="4">
      <t>ヤス</t>
    </rPh>
    <rPh sb="4" eb="5">
      <t>ガク</t>
    </rPh>
    <phoneticPr fontId="13"/>
  </si>
  <si>
    <t>岡山 585 ふ 228</t>
    <rPh sb="0" eb="2">
      <t>オカヤマ</t>
    </rPh>
    <phoneticPr fontId="13"/>
  </si>
  <si>
    <t>大枝 加奈子</t>
    <rPh sb="0" eb="2">
      <t>オオエダ</t>
    </rPh>
    <rPh sb="3" eb="6">
      <t>カナコ</t>
    </rPh>
    <phoneticPr fontId="13"/>
  </si>
  <si>
    <t>岡山 584 ろ 2711</t>
    <rPh sb="0" eb="2">
      <t>オカヤマ</t>
    </rPh>
    <phoneticPr fontId="13"/>
  </si>
  <si>
    <t>27-2144</t>
  </si>
  <si>
    <t>27-2145</t>
  </si>
  <si>
    <t>27-2146</t>
  </si>
  <si>
    <t>27-2147</t>
  </si>
  <si>
    <t>ｳﾞｪﾙﾌｧｲｱ 2.4Z ﾌﾟﾗﾁﾅｾﾚｸｼｮﾝ2</t>
    <phoneticPr fontId="13"/>
  </si>
  <si>
    <t>ANH20-8171869</t>
    <phoneticPr fontId="13"/>
  </si>
  <si>
    <t>27-2148</t>
  </si>
  <si>
    <t>27-2149</t>
  </si>
  <si>
    <t>27-2150</t>
  </si>
  <si>
    <t>27-2151</t>
  </si>
  <si>
    <t>27-2152</t>
  </si>
  <si>
    <t>27-2153</t>
  </si>
  <si>
    <t>27-2154</t>
  </si>
  <si>
    <t>27-2155</t>
  </si>
  <si>
    <t>27-2156</t>
  </si>
  <si>
    <t>27-2157</t>
  </si>
  <si>
    <t>27-2158</t>
  </si>
  <si>
    <t>27-2159</t>
  </si>
  <si>
    <t>27-2160</t>
  </si>
  <si>
    <t>27-2161</t>
  </si>
  <si>
    <t>27-2162</t>
  </si>
  <si>
    <t>27-2163</t>
  </si>
  <si>
    <t>27-2164</t>
  </si>
  <si>
    <t>27-2165</t>
  </si>
  <si>
    <t>27-2166</t>
  </si>
  <si>
    <t>ｱﾊﾞﾙﾄ595 ｺﾝﾍﾟﾃｨｵｰﾈ</t>
    <phoneticPr fontId="13"/>
  </si>
  <si>
    <t>ZFA3120000JD61989</t>
    <phoneticPr fontId="13"/>
  </si>
  <si>
    <t>27-2167</t>
  </si>
  <si>
    <t>ﾒﾙｾﾃﾞｽﾍﾞﾝﾂ E 220d</t>
    <phoneticPr fontId="13"/>
  </si>
  <si>
    <t>WDD2130042A085412</t>
    <phoneticPr fontId="13"/>
  </si>
  <si>
    <t>WMWXS520002C93163</t>
    <phoneticPr fontId="13"/>
  </si>
  <si>
    <t>ｴｸｽﾄﾚｲﾙ xe40R</t>
    <phoneticPr fontId="13"/>
  </si>
  <si>
    <t>神戸 304 ぬ 9966</t>
    <rPh sb="0" eb="2">
      <t>コウベ</t>
    </rPh>
    <phoneticPr fontId="13"/>
  </si>
  <si>
    <t>SNT33-005089</t>
    <phoneticPr fontId="13"/>
  </si>
  <si>
    <t>ｸﾗｳﾝ ｸﾛｽｵｰﾊﾞｰG</t>
    <phoneticPr fontId="13"/>
  </si>
  <si>
    <t>AZSH35-4010441</t>
    <phoneticPr fontId="13"/>
  </si>
  <si>
    <t>横浜 367 め 225</t>
    <rPh sb="0" eb="2">
      <t>ヨコハマ</t>
    </rPh>
    <phoneticPr fontId="13"/>
  </si>
  <si>
    <t>W1K2470122J161613</t>
    <phoneticPr fontId="13"/>
  </si>
  <si>
    <t>ﾐﾗｲｰｽ Xﾘﾐﾃｯﾄﾞ SA3</t>
    <phoneticPr fontId="13"/>
  </si>
  <si>
    <t>LA350S-0289700</t>
    <phoneticPr fontId="13"/>
  </si>
  <si>
    <t>ｽﾍﾟｰｼｱ T</t>
    <phoneticPr fontId="13"/>
  </si>
  <si>
    <t>MK32S-465874</t>
    <phoneticPr fontId="13"/>
  </si>
  <si>
    <t>福岡 582 ね 2091</t>
    <rPh sb="0" eb="2">
      <t>フクオカ</t>
    </rPh>
    <phoneticPr fontId="13"/>
  </si>
  <si>
    <t>MK94S-303956</t>
    <phoneticPr fontId="13"/>
  </si>
  <si>
    <t>名古屋 58A ま 0944</t>
    <rPh sb="0" eb="3">
      <t>ナゴヤ</t>
    </rPh>
    <phoneticPr fontId="13"/>
  </si>
  <si>
    <t>LA350S-0277124</t>
    <phoneticPr fontId="13"/>
  </si>
  <si>
    <t>S321V-0490475</t>
    <phoneticPr fontId="13"/>
  </si>
  <si>
    <t>JF1-1857185</t>
    <phoneticPr fontId="13"/>
  </si>
  <si>
    <t>BMW2ｼﾘｰｽﾞ 220 iｸｰﾍﾟ</t>
    <phoneticPr fontId="13"/>
  </si>
  <si>
    <t>WBA12CM0X08D71596</t>
    <phoneticPr fontId="13"/>
  </si>
  <si>
    <t>奈良 30X み 8888</t>
    <rPh sb="0" eb="2">
      <t>ナラ</t>
    </rPh>
    <phoneticPr fontId="13"/>
  </si>
  <si>
    <t>BMW I3 ﾚﾝｼﾞｴｸｽﾃﾝﾀﾞｰ</t>
    <phoneticPr fontId="13"/>
  </si>
  <si>
    <t>WBY8P420407G31877</t>
    <phoneticPr fontId="13"/>
  </si>
  <si>
    <t>ﾎﾞﾙﾎﾞ XC40 B4 ﾓｰﾒﾝﾀﾑ</t>
    <phoneticPr fontId="13"/>
  </si>
  <si>
    <t>YV1XZK9MDM2478059</t>
    <phoneticPr fontId="13"/>
  </si>
  <si>
    <t>ﾐﾗｲｰｽ X ﾘﾐﾃｯﾄﾞSA3</t>
    <phoneticPr fontId="13"/>
  </si>
  <si>
    <t>ﾊｲｾﾞｯﾄｶｰｺﾞ ｸﾙｰｽﾞ TB</t>
    <phoneticPr fontId="13"/>
  </si>
  <si>
    <t>A316315</t>
    <phoneticPr fontId="13"/>
  </si>
  <si>
    <t>CX8 25S ｽﾎﾟｰﾂｱﾋﾟｱﾗﾝｽ</t>
    <phoneticPr fontId="13"/>
  </si>
  <si>
    <t>KG5P-350217</t>
    <phoneticPr fontId="13"/>
  </si>
  <si>
    <t>A316280</t>
    <phoneticPr fontId="13"/>
  </si>
  <si>
    <t>ｽﾃｯﾌﾟﾜｺﾞﾝｽﾊﾟｰﾀﾞ</t>
    <phoneticPr fontId="13"/>
  </si>
  <si>
    <t>RP3-1246728</t>
    <phoneticPr fontId="13"/>
  </si>
  <si>
    <t>A315615</t>
    <phoneticPr fontId="13"/>
  </si>
  <si>
    <t>JB64W-183411</t>
    <phoneticPr fontId="13"/>
  </si>
  <si>
    <t>A316107</t>
    <phoneticPr fontId="13"/>
  </si>
  <si>
    <t>ﾀﾝﾄ L SA3</t>
    <phoneticPr fontId="13"/>
  </si>
  <si>
    <t>LA600S-0749376</t>
    <phoneticPr fontId="13"/>
  </si>
  <si>
    <t>B34A-0510133</t>
    <phoneticPr fontId="13"/>
  </si>
  <si>
    <t>品川 5X1 ろ 2660</t>
    <rPh sb="0" eb="2">
      <t>シナガワ</t>
    </rPh>
    <phoneticPr fontId="13"/>
  </si>
  <si>
    <t>株式会社ABT</t>
    <rPh sb="0" eb="4">
      <t>カブシキガイシャ</t>
    </rPh>
    <phoneticPr fontId="13"/>
  </si>
  <si>
    <t>映ｸﾗ株式会社</t>
    <rPh sb="0" eb="1">
      <t>エイ</t>
    </rPh>
    <rPh sb="3" eb="7">
      <t>カブシキガイシャ</t>
    </rPh>
    <phoneticPr fontId="13"/>
  </si>
  <si>
    <t>豊橋 584 ま 1225</t>
    <rPh sb="0" eb="2">
      <t>トヨハシ</t>
    </rPh>
    <phoneticPr fontId="13"/>
  </si>
  <si>
    <t>山崎 記美男</t>
    <rPh sb="0" eb="2">
      <t>ヤマザキ</t>
    </rPh>
    <rPh sb="3" eb="4">
      <t>キ</t>
    </rPh>
    <rPh sb="4" eb="6">
      <t>ビナン</t>
    </rPh>
    <phoneticPr fontId="13"/>
  </si>
  <si>
    <t>大阪 331 ち 1095</t>
    <rPh sb="0" eb="2">
      <t>オオサカ</t>
    </rPh>
    <phoneticPr fontId="13"/>
  </si>
  <si>
    <t>医療法人天紋会</t>
    <rPh sb="0" eb="4">
      <t>イリョウホウジン</t>
    </rPh>
    <rPh sb="4" eb="5">
      <t>アマ</t>
    </rPh>
    <rPh sb="5" eb="6">
      <t>モン</t>
    </rPh>
    <rPh sb="6" eb="7">
      <t>カイ</t>
    </rPh>
    <phoneticPr fontId="13"/>
  </si>
  <si>
    <t>和泉 301 に 3761</t>
    <rPh sb="0" eb="2">
      <t>イズミ</t>
    </rPh>
    <phoneticPr fontId="13"/>
  </si>
  <si>
    <t>寺田 秀人</t>
    <rPh sb="0" eb="2">
      <t>テラダ</t>
    </rPh>
    <rPh sb="3" eb="5">
      <t>ヒデト</t>
    </rPh>
    <phoneticPr fontId="13"/>
  </si>
  <si>
    <t>保証書 取説 ﾅﾋﾞ取 ﾏｲｸﾛ地図SD ｷｰﾚｽ ﾜﾝｵｰﾅｰ</t>
    <rPh sb="0" eb="3">
      <t>ホショウショ</t>
    </rPh>
    <rPh sb="4" eb="6">
      <t>トリセツ</t>
    </rPh>
    <rPh sb="10" eb="11">
      <t>トリ</t>
    </rPh>
    <rPh sb="16" eb="18">
      <t>チズ</t>
    </rPh>
    <phoneticPr fontId="13"/>
  </si>
  <si>
    <t>山口 584 ゆ 508</t>
    <rPh sb="0" eb="2">
      <t>ヤマグチ</t>
    </rPh>
    <phoneticPr fontId="13"/>
  </si>
  <si>
    <t>岡山 336 ら 3333</t>
    <rPh sb="0" eb="2">
      <t>オカヤマ</t>
    </rPh>
    <phoneticPr fontId="13"/>
  </si>
  <si>
    <t>藤原 祐大</t>
    <rPh sb="0" eb="2">
      <t>フジワラ</t>
    </rPh>
    <rPh sb="3" eb="4">
      <t>ユウ</t>
    </rPh>
    <rPh sb="4" eb="5">
      <t>ダイ</t>
    </rPh>
    <phoneticPr fontId="13"/>
  </si>
  <si>
    <t>ﾎﾞﾙﾎﾞ XC60 D4 ｸﾗｼｯｸ</t>
    <phoneticPr fontId="13"/>
  </si>
  <si>
    <t>抹消出品書類戻ってきた12/13</t>
    <rPh sb="0" eb="2">
      <t>マッショウ</t>
    </rPh>
    <rPh sb="2" eb="4">
      <t>シュッピン</t>
    </rPh>
    <rPh sb="4" eb="6">
      <t>ショルイ</t>
    </rPh>
    <rPh sb="6" eb="7">
      <t>モド</t>
    </rPh>
    <phoneticPr fontId="13"/>
  </si>
  <si>
    <t>27-2168</t>
  </si>
  <si>
    <t>高橋様</t>
    <rPh sb="0" eb="2">
      <t>タカハシ</t>
    </rPh>
    <rPh sb="2" eb="3">
      <t>サマ</t>
    </rPh>
    <phoneticPr fontId="13"/>
  </si>
  <si>
    <t>VW ｺﾞﾙﾌ</t>
    <phoneticPr fontId="13"/>
  </si>
  <si>
    <t>WVWZZZ1JZ3P065948</t>
    <phoneticPr fontId="13"/>
  </si>
  <si>
    <t>姫路 301 た 6515</t>
    <rPh sb="0" eb="2">
      <t>ヒメジ</t>
    </rPh>
    <phoneticPr fontId="13"/>
  </si>
  <si>
    <t>高橋 憲博</t>
    <rPh sb="0" eb="2">
      <t>タカハシ</t>
    </rPh>
    <rPh sb="3" eb="4">
      <t>ノリ</t>
    </rPh>
    <rPh sb="4" eb="5">
      <t>ヒロシ</t>
    </rPh>
    <phoneticPr fontId="13"/>
  </si>
  <si>
    <t>千葉 326 た 2369</t>
    <rPh sb="0" eb="2">
      <t>チバ</t>
    </rPh>
    <phoneticPr fontId="13"/>
  </si>
  <si>
    <t>千葉 326 た 1618</t>
    <rPh sb="0" eb="2">
      <t>チバ</t>
    </rPh>
    <phoneticPr fontId="13"/>
  </si>
  <si>
    <t>神戸 330 て 5084</t>
    <rPh sb="0" eb="2">
      <t>コウベ</t>
    </rPh>
    <phoneticPr fontId="13"/>
  </si>
  <si>
    <t>神戸 39A そ 3995</t>
    <rPh sb="0" eb="2">
      <t>コウベ</t>
    </rPh>
    <phoneticPr fontId="13"/>
  </si>
  <si>
    <t>千葉日産自動車株式会社</t>
    <rPh sb="0" eb="2">
      <t>チバ</t>
    </rPh>
    <rPh sb="2" eb="7">
      <t>ニッサンジドウシャ</t>
    </rPh>
    <rPh sb="7" eb="11">
      <t>カブシキガイシャ</t>
    </rPh>
    <phoneticPr fontId="13"/>
  </si>
  <si>
    <t>宮城 331 ろ 3511</t>
    <rPh sb="0" eb="2">
      <t>ミヤギ</t>
    </rPh>
    <phoneticPr fontId="13"/>
  </si>
  <si>
    <t>高橋 聖真</t>
    <rPh sb="0" eb="2">
      <t>タカハシ</t>
    </rPh>
    <rPh sb="3" eb="4">
      <t>セイ</t>
    </rPh>
    <rPh sb="4" eb="5">
      <t>マコト</t>
    </rPh>
    <phoneticPr fontId="13"/>
  </si>
  <si>
    <t>真直部 晴美</t>
    <rPh sb="0" eb="1">
      <t>マ</t>
    </rPh>
    <rPh sb="1" eb="2">
      <t>スナオ</t>
    </rPh>
    <rPh sb="2" eb="3">
      <t>ブ</t>
    </rPh>
    <rPh sb="4" eb="6">
      <t>ハルミ</t>
    </rPh>
    <phoneticPr fontId="13"/>
  </si>
  <si>
    <t>千葉 339 り 105</t>
    <rPh sb="0" eb="2">
      <t>チバ</t>
    </rPh>
    <phoneticPr fontId="13"/>
  </si>
  <si>
    <t>27-2169</t>
  </si>
  <si>
    <t>27-2170</t>
  </si>
  <si>
    <t>27-2171</t>
  </si>
  <si>
    <t>27-2172</t>
  </si>
  <si>
    <t>MOTA(商談)</t>
    <rPh sb="5" eb="7">
      <t>ショウダン</t>
    </rPh>
    <phoneticPr fontId="13"/>
  </si>
  <si>
    <t>CX60- XD Lﾊﾟｯｹｰｼﾞ</t>
    <phoneticPr fontId="13"/>
  </si>
  <si>
    <t>27-2173</t>
  </si>
  <si>
    <t>27-2174</t>
  </si>
  <si>
    <t>27-2175</t>
  </si>
  <si>
    <t>27-2176</t>
  </si>
  <si>
    <t>27-2177</t>
  </si>
  <si>
    <t>27-2178</t>
  </si>
  <si>
    <t>27-2179</t>
  </si>
  <si>
    <t>27-2180</t>
  </si>
  <si>
    <t>27-2181</t>
  </si>
  <si>
    <t>27-2182</t>
  </si>
  <si>
    <t>27-2183</t>
  </si>
  <si>
    <t>27-2184</t>
  </si>
  <si>
    <t>27-2185</t>
  </si>
  <si>
    <t>27-2186</t>
  </si>
  <si>
    <t>27-2187</t>
  </si>
  <si>
    <t>27-2188</t>
  </si>
  <si>
    <t>27-2189</t>
  </si>
  <si>
    <t>27-2190</t>
  </si>
  <si>
    <t>27-2191</t>
  </si>
  <si>
    <t>27-2192</t>
  </si>
  <si>
    <t>27-2193</t>
  </si>
  <si>
    <t>27-2194</t>
  </si>
  <si>
    <t>27-2195</t>
  </si>
  <si>
    <t>27-2196</t>
  </si>
  <si>
    <t>27-2197</t>
  </si>
  <si>
    <t>A315021</t>
    <phoneticPr fontId="13"/>
  </si>
  <si>
    <t>ｱｺｰﾄﾞ ﾊｲﾌﾞﾘｯﾄﾞ EX</t>
    <phoneticPr fontId="13"/>
  </si>
  <si>
    <t>CV3-1100341</t>
    <phoneticPr fontId="13"/>
  </si>
  <si>
    <t>VM4-082352</t>
    <phoneticPr fontId="13"/>
  </si>
  <si>
    <t>LA600S-0264550</t>
    <phoneticPr fontId="13"/>
  </si>
  <si>
    <t>ｳﾞｪﾙﾌｧｲｱ 2.5 Z G</t>
    <phoneticPr fontId="13"/>
  </si>
  <si>
    <t>AGH30-0023845</t>
    <phoneticPr fontId="13"/>
  </si>
  <si>
    <t xml:space="preserve">RAV4 G </t>
    <phoneticPr fontId="13"/>
  </si>
  <si>
    <t>MXAA54-4016259</t>
    <phoneticPr fontId="13"/>
  </si>
  <si>
    <t>ﾉｰﾄ ｵｰﾃｯｸ ｸﾛｽｵｰﾊﾞｰ</t>
    <phoneticPr fontId="13"/>
  </si>
  <si>
    <t>SNE13-185080</t>
    <phoneticPr fontId="13"/>
  </si>
  <si>
    <t>86 GT</t>
    <phoneticPr fontId="13"/>
  </si>
  <si>
    <t>ZN6-058062</t>
    <phoneticPr fontId="13"/>
  </si>
  <si>
    <t>ｴﾌﾞﾘｲﾜｺﾞﾝ PAﾘﾐﾃｯﾄﾞ</t>
    <phoneticPr fontId="13"/>
  </si>
  <si>
    <t>DA17V-664194</t>
    <phoneticPr fontId="13"/>
  </si>
  <si>
    <t>MK53S-331673</t>
    <phoneticPr fontId="13"/>
  </si>
  <si>
    <t>EKｽﾍﾟｰｽｶｽﾀﾑ</t>
    <phoneticPr fontId="13"/>
  </si>
  <si>
    <t>B11A-0211723</t>
    <phoneticPr fontId="13"/>
  </si>
  <si>
    <t>MX91S-157501</t>
    <phoneticPr fontId="13"/>
  </si>
  <si>
    <t>XC40 B4 ﾓﾒﾝﾀﾑ</t>
    <phoneticPr fontId="13"/>
  </si>
  <si>
    <t>YV1XZK9MDM2482472</t>
    <phoneticPr fontId="13"/>
  </si>
  <si>
    <t>VR7ECYHZRMJ563049</t>
    <phoneticPr fontId="13"/>
  </si>
  <si>
    <t>LA650S-1011495</t>
    <phoneticPr fontId="13"/>
  </si>
  <si>
    <t>MK53S-388786</t>
    <phoneticPr fontId="13"/>
  </si>
  <si>
    <t>ﾀﾝﾄｶｽﾀﾑ X ｽﾍﾟｼｬﾙ</t>
    <phoneticPr fontId="13"/>
  </si>
  <si>
    <t>L375S-0636732</t>
    <phoneticPr fontId="13"/>
  </si>
  <si>
    <t>8/8/27</t>
    <phoneticPr fontId="13"/>
  </si>
  <si>
    <t>8/12/12</t>
    <phoneticPr fontId="13"/>
  </si>
  <si>
    <t>8/9/28</t>
    <phoneticPr fontId="13"/>
  </si>
  <si>
    <t>8/1/21</t>
    <phoneticPr fontId="13"/>
  </si>
  <si>
    <t>ﾒﾀﾘｯｸｺｯﾊﾟｰ</t>
    <phoneticPr fontId="13"/>
  </si>
  <si>
    <t>8/12/22</t>
    <phoneticPr fontId="13"/>
  </si>
  <si>
    <t>ｼｴﾝﾀ ﾊｲﾌﾞﾘｯﾄﾞ G</t>
    <phoneticPr fontId="13"/>
  </si>
  <si>
    <t>MXPL10-1129530</t>
    <phoneticPr fontId="13"/>
  </si>
  <si>
    <t>8/4/18</t>
    <phoneticPr fontId="13"/>
  </si>
  <si>
    <t>香川 501 に 8798</t>
    <rPh sb="0" eb="2">
      <t>カガワ</t>
    </rPh>
    <phoneticPr fontId="13"/>
  </si>
  <si>
    <t>ﾌﾘｰﾄﾞ ﾓﾃﾞｭｰﾛX</t>
    <phoneticPr fontId="13"/>
  </si>
  <si>
    <t>GB5-8100068</t>
    <phoneticPr fontId="13"/>
  </si>
  <si>
    <t>ﾊﾟｯｿ ﾓｰﾀﾞ</t>
    <phoneticPr fontId="13"/>
  </si>
  <si>
    <t>M700A-0180941</t>
    <phoneticPr fontId="13"/>
  </si>
  <si>
    <t>ｼﾞﾑﾆｰｼｴﾗ JC</t>
    <phoneticPr fontId="13"/>
  </si>
  <si>
    <t>JB74W-199074</t>
    <phoneticPr fontId="13"/>
  </si>
  <si>
    <t>8/9/27</t>
    <phoneticPr fontId="13"/>
  </si>
  <si>
    <t>和泉 573 ぬ 33</t>
    <rPh sb="0" eb="2">
      <t>イズミ</t>
    </rPh>
    <phoneticPr fontId="13"/>
  </si>
  <si>
    <t>ﾌﾟﾘｳｽｱﾙﾌｧｰ S ﾂｰﾘﾝｸﾞｾﾚｸｼｮﾝ</t>
    <phoneticPr fontId="13"/>
  </si>
  <si>
    <t>ZVW41-0032713</t>
    <phoneticPr fontId="13"/>
  </si>
  <si>
    <t>神戸 303 ね 8859</t>
    <rPh sb="0" eb="2">
      <t>コウベ</t>
    </rPh>
    <phoneticPr fontId="13"/>
  </si>
  <si>
    <t>MXPK11-2107761</t>
    <phoneticPr fontId="13"/>
  </si>
  <si>
    <t>ﾏﾂﾀﾞ CX3 XDﾌﾟﾛｱｸﾃｨﾌﾞ</t>
    <phoneticPr fontId="13"/>
  </si>
  <si>
    <t>DK5FW-205325</t>
    <phoneticPr fontId="13"/>
  </si>
  <si>
    <t>香川 300 め 3038</t>
    <rPh sb="0" eb="2">
      <t>カガワ</t>
    </rPh>
    <phoneticPr fontId="13"/>
  </si>
  <si>
    <t>ﾑｰﾌﾞｷｬﾝﾊﾞｽ ﾌﾞﾗｯｸｲﾝﾃﾘｱﾘﾐﾃｯﾄﾞ</t>
    <phoneticPr fontId="13"/>
  </si>
  <si>
    <t>LA800S-0163505</t>
    <phoneticPr fontId="13"/>
  </si>
  <si>
    <t>高知 580 ひ 4453</t>
    <rPh sb="0" eb="2">
      <t>コウチ</t>
    </rPh>
    <phoneticPr fontId="13"/>
  </si>
  <si>
    <t>20/2</t>
    <phoneticPr fontId="13"/>
  </si>
  <si>
    <t>JB23W-535608</t>
    <phoneticPr fontId="13"/>
  </si>
  <si>
    <t>9/2/19</t>
    <phoneticPr fontId="13"/>
  </si>
  <si>
    <t>倉敷 580 ほ 4097</t>
    <rPh sb="0" eb="2">
      <t>クラシキ</t>
    </rPh>
    <phoneticPr fontId="13"/>
  </si>
  <si>
    <t xml:space="preserve">ﾀﾝﾄｶｽﾀﾑ X </t>
    <phoneticPr fontId="13"/>
  </si>
  <si>
    <t>LA600S-0413653</t>
    <phoneticPr fontId="13"/>
  </si>
  <si>
    <t>姫路 583 そ 5758</t>
    <rPh sb="0" eb="2">
      <t>ヒメジ</t>
    </rPh>
    <phoneticPr fontId="13"/>
  </si>
  <si>
    <t>WMWXU520602N40497</t>
    <phoneticPr fontId="13"/>
  </si>
  <si>
    <t>BMWﾐﾆ ｸｰﾊﾟｰ SD</t>
    <phoneticPr fontId="13"/>
  </si>
  <si>
    <t>WMWYU5203D56125</t>
    <phoneticPr fontId="13"/>
  </si>
  <si>
    <t>大阪 348 る 5115</t>
    <rPh sb="0" eb="2">
      <t>オオサカ</t>
    </rPh>
    <phoneticPr fontId="13"/>
  </si>
  <si>
    <t>WMWXU72080TN29958</t>
    <phoneticPr fontId="13"/>
  </si>
  <si>
    <t>BMWﾐﾆｸｰﾊﾟｰ ｻｻﾞｰｸ</t>
    <phoneticPr fontId="13"/>
  </si>
  <si>
    <t>WMWXS520702H51801</t>
    <phoneticPr fontId="13"/>
  </si>
  <si>
    <t>9/4/25</t>
    <phoneticPr fontId="13"/>
  </si>
  <si>
    <t>岡山 301 も 1801</t>
    <rPh sb="0" eb="2">
      <t>オカヤマ</t>
    </rPh>
    <phoneticPr fontId="13"/>
  </si>
  <si>
    <t>KH3P-105226</t>
    <phoneticPr fontId="13"/>
  </si>
  <si>
    <t>名古屋 58A ほ 6740</t>
    <rPh sb="0" eb="3">
      <t>ナゴヤ</t>
    </rPh>
    <phoneticPr fontId="13"/>
  </si>
  <si>
    <t>保証書 取説  ﾅﾋﾞ取</t>
    <rPh sb="0" eb="3">
      <t>ホショウショ</t>
    </rPh>
    <rPh sb="4" eb="6">
      <t>トリセツ</t>
    </rPh>
    <rPh sb="11" eb="12">
      <t>トリ</t>
    </rPh>
    <phoneticPr fontId="13"/>
  </si>
  <si>
    <t>保証書 取説 ﾅﾋﾞ取</t>
    <rPh sb="0" eb="2">
      <t>ホショウ</t>
    </rPh>
    <rPh sb="2" eb="3">
      <t>ショ</t>
    </rPh>
    <rPh sb="4" eb="6">
      <t>トリセツ</t>
    </rPh>
    <rPh sb="10" eb="11">
      <t>トリ</t>
    </rPh>
    <phoneticPr fontId="13"/>
  </si>
  <si>
    <t>名古屋 780 ろ 3586</t>
    <rPh sb="0" eb="3">
      <t>ナゴヤ</t>
    </rPh>
    <phoneticPr fontId="13"/>
  </si>
  <si>
    <t>福井 580 ぬ 5670</t>
    <rPh sb="0" eb="2">
      <t>フクイ</t>
    </rPh>
    <phoneticPr fontId="13"/>
  </si>
  <si>
    <t>福井ｽｽﾞｷ自動車販売株式会社</t>
    <rPh sb="0" eb="2">
      <t>フクイ</t>
    </rPh>
    <rPh sb="6" eb="15">
      <t>ジドウシャハンバイカブシキガイシャ</t>
    </rPh>
    <phoneticPr fontId="13"/>
  </si>
  <si>
    <t>大阪 303 た 507</t>
    <rPh sb="0" eb="2">
      <t>オオサカ</t>
    </rPh>
    <phoneticPr fontId="13"/>
  </si>
  <si>
    <t>井上 洋一</t>
    <rPh sb="0" eb="2">
      <t>イノウエ</t>
    </rPh>
    <rPh sb="3" eb="5">
      <t>ヨウイチ</t>
    </rPh>
    <phoneticPr fontId="13"/>
  </si>
  <si>
    <t>保証書 取説 ｷｰﾚｽ 充電ｹｰﾌﾞﾙ ﾜﾝｵｰﾅｰ</t>
    <rPh sb="0" eb="3">
      <t>ホショウショ</t>
    </rPh>
    <rPh sb="4" eb="6">
      <t>トリセツ</t>
    </rPh>
    <rPh sb="12" eb="14">
      <t>ジュウデン</t>
    </rPh>
    <phoneticPr fontId="13"/>
  </si>
  <si>
    <t>福岡 ｽﾊﾞﾙ株式会社</t>
    <rPh sb="0" eb="2">
      <t>フクオカ</t>
    </rPh>
    <rPh sb="7" eb="11">
      <t>カブシキガイシャ</t>
    </rPh>
    <phoneticPr fontId="13"/>
  </si>
  <si>
    <t>取説 ｽﾍﾟｱｷｰ(車内)</t>
    <rPh sb="0" eb="2">
      <t>トリセツ</t>
    </rPh>
    <rPh sb="10" eb="12">
      <t>シャナイ</t>
    </rPh>
    <phoneticPr fontId="13"/>
  </si>
  <si>
    <t>←付属品12/13発送</t>
    <rPh sb="1" eb="4">
      <t>フゾクヒン</t>
    </rPh>
    <rPh sb="9" eb="11">
      <t>ハッソウ</t>
    </rPh>
    <phoneticPr fontId="13"/>
  </si>
  <si>
    <t>大阪 324 は 77</t>
    <rPh sb="0" eb="2">
      <t>オオサカ</t>
    </rPh>
    <phoneticPr fontId="13"/>
  </si>
  <si>
    <t>Audi Volkswagen Retail japan株式会社</t>
    <rPh sb="23" eb="32">
      <t>JAPANカブシキガイシャ</t>
    </rPh>
    <phoneticPr fontId="13"/>
  </si>
  <si>
    <t>名古屋 308 せ 5719</t>
    <rPh sb="0" eb="3">
      <t>ナゴヤ</t>
    </rPh>
    <phoneticPr fontId="13"/>
  </si>
  <si>
    <t>福岡 338 ひ 621</t>
    <rPh sb="0" eb="2">
      <t>フクオカ</t>
    </rPh>
    <phoneticPr fontId="13"/>
  </si>
  <si>
    <t>富士自動車株式会社</t>
    <rPh sb="0" eb="2">
      <t>フジ</t>
    </rPh>
    <rPh sb="2" eb="9">
      <t>ジドウシャカブシキガイシャ</t>
    </rPh>
    <phoneticPr fontId="13"/>
  </si>
  <si>
    <t>豊田 330 な 1892</t>
    <rPh sb="0" eb="2">
      <t>トヨタ</t>
    </rPh>
    <phoneticPr fontId="13"/>
  </si>
  <si>
    <t>大人 郁也</t>
    <rPh sb="0" eb="2">
      <t>オトナ</t>
    </rPh>
    <rPh sb="3" eb="4">
      <t>イク</t>
    </rPh>
    <rPh sb="4" eb="5">
      <t>ヤ</t>
    </rPh>
    <phoneticPr fontId="13"/>
  </si>
  <si>
    <t>保証書 取説 SD ﾐﾆB-CAS ｷｰﾚｽ</t>
    <rPh sb="0" eb="3">
      <t>ホショウショ</t>
    </rPh>
    <rPh sb="4" eb="6">
      <t>トリセツ</t>
    </rPh>
    <phoneticPr fontId="13"/>
  </si>
  <si>
    <t>大宮 531 の 386</t>
    <rPh sb="0" eb="2">
      <t>オオミヤ</t>
    </rPh>
    <phoneticPr fontId="13"/>
  </si>
  <si>
    <t>株式会社ｽｽﾞｷ自販埼玉</t>
    <rPh sb="0" eb="4">
      <t>カブシキガイシャ</t>
    </rPh>
    <rPh sb="8" eb="10">
      <t>ジハン</t>
    </rPh>
    <rPh sb="10" eb="12">
      <t>サイタマ</t>
    </rPh>
    <phoneticPr fontId="13"/>
  </si>
  <si>
    <t>地図SD(車内)保証書 取説 ﾜﾝｵｰﾅｰ</t>
    <rPh sb="0" eb="2">
      <t>チズ</t>
    </rPh>
    <rPh sb="8" eb="11">
      <t>ホショウショ</t>
    </rPh>
    <rPh sb="12" eb="14">
      <t>トリセツ</t>
    </rPh>
    <phoneticPr fontId="13"/>
  </si>
  <si>
    <t>山口 376 た 11</t>
    <rPh sb="0" eb="2">
      <t>ヤマグチ</t>
    </rPh>
    <phoneticPr fontId="13"/>
  </si>
  <si>
    <t>山口ﾄﾖﾀ自動車株式会社</t>
    <rPh sb="0" eb="2">
      <t>ヤマグチ</t>
    </rPh>
    <rPh sb="5" eb="12">
      <t>ジドウシャカブシキガイシャ</t>
    </rPh>
    <phoneticPr fontId="13"/>
  </si>
  <si>
    <t>堺 342 り 1103</t>
    <rPh sb="0" eb="1">
      <t>サカイ</t>
    </rPh>
    <phoneticPr fontId="13"/>
  </si>
  <si>
    <t>小野田 遼</t>
    <rPh sb="0" eb="3">
      <t>オノダ</t>
    </rPh>
    <rPh sb="4" eb="5">
      <t>リョウ</t>
    </rPh>
    <phoneticPr fontId="13"/>
  </si>
  <si>
    <t>神戸 303 や 8676</t>
    <rPh sb="0" eb="2">
      <t>コウベ</t>
    </rPh>
    <phoneticPr fontId="13"/>
  </si>
  <si>
    <t>新村 隆徳</t>
    <rPh sb="0" eb="2">
      <t>ニイムラ</t>
    </rPh>
    <rPh sb="3" eb="4">
      <t>タカシ</t>
    </rPh>
    <rPh sb="4" eb="5">
      <t>トク</t>
    </rPh>
    <phoneticPr fontId="13"/>
  </si>
  <si>
    <t>大阪 303 や 9797</t>
    <rPh sb="0" eb="2">
      <t>オオサカ</t>
    </rPh>
    <phoneticPr fontId="13"/>
  </si>
  <si>
    <t>太田 和尚</t>
    <rPh sb="0" eb="2">
      <t>オオタ</t>
    </rPh>
    <rPh sb="3" eb="5">
      <t>カズナオ</t>
    </rPh>
    <phoneticPr fontId="13"/>
  </si>
  <si>
    <t>保証書 取説 ｷｰﾚｽ2個 ﾘﾓｺﾝ</t>
    <rPh sb="0" eb="3">
      <t>ホショウショ</t>
    </rPh>
    <rPh sb="4" eb="6">
      <t>トリセツ</t>
    </rPh>
    <rPh sb="12" eb="13">
      <t>コ</t>
    </rPh>
    <phoneticPr fontId="13"/>
  </si>
  <si>
    <t>岡山 400 な 5818</t>
    <rPh sb="0" eb="2">
      <t>オカヤマ</t>
    </rPh>
    <phoneticPr fontId="13"/>
  </si>
  <si>
    <t>広島 583 か 3505</t>
    <rPh sb="0" eb="2">
      <t>ヒロシマ</t>
    </rPh>
    <phoneticPr fontId="13"/>
  </si>
  <si>
    <t>広島 584 こ 1783</t>
    <rPh sb="0" eb="2">
      <t>ヒロシマ</t>
    </rPh>
    <phoneticPr fontId="13"/>
  </si>
  <si>
    <t>堺 586 ろ 3905</t>
    <rPh sb="0" eb="1">
      <t>サカイ</t>
    </rPh>
    <phoneticPr fontId="13"/>
  </si>
  <si>
    <t>江東 580 ろ 1011</t>
    <rPh sb="0" eb="2">
      <t>エトウ</t>
    </rPh>
    <phoneticPr fontId="13"/>
  </si>
  <si>
    <t>京都 581 せ 7194</t>
    <rPh sb="0" eb="2">
      <t>キョウト</t>
    </rPh>
    <phoneticPr fontId="13"/>
  </si>
  <si>
    <t>株式会社宇治ﾏｲｶｰﾗﾝﾄﾞ</t>
    <rPh sb="0" eb="4">
      <t>カブシキガイシャ</t>
    </rPh>
    <rPh sb="4" eb="6">
      <t>ウジ</t>
    </rPh>
    <phoneticPr fontId="13"/>
  </si>
  <si>
    <t>なにわ 691 ろ 1903</t>
    <phoneticPr fontId="13"/>
  </si>
  <si>
    <t>ｲﾜｻｷ自動車販売株式会社</t>
    <rPh sb="4" eb="13">
      <t>ジドウシャハンバイカブシキガイシャ</t>
    </rPh>
    <phoneticPr fontId="13"/>
  </si>
  <si>
    <t>株式会社青木建設</t>
    <rPh sb="0" eb="4">
      <t>カブシキガイシャ</t>
    </rPh>
    <rPh sb="4" eb="6">
      <t>アオキ</t>
    </rPh>
    <rPh sb="6" eb="8">
      <t>ケンセツ</t>
    </rPh>
    <phoneticPr fontId="13"/>
  </si>
  <si>
    <t>ﾙﾉｰ ﾄｩｲﾝｺﾞ ｲﾝﾃﾘﾝｽ ﾘﾐﾃｯﾄﾞ</t>
    <phoneticPr fontId="13"/>
  </si>
  <si>
    <t>VF1AH0006M0821671</t>
    <phoneticPr fontId="13"/>
  </si>
  <si>
    <t>8/6/24</t>
    <phoneticPr fontId="13"/>
  </si>
  <si>
    <t>山口 530 ね 1837</t>
    <rPh sb="0" eb="2">
      <t>ヤマグチ</t>
    </rPh>
    <phoneticPr fontId="13"/>
  </si>
  <si>
    <t>ｶﾛｰﾗﾌｨｰﾙﾀﾞｰ EX</t>
    <phoneticPr fontId="13"/>
  </si>
  <si>
    <t>NRE161-0109631</t>
    <phoneticPr fontId="13"/>
  </si>
  <si>
    <t>8/12/10</t>
    <phoneticPr fontId="13"/>
  </si>
  <si>
    <t>神戸 504 ゆ 8130</t>
    <rPh sb="0" eb="2">
      <t>コウベ</t>
    </rPh>
    <phoneticPr fontId="13"/>
  </si>
  <si>
    <t>LA600S-0695544</t>
    <phoneticPr fontId="13"/>
  </si>
  <si>
    <t>DR17W-250337</t>
    <phoneticPr fontId="13"/>
  </si>
  <si>
    <t>VF3M45GFRKL065213</t>
    <phoneticPr fontId="13"/>
  </si>
  <si>
    <t>ﾌｨｱｯﾄ500X ｲﾝﾃﾞｨｺ</t>
    <phoneticPr fontId="13"/>
  </si>
  <si>
    <t>ZFA3340000P870615</t>
    <phoneticPr fontId="13"/>
  </si>
  <si>
    <t>なにわ 342 み 126</t>
    <phoneticPr fontId="13"/>
  </si>
  <si>
    <t>ﾎﾞﾙﾎﾞ V60 D4</t>
    <phoneticPr fontId="13"/>
  </si>
  <si>
    <t>YV1FWABRDH1345235</t>
    <phoneticPr fontId="13"/>
  </si>
  <si>
    <t>WVGZZZA1ZLV159899</t>
    <phoneticPr fontId="13"/>
  </si>
  <si>
    <t>WMWXV320202N87057</t>
    <phoneticPr fontId="13"/>
  </si>
  <si>
    <t>WMWXM720803C11762</t>
    <phoneticPr fontId="13"/>
  </si>
  <si>
    <t>鹿児島 580 め 4782</t>
    <rPh sb="0" eb="3">
      <t>カゴシマ</t>
    </rPh>
    <phoneticPr fontId="13"/>
  </si>
  <si>
    <t>日立ｷｬﾋﾟﾀﾙ株式会社</t>
    <rPh sb="0" eb="2">
      <t>ヒタチ</t>
    </rPh>
    <rPh sb="8" eb="12">
      <t>カブシキガイシャ</t>
    </rPh>
    <phoneticPr fontId="13"/>
  </si>
  <si>
    <t>八王子 583 き 772</t>
    <rPh sb="0" eb="3">
      <t>ハチオウジ</t>
    </rPh>
    <phoneticPr fontId="13"/>
  </si>
  <si>
    <t>日産東京販売株式会社</t>
    <rPh sb="0" eb="2">
      <t>ニッサン</t>
    </rPh>
    <rPh sb="2" eb="4">
      <t>トウキョウ</t>
    </rPh>
    <rPh sb="4" eb="10">
      <t>ハンバイカブシキガイシャ</t>
    </rPh>
    <phoneticPr fontId="13"/>
  </si>
  <si>
    <t>鳥取 501 す 6567</t>
    <rPh sb="0" eb="2">
      <t>トットリ</t>
    </rPh>
    <phoneticPr fontId="13"/>
  </si>
  <si>
    <t>日本海三菱自動車販売株式会社</t>
    <rPh sb="0" eb="3">
      <t>ニホンカイ</t>
    </rPh>
    <rPh sb="3" eb="5">
      <t>ミツビシ</t>
    </rPh>
    <rPh sb="5" eb="14">
      <t>ジドウシャハンバイカブシキガイシャ</t>
    </rPh>
    <phoneticPr fontId="13"/>
  </si>
  <si>
    <t>保証書 取説 ﾅﾋﾞ取 ｽﾍﾟｱｷｰ ﾏｲｸﾛSD</t>
    <rPh sb="0" eb="3">
      <t>ホショウショ</t>
    </rPh>
    <rPh sb="4" eb="6">
      <t>トリセツ</t>
    </rPh>
    <rPh sb="10" eb="11">
      <t>トリ</t>
    </rPh>
    <phoneticPr fontId="13"/>
  </si>
  <si>
    <t>なにわ 595 つ 358</t>
    <phoneticPr fontId="13"/>
  </si>
  <si>
    <t>三共自動車株式会社</t>
    <rPh sb="0" eb="2">
      <t>サンキョウ</t>
    </rPh>
    <rPh sb="2" eb="9">
      <t>ジドウシャカブシキガイシャ</t>
    </rPh>
    <phoneticPr fontId="13"/>
  </si>
  <si>
    <t>神戸 331 す 2901</t>
    <rPh sb="0" eb="2">
      <t>コウベ</t>
    </rPh>
    <phoneticPr fontId="13"/>
  </si>
  <si>
    <t>京都 388 ろ 1212</t>
    <rPh sb="0" eb="2">
      <t>キョウト</t>
    </rPh>
    <phoneticPr fontId="13"/>
  </si>
  <si>
    <t>名古屋 326 む 1058</t>
    <rPh sb="0" eb="3">
      <t>ナゴヤ</t>
    </rPh>
    <phoneticPr fontId="13"/>
  </si>
  <si>
    <t>滋賀 346 と 1107</t>
    <rPh sb="0" eb="2">
      <t>シガ</t>
    </rPh>
    <phoneticPr fontId="13"/>
  </si>
  <si>
    <t>滋賀ﾎﾝﾀﾞ販売株式会社</t>
    <rPh sb="0" eb="2">
      <t>シガ</t>
    </rPh>
    <rPh sb="6" eb="8">
      <t>ハンバイ</t>
    </rPh>
    <rPh sb="8" eb="12">
      <t>カブシキガイシャ</t>
    </rPh>
    <phoneticPr fontId="13"/>
  </si>
  <si>
    <t>ZFA3120000JE82713</t>
    <phoneticPr fontId="13"/>
  </si>
  <si>
    <t>福山 530 ひ 6767</t>
    <rPh sb="0" eb="2">
      <t>フクヤマ</t>
    </rPh>
    <phoneticPr fontId="13"/>
  </si>
  <si>
    <t>ZFA3120000JB46364</t>
    <phoneticPr fontId="13"/>
  </si>
  <si>
    <t>株式会社ﾎﾝﾀﾞﾍﾞﾙﾉ福井</t>
    <rPh sb="0" eb="4">
      <t>カブシキガイシャ</t>
    </rPh>
    <rPh sb="12" eb="14">
      <t>フクイ</t>
    </rPh>
    <phoneticPr fontId="13"/>
  </si>
  <si>
    <t>なにわ 583 う 1400</t>
    <phoneticPr fontId="13"/>
  </si>
  <si>
    <t>株式会社関西ﾏﾂﾀﾞ</t>
    <rPh sb="0" eb="4">
      <t>カブシキガイシャ</t>
    </rPh>
    <rPh sb="4" eb="6">
      <t>カンサイ</t>
    </rPh>
    <phoneticPr fontId="13"/>
  </si>
  <si>
    <t>尾張小牧 503 な 9640</t>
    <rPh sb="0" eb="4">
      <t>オワリコマキ</t>
    </rPh>
    <phoneticPr fontId="13"/>
  </si>
  <si>
    <t>岡山 581 よ 2805</t>
    <rPh sb="0" eb="2">
      <t>オカヤマ</t>
    </rPh>
    <phoneticPr fontId="13"/>
  </si>
  <si>
    <t>名古屋 599 ろ 3749</t>
    <rPh sb="0" eb="3">
      <t>ナゴヤ</t>
    </rPh>
    <phoneticPr fontId="13"/>
  </si>
  <si>
    <t>京都 503 す 7746</t>
    <rPh sb="0" eb="2">
      <t>キョウト</t>
    </rPh>
    <phoneticPr fontId="13"/>
  </si>
  <si>
    <t>小林 明史</t>
    <rPh sb="0" eb="2">
      <t>コバヤシ</t>
    </rPh>
    <rPh sb="3" eb="4">
      <t>アキラ</t>
    </rPh>
    <rPh sb="4" eb="5">
      <t>シ</t>
    </rPh>
    <phoneticPr fontId="13"/>
  </si>
  <si>
    <t>保証書 取説 ﾅﾋﾞ取 ﾐﾆB-CAS</t>
    <rPh sb="0" eb="3">
      <t>ホショウショ</t>
    </rPh>
    <rPh sb="4" eb="6">
      <t>トリセツ</t>
    </rPh>
    <rPh sb="10" eb="11">
      <t>トリ</t>
    </rPh>
    <phoneticPr fontId="13"/>
  </si>
  <si>
    <t>日産ﾌﾟﾘﾝｽ兵庫販売株式会社</t>
    <rPh sb="0" eb="2">
      <t>ニッサン</t>
    </rPh>
    <rPh sb="7" eb="9">
      <t>ヒョウゴ</t>
    </rPh>
    <rPh sb="9" eb="15">
      <t>ハンバイカブシキガイシャ</t>
    </rPh>
    <phoneticPr fontId="13"/>
  </si>
  <si>
    <t>加藤 晃久</t>
    <rPh sb="0" eb="2">
      <t>カトウ</t>
    </rPh>
    <rPh sb="3" eb="5">
      <t>アキヒサ</t>
    </rPh>
    <phoneticPr fontId="13"/>
  </si>
  <si>
    <t>徳田 明之</t>
    <rPh sb="0" eb="2">
      <t>トクダ</t>
    </rPh>
    <rPh sb="3" eb="4">
      <t>アキ</t>
    </rPh>
    <rPh sb="4" eb="5">
      <t>ユキ</t>
    </rPh>
    <phoneticPr fontId="13"/>
  </si>
  <si>
    <t>栗田 忠勝</t>
    <rPh sb="0" eb="2">
      <t>クリタ</t>
    </rPh>
    <rPh sb="3" eb="5">
      <t>タダカツ</t>
    </rPh>
    <phoneticPr fontId="13"/>
  </si>
  <si>
    <t>八王子 301 な 1064</t>
    <rPh sb="0" eb="3">
      <t>ハチオウジ</t>
    </rPh>
    <phoneticPr fontId="13"/>
  </si>
  <si>
    <t>株式会社ﾃｨｰｼｰｴｽ</t>
    <rPh sb="0" eb="4">
      <t>カブシキガイシャ</t>
    </rPh>
    <phoneticPr fontId="13"/>
  </si>
  <si>
    <t>WMWXS52010T825821</t>
    <phoneticPr fontId="13"/>
  </si>
  <si>
    <t>27-2198</t>
  </si>
  <si>
    <t>27-2199</t>
  </si>
  <si>
    <t>27-2200</t>
  </si>
  <si>
    <t>27-2201</t>
  </si>
  <si>
    <t>27-2202</t>
  </si>
  <si>
    <t>27-2203</t>
  </si>
  <si>
    <t>27-2204</t>
  </si>
  <si>
    <t>27-2205</t>
  </si>
  <si>
    <t>27-2206</t>
  </si>
  <si>
    <t>27-2207</t>
  </si>
  <si>
    <t>27-2208</t>
  </si>
  <si>
    <t>27-2209</t>
  </si>
  <si>
    <t>27-2210</t>
  </si>
  <si>
    <t>27-2211</t>
  </si>
  <si>
    <t>27-2212</t>
  </si>
  <si>
    <t>27-2213</t>
  </si>
  <si>
    <t>27-2214</t>
  </si>
  <si>
    <t>27-2215</t>
  </si>
  <si>
    <t>27-2216</t>
  </si>
  <si>
    <t>27-2217</t>
  </si>
  <si>
    <t>27-2218</t>
  </si>
  <si>
    <t>27-2219</t>
  </si>
  <si>
    <t>27-2220</t>
  </si>
  <si>
    <t>27-2221</t>
  </si>
  <si>
    <t>27-2222</t>
  </si>
  <si>
    <t>MXPJ10-3109988</t>
    <phoneticPr fontId="13"/>
  </si>
  <si>
    <t>8/10/19</t>
    <phoneticPr fontId="13"/>
  </si>
  <si>
    <t>奈良 347 ね 8778</t>
    <rPh sb="0" eb="2">
      <t>ナラ</t>
    </rPh>
    <phoneticPr fontId="13"/>
  </si>
  <si>
    <t>ﾒﾙｾﾃﾞｽﾍﾞﾝﾂ C 200</t>
    <phoneticPr fontId="13"/>
  </si>
  <si>
    <t>W1K2050772R581573</t>
    <phoneticPr fontId="13"/>
  </si>
  <si>
    <t>27-2223</t>
  </si>
  <si>
    <t>WMWXU72050TR63125</t>
    <phoneticPr fontId="13"/>
  </si>
  <si>
    <t>WMW72BB0002N88565</t>
    <phoneticPr fontId="13"/>
  </si>
  <si>
    <t>ﾚﾈｹﾞｰﾄ ﾄﾚｲﾙﾎｰｸ</t>
    <phoneticPr fontId="13"/>
  </si>
  <si>
    <t>ﾌｨｱｯﾄ500 1.2 ﾄﾞﾙﾁｪｳﾞｨｰﾀ</t>
    <phoneticPr fontId="13"/>
  </si>
  <si>
    <t>ZFABF1CG0NJG68205</t>
    <phoneticPr fontId="13"/>
  </si>
  <si>
    <t>石川 532 ゆ 305</t>
    <rPh sb="0" eb="2">
      <t>イシカワ</t>
    </rPh>
    <phoneticPr fontId="13"/>
  </si>
  <si>
    <t>ZFA3120000JB36106</t>
    <phoneticPr fontId="13"/>
  </si>
  <si>
    <t>静岡 534 て 2323</t>
    <rPh sb="0" eb="2">
      <t>シズオカ</t>
    </rPh>
    <phoneticPr fontId="13"/>
  </si>
  <si>
    <t>香川 300 み 821</t>
    <rPh sb="0" eb="2">
      <t>カガワ</t>
    </rPh>
    <phoneticPr fontId="13"/>
  </si>
  <si>
    <t>582 い 6684</t>
    <phoneticPr fontId="13"/>
  </si>
  <si>
    <t>589 て 1107</t>
    <phoneticPr fontId="13"/>
  </si>
  <si>
    <t>301 ね 5011</t>
    <phoneticPr fontId="13"/>
  </si>
  <si>
    <t>地図SD(車内)保証書　取説　Sｷｰ</t>
    <rPh sb="0" eb="2">
      <t>チズ</t>
    </rPh>
    <rPh sb="8" eb="11">
      <t>ホショウショ</t>
    </rPh>
    <rPh sb="12" eb="14">
      <t>トリセツ</t>
    </rPh>
    <phoneticPr fontId="13"/>
  </si>
  <si>
    <t>ｽﾍﾟｱｷｰ(車内)保証書 取説</t>
    <rPh sb="10" eb="13">
      <t>ホショウショ</t>
    </rPh>
    <rPh sb="14" eb="16">
      <t>トリセツ</t>
    </rPh>
    <phoneticPr fontId="13"/>
  </si>
  <si>
    <t>ｷｰﾚｽ(車内)保証書 SIMカード</t>
    <rPh sb="8" eb="11">
      <t>ホショウショ</t>
    </rPh>
    <phoneticPr fontId="13"/>
  </si>
  <si>
    <t>地図SD(車内)保証書 取説 ｷｰﾚｽ ﾜﾝｵｰﾅｰ</t>
    <rPh sb="0" eb="2">
      <t>チズ</t>
    </rPh>
    <rPh sb="8" eb="11">
      <t>ホショウショ</t>
    </rPh>
    <rPh sb="12" eb="14">
      <t>トリセツ</t>
    </rPh>
    <phoneticPr fontId="13"/>
  </si>
  <si>
    <t>取説 ｷｰﾚｽ(車内)保証書 ﾏｲｸﾛSD</t>
    <rPh sb="0" eb="2">
      <t>トリセツ</t>
    </rPh>
    <rPh sb="11" eb="14">
      <t>ホショウショ</t>
    </rPh>
    <phoneticPr fontId="13"/>
  </si>
  <si>
    <t>保証書 取説(車内)ｷｰﾚｽ</t>
    <rPh sb="0" eb="3">
      <t>ホショウショ</t>
    </rPh>
    <rPh sb="4" eb="6">
      <t>トリセツ</t>
    </rPh>
    <phoneticPr fontId="13"/>
  </si>
  <si>
    <t>ｷｬﾝｾﾙ書類返送12/16</t>
    <rPh sb="5" eb="7">
      <t>ショルイ</t>
    </rPh>
    <rPh sb="7" eb="9">
      <t>ヘンソウ</t>
    </rPh>
    <phoneticPr fontId="13"/>
  </si>
  <si>
    <t>品番；NSZN-W68D</t>
    <rPh sb="0" eb="2">
      <t>ヒンバン</t>
    </rPh>
    <phoneticPr fontId="13"/>
  </si>
  <si>
    <t>品番；AVN-SZX04i</t>
    <rPh sb="0" eb="2">
      <t>ヒンバン</t>
    </rPh>
    <phoneticPr fontId="13"/>
  </si>
  <si>
    <t>品番；CN-RE04WD</t>
    <rPh sb="0" eb="2">
      <t>ヒンバン</t>
    </rPh>
    <phoneticPr fontId="13"/>
  </si>
  <si>
    <t>品番；NSCN-W68</t>
    <rPh sb="0" eb="2">
      <t>ヒンバン</t>
    </rPh>
    <phoneticPr fontId="13"/>
  </si>
  <si>
    <t xml:space="preserve">地図SD写メあり上がってきてない ｽﾍﾟｱｷｰ </t>
    <rPh sb="0" eb="2">
      <t>チズ</t>
    </rPh>
    <rPh sb="4" eb="5">
      <t>シャ</t>
    </rPh>
    <rPh sb="8" eb="9">
      <t>ア</t>
    </rPh>
    <phoneticPr fontId="13"/>
  </si>
  <si>
    <t xml:space="preserve"> 地図SD写メあり上がってきてない 保証書 取説</t>
    <rPh sb="1" eb="3">
      <t>チズ</t>
    </rPh>
    <rPh sb="5" eb="6">
      <t>シャ</t>
    </rPh>
    <rPh sb="9" eb="10">
      <t>ア</t>
    </rPh>
    <rPh sb="18" eb="21">
      <t>ホショウショ</t>
    </rPh>
    <rPh sb="22" eb="24">
      <t>トリセツ</t>
    </rPh>
    <phoneticPr fontId="13"/>
  </si>
  <si>
    <t>春日部 581 え 8881</t>
    <rPh sb="0" eb="3">
      <t>カスカベ</t>
    </rPh>
    <phoneticPr fontId="13"/>
  </si>
  <si>
    <t>長野 拓夢</t>
    <rPh sb="0" eb="2">
      <t>ナガノ</t>
    </rPh>
    <rPh sb="3" eb="5">
      <t>タクム</t>
    </rPh>
    <phoneticPr fontId="13"/>
  </si>
  <si>
    <r>
      <t xml:space="preserve">保証書 取説 ﾅﾋﾞ取 </t>
    </r>
    <r>
      <rPr>
        <sz val="11"/>
        <color rgb="FFFF0000"/>
        <rFont val="ＭＳ Ｐゴシック"/>
        <family val="3"/>
        <charset val="128"/>
        <scheme val="minor"/>
      </rPr>
      <t>車検証原本未着</t>
    </r>
    <rPh sb="0" eb="3">
      <t>ホショウショ</t>
    </rPh>
    <rPh sb="4" eb="6">
      <t>トリセツ</t>
    </rPh>
    <rPh sb="10" eb="11">
      <t>トリ</t>
    </rPh>
    <rPh sb="12" eb="17">
      <t>シャケンショウゲンポン</t>
    </rPh>
    <rPh sb="17" eb="19">
      <t>ミチャク</t>
    </rPh>
    <phoneticPr fontId="13"/>
  </si>
  <si>
    <t>品川 584 う 6</t>
    <rPh sb="0" eb="2">
      <t>シナガワ</t>
    </rPh>
    <phoneticPr fontId="13"/>
  </si>
  <si>
    <t>株式会社三益</t>
    <rPh sb="0" eb="4">
      <t>カブシキガイシャ</t>
    </rPh>
    <rPh sb="4" eb="6">
      <t>サンエキ</t>
    </rPh>
    <phoneticPr fontId="13"/>
  </si>
  <si>
    <t>熊谷 588 る 214</t>
    <rPh sb="0" eb="2">
      <t>クマガヤ</t>
    </rPh>
    <phoneticPr fontId="13"/>
  </si>
  <si>
    <t>小沼 啓一</t>
    <rPh sb="0" eb="2">
      <t>コヌマ</t>
    </rPh>
    <rPh sb="3" eb="5">
      <t>ケイイチ</t>
    </rPh>
    <phoneticPr fontId="13"/>
  </si>
  <si>
    <t>旧27-1708</t>
    <rPh sb="0" eb="1">
      <t>キュウ</t>
    </rPh>
    <phoneticPr fontId="13"/>
  </si>
  <si>
    <t>27-2224</t>
  </si>
  <si>
    <t>27-2225</t>
  </si>
  <si>
    <t>27-2226</t>
  </si>
  <si>
    <t>27-2227</t>
  </si>
  <si>
    <t>27-2228</t>
  </si>
  <si>
    <t>27-2229</t>
  </si>
  <si>
    <t>27-2230</t>
  </si>
  <si>
    <t>LA550S-0020497</t>
    <phoneticPr fontId="13"/>
  </si>
  <si>
    <t>27-2231</t>
  </si>
  <si>
    <t>27-2232</t>
  </si>
  <si>
    <t>MXPK11-2115877</t>
    <phoneticPr fontId="13"/>
  </si>
  <si>
    <t>ﾐﾗﾄｺｯﾄ G SA3</t>
    <phoneticPr fontId="13"/>
  </si>
  <si>
    <t>27-2233</t>
  </si>
  <si>
    <t>27-2234</t>
  </si>
  <si>
    <t>27-2235</t>
  </si>
  <si>
    <t>27-2236</t>
  </si>
  <si>
    <t>27-2237</t>
  </si>
  <si>
    <t>A316677</t>
    <phoneticPr fontId="13"/>
  </si>
  <si>
    <t>TRJ150-0112511</t>
    <phoneticPr fontId="13"/>
  </si>
  <si>
    <t>A316634</t>
    <phoneticPr fontId="13"/>
  </si>
  <si>
    <t>T32-555264</t>
    <phoneticPr fontId="13"/>
  </si>
  <si>
    <t>A316678</t>
    <phoneticPr fontId="13"/>
  </si>
  <si>
    <t>GDH201-1052886</t>
    <phoneticPr fontId="13"/>
  </si>
  <si>
    <t>A316321</t>
    <phoneticPr fontId="13"/>
  </si>
  <si>
    <t>ﾚｸｻｽ GS F</t>
    <phoneticPr fontId="13"/>
  </si>
  <si>
    <t>URL10-0001287</t>
    <phoneticPr fontId="13"/>
  </si>
  <si>
    <t>A315903</t>
    <phoneticPr fontId="13"/>
  </si>
  <si>
    <t>AGH30-0362494</t>
    <phoneticPr fontId="13"/>
  </si>
  <si>
    <t>27-2238</t>
  </si>
  <si>
    <t>A316301</t>
    <phoneticPr fontId="13"/>
  </si>
  <si>
    <t>TRJ150-0130617</t>
    <phoneticPr fontId="13"/>
  </si>
  <si>
    <t>ﾌｨｱｯﾄ500 1.2 ドルチェ</t>
    <phoneticPr fontId="13"/>
  </si>
  <si>
    <t>ZFABF1CG2NJG67699</t>
    <phoneticPr fontId="13"/>
  </si>
  <si>
    <t>ﾗﾝﾄﾞｸﾙｰｻﾞｰﾌﾟﾗﾄﾞ TX Lﾊﾟｯｹｰｼﾞ</t>
    <phoneticPr fontId="13"/>
  </si>
  <si>
    <t>9/4/29</t>
    <phoneticPr fontId="13"/>
  </si>
  <si>
    <t>ｴｸｽﾄﾚｲﾙ 20X i</t>
    <phoneticPr fontId="13"/>
  </si>
  <si>
    <t>ﾊｲｴｰｽﾊﾞﾝ ｽｰﾊﾟｰGL ﾀﾞｰｸﾌﾟﾗｲﾑ2</t>
    <phoneticPr fontId="13"/>
  </si>
  <si>
    <t>7/12/27</t>
    <phoneticPr fontId="13"/>
  </si>
  <si>
    <t>ｱﾙﾌｧｰﾄﾞ 2.5 SC ﾊﾟｯｹｰｼﾞ</t>
    <phoneticPr fontId="13"/>
  </si>
  <si>
    <t>8/7/4</t>
    <phoneticPr fontId="13"/>
  </si>
  <si>
    <t>ｽﾍﾟｰｽｶｽﾀﾑ ﾊｲﾌﾞﾘｯﾄﾞ XS</t>
    <phoneticPr fontId="13"/>
  </si>
  <si>
    <t>MK53S-749997</t>
    <phoneticPr fontId="13"/>
  </si>
  <si>
    <t>大阪 582 あ 7971</t>
    <rPh sb="0" eb="2">
      <t>オオサカ</t>
    </rPh>
    <phoneticPr fontId="13"/>
  </si>
  <si>
    <t>LA400K-0046040</t>
    <phoneticPr fontId="13"/>
  </si>
  <si>
    <t>LA600S-0607842</t>
    <phoneticPr fontId="13"/>
  </si>
  <si>
    <t>大阪 581 ね 3209</t>
    <rPh sb="0" eb="2">
      <t>オオサカ</t>
    </rPh>
    <phoneticPr fontId="13"/>
  </si>
  <si>
    <t>MX91S-138481</t>
    <phoneticPr fontId="13"/>
  </si>
  <si>
    <t>ﾌﾟﾘｳｽｱﾙﾌｧｰ G ﾂｰﾘﾝｸﾞｾﾚｸｼｮﾝ</t>
    <phoneticPr fontId="13"/>
  </si>
  <si>
    <t>ZVW41-0079442</t>
    <phoneticPr fontId="13"/>
  </si>
  <si>
    <t>US神戸995回5036売ｷｬﾝｾﾙ書類戻り12/16</t>
    <rPh sb="2" eb="4">
      <t>コウベ</t>
    </rPh>
    <rPh sb="7" eb="8">
      <t>カイ</t>
    </rPh>
    <rPh sb="12" eb="13">
      <t>ウ</t>
    </rPh>
    <rPh sb="18" eb="20">
      <t>ショルイ</t>
    </rPh>
    <rPh sb="20" eb="21">
      <t>モド</t>
    </rPh>
    <phoneticPr fontId="13"/>
  </si>
  <si>
    <t>ｷｬﾝｾﾙ書類返送12/16</t>
    <rPh sb="5" eb="9">
      <t>ショルイヘンソウ</t>
    </rPh>
    <phoneticPr fontId="13"/>
  </si>
  <si>
    <t>BMW X1 xdrive 18d</t>
    <phoneticPr fontId="13"/>
  </si>
  <si>
    <t xml:space="preserve"> WBAHT920605J63733</t>
    <phoneticPr fontId="13"/>
  </si>
  <si>
    <t>VW ｻﾞﾋﾞｰﾄﾙ ﾃﾞｻﾞｲﾝﾏｲｽﾀｰ</t>
    <phoneticPr fontId="13"/>
  </si>
  <si>
    <t>WVWZZZ16ZKM704719</t>
    <phoneticPr fontId="13"/>
  </si>
  <si>
    <t>WMWXM520903B54203</t>
    <phoneticPr fontId="13"/>
  </si>
  <si>
    <t>ｶﾛｰﾗﾌｨｰﾙﾀﾞｰ HV G</t>
    <phoneticPr fontId="13"/>
  </si>
  <si>
    <t>NKE165-7221715</t>
    <phoneticPr fontId="13"/>
  </si>
  <si>
    <t>ﾓﾃﾞﾙ 3</t>
    <phoneticPr fontId="13"/>
  </si>
  <si>
    <t>LRW3F7EKXMC298573</t>
    <phoneticPr fontId="13"/>
  </si>
  <si>
    <t>ﾙﾉｰ ﾙｰﾃｼｱ</t>
    <phoneticPr fontId="13"/>
  </si>
  <si>
    <t>VF1RJA004N0841867</t>
    <phoneticPr fontId="13"/>
  </si>
  <si>
    <t>WMWXM520X03A53591</t>
    <phoneticPr fontId="13"/>
  </si>
  <si>
    <t>名古屋 326 み 9794</t>
    <rPh sb="0" eb="3">
      <t>ナゴヤ</t>
    </rPh>
    <phoneticPr fontId="13"/>
  </si>
  <si>
    <t>取説 ｷｰﾚｽ(車内)保証書  ﾜﾝｵｰﾅｰ？</t>
    <rPh sb="0" eb="2">
      <t>トリセツ</t>
    </rPh>
    <rPh sb="11" eb="14">
      <t>ホショウショ</t>
    </rPh>
    <phoneticPr fontId="13"/>
  </si>
  <si>
    <t>高松 310 て 1226</t>
    <rPh sb="0" eb="2">
      <t>タカマツ</t>
    </rPh>
    <phoneticPr fontId="13"/>
  </si>
  <si>
    <t>矢野 守</t>
    <rPh sb="0" eb="2">
      <t>ヤノ</t>
    </rPh>
    <rPh sb="3" eb="4">
      <t>マモル</t>
    </rPh>
    <phoneticPr fontId="13"/>
  </si>
  <si>
    <t>WVWZZZAUZJP605554</t>
    <phoneticPr fontId="13"/>
  </si>
  <si>
    <t>札幌 331 ま 3317</t>
    <rPh sb="0" eb="2">
      <t>サッポロ</t>
    </rPh>
    <phoneticPr fontId="13"/>
  </si>
  <si>
    <t>株式会社ﾎﾝﾀﾞｶｰｽﾞ南札幌</t>
    <rPh sb="0" eb="4">
      <t>カブシキガイシャ</t>
    </rPh>
    <rPh sb="12" eb="13">
      <t>ミナミ</t>
    </rPh>
    <rPh sb="13" eb="15">
      <t>サッポロ</t>
    </rPh>
    <phoneticPr fontId="13"/>
  </si>
  <si>
    <t>豊田 583 う 757</t>
    <rPh sb="0" eb="2">
      <t>トヨタ</t>
    </rPh>
    <phoneticPr fontId="13"/>
  </si>
  <si>
    <t>福岡 真弓</t>
    <rPh sb="0" eb="2">
      <t>フクオカ</t>
    </rPh>
    <rPh sb="3" eb="5">
      <t>マユミ</t>
    </rPh>
    <phoneticPr fontId="13"/>
  </si>
  <si>
    <t>三重 583 み 1139</t>
    <rPh sb="0" eb="2">
      <t>ミエ</t>
    </rPh>
    <phoneticPr fontId="13"/>
  </si>
  <si>
    <t>ﾈｯﾂﾄﾖﾀ三重株式会社</t>
    <rPh sb="6" eb="8">
      <t>ミエ</t>
    </rPh>
    <rPh sb="8" eb="12">
      <t>カブシキガイシャ</t>
    </rPh>
    <phoneticPr fontId="13"/>
  </si>
  <si>
    <t>横浜 499 の 3987</t>
    <rPh sb="0" eb="2">
      <t>ヨコハマ</t>
    </rPh>
    <phoneticPr fontId="13"/>
  </si>
  <si>
    <t>株式会社ﾄﾖﾀﾚﾝﾀﾘｰｽ横浜</t>
    <rPh sb="0" eb="4">
      <t>カブシキガイシャ</t>
    </rPh>
    <rPh sb="13" eb="15">
      <t>ヨコハマ</t>
    </rPh>
    <phoneticPr fontId="13"/>
  </si>
  <si>
    <t>愛媛 501 ふ 3048</t>
    <rPh sb="0" eb="2">
      <t>エヒメ</t>
    </rPh>
    <phoneticPr fontId="13"/>
  </si>
  <si>
    <t>橋本 直樹</t>
    <rPh sb="0" eb="2">
      <t>ハシモト</t>
    </rPh>
    <rPh sb="3" eb="5">
      <t>ナオキ</t>
    </rPh>
    <phoneticPr fontId="13"/>
  </si>
  <si>
    <t>保証書 取説 ｷｰﾚｽ SD ﾜﾝｵｰﾅｰ</t>
    <rPh sb="0" eb="3">
      <t>ホショウショ</t>
    </rPh>
    <rPh sb="4" eb="6">
      <t>トリセツ</t>
    </rPh>
    <phoneticPr fontId="13"/>
  </si>
  <si>
    <t>MK53S-323413</t>
    <phoneticPr fontId="13"/>
  </si>
  <si>
    <t>WMWXR520402M42666</t>
    <phoneticPr fontId="13"/>
  </si>
  <si>
    <t>582 い 6813</t>
    <phoneticPr fontId="13"/>
  </si>
  <si>
    <t>301 ね 5059</t>
    <phoneticPr fontId="13"/>
  </si>
  <si>
    <t>姫路 501 ゆ 2852</t>
    <rPh sb="0" eb="2">
      <t>ヒメジ</t>
    </rPh>
    <phoneticPr fontId="13"/>
  </si>
  <si>
    <t>マーチ</t>
    <phoneticPr fontId="13"/>
  </si>
  <si>
    <t>姫路 501 ゆ 1577</t>
    <rPh sb="0" eb="2">
      <t>ヒメジ</t>
    </rPh>
    <phoneticPr fontId="13"/>
  </si>
  <si>
    <t>旧26-5962</t>
    <rPh sb="0" eb="1">
      <t>キュウ</t>
    </rPh>
    <phoneticPr fontId="13"/>
  </si>
  <si>
    <t>名古屋 780 ろ 3160</t>
    <rPh sb="0" eb="3">
      <t>ナゴヤ</t>
    </rPh>
    <phoneticPr fontId="13"/>
  </si>
  <si>
    <t>ｷｬﾝｾﾙ書類返送12/18</t>
    <rPh sb="5" eb="7">
      <t>ショルイ</t>
    </rPh>
    <rPh sb="7" eb="9">
      <t>ヘンソウ</t>
    </rPh>
    <phoneticPr fontId="13"/>
  </si>
  <si>
    <t>27-2239</t>
  </si>
  <si>
    <t>27-2240</t>
  </si>
  <si>
    <t>ｳｪｲｸ G ﾀｰﾎﾞﾚｼﾞｬｰｴﾃﾞｨｼｮﾝSA3</t>
    <phoneticPr fontId="13"/>
  </si>
  <si>
    <t>LA700S-0124530</t>
    <phoneticPr fontId="13"/>
  </si>
  <si>
    <t>LA350S-0184972</t>
    <phoneticPr fontId="13"/>
  </si>
  <si>
    <t>香川 581 え 7616</t>
    <rPh sb="0" eb="2">
      <t>カガワ</t>
    </rPh>
    <phoneticPr fontId="13"/>
  </si>
  <si>
    <t>MH35S-125156</t>
    <phoneticPr fontId="13"/>
  </si>
  <si>
    <t>MK53S-790791</t>
    <phoneticPr fontId="13"/>
  </si>
  <si>
    <t>ﾌｨｱｯﾄ500 ｲﾚｼﾞｽﾃｨｰﾋﾞﾚ</t>
    <phoneticPr fontId="13"/>
  </si>
  <si>
    <t>ZFA3120000JC88471</t>
    <phoneticPr fontId="13"/>
  </si>
  <si>
    <t>愛媛 538 り 1224</t>
    <rPh sb="0" eb="2">
      <t>エヒメ</t>
    </rPh>
    <phoneticPr fontId="13"/>
  </si>
  <si>
    <t>27-2241</t>
  </si>
  <si>
    <t>27-2242</t>
  </si>
  <si>
    <t>27-2243</t>
  </si>
  <si>
    <t>27-2244</t>
  </si>
  <si>
    <t>27-2245</t>
  </si>
  <si>
    <t>27-2246</t>
  </si>
  <si>
    <t>27-2247</t>
  </si>
  <si>
    <t>27-2248</t>
  </si>
  <si>
    <t>27-2249</t>
  </si>
  <si>
    <t>27-2250</t>
  </si>
  <si>
    <t>27-2251</t>
  </si>
  <si>
    <t>27-2252</t>
  </si>
  <si>
    <t>27-2253</t>
  </si>
  <si>
    <t>27-2254</t>
  </si>
  <si>
    <t>27-2255</t>
  </si>
  <si>
    <t>27-2256</t>
  </si>
  <si>
    <t>27-2257</t>
  </si>
  <si>
    <t>27-2258</t>
  </si>
  <si>
    <t>27-2259</t>
  </si>
  <si>
    <t>27-2260</t>
  </si>
  <si>
    <t>27-2261</t>
  </si>
  <si>
    <t>27-2262</t>
  </si>
  <si>
    <t>27-2263</t>
  </si>
  <si>
    <t>27-2264</t>
  </si>
  <si>
    <t>27-2265</t>
  </si>
  <si>
    <t>LA650S-0310415</t>
    <phoneticPr fontId="13"/>
  </si>
  <si>
    <t>JF1-2540373</t>
    <phoneticPr fontId="13"/>
  </si>
  <si>
    <t>富士山 581 な 5281</t>
    <rPh sb="0" eb="3">
      <t>フジサン</t>
    </rPh>
    <phoneticPr fontId="13"/>
  </si>
  <si>
    <t>WMWXS520X02B38863</t>
    <phoneticPr fontId="13"/>
  </si>
  <si>
    <t>三河 348 ら 1118</t>
    <rPh sb="0" eb="2">
      <t>ミカワ</t>
    </rPh>
    <phoneticPr fontId="13"/>
  </si>
  <si>
    <t>ﾊﾞﾓｽ G</t>
    <phoneticPr fontId="13"/>
  </si>
  <si>
    <t>HM1-2002722</t>
    <phoneticPr fontId="13"/>
  </si>
  <si>
    <t>ﾌｨｱｯﾄ500 1.2 ﾎﾟｯﾌﾟ</t>
    <phoneticPr fontId="13"/>
  </si>
  <si>
    <t>ZFA3120000JC55699</t>
    <phoneticPr fontId="13"/>
  </si>
  <si>
    <t>ﾌﾟﾘﾝｽ SﾂｰﾘﾝｸﾞｾﾚｸｼｮﾝG‘S</t>
    <phoneticPr fontId="13"/>
  </si>
  <si>
    <t>ZVW30-5758482</t>
    <phoneticPr fontId="13"/>
  </si>
  <si>
    <t>27-2266</t>
  </si>
  <si>
    <t>27-2267</t>
  </si>
  <si>
    <t>ﾌｨｯﾄ 13G F ｺﾝﾌｫｰﾄｴﾃﾞｨｼｮﾝ</t>
    <phoneticPr fontId="13"/>
  </si>
  <si>
    <t>GK3-1339400</t>
    <phoneticPr fontId="13"/>
  </si>
  <si>
    <t>MXPB10-2012218</t>
    <phoneticPr fontId="13"/>
  </si>
  <si>
    <t>佐賀 301 さ 8332</t>
    <rPh sb="0" eb="2">
      <t>サガ</t>
    </rPh>
    <phoneticPr fontId="13"/>
  </si>
  <si>
    <t>MXPB10-3011076</t>
    <phoneticPr fontId="13"/>
  </si>
  <si>
    <t>福山 300 り 7971</t>
    <rPh sb="0" eb="2">
      <t>フクヤマ</t>
    </rPh>
    <phoneticPr fontId="13"/>
  </si>
  <si>
    <t>N-VAN ﾌｧﾝ</t>
    <phoneticPr fontId="13"/>
  </si>
  <si>
    <t>JJ1-5107950</t>
    <phoneticPr fontId="13"/>
  </si>
  <si>
    <t>大阪 480 め 6422</t>
    <rPh sb="0" eb="2">
      <t>オオサカ</t>
    </rPh>
    <phoneticPr fontId="13"/>
  </si>
  <si>
    <t>MK53S-962204</t>
    <phoneticPr fontId="13"/>
  </si>
  <si>
    <t>神戸 591 え 314</t>
    <rPh sb="0" eb="2">
      <t>コウベ</t>
    </rPh>
    <phoneticPr fontId="13"/>
  </si>
  <si>
    <t>JF3-1169810</t>
    <phoneticPr fontId="13"/>
  </si>
  <si>
    <t>LA550S-0011850</t>
    <phoneticPr fontId="13"/>
  </si>
  <si>
    <t>ﾑｰﾌﾞｶｽﾀﾑ Xﾘﾐﾃｯﾄﾞ 2</t>
    <phoneticPr fontId="13"/>
  </si>
  <si>
    <t>LA150S-0181588</t>
    <phoneticPr fontId="13"/>
  </si>
  <si>
    <t>ﾑｰﾌﾞｷｬﾝﾊﾞｽ Xﾒｲｸｱｯﾌﾟﾘﾐﾃｯﾄﾞ</t>
    <phoneticPr fontId="13"/>
  </si>
  <si>
    <t>LA800S-0132326</t>
    <phoneticPr fontId="13"/>
  </si>
  <si>
    <t>HE33S-164934</t>
    <phoneticPr fontId="13"/>
  </si>
  <si>
    <t>ｽﾍﾟｰｼｱ ﾊｲﾌﾞﾘｯﾄﾞ G</t>
    <phoneticPr fontId="13"/>
  </si>
  <si>
    <t>MK53S-447911</t>
    <phoneticPr fontId="13"/>
  </si>
  <si>
    <t>HE22S-193521</t>
    <phoneticPr fontId="13"/>
  </si>
  <si>
    <t>ｶﾛｰﾗﾌｨｰﾙﾀﾞｰ ﾊｲﾌﾞﾘｯﾄﾞ EX</t>
    <phoneticPr fontId="13"/>
  </si>
  <si>
    <t>NKE165-7240736</t>
    <phoneticPr fontId="13"/>
  </si>
  <si>
    <t>阪上 仁</t>
    <rPh sb="0" eb="2">
      <t>サカウエ</t>
    </rPh>
    <rPh sb="3" eb="4">
      <t>ジン</t>
    </rPh>
    <phoneticPr fontId="13"/>
  </si>
  <si>
    <t>保証書 取説 ｽﾍﾟｱｷｰ2個</t>
    <rPh sb="0" eb="3">
      <t>ホショウショ</t>
    </rPh>
    <rPh sb="4" eb="6">
      <t>トリセツ</t>
    </rPh>
    <rPh sb="14" eb="15">
      <t>コ</t>
    </rPh>
    <phoneticPr fontId="13"/>
  </si>
  <si>
    <t>岡山 399 な 3780</t>
    <rPh sb="0" eb="2">
      <t>オカヤマ</t>
    </rPh>
    <phoneticPr fontId="13"/>
  </si>
  <si>
    <t>保証書 ﾏｲｸﾛSD ｽﾍﾟｱｷｰ</t>
    <rPh sb="0" eb="3">
      <t>ホショウショ</t>
    </rPh>
    <phoneticPr fontId="13"/>
  </si>
  <si>
    <t>なにわ 5P8 ろ 2772</t>
    <phoneticPr fontId="13"/>
  </si>
  <si>
    <t>JF5-1133341</t>
    <phoneticPr fontId="13"/>
  </si>
  <si>
    <t>9/12/26</t>
    <phoneticPr fontId="13"/>
  </si>
  <si>
    <t>ｼﾞﾑﾆｰ W XG</t>
    <phoneticPr fontId="13"/>
  </si>
  <si>
    <t>JB23W-668137</t>
    <phoneticPr fontId="13"/>
  </si>
  <si>
    <t>ﾊｽﾗｰ ﾊｲﾌﾞﾘｯﾄﾞ X</t>
    <phoneticPr fontId="13"/>
  </si>
  <si>
    <t>MR92S-451179</t>
    <phoneticPr fontId="13"/>
  </si>
  <si>
    <t>ﾐﾗｲｰｽ X ﾘﾐﾃｯﾄﾞ SA3</t>
    <phoneticPr fontId="13"/>
  </si>
  <si>
    <t>LA350S-0282676</t>
    <phoneticPr fontId="13"/>
  </si>
  <si>
    <t>HAﾒｶﾆｶﾙｷｰなし そのままでOK</t>
    <phoneticPr fontId="13"/>
  </si>
  <si>
    <t>名古屋 780 ろ 3080</t>
    <rPh sb="0" eb="3">
      <t>ナゴヤ</t>
    </rPh>
    <phoneticPr fontId="13"/>
  </si>
  <si>
    <t>取説 ﾅﾋﾞ取 ｽﾍﾟｱｷｰ SD</t>
    <rPh sb="0" eb="2">
      <t>トリセツ</t>
    </rPh>
    <rPh sb="6" eb="7">
      <t>　</t>
    </rPh>
    <phoneticPr fontId="13"/>
  </si>
  <si>
    <t>松川 昌法</t>
    <rPh sb="0" eb="2">
      <t>マツカワ</t>
    </rPh>
    <rPh sb="3" eb="4">
      <t>ショウ</t>
    </rPh>
    <rPh sb="4" eb="5">
      <t>ホウ</t>
    </rPh>
    <phoneticPr fontId="13"/>
  </si>
  <si>
    <t>なにわ 5P8 ろ 4085</t>
    <phoneticPr fontId="13"/>
  </si>
  <si>
    <t>本田 修士</t>
    <rPh sb="0" eb="2">
      <t>ホンダ</t>
    </rPh>
    <rPh sb="3" eb="5">
      <t>シュウシ</t>
    </rPh>
    <phoneticPr fontId="13"/>
  </si>
  <si>
    <t>福岡 585 せ 7755</t>
    <rPh sb="0" eb="2">
      <t>フクオカ</t>
    </rPh>
    <phoneticPr fontId="13"/>
  </si>
  <si>
    <t>神戸 39A そ 5104</t>
    <rPh sb="0" eb="2">
      <t>コウベ</t>
    </rPh>
    <phoneticPr fontId="13"/>
  </si>
  <si>
    <t>田村 勝義</t>
    <rPh sb="0" eb="2">
      <t>タムラ</t>
    </rPh>
    <rPh sb="3" eb="5">
      <t>カツヨシ</t>
    </rPh>
    <phoneticPr fontId="13"/>
  </si>
  <si>
    <t>和泉 333 た 3105</t>
    <rPh sb="0" eb="2">
      <t>イズミ</t>
    </rPh>
    <phoneticPr fontId="13"/>
  </si>
  <si>
    <t>森川 和英</t>
    <rPh sb="0" eb="2">
      <t>モリカワ</t>
    </rPh>
    <rPh sb="3" eb="5">
      <t>カズヒデ</t>
    </rPh>
    <phoneticPr fontId="13"/>
  </si>
  <si>
    <t>保証書 取説 ｷｰﾚｽ ｽﾍﾟｱｷｰ ﾜﾝｵｰﾅｰ</t>
    <rPh sb="0" eb="3">
      <t>ホショウショ</t>
    </rPh>
    <rPh sb="4" eb="6">
      <t>トリセツ</t>
    </rPh>
    <phoneticPr fontId="13"/>
  </si>
  <si>
    <t>玉木 郁江</t>
    <rPh sb="0" eb="2">
      <t>タマキ</t>
    </rPh>
    <rPh sb="3" eb="5">
      <t>イクエ</t>
    </rPh>
    <phoneticPr fontId="13"/>
  </si>
  <si>
    <t>多摩 326 む 5821</t>
    <rPh sb="0" eb="2">
      <t>タマ</t>
    </rPh>
    <phoneticPr fontId="13"/>
  </si>
  <si>
    <t>奈良 340 も 725</t>
    <rPh sb="0" eb="2">
      <t>ナラ</t>
    </rPh>
    <phoneticPr fontId="13"/>
  </si>
  <si>
    <t>香川 隆志</t>
    <rPh sb="0" eb="2">
      <t>カガワ</t>
    </rPh>
    <rPh sb="3" eb="4">
      <t>タカシ</t>
    </rPh>
    <rPh sb="4" eb="5">
      <t>ココロザシ</t>
    </rPh>
    <phoneticPr fontId="13"/>
  </si>
  <si>
    <t>横浜 39A も 5195</t>
    <rPh sb="0" eb="2">
      <t>ヨコハマ</t>
    </rPh>
    <phoneticPr fontId="13"/>
  </si>
  <si>
    <t>神戸 337 そ 7557</t>
    <rPh sb="0" eb="2">
      <t>コウベ</t>
    </rPh>
    <phoneticPr fontId="13"/>
  </si>
  <si>
    <t>堺 330 ゆ 877</t>
    <rPh sb="0" eb="1">
      <t>サカイ</t>
    </rPh>
    <phoneticPr fontId="13"/>
  </si>
  <si>
    <t>大黒 智久</t>
    <rPh sb="0" eb="2">
      <t>オオクロ</t>
    </rPh>
    <rPh sb="3" eb="5">
      <t>トモヒサ</t>
    </rPh>
    <phoneticPr fontId="13"/>
  </si>
  <si>
    <t>ZiP大阪</t>
    <rPh sb="3" eb="5">
      <t>オオサカ</t>
    </rPh>
    <phoneticPr fontId="13"/>
  </si>
  <si>
    <t>葛飾 300 す 7477</t>
    <rPh sb="0" eb="2">
      <t>カツシカ</t>
    </rPh>
    <phoneticPr fontId="13"/>
  </si>
  <si>
    <t>地図SD(車内)保証書 取説 ﾅﾋﾞ取 ｽﾍﾟｱｷｰ</t>
    <rPh sb="8" eb="11">
      <t>ホショウショ</t>
    </rPh>
    <rPh sb="12" eb="14">
      <t>トリセツ</t>
    </rPh>
    <rPh sb="18" eb="19">
      <t>トリ</t>
    </rPh>
    <phoneticPr fontId="13"/>
  </si>
  <si>
    <t>27-2268</t>
  </si>
  <si>
    <t>水野様</t>
    <rPh sb="0" eb="2">
      <t>ミズノ</t>
    </rPh>
    <rPh sb="2" eb="3">
      <t>サマ</t>
    </rPh>
    <phoneticPr fontId="13"/>
  </si>
  <si>
    <t>SAJBB2AX7JCY61512</t>
    <phoneticPr fontId="13"/>
  </si>
  <si>
    <t>姫路 330 ろ 8657</t>
    <rPh sb="0" eb="2">
      <t>ヒメジ</t>
    </rPh>
    <phoneticPr fontId="13"/>
  </si>
  <si>
    <t>水野 秀人</t>
    <rPh sb="0" eb="2">
      <t>ミズノ</t>
    </rPh>
    <rPh sb="3" eb="5">
      <t>ヒデト</t>
    </rPh>
    <phoneticPr fontId="13"/>
  </si>
  <si>
    <t>27-2269</t>
  </si>
  <si>
    <t>27-2270</t>
  </si>
  <si>
    <t>27-2271</t>
  </si>
  <si>
    <t>27-2272</t>
  </si>
  <si>
    <t>27-2273</t>
  </si>
  <si>
    <t>27-2274</t>
  </si>
  <si>
    <t>27-2275</t>
  </si>
  <si>
    <t>27-2276</t>
  </si>
  <si>
    <t>27-2277</t>
  </si>
  <si>
    <t>27-2278</t>
  </si>
  <si>
    <t>27-2279</t>
  </si>
  <si>
    <t>27-2280</t>
  </si>
  <si>
    <t>27-2281</t>
  </si>
  <si>
    <t>27-2282</t>
  </si>
  <si>
    <t>27-2283</t>
  </si>
  <si>
    <t>27-2284</t>
  </si>
  <si>
    <t>27-2285</t>
  </si>
  <si>
    <t>27-2286</t>
  </si>
  <si>
    <t>27-2287</t>
  </si>
  <si>
    <t>27-2288</t>
  </si>
  <si>
    <t>27-2289</t>
  </si>
  <si>
    <t>27-2290</t>
  </si>
  <si>
    <t>VR3UPHNKSMT083502</t>
    <phoneticPr fontId="13"/>
  </si>
  <si>
    <t>大阪 304 そ 3363</t>
    <rPh sb="0" eb="2">
      <t>オオサカ</t>
    </rPh>
    <phoneticPr fontId="13"/>
  </si>
  <si>
    <t>ﾒﾙｾﾃﾞｽﾍﾞﾝﾂ A180 ｽﾀｲﾙAMGﾗｲﾝ</t>
    <phoneticPr fontId="13"/>
  </si>
  <si>
    <t>WDD1770842J060870</t>
    <phoneticPr fontId="13"/>
  </si>
  <si>
    <t>ﾒﾙｾﾃﾞｽﾍﾞﾝﾂ C220d ｽﾃｰｼｮﾝﾜｺﾞﾝ</t>
    <phoneticPr fontId="13"/>
  </si>
  <si>
    <t>WDD2052142F767435</t>
    <phoneticPr fontId="13"/>
  </si>
  <si>
    <t>岡山 301 や 495</t>
    <rPh sb="0" eb="2">
      <t>オカヤマ</t>
    </rPh>
    <phoneticPr fontId="13"/>
  </si>
  <si>
    <t>ｳﾞｪﾙﾌｧｲｱ 3.2 ZG</t>
    <phoneticPr fontId="13"/>
  </si>
  <si>
    <t>GGH30-0029975</t>
    <phoneticPr fontId="13"/>
  </si>
  <si>
    <t>BMWﾐﾆｸｰﾊﾟｰ SD ｸﾛｽｵｰﾊﾞｰ</t>
    <phoneticPr fontId="13"/>
  </si>
  <si>
    <t>WMW22BU0803M53867</t>
    <phoneticPr fontId="13"/>
  </si>
  <si>
    <t>ﾒﾙｾﾃﾞｽﾍﾞﾝﾂ C220ｄ ﾜｺﾞﾝﾛｰﾚｳｽ</t>
    <phoneticPr fontId="13"/>
  </si>
  <si>
    <t>W1K2052142G028614</t>
    <phoneticPr fontId="13"/>
  </si>
  <si>
    <t>ﾒﾙｾﾃﾞｽﾍﾞﾝﾂ AWG GLC4.3</t>
    <phoneticPr fontId="13"/>
  </si>
  <si>
    <t>W1N2539642F912778</t>
    <phoneticPr fontId="13"/>
  </si>
  <si>
    <t>ﾒﾙｾﾃﾞｽﾍﾞﾝﾂ GLB200d</t>
    <phoneticPr fontId="13"/>
  </si>
  <si>
    <t>W1N2476122W056486</t>
    <phoneticPr fontId="13"/>
  </si>
  <si>
    <t>ｽﾍﾟｰｼｱｶｽﾀﾑ HV XS</t>
    <phoneticPr fontId="13"/>
  </si>
  <si>
    <t>MK53S-527393</t>
    <phoneticPr fontId="13"/>
  </si>
  <si>
    <t>名古屋 58A ま 2576</t>
    <rPh sb="0" eb="3">
      <t>ナゴヤ</t>
    </rPh>
    <phoneticPr fontId="13"/>
  </si>
  <si>
    <t>L375S-0468140</t>
    <phoneticPr fontId="13"/>
  </si>
  <si>
    <t>岐阜 582 よ 1035</t>
    <rPh sb="0" eb="2">
      <t>ギフ</t>
    </rPh>
    <phoneticPr fontId="13"/>
  </si>
  <si>
    <t>ｴﾌﾞﾘｨﾊﾞﾝ</t>
    <phoneticPr fontId="13"/>
  </si>
  <si>
    <t>DA17V-922458</t>
    <phoneticPr fontId="13"/>
  </si>
  <si>
    <t>名古屋 480 も 9266</t>
    <rPh sb="0" eb="3">
      <t>ナゴヤ</t>
    </rPh>
    <phoneticPr fontId="13"/>
  </si>
  <si>
    <t>ﾒﾙｾﾃﾞｽﾍﾞﾝﾂ Bｸﾗｽ 180</t>
    <phoneticPr fontId="13"/>
  </si>
  <si>
    <t>WDD2462422J472549</t>
    <phoneticPr fontId="13"/>
  </si>
  <si>
    <t>福井 300 む 55</t>
    <rPh sb="0" eb="2">
      <t>フクイ</t>
    </rPh>
    <phoneticPr fontId="13"/>
  </si>
  <si>
    <t>ｱﾊﾞﾙﾄ 595 ｽｺﾙﾋﾟｵｰﾈｵｰﾛ</t>
    <phoneticPr fontId="13"/>
  </si>
  <si>
    <t>ZFA3120000JE25975</t>
    <phoneticPr fontId="13"/>
  </si>
  <si>
    <t>WMWXM72070T960680</t>
    <phoneticPr fontId="13"/>
  </si>
  <si>
    <t>石田 勝也</t>
    <rPh sb="0" eb="2">
      <t>イシダ</t>
    </rPh>
    <rPh sb="3" eb="5">
      <t>カツヤ</t>
    </rPh>
    <phoneticPr fontId="13"/>
  </si>
  <si>
    <t>名古屋 58A ま 119</t>
    <rPh sb="0" eb="3">
      <t>ナゴヤ</t>
    </rPh>
    <phoneticPr fontId="13"/>
  </si>
  <si>
    <t>株式会社ｶｰｴｽ・ｲﾉﾍﾞｰｼｮﾝ</t>
    <rPh sb="0" eb="4">
      <t>カブシキガイシャ</t>
    </rPh>
    <phoneticPr fontId="13"/>
  </si>
  <si>
    <t>福井 580 ぬ 6030</t>
    <rPh sb="0" eb="2">
      <t>フクイ</t>
    </rPh>
    <phoneticPr fontId="13"/>
  </si>
  <si>
    <t>福井ｽｽﾞｷ自動車販売株式会社</t>
    <rPh sb="0" eb="2">
      <t>フクイ</t>
    </rPh>
    <rPh sb="8" eb="10">
      <t>ハンバイ</t>
    </rPh>
    <rPh sb="10" eb="14">
      <t>カブシキガイシャ</t>
    </rPh>
    <phoneticPr fontId="13"/>
  </si>
  <si>
    <t>千葉 793 ろ 1932</t>
    <rPh sb="0" eb="2">
      <t>チバ</t>
    </rPh>
    <phoneticPr fontId="13"/>
  </si>
  <si>
    <t>保証書 取説 ﾅﾋﾞ取 ｷｰﾚｽ ﾜﾝｵｰﾅｰ？</t>
    <rPh sb="0" eb="3">
      <t>ホショウショ</t>
    </rPh>
    <rPh sb="4" eb="6">
      <t>トリセツ</t>
    </rPh>
    <rPh sb="10" eb="11">
      <t>トリ</t>
    </rPh>
    <phoneticPr fontId="13"/>
  </si>
  <si>
    <t>なにわ 5P6 ろ 6299</t>
    <phoneticPr fontId="13"/>
  </si>
  <si>
    <t>岡山 584 せ 339</t>
    <rPh sb="0" eb="2">
      <t>オカヤマ</t>
    </rPh>
    <phoneticPr fontId="13"/>
  </si>
  <si>
    <t>西日本三菱自動車販売株式会社</t>
    <rPh sb="0" eb="14">
      <t>ニシニホンミツビシジドウシャハンバイカブシキガイシャ</t>
    </rPh>
    <phoneticPr fontId="13"/>
  </si>
  <si>
    <t>倉敷 594 ゆ 25</t>
    <rPh sb="0" eb="2">
      <t>クラシキ</t>
    </rPh>
    <phoneticPr fontId="13"/>
  </si>
  <si>
    <t>岡山 581 さ 6728</t>
    <rPh sb="0" eb="2">
      <t>オカヤマ</t>
    </rPh>
    <phoneticPr fontId="13"/>
  </si>
  <si>
    <t>広島 581 け 3646</t>
    <rPh sb="0" eb="2">
      <t>ヒロシマ</t>
    </rPh>
    <phoneticPr fontId="13"/>
  </si>
  <si>
    <t>新井 好子</t>
    <rPh sb="0" eb="2">
      <t>アライ</t>
    </rPh>
    <rPh sb="3" eb="5">
      <t>ヨシコ</t>
    </rPh>
    <phoneticPr fontId="13"/>
  </si>
  <si>
    <t>広島 582 せ 5958</t>
    <rPh sb="0" eb="2">
      <t>ヒロシマ</t>
    </rPh>
    <phoneticPr fontId="13"/>
  </si>
  <si>
    <t>保証書 取説 ｷｰﾚｽ ﾅﾝﾊﾞｰ ﾚﾝﾀｶｰ</t>
    <rPh sb="0" eb="3">
      <t>ホショウショ</t>
    </rPh>
    <rPh sb="4" eb="6">
      <t>トリセツ</t>
    </rPh>
    <phoneticPr fontId="13"/>
  </si>
  <si>
    <t>岡山 480 ね 6568</t>
    <rPh sb="0" eb="2">
      <t>オカヤマ</t>
    </rPh>
    <phoneticPr fontId="13"/>
  </si>
  <si>
    <t>二宮 孝之</t>
    <rPh sb="0" eb="2">
      <t>ニノミヤ</t>
    </rPh>
    <rPh sb="3" eb="5">
      <t>タカユキ</t>
    </rPh>
    <phoneticPr fontId="13"/>
  </si>
  <si>
    <t>奈良 330 ろ 8866</t>
    <rPh sb="0" eb="2">
      <t>ナラ</t>
    </rPh>
    <phoneticPr fontId="13"/>
  </si>
  <si>
    <t>岡山 502 ふ 8208</t>
    <rPh sb="0" eb="2">
      <t>オカヤマ</t>
    </rPh>
    <phoneticPr fontId="13"/>
  </si>
  <si>
    <t>保証書 取説 ﾅﾋﾞ取 ﾜﾝｵｰﾅｰ？</t>
    <rPh sb="0" eb="3">
      <t>ホショウショ</t>
    </rPh>
    <rPh sb="4" eb="6">
      <t>トリセツ</t>
    </rPh>
    <rPh sb="10" eb="11">
      <t>トリ</t>
    </rPh>
    <phoneticPr fontId="13"/>
  </si>
  <si>
    <t>岡山 363 ち 6666</t>
    <rPh sb="0" eb="2">
      <t>オカヤマ</t>
    </rPh>
    <phoneticPr fontId="13"/>
  </si>
  <si>
    <t>岡山 330 ら 760</t>
    <rPh sb="0" eb="2">
      <t>オカヤマ</t>
    </rPh>
    <phoneticPr fontId="13"/>
  </si>
  <si>
    <t>株式会社ﾔﾏﾈﾓｰﾀｽ</t>
    <rPh sb="0" eb="4">
      <t>カブシキガイシャ</t>
    </rPh>
    <phoneticPr fontId="13"/>
  </si>
  <si>
    <t>横浜 506 そ 6622</t>
    <rPh sb="0" eb="2">
      <t>ヨコハマ</t>
    </rPh>
    <phoneticPr fontId="13"/>
  </si>
  <si>
    <t>豊橋 581 か 3959</t>
    <rPh sb="0" eb="2">
      <t>トヨハシ</t>
    </rPh>
    <phoneticPr fontId="13"/>
  </si>
  <si>
    <t>名古屋 582 け 9362</t>
    <rPh sb="0" eb="3">
      <t>ナゴヤ</t>
    </rPh>
    <phoneticPr fontId="13"/>
  </si>
  <si>
    <t>なにわ 581 す 7276</t>
    <phoneticPr fontId="13"/>
  </si>
  <si>
    <t>多摩 592 ろ 5293</t>
    <rPh sb="0" eb="2">
      <t>タマ</t>
    </rPh>
    <phoneticPr fontId="13"/>
  </si>
  <si>
    <t>なにわ 5P8 ろ 4080</t>
    <phoneticPr fontId="13"/>
  </si>
  <si>
    <t>堅木 昭宏</t>
    <rPh sb="0" eb="1">
      <t>カタ</t>
    </rPh>
    <rPh sb="1" eb="2">
      <t>キ</t>
    </rPh>
    <rPh sb="3" eb="4">
      <t>アキラ</t>
    </rPh>
    <rPh sb="4" eb="5">
      <t>ヒロ</t>
    </rPh>
    <phoneticPr fontId="13"/>
  </si>
  <si>
    <t>なにわ 5P7 ろ 9646</t>
    <phoneticPr fontId="13"/>
  </si>
  <si>
    <t>保証書 取説 ｷｰﾚｽ ﾐﾆB-CAS</t>
    <rPh sb="0" eb="3">
      <t>ホショウショ</t>
    </rPh>
    <rPh sb="4" eb="6">
      <t>トリセツ</t>
    </rPh>
    <phoneticPr fontId="13"/>
  </si>
  <si>
    <t>KB INTERNATINAL COMPANY株式会社</t>
    <rPh sb="23" eb="27">
      <t>カブシキガイシャ</t>
    </rPh>
    <phoneticPr fontId="13"/>
  </si>
  <si>
    <t>和泉 329 に 1406</t>
    <rPh sb="0" eb="2">
      <t>イズミ</t>
    </rPh>
    <phoneticPr fontId="13"/>
  </si>
  <si>
    <t>株式会社ｷｶｸ</t>
    <rPh sb="0" eb="4">
      <t>カブシキガイシャ</t>
    </rPh>
    <phoneticPr fontId="13"/>
  </si>
  <si>
    <t>なにわ 330 ひ 1643</t>
    <phoneticPr fontId="13"/>
  </si>
  <si>
    <t>取説 ﾅﾋﾞ取 ﾘﾓｺﾝ SD</t>
    <rPh sb="0" eb="2">
      <t>トリセツ</t>
    </rPh>
    <rPh sb="6" eb="7">
      <t>トリ</t>
    </rPh>
    <phoneticPr fontId="13"/>
  </si>
  <si>
    <t>倉敷 584 な 705</t>
    <rPh sb="0" eb="2">
      <t>クラシキ</t>
    </rPh>
    <phoneticPr fontId="13"/>
  </si>
  <si>
    <t>名古屋 487 ろ 1511</t>
    <rPh sb="0" eb="3">
      <t>ナゴヤ</t>
    </rPh>
    <phoneticPr fontId="13"/>
  </si>
  <si>
    <t>ｽﾍﾟｱｷｰ(車内)保証書</t>
    <rPh sb="10" eb="13">
      <t>ホショウショ</t>
    </rPh>
    <phoneticPr fontId="13"/>
  </si>
  <si>
    <t>尾張小牧 354 ゆ 111</t>
    <rPh sb="0" eb="4">
      <t>オワリコマキ</t>
    </rPh>
    <phoneticPr fontId="13"/>
  </si>
  <si>
    <t>木村 仁哉</t>
    <rPh sb="0" eb="2">
      <t>キムラ</t>
    </rPh>
    <rPh sb="3" eb="4">
      <t>ジン</t>
    </rPh>
    <rPh sb="4" eb="5">
      <t>ヤ</t>
    </rPh>
    <phoneticPr fontId="13"/>
  </si>
  <si>
    <t>保証書 取説 ﾅﾋﾞ取 ｷｰﾚｽ ｶｰﾄﾞｷｰ</t>
    <rPh sb="0" eb="3">
      <t>ホショウショ</t>
    </rPh>
    <rPh sb="4" eb="6">
      <t>トリセツ</t>
    </rPh>
    <rPh sb="10" eb="11">
      <t>トリ</t>
    </rPh>
    <phoneticPr fontId="13"/>
  </si>
  <si>
    <t>堺 584 ら 316</t>
    <rPh sb="0" eb="1">
      <t>サカイ</t>
    </rPh>
    <phoneticPr fontId="13"/>
  </si>
  <si>
    <t>西田 力</t>
    <rPh sb="0" eb="2">
      <t>ニシダ</t>
    </rPh>
    <rPh sb="3" eb="4">
      <t>チカラ</t>
    </rPh>
    <phoneticPr fontId="13"/>
  </si>
  <si>
    <t>板橋 583 き 1129</t>
    <rPh sb="0" eb="2">
      <t>イタバシ</t>
    </rPh>
    <phoneticPr fontId="13"/>
  </si>
  <si>
    <t>SALLAJAD3BA589128</t>
    <phoneticPr fontId="13"/>
  </si>
  <si>
    <t>8/11/10</t>
    <phoneticPr fontId="13"/>
  </si>
  <si>
    <t>春日井 300 せ 5695</t>
    <rPh sb="0" eb="3">
      <t>カスガイ</t>
    </rPh>
    <phoneticPr fontId="13"/>
  </si>
  <si>
    <t>久留米 581 い 7382</t>
    <rPh sb="0" eb="3">
      <t>クルメ</t>
    </rPh>
    <phoneticPr fontId="13"/>
  </si>
  <si>
    <t>末永 治香</t>
    <rPh sb="0" eb="2">
      <t>スエナガ</t>
    </rPh>
    <rPh sb="3" eb="4">
      <t>ナオ</t>
    </rPh>
    <rPh sb="4" eb="5">
      <t>カオル</t>
    </rPh>
    <phoneticPr fontId="13"/>
  </si>
  <si>
    <t>AVC10-6001641</t>
    <phoneticPr fontId="13"/>
  </si>
  <si>
    <t>MR41S-282214</t>
    <phoneticPr fontId="13"/>
  </si>
  <si>
    <t>MK53S-795212</t>
    <phoneticPr fontId="13"/>
  </si>
  <si>
    <t>AGH30-0225135</t>
    <phoneticPr fontId="13"/>
  </si>
  <si>
    <t>ﾚｸｻｽ RC 300h ﾊﾞｰｼﾞｮﾝL</t>
    <phoneticPr fontId="13"/>
  </si>
  <si>
    <t>ﾊｽﾗｰ  Fﾘﾐﾃｯﾄﾞ</t>
    <phoneticPr fontId="13"/>
  </si>
  <si>
    <t>ｱﾙﾌｧｰﾄﾞ S</t>
    <phoneticPr fontId="13"/>
  </si>
  <si>
    <t>古玉 節子</t>
    <rPh sb="0" eb="1">
      <t>フル</t>
    </rPh>
    <rPh sb="1" eb="2">
      <t>タマ</t>
    </rPh>
    <rPh sb="3" eb="5">
      <t>セツコ</t>
    </rPh>
    <phoneticPr fontId="13"/>
  </si>
  <si>
    <t>27-2291</t>
  </si>
  <si>
    <t>27-2292</t>
  </si>
  <si>
    <t>27-2293</t>
  </si>
  <si>
    <t>27-2294</t>
  </si>
  <si>
    <t>27-2295</t>
  </si>
  <si>
    <t>27-2296</t>
  </si>
  <si>
    <t>27-2297</t>
  </si>
  <si>
    <t>27-2298</t>
  </si>
  <si>
    <t>27-2299</t>
  </si>
  <si>
    <t>27-2300</t>
  </si>
  <si>
    <t>27-2301</t>
  </si>
  <si>
    <t>27-2302</t>
  </si>
  <si>
    <t>27-2303</t>
  </si>
  <si>
    <t>27-2304</t>
  </si>
  <si>
    <t>27-2305</t>
  </si>
  <si>
    <t>27-2306</t>
  </si>
  <si>
    <t>27-2307</t>
  </si>
  <si>
    <t>ﾗﾝﾄﾞﾛｰﾊﾞｰ ﾚﾝｼﾞﾛｰﾊﾞｰｳﾞｪﾗｰﾙ R</t>
    <phoneticPr fontId="13"/>
  </si>
  <si>
    <t>SALYA2AX5KA232932</t>
    <phoneticPr fontId="13"/>
  </si>
  <si>
    <t>宮崎 339 ち 1011</t>
    <rPh sb="0" eb="2">
      <t>ミヤザキ</t>
    </rPh>
    <phoneticPr fontId="13"/>
  </si>
  <si>
    <t>ﾌｨｱｯﾄ500 ﾂｲﾝｴｱ ﾎﾟｯﾌﾟ</t>
    <phoneticPr fontId="13"/>
  </si>
  <si>
    <t>ZFA3120000J314766</t>
    <phoneticPr fontId="13"/>
  </si>
  <si>
    <t>8/3/19</t>
    <phoneticPr fontId="13"/>
  </si>
  <si>
    <t>奈良 538 む 500</t>
    <rPh sb="0" eb="2">
      <t>ナラ</t>
    </rPh>
    <phoneticPr fontId="13"/>
  </si>
  <si>
    <t>ﾑｰﾌﾞｶｽﾀﾑ RS</t>
    <phoneticPr fontId="13"/>
  </si>
  <si>
    <t>LA100S-0234196</t>
    <phoneticPr fontId="13"/>
  </si>
  <si>
    <t>HE33S-318853</t>
    <phoneticPr fontId="13"/>
  </si>
  <si>
    <t>BMW 320i ｽﾎﾟｰﾂ</t>
    <phoneticPr fontId="13"/>
  </si>
  <si>
    <t>WBA8A12020K430892</t>
    <phoneticPr fontId="13"/>
  </si>
  <si>
    <t>ﾄｰﾙ G ﾘﾐﾃｯﾄﾞSA3</t>
    <phoneticPr fontId="13"/>
  </si>
  <si>
    <t>M900S-0049659</t>
    <phoneticPr fontId="13"/>
  </si>
  <si>
    <t>18/6</t>
    <phoneticPr fontId="13"/>
  </si>
  <si>
    <t>JB23W-509713</t>
    <phoneticPr fontId="13"/>
  </si>
  <si>
    <t>9/6/8</t>
    <phoneticPr fontId="13"/>
  </si>
  <si>
    <t>MR31S-261366</t>
    <phoneticPr fontId="13"/>
  </si>
  <si>
    <t>三重 583 や 7080</t>
    <rPh sb="0" eb="2">
      <t>ミエ</t>
    </rPh>
    <phoneticPr fontId="13"/>
  </si>
  <si>
    <t>三重ﾀﾞｲﾊﾂ販売株式会社</t>
    <rPh sb="0" eb="2">
      <t>ミエ</t>
    </rPh>
    <rPh sb="7" eb="13">
      <t>ハンバイカブシキガイシャ</t>
    </rPh>
    <phoneticPr fontId="13"/>
  </si>
  <si>
    <t>12/20</t>
    <phoneticPr fontId="13"/>
  </si>
  <si>
    <t>富士山 399 ぬ 8329</t>
    <rPh sb="0" eb="3">
      <t>フジサン</t>
    </rPh>
    <phoneticPr fontId="13"/>
  </si>
  <si>
    <t>WMWXM520502D01879</t>
    <phoneticPr fontId="13"/>
  </si>
  <si>
    <t>1C4BU0000HPE64974</t>
    <phoneticPr fontId="13"/>
  </si>
  <si>
    <t>なにわ 39A め 1961</t>
    <phoneticPr fontId="13"/>
  </si>
  <si>
    <t>VF7SXHNZTJT674298</t>
    <phoneticPr fontId="13"/>
  </si>
  <si>
    <t>大阪 399 ゆ 1047</t>
    <rPh sb="0" eb="2">
      <t>オオサカ</t>
    </rPh>
    <phoneticPr fontId="13"/>
  </si>
  <si>
    <t>株式会社ﾎﾝﾀﾞ北大阪</t>
    <rPh sb="0" eb="4">
      <t>カブシキガイシャ</t>
    </rPh>
    <rPh sb="8" eb="11">
      <t>キタオオサカ</t>
    </rPh>
    <phoneticPr fontId="13"/>
  </si>
  <si>
    <t>なにわ 39A め 5563</t>
    <phoneticPr fontId="13"/>
  </si>
  <si>
    <t>横浜 399 ひ 222</t>
    <rPh sb="0" eb="2">
      <t>ヨコハマ</t>
    </rPh>
    <phoneticPr fontId="13"/>
  </si>
  <si>
    <t>株式会社ｽｽﾞｷ自販神奈川</t>
    <rPh sb="0" eb="4">
      <t>カブシキガイシャ</t>
    </rPh>
    <rPh sb="9" eb="12">
      <t>カナガワ</t>
    </rPh>
    <phoneticPr fontId="13"/>
  </si>
  <si>
    <t>名古屋 780 ろ 3714</t>
    <rPh sb="0" eb="3">
      <t>ナゴヤ</t>
    </rPh>
    <phoneticPr fontId="13"/>
  </si>
  <si>
    <t>保証書 取説 ﾅﾋﾞ取  ﾜﾝｵｰﾅｰ？</t>
    <rPh sb="0" eb="3">
      <t>ホショウショ</t>
    </rPh>
    <rPh sb="4" eb="6">
      <t>トリセツ</t>
    </rPh>
    <rPh sb="10" eb="11">
      <t>トリ</t>
    </rPh>
    <phoneticPr fontId="13"/>
  </si>
  <si>
    <t>宇都宮 301 は 3618</t>
    <rPh sb="0" eb="3">
      <t>ウツノミヤ</t>
    </rPh>
    <phoneticPr fontId="13"/>
  </si>
  <si>
    <t>株式会社北関東ﾏﾂﾀﾞ</t>
    <rPh sb="0" eb="4">
      <t>カブシキガイシャ</t>
    </rPh>
    <rPh sb="4" eb="7">
      <t>キタカントウ</t>
    </rPh>
    <phoneticPr fontId="13"/>
  </si>
  <si>
    <t>着</t>
    <phoneticPr fontId="13"/>
  </si>
  <si>
    <t>ｷｰﾚｽ(車内)保証書 ﾜﾝｵｰﾅｰ</t>
    <rPh sb="5" eb="7">
      <t>シャナイ</t>
    </rPh>
    <rPh sb="8" eb="11">
      <t>ホショウショ</t>
    </rPh>
    <phoneticPr fontId="13"/>
  </si>
  <si>
    <t>鳥取 330 つ 885</t>
    <rPh sb="0" eb="2">
      <t>トットリ</t>
    </rPh>
    <phoneticPr fontId="13"/>
  </si>
  <si>
    <t>松島 宏樹</t>
    <rPh sb="0" eb="2">
      <t>マツシマ</t>
    </rPh>
    <rPh sb="3" eb="5">
      <t>ヒロキ</t>
    </rPh>
    <phoneticPr fontId="13"/>
  </si>
  <si>
    <t>保証書 取説 ｷｰﾚｽ 2個 ｽﾍﾟｱｷｰ ﾜﾝｵｰﾅｰ</t>
    <rPh sb="0" eb="3">
      <t>ホショウショ</t>
    </rPh>
    <rPh sb="4" eb="6">
      <t>トリセツ</t>
    </rPh>
    <rPh sb="13" eb="14">
      <t>コ</t>
    </rPh>
    <phoneticPr fontId="13"/>
  </si>
  <si>
    <t>名古屋 307 さ 3882</t>
    <rPh sb="0" eb="3">
      <t>ナゴヤ</t>
    </rPh>
    <phoneticPr fontId="13"/>
  </si>
  <si>
    <t>株式会社鈴木石油商会</t>
    <rPh sb="0" eb="4">
      <t>カブシキガイシャ</t>
    </rPh>
    <rPh sb="4" eb="6">
      <t>スズキ</t>
    </rPh>
    <rPh sb="6" eb="8">
      <t>セキユ</t>
    </rPh>
    <rPh sb="8" eb="10">
      <t>ショウカイ</t>
    </rPh>
    <phoneticPr fontId="13"/>
  </si>
  <si>
    <t>充電ｹｰﾌﾞﾙ伴さん 保証書 取説 ｷｰﾚｽ</t>
    <rPh sb="0" eb="2">
      <t>ジュウデン</t>
    </rPh>
    <rPh sb="7" eb="8">
      <t>バン</t>
    </rPh>
    <rPh sb="11" eb="14">
      <t>ホショウショ</t>
    </rPh>
    <rPh sb="15" eb="17">
      <t>トリセツ</t>
    </rPh>
    <phoneticPr fontId="13"/>
  </si>
  <si>
    <t>神戸 532 た 288</t>
    <rPh sb="0" eb="2">
      <t>コウベ</t>
    </rPh>
    <phoneticPr fontId="13"/>
  </si>
  <si>
    <t>本谷 康一</t>
    <rPh sb="0" eb="2">
      <t>モトタニ</t>
    </rPh>
    <rPh sb="3" eb="5">
      <t>コウイチ</t>
    </rPh>
    <phoneticPr fontId="13"/>
  </si>
  <si>
    <t>品川 39A め 495</t>
    <rPh sb="0" eb="2">
      <t>シナガワ</t>
    </rPh>
    <phoneticPr fontId="13"/>
  </si>
  <si>
    <t>大阪 334 ち 98</t>
    <rPh sb="0" eb="2">
      <t>オオサカ</t>
    </rPh>
    <phoneticPr fontId="13"/>
  </si>
  <si>
    <t>松原 榛香</t>
    <rPh sb="0" eb="2">
      <t>マツバラ</t>
    </rPh>
    <rPh sb="4" eb="5">
      <t>カオ</t>
    </rPh>
    <phoneticPr fontId="13"/>
  </si>
  <si>
    <t>保証書 取説 ｷｰﾚｽ SD ﾅﾋﾞ取</t>
    <rPh sb="0" eb="3">
      <t>ホショウショ</t>
    </rPh>
    <rPh sb="4" eb="6">
      <t>トリセツ</t>
    </rPh>
    <rPh sb="18" eb="19">
      <t>トリ</t>
    </rPh>
    <phoneticPr fontId="13"/>
  </si>
  <si>
    <t>奈良 584 ろ 2240</t>
    <rPh sb="0" eb="2">
      <t>ナラ</t>
    </rPh>
    <phoneticPr fontId="13"/>
  </si>
  <si>
    <t>横浜 778 み 2904</t>
    <rPh sb="0" eb="2">
      <t>ヨコハマ</t>
    </rPh>
    <phoneticPr fontId="13"/>
  </si>
  <si>
    <t>横浜 39A や 8261</t>
    <rPh sb="0" eb="2">
      <t>ヨコハマ</t>
    </rPh>
    <phoneticPr fontId="13"/>
  </si>
  <si>
    <t>湘南 375 ち 1010</t>
    <rPh sb="0" eb="2">
      <t>ショウナン</t>
    </rPh>
    <phoneticPr fontId="13"/>
  </si>
  <si>
    <t>關 健</t>
    <rPh sb="0" eb="1">
      <t>セキ</t>
    </rPh>
    <rPh sb="2" eb="3">
      <t>ケン</t>
    </rPh>
    <phoneticPr fontId="13"/>
  </si>
  <si>
    <t xml:space="preserve">ﾒﾙｾﾃﾞｽﾍﾞﾝﾂ Eｸﾗｽ 53 </t>
    <phoneticPr fontId="13"/>
  </si>
  <si>
    <t>WDD2130612A492423</t>
    <phoneticPr fontId="13"/>
  </si>
  <si>
    <t>9/9/30</t>
    <phoneticPr fontId="13"/>
  </si>
  <si>
    <t>熊本 332 た 53</t>
    <rPh sb="0" eb="2">
      <t>クマモト</t>
    </rPh>
    <phoneticPr fontId="13"/>
  </si>
  <si>
    <t>NT100ｸﾘｯﾊﾟｰﾄﾗｯｸ DX</t>
    <phoneticPr fontId="13"/>
  </si>
  <si>
    <t>DR16T-690076</t>
    <phoneticPr fontId="13"/>
  </si>
  <si>
    <t>8/5/18</t>
    <phoneticPr fontId="13"/>
  </si>
  <si>
    <t>神戸 480 ゆ 9251</t>
    <rPh sb="0" eb="2">
      <t>コウベ</t>
    </rPh>
    <phoneticPr fontId="13"/>
  </si>
  <si>
    <t>DA17W-258055</t>
    <phoneticPr fontId="13"/>
  </si>
  <si>
    <t>MK92S-236220</t>
    <phoneticPr fontId="13"/>
  </si>
  <si>
    <t>姫路 582 い 6518</t>
    <rPh sb="0" eb="2">
      <t>ヒメジ</t>
    </rPh>
    <phoneticPr fontId="13"/>
  </si>
  <si>
    <t>JB23W-766683</t>
    <phoneticPr fontId="13"/>
  </si>
  <si>
    <t>JF5-1129411</t>
    <phoneticPr fontId="13"/>
  </si>
  <si>
    <t>ﾗﾝﾄﾞﾛｰﾊﾞｰ ﾚﾝｼﾞﾛｰﾊﾞｰ 3.0V6</t>
    <phoneticPr fontId="13"/>
  </si>
  <si>
    <t>SALGA2VE3EA178765</t>
    <phoneticPr fontId="13"/>
  </si>
  <si>
    <t>9/9/28</t>
    <phoneticPr fontId="13"/>
  </si>
  <si>
    <t>大阪 304 せ 3558</t>
    <rPh sb="0" eb="2">
      <t>オオサカ</t>
    </rPh>
    <phoneticPr fontId="13"/>
  </si>
  <si>
    <t>ｼﾄﾛｴﾝ ﾍﾞﾙﾗﾝｺﾞ ES</t>
    <phoneticPr fontId="13"/>
  </si>
  <si>
    <t>VR7ECYHZ3PJ553209</t>
    <phoneticPr fontId="13"/>
  </si>
  <si>
    <t>和泉 331 む 2028</t>
    <rPh sb="0" eb="2">
      <t>イズミ</t>
    </rPh>
    <phoneticPr fontId="13"/>
  </si>
  <si>
    <t>神戸 799 ら 1578</t>
    <rPh sb="0" eb="2">
      <t>コウベ</t>
    </rPh>
    <phoneticPr fontId="13"/>
  </si>
  <si>
    <t>品川 39A な 4839</t>
    <rPh sb="0" eb="2">
      <t>シナガワ</t>
    </rPh>
    <phoneticPr fontId="13"/>
  </si>
  <si>
    <t>なにわ 388 や 10</t>
    <phoneticPr fontId="13"/>
  </si>
  <si>
    <t>春日井 580 え 5657</t>
    <rPh sb="0" eb="3">
      <t>カスガイ</t>
    </rPh>
    <phoneticPr fontId="13"/>
  </si>
  <si>
    <t>土田 晃宏</t>
    <rPh sb="0" eb="2">
      <t>ツチダ</t>
    </rPh>
    <rPh sb="3" eb="4">
      <t>アキラ</t>
    </rPh>
    <rPh sb="4" eb="5">
      <t>ヒロシ</t>
    </rPh>
    <phoneticPr fontId="13"/>
  </si>
  <si>
    <t>27-2308</t>
  </si>
  <si>
    <t>27-2309</t>
  </si>
  <si>
    <t>ﾊｲｾﾞｯﾄｶｰｺﾞ ﾃﾞｯｷﾊﾞﾝG SA3</t>
    <phoneticPr fontId="13"/>
  </si>
  <si>
    <t>S321W-0010484</t>
    <phoneticPr fontId="13"/>
  </si>
  <si>
    <t>神戸 483 か 2155</t>
    <rPh sb="0" eb="2">
      <t>コウベ</t>
    </rPh>
    <phoneticPr fontId="13"/>
  </si>
  <si>
    <t>JF3-1234259</t>
    <phoneticPr fontId="13"/>
  </si>
  <si>
    <t>大阪 581 ま 3094</t>
    <rPh sb="0" eb="2">
      <t>オオサカ</t>
    </rPh>
    <phoneticPr fontId="13"/>
  </si>
  <si>
    <t>ｽﾍﾟｰｼｱｷﾞｱ XZ</t>
    <phoneticPr fontId="13"/>
  </si>
  <si>
    <t>MK53S-731245</t>
    <phoneticPr fontId="13"/>
  </si>
  <si>
    <t>大阪 581 よ 3797</t>
    <rPh sb="0" eb="2">
      <t>オオサカ</t>
    </rPh>
    <phoneticPr fontId="13"/>
  </si>
  <si>
    <t>ﾑｰﾌﾞｷｬﾝﾊﾞｽ XﾌﾞﾗｯｸｱｸｾﾝﾄﾘﾐﾃｯﾄﾞSA3</t>
    <phoneticPr fontId="13"/>
  </si>
  <si>
    <t>LA800S-0240834</t>
    <phoneticPr fontId="13"/>
  </si>
  <si>
    <t>ﾜｺﾞﾝR ｶｽﾀﾑZ ﾊｲﾌﾞﾘｯﾄﾞZX</t>
    <phoneticPr fontId="13"/>
  </si>
  <si>
    <t>MH95S-226226</t>
    <phoneticPr fontId="13"/>
  </si>
  <si>
    <t>ﾌｨｱｯﾄ500 1.2ﾎﾟｯﾌﾟ</t>
    <phoneticPr fontId="13"/>
  </si>
  <si>
    <t>取説 (車内)保証書 ｺｰﾄﾞｶｰﾄﾞ ﾜﾝｵｰﾅｰ</t>
    <rPh sb="0" eb="2">
      <t>トリセツ</t>
    </rPh>
    <rPh sb="7" eb="10">
      <t>ホショウショ</t>
    </rPh>
    <phoneticPr fontId="13"/>
  </si>
  <si>
    <t>京都 338 は 1188</t>
    <rPh sb="0" eb="2">
      <t>キョウト</t>
    </rPh>
    <phoneticPr fontId="13"/>
  </si>
  <si>
    <t>12/22</t>
    <phoneticPr fontId="13"/>
  </si>
  <si>
    <t>保証書 取説 ﾅﾋﾞ取 ｽﾍﾟｱｷｰ ﾘﾓｺﾝ ﾜﾝｵｰﾅｰ</t>
    <rPh sb="0" eb="3">
      <t>ホショウショ</t>
    </rPh>
    <rPh sb="4" eb="6">
      <t>トリセツ</t>
    </rPh>
    <rPh sb="10" eb="11">
      <t>トリ</t>
    </rPh>
    <phoneticPr fontId="13"/>
  </si>
  <si>
    <t>27-2310</t>
  </si>
  <si>
    <t>27-2311</t>
  </si>
  <si>
    <t>27-2312</t>
  </si>
  <si>
    <t>27-2313</t>
  </si>
  <si>
    <t>27-2314</t>
  </si>
  <si>
    <t>27-2315</t>
  </si>
  <si>
    <t>27-2316</t>
  </si>
  <si>
    <t>27-2317</t>
  </si>
  <si>
    <t>27-2318</t>
  </si>
  <si>
    <t>27-2319</t>
  </si>
  <si>
    <t>27-2320</t>
  </si>
  <si>
    <t>27-2321</t>
  </si>
  <si>
    <t>27-2322</t>
  </si>
  <si>
    <t>ｷｬﾝｾﾙ書類返送12/22</t>
    <rPh sb="5" eb="9">
      <t>ショルイヘンソウ</t>
    </rPh>
    <phoneticPr fontId="13"/>
  </si>
  <si>
    <r>
      <rPr>
        <sz val="11"/>
        <color rgb="FFFF0000"/>
        <rFont val="ＭＳ Ｐゴシック"/>
        <family val="3"/>
        <charset val="128"/>
        <scheme val="minor"/>
      </rPr>
      <t xml:space="preserve">保証書なしｸﾚｰﾑ済 </t>
    </r>
    <r>
      <rPr>
        <sz val="11"/>
        <color theme="3"/>
        <rFont val="ＭＳ Ｐゴシック"/>
        <family val="3"/>
        <charset val="128"/>
        <scheme val="minor"/>
      </rPr>
      <t>取説</t>
    </r>
    <rPh sb="0" eb="3">
      <t>ホショウショ</t>
    </rPh>
    <rPh sb="9" eb="10">
      <t>ズ</t>
    </rPh>
    <rPh sb="11" eb="13">
      <t>トリセツ</t>
    </rPh>
    <phoneticPr fontId="13"/>
  </si>
  <si>
    <t>HA売 保証書ﾀﾞﾐｰ送る</t>
    <rPh sb="2" eb="3">
      <t>ウ</t>
    </rPh>
    <rPh sb="4" eb="7">
      <t>ホショウショ</t>
    </rPh>
    <rPh sb="11" eb="12">
      <t>オク</t>
    </rPh>
    <phoneticPr fontId="13"/>
  </si>
  <si>
    <t>京都 599 ゆ 6402</t>
    <rPh sb="0" eb="2">
      <t>キョウト</t>
    </rPh>
    <phoneticPr fontId="13"/>
  </si>
  <si>
    <t>株式会社NewLIFE Pro</t>
    <rPh sb="0" eb="4">
      <t>カブシキガイシャ</t>
    </rPh>
    <phoneticPr fontId="13"/>
  </si>
  <si>
    <t>鹿児島 595 さ 24</t>
    <rPh sb="0" eb="3">
      <t>カゴシマ</t>
    </rPh>
    <phoneticPr fontId="13"/>
  </si>
  <si>
    <t>飯尾 智博</t>
    <rPh sb="0" eb="2">
      <t>イイオ</t>
    </rPh>
    <rPh sb="3" eb="5">
      <t>トモヒロ</t>
    </rPh>
    <phoneticPr fontId="13"/>
  </si>
  <si>
    <t>会津 583 さ 2355</t>
    <rPh sb="0" eb="2">
      <t>アイヅ</t>
    </rPh>
    <phoneticPr fontId="13"/>
  </si>
  <si>
    <t>寺田 明弘</t>
    <rPh sb="0" eb="2">
      <t>テラダ</t>
    </rPh>
    <rPh sb="3" eb="5">
      <t>アキヒロ</t>
    </rPh>
    <phoneticPr fontId="13"/>
  </si>
  <si>
    <t>京都 591 の 3588</t>
    <rPh sb="0" eb="2">
      <t>キョウト</t>
    </rPh>
    <phoneticPr fontId="13"/>
  </si>
  <si>
    <t>絹和 拓歩</t>
    <rPh sb="0" eb="1">
      <t>キヌ</t>
    </rPh>
    <rPh sb="1" eb="2">
      <t>ワ</t>
    </rPh>
    <rPh sb="3" eb="4">
      <t>タク</t>
    </rPh>
    <rPh sb="4" eb="5">
      <t>アユミ</t>
    </rPh>
    <phoneticPr fontId="13"/>
  </si>
  <si>
    <t>保証書 取説 ｷｰﾚｽ ﾅﾋﾞ取 地図SD</t>
    <rPh sb="0" eb="3">
      <t>ホショウショ</t>
    </rPh>
    <rPh sb="4" eb="6">
      <t>トリセツ</t>
    </rPh>
    <rPh sb="15" eb="16">
      <t>トリ</t>
    </rPh>
    <rPh sb="17" eb="19">
      <t>チズ</t>
    </rPh>
    <phoneticPr fontId="13"/>
  </si>
  <si>
    <t>株式会社NKｼｽﾃﾑ</t>
    <rPh sb="0" eb="4">
      <t>カブシキガイシャ</t>
    </rPh>
    <phoneticPr fontId="13"/>
  </si>
  <si>
    <t>有限会社ｵｰﾄﾏｯｸｽ</t>
    <rPh sb="0" eb="4">
      <t>ユウゲンカイシャ</t>
    </rPh>
    <phoneticPr fontId="13"/>
  </si>
  <si>
    <t>神戸 504 ひ 9987</t>
    <rPh sb="0" eb="2">
      <t>コウベ</t>
    </rPh>
    <phoneticPr fontId="13"/>
  </si>
  <si>
    <t>株式会社ｱｸﾄﾄﾚｰﾃﾞｨﾝｸﾞ</t>
    <rPh sb="0" eb="4">
      <t>カブシキガイシャ</t>
    </rPh>
    <phoneticPr fontId="13"/>
  </si>
  <si>
    <t>有限会社ﾎｯﾄﾄﾞﾗｲﾌﾞ</t>
    <rPh sb="0" eb="4">
      <t>ユウゲンカイシャ</t>
    </rPh>
    <phoneticPr fontId="13"/>
  </si>
  <si>
    <t>今城 博之</t>
    <rPh sb="0" eb="1">
      <t>イマ</t>
    </rPh>
    <rPh sb="1" eb="2">
      <t>シロ</t>
    </rPh>
    <rPh sb="3" eb="5">
      <t>ヒロユキ</t>
    </rPh>
    <phoneticPr fontId="13"/>
  </si>
  <si>
    <t>株式会社ｶｰﾓｰﾄﾞｺﾑ</t>
    <rPh sb="0" eb="4">
      <t>カブシキガイシャ</t>
    </rPh>
    <phoneticPr fontId="13"/>
  </si>
  <si>
    <t>習志野 585 の 38</t>
    <rPh sb="0" eb="3">
      <t>ナラシノ</t>
    </rPh>
    <phoneticPr fontId="13"/>
  </si>
  <si>
    <t>橋本 雅</t>
    <rPh sb="0" eb="2">
      <t>ハシモト</t>
    </rPh>
    <rPh sb="3" eb="4">
      <t>マサシ</t>
    </rPh>
    <phoneticPr fontId="13"/>
  </si>
  <si>
    <t>和泉 581 ね 1748</t>
    <rPh sb="0" eb="2">
      <t>イズミ</t>
    </rPh>
    <phoneticPr fontId="13"/>
  </si>
  <si>
    <t>荒井 照夫</t>
    <rPh sb="0" eb="2">
      <t>アライ</t>
    </rPh>
    <rPh sb="3" eb="5">
      <t>テルオ</t>
    </rPh>
    <phoneticPr fontId="13"/>
  </si>
  <si>
    <t>京都 598 え 12</t>
    <rPh sb="0" eb="2">
      <t>キョウト</t>
    </rPh>
    <phoneticPr fontId="13"/>
  </si>
  <si>
    <t>上野 賢也</t>
    <rPh sb="0" eb="2">
      <t>ウエノ</t>
    </rPh>
    <rPh sb="3" eb="4">
      <t>ケン</t>
    </rPh>
    <rPh sb="4" eb="5">
      <t>ヤ</t>
    </rPh>
    <phoneticPr fontId="13"/>
  </si>
  <si>
    <t>保証書 取説 ｷｰﾚｽ ﾅﾋﾞ取 ﾘﾓｺﾝ未着OK</t>
    <rPh sb="0" eb="3">
      <t>ホショウショ</t>
    </rPh>
    <rPh sb="4" eb="6">
      <t>トリセツ</t>
    </rPh>
    <rPh sb="15" eb="16">
      <t>トリ</t>
    </rPh>
    <rPh sb="21" eb="23">
      <t>ミチャク</t>
    </rPh>
    <phoneticPr fontId="13"/>
  </si>
  <si>
    <t>名古屋 778 た 9692</t>
    <rPh sb="0" eb="3">
      <t>ナゴヤ</t>
    </rPh>
    <phoneticPr fontId="13"/>
  </si>
  <si>
    <t>神戸 304 ぬ 5382</t>
    <rPh sb="0" eb="2">
      <t>コウベ</t>
    </rPh>
    <phoneticPr fontId="13"/>
  </si>
  <si>
    <t>和泉 329 な 9188</t>
    <rPh sb="0" eb="2">
      <t>イズミ</t>
    </rPh>
    <phoneticPr fontId="13"/>
  </si>
  <si>
    <t>保証書 取説 ｷｰﾚｽ(車内) ﾜﾝｵｰﾅｰ</t>
    <rPh sb="0" eb="3">
      <t>ホショウショ</t>
    </rPh>
    <rPh sb="4" eb="6">
      <t>トリセツ</t>
    </rPh>
    <rPh sb="12" eb="14">
      <t>シャナイ</t>
    </rPh>
    <phoneticPr fontId="13"/>
  </si>
  <si>
    <t>中前 達紀</t>
    <rPh sb="0" eb="2">
      <t>ナカマエ</t>
    </rPh>
    <rPh sb="3" eb="4">
      <t>タツ</t>
    </rPh>
    <rPh sb="4" eb="5">
      <t>キ</t>
    </rPh>
    <phoneticPr fontId="13"/>
  </si>
  <si>
    <t>福岡 302 る 7926</t>
    <rPh sb="0" eb="2">
      <t>フクオカ</t>
    </rPh>
    <phoneticPr fontId="13"/>
  </si>
  <si>
    <t>301 ね 5326</t>
    <phoneticPr fontId="13"/>
  </si>
  <si>
    <t>301 ね 5325</t>
    <phoneticPr fontId="13"/>
  </si>
  <si>
    <t>301 ね 5324</t>
    <phoneticPr fontId="13"/>
  </si>
  <si>
    <t>MR41S-248615</t>
    <phoneticPr fontId="13"/>
  </si>
  <si>
    <t>A317500</t>
    <phoneticPr fontId="13"/>
  </si>
  <si>
    <t>MR41S-294375</t>
    <phoneticPr fontId="13"/>
  </si>
  <si>
    <t>ﾍﾞﾝﾂ Eｸﾗｽ ｾﾀﾞﾝ200ｱﾊﾞﾝｷﾞｬﾙﾄ</t>
    <phoneticPr fontId="13"/>
  </si>
  <si>
    <t>WDD2130772A743217</t>
    <phoneticPr fontId="13"/>
  </si>
  <si>
    <t>BMW 3ｼﾘｰｽﾞ ﾂｰﾘﾝｸﾞ320Mｽﾎﾟｰﾂ</t>
    <phoneticPr fontId="13"/>
  </si>
  <si>
    <t>WBA3K32020K403730</t>
    <phoneticPr fontId="13"/>
  </si>
  <si>
    <t>BMWﾐﾆｸｰﾊﾟｰｺﾝﾊﾞｰﾁﾌﾞﾙ ﾊｲｹﾞｰﾄ</t>
    <phoneticPr fontId="13"/>
  </si>
  <si>
    <t>WMWZN32060T552413</t>
    <phoneticPr fontId="13"/>
  </si>
  <si>
    <t>WMWLV320002L40554</t>
    <phoneticPr fontId="13"/>
  </si>
  <si>
    <t>石川 339 と 32</t>
    <rPh sb="0" eb="2">
      <t>イシカワ</t>
    </rPh>
    <phoneticPr fontId="13"/>
  </si>
  <si>
    <t>ｱｳﾃﾞｨA5 ｽﾎﾟｰﾂﾊﾞｯｸ2.0TFSI</t>
    <phoneticPr fontId="13"/>
  </si>
  <si>
    <t>WAUZZZF5XJA042379</t>
    <phoneticPr fontId="13"/>
  </si>
  <si>
    <t>三重 330 ろ 1712</t>
    <rPh sb="0" eb="2">
      <t>ミエ</t>
    </rPh>
    <phoneticPr fontId="13"/>
  </si>
  <si>
    <t>WMWXM520702D00443</t>
    <phoneticPr fontId="13"/>
  </si>
  <si>
    <t>ｷｬﾝｾﾙ 書類返送12/22</t>
    <rPh sb="6" eb="10">
      <t>ショルイヘンソウ</t>
    </rPh>
    <phoneticPr fontId="13"/>
  </si>
  <si>
    <t>LA650S-0280301</t>
    <phoneticPr fontId="13"/>
  </si>
  <si>
    <t>ｼﾞｰﾌﾟ ﾚﾈｹﾞｰﾄ ﾄﾚｲﾙﾎｰｸ</t>
    <phoneticPr fontId="13"/>
  </si>
  <si>
    <t>1C4BU0000KPJ89001</t>
    <phoneticPr fontId="13"/>
  </si>
  <si>
    <t>ｷｰﾚｽ(車内)取説 ﾜﾝｵｰﾅｰ</t>
    <rPh sb="8" eb="10">
      <t>トリセツ</t>
    </rPh>
    <phoneticPr fontId="13"/>
  </si>
  <si>
    <t>地図SD(車内)取説 ﾅﾋﾞ取 ﾘﾓｺﾝ</t>
    <rPh sb="0" eb="2">
      <t>チズ</t>
    </rPh>
    <rPh sb="8" eb="10">
      <t>トリセツ</t>
    </rPh>
    <rPh sb="14" eb="15">
      <t>トリ</t>
    </rPh>
    <phoneticPr fontId="13"/>
  </si>
  <si>
    <t>地図SD ｷｰﾚｽ3個(車内)</t>
    <rPh sb="0" eb="2">
      <t>チズ</t>
    </rPh>
    <rPh sb="10" eb="11">
      <t>コ</t>
    </rPh>
    <phoneticPr fontId="13"/>
  </si>
  <si>
    <t>保証書 取説(車内)SD</t>
    <rPh sb="0" eb="3">
      <t>ホショウショ</t>
    </rPh>
    <rPh sb="4" eb="6">
      <t>トリセツ</t>
    </rPh>
    <phoneticPr fontId="13"/>
  </si>
  <si>
    <t>ｷｰﾚｽ 地図SD(車内)保証書 取説 ﾅﾋﾞ取</t>
    <rPh sb="13" eb="16">
      <t>ホショウショ</t>
    </rPh>
    <rPh sb="17" eb="19">
      <t>トリセツ</t>
    </rPh>
    <rPh sb="23" eb="24">
      <t>トリ</t>
    </rPh>
    <phoneticPr fontId="13"/>
  </si>
  <si>
    <t>ｷｰﾚｽ 地図SD(車内)</t>
    <phoneticPr fontId="13"/>
  </si>
  <si>
    <t>582 い 7321</t>
    <phoneticPr fontId="13"/>
  </si>
  <si>
    <t>582 い 7319</t>
    <phoneticPr fontId="13"/>
  </si>
  <si>
    <t>582 い 7320</t>
    <phoneticPr fontId="13"/>
  </si>
  <si>
    <t>27-2323</t>
  </si>
  <si>
    <t>27-2324</t>
  </si>
  <si>
    <t>安永様</t>
    <rPh sb="0" eb="2">
      <t>ヤスナガ</t>
    </rPh>
    <rPh sb="2" eb="3">
      <t>サマ</t>
    </rPh>
    <phoneticPr fontId="13"/>
  </si>
  <si>
    <t>ﾉｱ</t>
    <phoneticPr fontId="13"/>
  </si>
  <si>
    <t>ZRR70-0388055</t>
    <phoneticPr fontId="13"/>
  </si>
  <si>
    <t>神戸 503 ち 1738</t>
    <rPh sb="0" eb="2">
      <t>コウベ</t>
    </rPh>
    <phoneticPr fontId="13"/>
  </si>
  <si>
    <t>安永 祐二</t>
    <rPh sb="0" eb="2">
      <t>ヤスナガ</t>
    </rPh>
    <rPh sb="3" eb="5">
      <t>ユウジ</t>
    </rPh>
    <phoneticPr fontId="13"/>
  </si>
  <si>
    <t>西澤様</t>
    <rPh sb="0" eb="2">
      <t>ニシザワ</t>
    </rPh>
    <rPh sb="2" eb="3">
      <t>サマ</t>
    </rPh>
    <phoneticPr fontId="13"/>
  </si>
  <si>
    <t>ｼﾞｬｶﾞｰ F PACE</t>
    <phoneticPr fontId="13"/>
  </si>
  <si>
    <t>SADCA2ANXJA287038</t>
    <phoneticPr fontId="13"/>
  </si>
  <si>
    <t>姫路 331 ね 2996</t>
    <rPh sb="0" eb="2">
      <t>ヒメジ</t>
    </rPh>
    <phoneticPr fontId="13"/>
  </si>
  <si>
    <t>西澤 真菜</t>
    <rPh sb="0" eb="2">
      <t>ニシザワ</t>
    </rPh>
    <rPh sb="3" eb="5">
      <t>マナ</t>
    </rPh>
    <phoneticPr fontId="13"/>
  </si>
  <si>
    <t>27-2325</t>
  </si>
  <si>
    <t>27-2326</t>
  </si>
  <si>
    <t>27-2327</t>
  </si>
  <si>
    <t>A316654</t>
    <phoneticPr fontId="13"/>
  </si>
  <si>
    <t>ｳﾞｫｸｼｰ ZS 煌3</t>
    <rPh sb="10" eb="11">
      <t>キラメ</t>
    </rPh>
    <phoneticPr fontId="13"/>
  </si>
  <si>
    <t>ZRR80-0667713</t>
    <phoneticPr fontId="13"/>
  </si>
  <si>
    <t>27-2328</t>
  </si>
  <si>
    <t>27-2329</t>
  </si>
  <si>
    <t>27-2330</t>
  </si>
  <si>
    <t>27-2331</t>
  </si>
  <si>
    <t>27-2332</t>
  </si>
  <si>
    <t>27-2333</t>
  </si>
  <si>
    <t>27-2334</t>
  </si>
  <si>
    <t>地図SD(車内)保証書 取説 ｷｰﾚｽ ﾅﾋﾞ取 ﾜﾝｵｰﾅｰ</t>
    <rPh sb="8" eb="11">
      <t>ホショウショ</t>
    </rPh>
    <rPh sb="12" eb="14">
      <t>トリセツ</t>
    </rPh>
    <rPh sb="23" eb="24">
      <t>トリ</t>
    </rPh>
    <phoneticPr fontId="13"/>
  </si>
  <si>
    <t>佐藤 健一</t>
    <rPh sb="0" eb="2">
      <t>サトウ</t>
    </rPh>
    <rPh sb="3" eb="5">
      <t>ケンイチ</t>
    </rPh>
    <phoneticPr fontId="13"/>
  </si>
  <si>
    <t>岡田 展久</t>
    <rPh sb="0" eb="2">
      <t>オカダ</t>
    </rPh>
    <rPh sb="3" eb="4">
      <t>テン</t>
    </rPh>
    <rPh sb="4" eb="5">
      <t>ヒサ</t>
    </rPh>
    <phoneticPr fontId="13"/>
  </si>
  <si>
    <t>王 暁雁</t>
    <rPh sb="0" eb="1">
      <t>オウ</t>
    </rPh>
    <rPh sb="2" eb="3">
      <t>アカツキ</t>
    </rPh>
    <phoneticPr fontId="13"/>
  </si>
  <si>
    <t>大工原 忠相</t>
    <rPh sb="0" eb="3">
      <t>ダイクハラ</t>
    </rPh>
    <rPh sb="4" eb="5">
      <t>タダ</t>
    </rPh>
    <phoneticPr fontId="13"/>
  </si>
  <si>
    <t>大可 虎太郎</t>
    <rPh sb="0" eb="2">
      <t>オオカ</t>
    </rPh>
    <rPh sb="3" eb="6">
      <t>トラタロウ</t>
    </rPh>
    <phoneticPr fontId="13"/>
  </si>
  <si>
    <t>森田 喜光</t>
    <rPh sb="0" eb="2">
      <t>モリタ</t>
    </rPh>
    <rPh sb="3" eb="4">
      <t>ヨロコ</t>
    </rPh>
    <rPh sb="4" eb="5">
      <t>ヒカリ</t>
    </rPh>
    <phoneticPr fontId="13"/>
  </si>
  <si>
    <t>合同会社TORIYA太田</t>
    <rPh sb="0" eb="4">
      <t>ゴウドウカイシャ</t>
    </rPh>
    <rPh sb="10" eb="12">
      <t>オオタ</t>
    </rPh>
    <phoneticPr fontId="13"/>
  </si>
  <si>
    <t>WVWZZZ16ZKM704891</t>
    <phoneticPr fontId="13"/>
  </si>
  <si>
    <t>ﾌﾟｼﾞｮｰ3008 ｱﾘｭｰﾙ</t>
    <phoneticPr fontId="13"/>
  </si>
  <si>
    <t>VF3M45GZWHS008690</t>
    <phoneticPr fontId="13"/>
  </si>
  <si>
    <t>横浜 360 め 1015</t>
    <rPh sb="0" eb="2">
      <t>ヨコハマ</t>
    </rPh>
    <phoneticPr fontId="13"/>
  </si>
  <si>
    <t>MRﾜｺﾞﾝ WIT TS</t>
    <phoneticPr fontId="13"/>
  </si>
  <si>
    <t>MF33S-240744</t>
    <phoneticPr fontId="13"/>
  </si>
  <si>
    <t>LA650S-0202277</t>
    <phoneticPr fontId="13"/>
  </si>
  <si>
    <t>京都 580 わ 8662</t>
    <rPh sb="0" eb="2">
      <t>キョウト</t>
    </rPh>
    <phoneticPr fontId="13"/>
  </si>
  <si>
    <t>ﾑｰﾌﾞ ﾌﾛﾝﾄｼｰﾄﾘﾌﾄXﾘﾐﾃｯﾄﾞ2</t>
    <phoneticPr fontId="13"/>
  </si>
  <si>
    <t>LA150S-2127640</t>
    <phoneticPr fontId="13"/>
  </si>
  <si>
    <t>ANH20-8290709</t>
    <phoneticPr fontId="13"/>
  </si>
  <si>
    <t>ｷｬｽﾄ ｱｸﾃｨﾊﾞ G</t>
    <phoneticPr fontId="13"/>
  </si>
  <si>
    <t xml:space="preserve"> LA250S-0093802</t>
    <phoneticPr fontId="13"/>
  </si>
  <si>
    <t>ｴﾌﾞﾘｲﾜｺﾞﾝ JPﾀｰﾎﾞ ﾊｲﾙｰﾌ</t>
    <phoneticPr fontId="13"/>
  </si>
  <si>
    <t>DA17W-326153</t>
    <phoneticPr fontId="13"/>
  </si>
  <si>
    <t>広島 582 せ 6433</t>
    <rPh sb="0" eb="2">
      <t>ヒロシマ</t>
    </rPh>
    <phoneticPr fontId="13"/>
  </si>
  <si>
    <t>ｽﾍﾟｰｽｶｽﾀﾑ ﾊｲﾌﾞﾘｯﾄﾞXSﾀｰﾎﾞ</t>
    <phoneticPr fontId="13"/>
  </si>
  <si>
    <t>MK53S-862849</t>
    <phoneticPr fontId="13"/>
  </si>
  <si>
    <t>広島 581 は 3378</t>
    <rPh sb="0" eb="2">
      <t>ヒロシマ</t>
    </rPh>
    <phoneticPr fontId="13"/>
  </si>
  <si>
    <t>MR92S-233853</t>
    <phoneticPr fontId="13"/>
  </si>
  <si>
    <t>広島 582 こ 4929</t>
    <rPh sb="0" eb="2">
      <t>ヒロシマ</t>
    </rPh>
    <phoneticPr fontId="13"/>
  </si>
  <si>
    <t>VW ｱﾙﾃｵﾝ 4WD</t>
    <phoneticPr fontId="13"/>
  </si>
  <si>
    <t>WVWZZZ3HZJE519758</t>
    <phoneticPr fontId="13"/>
  </si>
  <si>
    <t>ﾎﾞﾙﾎﾞ V40 T3 ｲﾝｽｸﾘﾌﾟｼｮﾝ</t>
    <phoneticPr fontId="13"/>
  </si>
  <si>
    <t>YV1MV2920K2609225</t>
    <phoneticPr fontId="13"/>
  </si>
  <si>
    <t>株式会社ｼｭﾃﾙﾝ近鉄</t>
    <rPh sb="0" eb="4">
      <t>カブシキガイシャ</t>
    </rPh>
    <rPh sb="9" eb="11">
      <t>キンテツ</t>
    </rPh>
    <phoneticPr fontId="13"/>
  </si>
  <si>
    <t>12/23</t>
    <phoneticPr fontId="13"/>
  </si>
  <si>
    <t>ｷｰﾚｽ 取説</t>
    <rPh sb="5" eb="7">
      <t>トリセツ</t>
    </rPh>
    <phoneticPr fontId="13"/>
  </si>
  <si>
    <t>ﾈｯﾂﾄﾖﾀ瀬戸内株式会社</t>
    <rPh sb="6" eb="9">
      <t>セトウチ</t>
    </rPh>
    <rPh sb="9" eb="13">
      <t>カブシキガイシャ</t>
    </rPh>
    <phoneticPr fontId="13"/>
  </si>
  <si>
    <t>神戸 336 そ 2228</t>
    <rPh sb="0" eb="2">
      <t>コウベ</t>
    </rPh>
    <phoneticPr fontId="13"/>
  </si>
  <si>
    <t>神戸 39A そ 6232</t>
    <rPh sb="0" eb="2">
      <t>コウベ</t>
    </rPh>
    <phoneticPr fontId="13"/>
  </si>
  <si>
    <t>神戸 378 つ 1223</t>
    <rPh sb="0" eb="2">
      <t>コウベ</t>
    </rPh>
    <phoneticPr fontId="13"/>
  </si>
  <si>
    <t>神戸 39A そ 6056</t>
    <rPh sb="0" eb="2">
      <t>コウベ</t>
    </rPh>
    <phoneticPr fontId="13"/>
  </si>
  <si>
    <t>岡山 332 ふ 8128</t>
    <rPh sb="0" eb="2">
      <t>オカヤマ</t>
    </rPh>
    <phoneticPr fontId="13"/>
  </si>
  <si>
    <t>愛媛 399 そ 769</t>
    <rPh sb="0" eb="2">
      <t>エヒメ</t>
    </rPh>
    <phoneticPr fontId="13"/>
  </si>
  <si>
    <t>株式会社ﾛｲﾔﾙｶｰｻｰﾋﾞｽ</t>
    <rPh sb="0" eb="4">
      <t>カブシキガイシャ</t>
    </rPh>
    <phoneticPr fontId="13"/>
  </si>
  <si>
    <t>和泉 337 た 5</t>
    <rPh sb="0" eb="2">
      <t>イズミ</t>
    </rPh>
    <phoneticPr fontId="13"/>
  </si>
  <si>
    <t>滋賀 331 に 535</t>
    <rPh sb="0" eb="2">
      <t>シガ</t>
    </rPh>
    <phoneticPr fontId="13"/>
  </si>
  <si>
    <t>島根 581 う 8127</t>
    <rPh sb="0" eb="2">
      <t>シマネ</t>
    </rPh>
    <phoneticPr fontId="13"/>
  </si>
  <si>
    <t>岡山 337 さ 728</t>
    <rPh sb="0" eb="2">
      <t>オカヤマ</t>
    </rPh>
    <phoneticPr fontId="13"/>
  </si>
  <si>
    <t>保証書 取説 ﾅﾋﾞ取 ｷｰﾚｽ B-CAS ﾜﾝｵｰﾅｰ？</t>
    <rPh sb="0" eb="3">
      <t>ホショウショ</t>
    </rPh>
    <rPh sb="4" eb="6">
      <t>トリセツ</t>
    </rPh>
    <rPh sb="10" eb="11">
      <t>トリ</t>
    </rPh>
    <phoneticPr fontId="13"/>
  </si>
  <si>
    <t>京都 583 え 4524</t>
    <rPh sb="0" eb="2">
      <t>キョウト</t>
    </rPh>
    <phoneticPr fontId="13"/>
  </si>
  <si>
    <t>香川 581 い 5009</t>
    <rPh sb="0" eb="2">
      <t>カガワ</t>
    </rPh>
    <phoneticPr fontId="13"/>
  </si>
  <si>
    <t>愛媛 584 は 200</t>
    <rPh sb="0" eb="2">
      <t>エヒメ</t>
    </rPh>
    <phoneticPr fontId="13"/>
  </si>
  <si>
    <t>株式会社ｽｽﾞｷ自販愛媛</t>
    <rPh sb="0" eb="4">
      <t>カブシキガイシャ</t>
    </rPh>
    <rPh sb="9" eb="11">
      <t>エヒメ</t>
    </rPh>
    <phoneticPr fontId="13"/>
  </si>
  <si>
    <t>愛媛 300 ら 6429</t>
    <rPh sb="0" eb="2">
      <t>エヒメ</t>
    </rPh>
    <phoneticPr fontId="13"/>
  </si>
  <si>
    <t>愛媛ﾄﾖﾀ自動車株式会社</t>
    <rPh sb="0" eb="2">
      <t>エヒメ</t>
    </rPh>
    <rPh sb="5" eb="12">
      <t>ジドウシャカブシキガイシャ</t>
    </rPh>
    <phoneticPr fontId="13"/>
  </si>
  <si>
    <t>株式会社HIROﾓｰﾀｰｽ</t>
    <rPh sb="0" eb="4">
      <t>カブシキガイシャ</t>
    </rPh>
    <phoneticPr fontId="13"/>
  </si>
  <si>
    <t>なにわ 5P8 ろ 2079</t>
    <phoneticPr fontId="13"/>
  </si>
  <si>
    <t>取説 ｷｰﾚｽ ﾏｲｸﾛ地図SD(車内)保証書</t>
    <rPh sb="0" eb="2">
      <t>トリセツ</t>
    </rPh>
    <rPh sb="12" eb="14">
      <t>チズ</t>
    </rPh>
    <rPh sb="20" eb="23">
      <t>ホショウショ</t>
    </rPh>
    <phoneticPr fontId="13"/>
  </si>
  <si>
    <t>江東 580 ろ 1028</t>
    <rPh sb="0" eb="2">
      <t>エトウ</t>
    </rPh>
    <phoneticPr fontId="13"/>
  </si>
  <si>
    <t>なにわ 338 り 613</t>
    <phoneticPr fontId="13"/>
  </si>
  <si>
    <t>なにわ 39A め 4200</t>
    <phoneticPr fontId="13"/>
  </si>
  <si>
    <t>なにわ 5P8 ろ 4285</t>
    <phoneticPr fontId="13"/>
  </si>
  <si>
    <t>飛鳥 599 さ 6655</t>
    <rPh sb="0" eb="2">
      <t>アスカ</t>
    </rPh>
    <phoneticPr fontId="13"/>
  </si>
  <si>
    <t>地図SD(車内)保証書 ﾅﾋﾞ取</t>
    <rPh sb="8" eb="11">
      <t>ホショウショ</t>
    </rPh>
    <rPh sb="15" eb="16">
      <t>トリ</t>
    </rPh>
    <phoneticPr fontId="13"/>
  </si>
  <si>
    <t>山口 399 ち 1783</t>
    <rPh sb="0" eb="2">
      <t>ヤマグチ</t>
    </rPh>
    <phoneticPr fontId="13"/>
  </si>
  <si>
    <t>ｷｬﾝｾﾙ返送12/25</t>
    <rPh sb="5" eb="7">
      <t>ヘンソウ</t>
    </rPh>
    <phoneticPr fontId="13"/>
  </si>
  <si>
    <t>27-2335</t>
  </si>
  <si>
    <t>27-2336</t>
  </si>
  <si>
    <t>27-2337</t>
  </si>
  <si>
    <t>27-2338</t>
  </si>
  <si>
    <t>27-2339</t>
  </si>
  <si>
    <t>27-2340</t>
  </si>
  <si>
    <t>27-2341</t>
  </si>
  <si>
    <t>27-2342</t>
  </si>
  <si>
    <t>27-2343</t>
  </si>
  <si>
    <t>27-2344</t>
  </si>
  <si>
    <t>27-2345</t>
  </si>
  <si>
    <t>27-2346</t>
  </si>
  <si>
    <t>27-2347</t>
  </si>
  <si>
    <t>27-2348</t>
  </si>
  <si>
    <t>27-2349</t>
  </si>
  <si>
    <t>27-2350</t>
  </si>
  <si>
    <t>27-2351</t>
  </si>
  <si>
    <t>27-2352</t>
  </si>
  <si>
    <t>27-2353</t>
  </si>
  <si>
    <t>27-2354</t>
  </si>
  <si>
    <t>27-2355</t>
  </si>
  <si>
    <t>27-2356</t>
  </si>
  <si>
    <t>MH95S-148628</t>
    <phoneticPr fontId="13"/>
  </si>
  <si>
    <t>LA350S-0238750</t>
    <phoneticPr fontId="13"/>
  </si>
  <si>
    <t>B48W-0002736</t>
    <phoneticPr fontId="13"/>
  </si>
  <si>
    <t>なにわ 333 ふ 5578</t>
    <phoneticPr fontId="13"/>
  </si>
  <si>
    <t>WMWXR520602P14263</t>
    <phoneticPr fontId="13"/>
  </si>
  <si>
    <t>WBA8X32030G443695</t>
    <phoneticPr fontId="13"/>
  </si>
  <si>
    <t>LA600S-0733095</t>
    <phoneticPr fontId="13"/>
  </si>
  <si>
    <t>DK5FW-125607</t>
    <phoneticPr fontId="13"/>
  </si>
  <si>
    <t>ﾌﾟﾘｳｽ Aﾂｰﾘﾝｸﾞ</t>
    <phoneticPr fontId="13"/>
  </si>
  <si>
    <t>ZVW51-6061222</t>
    <phoneticPr fontId="13"/>
  </si>
  <si>
    <t>ｶﾛｰﾗﾌｨｰﾙﾀﾞｰHV</t>
    <phoneticPr fontId="13"/>
  </si>
  <si>
    <t>NKE165-8051655</t>
    <phoneticPr fontId="13"/>
  </si>
  <si>
    <t>WMW72BB0X02R67590</t>
    <phoneticPr fontId="13"/>
  </si>
  <si>
    <t>27-2357</t>
  </si>
  <si>
    <t>ｽﾍﾟｱｷｰ SD</t>
    <phoneticPr fontId="13"/>
  </si>
  <si>
    <t>8/12/27</t>
    <phoneticPr fontId="13"/>
  </si>
  <si>
    <t>ﾜｺﾞﾝR  ﾊｲﾌﾞﾘｯﾄﾞFX</t>
    <phoneticPr fontId="13"/>
  </si>
  <si>
    <t>ﾃﾞｲｽﾞ 4WD ﾊｲｳｪｲｽﾀｰG</t>
    <phoneticPr fontId="13"/>
  </si>
  <si>
    <t>ﾎﾞﾙﾎﾞ V40  T2</t>
    <phoneticPr fontId="13"/>
  </si>
  <si>
    <t>BMW 3ｼﾘｰｽﾞ320iｸﾞﾗﾝﾂｰﾘｽﾓ</t>
    <phoneticPr fontId="13"/>
  </si>
  <si>
    <t>仕入れ日/仕入れ先</t>
    <phoneticPr fontId="13"/>
  </si>
  <si>
    <t>ﾊｲｾﾞｯﾄﾄﾗｯｸ ﾊｲﾙｰﾌ4WD</t>
    <phoneticPr fontId="13"/>
  </si>
  <si>
    <t>S510P-0485161</t>
    <phoneticPr fontId="13"/>
  </si>
  <si>
    <t>三重 480 わ 2561</t>
    <rPh sb="0" eb="2">
      <t>ミエ</t>
    </rPh>
    <phoneticPr fontId="13"/>
  </si>
  <si>
    <t>ﾌﾟﾘｳｽｱﾙﾌｧ S ﾁｭｰﾝ</t>
    <phoneticPr fontId="13"/>
  </si>
  <si>
    <t>ZVW40-0022830</t>
    <phoneticPr fontId="13"/>
  </si>
  <si>
    <t>AGH30-0288465</t>
    <phoneticPr fontId="13"/>
  </si>
  <si>
    <t>ﾉｱ Siﾀﾞﾌﾞﾙﾊﾞｲﾋﾞｰ</t>
    <phoneticPr fontId="13"/>
  </si>
  <si>
    <t>ZRR80-0388666</t>
    <phoneticPr fontId="13"/>
  </si>
  <si>
    <t>滋賀 350 ぬ 122</t>
    <rPh sb="0" eb="2">
      <t>シガ</t>
    </rPh>
    <phoneticPr fontId="13"/>
  </si>
  <si>
    <t>DA17-177902</t>
    <phoneticPr fontId="13"/>
  </si>
  <si>
    <t>大阪 480 ぬ 6706</t>
    <rPh sb="0" eb="2">
      <t>オオサカ</t>
    </rPh>
    <phoneticPr fontId="13"/>
  </si>
  <si>
    <t>MK53S-515859</t>
    <phoneticPr fontId="13"/>
  </si>
  <si>
    <t>奈良 581 て 6882</t>
    <rPh sb="0" eb="2">
      <t>ナラ</t>
    </rPh>
    <phoneticPr fontId="13"/>
  </si>
  <si>
    <t>HE33S-226114</t>
    <phoneticPr fontId="13"/>
  </si>
  <si>
    <t>奈良 587 ほ 1203</t>
    <rPh sb="0" eb="2">
      <t>ナラ</t>
    </rPh>
    <phoneticPr fontId="13"/>
  </si>
  <si>
    <t>品川 5X2 ろ 7706</t>
    <rPh sb="0" eb="2">
      <t>シナガワ</t>
    </rPh>
    <phoneticPr fontId="13"/>
  </si>
  <si>
    <t>12/25</t>
    <phoneticPr fontId="13"/>
  </si>
  <si>
    <t>日産 ｸﾘｯﾊﾟｰ</t>
    <rPh sb="0" eb="2">
      <t>ニッサン</t>
    </rPh>
    <phoneticPr fontId="13"/>
  </si>
  <si>
    <t>DR17V-627386</t>
    <phoneticPr fontId="13"/>
  </si>
  <si>
    <t>LA900S-0114028</t>
    <phoneticPr fontId="13"/>
  </si>
  <si>
    <t>LA550S-0056971</t>
    <phoneticPr fontId="13"/>
  </si>
  <si>
    <t xml:space="preserve">ﾀﾝﾄ ｶｽﾀﾑ RS </t>
    <phoneticPr fontId="13"/>
  </si>
  <si>
    <t>LA600S-0726006</t>
    <phoneticPr fontId="13"/>
  </si>
  <si>
    <t>岐阜 5YF と 358</t>
    <rPh sb="0" eb="2">
      <t>ギフ</t>
    </rPh>
    <phoneticPr fontId="13"/>
  </si>
  <si>
    <t>LA650S-0265877</t>
    <phoneticPr fontId="13"/>
  </si>
  <si>
    <t>尾張小牧 581 ふ 5788</t>
    <rPh sb="0" eb="4">
      <t>オワリコマキ</t>
    </rPh>
    <phoneticPr fontId="13"/>
  </si>
  <si>
    <t>ﾊｽﾗｰ HV</t>
    <phoneticPr fontId="13"/>
  </si>
  <si>
    <t>MR92S-188369</t>
    <phoneticPr fontId="13"/>
  </si>
  <si>
    <t>JF3-5076752</t>
    <phoneticPr fontId="13"/>
  </si>
  <si>
    <t>徳島 530 ね 1867</t>
    <rPh sb="0" eb="2">
      <t>トクシマ</t>
    </rPh>
    <phoneticPr fontId="13"/>
  </si>
  <si>
    <t>株式会社ﾎﾝﾀﾞｶｰｽﾞ徳島</t>
    <rPh sb="0" eb="4">
      <t>カブシキガイシャ</t>
    </rPh>
    <rPh sb="12" eb="14">
      <t>トクシマ</t>
    </rPh>
    <phoneticPr fontId="13"/>
  </si>
  <si>
    <t>横浜 581 ひ 3428</t>
    <rPh sb="0" eb="2">
      <t>ヨコハマ</t>
    </rPh>
    <phoneticPr fontId="13"/>
  </si>
  <si>
    <t>永松 奈実</t>
    <rPh sb="0" eb="2">
      <t>ナガマツ</t>
    </rPh>
    <rPh sb="3" eb="4">
      <t>ナ</t>
    </rPh>
    <rPh sb="4" eb="5">
      <t>ミノル</t>
    </rPh>
    <phoneticPr fontId="13"/>
  </si>
  <si>
    <t>ﾌﾟﾘｳｽ Sﾂｰﾘﾝｸﾞｾﾚｸｼｮﾝ</t>
    <phoneticPr fontId="13"/>
  </si>
  <si>
    <t>ZVW30-5454655</t>
    <phoneticPr fontId="13"/>
  </si>
  <si>
    <t>9/5/24</t>
    <phoneticPr fontId="13"/>
  </si>
  <si>
    <t>姫路 313 り 8008</t>
    <rPh sb="0" eb="2">
      <t>ヒメジ</t>
    </rPh>
    <phoneticPr fontId="13"/>
  </si>
  <si>
    <t>ｱﾙﾌｧｰﾄﾞﾊｲﾌﾞﾘｯﾄﾞ SR</t>
    <phoneticPr fontId="13"/>
  </si>
  <si>
    <t>ATH20-8017866</t>
    <phoneticPr fontId="13"/>
  </si>
  <si>
    <t>ﾑｰﾌﾞｷｬﾝﾊﾞｽ ｾｵﾘｰG</t>
    <phoneticPr fontId="13"/>
  </si>
  <si>
    <t>LA850S-0041844</t>
    <phoneticPr fontId="13"/>
  </si>
  <si>
    <t>姫路 582 い 7180</t>
    <rPh sb="0" eb="2">
      <t>ヒメジ</t>
    </rPh>
    <phoneticPr fontId="13"/>
  </si>
  <si>
    <t>ｴｸｽﾄﾚｲﾙ X e40RCEｴｸｽﾘｰﾏｰX</t>
    <phoneticPr fontId="13"/>
  </si>
  <si>
    <t>SNT33-023131</t>
    <phoneticPr fontId="13"/>
  </si>
  <si>
    <t>ｷｰﾚｽ ﾘﾓｺﾝ (車内)</t>
    <rPh sb="11" eb="13">
      <t>シャナイ</t>
    </rPh>
    <phoneticPr fontId="13"/>
  </si>
  <si>
    <t>保証書 取説 ｷｰﾚｽ(車内)SD</t>
    <rPh sb="0" eb="3">
      <t>ホショウショ</t>
    </rPh>
    <rPh sb="4" eb="6">
      <t>トリセツ</t>
    </rPh>
    <phoneticPr fontId="13"/>
  </si>
  <si>
    <t>保証書 取説 ﾅﾋﾞ取(車内)</t>
    <rPh sb="0" eb="3">
      <t>ホショウショ</t>
    </rPh>
    <rPh sb="4" eb="6">
      <t>トリセツ</t>
    </rPh>
    <rPh sb="10" eb="11">
      <t>トリ</t>
    </rPh>
    <phoneticPr fontId="13"/>
  </si>
  <si>
    <t>27-2358</t>
  </si>
  <si>
    <t>27-2359</t>
  </si>
  <si>
    <t>27-2360</t>
  </si>
  <si>
    <t>27-2361</t>
  </si>
  <si>
    <t>群馬 302 な 4024</t>
    <rPh sb="0" eb="2">
      <t>グンマ</t>
    </rPh>
    <phoneticPr fontId="13"/>
  </si>
  <si>
    <t>群馬ﾄﾖﾀ自動車株式会社</t>
    <rPh sb="0" eb="2">
      <t>グンマ</t>
    </rPh>
    <rPh sb="5" eb="12">
      <t>ジドウシャカブシキガイシャ</t>
    </rPh>
    <phoneticPr fontId="13"/>
  </si>
  <si>
    <t>保証書 取説 ﾅﾋﾞ取 ｽﾍﾟｱｷｰ ｶｰﾄﾞｷｰ ﾜﾝｵｰﾅｰ</t>
    <rPh sb="0" eb="3">
      <t>ホショウショ</t>
    </rPh>
    <rPh sb="4" eb="6">
      <t>トリセツ</t>
    </rPh>
    <rPh sb="10" eb="11">
      <t>トリ</t>
    </rPh>
    <phoneticPr fontId="13"/>
  </si>
  <si>
    <t>習志野 502 せ 8970</t>
    <rPh sb="0" eb="3">
      <t>ナラシノ</t>
    </rPh>
    <phoneticPr fontId="13"/>
  </si>
  <si>
    <t>齊藤 政夫</t>
    <rPh sb="0" eb="2">
      <t>サイトウ</t>
    </rPh>
    <rPh sb="3" eb="5">
      <t>マサオ</t>
    </rPh>
    <phoneticPr fontId="13"/>
  </si>
  <si>
    <t>地図SD(車内)ﾅﾋﾞ取 ｽﾍﾟｱｷｰ</t>
    <rPh sb="0" eb="2">
      <t>チズ</t>
    </rPh>
    <rPh sb="5" eb="7">
      <t>シャナイ</t>
    </rPh>
    <rPh sb="11" eb="12">
      <t>トリ</t>
    </rPh>
    <phoneticPr fontId="13"/>
  </si>
  <si>
    <t>品川 5X1 ろ 4167</t>
    <rPh sb="0" eb="2">
      <t>シナガワ</t>
    </rPh>
    <phoneticPr fontId="13"/>
  </si>
  <si>
    <t>27-2362</t>
  </si>
  <si>
    <t>27-2363</t>
  </si>
  <si>
    <t>ﾒﾙｾﾃﾞｽﾍﾞﾝﾂ GLA250</t>
    <phoneticPr fontId="13"/>
  </si>
  <si>
    <t>W1N2476132W129560</t>
    <phoneticPr fontId="13"/>
  </si>
  <si>
    <t>地図SD(車内)保証書</t>
    <rPh sb="0" eb="2">
      <t>チズ</t>
    </rPh>
    <rPh sb="8" eb="11">
      <t>ホショウショ</t>
    </rPh>
    <phoneticPr fontId="13"/>
  </si>
  <si>
    <t>神戸 304 や 1067</t>
    <rPh sb="0" eb="2">
      <t>コウベ</t>
    </rPh>
    <phoneticPr fontId="13"/>
  </si>
  <si>
    <t>神戸 349 む 228</t>
    <rPh sb="0" eb="2">
      <t>コウベ</t>
    </rPh>
    <phoneticPr fontId="13"/>
  </si>
  <si>
    <t>ﾓﾄｰﾚﾝ福井株式会社</t>
    <rPh sb="5" eb="7">
      <t>フクイ</t>
    </rPh>
    <rPh sb="7" eb="11">
      <t>カブシキガイシャ</t>
    </rPh>
    <phoneticPr fontId="13"/>
  </si>
  <si>
    <t>川本 真嗣</t>
    <rPh sb="0" eb="2">
      <t>カワモト</t>
    </rPh>
    <rPh sb="3" eb="4">
      <t>マ</t>
    </rPh>
    <phoneticPr fontId="13"/>
  </si>
  <si>
    <t>27-2364</t>
  </si>
  <si>
    <t>27-2365</t>
  </si>
  <si>
    <t>27-2366</t>
  </si>
  <si>
    <t>NKE165-8019673</t>
    <phoneticPr fontId="13"/>
  </si>
  <si>
    <t>WMWXS520602H52034</t>
    <phoneticPr fontId="13"/>
  </si>
  <si>
    <t>WMWYT920703D52616</t>
    <phoneticPr fontId="13"/>
  </si>
  <si>
    <t>ｶﾛｰﾗﾌｨｰﾙﾀﾞｰHVG</t>
    <phoneticPr fontId="13"/>
  </si>
  <si>
    <t>株式会社ｲﾃﾞｯｸｽﾊﾞｲｴﾙﾝﾓｰﾀｰｽ</t>
    <rPh sb="0" eb="4">
      <t>カブシキガイシャ</t>
    </rPh>
    <phoneticPr fontId="13"/>
  </si>
  <si>
    <t>27-2367</t>
  </si>
  <si>
    <t>27-2368</t>
  </si>
  <si>
    <t>27-2369</t>
  </si>
  <si>
    <t>27-2370</t>
  </si>
  <si>
    <t>27-2371</t>
  </si>
  <si>
    <t>27-2372</t>
  </si>
  <si>
    <t>27-2373</t>
  </si>
  <si>
    <t>27-2374</t>
  </si>
  <si>
    <t>27-2375</t>
  </si>
  <si>
    <t>27-2376</t>
  </si>
  <si>
    <t>27-2377</t>
  </si>
  <si>
    <t>27-2378</t>
  </si>
  <si>
    <t>27-2379</t>
  </si>
  <si>
    <t>27-2380</t>
  </si>
  <si>
    <t>27-2381</t>
  </si>
  <si>
    <t>JF3-1460405</t>
    <phoneticPr fontId="13"/>
  </si>
  <si>
    <t>N-BOXｶｽﾀﾑ G Lﾎﾝﾀﾞｾﾝｼﾝｸﾞ</t>
    <phoneticPr fontId="13"/>
  </si>
  <si>
    <t>品川 39A む 1443</t>
    <rPh sb="0" eb="2">
      <t>シナガワ</t>
    </rPh>
    <phoneticPr fontId="13"/>
  </si>
  <si>
    <t>森 賢一</t>
    <rPh sb="0" eb="1">
      <t>モリ</t>
    </rPh>
    <rPh sb="2" eb="4">
      <t>ケンイチ</t>
    </rPh>
    <phoneticPr fontId="13"/>
  </si>
  <si>
    <t>広島 399 に 1719</t>
    <rPh sb="0" eb="2">
      <t>ヒロシマ</t>
    </rPh>
    <phoneticPr fontId="13"/>
  </si>
  <si>
    <t>なにわ 39A め 6004</t>
    <phoneticPr fontId="13"/>
  </si>
  <si>
    <t>広島 580 く 2317</t>
    <rPh sb="0" eb="2">
      <t>ヒロシマ</t>
    </rPh>
    <phoneticPr fontId="13"/>
  </si>
  <si>
    <t>石坂 豪康</t>
    <rPh sb="0" eb="2">
      <t>イシザカ</t>
    </rPh>
    <rPh sb="3" eb="4">
      <t>ゴウ</t>
    </rPh>
    <rPh sb="4" eb="5">
      <t>ヤス</t>
    </rPh>
    <phoneticPr fontId="13"/>
  </si>
  <si>
    <t>広島 584 け 345</t>
    <rPh sb="0" eb="2">
      <t>ヒロシマ</t>
    </rPh>
    <phoneticPr fontId="13"/>
  </si>
  <si>
    <t>小池 謙造</t>
    <rPh sb="0" eb="2">
      <t>コイケ</t>
    </rPh>
    <rPh sb="3" eb="4">
      <t>ケン</t>
    </rPh>
    <rPh sb="4" eb="5">
      <t>ゾウ</t>
    </rPh>
    <phoneticPr fontId="13"/>
  </si>
  <si>
    <t>品川 5X2 ろ 6981</t>
    <rPh sb="0" eb="2">
      <t>シナガワ</t>
    </rPh>
    <phoneticPr fontId="13"/>
  </si>
  <si>
    <t>Ｓｷｰ</t>
    <phoneticPr fontId="13"/>
  </si>
  <si>
    <t>品川 5X2 ろ 6988</t>
    <rPh sb="0" eb="2">
      <t>シナガワ</t>
    </rPh>
    <phoneticPr fontId="13"/>
  </si>
  <si>
    <t>品川 5X1 ろ 687</t>
    <rPh sb="0" eb="2">
      <t>シナガワ</t>
    </rPh>
    <phoneticPr fontId="13"/>
  </si>
  <si>
    <t>岐阜 582 い 7345</t>
    <rPh sb="0" eb="2">
      <t>ギフ</t>
    </rPh>
    <phoneticPr fontId="13"/>
  </si>
  <si>
    <t>和泉 581 に 3251</t>
    <rPh sb="0" eb="2">
      <t>イズミ</t>
    </rPh>
    <phoneticPr fontId="13"/>
  </si>
  <si>
    <t>株式会社ﾎﾝﾀﾞ泉州販売</t>
    <rPh sb="0" eb="4">
      <t>カブシキガイシャ</t>
    </rPh>
    <rPh sb="8" eb="10">
      <t>センシュウ</t>
    </rPh>
    <phoneticPr fontId="13"/>
  </si>
  <si>
    <t>地図SD(車内)ｷｰﾚｽ</t>
    <rPh sb="0" eb="2">
      <t>チズ</t>
    </rPh>
    <phoneticPr fontId="13"/>
  </si>
  <si>
    <t>南信州 580 ろ 158</t>
    <rPh sb="0" eb="1">
      <t>ミナミ</t>
    </rPh>
    <rPh sb="1" eb="3">
      <t>シンシュウ</t>
    </rPh>
    <phoneticPr fontId="13"/>
  </si>
  <si>
    <t>株式会社原ﾎﾝﾀﾞ</t>
    <rPh sb="0" eb="4">
      <t>カブシキガイシャ</t>
    </rPh>
    <rPh sb="4" eb="5">
      <t>ハラ</t>
    </rPh>
    <phoneticPr fontId="13"/>
  </si>
  <si>
    <t xml:space="preserve">保証書 取説 Ｓｷｰ </t>
    <rPh sb="0" eb="3">
      <t>ホショウショ</t>
    </rPh>
    <rPh sb="4" eb="6">
      <t>トリセツ</t>
    </rPh>
    <phoneticPr fontId="13"/>
  </si>
  <si>
    <t>兵庫三菱自動車販売株式会社</t>
    <rPh sb="0" eb="2">
      <t>ヒョウゴ</t>
    </rPh>
    <rPh sb="2" eb="4">
      <t>ミツビシ</t>
    </rPh>
    <rPh sb="4" eb="13">
      <t>ジドウシャハンバイカブシキガイシャ</t>
    </rPh>
    <phoneticPr fontId="13"/>
  </si>
  <si>
    <t>三重 584 ろ 9166</t>
    <rPh sb="0" eb="2">
      <t>ミエ</t>
    </rPh>
    <phoneticPr fontId="13"/>
  </si>
  <si>
    <t>堀内自動車工業株式会社</t>
    <rPh sb="0" eb="2">
      <t>ホリウチ</t>
    </rPh>
    <rPh sb="2" eb="5">
      <t>ジドウシャ</t>
    </rPh>
    <rPh sb="5" eb="7">
      <t>コウギョウ</t>
    </rPh>
    <rPh sb="7" eb="11">
      <t>カブシキガイシャ</t>
    </rPh>
    <phoneticPr fontId="13"/>
  </si>
  <si>
    <t>岡山 584 ろ 2777</t>
    <rPh sb="0" eb="2">
      <t>オカヤマ</t>
    </rPh>
    <phoneticPr fontId="13"/>
  </si>
  <si>
    <t>保証書 取説 SD抜いてます</t>
    <rPh sb="0" eb="3">
      <t>ホショウショ</t>
    </rPh>
    <rPh sb="4" eb="6">
      <t>トリセツ</t>
    </rPh>
    <rPh sb="9" eb="10">
      <t>ヌ</t>
    </rPh>
    <phoneticPr fontId="13"/>
  </si>
  <si>
    <t>浜松 585 る 318</t>
    <rPh sb="0" eb="2">
      <t>ハママツ</t>
    </rPh>
    <phoneticPr fontId="13"/>
  </si>
  <si>
    <t>香川 785 る 3</t>
    <rPh sb="0" eb="2">
      <t>カガワ</t>
    </rPh>
    <phoneticPr fontId="13"/>
  </si>
  <si>
    <t>豊田 和生</t>
    <rPh sb="0" eb="2">
      <t>トヨタ</t>
    </rPh>
    <rPh sb="3" eb="4">
      <t>カズ</t>
    </rPh>
    <rPh sb="4" eb="5">
      <t>ナマ</t>
    </rPh>
    <phoneticPr fontId="13"/>
  </si>
  <si>
    <t xml:space="preserve">地図SD(車内)保証書 取説 Sｷｰ </t>
    <rPh sb="8" eb="11">
      <t>ホショウショ</t>
    </rPh>
    <rPh sb="12" eb="14">
      <t>トリセツ</t>
    </rPh>
    <phoneticPr fontId="13"/>
  </si>
  <si>
    <t>長野 582 ろ 7026</t>
    <rPh sb="0" eb="2">
      <t>ナガノ</t>
    </rPh>
    <phoneticPr fontId="13"/>
  </si>
  <si>
    <t>株式会社申信ﾏﾂﾀﾞ</t>
    <rPh sb="0" eb="4">
      <t>カブシキガイシャ</t>
    </rPh>
    <rPh sb="4" eb="5">
      <t>シン</t>
    </rPh>
    <rPh sb="5" eb="6">
      <t>シン</t>
    </rPh>
    <phoneticPr fontId="13"/>
  </si>
  <si>
    <t>ﾏｲｸﾛ地図(車内)保証書 取説 ﾅﾋﾞ取 ｷｰﾚｽ ﾜﾝｵｰﾅｰ</t>
    <rPh sb="4" eb="6">
      <t>チズ</t>
    </rPh>
    <rPh sb="10" eb="13">
      <t>ホショウショ</t>
    </rPh>
    <rPh sb="14" eb="16">
      <t>トリセツ</t>
    </rPh>
    <rPh sb="20" eb="21">
      <t>トリ</t>
    </rPh>
    <phoneticPr fontId="13"/>
  </si>
  <si>
    <t>ﾘﾓｺﾝ(車内)保証書 取説 ｽﾛｰﾊﾟｰ取説 ﾏｲｸﾛSD ｷｰﾚｽ SD2個 ﾜﾝｵｰﾅｰ</t>
    <rPh sb="8" eb="11">
      <t>ホショウショ</t>
    </rPh>
    <rPh sb="12" eb="14">
      <t>トリセツ</t>
    </rPh>
    <rPh sb="21" eb="23">
      <t>トリセツ</t>
    </rPh>
    <rPh sb="39" eb="40">
      <t>コ</t>
    </rPh>
    <phoneticPr fontId="13"/>
  </si>
  <si>
    <t>YV1MV2820K2603407</t>
    <phoneticPr fontId="13"/>
  </si>
  <si>
    <t>582 い 8067</t>
    <phoneticPr fontId="13"/>
  </si>
  <si>
    <t>愛媛 537 せ 815</t>
    <rPh sb="0" eb="2">
      <t>エヒメ</t>
    </rPh>
    <phoneticPr fontId="13"/>
  </si>
  <si>
    <t xml:space="preserve">ｽﾍﾟｱｷｰ(車内)保証書 取説 </t>
    <rPh sb="10" eb="13">
      <t>ホショウショ</t>
    </rPh>
    <rPh sb="14" eb="16">
      <t>トリセツ</t>
    </rPh>
    <phoneticPr fontId="13"/>
  </si>
  <si>
    <t>練馬 330 ち 1846</t>
    <rPh sb="0" eb="2">
      <t>ネリマ</t>
    </rPh>
    <phoneticPr fontId="13"/>
  </si>
  <si>
    <t>株式会社ｵﾘｺｺｰﾎﾟﾚｰｼｮﾝ</t>
    <rPh sb="0" eb="4">
      <t>カブシキガイシャ</t>
    </rPh>
    <phoneticPr fontId="13"/>
  </si>
  <si>
    <t>保証書2個 取説(車内)ｷｰﾚｽ 印鑑証明切れ陸事で発行可能</t>
    <rPh sb="0" eb="3">
      <t>ホショウショ</t>
    </rPh>
    <rPh sb="4" eb="5">
      <t>コ</t>
    </rPh>
    <rPh sb="6" eb="8">
      <t>トリセツ</t>
    </rPh>
    <rPh sb="17" eb="21">
      <t>インカンショウメイ</t>
    </rPh>
    <rPh sb="21" eb="22">
      <t>キ</t>
    </rPh>
    <rPh sb="23" eb="25">
      <t>リクジ</t>
    </rPh>
    <rPh sb="26" eb="28">
      <t>ハッコウ</t>
    </rPh>
    <rPh sb="28" eb="30">
      <t>カノウ</t>
    </rPh>
    <phoneticPr fontId="13"/>
  </si>
  <si>
    <t>福岡 雄一朗</t>
    <rPh sb="0" eb="2">
      <t>フクオカ</t>
    </rPh>
    <rPh sb="3" eb="5">
      <t>ユウイチ</t>
    </rPh>
    <rPh sb="5" eb="6">
      <t>ロウ</t>
    </rPh>
    <phoneticPr fontId="13"/>
  </si>
  <si>
    <t>久留米 330 ち 7688</t>
    <rPh sb="0" eb="3">
      <t>クルメ</t>
    </rPh>
    <phoneticPr fontId="13"/>
  </si>
  <si>
    <t>姫路 358 む 9999</t>
    <rPh sb="0" eb="2">
      <t>ヒメジ</t>
    </rPh>
    <phoneticPr fontId="13"/>
  </si>
  <si>
    <t>福岡 587 ら 722</t>
    <rPh sb="0" eb="2">
      <t>フクオカ</t>
    </rPh>
    <phoneticPr fontId="13"/>
  </si>
  <si>
    <t>岩隈 理恵</t>
    <rPh sb="0" eb="2">
      <t>イワスミ</t>
    </rPh>
    <rPh sb="3" eb="5">
      <t>リエ</t>
    </rPh>
    <phoneticPr fontId="13"/>
  </si>
  <si>
    <t>黒部 香澄</t>
    <rPh sb="0" eb="2">
      <t>クロベ</t>
    </rPh>
    <rPh sb="3" eb="5">
      <t>カスミ</t>
    </rPh>
    <phoneticPr fontId="13"/>
  </si>
  <si>
    <t>27-2382</t>
  </si>
  <si>
    <t>27-2383</t>
  </si>
  <si>
    <t>27-2384</t>
  </si>
  <si>
    <t>27-2385</t>
  </si>
  <si>
    <t>27-2386</t>
  </si>
  <si>
    <t>27-2387</t>
  </si>
  <si>
    <t>27-2388</t>
  </si>
  <si>
    <t>27-2389</t>
  </si>
  <si>
    <t>27-2390</t>
  </si>
  <si>
    <t>27-2391</t>
  </si>
  <si>
    <t>27-2392</t>
  </si>
  <si>
    <t>27-2393</t>
  </si>
  <si>
    <t>27-2394</t>
  </si>
  <si>
    <t>27-2395</t>
  </si>
  <si>
    <t>27-2396</t>
  </si>
  <si>
    <t>27-2397</t>
  </si>
  <si>
    <t>LA100S-1110203</t>
    <phoneticPr fontId="13"/>
  </si>
  <si>
    <t>DA64W-409702</t>
    <phoneticPr fontId="13"/>
  </si>
  <si>
    <t>DA64W-383855</t>
    <phoneticPr fontId="13"/>
  </si>
  <si>
    <t>MK54S-133761</t>
    <phoneticPr fontId="13"/>
  </si>
  <si>
    <t>LA250S-0179000</t>
    <phoneticPr fontId="13"/>
  </si>
  <si>
    <t>DA17W-166363</t>
    <phoneticPr fontId="13"/>
  </si>
  <si>
    <t>MR41S-282800</t>
    <phoneticPr fontId="13"/>
  </si>
  <si>
    <t>MK53S-369483</t>
    <phoneticPr fontId="13"/>
  </si>
  <si>
    <t>豊田 332 す 3298</t>
    <rPh sb="0" eb="2">
      <t>トヨタ</t>
    </rPh>
    <phoneticPr fontId="13"/>
  </si>
  <si>
    <t>27-2398</t>
  </si>
  <si>
    <t>27-2399</t>
  </si>
  <si>
    <t>27-2400</t>
  </si>
  <si>
    <t>27-2401</t>
  </si>
  <si>
    <t>ｽｲﾌﾄｽﾎﾟｰﾂ</t>
    <phoneticPr fontId="13"/>
  </si>
  <si>
    <t>ZC33S-124566</t>
    <phoneticPr fontId="13"/>
  </si>
  <si>
    <t>ﾌﾚｱｶｽﾀﾑｽﾀｲﾙ XS</t>
    <phoneticPr fontId="13"/>
  </si>
  <si>
    <t>MJ34S-703457</t>
    <phoneticPr fontId="13"/>
  </si>
  <si>
    <t>MRﾜｺﾞﾝ ECO Xｾﾚｸｼｮﾝ</t>
    <phoneticPr fontId="13"/>
  </si>
  <si>
    <t>MF33S-615469</t>
    <phoneticPr fontId="13"/>
  </si>
  <si>
    <t>GSE31-5006438</t>
    <phoneticPr fontId="13"/>
  </si>
  <si>
    <t>GR4-1007314</t>
    <phoneticPr fontId="13"/>
  </si>
  <si>
    <t>B21A-0062665</t>
    <phoneticPr fontId="13"/>
  </si>
  <si>
    <t>ZSG10-1028557</t>
    <phoneticPr fontId="13"/>
  </si>
  <si>
    <t>MK53S-597319</t>
    <phoneticPr fontId="13"/>
  </si>
  <si>
    <t xml:space="preserve">C-HR G </t>
    <phoneticPr fontId="13"/>
  </si>
  <si>
    <t>ZYX10-2043954</t>
    <phoneticPr fontId="13"/>
  </si>
  <si>
    <t>JF1-1452574</t>
    <phoneticPr fontId="13"/>
  </si>
  <si>
    <t>L375S-0130197</t>
    <phoneticPr fontId="13"/>
  </si>
  <si>
    <t>27-2402</t>
  </si>
  <si>
    <t>27-2403</t>
  </si>
  <si>
    <t>27-2404</t>
  </si>
  <si>
    <t>27-2405</t>
  </si>
  <si>
    <t>27-2406</t>
  </si>
  <si>
    <t>LA700S-0125998</t>
    <phoneticPr fontId="13"/>
  </si>
  <si>
    <t>JF5-1148667</t>
    <phoneticPr fontId="13"/>
  </si>
  <si>
    <t>JF1-9201721</t>
    <phoneticPr fontId="13"/>
  </si>
  <si>
    <t>ZVW30-1925924</t>
    <phoneticPr fontId="13"/>
  </si>
  <si>
    <t>AGH30-0326977</t>
    <phoneticPr fontId="13"/>
  </si>
  <si>
    <t>ﾗﾝﾄﾞﾛｰﾊﾞｰ ﾚﾝｼﾞﾛｰﾊﾞｰ  R ﾀﾞｲﾅﾐｯｸ</t>
    <phoneticPr fontId="13"/>
  </si>
  <si>
    <t>SALYA2AX3MA311826</t>
    <phoneticPr fontId="13"/>
  </si>
  <si>
    <t>ﾑｰﾌﾞｶｽﾀﾑX ｽﾏｰﾄｾﾚｸｼｮﾝSA</t>
    <phoneticPr fontId="13"/>
  </si>
  <si>
    <t>豊田 580 ね 4586</t>
    <rPh sb="0" eb="2">
      <t>トヨタ</t>
    </rPh>
    <phoneticPr fontId="13"/>
  </si>
  <si>
    <t>ｴﾌﾞﾘｲﾜｺﾞﾝ JPﾀｰﾎﾞ ｽﾍﾟｼｬﾙ</t>
    <phoneticPr fontId="13"/>
  </si>
  <si>
    <t>四日市 580 か 9146</t>
    <rPh sb="0" eb="3">
      <t>ヨッカイチ</t>
    </rPh>
    <phoneticPr fontId="13"/>
  </si>
  <si>
    <t>三重 582 た 1493</t>
    <rPh sb="0" eb="2">
      <t>ミエ</t>
    </rPh>
    <phoneticPr fontId="13"/>
  </si>
  <si>
    <t>岐阜 58A あ 9255</t>
    <rPh sb="0" eb="2">
      <t>ギフ</t>
    </rPh>
    <phoneticPr fontId="13"/>
  </si>
  <si>
    <t>N-BOX ｽﾗｯｼｭ Xﾀｰﾎﾞﾊﾟｯｹｰｼﾞ</t>
    <phoneticPr fontId="13"/>
  </si>
  <si>
    <t>ﾌﾟﾘｳｽ S</t>
    <phoneticPr fontId="13"/>
  </si>
  <si>
    <t>ｱﾙﾌｧｰﾄﾞS Cﾊﾟｯｹｰｼﾞ</t>
    <phoneticPr fontId="13"/>
  </si>
  <si>
    <t>9/6/4</t>
    <phoneticPr fontId="13"/>
  </si>
  <si>
    <t>ﾚｸｻｽIS 350 F</t>
    <phoneticPr fontId="13"/>
  </si>
  <si>
    <t>ﾌｨｯﾄ HV</t>
    <phoneticPr fontId="13"/>
  </si>
  <si>
    <t>ﾃﾞｲｽﾞﾙｰ ﾊｲｳｪｲｽﾀｰ</t>
    <phoneticPr fontId="13"/>
  </si>
  <si>
    <t>9/9/25</t>
    <phoneticPr fontId="13"/>
  </si>
  <si>
    <t>N-BOXｶｽﾀﾑ G L</t>
    <phoneticPr fontId="13"/>
  </si>
  <si>
    <t>9/5/21</t>
    <phoneticPr fontId="13"/>
  </si>
  <si>
    <t>21/1</t>
    <phoneticPr fontId="13"/>
  </si>
  <si>
    <t>ZVW50-8067083</t>
    <phoneticPr fontId="13"/>
  </si>
  <si>
    <t>神戸 337 は 2017</t>
    <rPh sb="0" eb="2">
      <t>コウベ</t>
    </rPh>
    <phoneticPr fontId="13"/>
  </si>
  <si>
    <t xml:space="preserve">ﾃﾞﾐｵ XD </t>
    <phoneticPr fontId="13"/>
  </si>
  <si>
    <t>DJ5FS-309692</t>
    <phoneticPr fontId="13"/>
  </si>
  <si>
    <t>神戸 555 ら 110</t>
    <rPh sb="0" eb="2">
      <t>コウベ</t>
    </rPh>
    <phoneticPr fontId="13"/>
  </si>
  <si>
    <t xml:space="preserve">ｳﾞｪﾙﾌｧｲｱ </t>
    <phoneticPr fontId="13"/>
  </si>
  <si>
    <t>ANH20-8263000</t>
    <phoneticPr fontId="13"/>
  </si>
  <si>
    <t>ﾌｨｱｯﾄ500 ﾂｲﾝｴｱ ｶﾙﾄ</t>
    <phoneticPr fontId="13"/>
  </si>
  <si>
    <t>ZFABF1B84NJF85824</t>
    <phoneticPr fontId="13"/>
  </si>
  <si>
    <t>徳島 544 ふ 1123</t>
    <rPh sb="0" eb="2">
      <t>トクシマ</t>
    </rPh>
    <phoneticPr fontId="13"/>
  </si>
  <si>
    <t>福岡 331 す 2024</t>
    <rPh sb="0" eb="2">
      <t>フクオカ</t>
    </rPh>
    <phoneticPr fontId="13"/>
  </si>
  <si>
    <t>12/27</t>
    <phoneticPr fontId="13"/>
  </si>
  <si>
    <t>北九州 399 て 7200</t>
    <rPh sb="0" eb="3">
      <t>キタキュウシュウ</t>
    </rPh>
    <phoneticPr fontId="13"/>
  </si>
  <si>
    <t>ﾀｽﾃｯｸ ﾚﾝﾀﾘｰｽ株式会社</t>
    <rPh sb="12" eb="16">
      <t>カブシキガイシャ</t>
    </rPh>
    <phoneticPr fontId="13"/>
  </si>
  <si>
    <t>姫路 332 そ 1964</t>
    <rPh sb="0" eb="2">
      <t>ヒメジ</t>
    </rPh>
    <phoneticPr fontId="13"/>
  </si>
  <si>
    <t>横浜 32C ぬ 7</t>
    <rPh sb="0" eb="2">
      <t>ヨコハマ</t>
    </rPh>
    <phoneticPr fontId="13"/>
  </si>
  <si>
    <t>株式会社ｻﾄｳｵｰﾄｻｰﾋﾞｽ</t>
    <rPh sb="0" eb="4">
      <t>カブシキガイシャ</t>
    </rPh>
    <phoneticPr fontId="13"/>
  </si>
  <si>
    <t>広島 399 に 1771</t>
    <rPh sb="0" eb="2">
      <t>ヒロシマ</t>
    </rPh>
    <phoneticPr fontId="13"/>
  </si>
  <si>
    <t>京都 583 ほ 7890</t>
    <rPh sb="0" eb="2">
      <t>キョウト</t>
    </rPh>
    <phoneticPr fontId="13"/>
  </si>
  <si>
    <t>京都ﾀﾞｲﾊﾂ販売株式会社</t>
    <rPh sb="0" eb="2">
      <t>キョウト</t>
    </rPh>
    <rPh sb="7" eb="13">
      <t>ハンバイカブシキガイシャ</t>
    </rPh>
    <phoneticPr fontId="13"/>
  </si>
  <si>
    <t>地図SD(車内)保証書 ﾚﾝﾀｶｰ</t>
    <rPh sb="0" eb="2">
      <t>チズ</t>
    </rPh>
    <rPh sb="8" eb="11">
      <t>ホショウショ</t>
    </rPh>
    <phoneticPr fontId="13"/>
  </si>
  <si>
    <t>広島 581 ゆ 5805</t>
    <rPh sb="0" eb="2">
      <t>ヒロシマ</t>
    </rPh>
    <phoneticPr fontId="13"/>
  </si>
  <si>
    <t>株式会社ﾍﾞｽﾄｶｰﾔﾏﾅｶ</t>
    <rPh sb="0" eb="4">
      <t>カブシキガイシャ</t>
    </rPh>
    <phoneticPr fontId="13"/>
  </si>
  <si>
    <t>菊間 かおり</t>
    <rPh sb="0" eb="2">
      <t>キクマ</t>
    </rPh>
    <phoneticPr fontId="13"/>
  </si>
  <si>
    <t>湖畔株式会社</t>
    <rPh sb="0" eb="2">
      <t>コハン</t>
    </rPh>
    <rPh sb="2" eb="6">
      <t>カブシキガイシャ</t>
    </rPh>
    <phoneticPr fontId="13"/>
  </si>
  <si>
    <t>一宮 500 ね 6628</t>
    <rPh sb="0" eb="2">
      <t>イチノミヤ</t>
    </rPh>
    <phoneticPr fontId="13"/>
  </si>
  <si>
    <t>株式会社ｻﾝﾓﾄｰﾚﾝ</t>
    <rPh sb="0" eb="4">
      <t>カブシキガイシャ</t>
    </rPh>
    <phoneticPr fontId="13"/>
  </si>
  <si>
    <t>奈良 581 さ 2571</t>
    <rPh sb="0" eb="2">
      <t>ナラ</t>
    </rPh>
    <phoneticPr fontId="13"/>
  </si>
  <si>
    <t>大橋 昇平</t>
    <rPh sb="0" eb="2">
      <t>オオハシ</t>
    </rPh>
    <rPh sb="3" eb="5">
      <t>ショウヘイ</t>
    </rPh>
    <phoneticPr fontId="13"/>
  </si>
  <si>
    <t>保証書 取説 ｷｰﾚｽ SD2個 ﾅﾋﾞ取</t>
    <rPh sb="0" eb="3">
      <t>ホショウショ</t>
    </rPh>
    <rPh sb="4" eb="6">
      <t>トリセツ</t>
    </rPh>
    <rPh sb="15" eb="16">
      <t>コ</t>
    </rPh>
    <rPh sb="20" eb="21">
      <t>トリ</t>
    </rPh>
    <phoneticPr fontId="13"/>
  </si>
  <si>
    <t>大阪 382 ろ 8118</t>
    <rPh sb="0" eb="2">
      <t>オオサカ</t>
    </rPh>
    <phoneticPr fontId="13"/>
  </si>
  <si>
    <t>森本 弘</t>
    <rPh sb="0" eb="2">
      <t>モリモト</t>
    </rPh>
    <rPh sb="3" eb="4">
      <t>ヒロシ</t>
    </rPh>
    <phoneticPr fontId="13"/>
  </si>
  <si>
    <t>取説 ﾅﾋﾞ取 ｷｰﾚｽ SD ﾜﾝｵｰﾅｰ</t>
    <rPh sb="0" eb="2">
      <t>トリセツ</t>
    </rPh>
    <rPh sb="6" eb="7">
      <t>トリ</t>
    </rPh>
    <phoneticPr fontId="13"/>
  </si>
  <si>
    <t>福山 530 と 270</t>
    <rPh sb="0" eb="2">
      <t>フクヤマ</t>
    </rPh>
    <phoneticPr fontId="13"/>
  </si>
  <si>
    <t>ﾀﾞｲﾊﾂ広島販売株式会社</t>
    <rPh sb="5" eb="13">
      <t>ヒロシマハンバイカブシキガイシャ</t>
    </rPh>
    <phoneticPr fontId="13"/>
  </si>
  <si>
    <t>倉敷 585 め 314</t>
    <rPh sb="0" eb="2">
      <t>クラシキ</t>
    </rPh>
    <phoneticPr fontId="13"/>
  </si>
  <si>
    <t>田中 さやか</t>
    <rPh sb="0" eb="2">
      <t>タナカ</t>
    </rPh>
    <phoneticPr fontId="13"/>
  </si>
  <si>
    <t>ﾏｲｸﾛ地図SD(車内)保証書 取説 ｷｰﾚｽ ﾅﾋﾞ取</t>
    <rPh sb="4" eb="6">
      <t>チズ</t>
    </rPh>
    <rPh sb="12" eb="15">
      <t>ホショウショ</t>
    </rPh>
    <rPh sb="16" eb="18">
      <t>トリセツ</t>
    </rPh>
    <rPh sb="27" eb="28">
      <t>トリ</t>
    </rPh>
    <phoneticPr fontId="13"/>
  </si>
  <si>
    <t>WMWXN920X02F72747</t>
    <phoneticPr fontId="13"/>
  </si>
  <si>
    <t>ﾌﾟｼﾞｮｰ208 GT</t>
    <phoneticPr fontId="13"/>
  </si>
  <si>
    <t>VR3UPNHKSMT032699</t>
    <phoneticPr fontId="13"/>
  </si>
  <si>
    <t>福岡 303 ほ 5855</t>
    <rPh sb="0" eb="2">
      <t>フクオカ</t>
    </rPh>
    <phoneticPr fontId="13"/>
  </si>
  <si>
    <t>WMWYT920603F83085</t>
    <phoneticPr fontId="13"/>
  </si>
  <si>
    <t>ｳﾞｫｸｼｰ S ーZ</t>
    <phoneticPr fontId="13"/>
  </si>
  <si>
    <t>MZRA90-0046868</t>
    <phoneticPr fontId="13"/>
  </si>
  <si>
    <t>神戸 31M そ 24</t>
    <rPh sb="0" eb="2">
      <t>コウベ</t>
    </rPh>
    <phoneticPr fontId="13"/>
  </si>
  <si>
    <t>ｽﾍﾟｱｷｰ(車内)取説</t>
    <rPh sb="10" eb="12">
      <t>トリセツ</t>
    </rPh>
    <phoneticPr fontId="13"/>
  </si>
  <si>
    <t>横浜 331 ま 4112</t>
    <rPh sb="0" eb="2">
      <t>ヨコハマ</t>
    </rPh>
    <phoneticPr fontId="13"/>
  </si>
  <si>
    <t>ｳｴｲﾝｽﾞｲﾝﾎﾟｰﾄ横浜株式会社</t>
    <rPh sb="12" eb="14">
      <t>ヨコハマ</t>
    </rPh>
    <rPh sb="14" eb="18">
      <t>カブシキガイシャ</t>
    </rPh>
    <phoneticPr fontId="13"/>
  </si>
  <si>
    <t>ｷｰﾚｽ(車内)保証書 取説 地図SD ﾜﾝｵｰﾅｰかも</t>
    <rPh sb="8" eb="11">
      <t>ホショウショ</t>
    </rPh>
    <rPh sb="12" eb="14">
      <t>トリセツ</t>
    </rPh>
    <rPh sb="15" eb="17">
      <t>チズ</t>
    </rPh>
    <phoneticPr fontId="13"/>
  </si>
  <si>
    <t>27-2407</t>
  </si>
  <si>
    <t>27-2408</t>
  </si>
  <si>
    <t>27-2409</t>
  </si>
  <si>
    <t>藤基様</t>
    <rPh sb="0" eb="1">
      <t>フジ</t>
    </rPh>
    <rPh sb="1" eb="2">
      <t>モトイ</t>
    </rPh>
    <rPh sb="2" eb="3">
      <t>サマ</t>
    </rPh>
    <phoneticPr fontId="13"/>
  </si>
  <si>
    <t>16/11</t>
    <phoneticPr fontId="13"/>
  </si>
  <si>
    <t>SALLMAMA34A171446</t>
    <phoneticPr fontId="13"/>
  </si>
  <si>
    <t>神戸 303 や 5972</t>
    <rPh sb="0" eb="2">
      <t>コウベ</t>
    </rPh>
    <phoneticPr fontId="13"/>
  </si>
  <si>
    <t>藤基 晃</t>
    <rPh sb="0" eb="1">
      <t>フジ</t>
    </rPh>
    <rPh sb="1" eb="2">
      <t>モトイ</t>
    </rPh>
    <rPh sb="3" eb="4">
      <t>アキラ</t>
    </rPh>
    <phoneticPr fontId="13"/>
  </si>
  <si>
    <t>27-2410</t>
  </si>
  <si>
    <t>27-2411</t>
  </si>
  <si>
    <t>27-2412</t>
  </si>
  <si>
    <t>27-2413</t>
  </si>
  <si>
    <t>27-2414</t>
  </si>
  <si>
    <t>27-2415</t>
  </si>
  <si>
    <t>なにわ 5P7 ろ 9689</t>
    <phoneticPr fontId="13"/>
  </si>
  <si>
    <t>多摩 326 む 9743</t>
    <rPh sb="0" eb="2">
      <t>タマ</t>
    </rPh>
    <phoneticPr fontId="13"/>
  </si>
  <si>
    <t>12/28</t>
    <phoneticPr fontId="13"/>
  </si>
  <si>
    <t>三重 582 す 3078</t>
    <rPh sb="0" eb="2">
      <t>ミエ</t>
    </rPh>
    <phoneticPr fontId="13"/>
  </si>
  <si>
    <t>株式会社第一ﾎﾝﾀﾞ</t>
    <rPh sb="0" eb="4">
      <t>カブシキガイシャ</t>
    </rPh>
    <rPh sb="4" eb="6">
      <t>ダイイチ</t>
    </rPh>
    <phoneticPr fontId="13"/>
  </si>
  <si>
    <t>大阪 585 す 429</t>
    <rPh sb="0" eb="2">
      <t>オオサカ</t>
    </rPh>
    <phoneticPr fontId="13"/>
  </si>
  <si>
    <t>千川 翔貴</t>
    <rPh sb="0" eb="2">
      <t>センカワ</t>
    </rPh>
    <rPh sb="3" eb="4">
      <t>ショウ</t>
    </rPh>
    <rPh sb="4" eb="5">
      <t>タカ</t>
    </rPh>
    <phoneticPr fontId="13"/>
  </si>
  <si>
    <t>土浦 585 ち 503</t>
    <rPh sb="0" eb="1">
      <t>ツチ</t>
    </rPh>
    <rPh sb="1" eb="2">
      <t>ウラ</t>
    </rPh>
    <phoneticPr fontId="13"/>
  </si>
  <si>
    <t>渡邊 隆史</t>
    <rPh sb="0" eb="2">
      <t>ワタナベ</t>
    </rPh>
    <rPh sb="3" eb="4">
      <t>タカシ</t>
    </rPh>
    <phoneticPr fontId="13"/>
  </si>
  <si>
    <t>豊田 583 く 5124</t>
    <rPh sb="0" eb="2">
      <t>トヨタ</t>
    </rPh>
    <phoneticPr fontId="13"/>
  </si>
  <si>
    <t>川嶋 美由紀</t>
    <rPh sb="0" eb="2">
      <t>カワシマ</t>
    </rPh>
    <rPh sb="3" eb="6">
      <t>ミユキ</t>
    </rPh>
    <phoneticPr fontId="13"/>
  </si>
  <si>
    <t>保証書 取説 ｷｰﾚｽ ｴﾝｼﾞﾝｽﾀｰﾀｰ</t>
    <rPh sb="0" eb="3">
      <t>ホショウショ</t>
    </rPh>
    <rPh sb="4" eb="6">
      <t>トリセツ</t>
    </rPh>
    <phoneticPr fontId="13"/>
  </si>
  <si>
    <t>名古屋 339 り 2013</t>
    <rPh sb="0" eb="3">
      <t>ナゴヤ</t>
    </rPh>
    <phoneticPr fontId="13"/>
  </si>
  <si>
    <t>岩井 秀樹</t>
    <rPh sb="0" eb="2">
      <t>イワイ</t>
    </rPh>
    <rPh sb="3" eb="5">
      <t>ヒデキ</t>
    </rPh>
    <phoneticPr fontId="13"/>
  </si>
  <si>
    <t>宇都宮 362 に 22</t>
    <rPh sb="0" eb="3">
      <t>ウツノミヤ</t>
    </rPh>
    <phoneticPr fontId="13"/>
  </si>
  <si>
    <t>高野 実</t>
    <rPh sb="0" eb="2">
      <t>タカノ</t>
    </rPh>
    <rPh sb="3" eb="4">
      <t>ミノル</t>
    </rPh>
    <phoneticPr fontId="13"/>
  </si>
  <si>
    <t>保証書 取説 ﾅﾋﾞ取 ｷｰﾚｽ ﾜﾝｵｰﾅ-</t>
    <rPh sb="0" eb="3">
      <t>ホショウショ</t>
    </rPh>
    <rPh sb="4" eb="6">
      <t>トリセツ</t>
    </rPh>
    <rPh sb="10" eb="11">
      <t>トリ</t>
    </rPh>
    <phoneticPr fontId="13"/>
  </si>
  <si>
    <t>なにわ 580 よ 5568</t>
    <phoneticPr fontId="13"/>
  </si>
  <si>
    <t>川本 哲也</t>
    <rPh sb="0" eb="2">
      <t>カワモト</t>
    </rPh>
    <rPh sb="3" eb="5">
      <t>テツヤ</t>
    </rPh>
    <phoneticPr fontId="13"/>
  </si>
  <si>
    <t>横浜 400 も 6185</t>
    <rPh sb="0" eb="2">
      <t>ヨコハマ</t>
    </rPh>
    <phoneticPr fontId="13"/>
  </si>
  <si>
    <t>西山 健二</t>
    <rPh sb="0" eb="2">
      <t>ニシヤマ</t>
    </rPh>
    <rPh sb="3" eb="5">
      <t>ケンジ</t>
    </rPh>
    <phoneticPr fontId="13"/>
  </si>
  <si>
    <t>堺 500 ひ 5556</t>
    <rPh sb="0" eb="1">
      <t>サカイ</t>
    </rPh>
    <phoneticPr fontId="13"/>
  </si>
  <si>
    <t>蓑田 正</t>
    <rPh sb="1" eb="2">
      <t>タ</t>
    </rPh>
    <rPh sb="3" eb="4">
      <t>タダシ</t>
    </rPh>
    <phoneticPr fontId="13"/>
  </si>
  <si>
    <t>相模 335 ふ 319</t>
    <phoneticPr fontId="13"/>
  </si>
  <si>
    <t>荒川 智成</t>
    <rPh sb="0" eb="2">
      <t>アラカワ</t>
    </rPh>
    <rPh sb="3" eb="5">
      <t>トモナリ</t>
    </rPh>
    <phoneticPr fontId="13"/>
  </si>
  <si>
    <t>保証書 地図SD(車内)取説 ﾅﾋﾞ取 ｷｰﾚｽ</t>
    <rPh sb="0" eb="3">
      <t>ホショウショ</t>
    </rPh>
    <rPh sb="4" eb="6">
      <t>チズ</t>
    </rPh>
    <rPh sb="12" eb="14">
      <t>トリセツ</t>
    </rPh>
    <rPh sb="18" eb="19">
      <t>トリ</t>
    </rPh>
    <phoneticPr fontId="13"/>
  </si>
  <si>
    <t>27-2416</t>
  </si>
  <si>
    <t>阿部様</t>
    <rPh sb="0" eb="2">
      <t>アベ</t>
    </rPh>
    <rPh sb="2" eb="3">
      <t>サマ</t>
    </rPh>
    <phoneticPr fontId="13"/>
  </si>
  <si>
    <t>ｱﾙﾄﾗﾊﾟﾝ</t>
    <phoneticPr fontId="13"/>
  </si>
  <si>
    <t>HE22S-836049</t>
    <phoneticPr fontId="13"/>
  </si>
  <si>
    <t>姫路 581 あ 3028</t>
    <rPh sb="0" eb="2">
      <t>ヒメジ</t>
    </rPh>
    <phoneticPr fontId="13"/>
  </si>
  <si>
    <t>阿部 倫子</t>
    <rPh sb="0" eb="2">
      <t>アベ</t>
    </rPh>
    <rPh sb="3" eb="5">
      <t>ノリコ</t>
    </rPh>
    <phoneticPr fontId="13"/>
  </si>
  <si>
    <t>SUN XZINGKANG</t>
    <phoneticPr fontId="13"/>
  </si>
  <si>
    <t>保証書 取説 ｽﾍﾟｱｷｰ ｺｰﾄﾞｶｰﾄﾞ ﾜﾝｵｰﾅｰ</t>
    <rPh sb="0" eb="3">
      <t>ホショウショ</t>
    </rPh>
    <rPh sb="4" eb="6">
      <t>トリセツ</t>
    </rPh>
    <phoneticPr fontId="13"/>
  </si>
  <si>
    <t>村岡 久美子</t>
    <rPh sb="0" eb="2">
      <t>ムラオカ</t>
    </rPh>
    <rPh sb="3" eb="6">
      <t>クミコ</t>
    </rPh>
    <phoneticPr fontId="13"/>
  </si>
  <si>
    <t>兵庫日産自動車株式会社</t>
    <rPh sb="0" eb="2">
      <t>ヒョウゴ</t>
    </rPh>
    <rPh sb="2" eb="4">
      <t>ニッサン</t>
    </rPh>
    <rPh sb="4" eb="11">
      <t>ジドウシャカブシキガイシャ</t>
    </rPh>
    <phoneticPr fontId="13"/>
  </si>
  <si>
    <t>保証書 取説 すぺ ﾜﾝｵｰﾅｰ</t>
    <rPh sb="0" eb="3">
      <t>ホショウショ</t>
    </rPh>
    <rPh sb="4" eb="6">
      <t>トリセツ</t>
    </rPh>
    <phoneticPr fontId="13"/>
  </si>
  <si>
    <t>神戸 590 か 121</t>
    <rPh sb="0" eb="2">
      <t>コウベ</t>
    </rPh>
    <phoneticPr fontId="13"/>
  </si>
  <si>
    <t>吉田海運株式会社</t>
    <rPh sb="0" eb="2">
      <t>ヨシダ</t>
    </rPh>
    <rPh sb="2" eb="4">
      <t>カイウン</t>
    </rPh>
    <rPh sb="4" eb="8">
      <t>カブシキガイシャ</t>
    </rPh>
    <phoneticPr fontId="13"/>
  </si>
  <si>
    <t>神戸 596 ろ 4218</t>
    <rPh sb="0" eb="2">
      <t>コウベ</t>
    </rPh>
    <phoneticPr fontId="13"/>
  </si>
  <si>
    <t>高橋 誠治</t>
    <rPh sb="0" eb="2">
      <t>タカハシ</t>
    </rPh>
    <rPh sb="3" eb="5">
      <t>セイジ</t>
    </rPh>
    <phoneticPr fontId="13"/>
  </si>
  <si>
    <t>堺 586 ろ 4048</t>
    <rPh sb="0" eb="1">
      <t>サカイ</t>
    </rPh>
    <phoneticPr fontId="13"/>
  </si>
  <si>
    <t>京都 582 け 561</t>
    <rPh sb="0" eb="2">
      <t>キョウト</t>
    </rPh>
    <phoneticPr fontId="13"/>
  </si>
  <si>
    <t>株式会社ｽｽﾞｷ自販京都</t>
    <rPh sb="0" eb="4">
      <t>カブシキガイシャ</t>
    </rPh>
    <rPh sb="8" eb="10">
      <t>ジハン</t>
    </rPh>
    <rPh sb="10" eb="12">
      <t>キョウト</t>
    </rPh>
    <phoneticPr fontId="13"/>
  </si>
  <si>
    <t>飛鳥 310 さ 8003</t>
    <rPh sb="0" eb="2">
      <t>アスカ</t>
    </rPh>
    <phoneticPr fontId="13"/>
  </si>
  <si>
    <t>株式会社ﾐﾅﾐｼﾏ自動車販売</t>
    <rPh sb="0" eb="4">
      <t>カブシキガイシャ</t>
    </rPh>
    <rPh sb="9" eb="12">
      <t>ジドウシャ</t>
    </rPh>
    <rPh sb="12" eb="14">
      <t>ハンバイ</t>
    </rPh>
    <phoneticPr fontId="13"/>
  </si>
  <si>
    <t>保証書 取説 ﾅﾋﾞ取 ﾏｲｸﾛ地図SD</t>
    <rPh sb="0" eb="3">
      <t>ホショウショ</t>
    </rPh>
    <rPh sb="4" eb="6">
      <t>トリセツ</t>
    </rPh>
    <rPh sb="10" eb="11">
      <t>トリ</t>
    </rPh>
    <rPh sb="16" eb="18">
      <t>チズ</t>
    </rPh>
    <phoneticPr fontId="13"/>
  </si>
  <si>
    <t>品番；DSZT-YC4T</t>
    <rPh sb="0" eb="2">
      <t>ヒンバン</t>
    </rPh>
    <phoneticPr fontId="13"/>
  </si>
  <si>
    <t>ZVG11-1034617</t>
    <phoneticPr fontId="13"/>
  </si>
  <si>
    <t>MX81S-203451</t>
    <phoneticPr fontId="13"/>
  </si>
  <si>
    <t>MK32S-204144</t>
    <phoneticPr fontId="13"/>
  </si>
  <si>
    <t>AXAH54-2008274</t>
    <phoneticPr fontId="13"/>
  </si>
  <si>
    <t>ZWR90-0098284</t>
    <phoneticPr fontId="13"/>
  </si>
  <si>
    <t>Z34-500110</t>
    <phoneticPr fontId="13"/>
  </si>
  <si>
    <t>RV5-1211299</t>
    <phoneticPr fontId="13"/>
  </si>
  <si>
    <t>DA17V-675886</t>
    <phoneticPr fontId="13"/>
  </si>
  <si>
    <t>ｶﾛｰﾗｸﾛｽ  ﾊｲﾌﾞﾘｯﾄﾞ S</t>
    <phoneticPr fontId="13"/>
  </si>
  <si>
    <t>ﾜｺﾞﾝR ｽﾏｲﾙG</t>
    <phoneticPr fontId="13"/>
  </si>
  <si>
    <t>RAV4 ﾊｲﾌﾞﾘｯﾄﾞ G</t>
    <phoneticPr fontId="13"/>
  </si>
  <si>
    <t>ｳﾞｫｸｼｰ ﾊｲﾌﾞﾘｯﾄﾞ S-Z</t>
    <phoneticPr fontId="13"/>
  </si>
  <si>
    <t>ﾌｪｱﾚﾃﾞｨ Z ﾆｽﾓ</t>
    <phoneticPr fontId="13"/>
  </si>
  <si>
    <t>ｳﾞｪｾﾞﾙ eHEV Z</t>
    <phoneticPr fontId="13"/>
  </si>
  <si>
    <t>ｴﾌﾞﾘｨﾊﾞﾝ ｼﾞｮｲﾝ HR</t>
    <phoneticPr fontId="13"/>
  </si>
  <si>
    <t>A318699</t>
    <phoneticPr fontId="13"/>
  </si>
  <si>
    <t>ｶﾛｰﾗｽﾎﾟｰﾂ ﾊｲﾌﾞﾘｯﾄﾞGZ</t>
    <phoneticPr fontId="13"/>
  </si>
  <si>
    <t>ZWE219-4020281</t>
    <phoneticPr fontId="13"/>
  </si>
  <si>
    <t>A317175</t>
    <phoneticPr fontId="13"/>
  </si>
  <si>
    <t>ｸﾘｰﾑ(黄色)</t>
    <rPh sb="5" eb="7">
      <t>キイロ</t>
    </rPh>
    <phoneticPr fontId="13"/>
  </si>
  <si>
    <t>HE33S-165443</t>
    <phoneticPr fontId="13"/>
  </si>
  <si>
    <t>A318119</t>
    <phoneticPr fontId="13"/>
  </si>
  <si>
    <t>ｳﾞｪﾙﾌｧｲｱﾊｲﾌﾞﾘｯﾄﾞ ｴｸﾞｾﾞｸﾃｨﾌﾞﾗｳﾝｼﾞZ</t>
    <phoneticPr fontId="13"/>
  </si>
  <si>
    <t>AYH30-0110972</t>
    <phoneticPr fontId="13"/>
  </si>
  <si>
    <t>9/4/17</t>
    <phoneticPr fontId="13"/>
  </si>
  <si>
    <t>A316934</t>
    <phoneticPr fontId="13"/>
  </si>
  <si>
    <t>ｸﾗｳﾝｽﾎﾟｰﾂ Z</t>
    <phoneticPr fontId="13"/>
  </si>
  <si>
    <t>AZSH36-4034159</t>
    <phoneticPr fontId="13"/>
  </si>
  <si>
    <t>9/11/27</t>
    <phoneticPr fontId="13"/>
  </si>
  <si>
    <t>A318170</t>
    <phoneticPr fontId="13"/>
  </si>
  <si>
    <t>ZN8-023063</t>
    <phoneticPr fontId="13"/>
  </si>
  <si>
    <t>A317717</t>
    <phoneticPr fontId="13"/>
  </si>
  <si>
    <t>MH44S-460282</t>
    <phoneticPr fontId="13"/>
  </si>
  <si>
    <t>ｳﾞｪｾﾞﾙ  e HEV Z</t>
    <phoneticPr fontId="13"/>
  </si>
  <si>
    <t>301 ね 5718</t>
    <phoneticPr fontId="13"/>
  </si>
  <si>
    <t>301 ね 5719</t>
    <phoneticPr fontId="13"/>
  </si>
  <si>
    <t>301 ね 5720</t>
    <phoneticPr fontId="13"/>
  </si>
  <si>
    <t>301 ね 5721</t>
    <phoneticPr fontId="13"/>
  </si>
  <si>
    <t>358 む 9999</t>
    <phoneticPr fontId="13"/>
  </si>
  <si>
    <t>27-2417</t>
  </si>
  <si>
    <t>27-2418</t>
  </si>
  <si>
    <t>27-2419</t>
  </si>
  <si>
    <t>27-2420</t>
  </si>
  <si>
    <t>27-2421</t>
  </si>
  <si>
    <t>27-2422</t>
  </si>
  <si>
    <t>27-2423</t>
  </si>
  <si>
    <t>27-2424</t>
  </si>
  <si>
    <t>27-2425</t>
  </si>
  <si>
    <t>27-2426</t>
  </si>
  <si>
    <t>27-2427</t>
  </si>
  <si>
    <t>27-2428</t>
  </si>
  <si>
    <t>27-2429</t>
  </si>
  <si>
    <t>27-2430</t>
  </si>
  <si>
    <t>27-2431</t>
  </si>
  <si>
    <t>保証書 取説 ｽﾍﾟｱｷｰ(車内)ﾚﾝﾀｶｰ</t>
    <rPh sb="0" eb="3">
      <t>ホショウショ</t>
    </rPh>
    <rPh sb="4" eb="6">
      <t>トリセツ</t>
    </rPh>
    <phoneticPr fontId="13"/>
  </si>
  <si>
    <t>岐阜 512 さ 7777</t>
    <rPh sb="0" eb="2">
      <t>ギフ</t>
    </rPh>
    <phoneticPr fontId="13"/>
  </si>
  <si>
    <t>神戸 39A そ 6987</t>
    <rPh sb="0" eb="2">
      <t>コウベ</t>
    </rPh>
    <phoneticPr fontId="13"/>
  </si>
  <si>
    <t>尾張小牧 589 ろ 8444</t>
    <rPh sb="0" eb="4">
      <t>オワリコマキ</t>
    </rPh>
    <phoneticPr fontId="13"/>
  </si>
  <si>
    <t>MOHAMED MANSOOR MOHAMED SINAS</t>
    <phoneticPr fontId="13"/>
  </si>
  <si>
    <t>四日市 581 ろ 54</t>
    <rPh sb="0" eb="3">
      <t>ヨッカイチ</t>
    </rPh>
    <phoneticPr fontId="13"/>
  </si>
  <si>
    <t>ABDUL FAREED MUHAMMAD SHIFAN</t>
    <phoneticPr fontId="13"/>
  </si>
  <si>
    <t>RUHAIM TRADING COMPANY PRIVATE LIMITED</t>
    <phoneticPr fontId="13"/>
  </si>
  <si>
    <t>BADDE LIYANAGE ASITHA GAYAN FERNANDO</t>
    <phoneticPr fontId="13"/>
  </si>
  <si>
    <t>名古屋 58A ま 1303</t>
    <rPh sb="0" eb="3">
      <t>ナゴヤ</t>
    </rPh>
    <phoneticPr fontId="13"/>
  </si>
  <si>
    <t>森 愛美ﾅﾋﾞｰﾄﾞ</t>
    <rPh sb="0" eb="1">
      <t>モリ</t>
    </rPh>
    <rPh sb="2" eb="4">
      <t>マナミ</t>
    </rPh>
    <phoneticPr fontId="13"/>
  </si>
  <si>
    <t>ｷｬﾝｾﾙ 書類返送1/6</t>
    <rPh sb="6" eb="8">
      <t>ショルイ</t>
    </rPh>
    <rPh sb="8" eb="10">
      <t>ヘンソウ</t>
    </rPh>
    <phoneticPr fontId="13"/>
  </si>
  <si>
    <t>RV5-1077353</t>
    <phoneticPr fontId="13"/>
  </si>
  <si>
    <t>582 い 8241</t>
    <phoneticPr fontId="13"/>
  </si>
  <si>
    <t>582 い 8238</t>
    <phoneticPr fontId="13"/>
  </si>
  <si>
    <t>582 い 8239</t>
    <phoneticPr fontId="13"/>
  </si>
  <si>
    <t>582 い 8240</t>
    <phoneticPr fontId="13"/>
  </si>
  <si>
    <t>横浜 588 や 15</t>
    <rPh sb="0" eb="2">
      <t>ヨコハマ</t>
    </rPh>
    <phoneticPr fontId="13"/>
  </si>
  <si>
    <t>菱沼 美帆</t>
    <rPh sb="0" eb="2">
      <t>ヒシヌマ</t>
    </rPh>
    <rPh sb="3" eb="5">
      <t>ミホ</t>
    </rPh>
    <phoneticPr fontId="13"/>
  </si>
  <si>
    <t>有限会社古川製茶</t>
    <rPh sb="0" eb="4">
      <t>ユウゲンカイシャ</t>
    </rPh>
    <rPh sb="4" eb="6">
      <t>フルカワ</t>
    </rPh>
    <rPh sb="6" eb="8">
      <t>セイチャ</t>
    </rPh>
    <phoneticPr fontId="13"/>
  </si>
  <si>
    <t>湘南 399 ふ 6532</t>
    <rPh sb="0" eb="2">
      <t>ショウナン</t>
    </rPh>
    <phoneticPr fontId="13"/>
  </si>
  <si>
    <t>尾張小牧 302 は 326</t>
    <rPh sb="0" eb="4">
      <t>オワリコマキ</t>
    </rPh>
    <phoneticPr fontId="13"/>
  </si>
  <si>
    <t>株式会社ﾎﾝﾀﾞ小牧</t>
    <rPh sb="0" eb="4">
      <t>カブシキガイシャ</t>
    </rPh>
    <rPh sb="8" eb="10">
      <t>コマキ</t>
    </rPh>
    <phoneticPr fontId="13"/>
  </si>
  <si>
    <t>取説 ｷｰﾚｽ(車内)保証書 ﾜﾝｵｰﾅｰ</t>
    <rPh sb="0" eb="2">
      <t>トリセツ</t>
    </rPh>
    <rPh sb="8" eb="10">
      <t>シャナイ</t>
    </rPh>
    <rPh sb="11" eb="14">
      <t>ホショウショ</t>
    </rPh>
    <phoneticPr fontId="13"/>
  </si>
  <si>
    <t>輕部 小百合</t>
    <rPh sb="0" eb="2">
      <t>カルベ</t>
    </rPh>
    <rPh sb="3" eb="6">
      <t>サユリ</t>
    </rPh>
    <phoneticPr fontId="13"/>
  </si>
  <si>
    <t>静岡 301 ほ 1627</t>
    <rPh sb="0" eb="2">
      <t>シズオカ</t>
    </rPh>
    <phoneticPr fontId="13"/>
  </si>
  <si>
    <t>名古屋 326 む 5381</t>
    <rPh sb="0" eb="3">
      <t>ナゴヤ</t>
    </rPh>
    <phoneticPr fontId="13"/>
  </si>
  <si>
    <t>多摩 335 め 68</t>
    <rPh sb="0" eb="2">
      <t>タマ</t>
    </rPh>
    <phoneticPr fontId="13"/>
  </si>
  <si>
    <t>一丸 清貴</t>
    <rPh sb="0" eb="2">
      <t>イチマル</t>
    </rPh>
    <rPh sb="3" eb="5">
      <t>キヨタカ</t>
    </rPh>
    <phoneticPr fontId="13"/>
  </si>
  <si>
    <r>
      <t>取説 ﾅﾋﾞ取 ｽﾍﾟｱｷｰ 中古保証書</t>
    </r>
    <r>
      <rPr>
        <sz val="11"/>
        <color theme="3"/>
        <rFont val="ＭＳ Ｐゴシック"/>
        <family val="3"/>
        <charset val="128"/>
        <scheme val="minor"/>
      </rPr>
      <t xml:space="preserve"> 保証書返送USS直送</t>
    </r>
    <rPh sb="0" eb="2">
      <t>トリセツ</t>
    </rPh>
    <rPh sb="6" eb="7">
      <t>トリ</t>
    </rPh>
    <rPh sb="15" eb="20">
      <t>チュウコホショウショ</t>
    </rPh>
    <rPh sb="21" eb="24">
      <t>ホショウショ</t>
    </rPh>
    <rPh sb="24" eb="26">
      <t>ヘンソウ</t>
    </rPh>
    <rPh sb="29" eb="31">
      <t>チョクソウ</t>
    </rPh>
    <phoneticPr fontId="13"/>
  </si>
  <si>
    <t>27-2432</t>
  </si>
  <si>
    <t>27-2433</t>
  </si>
  <si>
    <t>27-2434</t>
  </si>
  <si>
    <t>27-2435</t>
  </si>
  <si>
    <t>27-2436</t>
  </si>
  <si>
    <t>27-2437</t>
  </si>
  <si>
    <t>MX91S-116265</t>
    <phoneticPr fontId="13"/>
  </si>
  <si>
    <t>DA17V-495477</t>
    <phoneticPr fontId="13"/>
  </si>
  <si>
    <t>GFC27-013526</t>
    <phoneticPr fontId="13"/>
  </si>
  <si>
    <t>27-2438</t>
  </si>
  <si>
    <t>27-2439</t>
  </si>
  <si>
    <t>27-2440</t>
  </si>
  <si>
    <t>JF1-2544787</t>
    <phoneticPr fontId="13"/>
  </si>
  <si>
    <t>JB23W-765828</t>
    <phoneticPr fontId="13"/>
  </si>
  <si>
    <t>WMWXS120702E78772</t>
    <phoneticPr fontId="13"/>
  </si>
  <si>
    <t>WVWZZZ16ZCM644379</t>
    <phoneticPr fontId="13"/>
  </si>
  <si>
    <t>N-BOXｶｽﾀﾑ ﾀｰﾎﾞ SSﾊﾟｯｹｰｼﾞ</t>
    <phoneticPr fontId="13"/>
  </si>
  <si>
    <t>名古屋 583 う 7834</t>
    <rPh sb="0" eb="3">
      <t>ナゴヤ</t>
    </rPh>
    <phoneticPr fontId="13"/>
  </si>
  <si>
    <t>ｼﾞﾑﾆｰ  ﾗﾝﾄﾞﾍﾞﾝﾁｬｰ</t>
    <phoneticPr fontId="13"/>
  </si>
  <si>
    <t>浜松 581 ゆ 8423</t>
    <rPh sb="0" eb="2">
      <t>ハママツ</t>
    </rPh>
    <phoneticPr fontId="13"/>
  </si>
  <si>
    <t>岐阜 303 さ 2150</t>
    <rPh sb="0" eb="2">
      <t>ギフ</t>
    </rPh>
    <phoneticPr fontId="13"/>
  </si>
  <si>
    <t>VW ｻﾞﾋﾞｰﾄﾙ ﾃﾞｻﾞｲﾝﾚｻﾞｰﾊﾟｯｹｰｼﾞ</t>
    <phoneticPr fontId="13"/>
  </si>
  <si>
    <t>岐阜 352 ぬ 117</t>
    <rPh sb="0" eb="2">
      <t>ギフ</t>
    </rPh>
    <phoneticPr fontId="13"/>
  </si>
  <si>
    <t>ﾜｺﾞﾝR 20周年記念車</t>
    <rPh sb="8" eb="10">
      <t>シュウネン</t>
    </rPh>
    <rPh sb="10" eb="13">
      <t>キネンシャ</t>
    </rPh>
    <phoneticPr fontId="13"/>
  </si>
  <si>
    <t>MH34S-314862</t>
    <phoneticPr fontId="13"/>
  </si>
  <si>
    <t>福山 586 む 51</t>
    <rPh sb="0" eb="2">
      <t>フクヤマ</t>
    </rPh>
    <phoneticPr fontId="13"/>
  </si>
  <si>
    <t>ｳﾞｪﾙﾌｧｲｱ 3.5V L</t>
    <phoneticPr fontId="13"/>
  </si>
  <si>
    <t>GGH30-0015865</t>
    <phoneticPr fontId="13"/>
  </si>
  <si>
    <t>8/11/19</t>
    <phoneticPr fontId="13"/>
  </si>
  <si>
    <t>MXWH60-4039363</t>
    <phoneticPr fontId="13"/>
  </si>
  <si>
    <t>LA650S-0341609</t>
    <phoneticPr fontId="13"/>
  </si>
  <si>
    <t>品川 5X1 ろ 6239</t>
    <rPh sb="0" eb="2">
      <t>シナガワ</t>
    </rPh>
    <phoneticPr fontId="13"/>
  </si>
  <si>
    <t>福山 337 ぬ 717</t>
    <rPh sb="0" eb="2">
      <t>フクヤマ</t>
    </rPh>
    <phoneticPr fontId="13"/>
  </si>
  <si>
    <t>谷本 明彦</t>
    <rPh sb="0" eb="2">
      <t>タニモト</t>
    </rPh>
    <rPh sb="3" eb="5">
      <t>アキヒコ</t>
    </rPh>
    <phoneticPr fontId="13"/>
  </si>
  <si>
    <t>株式会社ﾕﾆｰｽﾞ</t>
    <rPh sb="0" eb="4">
      <t>カブシキガイシャ</t>
    </rPh>
    <phoneticPr fontId="13"/>
  </si>
  <si>
    <t xml:space="preserve">地図SD(車内)保証書 取説 ｷｰﾚｽ 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</si>
  <si>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400 な 7448</t>
    <phoneticPr fontId="13"/>
  </si>
  <si>
    <t>岐阜 300 わ 7771</t>
    <rPh sb="0" eb="2">
      <t>ギフ</t>
    </rPh>
    <phoneticPr fontId="13"/>
  </si>
  <si>
    <t>保証書 ｷｰﾚｽ 取説 ﾚﾝﾀｶｰ</t>
    <rPh sb="0" eb="3">
      <t>ホショウショ</t>
    </rPh>
    <rPh sb="9" eb="11">
      <t>トリセツ</t>
    </rPh>
    <phoneticPr fontId="13"/>
  </si>
  <si>
    <t>27-2441</t>
  </si>
  <si>
    <t>ﾚｸｻｽRX 200T Fｽﾎﾟｰﾂ</t>
    <phoneticPr fontId="13"/>
  </si>
  <si>
    <t>AGL25W-0001200</t>
    <phoneticPr fontId="13"/>
  </si>
  <si>
    <t>27-2442</t>
  </si>
  <si>
    <t>27-2443</t>
  </si>
  <si>
    <t>27-2444</t>
  </si>
  <si>
    <t>ZFA3120000JD80289</t>
    <phoneticPr fontId="13"/>
  </si>
  <si>
    <t>9/11/11</t>
    <phoneticPr fontId="13"/>
  </si>
  <si>
    <t>静岡 530 さ 9423</t>
    <rPh sb="0" eb="2">
      <t>シズオカ</t>
    </rPh>
    <phoneticPr fontId="13"/>
  </si>
  <si>
    <t>27-2445</t>
  </si>
  <si>
    <t>27-2446</t>
  </si>
  <si>
    <t>BMWﾐﾆｸｰﾊﾟｰ ｸﾗｼｯｸﾄﾘﾑ</t>
    <phoneticPr fontId="13"/>
  </si>
  <si>
    <t>WMW32DK0302T37663</t>
    <phoneticPr fontId="13"/>
  </si>
  <si>
    <t>BMWﾐﾆｸｰﾊﾟｰ 13TH ｱﾆﾊﾞｰｻﾘｰP</t>
    <phoneticPr fontId="13"/>
  </si>
  <si>
    <t>WMWXM520703A53869</t>
    <phoneticPr fontId="13"/>
  </si>
  <si>
    <t>ZiP大阪(ﾜﾝﾌﾟﾗ)</t>
    <rPh sb="3" eb="5">
      <t>オオサカ</t>
    </rPh>
    <phoneticPr fontId="13"/>
  </si>
  <si>
    <t>971(328)</t>
    <phoneticPr fontId="13"/>
  </si>
  <si>
    <t>松本 580 わ 2469</t>
    <rPh sb="0" eb="2">
      <t>マツモト</t>
    </rPh>
    <phoneticPr fontId="13"/>
  </si>
  <si>
    <t>多摩 592 ろ 5977</t>
    <rPh sb="0" eb="2">
      <t>タマ</t>
    </rPh>
    <phoneticPr fontId="13"/>
  </si>
  <si>
    <t>多摩 592 ろ 5881</t>
    <rPh sb="0" eb="2">
      <t>タマ</t>
    </rPh>
    <phoneticPr fontId="13"/>
  </si>
  <si>
    <t>岡山 584 ろ 2887</t>
    <rPh sb="0" eb="2">
      <t>オカヤマ</t>
    </rPh>
    <phoneticPr fontId="13"/>
  </si>
  <si>
    <t>鳥取 581 う 6362</t>
    <rPh sb="0" eb="2">
      <t>トットリ</t>
    </rPh>
    <phoneticPr fontId="13"/>
  </si>
  <si>
    <t>株式会社ｈｏｐ</t>
    <rPh sb="0" eb="4">
      <t>カブシキガイシャ</t>
    </rPh>
    <phoneticPr fontId="13"/>
  </si>
  <si>
    <t>広島 582 え 932</t>
    <rPh sb="0" eb="2">
      <t>ヒロシマ</t>
    </rPh>
    <phoneticPr fontId="13"/>
  </si>
  <si>
    <t>花田 穣</t>
    <rPh sb="0" eb="2">
      <t>ハナダ</t>
    </rPh>
    <rPh sb="3" eb="4">
      <t>ジョウ</t>
    </rPh>
    <phoneticPr fontId="13"/>
  </si>
  <si>
    <t>保証書 取説 SD ｷｰﾚｽ</t>
    <phoneticPr fontId="13"/>
  </si>
  <si>
    <t>奈良中央三菱自動車販売株式会社</t>
    <rPh sb="0" eb="4">
      <t>ナラチュウオウ</t>
    </rPh>
    <rPh sb="4" eb="6">
      <t>ミツビシ</t>
    </rPh>
    <rPh sb="6" eb="15">
      <t>ジドウシャハンバイカブシキガイシャ</t>
    </rPh>
    <phoneticPr fontId="13"/>
  </si>
  <si>
    <t>整備手帳 取説 ﾅﾋﾞ取 ｷｰﾚｽ</t>
    <rPh sb="0" eb="4">
      <t>セイビテチョウ</t>
    </rPh>
    <rPh sb="5" eb="7">
      <t>トリセツ</t>
    </rPh>
    <rPh sb="11" eb="12">
      <t>トリ</t>
    </rPh>
    <phoneticPr fontId="13"/>
  </si>
  <si>
    <t>大阪 589 ろ 8627</t>
    <rPh sb="0" eb="2">
      <t>オオサカ</t>
    </rPh>
    <phoneticPr fontId="13"/>
  </si>
  <si>
    <t>大阪ﾄﾖﾀNorth株式会社</t>
    <rPh sb="0" eb="2">
      <t>オオサカ</t>
    </rPh>
    <rPh sb="10" eb="14">
      <t>カブシキガイシャ</t>
    </rPh>
    <phoneticPr fontId="13"/>
  </si>
  <si>
    <t>前田 佐之</t>
    <rPh sb="0" eb="2">
      <t>マエダ</t>
    </rPh>
    <rPh sb="3" eb="4">
      <t>サ</t>
    </rPh>
    <rPh sb="4" eb="5">
      <t>ユキ</t>
    </rPh>
    <phoneticPr fontId="13"/>
  </si>
  <si>
    <t>相模 581 け 7265</t>
    <rPh sb="0" eb="2">
      <t>サガミ</t>
    </rPh>
    <phoneticPr fontId="13"/>
  </si>
  <si>
    <t>青田 美奈子</t>
    <rPh sb="0" eb="2">
      <t>アオタ</t>
    </rPh>
    <rPh sb="3" eb="6">
      <t>ミナコ</t>
    </rPh>
    <phoneticPr fontId="13"/>
  </si>
  <si>
    <t>松本 580 ゆ 3873</t>
    <rPh sb="0" eb="2">
      <t>マツモト</t>
    </rPh>
    <phoneticPr fontId="13"/>
  </si>
  <si>
    <t>中平 福實</t>
    <rPh sb="0" eb="2">
      <t>ナカヒラ</t>
    </rPh>
    <rPh sb="3" eb="4">
      <t>フク</t>
    </rPh>
    <rPh sb="4" eb="5">
      <t>ジツ</t>
    </rPh>
    <phoneticPr fontId="13"/>
  </si>
  <si>
    <t>岡山 330 と 3698</t>
    <rPh sb="0" eb="2">
      <t>オカヤマ</t>
    </rPh>
    <phoneticPr fontId="13"/>
  </si>
  <si>
    <t>株式会社田中建設工業所</t>
    <rPh sb="0" eb="4">
      <t>カブシキガイシャ</t>
    </rPh>
    <rPh sb="4" eb="6">
      <t>タナカ</t>
    </rPh>
    <rPh sb="6" eb="8">
      <t>ケンセツ</t>
    </rPh>
    <rPh sb="8" eb="11">
      <t>コウギョウショ</t>
    </rPh>
    <phoneticPr fontId="13"/>
  </si>
  <si>
    <t>保証書 取説 ﾅﾋﾞ取 ｷｰﾚｽ ｽﾀｰﾀｰ ﾜﾝｵｰﾅｰ</t>
    <rPh sb="0" eb="3">
      <t>ホショウショ</t>
    </rPh>
    <rPh sb="4" eb="6">
      <t>トリセツ</t>
    </rPh>
    <rPh sb="10" eb="11">
      <t>トリ</t>
    </rPh>
    <phoneticPr fontId="13"/>
  </si>
  <si>
    <t>倉敷 365 す 1001</t>
    <rPh sb="0" eb="2">
      <t>クラシキ</t>
    </rPh>
    <phoneticPr fontId="13"/>
  </si>
  <si>
    <t>橋本 三智子</t>
    <rPh sb="0" eb="2">
      <t>ハシモト</t>
    </rPh>
    <rPh sb="3" eb="6">
      <t>ミチコ</t>
    </rPh>
    <phoneticPr fontId="13"/>
  </si>
  <si>
    <t>姫路 399 な 5339</t>
    <rPh sb="0" eb="2">
      <t>ヒメジ</t>
    </rPh>
    <phoneticPr fontId="13"/>
  </si>
  <si>
    <t>なにわ 39A み 8575</t>
    <phoneticPr fontId="13"/>
  </si>
  <si>
    <t>保証書 取説 ﾐﾆB-CAS</t>
    <rPh sb="0" eb="3">
      <t>ホショウショ</t>
    </rPh>
    <rPh sb="4" eb="6">
      <t>トリセツ</t>
    </rPh>
    <phoneticPr fontId="13"/>
  </si>
  <si>
    <t>名古屋 326 む 3077</t>
    <rPh sb="0" eb="3">
      <t>ナゴヤ</t>
    </rPh>
    <phoneticPr fontId="13"/>
  </si>
  <si>
    <t>名古屋ｽﾊﾞﾙ自動車株式会社</t>
    <rPh sb="0" eb="3">
      <t>ナゴヤ</t>
    </rPh>
    <rPh sb="7" eb="14">
      <t>ジドウシャカブシキガイシャ</t>
    </rPh>
    <phoneticPr fontId="13"/>
  </si>
  <si>
    <t>堺 530 ぬ 3339</t>
    <rPh sb="0" eb="1">
      <t>サカイ</t>
    </rPh>
    <phoneticPr fontId="13"/>
  </si>
  <si>
    <t>取説 ｷｰﾚｽ SD ﾅﾋﾞ取</t>
    <rPh sb="0" eb="2">
      <t>トリセツ</t>
    </rPh>
    <rPh sb="14" eb="15">
      <t>トリ</t>
    </rPh>
    <phoneticPr fontId="13"/>
  </si>
  <si>
    <t>和泉 330 や 677</t>
    <rPh sb="0" eb="2">
      <t>イズミ</t>
    </rPh>
    <phoneticPr fontId="13"/>
  </si>
  <si>
    <t>保証書 取説 ｷｰﾚｽ ﾘﾓｺﾝ ﾏｲｸﾛSD</t>
    <rPh sb="0" eb="3">
      <t>ホショウショ</t>
    </rPh>
    <rPh sb="4" eb="6">
      <t>トリセツ</t>
    </rPh>
    <phoneticPr fontId="13"/>
  </si>
  <si>
    <t>習志野 361 な 22</t>
    <rPh sb="0" eb="3">
      <t>ナラシノ</t>
    </rPh>
    <phoneticPr fontId="13"/>
  </si>
  <si>
    <t>千葉 334 そ 150</t>
    <rPh sb="0" eb="2">
      <t>チバ</t>
    </rPh>
    <phoneticPr fontId="13"/>
  </si>
  <si>
    <t>取説 ｷｰﾚｽ ﾜﾝｵｰﾅｰ 保証書</t>
    <rPh sb="0" eb="2">
      <t>トリセツ</t>
    </rPh>
    <rPh sb="15" eb="18">
      <t>ホショウショ</t>
    </rPh>
    <phoneticPr fontId="13"/>
  </si>
  <si>
    <t>地図SD(車内)ｷｰﾚｽ ﾜﾝｵｰﾅｰ ←付属品ｺｰﾅｰへ</t>
    <rPh sb="0" eb="2">
      <t>チズ</t>
    </rPh>
    <rPh sb="21" eb="24">
      <t>フゾクヒン</t>
    </rPh>
    <phoneticPr fontId="13"/>
  </si>
  <si>
    <t>ZFA31200JC56464</t>
    <phoneticPr fontId="13"/>
  </si>
  <si>
    <t>MR92S-472325</t>
    <phoneticPr fontId="13"/>
  </si>
  <si>
    <t>金沢 580 ふ 957</t>
    <rPh sb="0" eb="2">
      <t>カナザワ</t>
    </rPh>
    <phoneticPr fontId="13"/>
  </si>
  <si>
    <t>ｱﾄﾚｰﾊﾞﾝ RS</t>
    <phoneticPr fontId="13"/>
  </si>
  <si>
    <t>S700V-0169659</t>
    <phoneticPr fontId="13"/>
  </si>
  <si>
    <t>名古屋 480 も 3803</t>
    <rPh sb="0" eb="3">
      <t>ナゴヤ</t>
    </rPh>
    <phoneticPr fontId="13"/>
  </si>
  <si>
    <t>582 い 8474</t>
    <phoneticPr fontId="13"/>
  </si>
  <si>
    <t>582 い 8479</t>
    <phoneticPr fontId="13"/>
  </si>
  <si>
    <t>582 い 8478</t>
    <phoneticPr fontId="13"/>
  </si>
  <si>
    <t>582 い 8477</t>
    <phoneticPr fontId="13"/>
  </si>
  <si>
    <t>582 い 8476</t>
    <phoneticPr fontId="13"/>
  </si>
  <si>
    <t>582 い 8475</t>
    <phoneticPr fontId="13"/>
  </si>
  <si>
    <t>301 ね 5838</t>
    <phoneticPr fontId="13"/>
  </si>
  <si>
    <t>島根 501 つ 4641</t>
    <rPh sb="0" eb="2">
      <t>シマネ</t>
    </rPh>
    <phoneticPr fontId="13"/>
  </si>
  <si>
    <t>ごうぎんﾘｰｽ株式会社</t>
    <rPh sb="7" eb="11">
      <t>カブシキガイシャ</t>
    </rPh>
    <phoneticPr fontId="13"/>
  </si>
  <si>
    <t>福山 583 え 3532</t>
    <rPh sb="0" eb="2">
      <t>フクヤマ</t>
    </rPh>
    <phoneticPr fontId="13"/>
  </si>
  <si>
    <t>東中国ｽｽﾞｷ自動車株式会社福山営業所</t>
    <rPh sb="0" eb="1">
      <t>ヒガシ</t>
    </rPh>
    <rPh sb="1" eb="3">
      <t>チュウゴク</t>
    </rPh>
    <rPh sb="7" eb="14">
      <t>ジドウシャカブシキガイシャ</t>
    </rPh>
    <rPh sb="14" eb="16">
      <t>フクヤマ</t>
    </rPh>
    <rPh sb="16" eb="19">
      <t>エイギョウショ</t>
    </rPh>
    <phoneticPr fontId="13"/>
  </si>
  <si>
    <t>岡山 399 な 4147</t>
    <rPh sb="0" eb="2">
      <t>オカヤマ</t>
    </rPh>
    <phoneticPr fontId="13"/>
  </si>
  <si>
    <t>ﾏｲｸﾛ地図SD(車内)保証書 取説 ｷｰﾚｽ</t>
    <rPh sb="4" eb="6">
      <t>チズ</t>
    </rPh>
    <rPh sb="12" eb="15">
      <t>ホショウショ</t>
    </rPh>
    <rPh sb="16" eb="18">
      <t>トリセツ</t>
    </rPh>
    <phoneticPr fontId="13"/>
  </si>
  <si>
    <t>LA800S-0260547</t>
    <phoneticPr fontId="13"/>
  </si>
  <si>
    <t>愛媛 339 ろ 8778</t>
    <rPh sb="0" eb="2">
      <t>エヒメ</t>
    </rPh>
    <phoneticPr fontId="13"/>
  </si>
  <si>
    <t>ﾘﾓｺﾝ(車内)保証書 取説 ｷｰﾚｽ ﾜﾝｵｰﾅｰ</t>
    <rPh sb="5" eb="7">
      <t>シャナイ</t>
    </rPh>
    <rPh sb="8" eb="11">
      <t>ホショウショ</t>
    </rPh>
    <rPh sb="12" eb="14">
      <t>トリセツ</t>
    </rPh>
    <phoneticPr fontId="13"/>
  </si>
  <si>
    <t>WDC1569462J431572</t>
    <phoneticPr fontId="13"/>
  </si>
  <si>
    <t>WMW22DK0402P76835</t>
    <phoneticPr fontId="13"/>
  </si>
  <si>
    <t>三河 368 ふ 2525</t>
    <rPh sb="0" eb="2">
      <t>ミカワ</t>
    </rPh>
    <phoneticPr fontId="13"/>
  </si>
  <si>
    <t>ﾑｰﾌﾞｷｬﾝﾊﾞｽ G ﾒｲｸｱｯﾌﾟ</t>
    <phoneticPr fontId="13"/>
  </si>
  <si>
    <t>A317653</t>
    <phoneticPr fontId="13"/>
  </si>
  <si>
    <t xml:space="preserve">ﾏﾂﾀﾞCX-8 XD </t>
    <phoneticPr fontId="13"/>
  </si>
  <si>
    <t>KG2P-356164</t>
    <phoneticPr fontId="13"/>
  </si>
  <si>
    <t>A319239</t>
    <phoneticPr fontId="13"/>
  </si>
  <si>
    <t>ﾎﾝﾀﾞ ﾚｼﾞｪﾝﾄﾞ ﾊｲﾌﾞﾘｯﾄﾞEX</t>
    <phoneticPr fontId="13"/>
  </si>
  <si>
    <t>KC2-1100903</t>
    <phoneticPr fontId="13"/>
  </si>
  <si>
    <t>8/3/25</t>
    <phoneticPr fontId="13"/>
  </si>
  <si>
    <t>A319353</t>
    <phoneticPr fontId="13"/>
  </si>
  <si>
    <t xml:space="preserve">ｵｰﾗ ﾆﾓｽ </t>
    <phoneticPr fontId="13"/>
  </si>
  <si>
    <t>FE13-291976</t>
    <phoneticPr fontId="13"/>
  </si>
  <si>
    <t>9/10/25</t>
    <phoneticPr fontId="13"/>
  </si>
  <si>
    <t>A318767</t>
    <phoneticPr fontId="13"/>
  </si>
  <si>
    <t>MR52S-137193</t>
    <phoneticPr fontId="13"/>
  </si>
  <si>
    <t>8/7/12</t>
    <phoneticPr fontId="13"/>
  </si>
  <si>
    <t>A317864</t>
    <phoneticPr fontId="13"/>
  </si>
  <si>
    <t>GDH201-1113263</t>
    <phoneticPr fontId="13"/>
  </si>
  <si>
    <t>27-2447</t>
  </si>
  <si>
    <t>27-2448</t>
  </si>
  <si>
    <t>27-2449</t>
  </si>
  <si>
    <t>27-2450</t>
  </si>
  <si>
    <t>27-2451</t>
  </si>
  <si>
    <t>27-2452</t>
  </si>
  <si>
    <t>27-2453</t>
  </si>
  <si>
    <t>27-2454</t>
  </si>
  <si>
    <t>27-2455</t>
  </si>
  <si>
    <t>27-2456</t>
  </si>
  <si>
    <t>27-2457</t>
  </si>
  <si>
    <t>27-2458</t>
  </si>
  <si>
    <t>27-2459</t>
  </si>
  <si>
    <t>27-2460</t>
  </si>
  <si>
    <t>MH85S-135225</t>
    <phoneticPr fontId="13"/>
  </si>
  <si>
    <t>9/6/23</t>
    <phoneticPr fontId="13"/>
  </si>
  <si>
    <t>ﾑｰﾌﾞｶｽﾀﾑX  ﾊｲﾊﾟｰSA2</t>
    <phoneticPr fontId="13"/>
  </si>
  <si>
    <t>LA150S-0045207</t>
    <phoneticPr fontId="13"/>
  </si>
  <si>
    <t>ｳｪｲｸ Gﾀｰﾎﾞ ﾘﾐﾃｯﾄﾞ</t>
    <phoneticPr fontId="13"/>
  </si>
  <si>
    <t>LA700S-0168824</t>
    <phoneticPr fontId="13"/>
  </si>
  <si>
    <t>MH55S-121614</t>
    <phoneticPr fontId="13"/>
  </si>
  <si>
    <t>つくば 585 き 7007</t>
    <phoneticPr fontId="13"/>
  </si>
  <si>
    <t>江田 茂</t>
    <rPh sb="0" eb="2">
      <t>エダ</t>
    </rPh>
    <rPh sb="3" eb="4">
      <t>シゲル</t>
    </rPh>
    <phoneticPr fontId="13"/>
  </si>
  <si>
    <t>湘南 585 ち 1203</t>
    <rPh sb="0" eb="2">
      <t>ショウナン</t>
    </rPh>
    <phoneticPr fontId="13"/>
  </si>
  <si>
    <t>加藤 貴代</t>
    <rPh sb="0" eb="2">
      <t>カトウ</t>
    </rPh>
    <rPh sb="3" eb="4">
      <t>キ</t>
    </rPh>
    <rPh sb="4" eb="5">
      <t>ヨ</t>
    </rPh>
    <phoneticPr fontId="13"/>
  </si>
  <si>
    <t>千葉 331 む 7771</t>
    <rPh sb="0" eb="2">
      <t>チバ</t>
    </rPh>
    <phoneticPr fontId="13"/>
  </si>
  <si>
    <t>野田 480 き 8811</t>
    <rPh sb="0" eb="2">
      <t>ノダ</t>
    </rPh>
    <phoneticPr fontId="13"/>
  </si>
  <si>
    <t>瀧本 純一</t>
    <rPh sb="0" eb="2">
      <t>タキモト</t>
    </rPh>
    <rPh sb="3" eb="5">
      <t>ジュンイチ</t>
    </rPh>
    <phoneticPr fontId="13"/>
  </si>
  <si>
    <t>広島 330 ふ 7543</t>
    <rPh sb="0" eb="2">
      <t>ヒロシマ</t>
    </rPh>
    <phoneticPr fontId="13"/>
  </si>
  <si>
    <t>JB23W-774951</t>
    <phoneticPr fontId="13"/>
  </si>
  <si>
    <t>LA350S-0330962</t>
    <phoneticPr fontId="13"/>
  </si>
  <si>
    <t xml:space="preserve">保証書 ｷｰﾚｽ </t>
    <rPh sb="0" eb="3">
      <t>ホショウショ</t>
    </rPh>
    <phoneticPr fontId="13"/>
  </si>
  <si>
    <t>保証書ﾃﾞｨｰﾗｰ印訂正済</t>
    <rPh sb="0" eb="3">
      <t>ホショウショ</t>
    </rPh>
    <rPh sb="9" eb="10">
      <t>イン</t>
    </rPh>
    <rPh sb="10" eb="12">
      <t>テイセイ</t>
    </rPh>
    <rPh sb="12" eb="13">
      <t>ズ</t>
    </rPh>
    <phoneticPr fontId="13"/>
  </si>
  <si>
    <t>ｴｽﾃｨﾏ ｱｴﾗｽ ﾌﾟﾚﾐｱﾑｴﾃﾞｨｼｮﾝ</t>
    <phoneticPr fontId="13"/>
  </si>
  <si>
    <t>ACR50-0165004</t>
    <phoneticPr fontId="13"/>
  </si>
  <si>
    <t>名古屋 58A ま 3812</t>
    <rPh sb="0" eb="3">
      <t>ナゴヤ</t>
    </rPh>
    <phoneticPr fontId="13"/>
  </si>
  <si>
    <t>BASHIR KASHIF</t>
    <phoneticPr fontId="13"/>
  </si>
  <si>
    <t>ｷｰﾚｽ 地図SD(車内)保証書 取説 ﾅﾋﾞ取</t>
    <rPh sb="5" eb="7">
      <t>チズ</t>
    </rPh>
    <rPh sb="13" eb="16">
      <t>ホショウショ</t>
    </rPh>
    <rPh sb="17" eb="19">
      <t>トリセツ</t>
    </rPh>
    <rPh sb="23" eb="24">
      <t>トリ</t>
    </rPh>
    <phoneticPr fontId="13"/>
  </si>
  <si>
    <t>名古屋 780 ろ 4881</t>
    <rPh sb="0" eb="3">
      <t>ナゴヤ</t>
    </rPh>
    <phoneticPr fontId="13"/>
  </si>
  <si>
    <t>名古屋 583 そ 7116</t>
    <rPh sb="0" eb="3">
      <t>ナゴヤ</t>
    </rPh>
    <phoneticPr fontId="13"/>
  </si>
  <si>
    <t>草崎 奈津紀</t>
    <rPh sb="0" eb="2">
      <t>クササキ</t>
    </rPh>
    <rPh sb="3" eb="5">
      <t>ナツ</t>
    </rPh>
    <rPh sb="5" eb="6">
      <t>キ</t>
    </rPh>
    <phoneticPr fontId="13"/>
  </si>
  <si>
    <t>株式会社栗木自動車</t>
    <rPh sb="0" eb="4">
      <t>カブシキガイシャ</t>
    </rPh>
    <rPh sb="4" eb="6">
      <t>クリキ</t>
    </rPh>
    <rPh sb="6" eb="9">
      <t>ジドウシャ</t>
    </rPh>
    <phoneticPr fontId="13"/>
  </si>
  <si>
    <t>三重 582 え 9659</t>
    <rPh sb="0" eb="2">
      <t>ミエ</t>
    </rPh>
    <phoneticPr fontId="13"/>
  </si>
  <si>
    <t>大宮 798 ろ 8422</t>
    <rPh sb="0" eb="2">
      <t>オオミヤ</t>
    </rPh>
    <phoneticPr fontId="13"/>
  </si>
  <si>
    <t>滋賀 581 や 9016</t>
    <rPh sb="0" eb="2">
      <t>シガ</t>
    </rPh>
    <phoneticPr fontId="13"/>
  </si>
  <si>
    <t>浦口 翔伍</t>
    <rPh sb="0" eb="2">
      <t>ウラグチ</t>
    </rPh>
    <rPh sb="3" eb="4">
      <t>ショウ</t>
    </rPh>
    <rPh sb="4" eb="5">
      <t>ゴ</t>
    </rPh>
    <phoneticPr fontId="13"/>
  </si>
  <si>
    <t>高知 300 な 9299</t>
    <rPh sb="0" eb="2">
      <t>コウチ</t>
    </rPh>
    <phoneticPr fontId="13"/>
  </si>
  <si>
    <t>ﾄﾖﾀｶﾛｰﾗ高知株式会社</t>
    <rPh sb="7" eb="9">
      <t>コウチ</t>
    </rPh>
    <rPh sb="9" eb="13">
      <t>カブシキガイシャ</t>
    </rPh>
    <phoneticPr fontId="13"/>
  </si>
  <si>
    <t>徳島 483 か 319</t>
    <rPh sb="0" eb="2">
      <t>トクシマ</t>
    </rPh>
    <phoneticPr fontId="13"/>
  </si>
  <si>
    <t>坂東 未来</t>
    <rPh sb="0" eb="2">
      <t>サカトウ</t>
    </rPh>
    <rPh sb="3" eb="5">
      <t>ミライ</t>
    </rPh>
    <phoneticPr fontId="13"/>
  </si>
  <si>
    <t>滋賀 399 ち 5414</t>
    <rPh sb="0" eb="2">
      <t>シガ</t>
    </rPh>
    <phoneticPr fontId="13"/>
  </si>
  <si>
    <t>福山 583 い 5726</t>
    <rPh sb="0" eb="2">
      <t>フクヤマ</t>
    </rPh>
    <phoneticPr fontId="13"/>
  </si>
  <si>
    <t>福山日産自動車株式会社</t>
    <rPh sb="0" eb="2">
      <t>フクヤマ</t>
    </rPh>
    <rPh sb="2" eb="4">
      <t>ニッサン</t>
    </rPh>
    <rPh sb="4" eb="11">
      <t>ジドウシャカブシキガイシャ</t>
    </rPh>
    <phoneticPr fontId="13"/>
  </si>
  <si>
    <t>BMW X3 xﾄﾞﾗｲﾌﾞ20d Mｽﾎﾟｰﾂ</t>
    <phoneticPr fontId="13"/>
  </si>
  <si>
    <t>WBATX32060LG60257</t>
    <phoneticPr fontId="13"/>
  </si>
  <si>
    <t>鳥取 300 ひ 3214</t>
    <rPh sb="0" eb="2">
      <t>トットリ</t>
    </rPh>
    <phoneticPr fontId="13"/>
  </si>
  <si>
    <t>ｼﾄﾛｴﾝ C3 ｼｬｲﾝ</t>
    <phoneticPr fontId="13"/>
  </si>
  <si>
    <t>WMWXS720102C51466</t>
    <phoneticPr fontId="13"/>
  </si>
  <si>
    <t>松戸 310 と 1120</t>
    <rPh sb="0" eb="2">
      <t>マツト</t>
    </rPh>
    <phoneticPr fontId="13"/>
  </si>
  <si>
    <t>鈴木 巨典</t>
    <rPh sb="0" eb="2">
      <t>スズキ</t>
    </rPh>
    <rPh sb="3" eb="4">
      <t>キョ</t>
    </rPh>
    <rPh sb="4" eb="5">
      <t>ノリ</t>
    </rPh>
    <phoneticPr fontId="13"/>
  </si>
  <si>
    <t xml:space="preserve">保証書 取説 ｷｰﾚｽ ﾜﾝｵｰﾅｰ </t>
    <phoneticPr fontId="13"/>
  </si>
  <si>
    <t>JB23W-761952</t>
    <phoneticPr fontId="13"/>
  </si>
  <si>
    <t>ﾒﾙｾﾃﾞｽﾍﾞﾝﾂ GLB250</t>
    <phoneticPr fontId="13"/>
  </si>
  <si>
    <t>W1N2476472W094750</t>
    <phoneticPr fontId="13"/>
  </si>
  <si>
    <t>ｽﾏｰﾄ ﾌｫｰﾂｰｶﾌﾞｲｵ BRABUSｽﾎﾟｰﾂ</t>
    <phoneticPr fontId="13"/>
  </si>
  <si>
    <t>WME4534442K244890</t>
    <phoneticPr fontId="13"/>
  </si>
  <si>
    <t>WMW32BC0702R95361</t>
    <phoneticPr fontId="13"/>
  </si>
  <si>
    <t>神戸 397 む 330</t>
    <rPh sb="0" eb="2">
      <t>コウベ</t>
    </rPh>
    <phoneticPr fontId="13"/>
  </si>
  <si>
    <t>VF7SXHNPYMT509884</t>
    <phoneticPr fontId="13"/>
  </si>
  <si>
    <t>ｳﾞｫｸｼｰ XS ｷﾗﾒｷ</t>
    <phoneticPr fontId="13"/>
  </si>
  <si>
    <t>ZRR80-0106727</t>
    <phoneticPr fontId="13"/>
  </si>
  <si>
    <t>GDH201-1047813</t>
    <phoneticPr fontId="13"/>
  </si>
  <si>
    <t>広島 431 ふ 77</t>
    <rPh sb="0" eb="2">
      <t>ヒロシマ</t>
    </rPh>
    <phoneticPr fontId="13"/>
  </si>
  <si>
    <t>JF5-1003563</t>
    <phoneticPr fontId="13"/>
  </si>
  <si>
    <t>8/10/9</t>
    <phoneticPr fontId="13"/>
  </si>
  <si>
    <t>姫路 583 あ 5844</t>
    <rPh sb="0" eb="2">
      <t>ヒメジ</t>
    </rPh>
    <phoneticPr fontId="13"/>
  </si>
  <si>
    <t>MK53S-262560</t>
    <phoneticPr fontId="13"/>
  </si>
  <si>
    <t>9/3/18</t>
    <phoneticPr fontId="13"/>
  </si>
  <si>
    <t>徳島 585 こ 705</t>
    <rPh sb="0" eb="2">
      <t>トクシマ</t>
    </rPh>
    <phoneticPr fontId="13"/>
  </si>
  <si>
    <t>MR41S-341502</t>
    <phoneticPr fontId="13"/>
  </si>
  <si>
    <t>なにわ 530 や 3122</t>
    <phoneticPr fontId="13"/>
  </si>
  <si>
    <t>佐賀 331 ち 4869</t>
    <rPh sb="0" eb="2">
      <t>サガ</t>
    </rPh>
    <phoneticPr fontId="13"/>
  </si>
  <si>
    <t>青柳 宣彦</t>
    <rPh sb="0" eb="2">
      <t>アオヤナギ</t>
    </rPh>
    <rPh sb="3" eb="5">
      <t>ノリヒコ</t>
    </rPh>
    <phoneticPr fontId="13"/>
  </si>
  <si>
    <t>盛岡 580 け 8713</t>
    <rPh sb="0" eb="2">
      <t>モリオカ</t>
    </rPh>
    <phoneticPr fontId="13"/>
  </si>
  <si>
    <t>久下 智大</t>
    <rPh sb="0" eb="1">
      <t>ヒサ</t>
    </rPh>
    <rPh sb="1" eb="2">
      <t>シタ</t>
    </rPh>
    <rPh sb="3" eb="4">
      <t>トモ</t>
    </rPh>
    <rPh sb="4" eb="5">
      <t>ダイ</t>
    </rPh>
    <phoneticPr fontId="13"/>
  </si>
  <si>
    <t>27-2461</t>
  </si>
  <si>
    <t>27-2462</t>
  </si>
  <si>
    <t>27-2463</t>
  </si>
  <si>
    <t>27-2464</t>
  </si>
  <si>
    <t>27-2465</t>
  </si>
  <si>
    <t>27-2466</t>
  </si>
  <si>
    <t>27-2467</t>
  </si>
  <si>
    <t>27-2468</t>
  </si>
  <si>
    <t>27-2469</t>
  </si>
  <si>
    <t>27-2470</t>
  </si>
  <si>
    <t>27-2471</t>
  </si>
  <si>
    <t>27-2472</t>
  </si>
  <si>
    <t>27-2473</t>
  </si>
  <si>
    <t>27-2474</t>
  </si>
  <si>
    <t>27-2475</t>
  </si>
  <si>
    <t>27-2476</t>
  </si>
  <si>
    <t>27-2477</t>
  </si>
  <si>
    <t>27-2478</t>
  </si>
  <si>
    <t>27-2479</t>
  </si>
  <si>
    <t>27-2480</t>
  </si>
  <si>
    <t>BP8P-201125</t>
    <phoneticPr fontId="13"/>
  </si>
  <si>
    <t>ZRR80-0154799</t>
    <phoneticPr fontId="13"/>
  </si>
  <si>
    <t>27-2481</t>
  </si>
  <si>
    <t>27-2482</t>
  </si>
  <si>
    <t>27-2483</t>
  </si>
  <si>
    <t>WMWXN320503C49682</t>
    <phoneticPr fontId="13"/>
  </si>
  <si>
    <t>WAUZZZF54NA026961</t>
    <phoneticPr fontId="13"/>
  </si>
  <si>
    <t>黒/赤</t>
    <rPh sb="0" eb="1">
      <t>クロ</t>
    </rPh>
    <rPh sb="2" eb="3">
      <t>アカ</t>
    </rPh>
    <phoneticPr fontId="13"/>
  </si>
  <si>
    <t>WME4530442Y186608</t>
    <phoneticPr fontId="13"/>
  </si>
  <si>
    <t>WBA5X72080FJ46924</t>
    <phoneticPr fontId="13"/>
  </si>
  <si>
    <t>WMWXT32002H68246</t>
    <phoneticPr fontId="13"/>
  </si>
  <si>
    <t>WMWLN320402D73415</t>
    <phoneticPr fontId="13"/>
  </si>
  <si>
    <t>27-2484</t>
  </si>
  <si>
    <t>27-2485</t>
  </si>
  <si>
    <t>27-2486</t>
  </si>
  <si>
    <t>27-2487</t>
  </si>
  <si>
    <t>WMWSV32070T154256</t>
    <phoneticPr fontId="13"/>
  </si>
  <si>
    <t>つくば 501 ち 5704</t>
    <phoneticPr fontId="13"/>
  </si>
  <si>
    <t>BMWﾐﾆｸﾗﾌﾞﾏﾝ ｸｰﾊﾟｰD</t>
    <phoneticPr fontId="13"/>
  </si>
  <si>
    <t>名古屋 332 ら 3815</t>
    <rPh sb="0" eb="3">
      <t>ナゴヤ</t>
    </rPh>
    <phoneticPr fontId="13"/>
  </si>
  <si>
    <t>MCC ｽﾏｰﾄﾌｫｰﾌｫｰ ﾌﾞﾗﾊﾞｽｽﾎﾟｰﾂ</t>
    <phoneticPr fontId="13"/>
  </si>
  <si>
    <t>BMW 3ｼﾘｰｽﾞ ｾﾀﾞﾝ Mｽﾎﾟｰﾂ</t>
    <phoneticPr fontId="13"/>
  </si>
  <si>
    <t>ﾏﾂﾀﾞ3 ｾﾀﾞﾝ XD Lﾊﾟｯｹｰｼﾞ</t>
    <phoneticPr fontId="13"/>
  </si>
  <si>
    <t>27-2488</t>
  </si>
  <si>
    <t>27-2489</t>
  </si>
  <si>
    <t>27-2490</t>
  </si>
  <si>
    <t>27-2491</t>
  </si>
  <si>
    <t>27-2492</t>
  </si>
  <si>
    <t>27-2493</t>
  </si>
  <si>
    <t>27-2494</t>
  </si>
  <si>
    <t>27-2495</t>
  </si>
  <si>
    <t>27-2496</t>
  </si>
  <si>
    <t>27-2497</t>
  </si>
  <si>
    <t>27-2498</t>
  </si>
  <si>
    <t>27-2499</t>
  </si>
  <si>
    <t>27-2500</t>
  </si>
  <si>
    <t>27-2501</t>
  </si>
  <si>
    <t>27-2502</t>
  </si>
  <si>
    <t>A320137</t>
    <phoneticPr fontId="13"/>
  </si>
  <si>
    <t>ｷｯｸｽ X ﾂｰﾄﾝｲﾝﾃﾘｱｴﾃﾞｨｼｮﾝ</t>
    <phoneticPr fontId="13"/>
  </si>
  <si>
    <t>P15-001821</t>
    <phoneticPr fontId="13"/>
  </si>
  <si>
    <t>9/6/22</t>
    <phoneticPr fontId="13"/>
  </si>
  <si>
    <t>A320234</t>
    <phoneticPr fontId="13"/>
  </si>
  <si>
    <t>JF3-2317571</t>
    <phoneticPr fontId="13"/>
  </si>
  <si>
    <t>A319156</t>
    <phoneticPr fontId="13"/>
  </si>
  <si>
    <t>ｼｴﾝﾀ Z</t>
    <phoneticPr fontId="13"/>
  </si>
  <si>
    <t>MXPC10-1012400</t>
    <phoneticPr fontId="13"/>
  </si>
  <si>
    <t>9/12/20</t>
    <phoneticPr fontId="13"/>
  </si>
  <si>
    <t>A319083</t>
    <phoneticPr fontId="13"/>
  </si>
  <si>
    <t>ﾌｪｱﾚﾃﾞｨZ ﾊﾞｰｼﾞｮﾝST</t>
    <phoneticPr fontId="13"/>
  </si>
  <si>
    <t>RZ34-120550</t>
    <phoneticPr fontId="13"/>
  </si>
  <si>
    <t>A319328</t>
    <phoneticPr fontId="13"/>
  </si>
  <si>
    <t>LA400K-0050515</t>
    <phoneticPr fontId="13"/>
  </si>
  <si>
    <t>A319735</t>
    <phoneticPr fontId="13"/>
  </si>
  <si>
    <t>CX5 25S Lﾊﾟｯｹｰｼﾞ</t>
    <phoneticPr fontId="13"/>
  </si>
  <si>
    <t>KF5P-100644</t>
    <phoneticPr fontId="13"/>
  </si>
  <si>
    <t>A318942</t>
    <phoneticPr fontId="13"/>
  </si>
  <si>
    <t>ｳﾞｪｾﾞﾙ e HEV Play</t>
    <phoneticPr fontId="13"/>
  </si>
  <si>
    <t>RV5-1078161</t>
    <phoneticPr fontId="13"/>
  </si>
  <si>
    <t>A319275</t>
    <phoneticPr fontId="13"/>
  </si>
  <si>
    <t>DA17W-258623</t>
    <phoneticPr fontId="13"/>
  </si>
  <si>
    <t>9/1/23</t>
    <phoneticPr fontId="13"/>
  </si>
  <si>
    <t>A319361</t>
    <phoneticPr fontId="13"/>
  </si>
  <si>
    <t>ﾌﾘｰﾄﾞ G ﾎﾝﾀﾞｾﾝｼﾝｸﾞ</t>
    <phoneticPr fontId="13"/>
  </si>
  <si>
    <t>GB5-1029601</t>
    <phoneticPr fontId="13"/>
  </si>
  <si>
    <t>A318997</t>
    <phoneticPr fontId="13"/>
  </si>
  <si>
    <t>ANH20-8287676</t>
    <phoneticPr fontId="13"/>
  </si>
  <si>
    <t>A319424</t>
    <phoneticPr fontId="13"/>
  </si>
  <si>
    <t>ZN6-076897</t>
    <phoneticPr fontId="13"/>
  </si>
  <si>
    <t>8/8/16</t>
    <phoneticPr fontId="13"/>
  </si>
  <si>
    <t>A319725</t>
    <phoneticPr fontId="13"/>
  </si>
  <si>
    <t>JB23W-760972</t>
    <phoneticPr fontId="13"/>
  </si>
  <si>
    <t>9/12/18</t>
    <phoneticPr fontId="13"/>
  </si>
  <si>
    <t>A302282</t>
    <phoneticPr fontId="13"/>
  </si>
  <si>
    <t>MXPK11-2152172</t>
    <phoneticPr fontId="13"/>
  </si>
  <si>
    <t>A319928</t>
    <phoneticPr fontId="13"/>
  </si>
  <si>
    <t>ﾑｰﾌﾞ ｶｽﾀﾑ RS ﾊｲﾊﾟｰSA</t>
    <phoneticPr fontId="13"/>
  </si>
  <si>
    <t>LA150S-0012275</t>
    <phoneticPr fontId="13"/>
  </si>
  <si>
    <t>A319119</t>
    <phoneticPr fontId="13"/>
  </si>
  <si>
    <t>MK54S-150002</t>
    <phoneticPr fontId="13"/>
  </si>
  <si>
    <t>10/1/13</t>
    <phoneticPr fontId="13"/>
  </si>
  <si>
    <t>LA350S-0332834</t>
    <phoneticPr fontId="13"/>
  </si>
  <si>
    <t>LA900S-0086953</t>
    <phoneticPr fontId="13"/>
  </si>
  <si>
    <t>京都 783 ぬ 1212</t>
    <rPh sb="0" eb="2">
      <t>キョウト</t>
    </rPh>
    <phoneticPr fontId="13"/>
  </si>
  <si>
    <t>ｷｬｽﾄ ｱｸﾃｨﾊﾞ X SA2</t>
    <phoneticPr fontId="13"/>
  </si>
  <si>
    <t>LA250S-0045360</t>
    <phoneticPr fontId="13"/>
  </si>
  <si>
    <t>LA350S-0331260</t>
    <phoneticPr fontId="13"/>
  </si>
  <si>
    <t>ｷｬｽﾄ ｽﾀｲﾙ G SA3</t>
    <phoneticPr fontId="13"/>
  </si>
  <si>
    <t>LA250S-0139309</t>
    <phoneticPr fontId="13"/>
  </si>
  <si>
    <t>大阪 582 と 7901</t>
    <rPh sb="0" eb="2">
      <t>オオサカ</t>
    </rPh>
    <phoneticPr fontId="13"/>
  </si>
  <si>
    <t>LA350S-0338949</t>
    <phoneticPr fontId="13"/>
  </si>
  <si>
    <t>ｶﾛｰﾗﾌｨｰﾙﾀﾞｰ ﾊｲﾌﾞﾘｯﾄﾞ G</t>
    <phoneticPr fontId="13"/>
  </si>
  <si>
    <t>NKE165-7105997</t>
    <phoneticPr fontId="13"/>
  </si>
  <si>
    <t>MR41S-336408</t>
    <phoneticPr fontId="13"/>
  </si>
  <si>
    <t>ｴﾌﾞﾘｲｼﾞｮｲﾝ</t>
    <phoneticPr fontId="13"/>
  </si>
  <si>
    <t>DA17V-446313</t>
    <phoneticPr fontId="13"/>
  </si>
  <si>
    <t>ｱﾙﾌｧﾛﾒｵ ｼﾞｭﾘｴｯﾀ</t>
    <phoneticPr fontId="13"/>
  </si>
  <si>
    <t>ZAR94000007537774</t>
    <phoneticPr fontId="13"/>
  </si>
  <si>
    <t>愛媛 338 そ 2020</t>
    <rPh sb="0" eb="2">
      <t>エヒメ</t>
    </rPh>
    <phoneticPr fontId="13"/>
  </si>
  <si>
    <t>MH34S-500312</t>
    <phoneticPr fontId="13"/>
  </si>
  <si>
    <t>ﾌﾟｼﾞｮｰ208</t>
    <phoneticPr fontId="13"/>
  </si>
  <si>
    <t>VR3UPHKSMT013467</t>
    <phoneticPr fontId="13"/>
  </si>
  <si>
    <t>480 ね 3165</t>
    <phoneticPr fontId="13"/>
  </si>
  <si>
    <t>480 ね 3166</t>
    <phoneticPr fontId="13"/>
  </si>
  <si>
    <t>582 い 8584</t>
    <phoneticPr fontId="13"/>
  </si>
  <si>
    <t>582 い 8585</t>
    <phoneticPr fontId="13"/>
  </si>
  <si>
    <t>582 い 8586</t>
    <phoneticPr fontId="13"/>
  </si>
  <si>
    <t>582 い 8587</t>
    <phoneticPr fontId="13"/>
  </si>
  <si>
    <t>582 い 8588</t>
    <phoneticPr fontId="13"/>
  </si>
  <si>
    <t>582 い 8589</t>
    <phoneticPr fontId="13"/>
  </si>
  <si>
    <t>582 い 8590</t>
    <phoneticPr fontId="13"/>
  </si>
  <si>
    <t>582 い 8591</t>
    <phoneticPr fontId="13"/>
  </si>
  <si>
    <t>岡山 584 ろ 3006</t>
    <rPh sb="0" eb="2">
      <t>オカヤマ</t>
    </rPh>
    <phoneticPr fontId="13"/>
  </si>
  <si>
    <t>1/13</t>
    <phoneticPr fontId="13"/>
  </si>
  <si>
    <t>なにわ 302 さ 8372</t>
    <phoneticPr fontId="13"/>
  </si>
  <si>
    <t>ﾄﾖﾀﾓﾋﾞﾘﾃｨ新大阪株式会社</t>
    <rPh sb="9" eb="12">
      <t>シンオオサカ</t>
    </rPh>
    <rPh sb="12" eb="16">
      <t>カブシキガイシャ</t>
    </rPh>
    <phoneticPr fontId="13"/>
  </si>
  <si>
    <t>神戸 302 わ 2232</t>
    <rPh sb="0" eb="2">
      <t>コウベ</t>
    </rPh>
    <phoneticPr fontId="13"/>
  </si>
  <si>
    <t>保証書 取説 ｷｰﾚｽ ﾚﾝﾀｶｰ</t>
    <phoneticPr fontId="13"/>
  </si>
  <si>
    <t>長村 美治</t>
    <rPh sb="0" eb="2">
      <t>ナガムラ</t>
    </rPh>
    <rPh sb="3" eb="4">
      <t>ミ</t>
    </rPh>
    <rPh sb="4" eb="5">
      <t>ナオ</t>
    </rPh>
    <phoneticPr fontId="13"/>
  </si>
  <si>
    <t>501 ゆ 3334</t>
    <phoneticPr fontId="13"/>
  </si>
  <si>
    <t>501 ゆ 3335</t>
    <phoneticPr fontId="13"/>
  </si>
  <si>
    <t>301 ね 5884</t>
    <phoneticPr fontId="13"/>
  </si>
  <si>
    <t>南場 誠</t>
    <rPh sb="0" eb="1">
      <t>ミナミ</t>
    </rPh>
    <rPh sb="1" eb="2">
      <t>バ</t>
    </rPh>
    <rPh sb="3" eb="4">
      <t>マコト</t>
    </rPh>
    <phoneticPr fontId="13"/>
  </si>
  <si>
    <t>WVWZZZ16ZFM626212</t>
    <phoneticPr fontId="13"/>
  </si>
  <si>
    <t>WMWXN920702H65597</t>
    <phoneticPr fontId="13"/>
  </si>
  <si>
    <t>DA17W-206438</t>
    <phoneticPr fontId="13"/>
  </si>
  <si>
    <t>DA17V-499114</t>
    <phoneticPr fontId="13"/>
  </si>
  <si>
    <t>和歌山 480 つ 1427</t>
    <rPh sb="0" eb="3">
      <t>ワカヤマ</t>
    </rPh>
    <phoneticPr fontId="13"/>
  </si>
  <si>
    <t>DA17W-320680</t>
    <phoneticPr fontId="13"/>
  </si>
  <si>
    <t>BMW X1 xﾄﾞﾗｲﾌﾞ20i Mｽﾎﾟｰﾂ</t>
    <phoneticPr fontId="13"/>
  </si>
  <si>
    <t>WBAJG520703G38724</t>
    <phoneticPr fontId="13"/>
  </si>
  <si>
    <t>BMW X1 Sﾄﾞﾗｲﾌﾞ 18i</t>
    <phoneticPr fontId="13"/>
  </si>
  <si>
    <t>WBAHS120405F03680</t>
    <phoneticPr fontId="13"/>
  </si>
  <si>
    <t>MH85S-124860</t>
    <phoneticPr fontId="13"/>
  </si>
  <si>
    <t>広島 581 も 7184</t>
    <rPh sb="0" eb="2">
      <t>ヒロシマ</t>
    </rPh>
    <phoneticPr fontId="13"/>
  </si>
  <si>
    <t>青/白</t>
    <rPh sb="0" eb="1">
      <t>アオ</t>
    </rPh>
    <rPh sb="2" eb="3">
      <t>シロ</t>
    </rPh>
    <phoneticPr fontId="13"/>
  </si>
  <si>
    <t>HE33S-317560</t>
    <phoneticPr fontId="13"/>
  </si>
  <si>
    <t>広島 583 よ 3715</t>
    <rPh sb="0" eb="2">
      <t>ヒロシマ</t>
    </rPh>
    <phoneticPr fontId="13"/>
  </si>
  <si>
    <t>LA650S-0256543</t>
    <phoneticPr fontId="13"/>
  </si>
  <si>
    <t>広島 580 わ 8576</t>
    <rPh sb="0" eb="2">
      <t>ヒロシマ</t>
    </rPh>
    <phoneticPr fontId="13"/>
  </si>
  <si>
    <t>MK53S-361709</t>
    <phoneticPr fontId="13"/>
  </si>
  <si>
    <t>福山 584 く 420</t>
    <rPh sb="0" eb="2">
      <t>フクヤマ</t>
    </rPh>
    <phoneticPr fontId="13"/>
  </si>
  <si>
    <t>MR92S-501228</t>
    <phoneticPr fontId="13"/>
  </si>
  <si>
    <t>広島 588 す 817</t>
    <rPh sb="0" eb="2">
      <t>ヒロシマ</t>
    </rPh>
    <phoneticPr fontId="13"/>
  </si>
  <si>
    <t>MR92S-201942</t>
    <phoneticPr fontId="13"/>
  </si>
  <si>
    <t>岡山 581 よ 5368</t>
    <rPh sb="0" eb="2">
      <t>オカヤマ</t>
    </rPh>
    <phoneticPr fontId="13"/>
  </si>
  <si>
    <t>品番；CN-RA04D</t>
    <rPh sb="0" eb="2">
      <t>ヒンバン</t>
    </rPh>
    <phoneticPr fontId="13"/>
  </si>
  <si>
    <t>保証書 取説 ｷｰﾚｽ 地図SD ﾘﾓｺﾝ(車内)</t>
    <rPh sb="0" eb="3">
      <t>ホショウショ</t>
    </rPh>
    <rPh sb="4" eb="6">
      <t>トリセツ</t>
    </rPh>
    <rPh sb="12" eb="14">
      <t>チズ</t>
    </rPh>
    <phoneticPr fontId="13"/>
  </si>
  <si>
    <t>582 い 8673</t>
    <phoneticPr fontId="13"/>
  </si>
  <si>
    <t>582 い 8672</t>
    <phoneticPr fontId="13"/>
  </si>
  <si>
    <t>582 い 8671</t>
    <phoneticPr fontId="13"/>
  </si>
  <si>
    <t>582 い 8670</t>
    <phoneticPr fontId="13"/>
  </si>
  <si>
    <t>ｼﾄﾛｴﾝ C3 ｴｱｸﾛｽ ｼｬｲﾝ</t>
    <phoneticPr fontId="13"/>
  </si>
  <si>
    <t>VF72RHNPXL4375751</t>
    <phoneticPr fontId="13"/>
  </si>
  <si>
    <t>27-2503</t>
  </si>
  <si>
    <t>27-2504</t>
  </si>
  <si>
    <t>27-2505</t>
  </si>
  <si>
    <t>27-2506</t>
  </si>
  <si>
    <t>27-2507</t>
  </si>
  <si>
    <t>27-2508</t>
  </si>
  <si>
    <t>27-2509</t>
  </si>
  <si>
    <t>27-2510</t>
  </si>
  <si>
    <t>27-2511</t>
  </si>
  <si>
    <t>27-2512</t>
  </si>
  <si>
    <t>27-2513</t>
  </si>
  <si>
    <t>27-2514</t>
  </si>
  <si>
    <t>27-2515</t>
  </si>
  <si>
    <t>27-2516</t>
  </si>
  <si>
    <t>27-2517</t>
  </si>
  <si>
    <t>27-2518</t>
  </si>
  <si>
    <t>27-2519</t>
  </si>
  <si>
    <t>27-2520</t>
  </si>
  <si>
    <t>27-2521</t>
  </si>
  <si>
    <t>27-2522</t>
  </si>
  <si>
    <t>27-2523</t>
  </si>
  <si>
    <t>27-2524</t>
  </si>
  <si>
    <t>27-2525</t>
  </si>
  <si>
    <t>27-2526</t>
  </si>
  <si>
    <t>27-2527</t>
  </si>
  <si>
    <t>27-2528</t>
  </si>
  <si>
    <t>27-2529</t>
  </si>
  <si>
    <t>27-2530</t>
  </si>
  <si>
    <t>27-2531</t>
  </si>
  <si>
    <t>27-2532</t>
  </si>
  <si>
    <t>27-2533</t>
  </si>
  <si>
    <t>WAUZZZGB8PR021545</t>
    <phoneticPr fontId="13"/>
  </si>
  <si>
    <t>ﾍﾞﾝﾂ GLAｸﾗｽ</t>
    <phoneticPr fontId="13"/>
  </si>
  <si>
    <t>WDC1569472J618400</t>
    <phoneticPr fontId="13"/>
  </si>
  <si>
    <t>LA350S-0239038</t>
    <phoneticPr fontId="13"/>
  </si>
  <si>
    <t>S331G-0030584</t>
    <phoneticPr fontId="13"/>
  </si>
  <si>
    <t>LA650S-0139510</t>
    <phoneticPr fontId="13"/>
  </si>
  <si>
    <t>27-2534</t>
  </si>
  <si>
    <t>27-2535</t>
  </si>
  <si>
    <t>27-2536</t>
  </si>
  <si>
    <t>27-2537</t>
  </si>
  <si>
    <t>DA17V-639007</t>
    <phoneticPr fontId="13"/>
  </si>
  <si>
    <t>27-2538</t>
  </si>
  <si>
    <t>GFC27-058601</t>
    <phoneticPr fontId="13"/>
  </si>
  <si>
    <t>MﾍﾞﾝﾂA</t>
    <phoneticPr fontId="13"/>
  </si>
  <si>
    <t>WDD1771472W015131</t>
    <phoneticPr fontId="13"/>
  </si>
  <si>
    <t>WMWXS520602C92907</t>
    <phoneticPr fontId="13"/>
  </si>
  <si>
    <t>ﾐﾗｲｰｽ　X　SA</t>
    <phoneticPr fontId="13"/>
  </si>
  <si>
    <t>ｱﾄﾚｰﾜｺﾞﾝ　車椅子移動車</t>
    <rPh sb="9" eb="10">
      <t>クルマ</t>
    </rPh>
    <rPh sb="10" eb="12">
      <t>イス</t>
    </rPh>
    <rPh sb="12" eb="15">
      <t>イドウシャ</t>
    </rPh>
    <phoneticPr fontId="13"/>
  </si>
  <si>
    <t>ｾﾚﾅ　ﾊｲｳｪｲｽﾀｰ　Vｾﾚｸｼｮﾝ</t>
    <phoneticPr fontId="13"/>
  </si>
  <si>
    <t>ﾌｨｱｯﾄ500X　ｸﾛｽ</t>
    <phoneticPr fontId="13"/>
  </si>
  <si>
    <t>ZFA3340000P904228</t>
    <phoneticPr fontId="13"/>
  </si>
  <si>
    <t>白河 580 あ 5278</t>
    <rPh sb="0" eb="2">
      <t>シラカワ</t>
    </rPh>
    <phoneticPr fontId="13"/>
  </si>
  <si>
    <t>小俣 美乃</t>
    <rPh sb="0" eb="2">
      <t>コマタ</t>
    </rPh>
    <rPh sb="3" eb="4">
      <t>ミ</t>
    </rPh>
    <rPh sb="4" eb="5">
      <t>ノ</t>
    </rPh>
    <phoneticPr fontId="13"/>
  </si>
  <si>
    <t>横浜 331 ゆ 3381</t>
    <rPh sb="0" eb="2">
      <t>ヨコハマ</t>
    </rPh>
    <phoneticPr fontId="13"/>
  </si>
  <si>
    <t>秋元 友樹</t>
    <rPh sb="0" eb="2">
      <t>アキモト</t>
    </rPh>
    <rPh sb="3" eb="5">
      <t>トモキ</t>
    </rPh>
    <phoneticPr fontId="13"/>
  </si>
  <si>
    <t>岐阜 599 は 9712</t>
    <rPh sb="0" eb="2">
      <t>ギフ</t>
    </rPh>
    <phoneticPr fontId="13"/>
  </si>
  <si>
    <t>宮﨑 健太</t>
    <rPh sb="0" eb="2">
      <t>ミヤザキ</t>
    </rPh>
    <rPh sb="3" eb="5">
      <t>ケンタ</t>
    </rPh>
    <phoneticPr fontId="13"/>
  </si>
  <si>
    <t>浜松 531 ま 1182</t>
    <rPh sb="0" eb="2">
      <t>ハママツ</t>
    </rPh>
    <phoneticPr fontId="13"/>
  </si>
  <si>
    <t>國吉 太郎</t>
    <rPh sb="0" eb="1">
      <t>クニ</t>
    </rPh>
    <rPh sb="1" eb="2">
      <t>ヨシ</t>
    </rPh>
    <rPh sb="3" eb="5">
      <t>タロウ</t>
    </rPh>
    <phoneticPr fontId="13"/>
  </si>
  <si>
    <t>津田 安弥</t>
    <rPh sb="0" eb="2">
      <t>ツダ</t>
    </rPh>
    <rPh sb="3" eb="4">
      <t>ヤス</t>
    </rPh>
    <rPh sb="4" eb="5">
      <t>ヤ</t>
    </rPh>
    <phoneticPr fontId="13"/>
  </si>
  <si>
    <t>伊勢志摩 583 そ 1188</t>
    <rPh sb="0" eb="4">
      <t>イセシマ</t>
    </rPh>
    <phoneticPr fontId="13"/>
  </si>
  <si>
    <t>竹中 則勝</t>
    <rPh sb="0" eb="2">
      <t>タケナカ</t>
    </rPh>
    <rPh sb="3" eb="5">
      <t>ノリカツ</t>
    </rPh>
    <phoneticPr fontId="13"/>
  </si>
  <si>
    <t>保証書 取説 ﾅﾋﾞ取 ｷｰﾚｽ</t>
    <rPh sb="0" eb="3">
      <t>ホショウショ</t>
    </rPh>
    <rPh sb="4" eb="6">
      <t>トリセツ</t>
    </rPh>
    <rPh sb="10" eb="11">
      <t>　</t>
    </rPh>
    <phoneticPr fontId="13"/>
  </si>
  <si>
    <t>京都 330 ふ 689</t>
    <rPh sb="0" eb="2">
      <t>キョウト</t>
    </rPh>
    <phoneticPr fontId="13"/>
  </si>
  <si>
    <t>京都ﾄﾖﾀ自動車株式会社</t>
    <rPh sb="0" eb="2">
      <t>キョウト</t>
    </rPh>
    <rPh sb="5" eb="12">
      <t>ジドウシャカブシキガイシャ</t>
    </rPh>
    <phoneticPr fontId="13"/>
  </si>
  <si>
    <t>福岡 346 む 524</t>
    <rPh sb="0" eb="2">
      <t>フクオカ</t>
    </rPh>
    <phoneticPr fontId="13"/>
  </si>
  <si>
    <t>沖田 浩一</t>
    <rPh sb="0" eb="2">
      <t>オキタ</t>
    </rPh>
    <rPh sb="3" eb="5">
      <t>コウイチ</t>
    </rPh>
    <phoneticPr fontId="13"/>
  </si>
  <si>
    <t>川崎 340 ひ 811</t>
    <rPh sb="0" eb="2">
      <t>カワサキ</t>
    </rPh>
    <phoneticPr fontId="13"/>
  </si>
  <si>
    <t>勝箭 翔平</t>
    <rPh sb="0" eb="1">
      <t>カツ</t>
    </rPh>
    <rPh sb="1" eb="2">
      <t>セン</t>
    </rPh>
    <rPh sb="3" eb="4">
      <t>ショウ</t>
    </rPh>
    <rPh sb="4" eb="5">
      <t>ヒラ</t>
    </rPh>
    <phoneticPr fontId="13"/>
  </si>
  <si>
    <t>とちぎ 300 ほ 4890</t>
    <phoneticPr fontId="13"/>
  </si>
  <si>
    <t>内藤 明</t>
    <rPh sb="0" eb="2">
      <t>ナイトウ</t>
    </rPh>
    <rPh sb="3" eb="4">
      <t>アキラ</t>
    </rPh>
    <phoneticPr fontId="13"/>
  </si>
  <si>
    <t>袖ヶ浦 383 ま 18</t>
    <rPh sb="0" eb="3">
      <t>ソデガウラ</t>
    </rPh>
    <phoneticPr fontId="13"/>
  </si>
  <si>
    <t>持田 和賢</t>
    <rPh sb="0" eb="2">
      <t>モチダ</t>
    </rPh>
    <rPh sb="3" eb="4">
      <t>カズ</t>
    </rPh>
    <rPh sb="4" eb="5">
      <t>カシコ</t>
    </rPh>
    <phoneticPr fontId="13"/>
  </si>
  <si>
    <t>春日部 337 な 526</t>
    <rPh sb="0" eb="3">
      <t>カスカベ</t>
    </rPh>
    <phoneticPr fontId="13"/>
  </si>
  <si>
    <t>用田 光広</t>
    <rPh sb="0" eb="1">
      <t>モチ</t>
    </rPh>
    <rPh sb="1" eb="2">
      <t>ダ</t>
    </rPh>
    <rPh sb="3" eb="4">
      <t>ミツ</t>
    </rPh>
    <rPh sb="4" eb="5">
      <t>ヒロ</t>
    </rPh>
    <phoneticPr fontId="13"/>
  </si>
  <si>
    <t>神戸 304 ふ 5251</t>
    <rPh sb="0" eb="2">
      <t>コウベ</t>
    </rPh>
    <phoneticPr fontId="13"/>
  </si>
  <si>
    <t>藤田 浩明</t>
    <rPh sb="0" eb="2">
      <t>フジタ</t>
    </rPh>
    <rPh sb="3" eb="4">
      <t>ヒロ</t>
    </rPh>
    <rPh sb="4" eb="5">
      <t>アキ</t>
    </rPh>
    <phoneticPr fontId="13"/>
  </si>
  <si>
    <t>京都 591 て 828</t>
    <rPh sb="0" eb="2">
      <t>キョウト</t>
    </rPh>
    <phoneticPr fontId="13"/>
  </si>
  <si>
    <t>坂井 勝英</t>
    <rPh sb="0" eb="2">
      <t>サカイ</t>
    </rPh>
    <rPh sb="3" eb="5">
      <t>カツヒデ</t>
    </rPh>
    <phoneticPr fontId="13"/>
  </si>
  <si>
    <t>大宮 583 そ 1714</t>
    <rPh sb="0" eb="2">
      <t>オオミヤ</t>
    </rPh>
    <phoneticPr fontId="13"/>
  </si>
  <si>
    <t>池嶋 兼介</t>
    <rPh sb="0" eb="2">
      <t>イケシマ</t>
    </rPh>
    <rPh sb="3" eb="5">
      <t>ケンスケ</t>
    </rPh>
    <phoneticPr fontId="13"/>
  </si>
  <si>
    <t>大垣 幸恵</t>
    <rPh sb="0" eb="2">
      <t>オオガキ</t>
    </rPh>
    <rPh sb="3" eb="5">
      <t>ユキエ</t>
    </rPh>
    <phoneticPr fontId="13"/>
  </si>
  <si>
    <t>保証書 取説 ﾅﾋﾞ取 Ｓｷｰ</t>
    <rPh sb="0" eb="3">
      <t>ホショウショ</t>
    </rPh>
    <rPh sb="4" eb="6">
      <t>トリセツ</t>
    </rPh>
    <rPh sb="10" eb="11">
      <t>トリ</t>
    </rPh>
    <phoneticPr fontId="13"/>
  </si>
  <si>
    <t>姫路 346 す 1222</t>
    <rPh sb="0" eb="2">
      <t>ヒメジ</t>
    </rPh>
    <phoneticPr fontId="13"/>
  </si>
  <si>
    <t>保証書 Ｓｷｰ ﾘﾓｺﾝ ＳＤ ﾐﾆB-CAS</t>
    <rPh sb="0" eb="3">
      <t>ホショウショ</t>
    </rPh>
    <phoneticPr fontId="13"/>
  </si>
  <si>
    <t>槌谷 昌男</t>
    <rPh sb="0" eb="1">
      <t>ツイ</t>
    </rPh>
    <rPh sb="1" eb="2">
      <t>タニ</t>
    </rPh>
    <rPh sb="3" eb="4">
      <t>ショウ</t>
    </rPh>
    <rPh sb="4" eb="5">
      <t>オ</t>
    </rPh>
    <phoneticPr fontId="13"/>
  </si>
  <si>
    <t>倉敷 580 め 1419</t>
    <rPh sb="0" eb="2">
      <t>クラシキ</t>
    </rPh>
    <phoneticPr fontId="13"/>
  </si>
  <si>
    <t>香川 581 ろ 8871</t>
    <rPh sb="0" eb="2">
      <t>カガワ</t>
    </rPh>
    <phoneticPr fontId="13"/>
  </si>
  <si>
    <t>岡山 592 と 1115</t>
    <rPh sb="0" eb="2">
      <t>オカヤマ</t>
    </rPh>
    <phoneticPr fontId="13"/>
  </si>
  <si>
    <t>西日本三菱自動車株式会社中四国営業本部</t>
    <rPh sb="0" eb="12">
      <t>ニシニホンミツビシジドウシャカブシキガイシャ</t>
    </rPh>
    <rPh sb="12" eb="15">
      <t>ナカシコク</t>
    </rPh>
    <rPh sb="15" eb="17">
      <t>エイギョウ</t>
    </rPh>
    <rPh sb="17" eb="19">
      <t>ホンブ</t>
    </rPh>
    <phoneticPr fontId="13"/>
  </si>
  <si>
    <t>名古屋 582 あ 6263</t>
    <rPh sb="0" eb="3">
      <t>ナゴヤ</t>
    </rPh>
    <phoneticPr fontId="13"/>
  </si>
  <si>
    <t>尾関 修士</t>
    <rPh sb="0" eb="2">
      <t>オセキ</t>
    </rPh>
    <rPh sb="3" eb="4">
      <t>シュウ</t>
    </rPh>
    <rPh sb="4" eb="5">
      <t>シ</t>
    </rPh>
    <phoneticPr fontId="13"/>
  </si>
  <si>
    <t>1/16</t>
    <phoneticPr fontId="13"/>
  </si>
  <si>
    <t>三重 338 ろ 311</t>
    <rPh sb="0" eb="2">
      <t>ミエ</t>
    </rPh>
    <phoneticPr fontId="13"/>
  </si>
  <si>
    <t>加藤 健次</t>
    <rPh sb="0" eb="2">
      <t>カトウ</t>
    </rPh>
    <rPh sb="3" eb="5">
      <t>ケンジ</t>
    </rPh>
    <phoneticPr fontId="13"/>
  </si>
  <si>
    <t>品川 5X2 ろ 9248</t>
    <rPh sb="0" eb="2">
      <t>シナガワ</t>
    </rPh>
    <phoneticPr fontId="13"/>
  </si>
  <si>
    <t>品川 39A め 3388</t>
    <rPh sb="0" eb="2">
      <t>シナガワ</t>
    </rPh>
    <phoneticPr fontId="13"/>
  </si>
  <si>
    <t>和泉 329 に 2990</t>
    <rPh sb="0" eb="2">
      <t>イズミ</t>
    </rPh>
    <phoneticPr fontId="13"/>
  </si>
  <si>
    <t>株式会社MIRIVE</t>
    <rPh sb="0" eb="4">
      <t>カブシキガイシャ</t>
    </rPh>
    <phoneticPr fontId="13"/>
  </si>
  <si>
    <t>多摩 592 ろ 6548</t>
    <rPh sb="0" eb="2">
      <t>タマ</t>
    </rPh>
    <phoneticPr fontId="13"/>
  </si>
  <si>
    <t>和泉 585 ろ 9487</t>
    <rPh sb="0" eb="2">
      <t>イズミ</t>
    </rPh>
    <phoneticPr fontId="13"/>
  </si>
  <si>
    <t>愛媛 580 や 8843</t>
    <rPh sb="0" eb="2">
      <t>エヒメ</t>
    </rPh>
    <phoneticPr fontId="13"/>
  </si>
  <si>
    <t>愛媛ﾀﾞｲﾊﾂ販売株式会社</t>
    <rPh sb="0" eb="2">
      <t>エヒメ</t>
    </rPh>
    <rPh sb="7" eb="13">
      <t>ハンバイカブシキガイシャ</t>
    </rPh>
    <phoneticPr fontId="13"/>
  </si>
  <si>
    <t>保証書 取説 ﾅﾋﾞ取 SD 地図SD ｷｰﾚｽ</t>
    <rPh sb="0" eb="3">
      <t>ホショウショ</t>
    </rPh>
    <rPh sb="4" eb="6">
      <t>トリセツ</t>
    </rPh>
    <rPh sb="10" eb="11">
      <t>トリ</t>
    </rPh>
    <rPh sb="15" eb="17">
      <t>チズ</t>
    </rPh>
    <phoneticPr fontId="13"/>
  </si>
  <si>
    <t>ｾｷｼｮｳﾎﾝﾀﾞ株式会社</t>
    <rPh sb="9" eb="13">
      <t>カブシキガイシャ</t>
    </rPh>
    <phoneticPr fontId="13"/>
  </si>
  <si>
    <t>ｷｬﾝｾﾙ返送1/16</t>
    <rPh sb="5" eb="7">
      <t>ヘンソウ</t>
    </rPh>
    <phoneticPr fontId="13"/>
  </si>
  <si>
    <t>伊豆 585 あ 1011</t>
    <rPh sb="0" eb="2">
      <t>イズ</t>
    </rPh>
    <phoneticPr fontId="13"/>
  </si>
  <si>
    <t>渡邊 貴</t>
    <rPh sb="0" eb="2">
      <t>ワタナベ</t>
    </rPh>
    <rPh sb="3" eb="4">
      <t>タカ</t>
    </rPh>
    <phoneticPr fontId="13"/>
  </si>
  <si>
    <t>吉田 貴子</t>
    <rPh sb="0" eb="2">
      <t>ヨシダ</t>
    </rPh>
    <rPh sb="3" eb="5">
      <t>タカコ</t>
    </rPh>
    <phoneticPr fontId="13"/>
  </si>
  <si>
    <t>車庫出しFAX貰う  ﾜﾝｵｰﾅｰ 直送 詳細なし</t>
    <rPh sb="0" eb="3">
      <t>シャコダ</t>
    </rPh>
    <rPh sb="7" eb="8">
      <t>モラ</t>
    </rPh>
    <rPh sb="18" eb="20">
      <t>チョクソウ</t>
    </rPh>
    <rPh sb="21" eb="23">
      <t>ショウサイ</t>
    </rPh>
    <phoneticPr fontId="13"/>
  </si>
  <si>
    <t>高知 339 せ 1123</t>
    <rPh sb="0" eb="2">
      <t>コウチ</t>
    </rPh>
    <phoneticPr fontId="13"/>
  </si>
  <si>
    <t>ﾈｯﾂﾄﾖﾀ南国株式会社</t>
    <rPh sb="6" eb="8">
      <t>ナンコク</t>
    </rPh>
    <rPh sb="8" eb="12">
      <t>カブシキガイシャ</t>
    </rPh>
    <phoneticPr fontId="13"/>
  </si>
  <si>
    <t>483 か 2155</t>
    <phoneticPr fontId="13"/>
  </si>
  <si>
    <t>480 ゆ 9251</t>
    <phoneticPr fontId="13"/>
  </si>
  <si>
    <t>石川 480 さ 9411</t>
    <rPh sb="0" eb="2">
      <t>イシカワ</t>
    </rPh>
    <phoneticPr fontId="13"/>
  </si>
  <si>
    <t>能登石油株式会社</t>
    <rPh sb="0" eb="1">
      <t>ノウ</t>
    </rPh>
    <rPh sb="1" eb="2">
      <t>ノボル</t>
    </rPh>
    <rPh sb="2" eb="4">
      <t>セキユ</t>
    </rPh>
    <rPh sb="4" eb="8">
      <t>カブシキガイシャ</t>
    </rPh>
    <phoneticPr fontId="13"/>
  </si>
  <si>
    <t>582 い 8976</t>
    <phoneticPr fontId="13"/>
  </si>
  <si>
    <t>480ね 3274</t>
    <phoneticPr fontId="13"/>
  </si>
  <si>
    <t>582 い 8977</t>
    <phoneticPr fontId="13"/>
  </si>
  <si>
    <t>582 い 7180</t>
    <phoneticPr fontId="13"/>
  </si>
  <si>
    <t>582 い 8975</t>
    <phoneticPr fontId="13"/>
  </si>
  <si>
    <t>尾張小牧 312 さ 358</t>
    <rPh sb="0" eb="4">
      <t>オワリコマキ</t>
    </rPh>
    <phoneticPr fontId="13"/>
  </si>
  <si>
    <t>1/17</t>
    <phoneticPr fontId="13"/>
  </si>
  <si>
    <t>保証書 取説  地図SD(車内)</t>
    <rPh sb="8" eb="10">
      <t>チズ</t>
    </rPh>
    <phoneticPr fontId="13"/>
  </si>
  <si>
    <t>ﾏｲｸﾛ地図SD(車内)</t>
    <rPh sb="4" eb="6">
      <t>チズ</t>
    </rPh>
    <phoneticPr fontId="13"/>
  </si>
  <si>
    <t xml:space="preserve">ｷｰﾚｽ(車内)保証書 取説 </t>
    <phoneticPr fontId="13"/>
  </si>
  <si>
    <r>
      <rPr>
        <sz val="11"/>
        <color theme="3"/>
        <rFont val="ＭＳ Ｐゴシック"/>
        <family val="3"/>
        <charset val="128"/>
        <scheme val="minor"/>
      </rPr>
      <t>ｷｰﾚｽ 地図SD(車内)保証書(角印なし保証書扱い)</t>
    </r>
    <r>
      <rPr>
        <sz val="11"/>
        <color theme="4" tint="-0.499984740745262"/>
        <rFont val="ＭＳ Ｐゴシック"/>
        <family val="3"/>
        <charset val="128"/>
        <scheme val="minor"/>
      </rPr>
      <t xml:space="preserve"> 取説 </t>
    </r>
    <rPh sb="5" eb="7">
      <t>チズ</t>
    </rPh>
    <rPh sb="13" eb="16">
      <t>ホショウショ</t>
    </rPh>
    <rPh sb="17" eb="19">
      <t>カクイン</t>
    </rPh>
    <rPh sb="21" eb="24">
      <t>ホショウショ</t>
    </rPh>
    <rPh sb="24" eb="25">
      <t>アツカ</t>
    </rPh>
    <rPh sb="28" eb="30">
      <t>トリセツ</t>
    </rPh>
    <phoneticPr fontId="13"/>
  </si>
  <si>
    <t>取説 ｽﾀｰﾄﾎﾞﾀﾝ(車内)</t>
    <rPh sb="0" eb="2">
      <t>トリセツ</t>
    </rPh>
    <phoneticPr fontId="13"/>
  </si>
  <si>
    <t>市川 310 す 9977</t>
    <rPh sb="0" eb="2">
      <t>イチカワ</t>
    </rPh>
    <phoneticPr fontId="13"/>
  </si>
  <si>
    <t>株式会社千葉ﾏﾂﾀﾞ</t>
    <rPh sb="0" eb="4">
      <t>カブシキガイシャ</t>
    </rPh>
    <rPh sb="4" eb="6">
      <t>チバ</t>
    </rPh>
    <phoneticPr fontId="13"/>
  </si>
  <si>
    <r>
      <t>保証書 取説 ｷｰﾚｽ</t>
    </r>
    <r>
      <rPr>
        <sz val="11"/>
        <color rgb="FFFF0000"/>
        <rFont val="ＭＳ Ｐゴシック"/>
        <family val="3"/>
        <charset val="128"/>
        <scheme val="minor"/>
      </rPr>
      <t>ﾜﾝｵｰﾅｰ？確認中</t>
    </r>
    <rPh sb="0" eb="3">
      <t>ホショウショ</t>
    </rPh>
    <rPh sb="4" eb="6">
      <t>トリセツ</t>
    </rPh>
    <rPh sb="18" eb="20">
      <t>カクニン</t>
    </rPh>
    <rPh sb="20" eb="21">
      <t>チュウ</t>
    </rPh>
    <phoneticPr fontId="13"/>
  </si>
  <si>
    <t>愛媛 399 そ 2902</t>
    <rPh sb="0" eb="2">
      <t>エヒメ</t>
    </rPh>
    <phoneticPr fontId="13"/>
  </si>
  <si>
    <t>三澤 崇代</t>
    <rPh sb="0" eb="2">
      <t>ミサワ</t>
    </rPh>
    <rPh sb="3" eb="4">
      <t>タカシ</t>
    </rPh>
    <rPh sb="4" eb="5">
      <t>ヨ</t>
    </rPh>
    <phoneticPr fontId="13"/>
  </si>
  <si>
    <t>保証書 SD ﾜﾝｵｰﾅｰ</t>
    <rPh sb="0" eb="3">
      <t>ホショウショ</t>
    </rPh>
    <phoneticPr fontId="13"/>
  </si>
  <si>
    <t>葛飾 310 さ 441</t>
    <rPh sb="0" eb="2">
      <t>カツシカ</t>
    </rPh>
    <phoneticPr fontId="13"/>
  </si>
  <si>
    <t>品川 48F ろ 3352</t>
    <rPh sb="0" eb="2">
      <t>シナガワ</t>
    </rPh>
    <phoneticPr fontId="13"/>
  </si>
  <si>
    <t>USS神戸/1000/7007</t>
    <rPh sb="3" eb="5">
      <t>コウベ</t>
    </rPh>
    <phoneticPr fontId="13"/>
  </si>
  <si>
    <t>USS神戸/1000/7008</t>
    <rPh sb="3" eb="5">
      <t>コウベ</t>
    </rPh>
    <phoneticPr fontId="13"/>
  </si>
  <si>
    <t>WMWLR920902H12516</t>
    <phoneticPr fontId="13"/>
  </si>
  <si>
    <t>WMWXS520702C85819</t>
    <phoneticPr fontId="13"/>
  </si>
  <si>
    <t>CAA中部(まとめ)</t>
    <phoneticPr fontId="13"/>
  </si>
  <si>
    <t>MK94S-239588</t>
    <phoneticPr fontId="13"/>
  </si>
  <si>
    <t>27-2539</t>
  </si>
  <si>
    <t>27-2540</t>
  </si>
  <si>
    <t>27-2541</t>
  </si>
  <si>
    <t>27-2542</t>
  </si>
  <si>
    <t>27-2543</t>
  </si>
  <si>
    <t>27-2544</t>
  </si>
  <si>
    <t>27-2545</t>
  </si>
  <si>
    <t>27-2546</t>
  </si>
  <si>
    <t>27-2547</t>
  </si>
  <si>
    <t>27-2548</t>
  </si>
  <si>
    <t>N-BOXｶｽﾀﾑ　SSﾊﾟｯｹｰｼﾞ</t>
    <phoneticPr fontId="13"/>
  </si>
  <si>
    <t>JF1-1944077</t>
    <phoneticPr fontId="13"/>
  </si>
  <si>
    <t>ﾌﾟﾛﾎﾞｯｸｽ　G</t>
    <phoneticPr fontId="13"/>
  </si>
  <si>
    <t>NSP160V-0065907</t>
    <phoneticPr fontId="13"/>
  </si>
  <si>
    <t>ﾌｨｱｯﾄ500C　1.2ｶﾙﾄ</t>
    <phoneticPr fontId="13"/>
  </si>
  <si>
    <t>ZFABF1BG5NJG07322</t>
    <phoneticPr fontId="13"/>
  </si>
  <si>
    <t>WDD2122552A775334</t>
    <phoneticPr fontId="13"/>
  </si>
  <si>
    <t>27-2549</t>
  </si>
  <si>
    <t>27-2550</t>
  </si>
  <si>
    <t>27-2551</t>
  </si>
  <si>
    <t>27-2552</t>
  </si>
  <si>
    <t>27-2553</t>
  </si>
  <si>
    <t>27-2554</t>
  </si>
  <si>
    <t>27-2555</t>
  </si>
  <si>
    <t>27-2556</t>
  </si>
  <si>
    <t>27-2557</t>
  </si>
  <si>
    <t>27-2558</t>
  </si>
  <si>
    <t>27-2559</t>
  </si>
  <si>
    <t>27-2560</t>
  </si>
  <si>
    <t>27-2561</t>
  </si>
  <si>
    <t>27-2562</t>
  </si>
  <si>
    <t>27-2563</t>
  </si>
  <si>
    <t>27-2564</t>
  </si>
  <si>
    <t>27-2565</t>
  </si>
  <si>
    <t>27-2566</t>
  </si>
  <si>
    <t>KH3P-105741</t>
    <phoneticPr fontId="13"/>
  </si>
  <si>
    <t>HE33S-159514</t>
    <phoneticPr fontId="13"/>
  </si>
  <si>
    <t>ﾊｲｾﾞｯﾄ　V</t>
    <phoneticPr fontId="13"/>
  </si>
  <si>
    <t>S700V-0116590</t>
    <phoneticPr fontId="13"/>
  </si>
  <si>
    <t>LA650S-0089165</t>
    <phoneticPr fontId="13"/>
  </si>
  <si>
    <t>LA600S-0531414</t>
    <phoneticPr fontId="13"/>
  </si>
  <si>
    <t>LA400K-0009481</t>
    <phoneticPr fontId="13"/>
  </si>
  <si>
    <t>MR41S-368392</t>
    <phoneticPr fontId="13"/>
  </si>
  <si>
    <t>JF3-5095545</t>
    <phoneticPr fontId="13"/>
  </si>
  <si>
    <t>MR92S-499298</t>
    <phoneticPr fontId="13"/>
  </si>
  <si>
    <t>LA600S-0761729</t>
    <phoneticPr fontId="13"/>
  </si>
  <si>
    <t>LA650S-0302976</t>
    <phoneticPr fontId="13"/>
  </si>
  <si>
    <t>HE33S-300306</t>
    <phoneticPr fontId="13"/>
  </si>
  <si>
    <t>LA650S-0363374</t>
    <phoneticPr fontId="13"/>
  </si>
  <si>
    <t>S321W-0007369</t>
    <phoneticPr fontId="13"/>
  </si>
  <si>
    <t>LA650S-0264213</t>
    <phoneticPr fontId="13"/>
  </si>
  <si>
    <t>LA650S-0440344</t>
    <phoneticPr fontId="13"/>
  </si>
  <si>
    <t>LA650S-0143378</t>
    <phoneticPr fontId="13"/>
  </si>
  <si>
    <t>27-2567</t>
  </si>
  <si>
    <t>27-2568</t>
  </si>
  <si>
    <t>27-2569</t>
  </si>
  <si>
    <t>27-2570</t>
  </si>
  <si>
    <t>27-2571</t>
  </si>
  <si>
    <t>27-2572</t>
  </si>
  <si>
    <t>27-2573</t>
  </si>
  <si>
    <t>27-2574</t>
  </si>
  <si>
    <t>27-2575</t>
  </si>
  <si>
    <t>27-2576</t>
  </si>
  <si>
    <t>27-2577</t>
  </si>
  <si>
    <t>27-2578</t>
  </si>
  <si>
    <t>27-2579</t>
  </si>
  <si>
    <t>27-2580</t>
  </si>
  <si>
    <t>27-2581</t>
  </si>
  <si>
    <t>27-2582</t>
  </si>
  <si>
    <t>27-2583</t>
  </si>
  <si>
    <t>NSP170-7069978</t>
    <phoneticPr fontId="13"/>
  </si>
  <si>
    <t>TE52-082091</t>
    <phoneticPr fontId="13"/>
  </si>
  <si>
    <t>KH3P-104917</t>
    <phoneticPr fontId="13"/>
  </si>
  <si>
    <t>LA850S-1022876</t>
    <phoneticPr fontId="13"/>
  </si>
  <si>
    <t>EKｶｽﾀﾑ</t>
    <phoneticPr fontId="13"/>
  </si>
  <si>
    <t>B11W-0508227</t>
    <phoneticPr fontId="13"/>
  </si>
  <si>
    <t>N-BOXｶｽﾀﾑ　G　Lﾀｰﾎﾞ</t>
    <phoneticPr fontId="13"/>
  </si>
  <si>
    <t>JF3-2076125</t>
    <phoneticPr fontId="13"/>
  </si>
  <si>
    <t>ﾚｳﾞｫｰｸﾞ　1.6GTｱｲｻｲﾄ</t>
    <phoneticPr fontId="13"/>
  </si>
  <si>
    <t>VM4-013812</t>
    <phoneticPr fontId="13"/>
  </si>
  <si>
    <t>ｴｸｽﾄﾚｲﾙ　ﾓｰﾄﾞﾌﾟﾚﾐｱﾑ</t>
    <phoneticPr fontId="13"/>
  </si>
  <si>
    <t>T32-516389</t>
    <phoneticPr fontId="13"/>
  </si>
  <si>
    <t>HA36S-872356</t>
    <phoneticPr fontId="13"/>
  </si>
  <si>
    <t>ﾊﾟｯｿ　ﾓｰﾀﾞ　Gﾊﾟｯｹｰｼﾞ</t>
    <phoneticPr fontId="13"/>
  </si>
  <si>
    <t>M700A-1027618</t>
    <phoneticPr fontId="13"/>
  </si>
  <si>
    <t>ﾗﾝﾄﾞｸﾙｰｻﾞｰﾌﾟﾗﾄﾞ　TX</t>
    <phoneticPr fontId="13"/>
  </si>
  <si>
    <t>TRJ150-0124347</t>
    <phoneticPr fontId="13"/>
  </si>
  <si>
    <t>ﾌﾟﾘｳｽ　Z</t>
    <phoneticPr fontId="13"/>
  </si>
  <si>
    <t>MXWH60-4032279</t>
    <phoneticPr fontId="13"/>
  </si>
  <si>
    <t>ｴﾙｸﾞﾗﾝﾄﾞ　250ﾊｲｳｪｲｽﾀｰ</t>
    <phoneticPr fontId="13"/>
  </si>
  <si>
    <t>TE52-081403</t>
    <phoneticPr fontId="13"/>
  </si>
  <si>
    <t>ZWA10-2293786</t>
    <phoneticPr fontId="13"/>
  </si>
  <si>
    <t>GFC27-131542</t>
    <phoneticPr fontId="13"/>
  </si>
  <si>
    <t>ｷｬｽﾄ　ｱｸﾃｨﾊﾞG　VS</t>
    <phoneticPr fontId="13"/>
  </si>
  <si>
    <t>LA250S-0192470</t>
    <phoneticPr fontId="13"/>
  </si>
  <si>
    <t>ﾎﾞﾙﾎﾞV60　D4ﾀﾞｲﾅﾐｯｸED</t>
    <phoneticPr fontId="13"/>
  </si>
  <si>
    <t>ｼﾄﾛｴﾝC3　ｴｱｸﾛSUV　ｼｬｲﾝ</t>
    <phoneticPr fontId="13"/>
  </si>
  <si>
    <t>ﾙﾉｰﾄｩｲﾝｺﾞ　GT</t>
    <phoneticPr fontId="13"/>
  </si>
  <si>
    <t>27-2585</t>
  </si>
  <si>
    <t>27-2586</t>
  </si>
  <si>
    <t>27-2587</t>
  </si>
  <si>
    <t>27-2588</t>
  </si>
  <si>
    <t>A320825</t>
    <phoneticPr fontId="13"/>
  </si>
  <si>
    <t>RV6-1015924</t>
    <phoneticPr fontId="13"/>
  </si>
  <si>
    <t>A310232</t>
    <phoneticPr fontId="13"/>
  </si>
  <si>
    <t>AGH35-0049877</t>
    <phoneticPr fontId="13"/>
  </si>
  <si>
    <t>A320953</t>
    <phoneticPr fontId="13"/>
  </si>
  <si>
    <t>NSP170-7222073</t>
    <phoneticPr fontId="13"/>
  </si>
  <si>
    <t>A320052</t>
    <phoneticPr fontId="13"/>
  </si>
  <si>
    <t>GUN125-3936711</t>
    <phoneticPr fontId="13"/>
  </si>
  <si>
    <t>NHP10-2025762</t>
    <phoneticPr fontId="13"/>
  </si>
  <si>
    <t>A320182</t>
    <phoneticPr fontId="13"/>
  </si>
  <si>
    <t>KF5P-552764</t>
    <phoneticPr fontId="13"/>
  </si>
  <si>
    <t>A320489</t>
    <phoneticPr fontId="13"/>
  </si>
  <si>
    <t>AGL20-0003535</t>
    <phoneticPr fontId="13"/>
  </si>
  <si>
    <t>A321365</t>
    <phoneticPr fontId="13"/>
  </si>
  <si>
    <t>GFC27-168687</t>
    <phoneticPr fontId="13"/>
  </si>
  <si>
    <t>A321330</t>
    <phoneticPr fontId="13"/>
  </si>
  <si>
    <t>HE22S-841103</t>
    <phoneticPr fontId="13"/>
  </si>
  <si>
    <t>奈良　581　つ　1993</t>
    <rPh sb="0" eb="2">
      <t>ナラ</t>
    </rPh>
    <phoneticPr fontId="13"/>
  </si>
  <si>
    <t>MﾍﾞﾝﾂE300　AV</t>
    <phoneticPr fontId="13"/>
  </si>
  <si>
    <t>CX-60　XDｴｸｽｸﾙｰｼﾌﾞﾓｰﾄﾞ</t>
    <phoneticPr fontId="13"/>
  </si>
  <si>
    <t>9/10/8</t>
    <phoneticPr fontId="13"/>
  </si>
  <si>
    <t>名古屋　337　ゆ　8510</t>
    <rPh sb="0" eb="3">
      <t>ナゴヤ</t>
    </rPh>
    <phoneticPr fontId="13"/>
  </si>
  <si>
    <t>ｱﾙﾄﾗﾊﾟﾝ　L</t>
    <phoneticPr fontId="13"/>
  </si>
  <si>
    <t>三河　480　せ　1632</t>
    <rPh sb="0" eb="2">
      <t>ミカワ</t>
    </rPh>
    <phoneticPr fontId="13"/>
  </si>
  <si>
    <t>ﾀﾝﾄｶｽﾀﾑ Ｘｾﾚｸｼｮﾝ</t>
    <phoneticPr fontId="13"/>
  </si>
  <si>
    <t>名古屋　58A　ま　4833</t>
    <rPh sb="0" eb="3">
      <t>ナゴヤ</t>
    </rPh>
    <phoneticPr fontId="13"/>
  </si>
  <si>
    <t>ﾀﾝﾄ　ｽﾛｰﾊﾟｰ　SaⅢ</t>
    <phoneticPr fontId="13"/>
  </si>
  <si>
    <t>春日井　580　さ　5974</t>
    <rPh sb="0" eb="3">
      <t>カスガイ</t>
    </rPh>
    <phoneticPr fontId="13"/>
  </si>
  <si>
    <t>ｺﾍﾟﾝ　ｴｸｽﾌﾟﾚｲ</t>
    <phoneticPr fontId="13"/>
  </si>
  <si>
    <t>京都　581　さ　6835</t>
    <rPh sb="0" eb="2">
      <t>キョウト</t>
    </rPh>
    <phoneticPr fontId="13"/>
  </si>
  <si>
    <t>N　BOXｶｽﾀﾑ　L</t>
    <phoneticPr fontId="13"/>
  </si>
  <si>
    <t>ﾊｽﾗｰ　ﾊｲﾌﾞﾘｯﾄﾞG</t>
    <phoneticPr fontId="13"/>
  </si>
  <si>
    <t>ﾀﾝﾄｶｽﾀﾑ 　XﾄｯﾌﾟｾﾚｸｼｮﾝVS　SaⅢ</t>
    <phoneticPr fontId="13"/>
  </si>
  <si>
    <t>ﾀﾝﾄｶｽﾀﾑ　X</t>
    <phoneticPr fontId="13"/>
  </si>
  <si>
    <t>ﾀﾝﾄ　X</t>
    <phoneticPr fontId="13"/>
  </si>
  <si>
    <t>ﾊｲｾﾞｯﾄｶｰｺﾞ　ﾃﾞｯｷﾊﾞﾝG　SaⅢ</t>
    <phoneticPr fontId="13"/>
  </si>
  <si>
    <t>四日市　480　い　303</t>
    <rPh sb="0" eb="3">
      <t>ヨッカイチ</t>
    </rPh>
    <phoneticPr fontId="13"/>
  </si>
  <si>
    <t>ﾀﾝﾄ　ﾌｧﾝｸﾛｽﾀｰﾎﾞ</t>
    <phoneticPr fontId="13"/>
  </si>
  <si>
    <t>ﾀﾝﾄｶｽﾀﾑ 　X</t>
    <phoneticPr fontId="13"/>
  </si>
  <si>
    <t>ﾀﾝﾄｶｽﾀﾑ Xｽﾀｲﾙｾﾚｸｼｮﾝ</t>
    <phoneticPr fontId="13"/>
  </si>
  <si>
    <t>名古屋　58A　ま　3518</t>
    <rPh sb="0" eb="3">
      <t>ナゴヤ</t>
    </rPh>
    <phoneticPr fontId="13"/>
  </si>
  <si>
    <t>ｴﾙｸﾞﾗﾝﾄﾞ　250ﾊｲｳｪｲｽﾀｰS</t>
    <phoneticPr fontId="13"/>
  </si>
  <si>
    <t>CX-60　ｴｸｽｸﾙｰｼﾌﾞﾓｰﾄﾞ</t>
    <phoneticPr fontId="13"/>
  </si>
  <si>
    <t>9/4/11</t>
    <phoneticPr fontId="13"/>
  </si>
  <si>
    <t>ﾊﾟｰﾙⅡ</t>
    <phoneticPr fontId="13"/>
  </si>
  <si>
    <t>奈良　336　つ　520</t>
    <rPh sb="0" eb="2">
      <t>ナラ</t>
    </rPh>
    <phoneticPr fontId="13"/>
  </si>
  <si>
    <t>YV1FWA8RDH1335210</t>
    <phoneticPr fontId="13"/>
  </si>
  <si>
    <t>YF72RHNPXL4317742</t>
    <phoneticPr fontId="13"/>
  </si>
  <si>
    <t>31/9</t>
    <phoneticPr fontId="13"/>
  </si>
  <si>
    <t>VF1AHB55AJ0786815</t>
    <phoneticPr fontId="13"/>
  </si>
  <si>
    <t>ｳﾞｪｾﾞﾙ　</t>
    <phoneticPr fontId="13"/>
  </si>
  <si>
    <t>9/11/29</t>
    <phoneticPr fontId="13"/>
  </si>
  <si>
    <t>ｳﾞｪﾙﾌｧｲｱ　2.5Z　ｺﾞｰﾙﾃﾞﾝｱｲｽﾞ</t>
    <phoneticPr fontId="13"/>
  </si>
  <si>
    <t>ｼｴﾝﾀ　Gｸﾞﾗﾝﾊﾞｰ</t>
    <phoneticPr fontId="13"/>
  </si>
  <si>
    <t>9/11/13</t>
    <phoneticPr fontId="13"/>
  </si>
  <si>
    <t>ﾊｲﾗｯｸｽ　Z</t>
    <phoneticPr fontId="13"/>
  </si>
  <si>
    <t>8/7/31</t>
    <phoneticPr fontId="13"/>
  </si>
  <si>
    <t>CX-5　25Sｽﾎﾟｰﾂｱﾋﾟｱﾗﾝｽ</t>
    <phoneticPr fontId="13"/>
  </si>
  <si>
    <t>ﾚｸｻｽRX　200ｔﾊﾞｰｼﾞｮﾝＬ</t>
    <phoneticPr fontId="13"/>
  </si>
  <si>
    <t>ｾﾚﾅ　ﾊｲｳｪｲｽﾀｰ　VｾﾚｸｼｮﾝⅡ</t>
    <phoneticPr fontId="13"/>
  </si>
  <si>
    <t>ｱﾙﾄﾗﾊﾟﾝｼｮｺﾗ　G</t>
    <phoneticPr fontId="13"/>
  </si>
  <si>
    <t>27-2589</t>
  </si>
  <si>
    <t>27-2590</t>
  </si>
  <si>
    <t>27-2591</t>
  </si>
  <si>
    <t>27-2592</t>
  </si>
  <si>
    <t>27-2593</t>
  </si>
  <si>
    <t>27-2594</t>
  </si>
  <si>
    <t>27-2595</t>
  </si>
  <si>
    <t>27-2596</t>
  </si>
  <si>
    <t>27-2597</t>
  </si>
  <si>
    <t>27-2598</t>
  </si>
  <si>
    <t>27-2599</t>
  </si>
  <si>
    <t>27-2600</t>
  </si>
  <si>
    <t>27-2601</t>
  </si>
  <si>
    <t>27-2602</t>
  </si>
  <si>
    <t>BMWﾐﾆ　ｸｰﾊﾟｰXｵｰﾊﾞｰ</t>
    <phoneticPr fontId="13"/>
  </si>
  <si>
    <t>WMWYS320003E55683</t>
    <phoneticPr fontId="13"/>
  </si>
  <si>
    <t>ｼﾞｰﾌﾟｺﾝﾊﾟｽ　ﾘﾐﾃｯﾄﾞ</t>
    <phoneticPr fontId="13"/>
  </si>
  <si>
    <t>MCANJRCB1MFA73335</t>
    <phoneticPr fontId="13"/>
  </si>
  <si>
    <t>27-2603</t>
  </si>
  <si>
    <t>27-2604</t>
  </si>
  <si>
    <t>ｳﾞｪﾙﾌｧｲｱ　2.5Z　</t>
    <phoneticPr fontId="13"/>
  </si>
  <si>
    <t>AGH30W-0080391</t>
    <phoneticPr fontId="13"/>
  </si>
  <si>
    <t>ｺﾍﾟﾝ　ｱｸﾃｨﾌﾞﾄｯﾌﾟ</t>
    <phoneticPr fontId="13"/>
  </si>
  <si>
    <t>L880K-0054460</t>
    <phoneticPr fontId="13"/>
  </si>
  <si>
    <t>ｴﾌﾞﾘｨW　PZﾀｰﾎﾞｽﾍﾟｼｬﾙ</t>
    <phoneticPr fontId="13"/>
  </si>
  <si>
    <t>DA17W-318101</t>
    <phoneticPr fontId="13"/>
  </si>
  <si>
    <t>MR31S-116846</t>
    <phoneticPr fontId="13"/>
  </si>
  <si>
    <t>MR92S-478803</t>
    <phoneticPr fontId="13"/>
  </si>
  <si>
    <t>ｻﾝﾊﾞｰﾊﾞﾝ　ﾄﾗﾝｽﾎﾟｰﾀｰ</t>
    <phoneticPr fontId="13"/>
  </si>
  <si>
    <t>S710B-0000846</t>
    <phoneticPr fontId="13"/>
  </si>
  <si>
    <t>ﾊｲｾﾞｯﾄﾄﾗｯｸ　ｼﾞｬﾝﾎﾞｴｸｽﾄﾗ</t>
    <phoneticPr fontId="13"/>
  </si>
  <si>
    <t>S500P-0153674</t>
    <phoneticPr fontId="13"/>
  </si>
  <si>
    <t>ｽﾍﾟｰｼｱ　ﾊｲﾌﾞﾘｯﾄﾞX</t>
    <phoneticPr fontId="13"/>
  </si>
  <si>
    <t>MK53S-267558</t>
    <phoneticPr fontId="13"/>
  </si>
  <si>
    <t>ﾀﾝﾄｶｽﾀﾑ　RSﾄｯﾌﾟED</t>
    <phoneticPr fontId="13"/>
  </si>
  <si>
    <t>LA600S-0503932</t>
    <phoneticPr fontId="13"/>
  </si>
  <si>
    <t>BMWﾐﾆ　ｸｰﾊﾟｰSD</t>
    <phoneticPr fontId="13"/>
  </si>
  <si>
    <t>BMWﾐﾆ　ｸｰﾊﾟｰＳ</t>
    <phoneticPr fontId="13"/>
  </si>
  <si>
    <t>BMWﾐﾆ　ｸｰﾊﾟｰｱｲｽﾌﾞﾙｰED</t>
    <phoneticPr fontId="13"/>
  </si>
  <si>
    <t>ｶﾛｰﾗﾌｨｰﾙﾀﾞｰ　1.8Sｴｱﾛﾂｱﾗｰ</t>
    <phoneticPr fontId="13"/>
  </si>
  <si>
    <t>N　BOXｶｽﾀﾑ　Lｽﾀｲﾙ＋</t>
    <phoneticPr fontId="13"/>
  </si>
  <si>
    <t>JF3-5312114</t>
    <phoneticPr fontId="13"/>
  </si>
  <si>
    <t>22/11</t>
    <phoneticPr fontId="13"/>
  </si>
  <si>
    <t>鳥取　580　は　9962</t>
    <rPh sb="0" eb="2">
      <t>トットリ</t>
    </rPh>
    <phoneticPr fontId="13"/>
  </si>
  <si>
    <t>9/10/16</t>
    <phoneticPr fontId="13"/>
  </si>
  <si>
    <t>大阪　582　ち　4</t>
    <rPh sb="0" eb="2">
      <t>オオサカ</t>
    </rPh>
    <phoneticPr fontId="13"/>
  </si>
  <si>
    <t>大阪　590　そ　1125</t>
    <rPh sb="0" eb="2">
      <t>オオサカ</t>
    </rPh>
    <phoneticPr fontId="13"/>
  </si>
  <si>
    <t>WMW22DV0202R28610</t>
    <phoneticPr fontId="13"/>
  </si>
  <si>
    <t>姫路　301　ぬ　621</t>
    <rPh sb="0" eb="2">
      <t>ヒメジ</t>
    </rPh>
    <phoneticPr fontId="13"/>
  </si>
  <si>
    <t>WMWXM720302A23902</t>
    <phoneticPr fontId="13"/>
  </si>
  <si>
    <t>ﾌﾞﾙｰⅡ</t>
    <phoneticPr fontId="13"/>
  </si>
  <si>
    <t>WMWXR32050TM06998</t>
    <phoneticPr fontId="13"/>
  </si>
  <si>
    <t>和歌山　501　そ　9343</t>
    <rPh sb="0" eb="3">
      <t>ワカヤマ</t>
    </rPh>
    <phoneticPr fontId="13"/>
  </si>
  <si>
    <t>愛媛　399　そ　2987</t>
    <rPh sb="0" eb="2">
      <t>エヒメ</t>
    </rPh>
    <phoneticPr fontId="13"/>
  </si>
  <si>
    <t>土居　一男</t>
    <rPh sb="0" eb="2">
      <t>ドイ</t>
    </rPh>
    <rPh sb="3" eb="5">
      <t>カズオ</t>
    </rPh>
    <phoneticPr fontId="13"/>
  </si>
  <si>
    <t>1/18</t>
    <phoneticPr fontId="13"/>
  </si>
  <si>
    <t>保証書　取説</t>
    <rPh sb="0" eb="3">
      <t>ホショウショ</t>
    </rPh>
    <rPh sb="4" eb="6">
      <t>トリセツ</t>
    </rPh>
    <phoneticPr fontId="13"/>
  </si>
  <si>
    <t>長崎　399　そ　4101</t>
    <rPh sb="0" eb="2">
      <t>ナガサキ</t>
    </rPh>
    <phoneticPr fontId="13"/>
  </si>
  <si>
    <t>株式会社MATSUFUJI</t>
    <rPh sb="0" eb="4">
      <t>カブシキガイシャ</t>
    </rPh>
    <phoneticPr fontId="13"/>
  </si>
  <si>
    <t>保証書　取説　ｷｰﾚｽ</t>
    <rPh sb="0" eb="3">
      <t>ホショウショ</t>
    </rPh>
    <rPh sb="4" eb="6">
      <t>トリセツ</t>
    </rPh>
    <phoneticPr fontId="13"/>
  </si>
  <si>
    <t>名古屋　326　む　5135</t>
    <rPh sb="0" eb="3">
      <t>ナゴヤ</t>
    </rPh>
    <phoneticPr fontId="13"/>
  </si>
  <si>
    <t>愛知ﾄﾖﾀWEST株式会社</t>
    <rPh sb="0" eb="2">
      <t>アイチ</t>
    </rPh>
    <rPh sb="9" eb="13">
      <t>カブシキガイシャ</t>
    </rPh>
    <phoneticPr fontId="13"/>
  </si>
  <si>
    <t>保証書 取説 ｷｰﾚｽ(車内)　　SDｶｰﾄﾞ</t>
    <rPh sb="0" eb="3">
      <t>ホショウショ</t>
    </rPh>
    <rPh sb="4" eb="6">
      <t>トリセツ</t>
    </rPh>
    <phoneticPr fontId="13"/>
  </si>
  <si>
    <t>湘南 331 は 2023</t>
    <rPh sb="0" eb="2">
      <t>ショウナン</t>
    </rPh>
    <phoneticPr fontId="13"/>
  </si>
  <si>
    <t>株式会社Ai</t>
    <rPh sb="0" eb="4">
      <t>カブシキガイシャ</t>
    </rPh>
    <phoneticPr fontId="13"/>
  </si>
  <si>
    <t>名古屋 32P む 2525</t>
    <rPh sb="0" eb="3">
      <t>ナゴヤ</t>
    </rPh>
    <phoneticPr fontId="13"/>
  </si>
  <si>
    <t>京都 341 み 505</t>
    <rPh sb="0" eb="2">
      <t>キョウト</t>
    </rPh>
    <phoneticPr fontId="13"/>
  </si>
  <si>
    <t>長﨑 330 て 7033</t>
    <rPh sb="0" eb="2">
      <t>ナガザキ</t>
    </rPh>
    <phoneticPr fontId="13"/>
  </si>
  <si>
    <t>品川 303 つ 9729</t>
    <rPh sb="0" eb="2">
      <t>シナガワ</t>
    </rPh>
    <phoneticPr fontId="13"/>
  </si>
  <si>
    <t>保証書 取説 ｷｰﾚｽ ﾘﾓｺﾝ 充電ｹｰﾌﾞﾙ</t>
    <rPh sb="0" eb="3">
      <t>ホショウショ</t>
    </rPh>
    <rPh sb="4" eb="6">
      <t>トリセツ</t>
    </rPh>
    <rPh sb="17" eb="19">
      <t>ジュウデン</t>
    </rPh>
    <phoneticPr fontId="13"/>
  </si>
  <si>
    <t>三河 343 ぬ 15</t>
    <rPh sb="0" eb="2">
      <t>ミカワ</t>
    </rPh>
    <phoneticPr fontId="13"/>
  </si>
  <si>
    <t>世田谷 312 ち 827</t>
    <rPh sb="0" eb="3">
      <t>セタガヤ</t>
    </rPh>
    <phoneticPr fontId="13"/>
  </si>
  <si>
    <t>相模 330 ふ 3885</t>
    <rPh sb="0" eb="2">
      <t>サガミ</t>
    </rPh>
    <phoneticPr fontId="13"/>
  </si>
  <si>
    <t>齋藤 昭子</t>
    <rPh sb="0" eb="2">
      <t>サイトウ</t>
    </rPh>
    <rPh sb="3" eb="5">
      <t>アキコ</t>
    </rPh>
    <phoneticPr fontId="13"/>
  </si>
  <si>
    <t>HAA売1283回 65099ｷｬﾝｾﾙ</t>
    <rPh sb="3" eb="4">
      <t>ウ</t>
    </rPh>
    <rPh sb="8" eb="9">
      <t>カイ</t>
    </rPh>
    <phoneticPr fontId="13"/>
  </si>
  <si>
    <t>なにわ 39A め 1996</t>
    <phoneticPr fontId="13"/>
  </si>
  <si>
    <t>滋賀 301 ふ 58</t>
    <rPh sb="0" eb="2">
      <t>シガ</t>
    </rPh>
    <phoneticPr fontId="13"/>
  </si>
  <si>
    <t>滋賀ﾎﾝﾀﾞ販売株式会社</t>
    <rPh sb="0" eb="2">
      <t>シガ</t>
    </rPh>
    <rPh sb="6" eb="12">
      <t>ハンバイカブシキガイシャ</t>
    </rPh>
    <phoneticPr fontId="13"/>
  </si>
  <si>
    <t>WVWZZZ16ZDM647802</t>
    <phoneticPr fontId="13"/>
  </si>
  <si>
    <t>京都 338 す 568</t>
    <rPh sb="0" eb="2">
      <t>キョウト</t>
    </rPh>
    <phoneticPr fontId="13"/>
  </si>
  <si>
    <t>株式会社ﾎﾝﾀﾞﾓﾋﾞﾘﾃｨ近畿</t>
    <rPh sb="0" eb="4">
      <t>カブシキガイシャ</t>
    </rPh>
    <phoneticPr fontId="13"/>
  </si>
  <si>
    <t>35Y と 5</t>
    <phoneticPr fontId="13"/>
  </si>
  <si>
    <t>301 ね 6102</t>
    <phoneticPr fontId="13"/>
  </si>
  <si>
    <t>301 ね 6101</t>
    <phoneticPr fontId="13"/>
  </si>
  <si>
    <t>301 ね 6103</t>
    <phoneticPr fontId="13"/>
  </si>
  <si>
    <t>501 ゆ 3469</t>
    <phoneticPr fontId="13"/>
  </si>
  <si>
    <t>301 ね 6105</t>
    <phoneticPr fontId="13"/>
  </si>
  <si>
    <t>301 ね 6104</t>
    <phoneticPr fontId="13"/>
  </si>
  <si>
    <t>301 ね 6106</t>
    <phoneticPr fontId="13"/>
  </si>
  <si>
    <t>582 い 6518</t>
    <phoneticPr fontId="13"/>
  </si>
  <si>
    <t>582 い 9089</t>
    <phoneticPr fontId="13"/>
  </si>
  <si>
    <t>582 い 9090</t>
    <phoneticPr fontId="13"/>
  </si>
  <si>
    <t>582 い 9091</t>
    <phoneticPr fontId="13"/>
  </si>
  <si>
    <t>480 ね 3305</t>
    <phoneticPr fontId="13"/>
  </si>
  <si>
    <t>582 い 9092</t>
    <phoneticPr fontId="13"/>
  </si>
  <si>
    <t>582 い 9093</t>
    <phoneticPr fontId="13"/>
  </si>
  <si>
    <t>582 い 9094</t>
    <phoneticPr fontId="13"/>
  </si>
  <si>
    <t>582 い 9095</t>
    <phoneticPr fontId="13"/>
  </si>
  <si>
    <t>582 い 9096</t>
    <phoneticPr fontId="13"/>
  </si>
  <si>
    <t>582 い 9097</t>
    <phoneticPr fontId="13"/>
  </si>
  <si>
    <t>582 い 9098</t>
    <phoneticPr fontId="13"/>
  </si>
  <si>
    <t>582 い 9099</t>
    <phoneticPr fontId="13"/>
  </si>
  <si>
    <t>582 い 9100</t>
    <phoneticPr fontId="13"/>
  </si>
  <si>
    <t>582 い 9101</t>
    <phoneticPr fontId="13"/>
  </si>
  <si>
    <t>582 い 9102</t>
    <phoneticPr fontId="13"/>
  </si>
  <si>
    <t>480 ね 3306</t>
    <phoneticPr fontId="13"/>
  </si>
  <si>
    <t>582 い 9111</t>
    <phoneticPr fontId="13"/>
  </si>
  <si>
    <t>582 い 9103</t>
    <phoneticPr fontId="13"/>
  </si>
  <si>
    <t>ﾚｸｻｽCT200ｈ　特別仕様車</t>
    <rPh sb="11" eb="16">
      <t>トクベツシヨウシャ</t>
    </rPh>
    <phoneticPr fontId="13"/>
  </si>
  <si>
    <t>地図SD(車内)保証書 取説 ﾜﾝｵｰﾅｰ</t>
    <rPh sb="8" eb="11">
      <t>ホショウショ</t>
    </rPh>
    <rPh sb="12" eb="14">
      <t>トリセツ</t>
    </rPh>
    <phoneticPr fontId="13"/>
  </si>
  <si>
    <t>地図SD(車内)保証書 取説 ｽﾍﾟｱｷｰ ﾚﾝﾀｶｰ</t>
    <rPh sb="8" eb="11">
      <t>ホショウショ</t>
    </rPh>
    <rPh sb="12" eb="14">
      <t>トリセツ</t>
    </rPh>
    <phoneticPr fontId="13"/>
  </si>
  <si>
    <t>保証書のみ手帳なし 取説 (車内)</t>
    <rPh sb="0" eb="3">
      <t>ホショウショ</t>
    </rPh>
    <rPh sb="5" eb="7">
      <t>テチョウ</t>
    </rPh>
    <rPh sb="10" eb="12">
      <t>トリセツ</t>
    </rPh>
    <phoneticPr fontId="13"/>
  </si>
  <si>
    <t>ﾅﾝﾊﾞｰTAAへ</t>
    <phoneticPr fontId="13"/>
  </si>
  <si>
    <t>伴さんの車</t>
    <rPh sb="0" eb="1">
      <t>バン</t>
    </rPh>
    <rPh sb="4" eb="5">
      <t>クルマ</t>
    </rPh>
    <phoneticPr fontId="13"/>
  </si>
  <si>
    <t>奈良 301 つ 6883</t>
    <rPh sb="0" eb="2">
      <t>ナラ</t>
    </rPh>
    <phoneticPr fontId="13"/>
  </si>
  <si>
    <t>奈良日産自動車株式会社</t>
    <rPh sb="0" eb="2">
      <t>ナラ</t>
    </rPh>
    <rPh sb="2" eb="4">
      <t>ニッサン</t>
    </rPh>
    <rPh sb="4" eb="7">
      <t>ジドウシャ</t>
    </rPh>
    <rPh sb="7" eb="11">
      <t>カブシキガイシャ</t>
    </rPh>
    <phoneticPr fontId="13"/>
  </si>
  <si>
    <t>保証書 取説 ﾅﾋﾞ取 ｲﾝﾃﾘｷｰ ﾜﾝｵｰﾅｰ</t>
    <rPh sb="0" eb="3">
      <t>ホショウショ</t>
    </rPh>
    <rPh sb="4" eb="6">
      <t>トリセツ</t>
    </rPh>
    <rPh sb="10" eb="11">
      <t>トリ</t>
    </rPh>
    <phoneticPr fontId="13"/>
  </si>
  <si>
    <t>書類戻り1/20</t>
    <rPh sb="0" eb="2">
      <t>ショルイ</t>
    </rPh>
    <rPh sb="2" eb="3">
      <t>モド</t>
    </rPh>
    <phoneticPr fontId="13"/>
  </si>
  <si>
    <t>神戸 39A そ 7555</t>
    <rPh sb="0" eb="2">
      <t>コウベ</t>
    </rPh>
    <phoneticPr fontId="13"/>
  </si>
  <si>
    <t>1/20</t>
    <phoneticPr fontId="13"/>
  </si>
  <si>
    <t>ｷｰﾚｽ ｽﾀｰﾄﾎﾞﾀﾝ</t>
    <phoneticPr fontId="13"/>
  </si>
  <si>
    <t>堺 599 ま 4083</t>
    <rPh sb="0" eb="1">
      <t>サカイ</t>
    </rPh>
    <phoneticPr fontId="13"/>
  </si>
  <si>
    <t>広島 399 に 2334</t>
    <rPh sb="0" eb="2">
      <t>ヒロシマ</t>
    </rPh>
    <phoneticPr fontId="13"/>
  </si>
  <si>
    <t>株式会社BLC</t>
    <rPh sb="0" eb="4">
      <t>カブシキガイシャ</t>
    </rPh>
    <phoneticPr fontId="13"/>
  </si>
  <si>
    <t>鳥取 330 と 3580</t>
    <rPh sb="0" eb="2">
      <t>トットリ</t>
    </rPh>
    <phoneticPr fontId="13"/>
  </si>
  <si>
    <t>福岡 341 さ 1209</t>
    <rPh sb="0" eb="2">
      <t>フクオカ</t>
    </rPh>
    <phoneticPr fontId="13"/>
  </si>
  <si>
    <t>広島 481 ろ 8787</t>
    <rPh sb="0" eb="2">
      <t>ヒロシマ</t>
    </rPh>
    <phoneticPr fontId="13"/>
  </si>
  <si>
    <t>徳島 580 ほ 2908</t>
    <rPh sb="0" eb="2">
      <t>トクシマ</t>
    </rPh>
    <phoneticPr fontId="13"/>
  </si>
  <si>
    <t>株式会社ｵｰﾄﾓｰﾋﾞﾙﾈｯﾄﾜｰｸｽ</t>
    <rPh sb="0" eb="4">
      <t>カブシキガイシャ</t>
    </rPh>
    <phoneticPr fontId="13"/>
  </si>
  <si>
    <t>熊谷 589 ろ 9928</t>
    <rPh sb="0" eb="2">
      <t>クマヤ</t>
    </rPh>
    <phoneticPr fontId="13"/>
  </si>
  <si>
    <t>株式会社ﾕｰﾊﾟｰﾂ</t>
    <rPh sb="0" eb="4">
      <t>カブシキガイシャ</t>
    </rPh>
    <phoneticPr fontId="13"/>
  </si>
  <si>
    <t>京都 589 ろ 1801</t>
    <rPh sb="0" eb="2">
      <t>キョウト</t>
    </rPh>
    <phoneticPr fontId="13"/>
  </si>
  <si>
    <t>Fﾌﾟﾗﾝﾆﾝｸﾞ株式会社</t>
    <rPh sb="9" eb="13">
      <t>カブシキガイシャ</t>
    </rPh>
    <phoneticPr fontId="13"/>
  </si>
  <si>
    <t>株式会社ﾋﾞｯｸﾞﾗﾝ</t>
    <rPh sb="0" eb="4">
      <t>カブシキガイシャ</t>
    </rPh>
    <phoneticPr fontId="13"/>
  </si>
  <si>
    <t>保証書 取説 ｷｰﾚｽ ｽﾍﾟｱｷｰ ﾅﾋﾞ取</t>
    <rPh sb="0" eb="3">
      <t>ホショウショ</t>
    </rPh>
    <rPh sb="4" eb="6">
      <t>トリセツ</t>
    </rPh>
    <rPh sb="22" eb="23">
      <t>トリ</t>
    </rPh>
    <phoneticPr fontId="13"/>
  </si>
  <si>
    <t>ﾆｯﾎﾟﾝﾚﾝﾀｶｰｻｰﾋﾞｽ株式会社</t>
    <rPh sb="15" eb="19">
      <t>カブシキガイシャ</t>
    </rPh>
    <phoneticPr fontId="13"/>
  </si>
  <si>
    <t>品川 5X2 ろ 9578</t>
    <rPh sb="0" eb="2">
      <t>シナガワ</t>
    </rPh>
    <phoneticPr fontId="13"/>
  </si>
  <si>
    <t>大阪 582 け 4854</t>
    <rPh sb="0" eb="2">
      <t>オオサカ</t>
    </rPh>
    <phoneticPr fontId="13"/>
  </si>
  <si>
    <t>三重 587 か 78</t>
    <rPh sb="0" eb="2">
      <t>ミエ</t>
    </rPh>
    <phoneticPr fontId="13"/>
  </si>
  <si>
    <t>株式会社ﾄﾖﾀﾚﾝﾀﾘｰｽ和歌山</t>
    <rPh sb="0" eb="4">
      <t>カブシキガイシャ</t>
    </rPh>
    <rPh sb="13" eb="16">
      <t>ワカヤマ</t>
    </rPh>
    <phoneticPr fontId="13"/>
  </si>
  <si>
    <t>岡山 599 に 6611</t>
    <rPh sb="0" eb="2">
      <t>オカヤマ</t>
    </rPh>
    <phoneticPr fontId="13"/>
  </si>
  <si>
    <t>神戸 330 や 890</t>
    <rPh sb="0" eb="2">
      <t>コウベ</t>
    </rPh>
    <phoneticPr fontId="13"/>
  </si>
  <si>
    <t>神薗 繁美</t>
    <rPh sb="0" eb="1">
      <t>カミ</t>
    </rPh>
    <rPh sb="1" eb="2">
      <t>ソノ</t>
    </rPh>
    <rPh sb="3" eb="5">
      <t>シゲミ</t>
    </rPh>
    <phoneticPr fontId="13"/>
  </si>
  <si>
    <t>熊本 333 の 924</t>
    <rPh sb="0" eb="2">
      <t>クマモト</t>
    </rPh>
    <phoneticPr fontId="13"/>
  </si>
  <si>
    <t>ﾕﾅｲﾃｯﾄﾞﾄﾖﾀ熊本株式会社</t>
    <rPh sb="10" eb="12">
      <t>クマモト</t>
    </rPh>
    <rPh sb="12" eb="16">
      <t>カブシキガイシャ</t>
    </rPh>
    <phoneticPr fontId="13"/>
  </si>
  <si>
    <t>品川 5X2 ろ 8101</t>
    <rPh sb="0" eb="2">
      <t>シナガワ</t>
    </rPh>
    <phoneticPr fontId="13"/>
  </si>
  <si>
    <t>堺 333 の 1116</t>
    <rPh sb="0" eb="1">
      <t>サカイ</t>
    </rPh>
    <phoneticPr fontId="13"/>
  </si>
  <si>
    <t>ｽｽﾞｷ自販東尾道株式会社</t>
    <rPh sb="4" eb="6">
      <t>ジハン</t>
    </rPh>
    <rPh sb="6" eb="9">
      <t>ヒガシオノミチ</t>
    </rPh>
    <rPh sb="9" eb="13">
      <t>カブシキガイシャ</t>
    </rPh>
    <phoneticPr fontId="13"/>
  </si>
  <si>
    <t>広島 586 ろ 9618</t>
    <rPh sb="0" eb="2">
      <t>ヒロシマ</t>
    </rPh>
    <phoneticPr fontId="13"/>
  </si>
  <si>
    <t>ﾄﾖﾀｶﾛｰﾗ広島株式会社</t>
    <rPh sb="7" eb="13">
      <t>ヒロシマカブシキガイシャ</t>
    </rPh>
    <phoneticPr fontId="13"/>
  </si>
  <si>
    <t>333 て 1728</t>
    <phoneticPr fontId="13"/>
  </si>
  <si>
    <t>宮崎 399 そ 374</t>
    <rPh sb="0" eb="2">
      <t>ミヤザキ</t>
    </rPh>
    <phoneticPr fontId="13"/>
  </si>
  <si>
    <t>那須 300 ち 383</t>
    <rPh sb="0" eb="2">
      <t>ナス</t>
    </rPh>
    <phoneticPr fontId="13"/>
  </si>
  <si>
    <t>利川  義成</t>
    <rPh sb="0" eb="2">
      <t>リカワ</t>
    </rPh>
    <rPh sb="4" eb="6">
      <t>ヨシナリ</t>
    </rPh>
    <phoneticPr fontId="13"/>
  </si>
  <si>
    <t>保証書 取説 ﾅﾋﾞ取 ｷｰﾚｽ ｴﾝｼﾞﾝｽﾀｰﾀｰ</t>
    <rPh sb="0" eb="3">
      <t>ホショウショ</t>
    </rPh>
    <rPh sb="4" eb="6">
      <t>トリセツ</t>
    </rPh>
    <rPh sb="10" eb="11">
      <t>トリ</t>
    </rPh>
    <phoneticPr fontId="13"/>
  </si>
  <si>
    <t>松本 585 ゆ 1215</t>
    <rPh sb="0" eb="2">
      <t>マツモト</t>
    </rPh>
    <phoneticPr fontId="13"/>
  </si>
  <si>
    <t>村松 由規</t>
    <rPh sb="0" eb="2">
      <t>ムラマツ</t>
    </rPh>
    <rPh sb="3" eb="4">
      <t>ユ</t>
    </rPh>
    <phoneticPr fontId="13"/>
  </si>
  <si>
    <t>記録紙2枚 ﾅﾋﾞ取</t>
    <rPh sb="0" eb="3">
      <t>キロクシ</t>
    </rPh>
    <rPh sb="4" eb="5">
      <t>マイ</t>
    </rPh>
    <rPh sb="9" eb="10">
      <t>トリ</t>
    </rPh>
    <phoneticPr fontId="13"/>
  </si>
  <si>
    <t>山下 豊毅</t>
    <rPh sb="0" eb="2">
      <t>ヤマシタ</t>
    </rPh>
    <rPh sb="3" eb="4">
      <t>トヨ</t>
    </rPh>
    <rPh sb="4" eb="5">
      <t>ツヨシ</t>
    </rPh>
    <phoneticPr fontId="13"/>
  </si>
  <si>
    <t>鈴木 雄一</t>
    <rPh sb="0" eb="2">
      <t>スズキ</t>
    </rPh>
    <rPh sb="3" eb="5">
      <t>ユウイチ</t>
    </rPh>
    <phoneticPr fontId="13"/>
  </si>
  <si>
    <t>高堂 景寿</t>
    <rPh sb="0" eb="2">
      <t>タカドウ</t>
    </rPh>
    <rPh sb="3" eb="4">
      <t>ケイ</t>
    </rPh>
    <rPh sb="4" eb="5">
      <t>コトブキ</t>
    </rPh>
    <phoneticPr fontId="13"/>
  </si>
  <si>
    <t>帯津 親覇</t>
    <rPh sb="0" eb="1">
      <t>オビ</t>
    </rPh>
    <rPh sb="1" eb="2">
      <t>ツ</t>
    </rPh>
    <rPh sb="3" eb="4">
      <t>オヤ</t>
    </rPh>
    <rPh sb="4" eb="5">
      <t>ハ</t>
    </rPh>
    <phoneticPr fontId="13"/>
  </si>
  <si>
    <t>安田 滉斗</t>
    <rPh sb="0" eb="2">
      <t>ヤスダ</t>
    </rPh>
    <rPh sb="3" eb="4">
      <t>コウ</t>
    </rPh>
    <rPh sb="4" eb="5">
      <t>ト</t>
    </rPh>
    <phoneticPr fontId="13"/>
  </si>
  <si>
    <t>迎 敦</t>
    <rPh sb="0" eb="1">
      <t>ムカ</t>
    </rPh>
    <rPh sb="2" eb="3">
      <t>アツシ</t>
    </rPh>
    <phoneticPr fontId="13"/>
  </si>
  <si>
    <t>若佐 智治</t>
    <rPh sb="0" eb="1">
      <t>ワカ</t>
    </rPh>
    <rPh sb="1" eb="2">
      <t>タスク</t>
    </rPh>
    <rPh sb="3" eb="5">
      <t>トモハル</t>
    </rPh>
    <phoneticPr fontId="13"/>
  </si>
  <si>
    <t>藤原 嗣彦</t>
    <rPh sb="0" eb="2">
      <t>フジワラ</t>
    </rPh>
    <rPh sb="3" eb="4">
      <t>ツグ</t>
    </rPh>
    <rPh sb="4" eb="5">
      <t>ヒコ</t>
    </rPh>
    <phoneticPr fontId="13"/>
  </si>
  <si>
    <t>原 和希</t>
    <rPh sb="0" eb="1">
      <t>ハラ</t>
    </rPh>
    <rPh sb="2" eb="4">
      <t>カズキ</t>
    </rPh>
    <phoneticPr fontId="13"/>
  </si>
  <si>
    <t>(有)富士商事</t>
    <rPh sb="0" eb="3">
      <t>ユウゲンガイシャ</t>
    </rPh>
    <rPh sb="3" eb="7">
      <t>フジショウジ</t>
    </rPh>
    <phoneticPr fontId="13"/>
  </si>
  <si>
    <t>山下 康一</t>
    <rPh sb="0" eb="2">
      <t>ヤマシタ</t>
    </rPh>
    <rPh sb="3" eb="5">
      <t>コウイチ</t>
    </rPh>
    <phoneticPr fontId="13"/>
  </si>
  <si>
    <t>27-2605</t>
  </si>
  <si>
    <t>27-2606</t>
  </si>
  <si>
    <t>27-2607</t>
  </si>
  <si>
    <t>27-2608</t>
  </si>
  <si>
    <t>27-2609</t>
  </si>
  <si>
    <t>27-2610</t>
  </si>
  <si>
    <t>27-2611</t>
  </si>
  <si>
    <t>27-2612</t>
  </si>
  <si>
    <t>27-2613</t>
  </si>
  <si>
    <t>27-2614</t>
  </si>
  <si>
    <t>27-2615</t>
  </si>
  <si>
    <t>27-2616</t>
  </si>
  <si>
    <t>27-2617</t>
  </si>
  <si>
    <t>27-2618</t>
  </si>
  <si>
    <t>27-2619</t>
  </si>
  <si>
    <t>27-2620</t>
  </si>
  <si>
    <t>27-2621</t>
  </si>
  <si>
    <t>ｵｰｸﾈｯﾄ</t>
    <phoneticPr fontId="13"/>
  </si>
  <si>
    <t>MR41S-336867</t>
    <phoneticPr fontId="13"/>
  </si>
  <si>
    <t>YV1FZA8RDJ2043410</t>
    <phoneticPr fontId="13"/>
  </si>
  <si>
    <t>LRW3F7EK1NC496038</t>
    <phoneticPr fontId="13"/>
  </si>
  <si>
    <t>YV1UZL1M1P1252963</t>
    <phoneticPr fontId="13"/>
  </si>
  <si>
    <t>WMWLU920502H32776</t>
    <phoneticPr fontId="13"/>
  </si>
  <si>
    <t>YV1BW40MDF1332086</t>
    <phoneticPr fontId="13"/>
  </si>
  <si>
    <t>WVWZZZ16ZEM614172</t>
    <phoneticPr fontId="13"/>
  </si>
  <si>
    <t>ﾎﾝﾀﾞ東京</t>
    <rPh sb="4" eb="6">
      <t>トウキョウ</t>
    </rPh>
    <phoneticPr fontId="13"/>
  </si>
  <si>
    <t>ｸﾞﾗﾝﾄﾞC4　ｽﾍﾟｰｽT　ｼｬｲﾝﾌﾞﾙｰHDI</t>
    <phoneticPr fontId="13"/>
  </si>
  <si>
    <t>ﾎﾝﾀﾞ関西</t>
    <rPh sb="4" eb="6">
      <t>カンサイ</t>
    </rPh>
    <phoneticPr fontId="13"/>
  </si>
  <si>
    <t>27-2622</t>
  </si>
  <si>
    <t>27-2623</t>
  </si>
  <si>
    <t>27-2624</t>
  </si>
  <si>
    <t>27-2625</t>
  </si>
  <si>
    <t>27-2626</t>
  </si>
  <si>
    <t>A321819</t>
    <phoneticPr fontId="13"/>
  </si>
  <si>
    <t>MH55S-216222</t>
    <phoneticPr fontId="13"/>
  </si>
  <si>
    <t>A320482</t>
    <phoneticPr fontId="13"/>
  </si>
  <si>
    <t>AGH30-0314760</t>
    <phoneticPr fontId="13"/>
  </si>
  <si>
    <t>A321949</t>
    <phoneticPr fontId="13"/>
  </si>
  <si>
    <t>MA3JJC74W00228410</t>
    <phoneticPr fontId="13"/>
  </si>
  <si>
    <t>A320568</t>
    <phoneticPr fontId="13"/>
  </si>
  <si>
    <t>MH34S-723262</t>
    <phoneticPr fontId="13"/>
  </si>
  <si>
    <t>A321499</t>
    <phoneticPr fontId="13"/>
  </si>
  <si>
    <t>AGH30-0452365</t>
    <phoneticPr fontId="13"/>
  </si>
  <si>
    <t>A320998</t>
    <phoneticPr fontId="13"/>
  </si>
  <si>
    <t>MH34S-523901</t>
    <phoneticPr fontId="13"/>
  </si>
  <si>
    <t>A320907</t>
    <phoneticPr fontId="13"/>
  </si>
  <si>
    <t>ACR55-7025946</t>
    <phoneticPr fontId="13"/>
  </si>
  <si>
    <t>A321498</t>
    <phoneticPr fontId="13"/>
  </si>
  <si>
    <t>KFEP-553139</t>
    <phoneticPr fontId="13"/>
  </si>
  <si>
    <t>27-2627</t>
  </si>
  <si>
    <t>27-2628</t>
  </si>
  <si>
    <t>27-2629</t>
  </si>
  <si>
    <t>27-2630</t>
  </si>
  <si>
    <t>27-2631</t>
  </si>
  <si>
    <t>27-2632</t>
  </si>
  <si>
    <t>L375S-0624928</t>
    <phoneticPr fontId="13"/>
  </si>
  <si>
    <t>P15-002913</t>
    <phoneticPr fontId="13"/>
  </si>
  <si>
    <t>GRX130-6107564</t>
    <phoneticPr fontId="13"/>
  </si>
  <si>
    <t>LA300S-1402299</t>
    <phoneticPr fontId="13"/>
  </si>
  <si>
    <t>N　BOXｶｽﾀﾑ</t>
    <phoneticPr fontId="13"/>
  </si>
  <si>
    <t>JF5-1051034</t>
    <phoneticPr fontId="13"/>
  </si>
  <si>
    <t>ﾎﾞﾙﾎﾞV60　ｸﾛｽｶﾝﾄﾘｰ　D4ｸﾗｼｯｸ</t>
    <phoneticPr fontId="13"/>
  </si>
  <si>
    <t>ﾃｽﾗ　ﾓﾃﾞﾙ3　ﾛﾝｸﾞﾚﾝｼﾞ</t>
    <phoneticPr fontId="13"/>
  </si>
  <si>
    <t>ﾎﾞﾙﾎﾞXC60　ｱﾙﾃｨﾒｯﾄB5</t>
    <phoneticPr fontId="13"/>
  </si>
  <si>
    <t>BMWﾐﾆﾜﾝ　ｸﾗﾌﾞﾏﾝ　ﾊﾞｯｷﾝｶﾞﾑ</t>
    <phoneticPr fontId="13"/>
  </si>
  <si>
    <t>ﾎﾞﾙﾎﾞV70　T5　SE</t>
    <phoneticPr fontId="13"/>
  </si>
  <si>
    <t>一宮　330　そ　1537</t>
    <rPh sb="0" eb="2">
      <t>イチノミヤ</t>
    </rPh>
    <phoneticPr fontId="13"/>
  </si>
  <si>
    <t>VWｻﾞ･ﾋﾞｰﾄﾙ　ﾀｰﾎﾞ</t>
    <phoneticPr fontId="13"/>
  </si>
  <si>
    <t>岐阜　303　て　1564</t>
    <rPh sb="0" eb="2">
      <t>ギフ</t>
    </rPh>
    <phoneticPr fontId="13"/>
  </si>
  <si>
    <t>湘南　302　さ　954</t>
    <rPh sb="0" eb="2">
      <t>ショウナン</t>
    </rPh>
    <phoneticPr fontId="13"/>
  </si>
  <si>
    <t>VF73AEHYRKJ773992</t>
    <phoneticPr fontId="13"/>
  </si>
  <si>
    <t>MﾍﾞﾝﾂC200　ﾛｰﾚｳｽED　ｽﾎﾟｰﾂﾌﾟﾗｽ</t>
    <phoneticPr fontId="13"/>
  </si>
  <si>
    <t>WDD2050772R548595</t>
    <phoneticPr fontId="13"/>
  </si>
  <si>
    <t>MﾍﾞﾝﾂE220ｄ　AVGｽﾎﾟｰﾂ</t>
    <phoneticPr fontId="13"/>
  </si>
  <si>
    <t>ﾀﾝﾄ　Gｽﾍﾟｼｬﾙ</t>
    <phoneticPr fontId="13"/>
  </si>
  <si>
    <t>9/5/30</t>
    <phoneticPr fontId="13"/>
  </si>
  <si>
    <t>ﾜｺﾞﾝR　ﾊｲﾌﾞﾘｯﾄﾞX</t>
    <phoneticPr fontId="13"/>
  </si>
  <si>
    <t>ｱﾙﾌｧｰﾄﾞ　2.5S</t>
    <phoneticPr fontId="13"/>
  </si>
  <si>
    <t>9/8/25</t>
    <phoneticPr fontId="13"/>
  </si>
  <si>
    <t>10/6/2</t>
    <phoneticPr fontId="13"/>
  </si>
  <si>
    <t>ｱﾙﾌｧｰﾄﾞ　2.5S　Cﾊﾟｯｹｰｼﾞ</t>
    <phoneticPr fontId="13"/>
  </si>
  <si>
    <t>8/2/9</t>
    <phoneticPr fontId="13"/>
  </si>
  <si>
    <t>9/6/7</t>
    <phoneticPr fontId="13"/>
  </si>
  <si>
    <t>ｴｽﾃｨﾏ　ｱｴﾗｽ　ﾌﾟﾚﾐｱﾑED</t>
    <phoneticPr fontId="13"/>
  </si>
  <si>
    <t>ﾏﾂﾀﾞCX-5　20SﾌﾞﾗｯｸﾄｰﾝED</t>
    <phoneticPr fontId="13"/>
  </si>
  <si>
    <t>8/10/18</t>
    <phoneticPr fontId="13"/>
  </si>
  <si>
    <t>ｷｯｸｽ　XﾂｰﾄｰﾝｲﾝﾃﾘｱED</t>
    <phoneticPr fontId="13"/>
  </si>
  <si>
    <t>ｼﾙﾊﾞｰM</t>
    <phoneticPr fontId="13"/>
  </si>
  <si>
    <t>ﾏｰｸX　250RDS</t>
    <phoneticPr fontId="13"/>
  </si>
  <si>
    <t>ﾐﾗｲｰｽ　L　SA</t>
    <phoneticPr fontId="13"/>
  </si>
  <si>
    <t>ﾊｲｾﾞｯﾄｶｰｺﾞ　ｸﾙｰｽﾞSaⅢ</t>
    <phoneticPr fontId="13"/>
  </si>
  <si>
    <t>S321V-0439090</t>
    <phoneticPr fontId="13"/>
  </si>
  <si>
    <t>ﾊｽﾗｰ　特別仕様車　Jｽﾀｲﾙﾀｰﾎﾞ</t>
    <rPh sb="5" eb="10">
      <t>トクベツシヨウシャ</t>
    </rPh>
    <phoneticPr fontId="13"/>
  </si>
  <si>
    <t>MR52S-126697</t>
    <phoneticPr fontId="13"/>
  </si>
  <si>
    <t>ﾊｲｾﾞｯﾄｶｰｺﾞ　ｸﾙｰｽﾞ</t>
    <phoneticPr fontId="13"/>
  </si>
  <si>
    <t>S700V-0125978</t>
    <phoneticPr fontId="13"/>
  </si>
  <si>
    <t>ﾜｺﾞﾝR　ﾊｲﾌﾞﾘｯﾄﾞFX</t>
    <phoneticPr fontId="13"/>
  </si>
  <si>
    <t>MH95S-161050</t>
    <phoneticPr fontId="13"/>
  </si>
  <si>
    <t>ﾐﾗｲｰｽ　X　SaⅢ</t>
    <phoneticPr fontId="13"/>
  </si>
  <si>
    <t>LA350S-0332932</t>
    <phoneticPr fontId="13"/>
  </si>
  <si>
    <t>ﾀﾝﾄｶｽﾀﾑ　RS</t>
    <phoneticPr fontId="13"/>
  </si>
  <si>
    <t>LA650S-0293005</t>
    <phoneticPr fontId="13"/>
  </si>
  <si>
    <t>ﾚﾝｼﾞﾛｰﾊﾞｰｲｳﾞｫｰｸﾞ　S　P200</t>
    <phoneticPr fontId="13"/>
  </si>
  <si>
    <t>LA350S-0318212</t>
    <phoneticPr fontId="13"/>
  </si>
  <si>
    <t>LA850S-0011326</t>
    <phoneticPr fontId="13"/>
  </si>
  <si>
    <t>ﾌﾟﾛﾎﾞｯｸｽ　ﾊｲﾌﾞﾘｯﾄﾞDX</t>
    <phoneticPr fontId="13"/>
  </si>
  <si>
    <t>ﾑｰｳﾞｶｽﾀﾑ　RS　ﾊｲﾊﾟｰSaⅡ</t>
    <phoneticPr fontId="13"/>
  </si>
  <si>
    <t>LA150S-0096785</t>
    <phoneticPr fontId="13"/>
  </si>
  <si>
    <t>27-2633</t>
  </si>
  <si>
    <t>27-2634</t>
  </si>
  <si>
    <t>27-2635</t>
  </si>
  <si>
    <t>27-2636</t>
  </si>
  <si>
    <t>27-2637</t>
  </si>
  <si>
    <t>27-2638</t>
  </si>
  <si>
    <t>27-2639</t>
  </si>
  <si>
    <t>27-2640</t>
  </si>
  <si>
    <t>27-2641</t>
  </si>
  <si>
    <t>27-2642</t>
  </si>
  <si>
    <t>27-2643</t>
  </si>
  <si>
    <t>27-2644</t>
  </si>
  <si>
    <t>27-2645</t>
  </si>
  <si>
    <t>27-2646</t>
  </si>
  <si>
    <t>27-2647</t>
  </si>
  <si>
    <t>27-2648</t>
  </si>
  <si>
    <t>27-2649</t>
  </si>
  <si>
    <t>27-2650</t>
  </si>
  <si>
    <t>27-2651</t>
  </si>
  <si>
    <t>27-2652</t>
  </si>
  <si>
    <t>27-2653</t>
  </si>
  <si>
    <t>27-2654</t>
  </si>
  <si>
    <t>ﾌﾟﾘｳｽｱﾙﾌｧ　Sﾂｰﾘﾝｸﾞｾﾚｸｼｮﾝ</t>
    <phoneticPr fontId="13"/>
  </si>
  <si>
    <t>ZVW40W-0015987</t>
    <phoneticPr fontId="13"/>
  </si>
  <si>
    <t>ｼｴﾝﾀ　Z</t>
    <phoneticPr fontId="13"/>
  </si>
  <si>
    <t>MXPC10G-1014819</t>
    <phoneticPr fontId="13"/>
  </si>
  <si>
    <t>ﾓｺ　S</t>
    <phoneticPr fontId="13"/>
  </si>
  <si>
    <t>MG33S-685323</t>
    <phoneticPr fontId="13"/>
  </si>
  <si>
    <t>ﾜｺﾞﾝR　FA</t>
    <phoneticPr fontId="13"/>
  </si>
  <si>
    <t>MH85S-119403</t>
    <phoneticPr fontId="13"/>
  </si>
  <si>
    <t>ｷｬｽﾄ　ｽﾎﾟｰﾂSaⅢ</t>
    <phoneticPr fontId="13"/>
  </si>
  <si>
    <t>LA250S-0139888</t>
    <phoneticPr fontId="13"/>
  </si>
  <si>
    <t>ﾃﾞｲｽﾞ　J</t>
    <phoneticPr fontId="13"/>
  </si>
  <si>
    <t>B21W-0310964</t>
    <phoneticPr fontId="13"/>
  </si>
  <si>
    <t>ｱﾙﾌｧﾛﾒｵ　ｽﾃﾙｳﾞｨｵ　ﾌｧｰｽﾄED</t>
    <phoneticPr fontId="13"/>
  </si>
  <si>
    <t>MﾍﾞﾝﾂGLB200ｄ　AMGﾗｲﾝ</t>
    <phoneticPr fontId="13"/>
  </si>
  <si>
    <t>W1N2476122W085252</t>
    <phoneticPr fontId="13"/>
  </si>
  <si>
    <t>ｸﾞﾘｰﾝⅡ</t>
    <phoneticPr fontId="13"/>
  </si>
  <si>
    <t>SALZA2AX2LH065121</t>
    <phoneticPr fontId="13"/>
  </si>
  <si>
    <t>広島　343　た　311</t>
    <rPh sb="0" eb="2">
      <t>ヒロシマ</t>
    </rPh>
    <phoneticPr fontId="13"/>
  </si>
  <si>
    <t>ﾌﾟﾛﾎﾞｯｸｽ　ﾊｲﾌﾞﾘｯﾄﾞGL</t>
    <rPh sb="0" eb="2">
      <t>カガワ</t>
    </rPh>
    <phoneticPr fontId="13"/>
  </si>
  <si>
    <t>香川　583　い　7768</t>
    <rPh sb="0" eb="2">
      <t>カガワ</t>
    </rPh>
    <phoneticPr fontId="13"/>
  </si>
  <si>
    <t>川越　330　な　2513</t>
    <rPh sb="0" eb="2">
      <t>カワゴエ</t>
    </rPh>
    <phoneticPr fontId="13"/>
  </si>
  <si>
    <t>広島　581　め　1768</t>
    <rPh sb="0" eb="2">
      <t>ヒロシマ</t>
    </rPh>
    <phoneticPr fontId="13"/>
  </si>
  <si>
    <t>ZARFAHHN0J7C19094</t>
    <phoneticPr fontId="13"/>
  </si>
  <si>
    <t>ﾌﾟﾛﾎﾞｯｸｽ　DXｺﾝﾌｫｰﾄ</t>
    <rPh sb="0" eb="2">
      <t>カガワ</t>
    </rPh>
    <phoneticPr fontId="13"/>
  </si>
  <si>
    <t>NSP160-0062773</t>
    <phoneticPr fontId="13"/>
  </si>
  <si>
    <t>ｶﾛｰﾗﾌｨｰﾙﾀﾞｰ　ﾊｲﾌﾞﾘｯﾄﾞEX</t>
    <phoneticPr fontId="13"/>
  </si>
  <si>
    <t>NKE165-7241969</t>
    <phoneticPr fontId="13"/>
  </si>
  <si>
    <t>ｴﾌﾞﾘｨV　ｼﾞｮｲﾝ</t>
    <phoneticPr fontId="13"/>
  </si>
  <si>
    <t>DA17V-508555</t>
    <phoneticPr fontId="13"/>
  </si>
  <si>
    <t>A321217</t>
    <phoneticPr fontId="13"/>
  </si>
  <si>
    <t>MXWH60-4083967</t>
    <phoneticPr fontId="13"/>
  </si>
  <si>
    <t>ﾌﾘｰﾄﾞ　HV　G</t>
    <phoneticPr fontId="13"/>
  </si>
  <si>
    <t>GB7-3113414</t>
    <phoneticPr fontId="13"/>
  </si>
  <si>
    <t>付属品預かってる</t>
    <rPh sb="0" eb="3">
      <t>フゾクヒン</t>
    </rPh>
    <rPh sb="3" eb="4">
      <t>アズ</t>
    </rPh>
    <phoneticPr fontId="13"/>
  </si>
  <si>
    <t>所沢 585 き 7716</t>
    <rPh sb="0" eb="2">
      <t>トコロザワ</t>
    </rPh>
    <phoneticPr fontId="13"/>
  </si>
  <si>
    <t>松浦 弦一</t>
    <rPh sb="0" eb="2">
      <t>マツウラ</t>
    </rPh>
    <rPh sb="3" eb="4">
      <t>ゲン</t>
    </rPh>
    <rPh sb="4" eb="5">
      <t>イチ</t>
    </rPh>
    <phoneticPr fontId="13"/>
  </si>
  <si>
    <t>1/22</t>
    <phoneticPr fontId="13"/>
  </si>
  <si>
    <t>岐阜 585 こ 64</t>
    <rPh sb="0" eb="2">
      <t>ギフ</t>
    </rPh>
    <phoneticPr fontId="13"/>
  </si>
  <si>
    <t>矢野 淳</t>
    <rPh sb="0" eb="2">
      <t>ヤノ</t>
    </rPh>
    <rPh sb="3" eb="4">
      <t>ジュン</t>
    </rPh>
    <phoneticPr fontId="13"/>
  </si>
  <si>
    <t>所沢 586 か 1223</t>
    <rPh sb="0" eb="2">
      <t>トコロザワ</t>
    </rPh>
    <phoneticPr fontId="13"/>
  </si>
  <si>
    <t>高橋 杏子</t>
    <rPh sb="0" eb="2">
      <t>タカハシ</t>
    </rPh>
    <rPh sb="3" eb="5">
      <t>キョウコ</t>
    </rPh>
    <phoneticPr fontId="13"/>
  </si>
  <si>
    <t>なにわ 59C つ 934</t>
    <phoneticPr fontId="13"/>
  </si>
  <si>
    <t>奈良 337 せ 1718</t>
    <rPh sb="0" eb="2">
      <t>ナラ</t>
    </rPh>
    <phoneticPr fontId="13"/>
  </si>
  <si>
    <t>和歌山 532 さ 568</t>
    <rPh sb="0" eb="3">
      <t>ワカヤマ</t>
    </rPh>
    <phoneticPr fontId="13"/>
  </si>
  <si>
    <t>和歌山ﾄﾖﾀ自動車株式会社</t>
    <rPh sb="0" eb="3">
      <t>ワカヤマ</t>
    </rPh>
    <rPh sb="6" eb="13">
      <t>ジドウシャカブシキガイシャ</t>
    </rPh>
    <phoneticPr fontId="13"/>
  </si>
  <si>
    <t>堺 399 ひ 5940</t>
    <rPh sb="0" eb="1">
      <t>サカイ</t>
    </rPh>
    <phoneticPr fontId="13"/>
  </si>
  <si>
    <t>保証書 取説 ﾘﾓｺﾝ(車内)ﾜﾝｵｰﾅｰ</t>
    <rPh sb="0" eb="3">
      <t>ホショウショ</t>
    </rPh>
    <rPh sb="4" eb="6">
      <t>トリセツ</t>
    </rPh>
    <rPh sb="12" eb="14">
      <t>シャナイ</t>
    </rPh>
    <phoneticPr fontId="13"/>
  </si>
  <si>
    <t>なにわ 341 な 525</t>
    <phoneticPr fontId="13"/>
  </si>
  <si>
    <t>双日ｵｰﾄｸﾞﾙｰﾌﾟ大阪株式会社</t>
    <rPh sb="0" eb="1">
      <t>フタ</t>
    </rPh>
    <rPh sb="1" eb="2">
      <t>ビ</t>
    </rPh>
    <rPh sb="11" eb="15">
      <t>カブシキガイシャ</t>
    </rPh>
    <phoneticPr fontId="13"/>
  </si>
  <si>
    <t>ﾘﾓｺﾝ2個(車内)保証書 取説 ｷｰﾚｽ ﾜﾝｵｰﾅｰ？</t>
    <rPh sb="5" eb="6">
      <t>コ</t>
    </rPh>
    <rPh sb="7" eb="9">
      <t>シャナイ</t>
    </rPh>
    <rPh sb="10" eb="13">
      <t>ホショウショ</t>
    </rPh>
    <rPh sb="14" eb="16">
      <t>トリセツ</t>
    </rPh>
    <phoneticPr fontId="13"/>
  </si>
  <si>
    <t>岐阜 31Y む 358</t>
    <rPh sb="0" eb="2">
      <t>ギフ</t>
    </rPh>
    <phoneticPr fontId="13"/>
  </si>
  <si>
    <t>千葉 303 た 2859</t>
    <rPh sb="0" eb="2">
      <t>チバ</t>
    </rPh>
    <phoneticPr fontId="13"/>
  </si>
  <si>
    <t>野田 362 ね 55</t>
    <rPh sb="0" eb="2">
      <t>ノダ</t>
    </rPh>
    <phoneticPr fontId="13"/>
  </si>
  <si>
    <t>VSS奈良株式会社</t>
    <rPh sb="3" eb="5">
      <t>ナラ</t>
    </rPh>
    <rPh sb="5" eb="9">
      <t>カブシキガイシャ</t>
    </rPh>
    <phoneticPr fontId="13"/>
  </si>
  <si>
    <t>品川 5X2 ろ 9974</t>
    <rPh sb="0" eb="2">
      <t>シナガワ</t>
    </rPh>
    <phoneticPr fontId="13"/>
  </si>
  <si>
    <t>品川 5X2 ろ 9253</t>
    <rPh sb="0" eb="2">
      <t>シナガワ</t>
    </rPh>
    <phoneticPr fontId="13"/>
  </si>
  <si>
    <t>なにわ 5P8 ろ 7717</t>
    <phoneticPr fontId="13"/>
  </si>
  <si>
    <t>品川 5X2 ろ 9254</t>
    <rPh sb="0" eb="2">
      <t>シナガワ</t>
    </rPh>
    <phoneticPr fontId="13"/>
  </si>
  <si>
    <t>多摩 592 ろ 6267</t>
    <rPh sb="0" eb="2">
      <t>タマ</t>
    </rPh>
    <phoneticPr fontId="13"/>
  </si>
  <si>
    <t>神戸 596 ろ 5691</t>
    <rPh sb="0" eb="2">
      <t>コウベ</t>
    </rPh>
    <phoneticPr fontId="13"/>
  </si>
  <si>
    <t>株式会社ﾅｯｸ</t>
    <rPh sb="0" eb="4">
      <t>カブシキガイシャ</t>
    </rPh>
    <phoneticPr fontId="13"/>
  </si>
  <si>
    <t>保証書 取説 ﾅﾋﾞ取 ｽﾍﾟｱｷｰ 地図SD</t>
    <rPh sb="0" eb="3">
      <t>ホショウショ</t>
    </rPh>
    <rPh sb="4" eb="6">
      <t>トリセツ</t>
    </rPh>
    <rPh sb="10" eb="11">
      <t>トリ</t>
    </rPh>
    <rPh sb="19" eb="21">
      <t>チズ</t>
    </rPh>
    <phoneticPr fontId="13"/>
  </si>
  <si>
    <t>高松 310 て 8228</t>
    <rPh sb="0" eb="2">
      <t>タカマツ</t>
    </rPh>
    <phoneticPr fontId="13"/>
  </si>
  <si>
    <t>高橋 誠</t>
    <rPh sb="0" eb="2">
      <t>タカハシ</t>
    </rPh>
    <rPh sb="3" eb="4">
      <t>マコト</t>
    </rPh>
    <phoneticPr fontId="13"/>
  </si>
  <si>
    <t>北九州 334 ほ 802</t>
    <rPh sb="0" eb="3">
      <t>キタキュウシュウ</t>
    </rPh>
    <phoneticPr fontId="13"/>
  </si>
  <si>
    <t>ﾀｽﾃｯｸ・ﾚﾝﾀﾘｰｽ株式会社</t>
    <rPh sb="12" eb="16">
      <t>カブシキガイシャ</t>
    </rPh>
    <phoneticPr fontId="13"/>
  </si>
  <si>
    <t>地図SD(車内)取説 ﾅﾋﾞ取 ｷｰﾚｽ</t>
    <rPh sb="0" eb="2">
      <t>チズ</t>
    </rPh>
    <rPh sb="5" eb="7">
      <t>シャナイ</t>
    </rPh>
    <rPh sb="8" eb="10">
      <t>トリセツ</t>
    </rPh>
    <rPh sb="14" eb="15">
      <t>トリ</t>
    </rPh>
    <phoneticPr fontId="13"/>
  </si>
  <si>
    <t>広島 399 に 2389</t>
    <rPh sb="0" eb="2">
      <t>ヒロシマ</t>
    </rPh>
    <phoneticPr fontId="13"/>
  </si>
  <si>
    <t>広島 594 と 100</t>
    <rPh sb="0" eb="2">
      <t>ヒロシマ</t>
    </rPh>
    <phoneticPr fontId="13"/>
  </si>
  <si>
    <t>岡山 30Y な 1000</t>
    <rPh sb="0" eb="2">
      <t>オカヤマ</t>
    </rPh>
    <phoneticPr fontId="13"/>
  </si>
  <si>
    <t>地図SD(車内)ﾅﾋﾞ取 ｽﾍﾟｱｷｰ</t>
    <rPh sb="11" eb="12">
      <t>トリ</t>
    </rPh>
    <phoneticPr fontId="13"/>
  </si>
  <si>
    <t>塩井川  彪</t>
    <rPh sb="0" eb="3">
      <t>シオイガワ</t>
    </rPh>
    <phoneticPr fontId="13"/>
  </si>
  <si>
    <t>取説 2/13まで</t>
    <rPh sb="0" eb="2">
      <t>トリセツ</t>
    </rPh>
    <phoneticPr fontId="13"/>
  </si>
  <si>
    <t>梶田 千絵子</t>
    <rPh sb="0" eb="2">
      <t>カジタ</t>
    </rPh>
    <rPh sb="3" eb="6">
      <t>チエコ</t>
    </rPh>
    <phoneticPr fontId="13"/>
  </si>
  <si>
    <t>名古屋 401 ま 74</t>
    <rPh sb="0" eb="3">
      <t>ナゴヤ</t>
    </rPh>
    <phoneticPr fontId="13"/>
  </si>
  <si>
    <t>ﾄﾖﾀﾓﾋﾞﾘﾃｨｻｰﾋﾞｽ東名古屋株式会社</t>
    <rPh sb="16" eb="20">
      <t>カブシキガイシャ</t>
    </rPh>
    <rPh sb="18" eb="22">
      <t>カブシキガイシャ</t>
    </rPh>
    <phoneticPr fontId="13"/>
  </si>
  <si>
    <t>岡山 358 せ 21</t>
    <rPh sb="0" eb="2">
      <t>オカヤマ</t>
    </rPh>
    <phoneticPr fontId="13"/>
  </si>
  <si>
    <t>島根 300 ほ 9063</t>
    <rPh sb="0" eb="2">
      <t>シマネ</t>
    </rPh>
    <phoneticPr fontId="13"/>
  </si>
  <si>
    <t>保証書  取説 Sｷｰ</t>
    <rPh sb="5" eb="7">
      <t>トリセツ</t>
    </rPh>
    <phoneticPr fontId="13"/>
  </si>
  <si>
    <t>福岡 59A に 3871</t>
    <rPh sb="0" eb="2">
      <t>フクオカ</t>
    </rPh>
    <phoneticPr fontId="13"/>
  </si>
  <si>
    <t>ﾄﾖﾀｶﾛｰﾗ福岡株式会社</t>
    <rPh sb="7" eb="9">
      <t>フクオカ</t>
    </rPh>
    <rPh sb="9" eb="13">
      <t>カブシキガイシャ</t>
    </rPh>
    <phoneticPr fontId="13"/>
  </si>
  <si>
    <t>地図SD(車内) 保証書</t>
    <rPh sb="9" eb="12">
      <t>ホショウショ</t>
    </rPh>
    <phoneticPr fontId="13"/>
  </si>
  <si>
    <t>下関 580 せ 2329</t>
    <rPh sb="0" eb="2">
      <t>シモノセキ</t>
    </rPh>
    <phoneticPr fontId="13"/>
  </si>
  <si>
    <t>白石 恵子</t>
    <rPh sb="0" eb="2">
      <t>シライシ</t>
    </rPh>
    <rPh sb="3" eb="5">
      <t>ケイコ</t>
    </rPh>
    <phoneticPr fontId="13"/>
  </si>
  <si>
    <t>徳島 580 ほ 3340</t>
    <rPh sb="0" eb="2">
      <t>トクシマ</t>
    </rPh>
    <phoneticPr fontId="13"/>
  </si>
  <si>
    <t>有限会社西村自動車</t>
    <rPh sb="0" eb="4">
      <t>ユウゲンカイシャ</t>
    </rPh>
    <rPh sb="4" eb="6">
      <t>ニシムラ</t>
    </rPh>
    <rPh sb="6" eb="9">
      <t>ジドウシャ</t>
    </rPh>
    <phoneticPr fontId="13"/>
  </si>
  <si>
    <t xml:space="preserve">地図SD(車内)保証書 取説 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</si>
  <si>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有限会社坂元商会</t>
    <rPh sb="0" eb="4">
      <t>ユウゲンカイシャ</t>
    </rPh>
    <rPh sb="4" eb="6">
      <t>サカモト</t>
    </rPh>
    <rPh sb="6" eb="8">
      <t>ショウカイ</t>
    </rPh>
    <phoneticPr fontId="13"/>
  </si>
  <si>
    <t>株式会社森ﾓｰﾀｰｽ</t>
    <rPh sb="0" eb="4">
      <t>カブシキガイシャ</t>
    </rPh>
    <rPh sb="4" eb="5">
      <t>モリ</t>
    </rPh>
    <phoneticPr fontId="13"/>
  </si>
  <si>
    <t>名古屋 780 ろ 4735</t>
    <rPh sb="0" eb="3">
      <t>ナゴヤ</t>
    </rPh>
    <phoneticPr fontId="13"/>
  </si>
  <si>
    <t>一宮 580 せ 9532</t>
    <rPh sb="0" eb="2">
      <t>イチノミヤ</t>
    </rPh>
    <phoneticPr fontId="13"/>
  </si>
  <si>
    <t>株式会社ｺﾚｯﾄ</t>
    <rPh sb="0" eb="4">
      <t>カブシキガイシャ</t>
    </rPh>
    <phoneticPr fontId="13"/>
  </si>
  <si>
    <t>車輌番号/所有者</t>
    <phoneticPr fontId="13"/>
  </si>
  <si>
    <t>品川 5X2 ろ 8469</t>
    <rPh sb="0" eb="2">
      <t>シナガワ</t>
    </rPh>
    <phoneticPr fontId="13"/>
  </si>
  <si>
    <t>京都三菱自動車販売株式会社</t>
    <rPh sb="0" eb="2">
      <t>キョウト</t>
    </rPh>
    <rPh sb="2" eb="4">
      <t>ミツビシ</t>
    </rPh>
    <rPh sb="4" eb="13">
      <t>ジドウシャハンバイカブシキガイシャ</t>
    </rPh>
    <phoneticPr fontId="13"/>
  </si>
  <si>
    <t>取説 ﾅﾋﾞ取 Sｷｰ</t>
    <rPh sb="0" eb="2">
      <t>トリセツ</t>
    </rPh>
    <rPh sb="6" eb="7">
      <t>トリ</t>
    </rPh>
    <phoneticPr fontId="13"/>
  </si>
  <si>
    <t>名古屋 780 ろ 4324</t>
    <rPh sb="0" eb="3">
      <t>ナゴヤ</t>
    </rPh>
    <phoneticPr fontId="13"/>
  </si>
  <si>
    <t>有限会社岡野商会</t>
    <rPh sb="0" eb="4">
      <t>ユウゲンカイシャ</t>
    </rPh>
    <rPh sb="4" eb="6">
      <t>オカノ</t>
    </rPh>
    <rPh sb="6" eb="8">
      <t>ショウカイ</t>
    </rPh>
    <phoneticPr fontId="13"/>
  </si>
  <si>
    <t>SD写メあり上がってきてない保証書 取説 Sｷｰ</t>
    <rPh sb="2" eb="3">
      <t>シャ</t>
    </rPh>
    <rPh sb="6" eb="7">
      <t>ア</t>
    </rPh>
    <rPh sb="14" eb="17">
      <t>ホショウショ</t>
    </rPh>
    <rPh sb="18" eb="20">
      <t>トリセツ</t>
    </rPh>
    <phoneticPr fontId="13"/>
  </si>
  <si>
    <t>神戸 583 く 7085</t>
    <rPh sb="0" eb="2">
      <t>コウベ</t>
    </rPh>
    <phoneticPr fontId="13"/>
  </si>
  <si>
    <t>株式会社ｳｨｯﾂ</t>
    <rPh sb="0" eb="4">
      <t>カブシキガイシャ</t>
    </rPh>
    <phoneticPr fontId="13"/>
  </si>
  <si>
    <t>保証書 取説 Sｷｰ ﾛｯｸﾅｯﾄ</t>
    <rPh sb="0" eb="3">
      <t>ホショウショ</t>
    </rPh>
    <rPh sb="4" eb="6">
      <t>トリセツ</t>
    </rPh>
    <phoneticPr fontId="13"/>
  </si>
  <si>
    <t>滋賀 582 ろ 9807</t>
    <rPh sb="0" eb="2">
      <t>シガ</t>
    </rPh>
    <phoneticPr fontId="13"/>
  </si>
  <si>
    <t>株式会社ｱｲﾜﾓｰﾀｰｽ</t>
    <rPh sb="0" eb="4">
      <t>カブシキガイシャ</t>
    </rPh>
    <phoneticPr fontId="13"/>
  </si>
  <si>
    <t>多摩 591 ろ 9119</t>
    <rPh sb="0" eb="2">
      <t>タマ</t>
    </rPh>
    <phoneticPr fontId="13"/>
  </si>
  <si>
    <t>なにわ 5P9 ろ 551</t>
    <phoneticPr fontId="13"/>
  </si>
  <si>
    <t>三重 583 な 1308</t>
    <rPh sb="0" eb="2">
      <t>ミエ</t>
    </rPh>
    <phoneticPr fontId="13"/>
  </si>
  <si>
    <t>MTﾎｰﾙﾃﾞｨﾝｸﾞｽ株式会社</t>
    <rPh sb="12" eb="16">
      <t>カブシキガイシャ</t>
    </rPh>
    <phoneticPr fontId="13"/>
  </si>
  <si>
    <t>582 い 9484</t>
    <phoneticPr fontId="13"/>
  </si>
  <si>
    <t>品川 5X2 ろ 7118</t>
    <rPh sb="0" eb="2">
      <t>シナガワ</t>
    </rPh>
    <phoneticPr fontId="13"/>
  </si>
  <si>
    <t>宇都宮 581 く 3878</t>
    <rPh sb="0" eb="3">
      <t>ウツノミヤ</t>
    </rPh>
    <phoneticPr fontId="13"/>
  </si>
  <si>
    <t>齊藤 正宏</t>
    <rPh sb="0" eb="2">
      <t>サイトウ</t>
    </rPh>
    <rPh sb="3" eb="4">
      <t>タダシ</t>
    </rPh>
    <rPh sb="4" eb="5">
      <t>ヒロシ</t>
    </rPh>
    <phoneticPr fontId="13"/>
  </si>
  <si>
    <t>ﾑｰｳﾞｷｬﾝﾊﾞｽ　ｾｵﾘｰX</t>
    <phoneticPr fontId="13"/>
  </si>
  <si>
    <t>角印なしそのまま発送</t>
    <rPh sb="0" eb="2">
      <t>カクイン</t>
    </rPh>
    <rPh sb="8" eb="10">
      <t>ハッソウ</t>
    </rPh>
    <phoneticPr fontId="13"/>
  </si>
  <si>
    <t>USS名古屋山森さん</t>
    <rPh sb="3" eb="6">
      <t>ナゴヤ</t>
    </rPh>
    <rPh sb="6" eb="8">
      <t>ヤマモリ</t>
    </rPh>
    <phoneticPr fontId="13"/>
  </si>
  <si>
    <t>WMWLR920402H12505</t>
    <phoneticPr fontId="13"/>
  </si>
  <si>
    <t>記録紙1枚 福祉車両返金OK</t>
    <rPh sb="0" eb="3">
      <t>キロクシ</t>
    </rPh>
    <rPh sb="4" eb="5">
      <t>マイ</t>
    </rPh>
    <rPh sb="6" eb="10">
      <t>フクシシャリョウ</t>
    </rPh>
    <rPh sb="10" eb="12">
      <t>ヘンキン</t>
    </rPh>
    <phoneticPr fontId="13"/>
  </si>
  <si>
    <t>尾張小牧 334 さ 704</t>
    <rPh sb="0" eb="4">
      <t>オワリコマキ</t>
    </rPh>
    <phoneticPr fontId="13"/>
  </si>
  <si>
    <t>中島 克也</t>
    <rPh sb="0" eb="2">
      <t>ナカジマ</t>
    </rPh>
    <rPh sb="3" eb="5">
      <t>カツヤ</t>
    </rPh>
    <phoneticPr fontId="13"/>
  </si>
  <si>
    <t>1/23</t>
    <phoneticPr fontId="13"/>
  </si>
  <si>
    <t>京都 582 ち 6952</t>
    <rPh sb="0" eb="2">
      <t>キョウト</t>
    </rPh>
    <phoneticPr fontId="13"/>
  </si>
  <si>
    <t>山下 敬一郎</t>
    <rPh sb="0" eb="2">
      <t>ヤマシタ</t>
    </rPh>
    <rPh sb="3" eb="6">
      <t>ケイイチロウ</t>
    </rPh>
    <phoneticPr fontId="13"/>
  </si>
  <si>
    <t>岡山 301 や 2746</t>
    <rPh sb="0" eb="2">
      <t>オカヤマ</t>
    </rPh>
    <phoneticPr fontId="13"/>
  </si>
  <si>
    <t>宇都宮 348 て 1225</t>
    <rPh sb="0" eb="3">
      <t>ウツノミヤ</t>
    </rPh>
    <phoneticPr fontId="13"/>
  </si>
  <si>
    <t>株式会社ﾎﾝﾀﾞｶｰｽﾞ栃木県央</t>
    <rPh sb="0" eb="4">
      <t>カブシキガイシャ</t>
    </rPh>
    <rPh sb="12" eb="14">
      <t>トチキ</t>
    </rPh>
    <rPh sb="14" eb="15">
      <t>ケン</t>
    </rPh>
    <rPh sb="15" eb="16">
      <t>オウ</t>
    </rPh>
    <phoneticPr fontId="13"/>
  </si>
  <si>
    <t>保証書(保証書としてOK) 取説 ｷｰﾚｽ(車内)</t>
    <rPh sb="0" eb="3">
      <t>ホショウショ</t>
    </rPh>
    <rPh sb="4" eb="7">
      <t>ホショウショ</t>
    </rPh>
    <rPh sb="14" eb="16">
      <t>トリセツ</t>
    </rPh>
    <rPh sb="22" eb="24">
      <t>シャナイ</t>
    </rPh>
    <phoneticPr fontId="13"/>
  </si>
  <si>
    <t>品番；NSZP-W670</t>
    <rPh sb="0" eb="2">
      <t>ヒンバン</t>
    </rPh>
    <phoneticPr fontId="13"/>
  </si>
  <si>
    <t>取説 ｷｰﾚｽ ｽﾍﾟｱｷｰ(車内)保証書</t>
    <rPh sb="0" eb="2">
      <t>トリセツ</t>
    </rPh>
    <rPh sb="18" eb="21">
      <t>ホショウショ</t>
    </rPh>
    <phoneticPr fontId="13"/>
  </si>
  <si>
    <t>服部 修</t>
    <rPh sb="0" eb="2">
      <t>ハットリ</t>
    </rPh>
    <rPh sb="3" eb="4">
      <t>シュウ</t>
    </rPh>
    <phoneticPr fontId="13"/>
  </si>
  <si>
    <t>(株)SWITCH</t>
    <rPh sb="0" eb="3">
      <t>カブシキガイシャ</t>
    </rPh>
    <phoneticPr fontId="13"/>
  </si>
  <si>
    <t>根本 孝</t>
    <rPh sb="0" eb="2">
      <t>ネモト</t>
    </rPh>
    <rPh sb="3" eb="4">
      <t>タカ</t>
    </rPh>
    <phoneticPr fontId="13"/>
  </si>
  <si>
    <t>中村 可菜央</t>
    <rPh sb="0" eb="2">
      <t>ナカムラ</t>
    </rPh>
    <rPh sb="3" eb="4">
      <t>カ</t>
    </rPh>
    <rPh sb="4" eb="5">
      <t>ナ</t>
    </rPh>
    <rPh sb="5" eb="6">
      <t>オウ</t>
    </rPh>
    <phoneticPr fontId="13"/>
  </si>
  <si>
    <t>上川 善春</t>
    <rPh sb="0" eb="2">
      <t>カミカワ</t>
    </rPh>
    <rPh sb="3" eb="4">
      <t>ゼン</t>
    </rPh>
    <rPh sb="4" eb="5">
      <t>ハル</t>
    </rPh>
    <phoneticPr fontId="13"/>
  </si>
  <si>
    <t>明賀 千奈津</t>
    <rPh sb="0" eb="1">
      <t>アカ</t>
    </rPh>
    <rPh sb="1" eb="2">
      <t>ガ</t>
    </rPh>
    <rPh sb="3" eb="6">
      <t>チナツ</t>
    </rPh>
    <phoneticPr fontId="13"/>
  </si>
  <si>
    <t>阿部 倫子</t>
    <rPh sb="0" eb="2">
      <t>アベ</t>
    </rPh>
    <rPh sb="3" eb="5">
      <t>リンコ</t>
    </rPh>
    <phoneticPr fontId="13"/>
  </si>
  <si>
    <t>澁川 輝芳</t>
    <rPh sb="0" eb="2">
      <t>シブカワ</t>
    </rPh>
    <rPh sb="3" eb="4">
      <t>テル</t>
    </rPh>
    <rPh sb="4" eb="5">
      <t>ヨシ</t>
    </rPh>
    <phoneticPr fontId="13"/>
  </si>
  <si>
    <t>車内ｽﾍﾟｱｷｰのみ 保証書 取説 ﾘﾓｺﾝ</t>
    <rPh sb="0" eb="2">
      <t>シャナイ</t>
    </rPh>
    <rPh sb="13" eb="14">
      <t>　</t>
    </rPh>
    <rPh sb="15" eb="16">
      <t>トリセツ</t>
    </rPh>
    <rPh sb="16" eb="17">
      <t>　</t>
    </rPh>
    <phoneticPr fontId="13"/>
  </si>
  <si>
    <t>D A MITSUOKA株式会社</t>
    <rPh sb="12" eb="16">
      <t>カブシキガイシャ</t>
    </rPh>
    <phoneticPr fontId="13"/>
  </si>
  <si>
    <t>和泉 30P に 3</t>
    <rPh sb="0" eb="2">
      <t>イズミ</t>
    </rPh>
    <phoneticPr fontId="13"/>
  </si>
  <si>
    <t>岩村 雄貴</t>
    <rPh sb="0" eb="2">
      <t>イワムラ</t>
    </rPh>
    <rPh sb="3" eb="4">
      <t>オス</t>
    </rPh>
    <rPh sb="4" eb="5">
      <t>タカ</t>
    </rPh>
    <phoneticPr fontId="13"/>
  </si>
  <si>
    <t>1/24</t>
    <phoneticPr fontId="13"/>
  </si>
  <si>
    <t>WDD2132042A618021</t>
    <phoneticPr fontId="13"/>
  </si>
  <si>
    <t>なにわ 39A め 4681</t>
    <phoneticPr fontId="13"/>
  </si>
  <si>
    <t>愛媛 330 の 8258</t>
    <rPh sb="0" eb="2">
      <t>エヒメ</t>
    </rPh>
    <phoneticPr fontId="13"/>
  </si>
  <si>
    <t>森田 幸一</t>
    <rPh sb="0" eb="2">
      <t>モリタ</t>
    </rPh>
    <rPh sb="3" eb="5">
      <t>コウイチ</t>
    </rPh>
    <phoneticPr fontId="13"/>
  </si>
  <si>
    <t>書類返送1/24</t>
    <rPh sb="0" eb="2">
      <t>ショルイ</t>
    </rPh>
    <rPh sb="2" eb="4">
      <t>ヘンソウ</t>
    </rPh>
    <phoneticPr fontId="13"/>
  </si>
  <si>
    <t>MN71S-133441</t>
    <phoneticPr fontId="13"/>
  </si>
  <si>
    <t>27-2655</t>
  </si>
  <si>
    <t>27-2656</t>
  </si>
  <si>
    <t>MN71S-139203</t>
    <phoneticPr fontId="13"/>
  </si>
  <si>
    <t>27-2657</t>
  </si>
  <si>
    <t>27-2658</t>
  </si>
  <si>
    <t>27-2659</t>
  </si>
  <si>
    <t>27-2660</t>
  </si>
  <si>
    <t>27-2661</t>
  </si>
  <si>
    <t>27-2662</t>
  </si>
  <si>
    <t>27-2663</t>
  </si>
  <si>
    <t>LA800S-0270790</t>
    <phoneticPr fontId="13"/>
  </si>
  <si>
    <t>JF1-1945364</t>
    <phoneticPr fontId="13"/>
  </si>
  <si>
    <t>ZFA3120000JD03395</t>
    <phoneticPr fontId="13"/>
  </si>
  <si>
    <t>VW ｱｯﾌﾟ ！</t>
    <phoneticPr fontId="13"/>
  </si>
  <si>
    <t>WVWZZZAAZHD081568</t>
    <phoneticPr fontId="13"/>
  </si>
  <si>
    <t>ﾑｰﾌﾞｷｬﾝﾊﾞｽ GﾎﾜｲﾄｱｸｾﾝﾄVS</t>
    <phoneticPr fontId="13"/>
  </si>
  <si>
    <t>一宮 580 て 4510</t>
    <rPh sb="0" eb="2">
      <t>イチノミヤ</t>
    </rPh>
    <phoneticPr fontId="13"/>
  </si>
  <si>
    <t>三河 580 も 5693</t>
    <rPh sb="0" eb="2">
      <t>ミカワ</t>
    </rPh>
    <phoneticPr fontId="13"/>
  </si>
  <si>
    <t>ﾌｨｱｯﾄ500C 1.2ﾎﾟｯﾌﾟ</t>
    <phoneticPr fontId="13"/>
  </si>
  <si>
    <t>三河 538 ろ 500</t>
    <rPh sb="0" eb="2">
      <t>ミカワ</t>
    </rPh>
    <phoneticPr fontId="13"/>
  </si>
  <si>
    <t>ﾒﾙｾﾃﾞｽﾍﾞﾝﾂA180</t>
    <phoneticPr fontId="13"/>
  </si>
  <si>
    <t>W1K1770842V075207</t>
    <phoneticPr fontId="13"/>
  </si>
  <si>
    <t>WBY8P420507G42645</t>
    <phoneticPr fontId="13"/>
  </si>
  <si>
    <t>BMW i3 ﾚﾝｼﾞｴｸｽﾃﾝﾀﾞｰ</t>
    <phoneticPr fontId="13"/>
  </si>
  <si>
    <t>ﾚｸｻｽ UX ｱｰﾊﾞﾝｴﾚｶﾞﾝｽ</t>
    <phoneticPr fontId="13"/>
  </si>
  <si>
    <t>MZAH10-2087741</t>
    <phoneticPr fontId="13"/>
  </si>
  <si>
    <t>ｻﾝｾﾌﾞﾝ中川自動車株式会社</t>
    <rPh sb="6" eb="8">
      <t>ナカガワ</t>
    </rPh>
    <rPh sb="8" eb="11">
      <t>ジドウシャ</t>
    </rPh>
    <rPh sb="11" eb="15">
      <t>カブシキガイシャ</t>
    </rPh>
    <phoneticPr fontId="13"/>
  </si>
  <si>
    <t>岡山 399 な 4197</t>
    <rPh sb="0" eb="2">
      <t>オカヤマ</t>
    </rPh>
    <phoneticPr fontId="13"/>
  </si>
  <si>
    <t>ZRE162-7001958</t>
    <phoneticPr fontId="13"/>
  </si>
  <si>
    <t>岡山 584 ろ 2871</t>
    <rPh sb="0" eb="2">
      <t>オカヤマ</t>
    </rPh>
    <phoneticPr fontId="13"/>
  </si>
  <si>
    <t>小川 健</t>
    <rPh sb="0" eb="2">
      <t>オガワ</t>
    </rPh>
    <rPh sb="3" eb="4">
      <t>ケン</t>
    </rPh>
    <phoneticPr fontId="13"/>
  </si>
  <si>
    <t>和泉 583 せ 4848</t>
    <rPh sb="0" eb="2">
      <t>イズミ</t>
    </rPh>
    <phoneticPr fontId="13"/>
  </si>
  <si>
    <t>大阪 599 ら 4328</t>
    <rPh sb="0" eb="2">
      <t>オオサカ</t>
    </rPh>
    <phoneticPr fontId="13"/>
  </si>
  <si>
    <t>鳥取 580 わ 3389</t>
    <rPh sb="0" eb="2">
      <t>トットリ</t>
    </rPh>
    <phoneticPr fontId="13"/>
  </si>
  <si>
    <t>保証書 取説 ﾅﾋﾞ取 ｷｰﾚｽ ﾄﾞﾗﾚｺSD ﾚﾝﾀｶｰ</t>
    <rPh sb="0" eb="3">
      <t>ホショウショ</t>
    </rPh>
    <rPh sb="4" eb="6">
      <t>トリセツ</t>
    </rPh>
    <rPh sb="10" eb="11">
      <t>トリ</t>
    </rPh>
    <phoneticPr fontId="13"/>
  </si>
  <si>
    <t>保証書 取説 ﾅﾋﾞ取 地図SD SD</t>
    <rPh sb="0" eb="3">
      <t>ホショウショ</t>
    </rPh>
    <rPh sb="4" eb="6">
      <t>トリセツ</t>
    </rPh>
    <rPh sb="10" eb="11">
      <t>トリ</t>
    </rPh>
    <rPh sb="12" eb="14">
      <t>チズ</t>
    </rPh>
    <phoneticPr fontId="13"/>
  </si>
  <si>
    <t>小川 正</t>
    <rPh sb="0" eb="2">
      <t>オガワ</t>
    </rPh>
    <rPh sb="3" eb="4">
      <t>タダシ</t>
    </rPh>
    <phoneticPr fontId="13"/>
  </si>
  <si>
    <t>保証書 取説 ﾛｯｸﾅｯﾄ</t>
    <rPh sb="0" eb="3">
      <t>ホショウショ</t>
    </rPh>
    <rPh sb="4" eb="6">
      <t>トリセツ</t>
    </rPh>
    <phoneticPr fontId="13"/>
  </si>
  <si>
    <t>神戸 504 ら 4950</t>
    <rPh sb="0" eb="2">
      <t>コウベ</t>
    </rPh>
    <phoneticPr fontId="13"/>
  </si>
  <si>
    <t>松岡 正明</t>
    <rPh sb="0" eb="2">
      <t>マツオカ</t>
    </rPh>
    <rPh sb="3" eb="5">
      <t>マサアキ</t>
    </rPh>
    <phoneticPr fontId="13"/>
  </si>
  <si>
    <t>岡山 32F ひ 8</t>
    <rPh sb="0" eb="2">
      <t>オカヤマ</t>
    </rPh>
    <phoneticPr fontId="13"/>
  </si>
  <si>
    <t>姫路 587 ろ 654</t>
    <rPh sb="0" eb="2">
      <t>ヒメジ</t>
    </rPh>
    <phoneticPr fontId="13"/>
  </si>
  <si>
    <t>有限会社岡本商店</t>
    <rPh sb="0" eb="4">
      <t>ユウゲンカイシャ</t>
    </rPh>
    <rPh sb="4" eb="6">
      <t>オカモト</t>
    </rPh>
    <rPh sb="6" eb="8">
      <t>ショウテン</t>
    </rPh>
    <phoneticPr fontId="13"/>
  </si>
  <si>
    <t>名古屋 58A ま 5810</t>
    <rPh sb="0" eb="3">
      <t>ナゴヤ</t>
    </rPh>
    <phoneticPr fontId="13"/>
  </si>
  <si>
    <t>取説 ｷｰﾚｽ ﾅﾝﾊﾞｰ</t>
    <rPh sb="0" eb="2">
      <t>トリセツ</t>
    </rPh>
    <phoneticPr fontId="13"/>
  </si>
  <si>
    <t>名古屋 780 ろ 5473</t>
    <rPh sb="0" eb="3">
      <t>ナゴヤ</t>
    </rPh>
    <phoneticPr fontId="13"/>
  </si>
  <si>
    <t>地図SD(車内)取説 ﾅﾋﾞ取 ｷｰﾚｽ</t>
    <rPh sb="8" eb="10">
      <t>トリセツ</t>
    </rPh>
    <rPh sb="14" eb="15">
      <t>トリ</t>
    </rPh>
    <phoneticPr fontId="13"/>
  </si>
  <si>
    <t>神戸 486 ろ 262</t>
    <rPh sb="0" eb="2">
      <t>コウベ</t>
    </rPh>
    <phoneticPr fontId="13"/>
  </si>
  <si>
    <t>ｽﾍﾟｱｷｰ3個</t>
    <rPh sb="7" eb="8">
      <t>コ</t>
    </rPh>
    <phoneticPr fontId="13"/>
  </si>
  <si>
    <t>野田 399 ま 5952</t>
    <rPh sb="0" eb="2">
      <t>ノダ</t>
    </rPh>
    <phoneticPr fontId="13"/>
  </si>
  <si>
    <t>株式会社ｴｺｽﾀｲﾙ</t>
    <rPh sb="0" eb="4">
      <t>カブシキガイシャ</t>
    </rPh>
    <phoneticPr fontId="13"/>
  </si>
  <si>
    <t>練馬 357 は 211</t>
    <rPh sb="0" eb="2">
      <t>ネリマ</t>
    </rPh>
    <phoneticPr fontId="13"/>
  </si>
  <si>
    <t>河野 葉子</t>
    <rPh sb="0" eb="2">
      <t>コウノ</t>
    </rPh>
    <rPh sb="3" eb="5">
      <t>ヨウコ</t>
    </rPh>
    <phoneticPr fontId="13"/>
  </si>
  <si>
    <t>保証書 取説</t>
    <phoneticPr fontId="13"/>
  </si>
  <si>
    <r>
      <rPr>
        <sz val="11"/>
        <color rgb="FFFF0000"/>
        <rFont val="ＭＳ Ｐゴシック"/>
        <family val="3"/>
        <charset val="128"/>
        <scheme val="minor"/>
      </rPr>
      <t>手帳問い合わせ中ｸﾚｰﾑ期間過ぎた</t>
    </r>
    <r>
      <rPr>
        <sz val="11"/>
        <color theme="4" tint="-0.499984740745262"/>
        <rFont val="ＭＳ Ｐゴシック"/>
        <family val="3"/>
        <charset val="128"/>
        <scheme val="minor"/>
      </rPr>
      <t xml:space="preserve"> 取説 ｷｰﾚｽ</t>
    </r>
    <rPh sb="0" eb="2">
      <t>テチョウ</t>
    </rPh>
    <rPh sb="2" eb="3">
      <t>ト</t>
    </rPh>
    <rPh sb="4" eb="5">
      <t>ア</t>
    </rPh>
    <rPh sb="7" eb="8">
      <t>チュウ</t>
    </rPh>
    <rPh sb="12" eb="14">
      <t>キカン</t>
    </rPh>
    <rPh sb="14" eb="15">
      <t>ス</t>
    </rPh>
    <rPh sb="18" eb="20">
      <t>トリセツ</t>
    </rPh>
    <phoneticPr fontId="13"/>
  </si>
  <si>
    <t>名古屋 38L に 17</t>
    <rPh sb="0" eb="3">
      <t>ナゴヤ</t>
    </rPh>
    <phoneticPr fontId="13"/>
  </si>
  <si>
    <t>宇都宮 331 め 2117</t>
    <rPh sb="0" eb="3">
      <t>ウツノミヤ</t>
    </rPh>
    <phoneticPr fontId="13"/>
  </si>
  <si>
    <t>株式会社ﾓﾘｽ</t>
    <rPh sb="0" eb="4">
      <t>カブシキガイシャ</t>
    </rPh>
    <phoneticPr fontId="13"/>
  </si>
  <si>
    <t>27-2664</t>
  </si>
  <si>
    <t>27-2665</t>
  </si>
  <si>
    <t>27-2666</t>
  </si>
  <si>
    <t>27-2667</t>
  </si>
  <si>
    <t>27-2668</t>
  </si>
  <si>
    <t>27-2669</t>
  </si>
  <si>
    <t>27-2670</t>
  </si>
  <si>
    <t>27-2671</t>
  </si>
  <si>
    <t>27-2672</t>
  </si>
  <si>
    <t>27-2673</t>
  </si>
  <si>
    <t>27-2674</t>
  </si>
  <si>
    <t>27-2675</t>
  </si>
  <si>
    <t>27-2676</t>
  </si>
  <si>
    <t>27-2677</t>
  </si>
  <si>
    <t>27-2678</t>
  </si>
  <si>
    <t>NHP10-6737825</t>
    <phoneticPr fontId="13"/>
  </si>
  <si>
    <t>DK5FW-126845</t>
    <phoneticPr fontId="13"/>
  </si>
  <si>
    <t>ZWE211W-6023331</t>
    <phoneticPr fontId="13"/>
  </si>
  <si>
    <t>ZVW50-6108275</t>
    <phoneticPr fontId="13"/>
  </si>
  <si>
    <t>ﾊｲｾﾞｯﾄﾄﾗｯｸ　</t>
    <phoneticPr fontId="13"/>
  </si>
  <si>
    <t>S500P-0173294</t>
    <phoneticPr fontId="13"/>
  </si>
  <si>
    <t>JF3-8202990</t>
    <phoneticPr fontId="13"/>
  </si>
  <si>
    <t>MK53S-351111</t>
    <phoneticPr fontId="13"/>
  </si>
  <si>
    <t>JF3-5147973</t>
    <phoneticPr fontId="13"/>
  </si>
  <si>
    <t>DA17V-581655</t>
    <phoneticPr fontId="13"/>
  </si>
  <si>
    <t>DA16T-644673</t>
    <phoneticPr fontId="13"/>
  </si>
  <si>
    <t>27-2679</t>
  </si>
  <si>
    <t>27-2680</t>
  </si>
  <si>
    <t>27-2681</t>
  </si>
  <si>
    <t>27-2682</t>
  </si>
  <si>
    <t>27-2683</t>
  </si>
  <si>
    <t>27-2684</t>
  </si>
  <si>
    <t>27-2685</t>
  </si>
  <si>
    <t>27-2686</t>
  </si>
  <si>
    <t>27-2687</t>
  </si>
  <si>
    <t>ﾌﾟﾘｳｽ　Aﾂｰﾘﾝｸﾞｾﾚｸｼｮﾝ</t>
    <phoneticPr fontId="13"/>
  </si>
  <si>
    <t>ZVW51-6063648</t>
    <phoneticPr fontId="13"/>
  </si>
  <si>
    <t>ｳﾞｪﾙﾌｧｲｱ　2.4ZｺﾞｰﾙﾃﾞﾝｱｲｽﾞⅡ</t>
    <phoneticPr fontId="13"/>
  </si>
  <si>
    <t>ANH20W-8317539</t>
    <phoneticPr fontId="13"/>
  </si>
  <si>
    <t>ｶﾛｰﾗﾌｨｰﾙﾀﾞｰ　1.5G</t>
    <phoneticPr fontId="13"/>
  </si>
  <si>
    <t>NRE161G-8008686</t>
    <phoneticPr fontId="13"/>
  </si>
  <si>
    <t>ﾀﾝﾄｶｽﾀﾑ　RSﾄｯﾌﾟｴﾃﾞｨｼｮﾝ</t>
    <phoneticPr fontId="13"/>
  </si>
  <si>
    <t>LA600S-0742431</t>
    <phoneticPr fontId="13"/>
  </si>
  <si>
    <t>HFC26-258507</t>
    <phoneticPr fontId="13"/>
  </si>
  <si>
    <t>ｾﾚﾅ　HｽﾀｰVｾﾚｸｼｮﾝ</t>
    <phoneticPr fontId="13"/>
  </si>
  <si>
    <t>27-2688</t>
  </si>
  <si>
    <t>27-2689</t>
  </si>
  <si>
    <t>27-2690</t>
  </si>
  <si>
    <t>27-2691</t>
  </si>
  <si>
    <t>27-2692</t>
  </si>
  <si>
    <t>27-2693</t>
  </si>
  <si>
    <t>27-2694</t>
  </si>
  <si>
    <t>27-2695</t>
  </si>
  <si>
    <t>27-2696</t>
  </si>
  <si>
    <t>27-2697</t>
  </si>
  <si>
    <t>27-2698</t>
  </si>
  <si>
    <t>27-2699</t>
  </si>
  <si>
    <t>27-2700</t>
  </si>
  <si>
    <t>27-2701</t>
  </si>
  <si>
    <t>27-2702</t>
  </si>
  <si>
    <t>27-2703</t>
  </si>
  <si>
    <t>27-2704</t>
  </si>
  <si>
    <t>27-2705</t>
  </si>
  <si>
    <t>ML21S-820524</t>
    <phoneticPr fontId="13"/>
  </si>
  <si>
    <t>MK21S-958283</t>
    <phoneticPr fontId="13"/>
  </si>
  <si>
    <t>ﾊｲｾﾞｯﾄT</t>
    <phoneticPr fontId="13"/>
  </si>
  <si>
    <t>S510P-0620477</t>
    <phoneticPr fontId="13"/>
  </si>
  <si>
    <t>LA360S-0025021</t>
    <phoneticPr fontId="13"/>
  </si>
  <si>
    <t>LA350S-0248994</t>
    <phoneticPr fontId="13"/>
  </si>
  <si>
    <t>JF3-2348450</t>
    <phoneticPr fontId="13"/>
  </si>
  <si>
    <t>ｾﾚﾅ　Sﾊｲﾌﾞﾘｯﾄﾞ</t>
    <phoneticPr fontId="13"/>
  </si>
  <si>
    <t>GFC27-028303</t>
    <phoneticPr fontId="13"/>
  </si>
  <si>
    <t>MH34S-958999</t>
    <phoneticPr fontId="13"/>
  </si>
  <si>
    <t>GB5-3154230</t>
    <phoneticPr fontId="13"/>
  </si>
  <si>
    <t>GSE31-5029801</t>
    <phoneticPr fontId="13"/>
  </si>
  <si>
    <t>ZWR80-0289609</t>
    <phoneticPr fontId="13"/>
  </si>
  <si>
    <t>NHP10-2559864</t>
    <phoneticPr fontId="13"/>
  </si>
  <si>
    <t>ﾑｰｳﾞ　L　SaⅢ</t>
    <phoneticPr fontId="13"/>
  </si>
  <si>
    <t>LA150S-0173647</t>
    <phoneticPr fontId="13"/>
  </si>
  <si>
    <t>ｴﾌﾞﾘｨﾜｺﾞﾝ　PZﾀｰﾎﾞ</t>
    <phoneticPr fontId="13"/>
  </si>
  <si>
    <t>DA64W-337957</t>
    <phoneticPr fontId="13"/>
  </si>
  <si>
    <t>CX-30　20S</t>
    <phoneticPr fontId="13"/>
  </si>
  <si>
    <t>DMEP-122120</t>
    <phoneticPr fontId="13"/>
  </si>
  <si>
    <t>BMWﾐﾆ　ｸｰﾊﾟｰ　ﾋﾟｶﾃﾞﾘｰ</t>
    <phoneticPr fontId="13"/>
  </si>
  <si>
    <t>WMWXR320702P10923</t>
    <phoneticPr fontId="13"/>
  </si>
  <si>
    <t>MK53S-315863</t>
    <phoneticPr fontId="13"/>
  </si>
  <si>
    <t>MK53S-276148</t>
    <phoneticPr fontId="13"/>
  </si>
  <si>
    <t>MH34S-702522</t>
    <phoneticPr fontId="13"/>
  </si>
  <si>
    <t>MR92S-166170</t>
    <phoneticPr fontId="13"/>
  </si>
  <si>
    <t>MR31S-318619</t>
    <phoneticPr fontId="13"/>
  </si>
  <si>
    <t>MR31S-314782</t>
    <phoneticPr fontId="13"/>
  </si>
  <si>
    <t>ｴﾌﾞﾘｨ　ｼﾞｮｲﾝ</t>
    <phoneticPr fontId="13"/>
  </si>
  <si>
    <t>DA17V-598665</t>
    <phoneticPr fontId="13"/>
  </si>
  <si>
    <t>MR41S-331415</t>
    <phoneticPr fontId="13"/>
  </si>
  <si>
    <t>MH55S-155088</t>
    <phoneticPr fontId="13"/>
  </si>
  <si>
    <t>27-2707</t>
  </si>
  <si>
    <t>27-2708</t>
  </si>
  <si>
    <t>27-2709</t>
  </si>
  <si>
    <t>27-2710</t>
  </si>
  <si>
    <t>27-2711</t>
  </si>
  <si>
    <t>27-2712</t>
  </si>
  <si>
    <t>27-2713</t>
  </si>
  <si>
    <t>27-2714</t>
  </si>
  <si>
    <t>ﾐﾗｲﾌﾞ愛知（ｱｲｵｰｸ）</t>
    <rPh sb="5" eb="7">
      <t>アイチ</t>
    </rPh>
    <phoneticPr fontId="13"/>
  </si>
  <si>
    <t>LA350S-0290647</t>
    <phoneticPr fontId="13"/>
  </si>
  <si>
    <t>MR92S-358908</t>
    <phoneticPr fontId="13"/>
  </si>
  <si>
    <t>DA17W-287391</t>
    <phoneticPr fontId="13"/>
  </si>
  <si>
    <t>LA150S-1017209</t>
    <phoneticPr fontId="13"/>
  </si>
  <si>
    <t>MK53S-352516</t>
    <phoneticPr fontId="13"/>
  </si>
  <si>
    <t>DR17W-252334</t>
    <phoneticPr fontId="13"/>
  </si>
  <si>
    <t>MH55S-178770</t>
    <phoneticPr fontId="13"/>
  </si>
  <si>
    <t>ｱﾗｲﾍﾞｲｻｲﾄﾞ</t>
    <phoneticPr fontId="13"/>
  </si>
  <si>
    <t>BMWﾐﾆ　ｸｰﾊﾟｰDｸﾗﾌﾞﾏﾝ</t>
    <phoneticPr fontId="13"/>
  </si>
  <si>
    <t>WMW72BB0X02P76588</t>
    <phoneticPr fontId="13"/>
  </si>
  <si>
    <t>27-2715</t>
  </si>
  <si>
    <t>27-2716</t>
  </si>
  <si>
    <t>27-2717</t>
  </si>
  <si>
    <t>27-2718</t>
  </si>
  <si>
    <t>27-2719</t>
  </si>
  <si>
    <t>BMWﾐﾆ　ｸｰﾊﾟｰSｸﾗﾌﾞﾏﾝ</t>
    <phoneticPr fontId="13"/>
  </si>
  <si>
    <t>MﾍﾞﾝﾂCLA180　SBｽﾎﾟｰﾂ</t>
    <phoneticPr fontId="13"/>
  </si>
  <si>
    <t>27-2720</t>
  </si>
  <si>
    <t>27-2721</t>
  </si>
  <si>
    <t>27-2722</t>
  </si>
  <si>
    <t>27-2723</t>
  </si>
  <si>
    <t>27-2724</t>
  </si>
  <si>
    <t>27-2725</t>
  </si>
  <si>
    <t>27-2726</t>
  </si>
  <si>
    <t>27-2727</t>
  </si>
  <si>
    <t>27-2728</t>
  </si>
  <si>
    <t>27-2729</t>
  </si>
  <si>
    <t>27-2730</t>
  </si>
  <si>
    <t>27-2731</t>
  </si>
  <si>
    <t>A321554</t>
    <phoneticPr fontId="13"/>
  </si>
  <si>
    <t>AZSH36-4034400</t>
    <phoneticPr fontId="13"/>
  </si>
  <si>
    <t>A321709</t>
    <phoneticPr fontId="13"/>
  </si>
  <si>
    <t>ZYX11-2036510</t>
    <phoneticPr fontId="13"/>
  </si>
  <si>
    <t>A322980</t>
    <phoneticPr fontId="13"/>
  </si>
  <si>
    <t>AGH30-9034357</t>
    <phoneticPr fontId="13"/>
  </si>
  <si>
    <t>A319618</t>
    <phoneticPr fontId="13"/>
  </si>
  <si>
    <t>AGH30-0359990</t>
    <phoneticPr fontId="13"/>
  </si>
  <si>
    <t>A322693</t>
    <phoneticPr fontId="13"/>
  </si>
  <si>
    <t>LA800S-0166628</t>
    <phoneticPr fontId="13"/>
  </si>
  <si>
    <t>A322830</t>
    <phoneticPr fontId="13"/>
  </si>
  <si>
    <t>KF2P-611414</t>
    <phoneticPr fontId="13"/>
  </si>
  <si>
    <t>A323081</t>
    <phoneticPr fontId="13"/>
  </si>
  <si>
    <t>AZSH36-4025004</t>
    <phoneticPr fontId="13"/>
  </si>
  <si>
    <t>A321589</t>
    <phoneticPr fontId="13"/>
  </si>
  <si>
    <t>MK54S-144468</t>
    <phoneticPr fontId="13"/>
  </si>
  <si>
    <t>A322432</t>
    <phoneticPr fontId="13"/>
  </si>
  <si>
    <t>JG3-2115069</t>
    <phoneticPr fontId="13"/>
  </si>
  <si>
    <t>A321624</t>
    <phoneticPr fontId="13"/>
  </si>
  <si>
    <t>JF1-1458994</t>
    <phoneticPr fontId="13"/>
  </si>
  <si>
    <t>A320401</t>
    <phoneticPr fontId="13"/>
  </si>
  <si>
    <t>NSP170-7272580</t>
    <phoneticPr fontId="13"/>
  </si>
  <si>
    <t>A317181</t>
    <phoneticPr fontId="13"/>
  </si>
  <si>
    <t>RP8-1069508</t>
    <phoneticPr fontId="13"/>
  </si>
  <si>
    <t>A322398</t>
    <phoneticPr fontId="13"/>
  </si>
  <si>
    <t>LA900S-0135678</t>
    <phoneticPr fontId="13"/>
  </si>
  <si>
    <t>A321920</t>
    <phoneticPr fontId="13"/>
  </si>
  <si>
    <t>JF1-1884650</t>
    <phoneticPr fontId="13"/>
  </si>
  <si>
    <t>A321975</t>
    <phoneticPr fontId="13"/>
  </si>
  <si>
    <t>MJ34S-703143</t>
    <phoneticPr fontId="13"/>
  </si>
  <si>
    <t>ﾙｰｸｽ　ﾊｲｳｪｲｽﾀｰﾀｰﾎﾞ</t>
    <phoneticPr fontId="13"/>
  </si>
  <si>
    <t>ｱﾙﾌｧｰﾄﾞ　240Sﾌﾟﾗｲﾑｾﾚｸｼｮﾝ</t>
    <phoneticPr fontId="13"/>
  </si>
  <si>
    <t>ANH20-8143504</t>
    <phoneticPr fontId="13"/>
  </si>
  <si>
    <t>名古屋　355　め　1217</t>
    <rPh sb="0" eb="3">
      <t>ナゴヤ</t>
    </rPh>
    <phoneticPr fontId="13"/>
  </si>
  <si>
    <t>ﾊﾟﾚｯﾄ　TS</t>
    <phoneticPr fontId="13"/>
  </si>
  <si>
    <t>8/6/23</t>
    <phoneticPr fontId="13"/>
  </si>
  <si>
    <t>三河　580　と　7195</t>
    <rPh sb="0" eb="2">
      <t>ミカワ</t>
    </rPh>
    <phoneticPr fontId="13"/>
  </si>
  <si>
    <t>9/5/7</t>
    <phoneticPr fontId="13"/>
  </si>
  <si>
    <t>三河　483　い　6573</t>
    <rPh sb="0" eb="2">
      <t>ミカワ</t>
    </rPh>
    <phoneticPr fontId="13"/>
  </si>
  <si>
    <t>　ﾐﾗｲｰｽ　G　SaⅢ</t>
    <phoneticPr fontId="13"/>
  </si>
  <si>
    <t>ﾐﾗｲｰｽ　L　SaⅢ</t>
    <phoneticPr fontId="13"/>
  </si>
  <si>
    <t>N　BOXｶｽﾀﾑ　Lﾀｰﾎﾞ</t>
    <phoneticPr fontId="13"/>
  </si>
  <si>
    <t>WMW52DK0402R23510</t>
    <phoneticPr fontId="13"/>
  </si>
  <si>
    <t>横浜　382　す　1007</t>
    <rPh sb="0" eb="2">
      <t>ヨコハマ</t>
    </rPh>
    <phoneticPr fontId="13"/>
  </si>
  <si>
    <t>名古屋　331　さ　7308</t>
    <rPh sb="0" eb="3">
      <t>ナゴヤ</t>
    </rPh>
    <phoneticPr fontId="13"/>
  </si>
  <si>
    <t>三重　336　ほ　87</t>
    <rPh sb="0" eb="2">
      <t>ミエ</t>
    </rPh>
    <phoneticPr fontId="13"/>
  </si>
  <si>
    <t>三重　503　な　6809</t>
    <rPh sb="0" eb="2">
      <t>ミエ</t>
    </rPh>
    <phoneticPr fontId="13"/>
  </si>
  <si>
    <t>ｱｸｱ　G</t>
    <phoneticPr fontId="13"/>
  </si>
  <si>
    <t>横浜　306　て　7930</t>
    <rPh sb="0" eb="2">
      <t>ヨコハマ</t>
    </rPh>
    <phoneticPr fontId="13"/>
  </si>
  <si>
    <t>27-2732</t>
  </si>
  <si>
    <t>WMWXY520002N78182</t>
    <phoneticPr fontId="13"/>
  </si>
  <si>
    <t>27-2733</t>
  </si>
  <si>
    <t>ｴﾌﾞﾘｨﾜｺﾞﾝ　PZﾀｰﾎﾞｽﾍﾟｼｬﾙ</t>
    <phoneticPr fontId="13"/>
  </si>
  <si>
    <t>DA17W-263703</t>
    <phoneticPr fontId="13"/>
  </si>
  <si>
    <t>ｱｸｱ　Sﾘﾙｳﾞｨｰ</t>
    <phoneticPr fontId="13"/>
  </si>
  <si>
    <t>三重　532　ち　61</t>
    <rPh sb="0" eb="2">
      <t>ミエ</t>
    </rPh>
    <phoneticPr fontId="13"/>
  </si>
  <si>
    <t>CX-3　XDﾂｰﾘﾝｸﾞLﾊﾟｯｹｰｼﾞ</t>
    <phoneticPr fontId="13"/>
  </si>
  <si>
    <t>ｶﾛｰﾗﾂｰﾘﾝｸﾞ　HVﾀﾞﾌﾞﾙﾊﾞｲﾋﾞｰ</t>
    <phoneticPr fontId="13"/>
  </si>
  <si>
    <t>ﾌﾟﾘｳｽ　Sﾂｰﾘﾝｸﾞｾﾚｸｼｮﾝ</t>
    <phoneticPr fontId="13"/>
  </si>
  <si>
    <t>なにわ　301　は　9180</t>
    <phoneticPr fontId="13"/>
  </si>
  <si>
    <t>堺　480　け　8512</t>
    <rPh sb="0" eb="1">
      <t>サカイ</t>
    </rPh>
    <phoneticPr fontId="13"/>
  </si>
  <si>
    <t>N　BOX　Ｇ　ｽﾛｰﾌﾟ</t>
    <phoneticPr fontId="13"/>
  </si>
  <si>
    <t>N　BOX　L</t>
    <phoneticPr fontId="13"/>
  </si>
  <si>
    <t>奈良　583　こ　4976</t>
    <rPh sb="0" eb="2">
      <t>ナラ</t>
    </rPh>
    <phoneticPr fontId="13"/>
  </si>
  <si>
    <t>ｴﾌﾞﾘｨﾊﾞﾝ　ｼﾞｮｲﾝ</t>
    <phoneticPr fontId="13"/>
  </si>
  <si>
    <t>大阪　483　ね　210</t>
    <rPh sb="0" eb="2">
      <t>オオサカ</t>
    </rPh>
    <phoneticPr fontId="13"/>
  </si>
  <si>
    <t>9/11/21</t>
    <phoneticPr fontId="13"/>
  </si>
  <si>
    <t>ｷｬﾘｨﾄﾗｯｸ　KC　ｴｱｺﾝﾊﾟﾜｽﾃ</t>
    <phoneticPr fontId="13"/>
  </si>
  <si>
    <t>ﾜｺﾞﾝRｽﾃｨﾝｸﾞﾚｰ　T</t>
    <phoneticPr fontId="13"/>
  </si>
  <si>
    <t>ﾌﾘｰﾄﾞ　ﾌﾟﾗｽ　ｸﾛｽﾀｰﾎﾝﾀﾞｾﾝｼﾝｸﾞ</t>
    <phoneticPr fontId="13"/>
  </si>
  <si>
    <t>ﾚｸｻｽ　IS350　Fｽﾎﾟｰﾂ</t>
    <phoneticPr fontId="13"/>
  </si>
  <si>
    <t>8/2/12</t>
    <phoneticPr fontId="13"/>
  </si>
  <si>
    <t>ｴｸｽﾌｧｲｱ　ﾊｲﾌﾞﾘｯﾄﾞ　GI</t>
    <phoneticPr fontId="13"/>
  </si>
  <si>
    <t>27-2706</t>
    <phoneticPr fontId="13"/>
  </si>
  <si>
    <t>9/7/24</t>
    <phoneticPr fontId="13"/>
  </si>
  <si>
    <t>9/1/5</t>
    <phoneticPr fontId="13"/>
  </si>
  <si>
    <t>ﾊｽﾗｰ　ﾊｲﾌﾞﾘｯﾄﾞX</t>
    <phoneticPr fontId="13"/>
  </si>
  <si>
    <t>名古屋　58A　ほ　7606</t>
    <rPh sb="0" eb="3">
      <t>ナゴヤ</t>
    </rPh>
    <phoneticPr fontId="13"/>
  </si>
  <si>
    <t>ｴﾌﾞﾘｨﾜｺﾞﾝ　　PZﾀｰﾎﾞｽﾍﾟｼｬﾙ</t>
    <phoneticPr fontId="13"/>
  </si>
  <si>
    <t>浜松　793　ぬ　358</t>
    <rPh sb="0" eb="2">
      <t>ハママツ</t>
    </rPh>
    <phoneticPr fontId="13"/>
  </si>
  <si>
    <t>ﾑｰｳﾞｶｽﾀﾑ　RS</t>
    <phoneticPr fontId="13"/>
  </si>
  <si>
    <t>福井　583　た　3854</t>
    <rPh sb="0" eb="2">
      <t>フクイ</t>
    </rPh>
    <phoneticPr fontId="13"/>
  </si>
  <si>
    <t>NV100ｸﾘｯﾊﾟｰﾘｵ　E</t>
    <phoneticPr fontId="13"/>
  </si>
  <si>
    <t>ZFA3120000JD78780</t>
    <phoneticPr fontId="13"/>
  </si>
  <si>
    <t>名古屋　543　さ　72</t>
    <rPh sb="0" eb="3">
      <t>ナゴヤ</t>
    </rPh>
    <phoneticPr fontId="13"/>
  </si>
  <si>
    <t>WMWLN720702H57356</t>
    <phoneticPr fontId="13"/>
  </si>
  <si>
    <t>豊橋　301　む　835</t>
    <rPh sb="0" eb="2">
      <t>トヨハシ</t>
    </rPh>
    <phoneticPr fontId="13"/>
  </si>
  <si>
    <t>WDD1179422N644635</t>
    <phoneticPr fontId="13"/>
  </si>
  <si>
    <t>9/6/25</t>
    <phoneticPr fontId="13"/>
  </si>
  <si>
    <t>尾張小牧341　に　707</t>
    <rPh sb="0" eb="4">
      <t>オワリコマキ</t>
    </rPh>
    <phoneticPr fontId="13"/>
  </si>
  <si>
    <t>ｸﾗｳﾝｽﾎﾟｰﾂ　Z</t>
    <phoneticPr fontId="13"/>
  </si>
  <si>
    <t>C-HR　Gﾓｰﾄﾞ</t>
    <phoneticPr fontId="13"/>
  </si>
  <si>
    <t>8/6/12</t>
    <phoneticPr fontId="13"/>
  </si>
  <si>
    <t>ｳﾞｪﾙﾌｧｲｱ　　2.5Z　Gｴﾃﾞｨｼｮﾝ</t>
    <phoneticPr fontId="13"/>
  </si>
  <si>
    <t>10/1/19</t>
    <phoneticPr fontId="13"/>
  </si>
  <si>
    <t>CX-5　XDｴｸｽｸﾙｰｼﾌﾞ</t>
    <phoneticPr fontId="13"/>
  </si>
  <si>
    <t>9/10/9</t>
    <phoneticPr fontId="13"/>
  </si>
  <si>
    <t>9/8/22</t>
    <phoneticPr fontId="13"/>
  </si>
  <si>
    <t>ｽﾍﾟｰｼｱｶｽﾀﾑ　ﾊｲﾌﾞﾘｯﾄﾞXSﾀｰﾎﾞ</t>
    <phoneticPr fontId="13"/>
  </si>
  <si>
    <t>N　ONE　ﾌﾟﾚﾐｱﾑﾂｱﾗｰ</t>
    <phoneticPr fontId="13"/>
  </si>
  <si>
    <t>9/11/10</t>
    <phoneticPr fontId="13"/>
  </si>
  <si>
    <t>N BOXｶｽﾀﾑ　SSﾊﾟｯｹｰｼﾞ</t>
    <phoneticPr fontId="13"/>
  </si>
  <si>
    <t>9/7/22</t>
    <phoneticPr fontId="13"/>
  </si>
  <si>
    <t>ｼｴﾝﾀ　G　ｸｴﾛ</t>
    <phoneticPr fontId="13"/>
  </si>
  <si>
    <t>ｽﾃｯﾌﾟﾜｺﾞﾝ　E　HEVｽﾊﾟｰﾀﾞ</t>
    <phoneticPr fontId="13"/>
  </si>
  <si>
    <t>9/4/3</t>
    <phoneticPr fontId="13"/>
  </si>
  <si>
    <t>ﾀﾌﾄ　Gﾀｰﾎﾞ</t>
    <phoneticPr fontId="13"/>
  </si>
  <si>
    <t>N　BOXｶｽﾀﾑ　G　SSﾊﾟｯｹｰｼﾞ</t>
    <phoneticPr fontId="13"/>
  </si>
  <si>
    <t>9/11/24</t>
    <phoneticPr fontId="13"/>
  </si>
  <si>
    <t>ﾌﾚｱｶｽﾀﾑ　ｽﾀｲﾙ　XS</t>
    <phoneticPr fontId="13"/>
  </si>
  <si>
    <t>8/5/9</t>
    <phoneticPr fontId="13"/>
  </si>
  <si>
    <t>27-2734</t>
  </si>
  <si>
    <t>27-2735</t>
  </si>
  <si>
    <t>27-2736</t>
  </si>
  <si>
    <t>27-2737</t>
  </si>
  <si>
    <t>27-2738</t>
  </si>
  <si>
    <t>27-2739</t>
  </si>
  <si>
    <t>27-2740</t>
  </si>
  <si>
    <t>27-2741</t>
  </si>
  <si>
    <t>27-2742</t>
  </si>
  <si>
    <t>27-2743</t>
  </si>
  <si>
    <t>27-2744</t>
  </si>
  <si>
    <t>27-2745</t>
  </si>
  <si>
    <t>27-2746</t>
  </si>
  <si>
    <t>ｼﾄﾛｴﾝC3 ﾌｨｰﾙ</t>
    <phoneticPr fontId="13"/>
  </si>
  <si>
    <t>ﾌﾟﾗﾄﾞ　TX　Lﾊﾟｯｹｰｼﾞ</t>
    <phoneticPr fontId="13"/>
  </si>
  <si>
    <t>TRJ150-0147502</t>
    <phoneticPr fontId="13"/>
  </si>
  <si>
    <t>MK53S-721908</t>
    <phoneticPr fontId="13"/>
  </si>
  <si>
    <t>ﾊｲｾﾞｯﾄｶｰｺﾞ　ﾃﾞﾗｯｸｽ</t>
    <phoneticPr fontId="13"/>
  </si>
  <si>
    <t>S700V-0134950</t>
    <phoneticPr fontId="13"/>
  </si>
  <si>
    <t>ﾀﾝﾄｶｽﾀﾑ　RSﾄｯﾌﾟｴﾃﾞｨｼｮﾝSaⅢ</t>
    <phoneticPr fontId="13"/>
  </si>
  <si>
    <t>LA600S-0615943</t>
    <phoneticPr fontId="13"/>
  </si>
  <si>
    <t>DA17W-137771</t>
    <phoneticPr fontId="13"/>
  </si>
  <si>
    <t>MR92S-487123</t>
    <phoneticPr fontId="13"/>
  </si>
  <si>
    <t>MK53S-738552</t>
    <phoneticPr fontId="13"/>
  </si>
  <si>
    <t>MR41S-308528</t>
    <phoneticPr fontId="13"/>
  </si>
  <si>
    <t>HE33S-506171</t>
    <phoneticPr fontId="13"/>
  </si>
  <si>
    <t>MK53S-962280</t>
    <phoneticPr fontId="13"/>
  </si>
  <si>
    <t>BMWﾐﾆ　JCWｸﾛｽｵｰﾊﾞｰ</t>
    <phoneticPr fontId="13"/>
  </si>
  <si>
    <t>BMW420I　ｸﾞﾗﾝｸｰﾍﾟMｽﾎﾟｰﾂ</t>
    <phoneticPr fontId="13"/>
  </si>
  <si>
    <t>BMWﾐﾆ　ｼﾞｮﾝｸｰﾊﾟｰﾜｰｸｽ</t>
    <phoneticPr fontId="13"/>
  </si>
  <si>
    <t>27-2747</t>
  </si>
  <si>
    <t>27-2748</t>
  </si>
  <si>
    <t>27-2749</t>
  </si>
  <si>
    <t>27-2750</t>
  </si>
  <si>
    <t>VF7SXHNPYLT584880</t>
    <phoneticPr fontId="13"/>
  </si>
  <si>
    <t>WMW72BB0902M78663</t>
    <phoneticPr fontId="13"/>
  </si>
  <si>
    <t>岡山　339　つ　312</t>
    <rPh sb="0" eb="2">
      <t>オカヤマ</t>
    </rPh>
    <phoneticPr fontId="13"/>
  </si>
  <si>
    <t>WMWXM72070T961523</t>
    <phoneticPr fontId="13"/>
  </si>
  <si>
    <t>大阪　581　な　5778</t>
    <rPh sb="0" eb="2">
      <t>オオサカ</t>
    </rPh>
    <phoneticPr fontId="13"/>
  </si>
  <si>
    <t>9/12/23</t>
    <phoneticPr fontId="13"/>
  </si>
  <si>
    <t>徳島　581　あ　6069</t>
    <rPh sb="0" eb="2">
      <t>トクシマ</t>
    </rPh>
    <phoneticPr fontId="13"/>
  </si>
  <si>
    <t>愛媛　581　ふ　688</t>
    <rPh sb="0" eb="2">
      <t>エヒメ</t>
    </rPh>
    <phoneticPr fontId="13"/>
  </si>
  <si>
    <t>岡山　581　ほ　7255</t>
    <rPh sb="0" eb="2">
      <t>オカヤマ</t>
    </rPh>
    <phoneticPr fontId="13"/>
  </si>
  <si>
    <t>神戸　58A　か　7899</t>
    <rPh sb="0" eb="2">
      <t>コウベ</t>
    </rPh>
    <phoneticPr fontId="13"/>
  </si>
  <si>
    <t>Dｸﾞﾘｰﾝ</t>
    <phoneticPr fontId="13"/>
  </si>
  <si>
    <t>9/2/17</t>
    <phoneticPr fontId="13"/>
  </si>
  <si>
    <t>島根　581　え　1203</t>
    <rPh sb="0" eb="2">
      <t>シマネ</t>
    </rPh>
    <phoneticPr fontId="13"/>
  </si>
  <si>
    <t>WMWXS720802E44696</t>
    <phoneticPr fontId="13"/>
  </si>
  <si>
    <t>WMWYV920X03E43518</t>
    <phoneticPr fontId="13"/>
  </si>
  <si>
    <t>和泉　330　む　7031</t>
    <rPh sb="0" eb="2">
      <t>イズミ</t>
    </rPh>
    <phoneticPr fontId="13"/>
  </si>
  <si>
    <t>WBA4H32040BP27622</t>
    <phoneticPr fontId="13"/>
  </si>
  <si>
    <t>WMWXR920802N80184</t>
    <phoneticPr fontId="13"/>
  </si>
  <si>
    <t>横浜 39A ゆ 6722</t>
    <rPh sb="0" eb="2">
      <t>ヨコハマ</t>
    </rPh>
    <phoneticPr fontId="13"/>
  </si>
  <si>
    <t>沖縄 341 は 24</t>
    <rPh sb="0" eb="2">
      <t>オキナワ</t>
    </rPh>
    <phoneticPr fontId="13"/>
  </si>
  <si>
    <t>入波平 優勝</t>
    <rPh sb="0" eb="3">
      <t>イリナミヒラ</t>
    </rPh>
    <rPh sb="4" eb="6">
      <t>ユウショウ</t>
    </rPh>
    <phoneticPr fontId="13"/>
  </si>
  <si>
    <t>福井 337 ほ 34</t>
    <rPh sb="0" eb="2">
      <t>フクイ</t>
    </rPh>
    <phoneticPr fontId="13"/>
  </si>
  <si>
    <t>佐藤 訓</t>
    <rPh sb="0" eb="2">
      <t>サトウ</t>
    </rPh>
    <rPh sb="3" eb="4">
      <t>クン</t>
    </rPh>
    <phoneticPr fontId="13"/>
  </si>
  <si>
    <t>株式会社山勝</t>
    <rPh sb="0" eb="4">
      <t>カブシキガイシャ</t>
    </rPh>
    <rPh sb="4" eb="5">
      <t>ヤマ</t>
    </rPh>
    <rPh sb="5" eb="6">
      <t>カツ</t>
    </rPh>
    <phoneticPr fontId="13"/>
  </si>
  <si>
    <t>京都 582 か 5441</t>
    <rPh sb="0" eb="2">
      <t>キョウト</t>
    </rPh>
    <phoneticPr fontId="13"/>
  </si>
  <si>
    <t>瀬島 伸吾</t>
    <rPh sb="0" eb="2">
      <t>セジマ</t>
    </rPh>
    <rPh sb="3" eb="5">
      <t>シンゴ</t>
    </rPh>
    <phoneticPr fontId="13"/>
  </si>
  <si>
    <t>岡山 330 も 1153</t>
    <rPh sb="0" eb="2">
      <t>オカヤマ</t>
    </rPh>
    <phoneticPr fontId="13"/>
  </si>
  <si>
    <t>ｷｰﾚｽ ｶｰﾄﾞｷｰ ﾜﾝｵｰﾅｰ？</t>
    <phoneticPr fontId="13"/>
  </si>
  <si>
    <t>山梨 330 ち 5106</t>
    <rPh sb="0" eb="2">
      <t>ヤマナシ</t>
    </rPh>
    <phoneticPr fontId="13"/>
  </si>
  <si>
    <t>ﾒﾙｾﾃﾞｽﾍﾞﾝﾂGLB200d</t>
    <phoneticPr fontId="13"/>
  </si>
  <si>
    <t>W1N2476132W274312</t>
    <phoneticPr fontId="13"/>
  </si>
  <si>
    <t>VF73A5GFRKJ631080</t>
    <phoneticPr fontId="13"/>
  </si>
  <si>
    <t>27-2751</t>
  </si>
  <si>
    <t>27-2752</t>
  </si>
  <si>
    <t>ｼﾄﾛｴﾝ ｸﾞﾗﾝﾄﾞC4 ｽﾍﾟｰｽﾂｱﾗｰ</t>
    <phoneticPr fontId="13"/>
  </si>
  <si>
    <t>川越 300 ね 6430</t>
    <rPh sb="0" eb="2">
      <t>カワゴエ</t>
    </rPh>
    <phoneticPr fontId="13"/>
  </si>
  <si>
    <t>葛飾 510 そ 214</t>
    <rPh sb="0" eb="2">
      <t>カツシカ</t>
    </rPh>
    <phoneticPr fontId="13"/>
  </si>
  <si>
    <t>澤井 建造</t>
    <rPh sb="0" eb="2">
      <t>サワイ</t>
    </rPh>
    <rPh sb="3" eb="5">
      <t>ケンゾウ</t>
    </rPh>
    <phoneticPr fontId="13"/>
  </si>
  <si>
    <t>1/26</t>
    <phoneticPr fontId="13"/>
  </si>
  <si>
    <t>A321747</t>
    <phoneticPr fontId="13"/>
  </si>
  <si>
    <t>ｱﾙﾄ ﾊｲﾌﾞﾘｯﾄﾞX</t>
    <phoneticPr fontId="13"/>
  </si>
  <si>
    <t>HA97S-120933</t>
    <phoneticPr fontId="13"/>
  </si>
  <si>
    <t>8/5/7</t>
    <phoneticPr fontId="13"/>
  </si>
  <si>
    <t>27-2753</t>
  </si>
  <si>
    <t>保証書 整備手帳 取説ｸﾚｰﾑ済</t>
    <rPh sb="0" eb="3">
      <t>ホショウショ</t>
    </rPh>
    <rPh sb="4" eb="8">
      <t>セイビテチョウ</t>
    </rPh>
    <rPh sb="9" eb="11">
      <t>トリセツ</t>
    </rPh>
    <rPh sb="15" eb="16">
      <t>ズ</t>
    </rPh>
    <phoneticPr fontId="13"/>
  </si>
  <si>
    <t>ｽﾍﾟｱｷｰ(車内)</t>
    <phoneticPr fontId="13"/>
  </si>
  <si>
    <t>ｷｰﾚｽ 地図SD(車内)整備手帳 取説</t>
    <rPh sb="5" eb="7">
      <t>チズ</t>
    </rPh>
    <rPh sb="13" eb="17">
      <t>セイビテチョウ</t>
    </rPh>
    <rPh sb="18" eb="20">
      <t>トリセツ</t>
    </rPh>
    <phoneticPr fontId="13"/>
  </si>
  <si>
    <t>A323901</t>
    <phoneticPr fontId="13"/>
  </si>
  <si>
    <t>HE33S-173475</t>
    <phoneticPr fontId="13"/>
  </si>
  <si>
    <t>A322374</t>
    <phoneticPr fontId="13"/>
  </si>
  <si>
    <t>ASC10-6000529</t>
    <phoneticPr fontId="13"/>
  </si>
  <si>
    <t>A322268</t>
    <phoneticPr fontId="13"/>
  </si>
  <si>
    <t>LA900S-0048425</t>
    <phoneticPr fontId="13"/>
  </si>
  <si>
    <t>A322147</t>
    <phoneticPr fontId="13"/>
  </si>
  <si>
    <t>MXUA80-0086070</t>
    <phoneticPr fontId="13"/>
  </si>
  <si>
    <t>ﾚｸｻｽ RC200 t Fｽﾎﾟｰﾂ</t>
    <phoneticPr fontId="13"/>
  </si>
  <si>
    <t>ﾊﾘｱｰ Z ﾚｻﾞｰﾊﾟｯｹｰｼﾞ</t>
    <phoneticPr fontId="13"/>
  </si>
  <si>
    <t>YV1MZ402CH2127466</t>
    <phoneticPr fontId="13"/>
  </si>
  <si>
    <t>ﾎﾞﾙﾎﾞ V60 D4 ﾀﾞｲﾅﾐｯｸｴﾃﾞｨｼｮﾝ</t>
    <phoneticPr fontId="13"/>
  </si>
  <si>
    <t>YV1FWA8RDH1350126</t>
    <phoneticPr fontId="13"/>
  </si>
  <si>
    <t>BMW 2ｼﾘｰｽﾞｱｸﾃｨﾌﾞﾂｱﾗｰ 218i</t>
    <phoneticPr fontId="13"/>
  </si>
  <si>
    <t>WBA6S120107E70178</t>
    <phoneticPr fontId="13"/>
  </si>
  <si>
    <t>BMW ３ｼﾘｰｽﾞ 320i</t>
    <phoneticPr fontId="13"/>
  </si>
  <si>
    <t>WBA8A16000NT28337</t>
    <phoneticPr fontId="13"/>
  </si>
  <si>
    <t>名古屋 305 に 3454</t>
    <rPh sb="0" eb="3">
      <t>ナゴヤ</t>
    </rPh>
    <phoneticPr fontId="13"/>
  </si>
  <si>
    <t>神戸 332 な 5025</t>
    <rPh sb="0" eb="2">
      <t>コウベ</t>
    </rPh>
    <phoneticPr fontId="13"/>
  </si>
  <si>
    <t>WMW22BU0203M43688</t>
    <phoneticPr fontId="13"/>
  </si>
  <si>
    <t>品川 303 て 489</t>
    <rPh sb="0" eb="2">
      <t>シナガワ</t>
    </rPh>
    <phoneticPr fontId="13"/>
  </si>
  <si>
    <t>赤/白</t>
    <rPh sb="0" eb="1">
      <t>アカ</t>
    </rPh>
    <rPh sb="2" eb="3">
      <t>シロ</t>
    </rPh>
    <phoneticPr fontId="13"/>
  </si>
  <si>
    <t xml:space="preserve">BMWﾐﾆｸｰﾊﾟｰSD </t>
    <phoneticPr fontId="13"/>
  </si>
  <si>
    <t>WMWXT720X02G65861</t>
    <phoneticPr fontId="13"/>
  </si>
  <si>
    <t>品川 303 て 487</t>
    <rPh sb="0" eb="2">
      <t>シナガワ</t>
    </rPh>
    <phoneticPr fontId="13"/>
  </si>
  <si>
    <t>ﾒﾙｾﾃﾞｽﾍﾞﾝﾂCｸﾗｽ ｽﾃｰｼｮﾝﾜｺﾞﾝ C200</t>
    <phoneticPr fontId="13"/>
  </si>
  <si>
    <t>WDD2052422F158603</t>
    <phoneticPr fontId="13"/>
  </si>
  <si>
    <t>WMW42BT0103M71377</t>
    <phoneticPr fontId="13"/>
  </si>
  <si>
    <t>ZFA3120000JD83949</t>
    <phoneticPr fontId="13"/>
  </si>
  <si>
    <t>BMW 2ｼﾘｰｽﾞﾜｺﾞﾝ218d ｸﾞﾗﾝﾄﾞﾂｱﾗｰM</t>
    <phoneticPr fontId="13"/>
  </si>
  <si>
    <t>A321694</t>
    <phoneticPr fontId="13"/>
  </si>
  <si>
    <t>S700V-0146895</t>
    <phoneticPr fontId="13"/>
  </si>
  <si>
    <t>ﾊｲｾﾞｯﾄｶｰｺﾞ ｽﾍﾟｼｬﾙ</t>
    <phoneticPr fontId="13"/>
  </si>
  <si>
    <t>A323761</t>
    <phoneticPr fontId="13"/>
  </si>
  <si>
    <t>ﾌﾟﾘｳｽ α</t>
    <phoneticPr fontId="13"/>
  </si>
  <si>
    <t>ZVW41-0031409</t>
    <phoneticPr fontId="13"/>
  </si>
  <si>
    <t>8/10/1</t>
    <phoneticPr fontId="13"/>
  </si>
  <si>
    <t>27-2754</t>
  </si>
  <si>
    <t>27-2755</t>
  </si>
  <si>
    <t>27-2756</t>
  </si>
  <si>
    <t>27-2757</t>
  </si>
  <si>
    <t>27-2758</t>
  </si>
  <si>
    <t>27-2759</t>
  </si>
  <si>
    <t>27-2760</t>
  </si>
  <si>
    <t>27-2761</t>
  </si>
  <si>
    <t>27-2762</t>
  </si>
  <si>
    <t>27-2763</t>
  </si>
  <si>
    <t>27-2764</t>
  </si>
  <si>
    <t>27-2765</t>
  </si>
  <si>
    <t>27-2766</t>
  </si>
  <si>
    <t>27-2767</t>
  </si>
  <si>
    <t>27-2768</t>
  </si>
  <si>
    <t>27-2769</t>
  </si>
  <si>
    <t>27-2770</t>
  </si>
  <si>
    <t>福井 333 な 807</t>
    <rPh sb="0" eb="2">
      <t>フクイ</t>
    </rPh>
    <phoneticPr fontId="13"/>
  </si>
  <si>
    <t>1/27</t>
    <phoneticPr fontId="13"/>
  </si>
  <si>
    <t>なにわ 534 ほ 216</t>
    <phoneticPr fontId="13"/>
  </si>
  <si>
    <t>有限会社萬寿薬局</t>
    <rPh sb="0" eb="4">
      <t>ユウゲンカイシャ</t>
    </rPh>
    <rPh sb="4" eb="5">
      <t>マン</t>
    </rPh>
    <rPh sb="5" eb="6">
      <t>コトブキ</t>
    </rPh>
    <rPh sb="6" eb="8">
      <t>ヤッキョク</t>
    </rPh>
    <phoneticPr fontId="13"/>
  </si>
  <si>
    <t>秋田 335 ふ 1007</t>
    <rPh sb="0" eb="2">
      <t>アキタ</t>
    </rPh>
    <phoneticPr fontId="13"/>
  </si>
  <si>
    <t>門間 徹</t>
    <rPh sb="0" eb="2">
      <t>カドマ</t>
    </rPh>
    <rPh sb="3" eb="4">
      <t>トオル</t>
    </rPh>
    <phoneticPr fontId="13"/>
  </si>
  <si>
    <t>保証書 取説 ｷｰﾚｽ  ﾅﾋﾞ取 ﾜﾝｵｰﾅｰ</t>
    <rPh sb="0" eb="3">
      <t>ホショウショ</t>
    </rPh>
    <rPh sb="4" eb="6">
      <t>トリセツ</t>
    </rPh>
    <rPh sb="16" eb="17">
      <t>トリ</t>
    </rPh>
    <phoneticPr fontId="13"/>
  </si>
  <si>
    <t>姫路 301 ぬ 5775</t>
    <rPh sb="0" eb="2">
      <t>ヒメジ</t>
    </rPh>
    <phoneticPr fontId="13"/>
  </si>
  <si>
    <t>豊田 静佳</t>
    <rPh sb="0" eb="2">
      <t>トヨタ</t>
    </rPh>
    <rPh sb="3" eb="4">
      <t>シズ</t>
    </rPh>
    <rPh sb="4" eb="5">
      <t>カ</t>
    </rPh>
    <phoneticPr fontId="13"/>
  </si>
  <si>
    <t>堺 580 ほ 4036</t>
    <rPh sb="0" eb="1">
      <t>サカイ</t>
    </rPh>
    <phoneticPr fontId="13"/>
  </si>
  <si>
    <t>吉田 秀夫</t>
    <rPh sb="0" eb="2">
      <t>ヨシダ</t>
    </rPh>
    <rPh sb="3" eb="5">
      <t>ヒデオ</t>
    </rPh>
    <phoneticPr fontId="13"/>
  </si>
  <si>
    <t>ｱｳﾃﾞｨA3 ｾﾀﾞﾝ</t>
    <phoneticPr fontId="13"/>
  </si>
  <si>
    <t>WAUZZZ8V5J1094421</t>
    <phoneticPr fontId="13"/>
  </si>
  <si>
    <t>福岡 302 む 7988</t>
    <rPh sb="0" eb="2">
      <t>フクオカ</t>
    </rPh>
    <phoneticPr fontId="13"/>
  </si>
  <si>
    <t>売ｷｬﾝｾﾙ書類戻ってきた</t>
    <rPh sb="0" eb="1">
      <t>ウ</t>
    </rPh>
    <rPh sb="6" eb="8">
      <t>ショルイ</t>
    </rPh>
    <rPh sb="8" eb="9">
      <t>モド</t>
    </rPh>
    <phoneticPr fontId="13"/>
  </si>
  <si>
    <t>NHP160-0028262</t>
    <phoneticPr fontId="13"/>
  </si>
  <si>
    <t>NHP160-0027380</t>
    <phoneticPr fontId="13"/>
  </si>
  <si>
    <t>品番；MC312D-A</t>
    <rPh sb="0" eb="2">
      <t>ヒンバン</t>
    </rPh>
    <phoneticPr fontId="13"/>
  </si>
  <si>
    <t>三重 581 ま 3530</t>
    <rPh sb="0" eb="2">
      <t>ミエ</t>
    </rPh>
    <phoneticPr fontId="13"/>
  </si>
  <si>
    <t>兼岩 桃子</t>
    <rPh sb="0" eb="1">
      <t>ケン</t>
    </rPh>
    <rPh sb="1" eb="2">
      <t>イワ</t>
    </rPh>
    <rPh sb="3" eb="5">
      <t>モモコ</t>
    </rPh>
    <phoneticPr fontId="13"/>
  </si>
  <si>
    <t>有限会社ｱｷﾔﾏ自販</t>
    <rPh sb="0" eb="4">
      <t>ユウゲンカイシャ</t>
    </rPh>
    <rPh sb="8" eb="10">
      <t>ジハン</t>
    </rPh>
    <phoneticPr fontId="13"/>
  </si>
  <si>
    <t>浜松 584 ろ 8152</t>
    <rPh sb="0" eb="2">
      <t>ハママツ</t>
    </rPh>
    <phoneticPr fontId="13"/>
  </si>
  <si>
    <t>静岡ﾀﾞｲﾊﾂ販売株式会社</t>
    <rPh sb="0" eb="2">
      <t>シズオカ</t>
    </rPh>
    <rPh sb="7" eb="13">
      <t>ハンバイカブシキガイシャ</t>
    </rPh>
    <phoneticPr fontId="13"/>
  </si>
  <si>
    <t>品川 5X2 ろ 9430</t>
    <rPh sb="0" eb="2">
      <t>シナガワ</t>
    </rPh>
    <phoneticPr fontId="13"/>
  </si>
  <si>
    <t>松本 580 ゆ 713</t>
    <rPh sb="0" eb="2">
      <t>マツモト</t>
    </rPh>
    <phoneticPr fontId="13"/>
  </si>
  <si>
    <t>特定非営利活動法人きどころﾊｳｽ</t>
    <rPh sb="0" eb="9">
      <t>トクテイヒエイリカツドウホウジン</t>
    </rPh>
    <phoneticPr fontId="13"/>
  </si>
  <si>
    <t>豊田 580 た 3280</t>
    <rPh sb="0" eb="2">
      <t>トヨダ</t>
    </rPh>
    <phoneticPr fontId="13"/>
  </si>
  <si>
    <t>MUHAMMAD NASSAR AHAMED</t>
    <phoneticPr fontId="13"/>
  </si>
  <si>
    <t>広島 399 に 2376</t>
    <rPh sb="0" eb="2">
      <t>ヒロシマ</t>
    </rPh>
    <phoneticPr fontId="13"/>
  </si>
  <si>
    <t>福山 581 さ 7937</t>
    <rPh sb="0" eb="2">
      <t>フクヤマ</t>
    </rPh>
    <phoneticPr fontId="13"/>
  </si>
  <si>
    <t>株式会社車のﾀﾝﾁ</t>
    <rPh sb="0" eb="4">
      <t>カブシキガイシャ</t>
    </rPh>
    <rPh sb="4" eb="5">
      <t>クルマ</t>
    </rPh>
    <phoneticPr fontId="13"/>
  </si>
  <si>
    <t>広島 581 こ 1901</t>
    <rPh sb="0" eb="2">
      <t>ヒロシマ</t>
    </rPh>
    <phoneticPr fontId="13"/>
  </si>
  <si>
    <t>広島ﾄﾖﾍﾟｯﾄ株式会社</t>
    <rPh sb="0" eb="2">
      <t>ヒロシマ</t>
    </rPh>
    <rPh sb="8" eb="12">
      <t>カブシキガイシャ</t>
    </rPh>
    <phoneticPr fontId="13"/>
  </si>
  <si>
    <t>三方 雅明</t>
    <rPh sb="0" eb="2">
      <t>ミカタ</t>
    </rPh>
    <rPh sb="3" eb="5">
      <t>マサアキ</t>
    </rPh>
    <phoneticPr fontId="13"/>
  </si>
  <si>
    <t>広島 599 ふ 8666</t>
    <rPh sb="0" eb="2">
      <t>ヒロシマ</t>
    </rPh>
    <phoneticPr fontId="13"/>
  </si>
  <si>
    <t>千葉 793 ろ 1449</t>
    <rPh sb="0" eb="2">
      <t>チバ</t>
    </rPh>
    <phoneticPr fontId="13"/>
  </si>
  <si>
    <t>ｷｰﾚｽ ﾜﾝｵｰﾅｰ？</t>
    <phoneticPr fontId="13"/>
  </si>
  <si>
    <t>株式会社日動建興</t>
    <rPh sb="0" eb="4">
      <t>カブシキガイシャ</t>
    </rPh>
    <rPh sb="4" eb="6">
      <t>ニチドウ</t>
    </rPh>
    <rPh sb="6" eb="8">
      <t>ケンコウ</t>
    </rPh>
    <phoneticPr fontId="13"/>
  </si>
  <si>
    <t>所沢 302 さ 1357</t>
    <rPh sb="0" eb="2">
      <t>トコロザワ</t>
    </rPh>
    <phoneticPr fontId="13"/>
  </si>
  <si>
    <t>山路 正</t>
    <rPh sb="0" eb="2">
      <t>ヤマジ</t>
    </rPh>
    <rPh sb="3" eb="4">
      <t>タダシ</t>
    </rPh>
    <phoneticPr fontId="13"/>
  </si>
  <si>
    <t>大阪 480 も 8591</t>
    <rPh sb="0" eb="2">
      <t>オオサカ</t>
    </rPh>
    <phoneticPr fontId="13"/>
  </si>
  <si>
    <t>藤原自動車株式会社</t>
    <rPh sb="0" eb="2">
      <t>フジワラ</t>
    </rPh>
    <rPh sb="2" eb="5">
      <t>ジドウシャ</t>
    </rPh>
    <rPh sb="5" eb="9">
      <t>カブシキガイシャ</t>
    </rPh>
    <phoneticPr fontId="13"/>
  </si>
  <si>
    <t>保証書  取説  ｷｰﾚｽ ﾘﾓｺﾝ</t>
    <rPh sb="5" eb="7">
      <t>トリセツ</t>
    </rPh>
    <phoneticPr fontId="13"/>
  </si>
  <si>
    <t>神戸 589 ぬ 1016</t>
    <rPh sb="0" eb="2">
      <t>コウベ</t>
    </rPh>
    <phoneticPr fontId="13"/>
  </si>
  <si>
    <t>奈良 583 け 5116</t>
    <rPh sb="0" eb="2">
      <t>ナラ</t>
    </rPh>
    <phoneticPr fontId="13"/>
  </si>
  <si>
    <t>奈良ﾀﾞｲﾊﾂ株式会社</t>
    <rPh sb="0" eb="2">
      <t>ナラ</t>
    </rPh>
    <rPh sb="7" eb="11">
      <t>カブシキガイシャ</t>
    </rPh>
    <phoneticPr fontId="13"/>
  </si>
  <si>
    <t>品川 5X2 ろ 9580</t>
    <rPh sb="0" eb="2">
      <t>シナガワ</t>
    </rPh>
    <phoneticPr fontId="13"/>
  </si>
  <si>
    <t>品川 49A そ 8817</t>
    <rPh sb="0" eb="2">
      <t>シナガワ</t>
    </rPh>
    <phoneticPr fontId="13"/>
  </si>
  <si>
    <t>品川 49A そ 8816</t>
    <rPh sb="0" eb="2">
      <t>シナガワ</t>
    </rPh>
    <phoneticPr fontId="13"/>
  </si>
  <si>
    <t>奈良 501 み 918</t>
    <rPh sb="0" eb="2">
      <t>ナラ</t>
    </rPh>
    <phoneticPr fontId="13"/>
  </si>
  <si>
    <t>小林 勝教</t>
    <rPh sb="0" eb="2">
      <t>コバヤシ</t>
    </rPh>
    <rPh sb="3" eb="4">
      <t>マサル</t>
    </rPh>
    <rPh sb="4" eb="5">
      <t>キョウ</t>
    </rPh>
    <phoneticPr fontId="13"/>
  </si>
  <si>
    <t>保証書  取説  ｷｰﾚｽ  ﾏｲｸﾛSD</t>
    <rPh sb="5" eb="7">
      <t>トリセツ</t>
    </rPh>
    <phoneticPr fontId="13"/>
  </si>
  <si>
    <t>岡山 351 む 1717</t>
    <rPh sb="0" eb="2">
      <t>オカヤマ</t>
    </rPh>
    <phoneticPr fontId="13"/>
  </si>
  <si>
    <t>ｽﾊﾞﾙ中四国株式会社</t>
    <rPh sb="4" eb="7">
      <t>ナカシコク</t>
    </rPh>
    <rPh sb="7" eb="11">
      <t>カブシキガイシャ</t>
    </rPh>
    <phoneticPr fontId="13"/>
  </si>
  <si>
    <t>品川 5X2 ろ 3994</t>
    <rPh sb="0" eb="2">
      <t>シナガワ</t>
    </rPh>
    <phoneticPr fontId="13"/>
  </si>
  <si>
    <t>神戸 582 み 1106</t>
    <rPh sb="0" eb="2">
      <t>コウベ</t>
    </rPh>
    <phoneticPr fontId="13"/>
  </si>
  <si>
    <t>木村 暉</t>
    <rPh sb="0" eb="2">
      <t>キムラ</t>
    </rPh>
    <rPh sb="3" eb="4">
      <t>テル</t>
    </rPh>
    <phoneticPr fontId="13"/>
  </si>
  <si>
    <t>なにわ 581 き 1293</t>
    <phoneticPr fontId="13"/>
  </si>
  <si>
    <t>なにわ 691 ろ 4723</t>
    <phoneticPr fontId="13"/>
  </si>
  <si>
    <t>広島 581 す 2951</t>
    <rPh sb="0" eb="2">
      <t>ヒロシマ</t>
    </rPh>
    <phoneticPr fontId="13"/>
  </si>
  <si>
    <t>株式会社ｻｺﾀﾞ車輌</t>
    <rPh sb="0" eb="4">
      <t>カブシキガイシャ</t>
    </rPh>
    <phoneticPr fontId="13"/>
  </si>
  <si>
    <t>とちぎ 347 は 17</t>
    <phoneticPr fontId="13"/>
  </si>
  <si>
    <t>早乙女 洸斗</t>
    <rPh sb="0" eb="3">
      <t>サオトメ</t>
    </rPh>
    <rPh sb="4" eb="5">
      <t>コウ</t>
    </rPh>
    <rPh sb="5" eb="6">
      <t>ト</t>
    </rPh>
    <phoneticPr fontId="13"/>
  </si>
  <si>
    <t>山本様</t>
    <rPh sb="0" eb="2">
      <t>ヤマモト</t>
    </rPh>
    <rPh sb="2" eb="3">
      <t>サマ</t>
    </rPh>
    <phoneticPr fontId="13"/>
  </si>
  <si>
    <t>27-2771</t>
    <phoneticPr fontId="13"/>
  </si>
  <si>
    <t>WMWWJ920903L04495</t>
    <phoneticPr fontId="13"/>
  </si>
  <si>
    <t>姫路 378 ぬ 15</t>
    <rPh sb="0" eb="2">
      <t>ヒメジ</t>
    </rPh>
    <phoneticPr fontId="13"/>
  </si>
  <si>
    <t>山本 隆行</t>
    <rPh sb="0" eb="2">
      <t>ヤマモト</t>
    </rPh>
    <rPh sb="3" eb="4">
      <t>リュウ</t>
    </rPh>
    <rPh sb="4" eb="5">
      <t>イキ</t>
    </rPh>
    <phoneticPr fontId="13"/>
  </si>
  <si>
    <t>名古屋 780 ろ 4664</t>
    <rPh sb="0" eb="3">
      <t>ナゴヤ</t>
    </rPh>
    <phoneticPr fontId="13"/>
  </si>
  <si>
    <t>Ｊ-netﾚﾝﾀﾘｰｽ株式会社</t>
    <rPh sb="11" eb="15">
      <t>カブシキガイシャ</t>
    </rPh>
    <phoneticPr fontId="13"/>
  </si>
  <si>
    <t>保証書 取説 ﾅﾋﾞ取 ｽﾍﾟｱｷｰ ﾚﾝﾀｶｰ</t>
    <rPh sb="0" eb="3">
      <t>ホショウショ</t>
    </rPh>
    <rPh sb="4" eb="6">
      <t>トリセツ</t>
    </rPh>
    <rPh sb="10" eb="11">
      <t>トリ</t>
    </rPh>
    <phoneticPr fontId="13"/>
  </si>
  <si>
    <t>301 ね 6480</t>
    <phoneticPr fontId="13"/>
  </si>
  <si>
    <t>27-2772</t>
  </si>
  <si>
    <t>27-2773</t>
  </si>
  <si>
    <t>27-2774</t>
  </si>
  <si>
    <t>27-2775</t>
  </si>
  <si>
    <t>27-2776</t>
  </si>
  <si>
    <t>27-2777</t>
  </si>
  <si>
    <t>27-2778</t>
  </si>
  <si>
    <t>27-2779</t>
  </si>
  <si>
    <t>27-2780</t>
  </si>
  <si>
    <t>27-2781</t>
  </si>
  <si>
    <t>DA17W-130460</t>
    <phoneticPr fontId="13"/>
  </si>
  <si>
    <t>LA350S-0291548</t>
    <phoneticPr fontId="13"/>
  </si>
  <si>
    <t>ﾎﾞﾙﾎﾞXC40　B4AWD　Rﾃﾞｻﾞｲﾝ</t>
    <phoneticPr fontId="13"/>
  </si>
  <si>
    <t>YV1XZK9MCM2529071</t>
    <phoneticPr fontId="13"/>
  </si>
  <si>
    <t>MﾍﾞﾝﾂA180</t>
    <phoneticPr fontId="13"/>
  </si>
  <si>
    <t>W1K1771842J185201</t>
    <phoneticPr fontId="13"/>
  </si>
  <si>
    <t>ﾎﾞﾙﾎﾞXC60　4WD</t>
    <phoneticPr fontId="13"/>
  </si>
  <si>
    <t>YV1UZ10MCJ1092985</t>
    <phoneticPr fontId="13"/>
  </si>
  <si>
    <t>WMWYT920303H97032</t>
    <phoneticPr fontId="13"/>
  </si>
  <si>
    <t>ﾜｺﾞﾝR　ﾊｲﾌﾞﾘｯﾄﾞFZ</t>
    <phoneticPr fontId="13"/>
  </si>
  <si>
    <t>MH55S-147768</t>
    <phoneticPr fontId="13"/>
  </si>
  <si>
    <t>N　VAN＋ｽﾀｲﾙ　ﾌｧﾝ</t>
    <phoneticPr fontId="13"/>
  </si>
  <si>
    <t>JJ1-5016232</t>
    <phoneticPr fontId="13"/>
  </si>
  <si>
    <t>ﾌﾟﾘｳｽｱﾙﾌｧ　S　ﾁｪｰﾝﾌﾞﾗｯｸⅡ</t>
    <phoneticPr fontId="13"/>
  </si>
  <si>
    <t>ZVW41-0071112</t>
    <phoneticPr fontId="13"/>
  </si>
  <si>
    <t>高松　310　て　567</t>
    <rPh sb="0" eb="2">
      <t>タカマツ</t>
    </rPh>
    <phoneticPr fontId="13"/>
  </si>
  <si>
    <t>ﾑｰｳﾞ　L　SA</t>
    <phoneticPr fontId="13"/>
  </si>
  <si>
    <t>LA100S-0275423</t>
    <phoneticPr fontId="13"/>
  </si>
  <si>
    <t>福山　584　え　1208</t>
    <rPh sb="0" eb="2">
      <t>フクヤマ</t>
    </rPh>
    <phoneticPr fontId="13"/>
  </si>
  <si>
    <t>ｷｬｽﾄ　ｽﾀｲﾙG　VS　SaⅢ</t>
    <phoneticPr fontId="13"/>
  </si>
  <si>
    <t>LA250S-0184395</t>
    <phoneticPr fontId="13"/>
  </si>
  <si>
    <t>福山　580　よ　1086</t>
    <rPh sb="0" eb="2">
      <t>フクヤマ</t>
    </rPh>
    <phoneticPr fontId="13"/>
  </si>
  <si>
    <t>ﾊｲｾﾞｯﾄｶｰｺﾞ　DX</t>
    <phoneticPr fontId="13"/>
  </si>
  <si>
    <t>S700V-0141705</t>
    <phoneticPr fontId="13"/>
  </si>
  <si>
    <t>広島　480　ね　659</t>
    <rPh sb="0" eb="2">
      <t>ヒロシマ</t>
    </rPh>
    <phoneticPr fontId="13"/>
  </si>
  <si>
    <t>ﾙｰｸｽ　E</t>
    <phoneticPr fontId="13"/>
  </si>
  <si>
    <t>ML21S-162243</t>
    <phoneticPr fontId="13"/>
  </si>
  <si>
    <t>ﾃﾞﾐｵ　XDﾂｰﾘﾝｸﾞ　Lﾊﾟｯｹｰｼﾞ</t>
    <phoneticPr fontId="13"/>
  </si>
  <si>
    <t>DJ5FS-308241</t>
    <phoneticPr fontId="13"/>
  </si>
  <si>
    <t>BMWﾐﾆ　ｸｰﾊﾟｰD</t>
    <phoneticPr fontId="13"/>
  </si>
  <si>
    <t>WMWXN320802L79880</t>
    <phoneticPr fontId="13"/>
  </si>
  <si>
    <t>広島　380　つ　23</t>
    <rPh sb="0" eb="2">
      <t>ヒロシマ</t>
    </rPh>
    <phoneticPr fontId="13"/>
  </si>
  <si>
    <t>CAA岐阜</t>
    <rPh sb="3" eb="5">
      <t>ギフ</t>
    </rPh>
    <phoneticPr fontId="13"/>
  </si>
  <si>
    <t>ﾎﾟﾙｼｪ　ﾏｶﾝ　GTS</t>
    <phoneticPr fontId="13"/>
  </si>
  <si>
    <t>WP1ZZZ95ZHLB66851</t>
    <phoneticPr fontId="13"/>
  </si>
  <si>
    <t>岐阜　32L　め　18</t>
    <rPh sb="0" eb="2">
      <t>ギフ</t>
    </rPh>
    <phoneticPr fontId="13"/>
  </si>
  <si>
    <t>27-2782</t>
  </si>
  <si>
    <t>27-2783</t>
  </si>
  <si>
    <t>27-2784</t>
  </si>
  <si>
    <t>27-2785</t>
  </si>
  <si>
    <t>27-2786</t>
  </si>
  <si>
    <t>27-2787</t>
  </si>
  <si>
    <t>27-2788</t>
  </si>
  <si>
    <t>27-2789</t>
  </si>
  <si>
    <t>ｵﾘｯｸｽ神戸（ｱｲｵｰｸ）</t>
    <rPh sb="5" eb="7">
      <t>コウベ</t>
    </rPh>
    <phoneticPr fontId="13"/>
  </si>
  <si>
    <t>LA360S-0036688</t>
    <phoneticPr fontId="13"/>
  </si>
  <si>
    <t>ｳｪｲｸ　D　SaⅢ</t>
    <phoneticPr fontId="13"/>
  </si>
  <si>
    <t>LA700S-0148445</t>
    <phoneticPr fontId="13"/>
  </si>
  <si>
    <t>27-2790</t>
  </si>
  <si>
    <t>27-2791</t>
  </si>
  <si>
    <t>ﾌｨｯﾄ　ﾎｰﾑ</t>
    <phoneticPr fontId="13"/>
  </si>
  <si>
    <t>GS4-1009033</t>
    <phoneticPr fontId="13"/>
  </si>
  <si>
    <t>ﾜｺﾞﾝRｽﾃｨﾝｸﾞﾚｰ　ﾊｲﾌﾞﾘｯﾄﾞX</t>
    <phoneticPr fontId="13"/>
  </si>
  <si>
    <t>MH55S-704669</t>
    <phoneticPr fontId="13"/>
  </si>
  <si>
    <t>徳島　581　い　7392</t>
    <rPh sb="0" eb="2">
      <t>トクシマ</t>
    </rPh>
    <phoneticPr fontId="13"/>
  </si>
  <si>
    <t>書類返却1/29</t>
    <phoneticPr fontId="13"/>
  </si>
  <si>
    <t>事故(当てられ相手買取)USS神戸</t>
    <rPh sb="0" eb="2">
      <t>ジコ</t>
    </rPh>
    <rPh sb="3" eb="4">
      <t>ア</t>
    </rPh>
    <rPh sb="7" eb="9">
      <t>アイテ</t>
    </rPh>
    <rPh sb="9" eb="11">
      <t>カイトリ</t>
    </rPh>
    <rPh sb="15" eb="17">
      <t>コウベ</t>
    </rPh>
    <phoneticPr fontId="13"/>
  </si>
  <si>
    <t>売上日/売上先</t>
    <phoneticPr fontId="13"/>
  </si>
  <si>
    <t>和泉 581 よ 7707</t>
    <rPh sb="0" eb="2">
      <t>イズミ</t>
    </rPh>
    <phoneticPr fontId="13"/>
  </si>
  <si>
    <t>千賀 浩二</t>
    <rPh sb="0" eb="2">
      <t>センガ</t>
    </rPh>
    <rPh sb="3" eb="5">
      <t>コウジ</t>
    </rPh>
    <phoneticPr fontId="13"/>
  </si>
  <si>
    <t>名古屋 552 な 211</t>
    <rPh sb="0" eb="3">
      <t>ナゴヤ</t>
    </rPh>
    <phoneticPr fontId="13"/>
  </si>
  <si>
    <t>吉野 宏二</t>
    <rPh sb="0" eb="2">
      <t>ヨシノ</t>
    </rPh>
    <rPh sb="3" eb="4">
      <t>ヒロ</t>
    </rPh>
    <rPh sb="4" eb="5">
      <t>ニ</t>
    </rPh>
    <phoneticPr fontId="13"/>
  </si>
  <si>
    <t>27-2792</t>
  </si>
  <si>
    <t>27-2793</t>
  </si>
  <si>
    <t>27-2794</t>
  </si>
  <si>
    <t>ｾﾚﾅ ﾊｲｳｪｲｽﾀｰ Vｾﾚｸｼｮﾝ</t>
    <phoneticPr fontId="13"/>
  </si>
  <si>
    <t>GFC27-076498</t>
    <phoneticPr fontId="13"/>
  </si>
  <si>
    <t>相模 331 ひ 3215</t>
    <rPh sb="0" eb="2">
      <t>サガミ</t>
    </rPh>
    <phoneticPr fontId="13"/>
  </si>
  <si>
    <t>WMWXS520802C86610</t>
    <phoneticPr fontId="13"/>
  </si>
  <si>
    <t>静岡 331 と 3298</t>
    <rPh sb="0" eb="2">
      <t>シズオカ</t>
    </rPh>
    <phoneticPr fontId="13"/>
  </si>
  <si>
    <t>YV1LFA2MCJ1370703</t>
    <phoneticPr fontId="13"/>
  </si>
  <si>
    <t>岐阜 344 ぬ 308</t>
    <rPh sb="0" eb="2">
      <t>ギフ</t>
    </rPh>
    <phoneticPr fontId="13"/>
  </si>
  <si>
    <t>乗用車 ｼﾞﾑﾆｰﾉﾏﾄﾞ　FC</t>
    <rPh sb="0" eb="3">
      <t>ジョウヨウシャ</t>
    </rPh>
    <phoneticPr fontId="13"/>
  </si>
  <si>
    <t>車検証きたら社長へ←FAX依頼した</t>
    <rPh sb="0" eb="3">
      <t>シャケンショウ</t>
    </rPh>
    <rPh sb="6" eb="8">
      <t>シャチョウ</t>
    </rPh>
    <rPh sb="13" eb="15">
      <t>イライ</t>
    </rPh>
    <phoneticPr fontId="13"/>
  </si>
  <si>
    <t>なにわ 330 ね 5565</t>
    <phoneticPr fontId="13"/>
  </si>
  <si>
    <t>広島 302 な 7470</t>
    <rPh sb="0" eb="2">
      <t>ヒロシマ</t>
    </rPh>
    <phoneticPr fontId="13"/>
  </si>
  <si>
    <t>品番；NSZT-W68T</t>
    <rPh sb="0" eb="2">
      <t>ヒンバン</t>
    </rPh>
    <phoneticPr fontId="13"/>
  </si>
  <si>
    <t>滋賀 59H の 1122</t>
    <rPh sb="0" eb="2">
      <t>シガ</t>
    </rPh>
    <phoneticPr fontId="13"/>
  </si>
  <si>
    <t>宮本 幸久</t>
    <rPh sb="0" eb="2">
      <t>ミヤモト</t>
    </rPh>
    <rPh sb="3" eb="4">
      <t>サチ</t>
    </rPh>
    <rPh sb="4" eb="5">
      <t>ヒサ</t>
    </rPh>
    <phoneticPr fontId="13"/>
  </si>
  <si>
    <t>川口 580 か 4453</t>
    <rPh sb="0" eb="2">
      <t>カワグチ</t>
    </rPh>
    <phoneticPr fontId="13"/>
  </si>
  <si>
    <t>石橋 大和</t>
    <rPh sb="0" eb="2">
      <t>イシバシ</t>
    </rPh>
    <rPh sb="3" eb="5">
      <t>ヤマト</t>
    </rPh>
    <phoneticPr fontId="13"/>
  </si>
  <si>
    <t>野田 541 ほ 8008</t>
    <rPh sb="0" eb="2">
      <t>ノダ</t>
    </rPh>
    <phoneticPr fontId="13"/>
  </si>
  <si>
    <t>吉岡 一成</t>
    <rPh sb="0" eb="2">
      <t>ヨシオカ</t>
    </rPh>
    <rPh sb="3" eb="5">
      <t>カズナリ</t>
    </rPh>
    <phoneticPr fontId="13"/>
  </si>
  <si>
    <t>なにわ 535 ひ 8</t>
    <phoneticPr fontId="13"/>
  </si>
  <si>
    <t>岡山 581 な 7534</t>
    <rPh sb="0" eb="2">
      <t>オカヤマ</t>
    </rPh>
    <phoneticPr fontId="13"/>
  </si>
  <si>
    <t>倉敷 580 の 7486</t>
    <rPh sb="0" eb="2">
      <t>クラシキ</t>
    </rPh>
    <phoneticPr fontId="13"/>
  </si>
  <si>
    <t>福山 583 ろ 503</t>
    <rPh sb="0" eb="2">
      <t>フクヤマ</t>
    </rPh>
    <phoneticPr fontId="13"/>
  </si>
  <si>
    <t>なにわ 691 ろ 869</t>
    <phoneticPr fontId="13"/>
  </si>
  <si>
    <t>株式会社SUCCES</t>
    <rPh sb="0" eb="4">
      <t>カブシキガイシャ</t>
    </rPh>
    <phoneticPr fontId="13"/>
  </si>
  <si>
    <t>なにわ 5P7 ろ 8782</t>
    <phoneticPr fontId="13"/>
  </si>
  <si>
    <t>保証書 ｷｰﾚｽ ﾘﾓｺﾝ</t>
    <rPh sb="0" eb="3">
      <t>ホショウショ</t>
    </rPh>
    <phoneticPr fontId="13"/>
  </si>
  <si>
    <t>名古屋 780 ろ 6121</t>
    <rPh sb="0" eb="3">
      <t>ナゴヤ</t>
    </rPh>
    <phoneticPr fontId="13"/>
  </si>
  <si>
    <t>愛知県中古自動車販売商工組合</t>
    <rPh sb="0" eb="3">
      <t>アイチケン</t>
    </rPh>
    <rPh sb="3" eb="5">
      <t>チュウコ</t>
    </rPh>
    <rPh sb="5" eb="8">
      <t>ジドウシャ</t>
    </rPh>
    <rPh sb="8" eb="10">
      <t>ハンバイ</t>
    </rPh>
    <rPh sb="10" eb="12">
      <t>ショウコウ</t>
    </rPh>
    <rPh sb="12" eb="14">
      <t>クミアイ</t>
    </rPh>
    <phoneticPr fontId="13"/>
  </si>
  <si>
    <t>堺 586 ろ 4362</t>
    <rPh sb="0" eb="1">
      <t>サカイ</t>
    </rPh>
    <phoneticPr fontId="13"/>
  </si>
  <si>
    <t>三重 301 ふ 57</t>
    <rPh sb="0" eb="2">
      <t>ミエ</t>
    </rPh>
    <phoneticPr fontId="13"/>
  </si>
  <si>
    <t>三重ｽﾊﾞﾙ自動車株式会社</t>
    <rPh sb="0" eb="2">
      <t>ミエ</t>
    </rPh>
    <rPh sb="6" eb="13">
      <t>ジドウシャカブシキガイシャ</t>
    </rPh>
    <phoneticPr fontId="13"/>
  </si>
  <si>
    <t>株式会社ﾎﾝﾀﾞｶｰｽﾞ愛知県央</t>
    <rPh sb="0" eb="4">
      <t>カブシキガイシャ</t>
    </rPh>
    <rPh sb="12" eb="14">
      <t>アイチ</t>
    </rPh>
    <rPh sb="14" eb="15">
      <t>ケン</t>
    </rPh>
    <phoneticPr fontId="13"/>
  </si>
  <si>
    <t>湘南 483 う 8788</t>
    <rPh sb="0" eb="2">
      <t>ショウナン</t>
    </rPh>
    <phoneticPr fontId="13"/>
  </si>
  <si>
    <t>藤井 健司</t>
    <rPh sb="0" eb="2">
      <t>フジイ</t>
    </rPh>
    <rPh sb="3" eb="5">
      <t>ケンジ</t>
    </rPh>
    <phoneticPr fontId="13"/>
  </si>
  <si>
    <t>岡山 343 や 525</t>
    <rPh sb="0" eb="2">
      <t>オカヤマ</t>
    </rPh>
    <phoneticPr fontId="13"/>
  </si>
  <si>
    <t>村井 功</t>
    <rPh sb="0" eb="2">
      <t>ムライ</t>
    </rPh>
    <rPh sb="3" eb="4">
      <t>コウ</t>
    </rPh>
    <phoneticPr fontId="13"/>
  </si>
  <si>
    <t>世田谷 399 そ 3588</t>
    <rPh sb="0" eb="3">
      <t>セタガヤ</t>
    </rPh>
    <phoneticPr fontId="13"/>
  </si>
  <si>
    <t>大阪 399 ゆ 2010</t>
    <rPh sb="0" eb="2">
      <t>オオサカ</t>
    </rPh>
    <phoneticPr fontId="13"/>
  </si>
  <si>
    <t>名古屋 393 の 72</t>
    <rPh sb="0" eb="3">
      <t>ナゴヤ</t>
    </rPh>
    <phoneticPr fontId="13"/>
  </si>
  <si>
    <t>伴さん充電ｹｰﾌﾞﾙ持ってる 保証書 取説 ｷｰﾚｽ</t>
    <rPh sb="0" eb="1">
      <t>バン</t>
    </rPh>
    <rPh sb="3" eb="5">
      <t>ジュウデン</t>
    </rPh>
    <rPh sb="10" eb="11">
      <t>モ</t>
    </rPh>
    <rPh sb="15" eb="18">
      <t>ホショウショ</t>
    </rPh>
    <rPh sb="19" eb="21">
      <t>トリセツ</t>
    </rPh>
    <phoneticPr fontId="13"/>
  </si>
  <si>
    <t>大宮 39A す 7232</t>
    <rPh sb="0" eb="2">
      <t>オオミヤ</t>
    </rPh>
    <phoneticPr fontId="13"/>
  </si>
  <si>
    <t>名古屋 507 せ 2168</t>
    <rPh sb="0" eb="3">
      <t>ナゴヤ</t>
    </rPh>
    <phoneticPr fontId="13"/>
  </si>
  <si>
    <t>品川 39A め 3959</t>
    <rPh sb="0" eb="2">
      <t>シナガワ</t>
    </rPh>
    <phoneticPr fontId="13"/>
  </si>
  <si>
    <t>NX・TCﾘｰｽ&amp;ﾌｧｲﾅﾝｽ株式会社</t>
    <rPh sb="15" eb="19">
      <t>カブシキガイシャ</t>
    </rPh>
    <phoneticPr fontId="13"/>
  </si>
  <si>
    <t>取説 ﾘﾓｺﾝ(車内)保証書</t>
    <rPh sb="0" eb="2">
      <t>トリセツ</t>
    </rPh>
    <rPh sb="11" eb="14">
      <t>ホショウショ</t>
    </rPh>
    <phoneticPr fontId="13"/>
  </si>
  <si>
    <t>広島 399 に 2326</t>
    <rPh sb="0" eb="2">
      <t>ヒロシマ</t>
    </rPh>
    <phoneticPr fontId="13"/>
  </si>
  <si>
    <t>豊橋 583 い 9156</t>
    <rPh sb="0" eb="2">
      <t>トヨハシ</t>
    </rPh>
    <phoneticPr fontId="13"/>
  </si>
  <si>
    <t>東愛知日産自動車株式会社</t>
    <rPh sb="0" eb="1">
      <t>ヒガシ</t>
    </rPh>
    <rPh sb="1" eb="3">
      <t>アイチ</t>
    </rPh>
    <rPh sb="3" eb="12">
      <t>ニッサンジドウシャカブシキガイシャ</t>
    </rPh>
    <phoneticPr fontId="13"/>
  </si>
  <si>
    <t>習志野 335 つ 8739</t>
    <rPh sb="0" eb="3">
      <t>ナラシノ</t>
    </rPh>
    <phoneticPr fontId="13"/>
  </si>
  <si>
    <t>東邦ｵｰﾄ株式会社</t>
    <rPh sb="0" eb="2">
      <t>ヒガシホウ</t>
    </rPh>
    <rPh sb="5" eb="9">
      <t>カブシキガイシャ</t>
    </rPh>
    <phoneticPr fontId="13"/>
  </si>
  <si>
    <t>習志野 337 の 112</t>
    <rPh sb="0" eb="3">
      <t>ナラシノ</t>
    </rPh>
    <phoneticPr fontId="13"/>
  </si>
  <si>
    <t>神戸 33K め 888</t>
    <rPh sb="0" eb="2">
      <t>コウベ</t>
    </rPh>
    <phoneticPr fontId="13"/>
  </si>
  <si>
    <t>大阪 345 ろ 30</t>
    <rPh sb="0" eb="2">
      <t>オオサカ</t>
    </rPh>
    <phoneticPr fontId="13"/>
  </si>
  <si>
    <t>和泉 333 ゆ 5963</t>
    <rPh sb="0" eb="2">
      <t>イズミ</t>
    </rPh>
    <phoneticPr fontId="13"/>
  </si>
  <si>
    <t>新垣博</t>
    <rPh sb="0" eb="2">
      <t>ニイガキ</t>
    </rPh>
    <rPh sb="2" eb="3">
      <t>ヒロシ</t>
    </rPh>
    <phoneticPr fontId="13"/>
  </si>
  <si>
    <t>みずほｵｰﾄﾘｰｽ株式会社</t>
    <rPh sb="9" eb="13">
      <t>カブシキガイシャ</t>
    </rPh>
    <phoneticPr fontId="13"/>
  </si>
  <si>
    <t>堺 586 ろ 4398</t>
    <rPh sb="0" eb="1">
      <t>サカイ</t>
    </rPh>
    <phoneticPr fontId="13"/>
  </si>
  <si>
    <t>保証書 ｷｰﾚｽ SD ﾅﾋﾞ取</t>
    <rPh sb="0" eb="3">
      <t>ホショウショ</t>
    </rPh>
    <rPh sb="15" eb="16">
      <t>トリ</t>
    </rPh>
    <phoneticPr fontId="13"/>
  </si>
  <si>
    <t>品番；GCX714 ｸﾗﾘｵﾝ</t>
    <rPh sb="0" eb="2">
      <t>ヒンバン</t>
    </rPh>
    <phoneticPr fontId="13"/>
  </si>
  <si>
    <t>地図SD ﾘﾓｺﾝ(車内)保証書 取説 ｷｰﾚｽ</t>
    <rPh sb="0" eb="2">
      <t>チズ</t>
    </rPh>
    <rPh sb="13" eb="16">
      <t>ホショウショ</t>
    </rPh>
    <rPh sb="17" eb="19">
      <t>トリセツ</t>
    </rPh>
    <phoneticPr fontId="13"/>
  </si>
  <si>
    <t>ｷｰﾚｽ(車内)保証書</t>
    <rPh sb="8" eb="11">
      <t>ホショウショ</t>
    </rPh>
    <phoneticPr fontId="13"/>
  </si>
  <si>
    <t>地図SD(車内)保証書 取説 ｷｰﾚｽ ﾚﾝﾀｶｰ</t>
    <rPh sb="0" eb="2">
      <t>チズ</t>
    </rPh>
    <rPh sb="8" eb="11">
      <t>ホショウショ</t>
    </rPh>
    <rPh sb="12" eb="14">
      <t>トリセツ</t>
    </rPh>
    <phoneticPr fontId="13"/>
  </si>
  <si>
    <t>ﾏｲｸﾛ地図SD(車内)保証書 取説</t>
    <rPh sb="4" eb="6">
      <t>チズ</t>
    </rPh>
    <rPh sb="12" eb="15">
      <t>ホショウショ</t>
    </rPh>
    <rPh sb="16" eb="18">
      <t>トリセツ</t>
    </rPh>
    <phoneticPr fontId="13"/>
  </si>
  <si>
    <t>保証書 取説 ｷｰﾚｽ 地図SD(車内)</t>
    <rPh sb="0" eb="3">
      <t>ホショウショ</t>
    </rPh>
    <rPh sb="4" eb="6">
      <t>トリセツ</t>
    </rPh>
    <rPh sb="12" eb="14">
      <t>チズ</t>
    </rPh>
    <phoneticPr fontId="13"/>
  </si>
  <si>
    <t>保証書 ｷｰﾚｽ(車内)</t>
    <rPh sb="0" eb="3">
      <t>ホショウショ</t>
    </rPh>
    <phoneticPr fontId="13"/>
  </si>
  <si>
    <t>保証書 ﾏｲｸﾛ地図(車内)</t>
    <rPh sb="0" eb="3">
      <t>ホショウショ</t>
    </rPh>
    <rPh sb="8" eb="10">
      <t>チズ</t>
    </rPh>
    <phoneticPr fontId="13"/>
  </si>
  <si>
    <t>多摩 799 ふ 1930</t>
    <rPh sb="0" eb="2">
      <t>タマ</t>
    </rPh>
    <phoneticPr fontId="13"/>
  </si>
  <si>
    <t>1/30</t>
    <phoneticPr fontId="13"/>
  </si>
  <si>
    <t>なにわ 691 ろ 4720</t>
    <phoneticPr fontId="13"/>
  </si>
  <si>
    <t>27-2795</t>
  </si>
  <si>
    <t>27-2796</t>
  </si>
  <si>
    <t>27-2797</t>
  </si>
  <si>
    <t>27-2798</t>
  </si>
  <si>
    <t>27-2799</t>
  </si>
  <si>
    <t>27-2800</t>
  </si>
  <si>
    <t>27-2801</t>
  </si>
  <si>
    <t>27-2802</t>
  </si>
  <si>
    <t>27-2803</t>
  </si>
  <si>
    <t>JF3-1437913</t>
    <phoneticPr fontId="13"/>
  </si>
  <si>
    <t>LA900S-0069597</t>
    <phoneticPr fontId="13"/>
  </si>
  <si>
    <t>LA600S-0387132</t>
    <phoneticPr fontId="13"/>
  </si>
  <si>
    <t>LA400K-0002490</t>
    <phoneticPr fontId="13"/>
  </si>
  <si>
    <t>MK94S-249169</t>
    <phoneticPr fontId="13"/>
  </si>
  <si>
    <t>LA800S-0114502</t>
    <phoneticPr fontId="13"/>
  </si>
  <si>
    <t>MR92S-351580</t>
    <phoneticPr fontId="13"/>
  </si>
  <si>
    <t>MK53S-792001</t>
    <phoneticPr fontId="13"/>
  </si>
  <si>
    <t>MR92S-177789</t>
    <phoneticPr fontId="13"/>
  </si>
  <si>
    <t>ｷｬﾝｾﾙ書類返送1/30</t>
    <rPh sb="5" eb="7">
      <t>ショルイ</t>
    </rPh>
    <rPh sb="7" eb="9">
      <t>ヘンソウ</t>
    </rPh>
    <phoneticPr fontId="13"/>
  </si>
  <si>
    <t>ﾒﾙｾﾃﾞｽﾍﾞﾝﾂB 200d</t>
    <phoneticPr fontId="13"/>
  </si>
  <si>
    <t>W1K2470122J103944</t>
    <phoneticPr fontId="13"/>
  </si>
  <si>
    <t>ﾒﾙｾﾃﾞｽﾍﾞﾝﾂ GLB 200d</t>
    <phoneticPr fontId="13"/>
  </si>
  <si>
    <t>W1N2476122W063288</t>
    <phoneticPr fontId="13"/>
  </si>
  <si>
    <t>ﾒﾙｾﾃﾞｽﾍﾞﾝﾂ A250</t>
    <phoneticPr fontId="13"/>
  </si>
  <si>
    <t>WDD1771472W027038</t>
    <phoneticPr fontId="13"/>
  </si>
  <si>
    <t>27-2804</t>
  </si>
  <si>
    <t>27-2805</t>
  </si>
  <si>
    <t>27-2806</t>
  </si>
  <si>
    <t>長屋 幸太</t>
    <rPh sb="0" eb="2">
      <t>ナガヤ</t>
    </rPh>
    <rPh sb="3" eb="4">
      <t>サチ</t>
    </rPh>
    <rPh sb="4" eb="5">
      <t>タ</t>
    </rPh>
    <phoneticPr fontId="13"/>
  </si>
  <si>
    <t xml:space="preserve">保証書  取説  ｷｰﾚｽ  </t>
    <rPh sb="5" eb="7">
      <t>トリセツ</t>
    </rPh>
    <phoneticPr fontId="13"/>
  </si>
  <si>
    <t>宗安 裕子</t>
    <rPh sb="0" eb="2">
      <t>ムネヤス</t>
    </rPh>
    <rPh sb="3" eb="5">
      <t>ユウコ</t>
    </rPh>
    <phoneticPr fontId="13"/>
  </si>
  <si>
    <t>岡山 583 か 8158</t>
    <rPh sb="0" eb="2">
      <t>オカヤマ</t>
    </rPh>
    <phoneticPr fontId="13"/>
  </si>
  <si>
    <t>27-710</t>
    <phoneticPr fontId="13"/>
  </si>
  <si>
    <t>有限会社ﾀｶﾔﾏ自販</t>
    <rPh sb="0" eb="4">
      <t>ユウゲンカイシャ</t>
    </rPh>
    <rPh sb="8" eb="10">
      <t>ジハン</t>
    </rPh>
    <phoneticPr fontId="13"/>
  </si>
  <si>
    <t>多摩 499 つ 9281</t>
    <rPh sb="0" eb="2">
      <t>タマ</t>
    </rPh>
    <phoneticPr fontId="13"/>
  </si>
  <si>
    <t>9/1/22</t>
    <phoneticPr fontId="13"/>
  </si>
  <si>
    <t>三重 581 も 2295</t>
    <rPh sb="0" eb="2">
      <t>ミエ</t>
    </rPh>
    <phoneticPr fontId="13"/>
  </si>
  <si>
    <t>ﾀﾌﾄ X</t>
    <phoneticPr fontId="13"/>
  </si>
  <si>
    <t>ﾀﾝﾄｶｽﾀﾑ　RSﾄｯﾌﾟｴﾃﾞｨｼｮﾝSaⅡ</t>
    <phoneticPr fontId="13"/>
  </si>
  <si>
    <t>三重 581 つ 2467</t>
    <rPh sb="0" eb="2">
      <t>ミエ</t>
    </rPh>
    <phoneticPr fontId="13"/>
  </si>
  <si>
    <t>ｺﾍﾟﾝ ROBE</t>
    <phoneticPr fontId="13"/>
  </si>
  <si>
    <t>鈴鹿 585 ち 1221</t>
    <rPh sb="0" eb="2">
      <t>スズカ</t>
    </rPh>
    <phoneticPr fontId="13"/>
  </si>
  <si>
    <t>10/1/20</t>
    <phoneticPr fontId="13"/>
  </si>
  <si>
    <t>滋賀 581 ゆ 950</t>
    <rPh sb="0" eb="2">
      <t>シガ</t>
    </rPh>
    <phoneticPr fontId="13"/>
  </si>
  <si>
    <t>ﾑｰﾌﾞｷｬﾝﾊﾞｽ X ﾒｲｸｱｯﾌﾟSA3</t>
    <phoneticPr fontId="13"/>
  </si>
  <si>
    <t>赤/黒</t>
    <rPh sb="0" eb="1">
      <t>アカ</t>
    </rPh>
    <rPh sb="2" eb="3">
      <t>クロ</t>
    </rPh>
    <phoneticPr fontId="13"/>
  </si>
  <si>
    <t>ｽﾍﾟｰｼｱ ｷﾞｱ ﾊｲﾌﾞﾘｯﾄﾞXZ</t>
    <phoneticPr fontId="13"/>
  </si>
  <si>
    <t>神戸 304 や 3769</t>
    <rPh sb="0" eb="2">
      <t>コウベ</t>
    </rPh>
    <phoneticPr fontId="13"/>
  </si>
  <si>
    <t>神戸 304 や 3768</t>
    <rPh sb="0" eb="2">
      <t>コウベ</t>
    </rPh>
    <phoneticPr fontId="13"/>
  </si>
  <si>
    <t>相模 502 ふ 7294</t>
    <rPh sb="0" eb="1">
      <t>アイ</t>
    </rPh>
    <rPh sb="1" eb="2">
      <t>モ</t>
    </rPh>
    <phoneticPr fontId="13"/>
  </si>
  <si>
    <t>USOUQ株式会社</t>
    <rPh sb="5" eb="9">
      <t>カブシキガイシャ</t>
    </rPh>
    <phoneticPr fontId="13"/>
  </si>
  <si>
    <t>市川 310 さ  7284</t>
    <rPh sb="0" eb="2">
      <t>イチカワ</t>
    </rPh>
    <phoneticPr fontId="13"/>
  </si>
  <si>
    <t>志賀 康彦</t>
    <rPh sb="0" eb="2">
      <t>シガ</t>
    </rPh>
    <rPh sb="3" eb="5">
      <t>ヤスヒコ</t>
    </rPh>
    <phoneticPr fontId="13"/>
  </si>
  <si>
    <t>27-2807</t>
  </si>
  <si>
    <t>27-2808</t>
  </si>
  <si>
    <t>27-2809</t>
  </si>
  <si>
    <t>27-2810</t>
  </si>
  <si>
    <t>27-2811</t>
  </si>
  <si>
    <t>27-2812</t>
  </si>
  <si>
    <t>27-2813</t>
  </si>
  <si>
    <t>27-2814</t>
  </si>
  <si>
    <t>27-2815</t>
  </si>
  <si>
    <t>27-2816</t>
  </si>
  <si>
    <t>27-2817</t>
  </si>
  <si>
    <t>27-2818</t>
  </si>
  <si>
    <t>GGH30-0010233</t>
    <phoneticPr fontId="13"/>
  </si>
  <si>
    <t>GFC27-014638</t>
    <phoneticPr fontId="13"/>
  </si>
  <si>
    <t>MK94S-229050</t>
    <phoneticPr fontId="13"/>
  </si>
  <si>
    <t>DA17W-311909</t>
    <phoneticPr fontId="13"/>
  </si>
  <si>
    <t>MK53S-945255</t>
    <phoneticPr fontId="13"/>
  </si>
  <si>
    <t>HE33S-304488</t>
    <phoneticPr fontId="13"/>
  </si>
  <si>
    <t>B44A-0504340</t>
    <phoneticPr fontId="13"/>
  </si>
  <si>
    <t>MS92S-109668</t>
    <phoneticPr fontId="13"/>
  </si>
  <si>
    <t>B44W-0404904</t>
    <phoneticPr fontId="13"/>
  </si>
  <si>
    <t>B44W-0404827</t>
    <phoneticPr fontId="13"/>
  </si>
  <si>
    <t>JW5-1000470</t>
    <phoneticPr fontId="13"/>
  </si>
  <si>
    <t>DA64V-811960</t>
    <phoneticPr fontId="13"/>
  </si>
  <si>
    <t>ｳﾞｪﾙﾌｧｲｱ ZA Gｴﾃﾞｨｼｮﾝ</t>
    <phoneticPr fontId="13"/>
  </si>
  <si>
    <t>大阪 302 ま 7513</t>
    <rPh sb="0" eb="2">
      <t>オオサカ</t>
    </rPh>
    <phoneticPr fontId="13"/>
  </si>
  <si>
    <t>ｾﾚﾅ ﾊｲｳｪｲｽﾀｰ G</t>
    <phoneticPr fontId="13"/>
  </si>
  <si>
    <t>奈良 581 と 4912</t>
    <rPh sb="0" eb="2">
      <t>ナラ</t>
    </rPh>
    <phoneticPr fontId="13"/>
  </si>
  <si>
    <t>ｽﾍﾟｰｼｱｶｽﾀﾑ ﾊｲﾌﾞﾘｯﾄﾞXSAﾀｰﾎﾞ</t>
    <phoneticPr fontId="13"/>
  </si>
  <si>
    <t xml:space="preserve">ﾙｰｸｽ ﾊｲｳｪｲｽﾀｰX </t>
    <phoneticPr fontId="13"/>
  </si>
  <si>
    <t>ﾌﾚｱｸﾛｽｵｰﾊﾞｰ ﾊｲﾌﾞﾘｯﾄﾞXS</t>
    <phoneticPr fontId="13"/>
  </si>
  <si>
    <t>神戸 58A あ 7454</t>
    <rPh sb="0" eb="2">
      <t>コウベ</t>
    </rPh>
    <phoneticPr fontId="13"/>
  </si>
  <si>
    <t>ﾃﾞｲｽﾞﾊｲｳｪｲｽﾀｰX</t>
    <phoneticPr fontId="13"/>
  </si>
  <si>
    <t>和泉 795 か 123</t>
    <rPh sb="0" eb="2">
      <t>イズミ</t>
    </rPh>
    <phoneticPr fontId="13"/>
  </si>
  <si>
    <t>ｴﾌﾞﾘｲﾊﾞﾝ ﾜｰｹﾞﾝﾊﾞｽ仕様</t>
    <rPh sb="17" eb="19">
      <t>シヨウ</t>
    </rPh>
    <phoneticPr fontId="13"/>
  </si>
  <si>
    <t>MK53S-942149</t>
    <phoneticPr fontId="13"/>
  </si>
  <si>
    <t>春日井 583 そ 711</t>
    <rPh sb="0" eb="3">
      <t>カスガイ</t>
    </rPh>
    <phoneticPr fontId="13"/>
  </si>
  <si>
    <t>MK53S-452283</t>
    <phoneticPr fontId="13"/>
  </si>
  <si>
    <t>ﾀﾝﾄ Xｽﾏｰﾄｾﾚｸｼｮﾝ</t>
    <phoneticPr fontId="13"/>
  </si>
  <si>
    <t>LA610S-0031502</t>
    <phoneticPr fontId="13"/>
  </si>
  <si>
    <t>尾張小牧 593 す 2525</t>
    <rPh sb="0" eb="4">
      <t>オワリコマキ</t>
    </rPh>
    <phoneticPr fontId="13"/>
  </si>
  <si>
    <t>ｺﾍﾟﾝ  GRｽﾎﾟｰﾂ</t>
    <phoneticPr fontId="13"/>
  </si>
  <si>
    <t>LA400K-0042721</t>
    <phoneticPr fontId="13"/>
  </si>
  <si>
    <t>MXWH60-4029268</t>
    <phoneticPr fontId="13"/>
  </si>
  <si>
    <t>ﾋﾟｸｼｽﾊﾞﾝ ｸﾙｰｽﾞﾀｰﾎﾞ</t>
    <phoneticPr fontId="13"/>
  </si>
  <si>
    <t>S700M-0017185</t>
    <phoneticPr fontId="13"/>
  </si>
  <si>
    <t>ｽﾃｯﾌﾟﾜｺﾞﾝ ｽﾊﾟｰﾀﾞ ﾌﾟﾚﾐｱﾑﾗｲﾝ</t>
    <phoneticPr fontId="13"/>
  </si>
  <si>
    <t>RP6-1119701</t>
    <phoneticPr fontId="13"/>
  </si>
  <si>
    <t>A324077</t>
    <phoneticPr fontId="13"/>
  </si>
  <si>
    <t>MH34S-386014</t>
    <phoneticPr fontId="13"/>
  </si>
  <si>
    <t>整備手帳なしそのまま送る</t>
    <rPh sb="0" eb="4">
      <t>セイビテチョウ</t>
    </rPh>
    <rPh sb="10" eb="11">
      <t>オク</t>
    </rPh>
    <phoneticPr fontId="13"/>
  </si>
  <si>
    <t>A324259</t>
    <phoneticPr fontId="13"/>
  </si>
  <si>
    <t>B21A-0522273</t>
    <phoneticPr fontId="13"/>
  </si>
  <si>
    <t>A325228</t>
    <phoneticPr fontId="13"/>
  </si>
  <si>
    <t>RU3-1329524</t>
    <phoneticPr fontId="13"/>
  </si>
  <si>
    <t>A325266</t>
    <phoneticPr fontId="13"/>
  </si>
  <si>
    <t>AVE30-5075414</t>
    <phoneticPr fontId="13"/>
  </si>
  <si>
    <t>A323302</t>
    <phoneticPr fontId="13"/>
  </si>
  <si>
    <t>KE5FW-201596</t>
    <phoneticPr fontId="13"/>
  </si>
  <si>
    <t>A325063</t>
    <phoneticPr fontId="13"/>
  </si>
  <si>
    <t>MK54S-128517</t>
    <phoneticPr fontId="13"/>
  </si>
  <si>
    <t>A323884</t>
    <phoneticPr fontId="13"/>
  </si>
  <si>
    <t>A323464</t>
    <phoneticPr fontId="13"/>
  </si>
  <si>
    <t>TRJ150-0088192</t>
    <phoneticPr fontId="13"/>
  </si>
  <si>
    <t>301 ね 6724</t>
    <phoneticPr fontId="13"/>
  </si>
  <si>
    <t>A322587</t>
    <phoneticPr fontId="13"/>
  </si>
  <si>
    <t>JW5-1201233</t>
    <phoneticPr fontId="13"/>
  </si>
  <si>
    <t>A324175</t>
    <phoneticPr fontId="13"/>
  </si>
  <si>
    <t>DA17W-253228</t>
    <phoneticPr fontId="13"/>
  </si>
  <si>
    <t>CX60 25Sｴｸｽｸﾙｰｼﾌﾞﾓｰﾄﾞ</t>
    <phoneticPr fontId="13"/>
  </si>
  <si>
    <t>9/2/28</t>
    <phoneticPr fontId="13"/>
  </si>
  <si>
    <t>ｳﾞｪｾﾞﾙ ﾊｲﾌﾞﾘｯﾄﾞZ ﾎﾝﾀﾞｾﾝｼﾝｸﾞ</t>
    <phoneticPr fontId="13"/>
  </si>
  <si>
    <t>ﾃﾞｲｽﾞﾙｰｸｽ X Vｾﾚｸｼｮﾝ</t>
    <phoneticPr fontId="13"/>
  </si>
  <si>
    <t>9/9/17</t>
    <phoneticPr fontId="13"/>
  </si>
  <si>
    <t>9/6/19</t>
    <phoneticPr fontId="13"/>
  </si>
  <si>
    <t>ﾚｸｻｽ IS 300h ﾌﾞﾗｯｸｼｰｸｴﾝｽ</t>
    <phoneticPr fontId="13"/>
  </si>
  <si>
    <t>S660  α</t>
    <phoneticPr fontId="13"/>
  </si>
  <si>
    <t>ｴﾌﾞﾘｲﾜｺﾞﾝ  PZﾀｰﾎﾞｽﾍﾟｼｬﾙ</t>
    <phoneticPr fontId="13"/>
  </si>
  <si>
    <t>　車体番号</t>
    <rPh sb="1" eb="5">
      <t>シャタイバンゴウ</t>
    </rPh>
    <phoneticPr fontId="13"/>
  </si>
  <si>
    <t>582 う 402</t>
    <phoneticPr fontId="13"/>
  </si>
  <si>
    <t>582 う 403</t>
    <phoneticPr fontId="13"/>
  </si>
  <si>
    <t>ｷｬﾝｾﾙ書類返送1/31</t>
    <rPh sb="5" eb="7">
      <t>ショルイ</t>
    </rPh>
    <rPh sb="7" eb="9">
      <t>ヘンソウ</t>
    </rPh>
    <phoneticPr fontId="13"/>
  </si>
  <si>
    <t>27-2819</t>
  </si>
  <si>
    <t>27-2820</t>
  </si>
  <si>
    <t>27-2821</t>
  </si>
  <si>
    <t>27-2822</t>
  </si>
  <si>
    <t>27-2823</t>
  </si>
  <si>
    <t>27-2824</t>
  </si>
  <si>
    <t>27-2825</t>
  </si>
  <si>
    <t>27-2826</t>
  </si>
  <si>
    <t>27-2827</t>
  </si>
  <si>
    <t>27-2828</t>
  </si>
  <si>
    <t>27-2829</t>
  </si>
  <si>
    <t>27-2830</t>
  </si>
  <si>
    <t>27-2831</t>
  </si>
  <si>
    <t>27-2832</t>
  </si>
  <si>
    <t>27-2833</t>
  </si>
  <si>
    <t>27-2834</t>
  </si>
  <si>
    <t>27-2835</t>
  </si>
  <si>
    <t>27-2836</t>
  </si>
  <si>
    <t>27-2837</t>
  </si>
  <si>
    <t>A324406</t>
    <phoneticPr fontId="13"/>
  </si>
  <si>
    <t>ANH20-8318779</t>
    <phoneticPr fontId="13"/>
  </si>
  <si>
    <t>A324386</t>
    <phoneticPr fontId="13"/>
  </si>
  <si>
    <t>MA3JJC74W00231340</t>
    <phoneticPr fontId="13"/>
  </si>
  <si>
    <t>27-2838</t>
  </si>
  <si>
    <t>ｳﾞｪﾙﾌｧｲｱ  2.4Z ｺﾞｰﾙﾃﾞﾝｱｲｽﾞ</t>
    <phoneticPr fontId="13"/>
  </si>
  <si>
    <t>9/2/16</t>
    <phoneticPr fontId="13"/>
  </si>
  <si>
    <t>ｼﾞﾑﾆｰﾉﾏﾄﾞ FC</t>
    <phoneticPr fontId="13"/>
  </si>
  <si>
    <t>10/7/2</t>
    <phoneticPr fontId="13"/>
  </si>
  <si>
    <t>WMWXR120902M36578</t>
    <phoneticPr fontId="13"/>
  </si>
  <si>
    <t>9/8/6</t>
    <phoneticPr fontId="13"/>
  </si>
  <si>
    <t>神戸 361 ね 126</t>
    <rPh sb="0" eb="2">
      <t>コウベ</t>
    </rPh>
    <phoneticPr fontId="13"/>
  </si>
  <si>
    <t>一宮 300 ね 1239</t>
    <rPh sb="0" eb="2">
      <t>イチノミヤ</t>
    </rPh>
    <phoneticPr fontId="13"/>
  </si>
  <si>
    <t>後藤 豪斗</t>
    <rPh sb="0" eb="2">
      <t>ゴトウ</t>
    </rPh>
    <rPh sb="3" eb="4">
      <t>ゴウ</t>
    </rPh>
    <rPh sb="4" eb="5">
      <t>ト</t>
    </rPh>
    <phoneticPr fontId="13"/>
  </si>
  <si>
    <t>奈良 581 と 2644</t>
    <rPh sb="0" eb="2">
      <t>ナラ</t>
    </rPh>
    <phoneticPr fontId="13"/>
  </si>
  <si>
    <t>嶌中 秀介</t>
    <rPh sb="0" eb="1">
      <t>シマ</t>
    </rPh>
    <rPh sb="1" eb="2">
      <t>ナカ</t>
    </rPh>
    <rPh sb="3" eb="5">
      <t>シュウスケ</t>
    </rPh>
    <phoneticPr fontId="13"/>
  </si>
  <si>
    <t>保証書  取説  ﾅﾋﾞ取</t>
    <rPh sb="5" eb="7">
      <t>トリセツ</t>
    </rPh>
    <rPh sb="12" eb="13">
      <t>トリ</t>
    </rPh>
    <phoneticPr fontId="13"/>
  </si>
  <si>
    <t>なにわ 39A も 3853</t>
    <phoneticPr fontId="13"/>
  </si>
  <si>
    <t>古谷 達也</t>
    <rPh sb="0" eb="2">
      <t>フルヤ</t>
    </rPh>
    <rPh sb="3" eb="5">
      <t>タツヤ</t>
    </rPh>
    <phoneticPr fontId="13"/>
  </si>
  <si>
    <t>保証書 取説 B-CAS</t>
    <rPh sb="0" eb="3">
      <t>ホショウショ</t>
    </rPh>
    <rPh sb="4" eb="6">
      <t>トリセツ</t>
    </rPh>
    <phoneticPr fontId="13"/>
  </si>
  <si>
    <t>島根 580 や 7290</t>
    <rPh sb="0" eb="2">
      <t>シマネ</t>
    </rPh>
    <phoneticPr fontId="13"/>
  </si>
  <si>
    <t>島根w 480 ろ 5426</t>
    <rPh sb="0" eb="2">
      <t>シマネ</t>
    </rPh>
    <phoneticPr fontId="13"/>
  </si>
  <si>
    <t>株式会社ｽｽﾞｷ自販新兵庫</t>
    <rPh sb="0" eb="4">
      <t>カブシキガイシャ</t>
    </rPh>
    <rPh sb="8" eb="10">
      <t>ジハン</t>
    </rPh>
    <rPh sb="10" eb="13">
      <t>シンヒョウゴ</t>
    </rPh>
    <phoneticPr fontId="13"/>
  </si>
  <si>
    <t>取説 ﾅﾋﾞ取 ﾚﾝﾀｶｰ</t>
    <rPh sb="0" eb="2">
      <t>トリセツ</t>
    </rPh>
    <rPh sb="6" eb="7">
      <t>トリ</t>
    </rPh>
    <phoneticPr fontId="13"/>
  </si>
  <si>
    <t>岐阜 585 み 224</t>
    <rPh sb="0" eb="2">
      <t>ギフ</t>
    </rPh>
    <phoneticPr fontId="13"/>
  </si>
  <si>
    <t>岡野 哲也</t>
    <rPh sb="0" eb="2">
      <t>オカノ</t>
    </rPh>
    <rPh sb="3" eb="5">
      <t>テツヤ</t>
    </rPh>
    <phoneticPr fontId="13"/>
  </si>
  <si>
    <t>和泉 582 い 8187</t>
    <rPh sb="0" eb="2">
      <t>イズミ</t>
    </rPh>
    <phoneticPr fontId="13"/>
  </si>
  <si>
    <t>木村 奈保子</t>
    <rPh sb="0" eb="2">
      <t>キムラ</t>
    </rPh>
    <rPh sb="3" eb="6">
      <t>ナホコ</t>
    </rPh>
    <phoneticPr fontId="13"/>
  </si>
  <si>
    <t>ｷｰﾚｽ(車内)保証書 取説 SD</t>
    <rPh sb="8" eb="11">
      <t>ホショウショ</t>
    </rPh>
    <rPh sb="12" eb="14">
      <t>トリセツ</t>
    </rPh>
    <phoneticPr fontId="13"/>
  </si>
  <si>
    <t>横浜 490 ろ 804</t>
    <rPh sb="0" eb="2">
      <t>ヨコハマ</t>
    </rPh>
    <phoneticPr fontId="13"/>
  </si>
  <si>
    <t>京都 348 ぬ 707</t>
    <rPh sb="0" eb="2">
      <t>キョウト</t>
    </rPh>
    <phoneticPr fontId="13"/>
  </si>
  <si>
    <t>愛媛 330 も 2520</t>
    <rPh sb="0" eb="2">
      <t>エヒメ</t>
    </rPh>
    <phoneticPr fontId="13"/>
  </si>
  <si>
    <t>ﾚｸｻｽ松山城北株式会社</t>
    <rPh sb="4" eb="6">
      <t>マツヤマ</t>
    </rPh>
    <rPh sb="6" eb="7">
      <t>シロ</t>
    </rPh>
    <rPh sb="7" eb="8">
      <t>キタ</t>
    </rPh>
    <rPh sb="8" eb="12">
      <t>カブシキガイシャ</t>
    </rPh>
    <phoneticPr fontId="13"/>
  </si>
  <si>
    <t>谷口 剛</t>
    <rPh sb="0" eb="2">
      <t>タニグチ</t>
    </rPh>
    <rPh sb="3" eb="4">
      <t>ツヨシ</t>
    </rPh>
    <phoneticPr fontId="13"/>
  </si>
  <si>
    <t>品川 39A め 4117</t>
    <rPh sb="0" eb="2">
      <t>シナガワ</t>
    </rPh>
    <phoneticPr fontId="13"/>
  </si>
  <si>
    <t>株式会社ｼｭﾃﾙﾝ中央</t>
    <rPh sb="0" eb="4">
      <t>カブシキガイシャ</t>
    </rPh>
    <rPh sb="9" eb="11">
      <t>チュウオウ</t>
    </rPh>
    <phoneticPr fontId="13"/>
  </si>
  <si>
    <t>曽根自動車株式会社</t>
    <rPh sb="0" eb="2">
      <t>ソネ</t>
    </rPh>
    <rPh sb="2" eb="9">
      <t>ジドウシャカブシキガイシャ</t>
    </rPh>
    <phoneticPr fontId="13"/>
  </si>
  <si>
    <t>久留米 599 な 5750</t>
    <rPh sb="0" eb="3">
      <t>クルメ</t>
    </rPh>
    <phoneticPr fontId="13"/>
  </si>
  <si>
    <t>株式会社ﾎﾝﾀﾞﾕｰﾃｯｸ</t>
    <rPh sb="0" eb="4">
      <t>カブシキガイシャ</t>
    </rPh>
    <phoneticPr fontId="13"/>
  </si>
  <si>
    <t>大阪 304 せ 9238</t>
    <rPh sb="0" eb="2">
      <t>オオサカ</t>
    </rPh>
    <phoneticPr fontId="13"/>
  </si>
  <si>
    <t>株式会社ﾏﾂﾓﾄ自動車</t>
    <rPh sb="0" eb="4">
      <t>カブシキガイシャ</t>
    </rPh>
    <rPh sb="8" eb="11">
      <t>ジドウシャ</t>
    </rPh>
    <phoneticPr fontId="13"/>
  </si>
  <si>
    <t>保証書 取説 ｷｰﾚｽ ﾛｯｸﾅｯﾄ ﾅﾋﾞ取 ｾｷｭﾘﾃｨｰｶｰﾄﾞ</t>
    <rPh sb="0" eb="3">
      <t>ホショウショ</t>
    </rPh>
    <rPh sb="4" eb="6">
      <t>トリセツ</t>
    </rPh>
    <rPh sb="22" eb="23">
      <t>トリ</t>
    </rPh>
    <phoneticPr fontId="13"/>
  </si>
  <si>
    <t>徳島 580 ち 6648</t>
    <rPh sb="0" eb="2">
      <t>トクシマ</t>
    </rPh>
    <phoneticPr fontId="13"/>
  </si>
  <si>
    <t>株式会社ｽｽﾞｷ自販徳島</t>
    <rPh sb="0" eb="4">
      <t>カブシキガイシャ</t>
    </rPh>
    <rPh sb="8" eb="10">
      <t>ジハン</t>
    </rPh>
    <rPh sb="10" eb="12">
      <t>トクシマ</t>
    </rPh>
    <phoneticPr fontId="13"/>
  </si>
  <si>
    <t>島根 583 を 1102</t>
    <rPh sb="0" eb="2">
      <t>シマネ</t>
    </rPh>
    <phoneticPr fontId="13"/>
  </si>
  <si>
    <t>島根 580 み 7733</t>
    <rPh sb="0" eb="2">
      <t>シマネ</t>
    </rPh>
    <phoneticPr fontId="13"/>
  </si>
  <si>
    <t>株式会社ｽｽﾞｷ自販島根</t>
    <rPh sb="0" eb="4">
      <t>カブシキガイシャ</t>
    </rPh>
    <rPh sb="8" eb="12">
      <t>ジハンシマネ</t>
    </rPh>
    <phoneticPr fontId="13"/>
  </si>
  <si>
    <t>島根 583 と 135</t>
    <rPh sb="0" eb="2">
      <t>シマネ</t>
    </rPh>
    <phoneticPr fontId="13"/>
  </si>
  <si>
    <t>ﾅﾝﾊﾞｰ愛媛 そのまま送るOK</t>
    <rPh sb="5" eb="7">
      <t>エヒメ</t>
    </rPh>
    <rPh sb="12" eb="13">
      <t>オク</t>
    </rPh>
    <phoneticPr fontId="13"/>
  </si>
  <si>
    <t>尾張小牧 400 の 3850</t>
    <rPh sb="0" eb="4">
      <t>オワリコマキ</t>
    </rPh>
    <phoneticPr fontId="13"/>
  </si>
  <si>
    <t>ﾄﾖﾀﾓﾋﾞﾘﾃｨ中京株式会社</t>
    <rPh sb="9" eb="11">
      <t>ナカキョウ</t>
    </rPh>
    <rPh sb="11" eb="15">
      <t>カブシキガイシャ</t>
    </rPh>
    <phoneticPr fontId="13"/>
  </si>
  <si>
    <t>ﾏｲｸﾛ地図SD(車内)保証書 取説 ｽﾏｰﾄｷｰ</t>
    <rPh sb="4" eb="6">
      <t>チズ</t>
    </rPh>
    <rPh sb="12" eb="15">
      <t>ホショウショ</t>
    </rPh>
    <rPh sb="16" eb="18">
      <t>トリセツ</t>
    </rPh>
    <phoneticPr fontId="13"/>
  </si>
  <si>
    <t>27-2839</t>
  </si>
  <si>
    <t>27-2840</t>
  </si>
  <si>
    <t>27-2841</t>
  </si>
  <si>
    <t>27-2842</t>
  </si>
  <si>
    <t>27-2843</t>
  </si>
  <si>
    <t>27-2844</t>
  </si>
  <si>
    <t>27-2845</t>
  </si>
  <si>
    <t>27-2846</t>
  </si>
  <si>
    <t>27-2847</t>
  </si>
  <si>
    <t>27-2848</t>
  </si>
  <si>
    <t>27-2849</t>
  </si>
  <si>
    <t>MR31S-313000</t>
    <phoneticPr fontId="13"/>
  </si>
  <si>
    <t>N　BOX　G　Lﾊﾟｯｹｰｼﾞ</t>
    <phoneticPr fontId="13"/>
  </si>
  <si>
    <t>JF1-1651134</t>
    <phoneticPr fontId="13"/>
  </si>
  <si>
    <t>ｶﾛｰﾗﾌｨｰﾙﾀﾞｰ　ﾊｲﾌﾞﾘｯﾄﾞ</t>
    <phoneticPr fontId="13"/>
  </si>
  <si>
    <t>NKE165-7031472</t>
    <phoneticPr fontId="13"/>
  </si>
  <si>
    <t>ｱﾙﾄ　ﾊｲﾌﾞﾘｯﾄﾞX</t>
    <phoneticPr fontId="13"/>
  </si>
  <si>
    <t>HA97S-120935</t>
    <phoneticPr fontId="13"/>
  </si>
  <si>
    <t>TRJ150-0130783</t>
    <phoneticPr fontId="13"/>
  </si>
  <si>
    <t>ZVW40-0015780</t>
    <phoneticPr fontId="13"/>
  </si>
  <si>
    <t>ｳﾞｪﾙﾌｧｲｱ　3.5ZA　G</t>
    <phoneticPr fontId="13"/>
  </si>
  <si>
    <t>GCH30-0006482</t>
    <phoneticPr fontId="13"/>
  </si>
  <si>
    <t>ﾀﾝﾄ　X　SaⅢ</t>
    <phoneticPr fontId="13"/>
  </si>
  <si>
    <t>LA600S-0560359</t>
    <phoneticPr fontId="13"/>
  </si>
  <si>
    <t>ﾀﾝﾄ　L</t>
    <phoneticPr fontId="13"/>
  </si>
  <si>
    <t>LA600S-0728624</t>
    <phoneticPr fontId="13"/>
  </si>
  <si>
    <t>N　BOXｽﾗｯｼｭ　X</t>
    <phoneticPr fontId="13"/>
  </si>
  <si>
    <t>JF1-7011076</t>
    <phoneticPr fontId="13"/>
  </si>
  <si>
    <t>ﾊﾞﾓｽ　G</t>
    <phoneticPr fontId="13"/>
  </si>
  <si>
    <t>HM1-1900886</t>
    <phoneticPr fontId="13"/>
  </si>
  <si>
    <t>LA150S-0023691</t>
    <phoneticPr fontId="13"/>
  </si>
  <si>
    <t>ﾑｰｳﾞ　L　</t>
    <phoneticPr fontId="13"/>
  </si>
  <si>
    <t>LA100S-1065445</t>
    <phoneticPr fontId="13"/>
  </si>
  <si>
    <t>27-2850</t>
  </si>
  <si>
    <t>27-2851</t>
  </si>
  <si>
    <t>27-2852</t>
  </si>
  <si>
    <t>27-2853</t>
  </si>
  <si>
    <t>27-2854</t>
  </si>
  <si>
    <t>27-2855</t>
  </si>
  <si>
    <t>ﾃﾞﾐｵ　XDﾃｰﾗｰﾄﾞﾌﾞﾗｳﾝ</t>
    <phoneticPr fontId="13"/>
  </si>
  <si>
    <t>DJ5FS-308245</t>
    <phoneticPr fontId="13"/>
  </si>
  <si>
    <t>LA650S-0271288</t>
    <phoneticPr fontId="13"/>
  </si>
  <si>
    <t>ｽｸﾗﾑﾜｺﾞﾝ　PXﾀｰﾎﾞ</t>
    <phoneticPr fontId="13"/>
  </si>
  <si>
    <t>DG17W-301417</t>
    <phoneticPr fontId="13"/>
  </si>
  <si>
    <t>N　BOXｶｽﾀﾑ　</t>
    <phoneticPr fontId="13"/>
  </si>
  <si>
    <t>JF5-1325544</t>
    <phoneticPr fontId="13"/>
  </si>
  <si>
    <t>相模　581　ち　7870</t>
    <rPh sb="0" eb="2">
      <t>サガミ</t>
    </rPh>
    <phoneticPr fontId="13"/>
  </si>
  <si>
    <t>10/1/21</t>
    <phoneticPr fontId="13"/>
  </si>
  <si>
    <t>9/10/26</t>
    <phoneticPr fontId="13"/>
  </si>
  <si>
    <t>8/4/5</t>
    <phoneticPr fontId="13"/>
  </si>
  <si>
    <t>8/10/15</t>
    <phoneticPr fontId="13"/>
  </si>
  <si>
    <t>27-2856</t>
  </si>
  <si>
    <t>27-2857</t>
  </si>
  <si>
    <t>27-2858</t>
  </si>
  <si>
    <t>27-2859</t>
  </si>
  <si>
    <t>27-2861</t>
  </si>
  <si>
    <t>27-2862</t>
  </si>
  <si>
    <t>27-2863</t>
  </si>
  <si>
    <t>27-2864</t>
  </si>
  <si>
    <t>27-2865</t>
  </si>
  <si>
    <t>27-2866</t>
  </si>
  <si>
    <t>27-2867</t>
  </si>
  <si>
    <t>27-2868</t>
  </si>
  <si>
    <t>27-2869</t>
  </si>
  <si>
    <t>27-2870</t>
  </si>
  <si>
    <t>ﾌﾚｱﾜｺﾞﾝ　ﾀﾌｽﾀｲﾙ　XS</t>
    <phoneticPr fontId="13"/>
  </si>
  <si>
    <t>MM94S-119430</t>
    <phoneticPr fontId="13"/>
  </si>
  <si>
    <t>ｶﾛｰﾗﾂｰﾘﾝｸﾞ　WXB</t>
    <phoneticPr fontId="13"/>
  </si>
  <si>
    <t>ZRE212-6014965</t>
    <phoneticPr fontId="13"/>
  </si>
  <si>
    <t>GUN125-3931598</t>
    <phoneticPr fontId="13"/>
  </si>
  <si>
    <t>DA17W-312045</t>
    <phoneticPr fontId="13"/>
  </si>
  <si>
    <t>ｱｸｱ　G　GS</t>
    <phoneticPr fontId="13"/>
  </si>
  <si>
    <t>NHP10-2565340</t>
    <phoneticPr fontId="13"/>
  </si>
  <si>
    <t>ｴｽﾃｨﾏ　ｱｴﾗｽﾚｻﾞｰP</t>
    <phoneticPr fontId="13"/>
  </si>
  <si>
    <t>ACR50-0142403</t>
    <phoneticPr fontId="13"/>
  </si>
  <si>
    <t>ｺﾍﾟﾝ　ﾛｰﾌﾞ</t>
    <phoneticPr fontId="13"/>
  </si>
  <si>
    <t>LA400K-0053932</t>
    <phoneticPr fontId="13"/>
  </si>
  <si>
    <t>N　BOXｶｽﾀﾑ　ﾀｰﾎﾞSSﾊﾟｯｹｰｼﾞ</t>
    <phoneticPr fontId="13"/>
  </si>
  <si>
    <t>JF1-2545121</t>
    <phoneticPr fontId="13"/>
  </si>
  <si>
    <t>ｱｳﾃﾞｨTTｸｰﾍﾟ　40TFSI</t>
    <phoneticPr fontId="13"/>
  </si>
  <si>
    <t>BMWﾐﾆ　ｸｰﾊﾟｰ</t>
    <phoneticPr fontId="13"/>
  </si>
  <si>
    <t>BMWﾐﾆ　ｸｰﾊﾟｰｺﾝﾊﾞｰﾁﾌﾞﾙ</t>
    <phoneticPr fontId="13"/>
  </si>
  <si>
    <t>BMW　X1　Xﾄﾞﾗｲﾌﾞ18ｄ　Ｘﾗｲﾝ</t>
    <phoneticPr fontId="13"/>
  </si>
  <si>
    <t>神戸　781　き　178</t>
    <rPh sb="0" eb="2">
      <t>コウベ</t>
    </rPh>
    <phoneticPr fontId="13"/>
  </si>
  <si>
    <t>京都　302　て　6652</t>
    <rPh sb="0" eb="2">
      <t>キョウト</t>
    </rPh>
    <phoneticPr fontId="13"/>
  </si>
  <si>
    <t>ﾊｲﾗｯｸｽ　Z　GRｽﾎﾟｰﾂ</t>
    <phoneticPr fontId="13"/>
  </si>
  <si>
    <t>9/8/28</t>
    <phoneticPr fontId="13"/>
  </si>
  <si>
    <t>岡山　531　そ　2858</t>
    <rPh sb="0" eb="2">
      <t>オカヤマ</t>
    </rPh>
    <phoneticPr fontId="13"/>
  </si>
  <si>
    <t>9/3/15</t>
    <phoneticPr fontId="13"/>
  </si>
  <si>
    <t>神戸　397　も　3</t>
    <rPh sb="0" eb="2">
      <t>コウベ</t>
    </rPh>
    <phoneticPr fontId="13"/>
  </si>
  <si>
    <t>愛媛　581　ふ　5064</t>
    <rPh sb="0" eb="2">
      <t>エヒメ</t>
    </rPh>
    <phoneticPr fontId="13"/>
  </si>
  <si>
    <t>8/3/8</t>
    <phoneticPr fontId="13"/>
  </si>
  <si>
    <t>岡山　791　る　77</t>
    <rPh sb="0" eb="2">
      <t>オカヤマ</t>
    </rPh>
    <phoneticPr fontId="13"/>
  </si>
  <si>
    <t>TRUZZZFV4K1004463</t>
    <phoneticPr fontId="13"/>
  </si>
  <si>
    <t>大阪　349　た　126</t>
    <rPh sb="0" eb="2">
      <t>オオサカ</t>
    </rPh>
    <phoneticPr fontId="13"/>
  </si>
  <si>
    <t>ﾗﾝﾄﾞﾞﾛｰﾊﾞｰﾃﾞｨｽｶﾊﾞﾘｰｽﾎﾟｰﾂ　HSE</t>
    <phoneticPr fontId="13"/>
  </si>
  <si>
    <t>SALCA2AG3HH644681</t>
    <phoneticPr fontId="13"/>
  </si>
  <si>
    <t>WMWXS520102C92717</t>
    <phoneticPr fontId="13"/>
  </si>
  <si>
    <t>WMWWJ320503G47076</t>
    <phoneticPr fontId="13"/>
  </si>
  <si>
    <t>WMWXR920202N81590</t>
    <phoneticPr fontId="13"/>
  </si>
  <si>
    <t>WBAHT920703D35699</t>
    <phoneticPr fontId="13"/>
  </si>
  <si>
    <t>広島　346　て　503</t>
    <rPh sb="0" eb="2">
      <t>ヒロシマ</t>
    </rPh>
    <phoneticPr fontId="13"/>
  </si>
  <si>
    <t>2026/1/10HAA神戸（ﾜﾝｸﾘ）</t>
    <rPh sb="12" eb="14">
      <t>コウベ</t>
    </rPh>
    <phoneticPr fontId="13"/>
  </si>
  <si>
    <t>1283回60252売ｷｬﾝｾﾙ買ｷｬﾝｾﾙ2/2返送</t>
    <rPh sb="4" eb="5">
      <t>カイ</t>
    </rPh>
    <rPh sb="10" eb="11">
      <t>ウ</t>
    </rPh>
    <rPh sb="16" eb="17">
      <t>バイ</t>
    </rPh>
    <rPh sb="25" eb="27">
      <t>ヘンソウ</t>
    </rPh>
    <phoneticPr fontId="13"/>
  </si>
  <si>
    <r>
      <rPr>
        <sz val="11"/>
        <color theme="3"/>
        <rFont val="ＭＳ Ｐゴシック"/>
        <family val="3"/>
        <charset val="128"/>
        <scheme val="minor"/>
      </rPr>
      <t>保証書 取説 ｷｰﾚｽ</t>
    </r>
    <r>
      <rPr>
        <sz val="11"/>
        <color rgb="FFFF0000"/>
        <rFont val="ＭＳ Ｐゴシック"/>
        <family val="3"/>
        <charset val="128"/>
        <scheme val="minor"/>
      </rPr>
      <t xml:space="preserve"> </t>
    </r>
    <r>
      <rPr>
        <sz val="11"/>
        <color theme="3"/>
        <rFont val="ＭＳ Ｐゴシック"/>
        <family val="3"/>
        <charset val="128"/>
        <scheme val="minor"/>
      </rPr>
      <t>委任状譲渡証差し替えOK</t>
    </r>
    <rPh sb="0" eb="3">
      <t>ホショウショ</t>
    </rPh>
    <rPh sb="4" eb="6">
      <t>トリセツ</t>
    </rPh>
    <rPh sb="12" eb="15">
      <t>イニンジョウ</t>
    </rPh>
    <rPh sb="15" eb="16">
      <t>ユズル</t>
    </rPh>
    <rPh sb="16" eb="17">
      <t>ワタ</t>
    </rPh>
    <rPh sb="17" eb="18">
      <t>ショウ</t>
    </rPh>
    <rPh sb="18" eb="19">
      <t>サ</t>
    </rPh>
    <rPh sb="20" eb="21">
      <t>カ</t>
    </rPh>
    <phoneticPr fontId="13"/>
  </si>
  <si>
    <t>京都 382 る 15</t>
    <rPh sb="0" eb="2">
      <t>キョウト</t>
    </rPh>
    <phoneticPr fontId="13"/>
  </si>
  <si>
    <t>香山 倖司郎</t>
    <rPh sb="0" eb="2">
      <t>カヤマ</t>
    </rPh>
    <rPh sb="3" eb="4">
      <t>サチ</t>
    </rPh>
    <rPh sb="4" eb="6">
      <t>シロウ</t>
    </rPh>
    <phoneticPr fontId="13"/>
  </si>
  <si>
    <t>豊田 347 ふ 358</t>
    <rPh sb="0" eb="2">
      <t>トヨタ</t>
    </rPh>
    <phoneticPr fontId="13"/>
  </si>
  <si>
    <t>藤澤 隆</t>
    <rPh sb="0" eb="2">
      <t>フジサワ</t>
    </rPh>
    <rPh sb="3" eb="4">
      <t>タカシ</t>
    </rPh>
    <phoneticPr fontId="13"/>
  </si>
  <si>
    <t>株式会社吉田ﾓｰﾀｰｽ</t>
    <rPh sb="0" eb="4">
      <t>カブシキガイシャ</t>
    </rPh>
    <rPh sb="4" eb="6">
      <t>ヨシダ</t>
    </rPh>
    <phoneticPr fontId="13"/>
  </si>
  <si>
    <t>保証書 取説 ｷｰﾚｽ ｽﾍﾟｱｷｰ ﾛｯｸﾅｯﾄ</t>
    <rPh sb="0" eb="3">
      <t>ホショウショ</t>
    </rPh>
    <rPh sb="4" eb="6">
      <t>トリセツ</t>
    </rPh>
    <phoneticPr fontId="13"/>
  </si>
  <si>
    <t>大津 滋</t>
    <rPh sb="0" eb="2">
      <t>オオツ</t>
    </rPh>
    <rPh sb="3" eb="4">
      <t>シゲル</t>
    </rPh>
    <phoneticPr fontId="13"/>
  </si>
  <si>
    <t>相模 337 る 350</t>
    <rPh sb="0" eb="1">
      <t>アイ</t>
    </rPh>
    <rPh sb="1" eb="2">
      <t>モ</t>
    </rPh>
    <phoneticPr fontId="13"/>
  </si>
  <si>
    <t>山田 悦夫</t>
    <rPh sb="0" eb="2">
      <t>ヤマダ</t>
    </rPh>
    <rPh sb="3" eb="5">
      <t>エツオ</t>
    </rPh>
    <phoneticPr fontId="13"/>
  </si>
  <si>
    <t>袖ヶ浦 580 ゆ 2188</t>
    <rPh sb="0" eb="3">
      <t>ソデガウラ</t>
    </rPh>
    <phoneticPr fontId="13"/>
  </si>
  <si>
    <t>後藤 雅史</t>
    <rPh sb="0" eb="2">
      <t>ゴトウ</t>
    </rPh>
    <rPh sb="3" eb="4">
      <t>マサシ</t>
    </rPh>
    <rPh sb="4" eb="5">
      <t>シ</t>
    </rPh>
    <phoneticPr fontId="13"/>
  </si>
  <si>
    <t>保証書 取説 ｷｰﾚｽ ﾏｲｸﾛ地図SD(車内)</t>
    <rPh sb="0" eb="3">
      <t>ホショウショ</t>
    </rPh>
    <rPh sb="4" eb="6">
      <t>トリセツ</t>
    </rPh>
    <rPh sb="16" eb="18">
      <t>チズ</t>
    </rPh>
    <rPh sb="21" eb="23">
      <t>シャナイ</t>
    </rPh>
    <phoneticPr fontId="13"/>
  </si>
  <si>
    <t>取説(車内)保証書 ﾚﾝﾀｶｰ</t>
    <rPh sb="0" eb="2">
      <t>トリセツ</t>
    </rPh>
    <rPh sb="6" eb="9">
      <t>ホショウショ</t>
    </rPh>
    <phoneticPr fontId="13"/>
  </si>
  <si>
    <r>
      <t>地図SD車内なし</t>
    </r>
    <r>
      <rPr>
        <sz val="11"/>
        <color rgb="FFFF0000"/>
        <rFont val="ＭＳ Ｐゴシック"/>
        <family val="3"/>
        <charset val="128"/>
        <scheme val="minor"/>
      </rPr>
      <t>問い合わせ中</t>
    </r>
    <r>
      <rPr>
        <sz val="11"/>
        <color theme="4" tint="-0.499984740745262"/>
        <rFont val="ＭＳ Ｐゴシック"/>
        <family val="3"/>
        <charset val="128"/>
        <scheme val="minor"/>
      </rPr>
      <t xml:space="preserve"> 保証書 取説 ｷｰﾚｽ ﾜﾝｵｰﾅｰ </t>
    </r>
    <rPh sb="0" eb="2">
      <t>チズ</t>
    </rPh>
    <rPh sb="4" eb="6">
      <t>シャナイ</t>
    </rPh>
    <rPh sb="8" eb="9">
      <t>ト</t>
    </rPh>
    <rPh sb="10" eb="11">
      <t>ア</t>
    </rPh>
    <rPh sb="13" eb="14">
      <t>チュウ</t>
    </rPh>
    <rPh sb="15" eb="18">
      <t>ホショウショ</t>
    </rPh>
    <rPh sb="19" eb="21">
      <t>トリセツ</t>
    </rPh>
    <phoneticPr fontId="13"/>
  </si>
  <si>
    <t>保証書 ﾅﾋﾞ取なしOK</t>
    <rPh sb="0" eb="3">
      <t>ホショウショ</t>
    </rPh>
    <rPh sb="7" eb="8">
      <t>トリ</t>
    </rPh>
    <phoneticPr fontId="13"/>
  </si>
  <si>
    <t>ﾎﾞﾙﾎﾞV40 ｸﾛｽｶﾝﾄﾘｰ T5</t>
    <phoneticPr fontId="13"/>
  </si>
  <si>
    <t>YV1MZ6356E2034986</t>
    <phoneticPr fontId="13"/>
  </si>
  <si>
    <t>神戸 304 ゆ 4300</t>
    <rPh sb="0" eb="2">
      <t>コウベ</t>
    </rPh>
    <phoneticPr fontId="13"/>
  </si>
  <si>
    <t>ｱｳﾃﾞｨ Q2 30TFSIｽﾎﾟｰﾂ</t>
    <phoneticPr fontId="13"/>
  </si>
  <si>
    <t>WAUZZZGA0KA003183</t>
    <phoneticPr fontId="13"/>
  </si>
  <si>
    <t>BMW X1 xﾄﾞﾗｲﾌﾞ18d</t>
    <phoneticPr fontId="13"/>
  </si>
  <si>
    <t>WBA32AD0205S67177</t>
    <phoneticPr fontId="13"/>
  </si>
  <si>
    <t>BMW 3ｼﾘｰｽﾞｾﾀﾞﾝ320iｽﾎﾟｰﾂ</t>
    <phoneticPr fontId="13"/>
  </si>
  <si>
    <t>WBA8A16040NU74238</t>
    <phoneticPr fontId="13"/>
  </si>
  <si>
    <t>ｼﾙﾊﾞｰ/黒</t>
    <rPh sb="6" eb="7">
      <t>クロ</t>
    </rPh>
    <phoneticPr fontId="13"/>
  </si>
  <si>
    <t>WMWXT320502H68372</t>
    <phoneticPr fontId="13"/>
  </si>
  <si>
    <t>BMWﾐﾆｸｰﾊﾟｰS ｼﾞｮﾝｸｰﾊﾟｰﾜｰｸｽ</t>
    <phoneticPr fontId="13"/>
  </si>
  <si>
    <t>A325902</t>
    <phoneticPr fontId="13"/>
  </si>
  <si>
    <t>LA850S-0066497</t>
    <phoneticPr fontId="13"/>
  </si>
  <si>
    <t>A324771</t>
    <phoneticPr fontId="13"/>
  </si>
  <si>
    <t>AGH35-0056365</t>
    <phoneticPr fontId="13"/>
  </si>
  <si>
    <t>ｱﾙﾌｧｰﾄﾞ 2.5S ﾀｲﾌﾟｺﾞｰﾙﾄﾞ3</t>
    <phoneticPr fontId="13"/>
  </si>
  <si>
    <t>27-2860</t>
    <phoneticPr fontId="13"/>
  </si>
  <si>
    <t>ﾃﾞｲｽﾞﾙｰｸｽ XVｾﾚｸｼｮﾝ ｾｰﾌﾃｨ2</t>
    <phoneticPr fontId="13"/>
  </si>
  <si>
    <t>B21A-0103632</t>
    <phoneticPr fontId="13"/>
  </si>
  <si>
    <t>A324230</t>
    <phoneticPr fontId="13"/>
  </si>
  <si>
    <t>27-2871</t>
  </si>
  <si>
    <t>27-2872</t>
  </si>
  <si>
    <t>27-2873</t>
  </si>
  <si>
    <t>27-2874</t>
  </si>
  <si>
    <t>27-2875</t>
  </si>
  <si>
    <t>27-2876</t>
  </si>
  <si>
    <t>27-2877</t>
  </si>
  <si>
    <t>27-2878</t>
  </si>
  <si>
    <t>27-2879</t>
  </si>
  <si>
    <t>27-2880</t>
  </si>
  <si>
    <t>岡崎 580 ね 7124</t>
    <rPh sb="0" eb="2">
      <t>オカザキ</t>
    </rPh>
    <phoneticPr fontId="13"/>
  </si>
  <si>
    <t>岩村 秀貴</t>
    <rPh sb="0" eb="2">
      <t>イワムラ</t>
    </rPh>
    <rPh sb="3" eb="4">
      <t>ヒデ</t>
    </rPh>
    <rPh sb="4" eb="5">
      <t>タカシ</t>
    </rPh>
    <phoneticPr fontId="13"/>
  </si>
  <si>
    <t xml:space="preserve">保証書  取説  </t>
    <rPh sb="5" eb="7">
      <t>トリセツ</t>
    </rPh>
    <phoneticPr fontId="13"/>
  </si>
  <si>
    <t>豊田 300 ね 3686</t>
    <rPh sb="0" eb="2">
      <t>トヨタ</t>
    </rPh>
    <phoneticPr fontId="13"/>
  </si>
  <si>
    <t>市古 昌明</t>
    <rPh sb="0" eb="2">
      <t>イチコ</t>
    </rPh>
    <rPh sb="3" eb="4">
      <t>ショウ</t>
    </rPh>
    <rPh sb="4" eb="5">
      <t>メイ</t>
    </rPh>
    <phoneticPr fontId="13"/>
  </si>
  <si>
    <t>ｽｽﾞｷﾌｧｲﾅﾝｽ株式会社</t>
    <rPh sb="10" eb="14">
      <t>カブシキガイシャ</t>
    </rPh>
    <phoneticPr fontId="13"/>
  </si>
  <si>
    <t>品川 5X3 ろ 1408</t>
    <rPh sb="0" eb="2">
      <t>シナガワ</t>
    </rPh>
    <phoneticPr fontId="13"/>
  </si>
  <si>
    <t>品川 5X3 ろ 1410</t>
    <rPh sb="0" eb="2">
      <t>シナガワ</t>
    </rPh>
    <phoneticPr fontId="13"/>
  </si>
  <si>
    <t>大阪 480 も 9640</t>
    <rPh sb="0" eb="2">
      <t>オオサカ</t>
    </rPh>
    <phoneticPr fontId="13"/>
  </si>
  <si>
    <t>保証書  取説  ﾅﾋﾞ取 ﾅﾝﾊﾞｰ</t>
    <rPh sb="5" eb="7">
      <t>トリセツ</t>
    </rPh>
    <rPh sb="12" eb="13">
      <t>トリ</t>
    </rPh>
    <phoneticPr fontId="13"/>
  </si>
  <si>
    <t>大阪 399 ゆ 2439</t>
    <rPh sb="0" eb="2">
      <t>オオサカ</t>
    </rPh>
    <phoneticPr fontId="13"/>
  </si>
  <si>
    <t>ﾈｯﾂﾄﾖﾀﾆｭｰﾘｰ北大阪株式会社</t>
    <rPh sb="11" eb="14">
      <t>キタオオサカ</t>
    </rPh>
    <rPh sb="14" eb="18">
      <t>カブシキガイシャ</t>
    </rPh>
    <phoneticPr fontId="13"/>
  </si>
  <si>
    <t>整備手帳 取説(車内)保証書</t>
    <rPh sb="0" eb="4">
      <t>セイビテチョウ</t>
    </rPh>
    <rPh sb="5" eb="7">
      <t>トリセツ</t>
    </rPh>
    <rPh sb="11" eb="14">
      <t>ホショウショ</t>
    </rPh>
    <phoneticPr fontId="13"/>
  </si>
  <si>
    <t>江東 399 さ 6705</t>
    <rPh sb="0" eb="2">
      <t>エトウ</t>
    </rPh>
    <phoneticPr fontId="13"/>
  </si>
  <si>
    <t>品川 5X3 ろ 1407</t>
    <rPh sb="0" eb="2">
      <t>シナガワ</t>
    </rPh>
    <phoneticPr fontId="13"/>
  </si>
  <si>
    <t>品川 5X3 ろ 1409</t>
    <rPh sb="0" eb="2">
      <t>シナガワ</t>
    </rPh>
    <phoneticPr fontId="13"/>
  </si>
  <si>
    <t>川邉 知弘</t>
    <rPh sb="0" eb="2">
      <t>カワナベ</t>
    </rPh>
    <rPh sb="3" eb="4">
      <t>チ</t>
    </rPh>
    <rPh sb="4" eb="5">
      <t>ヒロシ</t>
    </rPh>
    <phoneticPr fontId="13"/>
  </si>
  <si>
    <t>萩 成美</t>
    <rPh sb="0" eb="1">
      <t>ハギ</t>
    </rPh>
    <rPh sb="2" eb="4">
      <t>ナルミ</t>
    </rPh>
    <phoneticPr fontId="13"/>
  </si>
  <si>
    <t>広島 580 も 9106</t>
    <rPh sb="0" eb="2">
      <t>ヒロシマ</t>
    </rPh>
    <phoneticPr fontId="13"/>
  </si>
  <si>
    <t>ﾀﾞｲﾊﾂ販売株式会社</t>
    <rPh sb="5" eb="11">
      <t>ハンバイカブシキガイシャ</t>
    </rPh>
    <phoneticPr fontId="13"/>
  </si>
  <si>
    <t>なにわ 5P9 ろ 2888</t>
    <phoneticPr fontId="13"/>
  </si>
  <si>
    <t>堺 580 て 5256</t>
    <rPh sb="0" eb="1">
      <t>サカイ</t>
    </rPh>
    <phoneticPr fontId="13"/>
  </si>
  <si>
    <t>京都 582 な 2659</t>
    <rPh sb="0" eb="2">
      <t>キョウト</t>
    </rPh>
    <phoneticPr fontId="13"/>
  </si>
  <si>
    <t>株式会社ｽｽﾞｷ自販関西枚方営業所</t>
    <rPh sb="0" eb="4">
      <t>カブシキガイシャ</t>
    </rPh>
    <rPh sb="8" eb="10">
      <t>ジハン</t>
    </rPh>
    <rPh sb="10" eb="12">
      <t>カンサイ</t>
    </rPh>
    <rPh sb="12" eb="14">
      <t>ヒラカタ</t>
    </rPh>
    <rPh sb="14" eb="17">
      <t>エイギョウショ</t>
    </rPh>
    <phoneticPr fontId="13"/>
  </si>
  <si>
    <t>江東 399 さ 6716</t>
    <rPh sb="0" eb="2">
      <t>エトウ</t>
    </rPh>
    <phoneticPr fontId="13"/>
  </si>
  <si>
    <t>奈良 380 り 18</t>
    <rPh sb="0" eb="2">
      <t>ナラ</t>
    </rPh>
    <phoneticPr fontId="13"/>
  </si>
  <si>
    <t>ﾄﾖﾀﾕﾅｲﾃｯﾄﾞ奈良株式会社</t>
    <rPh sb="10" eb="12">
      <t>ナラ</t>
    </rPh>
    <rPh sb="12" eb="16">
      <t>カブシキガイシャ</t>
    </rPh>
    <phoneticPr fontId="13"/>
  </si>
  <si>
    <t>LATIF ASAD</t>
    <phoneticPr fontId="13"/>
  </si>
  <si>
    <t>島根 581 い 5708</t>
    <rPh sb="0" eb="2">
      <t>シマネ</t>
    </rPh>
    <phoneticPr fontId="13"/>
  </si>
  <si>
    <t>広島 539 ゆ 1031</t>
    <rPh sb="0" eb="2">
      <t>ヒロシマ</t>
    </rPh>
    <phoneticPr fontId="13"/>
  </si>
  <si>
    <t>牛山 貴文</t>
    <rPh sb="0" eb="2">
      <t>ウシヤマ</t>
    </rPh>
    <rPh sb="3" eb="5">
      <t>タカフミ</t>
    </rPh>
    <phoneticPr fontId="13"/>
  </si>
  <si>
    <t>大阪 536 そ 601</t>
    <rPh sb="0" eb="2">
      <t>オオサカ</t>
    </rPh>
    <phoneticPr fontId="13"/>
  </si>
  <si>
    <t>加藤 信之</t>
    <rPh sb="0" eb="2">
      <t>カトウ</t>
    </rPh>
    <rPh sb="3" eb="5">
      <t>ノブユキ</t>
    </rPh>
    <phoneticPr fontId="13"/>
  </si>
  <si>
    <t>WBA7P12010EH83720</t>
    <phoneticPr fontId="13"/>
  </si>
  <si>
    <t>大阪 398 ま 1717</t>
    <rPh sb="0" eb="2">
      <t>オオサカ</t>
    </rPh>
    <phoneticPr fontId="13"/>
  </si>
  <si>
    <t xml:space="preserve"> 保証書 取説 ｷｰﾚｽ</t>
    <rPh sb="1" eb="4">
      <t>ホショウショ</t>
    </rPh>
    <rPh sb="5" eb="7">
      <t>トリセツ</t>
    </rPh>
    <phoneticPr fontId="13"/>
  </si>
  <si>
    <t>練馬 345 た 3939</t>
    <rPh sb="0" eb="2">
      <t>ネリマ</t>
    </rPh>
    <phoneticPr fontId="13"/>
  </si>
  <si>
    <t>清水 雄峰</t>
    <rPh sb="0" eb="2">
      <t>シミズ</t>
    </rPh>
    <rPh sb="3" eb="4">
      <t>オス</t>
    </rPh>
    <rPh sb="4" eb="5">
      <t>ミネ</t>
    </rPh>
    <phoneticPr fontId="13"/>
  </si>
  <si>
    <t>久留米 300 ら 7692</t>
    <rPh sb="0" eb="3">
      <t>クルメ</t>
    </rPh>
    <phoneticPr fontId="13"/>
  </si>
  <si>
    <t>坂田 幸治</t>
    <rPh sb="0" eb="2">
      <t>サカタ</t>
    </rPh>
    <rPh sb="3" eb="5">
      <t>コウジ</t>
    </rPh>
    <phoneticPr fontId="13"/>
  </si>
  <si>
    <t>582 う 653</t>
    <phoneticPr fontId="13"/>
  </si>
  <si>
    <t>582 う 651</t>
    <phoneticPr fontId="13"/>
  </si>
  <si>
    <t>582 う 652</t>
    <phoneticPr fontId="13"/>
  </si>
  <si>
    <t>501 ゆ 3950</t>
    <phoneticPr fontId="13"/>
  </si>
  <si>
    <r>
      <t xml:space="preserve">保証書 取説 ｷｰﾚｽ </t>
    </r>
    <r>
      <rPr>
        <sz val="11"/>
        <color rgb="FFFF0000"/>
        <rFont val="ＭＳ Ｐゴシック"/>
        <family val="3"/>
        <charset val="128"/>
        <scheme val="minor"/>
      </rPr>
      <t>SD問い合わせ中</t>
    </r>
    <r>
      <rPr>
        <sz val="11"/>
        <color theme="4" tint="-0.499984740745262"/>
        <rFont val="ＭＳ Ｐゴシック"/>
        <family val="3"/>
        <charset val="128"/>
        <scheme val="minor"/>
      </rPr>
      <t>映らないｸﾚｰﾑ良さんへ</t>
    </r>
    <rPh sb="0" eb="3">
      <t>ホショウショ</t>
    </rPh>
    <rPh sb="4" eb="6">
      <t>トリセツ</t>
    </rPh>
    <rPh sb="14" eb="15">
      <t>ト</t>
    </rPh>
    <rPh sb="16" eb="17">
      <t>ア</t>
    </rPh>
    <rPh sb="19" eb="20">
      <t>チュウ</t>
    </rPh>
    <rPh sb="20" eb="21">
      <t>ウツ</t>
    </rPh>
    <rPh sb="28" eb="29">
      <t>リョウ</t>
    </rPh>
    <phoneticPr fontId="13"/>
  </si>
  <si>
    <t>27-2881</t>
  </si>
  <si>
    <t>27-2882</t>
  </si>
  <si>
    <t>27-2883</t>
  </si>
  <si>
    <t>27-2884</t>
  </si>
  <si>
    <t>27-2885</t>
  </si>
  <si>
    <t>27-2886</t>
  </si>
  <si>
    <t>VWｻﾞ･ﾋﾞｰﾄﾙ　ﾃﾞｻﾞｲﾝﾚｻﾞｰP</t>
    <phoneticPr fontId="13"/>
  </si>
  <si>
    <t>WVWZZZ16ZDM641123</t>
    <phoneticPr fontId="13"/>
  </si>
  <si>
    <t>横浜　334　め　1255</t>
    <rPh sb="0" eb="2">
      <t>ヨコハマ</t>
    </rPh>
    <phoneticPr fontId="13"/>
  </si>
  <si>
    <t>JF3-5326346</t>
    <phoneticPr fontId="13"/>
  </si>
  <si>
    <t>27-2887</t>
  </si>
  <si>
    <t>27-2888</t>
  </si>
  <si>
    <t>27-2889</t>
  </si>
  <si>
    <t>27-2890</t>
  </si>
  <si>
    <t>27-2891</t>
  </si>
  <si>
    <t>27-2892</t>
  </si>
  <si>
    <t>27-2893</t>
  </si>
  <si>
    <t>27-2894</t>
  </si>
  <si>
    <t>27-2895</t>
  </si>
  <si>
    <t>ｳﾞｫｸｼｰ　ZS　ｷﾗﾒｷ</t>
    <phoneticPr fontId="13"/>
  </si>
  <si>
    <t>ZRR80-0225674</t>
    <phoneticPr fontId="13"/>
  </si>
  <si>
    <t>DA17W-259893</t>
    <phoneticPr fontId="13"/>
  </si>
  <si>
    <t>ﾙｰﾃｼｱ　ｲﾝﾃﾝｽ　ﾃｯｸﾊﾟｯｸ</t>
    <phoneticPr fontId="13"/>
  </si>
  <si>
    <t>ﾊｽﾗｰ　Jｽﾀｲﾙ2ﾀｰﾎﾞ</t>
    <phoneticPr fontId="13"/>
  </si>
  <si>
    <t>MR52S-312755</t>
    <phoneticPr fontId="13"/>
  </si>
  <si>
    <t>LA650S-0118626</t>
    <phoneticPr fontId="13"/>
  </si>
  <si>
    <t>ﾌﾚｱ　XG</t>
    <phoneticPr fontId="13"/>
  </si>
  <si>
    <t>MJ34S-101857</t>
    <phoneticPr fontId="13"/>
  </si>
  <si>
    <t>ｱｳﾃﾞｨA6ｱﾊﾞﾝﾄ　45TFSIｸﾜﾄﾛｽﾎﾟｰﾂ</t>
    <phoneticPr fontId="13"/>
  </si>
  <si>
    <t>ﾜｺﾞﾝR　ﾊｲﾌﾞﾘｯﾄﾞFX-S</t>
    <phoneticPr fontId="13"/>
  </si>
  <si>
    <t>MH95S-230571</t>
    <phoneticPr fontId="13"/>
  </si>
  <si>
    <t>ﾊｽﾗｰ　JｽﾀｲﾙⅡ</t>
    <phoneticPr fontId="13"/>
  </si>
  <si>
    <t>MR41S-211637</t>
    <phoneticPr fontId="13"/>
  </si>
  <si>
    <t>MH95S-230005</t>
    <phoneticPr fontId="13"/>
  </si>
  <si>
    <t>ｷｬｽﾄ　ｽﾀｲﾙGﾌﾟﾗｲﾑｺﾚｸｼｮﾝSaⅢ</t>
    <phoneticPr fontId="13"/>
  </si>
  <si>
    <t>LA250S-0138078</t>
    <phoneticPr fontId="13"/>
  </si>
  <si>
    <t>ｳｪｲｸ　G　ﾀｰﾎﾞ</t>
    <phoneticPr fontId="13"/>
  </si>
  <si>
    <t>LA700S-0056068</t>
    <phoneticPr fontId="13"/>
  </si>
  <si>
    <t>ﾑｰｳﾞｶｽﾀﾑ　ｶｽﾀﾑX</t>
    <phoneticPr fontId="13"/>
  </si>
  <si>
    <t>LA150S-0020954</t>
    <phoneticPr fontId="13"/>
  </si>
  <si>
    <t>ｽﾍﾟｰｼｱｷﾞｱ　ﾊｲﾌﾞﾘｯﾄﾞXZ</t>
    <phoneticPr fontId="13"/>
  </si>
  <si>
    <t>MK53S-502454</t>
    <phoneticPr fontId="13"/>
  </si>
  <si>
    <t>MﾍﾞﾝﾂE200　AVGｽﾎﾟｰﾂ</t>
    <phoneticPr fontId="13"/>
  </si>
  <si>
    <t>27-2896</t>
  </si>
  <si>
    <t>27-2897</t>
  </si>
  <si>
    <t>京都　302　め　7393</t>
    <rPh sb="0" eb="2">
      <t>キョウト</t>
    </rPh>
    <phoneticPr fontId="13"/>
  </si>
  <si>
    <t>ﾌﾞﾗｳﾝⅡ</t>
    <phoneticPr fontId="13"/>
  </si>
  <si>
    <t>青Ⅱ</t>
    <rPh sb="0" eb="1">
      <t>アオ</t>
    </rPh>
    <phoneticPr fontId="13"/>
  </si>
  <si>
    <t>WAUZZZF20LN044854</t>
    <phoneticPr fontId="13"/>
  </si>
  <si>
    <t>高松　310　さ　218</t>
    <rPh sb="0" eb="2">
      <t>タカマツ</t>
    </rPh>
    <phoneticPr fontId="13"/>
  </si>
  <si>
    <t>山口　580　わ　6769</t>
    <rPh sb="0" eb="2">
      <t>ヤマグチ</t>
    </rPh>
    <phoneticPr fontId="13"/>
  </si>
  <si>
    <t>山口　580　わ　6765</t>
    <rPh sb="0" eb="2">
      <t>ヤマグチ</t>
    </rPh>
    <phoneticPr fontId="13"/>
  </si>
  <si>
    <t>Dﾌﾞﾙｰ</t>
    <phoneticPr fontId="13"/>
  </si>
  <si>
    <t>広島　584　う　48</t>
    <rPh sb="0" eb="2">
      <t>ヒロシマ</t>
    </rPh>
    <phoneticPr fontId="13"/>
  </si>
  <si>
    <t>WDD2130422A010691</t>
    <phoneticPr fontId="13"/>
  </si>
  <si>
    <t>倉敷　300　ぬ　7980</t>
    <rPh sb="0" eb="2">
      <t>クラシキ</t>
    </rPh>
    <phoneticPr fontId="13"/>
  </si>
  <si>
    <t>27-2898</t>
  </si>
  <si>
    <t>S710V-0110514</t>
    <phoneticPr fontId="13"/>
  </si>
  <si>
    <t>鳥取　480　た　1516</t>
    <rPh sb="0" eb="2">
      <t>トットリ</t>
    </rPh>
    <phoneticPr fontId="13"/>
  </si>
  <si>
    <t>ﾚｳﾞｫｰｸﾞ 1.6 GT ｱｲｻｲﾄ Sｽﾀｲﾙ</t>
    <phoneticPr fontId="13"/>
  </si>
  <si>
    <t>27-2899</t>
  </si>
  <si>
    <t>WAUZZZGA8KA000404</t>
    <phoneticPr fontId="13"/>
  </si>
  <si>
    <t xml:space="preserve">ｱｳﾃﾞｨ Q2 </t>
    <phoneticPr fontId="13"/>
  </si>
  <si>
    <t>27-2900</t>
  </si>
  <si>
    <t>27-2901</t>
  </si>
  <si>
    <t>27-2902</t>
  </si>
  <si>
    <t>ｴﾌﾞﾘｨﾜｺﾞﾝ PALTDｾｰﾌﾃｨｻﾎﾟｰﾄ</t>
    <phoneticPr fontId="13"/>
  </si>
  <si>
    <t>DA17V-583718</t>
    <phoneticPr fontId="13"/>
  </si>
  <si>
    <t>GFC27-045749</t>
    <phoneticPr fontId="13"/>
  </si>
  <si>
    <t>ｶﾛｰﾗﾌｨｰﾙﾀﾞｰEX</t>
    <phoneticPr fontId="13"/>
  </si>
  <si>
    <t>NRE161-0117774</t>
    <phoneticPr fontId="13"/>
  </si>
  <si>
    <t>鳥取 309 も 111</t>
    <rPh sb="0" eb="2">
      <t>トットリ</t>
    </rPh>
    <phoneticPr fontId="13"/>
  </si>
  <si>
    <t>福山 581 こ 4268</t>
    <rPh sb="0" eb="2">
      <t>フクヤマ</t>
    </rPh>
    <phoneticPr fontId="13"/>
  </si>
  <si>
    <t>広島 582 せ 7583</t>
    <rPh sb="0" eb="2">
      <t>ヒロシマ</t>
    </rPh>
    <phoneticPr fontId="13"/>
  </si>
  <si>
    <t>北浦 勝</t>
    <rPh sb="0" eb="2">
      <t>キタウラ</t>
    </rPh>
    <rPh sb="3" eb="4">
      <t>カツ</t>
    </rPh>
    <phoneticPr fontId="13"/>
  </si>
  <si>
    <t>島根 581 け 1516</t>
    <rPh sb="0" eb="2">
      <t>シマネ</t>
    </rPh>
    <phoneticPr fontId="13"/>
  </si>
  <si>
    <t>山藤 敬</t>
    <rPh sb="0" eb="2">
      <t>ヤマフジ</t>
    </rPh>
    <rPh sb="3" eb="4">
      <t>ケイ</t>
    </rPh>
    <phoneticPr fontId="13"/>
  </si>
  <si>
    <t>品川 5X3 ろ 809</t>
    <rPh sb="0" eb="2">
      <t>シナガワ</t>
    </rPh>
    <phoneticPr fontId="13"/>
  </si>
  <si>
    <t>堺 584 や 121</t>
    <rPh sb="0" eb="1">
      <t>サカイ</t>
    </rPh>
    <phoneticPr fontId="13"/>
  </si>
  <si>
    <t>保証書  取説  ﾅﾋﾞ取 ｷｰﾚｽ SD</t>
    <rPh sb="5" eb="7">
      <t>トリセツ</t>
    </rPh>
    <rPh sb="12" eb="13">
      <t>トリ</t>
    </rPh>
    <phoneticPr fontId="13"/>
  </si>
  <si>
    <t>和泉 581 の 4936</t>
    <rPh sb="0" eb="2">
      <t>イズミ</t>
    </rPh>
    <phoneticPr fontId="13"/>
  </si>
  <si>
    <t>株式会社南海ｽｽﾞｷ</t>
    <rPh sb="0" eb="6">
      <t>カブシキガイシャナンカイ</t>
    </rPh>
    <phoneticPr fontId="13"/>
  </si>
  <si>
    <t>なにわ 39A み 3620</t>
    <phoneticPr fontId="13"/>
  </si>
  <si>
    <t>川村 遼</t>
    <rPh sb="0" eb="2">
      <t>カワムラ</t>
    </rPh>
    <rPh sb="3" eb="4">
      <t>リョウ</t>
    </rPh>
    <phoneticPr fontId="13"/>
  </si>
  <si>
    <t>名古屋 780 ろ 6606</t>
    <rPh sb="0" eb="3">
      <t>ナゴヤ</t>
    </rPh>
    <phoneticPr fontId="13"/>
  </si>
  <si>
    <t>岡山 583 め 1257</t>
    <rPh sb="0" eb="2">
      <t>オカヤマ</t>
    </rPh>
    <phoneticPr fontId="13"/>
  </si>
  <si>
    <t>東中国ｽｽﾞｷ自動車株式会社岡山営業所</t>
    <rPh sb="0" eb="1">
      <t>ヒガシ</t>
    </rPh>
    <rPh sb="1" eb="3">
      <t>チュウゴク</t>
    </rPh>
    <rPh sb="9" eb="13">
      <t>カブシキガイシャ</t>
    </rPh>
    <rPh sb="13" eb="15">
      <t>オカヤマ</t>
    </rPh>
    <rPh sb="15" eb="18">
      <t>エイギョウショ</t>
    </rPh>
    <phoneticPr fontId="13"/>
  </si>
  <si>
    <t>姫路 552 ち 88</t>
    <rPh sb="0" eb="2">
      <t>ヒメジ</t>
    </rPh>
    <phoneticPr fontId="13"/>
  </si>
  <si>
    <t>筑豊 333 と 1102</t>
    <rPh sb="0" eb="2">
      <t>チクホウ</t>
    </rPh>
    <phoneticPr fontId="13"/>
  </si>
  <si>
    <t>株式会社九州ﾏﾂﾀﾞ</t>
    <rPh sb="0" eb="4">
      <t>カブシキガイシャ</t>
    </rPh>
    <rPh sb="4" eb="6">
      <t>キュウシュウ</t>
    </rPh>
    <phoneticPr fontId="13"/>
  </si>
  <si>
    <t>地図SD(車内) 保証書 取説 ﾅﾋﾞ取 ｽﾍﾟｱｷｰ</t>
    <rPh sb="0" eb="2">
      <t>チズ</t>
    </rPh>
    <rPh sb="9" eb="12">
      <t>ホショウショ</t>
    </rPh>
    <rPh sb="13" eb="15">
      <t>トリセツ</t>
    </rPh>
    <rPh sb="19" eb="20">
      <t>トリ</t>
    </rPh>
    <phoneticPr fontId="13"/>
  </si>
  <si>
    <t>奈良 430 と 611</t>
    <rPh sb="0" eb="2">
      <t>ナラ</t>
    </rPh>
    <phoneticPr fontId="13"/>
  </si>
  <si>
    <t>川越 300 ぬ 3272</t>
    <rPh sb="0" eb="2">
      <t>カワゴエ</t>
    </rPh>
    <phoneticPr fontId="13"/>
  </si>
  <si>
    <t>田鹿 政史</t>
    <rPh sb="0" eb="1">
      <t>タ</t>
    </rPh>
    <rPh sb="1" eb="2">
      <t>シカ</t>
    </rPh>
    <rPh sb="3" eb="4">
      <t>マサ</t>
    </rPh>
    <rPh sb="4" eb="5">
      <t>シ</t>
    </rPh>
    <phoneticPr fontId="13"/>
  </si>
  <si>
    <t>距離おかしい問い合わせ中 保証書 取説</t>
    <rPh sb="0" eb="2">
      <t>キョリ</t>
    </rPh>
    <rPh sb="6" eb="7">
      <t>ト</t>
    </rPh>
    <rPh sb="8" eb="9">
      <t>ア</t>
    </rPh>
    <rPh sb="11" eb="12">
      <t>チュウ</t>
    </rPh>
    <rPh sb="13" eb="16">
      <t>ホショウショ</t>
    </rPh>
    <rPh sb="17" eb="19">
      <t>トリセツ</t>
    </rPh>
    <phoneticPr fontId="13"/>
  </si>
  <si>
    <t>SD USS神戸タカヒラさん連絡あり</t>
    <rPh sb="6" eb="8">
      <t>コウベ</t>
    </rPh>
    <rPh sb="14" eb="16">
      <t>レンラク</t>
    </rPh>
    <phoneticPr fontId="13"/>
  </si>
  <si>
    <t>稲田 和貴</t>
    <rPh sb="0" eb="2">
      <t>イナダ</t>
    </rPh>
    <rPh sb="3" eb="5">
      <t>カズタカ</t>
    </rPh>
    <phoneticPr fontId="13"/>
  </si>
  <si>
    <t>車庫出し 取説(車内) ｷｰﾚｽ</t>
    <rPh sb="0" eb="3">
      <t>シャコダ</t>
    </rPh>
    <rPh sb="5" eb="7">
      <t>トリセツ</t>
    </rPh>
    <phoneticPr fontId="13"/>
  </si>
  <si>
    <t>神戸 304 や 2068</t>
    <rPh sb="0" eb="2">
      <t>コウベ</t>
    </rPh>
    <phoneticPr fontId="13"/>
  </si>
  <si>
    <t>名古屋 333 る 2019</t>
    <rPh sb="0" eb="3">
      <t>ナゴヤ</t>
    </rPh>
    <phoneticPr fontId="13"/>
  </si>
  <si>
    <t>The Vehicles株式会社</t>
    <rPh sb="12" eb="16">
      <t>カブシキガイシャ</t>
    </rPh>
    <phoneticPr fontId="13"/>
  </si>
  <si>
    <t>480 ね 3846</t>
    <phoneticPr fontId="13"/>
  </si>
  <si>
    <t>480 ね 3845</t>
    <phoneticPr fontId="13"/>
  </si>
  <si>
    <t>春日部 580 と 3539</t>
    <rPh sb="0" eb="3">
      <t>カスカベ</t>
    </rPh>
    <phoneticPr fontId="13"/>
  </si>
  <si>
    <t>吉戸 智恵美</t>
    <rPh sb="0" eb="1">
      <t>ヨシ</t>
    </rPh>
    <rPh sb="1" eb="2">
      <t>ト</t>
    </rPh>
    <rPh sb="3" eb="6">
      <t>チエミ</t>
    </rPh>
    <phoneticPr fontId="13"/>
  </si>
  <si>
    <t>岡山 530 み 3816</t>
    <rPh sb="0" eb="2">
      <t>オカヤマ</t>
    </rPh>
    <phoneticPr fontId="13"/>
  </si>
  <si>
    <t>株式会社岡山ﾏﾂﾀﾞ</t>
    <rPh sb="0" eb="4">
      <t>カブシキガイシャ</t>
    </rPh>
    <rPh sb="4" eb="6">
      <t>オカヤマ</t>
    </rPh>
    <phoneticPr fontId="13"/>
  </si>
  <si>
    <t>整備手帳 取説 SD</t>
    <rPh sb="0" eb="4">
      <t>セイビテチョウ</t>
    </rPh>
    <rPh sb="5" eb="7">
      <t>トリセツ</t>
    </rPh>
    <phoneticPr fontId="13"/>
  </si>
  <si>
    <t>神戸 486 ろ 623</t>
    <rPh sb="0" eb="2">
      <t>コウベ</t>
    </rPh>
    <phoneticPr fontId="13"/>
  </si>
  <si>
    <t>滋賀 593 く 818</t>
    <rPh sb="0" eb="2">
      <t>シガ</t>
    </rPh>
    <phoneticPr fontId="13"/>
  </si>
  <si>
    <t>滋賀ﾀﾞｲﾊﾂ販売株式会社</t>
    <rPh sb="0" eb="2">
      <t>シガ</t>
    </rPh>
    <rPh sb="7" eb="13">
      <t>ハンバイカブシキガイシャ</t>
    </rPh>
    <phoneticPr fontId="13"/>
  </si>
  <si>
    <t>川﨑 332 ろ 375</t>
    <rPh sb="0" eb="2">
      <t>カワサキ</t>
    </rPh>
    <phoneticPr fontId="13"/>
  </si>
  <si>
    <t>川野 進</t>
    <rPh sb="0" eb="2">
      <t>カワノ</t>
    </rPh>
    <rPh sb="3" eb="4">
      <t>ススム</t>
    </rPh>
    <phoneticPr fontId="13"/>
  </si>
  <si>
    <t>板橋 583 い 6600</t>
    <rPh sb="0" eb="2">
      <t>イタバシ</t>
    </rPh>
    <phoneticPr fontId="13"/>
  </si>
  <si>
    <t>株式会社ﾎﾝﾀﾞｶｰｽﾞ神奈川西</t>
    <rPh sb="0" eb="4">
      <t>カブシキガイシャ</t>
    </rPh>
    <rPh sb="10" eb="13">
      <t>カナガワ</t>
    </rPh>
    <rPh sb="13" eb="14">
      <t>ニシ</t>
    </rPh>
    <phoneticPr fontId="13"/>
  </si>
  <si>
    <t>諏訪冷機株式会社</t>
    <rPh sb="1" eb="2">
      <t>オトズ</t>
    </rPh>
    <rPh sb="2" eb="4">
      <t>レイキ</t>
    </rPh>
    <rPh sb="4" eb="8">
      <t>カブシキガイシャ</t>
    </rPh>
    <phoneticPr fontId="13"/>
  </si>
  <si>
    <t>要海 秀樹</t>
    <rPh sb="0" eb="1">
      <t>ヨウ</t>
    </rPh>
    <rPh sb="1" eb="2">
      <t>ウミ</t>
    </rPh>
    <rPh sb="3" eb="5">
      <t>ヒデキ</t>
    </rPh>
    <phoneticPr fontId="13"/>
  </si>
  <si>
    <t>福山 580 ふ 3862</t>
    <rPh sb="0" eb="2">
      <t>フクヤマ</t>
    </rPh>
    <phoneticPr fontId="13"/>
  </si>
  <si>
    <t>高宮 絹代</t>
    <rPh sb="0" eb="2">
      <t>タカミヤ</t>
    </rPh>
    <rPh sb="3" eb="5">
      <t>キヌヨ</t>
    </rPh>
    <phoneticPr fontId="13"/>
  </si>
  <si>
    <t>広島 587 ろ 18</t>
    <rPh sb="0" eb="2">
      <t>ヒロシマ</t>
    </rPh>
    <phoneticPr fontId="13"/>
  </si>
  <si>
    <t>岡山 581 こ 7011</t>
    <rPh sb="0" eb="2">
      <t>オカヤマ</t>
    </rPh>
    <phoneticPr fontId="13"/>
  </si>
  <si>
    <t>中森 正樹</t>
    <rPh sb="0" eb="2">
      <t>ナカモリ</t>
    </rPh>
    <rPh sb="3" eb="5">
      <t>マサキ</t>
    </rPh>
    <phoneticPr fontId="13"/>
  </si>
  <si>
    <t>藤本 明宏</t>
    <rPh sb="0" eb="2">
      <t>フジモト</t>
    </rPh>
    <rPh sb="3" eb="4">
      <t>アキ</t>
    </rPh>
    <rPh sb="4" eb="5">
      <t>ヒロ</t>
    </rPh>
    <phoneticPr fontId="13"/>
  </si>
  <si>
    <t>島根 581 け 146</t>
    <rPh sb="0" eb="2">
      <t>シマネ</t>
    </rPh>
    <phoneticPr fontId="13"/>
  </si>
  <si>
    <t>月森 飛雄馬</t>
    <rPh sb="0" eb="2">
      <t>ツキモリ</t>
    </rPh>
    <rPh sb="3" eb="4">
      <t>ト</t>
    </rPh>
    <rPh sb="4" eb="5">
      <t>オス</t>
    </rPh>
    <rPh sb="5" eb="6">
      <t>ウマ</t>
    </rPh>
    <phoneticPr fontId="13"/>
  </si>
  <si>
    <t>堺 332 て 1238</t>
    <rPh sb="0" eb="1">
      <t>サカイ</t>
    </rPh>
    <phoneticPr fontId="13"/>
  </si>
  <si>
    <t>安田 嘉男</t>
    <rPh sb="0" eb="2">
      <t>ヤスダ</t>
    </rPh>
    <rPh sb="3" eb="5">
      <t>ヨシオ</t>
    </rPh>
    <phoneticPr fontId="13"/>
  </si>
  <si>
    <t>滋賀 581 や 6253</t>
    <rPh sb="0" eb="2">
      <t>シガ</t>
    </rPh>
    <phoneticPr fontId="13"/>
  </si>
  <si>
    <t>株式会社奥村ﾓｰﾀｰｽ</t>
    <rPh sb="0" eb="4">
      <t>カブシキガイシャ</t>
    </rPh>
    <rPh sb="4" eb="6">
      <t>オクムラ</t>
    </rPh>
    <phoneticPr fontId="13"/>
  </si>
  <si>
    <t>保証書 取説 ﾅﾋﾞ取 ｷｰﾚｽ ﾅﾝﾊﾞｰ</t>
    <rPh sb="0" eb="3">
      <t>ホショウショ</t>
    </rPh>
    <rPh sb="4" eb="6">
      <t>トリセツ</t>
    </rPh>
    <rPh sb="10" eb="11">
      <t>トリ</t>
    </rPh>
    <phoneticPr fontId="13"/>
  </si>
  <si>
    <t>世田谷 581 ろ 3646</t>
    <rPh sb="0" eb="3">
      <t>セタガヤ</t>
    </rPh>
    <phoneticPr fontId="13"/>
  </si>
  <si>
    <t>株式会社日産ｶｰﾚﾝﾀﾙｿﾘｭｰｼｮﾝ</t>
    <rPh sb="0" eb="4">
      <t>カブシキガイシャ</t>
    </rPh>
    <rPh sb="4" eb="6">
      <t>ニッサン</t>
    </rPh>
    <phoneticPr fontId="13"/>
  </si>
  <si>
    <t>尾張小牧 589 ろ 1356</t>
    <rPh sb="0" eb="4">
      <t>オワリコマキ</t>
    </rPh>
    <phoneticPr fontId="13"/>
  </si>
  <si>
    <t>和歌山 334 は 728</t>
    <rPh sb="0" eb="3">
      <t>ワカヤマ</t>
    </rPh>
    <phoneticPr fontId="13"/>
  </si>
  <si>
    <t>車内</t>
    <rPh sb="0" eb="2">
      <t>シャナイ</t>
    </rPh>
    <phoneticPr fontId="13"/>
  </si>
  <si>
    <t>保証書 取説 ｷｰﾚｽ ﾜﾝｵｰﾅｰ ﾘﾓｺﾝ</t>
    <rPh sb="0" eb="3">
      <t>ホショウショ</t>
    </rPh>
    <rPh sb="4" eb="6">
      <t>トリセツ</t>
    </rPh>
    <phoneticPr fontId="13"/>
  </si>
  <si>
    <t>なにわ 344 の 717</t>
    <phoneticPr fontId="13"/>
  </si>
  <si>
    <t>取説 ｷｰﾚｽ ﾜﾝｵｰﾅｰ？</t>
    <rPh sb="0" eb="2">
      <t>トリセツ</t>
    </rPh>
    <phoneticPr fontId="13"/>
  </si>
  <si>
    <t>株式会社NEXT INNOVATION</t>
    <rPh sb="0" eb="4">
      <t>カブシキガイシャ</t>
    </rPh>
    <phoneticPr fontId="13"/>
  </si>
  <si>
    <t>和歌山 300 め 3173</t>
    <rPh sb="0" eb="3">
      <t>ワカヤマ</t>
    </rPh>
    <phoneticPr fontId="13"/>
  </si>
  <si>
    <t>繁野 恭佑</t>
    <rPh sb="0" eb="1">
      <t>シゲ</t>
    </rPh>
    <rPh sb="1" eb="2">
      <t>ノ</t>
    </rPh>
    <rPh sb="3" eb="4">
      <t>ヤスシ</t>
    </rPh>
    <rPh sb="4" eb="5">
      <t>ユウ</t>
    </rPh>
    <phoneticPr fontId="13"/>
  </si>
  <si>
    <t>倉敷 399 す 5714</t>
    <rPh sb="0" eb="2">
      <t>クラシキ</t>
    </rPh>
    <phoneticPr fontId="13"/>
  </si>
  <si>
    <t>石原 彰一</t>
    <rPh sb="0" eb="2">
      <t>イシハラ</t>
    </rPh>
    <rPh sb="3" eb="4">
      <t>アキ</t>
    </rPh>
    <rPh sb="4" eb="5">
      <t>イチ</t>
    </rPh>
    <phoneticPr fontId="13"/>
  </si>
  <si>
    <t xml:space="preserve"> 保証書 取説 新車保+認定保</t>
    <rPh sb="1" eb="4">
      <t>ホショウショ</t>
    </rPh>
    <rPh sb="5" eb="7">
      <t>トリセツ</t>
    </rPh>
    <rPh sb="8" eb="10">
      <t>シンシャ</t>
    </rPh>
    <rPh sb="10" eb="11">
      <t>ホ</t>
    </rPh>
    <rPh sb="12" eb="14">
      <t>ニンテイ</t>
    </rPh>
    <rPh sb="14" eb="15">
      <t>ホ</t>
    </rPh>
    <phoneticPr fontId="13"/>
  </si>
  <si>
    <t>和泉 59A さ 2804</t>
    <rPh sb="0" eb="2">
      <t>イズミ</t>
    </rPh>
    <phoneticPr fontId="13"/>
  </si>
  <si>
    <t>保証書 取説 ﾅﾋﾞ取 ｷｰﾚｽ ﾚﾝﾀｶｰ</t>
    <rPh sb="0" eb="3">
      <t>ホショウショ</t>
    </rPh>
    <rPh sb="4" eb="6">
      <t>トリセツ</t>
    </rPh>
    <rPh sb="10" eb="11">
      <t>トリ</t>
    </rPh>
    <phoneticPr fontId="13"/>
  </si>
  <si>
    <t>山口 343 り 19</t>
    <rPh sb="0" eb="2">
      <t>ヤマグチ</t>
    </rPh>
    <phoneticPr fontId="13"/>
  </si>
  <si>
    <t>藤田 紀喜</t>
    <rPh sb="0" eb="2">
      <t>フジタ</t>
    </rPh>
    <rPh sb="3" eb="4">
      <t>キ</t>
    </rPh>
    <rPh sb="4" eb="5">
      <t>キ</t>
    </rPh>
    <phoneticPr fontId="13"/>
  </si>
  <si>
    <t>岡山 581 ま 4853</t>
    <rPh sb="0" eb="2">
      <t>オカヤマ</t>
    </rPh>
    <phoneticPr fontId="13"/>
  </si>
  <si>
    <t>福山 336 す 1130</t>
    <rPh sb="0" eb="2">
      <t>フクヤマ</t>
    </rPh>
    <phoneticPr fontId="13"/>
  </si>
  <si>
    <t>品川 39A め 5793</t>
    <rPh sb="0" eb="2">
      <t>シナガワ</t>
    </rPh>
    <phoneticPr fontId="13"/>
  </si>
  <si>
    <t>つくば 371 ゆ 10</t>
    <phoneticPr fontId="13"/>
  </si>
  <si>
    <t>伊藤 拓夫</t>
    <rPh sb="0" eb="2">
      <t>イトウ</t>
    </rPh>
    <rPh sb="3" eb="5">
      <t>タクオ</t>
    </rPh>
    <phoneticPr fontId="13"/>
  </si>
  <si>
    <t>堺 334 の 221</t>
    <rPh sb="0" eb="1">
      <t>サカイ</t>
    </rPh>
    <phoneticPr fontId="13"/>
  </si>
  <si>
    <t>土浦 532 ゆ 307</t>
    <rPh sb="0" eb="2">
      <t>ツチウラ</t>
    </rPh>
    <phoneticPr fontId="13"/>
  </si>
  <si>
    <t>額賀 雄純</t>
    <rPh sb="0" eb="1">
      <t>ガク</t>
    </rPh>
    <rPh sb="3" eb="4">
      <t>オ</t>
    </rPh>
    <rPh sb="4" eb="5">
      <t>ジュン</t>
    </rPh>
    <phoneticPr fontId="13"/>
  </si>
  <si>
    <t>所沢 300 ゆ 3103</t>
    <rPh sb="0" eb="2">
      <t>トコロザワ</t>
    </rPh>
    <phoneticPr fontId="13"/>
  </si>
  <si>
    <t>品田 信朗</t>
    <rPh sb="0" eb="2">
      <t>シナダ</t>
    </rPh>
    <rPh sb="3" eb="4">
      <t>ノブ</t>
    </rPh>
    <rPh sb="4" eb="5">
      <t>ロウ</t>
    </rPh>
    <phoneticPr fontId="13"/>
  </si>
  <si>
    <t>所沢 330 さ 4840</t>
    <rPh sb="0" eb="2">
      <t>トコロザワ</t>
    </rPh>
    <phoneticPr fontId="13"/>
  </si>
  <si>
    <t>江村 幸博</t>
    <rPh sb="0" eb="2">
      <t>エムラ</t>
    </rPh>
    <rPh sb="3" eb="4">
      <t>ユキ</t>
    </rPh>
    <rPh sb="4" eb="5">
      <t>ヒロシ</t>
    </rPh>
    <phoneticPr fontId="13"/>
  </si>
  <si>
    <t>和泉 301 む 5539</t>
    <rPh sb="0" eb="2">
      <t>イズミ</t>
    </rPh>
    <phoneticPr fontId="13"/>
  </si>
  <si>
    <t>株式会社E&amp;K</t>
    <rPh sb="0" eb="4">
      <t>カブシキガイシャ</t>
    </rPh>
    <phoneticPr fontId="13"/>
  </si>
  <si>
    <t>松本 580 わ 2499</t>
    <rPh sb="0" eb="2">
      <t>マツモト</t>
    </rPh>
    <phoneticPr fontId="13"/>
  </si>
  <si>
    <t>世田谷 581 ろ 3650</t>
    <rPh sb="0" eb="3">
      <t>セタガヤ</t>
    </rPh>
    <phoneticPr fontId="13"/>
  </si>
  <si>
    <t>世田谷 581 ろ 3658</t>
    <rPh sb="0" eb="3">
      <t>セタガヤ</t>
    </rPh>
    <phoneticPr fontId="13"/>
  </si>
  <si>
    <t>582 う 908</t>
    <phoneticPr fontId="13"/>
  </si>
  <si>
    <t>582 う 913</t>
    <phoneticPr fontId="13"/>
  </si>
  <si>
    <t>582 う 914</t>
    <phoneticPr fontId="13"/>
  </si>
  <si>
    <t>582 う 916</t>
    <phoneticPr fontId="13"/>
  </si>
  <si>
    <t>582 う 909</t>
    <phoneticPr fontId="13"/>
  </si>
  <si>
    <t>582 う 912</t>
    <phoneticPr fontId="13"/>
  </si>
  <si>
    <t>582 う 915</t>
    <phoneticPr fontId="13"/>
  </si>
  <si>
    <t>480 ね 3872</t>
    <phoneticPr fontId="13"/>
  </si>
  <si>
    <t>582 う 910</t>
    <phoneticPr fontId="13"/>
  </si>
  <si>
    <t>582 う 917</t>
    <phoneticPr fontId="13"/>
  </si>
  <si>
    <t>582 う 911</t>
    <phoneticPr fontId="13"/>
  </si>
  <si>
    <t>株式会社ｱｰﾊﾞﾝﾌﾞﾚｽ</t>
    <rPh sb="0" eb="4">
      <t>カブシキガイシャ</t>
    </rPh>
    <phoneticPr fontId="13"/>
  </si>
  <si>
    <t>映クラ株式会社</t>
    <rPh sb="0" eb="1">
      <t>エイ</t>
    </rPh>
    <rPh sb="3" eb="7">
      <t>カブシキガイシャ</t>
    </rPh>
    <phoneticPr fontId="13"/>
  </si>
  <si>
    <t>立花 賢一</t>
    <rPh sb="0" eb="2">
      <t>タチバナ</t>
    </rPh>
    <rPh sb="3" eb="5">
      <t>ケンイチ</t>
    </rPh>
    <phoneticPr fontId="13"/>
  </si>
  <si>
    <t>山田 芳久</t>
    <rPh sb="0" eb="2">
      <t>ヤマダ</t>
    </rPh>
    <rPh sb="3" eb="4">
      <t>ヨシ</t>
    </rPh>
    <rPh sb="4" eb="5">
      <t>ヒサ</t>
    </rPh>
    <phoneticPr fontId="13"/>
  </si>
  <si>
    <t>林 恭弘</t>
    <rPh sb="0" eb="1">
      <t>ハヤシ</t>
    </rPh>
    <rPh sb="2" eb="4">
      <t>ヤスヒロ</t>
    </rPh>
    <phoneticPr fontId="13"/>
  </si>
  <si>
    <t>大阪 583 ま 3100</t>
    <rPh sb="0" eb="2">
      <t>オオサカ</t>
    </rPh>
    <phoneticPr fontId="13"/>
  </si>
  <si>
    <t>佐藤 辰典</t>
    <rPh sb="0" eb="2">
      <t>サトウ</t>
    </rPh>
    <rPh sb="3" eb="4">
      <t>タツ</t>
    </rPh>
    <rPh sb="4" eb="5">
      <t>テン</t>
    </rPh>
    <phoneticPr fontId="13"/>
  </si>
  <si>
    <t>ｷｬﾝｾﾙ2/7返送</t>
    <rPh sb="8" eb="10">
      <t>ヘンソウ</t>
    </rPh>
    <phoneticPr fontId="13"/>
  </si>
  <si>
    <t>ﾎﾞﾙﾎﾞS60 D4</t>
    <phoneticPr fontId="13"/>
  </si>
  <si>
    <t>所沢 337 す 619</t>
    <rPh sb="0" eb="2">
      <t>トコロザワ</t>
    </rPh>
    <phoneticPr fontId="13"/>
  </si>
  <si>
    <t>中嶋 嵐</t>
    <rPh sb="0" eb="2">
      <t>ナカジマ</t>
    </rPh>
    <rPh sb="3" eb="4">
      <t>アラシ</t>
    </rPh>
    <phoneticPr fontId="13"/>
  </si>
  <si>
    <t>保証書 ｷｰﾚｽ ｶｰﾄﾞｷｰ(車内)</t>
    <rPh sb="0" eb="3">
      <t>ホショウショ</t>
    </rPh>
    <rPh sb="16" eb="18">
      <t>シャナイ</t>
    </rPh>
    <phoneticPr fontId="13"/>
  </si>
  <si>
    <t xml:space="preserve">ﾏｲｸﾛSD(車内)保証書 取説 ｷｰﾚｽ </t>
    <rPh sb="7" eb="9">
      <t>シャナイ</t>
    </rPh>
    <phoneticPr fontId="13"/>
  </si>
  <si>
    <t>地図SD(車内)保証書 取説 ﾅﾋﾞ取 ｷｰﾚｽ</t>
    <rPh sb="0" eb="2">
      <t>チズ</t>
    </rPh>
    <rPh sb="5" eb="7">
      <t>シャナイ</t>
    </rPh>
    <rPh sb="8" eb="11">
      <t>ホショウショ</t>
    </rPh>
    <rPh sb="12" eb="14">
      <t>トリセツ</t>
    </rPh>
    <rPh sb="18" eb="19">
      <t>トリ</t>
    </rPh>
    <phoneticPr fontId="13"/>
  </si>
  <si>
    <t>保証書 ｷｰﾚｽ 地図SD(車内)</t>
    <rPh sb="0" eb="3">
      <t>ホショウショ</t>
    </rPh>
    <rPh sb="9" eb="11">
      <t>チズ</t>
    </rPh>
    <phoneticPr fontId="13"/>
  </si>
  <si>
    <t>ﾏｲｸﾛ地図SD(車内)保証書 取説 ﾅﾋﾞ取 ｷｰﾚｽ ﾜﾝｵｰﾅｰ</t>
    <rPh sb="4" eb="6">
      <t>チズ</t>
    </rPh>
    <rPh sb="12" eb="15">
      <t>ホショウショ</t>
    </rPh>
    <rPh sb="16" eb="18">
      <t>トリセツ</t>
    </rPh>
    <rPh sb="22" eb="23">
      <t>トリ</t>
    </rPh>
    <phoneticPr fontId="13"/>
  </si>
  <si>
    <t>ｷｰﾚｽ(車内)整備手帳 取説</t>
    <rPh sb="8" eb="12">
      <t>セイビテチョウ</t>
    </rPh>
    <rPh sb="13" eb="15">
      <t>トリセツ</t>
    </rPh>
    <phoneticPr fontId="13"/>
  </si>
  <si>
    <t>2/4車内写メあり上がってきてない 保証書 ｷｰﾚｽ</t>
    <rPh sb="3" eb="5">
      <t>シャナイ</t>
    </rPh>
    <rPh sb="5" eb="6">
      <t>シャ</t>
    </rPh>
    <rPh sb="9" eb="10">
      <t>ア</t>
    </rPh>
    <rPh sb="18" eb="21">
      <t>ホショウショ</t>
    </rPh>
    <phoneticPr fontId="13"/>
  </si>
  <si>
    <t>27-2903</t>
  </si>
  <si>
    <t>27-2904</t>
  </si>
  <si>
    <t>27-2905</t>
  </si>
  <si>
    <t>1G6D85RK5M0146544</t>
    <phoneticPr fontId="13"/>
  </si>
  <si>
    <t>VW ｺﾞﾙﾌｳﾞｪﾘｱﾝﾄTSI</t>
    <phoneticPr fontId="13"/>
  </si>
  <si>
    <t>WVWZZZAUZHP788180</t>
    <phoneticPr fontId="13"/>
  </si>
  <si>
    <t>ﾗﾝﾄﾞｸﾙｰｻﾞｰ ﾌﾟﾗﾄﾞ TX</t>
    <phoneticPr fontId="13"/>
  </si>
  <si>
    <t>姫路 301 と 9754</t>
    <rPh sb="0" eb="2">
      <t>ヒメジ</t>
    </rPh>
    <phoneticPr fontId="13"/>
  </si>
  <si>
    <t>ｷｬﾃﾞﾗｯｸ CT5 ｽﾎﾟｰﾂ</t>
    <phoneticPr fontId="13"/>
  </si>
  <si>
    <t>奈良 392 ま 358</t>
    <rPh sb="0" eb="2">
      <t>ナラ</t>
    </rPh>
    <phoneticPr fontId="13"/>
  </si>
  <si>
    <t>27-2906</t>
  </si>
  <si>
    <t>27-2907</t>
  </si>
  <si>
    <t>27-2908</t>
  </si>
  <si>
    <t>27-2909</t>
  </si>
  <si>
    <t>27-2910</t>
  </si>
  <si>
    <t>ﾀﾝﾄｶｽﾀﾑ X ﾄｯﾌﾟｴﾃﾞｨｼｮﾝ</t>
    <phoneticPr fontId="13"/>
  </si>
  <si>
    <t>LA600S-0761828</t>
    <phoneticPr fontId="13"/>
  </si>
  <si>
    <t>ﾌﾟﾘｳｽ S ﾂｰﾘﾝｸﾞｾﾚｸｼｮﾝ</t>
    <phoneticPr fontId="13"/>
  </si>
  <si>
    <t>ZVW30-5752250</t>
    <phoneticPr fontId="13"/>
  </si>
  <si>
    <t>豊橋 312 つ 1111</t>
    <rPh sb="0" eb="2">
      <t>トヨハシ</t>
    </rPh>
    <phoneticPr fontId="13"/>
  </si>
  <si>
    <t>WMWXM720902A73994</t>
    <phoneticPr fontId="13"/>
  </si>
  <si>
    <t>WMWXM520402D02490</t>
    <phoneticPr fontId="13"/>
  </si>
  <si>
    <t>BMWﾐﾆ ｼﾞｮﾝｸｰﾊﾟｰﾜｰｸｽｸﾗﾌﾞﾏﾝ</t>
    <phoneticPr fontId="13"/>
  </si>
  <si>
    <t>WMWJZ920302P00690</t>
    <phoneticPr fontId="13"/>
  </si>
  <si>
    <t>品川 39A め 3484</t>
    <rPh sb="0" eb="2">
      <t>シナガワ</t>
    </rPh>
    <phoneticPr fontId="13"/>
  </si>
  <si>
    <t>神戸 39A そ 9527</t>
    <rPh sb="0" eb="2">
      <t>コウベ</t>
    </rPh>
    <phoneticPr fontId="13"/>
  </si>
  <si>
    <t>TRJ150-0173439</t>
    <phoneticPr fontId="13"/>
  </si>
  <si>
    <t>なにわ 581 き 4978</t>
    <phoneticPr fontId="13"/>
  </si>
  <si>
    <t>株式会社芝田自動車</t>
    <rPh sb="0" eb="4">
      <t>カブシキガイシャ</t>
    </rPh>
    <rPh sb="4" eb="6">
      <t>シバタ</t>
    </rPh>
    <rPh sb="6" eb="9">
      <t>ジドウシャ</t>
    </rPh>
    <phoneticPr fontId="13"/>
  </si>
  <si>
    <t>豊田 583 く 923</t>
    <rPh sb="0" eb="2">
      <t>トヨタ</t>
    </rPh>
    <phoneticPr fontId="13"/>
  </si>
  <si>
    <t>池内 知沙</t>
    <rPh sb="0" eb="2">
      <t>イケウチ</t>
    </rPh>
    <rPh sb="3" eb="4">
      <t>チ</t>
    </rPh>
    <rPh sb="4" eb="5">
      <t>サ</t>
    </rPh>
    <phoneticPr fontId="13"/>
  </si>
  <si>
    <t>27-2911</t>
  </si>
  <si>
    <t>濱野様</t>
    <rPh sb="0" eb="2">
      <t>ハマノ</t>
    </rPh>
    <rPh sb="2" eb="3">
      <t>サマ</t>
    </rPh>
    <phoneticPr fontId="13"/>
  </si>
  <si>
    <t>ZFA3120000J611479</t>
    <phoneticPr fontId="13"/>
  </si>
  <si>
    <t>姫路 538 ま 5003</t>
    <rPh sb="0" eb="2">
      <t>ヒメジ</t>
    </rPh>
    <phoneticPr fontId="13"/>
  </si>
  <si>
    <t>27-2912</t>
  </si>
  <si>
    <t>神吉様</t>
    <rPh sb="0" eb="1">
      <t>カミ</t>
    </rPh>
    <rPh sb="1" eb="2">
      <t>キチ</t>
    </rPh>
    <rPh sb="2" eb="3">
      <t>サマ</t>
    </rPh>
    <phoneticPr fontId="13"/>
  </si>
  <si>
    <t>21/2</t>
    <phoneticPr fontId="13"/>
  </si>
  <si>
    <t>MPV</t>
    <phoneticPr fontId="13"/>
  </si>
  <si>
    <t>LY3P-213301</t>
    <phoneticPr fontId="13"/>
  </si>
  <si>
    <t>姫路 300 ほ 8732</t>
    <rPh sb="0" eb="2">
      <t>ヒメジ</t>
    </rPh>
    <phoneticPr fontId="13"/>
  </si>
  <si>
    <t>神吉 知弘</t>
    <rPh sb="0" eb="1">
      <t>カミ</t>
    </rPh>
    <rPh sb="1" eb="2">
      <t>キチ</t>
    </rPh>
    <rPh sb="3" eb="5">
      <t>チヒロ</t>
    </rPh>
    <phoneticPr fontId="13"/>
  </si>
  <si>
    <t>保証書 取説 ﾅﾋﾞ取</t>
    <rPh sb="0" eb="3">
      <t>ホショウショ</t>
    </rPh>
    <rPh sb="4" eb="6">
      <t>トリセツ</t>
    </rPh>
    <phoneticPr fontId="13"/>
  </si>
  <si>
    <t>諏訪 583 あ 1963</t>
    <phoneticPr fontId="13"/>
  </si>
  <si>
    <t>小尾 しのぶ</t>
    <rPh sb="0" eb="1">
      <t>ショウ</t>
    </rPh>
    <rPh sb="1" eb="2">
      <t>オ</t>
    </rPh>
    <phoneticPr fontId="13"/>
  </si>
  <si>
    <t>O-RUSHｲﾝﾀｰﾝﾅｼｮﾅﾙ株式会社</t>
    <rPh sb="16" eb="20">
      <t>カブシキガイシャ</t>
    </rPh>
    <phoneticPr fontId="13"/>
  </si>
  <si>
    <t>長崎 332 は 922</t>
    <rPh sb="0" eb="2">
      <t>ナガサキ</t>
    </rPh>
    <phoneticPr fontId="13"/>
  </si>
  <si>
    <t>ﾘﾓｺﾝ(車内)保証書 取説 ｷｰﾚｽ</t>
    <rPh sb="8" eb="11">
      <t>ホショウショ</t>
    </rPh>
    <rPh sb="12" eb="14">
      <t>トリセツ</t>
    </rPh>
    <phoneticPr fontId="13"/>
  </si>
  <si>
    <t>山口 397 ま 1</t>
    <rPh sb="0" eb="2">
      <t>ヤマグチ</t>
    </rPh>
    <phoneticPr fontId="13"/>
  </si>
  <si>
    <t>27-2913</t>
  </si>
  <si>
    <t>27-2914</t>
  </si>
  <si>
    <t>27-2915</t>
  </si>
  <si>
    <t>27-2916</t>
  </si>
  <si>
    <t>27-2917</t>
  </si>
  <si>
    <t>27-2918</t>
  </si>
  <si>
    <t>27-2919</t>
  </si>
  <si>
    <t>27-2920</t>
  </si>
  <si>
    <t>27-2921</t>
  </si>
  <si>
    <t>27-2922</t>
  </si>
  <si>
    <t>27-2923</t>
  </si>
  <si>
    <t>27-2924</t>
  </si>
  <si>
    <t>27-2925</t>
  </si>
  <si>
    <t>27-2926</t>
  </si>
  <si>
    <t>27-2927</t>
  </si>
  <si>
    <t>27-2928</t>
  </si>
  <si>
    <t>MR41S-200680</t>
    <phoneticPr fontId="13"/>
  </si>
  <si>
    <t>LA150S-2012075</t>
    <phoneticPr fontId="13"/>
  </si>
  <si>
    <t>MR92S-124894</t>
    <phoneticPr fontId="13"/>
  </si>
  <si>
    <t>HE33S-254461</t>
    <phoneticPr fontId="13"/>
  </si>
  <si>
    <t>LA600S-0772329</t>
    <phoneticPr fontId="13"/>
  </si>
  <si>
    <t>B21A-0515148</t>
    <phoneticPr fontId="13"/>
  </si>
  <si>
    <t>JB23W-741659</t>
    <phoneticPr fontId="13"/>
  </si>
  <si>
    <t>LA250S-0003141</t>
    <phoneticPr fontId="13"/>
  </si>
  <si>
    <t>LA150S-2125181</t>
    <phoneticPr fontId="13"/>
  </si>
  <si>
    <t>LA150S-2125227</t>
    <phoneticPr fontId="13"/>
  </si>
  <si>
    <t>LA150S-2125280</t>
    <phoneticPr fontId="13"/>
  </si>
  <si>
    <t>MK53S-953842</t>
    <phoneticPr fontId="13"/>
  </si>
  <si>
    <t>MR92S-151487</t>
    <phoneticPr fontId="13"/>
  </si>
  <si>
    <t>HA36S-934396</t>
    <phoneticPr fontId="13"/>
  </si>
  <si>
    <t>ﾜｺﾞﾝR　ｽﾏｲﾙ</t>
    <phoneticPr fontId="13"/>
  </si>
  <si>
    <t>MX91S-129679</t>
    <phoneticPr fontId="13"/>
  </si>
  <si>
    <t>JF3-2400699</t>
    <phoneticPr fontId="13"/>
  </si>
  <si>
    <t>JF1-2525845</t>
    <phoneticPr fontId="13"/>
  </si>
  <si>
    <t>ﾀﾝﾄ</t>
    <phoneticPr fontId="13"/>
  </si>
  <si>
    <t>LA600S-0671712</t>
    <phoneticPr fontId="13"/>
  </si>
  <si>
    <t>27-2929</t>
  </si>
  <si>
    <t>27-2930</t>
  </si>
  <si>
    <t>27-2931</t>
  </si>
  <si>
    <t>27-2932</t>
  </si>
  <si>
    <t>27-2933</t>
  </si>
  <si>
    <t>27-2934</t>
  </si>
  <si>
    <t>27-2935</t>
  </si>
  <si>
    <t>27-2936</t>
  </si>
  <si>
    <t>27-2937</t>
  </si>
  <si>
    <t>27-2938</t>
  </si>
  <si>
    <t>27-2939</t>
  </si>
  <si>
    <t>27-2940</t>
  </si>
  <si>
    <t>27-2941</t>
  </si>
  <si>
    <t>27-2942</t>
  </si>
  <si>
    <t>27-2943</t>
  </si>
  <si>
    <t>27-2944</t>
  </si>
  <si>
    <t>27-2945</t>
  </si>
  <si>
    <t>27-2946</t>
  </si>
  <si>
    <t>27-2947</t>
  </si>
  <si>
    <t>27-2948</t>
  </si>
  <si>
    <t>27-2949</t>
  </si>
  <si>
    <t>27-2950</t>
  </si>
  <si>
    <t>27-2951</t>
  </si>
  <si>
    <t>27-2952</t>
  </si>
  <si>
    <t>27-2953</t>
  </si>
  <si>
    <t>27-2954</t>
  </si>
  <si>
    <t>27-2955</t>
  </si>
  <si>
    <t>27-2956</t>
  </si>
  <si>
    <t>27-2957</t>
  </si>
  <si>
    <t>27-2958</t>
  </si>
  <si>
    <t>27-2959</t>
  </si>
  <si>
    <t>27-2960</t>
  </si>
  <si>
    <t>27-2961</t>
  </si>
  <si>
    <t>27-2962</t>
  </si>
  <si>
    <t>27-2963</t>
  </si>
  <si>
    <t>27-2964</t>
  </si>
  <si>
    <t>27-2965</t>
  </si>
  <si>
    <t>27-2966</t>
  </si>
  <si>
    <t>27-2967</t>
  </si>
  <si>
    <t>27-2968</t>
  </si>
  <si>
    <t>27-2969</t>
  </si>
  <si>
    <t>27-2970</t>
  </si>
  <si>
    <t>ｼﾞｬｶﾞｰXF　300ｽﾎﾟｰﾂ</t>
    <phoneticPr fontId="13"/>
  </si>
  <si>
    <t>KH3P-101508</t>
    <phoneticPr fontId="13"/>
  </si>
  <si>
    <t>ｳﾞｪｾﾞﾙ　ﾊｲﾌﾞﾘｯﾄﾞ</t>
    <phoneticPr fontId="13"/>
  </si>
  <si>
    <t>RV5-1002003</t>
    <phoneticPr fontId="13"/>
  </si>
  <si>
    <t>JF3-1259706</t>
    <phoneticPr fontId="13"/>
  </si>
  <si>
    <t>LA600S-0626633</t>
    <phoneticPr fontId="13"/>
  </si>
  <si>
    <t>JH4-1001173</t>
    <phoneticPr fontId="13"/>
  </si>
  <si>
    <t>MK53S-625472</t>
    <phoneticPr fontId="13"/>
  </si>
  <si>
    <t>B44W-0404992</t>
    <phoneticPr fontId="13"/>
  </si>
  <si>
    <t>B44W-0404677</t>
    <phoneticPr fontId="13"/>
  </si>
  <si>
    <t>B44A-0504414</t>
    <phoneticPr fontId="13"/>
  </si>
  <si>
    <t>B44W-0404639</t>
    <phoneticPr fontId="13"/>
  </si>
  <si>
    <t>B44W-0404570</t>
    <phoneticPr fontId="13"/>
  </si>
  <si>
    <t>B44A-0504494</t>
    <phoneticPr fontId="13"/>
  </si>
  <si>
    <t>JG1-1209080</t>
    <phoneticPr fontId="13"/>
  </si>
  <si>
    <t>B44W-0403939</t>
    <phoneticPr fontId="13"/>
  </si>
  <si>
    <t>B44A-0504268</t>
    <phoneticPr fontId="13"/>
  </si>
  <si>
    <t>B44A-0504490</t>
    <phoneticPr fontId="13"/>
  </si>
  <si>
    <t>S510P-0586706</t>
    <phoneticPr fontId="13"/>
  </si>
  <si>
    <t>B6AW-0038147</t>
    <phoneticPr fontId="13"/>
  </si>
  <si>
    <t>S700M-0005175</t>
    <phoneticPr fontId="13"/>
  </si>
  <si>
    <t>HA97S-114077</t>
    <phoneticPr fontId="13"/>
  </si>
  <si>
    <t>ﾌﾟﾘｳｽｱﾙﾌｧ　S</t>
    <phoneticPr fontId="13"/>
  </si>
  <si>
    <t>ZVW40-3107765</t>
    <phoneticPr fontId="13"/>
  </si>
  <si>
    <t>ZVW40-3375714</t>
    <phoneticPr fontId="13"/>
  </si>
  <si>
    <t>ｸﾗｲｽﾗｰｼﾞｰﾌﾟ　ﾗﾝｸﾞﾗｰUL4W　ｻﾊﾗ</t>
    <phoneticPr fontId="13"/>
  </si>
  <si>
    <t>ﾙﾉｰﾄｩｲﾝｺﾞ　ｲﾝﾃﾝｽ</t>
    <phoneticPr fontId="13"/>
  </si>
  <si>
    <t>BMWﾐﾆ　ｸｰﾊﾟｰDXｵｰﾊﾞｰｵｰﾙ4</t>
    <phoneticPr fontId="13"/>
  </si>
  <si>
    <t>BMWﾐﾆ　ｸｰﾊﾟｰSｺﾝﾊﾞｰﾁﾌﾞﾙ</t>
    <phoneticPr fontId="13"/>
  </si>
  <si>
    <t>MH34S-509954</t>
    <phoneticPr fontId="13"/>
  </si>
  <si>
    <t>MXWH65-4005204</t>
    <phoneticPr fontId="13"/>
  </si>
  <si>
    <t>WMW22DV0X02U66376</t>
    <phoneticPr fontId="13"/>
  </si>
  <si>
    <t>HE33S-139112</t>
    <phoneticPr fontId="13"/>
  </si>
  <si>
    <t>N BOX　G　Lﾊﾟｯｹｰｼﾞ</t>
    <phoneticPr fontId="13"/>
  </si>
  <si>
    <t>JF1-1638869</t>
    <phoneticPr fontId="13"/>
  </si>
  <si>
    <t>S660　a</t>
    <phoneticPr fontId="13"/>
  </si>
  <si>
    <t>JW5-1006751</t>
    <phoneticPr fontId="13"/>
  </si>
  <si>
    <t>ﾃﾞｲｽﾞﾙｰｸｽ　ﾗｲﾀﾞｰ　ﾊｲｳｪｲｽﾀｰ</t>
    <phoneticPr fontId="13"/>
  </si>
  <si>
    <t>B21A-0334132</t>
    <phoneticPr fontId="13"/>
  </si>
  <si>
    <t>BP5P-200474</t>
    <phoneticPr fontId="13"/>
  </si>
  <si>
    <t>ｼﾞﾑﾆｰｼｴﾗ　JC</t>
    <phoneticPr fontId="13"/>
  </si>
  <si>
    <t>JB74W-156493</t>
    <phoneticPr fontId="13"/>
  </si>
  <si>
    <t>ﾃﾞﾘｶﾐﾆ　Tﾌﾟﾚﾐｱﾑ</t>
    <phoneticPr fontId="13"/>
  </si>
  <si>
    <t>B38A-0506357</t>
    <phoneticPr fontId="13"/>
  </si>
  <si>
    <t>ﾑｰｳﾞｶｽﾀﾑ　RSﾊｲﾊﾟｰ</t>
    <phoneticPr fontId="13"/>
  </si>
  <si>
    <t>LA150S-2044416</t>
    <phoneticPr fontId="13"/>
  </si>
  <si>
    <t>27-2971</t>
  </si>
  <si>
    <t>27-2972</t>
  </si>
  <si>
    <t>27-2973</t>
  </si>
  <si>
    <t>27-2974</t>
  </si>
  <si>
    <t>27-2975</t>
  </si>
  <si>
    <t>27-2976</t>
  </si>
  <si>
    <t>ｷｬｽﾄ　ｽﾀｲﾙGﾘﾐﾃｯﾄﾞ</t>
    <phoneticPr fontId="13"/>
  </si>
  <si>
    <t>LA250S-0154132</t>
    <phoneticPr fontId="13"/>
  </si>
  <si>
    <t>ﾀｳﾝﾎﾞｯｸｽ　Gｽﾍﾟｼｬﾙ</t>
    <phoneticPr fontId="13"/>
  </si>
  <si>
    <t>DS17W-250211</t>
    <phoneticPr fontId="13"/>
  </si>
  <si>
    <t>ｼｴﾝﾀ　G　車椅子仕様車</t>
    <rPh sb="7" eb="10">
      <t>クルマイス</t>
    </rPh>
    <rPh sb="10" eb="13">
      <t>シヨウシャ</t>
    </rPh>
    <phoneticPr fontId="13"/>
  </si>
  <si>
    <t>NSP172-7003798</t>
    <phoneticPr fontId="13"/>
  </si>
  <si>
    <t>DS17W-280256</t>
    <phoneticPr fontId="13"/>
  </si>
  <si>
    <t>BMWX3　Xﾄﾞﾗｲﾌﾞ　20ｄ　Ｘﾗｲﾝ</t>
    <phoneticPr fontId="13"/>
  </si>
  <si>
    <t>WBATX32050LR76097</t>
    <phoneticPr fontId="13"/>
  </si>
  <si>
    <t>ﾀﾝﾄｶｽﾀﾑ　Xｽﾍﾟｼｬﾙ</t>
    <phoneticPr fontId="13"/>
  </si>
  <si>
    <t>L375S-0662028</t>
    <phoneticPr fontId="13"/>
  </si>
  <si>
    <t>27-2977</t>
  </si>
  <si>
    <t>27-2978</t>
  </si>
  <si>
    <t>27-2979</t>
  </si>
  <si>
    <t>27-2980</t>
  </si>
  <si>
    <t>27-2981</t>
  </si>
  <si>
    <t>27-2982</t>
  </si>
  <si>
    <t>27-2983</t>
  </si>
  <si>
    <t>A326779</t>
    <phoneticPr fontId="13"/>
  </si>
  <si>
    <t>JF3-2342592</t>
    <phoneticPr fontId="13"/>
  </si>
  <si>
    <t>A327190</t>
    <phoneticPr fontId="13"/>
  </si>
  <si>
    <t>MH34S-199358</t>
    <phoneticPr fontId="13"/>
  </si>
  <si>
    <t>A326401</t>
    <phoneticPr fontId="13"/>
  </si>
  <si>
    <t>HE33S-171904</t>
    <phoneticPr fontId="13"/>
  </si>
  <si>
    <t>A324948</t>
    <phoneticPr fontId="13"/>
  </si>
  <si>
    <t>AGH30-0446806</t>
    <phoneticPr fontId="13"/>
  </si>
  <si>
    <t>A322647</t>
    <phoneticPr fontId="13"/>
  </si>
  <si>
    <t>JB64W-290948</t>
    <phoneticPr fontId="13"/>
  </si>
  <si>
    <t>A319602</t>
    <phoneticPr fontId="13"/>
  </si>
  <si>
    <t>HE33S-189230</t>
    <phoneticPr fontId="13"/>
  </si>
  <si>
    <t>A323135</t>
    <phoneticPr fontId="13"/>
  </si>
  <si>
    <t>JC1-1262822</t>
    <phoneticPr fontId="13"/>
  </si>
  <si>
    <t>27-2984</t>
  </si>
  <si>
    <t>LA350S-0328845</t>
    <phoneticPr fontId="13"/>
  </si>
  <si>
    <t>27-2985</t>
  </si>
  <si>
    <t>A326568</t>
    <phoneticPr fontId="13"/>
  </si>
  <si>
    <t>27-2986</t>
  </si>
  <si>
    <t>27-2987</t>
  </si>
  <si>
    <t>27-2988</t>
  </si>
  <si>
    <t>27-2989</t>
  </si>
  <si>
    <t>27-2990</t>
  </si>
  <si>
    <t>27-2991</t>
  </si>
  <si>
    <t>AGH30-0457847</t>
    <phoneticPr fontId="13"/>
  </si>
  <si>
    <t>ﾑｰｳﾞ　XﾘﾐﾃｯﾄﾞSaⅢ</t>
    <phoneticPr fontId="13"/>
  </si>
  <si>
    <t>Lｸﾞﾘｰﾝ</t>
    <phoneticPr fontId="13"/>
  </si>
  <si>
    <t>名古屋　58A　ま　9563</t>
    <rPh sb="0" eb="3">
      <t>ナゴヤ</t>
    </rPh>
    <phoneticPr fontId="13"/>
  </si>
  <si>
    <t>ﾀﾝﾄｶｽﾀﾑ　RS　ﾄｯﾌﾟｴﾃﾞｨｼｮﾝVS　SaⅢ</t>
    <phoneticPr fontId="13"/>
  </si>
  <si>
    <t xml:space="preserve">ﾃﾞｲｽﾞﾙｰｸｽ XVｾﾚｸｼｮﾝ </t>
    <phoneticPr fontId="13"/>
  </si>
  <si>
    <t>ｼﾞﾑﾆｰ　ﾗﾝﾄﾞﾍﾞﾝﾁｬｰ</t>
    <phoneticPr fontId="13"/>
  </si>
  <si>
    <t>富士山　583　や　25</t>
    <rPh sb="0" eb="3">
      <t>フジヤマ</t>
    </rPh>
    <phoneticPr fontId="13"/>
  </si>
  <si>
    <t>ｷｬｽﾄ　ｽﾀｲﾙ　G　SaⅡ</t>
    <phoneticPr fontId="13"/>
  </si>
  <si>
    <t>名古屋　58A　ま　5324</t>
    <rPh sb="0" eb="3">
      <t>ナゴヤ</t>
    </rPh>
    <phoneticPr fontId="13"/>
  </si>
  <si>
    <t>ﾑｰｳﾞ　X　ﾘﾐﾃｯﾄﾞⅡ</t>
    <phoneticPr fontId="13"/>
  </si>
  <si>
    <t>8/11/11</t>
    <phoneticPr fontId="13"/>
  </si>
  <si>
    <t>三重　582　い　7461</t>
    <rPh sb="0" eb="2">
      <t>ミエ</t>
    </rPh>
    <phoneticPr fontId="13"/>
  </si>
  <si>
    <t>岐阜　786　な　1</t>
    <rPh sb="0" eb="2">
      <t>ギフ</t>
    </rPh>
    <phoneticPr fontId="13"/>
  </si>
  <si>
    <t>名古屋　58A　ま　8822</t>
    <rPh sb="0" eb="3">
      <t>ナゴヤ</t>
    </rPh>
    <phoneticPr fontId="13"/>
  </si>
  <si>
    <t>N　BOXｶｽﾀﾑ　Gﾀｰﾎﾞ</t>
    <phoneticPr fontId="13"/>
  </si>
  <si>
    <t>松本　584　ほ　87</t>
    <rPh sb="0" eb="2">
      <t>マツモト</t>
    </rPh>
    <phoneticPr fontId="13"/>
  </si>
  <si>
    <t>9/1/26</t>
    <phoneticPr fontId="13"/>
  </si>
  <si>
    <t>SAJAB4AX3KCP45488</t>
    <phoneticPr fontId="13"/>
  </si>
  <si>
    <t>横浜　304　ゆ　3964</t>
    <rPh sb="0" eb="2">
      <t>ヨコハマ</t>
    </rPh>
    <phoneticPr fontId="13"/>
  </si>
  <si>
    <t>CX-60　XD　Lﾊﾟｯｹｰｼﾞ</t>
    <phoneticPr fontId="13"/>
  </si>
  <si>
    <t>N BOX　G　Lﾎﾝﾀﾞｾﾝｼﾝｸﾞ</t>
    <phoneticPr fontId="13"/>
  </si>
  <si>
    <t>ﾀﾝﾄ　L　SaⅢ</t>
    <phoneticPr fontId="13"/>
  </si>
  <si>
    <t>9/1/29</t>
    <phoneticPr fontId="13"/>
  </si>
  <si>
    <t>Nﾜｺﾞﾝ　Lﾎﾝﾀﾞｾﾝｼﾝｸﾞ</t>
    <phoneticPr fontId="13"/>
  </si>
  <si>
    <t>京都　582　な　3769</t>
    <rPh sb="0" eb="2">
      <t>キョウト</t>
    </rPh>
    <phoneticPr fontId="13"/>
  </si>
  <si>
    <t>堺　580　と　2779</t>
    <rPh sb="0" eb="1">
      <t>サカイ</t>
    </rPh>
    <phoneticPr fontId="13"/>
  </si>
  <si>
    <t>神戸　582　す　915</t>
    <rPh sb="0" eb="2">
      <t>コウベ</t>
    </rPh>
    <phoneticPr fontId="13"/>
  </si>
  <si>
    <t>ﾃﾞｲｽﾞﾊｲｳｪｲｽﾀｰ　ﾊｲｳｪｲｽﾀｰX</t>
    <phoneticPr fontId="13"/>
  </si>
  <si>
    <t>ﾙｰｸｽﾊｲｳｪｲｽﾀｰ　ﾊｲｳｪｲｽﾀｰX</t>
    <phoneticPr fontId="13"/>
  </si>
  <si>
    <t>N　ONE　G　Lﾊﾟｯｹｰｼﾞ</t>
    <phoneticPr fontId="13"/>
  </si>
  <si>
    <t>大阪　582　な　8622</t>
    <rPh sb="0" eb="2">
      <t>オオサカ</t>
    </rPh>
    <phoneticPr fontId="13"/>
  </si>
  <si>
    <t>N BOXｶｽﾀﾑ　Lﾀｰﾎﾞ</t>
    <phoneticPr fontId="13"/>
  </si>
  <si>
    <t>9/12/11</t>
    <phoneticPr fontId="13"/>
  </si>
  <si>
    <t>ｼﾞﾑﾆｰ　XC</t>
    <phoneticPr fontId="13"/>
  </si>
  <si>
    <t>9/9/8</t>
    <phoneticPr fontId="13"/>
  </si>
  <si>
    <t>ﾗｲﾌ　G</t>
    <phoneticPr fontId="13"/>
  </si>
  <si>
    <t>ｻｸﾗ　X</t>
    <phoneticPr fontId="13"/>
  </si>
  <si>
    <t>ﾋﾟｸｼｽﾊﾞﾝ　ﾃﾞﾗｯｸｽ</t>
    <phoneticPr fontId="13"/>
  </si>
  <si>
    <t>ｼﾞｬｶﾞｰEﾍﾟｲｽ　R　ﾀﾞｲﾅﾐｯｸS</t>
    <phoneticPr fontId="13"/>
  </si>
  <si>
    <t>SADFA2AX5J1Z07695</t>
    <phoneticPr fontId="13"/>
  </si>
  <si>
    <t>大阪　332　ひ　2108</t>
    <rPh sb="0" eb="2">
      <t>オオサカ</t>
    </rPh>
    <phoneticPr fontId="13"/>
  </si>
  <si>
    <t>1C4HJXLG4KW576241</t>
    <phoneticPr fontId="13"/>
  </si>
  <si>
    <t>VF1AH0001M0823330</t>
    <phoneticPr fontId="13"/>
  </si>
  <si>
    <t>豊橋　534　た　3588</t>
    <rPh sb="0" eb="2">
      <t>トヨハシ</t>
    </rPh>
    <phoneticPr fontId="13"/>
  </si>
  <si>
    <t>WMWYU120903E05394</t>
    <phoneticPr fontId="13"/>
  </si>
  <si>
    <t>WMWWG720003A79406</t>
    <phoneticPr fontId="13"/>
  </si>
  <si>
    <t>9/5/16</t>
    <phoneticPr fontId="13"/>
  </si>
  <si>
    <t>名古屋　307　つ　3455</t>
    <rPh sb="0" eb="3">
      <t>ナゴヤ</t>
    </rPh>
    <phoneticPr fontId="13"/>
  </si>
  <si>
    <t>27/11</t>
    <phoneticPr fontId="13"/>
  </si>
  <si>
    <t>ﾌﾞﾗｳﾝ</t>
    <phoneticPr fontId="13"/>
  </si>
  <si>
    <t>8/11/26</t>
    <phoneticPr fontId="13"/>
  </si>
  <si>
    <t>5/6</t>
    <phoneticPr fontId="13"/>
  </si>
  <si>
    <t>黒</t>
    <rPh sb="0" eb="1">
      <t>クロ</t>
    </rPh>
    <phoneticPr fontId="13"/>
  </si>
  <si>
    <t>5/9</t>
    <phoneticPr fontId="13"/>
  </si>
  <si>
    <t>白</t>
    <rPh sb="0" eb="1">
      <t>シロ</t>
    </rPh>
    <phoneticPr fontId="13"/>
  </si>
  <si>
    <t>8/9/26</t>
    <phoneticPr fontId="13"/>
  </si>
  <si>
    <t>28/5</t>
    <phoneticPr fontId="13"/>
  </si>
  <si>
    <t>ﾐﾝﾄ</t>
    <phoneticPr fontId="13"/>
  </si>
  <si>
    <t>27/9</t>
    <phoneticPr fontId="13"/>
  </si>
  <si>
    <t>8/10/24</t>
    <phoneticPr fontId="13"/>
  </si>
  <si>
    <t>27/10</t>
    <phoneticPr fontId="13"/>
  </si>
  <si>
    <t>ｲｴﾛｰ</t>
    <phoneticPr fontId="13"/>
  </si>
  <si>
    <t>29/4</t>
    <phoneticPr fontId="13"/>
  </si>
  <si>
    <t>9/3/30</t>
    <phoneticPr fontId="13"/>
  </si>
  <si>
    <t>3/11</t>
    <phoneticPr fontId="13"/>
  </si>
  <si>
    <t>ｶﾞﾝﾒﾀ</t>
    <phoneticPr fontId="13"/>
  </si>
  <si>
    <t>MAZDA3　ﾌｧｽﾄﾊﾞｯｸ　15Sﾂｰﾘﾝｸﾞ</t>
    <phoneticPr fontId="13"/>
  </si>
  <si>
    <t>8/11/14</t>
    <phoneticPr fontId="13"/>
  </si>
  <si>
    <t>4/3</t>
    <phoneticPr fontId="13"/>
  </si>
  <si>
    <t>5/10</t>
    <phoneticPr fontId="13"/>
  </si>
  <si>
    <t>8/10/15</t>
    <phoneticPr fontId="13"/>
  </si>
  <si>
    <t>2/4</t>
    <phoneticPr fontId="13"/>
  </si>
  <si>
    <t>31/2</t>
    <phoneticPr fontId="13"/>
  </si>
  <si>
    <t>ｸﾞﾘｰﾝ</t>
    <phoneticPr fontId="13"/>
  </si>
  <si>
    <t>9/10</t>
    <phoneticPr fontId="13"/>
  </si>
  <si>
    <t>2/12</t>
    <phoneticPr fontId="13"/>
  </si>
  <si>
    <t>29/3</t>
    <phoneticPr fontId="13"/>
  </si>
  <si>
    <t>ｼﾙﾊﾞｰ</t>
    <phoneticPr fontId="13"/>
  </si>
  <si>
    <t>9/3/17</t>
    <phoneticPr fontId="13"/>
  </si>
  <si>
    <t>2/3</t>
    <phoneticPr fontId="13"/>
  </si>
  <si>
    <t>9/3/29</t>
    <phoneticPr fontId="13"/>
  </si>
  <si>
    <t>25/5</t>
    <phoneticPr fontId="13"/>
  </si>
  <si>
    <t>ﾌﾞﾛﾝｽﾞ</t>
    <phoneticPr fontId="13"/>
  </si>
  <si>
    <t>HAA神戸</t>
    <rPh sb="3" eb="5">
      <t>コウベ</t>
    </rPh>
    <phoneticPr fontId="13"/>
  </si>
  <si>
    <t>27-2992</t>
  </si>
  <si>
    <t>27-2993</t>
  </si>
  <si>
    <t>27-2994</t>
  </si>
  <si>
    <t>27-2995</t>
  </si>
  <si>
    <t>27-2996</t>
  </si>
  <si>
    <t>27-2997</t>
  </si>
  <si>
    <t>27-2998</t>
  </si>
  <si>
    <t>27-2999</t>
  </si>
  <si>
    <t>27-3000</t>
  </si>
  <si>
    <t>27-3001</t>
  </si>
  <si>
    <t>ｾﾚﾅ　ﾊｲｳｪｲｽﾀｰ</t>
    <phoneticPr fontId="13"/>
  </si>
  <si>
    <t>GFC27-029950</t>
    <phoneticPr fontId="13"/>
  </si>
  <si>
    <t>ｴｽﾃｨﾏ　ｱｴﾗｽ</t>
    <phoneticPr fontId="13"/>
  </si>
  <si>
    <t>ACR55-0035235</t>
    <phoneticPr fontId="13"/>
  </si>
  <si>
    <t>ｱｸｱ　G　GS</t>
    <phoneticPr fontId="13"/>
  </si>
  <si>
    <t>NHP10-2586303</t>
    <phoneticPr fontId="13"/>
  </si>
  <si>
    <t>ｶﾛｰﾗﾌｨｰﾙﾀﾞｰ　HV　G　WXB</t>
    <phoneticPr fontId="13"/>
  </si>
  <si>
    <t>NKE165-8047384</t>
    <phoneticPr fontId="13"/>
  </si>
  <si>
    <t>ｼﾞﾑﾆｰ　XC</t>
    <phoneticPr fontId="13"/>
  </si>
  <si>
    <t>JB23W-402818</t>
    <phoneticPr fontId="13"/>
  </si>
  <si>
    <t>ｼﾞﾑﾆｰ　ﾗﾝﾄﾞﾍﾞﾝﾁｬｰ</t>
    <phoneticPr fontId="13"/>
  </si>
  <si>
    <t>JB23W-757393</t>
    <phoneticPr fontId="13"/>
  </si>
  <si>
    <t>JB23W-776542</t>
    <phoneticPr fontId="13"/>
  </si>
  <si>
    <t>JF1-2557434</t>
    <phoneticPr fontId="13"/>
  </si>
  <si>
    <t>BMWﾐﾆ　ｸｰﾊﾟｰSDｸﾗﾌﾞﾏﾝ</t>
    <phoneticPr fontId="13"/>
  </si>
  <si>
    <t>ﾌｨｱｯﾄ500　1.2POP</t>
    <phoneticPr fontId="13"/>
  </si>
  <si>
    <t>ﾙﾉｰﾄｩｲﾝｺﾞ　ｲﾝﾃﾝｽﾘﾐﾃｯﾄﾞ</t>
    <phoneticPr fontId="13"/>
  </si>
  <si>
    <t>BMW　M3</t>
    <phoneticPr fontId="13"/>
  </si>
  <si>
    <t>5/3</t>
    <phoneticPr fontId="13"/>
  </si>
  <si>
    <t>8/3/13</t>
    <phoneticPr fontId="13"/>
  </si>
  <si>
    <t>3/2</t>
    <phoneticPr fontId="13"/>
  </si>
  <si>
    <t>WMW32BS0903M35885</t>
    <phoneticPr fontId="13"/>
  </si>
  <si>
    <t>WMWXU920702P21132</t>
    <phoneticPr fontId="13"/>
  </si>
  <si>
    <t>26/1</t>
    <phoneticPr fontId="13"/>
  </si>
  <si>
    <t>9/1</t>
    <phoneticPr fontId="13"/>
  </si>
  <si>
    <t>広島　330　ち　779</t>
    <rPh sb="0" eb="2">
      <t>ヒロシマ</t>
    </rPh>
    <phoneticPr fontId="13"/>
  </si>
  <si>
    <t>28/11</t>
    <phoneticPr fontId="13"/>
  </si>
  <si>
    <t>9/11/3</t>
    <phoneticPr fontId="13"/>
  </si>
  <si>
    <t>福山　532　ろ　1110</t>
    <rPh sb="0" eb="2">
      <t>フクヤマ</t>
    </rPh>
    <phoneticPr fontId="13"/>
  </si>
  <si>
    <t>28/12</t>
    <phoneticPr fontId="13"/>
  </si>
  <si>
    <t>ﾊﾟｰﾌﾟﾙ</t>
    <phoneticPr fontId="13"/>
  </si>
  <si>
    <t>16/12</t>
    <phoneticPr fontId="13"/>
  </si>
  <si>
    <t>28/8</t>
    <phoneticPr fontId="13"/>
  </si>
  <si>
    <t>30/2</t>
    <phoneticPr fontId="13"/>
  </si>
  <si>
    <t>ﾊﾟｰﾙ</t>
    <phoneticPr fontId="13"/>
  </si>
  <si>
    <t>9/2</t>
    <phoneticPr fontId="13"/>
  </si>
  <si>
    <t>姫路　594　つ　23</t>
    <rPh sb="0" eb="2">
      <t>ヒメジ</t>
    </rPh>
    <phoneticPr fontId="13"/>
  </si>
  <si>
    <t>29/6</t>
    <phoneticPr fontId="13"/>
  </si>
  <si>
    <t>8/6</t>
    <phoneticPr fontId="13"/>
  </si>
  <si>
    <t>奈良　584　ほ　401</t>
    <rPh sb="0" eb="2">
      <t>ナラ</t>
    </rPh>
    <phoneticPr fontId="13"/>
  </si>
  <si>
    <t>4/5</t>
    <phoneticPr fontId="13"/>
  </si>
  <si>
    <t>赤</t>
    <rPh sb="0" eb="1">
      <t>アカ</t>
    </rPh>
    <phoneticPr fontId="13"/>
  </si>
  <si>
    <t>WMW32BC0902S47551</t>
    <phoneticPr fontId="13"/>
  </si>
  <si>
    <t>9/5</t>
    <phoneticPr fontId="13"/>
  </si>
  <si>
    <t>姫路　330　ち　7444</t>
    <rPh sb="0" eb="2">
      <t>ヒメジ</t>
    </rPh>
    <phoneticPr fontId="13"/>
  </si>
  <si>
    <t>3/5</t>
    <phoneticPr fontId="13"/>
  </si>
  <si>
    <t>ZFA3120000JE76486</t>
    <phoneticPr fontId="13"/>
  </si>
  <si>
    <t>8/5/12</t>
    <phoneticPr fontId="13"/>
  </si>
  <si>
    <t>福山　534　す　37</t>
    <rPh sb="0" eb="2">
      <t>フクヤマ</t>
    </rPh>
    <phoneticPr fontId="13"/>
  </si>
  <si>
    <t>3/9</t>
    <phoneticPr fontId="13"/>
  </si>
  <si>
    <t>8/9</t>
    <phoneticPr fontId="13"/>
  </si>
  <si>
    <t>大谷　535　た　163</t>
    <rPh sb="0" eb="2">
      <t>オオタニ</t>
    </rPh>
    <phoneticPr fontId="13"/>
  </si>
  <si>
    <t>1/9</t>
    <phoneticPr fontId="13"/>
  </si>
  <si>
    <t>Dﾌﾞﾙｰ</t>
    <phoneticPr fontId="13"/>
  </si>
  <si>
    <t>WMWLR520802H70321</t>
    <phoneticPr fontId="13"/>
  </si>
  <si>
    <t>大阪　338　て　807</t>
    <rPh sb="0" eb="2">
      <t>オオサカ</t>
    </rPh>
    <phoneticPr fontId="13"/>
  </si>
  <si>
    <t>WBS8M92040P972130</t>
    <phoneticPr fontId="13"/>
  </si>
  <si>
    <t>8/9/29</t>
    <phoneticPr fontId="13"/>
  </si>
  <si>
    <t>姫路　368　さ　7788</t>
    <rPh sb="0" eb="2">
      <t>ヒメジ</t>
    </rPh>
    <phoneticPr fontId="13"/>
  </si>
  <si>
    <t>30/11</t>
    <phoneticPr fontId="13"/>
  </si>
  <si>
    <t>WMWXT320802H68253</t>
    <phoneticPr fontId="13"/>
  </si>
  <si>
    <t>9/11</t>
    <phoneticPr fontId="13"/>
  </si>
  <si>
    <t>神戸　333　も　377</t>
    <rPh sb="0" eb="2">
      <t>コウベ</t>
    </rPh>
    <phoneticPr fontId="13"/>
  </si>
  <si>
    <t>ﾏｲｸﾛ地図SD 保証書 取説 ｷｰﾚｽ</t>
    <rPh sb="4" eb="6">
      <t>チズ</t>
    </rPh>
    <rPh sb="9" eb="12">
      <t>ホショウショ</t>
    </rPh>
    <rPh sb="13" eb="15">
      <t>トリセツ</t>
    </rPh>
    <phoneticPr fontId="13"/>
  </si>
  <si>
    <t>SD発送してくれる2/6 着OK</t>
    <rPh sb="2" eb="4">
      <t>ハッソウ</t>
    </rPh>
    <rPh sb="13" eb="14">
      <t>チャク</t>
    </rPh>
    <phoneticPr fontId="13"/>
  </si>
  <si>
    <t>名古屋 326 め 278</t>
    <rPh sb="0" eb="3">
      <t>ナゴヤ</t>
    </rPh>
    <phoneticPr fontId="13"/>
  </si>
  <si>
    <t>保証書 取説 ｷｰﾚｽ(車内)ｼﾌﾄﾉﾌﾞ</t>
    <rPh sb="0" eb="3">
      <t>ホショウショ</t>
    </rPh>
    <rPh sb="4" eb="6">
      <t>トリセツ</t>
    </rPh>
    <rPh sb="12" eb="14">
      <t>シャナイ</t>
    </rPh>
    <phoneticPr fontId="13"/>
  </si>
  <si>
    <t>WMW52DH0202R50440</t>
    <phoneticPr fontId="13"/>
  </si>
  <si>
    <t>姫路 399 な 5493</t>
    <rPh sb="0" eb="2">
      <t>ヒメジ</t>
    </rPh>
    <phoneticPr fontId="13"/>
  </si>
  <si>
    <t>株式会社ﾎﾝﾀﾞｶｰｽﾞ兵庫中央</t>
    <rPh sb="0" eb="4">
      <t>カブシキガイシャ</t>
    </rPh>
    <rPh sb="12" eb="14">
      <t>ヒョウゴ</t>
    </rPh>
    <rPh sb="14" eb="16">
      <t>チュウオウ</t>
    </rPh>
    <phoneticPr fontId="13"/>
  </si>
  <si>
    <t>YV1FSA8RDH2424477</t>
    <phoneticPr fontId="13"/>
  </si>
  <si>
    <t>滋賀 301 ぬ 3555</t>
    <rPh sb="0" eb="2">
      <t>シガ</t>
    </rPh>
    <phoneticPr fontId="13"/>
  </si>
  <si>
    <t>整備手帳 取説(車内)ｷｰﾚｽ</t>
    <rPh sb="0" eb="4">
      <t>セイビテチョウ</t>
    </rPh>
    <rPh sb="5" eb="7">
      <t>トリセツ</t>
    </rPh>
    <phoneticPr fontId="13"/>
  </si>
  <si>
    <t>千葉 31C の 1000</t>
    <rPh sb="0" eb="2">
      <t>チバ</t>
    </rPh>
    <phoneticPr fontId="13"/>
  </si>
  <si>
    <t>三重 480 ふ 158</t>
    <rPh sb="0" eb="2">
      <t>ミエ</t>
    </rPh>
    <phoneticPr fontId="13"/>
  </si>
  <si>
    <t>株式会社ﾜｰﾙﾄﾞ</t>
    <rPh sb="0" eb="4">
      <t>カブシキガイシャ</t>
    </rPh>
    <phoneticPr fontId="13"/>
  </si>
  <si>
    <t>保証書 取説 ｽﾍﾟｱｷｰ SD ﾅﾋﾞ取</t>
    <rPh sb="0" eb="3">
      <t>ホショウショ</t>
    </rPh>
    <rPh sb="4" eb="6">
      <t>トリセツ</t>
    </rPh>
    <rPh sb="20" eb="21">
      <t>トリ</t>
    </rPh>
    <phoneticPr fontId="13"/>
  </si>
  <si>
    <t>奈良 530 る 3138</t>
    <rPh sb="0" eb="2">
      <t>ナラ</t>
    </rPh>
    <phoneticPr fontId="13"/>
  </si>
  <si>
    <t>仙台 130 す 322</t>
    <rPh sb="0" eb="2">
      <t>センダイ</t>
    </rPh>
    <phoneticPr fontId="13"/>
  </si>
  <si>
    <t>7/10/10</t>
    <phoneticPr fontId="13"/>
  </si>
  <si>
    <t>岐阜 590 ゆ 4</t>
    <rPh sb="0" eb="2">
      <t>ギフ</t>
    </rPh>
    <phoneticPr fontId="13"/>
  </si>
  <si>
    <t>黄竜株式会社</t>
    <rPh sb="0" eb="1">
      <t>キ</t>
    </rPh>
    <rPh sb="1" eb="2">
      <t>タツ</t>
    </rPh>
    <rPh sb="2" eb="6">
      <t>カブシキガイシャ</t>
    </rPh>
    <phoneticPr fontId="13"/>
  </si>
  <si>
    <t>３０１ね 7028</t>
    <phoneticPr fontId="13"/>
  </si>
  <si>
    <t>301 ね 7021</t>
    <phoneticPr fontId="13"/>
  </si>
  <si>
    <t>陸送TELあれば良さんに連絡する</t>
    <rPh sb="0" eb="2">
      <t>リクソウ</t>
    </rPh>
    <rPh sb="8" eb="9">
      <t>リョウ</t>
    </rPh>
    <rPh sb="12" eb="14">
      <t>レンラク</t>
    </rPh>
    <phoneticPr fontId="13"/>
  </si>
  <si>
    <t>301 ね 7024</t>
    <phoneticPr fontId="13"/>
  </si>
  <si>
    <t>301 ね 7022</t>
    <phoneticPr fontId="13"/>
  </si>
  <si>
    <t>301 ね 7023</t>
    <phoneticPr fontId="13"/>
  </si>
  <si>
    <t>301 ね 7025</t>
    <phoneticPr fontId="13"/>
  </si>
  <si>
    <t>301 ね 7026</t>
    <phoneticPr fontId="13"/>
  </si>
  <si>
    <t>301 ね 7027</t>
    <phoneticPr fontId="13"/>
  </si>
  <si>
    <t>YV1FWA8RDJ2389453</t>
    <phoneticPr fontId="13"/>
  </si>
  <si>
    <t>ｱｳﾃﾞｨA4 45TFSIｸﾜﾄﾛｽﾎﾟｰﾂS</t>
    <phoneticPr fontId="13"/>
  </si>
  <si>
    <t>WAUZZZF43KA050073</t>
    <phoneticPr fontId="13"/>
  </si>
  <si>
    <t>つくば 330 さ 6149</t>
    <phoneticPr fontId="13"/>
  </si>
  <si>
    <t>BMWﾐﾆﾜｺﾞﾝ ｸｰﾊﾟｰDｸﾛｽｵｰﾊﾞｰ</t>
    <phoneticPr fontId="13"/>
  </si>
  <si>
    <t>WMWYU120203E05558</t>
    <phoneticPr fontId="13"/>
  </si>
  <si>
    <t>佐賀 330 そ 8786</t>
    <rPh sb="0" eb="2">
      <t>サガ</t>
    </rPh>
    <phoneticPr fontId="13"/>
  </si>
  <si>
    <t>広島 301 も 3780</t>
    <rPh sb="0" eb="2">
      <t>ヒロシマ</t>
    </rPh>
    <phoneticPr fontId="13"/>
  </si>
  <si>
    <t>LA350S-0411650</t>
    <phoneticPr fontId="13"/>
  </si>
  <si>
    <t>ﾐﾗｲｰｽ G SA</t>
    <phoneticPr fontId="13"/>
  </si>
  <si>
    <t>A327075</t>
    <phoneticPr fontId="13"/>
  </si>
  <si>
    <t>N-BOXｶｽﾀﾑ GLﾀｰﾎﾞ ﾎﾝﾀﾞｾﾝｼﾝｸﾞ</t>
    <phoneticPr fontId="13"/>
  </si>
  <si>
    <t>JF3-2074065</t>
    <phoneticPr fontId="13"/>
  </si>
  <si>
    <t>9/12/27</t>
    <phoneticPr fontId="13"/>
  </si>
  <si>
    <t>A327719</t>
    <phoneticPr fontId="13"/>
  </si>
  <si>
    <t>ｸﾗｳﾝｸﾛｽｵｰﾊﾞｰ G</t>
    <phoneticPr fontId="13"/>
  </si>
  <si>
    <t>AZSH35-4016621</t>
    <phoneticPr fontId="13"/>
  </si>
  <si>
    <t>8/11/9</t>
    <phoneticPr fontId="13"/>
  </si>
  <si>
    <t>生田 英司</t>
    <rPh sb="0" eb="2">
      <t>イクタ</t>
    </rPh>
    <rPh sb="3" eb="4">
      <t>ヒデ</t>
    </rPh>
    <phoneticPr fontId="13"/>
  </si>
  <si>
    <t>永見 修平</t>
    <rPh sb="0" eb="2">
      <t>ナガミ</t>
    </rPh>
    <rPh sb="3" eb="5">
      <t>シュウヘイ</t>
    </rPh>
    <phoneticPr fontId="13"/>
  </si>
  <si>
    <t>佐藤 真紀</t>
    <rPh sb="0" eb="2">
      <t>サトウ</t>
    </rPh>
    <rPh sb="3" eb="5">
      <t>マキ</t>
    </rPh>
    <phoneticPr fontId="13"/>
  </si>
  <si>
    <t>582 う 1032</t>
    <phoneticPr fontId="13"/>
  </si>
  <si>
    <t>582 う 1024</t>
    <phoneticPr fontId="13"/>
  </si>
  <si>
    <t>582 う 1023</t>
    <phoneticPr fontId="13"/>
  </si>
  <si>
    <t>480 ね 3892</t>
    <phoneticPr fontId="13"/>
  </si>
  <si>
    <t>582 う 1022</t>
    <phoneticPr fontId="13"/>
  </si>
  <si>
    <t>582 う 1021</t>
    <phoneticPr fontId="13"/>
  </si>
  <si>
    <t>582 う 1020</t>
    <phoneticPr fontId="13"/>
  </si>
  <si>
    <t>582 う 1019</t>
    <phoneticPr fontId="13"/>
  </si>
  <si>
    <t>301 ね 7035</t>
    <phoneticPr fontId="13"/>
  </si>
  <si>
    <t>301 ね 7033</t>
    <phoneticPr fontId="13"/>
  </si>
  <si>
    <t>301 ね 7034</t>
    <phoneticPr fontId="13"/>
  </si>
  <si>
    <t>27-3002</t>
  </si>
  <si>
    <t>27-3003</t>
  </si>
  <si>
    <t>27-3004</t>
  </si>
  <si>
    <t>27-3005</t>
  </si>
  <si>
    <t>27-3006</t>
  </si>
  <si>
    <t>27-3007</t>
  </si>
  <si>
    <t>27-3008</t>
  </si>
  <si>
    <t>27-3009</t>
  </si>
  <si>
    <t>ﾎﾝﾀﾞ九州(まとめ)</t>
    <rPh sb="4" eb="6">
      <t>キュウシュウ</t>
    </rPh>
    <phoneticPr fontId="13"/>
  </si>
  <si>
    <t>A328093</t>
    <phoneticPr fontId="13"/>
  </si>
  <si>
    <t>AGH30-0204246</t>
    <phoneticPr fontId="13"/>
  </si>
  <si>
    <t>27-3010</t>
  </si>
  <si>
    <t>27-3011</t>
  </si>
  <si>
    <t>27-3012</t>
  </si>
  <si>
    <t>27-3013</t>
  </si>
  <si>
    <t>27-3014</t>
  </si>
  <si>
    <t>27-3015</t>
  </si>
  <si>
    <t>27-3016</t>
  </si>
  <si>
    <t>27-3017</t>
  </si>
  <si>
    <t>27-3018</t>
  </si>
  <si>
    <t>A327129</t>
    <phoneticPr fontId="13"/>
  </si>
  <si>
    <t>CX30 20S ﾌﾟﾛｱｸﾃｨﾌﾞ</t>
    <phoneticPr fontId="13"/>
  </si>
  <si>
    <t>DMEJ3R-102212</t>
    <phoneticPr fontId="13"/>
  </si>
  <si>
    <t>A327535</t>
    <phoneticPr fontId="13"/>
  </si>
  <si>
    <t>ﾚｸｻｽ UX 300h ﾊﾞｰｼﾞｮﾝL</t>
    <phoneticPr fontId="13"/>
  </si>
  <si>
    <t>MZAH11-3002564</t>
    <phoneticPr fontId="13"/>
  </si>
  <si>
    <t>A327001</t>
    <phoneticPr fontId="13"/>
  </si>
  <si>
    <t>ZN8-021931</t>
    <phoneticPr fontId="13"/>
  </si>
  <si>
    <t>A325638</t>
    <phoneticPr fontId="13"/>
  </si>
  <si>
    <t>JF1-1423236</t>
    <phoneticPr fontId="13"/>
  </si>
  <si>
    <t>A327282</t>
    <phoneticPr fontId="13"/>
  </si>
  <si>
    <t>ｴﾌﾞﾘｨﾜｺﾞﾝ JPﾀｰﾎﾞ</t>
    <phoneticPr fontId="13"/>
  </si>
  <si>
    <t>DA17W-324749</t>
    <phoneticPr fontId="13"/>
  </si>
  <si>
    <t>A322111</t>
    <phoneticPr fontId="13"/>
  </si>
  <si>
    <t>MXWH60-4111625</t>
    <phoneticPr fontId="13"/>
  </si>
  <si>
    <t>10/1/28</t>
    <phoneticPr fontId="13"/>
  </si>
  <si>
    <t>姫路 399 な 5909</t>
    <rPh sb="0" eb="2">
      <t>ヒメジ</t>
    </rPh>
    <phoneticPr fontId="13"/>
  </si>
  <si>
    <t>有限会社ｾﾞｽﾄ</t>
    <rPh sb="0" eb="4">
      <t>ユウゲンカイシャ</t>
    </rPh>
    <phoneticPr fontId="13"/>
  </si>
  <si>
    <t>記録紙1枚 取説 ｷｰﾚｽ B-CAS</t>
    <rPh sb="0" eb="3">
      <t>キロクシ</t>
    </rPh>
    <rPh sb="4" eb="5">
      <t>マイ</t>
    </rPh>
    <rPh sb="6" eb="8">
      <t>トリセツ</t>
    </rPh>
    <phoneticPr fontId="13"/>
  </si>
  <si>
    <t>山口 581 ほ 515</t>
    <rPh sb="0" eb="2">
      <t>ヤマグチ</t>
    </rPh>
    <phoneticPr fontId="13"/>
  </si>
  <si>
    <t>加村 和義</t>
    <rPh sb="0" eb="2">
      <t>カムラ</t>
    </rPh>
    <rPh sb="3" eb="5">
      <t>カズヨシ</t>
    </rPh>
    <phoneticPr fontId="13"/>
  </si>
  <si>
    <t>なにわ 5P9 ろ 5060</t>
    <phoneticPr fontId="13"/>
  </si>
  <si>
    <t>京都 583 け 2251</t>
    <rPh sb="0" eb="2">
      <t>キョウト</t>
    </rPh>
    <phoneticPr fontId="13"/>
  </si>
  <si>
    <t>ﾄﾖﾀｶﾛｰﾗ京都株式会社</t>
    <rPh sb="7" eb="9">
      <t>キョウト</t>
    </rPh>
    <rPh sb="9" eb="13">
      <t>カブシキガイシャ</t>
    </rPh>
    <phoneticPr fontId="13"/>
  </si>
  <si>
    <t>岡山 584 ろ 3300</t>
    <rPh sb="0" eb="2">
      <t>オカヤマ</t>
    </rPh>
    <phoneticPr fontId="13"/>
  </si>
  <si>
    <t>板橋 580 ろ 8129</t>
    <rPh sb="0" eb="2">
      <t>イタバシ</t>
    </rPh>
    <phoneticPr fontId="13"/>
  </si>
  <si>
    <t>小山 雄太</t>
    <rPh sb="0" eb="2">
      <t>コヤマ</t>
    </rPh>
    <rPh sb="3" eb="5">
      <t>ユウタ</t>
    </rPh>
    <phoneticPr fontId="13"/>
  </si>
  <si>
    <t>取説 ｷｰﾚｽ(車内)保証書 ﾘﾓｺﾝ</t>
    <rPh sb="0" eb="2">
      <t>トリセツ</t>
    </rPh>
    <rPh sb="11" eb="14">
      <t>ホショウショ</t>
    </rPh>
    <phoneticPr fontId="13"/>
  </si>
  <si>
    <t>広島 582 え 7680</t>
    <rPh sb="0" eb="2">
      <t>ヒロシマ</t>
    </rPh>
    <phoneticPr fontId="13"/>
  </si>
  <si>
    <t>島根 580 ほ 8010</t>
    <rPh sb="0" eb="2">
      <t>シマネ</t>
    </rPh>
    <phoneticPr fontId="13"/>
  </si>
  <si>
    <t>なにわ 5P9 ろ 4434</t>
    <phoneticPr fontId="13"/>
  </si>
  <si>
    <t>高知 586 き 1515</t>
    <rPh sb="0" eb="2">
      <t>コウチ</t>
    </rPh>
    <phoneticPr fontId="13"/>
  </si>
  <si>
    <t>奥島 大貴</t>
    <rPh sb="0" eb="2">
      <t>オクシマ</t>
    </rPh>
    <rPh sb="3" eb="5">
      <t>ダイキ</t>
    </rPh>
    <phoneticPr fontId="13"/>
  </si>
  <si>
    <t>藤澤 茂</t>
    <rPh sb="0" eb="2">
      <t>フジサワ</t>
    </rPh>
    <rPh sb="3" eb="4">
      <t>シゲ</t>
    </rPh>
    <phoneticPr fontId="13"/>
  </si>
  <si>
    <t>熊本 301 て 1628</t>
    <rPh sb="0" eb="2">
      <t>クマモト</t>
    </rPh>
    <phoneticPr fontId="13"/>
  </si>
  <si>
    <t>高瀬 諒</t>
    <rPh sb="0" eb="2">
      <t>タカセ</t>
    </rPh>
    <rPh sb="3" eb="4">
      <t>リョウ</t>
    </rPh>
    <phoneticPr fontId="13"/>
  </si>
  <si>
    <t>保証書 取説 ﾅﾋﾞ取 ｷｰﾚｽ(車内)</t>
    <rPh sb="10" eb="11">
      <t>トリ</t>
    </rPh>
    <rPh sb="17" eb="19">
      <t>シャナイ</t>
    </rPh>
    <phoneticPr fontId="13"/>
  </si>
  <si>
    <t>書類届いたら良さんに連絡名変期限確認済</t>
    <rPh sb="0" eb="2">
      <t>ショルイ</t>
    </rPh>
    <rPh sb="2" eb="3">
      <t>トド</t>
    </rPh>
    <rPh sb="6" eb="7">
      <t>リョウ</t>
    </rPh>
    <rPh sb="10" eb="12">
      <t>レンラク</t>
    </rPh>
    <rPh sb="12" eb="14">
      <t>メイヘン</t>
    </rPh>
    <rPh sb="14" eb="16">
      <t>キゲン</t>
    </rPh>
    <rPh sb="16" eb="18">
      <t>カクニン</t>
    </rPh>
    <rPh sb="18" eb="19">
      <t>ズ</t>
    </rPh>
    <phoneticPr fontId="13"/>
  </si>
  <si>
    <t>静岡 399 ぬ 1101</t>
    <rPh sb="0" eb="2">
      <t>シズオカ</t>
    </rPh>
    <phoneticPr fontId="13"/>
  </si>
  <si>
    <t>KH5P-101440</t>
    <phoneticPr fontId="13"/>
  </si>
  <si>
    <t>仙台 301 ぬ 7154</t>
    <rPh sb="0" eb="2">
      <t>センダイ</t>
    </rPh>
    <phoneticPr fontId="13"/>
  </si>
  <si>
    <t>武藤 巧</t>
    <rPh sb="0" eb="2">
      <t>ムトウ</t>
    </rPh>
    <rPh sb="3" eb="4">
      <t>タクミ</t>
    </rPh>
    <phoneticPr fontId="13"/>
  </si>
  <si>
    <t>582 う 1158</t>
    <phoneticPr fontId="13"/>
  </si>
  <si>
    <t>整備手帳 取説 ｷｰﾚｽ(車内)ﾜﾝｵｰﾅｰ</t>
    <rPh sb="0" eb="4">
      <t>セイビテチョウ</t>
    </rPh>
    <rPh sb="5" eb="7">
      <t>トリセツ</t>
    </rPh>
    <rPh sb="13" eb="15">
      <t>シャナイ</t>
    </rPh>
    <phoneticPr fontId="13"/>
  </si>
  <si>
    <t>富山 39A そ 1631</t>
    <rPh sb="0" eb="2">
      <t>トヤマ</t>
    </rPh>
    <phoneticPr fontId="13"/>
  </si>
  <si>
    <t>富山 330 の 7710</t>
    <rPh sb="0" eb="2">
      <t>トヤマ</t>
    </rPh>
    <phoneticPr fontId="13"/>
  </si>
  <si>
    <t>GR86 RZ10thｱﾆﾊﾞｰｻﾘｰﾘﾐﾃｯﾄﾞ</t>
    <phoneticPr fontId="13"/>
  </si>
  <si>
    <t>27-3019</t>
  </si>
  <si>
    <t>27-3020</t>
  </si>
  <si>
    <t>27-3021</t>
  </si>
  <si>
    <t>27-3022</t>
  </si>
  <si>
    <t>27-3023</t>
  </si>
  <si>
    <t>27-3024</t>
  </si>
  <si>
    <t>27-3025</t>
  </si>
  <si>
    <t>27-3026</t>
  </si>
  <si>
    <t>27-3027</t>
  </si>
  <si>
    <t>27-3028</t>
  </si>
  <si>
    <t>27-3029</t>
  </si>
  <si>
    <t>27-3030</t>
  </si>
  <si>
    <t>27-3031</t>
  </si>
  <si>
    <t>27-3032</t>
  </si>
  <si>
    <t>27-3033</t>
  </si>
  <si>
    <t>ﾎﾞﾙﾎﾞV60　ﾌﾟﾗｽB4</t>
    <phoneticPr fontId="13"/>
  </si>
  <si>
    <t>ﾋﾟｸｼｽｼﾞｮｲ　FX</t>
    <phoneticPr fontId="13"/>
  </si>
  <si>
    <t>LA260A-0005478</t>
    <phoneticPr fontId="13"/>
  </si>
  <si>
    <t>LA260A-0005475</t>
    <phoneticPr fontId="13"/>
  </si>
  <si>
    <t>DA64W-337087</t>
    <phoneticPr fontId="13"/>
  </si>
  <si>
    <t>N　BOXｶｽﾀﾑ　G　Lﾊﾟｯｹｰｼﾞ</t>
    <phoneticPr fontId="13"/>
  </si>
  <si>
    <t>JF2-1509913</t>
    <phoneticPr fontId="13"/>
  </si>
  <si>
    <t>ﾀﾝﾄ　X　ﾎﾜｲﾄｱｸｾﾝﾄSaⅢ</t>
    <phoneticPr fontId="13"/>
  </si>
  <si>
    <t>LA600S-0659908</t>
    <phoneticPr fontId="13"/>
  </si>
  <si>
    <t>VWﾊﾟｻｰﾄｳﾞｧﾘｱﾝﾄ　TDI　Rﾗｲﾝ</t>
    <phoneticPr fontId="13"/>
  </si>
  <si>
    <t>BMWﾐﾆ　ﾜﾝ</t>
    <phoneticPr fontId="13"/>
  </si>
  <si>
    <t>ﾀﾝﾄｶｽﾀﾑ　RS　ﾄｯﾌﾟｴﾃﾞｨｼｮﾝVS</t>
    <phoneticPr fontId="13"/>
  </si>
  <si>
    <t>LA610S-0146298</t>
    <phoneticPr fontId="13"/>
  </si>
  <si>
    <t>MH95S-231027</t>
    <phoneticPr fontId="13"/>
  </si>
  <si>
    <t>MH95S-230944</t>
    <phoneticPr fontId="13"/>
  </si>
  <si>
    <t>BMWﾐﾆ　ｸｰﾊﾟｰSXｵｰﾊﾞｰ</t>
    <phoneticPr fontId="13"/>
  </si>
  <si>
    <t>ﾌﾟﾛﾎﾞｯｸｽ　DXｺﾝﾌｫｰﾄ</t>
    <phoneticPr fontId="13"/>
  </si>
  <si>
    <t>YV1ZWK8MXP2530705</t>
    <phoneticPr fontId="13"/>
  </si>
  <si>
    <t>川崎　301　ね　3124</t>
    <rPh sb="0" eb="2">
      <t>カワサキ</t>
    </rPh>
    <phoneticPr fontId="13"/>
  </si>
  <si>
    <t>21/12</t>
    <phoneticPr fontId="13"/>
  </si>
  <si>
    <t>WBA32AD0303Ｍ48817</t>
    <phoneticPr fontId="13"/>
  </si>
  <si>
    <t>BMW　X1　Xﾄﾞﾗｲﾌﾞ　18ｄ　Ｘﾗｲﾝ</t>
    <phoneticPr fontId="13"/>
  </si>
  <si>
    <t>WVWZZZ3CZPE036546</t>
    <phoneticPr fontId="13"/>
  </si>
  <si>
    <t>WMWXN720803A94889</t>
    <phoneticPr fontId="13"/>
  </si>
  <si>
    <t>山口　580　わ　6678</t>
    <rPh sb="0" eb="2">
      <t>ヤマグチ</t>
    </rPh>
    <phoneticPr fontId="13"/>
  </si>
  <si>
    <t>WMWYS920203G51935</t>
    <phoneticPr fontId="13"/>
  </si>
  <si>
    <t>ZFA3120000J751519</t>
    <phoneticPr fontId="13"/>
  </si>
  <si>
    <t>27-3034</t>
  </si>
  <si>
    <t>27-3035</t>
  </si>
  <si>
    <t>BMW118I　ﾌｧｯｼｮﾆｽﾀ</t>
    <phoneticPr fontId="13"/>
  </si>
  <si>
    <t>WBA1R520405L50610</t>
    <phoneticPr fontId="13"/>
  </si>
  <si>
    <t>YV1FWA8RDJ2390334</t>
    <phoneticPr fontId="13"/>
  </si>
  <si>
    <t>練馬　302　て　1563</t>
    <rPh sb="0" eb="2">
      <t>ネリマ</t>
    </rPh>
    <phoneticPr fontId="13"/>
  </si>
  <si>
    <t>27-3036</t>
  </si>
  <si>
    <t>27-3037</t>
  </si>
  <si>
    <t>27-3038</t>
  </si>
  <si>
    <t>27-3039</t>
  </si>
  <si>
    <t>ﾌﾟﾛﾎﾞｯｸｽﾊﾞﾝ　GL</t>
    <phoneticPr fontId="13"/>
  </si>
  <si>
    <t>NSP160-0055937</t>
    <phoneticPr fontId="13"/>
  </si>
  <si>
    <t>MH95S-118528</t>
    <phoneticPr fontId="13"/>
  </si>
  <si>
    <t>ﾑｰｳﾞｷｬﾝﾊﾟｽ　G　ﾒｲｸｱｯﾌﾟVS</t>
    <phoneticPr fontId="13"/>
  </si>
  <si>
    <t>LA800S-1020045</t>
    <phoneticPr fontId="13"/>
  </si>
  <si>
    <t>ﾊｲｾﾞｯﾄｶｰｺﾞ　CNG</t>
    <phoneticPr fontId="13"/>
  </si>
  <si>
    <t>S321V-0289020</t>
    <phoneticPr fontId="13"/>
  </si>
  <si>
    <t>27-3040</t>
  </si>
  <si>
    <t>JF1-1929035</t>
    <phoneticPr fontId="13"/>
  </si>
  <si>
    <t>WMWXU92080TN55214</t>
    <phoneticPr fontId="13"/>
  </si>
  <si>
    <t>27-3041</t>
  </si>
  <si>
    <t>ｷｬﾝｾﾙ返送2/12</t>
    <rPh sb="5" eb="7">
      <t>ヘンソウ</t>
    </rPh>
    <phoneticPr fontId="13"/>
  </si>
  <si>
    <t>和泉 342 ゆ 44</t>
    <rPh sb="0" eb="2">
      <t>イズミ</t>
    </rPh>
    <phoneticPr fontId="13"/>
  </si>
  <si>
    <t>HAA神戸(ﾜﾝﾌﾟﾗ)</t>
    <rPh sb="3" eb="5">
      <t>コウベ</t>
    </rPh>
    <phoneticPr fontId="13"/>
  </si>
  <si>
    <t>名古屋 336 つ 875</t>
    <rPh sb="0" eb="3">
      <t>ナゴヤ</t>
    </rPh>
    <phoneticPr fontId="13"/>
  </si>
  <si>
    <t>27-3042</t>
  </si>
  <si>
    <t>27-3043</t>
  </si>
  <si>
    <t>27-3044</t>
  </si>
  <si>
    <t>ｳﾞｫｸｼｰ ZS 煌</t>
    <rPh sb="10" eb="11">
      <t>キラ</t>
    </rPh>
    <phoneticPr fontId="13"/>
  </si>
  <si>
    <t>ZRR80-0177108</t>
    <phoneticPr fontId="13"/>
  </si>
  <si>
    <t>ACR50-7116090</t>
    <phoneticPr fontId="13"/>
  </si>
  <si>
    <t>BMW1ｼﾘｰｽﾞ 118i Mｽﾎﾟｰﾂｴﾃﾞｨｼｮﾝ</t>
    <phoneticPr fontId="13"/>
  </si>
  <si>
    <t>WBA1R520005C81997</t>
    <phoneticPr fontId="13"/>
  </si>
  <si>
    <t>有限会社ｶｰﾗｲﾌ名古屋</t>
    <rPh sb="0" eb="4">
      <t>ユウゲンカイシャ</t>
    </rPh>
    <rPh sb="9" eb="12">
      <t>ナゴヤ</t>
    </rPh>
    <phoneticPr fontId="13"/>
  </si>
  <si>
    <t>品川 5X3 ろ 2145</t>
    <rPh sb="0" eb="2">
      <t>シナガワ</t>
    </rPh>
    <phoneticPr fontId="13"/>
  </si>
  <si>
    <t>滋賀 583 こ 7779</t>
    <rPh sb="0" eb="2">
      <t>シガ</t>
    </rPh>
    <phoneticPr fontId="13"/>
  </si>
  <si>
    <t>加藤 厚子</t>
    <rPh sb="0" eb="2">
      <t>カトウ</t>
    </rPh>
    <rPh sb="3" eb="5">
      <t>アツコ</t>
    </rPh>
    <phoneticPr fontId="13"/>
  </si>
  <si>
    <t>藤田 弘一</t>
    <rPh sb="0" eb="2">
      <t>フジタ</t>
    </rPh>
    <rPh sb="3" eb="5">
      <t>コウイチ</t>
    </rPh>
    <phoneticPr fontId="13"/>
  </si>
  <si>
    <t>品川 48F ろ 4227</t>
    <rPh sb="0" eb="2">
      <t>シナガワ</t>
    </rPh>
    <phoneticPr fontId="13"/>
  </si>
  <si>
    <t>三重 585 む 82</t>
    <rPh sb="0" eb="2">
      <t>ミエ</t>
    </rPh>
    <phoneticPr fontId="13"/>
  </si>
  <si>
    <t>HIGH BEAM CORPORATION 株式会社</t>
    <rPh sb="22" eb="26">
      <t>カブシキガイシャ</t>
    </rPh>
    <phoneticPr fontId="13"/>
  </si>
  <si>
    <t>神戸 583 ふ 2568</t>
    <rPh sb="0" eb="2">
      <t>コウベ</t>
    </rPh>
    <phoneticPr fontId="13"/>
  </si>
  <si>
    <t>兵庫三菱自動車販売株式会社</t>
    <rPh sb="0" eb="4">
      <t>ヒョウゴミツビシ</t>
    </rPh>
    <rPh sb="4" eb="13">
      <t>ジドウシャハンバイカブシキガイシャ</t>
    </rPh>
    <phoneticPr fontId="13"/>
  </si>
  <si>
    <t>千葉 581 や 4418</t>
    <rPh sb="0" eb="2">
      <t>チバ</t>
    </rPh>
    <phoneticPr fontId="13"/>
  </si>
  <si>
    <t>株式会社ｽｽﾞｷ自販千葉</t>
    <rPh sb="0" eb="4">
      <t>カブシキガイシャ</t>
    </rPh>
    <rPh sb="8" eb="10">
      <t>ジハン</t>
    </rPh>
    <rPh sb="10" eb="12">
      <t>チバ</t>
    </rPh>
    <phoneticPr fontId="13"/>
  </si>
  <si>
    <t>有限会社ｶｰﾗｲﾌｻｰﾋﾞｽﾔﾏﾀﾞ</t>
    <rPh sb="0" eb="4">
      <t>ユウゲンカイシャ</t>
    </rPh>
    <phoneticPr fontId="13"/>
  </si>
  <si>
    <t>NCP160-0155528</t>
    <phoneticPr fontId="13"/>
  </si>
  <si>
    <t>広島 334 ひ 2700</t>
    <rPh sb="0" eb="2">
      <t>ヒロシマ</t>
    </rPh>
    <phoneticPr fontId="13"/>
  </si>
  <si>
    <t>保証書 ﾅﾋﾞ取 ｷｰﾚｽ SD</t>
    <rPh sb="0" eb="3">
      <t>ホショウショ</t>
    </rPh>
    <rPh sb="7" eb="8">
      <t>トリ</t>
    </rPh>
    <phoneticPr fontId="13"/>
  </si>
  <si>
    <t>堺 586 ろ 4549</t>
    <rPh sb="0" eb="1">
      <t>サカイ</t>
    </rPh>
    <phoneticPr fontId="13"/>
  </si>
  <si>
    <t>神戸 583 か 5292</t>
    <rPh sb="0" eb="2">
      <t>コウベ</t>
    </rPh>
    <phoneticPr fontId="13"/>
  </si>
  <si>
    <t>佐々木 雅之</t>
    <rPh sb="0" eb="3">
      <t>ササキ</t>
    </rPh>
    <rPh sb="4" eb="6">
      <t>マサユキ</t>
    </rPh>
    <phoneticPr fontId="13"/>
  </si>
  <si>
    <t>保証書 取説 ﾅﾋﾞ取 ｷｰﾚｽ 充電ｹｰﾌﾞﾙ</t>
    <rPh sb="0" eb="3">
      <t>ホショウショ</t>
    </rPh>
    <rPh sb="4" eb="6">
      <t>トリセツ</t>
    </rPh>
    <rPh sb="10" eb="11">
      <t>トリ</t>
    </rPh>
    <rPh sb="17" eb="19">
      <t>ジュウデン</t>
    </rPh>
    <phoneticPr fontId="13"/>
  </si>
  <si>
    <t>大宮 490 ろ 564</t>
    <rPh sb="0" eb="2">
      <t>オオミヤ</t>
    </rPh>
    <phoneticPr fontId="13"/>
  </si>
  <si>
    <t>堺 338 り 44</t>
    <rPh sb="0" eb="1">
      <t>サカイ</t>
    </rPh>
    <phoneticPr fontId="13"/>
  </si>
  <si>
    <t>福島 338 も 5005</t>
    <rPh sb="0" eb="2">
      <t>フクシマ</t>
    </rPh>
    <phoneticPr fontId="13"/>
  </si>
  <si>
    <t>武藤 海</t>
    <rPh sb="0" eb="2">
      <t>ムトウ</t>
    </rPh>
    <rPh sb="3" eb="4">
      <t>カイ</t>
    </rPh>
    <phoneticPr fontId="13"/>
  </si>
  <si>
    <t>北九州 587 ふ 3838</t>
    <rPh sb="0" eb="3">
      <t>キタキュウシュウ</t>
    </rPh>
    <phoneticPr fontId="13"/>
  </si>
  <si>
    <t>茅原 孝弘</t>
    <rPh sb="1" eb="2">
      <t>ハラ</t>
    </rPh>
    <rPh sb="3" eb="5">
      <t>タカヒロ</t>
    </rPh>
    <phoneticPr fontId="13"/>
  </si>
  <si>
    <t>27-3045</t>
  </si>
  <si>
    <t>27-3046</t>
  </si>
  <si>
    <t>27-3047</t>
  </si>
  <si>
    <t>27-3048</t>
  </si>
  <si>
    <t>27-3049</t>
  </si>
  <si>
    <t>27-3050</t>
  </si>
  <si>
    <t>27-3051</t>
  </si>
  <si>
    <t>27-3052</t>
  </si>
  <si>
    <t>WMWLN320202H09658</t>
    <phoneticPr fontId="13"/>
  </si>
  <si>
    <t>和泉 371 め 1212</t>
    <rPh sb="0" eb="2">
      <t>イズミ</t>
    </rPh>
    <phoneticPr fontId="13"/>
  </si>
  <si>
    <t>BMW118d Mｽﾎﾟｰﾂｴﾃﾞｨｼｮﾝ</t>
    <phoneticPr fontId="13"/>
  </si>
  <si>
    <t>WBA1S520205K17459</t>
    <phoneticPr fontId="13"/>
  </si>
  <si>
    <t>広島 394 た 1122</t>
    <rPh sb="0" eb="2">
      <t>ヒロシマ</t>
    </rPh>
    <phoneticPr fontId="13"/>
  </si>
  <si>
    <t>ﾌﾟｼﾞｮｰ3008 GTﾗｲﾝ</t>
    <phoneticPr fontId="13"/>
  </si>
  <si>
    <t>VF3MJEHZRLS256234</t>
    <phoneticPr fontId="13"/>
  </si>
  <si>
    <t>WBATX32060LB32508</t>
    <phoneticPr fontId="13"/>
  </si>
  <si>
    <t>ﾒﾙｾﾃﾞｽﾍﾞﾝﾂ A250 4Mｾﾀﾞﾝ</t>
    <phoneticPr fontId="13"/>
  </si>
  <si>
    <t>WDD1771472W034998</t>
    <phoneticPr fontId="13"/>
  </si>
  <si>
    <t>大阪 330 ふ 7714</t>
    <rPh sb="0" eb="2">
      <t>オオサカ</t>
    </rPh>
    <phoneticPr fontId="13"/>
  </si>
  <si>
    <t>ﾏﾂﾀﾞ ﾌﾚｱ XS</t>
    <phoneticPr fontId="13"/>
  </si>
  <si>
    <t>MJ34S-101103</t>
    <phoneticPr fontId="13"/>
  </si>
  <si>
    <t>LA850S-1014340</t>
    <phoneticPr fontId="13"/>
  </si>
  <si>
    <t>和歌山 300 や 7954</t>
    <rPh sb="0" eb="3">
      <t>ワカヤマ</t>
    </rPh>
    <phoneticPr fontId="13"/>
  </si>
  <si>
    <t>東京ﾚｼﾞｬｰ開発株式会社</t>
    <rPh sb="0" eb="2">
      <t>トウキョウ</t>
    </rPh>
    <rPh sb="7" eb="9">
      <t>カイハツ</t>
    </rPh>
    <rPh sb="9" eb="13">
      <t>カブシキガイシャ</t>
    </rPh>
    <phoneticPr fontId="13"/>
  </si>
  <si>
    <t>福岡 302 わ 3479</t>
    <rPh sb="0" eb="2">
      <t>フクオカ</t>
    </rPh>
    <phoneticPr fontId="13"/>
  </si>
  <si>
    <t>丹羽 譲</t>
    <rPh sb="0" eb="2">
      <t>タンバ</t>
    </rPh>
    <rPh sb="3" eb="4">
      <t>ジョウ</t>
    </rPh>
    <phoneticPr fontId="13"/>
  </si>
  <si>
    <t>千葉 303 た 4681</t>
    <rPh sb="0" eb="2">
      <t>チバ</t>
    </rPh>
    <phoneticPr fontId="13"/>
  </si>
  <si>
    <t>島根 331 せ 912</t>
    <rPh sb="0" eb="2">
      <t>シマネ</t>
    </rPh>
    <phoneticPr fontId="13"/>
  </si>
  <si>
    <t>島根ﾄﾖﾀ自動車株式会社</t>
    <rPh sb="0" eb="2">
      <t>シマネ</t>
    </rPh>
    <rPh sb="5" eb="12">
      <t>ジドウシャカブシキガイシャ</t>
    </rPh>
    <phoneticPr fontId="13"/>
  </si>
  <si>
    <t>尾張小牧 399 の 9416</t>
    <rPh sb="0" eb="4">
      <t>オワリコマキ</t>
    </rPh>
    <phoneticPr fontId="13"/>
  </si>
  <si>
    <t>千葉 326 た 9408</t>
    <rPh sb="0" eb="2">
      <t>チバ</t>
    </rPh>
    <phoneticPr fontId="13"/>
  </si>
  <si>
    <t>株式会社oneK</t>
    <rPh sb="0" eb="4">
      <t>カブシキガイシャ</t>
    </rPh>
    <phoneticPr fontId="13"/>
  </si>
  <si>
    <t>WMWXS720502C49834</t>
    <phoneticPr fontId="13"/>
  </si>
  <si>
    <t>滋賀 344 と 21</t>
    <rPh sb="0" eb="2">
      <t>シガ</t>
    </rPh>
    <phoneticPr fontId="13"/>
  </si>
  <si>
    <t>滋賀三菱自動車販売株式会社</t>
    <rPh sb="0" eb="2">
      <t>シガ</t>
    </rPh>
    <rPh sb="2" eb="4">
      <t>ミツビシ</t>
    </rPh>
    <rPh sb="4" eb="13">
      <t>ジドウシャハンバイカブシキガイシャ</t>
    </rPh>
    <phoneticPr fontId="13"/>
  </si>
  <si>
    <t>株式会社花こ</t>
    <rPh sb="0" eb="4">
      <t>カブシキガイシャ</t>
    </rPh>
    <rPh sb="4" eb="5">
      <t>ハナ</t>
    </rPh>
    <phoneticPr fontId="13"/>
  </si>
  <si>
    <t>VF1RJA001L0816499</t>
    <phoneticPr fontId="13"/>
  </si>
  <si>
    <t>9/4/14</t>
    <phoneticPr fontId="13"/>
  </si>
  <si>
    <t>広島 302 な 7426</t>
    <rPh sb="0" eb="2">
      <t>ヒロシマ</t>
    </rPh>
    <phoneticPr fontId="13"/>
  </si>
  <si>
    <t>岡山 359 む 32</t>
    <rPh sb="0" eb="2">
      <t>オカヤマ</t>
    </rPh>
    <phoneticPr fontId="13"/>
  </si>
  <si>
    <t>世田谷 581 ろ 3768</t>
    <rPh sb="0" eb="3">
      <t>セタガヤ</t>
    </rPh>
    <phoneticPr fontId="13"/>
  </si>
  <si>
    <t>世田谷 581 ろ 3755</t>
    <rPh sb="0" eb="3">
      <t>セタガヤ</t>
    </rPh>
    <phoneticPr fontId="13"/>
  </si>
  <si>
    <t>世田谷 581 ろ 3754</t>
    <rPh sb="0" eb="3">
      <t>セタガヤ</t>
    </rPh>
    <phoneticPr fontId="13"/>
  </si>
  <si>
    <t>和泉 329 に 5381</t>
    <rPh sb="0" eb="2">
      <t>イズミ</t>
    </rPh>
    <phoneticPr fontId="13"/>
  </si>
  <si>
    <t>世田谷 581 ろ 3763</t>
    <rPh sb="0" eb="3">
      <t>セタガヤ</t>
    </rPh>
    <phoneticPr fontId="13"/>
  </si>
  <si>
    <t>世田谷 581 ろ 3753</t>
    <rPh sb="0" eb="3">
      <t>セタガヤ</t>
    </rPh>
    <phoneticPr fontId="13"/>
  </si>
  <si>
    <t>保証書 取説 ﾅﾋﾞ取 ｷｰﾚｽ ﾚﾝﾀｶｰ</t>
    <phoneticPr fontId="13"/>
  </si>
  <si>
    <t>世田谷 581 ろ 3772</t>
    <rPh sb="0" eb="3">
      <t>セタガヤ</t>
    </rPh>
    <phoneticPr fontId="13"/>
  </si>
  <si>
    <t>株式会社日産ｶｰﾚﾝﾀﾙｿﾘｭｰｼｮﾝ</t>
    <rPh sb="0" eb="6">
      <t>カブシキガイシャニッサン</t>
    </rPh>
    <phoneticPr fontId="13"/>
  </si>
  <si>
    <t>保証書 ｷｰﾚｽ ﾚﾝﾀｶｰ</t>
    <phoneticPr fontId="13"/>
  </si>
  <si>
    <t>世田谷 581 ろ 3771</t>
    <rPh sb="0" eb="3">
      <t>セタガヤ</t>
    </rPh>
    <phoneticPr fontId="13"/>
  </si>
  <si>
    <t>保証書 取説 ﾅﾋﾞ取 ﾚﾝﾀｶｰ</t>
    <rPh sb="0" eb="3">
      <t>ホショウショ</t>
    </rPh>
    <rPh sb="4" eb="6">
      <t>トリセツ</t>
    </rPh>
    <rPh sb="10" eb="11">
      <t>トリ</t>
    </rPh>
    <phoneticPr fontId="13"/>
  </si>
  <si>
    <t>世田谷 581 ろ 3758</t>
    <rPh sb="0" eb="3">
      <t>セタガヤ</t>
    </rPh>
    <phoneticPr fontId="13"/>
  </si>
  <si>
    <t>世田谷 581 ろ 3769</t>
    <rPh sb="0" eb="3">
      <t>セタガヤ</t>
    </rPh>
    <phoneticPr fontId="13"/>
  </si>
  <si>
    <t>名古屋 487 ろ 2213</t>
    <rPh sb="0" eb="3">
      <t>ナゴヤ</t>
    </rPh>
    <phoneticPr fontId="13"/>
  </si>
  <si>
    <t>富山 580 わ 4786</t>
    <rPh sb="0" eb="2">
      <t>トヤマ</t>
    </rPh>
    <phoneticPr fontId="13"/>
  </si>
  <si>
    <t>富山 580 わ 4785</t>
    <rPh sb="0" eb="2">
      <t>トヤマ</t>
    </rPh>
    <phoneticPr fontId="13"/>
  </si>
  <si>
    <t>保証書 取説 ﾅﾋﾞ取 ｷｰﾚｽ ﾏｲｸﾛ地図SD ﾚﾝﾀｶｰ</t>
    <rPh sb="0" eb="3">
      <t>ホショウショ</t>
    </rPh>
    <rPh sb="4" eb="6">
      <t>トリセツ</t>
    </rPh>
    <rPh sb="10" eb="11">
      <t>トリ</t>
    </rPh>
    <rPh sb="21" eb="23">
      <t>チズ</t>
    </rPh>
    <phoneticPr fontId="13"/>
  </si>
  <si>
    <t>福井 580 わ 3388</t>
    <rPh sb="0" eb="2">
      <t>フクイ</t>
    </rPh>
    <phoneticPr fontId="13"/>
  </si>
  <si>
    <t>保証書 取説 ｷｰﾚｽ ﾏｲｸﾛ地図SD ﾅﾋﾞ取 ﾚﾝﾀｶｰ</t>
    <rPh sb="0" eb="3">
      <t>ホショウショ</t>
    </rPh>
    <rPh sb="4" eb="6">
      <t>トリセツ</t>
    </rPh>
    <rPh sb="16" eb="18">
      <t>チズ</t>
    </rPh>
    <rPh sb="24" eb="25">
      <t>トリ</t>
    </rPh>
    <phoneticPr fontId="13"/>
  </si>
  <si>
    <t>横浜 483 か 3579</t>
    <rPh sb="0" eb="2">
      <t>ヨコハマ</t>
    </rPh>
    <phoneticPr fontId="13"/>
  </si>
  <si>
    <t>伊波土木株式会社</t>
    <rPh sb="0" eb="1">
      <t>イ</t>
    </rPh>
    <rPh sb="1" eb="2">
      <t>ハ</t>
    </rPh>
    <rPh sb="2" eb="4">
      <t>ドボク</t>
    </rPh>
    <rPh sb="4" eb="8">
      <t>カブシキガイシャ</t>
    </rPh>
    <phoneticPr fontId="13"/>
  </si>
  <si>
    <t>品川 5P0 ろ 3728</t>
    <rPh sb="0" eb="2">
      <t>シナガワ</t>
    </rPh>
    <phoneticPr fontId="13"/>
  </si>
  <si>
    <t>品川 5X3 ろ 966</t>
    <rPh sb="0" eb="2">
      <t>シナガワ</t>
    </rPh>
    <phoneticPr fontId="13"/>
  </si>
  <si>
    <t>千葉 792 ろ 9811</t>
    <rPh sb="0" eb="2">
      <t>チバ</t>
    </rPh>
    <phoneticPr fontId="13"/>
  </si>
  <si>
    <t>保証書 取説 ﾅﾋﾞ取 ｷｰﾚｽ SD2個</t>
    <rPh sb="0" eb="3">
      <t>ホショウショ</t>
    </rPh>
    <rPh sb="4" eb="6">
      <t>トリセツ</t>
    </rPh>
    <rPh sb="10" eb="11">
      <t>トリ</t>
    </rPh>
    <rPh sb="20" eb="21">
      <t>コ</t>
    </rPh>
    <phoneticPr fontId="13"/>
  </si>
  <si>
    <t>尾張小牧 581 す 3040</t>
    <rPh sb="0" eb="4">
      <t>オワリコマキ</t>
    </rPh>
    <phoneticPr fontId="13"/>
  </si>
  <si>
    <t>尾関 進</t>
    <rPh sb="0" eb="2">
      <t>オセキ</t>
    </rPh>
    <rPh sb="3" eb="4">
      <t>ススム</t>
    </rPh>
    <phoneticPr fontId="13"/>
  </si>
  <si>
    <t>品川 5P8 ろ 766</t>
    <rPh sb="0" eb="2">
      <t>シナガワ</t>
    </rPh>
    <phoneticPr fontId="13"/>
  </si>
  <si>
    <t>多摩 592 ろ 6376</t>
    <rPh sb="0" eb="2">
      <t>タマ</t>
    </rPh>
    <phoneticPr fontId="13"/>
  </si>
  <si>
    <t>東日本三菱自動車販売株式会社</t>
    <rPh sb="0" eb="1">
      <t>ヒガシ</t>
    </rPh>
    <rPh sb="1" eb="3">
      <t>ニホン</t>
    </rPh>
    <rPh sb="3" eb="5">
      <t>ミツビシ</t>
    </rPh>
    <rPh sb="5" eb="8">
      <t>ジドウシャ</t>
    </rPh>
    <rPh sb="8" eb="14">
      <t>ハンバイカブシキガイシャ</t>
    </rPh>
    <phoneticPr fontId="13"/>
  </si>
  <si>
    <t>ｷｰﾚｽ 地図SD</t>
    <rPh sb="5" eb="7">
      <t>チズ</t>
    </rPh>
    <phoneticPr fontId="13"/>
  </si>
  <si>
    <t>出雲 399 さ 1623</t>
    <rPh sb="0" eb="2">
      <t>イヅモ</t>
    </rPh>
    <phoneticPr fontId="13"/>
  </si>
  <si>
    <t>有限会社吾郷自動車商会</t>
    <rPh sb="0" eb="4">
      <t>ユウゲンカイシャ</t>
    </rPh>
    <rPh sb="4" eb="5">
      <t>ゴ</t>
    </rPh>
    <rPh sb="5" eb="6">
      <t>サト</t>
    </rPh>
    <rPh sb="6" eb="9">
      <t>ジドウシャ</t>
    </rPh>
    <rPh sb="9" eb="11">
      <t>ショウカイ</t>
    </rPh>
    <phoneticPr fontId="13"/>
  </si>
  <si>
    <t>保証書 取説 ﾅﾋﾞ取 ｷｰﾚｽ B-CAS ﾏｲｸﾛ SD</t>
    <rPh sb="0" eb="3">
      <t>ホショウショ</t>
    </rPh>
    <rPh sb="4" eb="6">
      <t>トリセツ</t>
    </rPh>
    <rPh sb="10" eb="11">
      <t>トリ</t>
    </rPh>
    <phoneticPr fontId="13"/>
  </si>
  <si>
    <t>なにわ 581 き 4010</t>
    <phoneticPr fontId="13"/>
  </si>
  <si>
    <t>八王子 358 ふ 1010</t>
    <rPh sb="0" eb="3">
      <t>ハチオウジ</t>
    </rPh>
    <phoneticPr fontId="13"/>
  </si>
  <si>
    <t>中野 寛之</t>
    <rPh sb="0" eb="2">
      <t>ナカノ</t>
    </rPh>
    <rPh sb="3" eb="5">
      <t>ヒロユキ</t>
    </rPh>
    <phoneticPr fontId="13"/>
  </si>
  <si>
    <t>広島 587 は 1219</t>
    <rPh sb="0" eb="2">
      <t>ヒロシマ</t>
    </rPh>
    <phoneticPr fontId="13"/>
  </si>
  <si>
    <t>株式会社Come</t>
    <rPh sb="0" eb="4">
      <t>カブシキガイシャ</t>
    </rPh>
    <phoneticPr fontId="13"/>
  </si>
  <si>
    <t>春日井 582 ろ 8455</t>
    <rPh sb="0" eb="3">
      <t>カスガイ</t>
    </rPh>
    <phoneticPr fontId="13"/>
  </si>
  <si>
    <t>株式会社ﾌｧｲﾝﾄﾗｽﾄ</t>
    <rPh sb="0" eb="4">
      <t>カブシキガイシャ</t>
    </rPh>
    <phoneticPr fontId="13"/>
  </si>
  <si>
    <t>地図SD(書類と保管)</t>
    <rPh sb="0" eb="2">
      <t>チズ</t>
    </rPh>
    <rPh sb="5" eb="7">
      <t>ショルイ</t>
    </rPh>
    <rPh sb="8" eb="10">
      <t>ホカン</t>
    </rPh>
    <phoneticPr fontId="13"/>
  </si>
  <si>
    <t>愛媛 584 む 2106</t>
    <rPh sb="0" eb="2">
      <t>エヒメ</t>
    </rPh>
    <phoneticPr fontId="13"/>
  </si>
  <si>
    <t>倉敷 581 あ 5723</t>
    <rPh sb="0" eb="2">
      <t>クラシキ</t>
    </rPh>
    <phoneticPr fontId="13"/>
  </si>
  <si>
    <t>姫路 583 は 875</t>
    <rPh sb="0" eb="2">
      <t>ヒメジ</t>
    </rPh>
    <phoneticPr fontId="13"/>
  </si>
  <si>
    <t>松尾 結香</t>
    <rPh sb="0" eb="2">
      <t>マツオ</t>
    </rPh>
    <rPh sb="3" eb="4">
      <t>ユイ</t>
    </rPh>
    <rPh sb="4" eb="5">
      <t>カ</t>
    </rPh>
    <phoneticPr fontId="13"/>
  </si>
  <si>
    <t>千葉 587 く 720</t>
    <rPh sb="0" eb="2">
      <t>チバ</t>
    </rPh>
    <phoneticPr fontId="13"/>
  </si>
  <si>
    <t>株式会社ﾋﾞｰｴﾑﾎｰﾙﾃﾞｨﾝｸﾞｽ</t>
    <rPh sb="0" eb="4">
      <t>カブシキガイシャ</t>
    </rPh>
    <phoneticPr fontId="13"/>
  </si>
  <si>
    <t>徳島 512 ら 888</t>
    <rPh sb="0" eb="2">
      <t>トクシマ</t>
    </rPh>
    <phoneticPr fontId="13"/>
  </si>
  <si>
    <t>徳島三菱自動車販売株式会社</t>
    <rPh sb="0" eb="2">
      <t>トクシマ</t>
    </rPh>
    <rPh sb="2" eb="13">
      <t>ミツビシジドウシャハンバイカブシキガイシャ</t>
    </rPh>
    <phoneticPr fontId="13"/>
  </si>
  <si>
    <t>広島 583 け 243</t>
    <rPh sb="0" eb="2">
      <t>ヒロシマ</t>
    </rPh>
    <phoneticPr fontId="13"/>
  </si>
  <si>
    <t>大澤 奈々</t>
    <rPh sb="0" eb="2">
      <t>オオサワ</t>
    </rPh>
    <rPh sb="3" eb="5">
      <t>ナナ</t>
    </rPh>
    <phoneticPr fontId="13"/>
  </si>
  <si>
    <t>徳島 580 も 6254</t>
    <rPh sb="0" eb="2">
      <t>トクシマ</t>
    </rPh>
    <phoneticPr fontId="13"/>
  </si>
  <si>
    <t>広島 595 え 16</t>
    <rPh sb="0" eb="2">
      <t>ヒロシマ</t>
    </rPh>
    <phoneticPr fontId="13"/>
  </si>
  <si>
    <t>堀元 弘則</t>
    <rPh sb="0" eb="2">
      <t>ホリモト</t>
    </rPh>
    <rPh sb="3" eb="4">
      <t>ヒロシ</t>
    </rPh>
    <rPh sb="4" eb="5">
      <t>ノリ</t>
    </rPh>
    <phoneticPr fontId="13"/>
  </si>
  <si>
    <t>北九州 593 ほ 111</t>
    <rPh sb="0" eb="3">
      <t>キタキュウシュウ</t>
    </rPh>
    <phoneticPr fontId="13"/>
  </si>
  <si>
    <t>宮崎 正巳</t>
    <rPh sb="0" eb="2">
      <t>ミヤザキ</t>
    </rPh>
    <rPh sb="3" eb="4">
      <t>マサ</t>
    </rPh>
    <rPh sb="4" eb="5">
      <t>ミ</t>
    </rPh>
    <phoneticPr fontId="13"/>
  </si>
  <si>
    <t>長崎 336 り 1125</t>
    <rPh sb="0" eb="2">
      <t>ナガサキ</t>
    </rPh>
    <phoneticPr fontId="13"/>
  </si>
  <si>
    <t>徳島 580 ね 8765</t>
    <rPh sb="0" eb="2">
      <t>トクシマ</t>
    </rPh>
    <phoneticPr fontId="13"/>
  </si>
  <si>
    <t>地図SD(車内)保証書 取説 ﾅﾋﾞ取 ｽﾍﾟｱｷｰ</t>
    <rPh sb="0" eb="2">
      <t>チズ</t>
    </rPh>
    <rPh sb="5" eb="7">
      <t>シャナイ</t>
    </rPh>
    <rPh sb="8" eb="11">
      <t>ホショウショ</t>
    </rPh>
    <rPh sb="12" eb="14">
      <t>トリセツ</t>
    </rPh>
    <rPh sb="18" eb="19">
      <t>トリ</t>
    </rPh>
    <phoneticPr fontId="13"/>
  </si>
  <si>
    <t>湘南 580 ひ 3533</t>
    <rPh sb="0" eb="2">
      <t>ショウナン</t>
    </rPh>
    <phoneticPr fontId="13"/>
  </si>
  <si>
    <t>臼井 清一</t>
    <rPh sb="0" eb="2">
      <t>ウスイ</t>
    </rPh>
    <rPh sb="3" eb="4">
      <t>キヨシ</t>
    </rPh>
    <rPh sb="4" eb="5">
      <t>イチ</t>
    </rPh>
    <phoneticPr fontId="13"/>
  </si>
  <si>
    <t>横浜 591 る 510</t>
    <rPh sb="0" eb="2">
      <t>ヨコハマ</t>
    </rPh>
    <phoneticPr fontId="13"/>
  </si>
  <si>
    <t>後藤 太樹</t>
    <rPh sb="0" eb="2">
      <t>ゴトウ</t>
    </rPh>
    <rPh sb="3" eb="4">
      <t>フト</t>
    </rPh>
    <rPh sb="4" eb="5">
      <t>キ</t>
    </rPh>
    <phoneticPr fontId="13"/>
  </si>
  <si>
    <t>582 う 1409</t>
    <phoneticPr fontId="13"/>
  </si>
  <si>
    <t>582 う 1410</t>
    <phoneticPr fontId="13"/>
  </si>
  <si>
    <t>582 う 1411</t>
    <phoneticPr fontId="13"/>
  </si>
  <si>
    <t>582 う 1412</t>
    <phoneticPr fontId="13"/>
  </si>
  <si>
    <t>TAA近畿(ﾜﾝﾌﾟﾗ)</t>
    <phoneticPr fontId="13"/>
  </si>
  <si>
    <t>ｷｬﾝｾﾙ返送2/14</t>
    <rPh sb="5" eb="7">
      <t>ヘンソウ</t>
    </rPh>
    <phoneticPr fontId="13"/>
  </si>
  <si>
    <t>TAA近畿売 ｷｰﾚｽﾀﾞﾐｰ送る</t>
    <rPh sb="3" eb="5">
      <t>キンキ</t>
    </rPh>
    <rPh sb="5" eb="6">
      <t>ウ</t>
    </rPh>
    <rPh sb="15" eb="16">
      <t>オク</t>
    </rPh>
    <phoneticPr fontId="13"/>
  </si>
  <si>
    <t>VW Tｸﾛｽ TSIﾌｧｰｽﾄﾌﾟﾗｽ</t>
    <phoneticPr fontId="13"/>
  </si>
  <si>
    <t>品番；CN-RZ876</t>
    <rPh sb="0" eb="2">
      <t>ヒンバン</t>
    </rPh>
    <phoneticPr fontId="13"/>
  </si>
  <si>
    <t>ｷｰﾚｽ(車内)保証書</t>
    <rPh sb="5" eb="7">
      <t>シャナイ</t>
    </rPh>
    <rPh sb="8" eb="11">
      <t>ホショウショ</t>
    </rPh>
    <phoneticPr fontId="13"/>
  </si>
  <si>
    <t>品番；NSZT-W62G</t>
    <rPh sb="0" eb="2">
      <t>ヒンバン</t>
    </rPh>
    <phoneticPr fontId="13"/>
  </si>
  <si>
    <t>品番；NSZT-W66T</t>
    <rPh sb="0" eb="2">
      <t>ヒンバン</t>
    </rPh>
    <phoneticPr fontId="13"/>
  </si>
  <si>
    <r>
      <t xml:space="preserve">取説 ｷｰﾚｽ </t>
    </r>
    <r>
      <rPr>
        <sz val="11"/>
        <color theme="3"/>
        <rFont val="ＭＳ Ｐゴシック"/>
        <family val="3"/>
        <charset val="128"/>
        <scheme val="minor"/>
      </rPr>
      <t>保証書</t>
    </r>
    <rPh sb="0" eb="2">
      <t>トリセツ</t>
    </rPh>
    <rPh sb="8" eb="11">
      <t>ホショウショ</t>
    </rPh>
    <phoneticPr fontId="13"/>
  </si>
  <si>
    <t>保証書白紙訂正済</t>
    <rPh sb="0" eb="3">
      <t>ホショウショ</t>
    </rPh>
    <rPh sb="3" eb="5">
      <t>ハクシ</t>
    </rPh>
    <rPh sb="5" eb="7">
      <t>テイセイ</t>
    </rPh>
    <rPh sb="7" eb="8">
      <t>ズ</t>
    </rPh>
    <phoneticPr fontId="13"/>
  </si>
  <si>
    <t>地図SD(車内)整備手帳 取説 ﾅﾋﾞ取</t>
    <rPh sb="8" eb="12">
      <t>セイビテチョウ</t>
    </rPh>
    <rPh sb="13" eb="15">
      <t>トリセツ</t>
    </rPh>
    <rPh sb="19" eb="20">
      <t>トリ</t>
    </rPh>
    <phoneticPr fontId="13"/>
  </si>
  <si>
    <t>保証書 取説 ﾘｻｲｸﾙ券(車内)</t>
    <rPh sb="0" eb="3">
      <t>ホショウショ</t>
    </rPh>
    <rPh sb="4" eb="6">
      <t>トリセツ</t>
    </rPh>
    <rPh sb="12" eb="13">
      <t>ケン</t>
    </rPh>
    <phoneticPr fontId="13"/>
  </si>
  <si>
    <t>整備手帳 取説 地図SD(車内)  ｷｰﾚｽ</t>
    <rPh sb="0" eb="4">
      <t>セイビテチョウ</t>
    </rPh>
    <rPh sb="5" eb="7">
      <t>トリセツ</t>
    </rPh>
    <rPh sb="8" eb="10">
      <t>チズ</t>
    </rPh>
    <phoneticPr fontId="13"/>
  </si>
  <si>
    <t>ﾏｲｸﾛ地図SD(車内)保証書 取説 ﾅﾋﾞ取 ｷｰﾚｽ</t>
    <rPh sb="4" eb="6">
      <t>チズ</t>
    </rPh>
    <rPh sb="12" eb="15">
      <t>ホショウショ</t>
    </rPh>
    <rPh sb="16" eb="18">
      <t>トリセツ</t>
    </rPh>
    <rPh sb="22" eb="23">
      <t>トリ</t>
    </rPh>
    <phoneticPr fontId="13"/>
  </si>
  <si>
    <t>ﾏｲｸﾛ地図SD(車内)保証書 取説 ﾅﾋﾞ取 ｳｪﾙｷｬﾌﾞ取説</t>
    <rPh sb="4" eb="6">
      <t>チズ</t>
    </rPh>
    <rPh sb="12" eb="15">
      <t>ホショウショ</t>
    </rPh>
    <rPh sb="16" eb="18">
      <t>トリセツ</t>
    </rPh>
    <rPh sb="22" eb="23">
      <t>トリ</t>
    </rPh>
    <rPh sb="31" eb="33">
      <t>トリセツ</t>
    </rPh>
    <phoneticPr fontId="13"/>
  </si>
  <si>
    <t>地図SD(車内)保証書 取説 ﾅﾋﾞ取 ｷｰﾚｽ ﾅﾝﾊﾞｰ</t>
    <rPh sb="0" eb="2">
      <t>チズ</t>
    </rPh>
    <rPh sb="8" eb="11">
      <t>ホショウショ</t>
    </rPh>
    <rPh sb="12" eb="14">
      <t>トリセツ</t>
    </rPh>
    <rPh sb="18" eb="19">
      <t>トリ</t>
    </rPh>
    <phoneticPr fontId="13"/>
  </si>
  <si>
    <t>地図SD(車内)保証書 取説 ｷｰﾚｽ ﾅﾋﾞ取 ﾜﾝｵｰﾅｰ？</t>
    <rPh sb="0" eb="2">
      <t>チズ</t>
    </rPh>
    <rPh sb="8" eb="11">
      <t>ホショウショ</t>
    </rPh>
    <rPh sb="12" eb="14">
      <t>トリセツ</t>
    </rPh>
    <rPh sb="23" eb="24">
      <t>トリ</t>
    </rPh>
    <phoneticPr fontId="13"/>
  </si>
  <si>
    <t>宮城 581 い 3947</t>
    <rPh sb="0" eb="2">
      <t>ミヤギ</t>
    </rPh>
    <phoneticPr fontId="13"/>
  </si>
  <si>
    <t>佐々木 順悦</t>
    <rPh sb="0" eb="3">
      <t>ササキ</t>
    </rPh>
    <rPh sb="4" eb="5">
      <t>ジュン</t>
    </rPh>
    <rPh sb="5" eb="6">
      <t>エツ</t>
    </rPh>
    <phoneticPr fontId="13"/>
  </si>
  <si>
    <t>2/14</t>
    <phoneticPr fontId="13"/>
  </si>
  <si>
    <t>保証書 取説 ﾜﾝｵｰﾅｰ</t>
    <rPh sb="4" eb="6">
      <t>トリセツ</t>
    </rPh>
    <phoneticPr fontId="13"/>
  </si>
  <si>
    <t>山口 580 ゆ 8032</t>
    <rPh sb="0" eb="2">
      <t>ヤマグチ</t>
    </rPh>
    <phoneticPr fontId="13"/>
  </si>
  <si>
    <t>広島 358 に 111</t>
    <rPh sb="0" eb="2">
      <t>ヒロシマ</t>
    </rPh>
    <phoneticPr fontId="13"/>
  </si>
  <si>
    <t>高橋 蓮</t>
    <rPh sb="0" eb="2">
      <t>タカハシ</t>
    </rPh>
    <rPh sb="3" eb="4">
      <t>レン</t>
    </rPh>
    <phoneticPr fontId="13"/>
  </si>
  <si>
    <t>初年度R1 ｸﾚｰﾑ</t>
    <rPh sb="0" eb="2">
      <t>ショネン</t>
    </rPh>
    <rPh sb="2" eb="3">
      <t>ド</t>
    </rPh>
    <phoneticPr fontId="13"/>
  </si>
  <si>
    <t>株式会社横浜ﾕｰﾎﾟｽ</t>
    <rPh sb="0" eb="4">
      <t>カブシキガイシャ</t>
    </rPh>
    <rPh sb="4" eb="6">
      <t>ヨコハマ</t>
    </rPh>
    <phoneticPr fontId="13"/>
  </si>
  <si>
    <t>大阪 589 ろ 9394</t>
    <rPh sb="0" eb="2">
      <t>オオサカ</t>
    </rPh>
    <phoneticPr fontId="13"/>
  </si>
  <si>
    <t>株式会社大衆自動車商会</t>
    <rPh sb="0" eb="4">
      <t>カブシキガイシャ</t>
    </rPh>
    <rPh sb="4" eb="9">
      <t>タイシュウジドウシャ</t>
    </rPh>
    <rPh sb="9" eb="11">
      <t>ショウカイ</t>
    </rPh>
    <phoneticPr fontId="13"/>
  </si>
  <si>
    <t>岡山 301 み 1710</t>
    <rPh sb="0" eb="2">
      <t>オカヤマ</t>
    </rPh>
    <phoneticPr fontId="13"/>
  </si>
  <si>
    <t>地図SD(車内)保証書 取説 ﾅﾋﾞ取 ｽﾍﾟｱｷｰ ﾜﾝｵｰﾅｰ</t>
    <rPh sb="0" eb="2">
      <t>チズ</t>
    </rPh>
    <rPh sb="8" eb="11">
      <t>ホショウショ</t>
    </rPh>
    <rPh sb="12" eb="14">
      <t>トリセツ</t>
    </rPh>
    <rPh sb="18" eb="19">
      <t>トリ</t>
    </rPh>
    <phoneticPr fontId="13"/>
  </si>
  <si>
    <t>吉澤 百合子</t>
    <rPh sb="0" eb="2">
      <t>ヨシザワ</t>
    </rPh>
    <rPh sb="3" eb="6">
      <t>ユリコ</t>
    </rPh>
    <phoneticPr fontId="13"/>
  </si>
  <si>
    <t>福山 580 に 4136</t>
    <rPh sb="0" eb="2">
      <t>フクヤマ</t>
    </rPh>
    <phoneticPr fontId="13"/>
  </si>
  <si>
    <t>なにわ 5P9 ろ 5037</t>
    <phoneticPr fontId="13"/>
  </si>
  <si>
    <t>多摩 304 ち 2333</t>
    <rPh sb="0" eb="2">
      <t>タマ</t>
    </rPh>
    <phoneticPr fontId="13"/>
  </si>
  <si>
    <t>寺廻 孝晃</t>
    <rPh sb="0" eb="1">
      <t>テラ</t>
    </rPh>
    <rPh sb="3" eb="5">
      <t>タカアキ</t>
    </rPh>
    <phoneticPr fontId="13"/>
  </si>
  <si>
    <t>ｾﾝﾁｭﾘｰﾋﾞｰｸﾙｽﾞ株式会社 ｱｳﾃﾞｨつくば</t>
    <rPh sb="13" eb="17">
      <t>カブシキガイシャ</t>
    </rPh>
    <phoneticPr fontId="13"/>
  </si>
  <si>
    <t>HE33S-223672</t>
    <phoneticPr fontId="13"/>
  </si>
  <si>
    <t>S700V-0086871</t>
    <phoneticPr fontId="13"/>
  </si>
  <si>
    <t>S700W-0000366</t>
    <phoneticPr fontId="13"/>
  </si>
  <si>
    <t>MS52S-102873</t>
    <phoneticPr fontId="13"/>
  </si>
  <si>
    <t>MK53S-344692</t>
    <phoneticPr fontId="13"/>
  </si>
  <si>
    <t>JF5-2054830</t>
    <phoneticPr fontId="13"/>
  </si>
  <si>
    <t>MR92S-122959</t>
    <phoneticPr fontId="13"/>
  </si>
  <si>
    <t>27-3053</t>
  </si>
  <si>
    <t>27-3054</t>
  </si>
  <si>
    <t>27-3055</t>
  </si>
  <si>
    <t>27-3056</t>
  </si>
  <si>
    <t>27-3057</t>
  </si>
  <si>
    <t>27-3058</t>
  </si>
  <si>
    <t>27-3059</t>
  </si>
  <si>
    <t>27-3060</t>
  </si>
  <si>
    <t>27-3061</t>
  </si>
  <si>
    <t>27-3062</t>
  </si>
  <si>
    <t>27-3063</t>
  </si>
  <si>
    <t>27-3064</t>
  </si>
  <si>
    <t>27-3065</t>
  </si>
  <si>
    <t>27-3066</t>
  </si>
  <si>
    <t>27-3067</t>
  </si>
  <si>
    <t>27-3068</t>
  </si>
  <si>
    <t>27-3069</t>
  </si>
  <si>
    <t>27-3070</t>
  </si>
  <si>
    <t>27-3071</t>
  </si>
  <si>
    <t>27-3072</t>
  </si>
  <si>
    <t>27-3073</t>
  </si>
  <si>
    <t>27-3074</t>
  </si>
  <si>
    <t>27-3075</t>
  </si>
  <si>
    <t>27-3076</t>
  </si>
  <si>
    <t>27-3077</t>
  </si>
  <si>
    <t>27-3078</t>
  </si>
  <si>
    <t>NSP170-7236189</t>
    <phoneticPr fontId="13"/>
  </si>
  <si>
    <t>MK53S-731428</t>
    <phoneticPr fontId="13"/>
  </si>
  <si>
    <t>JF3-8200370</t>
    <phoneticPr fontId="13"/>
  </si>
  <si>
    <t>JB64W-174774</t>
    <phoneticPr fontId="13"/>
  </si>
  <si>
    <t>JB64W-407054</t>
    <phoneticPr fontId="13"/>
  </si>
  <si>
    <t>JB23W-701144</t>
    <phoneticPr fontId="13"/>
  </si>
  <si>
    <t>MK53S-456984</t>
    <phoneticPr fontId="13"/>
  </si>
  <si>
    <t>DA64W-437164</t>
    <phoneticPr fontId="13"/>
  </si>
  <si>
    <t>ﾀﾝﾄ　L　ｽﾛｰﾊﾟｰ</t>
    <phoneticPr fontId="13"/>
  </si>
  <si>
    <t>LA650S-0080885</t>
    <phoneticPr fontId="13"/>
  </si>
  <si>
    <t>JF3-5118415</t>
    <phoneticPr fontId="13"/>
  </si>
  <si>
    <t>JF1-1535530</t>
    <phoneticPr fontId="13"/>
  </si>
  <si>
    <t>BMWﾐﾆ　ｸｰﾊﾟｰDｶﾑﾃﾞﾝED</t>
    <phoneticPr fontId="13"/>
  </si>
  <si>
    <t>ｼﾄﾛｴﾝ　ﾍﾞﾙﾗﾝｺﾞ　ｼｬｲﾝ</t>
    <phoneticPr fontId="13"/>
  </si>
  <si>
    <t>MﾍﾞﾝﾂCLA200D　AMGﾗｲﾝ</t>
    <phoneticPr fontId="13"/>
  </si>
  <si>
    <t>27-3079</t>
  </si>
  <si>
    <t>27-3080</t>
  </si>
  <si>
    <t>27-3081</t>
  </si>
  <si>
    <t>27-3082</t>
  </si>
  <si>
    <t>27-3083</t>
  </si>
  <si>
    <t>27-3084</t>
  </si>
  <si>
    <t>27-3085</t>
  </si>
  <si>
    <t>27-3086</t>
  </si>
  <si>
    <t>27-3087</t>
  </si>
  <si>
    <t>27-3088</t>
  </si>
  <si>
    <t>27-3089</t>
  </si>
  <si>
    <t>A329295</t>
    <phoneticPr fontId="13"/>
  </si>
  <si>
    <t>GR1-1026020</t>
    <phoneticPr fontId="13"/>
  </si>
  <si>
    <t>A328156</t>
    <phoneticPr fontId="13"/>
  </si>
  <si>
    <t>NHP160-0119872</t>
    <phoneticPr fontId="13"/>
  </si>
  <si>
    <t>ﾌｨｯﾄ　ﾘｭｸｽ　</t>
    <phoneticPr fontId="13"/>
  </si>
  <si>
    <t>ﾌﾟﾛﾎﾞｯｸｽ　ﾊｲﾌﾞﾘｯﾄﾞF</t>
    <phoneticPr fontId="13"/>
  </si>
  <si>
    <t>A329262</t>
    <phoneticPr fontId="13"/>
  </si>
  <si>
    <t>AGH30-9026039</t>
    <phoneticPr fontId="13"/>
  </si>
  <si>
    <t>ｱﾙﾌｧｰﾄﾞ　2.5S　</t>
    <phoneticPr fontId="13"/>
  </si>
  <si>
    <t>A329341</t>
    <phoneticPr fontId="13"/>
  </si>
  <si>
    <t>TRJ250-0016331</t>
    <phoneticPr fontId="13"/>
  </si>
  <si>
    <t>ﾗﾝﾄﾞｸﾙｰｻﾞｰ250　VX</t>
    <phoneticPr fontId="13"/>
  </si>
  <si>
    <t>A329462</t>
    <phoneticPr fontId="13"/>
  </si>
  <si>
    <t>KF5P-603421</t>
    <phoneticPr fontId="13"/>
  </si>
  <si>
    <t>CX-5　25S　ｽﾎﾟｰﾂｱﾋﾟｱﾗﾝｽ</t>
    <phoneticPr fontId="13"/>
  </si>
  <si>
    <t>A327456</t>
    <phoneticPr fontId="13"/>
  </si>
  <si>
    <t>MR31S-112757</t>
    <phoneticPr fontId="13"/>
  </si>
  <si>
    <t>A327583</t>
    <phoneticPr fontId="13"/>
  </si>
  <si>
    <t>HE33S-409689</t>
    <phoneticPr fontId="13"/>
  </si>
  <si>
    <t>ｱﾙﾄﾗﾊﾟﾝ　LC　X</t>
    <phoneticPr fontId="13"/>
  </si>
  <si>
    <t>A329118</t>
    <phoneticPr fontId="13"/>
  </si>
  <si>
    <t>RV5-1209576</t>
    <phoneticPr fontId="13"/>
  </si>
  <si>
    <t>ｳﾞｪｾﾞﾙ　e：HEV　Z</t>
    <phoneticPr fontId="13"/>
  </si>
  <si>
    <t>A328050</t>
    <phoneticPr fontId="13"/>
  </si>
  <si>
    <t>RV5-1103309</t>
    <phoneticPr fontId="13"/>
  </si>
  <si>
    <t>1/4</t>
    <phoneticPr fontId="13"/>
  </si>
  <si>
    <t>三重　581　み　3275</t>
    <rPh sb="0" eb="2">
      <t>ミエ</t>
    </rPh>
    <phoneticPr fontId="13"/>
  </si>
  <si>
    <t>9/10/1</t>
    <phoneticPr fontId="13"/>
  </si>
  <si>
    <t>ｱﾄﾚｰ　ﾃﾞｯｷﾊﾞﾝ</t>
    <phoneticPr fontId="13"/>
  </si>
  <si>
    <t>春日井　480　い　2555</t>
    <rPh sb="0" eb="3">
      <t>カスガイ</t>
    </rPh>
    <phoneticPr fontId="13"/>
  </si>
  <si>
    <t>ﾌﾚｱｸﾛｽｵｰﾊﾞｰ　ﾊｲﾌﾞﾘｯﾄﾞXT</t>
    <phoneticPr fontId="13"/>
  </si>
  <si>
    <t>9/5/8</t>
    <phoneticPr fontId="13"/>
  </si>
  <si>
    <t>名古屋　58A　き　9405</t>
    <rPh sb="0" eb="3">
      <t>ナゴヤ</t>
    </rPh>
    <phoneticPr fontId="13"/>
  </si>
  <si>
    <t>N　BOXｶｽﾀﾑ　ﾀｰﾎﾞ</t>
    <phoneticPr fontId="13"/>
  </si>
  <si>
    <t>ｸﾘｰﾑ</t>
    <phoneticPr fontId="13"/>
  </si>
  <si>
    <t>ｼｴﾝﾀ　X</t>
    <phoneticPr fontId="13"/>
  </si>
  <si>
    <t>N　BOX　GｽﾛｰﾌﾟL　ﾎﾝﾀﾞｾﾝｼﾝｸﾞ</t>
    <phoneticPr fontId="13"/>
  </si>
  <si>
    <t>奈良　589　せ　1005</t>
    <rPh sb="0" eb="2">
      <t>ナラ</t>
    </rPh>
    <phoneticPr fontId="13"/>
  </si>
  <si>
    <t>和泉　597　も　10</t>
    <rPh sb="0" eb="2">
      <t>イズミ</t>
    </rPh>
    <phoneticPr fontId="13"/>
  </si>
  <si>
    <t>三重　582　そ　3723</t>
    <rPh sb="0" eb="2">
      <t>ミエ</t>
    </rPh>
    <phoneticPr fontId="13"/>
  </si>
  <si>
    <t>ｼﾞﾑﾆｰ　ｸﾛｽｱﾄﾞﾍﾞﾝﾁｬｰ</t>
    <phoneticPr fontId="13"/>
  </si>
  <si>
    <t>奈良　580　の　9498</t>
    <rPh sb="0" eb="2">
      <t>ナラ</t>
    </rPh>
    <phoneticPr fontId="13"/>
  </si>
  <si>
    <t>堺　583　あ　7304</t>
    <rPh sb="0" eb="1">
      <t>サカイ</t>
    </rPh>
    <phoneticPr fontId="13"/>
  </si>
  <si>
    <t>DM8P-102296</t>
    <phoneticPr fontId="13"/>
  </si>
  <si>
    <t>9/8/19</t>
    <phoneticPr fontId="13"/>
  </si>
  <si>
    <t>CX-30　XD　ﾌﾟﾛｱｸﾃｨﾌﾞ</t>
    <phoneticPr fontId="13"/>
  </si>
  <si>
    <t>N　BOXｶｽﾀﾑ　SSﾊﾟｯｹｰｼﾞ</t>
    <phoneticPr fontId="13"/>
  </si>
  <si>
    <t>岐阜　586　け　345</t>
    <rPh sb="0" eb="2">
      <t>ギフ</t>
    </rPh>
    <phoneticPr fontId="13"/>
  </si>
  <si>
    <t>WMW12DV0802V64253</t>
    <phoneticPr fontId="13"/>
  </si>
  <si>
    <t>三重　302　て　9040</t>
    <rPh sb="0" eb="2">
      <t>ミエ</t>
    </rPh>
    <phoneticPr fontId="13"/>
  </si>
  <si>
    <t>VR7ECYHZ3NJ757160</t>
    <phoneticPr fontId="13"/>
  </si>
  <si>
    <t>MﾍﾞﾝﾂC220D　SW　ﾛｰﾚｳｽED</t>
    <phoneticPr fontId="13"/>
  </si>
  <si>
    <t>W1K2052142G080078</t>
    <phoneticPr fontId="13"/>
  </si>
  <si>
    <t>WDD1183122N035600</t>
    <phoneticPr fontId="13"/>
  </si>
  <si>
    <t>WMWXV320X02N76050</t>
    <phoneticPr fontId="13"/>
  </si>
  <si>
    <t>8/6/19</t>
    <phoneticPr fontId="13"/>
  </si>
  <si>
    <t>名古屋　308　た　4903</t>
    <rPh sb="0" eb="3">
      <t>ナゴヤ</t>
    </rPh>
    <phoneticPr fontId="13"/>
  </si>
  <si>
    <t>8/3/1</t>
    <phoneticPr fontId="13"/>
  </si>
  <si>
    <t>10/3/30</t>
    <phoneticPr fontId="13"/>
  </si>
  <si>
    <t>9/11/8</t>
    <phoneticPr fontId="13"/>
  </si>
  <si>
    <t>A329199</t>
    <phoneticPr fontId="13"/>
  </si>
  <si>
    <t>ｳﾞｪﾙﾌｧｲｱ　3.5Z　G</t>
    <phoneticPr fontId="13"/>
  </si>
  <si>
    <t>GGH35-0010385</t>
    <phoneticPr fontId="13"/>
  </si>
  <si>
    <t>27-3090</t>
  </si>
  <si>
    <t>27-3091</t>
  </si>
  <si>
    <t>27-3092</t>
  </si>
  <si>
    <t>27-3093</t>
  </si>
  <si>
    <t>27-3094</t>
  </si>
  <si>
    <t>27-3095</t>
  </si>
  <si>
    <t>27-3096</t>
  </si>
  <si>
    <t>27-3097</t>
  </si>
  <si>
    <t>27-3098</t>
  </si>
  <si>
    <t>27-3099</t>
  </si>
  <si>
    <t>27-3100</t>
  </si>
  <si>
    <t>27-3101</t>
  </si>
  <si>
    <t>ｳﾞｫｸｼｰ　ZS</t>
    <phoneticPr fontId="13"/>
  </si>
  <si>
    <t>ZRR80-0634198</t>
    <phoneticPr fontId="13"/>
  </si>
  <si>
    <t>MZAH10-2070893</t>
    <phoneticPr fontId="13"/>
  </si>
  <si>
    <t>ACR50-0155781</t>
    <phoneticPr fontId="13"/>
  </si>
  <si>
    <t>ｸﾛｽﾋﾞｰ　ﾊｲﾌﾞﾘｯﾄﾞMZ</t>
    <phoneticPr fontId="13"/>
  </si>
  <si>
    <t>MN71S-404999</t>
    <phoneticPr fontId="13"/>
  </si>
  <si>
    <t>CX-30　XDﾂｰﾘﾝｸﾞ　Lﾊﾟｯｹｰｼﾞ</t>
    <phoneticPr fontId="13"/>
  </si>
  <si>
    <t>DK5FW-107315</t>
    <phoneticPr fontId="13"/>
  </si>
  <si>
    <t>ZVW41-0035287</t>
    <phoneticPr fontId="13"/>
  </si>
  <si>
    <t>HE33S-160672</t>
    <phoneticPr fontId="13"/>
  </si>
  <si>
    <t>MR92S-466908</t>
    <phoneticPr fontId="13"/>
  </si>
  <si>
    <t>ﾊｲｾﾞｯﾄﾄﾗｯｸ　ｴｸｽﾄﾗ</t>
    <phoneticPr fontId="13"/>
  </si>
  <si>
    <t>S500P-0156721</t>
    <phoneticPr fontId="13"/>
  </si>
  <si>
    <t>JF1-1927988</t>
    <phoneticPr fontId="13"/>
  </si>
  <si>
    <t>ﾊｽﾗｰ　Gﾀｰﾎﾞ</t>
    <phoneticPr fontId="13"/>
  </si>
  <si>
    <t>MR41S-617295</t>
    <phoneticPr fontId="13"/>
  </si>
  <si>
    <t>8/6/25</t>
    <phoneticPr fontId="13"/>
  </si>
  <si>
    <t>9/9/10</t>
    <phoneticPr fontId="13"/>
  </si>
  <si>
    <t>神戸　332　す　5178</t>
    <rPh sb="0" eb="2">
      <t>コウベ</t>
    </rPh>
    <phoneticPr fontId="13"/>
  </si>
  <si>
    <t>ﾚｸｻｽUX　UX250H　VER-C</t>
    <phoneticPr fontId="13"/>
  </si>
  <si>
    <t>福島　301　ぬ　7469</t>
    <rPh sb="0" eb="2">
      <t>フクシマ</t>
    </rPh>
    <phoneticPr fontId="13"/>
  </si>
  <si>
    <t>9/10/28</t>
    <phoneticPr fontId="13"/>
  </si>
  <si>
    <t>堺　331　ち　723</t>
    <rPh sb="0" eb="1">
      <t>サカイ</t>
    </rPh>
    <phoneticPr fontId="13"/>
  </si>
  <si>
    <t>9/5/12</t>
    <phoneticPr fontId="13"/>
  </si>
  <si>
    <t>大阪　542　ほ　705</t>
    <rPh sb="0" eb="2">
      <t>オオサカ</t>
    </rPh>
    <phoneticPr fontId="13"/>
  </si>
  <si>
    <t>ｾﾗﾐｯｸ</t>
    <phoneticPr fontId="13"/>
  </si>
  <si>
    <t>徳島　333　め　715</t>
    <rPh sb="0" eb="2">
      <t>トクシマ</t>
    </rPh>
    <phoneticPr fontId="13"/>
  </si>
  <si>
    <t>京都　484　ふ　3939</t>
    <rPh sb="0" eb="2">
      <t>キョウト</t>
    </rPh>
    <phoneticPr fontId="13"/>
  </si>
  <si>
    <t>BMWﾐﾆ　ｸｰﾊﾟｰ　ﾌﾟﾚﾐｱﾑﾌﾟﾗｽﾗｲﾝ</t>
    <phoneticPr fontId="13"/>
  </si>
  <si>
    <t>WMW32DK0002T65470</t>
    <phoneticPr fontId="13"/>
  </si>
  <si>
    <t>WMWXM720402A75667</t>
    <phoneticPr fontId="13"/>
  </si>
  <si>
    <t>8/9/9</t>
    <phoneticPr fontId="13"/>
  </si>
  <si>
    <t>大阪　346　す　105</t>
    <rPh sb="0" eb="2">
      <t>オオサカ</t>
    </rPh>
    <phoneticPr fontId="13"/>
  </si>
  <si>
    <t>WMWWG720403C84047</t>
    <phoneticPr fontId="13"/>
  </si>
  <si>
    <t>広島　302　な　8917</t>
    <rPh sb="0" eb="2">
      <t>ヒロシマ</t>
    </rPh>
    <phoneticPr fontId="13"/>
  </si>
  <si>
    <t>WMWXR92080TP21393</t>
    <phoneticPr fontId="13"/>
  </si>
  <si>
    <t>大阪　303　や　8115</t>
    <rPh sb="0" eb="2">
      <t>オオサカ</t>
    </rPh>
    <phoneticPr fontId="13"/>
  </si>
  <si>
    <t>姫路 568 も 77</t>
    <rPh sb="0" eb="2">
      <t>ヒメジ</t>
    </rPh>
    <phoneticPr fontId="13"/>
  </si>
  <si>
    <t>ﾏｲｸﾛ地図SD(車内)保証書 取説 ﾅﾋﾞ取 ｽﾍﾟｱｷｰ</t>
    <rPh sb="4" eb="6">
      <t>チズ</t>
    </rPh>
    <rPh sb="12" eb="15">
      <t>ホショウショ</t>
    </rPh>
    <rPh sb="16" eb="18">
      <t>トリセツ</t>
    </rPh>
    <rPh sb="22" eb="23">
      <t>トリ</t>
    </rPh>
    <phoneticPr fontId="13"/>
  </si>
  <si>
    <t>大宮 583 そ 1567</t>
    <rPh sb="0" eb="2">
      <t>オオミヤ</t>
    </rPh>
    <phoneticPr fontId="13"/>
  </si>
  <si>
    <t>埼玉ﾀﾞｲﾊﾂ販売株式会社</t>
    <rPh sb="0" eb="2">
      <t>サイタマ</t>
    </rPh>
    <rPh sb="7" eb="13">
      <t>ハンバイカブシキガイシャ</t>
    </rPh>
    <phoneticPr fontId="13"/>
  </si>
  <si>
    <t>千葉 583 ち 2678</t>
    <rPh sb="0" eb="2">
      <t>チバ</t>
    </rPh>
    <phoneticPr fontId="13"/>
  </si>
  <si>
    <t>株式会社大勝</t>
    <rPh sb="0" eb="4">
      <t>カブシキガイシャ</t>
    </rPh>
    <rPh sb="4" eb="5">
      <t>タイ</t>
    </rPh>
    <rPh sb="5" eb="6">
      <t>カツ</t>
    </rPh>
    <phoneticPr fontId="13"/>
  </si>
  <si>
    <t>笹井 衛</t>
    <rPh sb="0" eb="2">
      <t>ササイ</t>
    </rPh>
    <rPh sb="3" eb="4">
      <t>マモル</t>
    </rPh>
    <phoneticPr fontId="13"/>
  </si>
  <si>
    <t>WMWXM720803B16294</t>
    <phoneticPr fontId="13"/>
  </si>
  <si>
    <t>WMWXM520702D00216</t>
    <phoneticPr fontId="13"/>
  </si>
  <si>
    <t>徳島 330 つ 3265</t>
    <rPh sb="0" eb="2">
      <t>トクシマ</t>
    </rPh>
    <phoneticPr fontId="13"/>
  </si>
  <si>
    <t>WMWXR52090TV09594</t>
    <phoneticPr fontId="13"/>
  </si>
  <si>
    <t>京都 352 て 373</t>
    <rPh sb="0" eb="2">
      <t>キョウト</t>
    </rPh>
    <phoneticPr fontId="13"/>
  </si>
  <si>
    <t>WVGZZZC1ZMY033254</t>
    <phoneticPr fontId="13"/>
  </si>
  <si>
    <t>京都 329 さ 9615</t>
    <rPh sb="0" eb="2">
      <t>キョウト</t>
    </rPh>
    <phoneticPr fontId="13"/>
  </si>
  <si>
    <t>名古屋 499 む 4790</t>
    <rPh sb="0" eb="3">
      <t>ナゴヤ</t>
    </rPh>
    <phoneticPr fontId="13"/>
  </si>
  <si>
    <t>延近自動車株式会社</t>
    <rPh sb="0" eb="1">
      <t>ノ</t>
    </rPh>
    <rPh sb="1" eb="2">
      <t>チカ</t>
    </rPh>
    <rPh sb="2" eb="9">
      <t>ジドウシャカブシキガイシャ</t>
    </rPh>
    <phoneticPr fontId="13"/>
  </si>
  <si>
    <t xml:space="preserve">ﾏｲｸﾛ地図SD(車内)保証書 取説 ﾅﾋﾞ取 </t>
    <rPh sb="4" eb="6">
      <t>チズ</t>
    </rPh>
    <rPh sb="12" eb="15">
      <t>ホショウショ</t>
    </rPh>
    <rPh sb="16" eb="18">
      <t>トリセツ</t>
    </rPh>
    <rPh sb="22" eb="23">
      <t>トリ</t>
    </rPh>
    <phoneticPr fontId="13"/>
  </si>
  <si>
    <t>神戸 303 て 2275</t>
    <rPh sb="0" eb="2">
      <t>コウベ</t>
    </rPh>
    <phoneticPr fontId="13"/>
  </si>
  <si>
    <t>株式会社EN</t>
    <rPh sb="0" eb="4">
      <t>カブシキガイシャ</t>
    </rPh>
    <phoneticPr fontId="13"/>
  </si>
  <si>
    <t>保証書 取説 ﾜﾝｵｰﾅｰ ｷｰﾚｽ ﾅﾋﾞ取</t>
    <rPh sb="4" eb="6">
      <t>トリセツ</t>
    </rPh>
    <rPh sb="22" eb="23">
      <t>トリ</t>
    </rPh>
    <phoneticPr fontId="13"/>
  </si>
  <si>
    <t>有木 麗霞</t>
    <rPh sb="0" eb="2">
      <t>アリキ</t>
    </rPh>
    <rPh sb="3" eb="4">
      <t>レイ</t>
    </rPh>
    <rPh sb="4" eb="5">
      <t>カスミ</t>
    </rPh>
    <phoneticPr fontId="13"/>
  </si>
  <si>
    <t>保証書 ｷｰﾚｽ 地図SD ﾐﾆB-CAS</t>
    <rPh sb="0" eb="3">
      <t>ホショウショ</t>
    </rPh>
    <rPh sb="9" eb="11">
      <t>チズ</t>
    </rPh>
    <phoneticPr fontId="13"/>
  </si>
  <si>
    <t>神戸 799 ら 4524</t>
    <rPh sb="0" eb="2">
      <t>コウベ</t>
    </rPh>
    <phoneticPr fontId="13"/>
  </si>
  <si>
    <r>
      <t xml:space="preserve">地図SD車内なし 保証書 取説 ﾅﾋﾞ取  </t>
    </r>
    <r>
      <rPr>
        <sz val="11"/>
        <color rgb="FFFF0000"/>
        <rFont val="ＭＳ Ｐゴシック"/>
        <family val="3"/>
        <charset val="128"/>
        <scheme val="minor"/>
      </rPr>
      <t>SD未着</t>
    </r>
    <rPh sb="0" eb="2">
      <t>チズ</t>
    </rPh>
    <rPh sb="4" eb="6">
      <t>シャナイ</t>
    </rPh>
    <rPh sb="9" eb="12">
      <t>ホショウショ</t>
    </rPh>
    <rPh sb="13" eb="15">
      <t>トリセツ</t>
    </rPh>
    <rPh sb="19" eb="20">
      <t>トリ</t>
    </rPh>
    <rPh sb="24" eb="26">
      <t>ミチャク</t>
    </rPh>
    <phoneticPr fontId="13"/>
  </si>
  <si>
    <t>杉本 侑輝</t>
    <rPh sb="0" eb="2">
      <t>スギモト</t>
    </rPh>
    <rPh sb="3" eb="4">
      <t>ユウ</t>
    </rPh>
    <rPh sb="4" eb="5">
      <t>カガヤ</t>
    </rPh>
    <phoneticPr fontId="13"/>
  </si>
  <si>
    <t>滋賀 583 ろ 99</t>
    <rPh sb="0" eb="2">
      <t>シガ</t>
    </rPh>
    <phoneticPr fontId="13"/>
  </si>
  <si>
    <t>徳島 583 て 1951</t>
    <rPh sb="0" eb="2">
      <t>トクシマ</t>
    </rPh>
    <phoneticPr fontId="13"/>
  </si>
  <si>
    <t>福岡 332 て 3121</t>
    <rPh sb="0" eb="2">
      <t>フクオカ</t>
    </rPh>
    <phoneticPr fontId="13"/>
  </si>
  <si>
    <t>合同会社ｸﾘｱｽﾍﾟｰｽ</t>
    <rPh sb="0" eb="4">
      <t>ゴウドウカイシャ</t>
    </rPh>
    <phoneticPr fontId="13"/>
  </si>
  <si>
    <t>横田 一樹</t>
    <rPh sb="0" eb="2">
      <t>ヨコタ</t>
    </rPh>
    <rPh sb="3" eb="5">
      <t>カズキ</t>
    </rPh>
    <phoneticPr fontId="13"/>
  </si>
  <si>
    <t>保証書 取説 ｷｰﾚｽ ﾜﾝｵｰﾅｰ 名変期限3/18</t>
    <rPh sb="0" eb="3">
      <t>ホショウショ</t>
    </rPh>
    <rPh sb="4" eb="6">
      <t>トリセツ</t>
    </rPh>
    <rPh sb="19" eb="23">
      <t>メイヘンキゲン</t>
    </rPh>
    <phoneticPr fontId="13"/>
  </si>
  <si>
    <t>保証書 取説 ｷｰﾚｽ ﾜﾝｵｰﾅｰ 名変期限3/15</t>
    <rPh sb="0" eb="3">
      <t>ホショウショ</t>
    </rPh>
    <rPh sb="4" eb="6">
      <t>トリセツ</t>
    </rPh>
    <rPh sb="19" eb="23">
      <t>メイヘンキゲン</t>
    </rPh>
    <phoneticPr fontId="13"/>
  </si>
  <si>
    <t>長谷川 雅一</t>
    <rPh sb="0" eb="3">
      <t>ハセガワ</t>
    </rPh>
    <rPh sb="4" eb="6">
      <t>マサイチ</t>
    </rPh>
    <phoneticPr fontId="13"/>
  </si>
  <si>
    <t>習志野 393 り 11</t>
    <rPh sb="0" eb="3">
      <t>ナラシノ</t>
    </rPh>
    <phoneticPr fontId="13"/>
  </si>
  <si>
    <t>沼津 399 ち 6016</t>
    <rPh sb="0" eb="2">
      <t>ヌマヅ</t>
    </rPh>
    <phoneticPr fontId="13"/>
  </si>
  <si>
    <t>株式会社ALC Motoren</t>
    <rPh sb="0" eb="4">
      <t>カブシキガイシャ</t>
    </rPh>
    <phoneticPr fontId="13"/>
  </si>
  <si>
    <t>ｱｳﾃﾞｨ A3 30TFSIｽﾎﾟｰﾂ</t>
    <phoneticPr fontId="13"/>
  </si>
  <si>
    <t>WAUZZZ8VXLA009446</t>
    <phoneticPr fontId="13"/>
  </si>
  <si>
    <t>堺 300 ま 4366</t>
    <rPh sb="0" eb="1">
      <t>サカイ</t>
    </rPh>
    <phoneticPr fontId="13"/>
  </si>
  <si>
    <t>プジョｰ5008 ｱﾘｭｰﾙ</t>
    <phoneticPr fontId="13"/>
  </si>
  <si>
    <t>VF3M45GZWHL052892</t>
    <phoneticPr fontId="13"/>
  </si>
  <si>
    <t>所沢 302 ち 3960</t>
    <rPh sb="0" eb="2">
      <t>トコロザワ</t>
    </rPh>
    <phoneticPr fontId="13"/>
  </si>
  <si>
    <t>ｱｳﾃﾞｨQ2 30TFSIｽﾎﾟｰﾂ</t>
    <phoneticPr fontId="13"/>
  </si>
  <si>
    <t>WAUZZZGA9LA056787</t>
    <phoneticPr fontId="13"/>
  </si>
  <si>
    <t xml:space="preserve"> ﾒﾙｾﾃﾞｽﾍﾞﾝﾂ Bｸﾗｽ 200d</t>
    <phoneticPr fontId="13"/>
  </si>
  <si>
    <t>WDD1470122J055189</t>
    <phoneticPr fontId="13"/>
  </si>
  <si>
    <t>佐賀 330 た 3876</t>
    <rPh sb="0" eb="2">
      <t>サガ</t>
    </rPh>
    <phoneticPr fontId="13"/>
  </si>
  <si>
    <t>XC40 ｱﾙﾃｨﾒｯﾄｴﾃﾞｨｼｮﾝ</t>
    <phoneticPr fontId="13"/>
  </si>
  <si>
    <t>YV1XZK8M3P2992862</t>
    <phoneticPr fontId="13"/>
  </si>
  <si>
    <t>地図SD(車内)保証書 ﾜﾝｵｰﾅｰ</t>
    <rPh sb="0" eb="2">
      <t>チズ</t>
    </rPh>
    <rPh sb="5" eb="7">
      <t>シャナイ</t>
    </rPh>
    <rPh sb="8" eb="11">
      <t>ホショウショ</t>
    </rPh>
    <phoneticPr fontId="13"/>
  </si>
  <si>
    <t>ﾏｲｸﾛ地図SD(車内)保証書 取説ﾅﾋﾞ取 ｷｰﾚｽ</t>
    <rPh sb="12" eb="15">
      <t>ホショウショ</t>
    </rPh>
    <rPh sb="16" eb="18">
      <t>トリセツ</t>
    </rPh>
    <rPh sb="21" eb="22">
      <t>トリ</t>
    </rPh>
    <phoneticPr fontId="13"/>
  </si>
  <si>
    <t>保証書 取説 ｷｰﾚｽ ｴﾝｼﾞﾝｽﾀｰﾀｰ(車内)</t>
    <rPh sb="0" eb="3">
      <t>ホショウショ</t>
    </rPh>
    <rPh sb="4" eb="6">
      <t>トリセツ</t>
    </rPh>
    <phoneticPr fontId="13"/>
  </si>
  <si>
    <t>582 う 1517</t>
    <phoneticPr fontId="13"/>
  </si>
  <si>
    <t>582 う 1518</t>
    <phoneticPr fontId="13"/>
  </si>
  <si>
    <t>582 う 1519</t>
    <phoneticPr fontId="13"/>
  </si>
  <si>
    <t>582 う 1520</t>
    <phoneticPr fontId="13"/>
  </si>
  <si>
    <t>582 う 1521</t>
    <phoneticPr fontId="13"/>
  </si>
  <si>
    <t>480 ね 4050</t>
    <phoneticPr fontId="13"/>
  </si>
  <si>
    <t>582 う 1522</t>
    <phoneticPr fontId="13"/>
  </si>
  <si>
    <t>480 ね 4051</t>
    <phoneticPr fontId="13"/>
  </si>
  <si>
    <t>301 ね 7251</t>
    <phoneticPr fontId="13"/>
  </si>
  <si>
    <t>301 ね 7252</t>
    <phoneticPr fontId="13"/>
  </si>
  <si>
    <t>301 ね 7253</t>
    <phoneticPr fontId="13"/>
  </si>
  <si>
    <t>301 ね 7254</t>
    <phoneticPr fontId="13"/>
  </si>
  <si>
    <t>301 ね 7255</t>
    <phoneticPr fontId="13"/>
  </si>
  <si>
    <t>301 ね 7256</t>
    <phoneticPr fontId="13"/>
  </si>
  <si>
    <t>301 ね 7261</t>
    <phoneticPr fontId="13"/>
  </si>
  <si>
    <t>501 ゆ 4224</t>
    <phoneticPr fontId="13"/>
  </si>
  <si>
    <t>WMWLR920602H10738</t>
    <phoneticPr fontId="13"/>
  </si>
  <si>
    <t>水戸 302 つ 4228</t>
    <rPh sb="0" eb="2">
      <t>ミト</t>
    </rPh>
    <phoneticPr fontId="13"/>
  </si>
  <si>
    <t>ｷｬﾝｾﾙ返送2/16</t>
    <rPh sb="5" eb="7">
      <t>ヘンソウ</t>
    </rPh>
    <phoneticPr fontId="13"/>
  </si>
  <si>
    <t>A330061</t>
    <phoneticPr fontId="13"/>
  </si>
  <si>
    <t>AWL10-6000958</t>
    <phoneticPr fontId="13"/>
  </si>
  <si>
    <t>A326658</t>
    <phoneticPr fontId="13"/>
  </si>
  <si>
    <t>LA650S-0127545</t>
    <phoneticPr fontId="13"/>
  </si>
  <si>
    <t>A328490</t>
    <phoneticPr fontId="13"/>
  </si>
  <si>
    <t>NHP10-6685079</t>
    <phoneticPr fontId="13"/>
  </si>
  <si>
    <t>A329581</t>
    <phoneticPr fontId="13"/>
  </si>
  <si>
    <t>NKE165-8004268</t>
    <phoneticPr fontId="13"/>
  </si>
  <si>
    <t>A322357</t>
    <phoneticPr fontId="13"/>
  </si>
  <si>
    <t>DK5FW-120765</t>
    <phoneticPr fontId="13"/>
  </si>
  <si>
    <t>A325507</t>
    <phoneticPr fontId="13"/>
  </si>
  <si>
    <t>KEEP-501295</t>
    <phoneticPr fontId="13"/>
  </si>
  <si>
    <t>A329566</t>
    <phoneticPr fontId="13"/>
  </si>
  <si>
    <t>DK5FW-115619</t>
    <phoneticPr fontId="13"/>
  </si>
  <si>
    <t>A329987</t>
    <phoneticPr fontId="13"/>
  </si>
  <si>
    <t>GFC27-023045</t>
    <phoneticPr fontId="13"/>
  </si>
  <si>
    <t>A325271</t>
    <phoneticPr fontId="13"/>
  </si>
  <si>
    <t>URJ201-4211218</t>
    <phoneticPr fontId="13"/>
  </si>
  <si>
    <t>A327749</t>
    <phoneticPr fontId="13"/>
  </si>
  <si>
    <t>GDJ150-0057586</t>
    <phoneticPr fontId="13"/>
  </si>
  <si>
    <t>A330076</t>
    <phoneticPr fontId="13"/>
  </si>
  <si>
    <t>URZ100-0001777</t>
    <phoneticPr fontId="13"/>
  </si>
  <si>
    <t>A327304</t>
    <phoneticPr fontId="13"/>
  </si>
  <si>
    <t>GFC27-235187</t>
    <phoneticPr fontId="13"/>
  </si>
  <si>
    <t>ﾚｸｻｽ GS 300h Iﾊﾟｯｹｰｼﾞ</t>
    <phoneticPr fontId="13"/>
  </si>
  <si>
    <t>10/3/10</t>
    <phoneticPr fontId="13"/>
  </si>
  <si>
    <t>ｱｸｱ Sｽﾀｲﾙ</t>
    <phoneticPr fontId="13"/>
  </si>
  <si>
    <t>8/11/30</t>
    <phoneticPr fontId="13"/>
  </si>
  <si>
    <t>ｶﾛｰﾗﾌｨｰﾙﾀﾞｰ ﾊｲﾌﾞﾘｯﾄﾞG</t>
    <phoneticPr fontId="13"/>
  </si>
  <si>
    <t>CX5 20S ﾌﾞﾗｯｸﾄｰﾝｴﾃﾞｨｼｮﾝ</t>
    <phoneticPr fontId="13"/>
  </si>
  <si>
    <t>8/12/16</t>
    <phoneticPr fontId="13"/>
  </si>
  <si>
    <t>ｾﾚﾅ ﾊｲｳｪｲｽﾀｰ ﾌﾟﾛﾊﾟｲﾛｯﾄｴﾃﾞｨｼｮﾝ</t>
    <phoneticPr fontId="13"/>
  </si>
  <si>
    <t>8/3/3</t>
    <phoneticPr fontId="13"/>
  </si>
  <si>
    <t>ﾚｸｻｽ LX 570</t>
    <phoneticPr fontId="13"/>
  </si>
  <si>
    <t>ﾚｸｻｽ LC LC500Sﾊﾟｯｹｰｼﾞ</t>
    <phoneticPr fontId="13"/>
  </si>
  <si>
    <t>ｾﾚﾅ ﾁｪｱｷｬﾌﾞｽﾛｰﾌﾟ車椅子ｾｶﾝﾄﾞ仕様</t>
    <rPh sb="16" eb="19">
      <t>クルマイス</t>
    </rPh>
    <rPh sb="24" eb="26">
      <t>シヨウ</t>
    </rPh>
    <phoneticPr fontId="13"/>
  </si>
  <si>
    <t>8/10/7</t>
    <phoneticPr fontId="13"/>
  </si>
  <si>
    <t>神戸 781 き 178</t>
    <rPh sb="0" eb="2">
      <t>コウベ</t>
    </rPh>
    <phoneticPr fontId="13"/>
  </si>
  <si>
    <t>582 う 1552</t>
    <phoneticPr fontId="13"/>
  </si>
  <si>
    <t>582 う 1553</t>
    <phoneticPr fontId="13"/>
  </si>
  <si>
    <t>A329095</t>
    <phoneticPr fontId="13"/>
  </si>
  <si>
    <t>JF3-5185163</t>
    <phoneticPr fontId="13"/>
  </si>
  <si>
    <t>A327999</t>
    <phoneticPr fontId="13"/>
  </si>
  <si>
    <t>KEEP-604723</t>
    <phoneticPr fontId="13"/>
  </si>
  <si>
    <t>A328109</t>
    <phoneticPr fontId="13"/>
  </si>
  <si>
    <t>MXUA80-0110706</t>
    <phoneticPr fontId="13"/>
  </si>
  <si>
    <t>N-BOX L</t>
    <phoneticPr fontId="13"/>
  </si>
  <si>
    <t>9/8/8</t>
    <phoneticPr fontId="13"/>
  </si>
  <si>
    <t>ﾊﾘｱｰ Z</t>
    <phoneticPr fontId="13"/>
  </si>
  <si>
    <t>27-3102</t>
  </si>
  <si>
    <t>27-3103</t>
  </si>
  <si>
    <t>27-3104</t>
  </si>
  <si>
    <t>27-3105</t>
  </si>
  <si>
    <t>27-3106</t>
  </si>
  <si>
    <t>27-3107</t>
  </si>
  <si>
    <t>27-3108</t>
  </si>
  <si>
    <t>27-3109</t>
  </si>
  <si>
    <t>27-3110</t>
  </si>
  <si>
    <t>27-3111</t>
  </si>
  <si>
    <t>27-3112</t>
  </si>
  <si>
    <t>27-3113</t>
  </si>
  <si>
    <t>27-3114</t>
  </si>
  <si>
    <t>27-3115</t>
  </si>
  <si>
    <t>27-3116</t>
  </si>
  <si>
    <t>27-3117</t>
  </si>
  <si>
    <t>27-3118</t>
  </si>
  <si>
    <t>27-3119</t>
  </si>
  <si>
    <t>27-3120</t>
  </si>
  <si>
    <t>27-3121</t>
  </si>
  <si>
    <t>27-3122</t>
  </si>
  <si>
    <t>八王子 130 す 2507</t>
    <rPh sb="0" eb="3">
      <t>ハチオウジ</t>
    </rPh>
    <phoneticPr fontId="13"/>
  </si>
  <si>
    <t>ﾄﾖﾀS&amp;D西東京株式会社</t>
    <rPh sb="6" eb="9">
      <t>ニシトウキョウ</t>
    </rPh>
    <rPh sb="9" eb="13">
      <t>カブシキガイシャ</t>
    </rPh>
    <phoneticPr fontId="13"/>
  </si>
  <si>
    <t>保証書 取説 ﾅﾋﾞ取 ｽﾍﾟｱｷｰ2個</t>
    <rPh sb="0" eb="3">
      <t>ホショウショ</t>
    </rPh>
    <rPh sb="4" eb="6">
      <t>トリセツ</t>
    </rPh>
    <rPh sb="10" eb="11">
      <t>トリ</t>
    </rPh>
    <rPh sb="19" eb="20">
      <t>コ</t>
    </rPh>
    <phoneticPr fontId="13"/>
  </si>
  <si>
    <t>横浜 583 き 2240</t>
    <rPh sb="0" eb="2">
      <t>ヨコハマ</t>
    </rPh>
    <phoneticPr fontId="13"/>
  </si>
  <si>
    <t>東日本三菱自動車株式会社</t>
    <rPh sb="0" eb="3">
      <t>ヒガシニホン</t>
    </rPh>
    <rPh sb="3" eb="5">
      <t>ミツビシ</t>
    </rPh>
    <rPh sb="5" eb="12">
      <t>ジドウシャカブシキガイシャ</t>
    </rPh>
    <phoneticPr fontId="13"/>
  </si>
  <si>
    <t>山口 336 そ 128</t>
    <rPh sb="0" eb="2">
      <t>ヤマグチ</t>
    </rPh>
    <phoneticPr fontId="13"/>
  </si>
  <si>
    <t>NSP160-0053290</t>
    <phoneticPr fontId="13"/>
  </si>
  <si>
    <t>福岡 499 て 6004</t>
    <rPh sb="0" eb="2">
      <t>フクオカ</t>
    </rPh>
    <phoneticPr fontId="13"/>
  </si>
  <si>
    <t>滋賀 301 は 1641</t>
    <rPh sb="0" eb="2">
      <t>シガ</t>
    </rPh>
    <phoneticPr fontId="13"/>
  </si>
  <si>
    <t>滋賀日産自動車株式会社</t>
    <rPh sb="0" eb="2">
      <t>シガ</t>
    </rPh>
    <rPh sb="2" eb="11">
      <t>ニッサンジドウシャカブシキガイシャ</t>
    </rPh>
    <phoneticPr fontId="13"/>
  </si>
  <si>
    <t>有限会社小川自動車</t>
    <rPh sb="0" eb="4">
      <t>ユウゲンカイシャ</t>
    </rPh>
    <rPh sb="4" eb="6">
      <t>オガワ</t>
    </rPh>
    <rPh sb="6" eb="9">
      <t>ジドウシャ</t>
    </rPh>
    <phoneticPr fontId="13"/>
  </si>
  <si>
    <t>神戸 334 る 2212</t>
    <rPh sb="0" eb="2">
      <t>コウベ</t>
    </rPh>
    <phoneticPr fontId="13"/>
  </si>
  <si>
    <t>高松 399 す 5559</t>
    <rPh sb="0" eb="2">
      <t>タカマツ</t>
    </rPh>
    <phoneticPr fontId="13"/>
  </si>
  <si>
    <t>香川 300 み 7305</t>
    <rPh sb="0" eb="2">
      <t>カガワ</t>
    </rPh>
    <phoneticPr fontId="13"/>
  </si>
  <si>
    <t>大分 543 み 24</t>
    <rPh sb="0" eb="2">
      <t>オオイタ</t>
    </rPh>
    <phoneticPr fontId="13"/>
  </si>
  <si>
    <t>岡崎 330 つ 5700</t>
    <rPh sb="0" eb="2">
      <t>オカザキ</t>
    </rPh>
    <phoneticPr fontId="13"/>
  </si>
  <si>
    <t>保証書 取説 ｷｰﾚｽ(車内) わﾅﾝﾊﾞｰ切り取る</t>
    <rPh sb="0" eb="3">
      <t>ホショウショ</t>
    </rPh>
    <rPh sb="4" eb="6">
      <t>トリセツ</t>
    </rPh>
    <rPh sb="12" eb="14">
      <t>シャナイ</t>
    </rPh>
    <rPh sb="22" eb="23">
      <t>キ</t>
    </rPh>
    <rPh sb="24" eb="25">
      <t>ト</t>
    </rPh>
    <phoneticPr fontId="13"/>
  </si>
  <si>
    <t>鳥取 584 な 1118</t>
    <rPh sb="0" eb="2">
      <t>トットリ</t>
    </rPh>
    <phoneticPr fontId="13"/>
  </si>
  <si>
    <t>鳥取ﾀﾞｲﾊﾂ販売株式会社</t>
    <rPh sb="0" eb="2">
      <t>トットリ</t>
    </rPh>
    <rPh sb="7" eb="13">
      <t>ハンバイカブシキガイシャ</t>
    </rPh>
    <phoneticPr fontId="13"/>
  </si>
  <si>
    <t>岡崎 580 た 6229</t>
    <rPh sb="0" eb="2">
      <t>オカザキ</t>
    </rPh>
    <phoneticPr fontId="13"/>
  </si>
  <si>
    <t>株式会社ｽｽﾞｷ自販中部</t>
    <rPh sb="0" eb="4">
      <t>カブシキガイシャ</t>
    </rPh>
    <rPh sb="9" eb="11">
      <t>チュウブ</t>
    </rPh>
    <phoneticPr fontId="13"/>
  </si>
  <si>
    <t>なにわ 5P8 ろ 9518</t>
    <phoneticPr fontId="13"/>
  </si>
  <si>
    <t>京都 580 わ 8269</t>
    <rPh sb="0" eb="2">
      <t>キョウト</t>
    </rPh>
    <phoneticPr fontId="13"/>
  </si>
  <si>
    <t>保証書 地図SD</t>
    <rPh sb="4" eb="6">
      <t>チズ</t>
    </rPh>
    <phoneticPr fontId="13"/>
  </si>
  <si>
    <t>和泉 586 よ 70</t>
    <rPh sb="0" eb="2">
      <t>イズミ</t>
    </rPh>
    <phoneticPr fontId="13"/>
  </si>
  <si>
    <t>株式会社ﾎﾝﾀﾞ泉州販売</t>
    <rPh sb="0" eb="4">
      <t>カブシキガイシャ</t>
    </rPh>
    <rPh sb="8" eb="10">
      <t>センシュウ</t>
    </rPh>
    <rPh sb="10" eb="12">
      <t>ハンバイ</t>
    </rPh>
    <phoneticPr fontId="13"/>
  </si>
  <si>
    <t>京都 580 わ 8268</t>
    <rPh sb="0" eb="2">
      <t>キョウト</t>
    </rPh>
    <phoneticPr fontId="13"/>
  </si>
  <si>
    <t>広島 580 ゆ 2159</t>
    <rPh sb="0" eb="2">
      <t>ヒロシマ</t>
    </rPh>
    <phoneticPr fontId="13"/>
  </si>
  <si>
    <t>保証書 取説 ｷｰﾚｽ SD</t>
    <rPh sb="4" eb="6">
      <t>トリセツ</t>
    </rPh>
    <phoneticPr fontId="13"/>
  </si>
  <si>
    <t>名古屋 326 め 3180</t>
    <rPh sb="0" eb="3">
      <t>ナゴヤ</t>
    </rPh>
    <phoneticPr fontId="13"/>
  </si>
  <si>
    <t>名古屋 347 め 93</t>
    <rPh sb="0" eb="3">
      <t>ナゴヤ</t>
    </rPh>
    <phoneticPr fontId="13"/>
  </si>
  <si>
    <t>広島 580 わ 8469</t>
    <rPh sb="0" eb="2">
      <t>ヒロシマ</t>
    </rPh>
    <phoneticPr fontId="13"/>
  </si>
  <si>
    <t>広島 587 こ 225</t>
    <rPh sb="0" eb="2">
      <t>ヒロシマ</t>
    </rPh>
    <phoneticPr fontId="13"/>
  </si>
  <si>
    <t>竹林自動車販売株式会社</t>
    <rPh sb="0" eb="2">
      <t>タケバヤシ</t>
    </rPh>
    <rPh sb="2" eb="5">
      <t>ジドウシャ</t>
    </rPh>
    <rPh sb="5" eb="7">
      <t>ハンバイ</t>
    </rPh>
    <rPh sb="7" eb="11">
      <t>カブシキガイシャ</t>
    </rPh>
    <phoneticPr fontId="13"/>
  </si>
  <si>
    <t>板橋 580 ろ 6771</t>
    <rPh sb="0" eb="2">
      <t>イタバシ</t>
    </rPh>
    <phoneticPr fontId="13"/>
  </si>
  <si>
    <t>品川 5X3 ろ 3030</t>
    <rPh sb="0" eb="2">
      <t>シナガワ</t>
    </rPh>
    <phoneticPr fontId="13"/>
  </si>
  <si>
    <t>寒川 太一</t>
    <rPh sb="0" eb="2">
      <t>サムカワ</t>
    </rPh>
    <rPh sb="3" eb="5">
      <t>タイチ</t>
    </rPh>
    <phoneticPr fontId="13"/>
  </si>
  <si>
    <t>保証書 取説 ｷｰﾚｽ SD ﾅﾋﾞ取 ﾜﾝｵｰﾅｰ</t>
    <rPh sb="0" eb="3">
      <t>ホショウショ</t>
    </rPh>
    <rPh sb="4" eb="6">
      <t>トリセツ</t>
    </rPh>
    <rPh sb="18" eb="19">
      <t>トリ</t>
    </rPh>
    <phoneticPr fontId="13"/>
  </si>
  <si>
    <t>ｱﾌﾞﾄﾞｩﾙ ﾜﾋﾄﾞ</t>
    <phoneticPr fontId="13"/>
  </si>
  <si>
    <t>582 う 1611</t>
    <phoneticPr fontId="13"/>
  </si>
  <si>
    <t>書類3月1週目着との連絡あり</t>
    <rPh sb="0" eb="2">
      <t>ショルイ</t>
    </rPh>
    <rPh sb="3" eb="4">
      <t>ガツ</t>
    </rPh>
    <rPh sb="5" eb="7">
      <t>シュウメ</t>
    </rPh>
    <rPh sb="7" eb="8">
      <t>チャク</t>
    </rPh>
    <rPh sb="10" eb="12">
      <t>レンラク</t>
    </rPh>
    <phoneticPr fontId="13"/>
  </si>
  <si>
    <r>
      <t>←書類車内よりあがってきた保証書 取説 ｷｰﾚｽ ﾘﾓｺﾝ(車内)</t>
    </r>
    <r>
      <rPr>
        <sz val="9"/>
        <color theme="3"/>
        <rFont val="ＭＳ Ｐゴシック"/>
        <family val="3"/>
        <charset val="128"/>
        <scheme val="minor"/>
      </rPr>
      <t xml:space="preserve"> 必要OK</t>
    </r>
    <rPh sb="1" eb="3">
      <t>ショルイ</t>
    </rPh>
    <rPh sb="3" eb="5">
      <t>シャナイ</t>
    </rPh>
    <rPh sb="13" eb="16">
      <t>ホショウショ</t>
    </rPh>
    <rPh sb="17" eb="19">
      <t>トリセツ</t>
    </rPh>
    <rPh sb="30" eb="32">
      <t>シャナイ</t>
    </rPh>
    <rPh sb="34" eb="36">
      <t>ヒツヨウ</t>
    </rPh>
    <phoneticPr fontId="13"/>
  </si>
  <si>
    <r>
      <t>保証書 ｷｰﾚｽ ﾜﾝｵｰﾅｰ</t>
    </r>
    <r>
      <rPr>
        <sz val="11"/>
        <color theme="3"/>
        <rFont val="ＭＳ Ｐゴシック"/>
        <family val="3"/>
        <charset val="128"/>
        <scheme val="minor"/>
      </rPr>
      <t xml:space="preserve"> 距離おかしい</t>
    </r>
    <rPh sb="0" eb="3">
      <t>ホショウショ</t>
    </rPh>
    <rPh sb="16" eb="18">
      <t>キョリ</t>
    </rPh>
    <phoneticPr fontId="13"/>
  </si>
  <si>
    <r>
      <rPr>
        <sz val="11"/>
        <color theme="3"/>
        <rFont val="ＭＳ Ｐゴシック"/>
        <family val="3"/>
        <charset val="128"/>
        <scheme val="minor"/>
      </rPr>
      <t>保証書 取説 ﾅﾋﾞ取 ﾏｲｸﾛSD</t>
    </r>
    <r>
      <rPr>
        <sz val="11"/>
        <color rgb="FFFF0000"/>
        <rFont val="ＭＳ Ｐゴシック"/>
        <family val="3"/>
        <charset val="128"/>
        <scheme val="minor"/>
      </rPr>
      <t xml:space="preserve"> </t>
    </r>
    <r>
      <rPr>
        <sz val="11"/>
        <color theme="3"/>
        <rFont val="ＭＳ Ｐゴシック"/>
        <family val="3"/>
        <charset val="128"/>
        <scheme val="minor"/>
      </rPr>
      <t>ﾚﾝﾀｶｰｽﾍﾟｱｷｰなしｸﾚｰﾑ済</t>
    </r>
    <rPh sb="0" eb="3">
      <t>ホショウショ</t>
    </rPh>
    <rPh sb="4" eb="6">
      <t>トリセツ</t>
    </rPh>
    <rPh sb="10" eb="11">
      <t>トリ</t>
    </rPh>
    <rPh sb="36" eb="37">
      <t>ズ</t>
    </rPh>
    <phoneticPr fontId="13"/>
  </si>
  <si>
    <t>27-3123</t>
  </si>
  <si>
    <t>27-3124</t>
  </si>
  <si>
    <t>27-3125</t>
  </si>
  <si>
    <t>27-3126</t>
  </si>
  <si>
    <t>27-3127</t>
  </si>
  <si>
    <t>27-3128</t>
  </si>
  <si>
    <t>27-3129</t>
  </si>
  <si>
    <t>27-3130</t>
  </si>
  <si>
    <t>27-3131</t>
  </si>
  <si>
    <t>TA近畿</t>
    <rPh sb="2" eb="4">
      <t>キンキ</t>
    </rPh>
    <phoneticPr fontId="13"/>
  </si>
  <si>
    <t>ﾀﾝﾄ　L　</t>
    <phoneticPr fontId="13"/>
  </si>
  <si>
    <t>LA650S-0108983</t>
    <phoneticPr fontId="13"/>
  </si>
  <si>
    <t>ﾎﾞﾙﾎﾞXC90　T5　AWDﾓｰﾒﾝﾀﾑ</t>
    <phoneticPr fontId="13"/>
  </si>
  <si>
    <t>N BOXｶｽﾀﾑ　SSﾌﾞﾗｯｸｽﾀｲﾙﾊﾟｯｹｰｼﾞ</t>
    <phoneticPr fontId="13"/>
  </si>
  <si>
    <t>JF1-2553244</t>
    <phoneticPr fontId="13"/>
  </si>
  <si>
    <t>VWｻﾞ･ﾋﾞｰﾄﾙ</t>
    <phoneticPr fontId="13"/>
  </si>
  <si>
    <t>ﾌﾟﾛﾎﾞｯｸｽ　GL</t>
    <phoneticPr fontId="13"/>
  </si>
  <si>
    <t>NHP160-0028752</t>
    <phoneticPr fontId="13"/>
  </si>
  <si>
    <t>ﾙﾉｰﾄｩｲﾝｺﾞ　EDC</t>
    <phoneticPr fontId="13"/>
  </si>
  <si>
    <t>ｼﾞｰﾌﾟ　ﾚﾈｹﾞｰﾄﾞ　ﾘﾐﾃｯﾄﾞ</t>
    <phoneticPr fontId="13"/>
  </si>
  <si>
    <t>ｺﾍﾟﾝ　ｴｸｽﾌﾟﾚｲS</t>
    <phoneticPr fontId="13"/>
  </si>
  <si>
    <t>LA400K-0011556</t>
    <phoneticPr fontId="13"/>
  </si>
  <si>
    <t>MR92S-132369</t>
    <phoneticPr fontId="13"/>
  </si>
  <si>
    <t>　</t>
    <phoneticPr fontId="13"/>
  </si>
  <si>
    <t>VW　Tｸﾛｽ　TSI</t>
    <phoneticPr fontId="13"/>
  </si>
  <si>
    <t>27-3132</t>
  </si>
  <si>
    <t>27-3133</t>
  </si>
  <si>
    <t>27-3134</t>
  </si>
  <si>
    <t>27-3135</t>
  </si>
  <si>
    <t>27-3136</t>
  </si>
  <si>
    <t>27-3137</t>
  </si>
  <si>
    <t>27-3138</t>
  </si>
  <si>
    <t>ｵﾘｯｸｽ神戸</t>
    <rPh sb="5" eb="7">
      <t>コウベ</t>
    </rPh>
    <phoneticPr fontId="13"/>
  </si>
  <si>
    <t>YV1LF10MCJ1203282</t>
    <phoneticPr fontId="13"/>
  </si>
  <si>
    <t>WVWZZZ16ZFM628895</t>
    <phoneticPr fontId="13"/>
  </si>
  <si>
    <t>VF1AH000XK0804000</t>
    <phoneticPr fontId="13"/>
  </si>
  <si>
    <t>愛媛　501　み　3665</t>
    <rPh sb="0" eb="2">
      <t>エヒメ</t>
    </rPh>
    <phoneticPr fontId="13"/>
  </si>
  <si>
    <t>1C4BU0000LPL57857</t>
    <phoneticPr fontId="13"/>
  </si>
  <si>
    <t>愛媛　330　ち　7027</t>
    <rPh sb="0" eb="2">
      <t>エヒメ</t>
    </rPh>
    <phoneticPr fontId="13"/>
  </si>
  <si>
    <t>広島　582　せ　4346</t>
    <rPh sb="0" eb="2">
      <t>ヒロシマ</t>
    </rPh>
    <phoneticPr fontId="13"/>
  </si>
  <si>
    <t>ZFA3340000P897098</t>
    <phoneticPr fontId="13"/>
  </si>
  <si>
    <t>WVGZZZC1ZMY037508</t>
    <phoneticPr fontId="13"/>
  </si>
  <si>
    <t>MﾍﾞﾝﾂA180　ｽﾀｲﾙｾﾀﾞﾝ　AMGﾗｲﾝ</t>
    <phoneticPr fontId="13"/>
  </si>
  <si>
    <t>横浜　306　つ　9628</t>
    <rPh sb="0" eb="2">
      <t>ヨコハマ</t>
    </rPh>
    <phoneticPr fontId="13"/>
  </si>
  <si>
    <t>ｳｪｲｸ　Gﾀｰﾎﾞ　SaⅢ</t>
    <phoneticPr fontId="13"/>
  </si>
  <si>
    <t>LA700S-0133349</t>
    <phoneticPr fontId="13"/>
  </si>
  <si>
    <t>LA350S-0309186</t>
    <phoneticPr fontId="13"/>
  </si>
  <si>
    <t>LA650S-1022816</t>
    <phoneticPr fontId="13"/>
  </si>
  <si>
    <t>MR92S-489636</t>
    <phoneticPr fontId="13"/>
  </si>
  <si>
    <t>27-3139</t>
  </si>
  <si>
    <t>27-3140</t>
  </si>
  <si>
    <t>27-3141</t>
  </si>
  <si>
    <t>27-3142</t>
  </si>
  <si>
    <t>27-3143</t>
  </si>
  <si>
    <t>LA650S-0202749</t>
    <phoneticPr fontId="13"/>
  </si>
  <si>
    <t>MK53S-101478</t>
    <phoneticPr fontId="13"/>
  </si>
  <si>
    <t>HE22S-188472</t>
    <phoneticPr fontId="13"/>
  </si>
  <si>
    <t>N　ONE　ﾌﾟﾚﾐｱﾑLﾊﾟｯｹｰｼﾞ</t>
    <phoneticPr fontId="13"/>
  </si>
  <si>
    <t>JG1-1075120</t>
    <phoneticPr fontId="13"/>
  </si>
  <si>
    <t>広島　591　を　66</t>
    <rPh sb="0" eb="2">
      <t>ヒロシマ</t>
    </rPh>
    <phoneticPr fontId="13"/>
  </si>
  <si>
    <t>茶</t>
    <rPh sb="0" eb="1">
      <t>チャ</t>
    </rPh>
    <phoneticPr fontId="13"/>
  </si>
  <si>
    <t>WMWLN720902D33791</t>
    <phoneticPr fontId="13"/>
  </si>
  <si>
    <t>保証書 取説 ｷｰﾚｽ ﾅﾋﾞ取 ﾐﾆB-CAS</t>
    <phoneticPr fontId="13"/>
  </si>
  <si>
    <t>582 う 1686</t>
    <phoneticPr fontId="13"/>
  </si>
  <si>
    <t>奈良 580 め 5165</t>
    <rPh sb="0" eb="2">
      <t>ナラ</t>
    </rPh>
    <phoneticPr fontId="13"/>
  </si>
  <si>
    <t>井上 美千子</t>
    <rPh sb="0" eb="2">
      <t>イノウエ</t>
    </rPh>
    <rPh sb="3" eb="4">
      <t>ミ</t>
    </rPh>
    <rPh sb="4" eb="5">
      <t>セン</t>
    </rPh>
    <rPh sb="5" eb="6">
      <t>コ</t>
    </rPh>
    <phoneticPr fontId="13"/>
  </si>
  <si>
    <t>2/19</t>
    <phoneticPr fontId="13"/>
  </si>
  <si>
    <t>ｷｬｾﾙ返送 2/19</t>
    <rPh sb="4" eb="6">
      <t>ヘンソウ</t>
    </rPh>
    <phoneticPr fontId="13"/>
  </si>
  <si>
    <t>ﾎﾝﾀﾞ奈良自販株式会社</t>
    <rPh sb="4" eb="6">
      <t>ナラ</t>
    </rPh>
    <rPh sb="6" eb="8">
      <t>ジハン</t>
    </rPh>
    <rPh sb="8" eb="12">
      <t>カブシキガイシャ</t>
    </rPh>
    <phoneticPr fontId="13"/>
  </si>
  <si>
    <t>名古屋 582 ゆ 4666</t>
    <rPh sb="0" eb="3">
      <t>ナゴヤ</t>
    </rPh>
    <phoneticPr fontId="13"/>
  </si>
  <si>
    <t>愛知県中古自動車販売商工組合</t>
    <rPh sb="0" eb="2">
      <t>アイチ</t>
    </rPh>
    <rPh sb="2" eb="3">
      <t>ケン</t>
    </rPh>
    <rPh sb="3" eb="10">
      <t>チュウコジドウシャハンバイ</t>
    </rPh>
    <rPh sb="10" eb="14">
      <t>ショウコウクミアイ</t>
    </rPh>
    <phoneticPr fontId="13"/>
  </si>
  <si>
    <t xml:space="preserve">保証書 取説 ｷｰﾚｽ </t>
    <rPh sb="4" eb="6">
      <t>トリセツ</t>
    </rPh>
    <phoneticPr fontId="13"/>
  </si>
  <si>
    <t>保証書 取説 ｷｰﾚｽ ﾘﾓｺﾝ ﾏｲｸﾛ地図SD</t>
    <rPh sb="0" eb="3">
      <t>ホショウショ</t>
    </rPh>
    <rPh sb="4" eb="6">
      <t>トリセツ</t>
    </rPh>
    <rPh sb="21" eb="23">
      <t>チズ</t>
    </rPh>
    <phoneticPr fontId="13"/>
  </si>
  <si>
    <t>倉本 勤次</t>
    <rPh sb="0" eb="2">
      <t>クラモト</t>
    </rPh>
    <rPh sb="3" eb="4">
      <t>ツトム</t>
    </rPh>
    <rPh sb="4" eb="5">
      <t>ジ</t>
    </rPh>
    <phoneticPr fontId="13"/>
  </si>
  <si>
    <t>保証書 取説 ｷｰﾚｽ  地図SD</t>
    <rPh sb="4" eb="6">
      <t>トリセツ</t>
    </rPh>
    <rPh sb="13" eb="15">
      <t>チズ</t>
    </rPh>
    <phoneticPr fontId="13"/>
  </si>
  <si>
    <t>森田金属株式会社</t>
    <rPh sb="0" eb="2">
      <t>モリタ</t>
    </rPh>
    <rPh sb="2" eb="4">
      <t>キンゾク</t>
    </rPh>
    <rPh sb="4" eb="8">
      <t>カブシキガイシャ</t>
    </rPh>
    <phoneticPr fontId="13"/>
  </si>
  <si>
    <t>保証書 取説 ﾅﾋﾞ取 ｷｰﾚｽ2個 ﾜﾝｵｰﾅｰ</t>
    <rPh sb="0" eb="3">
      <t>ホショウショ</t>
    </rPh>
    <rPh sb="4" eb="6">
      <t>トリセツ</t>
    </rPh>
    <rPh sb="10" eb="11">
      <t>トリ</t>
    </rPh>
    <rPh sb="17" eb="18">
      <t>コ</t>
    </rPh>
    <phoneticPr fontId="13"/>
  </si>
  <si>
    <t>和泉 585 ろ 8517</t>
    <rPh sb="0" eb="2">
      <t>イズミ</t>
    </rPh>
    <phoneticPr fontId="13"/>
  </si>
  <si>
    <t>保証書 取説 ﾅﾋﾞSD</t>
    <rPh sb="0" eb="3">
      <t>ホショウショ</t>
    </rPh>
    <rPh sb="4" eb="6">
      <t>トリセツ</t>
    </rPh>
    <phoneticPr fontId="13"/>
  </si>
  <si>
    <t>VW ｻﾞﾋﾞｰﾄﾙ</t>
    <phoneticPr fontId="13"/>
  </si>
  <si>
    <t>WVWZZZ16ZKM704247</t>
    <phoneticPr fontId="13"/>
  </si>
  <si>
    <t>ﾊｲｾﾞｯﾄｶｰｺﾞ ﾃﾞﾗｯｸｽ</t>
    <phoneticPr fontId="13"/>
  </si>
  <si>
    <t>S700V-0173306</t>
    <phoneticPr fontId="13"/>
  </si>
  <si>
    <t>安雲野 480 あ 320</t>
    <rPh sb="0" eb="1">
      <t>ヤス</t>
    </rPh>
    <rPh sb="1" eb="2">
      <t>クモ</t>
    </rPh>
    <rPh sb="2" eb="3">
      <t>ノ</t>
    </rPh>
    <phoneticPr fontId="13"/>
  </si>
  <si>
    <t>582 う 1873</t>
    <phoneticPr fontId="13"/>
  </si>
  <si>
    <t>301 ね 7417</t>
    <phoneticPr fontId="13"/>
  </si>
  <si>
    <t>27-3144</t>
  </si>
  <si>
    <t>27-3145</t>
  </si>
  <si>
    <t>27-3146</t>
  </si>
  <si>
    <t>27-3147</t>
  </si>
  <si>
    <t>27-3148</t>
  </si>
  <si>
    <t>27-3149</t>
  </si>
  <si>
    <t>27-3150</t>
  </si>
  <si>
    <t>YV1FWA8RDH1354163</t>
    <phoneticPr fontId="13"/>
  </si>
  <si>
    <t>WMWXU52060TH96152</t>
    <phoneticPr fontId="13"/>
  </si>
  <si>
    <t>BMW 530 Iﾂｰﾘﾝｸﾞ MSP</t>
    <phoneticPr fontId="13"/>
  </si>
  <si>
    <t>WBA32BM020CG44448</t>
    <phoneticPr fontId="13"/>
  </si>
  <si>
    <t>ﾊﾘｱｰ ｴﾚｶﾞﾝｽ</t>
    <phoneticPr fontId="13"/>
  </si>
  <si>
    <t>ﾒﾙｾﾃﾞｽﾍﾞﾝﾂ C 220d</t>
    <phoneticPr fontId="13"/>
  </si>
  <si>
    <t>W1K2052142G080033</t>
    <phoneticPr fontId="13"/>
  </si>
  <si>
    <t>974(312)</t>
    <phoneticPr fontId="13"/>
  </si>
  <si>
    <t>975(18)</t>
    <phoneticPr fontId="13"/>
  </si>
  <si>
    <t>ﾎﾞﾙﾎﾞV60 D4 ﾀﾞｲﾅﾐｯｸｴﾃﾞｨｼｮﾝ</t>
    <phoneticPr fontId="13"/>
  </si>
  <si>
    <t>名古屋 331 す 8287</t>
    <rPh sb="0" eb="3">
      <t>ナゴヤ</t>
    </rPh>
    <phoneticPr fontId="13"/>
  </si>
  <si>
    <t>ZSU60-109402</t>
    <phoneticPr fontId="13"/>
  </si>
  <si>
    <t>四日市 310　め　11</t>
    <rPh sb="0" eb="3">
      <t>ヨッカイチ</t>
    </rPh>
    <phoneticPr fontId="13"/>
  </si>
  <si>
    <t>株式会社ｼｭﾃﾙﾝﾃｨｰｱｲ</t>
    <rPh sb="0" eb="4">
      <t>カブシキガイシャ</t>
    </rPh>
    <phoneticPr fontId="13"/>
  </si>
  <si>
    <t>永山 雅也</t>
    <rPh sb="0" eb="2">
      <t>ナガヤマ</t>
    </rPh>
    <rPh sb="3" eb="5">
      <t>マサヤ</t>
    </rPh>
    <phoneticPr fontId="13"/>
  </si>
  <si>
    <t>株式会社木澤自動車</t>
    <rPh sb="0" eb="4">
      <t>カブシキガイシャ</t>
    </rPh>
    <rPh sb="4" eb="6">
      <t>キサワ</t>
    </rPh>
    <rPh sb="6" eb="9">
      <t>ジドウシャ</t>
    </rPh>
    <phoneticPr fontId="13"/>
  </si>
  <si>
    <t>株式会社ｸﾞﾗﾝﾄﾞｴﾝﾀｰﾌﾟﾗｲｽﾞ</t>
    <rPh sb="0" eb="4">
      <t>カブシキガイシャ</t>
    </rPh>
    <phoneticPr fontId="13"/>
  </si>
  <si>
    <t>名古屋 360 の 610</t>
    <rPh sb="0" eb="3">
      <t>ナゴヤ</t>
    </rPh>
    <phoneticPr fontId="13"/>
  </si>
  <si>
    <t>ﾌｧｰﾚﾝ名古屋中央株式会社</t>
    <rPh sb="5" eb="8">
      <t>ナゴヤ</t>
    </rPh>
    <rPh sb="8" eb="10">
      <t>チュウオウ</t>
    </rPh>
    <rPh sb="10" eb="14">
      <t>カブシキガイシャ</t>
    </rPh>
    <phoneticPr fontId="13"/>
  </si>
  <si>
    <t>名古屋 372 そ 1002</t>
    <rPh sb="0" eb="3">
      <t>ナゴヤ</t>
    </rPh>
    <phoneticPr fontId="13"/>
  </si>
  <si>
    <t>Case株式会社</t>
    <rPh sb="4" eb="8">
      <t>カブシキガイシャ</t>
    </rPh>
    <phoneticPr fontId="13"/>
  </si>
  <si>
    <t>立田 優希</t>
    <rPh sb="0" eb="2">
      <t>タテダ</t>
    </rPh>
    <rPh sb="3" eb="5">
      <t>ユウキ</t>
    </rPh>
    <phoneticPr fontId="13"/>
  </si>
  <si>
    <t>保証書 取説 ﾅﾋﾞ取 ｷｰﾚｽ(ﾒｶｷｰなし)</t>
    <rPh sb="0" eb="3">
      <t>ホショウショ</t>
    </rPh>
    <rPh sb="4" eb="6">
      <t>トリセツ</t>
    </rPh>
    <rPh sb="10" eb="11">
      <t>トリ</t>
    </rPh>
    <phoneticPr fontId="13"/>
  </si>
  <si>
    <t>名古屋 581 わ 7184</t>
    <rPh sb="0" eb="3">
      <t>ナゴヤ</t>
    </rPh>
    <phoneticPr fontId="13"/>
  </si>
  <si>
    <t>J-netﾚﾝﾀﾘｰｽ株式会社</t>
    <rPh sb="2" eb="15">
      <t>NETレンタリースカブシキガイシャ</t>
    </rPh>
    <phoneticPr fontId="13"/>
  </si>
  <si>
    <t>宮田 真吾</t>
    <rPh sb="0" eb="2">
      <t>ミヤタ</t>
    </rPh>
    <rPh sb="3" eb="5">
      <t>シンゴ</t>
    </rPh>
    <phoneticPr fontId="13"/>
  </si>
  <si>
    <t>奈良 500 わ 7687</t>
    <rPh sb="0" eb="2">
      <t>ナラ</t>
    </rPh>
    <phoneticPr fontId="13"/>
  </si>
  <si>
    <t>株式会社ｷﾝｷﾚﾝﾀｶｰ大阪</t>
    <rPh sb="0" eb="4">
      <t>カブシキガイシャ</t>
    </rPh>
    <rPh sb="12" eb="14">
      <t>オオサカ</t>
    </rPh>
    <phoneticPr fontId="13"/>
  </si>
  <si>
    <t>大阪 33P り 88</t>
    <rPh sb="0" eb="2">
      <t>オオサカ</t>
    </rPh>
    <phoneticPr fontId="13"/>
  </si>
  <si>
    <t>ﾄﾖﾀﾓﾋﾞﾘﾃｨ新大阪株式会社</t>
    <rPh sb="9" eb="12">
      <t>シンダイサカ</t>
    </rPh>
    <rPh sb="12" eb="16">
      <t>カブシキガイシャ</t>
    </rPh>
    <phoneticPr fontId="13"/>
  </si>
  <si>
    <t>広島 333 と 404</t>
    <rPh sb="0" eb="2">
      <t>ヒロシマ</t>
    </rPh>
    <phoneticPr fontId="13"/>
  </si>
  <si>
    <t>齋藤 茂樹</t>
    <rPh sb="0" eb="2">
      <t>サイトウ</t>
    </rPh>
    <rPh sb="3" eb="5">
      <t>シゲキ</t>
    </rPh>
    <phoneticPr fontId="13"/>
  </si>
  <si>
    <t>保証書 ﾅﾋﾞ取 地図SD</t>
    <rPh sb="0" eb="3">
      <t>ホショウショ</t>
    </rPh>
    <rPh sb="7" eb="8">
      <t>トリ</t>
    </rPh>
    <rPh sb="9" eb="11">
      <t>チズ</t>
    </rPh>
    <phoneticPr fontId="13"/>
  </si>
  <si>
    <t>岡山 583 ち 3522</t>
    <rPh sb="0" eb="2">
      <t>オカヤマ</t>
    </rPh>
    <phoneticPr fontId="13"/>
  </si>
  <si>
    <t>藤森 拓也</t>
    <rPh sb="0" eb="2">
      <t>フジモリ</t>
    </rPh>
    <rPh sb="3" eb="5">
      <t>タクヤ</t>
    </rPh>
    <phoneticPr fontId="13"/>
  </si>
  <si>
    <t>広島 330 ら 5570</t>
    <rPh sb="0" eb="2">
      <t>ヒロシマ</t>
    </rPh>
    <phoneticPr fontId="13"/>
  </si>
  <si>
    <t>品川 5X0 ろ 3646</t>
    <rPh sb="0" eb="2">
      <t>シナガワ</t>
    </rPh>
    <phoneticPr fontId="13"/>
  </si>
  <si>
    <t>名鉄協商株式会社</t>
    <rPh sb="0" eb="2">
      <t>メイテツ</t>
    </rPh>
    <rPh sb="2" eb="3">
      <t>キョウ</t>
    </rPh>
    <rPh sb="3" eb="4">
      <t>ショウ</t>
    </rPh>
    <rPh sb="4" eb="8">
      <t>カブシキガイシャ</t>
    </rPh>
    <phoneticPr fontId="13"/>
  </si>
  <si>
    <t>ｽﾛｰﾊﾟｰﾘﾓｺﾝ</t>
    <phoneticPr fontId="13"/>
  </si>
  <si>
    <t>倉敷 532 む 326</t>
    <rPh sb="0" eb="2">
      <t>クラシキ</t>
    </rPh>
    <phoneticPr fontId="13"/>
  </si>
  <si>
    <t>尾崎 直也</t>
    <rPh sb="0" eb="2">
      <t>オザキ</t>
    </rPh>
    <rPh sb="3" eb="5">
      <t>ナオヤ</t>
    </rPh>
    <phoneticPr fontId="13"/>
  </si>
  <si>
    <t>豊橋 399 つ 2282</t>
    <rPh sb="0" eb="2">
      <t>トヨハシ</t>
    </rPh>
    <phoneticPr fontId="13"/>
  </si>
  <si>
    <r>
      <t>保証書  ｷｰﾚｽ</t>
    </r>
    <r>
      <rPr>
        <sz val="11"/>
        <color rgb="FFFF0000"/>
        <rFont val="ＭＳ Ｐゴシック"/>
        <family val="3"/>
        <charset val="128"/>
        <scheme val="minor"/>
      </rPr>
      <t xml:space="preserve"> 取説車内にある上げってきない</t>
    </r>
    <rPh sb="0" eb="3">
      <t>ホショウショ</t>
    </rPh>
    <rPh sb="10" eb="12">
      <t>トリセツ</t>
    </rPh>
    <rPh sb="12" eb="14">
      <t>シャナイ</t>
    </rPh>
    <rPh sb="17" eb="18">
      <t>ア</t>
    </rPh>
    <phoneticPr fontId="13"/>
  </si>
  <si>
    <t>京都 582 た 6138</t>
    <rPh sb="0" eb="2">
      <t>キョウト</t>
    </rPh>
    <phoneticPr fontId="13"/>
  </si>
  <si>
    <t>藤﨑 隆博</t>
    <rPh sb="0" eb="2">
      <t>フジサキ</t>
    </rPh>
    <rPh sb="3" eb="4">
      <t>タカシ</t>
    </rPh>
    <rPh sb="4" eb="5">
      <t>ヒロシ</t>
    </rPh>
    <phoneticPr fontId="13"/>
  </si>
  <si>
    <t>2/20</t>
    <phoneticPr fontId="13"/>
  </si>
  <si>
    <t>春日井 311 て 68</t>
    <rPh sb="0" eb="3">
      <t>カスガイ</t>
    </rPh>
    <phoneticPr fontId="13"/>
  </si>
  <si>
    <t>北 善文</t>
    <rPh sb="0" eb="1">
      <t>キタ</t>
    </rPh>
    <rPh sb="2" eb="3">
      <t>ゼン</t>
    </rPh>
    <rPh sb="3" eb="4">
      <t>フミ</t>
    </rPh>
    <phoneticPr fontId="13"/>
  </si>
  <si>
    <t>神戸 32M て 1</t>
    <rPh sb="0" eb="2">
      <t>コウベ</t>
    </rPh>
    <phoneticPr fontId="13"/>
  </si>
  <si>
    <t>なにわ 5P9 ろ 6777</t>
    <phoneticPr fontId="13"/>
  </si>
  <si>
    <t>中尾 晃久</t>
    <rPh sb="0" eb="2">
      <t>ナカオ</t>
    </rPh>
    <rPh sb="3" eb="5">
      <t>アキヒサ</t>
    </rPh>
    <phoneticPr fontId="13"/>
  </si>
  <si>
    <t>なにわ 5P9 ろ 6771</t>
    <phoneticPr fontId="13"/>
  </si>
  <si>
    <t>大宮 490 ろ 1766</t>
    <rPh sb="0" eb="2">
      <t>オオミヤ</t>
    </rPh>
    <phoneticPr fontId="13"/>
  </si>
  <si>
    <t>株式会社タウ</t>
    <rPh sb="0" eb="4">
      <t>カブシキガイシャ</t>
    </rPh>
    <phoneticPr fontId="13"/>
  </si>
  <si>
    <t>尾張小牧 499 ち 8478</t>
    <rPh sb="0" eb="4">
      <t>オワリコマキ</t>
    </rPh>
    <phoneticPr fontId="13"/>
  </si>
  <si>
    <t>ｷｬｾﾙ返送2/20</t>
    <rPh sb="4" eb="6">
      <t>ヘンソウ</t>
    </rPh>
    <phoneticPr fontId="13"/>
  </si>
  <si>
    <t>多摩 339 め 222</t>
    <rPh sb="0" eb="2">
      <t>タマ</t>
    </rPh>
    <phoneticPr fontId="13"/>
  </si>
  <si>
    <t>27-3151</t>
  </si>
  <si>
    <t>27-3152</t>
  </si>
  <si>
    <t>27-3153</t>
  </si>
  <si>
    <t>27-3154</t>
  </si>
  <si>
    <t>27-3155</t>
  </si>
  <si>
    <t>27-3156</t>
  </si>
  <si>
    <t>27-3157</t>
  </si>
  <si>
    <t>MK32S-154916</t>
    <phoneticPr fontId="13"/>
  </si>
  <si>
    <t>DS17V-254127</t>
    <phoneticPr fontId="13"/>
  </si>
  <si>
    <t>LA850S-0070918</t>
    <phoneticPr fontId="13"/>
  </si>
  <si>
    <t>LA600S-0730964</t>
    <phoneticPr fontId="13"/>
  </si>
  <si>
    <t>LA350S-0345034</t>
    <phoneticPr fontId="13"/>
  </si>
  <si>
    <t>LA800S-0270165</t>
    <phoneticPr fontId="13"/>
  </si>
  <si>
    <t>HE22S-407540</t>
    <phoneticPr fontId="13"/>
  </si>
  <si>
    <t>ｽﾍﾟｰｼｱ  X</t>
    <phoneticPr fontId="13"/>
  </si>
  <si>
    <t>ﾐﾆｷｬﾌﾞ V ﾌﾞﾗﾎﾞｰ 4WD</t>
    <phoneticPr fontId="13"/>
  </si>
  <si>
    <t>9/9/11</t>
    <phoneticPr fontId="13"/>
  </si>
  <si>
    <t>ﾀﾝﾄｶｽﾀﾑ　 X ﾄｯﾌﾟｴﾃﾞｨｼｮﾝ</t>
    <phoneticPr fontId="13"/>
  </si>
  <si>
    <t>ﾑｰﾌﾞｷｬﾝﾊﾞｽ X ﾒｲｸｱｯﾌﾟﾘﾐﾃｯﾄﾞ</t>
    <phoneticPr fontId="13"/>
  </si>
  <si>
    <t>ｱﾙﾄﾗﾊﾟﾝ X ｾﾚｸｼｮﾝ</t>
    <phoneticPr fontId="13"/>
  </si>
  <si>
    <t>ﾊﾟｰﾙ/ﾍﾞｰｼﾞｭ</t>
    <phoneticPr fontId="13"/>
  </si>
  <si>
    <t>27-3158</t>
  </si>
  <si>
    <t>27-3159</t>
  </si>
  <si>
    <t>27-3160</t>
  </si>
  <si>
    <t>27-3161</t>
  </si>
  <si>
    <t>27-3162</t>
  </si>
  <si>
    <t>27-3163</t>
  </si>
  <si>
    <t>27-3164</t>
  </si>
  <si>
    <t>27-3165</t>
  </si>
  <si>
    <t>NSP170-7159749</t>
    <phoneticPr fontId="13"/>
  </si>
  <si>
    <t>NCP160-0153999</t>
    <phoneticPr fontId="13"/>
  </si>
  <si>
    <t>S700V-0133146</t>
    <phoneticPr fontId="13"/>
  </si>
  <si>
    <t>MM53S-715244</t>
    <phoneticPr fontId="13"/>
  </si>
  <si>
    <t>B44W-0400667</t>
    <phoneticPr fontId="13"/>
  </si>
  <si>
    <t>B44W-0400623</t>
    <phoneticPr fontId="13"/>
  </si>
  <si>
    <t>B44W-0400613</t>
    <phoneticPr fontId="13"/>
  </si>
  <si>
    <t>DA17W-213766</t>
    <phoneticPr fontId="13"/>
  </si>
  <si>
    <t>ｼｴﾝﾀ G ｸｴﾛ</t>
    <phoneticPr fontId="13"/>
  </si>
  <si>
    <t>ﾊｲｾﾞｯﾄｶｰｺﾞ  ﾃﾞﾗｯｸｽ</t>
    <phoneticPr fontId="13"/>
  </si>
  <si>
    <t>なにわ 484 と 99</t>
    <phoneticPr fontId="13"/>
  </si>
  <si>
    <t>ﾌﾚｱﾜｺﾞﾝｶｽﾀﾑ ﾊｲﾌﾞﾘｯﾄﾞXS</t>
    <phoneticPr fontId="13"/>
  </si>
  <si>
    <t>広島 799 ね 3</t>
    <rPh sb="0" eb="2">
      <t>ヒロシマ</t>
    </rPh>
    <phoneticPr fontId="13"/>
  </si>
  <si>
    <t>ﾃﾞｲｽﾞﾊｲｳｪｲｽﾀｰ X ﾌﾟﾛﾊﾟｲﾛｯﾄｴﾃﾞｨｼｮﾝ</t>
    <phoneticPr fontId="13"/>
  </si>
  <si>
    <t>ﾃﾞｲｽﾞﾊｲｳｪｲｽﾀｰX ﾌﾟﾛﾊﾟｲﾛｯﾄｴﾃﾞｨｼｮﾝ</t>
    <phoneticPr fontId="13"/>
  </si>
  <si>
    <t>なにわ 584 せ 928</t>
    <phoneticPr fontId="13"/>
  </si>
  <si>
    <t>白/茶</t>
    <rPh sb="0" eb="1">
      <t>シロ</t>
    </rPh>
    <rPh sb="2" eb="3">
      <t>チャ</t>
    </rPh>
    <phoneticPr fontId="13"/>
  </si>
  <si>
    <t>群馬 583 け 7101</t>
    <rPh sb="0" eb="2">
      <t>グンマ</t>
    </rPh>
    <phoneticPr fontId="13"/>
  </si>
  <si>
    <t>金子 富士</t>
    <rPh sb="0" eb="2">
      <t>カネコ</t>
    </rPh>
    <rPh sb="3" eb="5">
      <t>フジ</t>
    </rPh>
    <phoneticPr fontId="13"/>
  </si>
  <si>
    <t>NT32-080223</t>
    <phoneticPr fontId="13"/>
  </si>
  <si>
    <t>ZRR80-0128634</t>
    <phoneticPr fontId="13"/>
  </si>
  <si>
    <t>ﾊｽﾗｰJ</t>
    <phoneticPr fontId="13"/>
  </si>
  <si>
    <t>ｴｸｽﾄﾚｲﾙ 4WD 20X</t>
    <phoneticPr fontId="13"/>
  </si>
  <si>
    <t>ｴｽｸｧｲｱ Gi</t>
    <phoneticPr fontId="13"/>
  </si>
  <si>
    <t>保証書 取説 ｷｰﾚｽ ﾜﾝｵｰﾅｰ？</t>
    <rPh sb="0" eb="3">
      <t>ホショウショ</t>
    </rPh>
    <rPh sb="4" eb="6">
      <t>トリセツ</t>
    </rPh>
    <phoneticPr fontId="13"/>
  </si>
  <si>
    <t>27-3166</t>
  </si>
  <si>
    <t>ﾎﾞﾙﾎﾞ XC40 T4 ﾓﾒﾝﾀﾑ</t>
    <phoneticPr fontId="13"/>
  </si>
  <si>
    <t>YV1XZACMDL2245060</t>
    <phoneticPr fontId="13"/>
  </si>
  <si>
    <t>ZFA3120000JE30101</t>
    <phoneticPr fontId="13"/>
  </si>
  <si>
    <t>27-3167</t>
  </si>
  <si>
    <t>27-3168</t>
  </si>
  <si>
    <t>27-3169</t>
  </si>
  <si>
    <t>WMWXV320902N59305</t>
    <phoneticPr fontId="13"/>
  </si>
  <si>
    <t>WMW12DV0602T97035</t>
    <phoneticPr fontId="13"/>
  </si>
  <si>
    <t>301 ね 7518</t>
    <phoneticPr fontId="13"/>
  </si>
  <si>
    <t>保証書 ｷｰﾚｽ</t>
    <phoneticPr fontId="13"/>
  </si>
  <si>
    <t>三重 480 ふ 2746</t>
    <rPh sb="0" eb="2">
      <t>ミエ</t>
    </rPh>
    <phoneticPr fontId="13"/>
  </si>
  <si>
    <t>2/21</t>
    <phoneticPr fontId="13"/>
  </si>
  <si>
    <t>高知 300 ね 9800</t>
    <rPh sb="0" eb="2">
      <t>コウチ</t>
    </rPh>
    <phoneticPr fontId="13"/>
  </si>
  <si>
    <t>西田 義弘</t>
    <rPh sb="0" eb="2">
      <t>ニシダ</t>
    </rPh>
    <rPh sb="3" eb="5">
      <t>ヨシヒロ</t>
    </rPh>
    <phoneticPr fontId="13"/>
  </si>
  <si>
    <t>乾 佐知子</t>
    <rPh sb="0" eb="1">
      <t>イヌイ</t>
    </rPh>
    <rPh sb="2" eb="5">
      <t>サチコ</t>
    </rPh>
    <phoneticPr fontId="13"/>
  </si>
  <si>
    <t>堺 300 ぬ 2497</t>
    <rPh sb="0" eb="1">
      <t>サカイ</t>
    </rPh>
    <phoneticPr fontId="13"/>
  </si>
  <si>
    <t>中西 一真</t>
    <rPh sb="0" eb="2">
      <t>ナカニシ</t>
    </rPh>
    <rPh sb="3" eb="5">
      <t>カズマ</t>
    </rPh>
    <phoneticPr fontId="13"/>
  </si>
  <si>
    <t>保証書2冊 取説 地図SD</t>
    <rPh sb="0" eb="3">
      <t>ホショウショ</t>
    </rPh>
    <rPh sb="4" eb="5">
      <t>サツ</t>
    </rPh>
    <rPh sb="6" eb="8">
      <t>トリセツ</t>
    </rPh>
    <rPh sb="9" eb="11">
      <t>チズ</t>
    </rPh>
    <phoneticPr fontId="13"/>
  </si>
  <si>
    <t>ミニB-CAS</t>
    <phoneticPr fontId="13"/>
  </si>
  <si>
    <t>松崎 稔</t>
    <rPh sb="0" eb="2">
      <t>マツサキ</t>
    </rPh>
    <rPh sb="3" eb="4">
      <t>ミノリ</t>
    </rPh>
    <phoneticPr fontId="13"/>
  </si>
  <si>
    <t>保証書 取説 ﾅﾋﾞ取 ﾏｲｸﾛ地図SD ミニB-CAS ﾜﾝｵｰﾅｰ</t>
    <rPh sb="0" eb="3">
      <t>ホショウショ</t>
    </rPh>
    <rPh sb="4" eb="6">
      <t>トリセツ</t>
    </rPh>
    <rPh sb="10" eb="11">
      <t>トリ</t>
    </rPh>
    <rPh sb="16" eb="18">
      <t>チズ</t>
    </rPh>
    <phoneticPr fontId="13"/>
  </si>
  <si>
    <t>福島ﾄﾖﾀ自動車株式会社</t>
    <rPh sb="0" eb="2">
      <t>フクシマ</t>
    </rPh>
    <rPh sb="5" eb="12">
      <t>ジドウシャカブシキガイシャ</t>
    </rPh>
    <phoneticPr fontId="13"/>
  </si>
  <si>
    <t>保証書 ｷｰﾚｽ ｶｰﾄﾞｷｰ ﾜﾝｵｰﾅｰ</t>
    <rPh sb="0" eb="3">
      <t>ホショウショ</t>
    </rPh>
    <phoneticPr fontId="13"/>
  </si>
  <si>
    <t>広島 593 ふ 358</t>
    <rPh sb="0" eb="2">
      <t>ヒロシマ</t>
    </rPh>
    <phoneticPr fontId="13"/>
  </si>
  <si>
    <t>岡山 584 ろ 2349</t>
    <rPh sb="0" eb="2">
      <t>オカヤマ</t>
    </rPh>
    <phoneticPr fontId="13"/>
  </si>
  <si>
    <t>東中国ｽｽﾞｷ自動車株式会社岡山営業所</t>
    <rPh sb="0" eb="3">
      <t>ヒガシチュウゴク</t>
    </rPh>
    <rPh sb="7" eb="14">
      <t>ジドウシャカブシキガイシャ</t>
    </rPh>
    <rPh sb="14" eb="16">
      <t>オカヤマ</t>
    </rPh>
    <rPh sb="16" eb="19">
      <t>エイギョウショ</t>
    </rPh>
    <phoneticPr fontId="13"/>
  </si>
  <si>
    <t>株式会社ｴｯｼﾞﾙｰﾌﾟ</t>
    <rPh sb="0" eb="4">
      <t>カブシキガイシャ</t>
    </rPh>
    <phoneticPr fontId="13"/>
  </si>
  <si>
    <t>保証書 取説 ﾅﾋﾞ取 ｷｰﾚｽ ｽﾍﾟｱｷｰ4個</t>
    <rPh sb="0" eb="3">
      <t>ホショウショ</t>
    </rPh>
    <rPh sb="4" eb="6">
      <t>トリセツ</t>
    </rPh>
    <rPh sb="10" eb="11">
      <t>トリ</t>
    </rPh>
    <rPh sb="24" eb="25">
      <t>コ</t>
    </rPh>
    <phoneticPr fontId="13"/>
  </si>
  <si>
    <t>品川 5X0 ろ 9874</t>
    <rPh sb="0" eb="2">
      <t>シナガワ</t>
    </rPh>
    <phoneticPr fontId="13"/>
  </si>
  <si>
    <t>堺 584 さ 130</t>
    <rPh sb="0" eb="1">
      <t>サカイ</t>
    </rPh>
    <phoneticPr fontId="13"/>
  </si>
  <si>
    <t>豊田 330 つ 1330</t>
    <rPh sb="0" eb="2">
      <t>トヨタ</t>
    </rPh>
    <phoneticPr fontId="13"/>
  </si>
  <si>
    <t>金丸 雅俊</t>
    <rPh sb="0" eb="2">
      <t>カナマル</t>
    </rPh>
    <rPh sb="3" eb="5">
      <t>マサトシ</t>
    </rPh>
    <phoneticPr fontId="13"/>
  </si>
  <si>
    <t>姫路 588 む 1021</t>
    <rPh sb="0" eb="2">
      <t>ヒメジ</t>
    </rPh>
    <phoneticPr fontId="13"/>
  </si>
  <si>
    <t>永岡 宣幸</t>
    <rPh sb="0" eb="2">
      <t>ナガオカ</t>
    </rPh>
    <rPh sb="3" eb="5">
      <t>ノブユキ</t>
    </rPh>
    <phoneticPr fontId="13"/>
  </si>
  <si>
    <t>27-3170</t>
  </si>
  <si>
    <t>27-3171</t>
  </si>
  <si>
    <t>27-3172</t>
  </si>
  <si>
    <t>27-3173</t>
  </si>
  <si>
    <t>27-3174</t>
  </si>
  <si>
    <t>27-3175</t>
  </si>
  <si>
    <t>27-3176</t>
  </si>
  <si>
    <t>27-3177</t>
  </si>
  <si>
    <t>27-3178</t>
  </si>
  <si>
    <t>27-3179</t>
  </si>
  <si>
    <t>LA400K-0012663</t>
    <phoneticPr fontId="13"/>
  </si>
  <si>
    <t>MH55S-167582</t>
    <phoneticPr fontId="13"/>
  </si>
  <si>
    <t>MH34S-259902</t>
    <phoneticPr fontId="13"/>
  </si>
  <si>
    <t>MK32S-236474</t>
    <phoneticPr fontId="13"/>
  </si>
  <si>
    <t>MH85S-193927</t>
    <phoneticPr fontId="13"/>
  </si>
  <si>
    <t>MK42S-129046</t>
    <phoneticPr fontId="13"/>
  </si>
  <si>
    <t>MX91S-153493</t>
    <phoneticPr fontId="13"/>
  </si>
  <si>
    <t>S510P-0215949</t>
    <phoneticPr fontId="13"/>
  </si>
  <si>
    <t>JB64W-143943</t>
    <phoneticPr fontId="13"/>
  </si>
  <si>
    <t>MX91S-117785</t>
    <phoneticPr fontId="13"/>
  </si>
  <si>
    <t>ﾑｰﾌﾞ RS ｴｱﾛ</t>
    <phoneticPr fontId="13"/>
  </si>
  <si>
    <t>LA850S-2028338</t>
    <phoneticPr fontId="13"/>
  </si>
  <si>
    <t>ﾌｨｯﾄ e：HEVﾎｰﾑ</t>
    <phoneticPr fontId="13"/>
  </si>
  <si>
    <t>GR3-1027269</t>
    <phoneticPr fontId="13"/>
  </si>
  <si>
    <t>JB23W-746713</t>
    <phoneticPr fontId="13"/>
  </si>
  <si>
    <t>ｳﾞｪｾﾞﾙ　ﾊｲﾌﾞﾘｯﾄﾞZ</t>
    <phoneticPr fontId="13"/>
  </si>
  <si>
    <t>RU3-1338230</t>
    <phoneticPr fontId="13"/>
  </si>
  <si>
    <t>LA800S-0134439</t>
    <phoneticPr fontId="13"/>
  </si>
  <si>
    <t>ｼｴﾝﾀ ﾊｲﾌﾞﾘｯﾄﾞG</t>
    <phoneticPr fontId="13"/>
  </si>
  <si>
    <t>MXPL10-1055284</t>
    <phoneticPr fontId="13"/>
  </si>
  <si>
    <t>N-ONE ﾂｱﾗｰ</t>
    <phoneticPr fontId="13"/>
  </si>
  <si>
    <t>JG1-2203609</t>
    <phoneticPr fontId="13"/>
  </si>
  <si>
    <t>LA800S-0153549</t>
    <phoneticPr fontId="13"/>
  </si>
  <si>
    <t>ｽﾍﾟｰｼｱｶｽﾀﾑﾊｲﾌﾞﾘｯﾄﾞ</t>
    <phoneticPr fontId="13"/>
  </si>
  <si>
    <t>MK94S-103034</t>
    <phoneticPr fontId="13"/>
  </si>
  <si>
    <t>ﾜｺﾞﾝRｶｽﾀﾑ Z ﾊｲﾌﾞﾘｯﾄﾞ</t>
    <phoneticPr fontId="13"/>
  </si>
  <si>
    <t>MH55S-932978</t>
    <phoneticPr fontId="13"/>
  </si>
  <si>
    <t>ｽｲﾌﾄ ﾊｲﾌﾞﾘｯﾄﾞMZ</t>
    <phoneticPr fontId="13"/>
  </si>
  <si>
    <t>ZCEDS-114201</t>
    <phoneticPr fontId="13"/>
  </si>
  <si>
    <t>MK21S-388102</t>
    <phoneticPr fontId="13"/>
  </si>
  <si>
    <t>MR31S-836351</t>
    <phoneticPr fontId="13"/>
  </si>
  <si>
    <t>MK53S-328402</t>
    <phoneticPr fontId="13"/>
  </si>
  <si>
    <t>JF1-1645153</t>
    <phoneticPr fontId="13"/>
  </si>
  <si>
    <t>MRﾜｺﾞﾝ X</t>
    <phoneticPr fontId="13"/>
  </si>
  <si>
    <t>MF33S-112518</t>
    <phoneticPr fontId="13"/>
  </si>
  <si>
    <t>27-3180</t>
  </si>
  <si>
    <t>27-3181</t>
  </si>
  <si>
    <t>27-3182</t>
  </si>
  <si>
    <t>27-3183</t>
  </si>
  <si>
    <t>27-3184</t>
  </si>
  <si>
    <t>27-3185</t>
  </si>
  <si>
    <t>27-3186</t>
  </si>
  <si>
    <t>27-3187</t>
  </si>
  <si>
    <t>27-3188</t>
  </si>
  <si>
    <t>27-3189</t>
  </si>
  <si>
    <t>27-3190</t>
  </si>
  <si>
    <t>27-3191</t>
  </si>
  <si>
    <t>27-3192</t>
  </si>
  <si>
    <t>27-3193</t>
  </si>
  <si>
    <t>27-3194</t>
  </si>
  <si>
    <t>27-3195</t>
  </si>
  <si>
    <t>27-3196</t>
  </si>
  <si>
    <t>27-3197</t>
  </si>
  <si>
    <t>27-3198</t>
  </si>
  <si>
    <t>27-3199</t>
  </si>
  <si>
    <t>岩﨑様</t>
    <rPh sb="0" eb="2">
      <t>イワサキ</t>
    </rPh>
    <rPh sb="2" eb="3">
      <t>サマ</t>
    </rPh>
    <phoneticPr fontId="13"/>
  </si>
  <si>
    <t>BMW 435 ｸｰﾍﾟ Mｽﾎﾟｰﾂ</t>
    <phoneticPr fontId="13"/>
  </si>
  <si>
    <t>WBA3R120X0K002877</t>
    <phoneticPr fontId="13"/>
  </si>
  <si>
    <t>8/2/19</t>
    <phoneticPr fontId="13"/>
  </si>
  <si>
    <t>姫路 357 ほ 32</t>
    <rPh sb="0" eb="2">
      <t>ヒメジ</t>
    </rPh>
    <phoneticPr fontId="13"/>
  </si>
  <si>
    <t>岩﨑 夢叶</t>
    <rPh sb="0" eb="2">
      <t>イワサキ</t>
    </rPh>
    <rPh sb="3" eb="4">
      <t>ユメ</t>
    </rPh>
    <rPh sb="4" eb="5">
      <t>カナ</t>
    </rPh>
    <phoneticPr fontId="13"/>
  </si>
  <si>
    <t>岡崎 580 て 2683</t>
    <rPh sb="0" eb="2">
      <t>オカザキ</t>
    </rPh>
    <phoneticPr fontId="13"/>
  </si>
  <si>
    <t>岐阜 58A あ 4539</t>
    <rPh sb="0" eb="2">
      <t>ギフ</t>
    </rPh>
    <phoneticPr fontId="13"/>
  </si>
  <si>
    <t>ﾜｺﾞﾝR 20周年記念車</t>
    <rPh sb="8" eb="10">
      <t>シュウネン</t>
    </rPh>
    <rPh sb="10" eb="12">
      <t>キネン</t>
    </rPh>
    <rPh sb="12" eb="13">
      <t>シャ</t>
    </rPh>
    <phoneticPr fontId="13"/>
  </si>
  <si>
    <t>名古屋 581 ね 9538</t>
    <rPh sb="0" eb="3">
      <t>ナゴヤ</t>
    </rPh>
    <phoneticPr fontId="13"/>
  </si>
  <si>
    <t>ｽﾍﾟｰｼｱ Gﾘﾐﾃｯﾄﾞ</t>
    <phoneticPr fontId="13"/>
  </si>
  <si>
    <t>9/10/2</t>
    <phoneticPr fontId="13"/>
  </si>
  <si>
    <t>ﾊﾟﾚｯﾄ SW XS</t>
    <phoneticPr fontId="13"/>
  </si>
  <si>
    <t>8/7/9</t>
    <phoneticPr fontId="13"/>
  </si>
  <si>
    <t>31/？</t>
    <phoneticPr fontId="13"/>
  </si>
  <si>
    <t>ﾊﾟｰﾙ/ﾐﾝﾄ</t>
    <phoneticPr fontId="13"/>
  </si>
  <si>
    <t>10/10/2</t>
    <phoneticPr fontId="13"/>
  </si>
  <si>
    <t>MR41S-347549</t>
    <phoneticPr fontId="13"/>
  </si>
  <si>
    <t>所沢 530 そ 8974</t>
    <rPh sb="0" eb="2">
      <t>トコロザワ</t>
    </rPh>
    <phoneticPr fontId="13"/>
  </si>
  <si>
    <t>田中 広之</t>
    <rPh sb="0" eb="2">
      <t>タナカ</t>
    </rPh>
    <rPh sb="3" eb="5">
      <t>ヒロユキ</t>
    </rPh>
    <phoneticPr fontId="13"/>
  </si>
  <si>
    <t>(車検証 自賠責 保証書 取説 車内に入れままと連絡あり)</t>
    <rPh sb="1" eb="4">
      <t>シャケンショウ</t>
    </rPh>
    <rPh sb="5" eb="8">
      <t>ジバイセキ</t>
    </rPh>
    <rPh sb="9" eb="12">
      <t>ホショウショ</t>
    </rPh>
    <rPh sb="13" eb="15">
      <t>トリセツ</t>
    </rPh>
    <rPh sb="16" eb="18">
      <t>シャナイ</t>
    </rPh>
    <rPh sb="19" eb="20">
      <t>イ</t>
    </rPh>
    <rPh sb="24" eb="26">
      <t>レンラク</t>
    </rPh>
    <phoneticPr fontId="13"/>
  </si>
  <si>
    <t>27-3200</t>
  </si>
  <si>
    <t>27-3201</t>
  </si>
  <si>
    <t>27-3202</t>
  </si>
  <si>
    <t>27-3203</t>
  </si>
  <si>
    <t>MﾍﾞﾝﾂGLA</t>
    <phoneticPr fontId="13"/>
  </si>
  <si>
    <t>W1N2477132J220525</t>
    <phoneticPr fontId="13"/>
  </si>
  <si>
    <t>BMW330I　4ﾏﾁｯｸ　Mｽﾎﾟｰﾂ</t>
    <phoneticPr fontId="13"/>
  </si>
  <si>
    <t>WBA5R12030FH22185</t>
    <phoneticPr fontId="13"/>
  </si>
  <si>
    <t>VWｻﾞ･ﾋﾞｰﾄﾙ　ﾃﾞｭｰﾝ</t>
    <phoneticPr fontId="13"/>
  </si>
  <si>
    <t>27-3204</t>
  </si>
  <si>
    <t>27-3205</t>
  </si>
  <si>
    <t>27-3206</t>
  </si>
  <si>
    <t>27-3207</t>
  </si>
  <si>
    <t>27-3208</t>
  </si>
  <si>
    <t>27-3209</t>
  </si>
  <si>
    <t>27-3210</t>
  </si>
  <si>
    <t>27-3211</t>
  </si>
  <si>
    <t>27-3212</t>
  </si>
  <si>
    <t>27-3213</t>
  </si>
  <si>
    <t>27-3214</t>
  </si>
  <si>
    <t>27-3215</t>
  </si>
  <si>
    <t>27-3216</t>
  </si>
  <si>
    <t>27-3217</t>
  </si>
  <si>
    <t>27-3218</t>
  </si>
  <si>
    <t>多摩　304　ち　5101</t>
    <rPh sb="0" eb="2">
      <t>タマ</t>
    </rPh>
    <phoneticPr fontId="13"/>
  </si>
  <si>
    <t>WMWLN720902D96809</t>
    <phoneticPr fontId="13"/>
  </si>
  <si>
    <t>岡山　301　め　6137</t>
    <rPh sb="0" eb="2">
      <t>オカヤマ</t>
    </rPh>
    <phoneticPr fontId="13"/>
  </si>
  <si>
    <t>BMWﾐﾆ　ｸｰﾊﾟｰSｸﾗﾌﾞﾏﾝ　JCWﾁﾘP</t>
    <phoneticPr fontId="13"/>
  </si>
  <si>
    <t>WVWZZZ16ZGM626361</t>
    <phoneticPr fontId="13"/>
  </si>
  <si>
    <t>ｼｴﾝﾀ 　G</t>
    <phoneticPr fontId="13"/>
  </si>
  <si>
    <t>NSP170-7107986</t>
    <phoneticPr fontId="13"/>
  </si>
  <si>
    <t>ｴﾙｸﾞﾗﾝﾄﾞ　ﾊｲｳｪｲｽﾀｰﾌﾟﾚﾐｱﾑｱｰﾊﾞﾝｸﾛﾑ</t>
    <phoneticPr fontId="13"/>
  </si>
  <si>
    <t>TE52-146445</t>
    <phoneticPr fontId="13"/>
  </si>
  <si>
    <t>京都　32C　ち　55</t>
    <rPh sb="0" eb="2">
      <t>キョウト</t>
    </rPh>
    <phoneticPr fontId="13"/>
  </si>
  <si>
    <t>ｳﾞｪﾙﾌｧｲｱ　2.5Zｺﾞｰﾙﾃﾞﾝｱｲｽﾞ</t>
    <phoneticPr fontId="13"/>
  </si>
  <si>
    <t>AGH30-9015081</t>
    <phoneticPr fontId="13"/>
  </si>
  <si>
    <t>神戸　351　ろ　503</t>
    <rPh sb="0" eb="2">
      <t>コウベ</t>
    </rPh>
    <phoneticPr fontId="13"/>
  </si>
  <si>
    <t>N　BOXｶｽﾀﾑ　G　Lﾎﾝﾀﾞｾﾝｼﾝｸﾞ</t>
    <phoneticPr fontId="13"/>
  </si>
  <si>
    <t>JF3-1437933</t>
    <phoneticPr fontId="13"/>
  </si>
  <si>
    <t>京都　583　す　7633</t>
    <rPh sb="0" eb="2">
      <t>キョウト</t>
    </rPh>
    <phoneticPr fontId="13"/>
  </si>
  <si>
    <t>ｱﾙﾌｧｰﾄﾞ　240S　ﾀｲﾌﾟｺﾞｰﾙﾄﾞⅡ</t>
    <phoneticPr fontId="13"/>
  </si>
  <si>
    <t>ANH20-8312821</t>
    <phoneticPr fontId="13"/>
  </si>
  <si>
    <t>高松　301　り　333</t>
    <rPh sb="0" eb="2">
      <t>タカマツ</t>
    </rPh>
    <phoneticPr fontId="13"/>
  </si>
  <si>
    <t>ｶﾛｰﾗﾌｨｰﾙﾀﾞｰ　ﾊｲﾌﾞﾘｯﾄﾞG</t>
    <phoneticPr fontId="13"/>
  </si>
  <si>
    <t>NKE165-7148626</t>
    <phoneticPr fontId="13"/>
  </si>
  <si>
    <t>神戸　554　ひ　1113</t>
    <rPh sb="0" eb="2">
      <t>コウベ</t>
    </rPh>
    <phoneticPr fontId="13"/>
  </si>
  <si>
    <t>NHP10-2517271</t>
    <phoneticPr fontId="13"/>
  </si>
  <si>
    <t>NCP160-0155188</t>
    <phoneticPr fontId="13"/>
  </si>
  <si>
    <t>MK54S-104417</t>
    <phoneticPr fontId="13"/>
  </si>
  <si>
    <t>和泉　784　た　7</t>
    <rPh sb="0" eb="2">
      <t>イズミ</t>
    </rPh>
    <phoneticPr fontId="13"/>
  </si>
  <si>
    <t>DA17W-301995</t>
    <phoneticPr fontId="13"/>
  </si>
  <si>
    <t>LA900S-0056185</t>
    <phoneticPr fontId="13"/>
  </si>
  <si>
    <t>香川　581　く　7439</t>
    <rPh sb="0" eb="2">
      <t>カガワ</t>
    </rPh>
    <phoneticPr fontId="13"/>
  </si>
  <si>
    <t>LA650S-1013767</t>
    <phoneticPr fontId="13"/>
  </si>
  <si>
    <t>JF1-2542897</t>
    <phoneticPr fontId="13"/>
  </si>
  <si>
    <t>岡山　581　よ　1084</t>
    <rPh sb="0" eb="2">
      <t>オカヤマ</t>
    </rPh>
    <phoneticPr fontId="13"/>
  </si>
  <si>
    <t>ﾌｨｱｯﾄ500　1.2ﾄﾞﾙﾁｪ</t>
    <phoneticPr fontId="13"/>
  </si>
  <si>
    <t>ZFABF1CG1NJG68245</t>
    <phoneticPr fontId="13"/>
  </si>
  <si>
    <t>ｺﾍﾟﾝ　2ndｱﾆﾊﾞｰｻﾘｰED</t>
    <phoneticPr fontId="13"/>
  </si>
  <si>
    <t>18/2</t>
    <phoneticPr fontId="13"/>
  </si>
  <si>
    <t>L880K-0031559</t>
    <phoneticPr fontId="13"/>
  </si>
  <si>
    <t>橋口様</t>
    <rPh sb="0" eb="2">
      <t>ハシグチ</t>
    </rPh>
    <rPh sb="2" eb="3">
      <t>サマ</t>
    </rPh>
    <phoneticPr fontId="13"/>
  </si>
  <si>
    <t>ﾎﾝﾀﾞ ｲﾝｻｲﾄ</t>
    <phoneticPr fontId="13"/>
  </si>
  <si>
    <t>ZE2-1120245</t>
    <phoneticPr fontId="13"/>
  </si>
  <si>
    <t>8/4/26</t>
    <phoneticPr fontId="13"/>
  </si>
  <si>
    <t>姫路 501 せ 1350</t>
    <rPh sb="0" eb="2">
      <t>ヒメジ</t>
    </rPh>
    <phoneticPr fontId="13"/>
  </si>
  <si>
    <t>橋口 ユリ子</t>
    <rPh sb="0" eb="2">
      <t>ハシグチ</t>
    </rPh>
    <rPh sb="5" eb="6">
      <t>コ</t>
    </rPh>
    <phoneticPr fontId="13"/>
  </si>
  <si>
    <t>27-3219</t>
  </si>
  <si>
    <t>27-3220</t>
  </si>
  <si>
    <t>27-3221</t>
  </si>
  <si>
    <t>黒木様</t>
    <rPh sb="0" eb="2">
      <t>クロキ</t>
    </rPh>
    <rPh sb="2" eb="3">
      <t>サマ</t>
    </rPh>
    <phoneticPr fontId="13"/>
  </si>
  <si>
    <t>ﾚｸｻｽ RX350</t>
    <phoneticPr fontId="13"/>
  </si>
  <si>
    <t>TALA15-1007972</t>
    <phoneticPr fontId="13"/>
  </si>
  <si>
    <t>岡山 317 も 9</t>
    <rPh sb="0" eb="2">
      <t>オカヤマ</t>
    </rPh>
    <phoneticPr fontId="13"/>
  </si>
  <si>
    <t>岡本ﾄﾖﾀ自動車株式会社</t>
    <rPh sb="0" eb="2">
      <t>オカモト</t>
    </rPh>
    <rPh sb="5" eb="8">
      <t>ジドウシャ</t>
    </rPh>
    <rPh sb="8" eb="12">
      <t>カブシキガイシャ</t>
    </rPh>
    <phoneticPr fontId="13"/>
  </si>
  <si>
    <t>村角様</t>
    <rPh sb="0" eb="2">
      <t>ムラカド</t>
    </rPh>
    <rPh sb="2" eb="3">
      <t>サマ</t>
    </rPh>
    <phoneticPr fontId="13"/>
  </si>
  <si>
    <t>LA600S-0527856</t>
    <phoneticPr fontId="13"/>
  </si>
  <si>
    <t>香川 584 む 512</t>
    <rPh sb="0" eb="2">
      <t>カガワ</t>
    </rPh>
    <phoneticPr fontId="13"/>
  </si>
  <si>
    <t>ｷｬｾﾙ</t>
    <phoneticPr fontId="13"/>
  </si>
  <si>
    <t>出品店書類出せず ｷｬﾝｾﾙ</t>
    <rPh sb="0" eb="3">
      <t>シュッピンテン</t>
    </rPh>
    <rPh sb="3" eb="5">
      <t>ショルイ</t>
    </rPh>
    <rPh sb="5" eb="6">
      <t>ダ</t>
    </rPh>
    <phoneticPr fontId="13"/>
  </si>
  <si>
    <t>村角 和代</t>
    <rPh sb="0" eb="2">
      <t>ムラカド</t>
    </rPh>
    <rPh sb="3" eb="4">
      <t>カズ</t>
    </rPh>
    <rPh sb="4" eb="5">
      <t>ヨ</t>
    </rPh>
    <phoneticPr fontId="13"/>
  </si>
  <si>
    <t>堺 399 ひ 6988</t>
    <rPh sb="0" eb="1">
      <t>サカイ</t>
    </rPh>
    <phoneticPr fontId="13"/>
  </si>
  <si>
    <t>白石 武士</t>
    <rPh sb="0" eb="2">
      <t>シライシ</t>
    </rPh>
    <rPh sb="3" eb="4">
      <t>タケ</t>
    </rPh>
    <rPh sb="4" eb="5">
      <t>シ</t>
    </rPh>
    <phoneticPr fontId="13"/>
  </si>
  <si>
    <t>なにわ 5P9 ろ 7573</t>
    <phoneticPr fontId="13"/>
  </si>
  <si>
    <t>株式会社ﾎﾝﾀﾞﾓﾋﾞﾘﾃｨ北関東</t>
    <rPh sb="0" eb="4">
      <t>カブシキガイシャ</t>
    </rPh>
    <rPh sb="14" eb="17">
      <t>キタカントウ</t>
    </rPh>
    <phoneticPr fontId="13"/>
  </si>
  <si>
    <t>保証書 取説 ﾅﾋﾞ取 ﾘﾓｺﾝ ﾌﾞﾚｲﾝﾕﾆｯﾄ(SDなしで使える)</t>
    <rPh sb="0" eb="3">
      <t>ホショウショ</t>
    </rPh>
    <rPh sb="4" eb="6">
      <t>トリセツ</t>
    </rPh>
    <rPh sb="10" eb="11">
      <t>トリ</t>
    </rPh>
    <rPh sb="32" eb="33">
      <t>ツカ</t>
    </rPh>
    <phoneticPr fontId="13"/>
  </si>
  <si>
    <t>保証書 ﾅﾋﾞ取 ｷｰﾚｽ  地図SD</t>
    <rPh sb="0" eb="3">
      <t>ホショウショ</t>
    </rPh>
    <rPh sb="7" eb="8">
      <t>トリ</t>
    </rPh>
    <rPh sb="15" eb="17">
      <t>チズ</t>
    </rPh>
    <phoneticPr fontId="13"/>
  </si>
  <si>
    <t>奈良 400 つ 1424</t>
    <rPh sb="0" eb="2">
      <t>ナラ</t>
    </rPh>
    <phoneticPr fontId="13"/>
  </si>
  <si>
    <t>株式会社ﾄﾖﾀﾚﾝﾘｰｽ奈良</t>
    <rPh sb="0" eb="4">
      <t>カブシキガイシャ</t>
    </rPh>
    <rPh sb="12" eb="14">
      <t>ナラ</t>
    </rPh>
    <phoneticPr fontId="13"/>
  </si>
  <si>
    <t>なにわ 5P9 ろ 7855</t>
    <phoneticPr fontId="13"/>
  </si>
  <si>
    <t>広島 581 ま 7204</t>
    <rPh sb="0" eb="2">
      <t>ヒロシマ</t>
    </rPh>
    <phoneticPr fontId="13"/>
  </si>
  <si>
    <t>有限会社ﾐｳﾗｵｰﾄｻｰﾋﾞｽ</t>
    <rPh sb="0" eb="4">
      <t>ユウゲンカイシャ</t>
    </rPh>
    <phoneticPr fontId="13"/>
  </si>
  <si>
    <t>和泉 586 ろ 199</t>
    <rPh sb="0" eb="2">
      <t>イズミ</t>
    </rPh>
    <phoneticPr fontId="13"/>
  </si>
  <si>
    <t>株式会社ﾊﾟﾊﾟﾏﾏｶｰｽﾞ</t>
    <rPh sb="0" eb="4">
      <t>カブシキガイシャ</t>
    </rPh>
    <phoneticPr fontId="13"/>
  </si>
  <si>
    <t>地図SD(車内)保証書 取説 ｷｰﾚｽ ﾅﾋﾞ取</t>
    <rPh sb="0" eb="2">
      <t>チズ</t>
    </rPh>
    <rPh sb="8" eb="11">
      <t>ホショウショ</t>
    </rPh>
    <rPh sb="12" eb="14">
      <t>トリセツ</t>
    </rPh>
    <phoneticPr fontId="13"/>
  </si>
  <si>
    <t>W1K1771842W046099</t>
    <phoneticPr fontId="13"/>
  </si>
  <si>
    <t>岡山 399 な 4926</t>
    <rPh sb="0" eb="2">
      <t>オカヤマ</t>
    </rPh>
    <phoneticPr fontId="13"/>
  </si>
  <si>
    <t>岡山ﾄﾖﾍﾟｯﾄ株式会社</t>
    <rPh sb="0" eb="2">
      <t>オカヤマ</t>
    </rPh>
    <rPh sb="8" eb="12">
      <t>カブシキガイシャ</t>
    </rPh>
    <phoneticPr fontId="13"/>
  </si>
  <si>
    <t>保証書 取説 ｷｰﾚｽ ※記録紙1部切り取り書類の中</t>
    <rPh sb="0" eb="3">
      <t>ホショウショ</t>
    </rPh>
    <rPh sb="4" eb="6">
      <t>トリセツ</t>
    </rPh>
    <rPh sb="13" eb="16">
      <t>キロクシ</t>
    </rPh>
    <rPh sb="17" eb="18">
      <t>ブ</t>
    </rPh>
    <rPh sb="18" eb="19">
      <t>キ</t>
    </rPh>
    <rPh sb="20" eb="21">
      <t>ト</t>
    </rPh>
    <rPh sb="22" eb="24">
      <t>ショルイ</t>
    </rPh>
    <rPh sb="25" eb="26">
      <t>ナカ</t>
    </rPh>
    <phoneticPr fontId="13"/>
  </si>
  <si>
    <t>神戸 302 や 7125</t>
    <rPh sb="0" eb="2">
      <t>コウベ</t>
    </rPh>
    <phoneticPr fontId="13"/>
  </si>
  <si>
    <t>j兵庫ｽﾊﾞﾙ自動車株式会社</t>
    <rPh sb="1" eb="3">
      <t>ヒョウゴ</t>
    </rPh>
    <rPh sb="7" eb="14">
      <t>ジドウシャカブシキガイシャ</t>
    </rPh>
    <phoneticPr fontId="13"/>
  </si>
  <si>
    <t>臼井 美津子</t>
    <rPh sb="0" eb="2">
      <t>ウスイ</t>
    </rPh>
    <rPh sb="3" eb="6">
      <t>ミツコ</t>
    </rPh>
    <phoneticPr fontId="13"/>
  </si>
  <si>
    <t>長崎 330 ほ 2512</t>
    <rPh sb="0" eb="2">
      <t>ナガサキ</t>
    </rPh>
    <phoneticPr fontId="13"/>
  </si>
  <si>
    <t>久留米 341 た 1008</t>
    <rPh sb="0" eb="3">
      <t>クルメ</t>
    </rPh>
    <phoneticPr fontId="13"/>
  </si>
  <si>
    <t>保証書 整備手帳 ｷｰﾚｽ</t>
    <rPh sb="0" eb="3">
      <t>ホショウショ</t>
    </rPh>
    <rPh sb="4" eb="8">
      <t>セイビテチョウ</t>
    </rPh>
    <phoneticPr fontId="13"/>
  </si>
  <si>
    <t>株式会社ﾎﾝﾀﾞｶｰｽﾞ中央佐賀</t>
    <rPh sb="0" eb="4">
      <t>カブシキガイシャ</t>
    </rPh>
    <rPh sb="12" eb="14">
      <t>チュウオウ</t>
    </rPh>
    <rPh sb="14" eb="16">
      <t>サガ</t>
    </rPh>
    <phoneticPr fontId="13"/>
  </si>
  <si>
    <t>神戸 380 な 321</t>
    <rPh sb="0" eb="2">
      <t>コウベ</t>
    </rPh>
    <phoneticPr fontId="13"/>
  </si>
  <si>
    <t>静岡 584 え 128</t>
    <rPh sb="0" eb="2">
      <t>シズオカ</t>
    </rPh>
    <phoneticPr fontId="13"/>
  </si>
  <si>
    <t>名倉 沙緒理</t>
    <rPh sb="0" eb="2">
      <t>ナグラ</t>
    </rPh>
    <rPh sb="3" eb="4">
      <t>サ</t>
    </rPh>
    <rPh sb="4" eb="5">
      <t>チョ</t>
    </rPh>
    <rPh sb="5" eb="6">
      <t>オサム</t>
    </rPh>
    <phoneticPr fontId="13"/>
  </si>
  <si>
    <t>神戸 365 た 1024</t>
    <rPh sb="0" eb="2">
      <t>コウベ</t>
    </rPh>
    <phoneticPr fontId="13"/>
  </si>
  <si>
    <t>植松 宙</t>
    <rPh sb="0" eb="2">
      <t>ウエマツ</t>
    </rPh>
    <rPh sb="3" eb="4">
      <t>チュウ</t>
    </rPh>
    <phoneticPr fontId="13"/>
  </si>
  <si>
    <t>久留米 533 ふ 323</t>
    <rPh sb="0" eb="3">
      <t>クルメ</t>
    </rPh>
    <phoneticPr fontId="13"/>
  </si>
  <si>
    <t>三河 581 す 2028</t>
    <rPh sb="0" eb="2">
      <t>ミカワ</t>
    </rPh>
    <phoneticPr fontId="13"/>
  </si>
  <si>
    <t>梅元 笙汰</t>
    <rPh sb="0" eb="2">
      <t>ウメモト</t>
    </rPh>
    <rPh sb="3" eb="4">
      <t>ショウ</t>
    </rPh>
    <rPh sb="4" eb="5">
      <t>タ</t>
    </rPh>
    <phoneticPr fontId="13"/>
  </si>
  <si>
    <t>三重 332 ら 2355</t>
    <rPh sb="0" eb="2">
      <t>ミエ</t>
    </rPh>
    <phoneticPr fontId="13"/>
  </si>
  <si>
    <t>永井自動車工業株式会社</t>
    <rPh sb="0" eb="2">
      <t>ナガイ</t>
    </rPh>
    <rPh sb="2" eb="11">
      <t>ジドウシャコウギョウカブシキガイシャ</t>
    </rPh>
    <phoneticPr fontId="13"/>
  </si>
  <si>
    <t>鳥取 331 は 730</t>
    <rPh sb="0" eb="2">
      <t>トットリ</t>
    </rPh>
    <phoneticPr fontId="13"/>
  </si>
  <si>
    <t>吉田 桃也</t>
    <rPh sb="0" eb="2">
      <t>ヨシダ</t>
    </rPh>
    <rPh sb="3" eb="4">
      <t>モモ</t>
    </rPh>
    <rPh sb="4" eb="5">
      <t>ヤ</t>
    </rPh>
    <phoneticPr fontId="13"/>
  </si>
  <si>
    <t>整備手帳なし HAA売れそのまま送る</t>
    <rPh sb="0" eb="4">
      <t>セイビテチョウ</t>
    </rPh>
    <rPh sb="10" eb="11">
      <t>ウ</t>
    </rPh>
    <rPh sb="16" eb="17">
      <t>オク</t>
    </rPh>
    <phoneticPr fontId="13"/>
  </si>
  <si>
    <t>横浜 39A ら 7625</t>
    <rPh sb="0" eb="2">
      <t>ヨコハマ</t>
    </rPh>
    <phoneticPr fontId="13"/>
  </si>
  <si>
    <t>保証書 取説 ﾅﾋﾞ取 ｷｰﾚｽ ミニB-CAS</t>
    <rPh sb="0" eb="3">
      <t>ホショウショ</t>
    </rPh>
    <rPh sb="4" eb="6">
      <t>トリセツ</t>
    </rPh>
    <rPh sb="10" eb="11">
      <t>トリ</t>
    </rPh>
    <phoneticPr fontId="13"/>
  </si>
  <si>
    <t>品番；CN-RZ865</t>
    <rPh sb="0" eb="2">
      <t>ヒンバン</t>
    </rPh>
    <phoneticPr fontId="13"/>
  </si>
  <si>
    <t>品番；WVGA</t>
    <rPh sb="0" eb="2">
      <t>ヒンバン</t>
    </rPh>
    <phoneticPr fontId="13"/>
  </si>
  <si>
    <t>地図SD(車内)保証書</t>
    <rPh sb="8" eb="11">
      <t>ホショウショ</t>
    </rPh>
    <phoneticPr fontId="13"/>
  </si>
  <si>
    <t>ｷｰﾚｽ 地図SD(車内)保証書 取説</t>
    <rPh sb="5" eb="7">
      <t>チズ</t>
    </rPh>
    <rPh sb="13" eb="16">
      <t>ホショウショ</t>
    </rPh>
    <rPh sb="17" eb="19">
      <t>トリセツ</t>
    </rPh>
    <phoneticPr fontId="13"/>
  </si>
  <si>
    <t>27-3222</t>
  </si>
  <si>
    <t>27-3223</t>
  </si>
  <si>
    <t>BMW2ｼﾘｰｽﾞ ﾜｺﾞﾝ</t>
    <phoneticPr fontId="13"/>
  </si>
  <si>
    <t>ｼﾞｭﾘｴｯﾀ ヴｪﾛｰﾁｪ</t>
    <phoneticPr fontId="13"/>
  </si>
  <si>
    <t>岐阜 303 た 8251</t>
    <rPh sb="0" eb="2">
      <t>ギフ</t>
    </rPh>
    <phoneticPr fontId="13"/>
  </si>
  <si>
    <t>27-3224</t>
  </si>
  <si>
    <t>27-3225</t>
  </si>
  <si>
    <t>27-3226</t>
  </si>
  <si>
    <t>27-3227</t>
  </si>
  <si>
    <t>27-3228</t>
  </si>
  <si>
    <t>27-3229</t>
  </si>
  <si>
    <t>ﾎﾞﾙﾎﾞ XC60 D4 ﾓﾒﾝﾀﾑ</t>
    <phoneticPr fontId="13"/>
  </si>
  <si>
    <t>YV1UZA8MCJ1080963</t>
    <phoneticPr fontId="13"/>
  </si>
  <si>
    <t>ﾒﾙｾﾃﾞｽﾍﾞﾝﾂ Eｸﾗｽ E300ｱﾊﾞﾝｷﾞｬﾙﾄ</t>
    <phoneticPr fontId="13"/>
  </si>
  <si>
    <t>WDD2132832A607857</t>
    <phoneticPr fontId="13"/>
  </si>
  <si>
    <t>浜松 377 た 11</t>
    <rPh sb="0" eb="2">
      <t>ハママツ</t>
    </rPh>
    <phoneticPr fontId="13"/>
  </si>
  <si>
    <t>WMWXU52050TH95834</t>
    <phoneticPr fontId="13"/>
  </si>
  <si>
    <t>BMWﾐﾆﾜﾝ ｸﾛｽｵｰﾊﾞｰ ﾊﾞｯｷﾝｶﾞﾑ</t>
    <phoneticPr fontId="13"/>
  </si>
  <si>
    <t>WMWYV720003B88558</t>
    <phoneticPr fontId="13"/>
  </si>
  <si>
    <t>宇都宮 330 や 8850</t>
    <rPh sb="0" eb="3">
      <t>ウツノミヤ</t>
    </rPh>
    <phoneticPr fontId="13"/>
  </si>
  <si>
    <t>白/黒</t>
    <rPh sb="0" eb="1">
      <t>シロ</t>
    </rPh>
    <rPh sb="2" eb="3">
      <t>クロ</t>
    </rPh>
    <phoneticPr fontId="13"/>
  </si>
  <si>
    <t>WMWYU520803D54784</t>
    <phoneticPr fontId="13"/>
  </si>
  <si>
    <t>宇都宮 330 つ 631</t>
    <rPh sb="0" eb="3">
      <t>ウツノミヤ</t>
    </rPh>
    <phoneticPr fontId="13"/>
  </si>
  <si>
    <t>BMWﾐﾆｸｰﾊﾟｰSｺﾝﾊﾞｰﾁﾌﾞﾙ</t>
    <phoneticPr fontId="13"/>
  </si>
  <si>
    <t>WMWRH32060TK50367</t>
    <phoneticPr fontId="13"/>
  </si>
  <si>
    <t>582 う 2232</t>
    <phoneticPr fontId="13"/>
  </si>
  <si>
    <t>27-3230</t>
  </si>
  <si>
    <t>27-3231</t>
  </si>
  <si>
    <t>27-3232</t>
  </si>
  <si>
    <t>27-3233</t>
  </si>
  <si>
    <t>27-3234</t>
  </si>
  <si>
    <t>27-3235</t>
  </si>
  <si>
    <t>27-3236</t>
  </si>
  <si>
    <t>27-3237</t>
  </si>
  <si>
    <t>27-3238</t>
  </si>
  <si>
    <t>27-3239</t>
  </si>
  <si>
    <t>27-3240</t>
  </si>
  <si>
    <t>USS横浜</t>
    <rPh sb="3" eb="5">
      <t>ヨコハマ</t>
    </rPh>
    <phoneticPr fontId="13"/>
  </si>
  <si>
    <t>BMWﾐﾆ　ｸｰﾊﾟｰDｸﾛｽｵｰﾊﾞｰ</t>
    <phoneticPr fontId="13"/>
  </si>
  <si>
    <t>MﾍﾞﾝﾂB180</t>
    <phoneticPr fontId="13"/>
  </si>
  <si>
    <t>WMW42BT0703N88123</t>
    <phoneticPr fontId="13"/>
  </si>
  <si>
    <t>横浜　379　ゆ　1112</t>
    <rPh sb="0" eb="2">
      <t>ヨコハマ</t>
    </rPh>
    <phoneticPr fontId="13"/>
  </si>
  <si>
    <t>ﾒﾙｾﾃﾞｽAMG　GLB35　4ﾏﾁｯｸ</t>
    <phoneticPr fontId="13"/>
  </si>
  <si>
    <t>W1N2476512W088033</t>
    <phoneticPr fontId="13"/>
  </si>
  <si>
    <t>WDD2462422J503712</t>
    <phoneticPr fontId="13"/>
  </si>
  <si>
    <t>ﾑｰｳﾞｶｽﾀﾑ　Xﾘﾐﾃｯﾄﾞ　SaⅢ</t>
    <phoneticPr fontId="13"/>
  </si>
  <si>
    <t>LA160S-2014258</t>
    <phoneticPr fontId="13"/>
  </si>
  <si>
    <t>BMW318I　ﾂｰﾘﾝｸﾞMｽﾎﾟｰﾂ</t>
    <phoneticPr fontId="13"/>
  </si>
  <si>
    <t>ｽﾍﾟｰｼｱｷﾞｱ　ﾊｲﾌﾞﾘｯﾄﾞXZﾀｰﾎﾞ</t>
    <phoneticPr fontId="13"/>
  </si>
  <si>
    <t>MK53S-922391</t>
    <phoneticPr fontId="13"/>
  </si>
  <si>
    <t>S700V-0069487</t>
    <phoneticPr fontId="13"/>
  </si>
  <si>
    <t>N　BOXｶｽﾀﾑ　GﾀｰﾎﾞSS</t>
    <phoneticPr fontId="13"/>
  </si>
  <si>
    <t>JF2-2505758</t>
    <phoneticPr fontId="13"/>
  </si>
  <si>
    <t>BMW420I　ｸﾞﾗﾝｸｰﾍﾟ</t>
    <phoneticPr fontId="13"/>
  </si>
  <si>
    <t>27-3241</t>
  </si>
  <si>
    <t>27-3242</t>
  </si>
  <si>
    <t>27-3243</t>
  </si>
  <si>
    <t>ｱｸｱ　G　G's</t>
    <phoneticPr fontId="13"/>
  </si>
  <si>
    <t>NHP10-2462520</t>
    <phoneticPr fontId="13"/>
  </si>
  <si>
    <t>LA600S-0757893</t>
    <phoneticPr fontId="13"/>
  </si>
  <si>
    <t>MK53S-985504</t>
    <phoneticPr fontId="13"/>
  </si>
  <si>
    <t>MR92S-503153</t>
    <phoneticPr fontId="13"/>
  </si>
  <si>
    <t>ﾌﾟｼﾞｮｰ2008　GT　ﾌﾞﾙｰHDI</t>
    <phoneticPr fontId="13"/>
  </si>
  <si>
    <t>京都　582　な　2476</t>
    <rPh sb="0" eb="2">
      <t>キョウト</t>
    </rPh>
    <phoneticPr fontId="13"/>
  </si>
  <si>
    <t>WBA72DZ050FK09747</t>
    <phoneticPr fontId="13"/>
  </si>
  <si>
    <t>WBA4D32080G754577</t>
    <phoneticPr fontId="13"/>
  </si>
  <si>
    <t>広島　582　こ　7871</t>
    <rPh sb="0" eb="2">
      <t>ヒロシマ</t>
    </rPh>
    <phoneticPr fontId="13"/>
  </si>
  <si>
    <t>VR3UDYHZSNJ767908</t>
    <phoneticPr fontId="13"/>
  </si>
  <si>
    <t>27-3244</t>
  </si>
  <si>
    <t>27-3245</t>
  </si>
  <si>
    <t>27-3246</t>
  </si>
  <si>
    <t>27-3247</t>
  </si>
  <si>
    <t>HA37S-126696</t>
    <phoneticPr fontId="13"/>
  </si>
  <si>
    <t>HA37S-129148</t>
    <phoneticPr fontId="13"/>
  </si>
  <si>
    <t>N　BOX　G　Lﾎﾝﾀﾞｾﾝｼﾝｸﾞ</t>
    <phoneticPr fontId="13"/>
  </si>
  <si>
    <t>JF4-1105714</t>
    <phoneticPr fontId="13"/>
  </si>
  <si>
    <t>MK53S-255139</t>
    <phoneticPr fontId="13"/>
  </si>
  <si>
    <t>27-3248</t>
  </si>
  <si>
    <t>27-3249</t>
  </si>
  <si>
    <t>ｼｴﾝﾀ　ﾊｲﾌﾞﾘｯﾄﾞZ</t>
    <phoneticPr fontId="13"/>
  </si>
  <si>
    <t>MXPL10-1196706</t>
    <phoneticPr fontId="13"/>
  </si>
  <si>
    <t>DA17W-122541</t>
    <phoneticPr fontId="13"/>
  </si>
  <si>
    <t>姫路　501　ゆ　3353</t>
    <rPh sb="0" eb="2">
      <t>ヒメジ</t>
    </rPh>
    <phoneticPr fontId="13"/>
  </si>
  <si>
    <t>301 ね 7587</t>
    <phoneticPr fontId="13"/>
  </si>
  <si>
    <t>301 ね 7591</t>
    <phoneticPr fontId="13"/>
  </si>
  <si>
    <t>301 ね 7594</t>
    <phoneticPr fontId="13"/>
  </si>
  <si>
    <t>湯川 時雄</t>
    <rPh sb="0" eb="2">
      <t>ユカワ</t>
    </rPh>
    <rPh sb="3" eb="5">
      <t>トキオ</t>
    </rPh>
    <phoneticPr fontId="13"/>
  </si>
  <si>
    <t>2/26</t>
    <phoneticPr fontId="13"/>
  </si>
  <si>
    <t>301 ね 7657</t>
    <phoneticPr fontId="13"/>
  </si>
  <si>
    <t>神戸 596 ろ 7214</t>
    <rPh sb="0" eb="2">
      <t>コウベ</t>
    </rPh>
    <phoneticPr fontId="13"/>
  </si>
  <si>
    <t>ｳﾞｧﾙﾀﾞｸﾞ・ﾌﾞﾗｻﾞｰｽﾞ株式会社</t>
    <rPh sb="17" eb="21">
      <t>カブシキガイシャ</t>
    </rPh>
    <phoneticPr fontId="13"/>
  </si>
  <si>
    <t>CAA東京</t>
    <rPh sb="3" eb="5">
      <t>トウキョウ</t>
    </rPh>
    <phoneticPr fontId="13"/>
  </si>
  <si>
    <t>SALVA2AX3KH327306</t>
    <phoneticPr fontId="13"/>
  </si>
  <si>
    <t>27-3250</t>
  </si>
  <si>
    <t>27-3251</t>
  </si>
  <si>
    <t>27-3252</t>
  </si>
  <si>
    <t>27-3253</t>
  </si>
  <si>
    <t>ﾚﾝｼﾞﾛｰﾊﾞｰｲｳﾞｫｰｸ ﾌﾘｰｽﾀｲﾙ 4WD</t>
    <phoneticPr fontId="13"/>
  </si>
  <si>
    <t>27-3254</t>
  </si>
  <si>
    <t>27-3255</t>
  </si>
  <si>
    <t>27-3256</t>
  </si>
  <si>
    <t>27-3257</t>
  </si>
  <si>
    <t>27-3258</t>
  </si>
  <si>
    <t>27-3259</t>
  </si>
  <si>
    <t>27-3260</t>
  </si>
  <si>
    <t>27-3261</t>
  </si>
  <si>
    <t>JF1-1944149</t>
    <phoneticPr fontId="13"/>
  </si>
  <si>
    <t>ACR50-0160544</t>
    <phoneticPr fontId="13"/>
  </si>
  <si>
    <t>ﾌﾟﾘｳｽｱﾙﾌｧ G</t>
    <phoneticPr fontId="13"/>
  </si>
  <si>
    <t>ZVW41-3387970</t>
    <phoneticPr fontId="13"/>
  </si>
  <si>
    <t>ｳﾞｪﾙﾌｧｲｱ 2.4 Z ｺﾞｰﾙﾃﾞﾝｱｲｽﾞ2</t>
    <phoneticPr fontId="13"/>
  </si>
  <si>
    <t>ANH20-8326294</t>
    <phoneticPr fontId="13"/>
  </si>
  <si>
    <t>名古屋 361 ぬ 315</t>
    <rPh sb="0" eb="3">
      <t>ナゴヤ</t>
    </rPh>
    <phoneticPr fontId="13"/>
  </si>
  <si>
    <t xml:space="preserve">ｶﾛｰﾗﾌｨｰﾙﾀﾞｰ　ﾊｲﾌﾞﾘｯﾄﾞG </t>
    <phoneticPr fontId="13"/>
  </si>
  <si>
    <t>NKE165-8032469</t>
    <phoneticPr fontId="13"/>
  </si>
  <si>
    <t>BMWﾐﾆｸｰﾊﾟｰD ｸﾗﾌﾞﾏﾝｸﾗｼｯｸﾄﾘﾑ</t>
    <phoneticPr fontId="13"/>
  </si>
  <si>
    <t>WMW72BB0402M68283</t>
    <phoneticPr fontId="13"/>
  </si>
  <si>
    <t>WMWXM520503A55586</t>
    <phoneticPr fontId="13"/>
  </si>
  <si>
    <t>飛騨 300 た 5795</t>
    <rPh sb="0" eb="2">
      <t>ヒダ</t>
    </rPh>
    <phoneticPr fontId="13"/>
  </si>
  <si>
    <t>ﾐﾗｲﾌﾞ大阪</t>
    <rPh sb="5" eb="7">
      <t>オオサカ</t>
    </rPh>
    <phoneticPr fontId="13"/>
  </si>
  <si>
    <t>ｷｬﾝｾﾙ返送2/26</t>
    <rPh sb="5" eb="7">
      <t>ヘンソウ</t>
    </rPh>
    <phoneticPr fontId="13"/>
  </si>
  <si>
    <t>27-3262</t>
  </si>
  <si>
    <t>27-3263</t>
  </si>
  <si>
    <t>27-3264</t>
  </si>
  <si>
    <t>27-3265</t>
  </si>
  <si>
    <t>27-3266</t>
  </si>
  <si>
    <t>27-3267</t>
  </si>
  <si>
    <t>27-3268</t>
  </si>
  <si>
    <t>27-3269</t>
  </si>
  <si>
    <t>27-3270</t>
  </si>
  <si>
    <t>27-3271</t>
  </si>
  <si>
    <t>27-3272</t>
  </si>
  <si>
    <t>27-3273</t>
  </si>
  <si>
    <t>27-3274</t>
  </si>
  <si>
    <t>27-3275</t>
  </si>
  <si>
    <t>27-3276</t>
  </si>
  <si>
    <t>27-3277</t>
  </si>
  <si>
    <t>ｽﾃｯﾌﾟﾜｺﾞﾝｽﾊﾟｰﾀﾞHV Gﾎﾝﾀﾞｾﾝｼﾝｸﾞ</t>
    <phoneticPr fontId="13"/>
  </si>
  <si>
    <t>RP5-1075071</t>
    <phoneticPr fontId="13"/>
  </si>
  <si>
    <t>大阪 354 め 1211</t>
    <rPh sb="0" eb="2">
      <t>オオサカ</t>
    </rPh>
    <phoneticPr fontId="13"/>
  </si>
  <si>
    <t>ﾓｺ Sｱｲﾄﾞﾘﾝｸﾞｽﾄｯﾌﾟ</t>
    <phoneticPr fontId="13"/>
  </si>
  <si>
    <t>MG33S-622195</t>
    <phoneticPr fontId="13"/>
  </si>
  <si>
    <t>岡山 581 ふ 7260</t>
    <rPh sb="0" eb="2">
      <t>オカヤマ</t>
    </rPh>
    <phoneticPr fontId="13"/>
  </si>
  <si>
    <t>ｽﾍﾟｰｼｱｶｽﾀﾑ ﾊｲﾌﾞﾘｯﾄﾞGS</t>
    <phoneticPr fontId="13"/>
  </si>
  <si>
    <t>MK53S-615178</t>
    <phoneticPr fontId="13"/>
  </si>
  <si>
    <t>JF3-5067663</t>
    <phoneticPr fontId="13"/>
  </si>
  <si>
    <t>奈良 581 け 8385</t>
    <rPh sb="0" eb="2">
      <t>ナラ</t>
    </rPh>
    <phoneticPr fontId="13"/>
  </si>
  <si>
    <t>ﾃﾞｲｽﾞﾙｰｸｽ ﾊｲｳｪｲｽﾀｰXVｾﾚｸｼｮﾝ</t>
    <phoneticPr fontId="13"/>
  </si>
  <si>
    <t>B21A-0501249</t>
    <phoneticPr fontId="13"/>
  </si>
  <si>
    <t>なにわ 580 も 3088</t>
    <phoneticPr fontId="13"/>
  </si>
  <si>
    <t>LA850S-1023943</t>
    <phoneticPr fontId="13"/>
  </si>
  <si>
    <t>MK53S-963564</t>
    <phoneticPr fontId="13"/>
  </si>
  <si>
    <t>和泉 583 き 5639</t>
    <rPh sb="0" eb="2">
      <t>イズミ</t>
    </rPh>
    <phoneticPr fontId="13"/>
  </si>
  <si>
    <t>JF1-2509946</t>
    <phoneticPr fontId="13"/>
  </si>
  <si>
    <t>和泉 780 つ 123</t>
    <rPh sb="0" eb="2">
      <t>イズミ</t>
    </rPh>
    <phoneticPr fontId="13"/>
  </si>
  <si>
    <t>JF3-5050517</t>
    <phoneticPr fontId="13"/>
  </si>
  <si>
    <t>JF3-5160310</t>
    <phoneticPr fontId="13"/>
  </si>
  <si>
    <t>和泉 583 つ 2204</t>
    <rPh sb="0" eb="2">
      <t>イズミ</t>
    </rPh>
    <phoneticPr fontId="13"/>
  </si>
  <si>
    <t>LA800S-0257644</t>
    <phoneticPr fontId="13"/>
  </si>
  <si>
    <t>JF3-5014945</t>
    <phoneticPr fontId="13"/>
  </si>
  <si>
    <t>JF3-2343497</t>
    <phoneticPr fontId="13"/>
  </si>
  <si>
    <t>和泉 584 つ 401</t>
    <rPh sb="0" eb="2">
      <t>イズミ</t>
    </rPh>
    <phoneticPr fontId="13"/>
  </si>
  <si>
    <t>N-ONE G SSﾌﾞﾗｳﾝｽﾀｲﾙ</t>
    <phoneticPr fontId="13"/>
  </si>
  <si>
    <t>JG1-1206346</t>
    <phoneticPr fontId="13"/>
  </si>
  <si>
    <t>鳥取 583 え 53</t>
    <rPh sb="0" eb="2">
      <t>トットリ</t>
    </rPh>
    <phoneticPr fontId="13"/>
  </si>
  <si>
    <t>JF3-5249547</t>
    <phoneticPr fontId="13"/>
  </si>
  <si>
    <t>LA850S-2011267</t>
    <phoneticPr fontId="13"/>
  </si>
  <si>
    <t>堺 580 ま 8568</t>
    <rPh sb="0" eb="1">
      <t>サカイ</t>
    </rPh>
    <phoneticPr fontId="13"/>
  </si>
  <si>
    <t>尾張小牧 589 ろ 9553</t>
    <rPh sb="0" eb="4">
      <t>オワリコマキ</t>
    </rPh>
    <phoneticPr fontId="13"/>
  </si>
  <si>
    <t>株式会社ｳｪｲｸｱｯﾌﾟ</t>
    <rPh sb="0" eb="4">
      <t>カブシキガイシャ</t>
    </rPh>
    <phoneticPr fontId="13"/>
  </si>
  <si>
    <t>保証書 取説 ｽﾍﾟｱｷｰ 地図SD  ﾜﾝｵｰﾅｰ</t>
    <rPh sb="0" eb="3">
      <t>ホショウショ</t>
    </rPh>
    <rPh sb="4" eb="6">
      <t>トリセツ</t>
    </rPh>
    <rPh sb="14" eb="16">
      <t>チズ</t>
    </rPh>
    <phoneticPr fontId="13"/>
  </si>
  <si>
    <t>福山 584 ほ 1106</t>
    <rPh sb="0" eb="2">
      <t>フクヤマ</t>
    </rPh>
    <phoneticPr fontId="13"/>
  </si>
  <si>
    <t>有限会社植島工業所</t>
    <rPh sb="0" eb="4">
      <t>ユウゲンカイシャ</t>
    </rPh>
    <rPh sb="4" eb="6">
      <t>ウエシマ</t>
    </rPh>
    <rPh sb="6" eb="9">
      <t>コウギョウショ</t>
    </rPh>
    <phoneticPr fontId="13"/>
  </si>
  <si>
    <t>品川 49A た 607</t>
    <rPh sb="0" eb="2">
      <t>シナガワ</t>
    </rPh>
    <phoneticPr fontId="13"/>
  </si>
  <si>
    <t>品川 580 つ 3592</t>
    <rPh sb="0" eb="2">
      <t>シナガワ</t>
    </rPh>
    <phoneticPr fontId="13"/>
  </si>
  <si>
    <t>保証書 取説 ｷｰﾚｽ ﾘﾓｺﾝ ﾅﾝﾊﾞｰ ﾜﾝｵｰﾅｰ</t>
    <rPh sb="0" eb="3">
      <t>ホショウショ</t>
    </rPh>
    <rPh sb="4" eb="6">
      <t>トリセツ</t>
    </rPh>
    <phoneticPr fontId="13"/>
  </si>
  <si>
    <t>品川 5X3 ろ 4040</t>
    <rPh sb="0" eb="2">
      <t>シナガワ</t>
    </rPh>
    <phoneticPr fontId="13"/>
  </si>
  <si>
    <t>名古屋 581 ね 4367</t>
    <rPh sb="0" eb="3">
      <t>ナゴヤ</t>
    </rPh>
    <phoneticPr fontId="13"/>
  </si>
  <si>
    <t>藤島 幸子</t>
    <rPh sb="0" eb="2">
      <t>フジシマ</t>
    </rPh>
    <rPh sb="3" eb="5">
      <t>サチコ</t>
    </rPh>
    <phoneticPr fontId="13"/>
  </si>
  <si>
    <t>一宮 580 せ 7285</t>
    <rPh sb="0" eb="2">
      <t>イチノミヤ</t>
    </rPh>
    <phoneticPr fontId="13"/>
  </si>
  <si>
    <t>有限会社光田ﾓｰﾀｰｽ</t>
    <rPh sb="0" eb="4">
      <t>ユウゲンカイシャ</t>
    </rPh>
    <rPh sb="4" eb="6">
      <t>ミツダ</t>
    </rPh>
    <phoneticPr fontId="13"/>
  </si>
  <si>
    <t>OHASI DE SOUZA CRISTIANO</t>
    <phoneticPr fontId="13"/>
  </si>
  <si>
    <t>神戸 336 ふ 3678</t>
    <rPh sb="0" eb="2">
      <t>コウベ</t>
    </rPh>
    <phoneticPr fontId="13"/>
  </si>
  <si>
    <t>ﾈｯﾂﾄﾖﾀｿﾞﾅ神戸株式会社</t>
    <rPh sb="9" eb="11">
      <t>コウベ</t>
    </rPh>
    <rPh sb="11" eb="15">
      <t>カブシキガイシャ</t>
    </rPh>
    <phoneticPr fontId="13"/>
  </si>
  <si>
    <t>千葉 302 ひ 5284</t>
    <rPh sb="0" eb="2">
      <t>チバ</t>
    </rPh>
    <phoneticPr fontId="13"/>
  </si>
  <si>
    <t>株式会社ﾓﾄｰﾚﾝ東名横浜</t>
    <rPh sb="0" eb="4">
      <t>カブシキガイシャ</t>
    </rPh>
    <rPh sb="9" eb="11">
      <t>トウメイ</t>
    </rPh>
    <rPh sb="11" eb="13">
      <t>ヨコハマ</t>
    </rPh>
    <phoneticPr fontId="13"/>
  </si>
  <si>
    <t>保証書 取説 ﾅﾋﾞ取 ｷｰﾚｽ 地図SD(車内)ﾜﾝｵｰﾅｰ</t>
    <rPh sb="0" eb="3">
      <t>ホショウショ</t>
    </rPh>
    <rPh sb="4" eb="6">
      <t>トリセツ</t>
    </rPh>
    <rPh sb="10" eb="11">
      <t>トリ</t>
    </rPh>
    <rPh sb="17" eb="19">
      <t>チズ</t>
    </rPh>
    <rPh sb="22" eb="24">
      <t>シャナイ</t>
    </rPh>
    <phoneticPr fontId="13"/>
  </si>
  <si>
    <t>株式会社ﾓｺｶﾞﾚｰｼﾞ</t>
    <rPh sb="0" eb="4">
      <t>カブシキガイシャ</t>
    </rPh>
    <phoneticPr fontId="13"/>
  </si>
  <si>
    <t>保証書 ｷｰﾚｽ(車内)ﾜﾝｵｰﾅｰ</t>
    <rPh sb="0" eb="3">
      <t>ホショウショ</t>
    </rPh>
    <rPh sb="9" eb="11">
      <t>シャナイ</t>
    </rPh>
    <phoneticPr fontId="13"/>
  </si>
  <si>
    <t>ﾊｲｾﾞｯﾄｶｰｺﾞ　ｽﾍﾟｼｬﾙSA3</t>
    <phoneticPr fontId="13"/>
  </si>
  <si>
    <t>S321V-0484483</t>
    <phoneticPr fontId="13"/>
  </si>
  <si>
    <t>JB23W-764558</t>
    <phoneticPr fontId="13"/>
  </si>
  <si>
    <t>YV1FZ40MCJ2044397</t>
    <phoneticPr fontId="13"/>
  </si>
  <si>
    <t xml:space="preserve">ｼﾞｬｶﾞｰ XFｽﾎﾟｰﾂﾌﾟﾚｲ </t>
    <phoneticPr fontId="13"/>
  </si>
  <si>
    <t>SAJBB2AX2JCY61420</t>
    <phoneticPr fontId="13"/>
  </si>
  <si>
    <t>ﾒﾙｾﾃﾞｽﾍﾞﾝﾂ GLC220d</t>
    <phoneticPr fontId="13"/>
  </si>
  <si>
    <t>W1N2539152F956890</t>
    <phoneticPr fontId="13"/>
  </si>
  <si>
    <t>WDD2132422A509574</t>
    <phoneticPr fontId="13"/>
  </si>
  <si>
    <t>W1N2476122W079695</t>
    <phoneticPr fontId="13"/>
  </si>
  <si>
    <t>BMW 218 dｱｸﾃｨﾌﾞﾂｱﾗｰ</t>
    <phoneticPr fontId="13"/>
  </si>
  <si>
    <t>WBA6Z12080VF79065</t>
    <phoneticPr fontId="13"/>
  </si>
  <si>
    <t>27-3278</t>
  </si>
  <si>
    <t>27-3279</t>
  </si>
  <si>
    <t>27-3280</t>
  </si>
  <si>
    <t>27-3281</t>
  </si>
  <si>
    <t>27-3282</t>
  </si>
  <si>
    <t>27-3283</t>
  </si>
  <si>
    <t>27-3284</t>
  </si>
  <si>
    <t>27-3285</t>
  </si>
  <si>
    <t>27-3286</t>
  </si>
  <si>
    <t>27-3287</t>
  </si>
  <si>
    <t>27-3288</t>
  </si>
  <si>
    <t>ZVW41-0051259</t>
    <phoneticPr fontId="13"/>
  </si>
  <si>
    <t>NSP170-7155958</t>
    <phoneticPr fontId="13"/>
  </si>
  <si>
    <t>ZVW41-0037689</t>
    <phoneticPr fontId="13"/>
  </si>
  <si>
    <t>27-3289</t>
  </si>
  <si>
    <t>ﾒﾙｾﾃﾞｽﾍﾞﾝﾂ GLB250 Mｽﾎﾟｰﾂ</t>
    <phoneticPr fontId="13"/>
  </si>
  <si>
    <t>W1N2476472W097979</t>
    <phoneticPr fontId="13"/>
  </si>
  <si>
    <t>ﾌﾟﾘｳｽｱﾙﾌｧ Sﾁｭｰﾝﾌﾞﾗｯｸ2</t>
    <phoneticPr fontId="13"/>
  </si>
  <si>
    <t>大阪 530 ち 7884</t>
    <rPh sb="0" eb="2">
      <t>オオサカ</t>
    </rPh>
    <phoneticPr fontId="13"/>
  </si>
  <si>
    <t>ﾌﾟﾘｳｽｱﾙﾌｧ Sﾂｰﾘﾝｸﾞｾﾚｸｼｮﾝ</t>
    <phoneticPr fontId="13"/>
  </si>
  <si>
    <t>飛鳥 300 す 1483</t>
    <rPh sb="0" eb="2">
      <t>アスカ</t>
    </rPh>
    <phoneticPr fontId="13"/>
  </si>
  <si>
    <t>MK53S-732277</t>
    <phoneticPr fontId="13"/>
  </si>
  <si>
    <t>JF3-5041832</t>
    <phoneticPr fontId="13"/>
  </si>
  <si>
    <t>S700V-0000121</t>
    <phoneticPr fontId="13"/>
  </si>
  <si>
    <t>HE33S-121067</t>
    <phoneticPr fontId="13"/>
  </si>
  <si>
    <t>JF1-2524669</t>
    <phoneticPr fontId="13"/>
  </si>
  <si>
    <t>JF3-1224492</t>
    <phoneticPr fontId="13"/>
  </si>
  <si>
    <t>LA700S-0098124</t>
    <phoneticPr fontId="13"/>
  </si>
  <si>
    <t>JF3-5240214</t>
    <phoneticPr fontId="13"/>
  </si>
  <si>
    <t>LA650S-0416192</t>
    <phoneticPr fontId="13"/>
  </si>
  <si>
    <t>LA850S-0002819</t>
    <phoneticPr fontId="13"/>
  </si>
  <si>
    <t>MK94S-131444</t>
    <phoneticPr fontId="13"/>
  </si>
  <si>
    <t>LA850S-0056713</t>
    <phoneticPr fontId="13"/>
  </si>
  <si>
    <t>MR92S-224338</t>
    <phoneticPr fontId="13"/>
  </si>
  <si>
    <t>DA16T-594531</t>
    <phoneticPr fontId="13"/>
  </si>
  <si>
    <t>27-3290</t>
  </si>
  <si>
    <t>27-3291</t>
  </si>
  <si>
    <t>27-3292</t>
  </si>
  <si>
    <t>27-3293</t>
  </si>
  <si>
    <t>27-3294</t>
  </si>
  <si>
    <t>27-3295</t>
  </si>
  <si>
    <t>27-3296</t>
  </si>
  <si>
    <t>27-3297</t>
  </si>
  <si>
    <t>27-3298</t>
  </si>
  <si>
    <t>27-3299</t>
  </si>
  <si>
    <t>27-3300</t>
  </si>
  <si>
    <t>27-3301</t>
  </si>
  <si>
    <t>27-3302</t>
  </si>
  <si>
    <t>27-3303</t>
  </si>
  <si>
    <t>MK53S-192267</t>
    <phoneticPr fontId="13"/>
  </si>
  <si>
    <t>JF5-1074226</t>
    <phoneticPr fontId="13"/>
  </si>
  <si>
    <t>三河 581 つ 9870</t>
    <rPh sb="0" eb="2">
      <t>ミカワ</t>
    </rPh>
    <phoneticPr fontId="13"/>
  </si>
  <si>
    <t>MK53S-938307</t>
    <phoneticPr fontId="13"/>
  </si>
  <si>
    <t>MH34S-737045</t>
    <phoneticPr fontId="13"/>
  </si>
  <si>
    <t>JB64W-400401</t>
    <phoneticPr fontId="13"/>
  </si>
  <si>
    <t>三河 583 ね 262</t>
    <rPh sb="0" eb="2">
      <t>ミカワ</t>
    </rPh>
    <phoneticPr fontId="13"/>
  </si>
  <si>
    <t>HE33S-170801</t>
    <phoneticPr fontId="13"/>
  </si>
  <si>
    <t>名古屋 58A み 2811</t>
    <rPh sb="0" eb="3">
      <t>ナゴヤ</t>
    </rPh>
    <phoneticPr fontId="13"/>
  </si>
  <si>
    <t>N-BOX EX</t>
    <phoneticPr fontId="13"/>
  </si>
  <si>
    <t>ﾊｲｾﾞｯﾄ V ｸﾙｰｽﾞ</t>
    <phoneticPr fontId="13"/>
  </si>
  <si>
    <t>名古屋 58A み 2429</t>
    <rPh sb="0" eb="3">
      <t>ナゴヤ</t>
    </rPh>
    <phoneticPr fontId="13"/>
  </si>
  <si>
    <t>三重 581 と 3614</t>
    <rPh sb="0" eb="2">
      <t>ミエ</t>
    </rPh>
    <phoneticPr fontId="13"/>
  </si>
  <si>
    <t>ｳｪｲｸ　 L ﾚｼﾞｬｰｴﾃﾞｨｼｮﾝ</t>
    <phoneticPr fontId="13"/>
  </si>
  <si>
    <t>8/7/19</t>
    <phoneticPr fontId="13"/>
  </si>
  <si>
    <t>鈴鹿 580 つ 4577</t>
    <rPh sb="0" eb="2">
      <t>スズカ</t>
    </rPh>
    <phoneticPr fontId="13"/>
  </si>
  <si>
    <t>9/12/19</t>
    <phoneticPr fontId="13"/>
  </si>
  <si>
    <t xml:space="preserve">保証書 取説 ﾜﾝｵｰﾅｰ </t>
    <rPh sb="0" eb="3">
      <t>ホショウショ</t>
    </rPh>
    <rPh sb="4" eb="6">
      <t>トリセツ</t>
    </rPh>
    <phoneticPr fontId="13"/>
  </si>
  <si>
    <t>金沢 583 あ 5222</t>
    <rPh sb="0" eb="2">
      <t>カナザワ</t>
    </rPh>
    <phoneticPr fontId="13"/>
  </si>
  <si>
    <t>9/7/25</t>
    <phoneticPr fontId="13"/>
  </si>
  <si>
    <t>尾張小牧 581 と 6381</t>
    <rPh sb="0" eb="4">
      <t>オワリコマキ</t>
    </rPh>
    <phoneticPr fontId="13"/>
  </si>
  <si>
    <t>ﾑｰﾌﾞｷｬﾝﾊﾞｽ ｽﾄﾗｲﾌﾟｽ Gﾀｰﾎﾞ</t>
    <phoneticPr fontId="13"/>
  </si>
  <si>
    <t>8/12/6</t>
    <phoneticPr fontId="13"/>
  </si>
  <si>
    <t>袖ヶ浦 581 う 4563</t>
    <rPh sb="0" eb="3">
      <t>ソデガウラ</t>
    </rPh>
    <phoneticPr fontId="13"/>
  </si>
  <si>
    <t xml:space="preserve">ｷｬﾘｰﾄﾗｯｸ </t>
    <phoneticPr fontId="13"/>
  </si>
  <si>
    <t>岐阜 480 ま 2791</t>
    <rPh sb="0" eb="2">
      <t>ギフ</t>
    </rPh>
    <phoneticPr fontId="13"/>
  </si>
  <si>
    <t>千葉 326 た 9428</t>
    <rPh sb="0" eb="2">
      <t>チバ</t>
    </rPh>
    <phoneticPr fontId="13"/>
  </si>
  <si>
    <t>大宮 585 ま 630</t>
    <rPh sb="0" eb="2">
      <t>オオミヤ</t>
    </rPh>
    <phoneticPr fontId="13"/>
  </si>
  <si>
    <t>株式会社ｵﾘｺﾌﾟﾛﾀﾞｸﾄﾌｧｲﾅﾝｽ</t>
    <rPh sb="0" eb="4">
      <t>カブシキガイシャ</t>
    </rPh>
    <phoneticPr fontId="13"/>
  </si>
  <si>
    <t>名古屋 780 ろ 7840</t>
    <rPh sb="0" eb="3">
      <t>ナゴヤ</t>
    </rPh>
    <phoneticPr fontId="13"/>
  </si>
  <si>
    <t>FAYYAZ MAHSAB</t>
    <phoneticPr fontId="13"/>
  </si>
  <si>
    <t>つくば 340 ま 5050</t>
    <phoneticPr fontId="13"/>
  </si>
  <si>
    <t>山田 真澄</t>
    <rPh sb="0" eb="2">
      <t>ヤマダ</t>
    </rPh>
    <rPh sb="3" eb="5">
      <t>マスミ</t>
    </rPh>
    <phoneticPr fontId="13"/>
  </si>
  <si>
    <t>土浦 340 す 220</t>
    <rPh sb="0" eb="2">
      <t>ツチウラ</t>
    </rPh>
    <phoneticPr fontId="13"/>
  </si>
  <si>
    <t>株式会社孝建</t>
    <rPh sb="0" eb="4">
      <t>カブシキガイシャ</t>
    </rPh>
    <rPh sb="4" eb="5">
      <t>タカ</t>
    </rPh>
    <rPh sb="5" eb="6">
      <t>ケン</t>
    </rPh>
    <phoneticPr fontId="13"/>
  </si>
  <si>
    <t>大阪 346 は 311</t>
    <rPh sb="0" eb="2">
      <t>オオサカ</t>
    </rPh>
    <phoneticPr fontId="13"/>
  </si>
  <si>
    <t>竹井 義晴</t>
    <rPh sb="0" eb="2">
      <t>タケイ</t>
    </rPh>
    <rPh sb="3" eb="5">
      <t>ヨシハル</t>
    </rPh>
    <phoneticPr fontId="13"/>
  </si>
  <si>
    <t>群馬 581 ち 2038</t>
    <rPh sb="0" eb="2">
      <t>グンマ</t>
    </rPh>
    <phoneticPr fontId="13"/>
  </si>
  <si>
    <t>渡邉 英明</t>
    <rPh sb="0" eb="2">
      <t>ワタナベ</t>
    </rPh>
    <rPh sb="3" eb="5">
      <t>ヒデアキ</t>
    </rPh>
    <phoneticPr fontId="13"/>
  </si>
  <si>
    <t>所沢 343 と 1021</t>
    <rPh sb="0" eb="2">
      <t>トコロザワ</t>
    </rPh>
    <phoneticPr fontId="13"/>
  </si>
  <si>
    <t>嵯峨 謙治</t>
    <rPh sb="0" eb="2">
      <t>サガ</t>
    </rPh>
    <rPh sb="3" eb="5">
      <t>ケンジ</t>
    </rPh>
    <phoneticPr fontId="13"/>
  </si>
  <si>
    <t>保証書 取説 ﾅﾋﾞ取 ｷｰﾚｽ ｶｰﾄﾞｷｰ ﾜﾝｵｰﾅｰ</t>
    <rPh sb="0" eb="3">
      <t>ホショウショ</t>
    </rPh>
    <rPh sb="4" eb="6">
      <t>トリセツ</t>
    </rPh>
    <rPh sb="10" eb="11">
      <t>トリ</t>
    </rPh>
    <phoneticPr fontId="13"/>
  </si>
  <si>
    <t>春日部 502 す 8001</t>
    <rPh sb="0" eb="3">
      <t>カスカベ</t>
    </rPh>
    <phoneticPr fontId="13"/>
  </si>
  <si>
    <t>佐藤 博幸</t>
    <rPh sb="0" eb="2">
      <t>サトウ</t>
    </rPh>
    <rPh sb="3" eb="5">
      <t>ヒロユキ</t>
    </rPh>
    <phoneticPr fontId="13"/>
  </si>
  <si>
    <t>取説 ﾘﾓｺﾝ 保証書なしｸﾚｰﾑ済</t>
    <rPh sb="0" eb="2">
      <t>トリセツ</t>
    </rPh>
    <rPh sb="8" eb="11">
      <t>ホショウショ</t>
    </rPh>
    <rPh sb="17" eb="18">
      <t>ズ</t>
    </rPh>
    <phoneticPr fontId="13"/>
  </si>
  <si>
    <t>京都 329 す 403</t>
    <rPh sb="0" eb="2">
      <t>キョウト</t>
    </rPh>
    <phoneticPr fontId="13"/>
  </si>
  <si>
    <t>保証書 取説 ｷｰﾚｽ ｽﾍﾟｱｷｰ2個 ﾚﾝﾀｶｰ</t>
    <rPh sb="0" eb="3">
      <t>ホショウショ</t>
    </rPh>
    <rPh sb="4" eb="6">
      <t>トリセツ</t>
    </rPh>
    <rPh sb="19" eb="20">
      <t>コ</t>
    </rPh>
    <phoneticPr fontId="13"/>
  </si>
  <si>
    <t>神戸 39A す 8195</t>
    <rPh sb="0" eb="2">
      <t>コウベ</t>
    </rPh>
    <phoneticPr fontId="13"/>
  </si>
  <si>
    <t>AZIZZADEH JAFAR</t>
    <phoneticPr fontId="13"/>
  </si>
  <si>
    <t>滋賀 532 と 595</t>
    <rPh sb="0" eb="2">
      <t>シガ</t>
    </rPh>
    <phoneticPr fontId="13"/>
  </si>
  <si>
    <t>神戸 39A た 2825</t>
    <rPh sb="0" eb="2">
      <t>コウベ</t>
    </rPh>
    <phoneticPr fontId="13"/>
  </si>
  <si>
    <t>VF1AH0008M0823468</t>
    <phoneticPr fontId="13"/>
  </si>
  <si>
    <t>株式会社NECST</t>
    <rPh sb="0" eb="4">
      <t>カブシキガイシャ</t>
    </rPh>
    <phoneticPr fontId="13"/>
  </si>
  <si>
    <t>TAA近畿保証書ﾀﾞﾐｰ送る</t>
    <rPh sb="3" eb="5">
      <t>キンキ</t>
    </rPh>
    <rPh sb="5" eb="8">
      <t>ホショウショ</t>
    </rPh>
    <rPh sb="12" eb="13">
      <t>オク</t>
    </rPh>
    <phoneticPr fontId="13"/>
  </si>
  <si>
    <t>名古屋 582 い 5473</t>
    <rPh sb="0" eb="3">
      <t>ナゴヤ</t>
    </rPh>
    <phoneticPr fontId="13"/>
  </si>
  <si>
    <t>和泉 581 は 1434</t>
    <rPh sb="0" eb="2">
      <t>イズミ</t>
    </rPh>
    <phoneticPr fontId="13"/>
  </si>
  <si>
    <t>中下 剛伸</t>
    <rPh sb="0" eb="2">
      <t>ナカシタ</t>
    </rPh>
    <rPh sb="3" eb="4">
      <t>ツヨシ</t>
    </rPh>
    <rPh sb="4" eb="5">
      <t>ノ</t>
    </rPh>
    <phoneticPr fontId="13"/>
  </si>
  <si>
    <t>鳥取 581 う 1617</t>
    <rPh sb="0" eb="2">
      <t>トットリ</t>
    </rPh>
    <phoneticPr fontId="13"/>
  </si>
  <si>
    <t>倉敷 581 あ 3194</t>
    <rPh sb="0" eb="2">
      <t>クラシキ</t>
    </rPh>
    <phoneticPr fontId="13"/>
  </si>
  <si>
    <t>濱田 真一郎</t>
    <rPh sb="0" eb="2">
      <t>ハマダ</t>
    </rPh>
    <rPh sb="3" eb="6">
      <t>シンイチロウ</t>
    </rPh>
    <phoneticPr fontId="13"/>
  </si>
  <si>
    <t>岡山 581 と 2313</t>
    <rPh sb="0" eb="2">
      <t>オカヤマ</t>
    </rPh>
    <phoneticPr fontId="13"/>
  </si>
  <si>
    <t>難波 和博</t>
    <rPh sb="0" eb="2">
      <t>ナンバ</t>
    </rPh>
    <rPh sb="3" eb="5">
      <t>カズヒロ</t>
    </rPh>
    <phoneticPr fontId="13"/>
  </si>
  <si>
    <t>ZC33S-503303</t>
    <phoneticPr fontId="13"/>
  </si>
  <si>
    <t>WMWWJ520303N02188</t>
    <phoneticPr fontId="13"/>
  </si>
  <si>
    <t>ﾎﾞﾙﾎﾞXC40 ｱﾙﾃｨﾒｯﾄ</t>
    <phoneticPr fontId="13"/>
  </si>
  <si>
    <t>YV1XZK8MXP2012060</t>
    <phoneticPr fontId="13"/>
  </si>
  <si>
    <t>ﾌｨｱｯﾄ500 1.2ｶﾙﾄ</t>
    <phoneticPr fontId="13"/>
  </si>
  <si>
    <t>ZFABF1BGXNJG01869</t>
    <phoneticPr fontId="13"/>
  </si>
  <si>
    <t>9/4/24</t>
    <phoneticPr fontId="13"/>
  </si>
  <si>
    <t>三河 544 つ 55</t>
    <rPh sb="0" eb="2">
      <t>ミカワ</t>
    </rPh>
    <phoneticPr fontId="13"/>
  </si>
  <si>
    <t xml:space="preserve">整備手帳 ﾅﾋﾞ取(車内)保証書  取説  ｷｰﾚｽ </t>
    <rPh sb="0" eb="4">
      <t>セイビテチョウ</t>
    </rPh>
    <rPh sb="8" eb="9">
      <t>トリ</t>
    </rPh>
    <rPh sb="10" eb="12">
      <t>シャナイ</t>
    </rPh>
    <rPh sb="18" eb="20">
      <t>トリセツ</t>
    </rPh>
    <phoneticPr fontId="13"/>
  </si>
  <si>
    <t>岐阜 599 ひ 224</t>
    <rPh sb="0" eb="2">
      <t>ギフ</t>
    </rPh>
    <phoneticPr fontId="13"/>
  </si>
  <si>
    <t>浜松ﾔﾅｾ株式会社</t>
    <rPh sb="0" eb="2">
      <t>ハママツ</t>
    </rPh>
    <rPh sb="5" eb="9">
      <t>カブシキガイシャ</t>
    </rPh>
    <phoneticPr fontId="13"/>
  </si>
  <si>
    <t>沖縄 330 つ 1075</t>
    <rPh sb="0" eb="2">
      <t>オキナワ</t>
    </rPh>
    <phoneticPr fontId="13"/>
  </si>
  <si>
    <t>高知 580 ひ 7358</t>
    <rPh sb="0" eb="2">
      <t>コウチ</t>
    </rPh>
    <phoneticPr fontId="13"/>
  </si>
  <si>
    <t>株式会社ｽｽﾞｷ自販高知</t>
    <rPh sb="0" eb="4">
      <t>カブシキガイシャ</t>
    </rPh>
    <rPh sb="8" eb="10">
      <t>ジハン</t>
    </rPh>
    <rPh sb="10" eb="12">
      <t>コウチ</t>
    </rPh>
    <phoneticPr fontId="13"/>
  </si>
  <si>
    <t>高知 580 ひ 1636</t>
    <rPh sb="0" eb="2">
      <t>コウチ</t>
    </rPh>
    <phoneticPr fontId="13"/>
  </si>
  <si>
    <t>広島 582 か 6524</t>
    <rPh sb="0" eb="2">
      <t>ヒロシマ</t>
    </rPh>
    <phoneticPr fontId="13"/>
  </si>
  <si>
    <t>広島 503 せ 954</t>
    <rPh sb="0" eb="2">
      <t>ヒロシマ</t>
    </rPh>
    <phoneticPr fontId="13"/>
  </si>
  <si>
    <t>株式会社ｽｽﾞｷ自販広島</t>
    <rPh sb="0" eb="4">
      <t>カブシキガイシャ</t>
    </rPh>
    <rPh sb="8" eb="12">
      <t>ジハンヒロシマ</t>
    </rPh>
    <phoneticPr fontId="13"/>
  </si>
  <si>
    <t>岡山 582 あ 7657</t>
    <rPh sb="0" eb="2">
      <t>オカヤマ</t>
    </rPh>
    <phoneticPr fontId="13"/>
  </si>
  <si>
    <t>株式会社ﾏﾃｨｸｽﾘﾃｰﾙｻｰﾋﾞｽ</t>
    <rPh sb="0" eb="4">
      <t>カブシキガイシャ</t>
    </rPh>
    <phoneticPr fontId="13"/>
  </si>
  <si>
    <t>金沢 481 ろ 289</t>
    <rPh sb="0" eb="2">
      <t>カナザワ</t>
    </rPh>
    <phoneticPr fontId="13"/>
  </si>
  <si>
    <t>金沢三菱自動車販売株式会社</t>
    <rPh sb="0" eb="2">
      <t>カナザワ</t>
    </rPh>
    <rPh sb="2" eb="4">
      <t>ミツビシ</t>
    </rPh>
    <rPh sb="4" eb="13">
      <t>ジドウシャハンバイカブシキガイシャ</t>
    </rPh>
    <phoneticPr fontId="13"/>
  </si>
  <si>
    <t>名古屋 780 ろ 6971</t>
    <rPh sb="0" eb="3">
      <t>ナゴヤ</t>
    </rPh>
    <phoneticPr fontId="13"/>
  </si>
  <si>
    <t>地図SD(車内)取説 ｷｰﾚｽ ﾅﾋﾞ取</t>
    <rPh sb="0" eb="2">
      <t>チズ</t>
    </rPh>
    <rPh sb="5" eb="7">
      <t>シャナイ</t>
    </rPh>
    <rPh sb="8" eb="10">
      <t>トリセツ</t>
    </rPh>
    <rPh sb="19" eb="20">
      <t>トリ</t>
    </rPh>
    <phoneticPr fontId="13"/>
  </si>
  <si>
    <t>長沼 和弘</t>
    <rPh sb="0" eb="2">
      <t>ナガヌマ</t>
    </rPh>
    <rPh sb="3" eb="5">
      <t>カズヒロ</t>
    </rPh>
    <phoneticPr fontId="13"/>
  </si>
  <si>
    <t>中橋 章</t>
    <rPh sb="0" eb="2">
      <t>ナカハシ</t>
    </rPh>
    <rPh sb="3" eb="4">
      <t>アキラ</t>
    </rPh>
    <phoneticPr fontId="13"/>
  </si>
  <si>
    <t>三重 581 す 2108</t>
    <rPh sb="0" eb="2">
      <t>ミエ</t>
    </rPh>
    <phoneticPr fontId="13"/>
  </si>
  <si>
    <t>株式会社ﾎﾝﾀﾞ四輪販売中京</t>
    <rPh sb="0" eb="4">
      <t>カブシキガイシャ</t>
    </rPh>
    <rPh sb="8" eb="10">
      <t>ヨンリン</t>
    </rPh>
    <rPh sb="10" eb="12">
      <t>ハンバイ</t>
    </rPh>
    <rPh sb="12" eb="13">
      <t>ナカ</t>
    </rPh>
    <rPh sb="13" eb="14">
      <t>キョウ</t>
    </rPh>
    <phoneticPr fontId="13"/>
  </si>
  <si>
    <t>岐阜 586 ろ 2123</t>
    <rPh sb="0" eb="2">
      <t>ギフ</t>
    </rPh>
    <phoneticPr fontId="13"/>
  </si>
  <si>
    <t>土岐三菱自動車販売株式会社</t>
    <rPh sb="0" eb="1">
      <t>ツチ</t>
    </rPh>
    <rPh sb="2" eb="13">
      <t>ミツビシジドウシャハンバイカブシキガイシャ</t>
    </rPh>
    <phoneticPr fontId="13"/>
  </si>
  <si>
    <t>名古屋 597 ろ 8455</t>
    <rPh sb="0" eb="3">
      <t>ナゴヤ</t>
    </rPh>
    <phoneticPr fontId="13"/>
  </si>
  <si>
    <t>神戸 596 ろ 7131</t>
    <rPh sb="0" eb="2">
      <t>コウベ</t>
    </rPh>
    <phoneticPr fontId="13"/>
  </si>
  <si>
    <t>一宮 599 せ 8599</t>
    <rPh sb="0" eb="2">
      <t>イチノミヤ</t>
    </rPh>
    <phoneticPr fontId="13"/>
  </si>
  <si>
    <t>出光ﾘﾃｰﾙ販売株式会社</t>
    <rPh sb="0" eb="2">
      <t>イデミツ</t>
    </rPh>
    <rPh sb="6" eb="8">
      <t>ハンバイ</t>
    </rPh>
    <rPh sb="8" eb="12">
      <t>カブシキガイシャ</t>
    </rPh>
    <phoneticPr fontId="13"/>
  </si>
  <si>
    <t>医療法人中重会</t>
    <rPh sb="0" eb="4">
      <t>イリョウホウジン</t>
    </rPh>
    <rPh sb="4" eb="6">
      <t>ナカシゲ</t>
    </rPh>
    <rPh sb="6" eb="7">
      <t>カイ</t>
    </rPh>
    <phoneticPr fontId="13"/>
  </si>
  <si>
    <t>582 う 2874</t>
    <phoneticPr fontId="13"/>
  </si>
  <si>
    <t>地図SD(車内)保証書 取説 ｷｰﾚｽ ﾅﾋﾞ取</t>
    <rPh sb="12" eb="14">
      <t>トリセツ</t>
    </rPh>
    <rPh sb="23" eb="24">
      <t>トリ</t>
    </rPh>
    <phoneticPr fontId="13"/>
  </si>
  <si>
    <t>WMW72BB0X02M65405</t>
    <phoneticPr fontId="13"/>
  </si>
  <si>
    <t>27-3304</t>
  </si>
  <si>
    <t>27-3305</t>
  </si>
  <si>
    <t>27-3306</t>
  </si>
  <si>
    <t>27-3307</t>
  </si>
  <si>
    <t>27-3308</t>
  </si>
  <si>
    <t>27-3309</t>
  </si>
  <si>
    <t>27-3310</t>
  </si>
  <si>
    <t>27-3311</t>
  </si>
  <si>
    <t>27-3312</t>
  </si>
  <si>
    <t>27-3313</t>
  </si>
  <si>
    <t>27-3314</t>
  </si>
  <si>
    <t>27-3315</t>
  </si>
  <si>
    <t>27-3316</t>
  </si>
  <si>
    <t>27-3317</t>
  </si>
  <si>
    <t>27-3318</t>
  </si>
  <si>
    <t>27-3319</t>
  </si>
  <si>
    <t>27-3320</t>
  </si>
  <si>
    <t>27-3321</t>
  </si>
  <si>
    <t>27-3322</t>
  </si>
  <si>
    <t>27-3323</t>
  </si>
  <si>
    <t>27-3324</t>
  </si>
  <si>
    <t>27-3325</t>
  </si>
  <si>
    <t>27-3326</t>
  </si>
  <si>
    <t>27-3327</t>
  </si>
  <si>
    <t>27-3328</t>
  </si>
  <si>
    <t>27-3329</t>
  </si>
  <si>
    <t>27-3330</t>
  </si>
  <si>
    <t>27-3331</t>
  </si>
  <si>
    <t>JF14-1636302</t>
    <phoneticPr fontId="13"/>
  </si>
  <si>
    <t>LA150S-2004814</t>
    <phoneticPr fontId="13"/>
  </si>
  <si>
    <t>ﾀﾝﾄ X ﾎﾜｲﾄｱｸｾﾝﾄ</t>
    <phoneticPr fontId="13"/>
  </si>
  <si>
    <t>LA600S-0506062</t>
    <phoneticPr fontId="13"/>
  </si>
  <si>
    <t>S500P-0149305</t>
    <phoneticPr fontId="13"/>
  </si>
  <si>
    <t>ｷｬｽﾄ ｱｸﾃｨﾊﾞG</t>
    <phoneticPr fontId="13"/>
  </si>
  <si>
    <t>LA250S-0159840</t>
    <phoneticPr fontId="13"/>
  </si>
  <si>
    <t>MN71S-208471</t>
    <phoneticPr fontId="13"/>
  </si>
  <si>
    <t>KG2P-209759</t>
    <phoneticPr fontId="13"/>
  </si>
  <si>
    <t>ﾊﾟｯｿ ﾓｰﾀﾞGﾊﾟｯｹｰｼﾞ</t>
    <phoneticPr fontId="13"/>
  </si>
  <si>
    <t>M700A-0136638</t>
    <phoneticPr fontId="13"/>
  </si>
  <si>
    <t>MR41S-328583</t>
    <phoneticPr fontId="13"/>
  </si>
  <si>
    <t>DMEJ3P-100311</t>
    <phoneticPr fontId="13"/>
  </si>
  <si>
    <t>WBAHT920205L81264</t>
    <phoneticPr fontId="13"/>
  </si>
  <si>
    <t>NHP10-6400633</t>
    <phoneticPr fontId="13"/>
  </si>
  <si>
    <t>ZVW30-5763849</t>
    <phoneticPr fontId="13"/>
  </si>
  <si>
    <t>ｽﾍﾟｰｼｱﾊｲﾌﾞﾘｯﾄﾞG</t>
    <phoneticPr fontId="13"/>
  </si>
  <si>
    <t>MK53S-184925</t>
    <phoneticPr fontId="13"/>
  </si>
  <si>
    <t>GP5-3026623</t>
    <phoneticPr fontId="13"/>
  </si>
  <si>
    <t>JF2-1212478</t>
    <phoneticPr fontId="13"/>
  </si>
  <si>
    <t>9/9/15</t>
    <phoneticPr fontId="13"/>
  </si>
  <si>
    <t>MXWH60-4136076</t>
    <phoneticPr fontId="13"/>
  </si>
  <si>
    <t>10/8/28</t>
    <phoneticPr fontId="13"/>
  </si>
  <si>
    <t>BMW X1 xdrive 18D</t>
    <phoneticPr fontId="13"/>
  </si>
  <si>
    <t>ﾌｨｯﾄﾊｲﾌﾞﾘｯﾄ Sﾊﾟｯｹｰｼﾞ</t>
    <phoneticPr fontId="13"/>
  </si>
  <si>
    <t>神戸 589 な 73</t>
    <rPh sb="0" eb="2">
      <t>コウベ</t>
    </rPh>
    <phoneticPr fontId="13"/>
  </si>
  <si>
    <t>京都 581 ふ 510</t>
    <rPh sb="0" eb="2">
      <t>キョウト</t>
    </rPh>
    <phoneticPr fontId="13"/>
  </si>
  <si>
    <t>小谷 美咲</t>
    <rPh sb="0" eb="2">
      <t>コタニ</t>
    </rPh>
    <rPh sb="3" eb="5">
      <t>ミサキ</t>
    </rPh>
    <phoneticPr fontId="13"/>
  </si>
  <si>
    <t>R27-007</t>
  </si>
  <si>
    <t>⑦</t>
    <phoneticPr fontId="13"/>
  </si>
  <si>
    <t>2026/2 ﾚﾝﾀｶｰに移行</t>
    <rPh sb="13" eb="15">
      <t>イコウ</t>
    </rPh>
    <phoneticPr fontId="13"/>
  </si>
  <si>
    <t>27-110からR27-007へ変更</t>
    <rPh sb="16" eb="18">
      <t>ヘンコウ</t>
    </rPh>
    <phoneticPr fontId="13"/>
  </si>
  <si>
    <t>330 ち 7444</t>
    <phoneticPr fontId="13"/>
  </si>
  <si>
    <t>名古屋 487 ろ 2374</t>
    <rPh sb="0" eb="3">
      <t>ナゴヤ</t>
    </rPh>
    <phoneticPr fontId="13"/>
  </si>
  <si>
    <t>多摩 592 ろ 7687</t>
    <rPh sb="0" eb="2">
      <t>タマ</t>
    </rPh>
    <phoneticPr fontId="13"/>
  </si>
  <si>
    <t>大阪 504 た 74</t>
    <rPh sb="0" eb="2">
      <t>オオサカ</t>
    </rPh>
    <phoneticPr fontId="13"/>
  </si>
  <si>
    <t>片山 晃良</t>
    <rPh sb="0" eb="2">
      <t>カタヤマ</t>
    </rPh>
    <rPh sb="3" eb="4">
      <t>アキラ</t>
    </rPh>
    <rPh sb="4" eb="5">
      <t>リョウ</t>
    </rPh>
    <phoneticPr fontId="13"/>
  </si>
  <si>
    <t>株式会社ﾊﾞｲ・ｾﾚｸｼｮﾝ</t>
    <rPh sb="0" eb="4">
      <t>カブシキガイシャ</t>
    </rPh>
    <phoneticPr fontId="13"/>
  </si>
  <si>
    <t>保証書 取説  ﾅﾋﾞ取 ｷｰﾚｽ</t>
    <rPh sb="0" eb="3">
      <t>ホショウショ</t>
    </rPh>
    <rPh sb="4" eb="6">
      <t>トリセツ</t>
    </rPh>
    <rPh sb="11" eb="12">
      <t>トリ</t>
    </rPh>
    <phoneticPr fontId="13"/>
  </si>
  <si>
    <t>熊本 399 た 2111</t>
    <rPh sb="0" eb="2">
      <t>クマモト</t>
    </rPh>
    <phoneticPr fontId="13"/>
  </si>
  <si>
    <t>株式会社ｵｰﾄﾊﾞｯｸｽ南日本販売</t>
    <rPh sb="0" eb="4">
      <t>カブシキガイシャ</t>
    </rPh>
    <rPh sb="12" eb="13">
      <t>ミナミ</t>
    </rPh>
    <rPh sb="13" eb="15">
      <t>ニホン</t>
    </rPh>
    <rPh sb="15" eb="17">
      <t>ハンバイ</t>
    </rPh>
    <phoneticPr fontId="13"/>
  </si>
  <si>
    <t>福山　531　ま　2020</t>
    <rPh sb="0" eb="2">
      <t>フクヤマ</t>
    </rPh>
    <phoneticPr fontId="13"/>
  </si>
  <si>
    <t>京都 570 す 358</t>
    <rPh sb="0" eb="2">
      <t>キョウト</t>
    </rPh>
    <phoneticPr fontId="13"/>
  </si>
  <si>
    <t>三木 由加里</t>
    <rPh sb="0" eb="2">
      <t>ミキ</t>
    </rPh>
    <rPh sb="3" eb="6">
      <t>ユカリ</t>
    </rPh>
    <phoneticPr fontId="13"/>
  </si>
  <si>
    <t>保証書 取説 ｽﾍﾟｱｷｰ ﾄﾞﾗﾚｺSD ﾜﾝｵｰﾅｰ</t>
    <rPh sb="0" eb="3">
      <t>ホショウショ</t>
    </rPh>
    <rPh sb="4" eb="6">
      <t>トリセツ</t>
    </rPh>
    <phoneticPr fontId="13"/>
  </si>
  <si>
    <t>岡山 502 ね 1200</t>
    <rPh sb="0" eb="2">
      <t>オカヤマ</t>
    </rPh>
    <phoneticPr fontId="13"/>
  </si>
  <si>
    <t>株式会社家夢花夢</t>
    <rPh sb="0" eb="4">
      <t>カブシキガイシャ</t>
    </rPh>
    <rPh sb="4" eb="5">
      <t>イエ</t>
    </rPh>
    <rPh sb="5" eb="6">
      <t>ユメ</t>
    </rPh>
    <rPh sb="6" eb="7">
      <t>ハナ</t>
    </rPh>
    <rPh sb="7" eb="8">
      <t>ユメ</t>
    </rPh>
    <phoneticPr fontId="13"/>
  </si>
  <si>
    <t>大阪 589 ろ 8487</t>
    <rPh sb="0" eb="2">
      <t>オオサカ</t>
    </rPh>
    <phoneticPr fontId="13"/>
  </si>
  <si>
    <t>保証書 取説 ﾘﾓｺﾝ2個</t>
    <rPh sb="0" eb="3">
      <t>ホショウショ</t>
    </rPh>
    <rPh sb="4" eb="6">
      <t>トリセツ</t>
    </rPh>
    <rPh sb="12" eb="13">
      <t>コ</t>
    </rPh>
    <phoneticPr fontId="13"/>
  </si>
  <si>
    <t>岐阜 580 わ 6352</t>
    <rPh sb="0" eb="2">
      <t>ギフ</t>
    </rPh>
    <phoneticPr fontId="13"/>
  </si>
  <si>
    <t>なにわ 5P9 ろ 8314</t>
    <phoneticPr fontId="13"/>
  </si>
  <si>
    <t>石田 和樹</t>
    <rPh sb="0" eb="2">
      <t>イシダ</t>
    </rPh>
    <rPh sb="3" eb="5">
      <t>カズキ</t>
    </rPh>
    <phoneticPr fontId="13"/>
  </si>
  <si>
    <t>保証書 取説 ｷｰﾚｽ ﾘﾓｺﾝ ﾅﾋﾞ取</t>
    <rPh sb="0" eb="3">
      <t>ホショウショ</t>
    </rPh>
    <rPh sb="4" eb="6">
      <t>トリセツ</t>
    </rPh>
    <rPh sb="20" eb="21">
      <t>トリ</t>
    </rPh>
    <phoneticPr fontId="13"/>
  </si>
  <si>
    <t>保証書 取説 ﾅﾋﾞ取 ｷｰﾚｽ ﾐﾆB-CAS</t>
    <rPh sb="0" eb="3">
      <t>ホショウショ</t>
    </rPh>
    <rPh sb="4" eb="6">
      <t>トリセツ</t>
    </rPh>
    <rPh sb="10" eb="11">
      <t>トリ</t>
    </rPh>
    <phoneticPr fontId="13"/>
  </si>
  <si>
    <t>ﾄﾖﾀｶﾛｰﾗ兵庫株式会社</t>
    <rPh sb="7" eb="9">
      <t>ヒョウゴ</t>
    </rPh>
    <rPh sb="9" eb="13">
      <t>カブシキガイシャ</t>
    </rPh>
    <phoneticPr fontId="13"/>
  </si>
  <si>
    <t>地図SD(車内)保証書 取説 ｷｰﾚｽ ﾅﾋﾞ取</t>
    <rPh sb="8" eb="11">
      <t>ホショウショ</t>
    </rPh>
    <rPh sb="12" eb="14">
      <t>トリセツ</t>
    </rPh>
    <rPh sb="23" eb="24">
      <t>トリ</t>
    </rPh>
    <phoneticPr fontId="13"/>
  </si>
  <si>
    <t>上林 早苗</t>
    <rPh sb="0" eb="2">
      <t>ウエバヤシ</t>
    </rPh>
    <rPh sb="3" eb="5">
      <t>サナエ</t>
    </rPh>
    <phoneticPr fontId="13"/>
  </si>
  <si>
    <t>滋賀 499 さ 6311</t>
    <rPh sb="0" eb="2">
      <t>シガ</t>
    </rPh>
    <phoneticPr fontId="13"/>
  </si>
  <si>
    <t>ﾄｰﾙ ｶｽﾀﾑG ﾀｰﾎﾞSA3</t>
    <phoneticPr fontId="13"/>
  </si>
  <si>
    <t>M900S-0064536</t>
    <phoneticPr fontId="13"/>
  </si>
  <si>
    <t>名古屋 507 む 5719</t>
    <rPh sb="0" eb="3">
      <t>ナゴヤ</t>
    </rPh>
    <phoneticPr fontId="13"/>
  </si>
  <si>
    <t>AGH30-0323480</t>
    <phoneticPr fontId="13"/>
  </si>
  <si>
    <t>神戸 342 さ 414</t>
    <rPh sb="0" eb="2">
      <t>コウベ</t>
    </rPh>
    <phoneticPr fontId="13"/>
  </si>
  <si>
    <t>ｱｸｱ G G´S</t>
    <phoneticPr fontId="13"/>
  </si>
  <si>
    <t>NHP10-2477374</t>
    <phoneticPr fontId="13"/>
  </si>
  <si>
    <t>神戸 547 せ 4</t>
    <rPh sb="0" eb="2">
      <t>コウベ</t>
    </rPh>
    <phoneticPr fontId="13"/>
  </si>
  <si>
    <t xml:space="preserve">ﾊｲｾﾞｯﾄﾄﾗｯｸ </t>
    <phoneticPr fontId="13"/>
  </si>
  <si>
    <t>S500P-0138419</t>
    <phoneticPr fontId="13"/>
  </si>
  <si>
    <t>9/4/6</t>
    <phoneticPr fontId="13"/>
  </si>
  <si>
    <t>大阪 483 ね 1216</t>
    <rPh sb="0" eb="2">
      <t>オオサカ</t>
    </rPh>
    <phoneticPr fontId="13"/>
  </si>
  <si>
    <t>WMWXU920902N45412</t>
    <phoneticPr fontId="13"/>
  </si>
  <si>
    <t>BMW X1 18d X ﾗｲﾝ ｴﾃﾞｨｼｮﾝ</t>
    <phoneticPr fontId="13"/>
  </si>
  <si>
    <t>WBA32AD0005S55593</t>
    <phoneticPr fontId="13"/>
  </si>
  <si>
    <t>WMWYT920303L16211</t>
    <phoneticPr fontId="13"/>
  </si>
  <si>
    <t>9/1/7</t>
    <phoneticPr fontId="13"/>
  </si>
  <si>
    <t>なにわ 334 ひ 1518</t>
    <phoneticPr fontId="13"/>
  </si>
  <si>
    <t>HE33S-174374</t>
    <phoneticPr fontId="13"/>
  </si>
  <si>
    <t>田中 虎雄</t>
    <rPh sb="0" eb="2">
      <t>タナカ</t>
    </rPh>
    <rPh sb="3" eb="4">
      <t>トラ</t>
    </rPh>
    <rPh sb="4" eb="5">
      <t>オ</t>
    </rPh>
    <phoneticPr fontId="13"/>
  </si>
  <si>
    <t>広島 583 か 8209</t>
    <rPh sb="0" eb="2">
      <t>ヒロシマ</t>
    </rPh>
    <phoneticPr fontId="13"/>
  </si>
  <si>
    <t>三井住友カード株式会社</t>
    <rPh sb="0" eb="4">
      <t>ミツイスミトモ</t>
    </rPh>
    <rPh sb="7" eb="11">
      <t>カブシキガイシャ</t>
    </rPh>
    <phoneticPr fontId="13"/>
  </si>
  <si>
    <t>京都 580 か 4664</t>
    <rPh sb="0" eb="2">
      <t>キョウト</t>
    </rPh>
    <phoneticPr fontId="13"/>
  </si>
  <si>
    <t>京都ﾀﾞｲﾊﾂ販売株式会社</t>
    <rPh sb="0" eb="2">
      <t>キョウト</t>
    </rPh>
    <rPh sb="7" eb="9">
      <t>ハンバイ</t>
    </rPh>
    <rPh sb="9" eb="13">
      <t>カブシキガイシャ</t>
    </rPh>
    <phoneticPr fontId="13"/>
  </si>
  <si>
    <t>MR92S-481711</t>
    <phoneticPr fontId="13"/>
  </si>
  <si>
    <t>10/1/30</t>
    <phoneticPr fontId="13"/>
  </si>
  <si>
    <t>香川 581 せ 7440</t>
    <rPh sb="0" eb="2">
      <t>カガワ</t>
    </rPh>
    <phoneticPr fontId="13"/>
  </si>
  <si>
    <t>ﾑｰﾌﾞｷｬﾝﾊﾞｽ Gﾒｲｸｱｯﾌﾟ ﾘﾐﾃｯﾄﾞSA3</t>
    <phoneticPr fontId="13"/>
  </si>
  <si>
    <t>LA800S-0252227</t>
    <phoneticPr fontId="13"/>
  </si>
  <si>
    <t>LA900S-0133965</t>
    <phoneticPr fontId="13"/>
  </si>
  <si>
    <t>BMW320d xdrive Mｽﾎﾟｰﾂ</t>
    <phoneticPr fontId="13"/>
  </si>
  <si>
    <t>WBA5V700108B67002</t>
    <phoneticPr fontId="13"/>
  </si>
  <si>
    <t>WDC2539052F578971</t>
    <phoneticPr fontId="13"/>
  </si>
  <si>
    <t>富士山 581 ぬ 9015</t>
    <rPh sb="0" eb="3">
      <t>フジサン</t>
    </rPh>
    <phoneticPr fontId="13"/>
  </si>
  <si>
    <t>白川 侑子</t>
    <rPh sb="0" eb="2">
      <t>シラカワ</t>
    </rPh>
    <rPh sb="3" eb="5">
      <t>ユウコ</t>
    </rPh>
    <phoneticPr fontId="13"/>
  </si>
  <si>
    <t>杉並 310 の 2313</t>
    <rPh sb="0" eb="2">
      <t>スギナミ</t>
    </rPh>
    <phoneticPr fontId="13"/>
  </si>
  <si>
    <t>桑原 裕樹</t>
    <rPh sb="0" eb="1">
      <t>クワ</t>
    </rPh>
    <rPh sb="1" eb="2">
      <t>ハラ</t>
    </rPh>
    <rPh sb="3" eb="4">
      <t>ユウ</t>
    </rPh>
    <rPh sb="4" eb="5">
      <t>キ</t>
    </rPh>
    <phoneticPr fontId="13"/>
  </si>
  <si>
    <t>WMWXU720802P16123</t>
    <phoneticPr fontId="13"/>
  </si>
  <si>
    <t>ZAR94000007532377</t>
    <phoneticPr fontId="13"/>
  </si>
  <si>
    <t>株式会社ﾎﾝﾀﾞｶｰｽﾞ岐阜</t>
    <rPh sb="0" eb="4">
      <t>カブシキガイシャ</t>
    </rPh>
    <rPh sb="12" eb="14">
      <t>ギフ</t>
    </rPh>
    <phoneticPr fontId="13"/>
  </si>
  <si>
    <t>保証書 取説 ｽﾍﾟｱｷｰ ｺｰﾄﾞｶｰﾄﾞ</t>
    <rPh sb="0" eb="3">
      <t>ホショウショ</t>
    </rPh>
    <rPh sb="4" eb="6">
      <t>トリセツ</t>
    </rPh>
    <phoneticPr fontId="13"/>
  </si>
  <si>
    <t>世田谷 581 ろ 4133</t>
    <rPh sb="0" eb="3">
      <t>セタガヤ</t>
    </rPh>
    <phoneticPr fontId="13"/>
  </si>
  <si>
    <t>27-3332</t>
  </si>
  <si>
    <t>27-3333</t>
  </si>
  <si>
    <t>W1N2476122W096766</t>
    <phoneticPr fontId="13"/>
  </si>
  <si>
    <t>練馬 329 せ 3061</t>
    <rPh sb="0" eb="2">
      <t>ネリマ</t>
    </rPh>
    <phoneticPr fontId="13"/>
  </si>
  <si>
    <t>宮園輸入車販売株式会社</t>
    <rPh sb="0" eb="2">
      <t>ミヤゾノ</t>
    </rPh>
    <rPh sb="2" eb="5">
      <t>ユニュウシャ</t>
    </rPh>
    <rPh sb="5" eb="11">
      <t>ハンバイカブシキガイシャ</t>
    </rPh>
    <phoneticPr fontId="13"/>
  </si>
  <si>
    <t>上ヶ吹 豊孝</t>
    <rPh sb="0" eb="1">
      <t>ウエ</t>
    </rPh>
    <rPh sb="2" eb="3">
      <t>フ</t>
    </rPh>
    <rPh sb="4" eb="5">
      <t>トヨ</t>
    </rPh>
    <rPh sb="5" eb="6">
      <t>タカ</t>
    </rPh>
    <phoneticPr fontId="13"/>
  </si>
  <si>
    <t>多摩 304 せ 4968</t>
    <rPh sb="0" eb="2">
      <t>タマ</t>
    </rPh>
    <phoneticPr fontId="13"/>
  </si>
  <si>
    <t>藤本 翔</t>
    <rPh sb="0" eb="2">
      <t>フジモト</t>
    </rPh>
    <rPh sb="3" eb="4">
      <t>ショウ</t>
    </rPh>
    <phoneticPr fontId="13"/>
  </si>
  <si>
    <t>岐阜 531 そ 368</t>
    <rPh sb="0" eb="2">
      <t>ギフ</t>
    </rPh>
    <phoneticPr fontId="13"/>
  </si>
  <si>
    <t>安藤 佳子</t>
    <rPh sb="0" eb="2">
      <t>アンドウ</t>
    </rPh>
    <rPh sb="3" eb="5">
      <t>ケイコ</t>
    </rPh>
    <phoneticPr fontId="13"/>
  </si>
  <si>
    <t>沖縄 382 ま 358</t>
    <rPh sb="0" eb="2">
      <t>オキナワ</t>
    </rPh>
    <phoneticPr fontId="13"/>
  </si>
  <si>
    <t>仲地 仁慈華</t>
    <rPh sb="0" eb="1">
      <t>ナカ</t>
    </rPh>
    <rPh sb="1" eb="2">
      <t>チ</t>
    </rPh>
    <rPh sb="3" eb="4">
      <t>ジン</t>
    </rPh>
    <rPh sb="4" eb="5">
      <t>ジ</t>
    </rPh>
    <rPh sb="5" eb="6">
      <t>ハル</t>
    </rPh>
    <phoneticPr fontId="13"/>
  </si>
  <si>
    <t>保証書 取説 ｷｰﾚｽ 自賠離島</t>
    <rPh sb="0" eb="3">
      <t>ホショウショ</t>
    </rPh>
    <rPh sb="4" eb="6">
      <t>トリセツ</t>
    </rPh>
    <rPh sb="12" eb="14">
      <t>ジバイ</t>
    </rPh>
    <rPh sb="14" eb="16">
      <t>リトウ</t>
    </rPh>
    <phoneticPr fontId="13"/>
  </si>
  <si>
    <t>世田谷 581 ろ 4134</t>
    <rPh sb="0" eb="3">
      <t>セタガヤ</t>
    </rPh>
    <phoneticPr fontId="13"/>
  </si>
  <si>
    <t>世田谷 581 ろ 4089</t>
    <rPh sb="0" eb="3">
      <t>セタガヤ</t>
    </rPh>
    <phoneticPr fontId="13"/>
  </si>
  <si>
    <t>大宮 799 ろ 8008</t>
    <rPh sb="0" eb="2">
      <t>オオミヤ</t>
    </rPh>
    <phoneticPr fontId="13"/>
  </si>
  <si>
    <t>SD(書類と一緒に保管)</t>
    <rPh sb="3" eb="5">
      <t>ショルイ</t>
    </rPh>
    <rPh sb="6" eb="8">
      <t>イッショ</t>
    </rPh>
    <rPh sb="9" eb="11">
      <t>ホカン</t>
    </rPh>
    <phoneticPr fontId="13"/>
  </si>
  <si>
    <t>千葉 793 ろ 6389</t>
    <rPh sb="0" eb="2">
      <t>チバ</t>
    </rPh>
    <phoneticPr fontId="13"/>
  </si>
  <si>
    <t>27-3334</t>
  </si>
  <si>
    <t>27-3335</t>
  </si>
  <si>
    <t>27-3336</t>
  </si>
  <si>
    <t>27-3337</t>
  </si>
  <si>
    <t>27-3338</t>
  </si>
  <si>
    <t>27-3339</t>
  </si>
  <si>
    <t>27-3340</t>
  </si>
  <si>
    <t>27-3341</t>
  </si>
  <si>
    <t>27-3342</t>
  </si>
  <si>
    <t>27-3343</t>
  </si>
  <si>
    <t>27-3344</t>
  </si>
  <si>
    <t>27-3345</t>
  </si>
  <si>
    <t>27-3346</t>
  </si>
  <si>
    <t>27-3347</t>
  </si>
  <si>
    <t>ﾎﾞﾙﾎﾞXC60 T5 ｲﾝｽｸﾘﾌﾟｼｮﾝ</t>
    <phoneticPr fontId="13"/>
  </si>
  <si>
    <t>9/2/15</t>
    <phoneticPr fontId="13"/>
  </si>
  <si>
    <t>名古屋 307 と 4902</t>
    <rPh sb="0" eb="3">
      <t>ナゴヤ</t>
    </rPh>
    <phoneticPr fontId="13"/>
  </si>
  <si>
    <t>WMWXS520002F20979</t>
    <phoneticPr fontId="13"/>
  </si>
  <si>
    <t>ﾒﾙｾﾃﾞｽﾍﾞﾝﾂ Aｸﾗｽ180</t>
    <phoneticPr fontId="13"/>
  </si>
  <si>
    <t>BMWﾐﾆ ｸﾗﾌﾞﾏﾝﾊﾞｯｷﾝｶﾞﾑ</t>
    <phoneticPr fontId="13"/>
  </si>
  <si>
    <t>豊橋 301 ぬ 9509</t>
    <rPh sb="0" eb="2">
      <t>トヨハシ</t>
    </rPh>
    <phoneticPr fontId="13"/>
  </si>
  <si>
    <t>BMW3ｼﾘｰｽﾞﾂｰﾘﾝｸﾞ 320d xdrive</t>
    <phoneticPr fontId="13"/>
  </si>
  <si>
    <t>WBA6L72070FH88635</t>
    <phoneticPr fontId="13"/>
  </si>
  <si>
    <t>一宮 300 は 1187</t>
    <rPh sb="0" eb="2">
      <t>イチノミヤ</t>
    </rPh>
    <phoneticPr fontId="13"/>
  </si>
  <si>
    <t>WMWXN320003C49881</t>
    <phoneticPr fontId="13"/>
  </si>
  <si>
    <t>品川 303 て 1441</t>
    <rPh sb="0" eb="2">
      <t>シナガワ</t>
    </rPh>
    <phoneticPr fontId="13"/>
  </si>
  <si>
    <t>品番；AVN-R7</t>
    <rPh sb="0" eb="2">
      <t>ヒンバン</t>
    </rPh>
    <phoneticPr fontId="13"/>
  </si>
  <si>
    <t>ｷｰﾚｽ 地図SD(車内)保証書 取説 ﾅﾋﾞ取 ﾜﾝｵｰﾅｰ</t>
    <rPh sb="13" eb="16">
      <t>ホショウショ</t>
    </rPh>
    <rPh sb="17" eb="19">
      <t>トリセツ</t>
    </rPh>
    <rPh sb="23" eb="24">
      <t>トリ</t>
    </rPh>
    <phoneticPr fontId="13"/>
  </si>
  <si>
    <t>地図SD(車内) 保証書 取説 ｷｰﾚｽ ﾄﾞﾗﾚｺﾏｲｸﾛSD ﾜﾝｵｰﾅｰ</t>
    <rPh sb="9" eb="12">
      <t>ホショウショ</t>
    </rPh>
    <rPh sb="13" eb="15">
      <t>トリセツ</t>
    </rPh>
    <phoneticPr fontId="13"/>
  </si>
  <si>
    <t>地図SD(車内) 保証書 取説 ｷｰﾚｽ</t>
    <rPh sb="9" eb="12">
      <t>ホショウショ</t>
    </rPh>
    <rPh sb="13" eb="15">
      <t>トリセツ</t>
    </rPh>
    <phoneticPr fontId="13"/>
  </si>
  <si>
    <t>地図SD(車内)保証書 取説 ﾅﾋﾞ取 ｷｰﾚｽ ﾜﾝｵｰﾅｰ</t>
    <rPh sb="8" eb="11">
      <t>ホショウショ</t>
    </rPh>
    <rPh sb="12" eb="14">
      <t>トリセツ</t>
    </rPh>
    <rPh sb="18" eb="19">
      <t>トリ</t>
    </rPh>
    <phoneticPr fontId="13"/>
  </si>
  <si>
    <t xml:space="preserve">地図SD(車内)保証書 取説 ｷｰﾚｽ ﾅﾋﾞ取 </t>
    <phoneticPr fontId="13"/>
  </si>
  <si>
    <t>保証書 取説 ｷｰﾚｽ(車内)SD</t>
    <rPh sb="0" eb="3">
      <t>ホショウショ</t>
    </rPh>
    <rPh sb="4" eb="6">
      <t>トリセツ</t>
    </rPh>
    <rPh sb="12" eb="14">
      <t>シャナイ</t>
    </rPh>
    <phoneticPr fontId="13"/>
  </si>
  <si>
    <t>ﾙﾉｰｶﾝｸﾞｰ  ｾﾞﾝ</t>
    <phoneticPr fontId="13"/>
  </si>
  <si>
    <t>300 わ 7016</t>
    <phoneticPr fontId="13"/>
  </si>
  <si>
    <t>27-3348</t>
  </si>
  <si>
    <t>27-3349</t>
  </si>
  <si>
    <t>27-3350</t>
  </si>
  <si>
    <t>27-3351</t>
  </si>
  <si>
    <t>27-3352</t>
  </si>
  <si>
    <t>27-3353</t>
  </si>
  <si>
    <t>和泉 583 く 1820</t>
    <rPh sb="0" eb="2">
      <t>イズミ</t>
    </rPh>
    <phoneticPr fontId="13"/>
  </si>
  <si>
    <t>神戸 334 ぬ 1172</t>
    <rPh sb="0" eb="2">
      <t>コウベ</t>
    </rPh>
    <phoneticPr fontId="13"/>
  </si>
  <si>
    <t>広島 585 す 76</t>
    <rPh sb="0" eb="2">
      <t>ヒロシマ</t>
    </rPh>
    <phoneticPr fontId="13"/>
  </si>
  <si>
    <t>株式会社ﾊｰﾂ</t>
    <rPh sb="0" eb="4">
      <t>カブシキガイシャ</t>
    </rPh>
    <phoneticPr fontId="13"/>
  </si>
  <si>
    <t>広島 585 こ 164</t>
    <rPh sb="0" eb="2">
      <t>ヒロシマ</t>
    </rPh>
    <phoneticPr fontId="13"/>
  </si>
  <si>
    <t>浜木 秀樹</t>
    <rPh sb="0" eb="2">
      <t>ハマキ</t>
    </rPh>
    <rPh sb="3" eb="5">
      <t>ヒデキ</t>
    </rPh>
    <phoneticPr fontId="13"/>
  </si>
  <si>
    <t>高知 480 た 6688</t>
    <rPh sb="0" eb="2">
      <t>コウチ</t>
    </rPh>
    <phoneticPr fontId="13"/>
  </si>
  <si>
    <t>高松 581 ろ 4007</t>
    <rPh sb="0" eb="2">
      <t>タカマツ</t>
    </rPh>
    <phoneticPr fontId="13"/>
  </si>
  <si>
    <t>名古屋 326 め 2820</t>
    <rPh sb="0" eb="3">
      <t>ナゴヤ</t>
    </rPh>
    <phoneticPr fontId="13"/>
  </si>
  <si>
    <t>ｷｰﾚｽ ﾏｲｸﾛ地図SD(車内)保証書</t>
    <rPh sb="17" eb="20">
      <t>ホショウショ</t>
    </rPh>
    <phoneticPr fontId="13"/>
  </si>
  <si>
    <t>WBA7P120305P26982</t>
    <phoneticPr fontId="13"/>
  </si>
  <si>
    <t>なにわ 337 む 613</t>
    <phoneticPr fontId="13"/>
  </si>
  <si>
    <t>千葉 326 ち 1601</t>
    <rPh sb="0" eb="2">
      <t>チバ</t>
    </rPh>
    <phoneticPr fontId="13"/>
  </si>
  <si>
    <r>
      <t>地図SD車内なし←</t>
    </r>
    <r>
      <rPr>
        <sz val="11"/>
        <color rgb="FFFF0000"/>
        <rFont val="ＭＳ Ｐゴシック"/>
        <family val="3"/>
        <charset val="128"/>
        <scheme val="minor"/>
      </rPr>
      <t>問い合わせｸﾚｰﾑ済</t>
    </r>
    <r>
      <rPr>
        <sz val="11"/>
        <color theme="4" tint="-0.499984740745262"/>
        <rFont val="ＭＳ Ｐゴシック"/>
        <family val="3"/>
        <charset val="128"/>
        <scheme val="minor"/>
      </rPr>
      <t xml:space="preserve"> 取説 </t>
    </r>
    <rPh sb="0" eb="2">
      <t>チズ</t>
    </rPh>
    <rPh sb="4" eb="6">
      <t>シャナイ</t>
    </rPh>
    <rPh sb="9" eb="10">
      <t>ト</t>
    </rPh>
    <rPh sb="11" eb="12">
      <t>ア</t>
    </rPh>
    <rPh sb="18" eb="19">
      <t>ズ</t>
    </rPh>
    <rPh sb="20" eb="22">
      <t>トリセツ</t>
    </rPh>
    <phoneticPr fontId="13"/>
  </si>
  <si>
    <t>神戸 39A た 3069</t>
    <rPh sb="0" eb="2">
      <t>コウベ</t>
    </rPh>
    <phoneticPr fontId="13"/>
  </si>
  <si>
    <t>神戸 39A た 3070</t>
    <rPh sb="0" eb="2">
      <t>コウベ</t>
    </rPh>
    <phoneticPr fontId="13"/>
  </si>
  <si>
    <t>神戸 39A た 2815</t>
    <rPh sb="0" eb="2">
      <t>コウベ</t>
    </rPh>
    <phoneticPr fontId="13"/>
  </si>
  <si>
    <t>ﾏｲｸﾛ地図SD(車内)保証書 取説 ｷｰﾚｽ ﾅﾋﾞ取 ﾜﾝｵｰﾅｰ×ｸﾚｰﾑ済</t>
    <rPh sb="12" eb="15">
      <t>ホショウショ</t>
    </rPh>
    <rPh sb="16" eb="18">
      <t>トリセツ</t>
    </rPh>
    <rPh sb="27" eb="28">
      <t>トリ</t>
    </rPh>
    <rPh sb="40" eb="41">
      <t>ズ</t>
    </rPh>
    <phoneticPr fontId="13"/>
  </si>
  <si>
    <t>広島 333 め 1189</t>
    <rPh sb="0" eb="2">
      <t>ヒロシマ</t>
    </rPh>
    <phoneticPr fontId="13"/>
  </si>
  <si>
    <t>神戸 39A そ 3425</t>
    <rPh sb="0" eb="2">
      <t>コウベ</t>
    </rPh>
    <phoneticPr fontId="13"/>
  </si>
  <si>
    <t>愛媛 301 た 1266</t>
    <rPh sb="0" eb="2">
      <t>エヒメ</t>
    </rPh>
    <phoneticPr fontId="13"/>
  </si>
  <si>
    <t>三重三菱自動車販売株式会社</t>
    <rPh sb="0" eb="2">
      <t>ミエ</t>
    </rPh>
    <rPh sb="2" eb="4">
      <t>ミツビシ</t>
    </rPh>
    <rPh sb="4" eb="13">
      <t>ジドウシャハンバイカブシキガイシャ</t>
    </rPh>
    <phoneticPr fontId="13"/>
  </si>
  <si>
    <t>四日市 580 か 9279</t>
    <rPh sb="0" eb="3">
      <t>ヨッカイチ</t>
    </rPh>
    <phoneticPr fontId="13"/>
  </si>
  <si>
    <t>三菱自動車販売株式会社</t>
    <rPh sb="0" eb="11">
      <t>ミツビシジドウシャハンバイカブシキガイシャ</t>
    </rPh>
    <phoneticPr fontId="13"/>
  </si>
  <si>
    <t>鈴鹿 580 そ 1345</t>
    <rPh sb="0" eb="2">
      <t>スズカ</t>
    </rPh>
    <phoneticPr fontId="13"/>
  </si>
  <si>
    <t>山口 483 つ 164</t>
    <rPh sb="0" eb="2">
      <t>ヤマグチ</t>
    </rPh>
    <phoneticPr fontId="13"/>
  </si>
  <si>
    <t>株式会社光成</t>
    <rPh sb="0" eb="4">
      <t>カブシキガイシャ</t>
    </rPh>
    <rPh sb="4" eb="5">
      <t>ヒカリ</t>
    </rPh>
    <rPh sb="5" eb="6">
      <t>ナリ</t>
    </rPh>
    <phoneticPr fontId="13"/>
  </si>
  <si>
    <t>二昌自動車株式会社</t>
    <rPh sb="0" eb="1">
      <t>ニ</t>
    </rPh>
    <rPh sb="1" eb="2">
      <t>アキラ</t>
    </rPh>
    <rPh sb="2" eb="9">
      <t>ジドウシャカブシキガイシャ</t>
    </rPh>
    <phoneticPr fontId="13"/>
  </si>
  <si>
    <t>株式会社ｶｰｾﾌﾞﾝﾃﾞｼﾞﾌｨｰﾙﾄﾞ</t>
    <rPh sb="0" eb="4">
      <t>カブシキガイシャ</t>
    </rPh>
    <phoneticPr fontId="13"/>
  </si>
  <si>
    <t>保証書 取説 ｷｰﾚｽ ﾅﾋﾞ取 ｴﾝｼﾞﾝｽﾀｰﾀｰ</t>
    <rPh sb="0" eb="3">
      <t>ホショウショ</t>
    </rPh>
    <rPh sb="4" eb="6">
      <t>トリセツ</t>
    </rPh>
    <rPh sb="15" eb="16">
      <t>トリ</t>
    </rPh>
    <phoneticPr fontId="13"/>
  </si>
  <si>
    <t>BUTT HAMZA</t>
    <phoneticPr fontId="13"/>
  </si>
  <si>
    <t>品川 5X3 ろ 4855</t>
    <rPh sb="0" eb="2">
      <t>シナガワ</t>
    </rPh>
    <phoneticPr fontId="13"/>
  </si>
  <si>
    <t>品川 5X3 ろ 4856</t>
    <rPh sb="0" eb="2">
      <t>シナガワ</t>
    </rPh>
    <phoneticPr fontId="13"/>
  </si>
  <si>
    <t>習志野 330 は 5224</t>
    <rPh sb="0" eb="3">
      <t>ナラシノ</t>
    </rPh>
    <phoneticPr fontId="13"/>
  </si>
  <si>
    <t>株式会社ﾘﾝｸﾞ</t>
    <rPh sb="0" eb="4">
      <t>カブシキガイシャ</t>
    </rPh>
    <phoneticPr fontId="13"/>
  </si>
  <si>
    <t>保証書 取説 ｷｰﾚｽ ｶｰﾄﾞｷｰ</t>
    <rPh sb="0" eb="3">
      <t>ホショウショ</t>
    </rPh>
    <rPh sb="4" eb="6">
      <t>トリセツ</t>
    </rPh>
    <phoneticPr fontId="13"/>
  </si>
  <si>
    <t>湘南 301 や 5095</t>
    <rPh sb="0" eb="2">
      <t>ショウナン</t>
    </rPh>
    <phoneticPr fontId="13"/>
  </si>
  <si>
    <t>伊藤まなぶ</t>
    <rPh sb="0" eb="2">
      <t>イトウ</t>
    </rPh>
    <phoneticPr fontId="13"/>
  </si>
  <si>
    <t>山科ﾏﾂﾀﾞ有限会社</t>
    <rPh sb="0" eb="2">
      <t>ヤマシナ</t>
    </rPh>
    <rPh sb="6" eb="10">
      <t>ユウゲンカイシャ</t>
    </rPh>
    <phoneticPr fontId="13"/>
  </si>
  <si>
    <t>保証書 取説 ｷｰﾚｽ ﾅﾋﾞ取 SD</t>
    <rPh sb="0" eb="3">
      <t>ホショウショ</t>
    </rPh>
    <rPh sb="4" eb="6">
      <t>トリセツ</t>
    </rPh>
    <rPh sb="15" eb="16">
      <t>トリ</t>
    </rPh>
    <phoneticPr fontId="13"/>
  </si>
  <si>
    <t>山口 533 ち 710</t>
    <rPh sb="0" eb="2">
      <t>ヤマグチ</t>
    </rPh>
    <phoneticPr fontId="13"/>
  </si>
  <si>
    <t>ﾄﾖﾀｶﾛｰﾗ山口株式会社</t>
    <rPh sb="7" eb="9">
      <t>ヤマグチ</t>
    </rPh>
    <rPh sb="9" eb="13">
      <t>カブシキガイシャ</t>
    </rPh>
    <phoneticPr fontId="13"/>
  </si>
  <si>
    <t>地図SD(車内)ﾅﾝﾊﾞｰ</t>
    <phoneticPr fontId="13"/>
  </si>
  <si>
    <t>大阪 582 に 3394</t>
    <rPh sb="0" eb="2">
      <t>オオサカ</t>
    </rPh>
    <phoneticPr fontId="13"/>
  </si>
  <si>
    <t>岡山 301 も 7510</t>
    <rPh sb="0" eb="2">
      <t>オカヤマ</t>
    </rPh>
    <phoneticPr fontId="13"/>
  </si>
  <si>
    <t>岡山 501 わ 8246</t>
    <rPh sb="0" eb="2">
      <t>オカヤマ</t>
    </rPh>
    <phoneticPr fontId="13"/>
  </si>
  <si>
    <t>広島 589 う 703</t>
    <rPh sb="0" eb="2">
      <t>ヒロシマ</t>
    </rPh>
    <phoneticPr fontId="13"/>
  </si>
  <si>
    <t>田中 奈緒美</t>
    <rPh sb="0" eb="2">
      <t>タナカ</t>
    </rPh>
    <rPh sb="3" eb="6">
      <t>ナオミ</t>
    </rPh>
    <phoneticPr fontId="13"/>
  </si>
  <si>
    <t>整備手帳 取説 ﾅﾋﾞ取(車内)ｷｰﾚｽ</t>
    <rPh sb="0" eb="4">
      <t>セイビテチョウ</t>
    </rPh>
    <rPh sb="5" eb="7">
      <t>トリセツ</t>
    </rPh>
    <rPh sb="11" eb="12">
      <t>トリ</t>
    </rPh>
    <rPh sb="13" eb="15">
      <t>シャナイ</t>
    </rPh>
    <phoneticPr fontId="13"/>
  </si>
  <si>
    <t>島根 581 か 7448</t>
    <rPh sb="0" eb="2">
      <t>シマネ</t>
    </rPh>
    <phoneticPr fontId="13"/>
  </si>
  <si>
    <t>株式会社ｽｽﾞｷ自販島根</t>
    <rPh sb="0" eb="4">
      <t>カブシキガイシャ</t>
    </rPh>
    <rPh sb="9" eb="11">
      <t>シマネ</t>
    </rPh>
    <phoneticPr fontId="13"/>
  </si>
  <si>
    <t>岡山 584 ろ 3353</t>
    <rPh sb="0" eb="2">
      <t>オカヤマ</t>
    </rPh>
    <phoneticPr fontId="13"/>
  </si>
  <si>
    <t>3./3</t>
    <phoneticPr fontId="13"/>
  </si>
  <si>
    <t xml:space="preserve">地図SD(車内)取説 ﾅﾋﾞ取 </t>
    <rPh sb="8" eb="10">
      <t>トリセツ</t>
    </rPh>
    <rPh sb="14" eb="15">
      <t>トリ</t>
    </rPh>
    <phoneticPr fontId="13"/>
  </si>
  <si>
    <t>倉敷 580 こ 596</t>
    <rPh sb="0" eb="2">
      <t>クラシキ</t>
    </rPh>
    <phoneticPr fontId="13"/>
  </si>
  <si>
    <t>横浜 364 つ 35</t>
    <rPh sb="0" eb="2">
      <t>ヨコハマ</t>
    </rPh>
    <phoneticPr fontId="13"/>
  </si>
  <si>
    <t>27-3354</t>
  </si>
  <si>
    <t>27-3355</t>
  </si>
  <si>
    <t>27-3356</t>
  </si>
  <si>
    <t>27-3357</t>
  </si>
  <si>
    <t>27-3358</t>
  </si>
  <si>
    <t>27-3359</t>
  </si>
  <si>
    <t>27-3360</t>
  </si>
  <si>
    <t>27-3361</t>
  </si>
  <si>
    <t>27-3362</t>
  </si>
  <si>
    <t>27-3363</t>
  </si>
  <si>
    <t>27-3364</t>
  </si>
  <si>
    <t>27-3365</t>
  </si>
  <si>
    <t>27-3366</t>
  </si>
  <si>
    <t>27-3367</t>
  </si>
  <si>
    <t>MﾍﾞﾝﾂGLA180　BSG　AMGﾗｲﾝP</t>
    <phoneticPr fontId="13"/>
  </si>
  <si>
    <t>ｸﾗｲｽﾗｰｼﾞｰﾌﾟ　Jﾗﾝｸﾞﾗｰｱﾝﾘﾐﾃｯﾄﾞ　ｻﾊﾗ</t>
    <phoneticPr fontId="13"/>
  </si>
  <si>
    <t>W1N2477842J583580</t>
    <phoneticPr fontId="13"/>
  </si>
  <si>
    <t>9/8/27</t>
    <phoneticPr fontId="13"/>
  </si>
  <si>
    <t>千葉　302　る　9913</t>
    <rPh sb="0" eb="2">
      <t>チバ</t>
    </rPh>
    <phoneticPr fontId="13"/>
  </si>
  <si>
    <t>1C4HJXLG7KW559305</t>
    <phoneticPr fontId="13"/>
  </si>
  <si>
    <t>8/10/2</t>
    <phoneticPr fontId="13"/>
  </si>
  <si>
    <t>柏　300　の　8231</t>
    <rPh sb="0" eb="1">
      <t>カシワ</t>
    </rPh>
    <phoneticPr fontId="13"/>
  </si>
  <si>
    <t>NKE165-7237480</t>
    <phoneticPr fontId="13"/>
  </si>
  <si>
    <t>LA350S-0400356</t>
    <phoneticPr fontId="13"/>
  </si>
  <si>
    <t>LA350S-0334373</t>
    <phoneticPr fontId="13"/>
  </si>
  <si>
    <t>LA800S-0179750</t>
    <phoneticPr fontId="13"/>
  </si>
  <si>
    <t>L375S-0611641</t>
    <phoneticPr fontId="13"/>
  </si>
  <si>
    <t>ﾐﾗｼﾞｰﾉ　ﾐﾆﾗｲﾄ</t>
    <phoneticPr fontId="13"/>
  </si>
  <si>
    <t>L650S-0030863</t>
    <phoneticPr fontId="13"/>
  </si>
  <si>
    <t>LA350S-0334991</t>
    <phoneticPr fontId="13"/>
  </si>
  <si>
    <t>LA150S-2114237</t>
    <phoneticPr fontId="13"/>
  </si>
  <si>
    <t>VWｺﾞﾙﾌｵｰﾙﾄﾗｯｸ　TSI4ﾓｰｼｮﾝ</t>
    <phoneticPr fontId="13"/>
  </si>
  <si>
    <t>ﾌﾟﾘｳｽ　Aﾌﾟﾚﾐｱﾑ　ﾂｰﾘﾝｸﾞｾﾚｸｼｮﾝ</t>
    <phoneticPr fontId="13"/>
  </si>
  <si>
    <t>ZVW51-8032511</t>
    <phoneticPr fontId="13"/>
  </si>
  <si>
    <t>27-3368</t>
  </si>
  <si>
    <t>27-3369</t>
  </si>
  <si>
    <t>27-3370</t>
  </si>
  <si>
    <t>27-3371</t>
  </si>
  <si>
    <t>27-3372</t>
  </si>
  <si>
    <t>27-3373</t>
  </si>
  <si>
    <t>N　BOX+ｶｽﾀﾑ　G　Lﾊﾟｯｹｰｼﾞ</t>
    <phoneticPr fontId="13"/>
  </si>
  <si>
    <t>JF1-3500064</t>
    <phoneticPr fontId="13"/>
  </si>
  <si>
    <t>MH95S-234640</t>
    <phoneticPr fontId="13"/>
  </si>
  <si>
    <t>BMWﾐﾆ　ｸｰﾊﾟｰSｸﾗﾌﾞﾏﾝ　ｵｰﾙ4</t>
    <phoneticPr fontId="13"/>
  </si>
  <si>
    <t>HE33S-200911</t>
    <phoneticPr fontId="13"/>
  </si>
  <si>
    <t>VWｺﾞﾙﾌｳﾞｧﾘｱﾝﾄ　TSIﾊｲﾗｲﾝ</t>
    <phoneticPr fontId="13"/>
  </si>
  <si>
    <t>ﾎﾞﾙﾎﾞV60　D4　SE</t>
    <phoneticPr fontId="13"/>
  </si>
  <si>
    <t>ﾎﾞﾙﾎﾞV40</t>
    <phoneticPr fontId="13"/>
  </si>
  <si>
    <t>27-3374</t>
  </si>
  <si>
    <t>MﾍﾞﾝﾂCLA200ｄ　AMGﾗｲﾝ</t>
    <phoneticPr fontId="13"/>
  </si>
  <si>
    <t>和歌山　333　つ　305</t>
    <rPh sb="0" eb="3">
      <t>ワカヤマ</t>
    </rPh>
    <phoneticPr fontId="13"/>
  </si>
  <si>
    <t>WVWZZZAUZJP588811</t>
    <phoneticPr fontId="13"/>
  </si>
  <si>
    <t>徳島　300　の　8364</t>
    <rPh sb="0" eb="2">
      <t>トクシマ</t>
    </rPh>
    <phoneticPr fontId="13"/>
  </si>
  <si>
    <t>ﾊﾟｰﾌﾟﾙⅡ</t>
    <phoneticPr fontId="13"/>
  </si>
  <si>
    <t>広島　583　す　1716</t>
    <rPh sb="0" eb="2">
      <t>ヒロシマ</t>
    </rPh>
    <phoneticPr fontId="13"/>
  </si>
  <si>
    <t>福山　580　わ　3578</t>
    <rPh sb="0" eb="2">
      <t>フクヤマ</t>
    </rPh>
    <phoneticPr fontId="13"/>
  </si>
  <si>
    <t>WMWXJ120202P29679</t>
    <phoneticPr fontId="13"/>
  </si>
  <si>
    <t>WVWZZZAUZKP521718</t>
    <phoneticPr fontId="13"/>
  </si>
  <si>
    <t>YV1FWA8RDH1357544</t>
    <phoneticPr fontId="13"/>
  </si>
  <si>
    <t>YV1MVA8RDJ2473078</t>
    <phoneticPr fontId="13"/>
  </si>
  <si>
    <t>27-3375</t>
  </si>
  <si>
    <t>27-3376</t>
  </si>
  <si>
    <t>S321V-0520446</t>
    <phoneticPr fontId="13"/>
  </si>
  <si>
    <t xml:space="preserve">CX3 XD </t>
    <phoneticPr fontId="13"/>
  </si>
  <si>
    <t>DK5FW-203285</t>
    <phoneticPr fontId="13"/>
  </si>
  <si>
    <t>株式会社ﾜｰﾙﾄﾞﾓｰﾀｰｽｸﾞﾙｰﾌﾟ</t>
    <rPh sb="0" eb="4">
      <t>カブシキガイシャ</t>
    </rPh>
    <phoneticPr fontId="13"/>
  </si>
  <si>
    <t>株式会社ｽｽﾞｷ中兵庫販売</t>
    <rPh sb="0" eb="4">
      <t>カブシキガイシャ</t>
    </rPh>
    <rPh sb="8" eb="9">
      <t>ナカ</t>
    </rPh>
    <rPh sb="9" eb="11">
      <t>ヒョウゴ</t>
    </rPh>
    <rPh sb="11" eb="13">
      <t>ハンバイ</t>
    </rPh>
    <phoneticPr fontId="13"/>
  </si>
  <si>
    <t>保証書 取説  ﾚﾝﾀｶｰ</t>
    <rPh sb="0" eb="3">
      <t>ホショウショ</t>
    </rPh>
    <rPh sb="4" eb="6">
      <t>トリセツ</t>
    </rPh>
    <phoneticPr fontId="13"/>
  </si>
  <si>
    <t>愛媛 581 て 4931</t>
    <rPh sb="0" eb="2">
      <t>エヒメ</t>
    </rPh>
    <phoneticPr fontId="13"/>
  </si>
  <si>
    <t>地図SD(車内)保証書 取説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</si>
  <si>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株式会社豊和自動車</t>
    <rPh sb="0" eb="4">
      <t>カブシキガイシャ</t>
    </rPh>
    <rPh sb="4" eb="6">
      <t>トヨカズ</t>
    </rPh>
    <rPh sb="6" eb="9">
      <t>ジドウシャ</t>
    </rPh>
    <phoneticPr fontId="13"/>
  </si>
  <si>
    <t>奈良 782 ち 1010</t>
    <rPh sb="0" eb="2">
      <t>ナラ</t>
    </rPh>
    <phoneticPr fontId="13"/>
  </si>
  <si>
    <t>堺 586 ろ 4118</t>
    <rPh sb="0" eb="1">
      <t>サカイ</t>
    </rPh>
    <phoneticPr fontId="13"/>
  </si>
  <si>
    <t>岡山 338 た 527</t>
    <rPh sb="0" eb="2">
      <t>オカヤマ</t>
    </rPh>
    <phoneticPr fontId="13"/>
  </si>
  <si>
    <t>清水 和夫</t>
    <rPh sb="0" eb="2">
      <t>シミズ</t>
    </rPh>
    <rPh sb="3" eb="5">
      <t>カズオ</t>
    </rPh>
    <phoneticPr fontId="13"/>
  </si>
  <si>
    <t>春日井 582 ろ 9027</t>
    <rPh sb="0" eb="3">
      <t>カスガイ</t>
    </rPh>
    <phoneticPr fontId="13"/>
  </si>
  <si>
    <t>溝尾 勝利</t>
    <rPh sb="0" eb="2">
      <t>ミゾオ</t>
    </rPh>
    <rPh sb="3" eb="4">
      <t>カツ</t>
    </rPh>
    <rPh sb="4" eb="5">
      <t>トシ</t>
    </rPh>
    <phoneticPr fontId="13"/>
  </si>
  <si>
    <t>米村 賢二</t>
    <rPh sb="0" eb="2">
      <t>ヨネムラ</t>
    </rPh>
    <rPh sb="3" eb="5">
      <t>ケンジ</t>
    </rPh>
    <phoneticPr fontId="13"/>
  </si>
  <si>
    <t>福山 480 そ 9983</t>
    <rPh sb="0" eb="2">
      <t>フクヤマ</t>
    </rPh>
    <phoneticPr fontId="13"/>
  </si>
  <si>
    <t>河本 和也</t>
    <rPh sb="0" eb="2">
      <t>コウモト</t>
    </rPh>
    <rPh sb="3" eb="5">
      <t>カズヤ</t>
    </rPh>
    <phoneticPr fontId="13"/>
  </si>
  <si>
    <t>鳥取三菱自動車販売株式会社</t>
    <rPh sb="0" eb="2">
      <t>トットリ</t>
    </rPh>
    <rPh sb="2" eb="4">
      <t>ミツビシ</t>
    </rPh>
    <rPh sb="4" eb="13">
      <t>ジドウシャハンバイカブシキガイシャ</t>
    </rPh>
    <phoneticPr fontId="13"/>
  </si>
  <si>
    <t>広島 301 も 8108</t>
    <rPh sb="0" eb="2">
      <t>ヒロシマ</t>
    </rPh>
    <phoneticPr fontId="13"/>
  </si>
  <si>
    <t>春日井 399 つ 2843</t>
    <rPh sb="0" eb="3">
      <t>カスガイ</t>
    </rPh>
    <phoneticPr fontId="13"/>
  </si>
  <si>
    <t>福井 356 て 23</t>
    <rPh sb="0" eb="2">
      <t>フクイ</t>
    </rPh>
    <phoneticPr fontId="13"/>
  </si>
  <si>
    <t>岡崎 315 ね 8888</t>
    <rPh sb="0" eb="2">
      <t>オカザキ</t>
    </rPh>
    <phoneticPr fontId="13"/>
  </si>
  <si>
    <t>ﾌﾟﾚﾐｱ株式会社</t>
    <rPh sb="5" eb="7">
      <t>カブシキ</t>
    </rPh>
    <rPh sb="7" eb="9">
      <t>カイシャ</t>
    </rPh>
    <phoneticPr fontId="13"/>
  </si>
  <si>
    <t>長野 301 す 159</t>
    <rPh sb="0" eb="2">
      <t>ナガノ</t>
    </rPh>
    <phoneticPr fontId="13"/>
  </si>
  <si>
    <t>長野ﾄﾖﾀ自動車株式会社</t>
    <rPh sb="0" eb="2">
      <t>ナガノ</t>
    </rPh>
    <rPh sb="5" eb="12">
      <t>ジドウシャカブシキガイシャ</t>
    </rPh>
    <phoneticPr fontId="13"/>
  </si>
  <si>
    <t>株式会社ABEMOTORS</t>
    <rPh sb="0" eb="4">
      <t>カブシキカイシャ</t>
    </rPh>
    <phoneticPr fontId="13"/>
  </si>
  <si>
    <t>野田 330 と 5417</t>
    <rPh sb="0" eb="2">
      <t>ノダ</t>
    </rPh>
    <phoneticPr fontId="13"/>
  </si>
  <si>
    <t>株式会社千葉ﾏﾂﾀﾞ</t>
    <rPh sb="0" eb="4">
      <t>カブシキカイシャ</t>
    </rPh>
    <rPh sb="4" eb="6">
      <t>チバ</t>
    </rPh>
    <phoneticPr fontId="13"/>
  </si>
  <si>
    <t>徳島 580 ほ 5640</t>
    <rPh sb="0" eb="2">
      <t>トクシマ</t>
    </rPh>
    <phoneticPr fontId="13"/>
  </si>
  <si>
    <t>株式会社ﾎﾝﾀﾞ北徳島</t>
    <rPh sb="0" eb="4">
      <t>カブシキカイシャ</t>
    </rPh>
    <rPh sb="8" eb="9">
      <t>キタ</t>
    </rPh>
    <rPh sb="9" eb="11">
      <t>トクシマ</t>
    </rPh>
    <phoneticPr fontId="13"/>
  </si>
  <si>
    <t>一宮 332 ち 930</t>
    <rPh sb="0" eb="2">
      <t>イチノミヤ</t>
    </rPh>
    <phoneticPr fontId="13"/>
  </si>
  <si>
    <t>水野 一也</t>
    <rPh sb="0" eb="2">
      <t>ミズノ</t>
    </rPh>
    <rPh sb="3" eb="5">
      <t>カズヤ</t>
    </rPh>
    <phoneticPr fontId="13"/>
  </si>
  <si>
    <t>富山 581 ち 4275</t>
    <rPh sb="0" eb="2">
      <t>トヤマ</t>
    </rPh>
    <phoneticPr fontId="13"/>
  </si>
  <si>
    <t>金山 樹美花</t>
    <rPh sb="0" eb="2">
      <t>カナヤマ</t>
    </rPh>
    <rPh sb="3" eb="4">
      <t>イツキ</t>
    </rPh>
    <rPh sb="4" eb="6">
      <t>ミカ</t>
    </rPh>
    <phoneticPr fontId="13"/>
  </si>
  <si>
    <t>広島 480 ね 1043</t>
    <rPh sb="0" eb="2">
      <t>ヒロシマ</t>
    </rPh>
    <phoneticPr fontId="13"/>
  </si>
  <si>
    <t>株式会社JANOH</t>
    <rPh sb="0" eb="4">
      <t>カブシキカイシャ</t>
    </rPh>
    <phoneticPr fontId="13"/>
  </si>
  <si>
    <t>横浜 335 ち 2525</t>
    <rPh sb="0" eb="2">
      <t>ヨコハマ</t>
    </rPh>
    <phoneticPr fontId="13"/>
  </si>
  <si>
    <t>野﨑 卓朗</t>
    <rPh sb="0" eb="2">
      <t>ノザキ</t>
    </rPh>
    <rPh sb="3" eb="4">
      <t>タク</t>
    </rPh>
    <rPh sb="4" eb="5">
      <t>ロウ</t>
    </rPh>
    <phoneticPr fontId="13"/>
  </si>
  <si>
    <t>練馬 342 に 126</t>
    <rPh sb="0" eb="2">
      <t>ネリマ</t>
    </rPh>
    <phoneticPr fontId="13"/>
  </si>
  <si>
    <t>株式会社関西ﾏﾂﾀﾞ</t>
    <rPh sb="0" eb="4">
      <t>カブシキカイシャ</t>
    </rPh>
    <rPh sb="4" eb="6">
      <t>カンサイ</t>
    </rPh>
    <phoneticPr fontId="13"/>
  </si>
  <si>
    <t>高松 581 ろ 4004</t>
    <rPh sb="0" eb="2">
      <t>タカマツ</t>
    </rPh>
    <phoneticPr fontId="13"/>
  </si>
  <si>
    <t>株式会社ﾊﾞｼﾞｪｯﾄ・ﾚﾝﾀｶｰ四国</t>
    <rPh sb="0" eb="4">
      <t>カブシキカイシャ</t>
    </rPh>
    <rPh sb="17" eb="19">
      <t>シコク</t>
    </rPh>
    <phoneticPr fontId="13"/>
  </si>
  <si>
    <t>春日井 582 ろ 9125</t>
    <rPh sb="0" eb="3">
      <t>カスガイ</t>
    </rPh>
    <phoneticPr fontId="13"/>
  </si>
  <si>
    <t>株式会社ｺﾞﾄｳｽﾊﾞﾙ</t>
    <rPh sb="0" eb="4">
      <t>カブシキカイシャ</t>
    </rPh>
    <phoneticPr fontId="13"/>
  </si>
  <si>
    <t>株式会社ｵﾘｺｵｰﾄﾘｰｽ</t>
    <rPh sb="0" eb="4">
      <t>カブシキカイシャ</t>
    </rPh>
    <phoneticPr fontId="13"/>
  </si>
  <si>
    <t>尾張小牧 581 な 5419</t>
    <rPh sb="0" eb="4">
      <t>オワリコマキ</t>
    </rPh>
    <phoneticPr fontId="13"/>
  </si>
  <si>
    <t>株式会社ｶｰｴｽｲﾉﾍﾞｰｼｮﾝ</t>
    <rPh sb="0" eb="4">
      <t>カブシキカイシャ</t>
    </rPh>
    <phoneticPr fontId="13"/>
  </si>
  <si>
    <t>和泉 581 は 5080</t>
    <rPh sb="0" eb="2">
      <t>イズミ</t>
    </rPh>
    <phoneticPr fontId="13"/>
  </si>
  <si>
    <t>株式会社ﾎﾝﾀﾞ泉州販売</t>
    <rPh sb="0" eb="4">
      <t>カブシキカイシャ</t>
    </rPh>
    <rPh sb="8" eb="12">
      <t>センシュウハンバイ</t>
    </rPh>
    <phoneticPr fontId="13"/>
  </si>
  <si>
    <t>和泉 587 る 1024</t>
    <rPh sb="0" eb="2">
      <t>イズミ</t>
    </rPh>
    <phoneticPr fontId="13"/>
  </si>
  <si>
    <t>なにわ 5P9 ろ 9208</t>
    <phoneticPr fontId="13"/>
  </si>
  <si>
    <t>株式会社はなまる</t>
    <rPh sb="0" eb="4">
      <t>カブシキカイシャ</t>
    </rPh>
    <phoneticPr fontId="13"/>
  </si>
  <si>
    <t>大阪 583 た 3123</t>
    <rPh sb="0" eb="2">
      <t>オオサカ</t>
    </rPh>
    <phoneticPr fontId="13"/>
  </si>
  <si>
    <t>株式会社ｶｰﾁｽ</t>
    <rPh sb="0" eb="4">
      <t>カブシキカイシャ</t>
    </rPh>
    <phoneticPr fontId="13"/>
  </si>
  <si>
    <t>田谷 文孝</t>
    <rPh sb="0" eb="2">
      <t>タタニ</t>
    </rPh>
    <rPh sb="3" eb="5">
      <t>フミタカ</t>
    </rPh>
    <phoneticPr fontId="13"/>
  </si>
  <si>
    <t>保証書2個 取説(車内)ｷｰﾚｽ</t>
    <rPh sb="0" eb="3">
      <t>ホショウショ</t>
    </rPh>
    <rPh sb="4" eb="5">
      <t>コ</t>
    </rPh>
    <rPh sb="6" eb="8">
      <t>トリセツ</t>
    </rPh>
    <phoneticPr fontId="13"/>
  </si>
  <si>
    <t>SD ｷｰﾚｽ</t>
    <phoneticPr fontId="13"/>
  </si>
  <si>
    <t>ｼｬﾊﾞｽﾞ ﾑﾊﾏﾄﾞ</t>
    <phoneticPr fontId="13"/>
  </si>
  <si>
    <t>林 明子</t>
    <rPh sb="0" eb="1">
      <t>ハヤシ</t>
    </rPh>
    <rPh sb="2" eb="4">
      <t>アキコ</t>
    </rPh>
    <phoneticPr fontId="13"/>
  </si>
  <si>
    <t>作本 治則</t>
    <rPh sb="0" eb="2">
      <t>サクモト</t>
    </rPh>
    <rPh sb="3" eb="4">
      <t>ナオ</t>
    </rPh>
    <rPh sb="4" eb="5">
      <t>ノリ</t>
    </rPh>
    <phoneticPr fontId="13"/>
  </si>
  <si>
    <t>福山 583 ろ 705</t>
    <rPh sb="0" eb="2">
      <t>フクヤマ</t>
    </rPh>
    <phoneticPr fontId="13"/>
  </si>
  <si>
    <t>岡山 584 ろ 3068</t>
    <rPh sb="0" eb="2">
      <t>オカヤマ</t>
    </rPh>
    <phoneticPr fontId="13"/>
  </si>
  <si>
    <t>広島 581 く 9609</t>
    <rPh sb="0" eb="2">
      <t>ヒロシマ</t>
    </rPh>
    <phoneticPr fontId="13"/>
  </si>
  <si>
    <t>福山 583 く 2260</t>
    <rPh sb="0" eb="2">
      <t>フクヤマ</t>
    </rPh>
    <phoneticPr fontId="13"/>
  </si>
  <si>
    <t>岡山 788 ひ 77</t>
    <rPh sb="0" eb="2">
      <t>オカヤマ</t>
    </rPh>
    <phoneticPr fontId="13"/>
  </si>
  <si>
    <t>株式会社ｼﾃｨﾗｲﾄ</t>
    <rPh sb="0" eb="4">
      <t>カブシキカイシャ</t>
    </rPh>
    <phoneticPr fontId="13"/>
  </si>
  <si>
    <t>地図SD(車内)保証書 ｽﾍﾟｱｷｰ</t>
    <rPh sb="8" eb="11">
      <t>ホショウショ</t>
    </rPh>
    <phoneticPr fontId="13"/>
  </si>
  <si>
    <t>福山 354 す 9</t>
    <rPh sb="0" eb="2">
      <t>フクヤマ</t>
    </rPh>
    <phoneticPr fontId="13"/>
  </si>
  <si>
    <t>島根 599 ち 74</t>
    <rPh sb="0" eb="2">
      <t>シマネ</t>
    </rPh>
    <phoneticPr fontId="13"/>
  </si>
  <si>
    <t>ｷｬﾝｾﾙ返送3/5</t>
    <rPh sb="5" eb="7">
      <t>ヘンソウ</t>
    </rPh>
    <phoneticPr fontId="13"/>
  </si>
  <si>
    <t>582 う 3282</t>
    <phoneticPr fontId="13"/>
  </si>
  <si>
    <t>582 う 3284</t>
    <phoneticPr fontId="13"/>
  </si>
  <si>
    <t>582 う 3281</t>
    <phoneticPr fontId="13"/>
  </si>
  <si>
    <t>582 う 3283</t>
    <phoneticPr fontId="13"/>
  </si>
  <si>
    <t>ｸｲｯｸﾈｯﾄﾜｰｸ</t>
    <phoneticPr fontId="13"/>
  </si>
  <si>
    <t>HAA神戸(ﾜﾝｸﾘ)</t>
    <rPh sb="3" eb="5">
      <t>コウベ</t>
    </rPh>
    <phoneticPr fontId="13"/>
  </si>
  <si>
    <t>HAA神戸(ﾜﾝｸ)</t>
    <rPh sb="3" eb="5">
      <t>コウベ</t>
    </rPh>
    <phoneticPr fontId="13"/>
  </si>
  <si>
    <t>USS神戸(ﾜﾝｸﾘ)</t>
    <rPh sb="3" eb="5">
      <t>コウベ</t>
    </rPh>
    <phoneticPr fontId="13"/>
  </si>
  <si>
    <t>和泉 586 ろ 340</t>
    <rPh sb="0" eb="2">
      <t>イズミ</t>
    </rPh>
    <phoneticPr fontId="13"/>
  </si>
  <si>
    <t>株式会社ﾊﾟﾊﾟﾏﾏｶｰｽﾞ</t>
    <rPh sb="0" eb="4">
      <t>カブシキカイシャ</t>
    </rPh>
    <phoneticPr fontId="13"/>
  </si>
  <si>
    <t>3/5</t>
    <phoneticPr fontId="13"/>
  </si>
  <si>
    <t>保証書 取説 ｽﾍﾟｱｷｰ SD</t>
    <rPh sb="0" eb="3">
      <t>ホショウショ</t>
    </rPh>
    <rPh sb="4" eb="6">
      <t>トリセツ</t>
    </rPh>
    <phoneticPr fontId="13"/>
  </si>
  <si>
    <t>保証書</t>
    <rPh sb="0" eb="3">
      <t>ホショウショ</t>
    </rPh>
    <phoneticPr fontId="13"/>
  </si>
  <si>
    <t>保証書 ｷｰﾚｽ ﾚﾝﾀｶｰ</t>
    <rPh sb="0" eb="3">
      <t>ホショウショ</t>
    </rPh>
    <phoneticPr fontId="13"/>
  </si>
  <si>
    <t>重複27-3251</t>
    <rPh sb="0" eb="2">
      <t>ジュウフク</t>
    </rPh>
    <phoneticPr fontId="13"/>
  </si>
  <si>
    <t>重複</t>
    <rPh sb="0" eb="2">
      <t>ジュウフク</t>
    </rPh>
    <phoneticPr fontId="13"/>
  </si>
  <si>
    <t>重複27-3252</t>
    <rPh sb="0" eb="2">
      <t>ジュウフク</t>
    </rPh>
    <phoneticPr fontId="13"/>
  </si>
  <si>
    <t>重複27-3253</t>
    <rPh sb="0" eb="2">
      <t>ジュウフク</t>
    </rPh>
    <phoneticPr fontId="13"/>
  </si>
  <si>
    <t>重複27-3254</t>
    <rPh sb="0" eb="2">
      <t>ジュウフク</t>
    </rPh>
    <phoneticPr fontId="13"/>
  </si>
  <si>
    <t>ZiP大阪</t>
    <rPh sb="3" eb="5">
      <t>オオサカ</t>
    </rPh>
    <phoneticPr fontId="13"/>
  </si>
  <si>
    <t>なにわ 59C と 7526</t>
    <phoneticPr fontId="13"/>
  </si>
  <si>
    <t>株式会社ｶｰﾈｸｽﾄ</t>
    <rPh sb="0" eb="4">
      <t>カブシキカイシャ</t>
    </rPh>
    <phoneticPr fontId="13"/>
  </si>
  <si>
    <t>3/6</t>
    <phoneticPr fontId="13"/>
  </si>
  <si>
    <t xml:space="preserve">SD </t>
    <phoneticPr fontId="13"/>
  </si>
  <si>
    <t>富士山 594 け 3588</t>
    <rPh sb="0" eb="3">
      <t>フジサン</t>
    </rPh>
    <phoneticPr fontId="13"/>
  </si>
  <si>
    <t>株式会社ｼﾞｬｯｸｽ</t>
    <rPh sb="0" eb="4">
      <t>カブシキカイシャ</t>
    </rPh>
    <phoneticPr fontId="13"/>
  </si>
  <si>
    <t>保証書 取説 ﾜﾝｵｰﾅｰ  ｷｰﾚｽ</t>
    <rPh sb="0" eb="3">
      <t>ホショウショ</t>
    </rPh>
    <rPh sb="4" eb="6">
      <t>トリセツ</t>
    </rPh>
    <phoneticPr fontId="13"/>
  </si>
  <si>
    <t>広島 541 た 1023</t>
    <rPh sb="0" eb="2">
      <t>ヒロシマ</t>
    </rPh>
    <phoneticPr fontId="13"/>
  </si>
  <si>
    <t>砂原 裕子</t>
    <rPh sb="0" eb="2">
      <t>スナハラ</t>
    </rPh>
    <rPh sb="3" eb="5">
      <t>ユウコ</t>
    </rPh>
    <phoneticPr fontId="13"/>
  </si>
  <si>
    <t>保証書 取説 ﾅﾋﾞ取 ｽﾍﾟｱｷｰ ﾏｲｸﾛ地図SD</t>
    <rPh sb="0" eb="3">
      <t>ホショウショ</t>
    </rPh>
    <rPh sb="4" eb="6">
      <t>トリセツ</t>
    </rPh>
    <rPh sb="10" eb="11">
      <t>トリ</t>
    </rPh>
    <rPh sb="23" eb="25">
      <t>チズ</t>
    </rPh>
    <phoneticPr fontId="13"/>
  </si>
  <si>
    <t>筑豊 430 た 727</t>
    <rPh sb="0" eb="2">
      <t>チクホウ</t>
    </rPh>
    <phoneticPr fontId="13"/>
  </si>
  <si>
    <t>ﾈｯﾂﾄﾖﾀ北九州株式会社</t>
    <rPh sb="6" eb="9">
      <t>キタキュウシュウ</t>
    </rPh>
    <rPh sb="9" eb="13">
      <t>カブシキカイシャ</t>
    </rPh>
    <phoneticPr fontId="13"/>
  </si>
  <si>
    <t>熊本 301 ひ 6093</t>
    <rPh sb="0" eb="2">
      <t>クマモト</t>
    </rPh>
    <phoneticPr fontId="13"/>
  </si>
  <si>
    <t>株式会社ｵﾘｴﾝﾄｺｰﾎﾟﾚｰｼｮﾝ</t>
    <rPh sb="0" eb="4">
      <t>カブシキカイシャ</t>
    </rPh>
    <phoneticPr fontId="13"/>
  </si>
  <si>
    <t>姫路 399 な 4531</t>
    <rPh sb="0" eb="2">
      <t>ヒメジ</t>
    </rPh>
    <phoneticPr fontId="13"/>
  </si>
  <si>
    <t>株式会社ｶｰﾁｽ</t>
    <rPh sb="0" eb="4">
      <t>カブシキカイシャ</t>
    </rPh>
    <phoneticPr fontId="13"/>
  </si>
  <si>
    <t>保証書 取説 ﾅﾋﾞ取 ｷｰﾚｽ ﾏｲｸﾛ地図SD</t>
    <rPh sb="0" eb="3">
      <t>ホショウショ</t>
    </rPh>
    <rPh sb="4" eb="6">
      <t>トリセツ</t>
    </rPh>
    <rPh sb="10" eb="11">
      <t>トリ</t>
    </rPh>
    <rPh sb="21" eb="23">
      <t>チズ</t>
    </rPh>
    <phoneticPr fontId="13"/>
  </si>
  <si>
    <t>なにわ 5P9 ろ 9935</t>
    <phoneticPr fontId="13"/>
  </si>
  <si>
    <t>ｵﾘｯｸｽ自動車株式会社</t>
    <rPh sb="5" eb="12">
      <t>ジドウシャカブシキガイシャ</t>
    </rPh>
    <phoneticPr fontId="13"/>
  </si>
  <si>
    <t>なにわ 5P9 ろ 9934</t>
    <phoneticPr fontId="13"/>
  </si>
  <si>
    <t>長野 580 わ 2854</t>
    <rPh sb="0" eb="2">
      <t>ナガノ</t>
    </rPh>
    <phoneticPr fontId="13"/>
  </si>
  <si>
    <t>株式会社ﾀｶｻﾜ</t>
    <rPh sb="0" eb="4">
      <t>カブシキガイシャ</t>
    </rPh>
    <phoneticPr fontId="13"/>
  </si>
  <si>
    <t>長野 580 わ 2871</t>
    <rPh sb="0" eb="2">
      <t>ナガノ</t>
    </rPh>
    <phoneticPr fontId="13"/>
  </si>
  <si>
    <t>三河 581 つ 8534</t>
    <rPh sb="0" eb="2">
      <t>ミカワ</t>
    </rPh>
    <phoneticPr fontId="13"/>
  </si>
  <si>
    <t>株式会社ﾔﾏﾐ企業</t>
    <rPh sb="0" eb="4">
      <t>カブシキガイシャ</t>
    </rPh>
    <rPh sb="7" eb="9">
      <t>キギョウ</t>
    </rPh>
    <phoneticPr fontId="13"/>
  </si>
  <si>
    <t>SD ﾏｲｸﾛSD</t>
    <phoneticPr fontId="13"/>
  </si>
  <si>
    <t>株式会社ﾎﾝﾀﾞﾌｧｲﾅﾝｽ</t>
    <rPh sb="0" eb="4">
      <t>カブシキガイシャ</t>
    </rPh>
    <phoneticPr fontId="13"/>
  </si>
  <si>
    <t>保証書 取説 (車内)ｷｰﾚｽ</t>
    <rPh sb="0" eb="3">
      <t>ホショウショ</t>
    </rPh>
    <rPh sb="4" eb="6">
      <t>トリセツ</t>
    </rPh>
    <phoneticPr fontId="13"/>
  </si>
  <si>
    <t>広島 340 は 3030</t>
    <rPh sb="0" eb="2">
      <t>ヒロシマ</t>
    </rPh>
    <phoneticPr fontId="13"/>
  </si>
  <si>
    <t>呉田 雅文</t>
    <rPh sb="0" eb="1">
      <t>クレ</t>
    </rPh>
    <rPh sb="1" eb="2">
      <t>タ</t>
    </rPh>
    <rPh sb="3" eb="5">
      <t>マサフミ</t>
    </rPh>
    <phoneticPr fontId="13"/>
  </si>
  <si>
    <t>出雲 580 か 48</t>
    <rPh sb="0" eb="2">
      <t>イヅモ</t>
    </rPh>
    <phoneticPr fontId="13"/>
  </si>
  <si>
    <t>西日本三菱自動車株式会社 山陰営業部</t>
    <rPh sb="0" eb="12">
      <t>ニシニホンミツビシジドウシャカブシキガイシャ</t>
    </rPh>
    <rPh sb="13" eb="15">
      <t>サンイン</t>
    </rPh>
    <rPh sb="15" eb="18">
      <t>エイギョウブ</t>
    </rPh>
    <phoneticPr fontId="13"/>
  </si>
  <si>
    <t>保証書 取説 ﾅﾝﾊﾞｰ</t>
    <rPh sb="0" eb="3">
      <t>ホショウショ</t>
    </rPh>
    <rPh sb="4" eb="6">
      <t>トリセツ</t>
    </rPh>
    <phoneticPr fontId="13"/>
  </si>
  <si>
    <t>練馬 333 す 3298</t>
    <rPh sb="0" eb="2">
      <t>ネリマ</t>
    </rPh>
    <phoneticPr fontId="13"/>
  </si>
  <si>
    <t>株式会社三恵ﾎﾝﾀﾞ販売</t>
    <rPh sb="0" eb="4">
      <t>カブシキガイシャ</t>
    </rPh>
    <rPh sb="4" eb="5">
      <t>ミ</t>
    </rPh>
    <rPh sb="5" eb="6">
      <t>メグミ</t>
    </rPh>
    <rPh sb="10" eb="12">
      <t>ハンバイ</t>
    </rPh>
    <phoneticPr fontId="13"/>
  </si>
  <si>
    <t>保証書 取説 ｷｰﾚｽ ﾜﾝｵｰﾅｰ</t>
    <rPh sb="0" eb="3">
      <t>ホショウショ</t>
    </rPh>
    <rPh sb="4" eb="6">
      <t>トリセツ</t>
    </rPh>
    <phoneticPr fontId="13"/>
  </si>
  <si>
    <t>横浜 39Ａ ら 8585</t>
    <rPh sb="0" eb="2">
      <t>ヨコハマ</t>
    </rPh>
    <phoneticPr fontId="13"/>
  </si>
  <si>
    <t>株式会社ﾔﾅｾ</t>
    <rPh sb="0" eb="4">
      <t>カブシキガイシャ</t>
    </rPh>
    <phoneticPr fontId="13"/>
  </si>
  <si>
    <t>ﾔﾅｾｵｰﾄﾓｰﾃｨﾌﾞ株式会社</t>
    <rPh sb="12" eb="16">
      <t>カブシキガイシャ</t>
    </rPh>
    <phoneticPr fontId="13"/>
  </si>
  <si>
    <t>WDD1183122N019831</t>
    <phoneticPr fontId="13"/>
  </si>
  <si>
    <t>清水 俊材</t>
    <rPh sb="0" eb="2">
      <t>シミズ</t>
    </rPh>
    <rPh sb="3" eb="4">
      <t>シュン</t>
    </rPh>
    <rPh sb="4" eb="5">
      <t>ザイ</t>
    </rPh>
    <phoneticPr fontId="13"/>
  </si>
  <si>
    <t>582 う 3424</t>
    <phoneticPr fontId="13"/>
  </si>
  <si>
    <t>480 ね 4554</t>
    <phoneticPr fontId="13"/>
  </si>
  <si>
    <t>582 う 3423</t>
    <phoneticPr fontId="13"/>
  </si>
  <si>
    <t>582 う 3422</t>
    <phoneticPr fontId="13"/>
  </si>
  <si>
    <t>582 う 3420</t>
    <phoneticPr fontId="13"/>
  </si>
  <si>
    <t>582 う 3419</t>
    <phoneticPr fontId="13"/>
  </si>
  <si>
    <t>582 う 3418</t>
    <phoneticPr fontId="13"/>
  </si>
  <si>
    <t>582 う 3417</t>
    <phoneticPr fontId="13"/>
  </si>
  <si>
    <t>地図SD(車内)</t>
    <rPh sb="0" eb="2">
      <t>チズ</t>
    </rPh>
    <rPh sb="5" eb="7">
      <t>シャナイ</t>
    </rPh>
    <phoneticPr fontId="13"/>
  </si>
  <si>
    <t>ﾏｲｸﾛ地図SD(車内)</t>
    <phoneticPr fontId="13"/>
  </si>
  <si>
    <r>
      <t>地図SD(車内)保証書 取説 ｷｰﾚｽ</t>
    </r>
    <r>
      <rPr>
        <sz val="11"/>
        <color rgb="FFFF0000"/>
        <rFont val="ＭＳ Ｐゴシック"/>
        <family val="3"/>
        <charset val="128"/>
        <scheme val="minor"/>
      </rPr>
      <t xml:space="preserve"> </t>
    </r>
    <r>
      <rPr>
        <sz val="11"/>
        <color theme="3"/>
        <rFont val="ＭＳ Ｐゴシック"/>
        <family val="3"/>
        <charset val="128"/>
        <scheme val="minor"/>
      </rPr>
      <t>ﾜﾝｵｰﾅｰ×ｸﾚｰﾑ済</t>
    </r>
    <rPh sb="8" eb="11">
      <t>ホショウショ</t>
    </rPh>
    <rPh sb="12" eb="14">
      <t>トリセツ</t>
    </rPh>
    <rPh sb="31" eb="32">
      <t>ズ</t>
    </rPh>
    <phoneticPr fontId="13"/>
  </si>
  <si>
    <t>取説 ｷｰﾚｽ2個(車内)</t>
    <rPh sb="0" eb="2">
      <t>トリセツ</t>
    </rPh>
    <rPh sb="8" eb="9">
      <t>コ</t>
    </rPh>
    <rPh sb="10" eb="12">
      <t>シャナイ</t>
    </rPh>
    <phoneticPr fontId="13"/>
  </si>
  <si>
    <t>ｽﾍﾟｱｷｰ(車内)保証書 取説</t>
    <rPh sb="6" eb="8">
      <t>シャナイ</t>
    </rPh>
    <rPh sb="8" eb="9">
      <t>）</t>
    </rPh>
    <rPh sb="9" eb="12">
      <t>ホショウショ</t>
    </rPh>
    <rPh sb="12" eb="14">
      <t>ホショウショ</t>
    </rPh>
    <rPh sb="14" eb="16">
      <t>トリセツ</t>
    </rPh>
    <phoneticPr fontId="13"/>
  </si>
  <si>
    <t>整備手帳(車内)</t>
    <rPh sb="0" eb="2">
      <t>セイビ</t>
    </rPh>
    <rPh sb="2" eb="4">
      <t>テチョウ</t>
    </rPh>
    <rPh sb="5" eb="7">
      <t>シャナイ</t>
    </rPh>
    <phoneticPr fontId="13"/>
  </si>
  <si>
    <t>取説ﾘﾓｺﾝ(車内)保証書 取説</t>
    <rPh sb="0" eb="2">
      <t>トリセツ</t>
    </rPh>
    <rPh sb="10" eb="13">
      <t>ホショウショ</t>
    </rPh>
    <rPh sb="14" eb="16">
      <t>トリセツ</t>
    </rPh>
    <phoneticPr fontId="13"/>
  </si>
  <si>
    <t>ｷｰﾚｽ ﾘﾓｺﾝ(車内)保証書 取説</t>
    <rPh sb="13" eb="16">
      <t>ホショウショ</t>
    </rPh>
    <rPh sb="17" eb="19">
      <t>トリセツ</t>
    </rPh>
    <phoneticPr fontId="13"/>
  </si>
  <si>
    <t>保証書 取説 ﾅﾋﾞ取 地図SD ﾚﾝﾀｶｰ</t>
    <rPh sb="0" eb="3">
      <t>ホショウショ</t>
    </rPh>
    <rPh sb="4" eb="6">
      <t>トリセツ</t>
    </rPh>
    <rPh sb="10" eb="11">
      <t>トリ</t>
    </rPh>
    <rPh sb="12" eb="14">
      <t>チズ</t>
    </rPh>
    <phoneticPr fontId="13"/>
  </si>
  <si>
    <t>三河 333 ほ 210</t>
    <rPh sb="0" eb="2">
      <t>ミカワ</t>
    </rPh>
    <phoneticPr fontId="13"/>
  </si>
  <si>
    <t>榊原 和浩</t>
    <rPh sb="0" eb="2">
      <t>サカキバラ</t>
    </rPh>
    <rPh sb="3" eb="4">
      <t>カズ</t>
    </rPh>
    <rPh sb="4" eb="5">
      <t>ヒロ</t>
    </rPh>
    <phoneticPr fontId="13"/>
  </si>
  <si>
    <t>W1K1771842J193719</t>
    <phoneticPr fontId="13"/>
  </si>
  <si>
    <t>金沢 332 も 828</t>
    <rPh sb="0" eb="2">
      <t>キムザワ</t>
    </rPh>
    <phoneticPr fontId="13"/>
  </si>
  <si>
    <t>株式会社ﾎﾝﾀﾞｶｰｽﾞ石川</t>
    <rPh sb="0" eb="4">
      <t>カブシキガイシャ</t>
    </rPh>
    <rPh sb="12" eb="14">
      <t>イシカワ</t>
    </rPh>
    <phoneticPr fontId="13"/>
  </si>
  <si>
    <t>WMWLV120402N04005</t>
    <phoneticPr fontId="13"/>
  </si>
  <si>
    <t>岸本様</t>
    <rPh sb="0" eb="2">
      <t>キシモト</t>
    </rPh>
    <rPh sb="2" eb="3">
      <t>サマ</t>
    </rPh>
    <phoneticPr fontId="13"/>
  </si>
  <si>
    <t>SALVA2AG4DH824111</t>
    <phoneticPr fontId="13"/>
  </si>
  <si>
    <t>9/7/13</t>
    <phoneticPr fontId="13"/>
  </si>
  <si>
    <t>神戸 335 ひ 993</t>
    <rPh sb="0" eb="2">
      <t>コウベ</t>
    </rPh>
    <phoneticPr fontId="13"/>
  </si>
  <si>
    <t>27-3377</t>
  </si>
  <si>
    <t>倉敷 531 そ 202</t>
    <rPh sb="0" eb="2">
      <t>クラシキ</t>
    </rPh>
    <phoneticPr fontId="13"/>
  </si>
  <si>
    <t>春日井 582 ろ 9376</t>
    <rPh sb="0" eb="3">
      <t>カスガイ</t>
    </rPh>
    <phoneticPr fontId="13"/>
  </si>
  <si>
    <t>愛媛 501 ま 745</t>
    <rPh sb="0" eb="2">
      <t>エヒメ</t>
    </rPh>
    <phoneticPr fontId="13"/>
  </si>
  <si>
    <t>えひめ南農業協同組合</t>
    <rPh sb="3" eb="4">
      <t>ミナミ</t>
    </rPh>
    <rPh sb="4" eb="6">
      <t>ノウギョウ</t>
    </rPh>
    <rPh sb="6" eb="10">
      <t>キョウドウクミアイ</t>
    </rPh>
    <phoneticPr fontId="13"/>
  </si>
  <si>
    <t>宮崎 330 ほ 2238</t>
    <rPh sb="0" eb="2">
      <t>ミヤザキ</t>
    </rPh>
    <phoneticPr fontId="13"/>
  </si>
  <si>
    <t>CAA中部</t>
    <rPh sb="3" eb="5">
      <t>チュウブ</t>
    </rPh>
    <phoneticPr fontId="13"/>
  </si>
  <si>
    <t>27-3378</t>
  </si>
  <si>
    <t>27-3379</t>
  </si>
  <si>
    <t>27-3380</t>
  </si>
  <si>
    <t>27-3381</t>
  </si>
  <si>
    <t>27-3382</t>
  </si>
  <si>
    <t>27-3383</t>
  </si>
  <si>
    <t>27-3384</t>
  </si>
  <si>
    <t>NV100ｸﾘｯﾊﾟｰﾊﾞﾝ DX</t>
    <phoneticPr fontId="13"/>
  </si>
  <si>
    <t>DR17V-653510</t>
    <phoneticPr fontId="13"/>
  </si>
  <si>
    <t>WMW42BT0903N10281</t>
    <phoneticPr fontId="13"/>
  </si>
  <si>
    <t>27-3385</t>
  </si>
  <si>
    <t>DA17W-213997</t>
    <phoneticPr fontId="13"/>
  </si>
  <si>
    <t>三河 581 つ 9100</t>
    <rPh sb="0" eb="2">
      <t>ミカワ</t>
    </rPh>
    <phoneticPr fontId="13"/>
  </si>
  <si>
    <t>ｳﾞｫｸｼｰ ZS煌</t>
    <rPh sb="9" eb="10">
      <t>キラ</t>
    </rPh>
    <phoneticPr fontId="13"/>
  </si>
  <si>
    <t>ZRR80-0160429</t>
    <phoneticPr fontId="13"/>
  </si>
  <si>
    <t>WMWXM520202A62386</t>
    <phoneticPr fontId="13"/>
  </si>
  <si>
    <t>福井 337 り 303</t>
    <rPh sb="0" eb="2">
      <t>フクイ</t>
    </rPh>
    <phoneticPr fontId="13"/>
  </si>
  <si>
    <t>BMW 2ｼﾘｰｽﾞ 218dｱｸﾃｨﾌﾞﾂｱﾗｰ</t>
    <phoneticPr fontId="13"/>
  </si>
  <si>
    <t>WBA6Z120507D96517</t>
    <phoneticPr fontId="13"/>
  </si>
  <si>
    <t>ｼﾄﾛｴﾝﾍﾞﾙﾗﾝｺﾞ ｼｬｲﾝXTRﾊﾟｯｸ</t>
    <phoneticPr fontId="13"/>
  </si>
  <si>
    <t>VR7ECYHZ3NJ781099</t>
    <phoneticPr fontId="13"/>
  </si>
  <si>
    <t>三重 348 む 666</t>
    <rPh sb="0" eb="2">
      <t>ミエ</t>
    </rPh>
    <phoneticPr fontId="13"/>
  </si>
  <si>
    <t>ZRR80-0146634</t>
    <phoneticPr fontId="13"/>
  </si>
  <si>
    <t>神戸 360 ひ 138</t>
    <rPh sb="0" eb="2">
      <t>コウベ</t>
    </rPh>
    <phoneticPr fontId="13"/>
  </si>
  <si>
    <t>BMWﾐﾆｸｰﾊﾟｰｸﾛｽｵｰﾊﾞｰ ﾎﾞｰﾄﾞｳｫｰｸ</t>
    <phoneticPr fontId="13"/>
  </si>
  <si>
    <t>和泉 482 ろ 9347</t>
    <rPh sb="0" eb="2">
      <t>イズミ</t>
    </rPh>
    <phoneticPr fontId="13"/>
  </si>
  <si>
    <t>取説 ﾅﾋﾞ取 ﾜﾝｵｰﾅｰ？</t>
    <rPh sb="0" eb="2">
      <t>トリセツ</t>
    </rPh>
    <rPh sb="6" eb="7">
      <t>トリ</t>
    </rPh>
    <phoneticPr fontId="13"/>
  </si>
  <si>
    <t>倉敷 580 ま 7879</t>
    <rPh sb="0" eb="2">
      <t>クラシキ</t>
    </rPh>
    <phoneticPr fontId="13"/>
  </si>
  <si>
    <t>保証書 地図SD SD ﾏｲｸﾛSD</t>
    <rPh sb="0" eb="3">
      <t>ホショウショ</t>
    </rPh>
    <rPh sb="4" eb="6">
      <t>チズ</t>
    </rPh>
    <phoneticPr fontId="13"/>
  </si>
  <si>
    <t>神戸 596 ろ 7977</t>
    <rPh sb="0" eb="2">
      <t>コウベ</t>
    </rPh>
    <phoneticPr fontId="13"/>
  </si>
  <si>
    <t>清水 博仁</t>
    <rPh sb="0" eb="2">
      <t>シミズ</t>
    </rPh>
    <rPh sb="3" eb="5">
      <t>ヒロヒト</t>
    </rPh>
    <phoneticPr fontId="13"/>
  </si>
  <si>
    <t>保証書 ﾅﾋﾞ取 ｷｰﾚｽ 取説</t>
    <rPh sb="0" eb="3">
      <t>ホショウショ</t>
    </rPh>
    <rPh sb="7" eb="8">
      <t>トリ</t>
    </rPh>
    <rPh sb="14" eb="16">
      <t>トリセツ</t>
    </rPh>
    <phoneticPr fontId="13"/>
  </si>
  <si>
    <t>神戸 332 と 1532</t>
    <rPh sb="0" eb="2">
      <t>コウベ</t>
    </rPh>
    <phoneticPr fontId="13"/>
  </si>
  <si>
    <t>神戸 39A た 3223</t>
    <rPh sb="0" eb="2">
      <t>コウベ</t>
    </rPh>
    <phoneticPr fontId="13"/>
  </si>
  <si>
    <t>品川 39A め 9011</t>
    <rPh sb="0" eb="2">
      <t>シナガワ</t>
    </rPh>
    <phoneticPr fontId="13"/>
  </si>
  <si>
    <t>大阪 399 ゆ 4059</t>
    <rPh sb="0" eb="2">
      <t>オオサカ</t>
    </rPh>
    <phoneticPr fontId="13"/>
  </si>
  <si>
    <t>植田 敬正</t>
    <rPh sb="0" eb="2">
      <t>ウエダ</t>
    </rPh>
    <rPh sb="3" eb="4">
      <t>ケイ</t>
    </rPh>
    <rPh sb="4" eb="5">
      <t>セイ</t>
    </rPh>
    <phoneticPr fontId="13"/>
  </si>
  <si>
    <t>冨永 佳隆</t>
    <rPh sb="0" eb="2">
      <t>トミナガ</t>
    </rPh>
    <rPh sb="3" eb="4">
      <t>カ</t>
    </rPh>
    <rPh sb="4" eb="5">
      <t>タカシ</t>
    </rPh>
    <phoneticPr fontId="13"/>
  </si>
  <si>
    <t>保証書 取説 ｷｰﾚｽ ﾅﾋﾞ取 B-CAS ﾏｲｸﾛSD2個</t>
    <rPh sb="0" eb="3">
      <t>ホショウショ</t>
    </rPh>
    <rPh sb="4" eb="6">
      <t>トリセツ</t>
    </rPh>
    <rPh sb="15" eb="16">
      <t>トリ</t>
    </rPh>
    <rPh sb="30" eb="31">
      <t>コ</t>
    </rPh>
    <phoneticPr fontId="13"/>
  </si>
  <si>
    <t>中辻 信裕</t>
    <rPh sb="0" eb="2">
      <t>ナカツジ</t>
    </rPh>
    <rPh sb="3" eb="4">
      <t>ノブ</t>
    </rPh>
    <rPh sb="4" eb="5">
      <t>ユウ</t>
    </rPh>
    <phoneticPr fontId="13"/>
  </si>
  <si>
    <t>保証書 取説 ｽﾍﾟｱｷｰ ﾛｯｸﾅｯﾄ</t>
    <rPh sb="0" eb="3">
      <t>ホショウショ</t>
    </rPh>
    <rPh sb="4" eb="6">
      <t>トリセツ</t>
    </rPh>
    <phoneticPr fontId="13"/>
  </si>
  <si>
    <t>滋賀 583 ろ 345</t>
    <rPh sb="0" eb="2">
      <t>シガ</t>
    </rPh>
    <phoneticPr fontId="13"/>
  </si>
  <si>
    <t>27-3386</t>
  </si>
  <si>
    <t>27-3387</t>
  </si>
  <si>
    <t>27-3388</t>
  </si>
  <si>
    <t>27-3389</t>
  </si>
  <si>
    <t>27-3390</t>
  </si>
  <si>
    <t>27-3391</t>
  </si>
  <si>
    <t>27-3392</t>
  </si>
  <si>
    <t>27-3393</t>
  </si>
  <si>
    <t>27-3394</t>
  </si>
  <si>
    <t>27-3395</t>
  </si>
  <si>
    <t>27-3396</t>
  </si>
  <si>
    <t>27-3397</t>
  </si>
  <si>
    <t>27-3398</t>
  </si>
  <si>
    <t>27-3399</t>
  </si>
  <si>
    <t>27-3400</t>
  </si>
  <si>
    <t>27-3401</t>
  </si>
  <si>
    <t>27-3402</t>
  </si>
  <si>
    <t>27-3403</t>
  </si>
  <si>
    <t>27-3404</t>
  </si>
  <si>
    <t>27-3405</t>
  </si>
  <si>
    <t>27-3406</t>
  </si>
  <si>
    <t>27-3407</t>
  </si>
  <si>
    <t>27-3408</t>
  </si>
  <si>
    <t>27-3409</t>
  </si>
  <si>
    <t>27-3410</t>
  </si>
  <si>
    <t>RV5-1089071</t>
    <phoneticPr fontId="13"/>
  </si>
  <si>
    <t>RV5-1013330</t>
    <phoneticPr fontId="13"/>
  </si>
  <si>
    <t>SNT133-017815</t>
    <phoneticPr fontId="13"/>
  </si>
  <si>
    <t>S700V-0116498</t>
    <phoneticPr fontId="13"/>
  </si>
  <si>
    <t>JF3-2082653</t>
    <phoneticPr fontId="13"/>
  </si>
  <si>
    <t>DA17V-970583</t>
    <phoneticPr fontId="13"/>
  </si>
  <si>
    <t>JF3-5085418</t>
    <phoneticPr fontId="13"/>
  </si>
  <si>
    <t>DR17W-282090</t>
    <phoneticPr fontId="13"/>
  </si>
  <si>
    <t>27-3411</t>
  </si>
  <si>
    <t>27-3412</t>
  </si>
  <si>
    <t>27-3413</t>
  </si>
  <si>
    <t>27-3414</t>
  </si>
  <si>
    <t>27-3415</t>
  </si>
  <si>
    <t>27-3416</t>
  </si>
  <si>
    <t>27-3417</t>
  </si>
  <si>
    <t>27-3418</t>
  </si>
  <si>
    <t>27-3419</t>
  </si>
  <si>
    <t>27-3420</t>
  </si>
  <si>
    <t>27-3421</t>
  </si>
  <si>
    <t>27-3422</t>
  </si>
  <si>
    <t>27-3423</t>
  </si>
  <si>
    <t>27-3424</t>
  </si>
  <si>
    <t>27-3425</t>
  </si>
  <si>
    <t>27-3426</t>
  </si>
  <si>
    <t>27-3427</t>
  </si>
  <si>
    <t>27-3428</t>
  </si>
  <si>
    <t>LA350S-0250725</t>
    <phoneticPr fontId="13"/>
  </si>
  <si>
    <t>LA350S-0250777</t>
    <phoneticPr fontId="13"/>
  </si>
  <si>
    <t>LA600S-0299600</t>
    <phoneticPr fontId="13"/>
  </si>
  <si>
    <t>JF3-2360418</t>
    <phoneticPr fontId="13"/>
  </si>
  <si>
    <t>DA16T-728081</t>
    <phoneticPr fontId="13"/>
  </si>
  <si>
    <t>LA700S-0166724</t>
    <phoneticPr fontId="13"/>
  </si>
  <si>
    <t>LA600S-0725802</t>
    <phoneticPr fontId="13"/>
  </si>
  <si>
    <t>LA350S-0241642</t>
    <phoneticPr fontId="13"/>
  </si>
  <si>
    <t>LA350S-0166193</t>
    <phoneticPr fontId="13"/>
  </si>
  <si>
    <t>S201P-0125225</t>
    <phoneticPr fontId="13"/>
  </si>
  <si>
    <t>MK94S-280398</t>
    <phoneticPr fontId="13"/>
  </si>
  <si>
    <t>LA400K-0059724</t>
    <phoneticPr fontId="13"/>
  </si>
  <si>
    <t>LA850S-0051663</t>
    <phoneticPr fontId="13"/>
  </si>
  <si>
    <t>L675S-0115879</t>
    <phoneticPr fontId="13"/>
  </si>
  <si>
    <t>JF5-1028844</t>
    <phoneticPr fontId="13"/>
  </si>
  <si>
    <t>LA850S-0098724</t>
    <phoneticPr fontId="13"/>
  </si>
  <si>
    <t>JF5-1163740</t>
    <phoneticPr fontId="13"/>
  </si>
  <si>
    <t>MK53S-452454</t>
    <phoneticPr fontId="13"/>
  </si>
  <si>
    <t>MﾍﾞﾝﾂA250　4ﾏﾁｯｸ</t>
    <phoneticPr fontId="13"/>
  </si>
  <si>
    <t>MH44S-801676</t>
    <phoneticPr fontId="13"/>
  </si>
  <si>
    <t>ﾊﾟｯｿ ﾓｰﾀﾞ　ﾁｬｰﾑ</t>
    <phoneticPr fontId="13"/>
  </si>
  <si>
    <t>M700A-1025842</t>
    <phoneticPr fontId="13"/>
  </si>
  <si>
    <t>LA800S-0127365</t>
    <phoneticPr fontId="13"/>
  </si>
  <si>
    <t>MH85S-131678</t>
    <phoneticPr fontId="13"/>
  </si>
  <si>
    <t>MN71S-170861</t>
    <phoneticPr fontId="13"/>
  </si>
  <si>
    <t>MR31S-314835</t>
    <phoneticPr fontId="13"/>
  </si>
  <si>
    <t>ﾀﾝﾄ　X　ｽﾏｰﾄｾﾚｸｼｮﾝ</t>
    <phoneticPr fontId="13"/>
  </si>
  <si>
    <t>LA600S-0183115</t>
    <phoneticPr fontId="13"/>
  </si>
  <si>
    <t>LA800S-0129778</t>
    <phoneticPr fontId="13"/>
  </si>
  <si>
    <t>CX-5　XD　ｴｸｽｸﾙｰｼﾌﾞ</t>
    <phoneticPr fontId="13"/>
  </si>
  <si>
    <t>KF2P-550620</t>
    <phoneticPr fontId="13"/>
  </si>
  <si>
    <t>N ONE　RSﾀｰﾎﾞ</t>
    <phoneticPr fontId="13"/>
  </si>
  <si>
    <t>JG3-2013729</t>
    <phoneticPr fontId="13"/>
  </si>
  <si>
    <t>ﾑｰｳﾞ　X</t>
    <phoneticPr fontId="13"/>
  </si>
  <si>
    <t>LA850S-2008189</t>
    <phoneticPr fontId="13"/>
  </si>
  <si>
    <t>ﾑｰｳﾞｷｬﾝﾊﾞｽ　Gﾒｲｸｱｯﾌﾟ</t>
    <phoneticPr fontId="13"/>
  </si>
  <si>
    <t>LA800S-0069148</t>
    <phoneticPr fontId="13"/>
  </si>
  <si>
    <t>ﾊｲｾﾞｯﾄﾄﾗｯｸ　ｴｱｺﾝﾊﾟﾜｽﾃ</t>
    <phoneticPr fontId="13"/>
  </si>
  <si>
    <t>S201P-0115436</t>
    <phoneticPr fontId="13"/>
  </si>
  <si>
    <t>ｲﾝﾌﾟﾚｯｻ　WRX　STI</t>
    <phoneticPr fontId="13"/>
  </si>
  <si>
    <t>GDB-041703</t>
    <phoneticPr fontId="13"/>
  </si>
  <si>
    <t>27-3429</t>
  </si>
  <si>
    <t>27-3430</t>
  </si>
  <si>
    <t>27-3431</t>
  </si>
  <si>
    <t>27-3432</t>
  </si>
  <si>
    <t>27-3433</t>
  </si>
  <si>
    <t>27-3434</t>
  </si>
  <si>
    <t>27-3435</t>
  </si>
  <si>
    <t>27-3436</t>
  </si>
  <si>
    <t>27-3437</t>
  </si>
  <si>
    <t>27-3438</t>
  </si>
  <si>
    <t>27-3439</t>
  </si>
  <si>
    <t>27-3440</t>
  </si>
  <si>
    <t>LA900S-0169724</t>
    <phoneticPr fontId="13"/>
  </si>
  <si>
    <t>L800K-0054942</t>
    <phoneticPr fontId="13"/>
  </si>
  <si>
    <t>DA17W-325427</t>
    <phoneticPr fontId="13"/>
  </si>
  <si>
    <t>A335569</t>
    <phoneticPr fontId="13"/>
  </si>
  <si>
    <t>AGH40-4011367</t>
    <phoneticPr fontId="13"/>
  </si>
  <si>
    <t>A335534</t>
    <phoneticPr fontId="13"/>
  </si>
  <si>
    <t>A335802</t>
    <phoneticPr fontId="13"/>
  </si>
  <si>
    <t>LA650S-0063897</t>
    <phoneticPr fontId="13"/>
  </si>
  <si>
    <t>RV3-1005688</t>
    <phoneticPr fontId="13"/>
  </si>
  <si>
    <t>ZRR80-0449988</t>
    <phoneticPr fontId="13"/>
  </si>
  <si>
    <t>JF1-1901829</t>
    <phoneticPr fontId="13"/>
  </si>
  <si>
    <t>27-3441</t>
  </si>
  <si>
    <t>27-3442</t>
  </si>
  <si>
    <t>27-3443</t>
  </si>
  <si>
    <t>27-3444</t>
  </si>
  <si>
    <t>27-3445</t>
  </si>
  <si>
    <t>27-3446</t>
  </si>
  <si>
    <t>27-3447</t>
  </si>
  <si>
    <t>27-3448</t>
  </si>
  <si>
    <t>27-3449</t>
  </si>
  <si>
    <t>ﾐﾗｲｰｽ　L SaⅢ</t>
    <phoneticPr fontId="13"/>
  </si>
  <si>
    <t>名古屋　581　や　7209</t>
    <rPh sb="0" eb="3">
      <t>ナゴヤ</t>
    </rPh>
    <phoneticPr fontId="13"/>
  </si>
  <si>
    <t>N　BOXｶｽﾀﾑ　LﾀｰﾎﾞｽﾀｲﾙBK</t>
    <phoneticPr fontId="13"/>
  </si>
  <si>
    <t>9/3/23</t>
    <phoneticPr fontId="13"/>
  </si>
  <si>
    <t>多摩　581　て　8525</t>
    <rPh sb="0" eb="2">
      <t>タマ</t>
    </rPh>
    <phoneticPr fontId="13"/>
  </si>
  <si>
    <t>ｷｬﾘｰT　KCｴｱｺﾝﾊﾟﾜｽﾃ</t>
    <phoneticPr fontId="13"/>
  </si>
  <si>
    <t>ｳｪｲｸ　Gﾀｰﾎﾞﾘﾐﾃｯﾄﾞ　SaⅢ</t>
    <phoneticPr fontId="13"/>
  </si>
  <si>
    <t>鈴鹿　580　つ　5617</t>
    <rPh sb="0" eb="2">
      <t>スズカ</t>
    </rPh>
    <phoneticPr fontId="13"/>
  </si>
  <si>
    <t>ﾀﾝﾄｶｽﾀﾑ　X　ﾄｯﾌﾟED</t>
    <phoneticPr fontId="13"/>
  </si>
  <si>
    <t>豊橋　580　も　3451</t>
    <rPh sb="0" eb="2">
      <t>トヨハシ</t>
    </rPh>
    <phoneticPr fontId="13"/>
  </si>
  <si>
    <t>ﾐﾗｲｰｽ　L</t>
    <phoneticPr fontId="13"/>
  </si>
  <si>
    <t>ﾐﾗｲｰｽ　Xﾘﾐﾃｯﾄﾞ　SaⅢ</t>
    <phoneticPr fontId="13"/>
  </si>
  <si>
    <t>8/7/18</t>
    <phoneticPr fontId="13"/>
  </si>
  <si>
    <t>滋賀　586　こ　1114</t>
    <rPh sb="0" eb="2">
      <t>シガ</t>
    </rPh>
    <phoneticPr fontId="13"/>
  </si>
  <si>
    <t>ﾊｲｾﾞｯﾄT　ｴｱｺﾝﾊﾟﾜｽﾃｽﾍﾟｼｬﾙ</t>
    <phoneticPr fontId="13"/>
  </si>
  <si>
    <t>8/8/6</t>
    <phoneticPr fontId="13"/>
  </si>
  <si>
    <t>岐阜　480　ち　1517</t>
    <rPh sb="0" eb="2">
      <t>ギフ</t>
    </rPh>
    <phoneticPr fontId="13"/>
  </si>
  <si>
    <t>ｽﾍﾟｰｼｱ　ﾊｲﾌﾞﾘｯﾄﾞG</t>
    <phoneticPr fontId="13"/>
  </si>
  <si>
    <t>ﾐﾗｺｺｱ　ﾌﾟﾗｽG</t>
    <phoneticPr fontId="13"/>
  </si>
  <si>
    <t>ﾂｰﾄﾝ</t>
    <phoneticPr fontId="13"/>
  </si>
  <si>
    <t>10/3/6</t>
    <phoneticPr fontId="13"/>
  </si>
  <si>
    <t>徳島　581　い　9070</t>
    <rPh sb="0" eb="2">
      <t>トクシマ</t>
    </rPh>
    <phoneticPr fontId="13"/>
  </si>
  <si>
    <t>BMWZ4　Sﾄﾞﾗｲﾌﾞ20IMｽﾎﾟｰﾂ</t>
    <phoneticPr fontId="13"/>
  </si>
  <si>
    <t>WBAHF120X0WW56897</t>
    <phoneticPr fontId="13"/>
  </si>
  <si>
    <t>世田谷　300　ぬ　763</t>
    <rPh sb="0" eb="3">
      <t>セタガヤ</t>
    </rPh>
    <phoneticPr fontId="13"/>
  </si>
  <si>
    <t>ｳﾞｪｾﾞﾙ　ﾊｲﾌﾞﾘｯﾄﾞE　HEVﾌﾟﾚｲ</t>
    <phoneticPr fontId="13"/>
  </si>
  <si>
    <t>大分　338　め　127</t>
    <rPh sb="0" eb="2">
      <t>オオイタ</t>
    </rPh>
    <phoneticPr fontId="13"/>
  </si>
  <si>
    <t>ｳﾞｪｾﾞﾙ　G</t>
    <phoneticPr fontId="13"/>
  </si>
  <si>
    <t>ｴｸｽﾄﾚｲﾙ　ﾊｲﾌﾞﾘｯﾄﾞ</t>
    <phoneticPr fontId="13"/>
  </si>
  <si>
    <t>ﾊｲｾﾞｯﾄｶｰｺﾞ 　ｽﾍﾟｼｬﾙ</t>
    <phoneticPr fontId="13"/>
  </si>
  <si>
    <t>N　BOXｶｽﾀﾑ　G　Lﾀｰﾎﾞ</t>
    <phoneticPr fontId="13"/>
  </si>
  <si>
    <t>ｴﾌﾞﾘｨﾊﾞﾝ　PAﾘﾐﾃｯﾄﾞ</t>
    <phoneticPr fontId="13"/>
  </si>
  <si>
    <t>和歌山　492　る　358</t>
    <rPh sb="0" eb="3">
      <t>ワカヤマ</t>
    </rPh>
    <phoneticPr fontId="13"/>
  </si>
  <si>
    <t>NV100ｸﾘｯﾊﾟｰﾘｵ　G</t>
    <phoneticPr fontId="13"/>
  </si>
  <si>
    <t>京都　582　き　5515</t>
    <rPh sb="0" eb="2">
      <t>キョウト</t>
    </rPh>
    <phoneticPr fontId="13"/>
  </si>
  <si>
    <t>ｱﾙﾌｧｰﾄﾞ　Z</t>
    <phoneticPr fontId="13"/>
  </si>
  <si>
    <t>9/1/15</t>
    <phoneticPr fontId="13"/>
  </si>
  <si>
    <t>ﾐﾗｺｺｱ　ﾌﾟﾗｽXﾘﾐﾃｯﾄﾞ</t>
    <phoneticPr fontId="13"/>
  </si>
  <si>
    <t>10/1/26</t>
    <phoneticPr fontId="13"/>
  </si>
  <si>
    <t>9/9/21</t>
    <phoneticPr fontId="13"/>
  </si>
  <si>
    <t>ﾑｰｳﾞｷｬﾝﾊﾞｽ　G　SaⅢ</t>
    <phoneticPr fontId="13"/>
  </si>
  <si>
    <t>9/6/5</t>
    <phoneticPr fontId="13"/>
  </si>
  <si>
    <t>10/7/6</t>
    <phoneticPr fontId="13"/>
  </si>
  <si>
    <t>ﾛｰｽﾞⅡ</t>
    <phoneticPr fontId="13"/>
  </si>
  <si>
    <t>ﾀﾌﾄ　Gｸﾛﾑﾍﾞﾝﾁｬｰ</t>
    <phoneticPr fontId="13"/>
  </si>
  <si>
    <t>一宮　580　ぬ　6114</t>
    <rPh sb="0" eb="2">
      <t>イチノミヤ</t>
    </rPh>
    <phoneticPr fontId="13"/>
  </si>
  <si>
    <t>和泉　791　せ　1010</t>
    <rPh sb="0" eb="2">
      <t>イズミ</t>
    </rPh>
    <phoneticPr fontId="13"/>
  </si>
  <si>
    <t>WMWLR920702E72849</t>
    <phoneticPr fontId="13"/>
  </si>
  <si>
    <t>9/10/30</t>
    <phoneticPr fontId="13"/>
  </si>
  <si>
    <t>堺　300　ま　5285</t>
    <rPh sb="0" eb="1">
      <t>サカイ</t>
    </rPh>
    <phoneticPr fontId="13"/>
  </si>
  <si>
    <t>WMW52DH0602T45157</t>
    <phoneticPr fontId="13"/>
  </si>
  <si>
    <t>W1N2476122W101670</t>
    <phoneticPr fontId="13"/>
  </si>
  <si>
    <t>ｳﾞｫｸｼｰ　ZSｷﾗﾒｷ</t>
    <phoneticPr fontId="13"/>
  </si>
  <si>
    <t>N　BOXｶｽﾀﾑ　SSﾌﾞﾗｯｸｽﾀｲﾙP</t>
    <phoneticPr fontId="13"/>
  </si>
  <si>
    <t>ｱﾊﾞﾙﾄ595　ｽｺﾙﾋﾟｵｰﾈｵｰﾛ</t>
    <phoneticPr fontId="13"/>
  </si>
  <si>
    <t>27-3450</t>
  </si>
  <si>
    <t>27-3451</t>
  </si>
  <si>
    <t>27-3452</t>
  </si>
  <si>
    <t>CX-3　XDﾌﾟﾛｱｸﾃｨﾌﾞ</t>
    <phoneticPr fontId="13"/>
  </si>
  <si>
    <t>DK5FW-203144</t>
    <phoneticPr fontId="13"/>
  </si>
  <si>
    <t>GFC27-144198</t>
    <phoneticPr fontId="13"/>
  </si>
  <si>
    <t>DA17W-251438</t>
    <phoneticPr fontId="13"/>
  </si>
  <si>
    <t>ﾀﾌﾄ　G</t>
    <phoneticPr fontId="13"/>
  </si>
  <si>
    <t>LA900S-0089475</t>
    <phoneticPr fontId="13"/>
  </si>
  <si>
    <t>BMWﾐﾆｸｰﾊﾟｰ　ｸﾗﾌﾞﾏﾝ</t>
    <phoneticPr fontId="13"/>
  </si>
  <si>
    <t>BMWﾐﾆｸｰﾊﾟｰ　</t>
    <phoneticPr fontId="13"/>
  </si>
  <si>
    <t>ｱﾊﾞﾙﾄ595　ﾂｰﾘｽﾞﾓ</t>
    <phoneticPr fontId="13"/>
  </si>
  <si>
    <t>BMW　X1　Sﾄﾞﾗｲﾌﾞ18I　Xﾗｲﾝ</t>
    <phoneticPr fontId="13"/>
  </si>
  <si>
    <t>ﾌｨｱｯﾄ500　1.2ｶｯﾄ</t>
    <phoneticPr fontId="13"/>
  </si>
  <si>
    <t>BMWﾐﾆｸｰﾊﾟｰ　ｺﾝﾊﾞｰﾁﾌﾞﾙ</t>
    <phoneticPr fontId="13"/>
  </si>
  <si>
    <t>ZFA3120000JE25836</t>
    <phoneticPr fontId="13"/>
  </si>
  <si>
    <t>福岡　533　ろ　595</t>
    <rPh sb="0" eb="2">
      <t>フクオカ</t>
    </rPh>
    <phoneticPr fontId="13"/>
  </si>
  <si>
    <t>9/12/22</t>
    <phoneticPr fontId="13"/>
  </si>
  <si>
    <t>神戸　304　ゆ　2372</t>
    <rPh sb="0" eb="2">
      <t>コウベ</t>
    </rPh>
    <phoneticPr fontId="13"/>
  </si>
  <si>
    <t>奈良　583　む　2527</t>
    <rPh sb="0" eb="2">
      <t>ナラ</t>
    </rPh>
    <phoneticPr fontId="13"/>
  </si>
  <si>
    <t>和泉　580　ふ　6709</t>
    <rPh sb="0" eb="2">
      <t>イズミ</t>
    </rPh>
    <phoneticPr fontId="13"/>
  </si>
  <si>
    <t>WMWLN320202D74059</t>
    <phoneticPr fontId="13"/>
  </si>
  <si>
    <t>WMW32DK0102R89066</t>
    <phoneticPr fontId="13"/>
  </si>
  <si>
    <t>京都　302　ほ　8711</t>
    <rPh sb="0" eb="2">
      <t>キョウト</t>
    </rPh>
    <phoneticPr fontId="13"/>
  </si>
  <si>
    <t>ZFA3120000J603412</t>
    <phoneticPr fontId="13"/>
  </si>
  <si>
    <t>WBA32AA0305S49775</t>
    <phoneticPr fontId="13"/>
  </si>
  <si>
    <t>ZFA3120000JF00559</t>
    <phoneticPr fontId="13"/>
  </si>
  <si>
    <t>WMWXY320902N95566</t>
    <phoneticPr fontId="13"/>
  </si>
  <si>
    <t>京都　331　ま　1817</t>
    <rPh sb="0" eb="2">
      <t>キョウト</t>
    </rPh>
    <phoneticPr fontId="13"/>
  </si>
  <si>
    <t>ﾁﾘﾚｯﾄﾞ</t>
    <phoneticPr fontId="13"/>
  </si>
  <si>
    <t>WMWWJ320703J77744</t>
    <phoneticPr fontId="13"/>
  </si>
  <si>
    <t>姫路　301　ね　3077</t>
    <rPh sb="0" eb="2">
      <t>ヒメジ</t>
    </rPh>
    <phoneticPr fontId="13"/>
  </si>
  <si>
    <t>MﾍﾞﾝﾂC200　ｽﾎﾟｰﾂ</t>
    <phoneticPr fontId="13"/>
  </si>
  <si>
    <t>ｷｬﾝｾﾙ返送3/9</t>
    <rPh sb="5" eb="7">
      <t>ヘンソウ</t>
    </rPh>
    <phoneticPr fontId="13"/>
  </si>
  <si>
    <t>横浜 305 ゆ 1645</t>
    <rPh sb="0" eb="2">
      <t>ヨコハマ</t>
    </rPh>
    <phoneticPr fontId="13"/>
  </si>
  <si>
    <t>株式会社FSB</t>
    <rPh sb="0" eb="4">
      <t>カブシキガイシャ</t>
    </rPh>
    <phoneticPr fontId="13"/>
  </si>
  <si>
    <t>保証書 取説 ｽﾀｰﾄﾎﾞﾀﾝ</t>
    <rPh sb="0" eb="3">
      <t>ホショウショ</t>
    </rPh>
    <rPh sb="4" eb="6">
      <t>トリセツ</t>
    </rPh>
    <phoneticPr fontId="13"/>
  </si>
  <si>
    <t>柏 399 ぬ 8360</t>
    <rPh sb="0" eb="1">
      <t>カシワ</t>
    </rPh>
    <phoneticPr fontId="13"/>
  </si>
  <si>
    <t>株式会社Tauros Japan</t>
    <rPh sb="0" eb="4">
      <t>カブシキガイシャ</t>
    </rPh>
    <phoneticPr fontId="13"/>
  </si>
  <si>
    <t>なにわ 39A や 761</t>
    <phoneticPr fontId="13"/>
  </si>
  <si>
    <t>保証書 取説 (車内)ﾜﾝｵｰﾅｰｷｰﾚｽ SD</t>
    <rPh sb="0" eb="3">
      <t>ホショウショ</t>
    </rPh>
    <rPh sb="4" eb="6">
      <t>トリセツ</t>
    </rPh>
    <phoneticPr fontId="13"/>
  </si>
  <si>
    <t>VF1KW14B3K0793186</t>
    <phoneticPr fontId="13"/>
  </si>
  <si>
    <t>大阪 339 る 624</t>
    <rPh sb="0" eb="2">
      <t>オオサカ</t>
    </rPh>
    <phoneticPr fontId="13"/>
  </si>
  <si>
    <t>保証書 取説 ﾘﾓｺﾝ(車内)</t>
    <rPh sb="0" eb="3">
      <t>ホショウショ</t>
    </rPh>
    <rPh sb="4" eb="6">
      <t>トリセツ</t>
    </rPh>
    <rPh sb="12" eb="14">
      <t>シャナイ</t>
    </rPh>
    <phoneticPr fontId="13"/>
  </si>
  <si>
    <t>品番；CN-RE06D</t>
    <rPh sb="0" eb="2">
      <t>ヒンバン</t>
    </rPh>
    <phoneticPr fontId="13"/>
  </si>
  <si>
    <t>品番；AVN134MW</t>
    <rPh sb="0" eb="2">
      <t>ヒンバン</t>
    </rPh>
    <phoneticPr fontId="13"/>
  </si>
  <si>
    <t>保証書 取説(車内)</t>
    <phoneticPr fontId="13"/>
  </si>
  <si>
    <t>ｱｳﾃﾞｨA3 ｽﾎﾟｰﾂﾊﾞｯｸ30TFSI</t>
    <phoneticPr fontId="13"/>
  </si>
  <si>
    <t>WAUZZZGY9NA080474</t>
    <phoneticPr fontId="13"/>
  </si>
  <si>
    <t>名古屋 307 た 5511</t>
    <rPh sb="0" eb="3">
      <t>ナゴヤ</t>
    </rPh>
    <phoneticPr fontId="13"/>
  </si>
  <si>
    <t>WMW22DV0402U75512</t>
    <phoneticPr fontId="13"/>
  </si>
  <si>
    <t>BMW 5ｼﾘｰｽﾞ 528i Mｽﾎﾟｰﾂ</t>
    <phoneticPr fontId="13"/>
  </si>
  <si>
    <t>WBA5G520X0D181495</t>
    <phoneticPr fontId="13"/>
  </si>
  <si>
    <t>名古屋 306 ね 5529</t>
    <rPh sb="0" eb="3">
      <t>ナゴヤ</t>
    </rPh>
    <phoneticPr fontId="13"/>
  </si>
  <si>
    <t>BMW3ｼﾘｰｽﾞｾﾀﾞﾝ 320d</t>
    <phoneticPr fontId="13"/>
  </si>
  <si>
    <t>WBA8B56080NT31703</t>
    <phoneticPr fontId="13"/>
  </si>
  <si>
    <t>名古屋 335 さ 905</t>
    <rPh sb="0" eb="3">
      <t>ナゴヤ</t>
    </rPh>
    <phoneticPr fontId="13"/>
  </si>
  <si>
    <t>WMWXU52020TH94947</t>
    <phoneticPr fontId="13"/>
  </si>
  <si>
    <t>WDD1771472W018277</t>
    <phoneticPr fontId="13"/>
  </si>
  <si>
    <t>高松 310 す 2057</t>
    <rPh sb="0" eb="2">
      <t>タカマツ</t>
    </rPh>
    <phoneticPr fontId="13"/>
  </si>
  <si>
    <t>BMW 2ｼﾘｰｽﾞﾜｺﾞﾝ</t>
    <phoneticPr fontId="13"/>
  </si>
  <si>
    <t>広島 358 た 23</t>
    <rPh sb="0" eb="2">
      <t>ヒロシマ</t>
    </rPh>
    <phoneticPr fontId="13"/>
  </si>
  <si>
    <t>A333608</t>
    <phoneticPr fontId="13"/>
  </si>
  <si>
    <t>MS41S-177622</t>
    <phoneticPr fontId="13"/>
  </si>
  <si>
    <t>A334215</t>
    <phoneticPr fontId="13"/>
  </si>
  <si>
    <t>ﾌﾟﾚｼﾞﾃﾞﾝﾄJS</t>
    <phoneticPr fontId="13"/>
  </si>
  <si>
    <t>PG50-500307</t>
    <phoneticPr fontId="13"/>
  </si>
  <si>
    <t>A336530</t>
    <phoneticPr fontId="13"/>
  </si>
  <si>
    <t>TRJ250-0022544</t>
    <phoneticPr fontId="13"/>
  </si>
  <si>
    <t>10/3/23</t>
    <phoneticPr fontId="13"/>
  </si>
  <si>
    <t>ﾌﾚｱｸﾛｽｵｰﾊﾞｰ XG</t>
    <phoneticPr fontId="13"/>
  </si>
  <si>
    <t>582 う 3550</t>
    <phoneticPr fontId="13"/>
  </si>
  <si>
    <t>582 う 3548</t>
    <phoneticPr fontId="13"/>
  </si>
  <si>
    <t>301 ね 8248</t>
    <phoneticPr fontId="13"/>
  </si>
  <si>
    <t>A334475</t>
    <phoneticPr fontId="13"/>
  </si>
  <si>
    <t>TRJ250-0021834</t>
    <phoneticPr fontId="13"/>
  </si>
  <si>
    <t>10/3/13</t>
    <phoneticPr fontId="13"/>
  </si>
  <si>
    <t>保証書 取説 ｷｰﾚｽ ﾜﾝｵｰﾅｰ×ｸﾚｰﾑ</t>
    <rPh sb="0" eb="3">
      <t>ホショウショ</t>
    </rPh>
    <rPh sb="4" eb="6">
      <t>トリセツ</t>
    </rPh>
    <phoneticPr fontId="13"/>
  </si>
  <si>
    <t>27-3453</t>
  </si>
  <si>
    <t>27-3454</t>
  </si>
  <si>
    <t>27-3455</t>
  </si>
  <si>
    <t>27-3456</t>
  </si>
  <si>
    <t>27-3457</t>
  </si>
  <si>
    <t>27-3458</t>
  </si>
  <si>
    <t>27-3459</t>
  </si>
  <si>
    <t>27-3460</t>
  </si>
  <si>
    <t>27-3461</t>
  </si>
  <si>
    <t>27-3462</t>
  </si>
  <si>
    <t>27-3463</t>
  </si>
  <si>
    <t>27-3464</t>
  </si>
  <si>
    <t>A332729</t>
    <phoneticPr fontId="13"/>
  </si>
  <si>
    <t>JB64W-304338</t>
    <phoneticPr fontId="13"/>
  </si>
  <si>
    <t>ｼﾞﾑﾆｰ XL</t>
    <phoneticPr fontId="13"/>
  </si>
  <si>
    <t>WDD2052422F325253</t>
    <phoneticPr fontId="13"/>
  </si>
  <si>
    <t>品川 5X3 ろ 4334</t>
    <rPh sb="0" eb="2">
      <t>シナガワ</t>
    </rPh>
    <phoneticPr fontId="13"/>
  </si>
  <si>
    <t>なにわ 339 す 214</t>
    <phoneticPr fontId="13"/>
  </si>
  <si>
    <t>品川 5X3 ろ 5272</t>
    <rPh sb="0" eb="2">
      <t>シナガワ</t>
    </rPh>
    <phoneticPr fontId="13"/>
  </si>
  <si>
    <t>なにわ 5X0 ろ 2364</t>
    <phoneticPr fontId="13"/>
  </si>
  <si>
    <t>愛媛 582 ろ 883</t>
    <rPh sb="0" eb="2">
      <t>エヒメ</t>
    </rPh>
    <phoneticPr fontId="13"/>
  </si>
  <si>
    <t>株式会社ﾄﾖﾀﾚﾝﾀﾘｰｽ西四国</t>
    <rPh sb="0" eb="4">
      <t>カブシキガイシャ</t>
    </rPh>
    <rPh sb="13" eb="14">
      <t>ニシ</t>
    </rPh>
    <rPh sb="14" eb="16">
      <t>シコク</t>
    </rPh>
    <phoneticPr fontId="13"/>
  </si>
  <si>
    <t>石川 正夫</t>
    <rPh sb="0" eb="2">
      <t>イシカワ</t>
    </rPh>
    <rPh sb="3" eb="5">
      <t>マサオ</t>
    </rPh>
    <phoneticPr fontId="13"/>
  </si>
  <si>
    <t>名古屋 582 ゆ 5425</t>
    <rPh sb="0" eb="3">
      <t>ナゴヤ</t>
    </rPh>
    <phoneticPr fontId="13"/>
  </si>
  <si>
    <t>豊橋 580 て 6530</t>
    <rPh sb="0" eb="2">
      <t>トヨハシ</t>
    </rPh>
    <phoneticPr fontId="13"/>
  </si>
  <si>
    <t>有限会社ｲｰ・ ｱｲ・ﾃｨ</t>
    <rPh sb="0" eb="4">
      <t>ユウゲンカイシャ</t>
    </rPh>
    <phoneticPr fontId="13"/>
  </si>
  <si>
    <r>
      <t>地図SD車内なしｸﾚｰﾑならない</t>
    </r>
    <r>
      <rPr>
        <sz val="11"/>
        <color theme="3"/>
        <rFont val="ＭＳ Ｐゴシック"/>
        <family val="3"/>
        <charset val="128"/>
        <scheme val="minor"/>
      </rPr>
      <t xml:space="preserve"> 取説 ﾅﾋﾞ取</t>
    </r>
    <rPh sb="0" eb="2">
      <t>チズ</t>
    </rPh>
    <rPh sb="4" eb="6">
      <t>シャナイ</t>
    </rPh>
    <rPh sb="17" eb="19">
      <t>トリセツ</t>
    </rPh>
    <phoneticPr fontId="13"/>
  </si>
  <si>
    <t>株式会社ｶｰｼｮｯﾌﾟ中西</t>
    <rPh sb="0" eb="4">
      <t>カブシキガイシャ</t>
    </rPh>
    <rPh sb="11" eb="13">
      <t>ナカニシ</t>
    </rPh>
    <phoneticPr fontId="13"/>
  </si>
  <si>
    <t>品川 580 そ 2754</t>
    <rPh sb="0" eb="2">
      <t>シナガワ</t>
    </rPh>
    <phoneticPr fontId="13"/>
  </si>
  <si>
    <t>日進商事株式会社</t>
    <rPh sb="0" eb="2">
      <t>ニッシン</t>
    </rPh>
    <rPh sb="2" eb="4">
      <t>ショウジ</t>
    </rPh>
    <rPh sb="4" eb="8">
      <t>カブシキガイシャ</t>
    </rPh>
    <phoneticPr fontId="13"/>
  </si>
  <si>
    <t>品川 580 そ 2746</t>
    <rPh sb="0" eb="2">
      <t>シナガワ</t>
    </rPh>
    <phoneticPr fontId="13"/>
  </si>
  <si>
    <t>東日本三菱自動車販売株式会社</t>
    <rPh sb="0" eb="3">
      <t>ヒガシニホン</t>
    </rPh>
    <rPh sb="3" eb="14">
      <t>ミツビシジドウシャハンバイカブシキガイシャ</t>
    </rPh>
    <phoneticPr fontId="13"/>
  </si>
  <si>
    <t>AWAN MALIK MUHAMMAD AHTISHAM</t>
    <phoneticPr fontId="13"/>
  </si>
  <si>
    <t>小峰 信義</t>
    <rPh sb="0" eb="2">
      <t>コミネ</t>
    </rPh>
    <rPh sb="3" eb="4">
      <t>ノブ</t>
    </rPh>
    <rPh sb="4" eb="5">
      <t>ヨシ</t>
    </rPh>
    <phoneticPr fontId="13"/>
  </si>
  <si>
    <t>品川 5X3 ろ 5857</t>
    <rPh sb="0" eb="2">
      <t>シナガワ</t>
    </rPh>
    <phoneticPr fontId="13"/>
  </si>
  <si>
    <t>品川 5X3 ろ 5852</t>
    <rPh sb="0" eb="2">
      <t>シナガワ</t>
    </rPh>
    <phoneticPr fontId="13"/>
  </si>
  <si>
    <t>品川 5X3 ろ 5853</t>
    <rPh sb="0" eb="2">
      <t>シナガワ</t>
    </rPh>
    <phoneticPr fontId="13"/>
  </si>
  <si>
    <t>品川 5X3 ろ 5855</t>
    <rPh sb="0" eb="2">
      <t>シナガワ</t>
    </rPh>
    <phoneticPr fontId="13"/>
  </si>
  <si>
    <t>品川 5X3 ろ 5865</t>
    <rPh sb="0" eb="2">
      <t>シナガワ</t>
    </rPh>
    <phoneticPr fontId="13"/>
  </si>
  <si>
    <t>品川 5X3 ろ 5854</t>
    <rPh sb="0" eb="2">
      <t>シナガワ</t>
    </rPh>
    <phoneticPr fontId="13"/>
  </si>
  <si>
    <t>品川 5X3 ろ 5856</t>
    <rPh sb="0" eb="2">
      <t>シナガワ</t>
    </rPh>
    <phoneticPr fontId="13"/>
  </si>
  <si>
    <t>愛媛 300 も .3658</t>
    <rPh sb="0" eb="2">
      <t>エヒメ</t>
    </rPh>
    <phoneticPr fontId="13"/>
  </si>
  <si>
    <t>鳥取 580 ち 2712</t>
    <rPh sb="0" eb="2">
      <t>トットリ</t>
    </rPh>
    <phoneticPr fontId="13"/>
  </si>
  <si>
    <t>株式会社ﾄﾖﾀﾚﾝﾘｰｽ鳥取</t>
    <rPh sb="0" eb="4">
      <t>カブシキガイシャ</t>
    </rPh>
    <rPh sb="12" eb="14">
      <t>トットリ</t>
    </rPh>
    <phoneticPr fontId="13"/>
  </si>
  <si>
    <t>品川 5X1 ろ 8853</t>
    <rPh sb="0" eb="2">
      <t>シナガワ</t>
    </rPh>
    <phoneticPr fontId="13"/>
  </si>
  <si>
    <t>神戸 583 ひ 1255</t>
    <rPh sb="0" eb="2">
      <t>コウベ</t>
    </rPh>
    <phoneticPr fontId="13"/>
  </si>
  <si>
    <t>岩金 誠治</t>
    <rPh sb="0" eb="2">
      <t>イワキン</t>
    </rPh>
    <rPh sb="3" eb="4">
      <t>マコト</t>
    </rPh>
    <rPh sb="4" eb="5">
      <t>ジ</t>
    </rPh>
    <phoneticPr fontId="13"/>
  </si>
  <si>
    <t>ﾏｴﾀﾞ産業株式会社</t>
    <rPh sb="4" eb="6">
      <t>サンギョウ</t>
    </rPh>
    <rPh sb="6" eb="10">
      <t>カブシキガイシャ</t>
    </rPh>
    <phoneticPr fontId="13"/>
  </si>
  <si>
    <t>株式会社Stablish</t>
    <rPh sb="0" eb="4">
      <t>カブシキガイシャ</t>
    </rPh>
    <phoneticPr fontId="13"/>
  </si>
  <si>
    <t>広島 342 ゆ 720</t>
    <rPh sb="0" eb="2">
      <t>ヒロシマ</t>
    </rPh>
    <phoneticPr fontId="13"/>
  </si>
  <si>
    <t>保証書 取説 ｷｰﾚｽ ﾘﾓｺﾝ(車内)ﾜﾝｵｰﾅｰ</t>
    <rPh sb="0" eb="3">
      <t>ホショウショ</t>
    </rPh>
    <rPh sb="4" eb="6">
      <t>トリセツ</t>
    </rPh>
    <phoneticPr fontId="13"/>
  </si>
  <si>
    <t>所沢 330 は 7035</t>
    <rPh sb="0" eb="2">
      <t>トコロザワ</t>
    </rPh>
    <phoneticPr fontId="13"/>
  </si>
  <si>
    <t>藤垣 一</t>
    <rPh sb="0" eb="2">
      <t>フジガキ</t>
    </rPh>
    <rPh sb="3" eb="4">
      <t>イチ</t>
    </rPh>
    <phoneticPr fontId="13"/>
  </si>
  <si>
    <t>豊田 300 ね 1676</t>
    <rPh sb="0" eb="2">
      <t>トヨタ</t>
    </rPh>
    <phoneticPr fontId="13"/>
  </si>
  <si>
    <t>末永 千尋</t>
    <rPh sb="0" eb="2">
      <t>マツナガ</t>
    </rPh>
    <rPh sb="3" eb="5">
      <t>チヒロ</t>
    </rPh>
    <phoneticPr fontId="13"/>
  </si>
  <si>
    <t>保証書 取説 ｷｰﾚｽ ←ｽﾄｯｸ</t>
    <rPh sb="0" eb="3">
      <t>ホショウショ</t>
    </rPh>
    <rPh sb="4" eb="6">
      <t>トリセツ</t>
    </rPh>
    <phoneticPr fontId="13"/>
  </si>
  <si>
    <t>熊本 585 ね 106</t>
    <rPh sb="0" eb="2">
      <t>クマモト</t>
    </rPh>
    <phoneticPr fontId="13"/>
  </si>
  <si>
    <t>株式会社ﾄﾖﾀﾚﾝﾘｰｽ熊本</t>
    <rPh sb="0" eb="4">
      <t>カブシキガイシャ</t>
    </rPh>
    <rPh sb="12" eb="14">
      <t>クマモト</t>
    </rPh>
    <phoneticPr fontId="13"/>
  </si>
  <si>
    <t>北九州 338 た 1515</t>
    <rPh sb="0" eb="3">
      <t>キタキュウシュウ</t>
    </rPh>
    <phoneticPr fontId="13"/>
  </si>
  <si>
    <t>ﾈｯﾂﾄﾖﾀ中部株式会社北九州株式会社</t>
    <rPh sb="6" eb="8">
      <t>チュウブ</t>
    </rPh>
    <rPh sb="8" eb="12">
      <t>カブシキガイシャ</t>
    </rPh>
    <rPh sb="12" eb="15">
      <t>キタキュウシュウ</t>
    </rPh>
    <rPh sb="15" eb="19">
      <t>カブシキガイシャ</t>
    </rPh>
    <phoneticPr fontId="13"/>
  </si>
  <si>
    <t>保証書(車内)ﾜﾝｵｰﾅｰ</t>
    <rPh sb="0" eb="3">
      <t>ホショウショ</t>
    </rPh>
    <phoneticPr fontId="13"/>
  </si>
  <si>
    <t>保証書のみ(手帳なし) 取説 ｷｰﾚｽ(車内)</t>
    <rPh sb="0" eb="3">
      <t>ホショウショ</t>
    </rPh>
    <rPh sb="6" eb="8">
      <t>テチョウ</t>
    </rPh>
    <rPh sb="12" eb="14">
      <t>トリセツ</t>
    </rPh>
    <phoneticPr fontId="13"/>
  </si>
  <si>
    <t>福岡 342 ろ 626</t>
    <rPh sb="0" eb="2">
      <t>フクオカ</t>
    </rPh>
    <phoneticPr fontId="13"/>
  </si>
  <si>
    <t>北九州 399 て 8219</t>
    <rPh sb="0" eb="3">
      <t>キタキュウシュウ</t>
    </rPh>
    <phoneticPr fontId="13"/>
  </si>
  <si>
    <t>春日井 399 つ 5677</t>
    <rPh sb="0" eb="3">
      <t>カスガイ</t>
    </rPh>
    <phoneticPr fontId="13"/>
  </si>
  <si>
    <t>片岡 貴志</t>
    <rPh sb="0" eb="2">
      <t>カタオカ</t>
    </rPh>
    <rPh sb="3" eb="4">
      <t>タカシ</t>
    </rPh>
    <rPh sb="4" eb="5">
      <t>ココロザシ</t>
    </rPh>
    <phoneticPr fontId="13"/>
  </si>
  <si>
    <t>開発様</t>
    <rPh sb="0" eb="2">
      <t>カイハツ</t>
    </rPh>
    <rPh sb="2" eb="3">
      <t>サマ</t>
    </rPh>
    <phoneticPr fontId="13"/>
  </si>
  <si>
    <t>27-3465</t>
  </si>
  <si>
    <t>15/3</t>
    <phoneticPr fontId="13"/>
  </si>
  <si>
    <t>ﾌｪｱﾚﾃﾞｨｰ Z</t>
    <phoneticPr fontId="13"/>
  </si>
  <si>
    <t>Z33-011386</t>
    <phoneticPr fontId="13"/>
  </si>
  <si>
    <t>8/5/17</t>
    <phoneticPr fontId="13"/>
  </si>
  <si>
    <t>神戸 303 も 9813</t>
    <rPh sb="0" eb="2">
      <t>コウベ</t>
    </rPh>
    <phoneticPr fontId="13"/>
  </si>
  <si>
    <t>開発 一郎</t>
    <rPh sb="0" eb="2">
      <t>カイハツ</t>
    </rPh>
    <rPh sb="3" eb="5">
      <t>イチロウ</t>
    </rPh>
    <phoneticPr fontId="13"/>
  </si>
  <si>
    <t>582 う 3725</t>
    <phoneticPr fontId="13"/>
  </si>
  <si>
    <t>301 ね 8308</t>
    <phoneticPr fontId="13"/>
  </si>
  <si>
    <t>301 ね 8305</t>
    <phoneticPr fontId="13"/>
  </si>
  <si>
    <t>301 ね 8306</t>
    <phoneticPr fontId="13"/>
  </si>
  <si>
    <t>301 ね 8307</t>
    <phoneticPr fontId="13"/>
  </si>
  <si>
    <t>27-3466</t>
  </si>
  <si>
    <t>27-3467</t>
  </si>
  <si>
    <t>27-3468</t>
  </si>
  <si>
    <t>27-3469</t>
  </si>
  <si>
    <t>27-3470</t>
  </si>
  <si>
    <t>27-3471</t>
  </si>
  <si>
    <t>27-3472</t>
  </si>
  <si>
    <t>27-3473</t>
  </si>
  <si>
    <t>27-3474</t>
  </si>
  <si>
    <t>N　BOX　特別仕様車G　Lﾎﾝﾀﾞｾﾝｼﾝｸﾞ</t>
    <rPh sb="6" eb="11">
      <t>トクベツシヨウシャ</t>
    </rPh>
    <phoneticPr fontId="13"/>
  </si>
  <si>
    <t>JF3-1221930</t>
    <phoneticPr fontId="13"/>
  </si>
  <si>
    <t>JF5-2007702</t>
    <phoneticPr fontId="13"/>
  </si>
  <si>
    <t>DA17V-445434</t>
    <phoneticPr fontId="13"/>
  </si>
  <si>
    <t>MR31S-841698</t>
    <phoneticPr fontId="13"/>
  </si>
  <si>
    <t>ﾀﾝﾄｶｽﾀﾑ　ｶｽﾀﾑRSﾄｯﾌﾟED</t>
    <phoneticPr fontId="13"/>
  </si>
  <si>
    <t>LA600S-0540288</t>
    <phoneticPr fontId="13"/>
  </si>
  <si>
    <t>ｼﾄﾛｴﾝC3　ｼｬｲﾝ　ﾃﾞﾋﾞｭｰED</t>
    <phoneticPr fontId="13"/>
  </si>
  <si>
    <t>ﾑｰｳﾞｷｬﾝﾊﾞｽ　GﾎﾜｲﾄｱｸｾﾝﾄLTD</t>
    <phoneticPr fontId="13"/>
  </si>
  <si>
    <t>ﾑｰｳﾞｷｬﾝﾊﾞｽ　Xﾘﾐﾃｯﾄﾞ</t>
    <phoneticPr fontId="13"/>
  </si>
  <si>
    <t>ﾑｰｳﾞｷｬﾝﾊﾞｽ　ｽﾄﾗｲﾌﾟｽG</t>
    <phoneticPr fontId="13"/>
  </si>
  <si>
    <t>ﾑｰｳﾞｷｬﾝﾊﾞｽ　GﾌﾞﾗｯｸｱｸｾﾝﾄLTD</t>
    <phoneticPr fontId="13"/>
  </si>
  <si>
    <t>ﾑｰｳﾞｷｬﾝﾊﾞｽ　GﾌﾞﾗｯｸｲﾝﾃﾘｱﾘﾐﾃｯﾄﾞSaⅢ</t>
    <phoneticPr fontId="13"/>
  </si>
  <si>
    <t>LA800S-0181856</t>
    <phoneticPr fontId="13"/>
  </si>
  <si>
    <t>LA350S-0336837</t>
    <phoneticPr fontId="13"/>
  </si>
  <si>
    <t>NHP10-6599239</t>
    <phoneticPr fontId="13"/>
  </si>
  <si>
    <t>27-3475</t>
  </si>
  <si>
    <t>27-3476</t>
  </si>
  <si>
    <t>27-3477</t>
  </si>
  <si>
    <t>27-3478</t>
  </si>
  <si>
    <t>27-3479</t>
  </si>
  <si>
    <t>27-3480</t>
  </si>
  <si>
    <t>27-3481</t>
  </si>
  <si>
    <t>27-3482</t>
  </si>
  <si>
    <t>27-3483</t>
  </si>
  <si>
    <t>ﾑｰｳﾞｷｬﾝﾊﾞｽ　GﾌﾞﾗｯｸｲﾝﾃﾘｱLTD</t>
    <phoneticPr fontId="13"/>
  </si>
  <si>
    <t>LA800S-0250675</t>
    <phoneticPr fontId="13"/>
  </si>
  <si>
    <t>S700V-0136252</t>
    <phoneticPr fontId="13"/>
  </si>
  <si>
    <t>ﾀﾝﾄｶｽﾀﾑ　RSｽﾀｲﾙｾﾚｸｼｮﾝ</t>
    <phoneticPr fontId="13"/>
  </si>
  <si>
    <t>LA650S-0150278</t>
    <phoneticPr fontId="13"/>
  </si>
  <si>
    <t>27-3484</t>
  </si>
  <si>
    <t>27-3485</t>
  </si>
  <si>
    <t>27-3486</t>
  </si>
  <si>
    <t>27-3487</t>
  </si>
  <si>
    <t>27-3488</t>
  </si>
  <si>
    <t>27-3489</t>
  </si>
  <si>
    <t>27-3490</t>
  </si>
  <si>
    <t>LA850S-0106068</t>
    <phoneticPr fontId="13"/>
  </si>
  <si>
    <t>ﾊｲｾﾞｯﾄｶｰｺﾞ　DX　SaⅢ</t>
    <phoneticPr fontId="13"/>
  </si>
  <si>
    <t>S321V-0504023</t>
    <phoneticPr fontId="13"/>
  </si>
  <si>
    <t>DA17V-610682</t>
    <phoneticPr fontId="13"/>
  </si>
  <si>
    <t>ｼﾄﾛｴﾝ　ﾍﾞﾙﾗﾝｺﾞ　ｼｬｲﾝ　XTR</t>
    <phoneticPr fontId="13"/>
  </si>
  <si>
    <t>ｼﾞｰﾌﾟ　ﾚﾈｹﾞｰﾄﾞ</t>
    <phoneticPr fontId="13"/>
  </si>
  <si>
    <t>LA350S-0253351</t>
    <phoneticPr fontId="13"/>
  </si>
  <si>
    <t>NCP160-0154752</t>
    <phoneticPr fontId="13"/>
  </si>
  <si>
    <t>ﾙﾉｰ　ﾙｰﾃｼｱ　ｲﾝﾃﾝｽ</t>
    <phoneticPr fontId="13"/>
  </si>
  <si>
    <t>BMW　5ｼﾘｰｽﾞ</t>
    <phoneticPr fontId="13"/>
  </si>
  <si>
    <t>ﾌﾟﾛﾎﾞｯｸｽ　ﾊｲﾌﾞﾘｯﾄﾞGX</t>
    <phoneticPr fontId="13"/>
  </si>
  <si>
    <t>NHP160-0090727</t>
    <phoneticPr fontId="13"/>
  </si>
  <si>
    <t>奈良　480　わ　2466</t>
    <rPh sb="0" eb="2">
      <t>ナラ</t>
    </rPh>
    <phoneticPr fontId="13"/>
  </si>
  <si>
    <t>ﾍﾞｰｼﾞｭⅡ</t>
    <phoneticPr fontId="13"/>
  </si>
  <si>
    <t>VF7SXHNZTHT596541</t>
    <phoneticPr fontId="13"/>
  </si>
  <si>
    <t>山口　480　な　8674</t>
    <rPh sb="0" eb="2">
      <t>ヤマグチ</t>
    </rPh>
    <phoneticPr fontId="13"/>
  </si>
  <si>
    <t>広島　583　ほ　5510</t>
    <rPh sb="0" eb="2">
      <t>ヒロシマ</t>
    </rPh>
    <phoneticPr fontId="13"/>
  </si>
  <si>
    <t>広島　582　さ　3255</t>
    <rPh sb="0" eb="2">
      <t>ヒロシマ</t>
    </rPh>
    <phoneticPr fontId="13"/>
  </si>
  <si>
    <t>VR7ECYHZ3NJ780994</t>
    <phoneticPr fontId="13"/>
  </si>
  <si>
    <t>1C4NJCD19NPN68947</t>
    <phoneticPr fontId="13"/>
  </si>
  <si>
    <t>WMWXN920802D26778</t>
    <phoneticPr fontId="13"/>
  </si>
  <si>
    <t>3/</t>
    <phoneticPr fontId="13"/>
  </si>
  <si>
    <t>ﾐｽﾞｲﾛ</t>
    <phoneticPr fontId="13"/>
  </si>
  <si>
    <t>VF1RJZ009M0817871</t>
    <phoneticPr fontId="13"/>
  </si>
  <si>
    <t>DR17W-251859</t>
    <phoneticPr fontId="13"/>
  </si>
  <si>
    <t>NV100ｸﾘｯﾊﾟｰﾘｵ　ﾁｪｱｷｬﾌﾞ　ｽﾛｰﾌﾟﾀｲﾌﾟ</t>
    <phoneticPr fontId="13"/>
  </si>
  <si>
    <t>WBAJM72050G637579</t>
    <phoneticPr fontId="13"/>
  </si>
  <si>
    <t>福岡　331　こ　5501</t>
    <rPh sb="0" eb="2">
      <t>フクオカ</t>
    </rPh>
    <phoneticPr fontId="13"/>
  </si>
  <si>
    <t>TAA近畿</t>
    <phoneticPr fontId="13"/>
  </si>
  <si>
    <t>27-3491</t>
  </si>
  <si>
    <t>27-3492</t>
  </si>
  <si>
    <t>USS神戸</t>
    <rPh sb="3" eb="5">
      <t>コウベ</t>
    </rPh>
    <phoneticPr fontId="13"/>
  </si>
  <si>
    <t>ﾀﾌﾄ　G</t>
    <phoneticPr fontId="13"/>
  </si>
  <si>
    <t>LA900S-0072801</t>
    <phoneticPr fontId="13"/>
  </si>
  <si>
    <t>N　BOX</t>
    <phoneticPr fontId="13"/>
  </si>
  <si>
    <t>JF5-1062848</t>
    <phoneticPr fontId="13"/>
  </si>
  <si>
    <t>ﾊﾘｱｰ　Z</t>
    <phoneticPr fontId="13"/>
  </si>
  <si>
    <t>MXUA80-0042108</t>
    <phoneticPr fontId="13"/>
  </si>
  <si>
    <t>3/10</t>
    <phoneticPr fontId="13"/>
  </si>
  <si>
    <t>8/10/27</t>
    <phoneticPr fontId="13"/>
  </si>
  <si>
    <t>神戸　58A　え　8295</t>
    <rPh sb="0" eb="2">
      <t>コウベ</t>
    </rPh>
    <phoneticPr fontId="13"/>
  </si>
  <si>
    <t>6/6</t>
    <phoneticPr fontId="13"/>
  </si>
  <si>
    <t>9/6/26</t>
    <phoneticPr fontId="13"/>
  </si>
  <si>
    <t>神戸　58A　え　7572</t>
    <rPh sb="0" eb="2">
      <t>コウベ</t>
    </rPh>
    <phoneticPr fontId="13"/>
  </si>
  <si>
    <t>3/3</t>
    <phoneticPr fontId="13"/>
  </si>
  <si>
    <t>黒</t>
    <rPh sb="0" eb="1">
      <t>クロ</t>
    </rPh>
    <phoneticPr fontId="13"/>
  </si>
  <si>
    <t>ﾌﾟﾘｳｽｱﾙﾌｧ S</t>
    <phoneticPr fontId="13"/>
  </si>
  <si>
    <t>ZVW41-3372025</t>
    <phoneticPr fontId="13"/>
  </si>
  <si>
    <t>27-3493</t>
  </si>
  <si>
    <t>WMWXU72090TN22775</t>
    <phoneticPr fontId="13"/>
  </si>
  <si>
    <t>27-3494</t>
  </si>
  <si>
    <t>27-3495</t>
  </si>
  <si>
    <t>27-3496</t>
  </si>
  <si>
    <t>27-3497</t>
  </si>
  <si>
    <t>27-3498</t>
  </si>
  <si>
    <t xml:space="preserve">紫 </t>
    <rPh sb="0" eb="1">
      <t>ムラサキ</t>
    </rPh>
    <phoneticPr fontId="13"/>
  </si>
  <si>
    <t>DA17V-884027</t>
    <phoneticPr fontId="13"/>
  </si>
  <si>
    <t>ｼﾞﾑﾆｰ XC 4WD</t>
    <phoneticPr fontId="13"/>
  </si>
  <si>
    <t>JB23W-763625</t>
    <phoneticPr fontId="13"/>
  </si>
  <si>
    <t>13/10</t>
    <phoneticPr fontId="13"/>
  </si>
  <si>
    <t>L700S-0256077</t>
    <phoneticPr fontId="13"/>
  </si>
  <si>
    <t>BMW 1ｼﾘｰｽﾞ 118i Mｽﾎﾟｰﾂ</t>
    <phoneticPr fontId="13"/>
  </si>
  <si>
    <t>WBA1R520105C79398</t>
    <phoneticPr fontId="13"/>
  </si>
  <si>
    <t>名古屋 355 そ 1124</t>
    <rPh sb="0" eb="3">
      <t>ナゴヤ</t>
    </rPh>
    <phoneticPr fontId="13"/>
  </si>
  <si>
    <t>初年度月違う そのままHA送るOK</t>
    <rPh sb="0" eb="3">
      <t>ショネンド</t>
    </rPh>
    <rPh sb="3" eb="4">
      <t>ツキ</t>
    </rPh>
    <rPh sb="4" eb="5">
      <t>チガ</t>
    </rPh>
    <rPh sb="13" eb="14">
      <t>オク</t>
    </rPh>
    <phoneticPr fontId="13"/>
  </si>
  <si>
    <t>ｷｬﾝｾﾙ返送3/12</t>
    <rPh sb="5" eb="7">
      <t>ヘンソウ</t>
    </rPh>
    <phoneticPr fontId="13"/>
  </si>
  <si>
    <t>301 ね 8386</t>
    <phoneticPr fontId="13"/>
  </si>
  <si>
    <t>301 ね 8387</t>
    <phoneticPr fontId="13"/>
  </si>
  <si>
    <t>301ね 8388</t>
    <phoneticPr fontId="13"/>
  </si>
  <si>
    <t>301 ね 8389</t>
    <phoneticPr fontId="13"/>
  </si>
  <si>
    <t>301 ね 8390</t>
    <phoneticPr fontId="13"/>
  </si>
  <si>
    <t>301 ね 8391</t>
    <phoneticPr fontId="13"/>
  </si>
  <si>
    <t>301 ね 8392</t>
    <phoneticPr fontId="13"/>
  </si>
  <si>
    <t>301 ね 8393</t>
    <phoneticPr fontId="13"/>
  </si>
  <si>
    <t>501 ゆ 4934</t>
    <phoneticPr fontId="13"/>
  </si>
  <si>
    <t>501 ゆ 4935</t>
    <phoneticPr fontId="13"/>
  </si>
  <si>
    <t>株式会社ｻﾝﾎｰｸ</t>
    <rPh sb="0" eb="4">
      <t>カブシキガイシャ</t>
    </rPh>
    <phoneticPr fontId="13"/>
  </si>
  <si>
    <t>品川 480 せ 6877</t>
    <rPh sb="0" eb="2">
      <t>シナガワ</t>
    </rPh>
    <phoneticPr fontId="13"/>
  </si>
  <si>
    <t>取説 ｽﾍﾟｱｷｰ ﾅﾝﾊﾞｰ</t>
    <rPh sb="0" eb="2">
      <t>トリセツ</t>
    </rPh>
    <phoneticPr fontId="13"/>
  </si>
  <si>
    <t>岡山 582 あ 2432</t>
    <rPh sb="0" eb="2">
      <t>オカヤマ</t>
    </rPh>
    <phoneticPr fontId="13"/>
  </si>
  <si>
    <t>岡山 582 あ 6299</t>
    <rPh sb="0" eb="2">
      <t>オカヤマ</t>
    </rPh>
    <phoneticPr fontId="13"/>
  </si>
  <si>
    <t>取説 ﾅﾋﾞ取 ｽﾍﾟｱｷｰ</t>
    <rPh sb="0" eb="2">
      <t>トリセツ</t>
    </rPh>
    <rPh sb="6" eb="7">
      <t>トリ</t>
    </rPh>
    <phoneticPr fontId="13"/>
  </si>
  <si>
    <t>大宮 480 ね 9791</t>
    <rPh sb="0" eb="2">
      <t>オオミヤ</t>
    </rPh>
    <phoneticPr fontId="13"/>
  </si>
  <si>
    <t>8/8/24</t>
    <phoneticPr fontId="13"/>
  </si>
  <si>
    <t>株式会社ｳｲﾝｸﾞｵｰﾄ</t>
    <rPh sb="0" eb="4">
      <t>カブシキガイシャ</t>
    </rPh>
    <phoneticPr fontId="13"/>
  </si>
  <si>
    <t>品川 302 や 1814</t>
    <rPh sb="0" eb="2">
      <t>シナガワ</t>
    </rPh>
    <phoneticPr fontId="13"/>
  </si>
  <si>
    <t>豊橋 330 つ 5637</t>
    <rPh sb="0" eb="2">
      <t>トヨハシ</t>
    </rPh>
    <phoneticPr fontId="13"/>
  </si>
  <si>
    <t>保証書 取説 ﾛｯｸﾅｯﾄ</t>
    <phoneticPr fontId="13"/>
  </si>
  <si>
    <t>大宮 302 ほ 4317</t>
    <rPh sb="0" eb="2">
      <t>オオミヤ</t>
    </rPh>
    <phoneticPr fontId="13"/>
  </si>
  <si>
    <t>LEE CHI LUN</t>
    <phoneticPr fontId="13"/>
  </si>
  <si>
    <t>浜松 375 す 8008</t>
    <rPh sb="0" eb="2">
      <t>ハママツ</t>
    </rPh>
    <phoneticPr fontId="13"/>
  </si>
  <si>
    <t>保証書 取説  ｷｰﾚｽ</t>
    <phoneticPr fontId="13"/>
  </si>
  <si>
    <t>400 な 7889</t>
    <phoneticPr fontId="13"/>
  </si>
  <si>
    <t>301 ね 8409</t>
    <phoneticPr fontId="13"/>
  </si>
  <si>
    <t>582 う 3938</t>
    <phoneticPr fontId="13"/>
  </si>
  <si>
    <t>582 う 3939</t>
    <phoneticPr fontId="13"/>
  </si>
  <si>
    <t>582 う 3937</t>
    <phoneticPr fontId="13"/>
  </si>
  <si>
    <t>582 う 3936</t>
    <phoneticPr fontId="13"/>
  </si>
  <si>
    <t>岡山 301 や 100</t>
    <rPh sb="0" eb="2">
      <t>オカヤマ</t>
    </rPh>
    <phoneticPr fontId="13"/>
  </si>
  <si>
    <t>久留米 530 ひ 1289</t>
    <rPh sb="0" eb="3">
      <t>クルメ</t>
    </rPh>
    <phoneticPr fontId="13"/>
  </si>
  <si>
    <t>姫路 583 ふ 2319</t>
    <rPh sb="0" eb="2">
      <t>ヒメジ</t>
    </rPh>
    <phoneticPr fontId="13"/>
  </si>
  <si>
    <t>岡山 589 き 3113</t>
    <rPh sb="0" eb="2">
      <t>オカヤマ</t>
    </rPh>
    <phoneticPr fontId="13"/>
  </si>
  <si>
    <t>上原 省吾</t>
    <rPh sb="0" eb="2">
      <t>ウエハラ</t>
    </rPh>
    <rPh sb="3" eb="5">
      <t>ショウゴ</t>
    </rPh>
    <phoneticPr fontId="13"/>
  </si>
  <si>
    <t>広島 480 ね 8760</t>
    <rPh sb="0" eb="2">
      <t>ヒロシマ</t>
    </rPh>
    <phoneticPr fontId="13"/>
  </si>
  <si>
    <t>島根 300 ふ 8216</t>
    <rPh sb="0" eb="2">
      <t>シマネ</t>
    </rPh>
    <phoneticPr fontId="13"/>
  </si>
  <si>
    <t>野津 秀雄</t>
    <rPh sb="0" eb="2">
      <t>ノツ</t>
    </rPh>
    <rPh sb="3" eb="5">
      <t>ヒデオ</t>
    </rPh>
    <phoneticPr fontId="13"/>
  </si>
  <si>
    <t>岡山 581 も 5579</t>
    <rPh sb="0" eb="2">
      <t>オカヤマ</t>
    </rPh>
    <phoneticPr fontId="13"/>
  </si>
  <si>
    <t>倉敷 584 さ 126</t>
    <rPh sb="0" eb="2">
      <t>クラシキ</t>
    </rPh>
    <phoneticPr fontId="13"/>
  </si>
  <si>
    <t>取説 ﾏｲｸﾛSD</t>
    <rPh sb="0" eb="2">
      <t>トリセツ</t>
    </rPh>
    <phoneticPr fontId="13"/>
  </si>
  <si>
    <t>和泉 585 や 625</t>
    <rPh sb="0" eb="2">
      <t>イズミ</t>
    </rPh>
    <phoneticPr fontId="13"/>
  </si>
  <si>
    <t>平木 明</t>
    <rPh sb="0" eb="2">
      <t>ヒラキ</t>
    </rPh>
    <rPh sb="3" eb="4">
      <t>アキラ</t>
    </rPh>
    <phoneticPr fontId="13"/>
  </si>
  <si>
    <t>名古屋 581 か 7756</t>
    <rPh sb="0" eb="3">
      <t>ナゴヤ</t>
    </rPh>
    <phoneticPr fontId="13"/>
  </si>
  <si>
    <t>NIPPON TRUST株式会社</t>
    <rPh sb="12" eb="16">
      <t>カブシキガイシャ</t>
    </rPh>
    <phoneticPr fontId="13"/>
  </si>
  <si>
    <t>和歌山 581 こ 1832</t>
    <rPh sb="0" eb="3">
      <t>ワカヤマ</t>
    </rPh>
    <phoneticPr fontId="13"/>
  </si>
  <si>
    <t>和歌山 339 の 510</t>
    <rPh sb="0" eb="3">
      <t>ワカヤマ</t>
    </rPh>
    <phoneticPr fontId="13"/>
  </si>
  <si>
    <t>名古屋 326 め 2555</t>
    <rPh sb="0" eb="3">
      <t>ナゴヤ</t>
    </rPh>
    <phoneticPr fontId="13"/>
  </si>
  <si>
    <t>ﾄﾖﾀﾓﾋﾞﾘﾃｨｻｰﾋﾞｽ中京株式会社</t>
    <rPh sb="14" eb="16">
      <t>チュウキョウ</t>
    </rPh>
    <rPh sb="16" eb="20">
      <t>カブシキガイシャ</t>
    </rPh>
    <phoneticPr fontId="13"/>
  </si>
  <si>
    <t xml:space="preserve">   </t>
    <phoneticPr fontId="13"/>
  </si>
  <si>
    <t>地図SD(車内)保証書  ｷｰﾚｽ車内2個写あり</t>
    <rPh sb="0" eb="2">
      <t>チズ</t>
    </rPh>
    <rPh sb="5" eb="7">
      <t>シャナイ</t>
    </rPh>
    <rPh sb="8" eb="11">
      <t>ホショウショ</t>
    </rPh>
    <rPh sb="17" eb="19">
      <t>シャナイ</t>
    </rPh>
    <rPh sb="20" eb="21">
      <t>コ</t>
    </rPh>
    <rPh sb="21" eb="22">
      <t>シャ</t>
    </rPh>
    <phoneticPr fontId="13"/>
  </si>
  <si>
    <t>27-3499</t>
  </si>
  <si>
    <t>27-3500</t>
  </si>
  <si>
    <t>27-3501</t>
  </si>
  <si>
    <t>ｼﾞｬｶﾞｰ XE RﾀﾞｲﾅﾐｯｸSE</t>
    <phoneticPr fontId="13"/>
  </si>
  <si>
    <t>SAJAB4AX5LCP57627</t>
    <phoneticPr fontId="13"/>
  </si>
  <si>
    <t>BMWﾐﾆ ｸﾛｽｵｰﾊﾞｰ</t>
    <phoneticPr fontId="13"/>
  </si>
  <si>
    <t>WMW42BT0403N10298</t>
    <phoneticPr fontId="13"/>
  </si>
  <si>
    <t>ﾒﾙｾﾃﾞｽﾍﾞﾝﾂ A 200d</t>
    <phoneticPr fontId="13"/>
  </si>
  <si>
    <t>W1K1770122V192930</t>
    <phoneticPr fontId="13"/>
  </si>
  <si>
    <t>和歌山 301 さ 1832</t>
    <rPh sb="0" eb="3">
      <t>ワカヤマ</t>
    </rPh>
    <phoneticPr fontId="13"/>
  </si>
  <si>
    <t>27-3502</t>
  </si>
  <si>
    <t>ｼﾞｬｶﾞｰXE Rﾀﾞｲﾅﾐｯｸﾌﾞﾗｯｸ</t>
    <phoneticPr fontId="13"/>
  </si>
  <si>
    <t>SAJAB4AX9NCP69752</t>
    <phoneticPr fontId="13"/>
  </si>
  <si>
    <t>葛飾 306 そ 8888</t>
    <rPh sb="0" eb="2">
      <t>カツシカ</t>
    </rPh>
    <phoneticPr fontId="13"/>
  </si>
  <si>
    <t>582 う 3976</t>
    <phoneticPr fontId="13"/>
  </si>
  <si>
    <t>582 う 3977</t>
    <phoneticPr fontId="13"/>
  </si>
  <si>
    <t>582 う 3978</t>
    <phoneticPr fontId="13"/>
  </si>
  <si>
    <t>582 う 3979</t>
    <phoneticPr fontId="13"/>
  </si>
  <si>
    <t>582 う 3980</t>
    <phoneticPr fontId="13"/>
  </si>
  <si>
    <t>480 ね 4688</t>
    <phoneticPr fontId="13"/>
  </si>
  <si>
    <t>582 う 3981</t>
    <phoneticPr fontId="13"/>
  </si>
  <si>
    <t>582 う 3982</t>
    <phoneticPr fontId="13"/>
  </si>
  <si>
    <t>582 う 3983</t>
    <phoneticPr fontId="13"/>
  </si>
  <si>
    <t>480 ね 4689</t>
    <phoneticPr fontId="13"/>
  </si>
  <si>
    <t>岡山 399 な 5338</t>
    <rPh sb="0" eb="2">
      <t>オカヤマ</t>
    </rPh>
    <phoneticPr fontId="13"/>
  </si>
  <si>
    <t>3/13</t>
    <phoneticPr fontId="13"/>
  </si>
  <si>
    <t>和泉 301 と 7176</t>
    <rPh sb="0" eb="2">
      <t>イズミ</t>
    </rPh>
    <phoneticPr fontId="13"/>
  </si>
  <si>
    <t>杉村 良作</t>
    <rPh sb="0" eb="2">
      <t>スギムラ</t>
    </rPh>
    <rPh sb="3" eb="4">
      <t>リョウ</t>
    </rPh>
    <phoneticPr fontId="13"/>
  </si>
  <si>
    <t>保証書 取説 地図SD ﾅﾋﾞ取 ｷｰﾚｽ ﾜﾝｵｰﾅｰ</t>
    <rPh sb="0" eb="3">
      <t>ホショウショ</t>
    </rPh>
    <rPh sb="4" eb="6">
      <t>トリセツ</t>
    </rPh>
    <rPh sb="7" eb="9">
      <t>チズ</t>
    </rPh>
    <rPh sb="15" eb="16">
      <t>トリ</t>
    </rPh>
    <phoneticPr fontId="13"/>
  </si>
  <si>
    <t>名古屋 487 ろ 2762</t>
    <rPh sb="0" eb="3">
      <t>ナゴヤ</t>
    </rPh>
    <phoneticPr fontId="13"/>
  </si>
  <si>
    <t>なにわ 5X0 ろ 1321</t>
    <phoneticPr fontId="13"/>
  </si>
  <si>
    <t>多摩 799 ふ 5620</t>
    <rPh sb="0" eb="2">
      <t>タマ</t>
    </rPh>
    <phoneticPr fontId="13"/>
  </si>
  <si>
    <t>千葉 326 ち 3492</t>
    <rPh sb="0" eb="2">
      <t>チバ</t>
    </rPh>
    <phoneticPr fontId="13"/>
  </si>
  <si>
    <t>ｷｰﾚｽ(車内)保証書(印なし点検時印あり) 取説 ﾜﾝｵｰﾅｰ</t>
    <rPh sb="5" eb="7">
      <t>シャナイ</t>
    </rPh>
    <rPh sb="8" eb="11">
      <t>ホショウショ</t>
    </rPh>
    <rPh sb="12" eb="13">
      <t>イン</t>
    </rPh>
    <rPh sb="15" eb="17">
      <t>テンケン</t>
    </rPh>
    <rPh sb="17" eb="18">
      <t>ジ</t>
    </rPh>
    <rPh sb="18" eb="19">
      <t>イン</t>
    </rPh>
    <rPh sb="23" eb="25">
      <t>トリセツ</t>
    </rPh>
    <phoneticPr fontId="13"/>
  </si>
  <si>
    <t>ｽﾍﾟｱｷｰ車内ありまだ上がってきてない</t>
    <rPh sb="6" eb="8">
      <t>シャナイ</t>
    </rPh>
    <rPh sb="12" eb="13">
      <t>ア</t>
    </rPh>
    <phoneticPr fontId="13"/>
  </si>
  <si>
    <t>ﾘﾓｺﾝ(車内)保証書 取説 ｷｰﾚｽ</t>
    <rPh sb="5" eb="7">
      <t>シャナイ</t>
    </rPh>
    <rPh sb="8" eb="11">
      <t>ホショウショ</t>
    </rPh>
    <rPh sb="12" eb="14">
      <t>トリセツ</t>
    </rPh>
    <phoneticPr fontId="13"/>
  </si>
  <si>
    <t>地図SD(車内)保証書 取説 ｽﾍﾟｱｷｰ2個 ﾜﾝｵｰﾅｰ</t>
    <rPh sb="8" eb="11">
      <t>ホショウショ</t>
    </rPh>
    <rPh sb="12" eb="14">
      <t>トリセツ</t>
    </rPh>
    <rPh sb="22" eb="23">
      <t>コ</t>
    </rPh>
    <phoneticPr fontId="13"/>
  </si>
  <si>
    <t xml:space="preserve">地図SD(車内)保証書 取説 </t>
    <phoneticPr fontId="13"/>
  </si>
  <si>
    <t>整備手帳(記録なし)取説 ｷｰﾚｽ(車内)</t>
    <rPh sb="0" eb="4">
      <t>セイビテチョウ</t>
    </rPh>
    <rPh sb="5" eb="7">
      <t>キロク</t>
    </rPh>
    <rPh sb="10" eb="12">
      <t>トリセツ</t>
    </rPh>
    <rPh sb="18" eb="20">
      <t>シャナイ</t>
    </rPh>
    <phoneticPr fontId="13"/>
  </si>
  <si>
    <t>301 ね 8484</t>
    <phoneticPr fontId="13"/>
  </si>
  <si>
    <t>301 ね 8485</t>
    <phoneticPr fontId="13"/>
  </si>
  <si>
    <t>保証書 取説 ﾅﾋﾞ取 ｷｰﾚｽ 地図SD(車内)</t>
    <rPh sb="0" eb="3">
      <t>ホショウショ</t>
    </rPh>
    <rPh sb="4" eb="6">
      <t>トリセツ</t>
    </rPh>
    <rPh sb="10" eb="11">
      <t>トリ</t>
    </rPh>
    <rPh sb="17" eb="19">
      <t>チズ</t>
    </rPh>
    <rPh sb="22" eb="24">
      <t>シャナイ</t>
    </rPh>
    <phoneticPr fontId="13"/>
  </si>
  <si>
    <t>福山 300 も 9229</t>
    <rPh sb="0" eb="2">
      <t>フクヤマ</t>
    </rPh>
    <phoneticPr fontId="13"/>
  </si>
  <si>
    <t>ｷｬﾝｾﾙ返送3/14</t>
    <rPh sb="5" eb="7">
      <t>ヘンソウ</t>
    </rPh>
    <phoneticPr fontId="13"/>
  </si>
  <si>
    <t xml:space="preserve">ｽﾏｰﾄｷｰ問い合わせ </t>
    <rPh sb="6" eb="7">
      <t>ト</t>
    </rPh>
    <rPh sb="8" eb="9">
      <t>ア</t>
    </rPh>
    <phoneticPr fontId="13"/>
  </si>
  <si>
    <t>有限会社ﾅﾙﾃﾞｨ</t>
    <rPh sb="0" eb="4">
      <t>ユウゲンカイシャ</t>
    </rPh>
    <phoneticPr fontId="13"/>
  </si>
  <si>
    <t>株式会社ｸﾞﾛｰﾊﾞﾙｼｮｯﾌﾟ福岡</t>
    <rPh sb="0" eb="4">
      <t>カブシキガイシャ</t>
    </rPh>
    <rPh sb="16" eb="18">
      <t>フクオカ</t>
    </rPh>
    <phoneticPr fontId="13"/>
  </si>
  <si>
    <t>新潟 301 る 7188</t>
    <rPh sb="0" eb="2">
      <t>ニイガタ</t>
    </rPh>
    <phoneticPr fontId="13"/>
  </si>
  <si>
    <t>島根 531 さ 7010</t>
    <rPh sb="0" eb="2">
      <t>シマネ</t>
    </rPh>
    <phoneticPr fontId="13"/>
  </si>
  <si>
    <t>株式会社ｽﾞｽｷ自販島根</t>
    <rPh sb="0" eb="4">
      <t>カブシキガイシャ</t>
    </rPh>
    <rPh sb="8" eb="10">
      <t>ジハン</t>
    </rPh>
    <rPh sb="10" eb="12">
      <t>シマネ</t>
    </rPh>
    <phoneticPr fontId="13"/>
  </si>
  <si>
    <t>岡山 582 あ 9078</t>
    <rPh sb="0" eb="2">
      <t>オカヤマ</t>
    </rPh>
    <phoneticPr fontId="13"/>
  </si>
  <si>
    <t>27-3503</t>
  </si>
  <si>
    <t>27-3504</t>
  </si>
  <si>
    <t>27-3505</t>
  </si>
  <si>
    <t>27-3506</t>
  </si>
  <si>
    <t>27-3507</t>
  </si>
  <si>
    <t>LA800S-0114877</t>
    <phoneticPr fontId="13"/>
  </si>
  <si>
    <t>LA800S-0238279</t>
    <phoneticPr fontId="13"/>
  </si>
  <si>
    <t>LA650S-0216887</t>
    <phoneticPr fontId="13"/>
  </si>
  <si>
    <t>MK54S-122372</t>
    <phoneticPr fontId="13"/>
  </si>
  <si>
    <t>ﾑｰﾌﾞｷｬﾝﾊﾞｽ GﾒｲｸｱｯﾌﾟSA3</t>
    <phoneticPr fontId="13"/>
  </si>
  <si>
    <t>ﾑｰﾌﾞｷｬﾝﾊﾞｽ Gﾎﾜｲﾄｱｸｾﾝﾄﾘﾐﾃｯﾄﾞ</t>
    <phoneticPr fontId="13"/>
  </si>
  <si>
    <t>ﾀﾝﾄｶｽﾀﾑ RSｾﾚｸｼｮﾝ</t>
    <phoneticPr fontId="13"/>
  </si>
  <si>
    <t>三重 582 い 2370</t>
    <rPh sb="0" eb="2">
      <t>ミエ</t>
    </rPh>
    <phoneticPr fontId="13"/>
  </si>
  <si>
    <t>27-3508</t>
  </si>
  <si>
    <t>27-3509</t>
  </si>
  <si>
    <t>27-3510</t>
  </si>
  <si>
    <t>27-3511</t>
  </si>
  <si>
    <t>27-3512</t>
  </si>
  <si>
    <t>27-3513</t>
  </si>
  <si>
    <t>27-3514</t>
  </si>
  <si>
    <t>27-3515</t>
  </si>
  <si>
    <t>27-3516</t>
  </si>
  <si>
    <t>27-3517</t>
  </si>
  <si>
    <t>27-3518</t>
  </si>
  <si>
    <t>TRJ150-0152199</t>
    <phoneticPr fontId="13"/>
  </si>
  <si>
    <t>AGH30-9014760</t>
    <phoneticPr fontId="13"/>
  </si>
  <si>
    <t>AGH30-0252105</t>
    <phoneticPr fontId="13"/>
  </si>
  <si>
    <t>MXPC10G-1052718</t>
    <phoneticPr fontId="13"/>
  </si>
  <si>
    <t>FE13-305585</t>
    <phoneticPr fontId="13"/>
  </si>
  <si>
    <t>S700V-0150398</t>
    <phoneticPr fontId="13"/>
  </si>
  <si>
    <t>MK53S-228308</t>
    <phoneticPr fontId="13"/>
  </si>
  <si>
    <t>JF3-1088206</t>
    <phoneticPr fontId="13"/>
  </si>
  <si>
    <t>S710V-0113204</t>
    <phoneticPr fontId="13"/>
  </si>
  <si>
    <t>JF3-1541064</t>
    <phoneticPr fontId="13"/>
  </si>
  <si>
    <t>JF5-2048492</t>
    <phoneticPr fontId="13"/>
  </si>
  <si>
    <t>ﾉｰﾄ ｵｰﾗ G</t>
    <phoneticPr fontId="13"/>
  </si>
  <si>
    <t>和泉 543 な 12</t>
    <rPh sb="0" eb="2">
      <t>イズミ</t>
    </rPh>
    <phoneticPr fontId="13"/>
  </si>
  <si>
    <t>和泉 301 は 6521</t>
    <rPh sb="0" eb="2">
      <t>イズミ</t>
    </rPh>
    <phoneticPr fontId="13"/>
  </si>
  <si>
    <t>ｱﾙﾌｧｰﾄﾞ Sﾀｲﾌﾟｺﾞｰﾙﾄﾞ</t>
    <phoneticPr fontId="13"/>
  </si>
  <si>
    <t>和泉 398 る 18</t>
    <rPh sb="0" eb="2">
      <t>イズミ</t>
    </rPh>
    <phoneticPr fontId="13"/>
  </si>
  <si>
    <t>ﾗﾝﾄﾞｸﾙｰｻﾞｰ ﾌﾟﾗﾄﾞ TX Lﾊﾟｯｹｰｼﾞ</t>
    <phoneticPr fontId="13"/>
  </si>
  <si>
    <t>なにわ 581 こ 9704</t>
    <phoneticPr fontId="13"/>
  </si>
  <si>
    <t>ｽﾍﾟｰｼｱｶｽﾀﾑ ﾊｲﾌﾞﾘｯﾄﾞX</t>
    <phoneticPr fontId="13"/>
  </si>
  <si>
    <t>和泉 480 ね 4815</t>
    <rPh sb="0" eb="2">
      <t>イズミ</t>
    </rPh>
    <phoneticPr fontId="13"/>
  </si>
  <si>
    <t>ｼﾞｰﾌﾟﾗﾝｸﾞﾗｰ  ｱﾝﾘﾐﾃｯﾄﾞｻﾊﾗ</t>
    <phoneticPr fontId="13"/>
  </si>
  <si>
    <t>1C4HJXLN8PW526528</t>
    <phoneticPr fontId="13"/>
  </si>
  <si>
    <t>27-3519</t>
  </si>
  <si>
    <t>27-3520</t>
  </si>
  <si>
    <t>27-3521</t>
  </si>
  <si>
    <t>27-3522</t>
  </si>
  <si>
    <t>27-3523</t>
  </si>
  <si>
    <t>27-3524</t>
  </si>
  <si>
    <t>27-3525</t>
  </si>
  <si>
    <t>WMW22DK0602R68791</t>
    <phoneticPr fontId="13"/>
  </si>
  <si>
    <t>BMW X3 Xﾄﾞﾗｲﾌﾞ20i</t>
    <phoneticPr fontId="13"/>
  </si>
  <si>
    <t>WBATY16050N033322</t>
    <phoneticPr fontId="13"/>
  </si>
  <si>
    <t>ﾌｨｱｯﾄ500X ｽﾎﾟｰﾂ</t>
    <phoneticPr fontId="13"/>
  </si>
  <si>
    <t>ZFA3340000P870426</t>
    <phoneticPr fontId="13"/>
  </si>
  <si>
    <t>WMWXY320502P11622</t>
    <phoneticPr fontId="13"/>
  </si>
  <si>
    <t>ZFA3120000J930970</t>
    <phoneticPr fontId="13"/>
  </si>
  <si>
    <t>27-3526</t>
  </si>
  <si>
    <t>27-3527</t>
  </si>
  <si>
    <t>27-3528</t>
  </si>
  <si>
    <t>A338070</t>
    <phoneticPr fontId="13"/>
  </si>
  <si>
    <t>L700S-0336146</t>
    <phoneticPr fontId="13"/>
  </si>
  <si>
    <t>A336979</t>
    <phoneticPr fontId="13"/>
  </si>
  <si>
    <t>MK42S-618986</t>
    <phoneticPr fontId="13"/>
  </si>
  <si>
    <t>A336153</t>
    <phoneticPr fontId="13"/>
  </si>
  <si>
    <t>JF1-1835701</t>
    <phoneticPr fontId="13"/>
  </si>
  <si>
    <t>A335533</t>
    <phoneticPr fontId="13"/>
  </si>
  <si>
    <t>JF3-2329237</t>
    <phoneticPr fontId="13"/>
  </si>
  <si>
    <t>ｽﾍﾟｰｼｱｶｽﾀﾑ XSﾃﾞｭｱﾙｶﾒﾗ</t>
    <phoneticPr fontId="13"/>
  </si>
  <si>
    <t>9/6/27</t>
    <phoneticPr fontId="13"/>
  </si>
  <si>
    <t>16/3</t>
    <phoneticPr fontId="13"/>
  </si>
  <si>
    <t>ﾐﾗｲﾌﾞ愛知</t>
    <rPh sb="5" eb="7">
      <t>アイチ</t>
    </rPh>
    <phoneticPr fontId="13"/>
  </si>
  <si>
    <t>27-3529</t>
  </si>
  <si>
    <t>27-3530</t>
  </si>
  <si>
    <t>27-3531</t>
  </si>
  <si>
    <t>27-3532</t>
  </si>
  <si>
    <t>27-3533</t>
  </si>
  <si>
    <t>27-3534</t>
  </si>
  <si>
    <t>MK53S-019108</t>
    <phoneticPr fontId="13"/>
  </si>
  <si>
    <t>LA300S-1327987</t>
    <phoneticPr fontId="13"/>
  </si>
  <si>
    <t>MK53S-352548</t>
    <phoneticPr fontId="13"/>
  </si>
  <si>
    <t>JB23W-779211</t>
    <phoneticPr fontId="13"/>
  </si>
  <si>
    <t>LA300S-1400195</t>
    <phoneticPr fontId="13"/>
  </si>
  <si>
    <t>DA17V-850187</t>
    <phoneticPr fontId="13"/>
  </si>
  <si>
    <t>ｴﾌﾞﾘｨﾊﾞﾝ　ｼﾞｮｲﾝﾀｰﾎﾞ</t>
    <phoneticPr fontId="13"/>
  </si>
  <si>
    <t>ﾐﾗｲｰｽ　 L SA</t>
    <phoneticPr fontId="13"/>
  </si>
  <si>
    <t>ｽﾍﾟｰｼ ﾊｲﾌﾞﾘｯﾄﾞG</t>
    <phoneticPr fontId="13"/>
  </si>
  <si>
    <t>ﾐﾗｲｰｽ　XﾘﾐﾃｯﾄﾞSA</t>
    <phoneticPr fontId="13"/>
  </si>
  <si>
    <t>株式会社ﾏﾂｼﾏﾎｰﾙﾃﾞｨﾝｸﾞｽ</t>
    <rPh sb="0" eb="4">
      <t>カブシキガイシャ</t>
    </rPh>
    <phoneticPr fontId="13"/>
  </si>
  <si>
    <t>姫路 313 る 1010</t>
    <rPh sb="0" eb="2">
      <t>ヒメジ</t>
    </rPh>
    <phoneticPr fontId="13"/>
  </si>
  <si>
    <t>青木 慎吾</t>
    <rPh sb="0" eb="2">
      <t>アオキ</t>
    </rPh>
    <rPh sb="3" eb="5">
      <t>シンゴ</t>
    </rPh>
    <phoneticPr fontId="13"/>
  </si>
  <si>
    <t>西 徹也</t>
    <rPh sb="0" eb="1">
      <t>ニシ</t>
    </rPh>
    <rPh sb="2" eb="4">
      <t>テツヤ</t>
    </rPh>
    <phoneticPr fontId="13"/>
  </si>
  <si>
    <t>保証書 取説 地図SD SD</t>
    <rPh sb="0" eb="3">
      <t>ホショウショ</t>
    </rPh>
    <rPh sb="4" eb="6">
      <t>トリセツ</t>
    </rPh>
    <rPh sb="7" eb="9">
      <t>チズ</t>
    </rPh>
    <phoneticPr fontId="13"/>
  </si>
  <si>
    <t>姫路 599 に 458</t>
    <rPh sb="0" eb="2">
      <t>ヒメジ</t>
    </rPh>
    <phoneticPr fontId="13"/>
  </si>
  <si>
    <t>株式会社ｱｰﾙｴｽ</t>
    <rPh sb="0" eb="4">
      <t>カブシキガイシャ</t>
    </rPh>
    <phoneticPr fontId="13"/>
  </si>
  <si>
    <t>地図SD ﾜﾝｵｰﾅｰ</t>
    <rPh sb="0" eb="2">
      <t>チズ</t>
    </rPh>
    <phoneticPr fontId="13"/>
  </si>
  <si>
    <t>広島 301 も 8199</t>
    <rPh sb="0" eb="2">
      <t>ヒロシマ</t>
    </rPh>
    <phoneticPr fontId="13"/>
  </si>
  <si>
    <t>日産ﾌﾟﾘﾝｽ広島販売株式会社</t>
    <rPh sb="0" eb="2">
      <t>ニッサン</t>
    </rPh>
    <rPh sb="7" eb="9">
      <t>ヒロシマ</t>
    </rPh>
    <rPh sb="9" eb="15">
      <t>ハンバイカブシキガイシャ</t>
    </rPh>
    <phoneticPr fontId="13"/>
  </si>
  <si>
    <t>ｷｰﾚｽ(車内)保証書 取説 ﾘﾓｺﾝ</t>
    <rPh sb="5" eb="7">
      <t>シャナイ</t>
    </rPh>
    <rPh sb="8" eb="11">
      <t>ホショウショ</t>
    </rPh>
    <rPh sb="12" eb="14">
      <t>トリセツ</t>
    </rPh>
    <phoneticPr fontId="13"/>
  </si>
  <si>
    <t>保証書 取説 ｷｰﾚｽ ﾜﾝｵｰﾅｰかも？</t>
    <rPh sb="0" eb="3">
      <t>ホショウショ</t>
    </rPh>
    <rPh sb="4" eb="6">
      <t>トリセツ</t>
    </rPh>
    <phoneticPr fontId="13"/>
  </si>
  <si>
    <t>奈良 599 と 7921</t>
    <rPh sb="0" eb="2">
      <t>ナラ</t>
    </rPh>
    <phoneticPr fontId="13"/>
  </si>
  <si>
    <t>八光自動車工業株式会社</t>
    <rPh sb="0" eb="2">
      <t>ハチミツ</t>
    </rPh>
    <rPh sb="2" eb="5">
      <t>ジドウシャ</t>
    </rPh>
    <rPh sb="5" eb="11">
      <t>コウギョウカブシキガイシャ</t>
    </rPh>
    <phoneticPr fontId="13"/>
  </si>
  <si>
    <t>愛媛 330 ほ 8055</t>
    <rPh sb="0" eb="2">
      <t>エヒメ</t>
    </rPh>
    <phoneticPr fontId="13"/>
  </si>
  <si>
    <t>長野 幸利</t>
    <rPh sb="0" eb="2">
      <t>ナガノ</t>
    </rPh>
    <rPh sb="3" eb="5">
      <t>ユキトシ</t>
    </rPh>
    <phoneticPr fontId="13"/>
  </si>
  <si>
    <t>27-3535</t>
  </si>
  <si>
    <t>27-3536</t>
  </si>
  <si>
    <t>27-3537</t>
  </si>
  <si>
    <t>27-3538</t>
  </si>
  <si>
    <t>27-3539</t>
  </si>
  <si>
    <t>27-3540</t>
  </si>
  <si>
    <t>27-3541</t>
  </si>
  <si>
    <t>27-3542</t>
  </si>
  <si>
    <t>27-3543</t>
  </si>
  <si>
    <t>27-3544</t>
  </si>
  <si>
    <t>27-3545</t>
  </si>
  <si>
    <t>27-3546</t>
  </si>
  <si>
    <t>27-3547</t>
  </si>
  <si>
    <t>27-3548</t>
  </si>
  <si>
    <t>27-3549</t>
  </si>
  <si>
    <t>JW5-1021249</t>
    <phoneticPr fontId="13"/>
  </si>
  <si>
    <t>LA700S-0166998</t>
    <phoneticPr fontId="13"/>
  </si>
  <si>
    <t>ﾌﾟﾘｳｽa　Sﾂｰﾘﾝｸﾞｾﾚｸｼｮﾝ</t>
    <phoneticPr fontId="13"/>
  </si>
  <si>
    <t>ZVW40-3114591</t>
    <phoneticPr fontId="13"/>
  </si>
  <si>
    <t>HE33S-438077</t>
    <phoneticPr fontId="13"/>
  </si>
  <si>
    <t>DA17V-779119</t>
    <phoneticPr fontId="13"/>
  </si>
  <si>
    <t>MN71S-115092</t>
    <phoneticPr fontId="13"/>
  </si>
  <si>
    <t>ﾜｺﾞﾝR FA　</t>
    <phoneticPr fontId="13"/>
  </si>
  <si>
    <t>MH34S-380682</t>
    <phoneticPr fontId="13"/>
  </si>
  <si>
    <t>DA17V-763818</t>
    <phoneticPr fontId="13"/>
  </si>
  <si>
    <t>ﾊｽﾗｰ　Jｽﾀｲﾙ</t>
    <phoneticPr fontId="13"/>
  </si>
  <si>
    <t>MR92S-158163</t>
    <phoneticPr fontId="13"/>
  </si>
  <si>
    <t>MR41S-108109</t>
    <phoneticPr fontId="13"/>
  </si>
  <si>
    <t>HE33S-236839</t>
    <phoneticPr fontId="13"/>
  </si>
  <si>
    <t>HE33S-220527</t>
    <phoneticPr fontId="13"/>
  </si>
  <si>
    <t>ｴﾌﾞﾘｨ　ｼﾞｮｲﾝﾀｰﾎﾞ</t>
    <phoneticPr fontId="13"/>
  </si>
  <si>
    <t>DA17V-746991</t>
    <phoneticPr fontId="13"/>
  </si>
  <si>
    <t>MH55S-277272</t>
    <phoneticPr fontId="13"/>
  </si>
  <si>
    <t>DA17V-390990</t>
    <phoneticPr fontId="13"/>
  </si>
  <si>
    <t>27-3550</t>
  </si>
  <si>
    <t>27-3551</t>
  </si>
  <si>
    <t>27-3552</t>
  </si>
  <si>
    <t>27-3553</t>
  </si>
  <si>
    <t>27-3554</t>
  </si>
  <si>
    <t>27-3555</t>
  </si>
  <si>
    <t>27-3556</t>
  </si>
  <si>
    <t>27-3557</t>
  </si>
  <si>
    <t>27-3558</t>
  </si>
  <si>
    <t>ｼﾞｬｶﾞｰXE　Rｽﾎﾟｰﾂ</t>
    <phoneticPr fontId="13"/>
  </si>
  <si>
    <t>27-3559</t>
  </si>
  <si>
    <t>27-3560</t>
  </si>
  <si>
    <t>27-3561</t>
  </si>
  <si>
    <t>27-3562</t>
  </si>
  <si>
    <t>27-3563</t>
  </si>
  <si>
    <t>27-3564</t>
  </si>
  <si>
    <t>27-3565</t>
  </si>
  <si>
    <t>ﾌﾟﾘｳｽｱﾙﾌｧ　G</t>
    <phoneticPr fontId="13"/>
  </si>
  <si>
    <t>ZVW41-3386438</t>
    <phoneticPr fontId="13"/>
  </si>
  <si>
    <t>ﾌﾟﾘｳｽ　SﾂｰﾘﾝｸﾞｾﾚｸｼｮﾝGS</t>
    <phoneticPr fontId="13"/>
  </si>
  <si>
    <t>ZVW30-5735728</t>
    <phoneticPr fontId="13"/>
  </si>
  <si>
    <t>ZR-V　Z</t>
    <phoneticPr fontId="13"/>
  </si>
  <si>
    <t>RZ3-1000814</t>
    <phoneticPr fontId="13"/>
  </si>
  <si>
    <t>ZVW51-6006519</t>
    <phoneticPr fontId="13"/>
  </si>
  <si>
    <t>HE33S-162979</t>
    <phoneticPr fontId="13"/>
  </si>
  <si>
    <t>ﾊｲｾﾞｯﾄｶｰｺﾞ ｸﾙｰｽﾞ　ﾀｰﾎﾞ</t>
    <phoneticPr fontId="13"/>
  </si>
  <si>
    <t>S700V-0088091</t>
    <phoneticPr fontId="13"/>
  </si>
  <si>
    <t>ﾎﾟﾙｼｪ　ﾏｶﾝ</t>
    <phoneticPr fontId="13"/>
  </si>
  <si>
    <t>MﾍﾞﾝﾂGLB200ｄ　4ﾏﾁｯｸAMGﾗｲﾝ</t>
    <phoneticPr fontId="13"/>
  </si>
  <si>
    <t>27-3566</t>
  </si>
  <si>
    <t>27-3567</t>
  </si>
  <si>
    <t>27-3568</t>
  </si>
  <si>
    <t>ZRR80-0163024</t>
    <phoneticPr fontId="13"/>
  </si>
  <si>
    <t>BMWX1　Xﾄﾞﾗｲﾌﾞ　18ｄ　Ｍｽﾎﾟｰﾂ</t>
    <phoneticPr fontId="13"/>
  </si>
  <si>
    <t>BMWﾐﾆ　ｸｰﾊﾟｰｸﾗﾌﾞﾏﾝ</t>
    <phoneticPr fontId="13"/>
  </si>
  <si>
    <t>31/</t>
    <phoneticPr fontId="13"/>
  </si>
  <si>
    <t>WMWYT920403D50953</t>
    <phoneticPr fontId="13"/>
  </si>
  <si>
    <t>SAJAB4AX9KCP51960</t>
    <phoneticPr fontId="13"/>
  </si>
  <si>
    <t>VF1AH0002K0804038</t>
    <phoneticPr fontId="13"/>
  </si>
  <si>
    <t>WMWXT720602F35303</t>
    <phoneticPr fontId="13"/>
  </si>
  <si>
    <t>神戸　304　ゆ　1317</t>
    <rPh sb="0" eb="2">
      <t>コウベ</t>
    </rPh>
    <phoneticPr fontId="13"/>
  </si>
  <si>
    <t>愛媛　333　も　716</t>
    <rPh sb="0" eb="2">
      <t>エヒメ</t>
    </rPh>
    <phoneticPr fontId="13"/>
  </si>
  <si>
    <t>神戸　480　よ　2624</t>
    <rPh sb="0" eb="2">
      <t>コウベ</t>
    </rPh>
    <phoneticPr fontId="13"/>
  </si>
  <si>
    <t>WP1ZZZ95ZMLB04598</t>
    <phoneticPr fontId="13"/>
  </si>
  <si>
    <t>愛媛　334　り　205</t>
    <rPh sb="0" eb="2">
      <t>エヒメ</t>
    </rPh>
    <phoneticPr fontId="13"/>
  </si>
  <si>
    <t>WMWXR9200102L03683</t>
    <phoneticPr fontId="13"/>
  </si>
  <si>
    <t>W1N2476132W257922</t>
    <phoneticPr fontId="13"/>
  </si>
  <si>
    <t>大阪　304　た　2307</t>
    <rPh sb="0" eb="2">
      <t>オオサカ</t>
    </rPh>
    <phoneticPr fontId="13"/>
  </si>
  <si>
    <t>MﾍﾞﾝﾂE250　AVGｽﾎﾟｰﾂ</t>
    <phoneticPr fontId="13"/>
  </si>
  <si>
    <t>WDD2132452A236337</t>
    <phoneticPr fontId="13"/>
  </si>
  <si>
    <t>WMWLN720X02H57495</t>
    <phoneticPr fontId="13"/>
  </si>
  <si>
    <t>WBA32AD0X03Ｍ30671</t>
    <phoneticPr fontId="13"/>
  </si>
  <si>
    <t>練馬　302　ね　9175</t>
    <rPh sb="0" eb="2">
      <t>ネリマ</t>
    </rPh>
    <phoneticPr fontId="13"/>
  </si>
  <si>
    <t>WMWLV320402L40752</t>
    <phoneticPr fontId="13"/>
  </si>
  <si>
    <r>
      <t>保証書 取説 ﾚﾝﾀｶｰ</t>
    </r>
    <r>
      <rPr>
        <sz val="11"/>
        <color rgb="FFFF0000"/>
        <rFont val="ＭＳ Ｐゴシック"/>
        <family val="3"/>
        <charset val="128"/>
        <scheme val="minor"/>
      </rPr>
      <t xml:space="preserve"> </t>
    </r>
    <r>
      <rPr>
        <sz val="11"/>
        <color theme="3"/>
        <rFont val="ＭＳ Ｐゴシック"/>
        <family val="3"/>
        <charset val="128"/>
        <scheme val="minor"/>
      </rPr>
      <t>ｽﾍﾟｱｷｰなしｸﾚｰﾑ済</t>
    </r>
    <rPh sb="0" eb="3">
      <t>ホショウショ</t>
    </rPh>
    <rPh sb="4" eb="6">
      <t>トリセツ</t>
    </rPh>
    <rPh sb="25" eb="26">
      <t>ズ</t>
    </rPh>
    <phoneticPr fontId="13"/>
  </si>
  <si>
    <t>一宮 300 ぬ 6968</t>
    <rPh sb="0" eb="2">
      <t>イチノミヤ</t>
    </rPh>
    <phoneticPr fontId="13"/>
  </si>
  <si>
    <t>地図SD(車内)保証書 取説 ﾅﾋﾞ取 ｽﾍﾟｱｷｰ ﾜﾝｵｰﾅｰ</t>
    <rPh sb="8" eb="11">
      <t>ホショウショ</t>
    </rPh>
    <rPh sb="12" eb="14">
      <t>トリセツ</t>
    </rPh>
    <rPh sb="18" eb="19">
      <t>トリ</t>
    </rPh>
    <phoneticPr fontId="13"/>
  </si>
  <si>
    <t>ｷｬﾝｾﾙ返送3/16</t>
    <rPh sb="5" eb="7">
      <t>ヘンソウ</t>
    </rPh>
    <phoneticPr fontId="13"/>
  </si>
  <si>
    <t>京都 30H ろ 7</t>
    <rPh sb="0" eb="2">
      <t>キョウト</t>
    </rPh>
    <phoneticPr fontId="13"/>
  </si>
  <si>
    <t>田尻 浩樹</t>
    <rPh sb="0" eb="2">
      <t>タジリ</t>
    </rPh>
    <rPh sb="3" eb="4">
      <t>ヒロシ</t>
    </rPh>
    <rPh sb="4" eb="5">
      <t>キ</t>
    </rPh>
    <phoneticPr fontId="13"/>
  </si>
  <si>
    <t>保証書 取説 ｷｰﾚｽ 印鑑証明6/5</t>
    <rPh sb="0" eb="3">
      <t>ホショウショ</t>
    </rPh>
    <rPh sb="4" eb="6">
      <t>トリセツ</t>
    </rPh>
    <rPh sb="12" eb="16">
      <t>インカンショウメイ</t>
    </rPh>
    <phoneticPr fontId="13"/>
  </si>
  <si>
    <t>古賀 柊二</t>
    <rPh sb="0" eb="2">
      <t>コガ</t>
    </rPh>
    <rPh sb="3" eb="4">
      <t>シュウ</t>
    </rPh>
    <rPh sb="4" eb="5">
      <t>ニ</t>
    </rPh>
    <phoneticPr fontId="13"/>
  </si>
  <si>
    <t>和泉 329 に 7637</t>
    <rPh sb="0" eb="2">
      <t>イズミ</t>
    </rPh>
    <phoneticPr fontId="13"/>
  </si>
  <si>
    <t>WBA2C12090V611714</t>
    <phoneticPr fontId="13"/>
  </si>
  <si>
    <t>WMWR32000TL99555</t>
    <phoneticPr fontId="13"/>
  </si>
  <si>
    <t>株式会社ﾎﾝﾀﾞﾓﾋﾞﾘﾃｨ中四国</t>
    <rPh sb="0" eb="4">
      <t>カブシキガイシャ</t>
    </rPh>
    <phoneticPr fontId="13"/>
  </si>
  <si>
    <t>付属品車内？問い合わせ中</t>
    <rPh sb="0" eb="3">
      <t>フゾクヒン</t>
    </rPh>
    <rPh sb="3" eb="5">
      <t>シャナイ</t>
    </rPh>
    <rPh sb="6" eb="7">
      <t>ト</t>
    </rPh>
    <rPh sb="8" eb="9">
      <t>ア</t>
    </rPh>
    <rPh sb="11" eb="12">
      <t>チュウ</t>
    </rPh>
    <phoneticPr fontId="13"/>
  </si>
  <si>
    <t>ｽﾍﾟｱｷｰ？なしそのまま送る</t>
    <rPh sb="13" eb="14">
      <t>オク</t>
    </rPh>
    <phoneticPr fontId="13"/>
  </si>
  <si>
    <t>USS連絡あり</t>
    <rPh sb="3" eb="5">
      <t>レンラク</t>
    </rPh>
    <phoneticPr fontId="13"/>
  </si>
  <si>
    <t>塚田様</t>
    <rPh sb="0" eb="2">
      <t>ツカダ</t>
    </rPh>
    <rPh sb="2" eb="3">
      <t>サマ</t>
    </rPh>
    <phoneticPr fontId="13"/>
  </si>
  <si>
    <t>27-3569</t>
  </si>
  <si>
    <t>27-3570</t>
  </si>
  <si>
    <t>BMWﾐﾆ ｼﾞｮﾝｸｰﾊﾟｰﾜｰｸｽ ｸﾛｽｵｰﾊﾞｰ</t>
    <phoneticPr fontId="13"/>
  </si>
  <si>
    <t>WMWYV920203E42556</t>
    <phoneticPr fontId="13"/>
  </si>
  <si>
    <t>神戸 348 ち 60</t>
    <rPh sb="0" eb="2">
      <t>コウベ</t>
    </rPh>
    <phoneticPr fontId="13"/>
  </si>
  <si>
    <t>ZHANG様</t>
    <rPh sb="5" eb="6">
      <t>サマ</t>
    </rPh>
    <phoneticPr fontId="13"/>
  </si>
  <si>
    <t>ﾚｸｻｽ</t>
    <phoneticPr fontId="13"/>
  </si>
  <si>
    <t>GRL10-6000233</t>
    <phoneticPr fontId="13"/>
  </si>
  <si>
    <t>9/1/25</t>
    <phoneticPr fontId="13"/>
  </si>
  <si>
    <t>塚田 理人</t>
    <phoneticPr fontId="13"/>
  </si>
  <si>
    <t>姫路 331 め 6060</t>
    <rPh sb="0" eb="2">
      <t>ヒメジ</t>
    </rPh>
    <phoneticPr fontId="13"/>
  </si>
  <si>
    <t>ZHANG YINSHENG</t>
    <phoneticPr fontId="13"/>
  </si>
  <si>
    <t>保証書  取説 ｷｰﾚｽ 地図SD(車内)</t>
    <rPh sb="5" eb="7">
      <t>トリセツ</t>
    </rPh>
    <rPh sb="13" eb="15">
      <t>チズ</t>
    </rPh>
    <rPh sb="18" eb="20">
      <t>シャナイ</t>
    </rPh>
    <phoneticPr fontId="13"/>
  </si>
  <si>
    <t>保証書 取説 ﾘｻｲｸﾙ券(車内)ｷｰﾚｽ</t>
    <rPh sb="0" eb="3">
      <t>ホショウショ</t>
    </rPh>
    <rPh sb="4" eb="6">
      <t>トリセツ</t>
    </rPh>
    <rPh sb="12" eb="13">
      <t>ケン</t>
    </rPh>
    <phoneticPr fontId="13"/>
  </si>
  <si>
    <t>27-3571</t>
  </si>
  <si>
    <t>27-3572</t>
  </si>
  <si>
    <t>27-3573</t>
  </si>
  <si>
    <t>27-3574</t>
  </si>
  <si>
    <t>27-3575</t>
  </si>
  <si>
    <t>ﾒﾙｾﾃﾞｽﾍﾞﾝﾂ Bｸﾗｽ 180 AMGﾗｲﾝ</t>
    <phoneticPr fontId="13"/>
  </si>
  <si>
    <t>W1K2470842J170402</t>
    <phoneticPr fontId="13"/>
  </si>
  <si>
    <t>和歌山 356 り 1010</t>
    <rPh sb="0" eb="3">
      <t>ワカヤマ</t>
    </rPh>
    <phoneticPr fontId="13"/>
  </si>
  <si>
    <t>BMWﾐﾆｸｰﾊﾟｰDD ｸﾗﾌﾞﾏﾝ</t>
    <phoneticPr fontId="13"/>
  </si>
  <si>
    <t>WMWLR920002E73373</t>
    <phoneticPr fontId="13"/>
  </si>
  <si>
    <t>一宮 300 は 1638</t>
    <rPh sb="0" eb="2">
      <t>イチノミヤ</t>
    </rPh>
    <phoneticPr fontId="13"/>
  </si>
  <si>
    <t>BMWﾐﾆｸｰﾊﾟｰS Eｸﾛｽｵｰﾊﾞｰ</t>
    <phoneticPr fontId="13"/>
  </si>
  <si>
    <t>WMWYU720X03E33448</t>
    <phoneticPr fontId="13"/>
  </si>
  <si>
    <t>品川 334 む 3298</t>
    <rPh sb="0" eb="2">
      <t>シナガワ</t>
    </rPh>
    <phoneticPr fontId="13"/>
  </si>
  <si>
    <t>BMWﾐﾆｸﾗﾌﾞﾏﾝ ｸｰﾊﾟｰ</t>
    <phoneticPr fontId="13"/>
  </si>
  <si>
    <t>WMWLN320402D75343</t>
    <phoneticPr fontId="13"/>
  </si>
  <si>
    <t>27-3576</t>
  </si>
  <si>
    <t>27-3577</t>
  </si>
  <si>
    <t>BMW X2 xﾄﾞﾗｲﾌﾞ20i Mｽﾎﾟｰﾂ</t>
    <phoneticPr fontId="13"/>
  </si>
  <si>
    <t>大阪 355 そ 178</t>
    <rPh sb="0" eb="2">
      <t>オオサカ</t>
    </rPh>
    <phoneticPr fontId="13"/>
  </si>
  <si>
    <t>取説がﾅﾋﾞ取だったと連絡あり</t>
    <rPh sb="0" eb="2">
      <t>トリセツ</t>
    </rPh>
    <rPh sb="6" eb="7">
      <t>トリ</t>
    </rPh>
    <rPh sb="11" eb="13">
      <t>レンラク</t>
    </rPh>
    <phoneticPr fontId="13"/>
  </si>
  <si>
    <t>A336608</t>
    <phoneticPr fontId="13"/>
  </si>
  <si>
    <t>MR41S-111221</t>
    <phoneticPr fontId="13"/>
  </si>
  <si>
    <t>A336402</t>
    <phoneticPr fontId="13"/>
  </si>
  <si>
    <t>LA150S-0121985</t>
    <phoneticPr fontId="13"/>
  </si>
  <si>
    <t>8/6/18</t>
    <phoneticPr fontId="13"/>
  </si>
  <si>
    <t>ﾑｰﾌﾞｶｽﾀﾑX ﾘﾐﾃｯﾄﾞSA</t>
    <phoneticPr fontId="13"/>
  </si>
  <si>
    <t>301 ね 8559</t>
    <phoneticPr fontId="13"/>
  </si>
  <si>
    <t>301 ね 8558</t>
    <phoneticPr fontId="13"/>
  </si>
  <si>
    <t>３０１ね 8560</t>
    <phoneticPr fontId="13"/>
  </si>
  <si>
    <t>岐阜 593 て 1107</t>
    <rPh sb="0" eb="2">
      <t>ギフ</t>
    </rPh>
    <phoneticPr fontId="13"/>
  </si>
  <si>
    <t>岐阜ﾀﾞｲﾊﾂ販売株式会社</t>
    <rPh sb="0" eb="2">
      <t>ギフ</t>
    </rPh>
    <rPh sb="7" eb="13">
      <t>ハンバイカブシキガイシャ</t>
    </rPh>
    <phoneticPr fontId="13"/>
  </si>
  <si>
    <t>保証書 取説 ｽﾍﾟｱｷｰ ﾜﾝｵｰﾅｰ</t>
    <phoneticPr fontId="13"/>
  </si>
  <si>
    <t>301 と 9754</t>
    <phoneticPr fontId="13"/>
  </si>
  <si>
    <t>静岡 399 んぶ 2160</t>
    <rPh sb="0" eb="2">
      <t>シズオカ</t>
    </rPh>
    <phoneticPr fontId="13"/>
  </si>
  <si>
    <t xml:space="preserve">保証書 取説 </t>
    <rPh sb="4" eb="6">
      <t>トリセツ</t>
    </rPh>
    <phoneticPr fontId="13"/>
  </si>
  <si>
    <t>399 ね 6939</t>
    <phoneticPr fontId="13"/>
  </si>
  <si>
    <t>480 ね 4759</t>
    <phoneticPr fontId="13"/>
  </si>
  <si>
    <t>582 う 4214</t>
    <phoneticPr fontId="13"/>
  </si>
  <si>
    <t>582 う 4216</t>
    <phoneticPr fontId="13"/>
  </si>
  <si>
    <t>582 う 4215</t>
    <phoneticPr fontId="13"/>
  </si>
  <si>
    <t>480 ね 4758</t>
    <phoneticPr fontId="13"/>
  </si>
  <si>
    <t>582 う 4217</t>
    <phoneticPr fontId="13"/>
  </si>
  <si>
    <t>27-3578</t>
  </si>
  <si>
    <t>27-3579</t>
  </si>
  <si>
    <t>NTP名古屋ﾄﾖﾍﾟｯﾄ株式会社</t>
    <rPh sb="3" eb="6">
      <t>ナゴヤ</t>
    </rPh>
    <rPh sb="12" eb="16">
      <t>カブシキガイシャ</t>
    </rPh>
    <phoneticPr fontId="13"/>
  </si>
  <si>
    <t>滋賀 581 さ 5169</t>
    <rPh sb="0" eb="2">
      <t>シガ</t>
    </rPh>
    <phoneticPr fontId="13"/>
  </si>
  <si>
    <t>岐阜 485 け 510</t>
    <rPh sb="0" eb="2">
      <t>ギフ</t>
    </rPh>
    <phoneticPr fontId="13"/>
  </si>
  <si>
    <t>とちぎ 580 や 4071</t>
    <phoneticPr fontId="13"/>
  </si>
  <si>
    <t>株式会社ひさごや</t>
    <rPh sb="0" eb="4">
      <t>カブシキガイシャ</t>
    </rPh>
    <phoneticPr fontId="13"/>
  </si>
  <si>
    <t>名古屋 487 ろ 2692</t>
    <rPh sb="0" eb="3">
      <t>ナゴヤ</t>
    </rPh>
    <phoneticPr fontId="13"/>
  </si>
  <si>
    <t>なにわ 5P9 ろ 6713</t>
    <phoneticPr fontId="13"/>
  </si>
  <si>
    <t>ﾒﾙｾﾃﾞｽﾍﾞﾝﾂ ﾌｧｲﾅﾝｽ株式会社</t>
    <rPh sb="17" eb="21">
      <t>カブシキガイシャ</t>
    </rPh>
    <phoneticPr fontId="13"/>
  </si>
  <si>
    <t>神戸 39A た 5700</t>
    <rPh sb="0" eb="2">
      <t>コウベ</t>
    </rPh>
    <phoneticPr fontId="13"/>
  </si>
  <si>
    <t>神戸 362 ま 35</t>
    <rPh sb="0" eb="2">
      <t>コウベ</t>
    </rPh>
    <phoneticPr fontId="13"/>
  </si>
  <si>
    <t>582 う 4374</t>
    <phoneticPr fontId="13"/>
  </si>
  <si>
    <t>27-3580</t>
  </si>
  <si>
    <t>27-3581</t>
  </si>
  <si>
    <t>27-3582</t>
  </si>
  <si>
    <t>27-3583</t>
  </si>
  <si>
    <t>27-3584</t>
  </si>
  <si>
    <t>27-3585</t>
  </si>
  <si>
    <t>27-3586</t>
  </si>
  <si>
    <t>27-3587</t>
  </si>
  <si>
    <t>27-3588</t>
  </si>
  <si>
    <t>27-3589</t>
  </si>
  <si>
    <t>27-3590</t>
  </si>
  <si>
    <t>27-3591</t>
  </si>
  <si>
    <t>27-3592</t>
  </si>
  <si>
    <t>27-3593</t>
  </si>
  <si>
    <t>27-3594</t>
  </si>
  <si>
    <t>ﾙﾉｰｶﾝｸﾞｰ　ｾﾞﾝ</t>
    <phoneticPr fontId="13"/>
  </si>
  <si>
    <t>VF1KW14B3K0803365</t>
    <phoneticPr fontId="13"/>
  </si>
  <si>
    <t>9/2/12</t>
    <phoneticPr fontId="13"/>
  </si>
  <si>
    <t>横浜　373　み　830</t>
    <rPh sb="0" eb="2">
      <t>ヨコハマ</t>
    </rPh>
    <phoneticPr fontId="13"/>
  </si>
  <si>
    <t>WMWXU920902P12772</t>
    <phoneticPr fontId="13"/>
  </si>
  <si>
    <t>ｱﾙﾄ　F</t>
    <phoneticPr fontId="13"/>
  </si>
  <si>
    <t>HA36S-611477</t>
    <phoneticPr fontId="13"/>
  </si>
  <si>
    <t>MK53S-257469</t>
    <phoneticPr fontId="13"/>
  </si>
  <si>
    <t>HA36S-540878</t>
    <phoneticPr fontId="13"/>
  </si>
  <si>
    <t>27-3595</t>
  </si>
  <si>
    <t>27-3596</t>
  </si>
  <si>
    <t>27-3597</t>
  </si>
  <si>
    <t>27-3598</t>
  </si>
  <si>
    <t>27-3599</t>
  </si>
  <si>
    <t>27-3600</t>
  </si>
  <si>
    <t>27-3601</t>
  </si>
  <si>
    <t>27-3602</t>
  </si>
  <si>
    <t>ｳﾞｫｸｼｰ　XSｷﾗﾒｷ</t>
    <phoneticPr fontId="13"/>
  </si>
  <si>
    <t>ZRR80-0203563</t>
    <phoneticPr fontId="13"/>
  </si>
  <si>
    <t>ZVW40-0018867</t>
    <phoneticPr fontId="13"/>
  </si>
  <si>
    <t>LA150S-2120468</t>
    <phoneticPr fontId="13"/>
  </si>
  <si>
    <t>HE33S-250531</t>
    <phoneticPr fontId="13"/>
  </si>
  <si>
    <t>DA17V-914031</t>
    <phoneticPr fontId="13"/>
  </si>
  <si>
    <t>LA150S-2115886</t>
    <phoneticPr fontId="13"/>
  </si>
  <si>
    <t>ｷｬｽﾄ　ｽﾀｲﾙX　SaⅢ</t>
    <phoneticPr fontId="13"/>
  </si>
  <si>
    <t>LA250S-0226180</t>
    <phoneticPr fontId="13"/>
  </si>
  <si>
    <t>LA150S-0056406</t>
    <phoneticPr fontId="13"/>
  </si>
  <si>
    <t>DA17W-173169</t>
    <phoneticPr fontId="13"/>
  </si>
  <si>
    <t>ｽﾍﾟｰｼｱｶｽﾀﾑ　ﾊｲﾌﾞﾘｯﾄﾞ　ｶｽﾀﾑXSﾀｰﾎﾞ</t>
    <phoneticPr fontId="13"/>
  </si>
  <si>
    <t>MK53S-947901</t>
    <phoneticPr fontId="13"/>
  </si>
  <si>
    <t>S510P-0501533</t>
    <phoneticPr fontId="13"/>
  </si>
  <si>
    <t>N　BOXｶｽﾀﾑ　ﾀｰﾎﾞSSﾌﾞﾗｯｸｽﾀｲﾙ</t>
    <phoneticPr fontId="13"/>
  </si>
  <si>
    <t>JF1-2545313</t>
    <phoneticPr fontId="13"/>
  </si>
  <si>
    <t>MR31S-121192</t>
    <phoneticPr fontId="13"/>
  </si>
  <si>
    <t>MﾍﾞﾝﾂE</t>
    <phoneticPr fontId="13"/>
  </si>
  <si>
    <t>ｱｳﾃﾞｨA4ｱﾊﾞﾝﾄ　35TFSI　Sﾗｲﾝ</t>
    <phoneticPr fontId="13"/>
  </si>
  <si>
    <t>28/2</t>
    <rPh sb="0" eb="2">
      <t>ヨウト</t>
    </rPh>
    <phoneticPr fontId="13"/>
  </si>
  <si>
    <t>京都　343　た　1213</t>
    <rPh sb="0" eb="2">
      <t>キョウト</t>
    </rPh>
    <phoneticPr fontId="13"/>
  </si>
  <si>
    <t>京都　580　わ　8677</t>
    <rPh sb="0" eb="2">
      <t>キョウト</t>
    </rPh>
    <phoneticPr fontId="13"/>
  </si>
  <si>
    <t>和泉　581　ぬ　1937</t>
    <rPh sb="0" eb="2">
      <t>イズミ</t>
    </rPh>
    <phoneticPr fontId="13"/>
  </si>
  <si>
    <t>京都　480　ま　9403</t>
    <rPh sb="0" eb="2">
      <t>キョウト</t>
    </rPh>
    <phoneticPr fontId="13"/>
  </si>
  <si>
    <t>WMWXS120902C75432</t>
    <phoneticPr fontId="13"/>
  </si>
  <si>
    <t>広島　788　む　33</t>
    <rPh sb="0" eb="2">
      <t>ヒロシマ</t>
    </rPh>
    <phoneticPr fontId="13"/>
  </si>
  <si>
    <t>福山　480　せ　5368</t>
    <rPh sb="0" eb="2">
      <t>フクヤマ</t>
    </rPh>
    <phoneticPr fontId="13"/>
  </si>
  <si>
    <t>広島　582　す　9399</t>
    <rPh sb="0" eb="2">
      <t>ヒロシマ</t>
    </rPh>
    <phoneticPr fontId="13"/>
  </si>
  <si>
    <t>W1K2130772A868130</t>
    <phoneticPr fontId="13"/>
  </si>
  <si>
    <t>WMWLV320X02L52033</t>
    <phoneticPr fontId="13"/>
  </si>
  <si>
    <t>WAUZZZF42PA030159</t>
    <phoneticPr fontId="13"/>
  </si>
  <si>
    <t>VF1AHB22AJ0781638</t>
    <phoneticPr fontId="13"/>
  </si>
  <si>
    <t>27-3603</t>
  </si>
  <si>
    <t>27-3604</t>
  </si>
  <si>
    <t>27-3605</t>
  </si>
  <si>
    <t>27-3606</t>
  </si>
  <si>
    <t>27-3607</t>
  </si>
  <si>
    <t>27-3608</t>
  </si>
  <si>
    <t>ﾊｽﾗｰ　ﾊｲﾌﾞﾘｯﾄﾞXﾀｰﾎﾞ</t>
    <phoneticPr fontId="13"/>
  </si>
  <si>
    <t>MR52S-137585</t>
    <phoneticPr fontId="13"/>
  </si>
  <si>
    <t>LA350S-0095819</t>
    <phoneticPr fontId="13"/>
  </si>
  <si>
    <t>MR92S-169249</t>
    <phoneticPr fontId="13"/>
  </si>
  <si>
    <t>ﾑｰｳﾞｷｬﾝﾊﾞｽ　GﾒｲｸｱｯﾌﾟLTD</t>
    <phoneticPr fontId="13"/>
  </si>
  <si>
    <t>LA800S-0162630</t>
    <phoneticPr fontId="13"/>
  </si>
  <si>
    <t>MR92S-159480</t>
    <phoneticPr fontId="13"/>
  </si>
  <si>
    <t>DA17V-970742</t>
    <phoneticPr fontId="13"/>
  </si>
  <si>
    <t>山口　581　ゆ　5152</t>
    <rPh sb="0" eb="2">
      <t>ヤマグチ</t>
    </rPh>
    <phoneticPr fontId="13"/>
  </si>
  <si>
    <t>神戸　588　う　129</t>
    <rPh sb="0" eb="2">
      <t>コウベ</t>
    </rPh>
    <phoneticPr fontId="13"/>
  </si>
  <si>
    <t>福山　480　た　94</t>
    <rPh sb="0" eb="2">
      <t>フクヤマ</t>
    </rPh>
    <phoneticPr fontId="13"/>
  </si>
  <si>
    <t>LA850S-0007647</t>
    <phoneticPr fontId="13"/>
  </si>
  <si>
    <t>MH23S-919188</t>
    <phoneticPr fontId="13"/>
  </si>
  <si>
    <t>岡山 584 ろ 3748</t>
    <rPh sb="0" eb="2">
      <t>オカヤマ</t>
    </rPh>
    <phoneticPr fontId="13"/>
  </si>
  <si>
    <t>広島 581 ゆ 5489</t>
    <rPh sb="0" eb="2">
      <t>ヒロシマ</t>
    </rPh>
    <phoneticPr fontId="13"/>
  </si>
  <si>
    <t>岡田 優</t>
    <rPh sb="0" eb="2">
      <t>オカダ</t>
    </rPh>
    <rPh sb="3" eb="4">
      <t>ヤサ</t>
    </rPh>
    <phoneticPr fontId="13"/>
  </si>
  <si>
    <t>ｷｬﾝｾﾙ返送3/19</t>
    <rPh sb="5" eb="7">
      <t>ヘンソウ</t>
    </rPh>
    <phoneticPr fontId="13"/>
  </si>
  <si>
    <t>27-3609</t>
  </si>
  <si>
    <t>27-3610</t>
  </si>
  <si>
    <t>WMWXS120X02C73379</t>
    <phoneticPr fontId="13"/>
  </si>
  <si>
    <t>WMWXM520502D02563</t>
    <phoneticPr fontId="13"/>
  </si>
  <si>
    <t>27-3611</t>
  </si>
  <si>
    <t>27-3612</t>
  </si>
  <si>
    <t>27-3613</t>
  </si>
  <si>
    <t>27-3614</t>
  </si>
  <si>
    <t>27-3615</t>
  </si>
  <si>
    <t>27-3616</t>
  </si>
  <si>
    <t>27-3617</t>
  </si>
  <si>
    <t>ｱﾙﾄﾗﾊﾟﾝ ﾓｰﾄﾞ 4WD</t>
    <phoneticPr fontId="13"/>
  </si>
  <si>
    <t>HE33S-339621</t>
    <phoneticPr fontId="13"/>
  </si>
  <si>
    <t>名古屋 58A つ 8373</t>
    <rPh sb="0" eb="3">
      <t>ナゴヤ</t>
    </rPh>
    <phoneticPr fontId="13"/>
  </si>
  <si>
    <t xml:space="preserve">ﾐﾗｺｺｱ X </t>
    <phoneticPr fontId="13"/>
  </si>
  <si>
    <t>L685S-0026785</t>
    <phoneticPr fontId="13"/>
  </si>
  <si>
    <t>松本 581 え 6753</t>
    <rPh sb="0" eb="2">
      <t>マツモト</t>
    </rPh>
    <phoneticPr fontId="13"/>
  </si>
  <si>
    <t>ACR50-0172522</t>
    <phoneticPr fontId="13"/>
  </si>
  <si>
    <t>名古屋 337 ら 2106</t>
    <rPh sb="0" eb="3">
      <t>ナゴヤ</t>
    </rPh>
    <phoneticPr fontId="13"/>
  </si>
  <si>
    <t>MN71S-217454</t>
    <phoneticPr fontId="13"/>
  </si>
  <si>
    <t>豊田 531 む 1203</t>
    <rPh sb="0" eb="2">
      <t>トヨタ</t>
    </rPh>
    <phoneticPr fontId="13"/>
  </si>
  <si>
    <t>ZVW41-3373533</t>
    <phoneticPr fontId="13"/>
  </si>
  <si>
    <t>BMWﾐﾆｸｰﾊﾟｰ ﾊﾞｰｶﾞﾝﾃﾞｨ</t>
    <phoneticPr fontId="13"/>
  </si>
  <si>
    <t>WMWXU72090TR61796</t>
    <phoneticPr fontId="13"/>
  </si>
  <si>
    <t>WMWXT320302L53502</t>
    <phoneticPr fontId="13"/>
  </si>
  <si>
    <t>北九州 581 て 4250</t>
    <rPh sb="0" eb="3">
      <t>キタキュウシュウ</t>
    </rPh>
    <phoneticPr fontId="13"/>
  </si>
  <si>
    <t>3/19</t>
    <phoneticPr fontId="13"/>
  </si>
  <si>
    <t>品川 5X3 ろ 6885</t>
    <rPh sb="0" eb="2">
      <t>シナガワ</t>
    </rPh>
    <phoneticPr fontId="13"/>
  </si>
  <si>
    <t>三重 591 め 810</t>
    <rPh sb="0" eb="2">
      <t>ミエ</t>
    </rPh>
    <phoneticPr fontId="13"/>
  </si>
  <si>
    <t>三重 582 そ 1813</t>
    <rPh sb="0" eb="2">
      <t>ミエ</t>
    </rPh>
    <phoneticPr fontId="13"/>
  </si>
  <si>
    <t>広島 480 ぬ 8726</t>
    <rPh sb="0" eb="2">
      <t>ヒロシマ</t>
    </rPh>
    <phoneticPr fontId="13"/>
  </si>
  <si>
    <t>福山 330 ま 4416</t>
    <rPh sb="0" eb="2">
      <t>フクヤマ</t>
    </rPh>
    <phoneticPr fontId="13"/>
  </si>
  <si>
    <t>徳島 335 て 1100</t>
    <rPh sb="0" eb="2">
      <t>トクシマ</t>
    </rPh>
    <phoneticPr fontId="13"/>
  </si>
  <si>
    <t>株式会社ｲｰﾀﾞｯｼｭ</t>
    <rPh sb="0" eb="4">
      <t>カブシキガイシャ</t>
    </rPh>
    <phoneticPr fontId="13"/>
  </si>
  <si>
    <t>阪本 淳</t>
    <rPh sb="0" eb="2">
      <t>サカモト</t>
    </rPh>
    <rPh sb="3" eb="4">
      <t>ジュン</t>
    </rPh>
    <phoneticPr fontId="13"/>
  </si>
  <si>
    <t>品川 5X3 ろ 3342</t>
    <rPh sb="0" eb="2">
      <t>シナガワ</t>
    </rPh>
    <phoneticPr fontId="13"/>
  </si>
  <si>
    <t>株式会社ｱｸﾃｨｵ</t>
    <rPh sb="0" eb="4">
      <t>カブシキガイシャ</t>
    </rPh>
    <phoneticPr fontId="13"/>
  </si>
  <si>
    <t>ｽﾍﾟｱｷｰかも？保管中 ZIP言われたら送る</t>
    <rPh sb="9" eb="11">
      <t>ホカン</t>
    </rPh>
    <rPh sb="11" eb="12">
      <t>　</t>
    </rPh>
    <rPh sb="15" eb="20">
      <t>イワレタラ</t>
    </rPh>
    <rPh sb="20" eb="22">
      <t>オクル</t>
    </rPh>
    <phoneticPr fontId="13"/>
  </si>
  <si>
    <t>MH85S-126266</t>
    <phoneticPr fontId="13"/>
  </si>
  <si>
    <t>山口 531 ち 595</t>
    <rPh sb="0" eb="2">
      <t>ヤマグチ</t>
    </rPh>
    <phoneticPr fontId="13"/>
  </si>
  <si>
    <t>有福 栄治</t>
    <rPh sb="0" eb="2">
      <t>ユウフク</t>
    </rPh>
    <rPh sb="3" eb="4">
      <t>エイ</t>
    </rPh>
    <rPh sb="4" eb="5">
      <t>ジ</t>
    </rPh>
    <phoneticPr fontId="13"/>
  </si>
  <si>
    <t>岡山 399 な 4874</t>
    <rPh sb="0" eb="2">
      <t>オカヤマ</t>
    </rPh>
    <phoneticPr fontId="13"/>
  </si>
  <si>
    <t>足立 331 の 1720</t>
    <rPh sb="0" eb="2">
      <t>アダチ</t>
    </rPh>
    <phoneticPr fontId="13"/>
  </si>
  <si>
    <t>三河 338 ゆ 1108</t>
    <rPh sb="0" eb="2">
      <t>ミカワ</t>
    </rPh>
    <phoneticPr fontId="13"/>
  </si>
  <si>
    <t>相模久 302 な 2464</t>
    <rPh sb="0" eb="2">
      <t>サガミ</t>
    </rPh>
    <rPh sb="2" eb="3">
      <t>ク</t>
    </rPh>
    <phoneticPr fontId="13"/>
  </si>
  <si>
    <t>株式会社ﾌｧｲﾌﾞｽﾀｰ東名横浜</t>
    <rPh sb="0" eb="4">
      <t>カブシキガイシャ</t>
    </rPh>
    <rPh sb="12" eb="14">
      <t>トウメイ</t>
    </rPh>
    <rPh sb="14" eb="16">
      <t>ヨコハマ</t>
    </rPh>
    <phoneticPr fontId="13"/>
  </si>
  <si>
    <t>品川 39A も 1806</t>
    <rPh sb="0" eb="2">
      <t>シナガワ</t>
    </rPh>
    <phoneticPr fontId="13"/>
  </si>
  <si>
    <t>宇都宮 399 ぬ 9878</t>
    <rPh sb="0" eb="3">
      <t>ウツノミヤ</t>
    </rPh>
    <phoneticPr fontId="13"/>
  </si>
  <si>
    <t>ﾐｯﾄﾞﾗﾝｽﾞ株式会社</t>
    <rPh sb="8" eb="12">
      <t>カブシキガイシャ</t>
    </rPh>
    <phoneticPr fontId="13"/>
  </si>
  <si>
    <t>福岡 373 す 1103</t>
    <rPh sb="0" eb="2">
      <t>フクオカ</t>
    </rPh>
    <phoneticPr fontId="13"/>
  </si>
  <si>
    <t>朝日自動車株式会社</t>
    <rPh sb="0" eb="2">
      <t>アサヒ</t>
    </rPh>
    <rPh sb="2" eb="9">
      <t>ジドウシャカブシキガイシャ</t>
    </rPh>
    <phoneticPr fontId="13"/>
  </si>
  <si>
    <t>なにわ 59C さ 1177</t>
    <phoneticPr fontId="13"/>
  </si>
  <si>
    <t>久留米 330 ね 2838</t>
    <rPh sb="0" eb="3">
      <t>クルメ</t>
    </rPh>
    <phoneticPr fontId="13"/>
  </si>
  <si>
    <t>保証書 取説 ｷｰﾚｽ  印鑑証明6/2まで</t>
    <rPh sb="0" eb="3">
      <t>ホショウショ</t>
    </rPh>
    <rPh sb="4" eb="6">
      <t>トリセツ</t>
    </rPh>
    <rPh sb="13" eb="17">
      <t>インカンショウメイ</t>
    </rPh>
    <phoneticPr fontId="13"/>
  </si>
  <si>
    <t>三重 333 る 7733</t>
    <rPh sb="0" eb="2">
      <t>ミエ</t>
    </rPh>
    <phoneticPr fontId="13"/>
  </si>
  <si>
    <t>保証書 取説 ｷｰﾚｽ 印鑑証明5/11まで</t>
    <rPh sb="0" eb="3">
      <t>ホショウショ</t>
    </rPh>
    <rPh sb="4" eb="6">
      <t>トリセツ</t>
    </rPh>
    <rPh sb="12" eb="16">
      <t>インカンショウメイ</t>
    </rPh>
    <phoneticPr fontId="13"/>
  </si>
  <si>
    <t>名古屋 58A み 6973</t>
    <rPh sb="0" eb="3">
      <t>ナゴヤ</t>
    </rPh>
    <phoneticPr fontId="13"/>
  </si>
  <si>
    <t>株式会社ZAIN</t>
    <rPh sb="0" eb="4">
      <t>カブシキガイシャ</t>
    </rPh>
    <phoneticPr fontId="13"/>
  </si>
  <si>
    <t>岐阜 331 む 1520</t>
    <rPh sb="0" eb="2">
      <t>ギフ</t>
    </rPh>
    <phoneticPr fontId="13"/>
  </si>
  <si>
    <t>NTP名古屋ﾄﾖﾍﾟｯﾄ株式会社</t>
    <phoneticPr fontId="13"/>
  </si>
  <si>
    <t>保証書 取説 ｷｰﾚｽ 印鑑証明6/2まで</t>
    <rPh sb="0" eb="3">
      <t>ホショウショ</t>
    </rPh>
    <rPh sb="4" eb="6">
      <t>トリセツ</t>
    </rPh>
    <rPh sb="12" eb="16">
      <t>インカンショウメイ</t>
    </rPh>
    <phoneticPr fontId="13"/>
  </si>
  <si>
    <t>春日井 582 ろ 9392</t>
    <rPh sb="0" eb="3">
      <t>カスガイ</t>
    </rPh>
    <phoneticPr fontId="13"/>
  </si>
  <si>
    <t>なにわ 581 あ 8706</t>
    <phoneticPr fontId="13"/>
  </si>
  <si>
    <t>保証書 Ｓキー</t>
    <rPh sb="0" eb="3">
      <t>ホショウショ</t>
    </rPh>
    <phoneticPr fontId="13"/>
  </si>
  <si>
    <t>大阪 582 な 7597</t>
    <rPh sb="0" eb="2">
      <t>オオサカ</t>
    </rPh>
    <phoneticPr fontId="13"/>
  </si>
  <si>
    <t>保証書 取説 Ｓキー</t>
    <rPh sb="0" eb="3">
      <t>ホショウショ</t>
    </rPh>
    <rPh sb="4" eb="6">
      <t>トリセツ</t>
    </rPh>
    <phoneticPr fontId="13"/>
  </si>
  <si>
    <t>滋賀 582 ろ 9341</t>
    <rPh sb="0" eb="2">
      <t>シガ</t>
    </rPh>
    <phoneticPr fontId="13"/>
  </si>
  <si>
    <t>品川 39A み 8747</t>
    <rPh sb="0" eb="2">
      <t>シナガワ</t>
    </rPh>
    <phoneticPr fontId="13"/>
  </si>
  <si>
    <t>Ｓキー</t>
    <phoneticPr fontId="13"/>
  </si>
  <si>
    <t>和泉 584 こ 43</t>
    <rPh sb="0" eb="2">
      <t>イズミ</t>
    </rPh>
    <phoneticPr fontId="13"/>
  </si>
  <si>
    <t>地図SD(車内)保証書 取説 Ｓキー</t>
    <rPh sb="0" eb="2">
      <t>チズ</t>
    </rPh>
    <rPh sb="8" eb="11">
      <t>ホショウショ</t>
    </rPh>
    <rPh sb="12" eb="14">
      <t>トリセツ</t>
    </rPh>
    <phoneticPr fontId="13"/>
  </si>
  <si>
    <t>神戸 344 つ 226</t>
    <rPh sb="0" eb="2">
      <t>コウベ</t>
    </rPh>
    <phoneticPr fontId="13"/>
  </si>
  <si>
    <t>ﾈｯﾂﾄﾖﾀｳｴｽﾄ兵庫株式会社</t>
    <rPh sb="10" eb="12">
      <t>ヒョウゴ</t>
    </rPh>
    <rPh sb="12" eb="16">
      <t>カブシキガイシャ</t>
    </rPh>
    <phoneticPr fontId="13"/>
  </si>
  <si>
    <t>多摩 592 ろ 8616</t>
    <rPh sb="0" eb="2">
      <t>タマ</t>
    </rPh>
    <phoneticPr fontId="13"/>
  </si>
  <si>
    <t>なにわ 5X0 ろ 3425</t>
    <phoneticPr fontId="13"/>
  </si>
  <si>
    <t>なにわ 581 せ 9914</t>
    <phoneticPr fontId="13"/>
  </si>
  <si>
    <t>品川 5X1 ろ 888</t>
    <rPh sb="0" eb="2">
      <t>シナガワ</t>
    </rPh>
    <phoneticPr fontId="13"/>
  </si>
  <si>
    <t>高知 480 た 2323</t>
    <rPh sb="0" eb="2">
      <t>コウチ</t>
    </rPh>
    <phoneticPr fontId="13"/>
  </si>
  <si>
    <t>仙台 586 ろ 5825</t>
    <rPh sb="0" eb="2">
      <t>センダイ</t>
    </rPh>
    <phoneticPr fontId="13"/>
  </si>
  <si>
    <t>株式会社ｵｰｴｽ</t>
    <rPh sb="0" eb="4">
      <t>カブシキガイシャ</t>
    </rPh>
    <phoneticPr fontId="13"/>
  </si>
  <si>
    <t>保証書 取説 Ｓキー ﾛｯｸﾅｯﾄ</t>
    <rPh sb="0" eb="3">
      <t>ホショウショ</t>
    </rPh>
    <rPh sb="4" eb="6">
      <t>トリセツ</t>
    </rPh>
    <phoneticPr fontId="13"/>
  </si>
  <si>
    <t>鳥取 580 よ 572</t>
    <rPh sb="0" eb="2">
      <t>トットリ</t>
    </rPh>
    <phoneticPr fontId="13"/>
  </si>
  <si>
    <t>日本海三菱自動車販売株式会社</t>
    <rPh sb="0" eb="3">
      <t>ニホンカイ</t>
    </rPh>
    <rPh sb="3" eb="14">
      <t>ミツビシジドウシャハンバイカブシキガイシャ</t>
    </rPh>
    <phoneticPr fontId="13"/>
  </si>
  <si>
    <t>高知 580 ひ 4044</t>
    <rPh sb="0" eb="2">
      <t>コウチ</t>
    </rPh>
    <phoneticPr fontId="13"/>
  </si>
  <si>
    <t>株式会社ｽｽﾞｷ自販高知</t>
    <rPh sb="0" eb="4">
      <t>カブシキガイシャ</t>
    </rPh>
    <rPh sb="8" eb="12">
      <t>ジハンコウチ</t>
    </rPh>
    <phoneticPr fontId="13"/>
  </si>
  <si>
    <t>582 う 4640</t>
    <phoneticPr fontId="13"/>
  </si>
  <si>
    <t>582 う 4641</t>
    <phoneticPr fontId="13"/>
  </si>
  <si>
    <t>品川 48F ろ 9975</t>
    <rPh sb="0" eb="2">
      <t>シナガワ</t>
    </rPh>
    <phoneticPr fontId="13"/>
  </si>
  <si>
    <t>3/20</t>
    <phoneticPr fontId="13"/>
  </si>
  <si>
    <t>長崎 400 そ 5323</t>
    <rPh sb="0" eb="2">
      <t>ナガサキ</t>
    </rPh>
    <phoneticPr fontId="13"/>
  </si>
  <si>
    <t>株式会社ﾄﾖﾀﾚﾝﾀﾘｰｽ長崎</t>
    <rPh sb="0" eb="4">
      <t>カブシキガイシャ</t>
    </rPh>
    <rPh sb="13" eb="15">
      <t>ナガサキ</t>
    </rPh>
    <phoneticPr fontId="13"/>
  </si>
  <si>
    <t>山口ﾀﾞｲﾊﾂ販売株式会社</t>
    <rPh sb="0" eb="2">
      <t>ヤマグチ</t>
    </rPh>
    <rPh sb="7" eb="13">
      <t>ハンバイカブシキガイシャ</t>
    </rPh>
    <phoneticPr fontId="13"/>
  </si>
  <si>
    <t>広島 333 ゆ 2510</t>
    <rPh sb="0" eb="2">
      <t>ヒロシマ</t>
    </rPh>
    <phoneticPr fontId="13"/>
  </si>
  <si>
    <t>品川 5X3 ろ 6225</t>
    <rPh sb="0" eb="2">
      <t>シナガワ</t>
    </rPh>
    <phoneticPr fontId="13"/>
  </si>
  <si>
    <t>岡山 581 ね 209</t>
    <rPh sb="0" eb="2">
      <t>オカヤマ</t>
    </rPh>
    <phoneticPr fontId="13"/>
  </si>
  <si>
    <t>株式会社ﾄﾖﾀﾚﾝﾀﾘｰｽ新岡山</t>
    <rPh sb="0" eb="4">
      <t>カブシキガイシャ</t>
    </rPh>
    <rPh sb="13" eb="16">
      <t>シンオカヤマ</t>
    </rPh>
    <phoneticPr fontId="13"/>
  </si>
  <si>
    <t>福山 356 り 3</t>
    <rPh sb="0" eb="2">
      <t>フクヤマ</t>
    </rPh>
    <phoneticPr fontId="13"/>
  </si>
  <si>
    <t>福山 300 ゆ 5334</t>
    <rPh sb="0" eb="2">
      <t>フクヤマ</t>
    </rPh>
    <phoneticPr fontId="13"/>
  </si>
  <si>
    <t>大阪 399 ゆ 3839</t>
    <rPh sb="0" eb="2">
      <t>オオサカ</t>
    </rPh>
    <phoneticPr fontId="13"/>
  </si>
  <si>
    <t>福岡 303 さ 5365</t>
    <rPh sb="0" eb="2">
      <t>フクオカ</t>
    </rPh>
    <phoneticPr fontId="13"/>
  </si>
  <si>
    <t>株式会社堀兄弟自動車</t>
    <rPh sb="0" eb="4">
      <t>カブシキガイシャ</t>
    </rPh>
    <rPh sb="4" eb="5">
      <t>ホリ</t>
    </rPh>
    <rPh sb="5" eb="7">
      <t>キョウダイ</t>
    </rPh>
    <rPh sb="7" eb="10">
      <t>ジドウシャ</t>
    </rPh>
    <phoneticPr fontId="13"/>
  </si>
  <si>
    <t>堺 399 ひ 8378</t>
    <rPh sb="0" eb="1">
      <t>サカイ</t>
    </rPh>
    <phoneticPr fontId="13"/>
  </si>
  <si>
    <t>取説 ｷｰﾚｽ 記録紙1枚</t>
    <rPh sb="0" eb="2">
      <t>トリセツ</t>
    </rPh>
    <rPh sb="8" eb="11">
      <t>キロクシ</t>
    </rPh>
    <rPh sb="12" eb="13">
      <t>マイ</t>
    </rPh>
    <phoneticPr fontId="13"/>
  </si>
  <si>
    <t>大阪 304 た 1844</t>
    <rPh sb="0" eb="2">
      <t>オオサカ</t>
    </rPh>
    <phoneticPr fontId="13"/>
  </si>
  <si>
    <t>松創国際株式会社</t>
    <rPh sb="0" eb="1">
      <t>マツ</t>
    </rPh>
    <rPh sb="1" eb="2">
      <t>ソウ</t>
    </rPh>
    <rPh sb="2" eb="4">
      <t>コクサイ</t>
    </rPh>
    <rPh sb="4" eb="8">
      <t>カブシキガイシャ</t>
    </rPh>
    <phoneticPr fontId="13"/>
  </si>
  <si>
    <t>姫路 483 ろ 7335</t>
    <rPh sb="0" eb="2">
      <t>ヒメジ</t>
    </rPh>
    <phoneticPr fontId="13"/>
  </si>
  <si>
    <t>株式会社ﾄﾖﾀﾚﾝﾀﾘｰｽ兵庫</t>
    <rPh sb="0" eb="4">
      <t>カブシキガイシャ</t>
    </rPh>
    <rPh sb="13" eb="15">
      <t>ヒョウゴ</t>
    </rPh>
    <phoneticPr fontId="13"/>
  </si>
  <si>
    <t>福山 590 ち 310</t>
    <rPh sb="0" eb="2">
      <t>フクヤマ</t>
    </rPh>
    <phoneticPr fontId="13"/>
  </si>
  <si>
    <t>有限会社松葉ﾓｰﾀｰｽ</t>
    <rPh sb="0" eb="4">
      <t>ユウゲンカイシャ</t>
    </rPh>
    <rPh sb="4" eb="6">
      <t>マツバ</t>
    </rPh>
    <phoneticPr fontId="13"/>
  </si>
  <si>
    <t>山口 480 て 7701</t>
    <rPh sb="0" eb="2">
      <t>ヤマグチ</t>
    </rPh>
    <phoneticPr fontId="13"/>
  </si>
  <si>
    <t>岡 英雄</t>
    <rPh sb="0" eb="1">
      <t>オカ</t>
    </rPh>
    <rPh sb="2" eb="4">
      <t>ヒデオ</t>
    </rPh>
    <phoneticPr fontId="13"/>
  </si>
  <si>
    <t>大坂 581 み 24</t>
    <rPh sb="0" eb="2">
      <t>オオサカ</t>
    </rPh>
    <phoneticPr fontId="13"/>
  </si>
  <si>
    <t>大坂ﾀﾞｲﾊﾂ販売株式会社</t>
    <rPh sb="0" eb="2">
      <t>オオサカ</t>
    </rPh>
    <rPh sb="7" eb="13">
      <t>ハンバイカブシキガイシャ</t>
    </rPh>
    <phoneticPr fontId="13"/>
  </si>
  <si>
    <t>鳥取 580 ほ 3594</t>
    <rPh sb="0" eb="2">
      <t>トットリ</t>
    </rPh>
    <phoneticPr fontId="13"/>
  </si>
  <si>
    <t>鳥取ﾄﾖﾍﾟｯﾄ株式会社</t>
    <rPh sb="0" eb="2">
      <t>トットリ</t>
    </rPh>
    <rPh sb="8" eb="12">
      <t>カブシキガイシャ</t>
    </rPh>
    <phoneticPr fontId="13"/>
  </si>
  <si>
    <t>株式会社Ricｋer s</t>
    <rPh sb="0" eb="4">
      <t>カブシキガイシャ</t>
    </rPh>
    <phoneticPr fontId="13"/>
  </si>
  <si>
    <t>大坂 784 ふ 111</t>
    <rPh sb="0" eb="2">
      <t>オオサカ</t>
    </rPh>
    <phoneticPr fontId="13"/>
  </si>
  <si>
    <t>松山 智樹</t>
    <rPh sb="0" eb="2">
      <t>マツヤマ</t>
    </rPh>
    <rPh sb="3" eb="5">
      <t>トモキ</t>
    </rPh>
    <phoneticPr fontId="13"/>
  </si>
  <si>
    <t>和泉 585 ろ 9359</t>
    <rPh sb="0" eb="2">
      <t>イズミ</t>
    </rPh>
    <phoneticPr fontId="13"/>
  </si>
  <si>
    <t>岡山 584 ろ 3826</t>
    <rPh sb="0" eb="2">
      <t>オカヤマ</t>
    </rPh>
    <phoneticPr fontId="13"/>
  </si>
  <si>
    <t>保証書 取説 ｷｰﾚｽ ﾅﾋﾞ取 ﾘﾓｺﾝ ﾛｯｸﾅｯﾄ ﾜﾝｵｰﾅｰ</t>
    <rPh sb="0" eb="3">
      <t>ホショウショ</t>
    </rPh>
    <rPh sb="4" eb="6">
      <t>トリセツ</t>
    </rPh>
    <rPh sb="15" eb="16">
      <t>トリ</t>
    </rPh>
    <phoneticPr fontId="13"/>
  </si>
  <si>
    <t>保証書 取説 ｷｰﾚｽ ﾏｲｸﾛSD ﾜﾝｵｰﾅｰ</t>
    <rPh sb="0" eb="3">
      <t>ホショウショ</t>
    </rPh>
    <rPh sb="4" eb="6">
      <t>トリセツ</t>
    </rPh>
    <phoneticPr fontId="13"/>
  </si>
  <si>
    <t>滋賀 301 め 9666</t>
    <rPh sb="0" eb="2">
      <t>シガ</t>
    </rPh>
    <phoneticPr fontId="13"/>
  </si>
  <si>
    <t>ﾏｲｸﾛ地図SD(車内)保証書 取説 ﾅﾋﾞ取 ﾜﾝｵｰﾅｰ？</t>
    <rPh sb="4" eb="6">
      <t>チズ</t>
    </rPh>
    <rPh sb="12" eb="15">
      <t>ホショウショ</t>
    </rPh>
    <rPh sb="16" eb="18">
      <t>トリセツ</t>
    </rPh>
    <rPh sb="22" eb="23">
      <t>トリ</t>
    </rPh>
    <phoneticPr fontId="13"/>
  </si>
  <si>
    <t>香川 530 て 4432</t>
    <rPh sb="0" eb="2">
      <t>カガワ</t>
    </rPh>
    <phoneticPr fontId="13"/>
  </si>
  <si>
    <t>瀬尾 彰二</t>
    <rPh sb="0" eb="2">
      <t>セオ</t>
    </rPh>
    <rPh sb="3" eb="4">
      <t>アキラ</t>
    </rPh>
    <rPh sb="4" eb="5">
      <t>ニ</t>
    </rPh>
    <phoneticPr fontId="13"/>
  </si>
  <si>
    <t>岡山 400 な 6022</t>
    <rPh sb="0" eb="2">
      <t>オカヤマ</t>
    </rPh>
    <phoneticPr fontId="13"/>
  </si>
  <si>
    <t>株式会社ｽｽﾞｷ自販徳島</t>
    <phoneticPr fontId="13"/>
  </si>
  <si>
    <t>徳島 580 ち 2183</t>
    <rPh sb="0" eb="2">
      <t>トクシマ</t>
    </rPh>
    <phoneticPr fontId="13"/>
  </si>
  <si>
    <t>徳島 580 な 9821</t>
    <rPh sb="0" eb="2">
      <t>トクシマ</t>
    </rPh>
    <phoneticPr fontId="13"/>
  </si>
  <si>
    <t>徳島 530 は 380</t>
    <rPh sb="0" eb="2">
      <t>トクシマ</t>
    </rPh>
    <phoneticPr fontId="13"/>
  </si>
  <si>
    <t>なにわ 340 の 202</t>
    <phoneticPr fontId="13"/>
  </si>
  <si>
    <t>株式会社Nexst</t>
    <rPh sb="0" eb="4">
      <t>カブシキガイシャ</t>
    </rPh>
    <phoneticPr fontId="13"/>
  </si>
  <si>
    <t>保証書 取説 ｷｰﾚｽ ﾜﾝｵｰﾅｰ 印鑑証明6/5まで</t>
    <rPh sb="0" eb="3">
      <t>ホショウショ</t>
    </rPh>
    <rPh sb="4" eb="6">
      <t>トリセツ</t>
    </rPh>
    <rPh sb="19" eb="21">
      <t>インカン</t>
    </rPh>
    <rPh sb="21" eb="23">
      <t>ショウメイ</t>
    </rPh>
    <phoneticPr fontId="13"/>
  </si>
  <si>
    <t>姫路 399 な 6519</t>
    <rPh sb="0" eb="2">
      <t>ヒメジ</t>
    </rPh>
    <phoneticPr fontId="13"/>
  </si>
  <si>
    <t>愛媛 300 ら 914</t>
    <rPh sb="0" eb="2">
      <t>エヒメ</t>
    </rPh>
    <phoneticPr fontId="13"/>
  </si>
  <si>
    <t>日比野 宏美</t>
    <rPh sb="0" eb="3">
      <t>ヒビノ</t>
    </rPh>
    <rPh sb="4" eb="6">
      <t>ヒロミ</t>
    </rPh>
    <phoneticPr fontId="13"/>
  </si>
  <si>
    <t>有限会社 プロローグ</t>
    <rPh sb="0" eb="4">
      <t>ユウゲンカイシャ</t>
    </rPh>
    <phoneticPr fontId="13"/>
  </si>
  <si>
    <t>保証書 取説 ｽﾍﾟｱｷｰ車内ありOK</t>
    <rPh sb="0" eb="3">
      <t>ホショウショ</t>
    </rPh>
    <rPh sb="4" eb="6">
      <t>トリセツ</t>
    </rPh>
    <rPh sb="13" eb="15">
      <t>シャナイ</t>
    </rPh>
    <phoneticPr fontId="13"/>
  </si>
  <si>
    <t>広島 332 ち 3011</t>
    <rPh sb="0" eb="2">
      <t>ヒロシマ</t>
    </rPh>
    <phoneticPr fontId="13"/>
  </si>
  <si>
    <t>山口 301 つ 4435</t>
    <rPh sb="0" eb="2">
      <t>ヤマグチ</t>
    </rPh>
    <phoneticPr fontId="13"/>
  </si>
  <si>
    <t>山口ﾏﾂﾀﾞ株式会社</t>
    <rPh sb="0" eb="2">
      <t>ヤマグチ</t>
    </rPh>
    <rPh sb="6" eb="10">
      <t>カブシキガイシャ</t>
    </rPh>
    <phoneticPr fontId="13"/>
  </si>
  <si>
    <t>相模 356 ま 32</t>
    <rPh sb="0" eb="2">
      <t>サガミ</t>
    </rPh>
    <phoneticPr fontId="13"/>
  </si>
  <si>
    <t>合同会社ENDLESS</t>
    <rPh sb="0" eb="4">
      <t>ゴウドウカイシャ</t>
    </rPh>
    <phoneticPr fontId="13"/>
  </si>
  <si>
    <t>奈良 336 ゆ 307</t>
    <rPh sb="0" eb="2">
      <t>ナラ</t>
    </rPh>
    <phoneticPr fontId="13"/>
  </si>
  <si>
    <t>大分 533 た 813</t>
    <rPh sb="0" eb="2">
      <t>オオイタ</t>
    </rPh>
    <phoneticPr fontId="13"/>
  </si>
  <si>
    <t>名古屋 336 す 3298</t>
    <rPh sb="0" eb="3">
      <t>ナゴヤ</t>
    </rPh>
    <phoneticPr fontId="13"/>
  </si>
  <si>
    <t>株式会社ﾎﾝﾀﾞﾓﾋﾞﾘﾃｨ中部</t>
    <rPh sb="14" eb="16">
      <t>チュウブ</t>
    </rPh>
    <phoneticPr fontId="13"/>
  </si>
  <si>
    <t>横浜　365　て 1012</t>
    <rPh sb="0" eb="2">
      <t>ヨコハマ</t>
    </rPh>
    <phoneticPr fontId="13"/>
  </si>
  <si>
    <t>永迫 智規</t>
    <rPh sb="0" eb="2">
      <t>ナガサコ</t>
    </rPh>
    <rPh sb="3" eb="4">
      <t>トモ</t>
    </rPh>
    <rPh sb="4" eb="5">
      <t>キ</t>
    </rPh>
    <phoneticPr fontId="13"/>
  </si>
  <si>
    <t>広島 581 は 1611</t>
    <rPh sb="0" eb="2">
      <t>ヒロシマ</t>
    </rPh>
    <phoneticPr fontId="13"/>
  </si>
  <si>
    <t>株式会社ｻｺﾀﾞ車輛</t>
    <rPh sb="8" eb="10">
      <t>シャリョウ</t>
    </rPh>
    <phoneticPr fontId="13"/>
  </si>
  <si>
    <t>広島 583 う 4583</t>
    <rPh sb="0" eb="2">
      <t>ヒロシマ</t>
    </rPh>
    <phoneticPr fontId="13"/>
  </si>
  <si>
    <t>岡崎 580 ね 9565</t>
    <rPh sb="0" eb="2">
      <t>オカザキ</t>
    </rPh>
    <phoneticPr fontId="13"/>
  </si>
  <si>
    <t>中村 誠</t>
    <rPh sb="0" eb="2">
      <t>ナカムラ</t>
    </rPh>
    <rPh sb="3" eb="4">
      <t>マコト</t>
    </rPh>
    <phoneticPr fontId="13"/>
  </si>
  <si>
    <t xml:space="preserve">取説 ﾅﾋﾞ取 ｽﾍﾟｱｷｰ(車内)保証書 SD </t>
    <rPh sb="0" eb="2">
      <t>トリセツ</t>
    </rPh>
    <rPh sb="6" eb="7">
      <t>トリ</t>
    </rPh>
    <rPh sb="15" eb="17">
      <t>シャナイ</t>
    </rPh>
    <rPh sb="18" eb="21">
      <t>ホショウショ</t>
    </rPh>
    <phoneticPr fontId="13"/>
  </si>
  <si>
    <t>京都 580 わ 8443</t>
    <rPh sb="0" eb="2">
      <t>キョウト</t>
    </rPh>
    <phoneticPr fontId="13"/>
  </si>
  <si>
    <t>取説 ｽﾍﾟｱｷｰ(車内)保証書 SD</t>
    <rPh sb="0" eb="2">
      <t>トリセツ</t>
    </rPh>
    <rPh sb="10" eb="12">
      <t>シャナイ</t>
    </rPh>
    <rPh sb="13" eb="16">
      <t>ホショウショ</t>
    </rPh>
    <phoneticPr fontId="13"/>
  </si>
  <si>
    <t>島根 580 よ 7227</t>
    <rPh sb="0" eb="2">
      <t>シマネ</t>
    </rPh>
    <phoneticPr fontId="13"/>
  </si>
  <si>
    <t>徳島 580 よ 5698</t>
    <rPh sb="0" eb="2">
      <t>トクシマ</t>
    </rPh>
    <phoneticPr fontId="13"/>
  </si>
  <si>
    <t>島根 480 せ 9411</t>
    <rPh sb="0" eb="2">
      <t>シマネ</t>
    </rPh>
    <phoneticPr fontId="13"/>
  </si>
  <si>
    <t>保証書 取説 ｷｰﾚｽ SD(車内)</t>
    <rPh sb="0" eb="3">
      <t>ホショウショ</t>
    </rPh>
    <rPh sb="4" eb="6">
      <t>トリセツ</t>
    </rPh>
    <rPh sb="15" eb="17">
      <t>シャナイ</t>
    </rPh>
    <phoneticPr fontId="13"/>
  </si>
  <si>
    <t>八王子 583 か 3955</t>
    <rPh sb="0" eb="3">
      <t>ハチオウジ</t>
    </rPh>
    <phoneticPr fontId="13"/>
  </si>
  <si>
    <t>水村 英子</t>
    <rPh sb="0" eb="2">
      <t>ミズムラ</t>
    </rPh>
    <rPh sb="3" eb="5">
      <t>ヒデコ</t>
    </rPh>
    <phoneticPr fontId="13"/>
  </si>
  <si>
    <t>佐賀 300 や 9410</t>
    <rPh sb="0" eb="2">
      <t>サガ</t>
    </rPh>
    <phoneticPr fontId="13"/>
  </si>
  <si>
    <t>27-3618</t>
  </si>
  <si>
    <t>27-3619</t>
  </si>
  <si>
    <t>27-3620</t>
  </si>
  <si>
    <t>27-3621</t>
  </si>
  <si>
    <t>27-3622</t>
  </si>
  <si>
    <t>27-3623</t>
  </si>
  <si>
    <t>27-3624</t>
  </si>
  <si>
    <t>27-3625</t>
  </si>
  <si>
    <t>27-3626</t>
  </si>
  <si>
    <t>27-3627</t>
  </si>
  <si>
    <t>27-3628</t>
  </si>
  <si>
    <t>27-3629</t>
  </si>
  <si>
    <t>27-3630</t>
  </si>
  <si>
    <t>27-3631</t>
  </si>
  <si>
    <t>27-3632</t>
  </si>
  <si>
    <t>BMWﾐﾆ　ﾜﾝｸﾛｽｵｰﾊﾞｰ</t>
    <phoneticPr fontId="13"/>
  </si>
  <si>
    <t>WMWYV720403B88580</t>
    <phoneticPr fontId="13"/>
  </si>
  <si>
    <t>W1K1770512V074133</t>
    <phoneticPr fontId="13"/>
  </si>
  <si>
    <t>BMW530　Iﾂｰﾘﾝｸﾞ　Mｽﾎﾟｰﾂ</t>
    <phoneticPr fontId="13"/>
  </si>
  <si>
    <t>WBA32BM060CF72864</t>
    <phoneticPr fontId="13"/>
  </si>
  <si>
    <t>MﾍﾞﾝﾂB200ｄ</t>
    <phoneticPr fontId="13"/>
  </si>
  <si>
    <t>W1K2470122J288749</t>
    <phoneticPr fontId="13"/>
  </si>
  <si>
    <t>MﾍﾞﾝﾂE200　SP</t>
    <phoneticPr fontId="13"/>
  </si>
  <si>
    <t>W1K2130772A868012</t>
    <phoneticPr fontId="13"/>
  </si>
  <si>
    <t>27-3633</t>
  </si>
  <si>
    <t>27-3634</t>
  </si>
  <si>
    <t>27-3635</t>
  </si>
  <si>
    <t>27-3636</t>
  </si>
  <si>
    <t>27-3637</t>
  </si>
  <si>
    <t>27-3638</t>
  </si>
  <si>
    <t>27-3639</t>
  </si>
  <si>
    <t>27-3640</t>
  </si>
  <si>
    <t>27-3641</t>
  </si>
  <si>
    <t>27-3642</t>
  </si>
  <si>
    <t>27-3643</t>
  </si>
  <si>
    <t>27-3644</t>
  </si>
  <si>
    <t>27-3645</t>
  </si>
  <si>
    <t>27-3646</t>
  </si>
  <si>
    <t>27-3647</t>
  </si>
  <si>
    <t>27-3648</t>
  </si>
  <si>
    <t>27-3649</t>
  </si>
  <si>
    <t>27-3650</t>
  </si>
  <si>
    <t>27-3651</t>
  </si>
  <si>
    <t>27-3652</t>
  </si>
  <si>
    <t>27-3653</t>
  </si>
  <si>
    <t>27-3654</t>
  </si>
  <si>
    <t>27-3655</t>
  </si>
  <si>
    <t>27-3656</t>
  </si>
  <si>
    <t>27-3657</t>
  </si>
  <si>
    <t>27-3658</t>
  </si>
  <si>
    <t>27-3659</t>
  </si>
  <si>
    <t>27-3660</t>
  </si>
  <si>
    <t>27-3661</t>
  </si>
  <si>
    <t>27-3662</t>
  </si>
  <si>
    <t>27-3663</t>
  </si>
  <si>
    <t>27-3664</t>
  </si>
  <si>
    <t>27-3665</t>
  </si>
  <si>
    <t>27-3666</t>
  </si>
  <si>
    <t>27-3667</t>
  </si>
  <si>
    <t>27-3668</t>
  </si>
  <si>
    <t>27-3669</t>
  </si>
  <si>
    <t>27-3670</t>
  </si>
  <si>
    <t>LA350S-0326019</t>
    <phoneticPr fontId="13"/>
  </si>
  <si>
    <t>LA350S-0400864</t>
    <phoneticPr fontId="13"/>
  </si>
  <si>
    <t>JF3-1526397</t>
    <phoneticPr fontId="13"/>
  </si>
  <si>
    <t>MK32S-222992</t>
    <phoneticPr fontId="13"/>
  </si>
  <si>
    <t>LA600S-0537788</t>
    <phoneticPr fontId="13"/>
  </si>
  <si>
    <t>JF1-2507131</t>
    <phoneticPr fontId="13"/>
  </si>
  <si>
    <t>JF1-1629701</t>
    <phoneticPr fontId="13"/>
  </si>
  <si>
    <t>JF3-2374457</t>
    <phoneticPr fontId="13"/>
  </si>
  <si>
    <t>ZVW51-6052409</t>
    <phoneticPr fontId="13"/>
  </si>
  <si>
    <t>JF1-2530060</t>
    <phoneticPr fontId="13"/>
  </si>
  <si>
    <t>ﾉｰﾄ　eﾊﾟﾜｰ</t>
    <phoneticPr fontId="13"/>
  </si>
  <si>
    <t>E13-028829</t>
    <phoneticPr fontId="13"/>
  </si>
  <si>
    <t>BPFP-115330</t>
    <phoneticPr fontId="13"/>
  </si>
  <si>
    <t>TRH200-0238484</t>
    <phoneticPr fontId="13"/>
  </si>
  <si>
    <t>BN9-005143</t>
    <phoneticPr fontId="13"/>
  </si>
  <si>
    <t>LA400K-0042407</t>
    <phoneticPr fontId="13"/>
  </si>
  <si>
    <t>S510P-0644077</t>
    <phoneticPr fontId="13"/>
  </si>
  <si>
    <t>MK42S-201133</t>
    <phoneticPr fontId="13"/>
  </si>
  <si>
    <t>LA800S-0269911</t>
    <phoneticPr fontId="13"/>
  </si>
  <si>
    <t>LA660S-0070681</t>
    <phoneticPr fontId="13"/>
  </si>
  <si>
    <t>LA650S-0316944</t>
    <phoneticPr fontId="13"/>
  </si>
  <si>
    <t>MH85S-157318</t>
    <phoneticPr fontId="13"/>
  </si>
  <si>
    <t>LA400K-0007290</t>
    <phoneticPr fontId="13"/>
  </si>
  <si>
    <t>ZVW41-3386297</t>
    <phoneticPr fontId="13"/>
  </si>
  <si>
    <t>BMWZ4　Sﾄﾞﾗｲﾌﾞ20Iｽﾎﾟｰﾂ</t>
    <phoneticPr fontId="13"/>
  </si>
  <si>
    <t>ｸﾗｲｽﾗｰｼﾞｰﾌﾟﾚﾈｹﾞｰﾄﾞ　ﾄﾚｲﾙﾎｰｸ4XE</t>
    <phoneticPr fontId="13"/>
  </si>
  <si>
    <t>ﾌｨｱｯﾄ500　1.2ｶﾙﾄ</t>
    <phoneticPr fontId="13"/>
  </si>
  <si>
    <t>ﾗﾝﾄﾞﾛｰﾊﾞｰﾚﾝｼﾞﾛｰﾊﾞｰ　ｳﾞｫｰｸﾞ</t>
    <phoneticPr fontId="13"/>
  </si>
  <si>
    <t>27-3671</t>
  </si>
  <si>
    <t>27-3672</t>
  </si>
  <si>
    <t>27-3673</t>
  </si>
  <si>
    <t>27-3674</t>
  </si>
  <si>
    <t>27-3675</t>
  </si>
  <si>
    <t>27-3676</t>
  </si>
  <si>
    <t>27-3677</t>
  </si>
  <si>
    <t>27-3678</t>
  </si>
  <si>
    <t>27-3679</t>
  </si>
  <si>
    <t>27-3680</t>
  </si>
  <si>
    <t>27-3681</t>
  </si>
  <si>
    <t>27-3682</t>
  </si>
  <si>
    <t>27-3683</t>
  </si>
  <si>
    <t>27-3684</t>
  </si>
  <si>
    <t>27-3685</t>
  </si>
  <si>
    <t>HE33S-231710</t>
    <phoneticPr fontId="13"/>
  </si>
  <si>
    <t>ｽｸﾗﾑ　ﾊﾞｽﾀｰ</t>
    <phoneticPr fontId="13"/>
  </si>
  <si>
    <t>DG17V-427167</t>
    <phoneticPr fontId="13"/>
  </si>
  <si>
    <t>ZVW30-5723608</t>
    <phoneticPr fontId="13"/>
  </si>
  <si>
    <t>ZVW51-6049982</t>
    <phoneticPr fontId="13"/>
  </si>
  <si>
    <t>MN71S-141646</t>
    <phoneticPr fontId="13"/>
  </si>
  <si>
    <t>NSP170-7001704</t>
    <phoneticPr fontId="13"/>
  </si>
  <si>
    <t>ZVW51-6168095</t>
    <phoneticPr fontId="13"/>
  </si>
  <si>
    <t>ﾐﾗｺｺｱ　ｺｺｱL</t>
    <phoneticPr fontId="13"/>
  </si>
  <si>
    <t>L675S-0154735</t>
    <phoneticPr fontId="13"/>
  </si>
  <si>
    <t>JB23W-761243</t>
    <phoneticPr fontId="13"/>
  </si>
  <si>
    <t>C-HR　G-Tﾓｰﾄﾞﾈﾛ</t>
    <phoneticPr fontId="13"/>
  </si>
  <si>
    <t>NGX10-2020281</t>
    <phoneticPr fontId="13"/>
  </si>
  <si>
    <t>N　BOX　Lﾎﾝﾀﾞｾﾝｼﾝｸﾞ</t>
    <phoneticPr fontId="13"/>
  </si>
  <si>
    <t>JF3-5029914</t>
    <phoneticPr fontId="13"/>
  </si>
  <si>
    <t>ﾜｺﾞﾝR　ｽﾏｲﾙG</t>
    <phoneticPr fontId="13"/>
  </si>
  <si>
    <t>MX81S-203421</t>
    <phoneticPr fontId="13"/>
  </si>
  <si>
    <t>ﾌｨｯﾄ　ﾍﾞｰｼｯｸ　ﾎﾝﾀﾞｾﾝｼﾝｸﾞ</t>
    <phoneticPr fontId="13"/>
  </si>
  <si>
    <t>GR1-1028932</t>
    <phoneticPr fontId="13"/>
  </si>
  <si>
    <t>ｴｽｸｧｲｱ　ﾊｲﾌﾞﾘｯﾄﾞGi</t>
    <phoneticPr fontId="13"/>
  </si>
  <si>
    <t>ZWR80-0112829</t>
    <phoneticPr fontId="13"/>
  </si>
  <si>
    <t>ｱﾙﾌｧｰﾄﾞ　240S　Cﾊﾟｯｹｰｼﾞ</t>
    <phoneticPr fontId="13"/>
  </si>
  <si>
    <t>ANH20-8337426</t>
    <phoneticPr fontId="13"/>
  </si>
  <si>
    <t>JF1-2502668</t>
    <phoneticPr fontId="13"/>
  </si>
  <si>
    <t>ｷｬﾘｨﾄﾗｯｸ　KCｴｱｺﾝ</t>
    <phoneticPr fontId="13"/>
  </si>
  <si>
    <t>DA16T-675990</t>
    <phoneticPr fontId="13"/>
  </si>
  <si>
    <t>ﾐﾗｺｺｱ　ｺｺｱXｽﾍﾟｼｬﾙ</t>
    <phoneticPr fontId="13"/>
  </si>
  <si>
    <t>L675S-0161301</t>
    <phoneticPr fontId="13"/>
  </si>
  <si>
    <t>HE33S-320074</t>
    <phoneticPr fontId="13"/>
  </si>
  <si>
    <t>TE52-070640</t>
    <phoneticPr fontId="13"/>
  </si>
  <si>
    <t>ﾑｰｳﾞｶｽﾀﾑ　X</t>
    <phoneticPr fontId="13"/>
  </si>
  <si>
    <t>LA100S-1038066</t>
    <phoneticPr fontId="13"/>
  </si>
  <si>
    <t>N　BOX　G　SSﾊﾟｯｹｰｼﾞ</t>
    <phoneticPr fontId="13"/>
  </si>
  <si>
    <t>JF1-1929374</t>
    <phoneticPr fontId="13"/>
  </si>
  <si>
    <t>MH23S-738048</t>
    <phoneticPr fontId="13"/>
  </si>
  <si>
    <t>A338356</t>
    <phoneticPr fontId="13"/>
  </si>
  <si>
    <t>RV5-1259449</t>
    <phoneticPr fontId="13"/>
  </si>
  <si>
    <t>A339024</t>
    <phoneticPr fontId="13"/>
  </si>
  <si>
    <t>MXWH60-4034445</t>
    <phoneticPr fontId="13"/>
  </si>
  <si>
    <t>A339472</t>
    <phoneticPr fontId="13"/>
  </si>
  <si>
    <t>ZVW51-6061940</t>
    <phoneticPr fontId="13"/>
  </si>
  <si>
    <t>A338631</t>
    <phoneticPr fontId="13"/>
  </si>
  <si>
    <t>B21W-0252051</t>
    <phoneticPr fontId="13"/>
  </si>
  <si>
    <t>A339123</t>
    <phoneticPr fontId="13"/>
  </si>
  <si>
    <t>JF3-2117846</t>
    <phoneticPr fontId="13"/>
  </si>
  <si>
    <t>A338785</t>
    <phoneticPr fontId="13"/>
  </si>
  <si>
    <t>B21A-0345370</t>
    <phoneticPr fontId="13"/>
  </si>
  <si>
    <t>ﾐﾗｲｰｽ　XﾘﾐﾃｯﾄﾞSaⅢ</t>
    <phoneticPr fontId="13"/>
  </si>
  <si>
    <t>9/6/11</t>
    <phoneticPr fontId="13"/>
  </si>
  <si>
    <t>春日井　580　さ　4521</t>
    <rPh sb="0" eb="3">
      <t>カスガイ</t>
    </rPh>
    <phoneticPr fontId="13"/>
  </si>
  <si>
    <t>滋賀　588　や　1207</t>
    <rPh sb="0" eb="2">
      <t>シガ</t>
    </rPh>
    <phoneticPr fontId="13"/>
  </si>
  <si>
    <t>ﾀﾝﾄｶｽﾀﾑ　Xﾄｯﾌﾟｴﾃﾞｨｼｮﾝ</t>
    <phoneticPr fontId="13"/>
  </si>
  <si>
    <t>富山　581　に　5658</t>
    <rPh sb="0" eb="2">
      <t>トヤマ</t>
    </rPh>
    <phoneticPr fontId="13"/>
  </si>
  <si>
    <t>N BOXｶｽﾀﾑ　ｶｽﾀﾑG　Lﾊﾟｯｹｰｼﾞ</t>
    <phoneticPr fontId="13"/>
  </si>
  <si>
    <t>豊橋　584　た　8787</t>
    <rPh sb="0" eb="2">
      <t>トヨハシ</t>
    </rPh>
    <phoneticPr fontId="13"/>
  </si>
  <si>
    <t>N BOXｶｽﾀﾑ　G　Lﾀｰﾎﾞ</t>
    <phoneticPr fontId="13"/>
  </si>
  <si>
    <t>9/8/23</t>
    <phoneticPr fontId="13"/>
  </si>
  <si>
    <t>春日井　580　さ　8559</t>
    <rPh sb="0" eb="3">
      <t>カスガイ</t>
    </rPh>
    <phoneticPr fontId="13"/>
  </si>
  <si>
    <t>MﾍﾞﾝﾂAMG　A35　4M</t>
    <phoneticPr fontId="13"/>
  </si>
  <si>
    <t>福岡　303　ま　4888</t>
    <rPh sb="0" eb="2">
      <t>フクオカ</t>
    </rPh>
    <phoneticPr fontId="13"/>
  </si>
  <si>
    <t>LA650S-0364987</t>
    <phoneticPr fontId="13"/>
  </si>
  <si>
    <t>神戸　58A　き　5765</t>
    <rPh sb="0" eb="2">
      <t>コウベ</t>
    </rPh>
    <phoneticPr fontId="13"/>
  </si>
  <si>
    <t>29076＄</t>
    <phoneticPr fontId="13"/>
  </si>
  <si>
    <t>WMWYV920203E43710</t>
    <phoneticPr fontId="13"/>
  </si>
  <si>
    <t>8/9/8</t>
    <phoneticPr fontId="13"/>
  </si>
  <si>
    <t>宮城　302　と4523</t>
    <rPh sb="0" eb="2">
      <t>ミヤギ</t>
    </rPh>
    <phoneticPr fontId="13"/>
  </si>
  <si>
    <t>奈良　398　り　33</t>
    <rPh sb="0" eb="2">
      <t>ナラ</t>
    </rPh>
    <phoneticPr fontId="13"/>
  </si>
  <si>
    <t>ﾏﾂﾀﾞ3　ﾌｧｽﾄﾊﾞｯｸ　ﾊﾞｰｶﾞﾝﾃﾞｨｾﾚｸｼｮﾝ</t>
    <phoneticPr fontId="13"/>
  </si>
  <si>
    <t>ﾊｲｴｰｽﾊﾞﾝ　ﾛﾝｸﾞｽｰﾊﾟｰGL</t>
    <phoneticPr fontId="13"/>
  </si>
  <si>
    <t>なにわ　430　て　430</t>
    <phoneticPr fontId="13"/>
  </si>
  <si>
    <t>ﾚｶﾞｼｨB4　ﾘﾐﾃｯﾄﾞ</t>
    <phoneticPr fontId="13"/>
  </si>
  <si>
    <t>堺　583　あ　8353</t>
    <rPh sb="0" eb="1">
      <t>サカイ</t>
    </rPh>
    <phoneticPr fontId="13"/>
  </si>
  <si>
    <t>ﾊｲｾﾞｯﾄﾄﾗｯｸ　ﾛｰﾀﾞﾝﾌﾟ</t>
    <phoneticPr fontId="13"/>
  </si>
  <si>
    <t>三重　480　ひ　9981</t>
    <rPh sb="0" eb="2">
      <t>ミエ</t>
    </rPh>
    <phoneticPr fontId="13"/>
  </si>
  <si>
    <t>ｽﾍﾟｰｼｱ　Gﾘﾐﾃｯﾄﾞ</t>
    <phoneticPr fontId="13"/>
  </si>
  <si>
    <t>ﾀﾝﾄｶｽﾀﾑ　ｶｽﾀﾑRS</t>
    <phoneticPr fontId="13"/>
  </si>
  <si>
    <t>ｺﾍﾟﾝ　ﾛｰﾌﾞS</t>
    <phoneticPr fontId="13"/>
  </si>
  <si>
    <t>ﾌﾟﾘｳｽa　G</t>
    <phoneticPr fontId="13"/>
  </si>
  <si>
    <t>WBAHF12020WX01962</t>
    <phoneticPr fontId="13"/>
  </si>
  <si>
    <t>1C4PJDCW5NP034386</t>
    <phoneticPr fontId="13"/>
  </si>
  <si>
    <t>ZFABF1BG8NJG02289</t>
    <phoneticPr fontId="13"/>
  </si>
  <si>
    <t>9/4/21</t>
    <phoneticPr fontId="13"/>
  </si>
  <si>
    <t>名古屋　552　ほ　1023</t>
    <rPh sb="0" eb="3">
      <t>ナゴヤ</t>
    </rPh>
    <phoneticPr fontId="13"/>
  </si>
  <si>
    <t>WMWXU920002N18678</t>
    <phoneticPr fontId="13"/>
  </si>
  <si>
    <t>滋賀　333　り　414</t>
    <rPh sb="0" eb="2">
      <t>シガ</t>
    </rPh>
    <phoneticPr fontId="13"/>
  </si>
  <si>
    <t>SALGA2EK1HA329936</t>
    <phoneticPr fontId="13"/>
  </si>
  <si>
    <t>9/1/21</t>
    <phoneticPr fontId="13"/>
  </si>
  <si>
    <t>10/3/4</t>
    <phoneticPr fontId="13"/>
  </si>
  <si>
    <t>9/6/6</t>
    <phoneticPr fontId="13"/>
  </si>
  <si>
    <t>ｳﾞｪｾﾞﾙ　e:HEV　Z</t>
    <phoneticPr fontId="13"/>
  </si>
  <si>
    <t>10/6/22</t>
    <phoneticPr fontId="13"/>
  </si>
  <si>
    <t>ﾌﾟﾘｳｽ　G</t>
    <phoneticPr fontId="13"/>
  </si>
  <si>
    <t>9/1/4</t>
    <phoneticPr fontId="13"/>
  </si>
  <si>
    <t>ﾃﾞｲｽﾞ　X　Vｾﾚｸｼｮﾝ</t>
    <phoneticPr fontId="13"/>
  </si>
  <si>
    <t>ﾃﾞｲｽﾞﾙｰｸｽ　ﾊｲｳｪｲｽﾀｰXVｾﾚｸｼｮﾝ</t>
    <phoneticPr fontId="13"/>
  </si>
  <si>
    <t>27-3686</t>
  </si>
  <si>
    <t>27-3687</t>
  </si>
  <si>
    <t>27-3688</t>
  </si>
  <si>
    <t>27-3689</t>
  </si>
  <si>
    <t>27-3690</t>
  </si>
  <si>
    <t>27-3691</t>
  </si>
  <si>
    <t>27-3692</t>
  </si>
  <si>
    <t>27-3693</t>
  </si>
  <si>
    <t>27-3694</t>
  </si>
  <si>
    <t>LA350S-0336025</t>
    <phoneticPr fontId="13"/>
  </si>
  <si>
    <t>LA150S-2120484</t>
    <phoneticPr fontId="13"/>
  </si>
  <si>
    <t>ﾊｽﾗｰ　J</t>
    <phoneticPr fontId="13"/>
  </si>
  <si>
    <t>MR41S-355994</t>
    <phoneticPr fontId="13"/>
  </si>
  <si>
    <t>ﾌﾟｼﾞｮｰ　RCZ　GTﾗｲﾝ</t>
    <phoneticPr fontId="13"/>
  </si>
  <si>
    <t>ﾎﾞﾙﾎﾞV60　ｱﾙﾃｨﾒｯﾄ　B4</t>
    <phoneticPr fontId="13"/>
  </si>
  <si>
    <t>BMWﾐﾆｸｰﾊﾟｰD　ｸﾗﾌﾞﾏﾝ</t>
    <phoneticPr fontId="13"/>
  </si>
  <si>
    <t>27-3695</t>
  </si>
  <si>
    <t>27-3696</t>
  </si>
  <si>
    <t>27-3697</t>
  </si>
  <si>
    <t>27-3698</t>
  </si>
  <si>
    <t>27-3699</t>
  </si>
  <si>
    <t>27-3700</t>
  </si>
  <si>
    <t>JB64W-307973</t>
    <phoneticPr fontId="13"/>
  </si>
  <si>
    <t>ﾌﾟﾘｳｽｱﾙﾌｧ　SﾁｭｰﾝﾌﾞﾗｯｸⅡ</t>
    <phoneticPr fontId="13"/>
  </si>
  <si>
    <t>ZVW41-0085846</t>
    <phoneticPr fontId="13"/>
  </si>
  <si>
    <t>ZRR80-0205321</t>
    <phoneticPr fontId="13"/>
  </si>
  <si>
    <t>LA150S-2117810</t>
    <phoneticPr fontId="13"/>
  </si>
  <si>
    <t>JB23W-781177</t>
    <phoneticPr fontId="13"/>
  </si>
  <si>
    <t>DA17W-302766</t>
    <phoneticPr fontId="13"/>
  </si>
  <si>
    <t>RV5-1012038</t>
    <phoneticPr fontId="13"/>
  </si>
  <si>
    <t>ｸﾗｲｽﾗｰｼﾞｰﾌﾟ　ﾚﾈｹﾞｰﾄﾞ　ﾘﾐﾃｯﾄﾞ</t>
    <phoneticPr fontId="13"/>
  </si>
  <si>
    <t>MﾍﾞﾝﾂA180　AMG</t>
    <phoneticPr fontId="13"/>
  </si>
  <si>
    <t>L880K-0038703</t>
    <phoneticPr fontId="13"/>
  </si>
  <si>
    <t>京都　580　わ　8679</t>
    <rPh sb="0" eb="2">
      <t>キョウト</t>
    </rPh>
    <phoneticPr fontId="13"/>
  </si>
  <si>
    <t>VF34J5FVAFP003300</t>
    <phoneticPr fontId="13"/>
  </si>
  <si>
    <t>YV1ZWK8M9P1532872</t>
    <phoneticPr fontId="13"/>
  </si>
  <si>
    <t>WMW72BB0202N66454</t>
    <phoneticPr fontId="13"/>
  </si>
  <si>
    <t>WMW42BT0003P15021</t>
    <phoneticPr fontId="13"/>
  </si>
  <si>
    <t>長崎　330　た　3260</t>
    <rPh sb="0" eb="2">
      <t>ナガサキ</t>
    </rPh>
    <phoneticPr fontId="13"/>
  </si>
  <si>
    <t>滋賀　581　む　6963</t>
    <rPh sb="0" eb="2">
      <t>シガ</t>
    </rPh>
    <phoneticPr fontId="13"/>
  </si>
  <si>
    <t>8/12/20</t>
    <phoneticPr fontId="13"/>
  </si>
  <si>
    <t>京都　335　ほ　134</t>
    <rPh sb="0" eb="2">
      <t>キョウト</t>
    </rPh>
    <phoneticPr fontId="13"/>
  </si>
  <si>
    <t>姫路　335　さ　628</t>
    <rPh sb="0" eb="2">
      <t>ヒメジ</t>
    </rPh>
    <phoneticPr fontId="13"/>
  </si>
  <si>
    <t>鳥取　581　え　485</t>
    <rPh sb="0" eb="2">
      <t>トットリ</t>
    </rPh>
    <phoneticPr fontId="13"/>
  </si>
  <si>
    <t>京都　598　つ　8787</t>
    <rPh sb="0" eb="2">
      <t>キョウト</t>
    </rPh>
    <phoneticPr fontId="13"/>
  </si>
  <si>
    <t>和泉　582　い　5919</t>
    <rPh sb="0" eb="2">
      <t>イズミ</t>
    </rPh>
    <phoneticPr fontId="13"/>
  </si>
  <si>
    <t>1C4NJCD10PPP65685</t>
    <phoneticPr fontId="13"/>
  </si>
  <si>
    <t>WMWXM720602E25462</t>
    <phoneticPr fontId="13"/>
  </si>
  <si>
    <t>W1K1771842J220151</t>
    <phoneticPr fontId="13"/>
  </si>
  <si>
    <t>9/12/17</t>
    <phoneticPr fontId="13"/>
  </si>
  <si>
    <t>広島　348　め　121</t>
    <rPh sb="0" eb="2">
      <t>ヒロシマ</t>
    </rPh>
    <phoneticPr fontId="13"/>
  </si>
  <si>
    <t>19/4</t>
    <phoneticPr fontId="13"/>
  </si>
  <si>
    <t>8/8/9</t>
    <phoneticPr fontId="13"/>
  </si>
  <si>
    <t>和歌山　584　を　2002</t>
    <rPh sb="0" eb="3">
      <t>ワカヤマ</t>
    </rPh>
    <phoneticPr fontId="13"/>
  </si>
  <si>
    <t>直送</t>
    <rPh sb="0" eb="2">
      <t>チョクソウ</t>
    </rPh>
    <phoneticPr fontId="13"/>
  </si>
  <si>
    <t>27-3701</t>
  </si>
  <si>
    <t>ZIP東京</t>
    <rPh sb="3" eb="5">
      <t>トウキョウ</t>
    </rPh>
    <phoneticPr fontId="13"/>
  </si>
  <si>
    <t>BMWﾐﾆｸｰﾊﾟｰ</t>
    <phoneticPr fontId="13"/>
  </si>
  <si>
    <t>WMWXU72010TR60254</t>
    <phoneticPr fontId="13"/>
  </si>
  <si>
    <t>31/3</t>
    <phoneticPr fontId="13"/>
  </si>
  <si>
    <t>赤</t>
    <rPh sb="0" eb="1">
      <t>アカ</t>
    </rPh>
    <phoneticPr fontId="13"/>
  </si>
  <si>
    <t>そのまま送る 27-3442の取説送る</t>
    <rPh sb="4" eb="5">
      <t>オク</t>
    </rPh>
    <rPh sb="15" eb="17">
      <t>トリセツ</t>
    </rPh>
    <rPh sb="17" eb="18">
      <t>オク</t>
    </rPh>
    <phoneticPr fontId="13"/>
  </si>
  <si>
    <t>整備手帳  ﾅﾋﾞ取 ｷｰﾚｽ SD</t>
    <rPh sb="0" eb="2">
      <t>セイビ</t>
    </rPh>
    <rPh sb="2" eb="4">
      <t>テチョウ</t>
    </rPh>
    <rPh sb="9" eb="10">
      <t>　</t>
    </rPh>
    <phoneticPr fontId="13"/>
  </si>
  <si>
    <t>取説1292回31480に使った</t>
    <rPh sb="0" eb="2">
      <t>トリセツ</t>
    </rPh>
    <rPh sb="6" eb="7">
      <t>カイ</t>
    </rPh>
    <rPh sb="13" eb="14">
      <t>ツカ</t>
    </rPh>
    <phoneticPr fontId="13"/>
  </si>
  <si>
    <t>取説なし言われたら会長へ</t>
    <rPh sb="0" eb="2">
      <t>トリセツ</t>
    </rPh>
    <rPh sb="4" eb="5">
      <t>イ</t>
    </rPh>
    <rPh sb="9" eb="11">
      <t>カイチョウ</t>
    </rPh>
    <phoneticPr fontId="13"/>
  </si>
  <si>
    <t>温泉ｺﾝｻﾙﾀﾝﾄ株式会社</t>
    <rPh sb="0" eb="2">
      <t>オンセン</t>
    </rPh>
    <rPh sb="9" eb="13">
      <t>カブシキガイシャ</t>
    </rPh>
    <phoneticPr fontId="13"/>
  </si>
  <si>
    <t>3/22</t>
    <phoneticPr fontId="13"/>
  </si>
  <si>
    <t>株式会社WECARS</t>
    <rPh sb="0" eb="4">
      <t>カブシキガイシャ</t>
    </rPh>
    <phoneticPr fontId="13"/>
  </si>
  <si>
    <t>保証書 取説 ﾅﾋﾞ取 ｽﾍﾟｱｷｰ ﾏｲｸﾛSD ﾐﾆB-CAS</t>
    <rPh sb="0" eb="3">
      <t>ホショウショ</t>
    </rPh>
    <rPh sb="4" eb="6">
      <t>トリセツ</t>
    </rPh>
    <rPh sb="10" eb="11">
      <t>トリ</t>
    </rPh>
    <phoneticPr fontId="13"/>
  </si>
  <si>
    <t>徳島 300 ま 7209</t>
    <rPh sb="0" eb="2">
      <t>トクシマ</t>
    </rPh>
    <phoneticPr fontId="13"/>
  </si>
  <si>
    <t>株式会社Hill Field</t>
    <rPh sb="0" eb="4">
      <t>カブシキガイシャ</t>
    </rPh>
    <phoneticPr fontId="13"/>
  </si>
  <si>
    <t>ｽﾍﾟｱｷｰ</t>
    <phoneticPr fontId="13"/>
  </si>
  <si>
    <t>株式会社ｸﾞﾗﾝﾄﾞﾓｰﾀｰ</t>
    <rPh sb="0" eb="4">
      <t>カブシキガイシャ</t>
    </rPh>
    <phoneticPr fontId="13"/>
  </si>
  <si>
    <t>保証書 取説</t>
    <rPh sb="0" eb="3">
      <t>ホショウショ</t>
    </rPh>
    <rPh sb="4" eb="6">
      <t>トリセツ</t>
    </rPh>
    <phoneticPr fontId="13"/>
  </si>
  <si>
    <t>株式会社ﾍﾞｽﾄｶｰﾔﾏﾅｶ</t>
    <rPh sb="0" eb="4">
      <t>カブシキガイシャ</t>
    </rPh>
    <phoneticPr fontId="13"/>
  </si>
  <si>
    <t>神戸 381 ゆ 515</t>
    <rPh sb="0" eb="2">
      <t>コウベ</t>
    </rPh>
    <phoneticPr fontId="13"/>
  </si>
  <si>
    <t>医療法人社団ぱくﾍﾟｲﾝｸﾘﾆｯｸ</t>
    <rPh sb="0" eb="4">
      <t>イリョウホウジン</t>
    </rPh>
    <rPh sb="4" eb="6">
      <t>シャダン</t>
    </rPh>
    <phoneticPr fontId="13"/>
  </si>
  <si>
    <t>保証書 取説 ｷｰﾚｽ</t>
    <rPh sb="0" eb="3">
      <t>ホショウショ</t>
    </rPh>
    <rPh sb="4" eb="6">
      <t>トリセツ</t>
    </rPh>
    <phoneticPr fontId="13"/>
  </si>
  <si>
    <t>なにわ 39A も 1772</t>
    <phoneticPr fontId="13"/>
  </si>
  <si>
    <t>大阪ﾄﾖﾍﾟｯﾄ株式会社</t>
    <rPh sb="0" eb="2">
      <t>オオサカ</t>
    </rPh>
    <rPh sb="8" eb="12">
      <t>カブシキガイシャ</t>
    </rPh>
    <phoneticPr fontId="13"/>
  </si>
  <si>
    <t>大坂 336 て 8855</t>
    <rPh sb="0" eb="2">
      <t>オオサカ</t>
    </rPh>
    <phoneticPr fontId="13"/>
  </si>
  <si>
    <t>株式会社ｲﾃﾞｲｱ</t>
    <rPh sb="0" eb="4">
      <t>カブシキガイシャ</t>
    </rPh>
    <phoneticPr fontId="13"/>
  </si>
  <si>
    <t>福岡 582 ち 3351</t>
    <rPh sb="0" eb="2">
      <t>フクオカ</t>
    </rPh>
    <phoneticPr fontId="13"/>
  </si>
  <si>
    <t>木村 亮太</t>
    <rPh sb="0" eb="2">
      <t>キムラ</t>
    </rPh>
    <rPh sb="3" eb="5">
      <t>リョウタ</t>
    </rPh>
    <phoneticPr fontId="13"/>
  </si>
  <si>
    <t>取説 保証書 ｷｰﾚｽ ﾅﾋﾞ取</t>
    <rPh sb="0" eb="2">
      <t>トリセツ</t>
    </rPh>
    <rPh sb="3" eb="6">
      <t>ホショウショ</t>
    </rPh>
    <rPh sb="15" eb="16">
      <t>トリ</t>
    </rPh>
    <phoneticPr fontId="13"/>
  </si>
  <si>
    <t>神戸 584 か 145</t>
    <rPh sb="0" eb="2">
      <t>コウベ</t>
    </rPh>
    <phoneticPr fontId="13"/>
  </si>
  <si>
    <t>石神 輝彦</t>
    <rPh sb="0" eb="2">
      <t>イシガミ</t>
    </rPh>
    <rPh sb="3" eb="5">
      <t>テルヒコ</t>
    </rPh>
    <phoneticPr fontId="13"/>
  </si>
  <si>
    <t>広島 582 か 7356</t>
    <rPh sb="0" eb="2">
      <t>ヒロシマ</t>
    </rPh>
    <phoneticPr fontId="13"/>
  </si>
  <si>
    <t>勝岡 航海</t>
    <rPh sb="0" eb="1">
      <t>カツ</t>
    </rPh>
    <rPh sb="1" eb="2">
      <t>オカ</t>
    </rPh>
    <rPh sb="3" eb="5">
      <t>コウカイ</t>
    </rPh>
    <phoneticPr fontId="13"/>
  </si>
  <si>
    <t>島根 583 こ 1888</t>
    <rPh sb="0" eb="2">
      <t>シマネ</t>
    </rPh>
    <phoneticPr fontId="13"/>
  </si>
  <si>
    <t>ﾄｰｱﾄﾞｯﾄｺﾑ株式会社</t>
    <rPh sb="9" eb="13">
      <t>カブシキガイシャ</t>
    </rPh>
    <phoneticPr fontId="13"/>
  </si>
  <si>
    <t>保証書 取説 ｽﾏｰﾄｷｰ ﾜﾝｵｰﾅｰ</t>
    <rPh sb="0" eb="3">
      <t>ホショウショ</t>
    </rPh>
    <rPh sb="4" eb="6">
      <t>トリセツ</t>
    </rPh>
    <phoneticPr fontId="13"/>
  </si>
  <si>
    <t>神戸 39Ａ た 5336</t>
    <rPh sb="0" eb="2">
      <t>コウベ</t>
    </rPh>
    <phoneticPr fontId="13"/>
  </si>
  <si>
    <t>株式会社ＨＫＣ</t>
    <rPh sb="0" eb="4">
      <t>カブシキガイシャ</t>
    </rPh>
    <phoneticPr fontId="13"/>
  </si>
  <si>
    <t>保証書 取説 ｷｰﾚｽ ﾜﾝｵｰﾅｰ</t>
    <rPh sb="0" eb="3">
      <t>ホショウショ</t>
    </rPh>
    <rPh sb="4" eb="6">
      <t>トリセツ</t>
    </rPh>
    <phoneticPr fontId="13"/>
  </si>
  <si>
    <t>おくるまﾈｯﾄﾜｰｸ株式会社</t>
    <rPh sb="10" eb="14">
      <t>カブシキガイシャ</t>
    </rPh>
    <phoneticPr fontId="13"/>
  </si>
  <si>
    <t>保証書 取説 ﾅﾋﾞ取 ｷｰﾚｽ SD</t>
    <rPh sb="0" eb="3">
      <t>ホショウショ</t>
    </rPh>
    <rPh sb="4" eb="6">
      <t>トリセツ</t>
    </rPh>
    <rPh sb="10" eb="11">
      <t>トリ</t>
    </rPh>
    <phoneticPr fontId="13"/>
  </si>
  <si>
    <t>HAA神戸</t>
    <rPh sb="3" eb="5">
      <t>コウベ</t>
    </rPh>
    <phoneticPr fontId="13"/>
  </si>
  <si>
    <t>WMWXT320102H68367</t>
    <phoneticPr fontId="13"/>
  </si>
  <si>
    <t>姫路 399 な 6341</t>
    <rPh sb="0" eb="2">
      <t>ヒメジ</t>
    </rPh>
    <phoneticPr fontId="13"/>
  </si>
  <si>
    <t>株式会社ﾎﾝﾀﾞｶｰｽﾞ兵庫中央</t>
    <rPh sb="0" eb="4">
      <t>カブシキガイシャ</t>
    </rPh>
    <rPh sb="12" eb="14">
      <t>ヒョウゴ</t>
    </rPh>
    <rPh sb="14" eb="16">
      <t>チュウオウ</t>
    </rPh>
    <phoneticPr fontId="13"/>
  </si>
  <si>
    <t>3/23</t>
    <phoneticPr fontId="13"/>
  </si>
  <si>
    <t>WMWXU72090TN23909</t>
    <phoneticPr fontId="13"/>
  </si>
  <si>
    <t>株式会社ﾎﾝﾀﾞﾓﾋﾞﾘﾃｨ近畿</t>
    <rPh sb="0" eb="4">
      <t>カブシキガイシャ</t>
    </rPh>
    <rPh sb="14" eb="16">
      <t>キンキ</t>
    </rPh>
    <phoneticPr fontId="13"/>
  </si>
  <si>
    <t>取説 ｷｰﾚｽ(車内)</t>
    <rPh sb="0" eb="2">
      <t>トリセツ</t>
    </rPh>
    <rPh sb="8" eb="10">
      <t>シャナイ</t>
    </rPh>
    <phoneticPr fontId="13"/>
  </si>
  <si>
    <t>WBAYH520505T29606</t>
    <phoneticPr fontId="13"/>
  </si>
  <si>
    <t>広島 362 さ 310</t>
    <rPh sb="0" eb="2">
      <t>ヒロシマ</t>
    </rPh>
    <phoneticPr fontId="13"/>
  </si>
  <si>
    <t>株式会社ﾎﾝﾀﾞﾓﾋﾞﾘﾃｨ中四国</t>
    <rPh sb="15" eb="16">
      <t>シコク</t>
    </rPh>
    <phoneticPr fontId="13"/>
  </si>
  <si>
    <t>高松 580 え 8678</t>
    <rPh sb="0" eb="2">
      <t>タカマツ</t>
    </rPh>
    <phoneticPr fontId="13"/>
  </si>
  <si>
    <t>山本 崇義</t>
    <rPh sb="0" eb="2">
      <t>ヤマモト</t>
    </rPh>
    <rPh sb="3" eb="5">
      <t>タカヨシ</t>
    </rPh>
    <phoneticPr fontId="13"/>
  </si>
  <si>
    <t>HAA神戸(ﾜﾝｸﾘ)</t>
    <rPh sb="3" eb="5">
      <t>コウベ</t>
    </rPh>
    <phoneticPr fontId="13"/>
  </si>
  <si>
    <t>USS神戸(ﾜﾝｸﾘ)</t>
    <rPh sb="3" eb="5">
      <t>コウベ</t>
    </rPh>
    <phoneticPr fontId="13"/>
  </si>
  <si>
    <t>保証書 取説 ｷｰﾚｽ(車内)</t>
    <rPh sb="0" eb="3">
      <t>ホショウショ</t>
    </rPh>
    <rPh sb="4" eb="6">
      <t>トリセツ</t>
    </rPh>
    <rPh sb="12" eb="14">
      <t>シャナイ</t>
    </rPh>
    <phoneticPr fontId="13"/>
  </si>
  <si>
    <t>保証書 取説 ﾏｲｸﾛSD(車内)</t>
    <rPh sb="0" eb="3">
      <t>ホショウショ</t>
    </rPh>
    <rPh sb="4" eb="6">
      <t>トリセツ</t>
    </rPh>
    <rPh sb="14" eb="16">
      <t>シャナイ</t>
    </rPh>
    <phoneticPr fontId="13"/>
  </si>
  <si>
    <t>取説 ｷｰﾚｽ ﾘﾓｺﾝ(車内)保証書</t>
    <rPh sb="0" eb="2">
      <t>トリセツ</t>
    </rPh>
    <rPh sb="16" eb="19">
      <t>ホショウショ</t>
    </rPh>
    <phoneticPr fontId="13"/>
  </si>
  <si>
    <t>保証書 取説 ｷｰﾚｽ(車内)</t>
    <rPh sb="0" eb="3">
      <t>ホショウショ</t>
    </rPh>
    <rPh sb="4" eb="6">
      <t>トリセツ</t>
    </rPh>
    <phoneticPr fontId="13"/>
  </si>
  <si>
    <t>地図SD(車内)</t>
    <rPh sb="0" eb="2">
      <t>チズ</t>
    </rPh>
    <phoneticPr fontId="13"/>
  </si>
  <si>
    <t>地図SD(車内)ｽﾍﾟｱｷｰ</t>
    <rPh sb="0" eb="2">
      <t>チズ</t>
    </rPh>
    <phoneticPr fontId="13"/>
  </si>
  <si>
    <t>ｷｰﾚｽ(車内)保証書 取説 ﾅﾋﾞ取</t>
    <rPh sb="8" eb="11">
      <t>ホショウショ</t>
    </rPh>
    <rPh sb="12" eb="14">
      <t>トリセツ</t>
    </rPh>
    <rPh sb="18" eb="19">
      <t>トリ</t>
    </rPh>
    <phoneticPr fontId="13"/>
  </si>
  <si>
    <t>582 う 4770</t>
    <phoneticPr fontId="13"/>
  </si>
  <si>
    <t>582 う 4769</t>
    <phoneticPr fontId="13"/>
  </si>
  <si>
    <t>582 う 4768</t>
    <phoneticPr fontId="13"/>
  </si>
  <si>
    <t>582 う 4767</t>
    <phoneticPr fontId="13"/>
  </si>
  <si>
    <t>582 う 4766</t>
    <phoneticPr fontId="13"/>
  </si>
  <si>
    <t>582 う 4765</t>
    <phoneticPr fontId="13"/>
  </si>
  <si>
    <t>582 う 4764</t>
    <phoneticPr fontId="13"/>
  </si>
  <si>
    <t>480 ね 4924</t>
    <phoneticPr fontId="13"/>
  </si>
  <si>
    <t>480 ね 4923</t>
    <phoneticPr fontId="13"/>
  </si>
  <si>
    <t>582 う 4771</t>
    <phoneticPr fontId="13"/>
  </si>
  <si>
    <t>582 う 4772</t>
    <phoneticPr fontId="13"/>
  </si>
  <si>
    <t>582 う 4773</t>
    <phoneticPr fontId="13"/>
  </si>
  <si>
    <t>582 う 4774</t>
    <phoneticPr fontId="13"/>
  </si>
  <si>
    <t>582 う 4775</t>
    <phoneticPr fontId="13"/>
  </si>
  <si>
    <t>582 う 4776</t>
    <phoneticPr fontId="13"/>
  </si>
  <si>
    <t>582 う 4777</t>
    <phoneticPr fontId="13"/>
  </si>
  <si>
    <t>480 ね 4925</t>
    <phoneticPr fontId="13"/>
  </si>
  <si>
    <t>582 う 4778</t>
    <phoneticPr fontId="13"/>
  </si>
  <si>
    <t>301 ね 8869</t>
    <phoneticPr fontId="13"/>
  </si>
  <si>
    <t>301 ね 8868</t>
    <phoneticPr fontId="13"/>
  </si>
  <si>
    <t>301 ね 8867</t>
    <phoneticPr fontId="13"/>
  </si>
  <si>
    <t>301 ね 8866</t>
    <phoneticPr fontId="13"/>
  </si>
  <si>
    <t>27-3702</t>
  </si>
  <si>
    <t>27-3703</t>
  </si>
  <si>
    <t>27-3704</t>
  </si>
  <si>
    <t>27-3705</t>
  </si>
  <si>
    <t>27-3706</t>
  </si>
  <si>
    <t>ﾎﾞﾙﾎﾞS60 T3 ｸﾗｼｯｸ</t>
    <phoneticPr fontId="13"/>
  </si>
  <si>
    <t>YV1FS29M0J2450934</t>
    <phoneticPr fontId="13"/>
  </si>
  <si>
    <t>ｱｳﾃﾞｨA3 ｽﾊﾟｰﾂﾊﾞｯｸ 1.4TFSI</t>
    <phoneticPr fontId="13"/>
  </si>
  <si>
    <t>WAUZZZ8VXJA073225</t>
    <phoneticPr fontId="13"/>
  </si>
  <si>
    <t>名古屋 370 の 1225</t>
    <rPh sb="0" eb="3">
      <t>ナゴヤ</t>
    </rPh>
    <phoneticPr fontId="13"/>
  </si>
  <si>
    <t>BMW 2ｼﾘｰｽﾞ 218i Mｽﾎﾟｰﾂ</t>
    <phoneticPr fontId="13"/>
  </si>
  <si>
    <t>WBA2D320105L02988</t>
    <phoneticPr fontId="13"/>
  </si>
  <si>
    <t>BMWﾐﾆｸﾗﾌﾞﾏﾝ ｼﾞｮﾝｸｰﾊﾟｰﾜｰｸｽ</t>
    <phoneticPr fontId="13"/>
  </si>
  <si>
    <t>WMWJZ920302M64882</t>
    <phoneticPr fontId="13"/>
  </si>
  <si>
    <t>WMW12DV0902R78903</t>
    <phoneticPr fontId="13"/>
  </si>
  <si>
    <t>所沢 302 ち 1659</t>
    <rPh sb="0" eb="2">
      <t>トコロザワ</t>
    </rPh>
    <phoneticPr fontId="13"/>
  </si>
  <si>
    <t>WMWXU920802L71624</t>
    <phoneticPr fontId="13"/>
  </si>
  <si>
    <t>高知 500 み 4947</t>
    <rPh sb="0" eb="2">
      <t>コウチ</t>
    </rPh>
    <phoneticPr fontId="13"/>
  </si>
  <si>
    <t>ｽﾏｰﾄﾌｫｰﾌｫｰ ﾌﾞﾗﾊﾞｽｴｸｽｸﾙｰｼﾌﾞ</t>
    <phoneticPr fontId="13"/>
  </si>
  <si>
    <t>滋賀 502 そ 8222</t>
    <rPh sb="0" eb="2">
      <t>シガ</t>
    </rPh>
    <phoneticPr fontId="13"/>
  </si>
  <si>
    <t>27-3707</t>
  </si>
  <si>
    <t>27-3708</t>
  </si>
  <si>
    <t>27-3709</t>
  </si>
  <si>
    <t>27-3710</t>
  </si>
  <si>
    <t>27-3711</t>
  </si>
  <si>
    <t>27-3712</t>
  </si>
  <si>
    <t>27-3713</t>
  </si>
  <si>
    <t>27-3714</t>
  </si>
  <si>
    <t>A340358</t>
    <phoneticPr fontId="13"/>
  </si>
  <si>
    <t>ZVW50-6067266</t>
    <phoneticPr fontId="13"/>
  </si>
  <si>
    <t>A334513</t>
    <phoneticPr fontId="13"/>
  </si>
  <si>
    <t>GDJ150-0073386</t>
    <phoneticPr fontId="13"/>
  </si>
  <si>
    <t>A337669</t>
    <phoneticPr fontId="13"/>
  </si>
  <si>
    <t>NHP10-2557416</t>
    <phoneticPr fontId="13"/>
  </si>
  <si>
    <t>A339150</t>
    <phoneticPr fontId="13"/>
  </si>
  <si>
    <t>TRJ250-0012387</t>
    <phoneticPr fontId="13"/>
  </si>
  <si>
    <t>A337538</t>
    <phoneticPr fontId="13"/>
  </si>
  <si>
    <t>AXVH70-1065326</t>
    <phoneticPr fontId="13"/>
  </si>
  <si>
    <t>ｱｸｱ G G´s</t>
    <phoneticPr fontId="13"/>
  </si>
  <si>
    <t>9/10/22</t>
    <phoneticPr fontId="13"/>
  </si>
  <si>
    <t>ｶﾑﾘ G</t>
    <phoneticPr fontId="13"/>
  </si>
  <si>
    <t>9/9/16</t>
    <phoneticPr fontId="13"/>
  </si>
  <si>
    <t>神戸 332 ろ 2353</t>
    <rPh sb="0" eb="2">
      <t>コウベ</t>
    </rPh>
    <phoneticPr fontId="13"/>
  </si>
  <si>
    <t>兵庫日産自動車株式会社</t>
    <rPh sb="0" eb="2">
      <t>ヒョウゴ</t>
    </rPh>
    <rPh sb="2" eb="11">
      <t>ニッサンジドウシャカブシキガイシャ</t>
    </rPh>
    <phoneticPr fontId="13"/>
  </si>
  <si>
    <t>3/24</t>
    <phoneticPr fontId="13"/>
  </si>
  <si>
    <t>ﾘﾓｺﾝ(車内)保証書 取説 ﾅﾋﾞ取 ｽﾍﾟｱｷｰ</t>
    <rPh sb="8" eb="11">
      <t>ホショウショ</t>
    </rPh>
    <rPh sb="12" eb="14">
      <t>トリセツ</t>
    </rPh>
    <rPh sb="18" eb="19">
      <t>トリ</t>
    </rPh>
    <phoneticPr fontId="13"/>
  </si>
  <si>
    <t>倉敷 581 ろ 5931</t>
    <rPh sb="0" eb="2">
      <t>クラシキ</t>
    </rPh>
    <phoneticPr fontId="13"/>
  </si>
  <si>
    <t>株式会社ｽｽﾞｷ自販関西倉敷営業所</t>
    <rPh sb="0" eb="4">
      <t>カブシキガイシャ</t>
    </rPh>
    <rPh sb="8" eb="10">
      <t>ジハン</t>
    </rPh>
    <rPh sb="10" eb="12">
      <t>カンサイ</t>
    </rPh>
    <rPh sb="12" eb="17">
      <t>クラシキエイギョウショ</t>
    </rPh>
    <phoneticPr fontId="13"/>
  </si>
  <si>
    <t>地図SD(車内)保証書 取説 ﾅﾋﾞ取</t>
    <rPh sb="2" eb="4">
      <t>シャナイ</t>
    </rPh>
    <rPh sb="8" eb="11">
      <t>ホショウショ</t>
    </rPh>
    <rPh sb="12" eb="14">
      <t>トリセツ</t>
    </rPh>
    <rPh sb="18" eb="19">
      <t>トリ</t>
    </rPh>
    <phoneticPr fontId="13"/>
  </si>
  <si>
    <t>香川 480 つ 1395</t>
    <rPh sb="0" eb="2">
      <t>カガワ</t>
    </rPh>
    <phoneticPr fontId="13"/>
  </si>
  <si>
    <t>株式会社ｽｽﾞｷ自販関西 高松営業所</t>
    <rPh sb="10" eb="12">
      <t>カンサイ</t>
    </rPh>
    <rPh sb="13" eb="15">
      <t>タカマツ</t>
    </rPh>
    <rPh sb="15" eb="18">
      <t>エイギョウショ</t>
    </rPh>
    <phoneticPr fontId="13"/>
  </si>
  <si>
    <t>岡山 588 と 122</t>
    <rPh sb="0" eb="2">
      <t>オカヤマ</t>
    </rPh>
    <phoneticPr fontId="13"/>
  </si>
  <si>
    <t>なにわ 39A や 7206</t>
    <phoneticPr fontId="13"/>
  </si>
  <si>
    <t>ﾈｯﾂﾄﾖﾀ大阪株式会社</t>
    <rPh sb="6" eb="8">
      <t>オオサカ</t>
    </rPh>
    <rPh sb="8" eb="12">
      <t>カブシキガイシャ</t>
    </rPh>
    <phoneticPr fontId="13"/>
  </si>
  <si>
    <t>取説 ｷｰﾚｽ(車内)保証書 ﾘﾓｺﾝ2個</t>
    <rPh sb="0" eb="2">
      <t>トリセツ</t>
    </rPh>
    <rPh sb="11" eb="14">
      <t>ホショウショ</t>
    </rPh>
    <rPh sb="20" eb="21">
      <t>コ</t>
    </rPh>
    <phoneticPr fontId="13"/>
  </si>
  <si>
    <t>鳥取 580 に 9554</t>
    <rPh sb="0" eb="2">
      <t>トットリ</t>
    </rPh>
    <phoneticPr fontId="13"/>
  </si>
  <si>
    <t>鳥取ﾀﾞｲﾊﾂ販売株式会社</t>
    <rPh sb="0" eb="2">
      <t>トットリ</t>
    </rPh>
    <rPh sb="6" eb="8">
      <t>ハンバイ</t>
    </rPh>
    <rPh sb="8" eb="12">
      <t>カブシキガイシャ</t>
    </rPh>
    <phoneticPr fontId="13"/>
  </si>
  <si>
    <t>27-3715</t>
  </si>
  <si>
    <t>八代田様</t>
    <rPh sb="0" eb="2">
      <t>ヤシロ</t>
    </rPh>
    <rPh sb="2" eb="3">
      <t>タ</t>
    </rPh>
    <rPh sb="3" eb="4">
      <t>サマ</t>
    </rPh>
    <phoneticPr fontId="13"/>
  </si>
  <si>
    <t>ﾒﾙｾﾃﾞｽﾍﾞﾝﾂ A180</t>
    <phoneticPr fontId="13"/>
  </si>
  <si>
    <t>WDD1760422J168902</t>
    <phoneticPr fontId="13"/>
  </si>
  <si>
    <t>神戸 31A て 88</t>
    <rPh sb="0" eb="2">
      <t>コウベ</t>
    </rPh>
    <phoneticPr fontId="13"/>
  </si>
  <si>
    <t>八代田 幸子</t>
    <rPh sb="0" eb="3">
      <t>ヤシロダ</t>
    </rPh>
    <rPh sb="4" eb="6">
      <t>サチコ</t>
    </rPh>
    <phoneticPr fontId="13"/>
  </si>
  <si>
    <t>保証書 取説 ｷｰﾚｽ 充電ｹｰﾌﾞﾙ</t>
    <rPh sb="0" eb="3">
      <t>ホショウショ</t>
    </rPh>
    <rPh sb="4" eb="6">
      <t>トリセツ</t>
    </rPh>
    <rPh sb="12" eb="14">
      <t>ジュウデン</t>
    </rPh>
    <phoneticPr fontId="13"/>
  </si>
  <si>
    <t>岐阜 302 ち 1720</t>
    <rPh sb="0" eb="2">
      <t>ギフ</t>
    </rPh>
    <phoneticPr fontId="13"/>
  </si>
  <si>
    <t>株式会社ｻｺﾀﾞ車輛ﾎﾝﾀﾞｶｰｽﾞ東海</t>
    <rPh sb="8" eb="10">
      <t>シャリョウ</t>
    </rPh>
    <rPh sb="18" eb="20">
      <t>トウカイ</t>
    </rPh>
    <phoneticPr fontId="13"/>
  </si>
  <si>
    <t>名古屋 333 つ 3088</t>
    <rPh sb="0" eb="3">
      <t>ナゴヤ</t>
    </rPh>
    <phoneticPr fontId="13"/>
  </si>
  <si>
    <t>前田 有輝</t>
    <rPh sb="0" eb="2">
      <t>マエダ</t>
    </rPh>
    <rPh sb="3" eb="4">
      <t>アリ</t>
    </rPh>
    <rPh sb="4" eb="5">
      <t>カガヤ</t>
    </rPh>
    <phoneticPr fontId="13"/>
  </si>
  <si>
    <t>保証書 取説 ﾅﾋﾞ取 ｷｰﾚｽ2個 ﾜﾝｵｰﾅｰ SD</t>
    <rPh sb="0" eb="3">
      <t>ホショウショ</t>
    </rPh>
    <rPh sb="4" eb="6">
      <t>トリセツ</t>
    </rPh>
    <rPh sb="10" eb="11">
      <t>トリ</t>
    </rPh>
    <rPh sb="17" eb="18">
      <t>コ</t>
    </rPh>
    <phoneticPr fontId="13"/>
  </si>
  <si>
    <t>北九州 399 て 8370</t>
    <rPh sb="0" eb="3">
      <t>キタキュウシュウ</t>
    </rPh>
    <phoneticPr fontId="13"/>
  </si>
  <si>
    <t>27-3716</t>
  </si>
  <si>
    <t>27-3717</t>
  </si>
  <si>
    <t>27-3718</t>
  </si>
  <si>
    <t>27-3719</t>
  </si>
  <si>
    <t>27-3720</t>
  </si>
  <si>
    <t>27-3721</t>
  </si>
  <si>
    <t>27-3722</t>
  </si>
  <si>
    <t>27-3723</t>
  </si>
  <si>
    <t>27-3724</t>
  </si>
  <si>
    <t>27-3725</t>
  </si>
  <si>
    <t>27-3726</t>
  </si>
  <si>
    <t>27-3727</t>
  </si>
  <si>
    <t>27-3728</t>
  </si>
  <si>
    <t>27-3729</t>
  </si>
  <si>
    <t>27-3730</t>
  </si>
  <si>
    <t>27-3731</t>
  </si>
  <si>
    <t>27-3732</t>
  </si>
  <si>
    <t>27-3733</t>
  </si>
  <si>
    <t>MH55S-153930</t>
    <phoneticPr fontId="13"/>
  </si>
  <si>
    <t>LA150S-2115990</t>
    <phoneticPr fontId="13"/>
  </si>
  <si>
    <t>ｳｪｲｸ　X　SA</t>
    <phoneticPr fontId="13"/>
  </si>
  <si>
    <t>LA710S-0005891</t>
    <phoneticPr fontId="13"/>
  </si>
  <si>
    <t>LA650S-0288565</t>
    <phoneticPr fontId="13"/>
  </si>
  <si>
    <t>ｶﾛｰﾗﾌｨｰﾙﾀﾞｰ　HV　G</t>
    <phoneticPr fontId="13"/>
  </si>
  <si>
    <t>NKE165-7166610</t>
    <phoneticPr fontId="13"/>
  </si>
  <si>
    <t>N　BOXｶｽﾀﾑ　ﾓﾃﾞｭｰﾛX　Gﾀｰﾎﾞ</t>
    <phoneticPr fontId="13"/>
  </si>
  <si>
    <t>JF1-6500733</t>
    <phoneticPr fontId="13"/>
  </si>
  <si>
    <t>S710V-0118573</t>
    <phoneticPr fontId="13"/>
  </si>
  <si>
    <t>ﾐﾗｲｰｽ　G　ﾘﾐﾃｯﾄﾞ　SaⅢ</t>
    <phoneticPr fontId="13"/>
  </si>
  <si>
    <t>LA350S-0394877</t>
    <phoneticPr fontId="13"/>
  </si>
  <si>
    <t>ﾐﾗｺｺｱ　ｺｺｱﾌﾟﾗｽX</t>
    <phoneticPr fontId="13"/>
  </si>
  <si>
    <t>L675S-0213394</t>
    <phoneticPr fontId="13"/>
  </si>
  <si>
    <t>NCP160-0152363</t>
    <phoneticPr fontId="13"/>
  </si>
  <si>
    <t>ﾌﾟﾛﾎﾞｯｸｽ　ﾊｲﾌﾞﾘｯﾄﾞDXｺﾝﾌｫｰﾄ</t>
    <phoneticPr fontId="13"/>
  </si>
  <si>
    <t>NHP160-0026401</t>
    <phoneticPr fontId="13"/>
  </si>
  <si>
    <t>WMWXR320202L85923</t>
    <phoneticPr fontId="13"/>
  </si>
  <si>
    <t>赤</t>
    <phoneticPr fontId="13"/>
  </si>
  <si>
    <t>高知　480　た　6487</t>
    <rPh sb="0" eb="2">
      <t>コウチ</t>
    </rPh>
    <phoneticPr fontId="13"/>
  </si>
  <si>
    <t>WMWXS520X02F21993</t>
    <phoneticPr fontId="13"/>
  </si>
  <si>
    <t>1C4BU0000LPL78620</t>
    <phoneticPr fontId="13"/>
  </si>
  <si>
    <t>評価損</t>
    <rPh sb="0" eb="2">
      <t>コウチ</t>
    </rPh>
    <phoneticPr fontId="13"/>
  </si>
  <si>
    <t>高知　300　の　4970</t>
    <rPh sb="0" eb="2">
      <t>コウチ</t>
    </rPh>
    <phoneticPr fontId="13"/>
  </si>
  <si>
    <t>WMWXS520902F22858</t>
    <phoneticPr fontId="13"/>
  </si>
  <si>
    <t>香川　581　う　6671</t>
    <rPh sb="0" eb="2">
      <t>カガワ</t>
    </rPh>
    <phoneticPr fontId="13"/>
  </si>
  <si>
    <t>ZFANF2D12MP909154</t>
    <phoneticPr fontId="13"/>
  </si>
  <si>
    <t>WMWYU520103D54254</t>
    <phoneticPr fontId="13"/>
  </si>
  <si>
    <t>27-3734</t>
  </si>
  <si>
    <t>27-3735</t>
  </si>
  <si>
    <t>JF5-1128787</t>
    <phoneticPr fontId="13"/>
  </si>
  <si>
    <t>DA17V-462291</t>
    <phoneticPr fontId="13"/>
  </si>
  <si>
    <t>N　BOXｶｽﾀﾑ　G　EX　ﾎﾝﾀﾞｾﾝｼﾝｸﾞ</t>
    <phoneticPr fontId="13"/>
  </si>
  <si>
    <t>JF3-1023452</t>
    <phoneticPr fontId="13"/>
  </si>
  <si>
    <t>27-3736</t>
  </si>
  <si>
    <t>27-3737</t>
  </si>
  <si>
    <t>27-3738</t>
  </si>
  <si>
    <t>27-3739</t>
  </si>
  <si>
    <t>27-3740</t>
  </si>
  <si>
    <t>27-3741</t>
  </si>
  <si>
    <t>27-3742</t>
  </si>
  <si>
    <t>27-3743</t>
  </si>
  <si>
    <t>ｱﾙﾄﾗﾊﾟﾝ　S</t>
    <phoneticPr fontId="13"/>
  </si>
  <si>
    <t>HE33S-137398</t>
    <phoneticPr fontId="13"/>
  </si>
  <si>
    <t>N　BOX　GﾀｰﾎﾞLﾊﾟｯｹｰｼﾞ</t>
    <phoneticPr fontId="13"/>
  </si>
  <si>
    <t>JF1-2511943</t>
    <phoneticPr fontId="13"/>
  </si>
  <si>
    <t>ZVW51-6087395</t>
    <phoneticPr fontId="13"/>
  </si>
  <si>
    <t>ﾚｸｻｽ　LS500ﾊﾞｰｼﾞｮﾝL</t>
    <phoneticPr fontId="13"/>
  </si>
  <si>
    <t>VXFA50-6003140</t>
    <phoneticPr fontId="13"/>
  </si>
  <si>
    <t>ｴｸｽﾄﾚｲﾙ　20XIﾚｻﾞｰED　Vｾﾚｸｼｮﾝ</t>
    <phoneticPr fontId="13"/>
  </si>
  <si>
    <t>NT32-607881</t>
    <phoneticPr fontId="13"/>
  </si>
  <si>
    <t>MH55S-732469</t>
    <phoneticPr fontId="13"/>
  </si>
  <si>
    <t>ﾐﾆｷｬﾌﾞﾄﾗｯｸ　ﾐﾉﾘ</t>
    <phoneticPr fontId="13"/>
  </si>
  <si>
    <t>DS16T-693915</t>
    <phoneticPr fontId="13"/>
  </si>
  <si>
    <t>MXWH60-4035284</t>
    <phoneticPr fontId="13"/>
  </si>
  <si>
    <t>神戸　58A　き　4767</t>
    <rPh sb="0" eb="2">
      <t>コウベ</t>
    </rPh>
    <phoneticPr fontId="13"/>
  </si>
  <si>
    <t>神戸　581　み　5199</t>
    <rPh sb="0" eb="2">
      <t>コウベ</t>
    </rPh>
    <phoneticPr fontId="13"/>
  </si>
  <si>
    <t>徳島　300　ま　6414</t>
    <rPh sb="0" eb="2">
      <t>トクシマ</t>
    </rPh>
    <phoneticPr fontId="13"/>
  </si>
  <si>
    <t>10/1/4</t>
    <phoneticPr fontId="13"/>
  </si>
  <si>
    <t>岡山　330　ね　8623</t>
    <rPh sb="0" eb="2">
      <t>オカヤマ</t>
    </rPh>
    <phoneticPr fontId="13"/>
  </si>
  <si>
    <t>姫路　301　に　1876</t>
    <rPh sb="0" eb="2">
      <t>ヒメジ</t>
    </rPh>
    <phoneticPr fontId="13"/>
  </si>
  <si>
    <t>ｷｬﾝｾﾙ3/26返送</t>
    <rPh sb="9" eb="11">
      <t>ヘンソウ</t>
    </rPh>
    <phoneticPr fontId="13"/>
  </si>
  <si>
    <t>27-3744</t>
  </si>
  <si>
    <t>27-3745</t>
  </si>
  <si>
    <t>HE33S-176379</t>
    <phoneticPr fontId="13"/>
  </si>
  <si>
    <t>ZVW40-3109523</t>
    <phoneticPr fontId="13"/>
  </si>
  <si>
    <t>27-3746</t>
  </si>
  <si>
    <t>27-3747</t>
  </si>
  <si>
    <t>ﾌﾟﾘｳｽ Sﾂｰﾘﾝｸﾞ ｾﾚｸｼｮﾝ</t>
    <phoneticPr fontId="13"/>
  </si>
  <si>
    <t>ZVW50-6041928</t>
    <phoneticPr fontId="13"/>
  </si>
  <si>
    <t>名古屋 36C ゆ 8000</t>
    <rPh sb="0" eb="3">
      <t>ナゴヤ</t>
    </rPh>
    <phoneticPr fontId="13"/>
  </si>
  <si>
    <t>NCP160-0157249</t>
    <phoneticPr fontId="13"/>
  </si>
  <si>
    <t>8/7/25</t>
    <phoneticPr fontId="13"/>
  </si>
  <si>
    <t>南本 哲</t>
    <rPh sb="0" eb="1">
      <t>ミナミ</t>
    </rPh>
    <rPh sb="1" eb="2">
      <t>モト</t>
    </rPh>
    <rPh sb="3" eb="4">
      <t>テツ</t>
    </rPh>
    <phoneticPr fontId="13"/>
  </si>
  <si>
    <t>保証書 取説 ｴﾝｼﾞﾝｽﾀｰﾀｰ</t>
    <rPh sb="0" eb="3">
      <t>ホショウショ</t>
    </rPh>
    <rPh sb="4" eb="6">
      <t>トリセツ</t>
    </rPh>
    <phoneticPr fontId="13"/>
  </si>
  <si>
    <t>ｼｬﾗｲｽﾞｨ合同会社</t>
    <rPh sb="7" eb="11">
      <t>ゴウドウカイシャ</t>
    </rPh>
    <phoneticPr fontId="13"/>
  </si>
  <si>
    <t>福山 300 も 867</t>
    <rPh sb="0" eb="2">
      <t>フクヤマ</t>
    </rPh>
    <phoneticPr fontId="13"/>
  </si>
  <si>
    <t>名古屋 346 ふ 610</t>
    <rPh sb="0" eb="3">
      <t>ナゴヤ</t>
    </rPh>
    <phoneticPr fontId="13"/>
  </si>
  <si>
    <t>神戸 596 ろ 3869</t>
    <rPh sb="0" eb="2">
      <t>コウベ</t>
    </rPh>
    <phoneticPr fontId="13"/>
  </si>
  <si>
    <t>和泉 780 え 7788</t>
    <rPh sb="0" eb="2">
      <t>イズミ</t>
    </rPh>
    <phoneticPr fontId="13"/>
  </si>
  <si>
    <t>株式会社SANKYOｶﾞﾘﾊﾞｰ岩国店</t>
    <rPh sb="0" eb="4">
      <t>カブシキガイシャ</t>
    </rPh>
    <rPh sb="16" eb="18">
      <t>イワクニ</t>
    </rPh>
    <rPh sb="18" eb="19">
      <t>テン</t>
    </rPh>
    <phoneticPr fontId="13"/>
  </si>
  <si>
    <r>
      <t xml:space="preserve">保証書 取説 ｷｰﾚｽ ﾜﾝｵｰﾅｰ </t>
    </r>
    <r>
      <rPr>
        <sz val="11"/>
        <color rgb="FFFF0000"/>
        <rFont val="ＭＳ Ｐゴシック"/>
        <family val="3"/>
        <charset val="128"/>
        <scheme val="minor"/>
      </rPr>
      <t>ﾘﾓｺﾝ動作確認中</t>
    </r>
    <rPh sb="0" eb="3">
      <t>ホショウショ</t>
    </rPh>
    <rPh sb="4" eb="6">
      <t>トリセツ</t>
    </rPh>
    <rPh sb="23" eb="25">
      <t>ドウサ</t>
    </rPh>
    <rPh sb="25" eb="28">
      <t>カクニンチュウ</t>
    </rPh>
    <phoneticPr fontId="13"/>
  </si>
  <si>
    <t>岡山 480 に 669</t>
    <rPh sb="0" eb="2">
      <t>オカヤマ</t>
    </rPh>
    <phoneticPr fontId="13"/>
  </si>
  <si>
    <t>株式会社ﾋｶﾘｲﾝﾀｰﾅｼｮﾅﾙ</t>
    <phoneticPr fontId="13"/>
  </si>
  <si>
    <t>和泉 59A さ 4027</t>
    <rPh sb="0" eb="2">
      <t>イズミ</t>
    </rPh>
    <phoneticPr fontId="13"/>
  </si>
  <si>
    <t>ｴﾙﾍﾞｵｰﾄ株式会社</t>
    <rPh sb="7" eb="11">
      <t>カブシキガイシャ</t>
    </rPh>
    <phoneticPr fontId="13"/>
  </si>
  <si>
    <t>大坂 582 い 6176</t>
    <rPh sb="0" eb="2">
      <t>オオサカ</t>
    </rPh>
    <phoneticPr fontId="13"/>
  </si>
  <si>
    <t>保証書 取説 ﾅﾋﾞ取 ｷｰﾚｽ SD  ﾜﾝｵｰﾅｰ</t>
    <rPh sb="0" eb="3">
      <t>ホショウショ</t>
    </rPh>
    <rPh sb="4" eb="6">
      <t>トリセツ</t>
    </rPh>
    <rPh sb="10" eb="11">
      <t>トリ</t>
    </rPh>
    <phoneticPr fontId="13"/>
  </si>
  <si>
    <t>大坂 399 ゆ 5119</t>
    <rPh sb="0" eb="2">
      <t>オオサカ</t>
    </rPh>
    <phoneticPr fontId="13"/>
  </si>
  <si>
    <t>ｸｵｰﾚ不動産販株式会社</t>
    <rPh sb="4" eb="7">
      <t>フドウサン</t>
    </rPh>
    <rPh sb="7" eb="8">
      <t>ハン</t>
    </rPh>
    <rPh sb="8" eb="12">
      <t>カブシキガイシャ</t>
    </rPh>
    <phoneticPr fontId="13"/>
  </si>
  <si>
    <t>なにわ 5P9 ろ 4682</t>
    <phoneticPr fontId="13"/>
  </si>
  <si>
    <t>大坂ﾄﾖﾍﾟｯﾄ株式会社</t>
    <rPh sb="0" eb="2">
      <t>オオサカ</t>
    </rPh>
    <rPh sb="8" eb="12">
      <t>カブシキガイシャ</t>
    </rPh>
    <phoneticPr fontId="13"/>
  </si>
  <si>
    <t>名古屋 330 す 9915</t>
    <rPh sb="0" eb="3">
      <t>ナゴヤ</t>
    </rPh>
    <phoneticPr fontId="13"/>
  </si>
  <si>
    <t>静岡 301 は 7611</t>
    <rPh sb="0" eb="2">
      <t>シズオカ</t>
    </rPh>
    <phoneticPr fontId="13"/>
  </si>
  <si>
    <t>27-3748</t>
  </si>
  <si>
    <t>一宮様</t>
    <rPh sb="0" eb="2">
      <t>イチミヤ</t>
    </rPh>
    <rPh sb="2" eb="3">
      <t>サマ</t>
    </rPh>
    <phoneticPr fontId="13"/>
  </si>
  <si>
    <t>ﾗｲﾌ</t>
    <phoneticPr fontId="13"/>
  </si>
  <si>
    <t>JB5-4749271</t>
    <phoneticPr fontId="13"/>
  </si>
  <si>
    <t>姫路 583 ひ 1129</t>
    <rPh sb="0" eb="2">
      <t>ヒメジ</t>
    </rPh>
    <phoneticPr fontId="13"/>
  </si>
  <si>
    <t>安茂 孝司</t>
    <rPh sb="0" eb="2">
      <t>ヤスシゲ</t>
    </rPh>
    <rPh sb="3" eb="4">
      <t>タカシ</t>
    </rPh>
    <rPh sb="4" eb="5">
      <t>ツカサ</t>
    </rPh>
    <phoneticPr fontId="13"/>
  </si>
  <si>
    <t>譲渡証差し替えHAA</t>
    <rPh sb="0" eb="1">
      <t>ユズル</t>
    </rPh>
    <rPh sb="1" eb="2">
      <t>ワタ</t>
    </rPh>
    <rPh sb="2" eb="3">
      <t>ショウ</t>
    </rPh>
    <rPh sb="3" eb="4">
      <t>サ</t>
    </rPh>
    <rPh sb="5" eb="6">
      <t>カ</t>
    </rPh>
    <phoneticPr fontId="13"/>
  </si>
  <si>
    <t>有限会社ｻﾝｴｲ車輛</t>
    <rPh sb="0" eb="4">
      <t>ユウゲンカイシャ</t>
    </rPh>
    <rPh sb="8" eb="10">
      <t>シャリョウ</t>
    </rPh>
    <phoneticPr fontId="13"/>
  </si>
  <si>
    <t>福岡 583 な 7773</t>
    <rPh sb="0" eb="2">
      <t>フクオカ</t>
    </rPh>
    <phoneticPr fontId="13"/>
  </si>
  <si>
    <t>大谷 征也</t>
    <rPh sb="0" eb="2">
      <t>オオタニ</t>
    </rPh>
    <rPh sb="3" eb="5">
      <t>マサヤ</t>
    </rPh>
    <phoneticPr fontId="13"/>
  </si>
  <si>
    <t>神戸 582 こ 7124</t>
    <rPh sb="0" eb="2">
      <t>コウベ</t>
    </rPh>
    <phoneticPr fontId="13"/>
  </si>
  <si>
    <t>小西 敬人</t>
    <rPh sb="0" eb="2">
      <t>コニシ</t>
    </rPh>
    <rPh sb="3" eb="4">
      <t>ケイ</t>
    </rPh>
    <rPh sb="4" eb="5">
      <t>ヒト</t>
    </rPh>
    <phoneticPr fontId="13"/>
  </si>
  <si>
    <t>上間 航基</t>
    <rPh sb="0" eb="2">
      <t>ウエマ</t>
    </rPh>
    <rPh sb="3" eb="4">
      <t>コウ</t>
    </rPh>
    <rPh sb="4" eb="5">
      <t>キ</t>
    </rPh>
    <phoneticPr fontId="13"/>
  </si>
  <si>
    <t>岡山 581 よ 4912</t>
    <rPh sb="0" eb="2">
      <t>オカヤマ</t>
    </rPh>
    <phoneticPr fontId="13"/>
  </si>
  <si>
    <t>広島 587 め 7000</t>
    <rPh sb="0" eb="2">
      <t>ヒロシマ</t>
    </rPh>
    <phoneticPr fontId="13"/>
  </si>
  <si>
    <t>岡山 399 な 5778</t>
    <rPh sb="0" eb="2">
      <t>オカヤマ</t>
    </rPh>
    <phoneticPr fontId="13"/>
  </si>
  <si>
    <t>岡山 599 に 7565</t>
    <rPh sb="0" eb="2">
      <t>オカヤマ</t>
    </rPh>
    <phoneticPr fontId="13"/>
  </si>
  <si>
    <t>広島 581 ひ 5332</t>
    <rPh sb="0" eb="2">
      <t>ヒロシマ</t>
    </rPh>
    <phoneticPr fontId="13"/>
  </si>
  <si>
    <t>株式会社ﾎﾝﾀﾞｶｰｽﾞ愛知県央</t>
    <rPh sb="0" eb="4">
      <t>カブシキガイシャ</t>
    </rPh>
    <rPh sb="12" eb="14">
      <t>アイチ</t>
    </rPh>
    <rPh sb="14" eb="15">
      <t>ケン</t>
    </rPh>
    <rPh sb="15" eb="16">
      <t>オウ</t>
    </rPh>
    <phoneticPr fontId="13"/>
  </si>
  <si>
    <t>保証書 取説 Ｓｷｰ ＳＤ</t>
    <rPh sb="0" eb="3">
      <t>ホショウショ</t>
    </rPh>
    <rPh sb="4" eb="6">
      <t>トリセツ</t>
    </rPh>
    <phoneticPr fontId="13"/>
  </si>
  <si>
    <t>倉敷 334 み 222</t>
    <rPh sb="0" eb="2">
      <t>クラシキ</t>
    </rPh>
    <phoneticPr fontId="13"/>
  </si>
  <si>
    <t>丹羽 照文</t>
    <rPh sb="0" eb="2">
      <t>タンバ</t>
    </rPh>
    <rPh sb="3" eb="4">
      <t>テ</t>
    </rPh>
    <rPh sb="4" eb="5">
      <t>フミ</t>
    </rPh>
    <phoneticPr fontId="13"/>
  </si>
  <si>
    <t>大坂 581 ぬ 2561</t>
    <rPh sb="0" eb="2">
      <t>オオサカ</t>
    </rPh>
    <phoneticPr fontId="13"/>
  </si>
  <si>
    <t>大坂 582 く 7797</t>
    <rPh sb="0" eb="2">
      <t>オオサカ</t>
    </rPh>
    <phoneticPr fontId="13"/>
  </si>
  <si>
    <t>齋藤 裕久</t>
    <rPh sb="0" eb="2">
      <t>サイトウ</t>
    </rPh>
    <rPh sb="3" eb="4">
      <t>ユウ</t>
    </rPh>
    <rPh sb="4" eb="5">
      <t>ヒサ</t>
    </rPh>
    <phoneticPr fontId="13"/>
  </si>
  <si>
    <t>株式会社ｵｰﾄﾚｯﾂ</t>
    <rPh sb="0" eb="4">
      <t>カブシキガイシャ</t>
    </rPh>
    <phoneticPr fontId="13"/>
  </si>
  <si>
    <t>品川 5X3 ろ 6195</t>
    <rPh sb="0" eb="2">
      <t>シナガワ</t>
    </rPh>
    <phoneticPr fontId="13"/>
  </si>
  <si>
    <t>ﾊｯｻﾝ ｻﾊﾞ ｳﾙ</t>
    <phoneticPr fontId="13"/>
  </si>
  <si>
    <t>三重 587 む 235</t>
    <rPh sb="0" eb="2">
      <t>ミエ</t>
    </rPh>
    <phoneticPr fontId="13"/>
  </si>
  <si>
    <t>三重ﾄﾖﾍﾟｯﾄ株式会社</t>
    <rPh sb="0" eb="2">
      <t>ミエ</t>
    </rPh>
    <rPh sb="8" eb="12">
      <t>カブシキガイシャ</t>
    </rPh>
    <phoneticPr fontId="13"/>
  </si>
  <si>
    <t>尾張小牧 581 ほ 1187</t>
    <rPh sb="0" eb="4">
      <t>オワリコマキ</t>
    </rPh>
    <phoneticPr fontId="13"/>
  </si>
  <si>
    <t>501 ゆ 5394</t>
    <phoneticPr fontId="13"/>
  </si>
  <si>
    <t>301 ね 9135</t>
    <phoneticPr fontId="13"/>
  </si>
  <si>
    <t>姫路 501 ゆ 5395</t>
    <rPh sb="0" eb="2">
      <t>ヒメジ</t>
    </rPh>
    <phoneticPr fontId="13"/>
  </si>
  <si>
    <t>旧27-2584</t>
    <rPh sb="0" eb="1">
      <t>キュウ</t>
    </rPh>
    <phoneticPr fontId="13"/>
  </si>
  <si>
    <t>広島 501 わ 9482</t>
    <rPh sb="0" eb="2">
      <t>ヒロシマ</t>
    </rPh>
    <phoneticPr fontId="13"/>
  </si>
  <si>
    <t>ZiP大阪</t>
    <rPh sb="3" eb="5">
      <t>オオサカ</t>
    </rPh>
    <phoneticPr fontId="13"/>
  </si>
  <si>
    <t>ZiP大阪(ﾜﾝﾌﾟﾗ)</t>
    <rPh sb="3" eb="5">
      <t>オオサカ</t>
    </rPh>
    <phoneticPr fontId="13"/>
  </si>
  <si>
    <t>HAA神戸(ﾜﾝｸﾘ)</t>
    <rPh sb="3" eb="5">
      <t>コウベ</t>
    </rPh>
    <phoneticPr fontId="13"/>
  </si>
  <si>
    <t>27-3749</t>
  </si>
  <si>
    <t>ｱｸｱ S</t>
    <phoneticPr fontId="13"/>
  </si>
  <si>
    <t>27/2</t>
    <phoneticPr fontId="13"/>
  </si>
  <si>
    <t>赤</t>
    <rPh sb="0" eb="1">
      <t>アカ</t>
    </rPh>
    <phoneticPr fontId="13"/>
  </si>
  <si>
    <t>NHP10-2420591</t>
    <phoneticPr fontId="13"/>
  </si>
  <si>
    <t>TAA中部</t>
    <rPh sb="3" eb="5">
      <t>チュウブ</t>
    </rPh>
    <phoneticPr fontId="13"/>
  </si>
  <si>
    <t>27-3750</t>
  </si>
  <si>
    <t>29/7</t>
    <phoneticPr fontId="13"/>
  </si>
  <si>
    <t>ﾌﾟﾘｳｽｱﾙﾌｧ S ﾁｭｰﾝ</t>
    <phoneticPr fontId="13"/>
  </si>
  <si>
    <t>ZVW41-0063335</t>
    <phoneticPr fontId="13"/>
  </si>
  <si>
    <t>堺 340 ま 8080</t>
    <rPh sb="0" eb="1">
      <t>サカイ</t>
    </rPh>
    <phoneticPr fontId="13"/>
  </si>
  <si>
    <t>株式会社ﾈｸｽﾃｰｼﾞ</t>
    <rPh sb="0" eb="4">
      <t>カブシキガイシャ</t>
    </rPh>
    <phoneticPr fontId="13"/>
  </si>
  <si>
    <t>3/26</t>
    <phoneticPr fontId="13"/>
  </si>
  <si>
    <t>保証書 取説 ｷｰﾚｽ</t>
    <rPh sb="0" eb="3">
      <t>ホショウショ</t>
    </rPh>
    <rPh sb="4" eb="6">
      <t>トリセツ</t>
    </rPh>
    <phoneticPr fontId="13"/>
  </si>
  <si>
    <t>大坂 304 そ 8401</t>
    <rPh sb="0" eb="2">
      <t>オオサカ</t>
    </rPh>
    <phoneticPr fontId="13"/>
  </si>
  <si>
    <t>株式会社ﾎﾟﾛ</t>
    <rPh sb="0" eb="4">
      <t>カブシキガイシャ</t>
    </rPh>
    <phoneticPr fontId="13"/>
  </si>
  <si>
    <t>千葉 326 ち 6750</t>
    <rPh sb="0" eb="2">
      <t>チバ</t>
    </rPh>
    <phoneticPr fontId="13"/>
  </si>
  <si>
    <t>東邦ｵｰﾄ株式会社</t>
    <rPh sb="0" eb="2">
      <t>トウホウ</t>
    </rPh>
    <rPh sb="5" eb="9">
      <t>カブシキガイシャ</t>
    </rPh>
    <phoneticPr fontId="13"/>
  </si>
  <si>
    <t>八王子 399 と 8640</t>
    <rPh sb="0" eb="3">
      <t>ハチオウジ</t>
    </rPh>
    <phoneticPr fontId="13"/>
  </si>
  <si>
    <t>株式会社村内外車ｾﾝﾀｰ</t>
    <rPh sb="0" eb="4">
      <t>カブシキガイシャ</t>
    </rPh>
    <rPh sb="4" eb="6">
      <t>ムラナイ</t>
    </rPh>
    <rPh sb="6" eb="8">
      <t>ガイシャ</t>
    </rPh>
    <phoneticPr fontId="13"/>
  </si>
  <si>
    <t>沖縄 300 る 7745</t>
    <rPh sb="0" eb="2">
      <t>オキナワ</t>
    </rPh>
    <phoneticPr fontId="13"/>
  </si>
  <si>
    <t>ﾓﾄｰﾚﾝ沖縄株式会社</t>
    <rPh sb="5" eb="7">
      <t>オキナワ</t>
    </rPh>
    <rPh sb="7" eb="11">
      <t>カブシキガイシャ</t>
    </rPh>
    <phoneticPr fontId="13"/>
  </si>
  <si>
    <t>沖縄 330 す 3254</t>
    <rPh sb="0" eb="2">
      <t>オキナワ</t>
    </rPh>
    <phoneticPr fontId="13"/>
  </si>
  <si>
    <t>保証書 取説 ｷｰﾚｽ ﾜﾝｵｰﾅｰ？</t>
    <rPh sb="0" eb="3">
      <t>ホショウショ</t>
    </rPh>
    <rPh sb="4" eb="6">
      <t>トリセツ</t>
    </rPh>
    <phoneticPr fontId="13"/>
  </si>
  <si>
    <t>春日井 399 つ 6270</t>
    <rPh sb="0" eb="3">
      <t>カスガイ</t>
    </rPh>
    <phoneticPr fontId="13"/>
  </si>
  <si>
    <t>株式会社ﾊﾟｯｼｮﾝ</t>
    <rPh sb="0" eb="4">
      <t>カブシキガイシャ</t>
    </rPh>
    <phoneticPr fontId="13"/>
  </si>
  <si>
    <t>大宮 357 さ 22</t>
    <rPh sb="0" eb="2">
      <t>オオミヤ</t>
    </rPh>
    <phoneticPr fontId="13"/>
  </si>
  <si>
    <t>埼玉ﾄﾖﾍﾟｯﾄ株式会社</t>
    <rPh sb="0" eb="2">
      <t>サイタマ</t>
    </rPh>
    <rPh sb="8" eb="12">
      <t>カブシキガイシャ</t>
    </rPh>
    <phoneticPr fontId="13"/>
  </si>
  <si>
    <t>ｷｰﾚｽ(車内)</t>
    <rPh sb="5" eb="7">
      <t>シャナイ</t>
    </rPh>
    <phoneticPr fontId="13"/>
  </si>
  <si>
    <t>USS神戸(ﾜﾝｸﾘ)</t>
    <rPh sb="3" eb="5">
      <t>コウベ</t>
    </rPh>
    <phoneticPr fontId="13"/>
  </si>
  <si>
    <t>株式会社ｵﾘｴﾝﾄｺｰﾎﾟﾚｰｼｮﾝ</t>
    <rPh sb="0" eb="4">
      <t>カブシキガイシャ</t>
    </rPh>
    <phoneticPr fontId="13"/>
  </si>
  <si>
    <t>3/27</t>
    <phoneticPr fontId="13"/>
  </si>
  <si>
    <t>有限会社ﾌｼﾞﾐｵｰﾄ</t>
    <rPh sb="0" eb="4">
      <t>ユウゲンカイシャ</t>
    </rPh>
    <phoneticPr fontId="13"/>
  </si>
  <si>
    <t>保証書 ｷｰﾚｽ</t>
    <rPh sb="0" eb="3">
      <t>ホショウショ</t>
    </rPh>
    <phoneticPr fontId="13"/>
  </si>
  <si>
    <t>横浜 332 つ 3757</t>
    <rPh sb="0" eb="2">
      <t>ヨコハマ</t>
    </rPh>
    <phoneticPr fontId="13"/>
  </si>
  <si>
    <t>神奈川ﾄﾖﾀ自動車株式会社</t>
    <rPh sb="0" eb="3">
      <t>カナガワ</t>
    </rPh>
    <rPh sb="6" eb="13">
      <t>ジドウシャカブシキガイシャ</t>
    </rPh>
    <phoneticPr fontId="13"/>
  </si>
  <si>
    <t>保証書 ﾜﾝｵｰﾅｰ</t>
    <rPh sb="0" eb="3">
      <t>ホショウショ</t>
    </rPh>
    <phoneticPr fontId="13"/>
  </si>
  <si>
    <t>三重 301 む 8120</t>
    <rPh sb="0" eb="2">
      <t>ミエ</t>
    </rPh>
    <phoneticPr fontId="13"/>
  </si>
  <si>
    <t>三重ﾄﾖﾍﾟｯﾄ株式会社</t>
    <rPh sb="0" eb="2">
      <t>ミエ</t>
    </rPh>
    <rPh sb="8" eb="12">
      <t>カブシキガイシャ</t>
    </rPh>
    <phoneticPr fontId="13"/>
  </si>
  <si>
    <t>広島 582 そ 4504</t>
    <rPh sb="0" eb="2">
      <t>ヒロシマ</t>
    </rPh>
    <phoneticPr fontId="13"/>
  </si>
  <si>
    <t>株式会社ﾊﾞﾙｺﾑﾓｰﾀｰｽ</t>
    <rPh sb="0" eb="4">
      <t>カブシキガイシャ</t>
    </rPh>
    <phoneticPr fontId="13"/>
  </si>
  <si>
    <t>保証書 取説 ｷｰﾚｽ ﾚﾝﾀｶｰ</t>
    <rPh sb="0" eb="3">
      <t>ホショウショ</t>
    </rPh>
    <rPh sb="4" eb="6">
      <t>トリセツ</t>
    </rPh>
    <phoneticPr fontId="13"/>
  </si>
  <si>
    <t>岡山 580 め 2632</t>
    <rPh sb="0" eb="2">
      <t>オカヤマ</t>
    </rPh>
    <phoneticPr fontId="13"/>
  </si>
  <si>
    <t>株式会社ﾀﾞﾌﾞﾙﾂﾘｰ</t>
    <rPh sb="0" eb="4">
      <t>カブシキガイシャ</t>
    </rPh>
    <phoneticPr fontId="13"/>
  </si>
  <si>
    <t>柏 530 て 2513</t>
    <rPh sb="0" eb="1">
      <t>カシワ</t>
    </rPh>
    <phoneticPr fontId="13"/>
  </si>
  <si>
    <t>株式会社ﾆﾁｴｲ ・ｶｰﾏｯｸｽ</t>
    <rPh sb="0" eb="4">
      <t>カブシキガイシャ</t>
    </rPh>
    <phoneticPr fontId="13"/>
  </si>
  <si>
    <t>神戸 596 ろ 8721</t>
    <rPh sb="0" eb="2">
      <t>コウベ</t>
    </rPh>
    <phoneticPr fontId="13"/>
  </si>
  <si>
    <t>株式会社ｽｽﾞｷ中兵庫販売</t>
    <rPh sb="0" eb="4">
      <t>カブシキガイシャ</t>
    </rPh>
    <rPh sb="8" eb="11">
      <t>ナカヒョウゴ</t>
    </rPh>
    <rPh sb="11" eb="13">
      <t>ハンバイ</t>
    </rPh>
    <phoneticPr fontId="13"/>
  </si>
  <si>
    <t>神戸 301 わ 9439</t>
    <rPh sb="0" eb="2">
      <t>コウベ</t>
    </rPh>
    <phoneticPr fontId="13"/>
  </si>
  <si>
    <t>株式会社ﾔﾅｾ</t>
    <rPh sb="0" eb="4">
      <t>カブシキガイシャ</t>
    </rPh>
    <phoneticPr fontId="13"/>
  </si>
  <si>
    <t>HAA売 ﾚﾝﾀｶｰ記載なしそのままおくる</t>
    <rPh sb="3" eb="4">
      <t>ウ</t>
    </rPh>
    <rPh sb="10" eb="12">
      <t>キサイ</t>
    </rPh>
    <phoneticPr fontId="13"/>
  </si>
  <si>
    <t>愛媛 534 に 2015</t>
    <rPh sb="0" eb="2">
      <t>エヒメ</t>
    </rPh>
    <phoneticPr fontId="13"/>
  </si>
  <si>
    <t>森川 真</t>
    <rPh sb="0" eb="2">
      <t>モリカワ</t>
    </rPh>
    <rPh sb="3" eb="4">
      <t>マコト</t>
    </rPh>
    <phoneticPr fontId="13"/>
  </si>
  <si>
    <t>保証書 取説 ﾅﾋﾞ取 ｷｰﾚｽ ミニB-CAS ﾏｲｸﾛSD</t>
    <rPh sb="0" eb="3">
      <t>ホショウショ</t>
    </rPh>
    <rPh sb="4" eb="6">
      <t>トリセツ</t>
    </rPh>
    <rPh sb="10" eb="11">
      <t>トリ</t>
    </rPh>
    <phoneticPr fontId="13"/>
  </si>
  <si>
    <t>倉敷 580 そ 5811</t>
    <rPh sb="0" eb="2">
      <t>クラシキ</t>
    </rPh>
    <phoneticPr fontId="13"/>
  </si>
  <si>
    <t>株式会社ｼﾃｨﾗｲﾄ</t>
    <rPh sb="0" eb="4">
      <t>カブシキガイシャ</t>
    </rPh>
    <phoneticPr fontId="13"/>
  </si>
  <si>
    <t>保証書 取説</t>
    <rPh sb="0" eb="3">
      <t>ホショウショ</t>
    </rPh>
    <rPh sb="4" eb="6">
      <t>トリセツ</t>
    </rPh>
    <phoneticPr fontId="13"/>
  </si>
  <si>
    <t>島根 330 て 8088</t>
    <rPh sb="0" eb="2">
      <t>シマネ</t>
    </rPh>
    <phoneticPr fontId="13"/>
  </si>
  <si>
    <t>株式会社ｼﾞｬｯｸｽ</t>
    <rPh sb="0" eb="4">
      <t>カブシキガイシャ</t>
    </rPh>
    <phoneticPr fontId="13"/>
  </si>
  <si>
    <t>保証書 取説 ｽﾍﾟｱｷｰ ﾜﾝｵｰﾅｰ</t>
    <rPh sb="0" eb="3">
      <t>ホショウショ</t>
    </rPh>
    <rPh sb="4" eb="6">
      <t>トリセツ</t>
    </rPh>
    <phoneticPr fontId="13"/>
  </si>
  <si>
    <t>神戸 369 た 35</t>
    <rPh sb="0" eb="2">
      <t>コウベ</t>
    </rPh>
    <phoneticPr fontId="13"/>
  </si>
  <si>
    <t>京都 330 ふ 5243</t>
    <rPh sb="0" eb="2">
      <t>キョウト</t>
    </rPh>
    <phoneticPr fontId="13"/>
  </si>
  <si>
    <t>小西 浩生</t>
    <rPh sb="0" eb="2">
      <t>コニシ</t>
    </rPh>
    <rPh sb="3" eb="4">
      <t>ヒロ</t>
    </rPh>
    <rPh sb="4" eb="5">
      <t>ショウ</t>
    </rPh>
    <phoneticPr fontId="13"/>
  </si>
  <si>
    <t>和泉 386 ろ 1003</t>
    <rPh sb="0" eb="2">
      <t>イズミ</t>
    </rPh>
    <phoneticPr fontId="13"/>
  </si>
  <si>
    <t>株式会社MIRIVE</t>
    <rPh sb="0" eb="4">
      <t>カブシキガイシャ</t>
    </rPh>
    <phoneticPr fontId="13"/>
  </si>
  <si>
    <t>保証書 取説 ｷｰﾚｽ ﾅﾋﾞ取</t>
    <rPh sb="0" eb="3">
      <t>ホショウショ</t>
    </rPh>
    <rPh sb="4" eb="6">
      <t>トリセツ</t>
    </rPh>
    <rPh sb="15" eb="16">
      <t>トリ</t>
    </rPh>
    <phoneticPr fontId="13"/>
  </si>
  <si>
    <t>L675S-0218661</t>
    <phoneticPr fontId="13"/>
  </si>
  <si>
    <t>広島 586 ら 1218</t>
    <rPh sb="0" eb="2">
      <t>ヒロシマ</t>
    </rPh>
    <phoneticPr fontId="13"/>
  </si>
  <si>
    <t>平田 知令</t>
    <rPh sb="0" eb="2">
      <t>ヒラタ</t>
    </rPh>
    <rPh sb="3" eb="4">
      <t>チ</t>
    </rPh>
    <rPh sb="4" eb="5">
      <t>レイ</t>
    </rPh>
    <phoneticPr fontId="13"/>
  </si>
  <si>
    <t>品番；CN-RE04D</t>
    <rPh sb="0" eb="2">
      <t>ヒンバン</t>
    </rPh>
    <phoneticPr fontId="13"/>
  </si>
  <si>
    <t>保証書 取説 ｽﾍﾟｱｷｰ 地図SD(車内)ﾚﾝﾀｶｰ</t>
    <rPh sb="0" eb="3">
      <t>ホショウショ</t>
    </rPh>
    <rPh sb="4" eb="6">
      <t>トリセツ</t>
    </rPh>
    <rPh sb="14" eb="16">
      <t>チズ</t>
    </rPh>
    <rPh sb="19" eb="21">
      <t>シャナイ</t>
    </rPh>
    <phoneticPr fontId="13"/>
  </si>
  <si>
    <t>保証書 取説 (車内)SD Sｷｰ</t>
    <rPh sb="0" eb="3">
      <t>ホショウショ</t>
    </rPh>
    <rPh sb="4" eb="6">
      <t>トリセツ</t>
    </rPh>
    <phoneticPr fontId="13"/>
  </si>
  <si>
    <t>保証書(車内)</t>
    <rPh sb="0" eb="3">
      <t>ホショウショ</t>
    </rPh>
    <phoneticPr fontId="13"/>
  </si>
  <si>
    <t>ﾘﾓｺﾝ(車内)</t>
    <phoneticPr fontId="13"/>
  </si>
  <si>
    <t>地図SD(車内)保証書 ｷｰﾚｽ</t>
    <rPh sb="0" eb="2">
      <t>チズ</t>
    </rPh>
    <rPh sb="8" eb="11">
      <t>ホショウショ</t>
    </rPh>
    <phoneticPr fontId="13"/>
  </si>
  <si>
    <t>ｷｰﾚｽ ﾏｲｸﾛ地図SD(車内)</t>
    <rPh sb="9" eb="11">
      <t>チズ</t>
    </rPh>
    <phoneticPr fontId="13"/>
  </si>
  <si>
    <t>ﾏｲｸﾛSD(車内)保証書</t>
    <rPh sb="10" eb="13">
      <t>ホショウショ</t>
    </rPh>
    <phoneticPr fontId="13"/>
  </si>
  <si>
    <t>ｷｰﾚｽ 保証書 取説 (車内)</t>
    <rPh sb="5" eb="8">
      <t>ホショウショ</t>
    </rPh>
    <rPh sb="9" eb="11">
      <t>トリセツ</t>
    </rPh>
    <phoneticPr fontId="13"/>
  </si>
  <si>
    <t>取説 ｷｰﾚｽ(車内)</t>
    <rPh sb="0" eb="2">
      <t>トリセツ</t>
    </rPh>
    <phoneticPr fontId="13"/>
  </si>
  <si>
    <t>整備手帳 取説 ｷｰﾚｽ 地図SD(車内)ﾅﾝﾊﾞｰ</t>
    <rPh sb="0" eb="4">
      <t>セイビテチョウ</t>
    </rPh>
    <rPh sb="5" eb="7">
      <t>トリセツ</t>
    </rPh>
    <rPh sb="13" eb="15">
      <t>チズ</t>
    </rPh>
    <phoneticPr fontId="13"/>
  </si>
  <si>
    <t>保証書 取説 ｷｰﾚｽ(車内)</t>
    <rPh sb="0" eb="3">
      <t>ホショウショ</t>
    </rPh>
    <rPh sb="4" eb="6">
      <t>トリセツ</t>
    </rPh>
    <phoneticPr fontId="13"/>
  </si>
  <si>
    <t>三浦 朋生</t>
    <rPh sb="0" eb="2">
      <t>ミウラ</t>
    </rPh>
    <rPh sb="3" eb="4">
      <t>トモ</t>
    </rPh>
    <rPh sb="4" eb="5">
      <t>イ</t>
    </rPh>
    <phoneticPr fontId="13"/>
  </si>
  <si>
    <t>3/27</t>
    <phoneticPr fontId="13"/>
  </si>
  <si>
    <t>なにわ 331 ね 441</t>
    <phoneticPr fontId="13"/>
  </si>
  <si>
    <t>ﾄﾖﾀﾓﾋﾞﾘﾃｨ新大阪株式会社</t>
    <rPh sb="9" eb="12">
      <t>シンオオサカ</t>
    </rPh>
    <rPh sb="12" eb="16">
      <t>カブシキガイシャ</t>
    </rPh>
    <phoneticPr fontId="13"/>
  </si>
  <si>
    <t>直送</t>
    <rPh sb="0" eb="2">
      <t>チョクソウ</t>
    </rPh>
    <phoneticPr fontId="13"/>
  </si>
  <si>
    <t>保証書 取説 ﾜﾝｵｰﾅｰ</t>
    <rPh sb="0" eb="3">
      <t>ホショウショ</t>
    </rPh>
    <rPh sb="4" eb="6">
      <t>トリセツ</t>
    </rPh>
    <phoneticPr fontId="13"/>
  </si>
  <si>
    <t>谷川様</t>
    <rPh sb="0" eb="2">
      <t>タニガワ</t>
    </rPh>
    <rPh sb="2" eb="3">
      <t>サマ</t>
    </rPh>
    <phoneticPr fontId="13"/>
  </si>
  <si>
    <t>26/1</t>
    <phoneticPr fontId="13"/>
  </si>
  <si>
    <t>BMWﾐﾆｸｰﾊﾟｰS ﾍﾟｰｽﾏﾝ</t>
    <phoneticPr fontId="13"/>
  </si>
  <si>
    <t>WMWSS720X0WN75550</t>
    <phoneticPr fontId="13"/>
  </si>
  <si>
    <t>9/4/13</t>
    <phoneticPr fontId="13"/>
  </si>
  <si>
    <t>姫路 340 め 87</t>
    <rPh sb="0" eb="2">
      <t>ヒメジ</t>
    </rPh>
    <phoneticPr fontId="13"/>
  </si>
  <si>
    <t>谷川 昌平</t>
    <rPh sb="0" eb="2">
      <t>タニガワ</t>
    </rPh>
    <rPh sb="3" eb="5">
      <t>ショウヘイ</t>
    </rPh>
    <phoneticPr fontId="13"/>
  </si>
  <si>
    <t>保証書 取説</t>
    <rPh sb="0" eb="3">
      <t>ホショウショ</t>
    </rPh>
    <rPh sb="4" eb="6">
      <t>トリセツ</t>
    </rPh>
    <phoneticPr fontId="13"/>
  </si>
  <si>
    <t>27-3751</t>
  </si>
  <si>
    <t>姫路 332 や 2324</t>
    <rPh sb="0" eb="2">
      <t>ヒメジ</t>
    </rPh>
    <phoneticPr fontId="13"/>
  </si>
  <si>
    <t>西村 泰咲</t>
    <rPh sb="0" eb="2">
      <t>ニシムラ</t>
    </rPh>
    <rPh sb="3" eb="4">
      <t>カナ</t>
    </rPh>
    <rPh sb="4" eb="5">
      <t>サキ</t>
    </rPh>
    <phoneticPr fontId="13"/>
  </si>
  <si>
    <t>3/28</t>
    <phoneticPr fontId="13"/>
  </si>
  <si>
    <t>保証書 取説 ｷｰﾚｽ ﾜﾝｵｰﾅｰ</t>
    <rPh sb="0" eb="3">
      <t>ホショウショ</t>
    </rPh>
    <rPh sb="4" eb="6">
      <t>トリセツ</t>
    </rPh>
    <phoneticPr fontId="13"/>
  </si>
  <si>
    <t>長崎 336 て 8118</t>
    <rPh sb="0" eb="2">
      <t>ナガサキ</t>
    </rPh>
    <phoneticPr fontId="13"/>
  </si>
  <si>
    <t>札田 勇二</t>
    <rPh sb="0" eb="1">
      <t>サツ</t>
    </rPh>
    <rPh sb="1" eb="2">
      <t>タ</t>
    </rPh>
    <rPh sb="3" eb="4">
      <t>イサム</t>
    </rPh>
    <rPh sb="4" eb="5">
      <t>フタ</t>
    </rPh>
    <phoneticPr fontId="13"/>
  </si>
  <si>
    <t>保証書</t>
    <rPh sb="0" eb="3">
      <t>ホショウショ</t>
    </rPh>
    <phoneticPr fontId="13"/>
  </si>
  <si>
    <t>福岡 582 き 8661</t>
    <rPh sb="0" eb="2">
      <t>フクオカ</t>
    </rPh>
    <phoneticPr fontId="13"/>
  </si>
  <si>
    <t>伊藤 由佳</t>
    <rPh sb="0" eb="2">
      <t>イトウ</t>
    </rPh>
    <rPh sb="3" eb="5">
      <t>ユカ</t>
    </rPh>
    <phoneticPr fontId="13"/>
  </si>
  <si>
    <t>USS神戸(ﾜﾝｸﾘ)</t>
    <rPh sb="3" eb="5">
      <t>コウベ</t>
    </rPh>
    <phoneticPr fontId="13"/>
  </si>
  <si>
    <t>熊谷 330 め 591</t>
    <rPh sb="0" eb="2">
      <t>クマヤ</t>
    </rPh>
    <phoneticPr fontId="13"/>
  </si>
  <si>
    <t>株式会社ｽｽﾞｷ自販西埼玉</t>
    <rPh sb="0" eb="4">
      <t>カブシキガイシャ</t>
    </rPh>
    <rPh sb="8" eb="10">
      <t>ジハン</t>
    </rPh>
    <rPh sb="10" eb="11">
      <t>ニシ</t>
    </rPh>
    <rPh sb="11" eb="13">
      <t>サイタマ</t>
    </rPh>
    <phoneticPr fontId="13"/>
  </si>
  <si>
    <t>保証書 取説  ｽﾍﾟｱｷｰ</t>
    <phoneticPr fontId="13"/>
  </si>
  <si>
    <t>姫路　581　よ 1603</t>
    <rPh sb="0" eb="2">
      <t>ヒメジ</t>
    </rPh>
    <phoneticPr fontId="13"/>
  </si>
  <si>
    <t>北山 久美子</t>
    <rPh sb="0" eb="2">
      <t>キタヤマ</t>
    </rPh>
    <rPh sb="3" eb="6">
      <t>クミコ</t>
    </rPh>
    <phoneticPr fontId="13"/>
  </si>
  <si>
    <t>保証書なしｸﾚｰﾑ済 取説 ｽﾏｰﾄｷｰ(ﾒｶｷｰなし)</t>
    <rPh sb="0" eb="3">
      <t>ホショウショ</t>
    </rPh>
    <rPh sb="9" eb="10">
      <t>ズ</t>
    </rPh>
    <rPh sb="11" eb="13">
      <t>トリセツ</t>
    </rPh>
    <phoneticPr fontId="13"/>
  </si>
  <si>
    <t>品川 5X3 ろ 7863</t>
    <rPh sb="0" eb="2">
      <t>シナガワ</t>
    </rPh>
    <phoneticPr fontId="13"/>
  </si>
  <si>
    <t>ﾄﾖﾀﾓﾋﾞﾘﾃｨｻｰﾋﾞｽ株式会社</t>
    <rPh sb="14" eb="18">
      <t>カブシキガイシャ</t>
    </rPh>
    <phoneticPr fontId="13"/>
  </si>
  <si>
    <t>仙台 531 み 715</t>
    <rPh sb="0" eb="2">
      <t>センダイ</t>
    </rPh>
    <phoneticPr fontId="13"/>
  </si>
  <si>
    <t>ﾄﾖﾀｶﾛｰﾗ宮城株式会社</t>
    <rPh sb="7" eb="9">
      <t>ミヤギ</t>
    </rPh>
    <rPh sb="9" eb="13">
      <t>カブシキガイシャ</t>
    </rPh>
    <phoneticPr fontId="13"/>
  </si>
  <si>
    <t>株式会社ﾎﾝﾀﾞﾓﾋﾞﾘﾃｨ南関東</t>
    <rPh sb="14" eb="15">
      <t>ミナミ</t>
    </rPh>
    <rPh sb="15" eb="17">
      <t>カントウ</t>
    </rPh>
    <phoneticPr fontId="13"/>
  </si>
  <si>
    <t>松本 580 わ 2529</t>
    <rPh sb="0" eb="2">
      <t>マツモト</t>
    </rPh>
    <phoneticPr fontId="13"/>
  </si>
  <si>
    <t>株式会社ﾀｶｻﾜ</t>
    <rPh sb="0" eb="4">
      <t>カブシキガイシャ</t>
    </rPh>
    <phoneticPr fontId="13"/>
  </si>
  <si>
    <t>倉敷 480 け 2238</t>
    <rPh sb="0" eb="2">
      <t>クラシキ</t>
    </rPh>
    <phoneticPr fontId="13"/>
  </si>
  <si>
    <t>有限会社大三宅自動車ｻｰﾋﾞｽ工場</t>
    <rPh sb="0" eb="4">
      <t>ユウゲンカイシャ</t>
    </rPh>
    <rPh sb="4" eb="5">
      <t>オオ</t>
    </rPh>
    <rPh sb="5" eb="7">
      <t>ミヤケ</t>
    </rPh>
    <rPh sb="7" eb="10">
      <t>ジドウシャ</t>
    </rPh>
    <rPh sb="15" eb="17">
      <t>コウジョウ</t>
    </rPh>
    <phoneticPr fontId="13"/>
  </si>
  <si>
    <t>広島 31M て 3</t>
    <rPh sb="0" eb="2">
      <t>ヒロシマ</t>
    </rPh>
    <phoneticPr fontId="13"/>
  </si>
  <si>
    <t>株式会社ﾈｸｽﾃｰｼﾞ</t>
    <rPh sb="0" eb="4">
      <t>カブシキガイシャ</t>
    </rPh>
    <phoneticPr fontId="13"/>
  </si>
  <si>
    <t>WMWYT920503M01163</t>
    <phoneticPr fontId="13"/>
  </si>
  <si>
    <t>北九州 331 む 588</t>
    <rPh sb="0" eb="3">
      <t>キタキュウシュウ</t>
    </rPh>
    <phoneticPr fontId="13"/>
  </si>
  <si>
    <t>九州三菱自動車販売株式会社</t>
    <rPh sb="0" eb="2">
      <t>キュウシュウ</t>
    </rPh>
    <rPh sb="2" eb="4">
      <t>ミツビシ</t>
    </rPh>
    <rPh sb="4" eb="13">
      <t>ジドウシャハンバイカブシキガイシャ</t>
    </rPh>
    <phoneticPr fontId="13"/>
  </si>
  <si>
    <t>株式会社WECARS</t>
    <rPh sb="0" eb="4">
      <t>カブシキガイシャ</t>
    </rPh>
    <phoneticPr fontId="13"/>
  </si>
  <si>
    <t>保証書(ﾃﾞｨｰﾗｰ印角印なし)取説 ｷｰﾚｽ</t>
    <rPh sb="0" eb="3">
      <t>ホショウショ</t>
    </rPh>
    <rPh sb="10" eb="11">
      <t>イン</t>
    </rPh>
    <rPh sb="11" eb="13">
      <t>カクイン</t>
    </rPh>
    <rPh sb="16" eb="18">
      <t>トリセツ</t>
    </rPh>
    <phoneticPr fontId="13"/>
  </si>
  <si>
    <t>岐阜 399 の 4586</t>
    <rPh sb="0" eb="2">
      <t>ギフ</t>
    </rPh>
    <phoneticPr fontId="13"/>
  </si>
  <si>
    <t>株式会社名鉄ｱｵﾄ</t>
    <rPh sb="0" eb="4">
      <t>カブシキガイシャ</t>
    </rPh>
    <rPh sb="4" eb="6">
      <t>メイテツ</t>
    </rPh>
    <phoneticPr fontId="13"/>
  </si>
  <si>
    <t>宇都宮 301 ら 645</t>
    <rPh sb="0" eb="3">
      <t>ウツノミヤ</t>
    </rPh>
    <phoneticPr fontId="13"/>
  </si>
  <si>
    <t>株式会社モリス</t>
    <rPh sb="0" eb="4">
      <t>カブシキガイシャ</t>
    </rPh>
    <phoneticPr fontId="13"/>
  </si>
  <si>
    <t>和泉 581 せ 2232</t>
    <rPh sb="0" eb="2">
      <t>イズミ</t>
    </rPh>
    <phoneticPr fontId="13"/>
  </si>
  <si>
    <t>株式会社ﾛｰﾄﾞｶｰ</t>
    <phoneticPr fontId="13"/>
  </si>
  <si>
    <t>取説 ﾅﾋﾞ取 ｷｰﾚｽ</t>
    <rPh sb="0" eb="2">
      <t>トリセツ</t>
    </rPh>
    <rPh sb="6" eb="7">
      <t>トリ</t>
    </rPh>
    <phoneticPr fontId="13"/>
  </si>
  <si>
    <t>名古屋 582 ま 3461</t>
    <rPh sb="0" eb="3">
      <t>ナゴヤ</t>
    </rPh>
    <phoneticPr fontId="13"/>
  </si>
  <si>
    <t>ｷﾑﾗﾕﾆﾃｨｰ株式会社</t>
    <rPh sb="8" eb="12">
      <t>カブシキガイシャ</t>
    </rPh>
    <phoneticPr fontId="13"/>
  </si>
  <si>
    <t>多摩 592 ろ 8840</t>
    <rPh sb="0" eb="2">
      <t>タマ</t>
    </rPh>
    <phoneticPr fontId="13"/>
  </si>
  <si>
    <t>ｵﾘｯｸｽ自動車株式会社</t>
    <rPh sb="5" eb="12">
      <t>ジドウシャカブシキガイシャ</t>
    </rPh>
    <phoneticPr fontId="13"/>
  </si>
  <si>
    <t>広島 584 を 1173</t>
    <rPh sb="0" eb="2">
      <t>ヒロシマ</t>
    </rPh>
    <phoneticPr fontId="13"/>
  </si>
  <si>
    <t>西村 貴史</t>
    <rPh sb="0" eb="2">
      <t>ニシムラ</t>
    </rPh>
    <rPh sb="3" eb="4">
      <t>タカシ</t>
    </rPh>
    <phoneticPr fontId="13"/>
  </si>
  <si>
    <t>保証書 取説 ｽﾍﾟｱｷｰ</t>
    <rPh sb="0" eb="3">
      <t>ホショウショ</t>
    </rPh>
    <rPh sb="4" eb="6">
      <t>トリセツ</t>
    </rPh>
    <phoneticPr fontId="13"/>
  </si>
  <si>
    <t>岡山 599 に 7634</t>
    <rPh sb="0" eb="2">
      <t>オカヤマ</t>
    </rPh>
    <phoneticPr fontId="13"/>
  </si>
  <si>
    <t>株式会社ｼﾃｨﾗｲﾄ</t>
    <rPh sb="0" eb="4">
      <t>カブシキガイシャ</t>
    </rPh>
    <phoneticPr fontId="13"/>
  </si>
  <si>
    <t>地図SD(車内)保証書 取説 ｽﾍﾟｱｷｰ</t>
    <rPh sb="0" eb="2">
      <t>チズ</t>
    </rPh>
    <rPh sb="8" eb="11">
      <t>ホショウショ</t>
    </rPh>
    <rPh sb="12" eb="14">
      <t>トリセツ</t>
    </rPh>
    <phoneticPr fontId="13"/>
  </si>
  <si>
    <t>SD？そのまま送る</t>
    <rPh sb="7" eb="8">
      <t>オク</t>
    </rPh>
    <phoneticPr fontId="13"/>
  </si>
  <si>
    <t>ﾘﾓｺﾝ(車内)保証書 取説 Sｷｰ</t>
    <rPh sb="5" eb="7">
      <t>シャナイ</t>
    </rPh>
    <rPh sb="8" eb="11">
      <t>ホショウショ</t>
    </rPh>
    <rPh sb="12" eb="14">
      <t>トリセツ</t>
    </rPh>
    <phoneticPr fontId="13"/>
  </si>
  <si>
    <t>ﾏｲｸﾛ地図SD(車内)取説 ｷｰﾚｽ ﾅﾋﾞ取</t>
    <rPh sb="4" eb="6">
      <t>チズ</t>
    </rPh>
    <rPh sb="9" eb="11">
      <t>シャナイ</t>
    </rPh>
    <rPh sb="12" eb="14">
      <t>トリセツ</t>
    </rPh>
    <rPh sb="23" eb="24">
      <t>トリ</t>
    </rPh>
    <phoneticPr fontId="13"/>
  </si>
  <si>
    <t>地図SD(車内)</t>
    <phoneticPr fontId="13"/>
  </si>
  <si>
    <t>ｷｰﾚｽ(車内)</t>
    <rPh sb="5" eb="7">
      <t>シャナイ</t>
    </rPh>
    <phoneticPr fontId="13"/>
  </si>
  <si>
    <t>北九州 399 て 8366</t>
    <rPh sb="0" eb="3">
      <t>キタキュウシュウ</t>
    </rPh>
    <phoneticPr fontId="13"/>
  </si>
  <si>
    <t>ｽｶｲﾚﾝﾀｶｰ九州株式会社</t>
    <rPh sb="8" eb="10">
      <t>キュウシュウ</t>
    </rPh>
    <rPh sb="10" eb="14">
      <t>カブシキガイシャ</t>
    </rPh>
    <phoneticPr fontId="13"/>
  </si>
  <si>
    <t>保証書 取説 ｷｰﾚｽ ﾚﾝﾀｶｰ</t>
    <rPh sb="0" eb="3">
      <t>ホショウショ</t>
    </rPh>
    <rPh sb="4" eb="6">
      <t>トリセツ</t>
    </rPh>
    <phoneticPr fontId="13"/>
  </si>
  <si>
    <t>保証書 取説 ｷｰﾚｽ</t>
    <rPh sb="0" eb="3">
      <t>ホショウショ</t>
    </rPh>
    <rPh sb="4" eb="6">
      <t>トリセツ</t>
    </rPh>
    <phoneticPr fontId="13"/>
  </si>
  <si>
    <t>株式会社ｶｰﾛｰﾄﾞ山陰</t>
    <rPh sb="0" eb="4">
      <t>カブシキガイシャ</t>
    </rPh>
    <rPh sb="10" eb="12">
      <t>サンイン</t>
    </rPh>
    <phoneticPr fontId="13"/>
  </si>
  <si>
    <t>ﾏｲｸﾛSD(車内)保証書 取説 ｽﾍﾟｱｷｰ</t>
    <rPh sb="10" eb="13">
      <t>ホショウショ</t>
    </rPh>
    <rPh sb="14" eb="16">
      <t>トリセツ</t>
    </rPh>
    <phoneticPr fontId="13"/>
  </si>
  <si>
    <t>平田 瑶祐</t>
    <rPh sb="0" eb="2">
      <t>ヒラタ</t>
    </rPh>
    <phoneticPr fontId="13"/>
  </si>
  <si>
    <t>保証書 取説 ﾅﾋﾞ取 ｽﾍﾟｱｷｰ ﾏｲｸﾛ地図SD</t>
    <rPh sb="0" eb="3">
      <t>ホショウショ</t>
    </rPh>
    <rPh sb="4" eb="6">
      <t>トリセツ</t>
    </rPh>
    <rPh sb="10" eb="11">
      <t>トリ</t>
    </rPh>
    <rPh sb="23" eb="25">
      <t>チズ</t>
    </rPh>
    <phoneticPr fontId="13"/>
  </si>
  <si>
    <t>保証書 取説 SD(車内)</t>
    <rPh sb="0" eb="3">
      <t>ホショウショ</t>
    </rPh>
    <rPh sb="4" eb="6">
      <t>トリセツ</t>
    </rPh>
    <rPh sb="10" eb="12">
      <t>シャナイ</t>
    </rPh>
    <phoneticPr fontId="13"/>
  </si>
  <si>
    <t>整備手帳  ｷｰﾚｽ 取説</t>
    <rPh sb="0" eb="4">
      <t>セイビテチョウ</t>
    </rPh>
    <rPh sb="11" eb="13">
      <t>トリセツ</t>
    </rPh>
    <phoneticPr fontId="13"/>
  </si>
  <si>
    <t>株式会社ｽｽﾞｷ自販近畿中古車本部</t>
    <rPh sb="0" eb="4">
      <t>カブシキガイシャ</t>
    </rPh>
    <rPh sb="8" eb="10">
      <t>ジハン</t>
    </rPh>
    <rPh sb="10" eb="17">
      <t>キンキチュウコシャホンブ</t>
    </rPh>
    <phoneticPr fontId="13"/>
  </si>
  <si>
    <t>洪水 浩巳</t>
    <rPh sb="0" eb="2">
      <t>コウズイ</t>
    </rPh>
    <rPh sb="3" eb="4">
      <t>ヒロ</t>
    </rPh>
    <rPh sb="4" eb="5">
      <t>ミ</t>
    </rPh>
    <phoneticPr fontId="13"/>
  </si>
  <si>
    <t>株式会社IDOM</t>
    <rPh sb="0" eb="4">
      <t>カブシキガイシャ</t>
    </rPh>
    <phoneticPr fontId="13"/>
  </si>
  <si>
    <t>保証書 取説 ﾅﾋﾞ取</t>
    <rPh sb="0" eb="3">
      <t>ホショウショ</t>
    </rPh>
    <rPh sb="4" eb="6">
      <t>トリセツ</t>
    </rPh>
    <rPh sb="10" eb="11">
      <t>トリ</t>
    </rPh>
    <phoneticPr fontId="13"/>
  </si>
  <si>
    <t>寺嶋 一雄</t>
    <rPh sb="0" eb="2">
      <t>テラシマ</t>
    </rPh>
    <rPh sb="3" eb="5">
      <t>カズオ</t>
    </rPh>
    <phoneticPr fontId="13"/>
  </si>
  <si>
    <t>ﾏｲｸﾛSD(車内)保証書 取説 ｷｰﾚｽ ﾅﾋﾞ取 ﾘﾓｺﾝ</t>
    <rPh sb="10" eb="13">
      <t>ホショウショ</t>
    </rPh>
    <rPh sb="14" eb="16">
      <t>トリセツ</t>
    </rPh>
    <rPh sb="25" eb="26">
      <t>トリ</t>
    </rPh>
    <phoneticPr fontId="13"/>
  </si>
  <si>
    <t>27-3752</t>
  </si>
  <si>
    <t>27-3753</t>
  </si>
  <si>
    <t>27-3755</t>
  </si>
  <si>
    <t>27-3756</t>
  </si>
  <si>
    <t>27-3757</t>
  </si>
  <si>
    <t>27-3758</t>
  </si>
  <si>
    <t>27-3759</t>
  </si>
  <si>
    <t>27-3760</t>
  </si>
  <si>
    <t>27-3761</t>
  </si>
  <si>
    <t>27-3762</t>
  </si>
  <si>
    <t>27-3763</t>
  </si>
  <si>
    <t>ML21S-603543</t>
    <phoneticPr fontId="13"/>
  </si>
  <si>
    <t>NHP10-6307640</t>
    <phoneticPr fontId="13"/>
  </si>
  <si>
    <t>H58A-1010471</t>
    <phoneticPr fontId="13"/>
  </si>
  <si>
    <t>HE22S-431091</t>
    <phoneticPr fontId="13"/>
  </si>
  <si>
    <t>EC22S-120998</t>
    <phoneticPr fontId="13"/>
  </si>
  <si>
    <t>ZSU60-0140495</t>
    <phoneticPr fontId="13"/>
  </si>
  <si>
    <t>LA600S-0323595</t>
    <phoneticPr fontId="13"/>
  </si>
  <si>
    <t>MK53S-429019</t>
    <phoneticPr fontId="13"/>
  </si>
  <si>
    <t>DA17W-260561</t>
    <phoneticPr fontId="13"/>
  </si>
  <si>
    <t>JF3-5214515</t>
    <phoneticPr fontId="13"/>
  </si>
  <si>
    <t>LA600S-0580342</t>
    <phoneticPr fontId="13"/>
  </si>
  <si>
    <t>L700S-0075509</t>
    <phoneticPr fontId="13"/>
  </si>
  <si>
    <t>27-3764</t>
  </si>
  <si>
    <t>27-3765</t>
  </si>
  <si>
    <t>27-3766</t>
  </si>
  <si>
    <t>27-3767</t>
  </si>
  <si>
    <t>27-3768</t>
  </si>
  <si>
    <t>27-3769</t>
  </si>
  <si>
    <t>27-3770</t>
  </si>
  <si>
    <t>27-3771</t>
  </si>
  <si>
    <t>27-3772</t>
  </si>
  <si>
    <t>27-3773</t>
  </si>
  <si>
    <t>27-3774</t>
  </si>
  <si>
    <t>27-3775</t>
  </si>
  <si>
    <t>27-3776</t>
  </si>
  <si>
    <t>27-3777</t>
  </si>
  <si>
    <t>27-3778</t>
  </si>
  <si>
    <t>27-3779</t>
  </si>
  <si>
    <t>27-3780</t>
  </si>
  <si>
    <t>27-3781</t>
  </si>
  <si>
    <t>27-3782</t>
  </si>
  <si>
    <t>27-3783</t>
  </si>
  <si>
    <t>27-3784</t>
  </si>
  <si>
    <t>NHP170-7107423</t>
    <phoneticPr fontId="13"/>
  </si>
  <si>
    <t>HFC27-013171</t>
    <phoneticPr fontId="13"/>
  </si>
  <si>
    <t>MX91S-212952</t>
    <phoneticPr fontId="13"/>
  </si>
  <si>
    <t>DA17W-262347</t>
    <phoneticPr fontId="13"/>
  </si>
  <si>
    <t>LA650S-361374</t>
    <phoneticPr fontId="13"/>
  </si>
  <si>
    <t>LA810S-0032603</t>
    <phoneticPr fontId="13"/>
  </si>
  <si>
    <t>MH55S-143045</t>
    <phoneticPr fontId="13"/>
  </si>
  <si>
    <t>KF2-513192</t>
    <phoneticPr fontId="13"/>
  </si>
  <si>
    <t>JW5-6100765</t>
    <phoneticPr fontId="13"/>
  </si>
  <si>
    <t>MXPK11-2129429</t>
    <phoneticPr fontId="13"/>
  </si>
  <si>
    <t>DR17W-255362</t>
    <phoneticPr fontId="13"/>
  </si>
  <si>
    <t>GDH206-1009182</t>
    <phoneticPr fontId="13"/>
  </si>
  <si>
    <t>ﾌﾟｼﾞｮｰ208　GT</t>
    <phoneticPr fontId="13"/>
  </si>
  <si>
    <t>BMWﾐﾆｸｰﾊﾟｰD　ｸﾛｽｵｰﾊﾞｰ</t>
    <phoneticPr fontId="13"/>
  </si>
  <si>
    <t>27-3785</t>
  </si>
  <si>
    <t>27-3786</t>
  </si>
  <si>
    <t>27-3787</t>
  </si>
  <si>
    <t>27-3788</t>
  </si>
  <si>
    <t>27-3789</t>
  </si>
  <si>
    <t>27-3790</t>
  </si>
  <si>
    <t>27-3791</t>
  </si>
  <si>
    <t>27-3792</t>
  </si>
  <si>
    <t>27-3793</t>
  </si>
  <si>
    <t>27-3794</t>
  </si>
  <si>
    <t>27-3795</t>
  </si>
  <si>
    <t>27-3796</t>
  </si>
  <si>
    <t>27-3797</t>
  </si>
  <si>
    <t>27-3798</t>
  </si>
  <si>
    <t>27-3799</t>
  </si>
  <si>
    <t>27-3800</t>
  </si>
  <si>
    <t>27-3801</t>
  </si>
  <si>
    <t>N　BOXｶｽﾀﾑ　ﾀｰﾎﾞSS</t>
    <phoneticPr fontId="13"/>
  </si>
  <si>
    <t>JF1-2540484</t>
    <phoneticPr fontId="13"/>
  </si>
  <si>
    <t>JB74W-227075</t>
    <phoneticPr fontId="13"/>
  </si>
  <si>
    <t>ZWA10-2178178</t>
    <phoneticPr fontId="13"/>
  </si>
  <si>
    <t>86　GT</t>
    <phoneticPr fontId="13"/>
  </si>
  <si>
    <t>ZN6-030970</t>
    <phoneticPr fontId="13"/>
  </si>
  <si>
    <t>ﾊﾟｼﾞｪﾛ　ｽｰﾊﾟｰｴｸｼｰﾄﾞ</t>
    <phoneticPr fontId="13"/>
  </si>
  <si>
    <t>LA850S-1021500</t>
    <phoneticPr fontId="13"/>
  </si>
  <si>
    <t>B21A-0339472</t>
    <phoneticPr fontId="13"/>
  </si>
  <si>
    <t>ﾊｲｾﾞｯﾄﾄﾗｯｸ　ｽﾀﾝﾀﾞｰﾄﾞ</t>
    <phoneticPr fontId="13"/>
  </si>
  <si>
    <t>S510P-0285698</t>
    <phoneticPr fontId="13"/>
  </si>
  <si>
    <t>ZRR80-0365927</t>
    <phoneticPr fontId="13"/>
  </si>
  <si>
    <t>ZVW50-8074569</t>
    <phoneticPr fontId="13"/>
  </si>
  <si>
    <t>ﾌﾟﾘｳｽｱﾙﾌｧ　G　ﾁｭｰﾝ</t>
    <phoneticPr fontId="13"/>
  </si>
  <si>
    <t>ZVW41-3301023</t>
    <phoneticPr fontId="13"/>
  </si>
  <si>
    <t>MR92S-219089</t>
    <phoneticPr fontId="13"/>
  </si>
  <si>
    <t>ﾌｨｯﾄ　13G　Sﾎﾝﾀﾞｾﾝｼﾝｸﾞ</t>
    <phoneticPr fontId="13"/>
  </si>
  <si>
    <t>GK3-1330160</t>
    <phoneticPr fontId="13"/>
  </si>
  <si>
    <t>VY12-317931</t>
    <phoneticPr fontId="13"/>
  </si>
  <si>
    <t>FJｸﾙｰｻﾞｰ　ｶﾗｰﾊﾟｯｹｰｼﾞ</t>
    <phoneticPr fontId="13"/>
  </si>
  <si>
    <t>GSJ15-0129834</t>
    <phoneticPr fontId="13"/>
  </si>
  <si>
    <t>ﾙｰﾐｰ　X</t>
    <phoneticPr fontId="13"/>
  </si>
  <si>
    <t>27-3802</t>
  </si>
  <si>
    <t>27-3803</t>
  </si>
  <si>
    <t>27-3804</t>
  </si>
  <si>
    <t>27-3805</t>
  </si>
  <si>
    <t>27-3806</t>
  </si>
  <si>
    <t>A342242</t>
    <phoneticPr fontId="13"/>
  </si>
  <si>
    <t>GVF50-6003842</t>
    <phoneticPr fontId="13"/>
  </si>
  <si>
    <t>A339392</t>
    <phoneticPr fontId="13"/>
  </si>
  <si>
    <t>MA3JJC74W00264748</t>
    <phoneticPr fontId="13"/>
  </si>
  <si>
    <t>A341696</t>
    <phoneticPr fontId="13"/>
  </si>
  <si>
    <t>TRJ250-0011723</t>
    <phoneticPr fontId="13"/>
  </si>
  <si>
    <t>A341502</t>
    <phoneticPr fontId="13"/>
  </si>
  <si>
    <t>AGH40-0017054</t>
    <phoneticPr fontId="13"/>
  </si>
  <si>
    <t>A339772</t>
    <phoneticPr fontId="13"/>
  </si>
  <si>
    <t>GDH206-1096996</t>
    <phoneticPr fontId="13"/>
  </si>
  <si>
    <t>A340940</t>
    <phoneticPr fontId="13"/>
  </si>
  <si>
    <t>ZN6-050713</t>
    <phoneticPr fontId="13"/>
  </si>
  <si>
    <t>A340938</t>
    <phoneticPr fontId="13"/>
  </si>
  <si>
    <t>B21A-0582442</t>
    <phoneticPr fontId="13"/>
  </si>
  <si>
    <t>A340888</t>
    <phoneticPr fontId="13"/>
  </si>
  <si>
    <t>TRJ250-0022143</t>
    <phoneticPr fontId="13"/>
  </si>
  <si>
    <t>27-3807</t>
  </si>
  <si>
    <t>27-3808</t>
  </si>
  <si>
    <t>27-3809</t>
  </si>
  <si>
    <t>27-3810</t>
  </si>
  <si>
    <t>27-3811</t>
  </si>
  <si>
    <t>27-3812</t>
  </si>
  <si>
    <t>27-3813</t>
  </si>
  <si>
    <t>27-3814</t>
  </si>
  <si>
    <t>27-3815</t>
  </si>
  <si>
    <t>ZVW41-3395079</t>
    <phoneticPr fontId="13"/>
  </si>
  <si>
    <t>ZVW50-8020721</t>
    <phoneticPr fontId="13"/>
  </si>
  <si>
    <t>DA17V-955145</t>
    <phoneticPr fontId="13"/>
  </si>
  <si>
    <t>LA650S-0323570</t>
    <phoneticPr fontId="13"/>
  </si>
  <si>
    <t>BMWﾐﾆｸｰﾊﾟｰ　ｳﾞｨｸﾄﾘｱ</t>
    <phoneticPr fontId="13"/>
  </si>
  <si>
    <t>ﾙｰｸｽ　ﾊｲｳｪｲｽﾀｰ</t>
    <phoneticPr fontId="13"/>
  </si>
  <si>
    <t>ﾊﾟｼﾞｪﾛﾐﾆ　VR</t>
    <phoneticPr fontId="13"/>
  </si>
  <si>
    <t>福井　580　ち　131</t>
    <rPh sb="0" eb="2">
      <t>フクイ</t>
    </rPh>
    <phoneticPr fontId="13"/>
  </si>
  <si>
    <t>ｱﾙﾄﾗﾊﾟﾝ　G</t>
    <phoneticPr fontId="13"/>
  </si>
  <si>
    <t>岐阜　581　ち　8609</t>
    <rPh sb="0" eb="2">
      <t>ギフ</t>
    </rPh>
    <phoneticPr fontId="13"/>
  </si>
  <si>
    <t>ﾂｲﾝ　ｶﾞｿﾘﾝB</t>
    <phoneticPr fontId="13"/>
  </si>
  <si>
    <t>岐阜　51　す　1278</t>
    <rPh sb="0" eb="2">
      <t>ギフ</t>
    </rPh>
    <phoneticPr fontId="13"/>
  </si>
  <si>
    <t>ﾊﾘｱｰ　ﾌﾟﾚﾐｱﾑ</t>
    <phoneticPr fontId="13"/>
  </si>
  <si>
    <t>ﾀﾝﾄｶｽﾀﾑ　X　ﾄｯﾌﾟｴﾃﾞｨｼｮﾝSaⅡ</t>
    <phoneticPr fontId="13"/>
  </si>
  <si>
    <t>8/8/20</t>
    <phoneticPr fontId="13"/>
  </si>
  <si>
    <t>岐阜　58A　い　8954</t>
    <rPh sb="0" eb="2">
      <t>ギフ</t>
    </rPh>
    <phoneticPr fontId="13"/>
  </si>
  <si>
    <t>ｽﾍﾟｰｼｱ　HV　G</t>
    <phoneticPr fontId="13"/>
  </si>
  <si>
    <t>三重　787　く　18</t>
    <rPh sb="0" eb="2">
      <t>ミエ</t>
    </rPh>
    <phoneticPr fontId="13"/>
  </si>
  <si>
    <t>名古屋　58A　み　9032</t>
    <rPh sb="0" eb="3">
      <t>ナゴヤ</t>
    </rPh>
    <phoneticPr fontId="13"/>
  </si>
  <si>
    <t>N　BOX　L　ｺｰﾃﾞｨﾈｰﾄｽﾀｲﾙ</t>
    <phoneticPr fontId="13"/>
  </si>
  <si>
    <t>尾張小牧　581　ふ　7943</t>
    <rPh sb="0" eb="4">
      <t>オワリコマキ</t>
    </rPh>
    <phoneticPr fontId="13"/>
  </si>
  <si>
    <t>ﾐﾗｼﾞｰﾉ　ﾀｰﾎﾞ</t>
    <phoneticPr fontId="13"/>
  </si>
  <si>
    <t>27-3816</t>
  </si>
  <si>
    <t>ﾚｸｻｽ　LS500ｈ　Iﾊﾟｯｹｰｼﾞ</t>
    <phoneticPr fontId="13"/>
  </si>
  <si>
    <t>ｼﾞﾑﾆｰ　ﾉﾏﾄﾞFC</t>
    <phoneticPr fontId="13"/>
  </si>
  <si>
    <t>10/12/24</t>
    <phoneticPr fontId="13"/>
  </si>
  <si>
    <t>ﾊｲｴｰｽﾊﾞﾝ　ｽｰﾊﾟｰGL　</t>
    <phoneticPr fontId="13"/>
  </si>
  <si>
    <t>ﾃﾞｲｽﾞﾙｰｸｽ　ﾊｲｳｪｲｽﾀｰXﾀｰﾎﾞ</t>
    <phoneticPr fontId="13"/>
  </si>
  <si>
    <t>ﾗﾝﾄﾞｸﾙｰｻﾞｰ250 　VX</t>
    <phoneticPr fontId="13"/>
  </si>
  <si>
    <t>10/2/27</t>
    <phoneticPr fontId="13"/>
  </si>
  <si>
    <t>CX-3　20Sﾌﾟﾛｱｸﾃｨﾌﾞ</t>
    <phoneticPr fontId="13"/>
  </si>
  <si>
    <t>DKEFW-102460</t>
    <phoneticPr fontId="13"/>
  </si>
  <si>
    <t>ｷｬﾘｨﾄﾗｯｸ　KCｴｱｺﾝﾊﾟﾜｽﾃ</t>
    <phoneticPr fontId="13"/>
  </si>
  <si>
    <t>DA16T-583354</t>
    <phoneticPr fontId="13"/>
  </si>
  <si>
    <t>神戸　480　ま　7238</t>
    <rPh sb="0" eb="2">
      <t>コウベ</t>
    </rPh>
    <phoneticPr fontId="13"/>
  </si>
  <si>
    <t>ﾗﾝﾄﾞﾛｰﾊﾞｰﾃﾞｨｽｶﾊﾞﾘｰｽﾎﾟｰﾂ　HSE</t>
    <phoneticPr fontId="13"/>
  </si>
  <si>
    <t>SALCA2AX0JH747983</t>
    <phoneticPr fontId="13"/>
  </si>
  <si>
    <t>ﾎﾞﾙﾄﾞｰ</t>
    <phoneticPr fontId="13"/>
  </si>
  <si>
    <t>ｼｴﾝﾀ　HV　Gｸｴﾛ</t>
    <phoneticPr fontId="13"/>
  </si>
  <si>
    <t>ｾﾚﾅ　Eﾊﾟﾜｰﾊｲｳｪｲｽﾀｰ　</t>
    <phoneticPr fontId="13"/>
  </si>
  <si>
    <t>和泉　330　ゆ　5010</t>
    <rPh sb="0" eb="2">
      <t>イズミ</t>
    </rPh>
    <phoneticPr fontId="13"/>
  </si>
  <si>
    <t>福祉車両非課税処理済</t>
    <rPh sb="0" eb="4">
      <t>フクシシャリョウ</t>
    </rPh>
    <rPh sb="4" eb="7">
      <t>ヒカゼイ</t>
    </rPh>
    <rPh sb="7" eb="10">
      <t>ショリズ</t>
    </rPh>
    <phoneticPr fontId="13"/>
  </si>
  <si>
    <t>ｽｲﾌﾄ　ﾊｲﾌﾞﾘｯﾄﾞMZ</t>
    <phoneticPr fontId="13"/>
  </si>
  <si>
    <t>ﾜｺﾞﾝRｽﾏｲﾙ　ﾊｲﾌﾞﾘｯﾄﾞX</t>
    <phoneticPr fontId="13"/>
  </si>
  <si>
    <t>ﾀﾝﾄ　ﾌｧﾝｸﾛｽ　ﾀｰﾎﾞ</t>
    <phoneticPr fontId="13"/>
  </si>
  <si>
    <t>ﾐｽﾞｲﾛⅡ</t>
    <phoneticPr fontId="13"/>
  </si>
  <si>
    <t>ﾑｰｳﾞｷｬﾝﾊﾞｽ　Gﾒｲｸｱｯﾌﾟﾘﾐﾃｯﾄﾞ　SaⅢ</t>
    <phoneticPr fontId="13"/>
  </si>
  <si>
    <t>CX-5　XDﾌﾟﾛｱｸﾃｨﾌﾞ</t>
    <phoneticPr fontId="13"/>
  </si>
  <si>
    <t>S660　ﾓﾃﾞｭｰﾛX</t>
    <phoneticPr fontId="13"/>
  </si>
  <si>
    <t>NV100ｸﾘｯﾊﾟｰﾘｵ　　G</t>
    <phoneticPr fontId="13"/>
  </si>
  <si>
    <t>豊橋　583　う　5646</t>
    <rPh sb="0" eb="2">
      <t>トヨハシ</t>
    </rPh>
    <phoneticPr fontId="13"/>
  </si>
  <si>
    <t>ﾊｲｴｰｽﾊﾞﾝ　ﾛﾝｸﾞｽｰﾊﾟｰGL　</t>
    <phoneticPr fontId="13"/>
  </si>
  <si>
    <t>大阪　303　も　3622</t>
    <rPh sb="0" eb="2">
      <t>オオサカ</t>
    </rPh>
    <phoneticPr fontId="13"/>
  </si>
  <si>
    <t>ｼﾄﾛｴﾝC3　ｲﾝｽﾊﾟｲｱｰﾄﾞ　</t>
    <phoneticPr fontId="13"/>
  </si>
  <si>
    <t>VF7SXHNPYLT585097</t>
    <phoneticPr fontId="13"/>
  </si>
  <si>
    <t>岐阜　303　は　5439</t>
    <rPh sb="0" eb="2">
      <t>ギフ</t>
    </rPh>
    <phoneticPr fontId="13"/>
  </si>
  <si>
    <t>ﾎﾞﾙﾎﾞXC40　B4　ｲﾝｽｸﾘﾌﾟｼｮﾝ</t>
    <phoneticPr fontId="13"/>
  </si>
  <si>
    <t>YV1XZK9MCM2527961</t>
    <phoneticPr fontId="13"/>
  </si>
  <si>
    <t>WMWYT920403D51052</t>
    <phoneticPr fontId="13"/>
  </si>
  <si>
    <t>ﾚｸｻｽCT200ｈ　Ｆｽﾎﾟｰﾂ</t>
    <phoneticPr fontId="13"/>
  </si>
  <si>
    <t>9/3/6</t>
    <phoneticPr fontId="13"/>
  </si>
  <si>
    <t>18/10</t>
    <phoneticPr fontId="13"/>
  </si>
  <si>
    <t>V97W-0000707</t>
    <phoneticPr fontId="13"/>
  </si>
  <si>
    <t>8/10/22</t>
    <phoneticPr fontId="13"/>
  </si>
  <si>
    <t>8/12/17</t>
    <phoneticPr fontId="13"/>
  </si>
  <si>
    <t>ZC33S-123965</t>
    <phoneticPr fontId="13"/>
  </si>
  <si>
    <t>Lぶるー</t>
    <phoneticPr fontId="13"/>
  </si>
  <si>
    <t>ADV　VE　ｴﾏｰｼﾞｪﾝｼｰﾌﾞﾚｰｷ</t>
    <phoneticPr fontId="13"/>
  </si>
  <si>
    <t>10/3/1</t>
    <phoneticPr fontId="13"/>
  </si>
  <si>
    <t>M900A-0271013</t>
    <phoneticPr fontId="13"/>
  </si>
  <si>
    <t>9/5/14</t>
    <phoneticPr fontId="13"/>
  </si>
  <si>
    <t>神戸　342　み　73</t>
    <rPh sb="0" eb="2">
      <t>コウベ</t>
    </rPh>
    <phoneticPr fontId="13"/>
  </si>
  <si>
    <t>8/7/5</t>
    <phoneticPr fontId="13"/>
  </si>
  <si>
    <t>WVWZZZ16ZHM634237</t>
    <phoneticPr fontId="13"/>
  </si>
  <si>
    <t>大阪　341　ら　827</t>
    <rPh sb="0" eb="2">
      <t>オオサカ</t>
    </rPh>
    <phoneticPr fontId="13"/>
  </si>
  <si>
    <t>WMWXU52000TH95580</t>
    <phoneticPr fontId="13"/>
  </si>
  <si>
    <t>京都　332　ね　3201</t>
    <rPh sb="0" eb="2">
      <t>キョウト</t>
    </rPh>
    <phoneticPr fontId="13"/>
  </si>
  <si>
    <t>ZFA3120000JC24738</t>
    <phoneticPr fontId="13"/>
  </si>
  <si>
    <t>ｱﾊﾞﾙﾄ595　ｺﾝﾍﾟﾃｨﾂｨｵｰﾈ　ﾊﾟﾌｫｰﾏﾝｽP</t>
    <phoneticPr fontId="13"/>
  </si>
  <si>
    <t>8/9/16</t>
    <phoneticPr fontId="13"/>
  </si>
  <si>
    <t>岡山　532　る　595</t>
    <rPh sb="0" eb="2">
      <t>オカヤマ</t>
    </rPh>
    <phoneticPr fontId="13"/>
  </si>
  <si>
    <t>WMWYT920103L60336</t>
    <phoneticPr fontId="13"/>
  </si>
  <si>
    <t>高知　300　は　5045</t>
    <rPh sb="0" eb="2">
      <t>コウチ</t>
    </rPh>
    <phoneticPr fontId="13"/>
  </si>
  <si>
    <t>ZFA3120000J875603</t>
    <phoneticPr fontId="13"/>
  </si>
  <si>
    <t>愛媛 301 つ 3494</t>
    <rPh sb="0" eb="2">
      <t>エヒメ</t>
    </rPh>
    <phoneticPr fontId="13"/>
  </si>
  <si>
    <t>近藤 健輔</t>
    <rPh sb="0" eb="2">
      <t>コンドウ</t>
    </rPh>
    <rPh sb="3" eb="4">
      <t>ケン</t>
    </rPh>
    <rPh sb="4" eb="5">
      <t>スケ</t>
    </rPh>
    <phoneticPr fontId="13"/>
  </si>
  <si>
    <t>四日市 580 き 1263</t>
    <rPh sb="0" eb="3">
      <t>ヨッカイチ</t>
    </rPh>
    <phoneticPr fontId="13"/>
  </si>
  <si>
    <t>ABBAS AGHA</t>
    <phoneticPr fontId="13"/>
  </si>
  <si>
    <t>尾張小牧 580 ゆ 7595</t>
    <rPh sb="0" eb="4">
      <t>オワリコマキ</t>
    </rPh>
    <phoneticPr fontId="13"/>
  </si>
  <si>
    <t>冨田 健司</t>
    <rPh sb="0" eb="2">
      <t>トミタ</t>
    </rPh>
    <rPh sb="3" eb="5">
      <t>ケンジ</t>
    </rPh>
    <phoneticPr fontId="13"/>
  </si>
  <si>
    <t>27-3817</t>
  </si>
  <si>
    <t>17/5</t>
    <phoneticPr fontId="13"/>
  </si>
  <si>
    <t>BMW 318iA</t>
    <phoneticPr fontId="13"/>
  </si>
  <si>
    <t>WBABX92080PN91723</t>
    <phoneticPr fontId="13"/>
  </si>
  <si>
    <t>神戸 333 ふ 1971</t>
    <rPh sb="0" eb="2">
      <t>コウベ</t>
    </rPh>
    <phoneticPr fontId="13"/>
  </si>
  <si>
    <t>藤原 敬浩</t>
    <rPh sb="0" eb="2">
      <t>フジワラ</t>
    </rPh>
    <rPh sb="3" eb="4">
      <t>ケイ</t>
    </rPh>
    <rPh sb="4" eb="5">
      <t>コウ</t>
    </rPh>
    <phoneticPr fontId="13"/>
  </si>
  <si>
    <t>保証書 ﾏｲｸﾛSD(車内)</t>
    <rPh sb="0" eb="3">
      <t>ホショウショ</t>
    </rPh>
    <rPh sb="11" eb="13">
      <t>シャナイ</t>
    </rPh>
    <phoneticPr fontId="13"/>
  </si>
  <si>
    <t>神吉 知弘</t>
    <rPh sb="0" eb="2">
      <t>カンキ</t>
    </rPh>
    <rPh sb="3" eb="5">
      <t>チヒロ</t>
    </rPh>
    <phoneticPr fontId="13"/>
  </si>
  <si>
    <t>ｸﾚｰﾑ中 ｷｬﾝｾﾙなるかも？</t>
    <rPh sb="4" eb="5">
      <t>チュウ</t>
    </rPh>
    <phoneticPr fontId="13"/>
  </si>
  <si>
    <t>椛島 伸也</t>
    <rPh sb="0" eb="1">
      <t>モミジ</t>
    </rPh>
    <rPh sb="1" eb="2">
      <t>シマ</t>
    </rPh>
    <rPh sb="3" eb="4">
      <t>ノブ</t>
    </rPh>
    <rPh sb="4" eb="5">
      <t>ヤ</t>
    </rPh>
    <phoneticPr fontId="13"/>
  </si>
  <si>
    <t>黒木 崇夫</t>
    <rPh sb="0" eb="2">
      <t>クロキ</t>
    </rPh>
    <rPh sb="3" eb="4">
      <t>タカ</t>
    </rPh>
    <rPh sb="4" eb="5">
      <t>オット</t>
    </rPh>
    <phoneticPr fontId="13"/>
  </si>
  <si>
    <t>(有)佐藤喜久夫商店</t>
    <rPh sb="1" eb="2">
      <t>ユウ</t>
    </rPh>
    <rPh sb="3" eb="5">
      <t>サトウ</t>
    </rPh>
    <rPh sb="5" eb="8">
      <t>キクオ</t>
    </rPh>
    <rPh sb="8" eb="10">
      <t>ショウテン</t>
    </rPh>
    <phoneticPr fontId="13"/>
  </si>
  <si>
    <t>村角 威夫</t>
    <rPh sb="0" eb="2">
      <t>ムラカド</t>
    </rPh>
    <rPh sb="3" eb="5">
      <t>タケオ</t>
    </rPh>
    <phoneticPr fontId="13"/>
  </si>
  <si>
    <t>27-3818</t>
  </si>
  <si>
    <t>27-3819</t>
  </si>
  <si>
    <t>27-3820</t>
  </si>
  <si>
    <t>27-3821</t>
  </si>
  <si>
    <t>ﾎﾞﾙﾎﾞV40 D4 ﾓﾒﾝﾀﾑ</t>
    <phoneticPr fontId="13"/>
  </si>
  <si>
    <t>YV1MVA8RDJ2481538</t>
    <phoneticPr fontId="13"/>
  </si>
  <si>
    <t>名古屋 379 ほ 1113</t>
    <rPh sb="0" eb="3">
      <t>ナゴヤ</t>
    </rPh>
    <phoneticPr fontId="13"/>
  </si>
  <si>
    <t>BMW 2ｼﾘｰｽﾞ ｸﾞﾗﾝﾄﾞﾂｱﾗｰ 218d</t>
    <phoneticPr fontId="13"/>
  </si>
  <si>
    <t>WBA7P12050EH83767</t>
    <phoneticPr fontId="13"/>
  </si>
  <si>
    <t>WMWXT720102F35371</t>
    <phoneticPr fontId="13"/>
  </si>
  <si>
    <t>WMWXS720402B60790</t>
    <phoneticPr fontId="13"/>
  </si>
  <si>
    <t>27-3822</t>
  </si>
  <si>
    <t>鳥取 335 ね 6</t>
    <rPh sb="0" eb="2">
      <t>トットリ</t>
    </rPh>
    <phoneticPr fontId="13"/>
  </si>
  <si>
    <t>A343101</t>
    <phoneticPr fontId="13"/>
  </si>
  <si>
    <t>ﾀﾝﾄ　ﾌｧﾝ ｸﾛｽ</t>
    <phoneticPr fontId="13"/>
  </si>
  <si>
    <t>LA650S-0319900</t>
    <phoneticPr fontId="13"/>
  </si>
  <si>
    <t>A341723</t>
    <phoneticPr fontId="13"/>
  </si>
  <si>
    <t>ｳﾞｪﾙﾌｧｲｱ2.4Z ﾌﾟﾗﾁﾅｾﾚｸｼｮﾝ2</t>
    <phoneticPr fontId="13"/>
  </si>
  <si>
    <t>ANH20-8130189</t>
    <phoneticPr fontId="13"/>
  </si>
  <si>
    <t>A341965</t>
    <phoneticPr fontId="13"/>
  </si>
  <si>
    <t>ﾊｲﾗｯｸｽZ</t>
    <phoneticPr fontId="13"/>
  </si>
  <si>
    <t>GUN125-3920458</t>
    <phoneticPr fontId="13"/>
  </si>
  <si>
    <t>A341742</t>
    <phoneticPr fontId="13"/>
  </si>
  <si>
    <t>DA17V-663248</t>
    <phoneticPr fontId="13"/>
  </si>
  <si>
    <t>27-3823</t>
  </si>
  <si>
    <t>27-3824</t>
  </si>
  <si>
    <t>27-3825</t>
  </si>
  <si>
    <t>27-3826</t>
  </si>
  <si>
    <t>581 よ 1603</t>
    <phoneticPr fontId="13"/>
  </si>
  <si>
    <t>27-3827</t>
  </si>
  <si>
    <t>27-3828</t>
  </si>
  <si>
    <t>WMW32BC0802P28911</t>
    <phoneticPr fontId="13"/>
  </si>
  <si>
    <t xml:space="preserve">ﾙﾉｰｶﾝｸﾞｰ </t>
    <phoneticPr fontId="13"/>
  </si>
  <si>
    <t>VF1KW14BK0802312</t>
    <phoneticPr fontId="13"/>
  </si>
  <si>
    <t>岐阜 302 め 1330</t>
    <rPh sb="0" eb="2">
      <t>ギフ</t>
    </rPh>
    <phoneticPr fontId="13"/>
  </si>
  <si>
    <t>徳島 335 ま 1023</t>
    <rPh sb="0" eb="2">
      <t>トクシマ</t>
    </rPh>
    <phoneticPr fontId="13"/>
  </si>
  <si>
    <t>なにわ 39A ゆ 2190</t>
    <phoneticPr fontId="13"/>
  </si>
  <si>
    <t>大坂ﾄﾖﾀNorth株式会社</t>
    <rPh sb="0" eb="2">
      <t>オオサカ</t>
    </rPh>
    <rPh sb="10" eb="14">
      <t>カブシキガイシャ</t>
    </rPh>
    <phoneticPr fontId="13"/>
  </si>
  <si>
    <t>なにわ 33M ち 8888</t>
    <phoneticPr fontId="13"/>
  </si>
  <si>
    <t>萩原 智輝</t>
    <rPh sb="0" eb="2">
      <t>ハギワラ</t>
    </rPh>
    <rPh sb="3" eb="4">
      <t>チ</t>
    </rPh>
    <rPh sb="4" eb="5">
      <t>カガヤ</t>
    </rPh>
    <phoneticPr fontId="13"/>
  </si>
  <si>
    <t>保証書 取説 ｷｰﾚｽ 印鑑証明5/26まで</t>
    <rPh sb="0" eb="3">
      <t>ホショウショ</t>
    </rPh>
    <rPh sb="4" eb="6">
      <t>トリセツ</t>
    </rPh>
    <rPh sb="12" eb="16">
      <t>インカンショウメイ</t>
    </rPh>
    <phoneticPr fontId="13"/>
  </si>
  <si>
    <t>京都 581 さ 5111</t>
    <rPh sb="0" eb="2">
      <t>キョウト</t>
    </rPh>
    <phoneticPr fontId="13"/>
  </si>
  <si>
    <t>大坂 581 ぬ 2388</t>
    <rPh sb="0" eb="2">
      <t>オオサカ</t>
    </rPh>
    <phoneticPr fontId="13"/>
  </si>
  <si>
    <t>保証書(印なし点検時印あり) 取説 ﾅﾋﾞ取 ｷｰﾚｽ</t>
    <rPh sb="0" eb="3">
      <t>ホショウショ</t>
    </rPh>
    <rPh sb="4" eb="5">
      <t>イン</t>
    </rPh>
    <rPh sb="7" eb="9">
      <t>テンケン</t>
    </rPh>
    <rPh sb="9" eb="10">
      <t>ジ</t>
    </rPh>
    <rPh sb="10" eb="11">
      <t>イン</t>
    </rPh>
    <rPh sb="15" eb="17">
      <t>トリセツ</t>
    </rPh>
    <rPh sb="21" eb="22">
      <t>トリ</t>
    </rPh>
    <phoneticPr fontId="13"/>
  </si>
  <si>
    <t>和歌山 581 せ 8684</t>
    <rPh sb="0" eb="3">
      <t>ワカヤマ</t>
    </rPh>
    <phoneticPr fontId="13"/>
  </si>
  <si>
    <t>田辺ﾀﾞｲﾊﾂ販売株式会社</t>
    <rPh sb="0" eb="2">
      <t>タナベ</t>
    </rPh>
    <rPh sb="7" eb="13">
      <t>ハンバイカブシキガイシャ</t>
    </rPh>
    <phoneticPr fontId="13"/>
  </si>
  <si>
    <t>保証書 取説 ｷｰﾚｽ ﾄﾞﾗﾚｺ取説 ﾄﾞﾗﾚｺSD</t>
    <rPh sb="0" eb="3">
      <t>ホショウショ</t>
    </rPh>
    <rPh sb="4" eb="6">
      <t>トリセツ</t>
    </rPh>
    <rPh sb="17" eb="19">
      <t>トリセツ</t>
    </rPh>
    <phoneticPr fontId="13"/>
  </si>
  <si>
    <t>京都 580 わ 8445</t>
    <rPh sb="0" eb="2">
      <t>キョウト</t>
    </rPh>
    <phoneticPr fontId="13"/>
  </si>
  <si>
    <t>取説 ｽﾍﾟｱｷｰ 地図SD (車内)保証書 ﾚﾝﾀｶｰ</t>
    <rPh sb="0" eb="2">
      <t>トリセツ</t>
    </rPh>
    <rPh sb="10" eb="12">
      <t>チズ</t>
    </rPh>
    <rPh sb="16" eb="18">
      <t>シャナイ</t>
    </rPh>
    <rPh sb="19" eb="22">
      <t>ホショウショ</t>
    </rPh>
    <phoneticPr fontId="13"/>
  </si>
  <si>
    <t>大阪 570 ゆ 1123</t>
    <rPh sb="0" eb="2">
      <t>オオサカ</t>
    </rPh>
    <phoneticPr fontId="13"/>
  </si>
  <si>
    <t>高松 583 こ 408</t>
    <rPh sb="0" eb="2">
      <t>タカマツ</t>
    </rPh>
    <phoneticPr fontId="13"/>
  </si>
  <si>
    <t>谷川 誉惠</t>
    <rPh sb="0" eb="2">
      <t>タニガワ</t>
    </rPh>
    <rPh sb="3" eb="4">
      <t>ホマレ</t>
    </rPh>
    <rPh sb="4" eb="5">
      <t>メグミ</t>
    </rPh>
    <phoneticPr fontId="13"/>
  </si>
  <si>
    <t>岡山 580 ま 238</t>
    <rPh sb="0" eb="2">
      <t>オカヤマ</t>
    </rPh>
    <phoneticPr fontId="13"/>
  </si>
  <si>
    <t>株式会社ｴﾙｼﾞｵ</t>
    <rPh sb="0" eb="4">
      <t>カブシキガイシャ</t>
    </rPh>
    <phoneticPr fontId="13"/>
  </si>
  <si>
    <t>尾張小牧 399 は 559</t>
    <rPh sb="0" eb="4">
      <t>オワリコマキ</t>
    </rPh>
    <phoneticPr fontId="13"/>
  </si>
  <si>
    <t>名古屋 499 む 5636</t>
    <rPh sb="0" eb="3">
      <t>ナゴヤ</t>
    </rPh>
    <phoneticPr fontId="13"/>
  </si>
  <si>
    <t>株式会社ﾄﾖﾀﾚﾝﾀﾘｰｽ名古屋</t>
    <rPh sb="13" eb="16">
      <t>ナゴヤ</t>
    </rPh>
    <phoneticPr fontId="13"/>
  </si>
  <si>
    <t>山口 581 け 8424</t>
    <rPh sb="0" eb="2">
      <t>ヤマグチ</t>
    </rPh>
    <phoneticPr fontId="13"/>
  </si>
  <si>
    <t>塩見 優花</t>
    <rPh sb="0" eb="2">
      <t>シオミ</t>
    </rPh>
    <rPh sb="3" eb="4">
      <t>ユウ</t>
    </rPh>
    <rPh sb="4" eb="5">
      <t>ハナ</t>
    </rPh>
    <phoneticPr fontId="13"/>
  </si>
  <si>
    <t>徳島 300 の 1702</t>
    <rPh sb="0" eb="2">
      <t>トクシマ</t>
    </rPh>
    <phoneticPr fontId="13"/>
  </si>
  <si>
    <t>広島 331 も 1156</t>
    <rPh sb="0" eb="2">
      <t>ヒロシマ</t>
    </rPh>
    <phoneticPr fontId="13"/>
  </si>
  <si>
    <t>神戸 799 ら 8104</t>
    <rPh sb="0" eb="2">
      <t>コウベ</t>
    </rPh>
    <phoneticPr fontId="13"/>
  </si>
  <si>
    <t>ﾘﾓｺﾝ ｷｰﾚｽ ﾐﾆB-CAS</t>
    <phoneticPr fontId="13"/>
  </si>
  <si>
    <t>株式会社ﾎﾝﾀﾞｶｰｽﾞ中高知</t>
    <rPh sb="0" eb="4">
      <t>カブシキガイシャ</t>
    </rPh>
    <rPh sb="12" eb="13">
      <t>ナカ</t>
    </rPh>
    <rPh sb="13" eb="15">
      <t>コウチ</t>
    </rPh>
    <phoneticPr fontId="13"/>
  </si>
  <si>
    <t>WME4530622Y148929</t>
    <phoneticPr fontId="13"/>
  </si>
  <si>
    <t>ｷｬﾝｾﾙ返送3/31</t>
    <rPh sb="5" eb="7">
      <t>ヘンソウ</t>
    </rPh>
    <phoneticPr fontId="13"/>
  </si>
  <si>
    <t>広島 334 ね 3310</t>
    <rPh sb="0" eb="2">
      <t>ヒロシマ</t>
    </rPh>
    <phoneticPr fontId="13"/>
  </si>
  <si>
    <t>藤本 龍司</t>
    <rPh sb="0" eb="2">
      <t>フジモト</t>
    </rPh>
    <rPh sb="3" eb="4">
      <t>リュウ</t>
    </rPh>
    <rPh sb="4" eb="5">
      <t>ツカサ</t>
    </rPh>
    <phoneticPr fontId="13"/>
  </si>
  <si>
    <t>なにわ 479 ゆ 48</t>
    <phoneticPr fontId="13"/>
  </si>
  <si>
    <t>名古屋 499 む 5669</t>
    <rPh sb="0" eb="3">
      <t>ナゴヤ</t>
    </rPh>
    <phoneticPr fontId="13"/>
  </si>
  <si>
    <t>品番：NSZT-W66T</t>
    <rPh sb="0" eb="2">
      <t>ヒンバン</t>
    </rPh>
    <phoneticPr fontId="13"/>
  </si>
  <si>
    <t>ﾏｲｸﾛ地図SD(車内)保証書 取説 ｷｰﾚｽ</t>
    <rPh sb="4" eb="6">
      <t>チズ</t>
    </rPh>
    <rPh sb="9" eb="11">
      <t>シャナイ</t>
    </rPh>
    <rPh sb="12" eb="15">
      <t>ホショウショ</t>
    </rPh>
    <rPh sb="16" eb="18">
      <t>トリセツ</t>
    </rPh>
    <phoneticPr fontId="13"/>
  </si>
  <si>
    <t>27-3829</t>
  </si>
  <si>
    <t>27-3830</t>
  </si>
  <si>
    <t>27-3831</t>
  </si>
  <si>
    <t>27-3832</t>
  </si>
  <si>
    <t>27-3833</t>
  </si>
  <si>
    <t>27-3834</t>
  </si>
  <si>
    <t>27-3835</t>
  </si>
  <si>
    <t>27-3836</t>
  </si>
  <si>
    <t>ｵﾘｯｸｽ神戸</t>
    <rPh sb="5" eb="7">
      <t>コウベ</t>
    </rPh>
    <phoneticPr fontId="13"/>
  </si>
  <si>
    <t>7/6</t>
    <phoneticPr fontId="13"/>
  </si>
  <si>
    <t>黒</t>
    <rPh sb="0" eb="1">
      <t>クロ</t>
    </rPh>
    <phoneticPr fontId="13"/>
  </si>
  <si>
    <t>ﾀﾌﾄ　G</t>
    <phoneticPr fontId="13"/>
  </si>
  <si>
    <t>LA900S-0214106</t>
    <phoneticPr fontId="13"/>
  </si>
  <si>
    <t>7/5</t>
    <phoneticPr fontId="13"/>
  </si>
  <si>
    <t>白</t>
    <rPh sb="0" eb="1">
      <t>シロ</t>
    </rPh>
    <phoneticPr fontId="13"/>
  </si>
  <si>
    <t>ﾌﾟﾛﾎﾞｯｸｽﾊﾞﾝ　GL</t>
    <phoneticPr fontId="13"/>
  </si>
  <si>
    <t>NHP160-0133743</t>
    <phoneticPr fontId="13"/>
  </si>
  <si>
    <t>3/10</t>
    <phoneticPr fontId="13"/>
  </si>
  <si>
    <t>N　BOX　L　</t>
    <phoneticPr fontId="13"/>
  </si>
  <si>
    <t>JF3-5084790</t>
    <phoneticPr fontId="13"/>
  </si>
  <si>
    <t>6/7</t>
    <phoneticPr fontId="13"/>
  </si>
  <si>
    <t>N　BOX　</t>
    <phoneticPr fontId="13"/>
  </si>
  <si>
    <t>JF5-1071298</t>
    <phoneticPr fontId="13"/>
  </si>
  <si>
    <t>2/2</t>
    <phoneticPr fontId="13"/>
  </si>
  <si>
    <t>JF4-2102556</t>
    <phoneticPr fontId="13"/>
  </si>
  <si>
    <t>N　BOX　G　Lﾀｰﾎﾞ　ﾎﾝﾀﾞｾﾝｼﾝｸﾞ</t>
    <phoneticPr fontId="13"/>
  </si>
  <si>
    <t>4/5</t>
    <phoneticPr fontId="13"/>
  </si>
  <si>
    <t>ﾜｲﾝⅡ</t>
    <phoneticPr fontId="13"/>
  </si>
  <si>
    <t>ｽﾍﾟｰｼｱ　ﾊｲﾌﾞﾘｯﾄﾞX</t>
    <phoneticPr fontId="13"/>
  </si>
  <si>
    <t>MK53S-413855</t>
    <phoneticPr fontId="13"/>
  </si>
  <si>
    <t>A339389</t>
    <phoneticPr fontId="13"/>
  </si>
  <si>
    <t>MR92S-174743</t>
    <phoneticPr fontId="13"/>
  </si>
  <si>
    <t>3/3</t>
    <phoneticPr fontId="13"/>
  </si>
  <si>
    <t>ﾃﾞﾆﾑﾌﾞﾙｰ</t>
    <phoneticPr fontId="13"/>
  </si>
  <si>
    <t>10/3/14</t>
    <phoneticPr fontId="13"/>
  </si>
  <si>
    <t>TAA近畿</t>
    <rPh sb="3" eb="5">
      <t>キンキ</t>
    </rPh>
    <phoneticPr fontId="13"/>
  </si>
  <si>
    <t>27-3837</t>
  </si>
  <si>
    <t>27-3838</t>
  </si>
  <si>
    <t>27-3839</t>
  </si>
  <si>
    <t>27-3840</t>
  </si>
  <si>
    <t>27-3841</t>
  </si>
  <si>
    <t>27-3842</t>
  </si>
  <si>
    <t>27-3843</t>
  </si>
  <si>
    <t>27-3844</t>
  </si>
  <si>
    <t>27-3845</t>
  </si>
  <si>
    <t>27-3846</t>
  </si>
  <si>
    <t>ﾑｰｳﾞｶｽﾀﾑ　X　SA</t>
    <phoneticPr fontId="13"/>
  </si>
  <si>
    <t>LA100S-0219453</t>
    <phoneticPr fontId="13"/>
  </si>
  <si>
    <t>ﾃﾞｲｽﾞﾙｰｸｽ　ﾊｲｳｪｲｽﾀｰ　X　Vｾﾚｸｼｮﾝ</t>
    <phoneticPr fontId="13"/>
  </si>
  <si>
    <t>B21A-0378895</t>
    <phoneticPr fontId="13"/>
  </si>
  <si>
    <t>ｱﾄﾚｰﾜｺﾞﾝ　ｶｽﾀﾑﾀｰﾎﾞ　RSﾘﾐﾃｯﾄﾞ</t>
    <phoneticPr fontId="13"/>
  </si>
  <si>
    <t>S321G-0055891</t>
    <phoneticPr fontId="13"/>
  </si>
  <si>
    <t>BMWﾐﾆｸｰﾊﾟｰD　ｸﾛｽｵｰﾊﾞｰ</t>
    <phoneticPr fontId="13"/>
  </si>
  <si>
    <t>TAA四国</t>
    <rPh sb="3" eb="5">
      <t>シコク</t>
    </rPh>
    <phoneticPr fontId="13"/>
  </si>
  <si>
    <t>BMWﾐﾆ</t>
    <phoneticPr fontId="13"/>
  </si>
  <si>
    <t>TAA広島</t>
    <rPh sb="3" eb="5">
      <t>ヒロシマ</t>
    </rPh>
    <phoneticPr fontId="13"/>
  </si>
  <si>
    <t>ﾑｰｳﾞｷｬﾝﾊﾞｽ　GﾒｲｸｱｯﾌﾟSaⅡ</t>
    <phoneticPr fontId="13"/>
  </si>
  <si>
    <t>LA800S-0047889</t>
    <phoneticPr fontId="13"/>
  </si>
  <si>
    <t>ﾊｲｾﾞｯﾄｶｰｺﾞ　ｸﾙｰｽﾞﾀｰﾎﾞ</t>
    <phoneticPr fontId="13"/>
  </si>
  <si>
    <t>S700V-0050753</t>
    <phoneticPr fontId="13"/>
  </si>
  <si>
    <t>ﾐﾗｲｰｽ　G　ﾘﾐﾃｯﾄﾞSaⅢ</t>
    <phoneticPr fontId="13"/>
  </si>
  <si>
    <t>LA350S-0409821</t>
    <phoneticPr fontId="13"/>
  </si>
  <si>
    <t>ﾑｰｳﾞｷｬﾝﾊﾞｽ　ｾｵﾘｰGﾀｰﾎﾞ</t>
    <phoneticPr fontId="13"/>
  </si>
  <si>
    <t>LA850S-1034298</t>
    <phoneticPr fontId="13"/>
  </si>
  <si>
    <t>TAA九州</t>
    <rPh sb="3" eb="5">
      <t>キュウシュウ</t>
    </rPh>
    <phoneticPr fontId="13"/>
  </si>
  <si>
    <t>ﾌﾟﾛﾎﾞｯｸｽﾊﾞﾝ　G</t>
    <phoneticPr fontId="13"/>
  </si>
  <si>
    <t>25/3</t>
    <phoneticPr fontId="13"/>
  </si>
  <si>
    <t>29/12</t>
    <phoneticPr fontId="13"/>
  </si>
  <si>
    <t>青</t>
    <rPh sb="0" eb="1">
      <t>アオ</t>
    </rPh>
    <phoneticPr fontId="13"/>
  </si>
  <si>
    <t>8/12</t>
    <phoneticPr fontId="13"/>
  </si>
  <si>
    <t>神戸　582　う　2883</t>
    <rPh sb="0" eb="2">
      <t>コウベ</t>
    </rPh>
    <phoneticPr fontId="13"/>
  </si>
  <si>
    <t>25/10</t>
    <phoneticPr fontId="13"/>
  </si>
  <si>
    <t>1/5</t>
    <phoneticPr fontId="13"/>
  </si>
  <si>
    <t>白Ⅱ</t>
    <rPh sb="0" eb="1">
      <t>シロ</t>
    </rPh>
    <phoneticPr fontId="13"/>
  </si>
  <si>
    <t>WMWYT920103H97238</t>
    <phoneticPr fontId="13"/>
  </si>
  <si>
    <t>29/6</t>
    <phoneticPr fontId="13"/>
  </si>
  <si>
    <t>ｲｴﾛｰ</t>
    <phoneticPr fontId="13"/>
  </si>
  <si>
    <t>8/6</t>
    <phoneticPr fontId="13"/>
  </si>
  <si>
    <t>徳島　334　に　35</t>
    <rPh sb="0" eb="2">
      <t>トクシマ</t>
    </rPh>
    <phoneticPr fontId="13"/>
  </si>
  <si>
    <t>29/4</t>
    <phoneticPr fontId="13"/>
  </si>
  <si>
    <t>ﾐﾝﾄⅡ</t>
    <phoneticPr fontId="13"/>
  </si>
  <si>
    <t>岡山　581　よ　7683</t>
    <rPh sb="0" eb="2">
      <t>オカヤマ</t>
    </rPh>
    <phoneticPr fontId="13"/>
  </si>
  <si>
    <t>4/11</t>
    <phoneticPr fontId="13"/>
  </si>
  <si>
    <t>8/11</t>
    <phoneticPr fontId="13"/>
  </si>
  <si>
    <t>岡山　480　ね　9193</t>
    <rPh sb="0" eb="2">
      <t>オカヤマ</t>
    </rPh>
    <phoneticPr fontId="13"/>
  </si>
  <si>
    <t>6/9</t>
    <phoneticPr fontId="13"/>
  </si>
  <si>
    <t>5/12</t>
    <phoneticPr fontId="13"/>
  </si>
  <si>
    <t>WMWXM920602G96310</t>
    <phoneticPr fontId="13"/>
  </si>
  <si>
    <t>4/3</t>
    <phoneticPr fontId="13"/>
  </si>
  <si>
    <t>HAA神戸</t>
    <rPh sb="3" eb="5">
      <t>コウベ</t>
    </rPh>
    <phoneticPr fontId="13"/>
  </si>
  <si>
    <t>27-3847</t>
  </si>
  <si>
    <t>27-3848</t>
  </si>
  <si>
    <t>SNT33-077413</t>
    <phoneticPr fontId="13"/>
  </si>
  <si>
    <t>MR92S-455372</t>
    <phoneticPr fontId="13"/>
  </si>
  <si>
    <t>ｴｸｽﾄﾚｲﾙ　GE　40RCE</t>
    <phoneticPr fontId="13"/>
  </si>
  <si>
    <t>神戸　302　わ　4238</t>
    <rPh sb="0" eb="2">
      <t>コウベ</t>
    </rPh>
    <phoneticPr fontId="13"/>
  </si>
  <si>
    <t>姫路　581　わ　825</t>
    <rPh sb="0" eb="2">
      <t>ヒメジ</t>
    </rPh>
    <phoneticPr fontId="13"/>
  </si>
  <si>
    <t>沖縄 480 ぬ 1273</t>
    <rPh sb="0" eb="2">
      <t>オキナワ</t>
    </rPh>
    <phoneticPr fontId="13"/>
  </si>
  <si>
    <t>琉球三菱自動車販売株式会社</t>
    <rPh sb="0" eb="4">
      <t>リュウキュウミツビシ</t>
    </rPh>
    <rPh sb="4" eb="7">
      <t>ジドウシャ</t>
    </rPh>
    <rPh sb="7" eb="9">
      <t>ハンバイ</t>
    </rPh>
    <rPh sb="9" eb="13">
      <t>カブシキガイシャ</t>
    </rPh>
    <phoneticPr fontId="13"/>
  </si>
  <si>
    <t>愛媛 337 の 817</t>
    <rPh sb="0" eb="2">
      <t>エヒメ</t>
    </rPh>
    <phoneticPr fontId="13"/>
  </si>
  <si>
    <t>ひろぎんﾘｰｽ株式会社</t>
    <rPh sb="7" eb="11">
      <t>カブシキガイシャ</t>
    </rPh>
    <phoneticPr fontId="13"/>
  </si>
  <si>
    <t>横浜 305 ゆ 7474</t>
    <rPh sb="0" eb="2">
      <t>ヨコハマ</t>
    </rPh>
    <phoneticPr fontId="13"/>
  </si>
  <si>
    <t>保証書 取説 ｷｰﾚｽ 付属品直送4/2発送</t>
    <rPh sb="0" eb="3">
      <t>ホショウショ</t>
    </rPh>
    <rPh sb="4" eb="6">
      <t>トリセツ</t>
    </rPh>
    <rPh sb="12" eb="15">
      <t>フゾクヒン</t>
    </rPh>
    <rPh sb="15" eb="17">
      <t>チョクソウ</t>
    </rPh>
    <rPh sb="20" eb="22">
      <t>ハッソウ</t>
    </rPh>
    <phoneticPr fontId="13"/>
  </si>
  <si>
    <t>27-3849</t>
  </si>
  <si>
    <t>YV1ZW10MDL2362607</t>
    <phoneticPr fontId="13"/>
  </si>
  <si>
    <t>27-3850</t>
  </si>
  <si>
    <t>27-3851</t>
  </si>
  <si>
    <t>27-3852</t>
  </si>
  <si>
    <t>ZFA3120000J885553</t>
    <phoneticPr fontId="13"/>
  </si>
  <si>
    <t>ｶﾛｰﾗﾌｨｰﾙﾀﾞｰﾊｲﾌﾞﾘｯﾄﾞG</t>
    <phoneticPr fontId="13"/>
  </si>
  <si>
    <t>NKE165-7197520</t>
    <phoneticPr fontId="13"/>
  </si>
  <si>
    <t>WMWXU72060TR63246</t>
    <phoneticPr fontId="13"/>
  </si>
  <si>
    <t>ﾒﾙｾﾃﾞｽﾍﾞﾝﾂ Cｸﾗｽｽﾃｰｼｮﾝﾜｺﾞﾝ 220d</t>
    <phoneticPr fontId="13"/>
  </si>
  <si>
    <t>WDD2052042F674268</t>
    <phoneticPr fontId="13"/>
  </si>
  <si>
    <t>名古屋 373 ほ 1011</t>
    <rPh sb="0" eb="3">
      <t>ナゴヤ</t>
    </rPh>
    <phoneticPr fontId="13"/>
  </si>
  <si>
    <t>WMWXR320X0TR94669</t>
    <phoneticPr fontId="13"/>
  </si>
  <si>
    <t>NCP160-0155605</t>
    <phoneticPr fontId="13"/>
  </si>
  <si>
    <t>ﾎﾞﾙﾎﾞV60 T5 ｲﾝｽｸﾘﾌﾟｼｮﾝ</t>
    <phoneticPr fontId="13"/>
  </si>
  <si>
    <t>名古屋 781 ろ 423</t>
    <rPh sb="0" eb="3">
      <t>ナゴヤ</t>
    </rPh>
    <phoneticPr fontId="13"/>
  </si>
  <si>
    <t>愛知県中古自動車販売商工組合</t>
    <rPh sb="0" eb="8">
      <t>アイチケンチュウコジドウシャ</t>
    </rPh>
    <rPh sb="8" eb="10">
      <t>ハンバイ</t>
    </rPh>
    <rPh sb="10" eb="14">
      <t>ショウコウクミアイ</t>
    </rPh>
    <phoneticPr fontId="13"/>
  </si>
  <si>
    <t>ｷｬﾝｾﾙ4/2返送</t>
    <rPh sb="8" eb="10">
      <t>ヘンソウ</t>
    </rPh>
    <phoneticPr fontId="13"/>
  </si>
  <si>
    <t>半田 有矢</t>
    <rPh sb="0" eb="2">
      <t>ハンダ</t>
    </rPh>
    <rPh sb="3" eb="4">
      <t>ユウ</t>
    </rPh>
    <rPh sb="4" eb="5">
      <t>ヤ</t>
    </rPh>
    <phoneticPr fontId="13"/>
  </si>
  <si>
    <t>保証書 取説 ﾅﾋﾞ取 ﾏｲｸﾛSD ﾐﾆB-CAS</t>
    <rPh sb="0" eb="3">
      <t>ホショウショ</t>
    </rPh>
    <rPh sb="4" eb="6">
      <t>トリセツ</t>
    </rPh>
    <rPh sb="10" eb="11">
      <t>トリ</t>
    </rPh>
    <phoneticPr fontId="13"/>
  </si>
  <si>
    <t>香川 581 ろ 9533</t>
    <rPh sb="0" eb="2">
      <t>カガワ</t>
    </rPh>
    <phoneticPr fontId="13"/>
  </si>
  <si>
    <t>株式会社三木物流</t>
    <rPh sb="0" eb="4">
      <t>カブシキガイシャ</t>
    </rPh>
    <rPh sb="4" eb="6">
      <t>ミキ</t>
    </rPh>
    <rPh sb="6" eb="8">
      <t>ブツリュウ</t>
    </rPh>
    <phoneticPr fontId="13"/>
  </si>
  <si>
    <t>福岡 39A ち 5438</t>
    <rPh sb="0" eb="2">
      <t>フクオカ</t>
    </rPh>
    <phoneticPr fontId="13"/>
  </si>
  <si>
    <t>27-3853</t>
  </si>
  <si>
    <t>27-3854</t>
  </si>
  <si>
    <t>27-3855</t>
  </si>
  <si>
    <t>なにわ 5X0 ろ 7470</t>
    <phoneticPr fontId="13"/>
  </si>
  <si>
    <t>福山 583 ろ 1425</t>
    <rPh sb="0" eb="2">
      <t>フクヤマ</t>
    </rPh>
    <phoneticPr fontId="13"/>
  </si>
  <si>
    <t>倉敷 581 い 423</t>
    <rPh sb="0" eb="2">
      <t>クラシキ</t>
    </rPh>
    <phoneticPr fontId="13"/>
  </si>
  <si>
    <t>名古屋 332 せ 5288</t>
    <rPh sb="0" eb="3">
      <t>ナゴヤ</t>
    </rPh>
    <phoneticPr fontId="13"/>
  </si>
  <si>
    <t>ﾄﾖﾀﾓﾋﾞﾘﾃｨ東名古屋株式会社</t>
    <rPh sb="9" eb="10">
      <t>ヒガシ</t>
    </rPh>
    <rPh sb="10" eb="13">
      <t>ナゴヤ</t>
    </rPh>
    <rPh sb="13" eb="17">
      <t>カブシキガイシャ</t>
    </rPh>
    <phoneticPr fontId="13"/>
  </si>
  <si>
    <t>池田 美保子</t>
    <rPh sb="0" eb="2">
      <t>イケダ</t>
    </rPh>
    <rPh sb="3" eb="6">
      <t>ミホコ</t>
    </rPh>
    <phoneticPr fontId="13"/>
  </si>
  <si>
    <t>佐伯 亜矢子</t>
    <rPh sb="0" eb="2">
      <t>サエキ</t>
    </rPh>
    <rPh sb="3" eb="6">
      <t>アヤコ</t>
    </rPh>
    <phoneticPr fontId="13"/>
  </si>
  <si>
    <t>品川 5X3 ろ 8142</t>
    <rPh sb="0" eb="2">
      <t>シナガワ</t>
    </rPh>
    <phoneticPr fontId="13"/>
  </si>
  <si>
    <t>ﾌﾟﾚﾐｱﾓﾋﾞﾘﾃｨｻｰﾋﾞｽ株式会社</t>
    <rPh sb="16" eb="20">
      <t>カブシキガイシャ</t>
    </rPh>
    <phoneticPr fontId="13"/>
  </si>
  <si>
    <t>長野 582 ろ 9449</t>
    <rPh sb="0" eb="2">
      <t>ナガノ</t>
    </rPh>
    <phoneticPr fontId="13"/>
  </si>
  <si>
    <t>株式会社甲信ﾏﾂﾀﾞ</t>
    <rPh sb="0" eb="4">
      <t>カブシキガイシャ</t>
    </rPh>
    <rPh sb="4" eb="6">
      <t>コウシン</t>
    </rPh>
    <phoneticPr fontId="13"/>
  </si>
  <si>
    <t>品番；MM112-A</t>
    <rPh sb="0" eb="2">
      <t>ヒンバン</t>
    </rPh>
    <phoneticPr fontId="13"/>
  </si>
  <si>
    <t>地図SD車内なし(クレームならず)</t>
    <rPh sb="0" eb="2">
      <t>チズ</t>
    </rPh>
    <rPh sb="4" eb="6">
      <t>シャナイ</t>
    </rPh>
    <phoneticPr fontId="13"/>
  </si>
  <si>
    <t>SDないままUS神戸売れ送る</t>
    <rPh sb="8" eb="10">
      <t>コウベ</t>
    </rPh>
    <rPh sb="10" eb="11">
      <t>ウ</t>
    </rPh>
    <rPh sb="12" eb="13">
      <t>オク</t>
    </rPh>
    <phoneticPr fontId="13"/>
  </si>
  <si>
    <t>11/？</t>
    <phoneticPr fontId="13"/>
  </si>
  <si>
    <t>尾張小牧 590 ろ 544</t>
    <rPh sb="0" eb="4">
      <t>オワリコマキ</t>
    </rPh>
    <phoneticPr fontId="13"/>
  </si>
  <si>
    <t>姫路 587 ろ 37</t>
    <rPh sb="0" eb="2">
      <t>ヒメジ</t>
    </rPh>
    <phoneticPr fontId="13"/>
  </si>
  <si>
    <t>ZCEDS-103143</t>
    <phoneticPr fontId="13"/>
  </si>
  <si>
    <t>堺 535 と 810</t>
    <rPh sb="0" eb="1">
      <t>サカイ</t>
    </rPh>
    <phoneticPr fontId="13"/>
  </si>
  <si>
    <t>月城 英夫</t>
    <rPh sb="0" eb="1">
      <t>ツキ</t>
    </rPh>
    <rPh sb="1" eb="2">
      <t>シロ</t>
    </rPh>
    <rPh sb="3" eb="5">
      <t>ヒデオ</t>
    </rPh>
    <phoneticPr fontId="13"/>
  </si>
  <si>
    <t>福井三菱自動車販売株式会社</t>
    <rPh sb="0" eb="2">
      <t>フクイ</t>
    </rPh>
    <rPh sb="2" eb="4">
      <t>ミツビシ</t>
    </rPh>
    <rPh sb="4" eb="7">
      <t>ジドウシャ</t>
    </rPh>
    <rPh sb="7" eb="9">
      <t>ハンバイ</t>
    </rPh>
    <rPh sb="9" eb="13">
      <t>カブシキガイシャ</t>
    </rPh>
    <phoneticPr fontId="13"/>
  </si>
  <si>
    <t>愛媛 341 さ 3377</t>
    <rPh sb="0" eb="2">
      <t>エヒメ</t>
    </rPh>
    <phoneticPr fontId="13"/>
  </si>
  <si>
    <t>ﾈｯﾂﾄﾖﾀ瀬戸内株式会社</t>
    <rPh sb="6" eb="8">
      <t>セト</t>
    </rPh>
    <rPh sb="8" eb="9">
      <t>ウチ</t>
    </rPh>
    <rPh sb="9" eb="13">
      <t>カブシキガイシャ</t>
    </rPh>
    <phoneticPr fontId="13"/>
  </si>
  <si>
    <t>27-3856</t>
  </si>
  <si>
    <t>27-3857</t>
  </si>
  <si>
    <t>27-3858</t>
  </si>
  <si>
    <t>VW ﾊﾟｻｰﾄ ｳﾞｧﾘｱﾝﾄ</t>
    <phoneticPr fontId="13"/>
  </si>
  <si>
    <t>WVWZZZ3CZJE153035</t>
    <phoneticPr fontId="13"/>
  </si>
  <si>
    <t>BMW 530 I ﾗｸﾞｼﾞｭｱﾘｰ</t>
    <phoneticPr fontId="13"/>
  </si>
  <si>
    <t>WBAJA52040WC08083</t>
    <phoneticPr fontId="13"/>
  </si>
  <si>
    <t>ﾒﾙｾﾃﾞｽﾍﾞﾝﾂ CLA 180</t>
    <phoneticPr fontId="13"/>
  </si>
  <si>
    <t>WDD1179422N627087</t>
    <phoneticPr fontId="13"/>
  </si>
  <si>
    <t>沖縄 330 り 413</t>
    <rPh sb="0" eb="2">
      <t>オキナワ</t>
    </rPh>
    <phoneticPr fontId="13"/>
  </si>
  <si>
    <t>ﾓﾄｰﾚﾝ沖縄株式会社</t>
    <rPh sb="5" eb="11">
      <t>オキナワカブシキガイシャ</t>
    </rPh>
    <phoneticPr fontId="13"/>
  </si>
  <si>
    <t>品川 358 ち 1113</t>
    <rPh sb="0" eb="2">
      <t>シナガワ</t>
    </rPh>
    <phoneticPr fontId="13"/>
  </si>
  <si>
    <t>名古屋 326 も 2285</t>
    <rPh sb="0" eb="3">
      <t>ナゴヤ</t>
    </rPh>
    <phoneticPr fontId="13"/>
  </si>
  <si>
    <t>株式会社WECARS</t>
    <phoneticPr fontId="13"/>
  </si>
  <si>
    <t>品川 337 ま 709</t>
    <rPh sb="0" eb="2">
      <t>シナガワ</t>
    </rPh>
    <phoneticPr fontId="13"/>
  </si>
  <si>
    <t>千葉 326 ち 5547</t>
    <rPh sb="0" eb="2">
      <t>チバ</t>
    </rPh>
    <phoneticPr fontId="13"/>
  </si>
  <si>
    <t>なにわ 583 く 2533</t>
    <phoneticPr fontId="13"/>
  </si>
  <si>
    <t>川本 美枝</t>
    <rPh sb="0" eb="2">
      <t>カワモト</t>
    </rPh>
    <rPh sb="3" eb="5">
      <t>ミエ</t>
    </rPh>
    <phoneticPr fontId="13"/>
  </si>
  <si>
    <t>保証書 取説 ｷｰﾚｽ ﾜﾝｵｰﾅｰかも</t>
    <rPh sb="0" eb="3">
      <t>ホショウショ</t>
    </rPh>
    <rPh sb="4" eb="6">
      <t>トリセツ</t>
    </rPh>
    <phoneticPr fontId="13"/>
  </si>
  <si>
    <t>愛媛 301 せ 7375</t>
    <rPh sb="0" eb="2">
      <t>エヒメ</t>
    </rPh>
    <phoneticPr fontId="13"/>
  </si>
  <si>
    <t>藤田 晃弘</t>
    <rPh sb="0" eb="2">
      <t>フジタ</t>
    </rPh>
    <rPh sb="3" eb="4">
      <t>アキ</t>
    </rPh>
    <rPh sb="4" eb="5">
      <t>ヒロ</t>
    </rPh>
    <phoneticPr fontId="13"/>
  </si>
  <si>
    <t>品川 39A も 6268</t>
    <rPh sb="0" eb="2">
      <t>シナガワ</t>
    </rPh>
    <phoneticPr fontId="13"/>
  </si>
  <si>
    <t>堺 399 ひ 8509</t>
    <rPh sb="0" eb="1">
      <t>サカイ</t>
    </rPh>
    <phoneticPr fontId="13"/>
  </si>
  <si>
    <t>ﾄﾖﾀｶﾛｰﾗ南海株式会社</t>
    <rPh sb="7" eb="8">
      <t>ミナミ</t>
    </rPh>
    <rPh sb="8" eb="9">
      <t>カイ</t>
    </rPh>
    <rPh sb="9" eb="13">
      <t>カブシキガイシャ</t>
    </rPh>
    <phoneticPr fontId="13"/>
  </si>
  <si>
    <t>福山 582 た 3333</t>
    <rPh sb="0" eb="2">
      <t>フクヤマ</t>
    </rPh>
    <phoneticPr fontId="13"/>
  </si>
  <si>
    <t>奈良 587 さ 345</t>
    <rPh sb="0" eb="2">
      <t>ナラ</t>
    </rPh>
    <phoneticPr fontId="13"/>
  </si>
  <si>
    <t>奈良中央三菱自動車販売株式会社</t>
    <rPh sb="0" eb="2">
      <t>ナラ</t>
    </rPh>
    <rPh sb="2" eb="4">
      <t>チュウオウ</t>
    </rPh>
    <rPh sb="4" eb="9">
      <t>ミツビシジドウシャ</t>
    </rPh>
    <rPh sb="9" eb="11">
      <t>ハンバイ</t>
    </rPh>
    <rPh sb="11" eb="15">
      <t>カブシキガイシャ</t>
    </rPh>
    <phoneticPr fontId="13"/>
  </si>
  <si>
    <t>堺 583 い 6366</t>
    <rPh sb="0" eb="1">
      <t>サカイ</t>
    </rPh>
    <phoneticPr fontId="13"/>
  </si>
  <si>
    <t>鳥取 580 ゆ 3578</t>
    <rPh sb="0" eb="2">
      <t>トットリ</t>
    </rPh>
    <phoneticPr fontId="13"/>
  </si>
  <si>
    <t>堺 580 わ 3860</t>
    <rPh sb="0" eb="1">
      <t>サカイ</t>
    </rPh>
    <phoneticPr fontId="13"/>
  </si>
  <si>
    <t>株式会社井上ｶｰｸﾞｳﾄﾞ</t>
    <rPh sb="0" eb="4">
      <t>カブシキガイシャ</t>
    </rPh>
    <rPh sb="4" eb="6">
      <t>イノウエ</t>
    </rPh>
    <phoneticPr fontId="13"/>
  </si>
  <si>
    <t>堺 599 ま 6106</t>
    <rPh sb="0" eb="1">
      <t>サカイ</t>
    </rPh>
    <phoneticPr fontId="13"/>
  </si>
  <si>
    <t>荻 瑳彩</t>
    <rPh sb="0" eb="1">
      <t>オギ</t>
    </rPh>
    <rPh sb="2" eb="3">
      <t>サ</t>
    </rPh>
    <rPh sb="3" eb="4">
      <t>アヤ</t>
    </rPh>
    <phoneticPr fontId="13"/>
  </si>
  <si>
    <t>株式会社ｶｰｴｽｲﾉﾍﾞｰｼｮﾝ</t>
    <rPh sb="0" eb="4">
      <t>カブシキガイシャ</t>
    </rPh>
    <phoneticPr fontId="13"/>
  </si>
  <si>
    <t>Explore Lanka株式会社</t>
    <rPh sb="13" eb="17">
      <t>カブシキガイシャ</t>
    </rPh>
    <phoneticPr fontId="13"/>
  </si>
  <si>
    <t>記録紙2枚(書類と一緒に保管)</t>
    <rPh sb="0" eb="3">
      <t>キロクシ</t>
    </rPh>
    <rPh sb="4" eb="5">
      <t>マイ</t>
    </rPh>
    <rPh sb="6" eb="8">
      <t>ショルイ</t>
    </rPh>
    <rPh sb="9" eb="11">
      <t>イッショ</t>
    </rPh>
    <rPh sb="12" eb="14">
      <t>ホカン</t>
    </rPh>
    <phoneticPr fontId="13"/>
  </si>
  <si>
    <t>川﨑 仁美</t>
    <rPh sb="0" eb="2">
      <t>カワサキ</t>
    </rPh>
    <rPh sb="3" eb="5">
      <t>ヒトミ</t>
    </rPh>
    <phoneticPr fontId="13"/>
  </si>
  <si>
    <t>上林 省悟</t>
    <rPh sb="0" eb="2">
      <t>ウエバヤシ</t>
    </rPh>
    <rPh sb="3" eb="5">
      <t>ショウゴ</t>
    </rPh>
    <phoneticPr fontId="13"/>
  </si>
  <si>
    <t>ｷｰﾚｽ ｶｰﾄﾞｷｰ(車内)←ｽﾄｯｸ  ﾏｲｸﾛ地図SD</t>
    <rPh sb="12" eb="14">
      <t>シャナイ</t>
    </rPh>
    <rPh sb="26" eb="28">
      <t>チズ</t>
    </rPh>
    <phoneticPr fontId="13"/>
  </si>
  <si>
    <t>徳島 333 ひ 36</t>
    <rPh sb="0" eb="2">
      <t>トクシマ</t>
    </rPh>
    <phoneticPr fontId="13"/>
  </si>
  <si>
    <t>川端 康弘</t>
    <rPh sb="0" eb="2">
      <t>カワバタ</t>
    </rPh>
    <rPh sb="3" eb="5">
      <t>ヤスヒロ</t>
    </rPh>
    <phoneticPr fontId="13"/>
  </si>
  <si>
    <t>ﾏｲｸﾛ地図SD(車内)保証書 取説 ﾅﾋﾞ取 ｷｰﾚｽ ﾜﾝｵｰﾅｰ</t>
    <rPh sb="12" eb="15">
      <t>ホショウショ</t>
    </rPh>
    <rPh sb="16" eb="18">
      <t>トリセツ</t>
    </rPh>
    <rPh sb="22" eb="23">
      <t>トリ</t>
    </rPh>
    <phoneticPr fontId="13"/>
  </si>
  <si>
    <t>株式会社ﾎﾞﾝｽﾞ</t>
    <rPh sb="0" eb="4">
      <t>カブシキガイシャ</t>
    </rPh>
    <phoneticPr fontId="13"/>
  </si>
  <si>
    <t>多摩 485 ろ 643</t>
    <rPh sb="0" eb="2">
      <t>タマ</t>
    </rPh>
    <phoneticPr fontId="13"/>
  </si>
  <si>
    <t>なにわ 5X0 ろ 8374</t>
    <phoneticPr fontId="13"/>
  </si>
  <si>
    <t>東愛知日産自動車株式会社</t>
    <rPh sb="0" eb="1">
      <t>ヒガシ</t>
    </rPh>
    <rPh sb="1" eb="12">
      <t>アイチニッサンジドウシャカブシキガイシャ</t>
    </rPh>
    <phoneticPr fontId="13"/>
  </si>
  <si>
    <t>広島 502 ま 7646</t>
    <rPh sb="0" eb="2">
      <t>ヒロシマ</t>
    </rPh>
    <phoneticPr fontId="13"/>
  </si>
  <si>
    <t>岡山 301 ち 8309</t>
    <rPh sb="0" eb="2">
      <t>オカヤマ</t>
    </rPh>
    <phoneticPr fontId="13"/>
  </si>
  <si>
    <t>飛鳥ﾎﾝﾀﾞ株式会社</t>
    <rPh sb="0" eb="2">
      <t>アスカ</t>
    </rPh>
    <rPh sb="6" eb="10">
      <t>カブシキガイシャ</t>
    </rPh>
    <phoneticPr fontId="13"/>
  </si>
  <si>
    <t>ﾏｲｸﾛ地図SD(車内)保証書 取説 ｷｰﾚｽ ｽﾍﾟｱｷｰ</t>
    <rPh sb="4" eb="6">
      <t>チズ</t>
    </rPh>
    <rPh sb="9" eb="11">
      <t>シャナイ</t>
    </rPh>
    <rPh sb="12" eb="15">
      <t>ホショウショ</t>
    </rPh>
    <rPh sb="16" eb="18">
      <t>トリセツ</t>
    </rPh>
    <phoneticPr fontId="13"/>
  </si>
  <si>
    <t>岡山 532 て 8808</t>
    <rPh sb="0" eb="2">
      <t>オカヤマ</t>
    </rPh>
    <phoneticPr fontId="13"/>
  </si>
  <si>
    <t>守安 勇人</t>
    <rPh sb="0" eb="2">
      <t>モリヤス</t>
    </rPh>
    <rPh sb="3" eb="5">
      <t>ハヤト</t>
    </rPh>
    <phoneticPr fontId="13"/>
  </si>
  <si>
    <t>有限会社ｱｰﾄｾﾚｸｼｮﾝ</t>
    <rPh sb="0" eb="4">
      <t>ユウゲンカイシャ</t>
    </rPh>
    <phoneticPr fontId="13"/>
  </si>
  <si>
    <t>ABDUL KHALEK ALOKDEH</t>
    <phoneticPr fontId="13"/>
  </si>
  <si>
    <t>堺 586 ろ 5321</t>
    <rPh sb="0" eb="1">
      <t>サカイ</t>
    </rPh>
    <phoneticPr fontId="13"/>
  </si>
  <si>
    <t>株式会社Sam Pratt</t>
    <rPh sb="0" eb="4">
      <t>カブシキガイシャ</t>
    </rPh>
    <phoneticPr fontId="13"/>
  </si>
  <si>
    <t>ﾘﾓｺﾝ(車内)保証書 取説 ﾅﾋﾞ取 ｷｰﾚｽ ﾘﾓｺﾝ2個 ｴﾝｼﾞﾝｽﾀｰﾀｰ ﾜﾝｵｰﾅｰ</t>
    <rPh sb="8" eb="11">
      <t>ホショウショ</t>
    </rPh>
    <rPh sb="12" eb="14">
      <t>トリセツ</t>
    </rPh>
    <rPh sb="18" eb="19">
      <t>トリ</t>
    </rPh>
    <rPh sb="30" eb="31">
      <t>コ</t>
    </rPh>
    <phoneticPr fontId="13"/>
  </si>
  <si>
    <t>地図SD(車内)ﾜﾝｵｰﾅｰ</t>
    <rPh sb="0" eb="2">
      <t>チズ</t>
    </rPh>
    <phoneticPr fontId="13"/>
  </si>
  <si>
    <t>取説 ｷｰﾚｽ ﾘﾓｺﾝ(車内)</t>
    <rPh sb="0" eb="2">
      <t>トリセツ</t>
    </rPh>
    <phoneticPr fontId="13"/>
  </si>
  <si>
    <t>ｷｬﾝｾﾙ4/4返送</t>
    <rPh sb="8" eb="10">
      <t>ヘンソウ</t>
    </rPh>
    <phoneticPr fontId="13"/>
  </si>
  <si>
    <t>582 う 6361</t>
    <phoneticPr fontId="13"/>
  </si>
  <si>
    <t>480 ね 5318</t>
    <phoneticPr fontId="13"/>
  </si>
  <si>
    <t>582 う 6362</t>
    <phoneticPr fontId="13"/>
  </si>
  <si>
    <t>582 う 6363</t>
    <phoneticPr fontId="13"/>
  </si>
  <si>
    <t>四日市 300 せ 3190</t>
    <rPh sb="0" eb="3">
      <t>ヨッカイチ</t>
    </rPh>
    <phoneticPr fontId="13"/>
  </si>
  <si>
    <t>ﾄﾖﾀｶﾛｰﾗ三重株式会社</t>
    <rPh sb="7" eb="9">
      <t>ミエ</t>
    </rPh>
    <rPh sb="9" eb="13">
      <t>カブシキガイシャ</t>
    </rPh>
    <phoneticPr fontId="13"/>
  </si>
  <si>
    <t>4/4</t>
    <phoneticPr fontId="13"/>
  </si>
  <si>
    <t>保証書 取説 ｷｰﾚｽ ﾜﾝｵｰﾅｰ 印鑑証明6/2まで</t>
    <rPh sb="0" eb="3">
      <t>ホショウショ</t>
    </rPh>
    <rPh sb="4" eb="6">
      <t>トリセツ</t>
    </rPh>
    <rPh sb="19" eb="23">
      <t>インカンショウメイ</t>
    </rPh>
    <phoneticPr fontId="13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</si>
  <si>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/>
  </si>
  <si>
    <t>豊橋 332 ち 3298</t>
    <rPh sb="0" eb="2">
      <t>トヨハシ</t>
    </rPh>
    <phoneticPr fontId="13"/>
  </si>
  <si>
    <t>株式会社ﾎﾝﾀﾞｶｰｽﾞ愛知南</t>
    <rPh sb="12" eb="14">
      <t>アイチ</t>
    </rPh>
    <rPh sb="14" eb="15">
      <t>ミナミ</t>
    </rPh>
    <phoneticPr fontId="13"/>
  </si>
  <si>
    <t>株式会社ﾎﾝﾀﾞ自販岐阜</t>
    <rPh sb="0" eb="4">
      <t>カブシキガイシャ</t>
    </rPh>
    <rPh sb="8" eb="10">
      <t>ジハン</t>
    </rPh>
    <rPh sb="10" eb="12">
      <t>ギフ</t>
    </rPh>
    <phoneticPr fontId="13"/>
  </si>
  <si>
    <t>USS神戸(ﾜﾝｸﾘ)</t>
    <rPh sb="3" eb="5">
      <t>コウベ</t>
    </rPh>
    <phoneticPr fontId="13"/>
  </si>
  <si>
    <t>岡山 330 や 5532</t>
    <rPh sb="0" eb="2">
      <t>オカヤマ</t>
    </rPh>
    <phoneticPr fontId="13"/>
  </si>
  <si>
    <t>ｽﾊﾞﾙ中四国株式会社</t>
    <rPh sb="4" eb="7">
      <t>ナカシコク</t>
    </rPh>
    <rPh sb="7" eb="11">
      <t>カブシキガイシャ</t>
    </rPh>
    <phoneticPr fontId="13"/>
  </si>
  <si>
    <t>和泉 301 や 7923</t>
    <rPh sb="0" eb="2">
      <t>イズミ</t>
    </rPh>
    <phoneticPr fontId="13"/>
  </si>
  <si>
    <t>森田 成一</t>
    <rPh sb="0" eb="2">
      <t>モリタ</t>
    </rPh>
    <rPh sb="3" eb="5">
      <t>セイイチ</t>
    </rPh>
    <phoneticPr fontId="13"/>
  </si>
  <si>
    <t>保証書 取説</t>
    <rPh sb="0" eb="3">
      <t>ホショウショ</t>
    </rPh>
    <rPh sb="4" eb="6">
      <t>トリセツ</t>
    </rPh>
    <phoneticPr fontId="13"/>
  </si>
  <si>
    <t>広島 582 け 4592</t>
    <rPh sb="0" eb="2">
      <t>ヒロシマ</t>
    </rPh>
    <phoneticPr fontId="13"/>
  </si>
  <si>
    <t>HTﾄﾚｰﾃﾞｨﾝｸﾞ株式会社</t>
    <rPh sb="11" eb="15">
      <t>カブシキガイシャ</t>
    </rPh>
    <phoneticPr fontId="13"/>
  </si>
  <si>
    <t>保証書</t>
    <rPh sb="0" eb="3">
      <t>ホショウショ</t>
    </rPh>
    <phoneticPr fontId="13"/>
  </si>
  <si>
    <t>NSP160-0066522</t>
    <phoneticPr fontId="13"/>
  </si>
  <si>
    <t>福岡 401 わ 3004</t>
    <rPh sb="0" eb="2">
      <t>フクオカ</t>
    </rPh>
    <phoneticPr fontId="13"/>
  </si>
  <si>
    <t>株式会社ｲﾁﾈﾝ</t>
    <phoneticPr fontId="13"/>
  </si>
  <si>
    <t>保証書 取説 ｽﾍﾟｱｷｰ ﾚﾝﾀｶｰ</t>
    <rPh sb="0" eb="3">
      <t>ホショウショ</t>
    </rPh>
    <rPh sb="4" eb="6">
      <t>トリセツ</t>
    </rPh>
    <phoneticPr fontId="13"/>
  </si>
  <si>
    <t>ﾄﾖﾀｶﾛｰﾗ岡山株式会社</t>
    <rPh sb="7" eb="9">
      <t>オカヤマ</t>
    </rPh>
    <rPh sb="9" eb="13">
      <t>カブシキガイシャ</t>
    </rPh>
    <phoneticPr fontId="13"/>
  </si>
  <si>
    <t>ﾄﾖﾀｶﾛｰﾗ岡山株式会社</t>
    <rPh sb="7" eb="13">
      <t>オカヤマカブシキガイシャ</t>
    </rPh>
    <phoneticPr fontId="13"/>
  </si>
  <si>
    <t>保証書 取説 ﾚﾝﾀｶｰ</t>
    <rPh sb="0" eb="3">
      <t>ホショウショ</t>
    </rPh>
    <rPh sb="4" eb="6">
      <t>トリセツ</t>
    </rPh>
    <phoneticPr fontId="13"/>
  </si>
  <si>
    <t>なにわ 583 う 2310</t>
    <phoneticPr fontId="13"/>
  </si>
  <si>
    <t>株式会社ｶｰﾈｸｽﾄ</t>
    <rPh sb="0" eb="4">
      <t>カブシキガイシャ</t>
    </rPh>
    <phoneticPr fontId="13"/>
  </si>
  <si>
    <t>奈良 581 き 9147</t>
    <rPh sb="0" eb="2">
      <t>ナラ</t>
    </rPh>
    <phoneticPr fontId="13"/>
  </si>
  <si>
    <t>株式会社ﾎﾝﾀﾞﾈｯﾄｷﾝｷ</t>
    <rPh sb="0" eb="4">
      <t>カブシキガイシャ</t>
    </rPh>
    <phoneticPr fontId="13"/>
  </si>
  <si>
    <t>野村 尚広</t>
    <rPh sb="0" eb="2">
      <t>ノムラ</t>
    </rPh>
    <rPh sb="3" eb="4">
      <t>ナオ</t>
    </rPh>
    <rPh sb="4" eb="5">
      <t>ヒロシ</t>
    </rPh>
    <phoneticPr fontId="13"/>
  </si>
  <si>
    <t>保証書 ｷｰﾚｽ</t>
    <rPh sb="0" eb="3">
      <t>ホショウショ</t>
    </rPh>
    <phoneticPr fontId="13"/>
  </si>
  <si>
    <t>VR3UPHNKSNT046984</t>
    <phoneticPr fontId="13"/>
  </si>
  <si>
    <t>赤川 正吉</t>
    <rPh sb="0" eb="2">
      <t>アカガワ</t>
    </rPh>
    <rPh sb="3" eb="5">
      <t>マサヨシ</t>
    </rPh>
    <phoneticPr fontId="13"/>
  </si>
  <si>
    <t>保証書 取説 ｷｰﾚｽ</t>
    <rPh sb="0" eb="3">
      <t>ホショウショ</t>
    </rPh>
    <rPh sb="4" eb="6">
      <t>トリセツ</t>
    </rPh>
    <phoneticPr fontId="13"/>
  </si>
  <si>
    <t>保証書 ｷｰﾚｽ ﾚﾝﾀｶｰ</t>
    <rPh sb="0" eb="3">
      <t>ホショウショ</t>
    </rPh>
    <phoneticPr fontId="13"/>
  </si>
  <si>
    <t>柏 530 ち 4812</t>
    <rPh sb="0" eb="1">
      <t>カシワ</t>
    </rPh>
    <phoneticPr fontId="13"/>
  </si>
  <si>
    <t>ﾄﾖﾀｶﾛｰﾗ千葉株式会社</t>
    <rPh sb="7" eb="9">
      <t>チバ</t>
    </rPh>
    <rPh sb="9" eb="13">
      <t>カブシキガイシャ</t>
    </rPh>
    <phoneticPr fontId="13"/>
  </si>
  <si>
    <t>ﾏｲｸﾛ地図SD ｷｰﾚｽ</t>
    <rPh sb="4" eb="6">
      <t>チズ</t>
    </rPh>
    <phoneticPr fontId="13"/>
  </si>
  <si>
    <t>三重 431 た 37</t>
    <rPh sb="0" eb="2">
      <t>ミエ</t>
    </rPh>
    <phoneticPr fontId="13"/>
  </si>
  <si>
    <t>三重ﾄﾖﾍﾟｯﾄ株式会社</t>
    <rPh sb="0" eb="2">
      <t>ミエ</t>
    </rPh>
    <rPh sb="8" eb="12">
      <t>カブシキガイシャ</t>
    </rPh>
    <phoneticPr fontId="13"/>
  </si>
  <si>
    <t>ﾘﾓｺﾝ(車内)ﾏｲｸﾛ地図SD</t>
    <rPh sb="5" eb="7">
      <t>シャナイ</t>
    </rPh>
    <rPh sb="12" eb="14">
      <t>チズ</t>
    </rPh>
    <phoneticPr fontId="13"/>
  </si>
  <si>
    <t>保証書 取説 ﾅﾋﾞ取 ﾏｲｸﾛ地図SD ﾜﾝｵｰﾅｰ</t>
    <rPh sb="0" eb="3">
      <t>ホショウショ</t>
    </rPh>
    <rPh sb="4" eb="6">
      <t>トリセツ</t>
    </rPh>
    <rPh sb="10" eb="11">
      <t>トリ</t>
    </rPh>
    <rPh sb="16" eb="18">
      <t>チズ</t>
    </rPh>
    <phoneticPr fontId="13"/>
  </si>
  <si>
    <t>広島 386 つ 6</t>
    <rPh sb="0" eb="2">
      <t>ヒロシマ</t>
    </rPh>
    <phoneticPr fontId="13"/>
  </si>
  <si>
    <t>株式会社WECARSｵﾘｴﾝﾄｺｰﾎﾟﾚｰｼｮﾝ</t>
    <phoneticPr fontId="13"/>
  </si>
  <si>
    <t>福山 300 も 2093</t>
    <rPh sb="0" eb="2">
      <t>フクヤマ</t>
    </rPh>
    <phoneticPr fontId="13"/>
  </si>
  <si>
    <t>株式会社ｼﾞｬｯｸｽ</t>
    <rPh sb="0" eb="4">
      <t>カブシキガイシャ</t>
    </rPh>
    <phoneticPr fontId="13"/>
  </si>
  <si>
    <t xml:space="preserve">ﾏｲｸﾛ地図SD(車内)保証書 取説 ｷｰﾚｽ </t>
    <rPh sb="4" eb="6">
      <t>チズ</t>
    </rPh>
    <rPh sb="9" eb="11">
      <t>シャナイ</t>
    </rPh>
    <rPh sb="12" eb="15">
      <t>ホショウショ</t>
    </rPh>
    <rPh sb="16" eb="18">
      <t>トリセツ</t>
    </rPh>
    <phoneticPr fontId="13"/>
  </si>
  <si>
    <t>27-3859</t>
  </si>
  <si>
    <t>27-3860</t>
  </si>
  <si>
    <t>27-3861</t>
  </si>
  <si>
    <t>27-3862</t>
  </si>
  <si>
    <t>27-3863</t>
  </si>
  <si>
    <t>27-3864</t>
  </si>
  <si>
    <t>27-3865</t>
  </si>
  <si>
    <t>27-3866</t>
  </si>
  <si>
    <t>27-3867</t>
  </si>
  <si>
    <t>27-3868</t>
  </si>
  <si>
    <t>27-3869</t>
  </si>
  <si>
    <t>27-3870</t>
  </si>
  <si>
    <t>NKE165-7236695</t>
    <phoneticPr fontId="13"/>
  </si>
  <si>
    <t>M900A-0562667</t>
    <phoneticPr fontId="13"/>
  </si>
  <si>
    <t>ZVW51-6071778</t>
    <phoneticPr fontId="13"/>
  </si>
  <si>
    <t>NHP10-2639355</t>
    <phoneticPr fontId="13"/>
  </si>
  <si>
    <t>M900A-0704510</t>
    <phoneticPr fontId="13"/>
  </si>
  <si>
    <t>DR17W-251071</t>
    <phoneticPr fontId="13"/>
  </si>
  <si>
    <t>非課税車処理済</t>
    <rPh sb="0" eb="4">
      <t>ヒカゼイシャ</t>
    </rPh>
    <rPh sb="4" eb="7">
      <t>ショリズミ</t>
    </rPh>
    <phoneticPr fontId="13"/>
  </si>
  <si>
    <t>MH95S-122818</t>
    <phoneticPr fontId="13"/>
  </si>
  <si>
    <t>MR41S-613366</t>
    <phoneticPr fontId="13"/>
  </si>
  <si>
    <t>B6AW-0119573</t>
    <phoneticPr fontId="13"/>
  </si>
  <si>
    <t>MH35S-109580</t>
    <phoneticPr fontId="13"/>
  </si>
  <si>
    <t>TRH200-5059992</t>
    <phoneticPr fontId="13"/>
  </si>
  <si>
    <t>27-3871</t>
  </si>
  <si>
    <t>27-3872</t>
  </si>
  <si>
    <t>27-3873</t>
  </si>
  <si>
    <t>27-3874</t>
  </si>
  <si>
    <t>27-3875</t>
  </si>
  <si>
    <t>27-3876</t>
  </si>
  <si>
    <t>27-3877</t>
  </si>
  <si>
    <t>27-3878</t>
  </si>
  <si>
    <t>ZRR80-0103020</t>
    <phoneticPr fontId="13"/>
  </si>
  <si>
    <t>ｶﾛｰﾗﾌｨｰﾙﾀﾞｰ　ﾊｲﾌﾞﾘｯﾄﾞ　FX</t>
    <phoneticPr fontId="13"/>
  </si>
  <si>
    <t>NKE165-7242159</t>
    <phoneticPr fontId="13"/>
  </si>
  <si>
    <t>DKEFW-101086</t>
    <phoneticPr fontId="13"/>
  </si>
  <si>
    <t>CX-3　20Sﾉｰﾌﾞﾙﾌﾞﾗｳﾝ</t>
    <phoneticPr fontId="13"/>
  </si>
  <si>
    <t>DKEFW-100775</t>
    <phoneticPr fontId="13"/>
  </si>
  <si>
    <t>NHP160-0028516</t>
    <phoneticPr fontId="13"/>
  </si>
  <si>
    <t>27-3880</t>
  </si>
  <si>
    <t>27-3881</t>
  </si>
  <si>
    <t>27-3882</t>
  </si>
  <si>
    <t>27-3883</t>
  </si>
  <si>
    <t>27-3884</t>
  </si>
  <si>
    <t>27-3885</t>
  </si>
  <si>
    <t>27-3886</t>
  </si>
  <si>
    <t>27-3887</t>
  </si>
  <si>
    <t>27-3888</t>
  </si>
  <si>
    <t>27-3889</t>
  </si>
  <si>
    <t>27-3890</t>
  </si>
  <si>
    <t>27-3891</t>
  </si>
  <si>
    <t>27-3892</t>
  </si>
  <si>
    <t>27-3893</t>
  </si>
  <si>
    <t>27-3894</t>
  </si>
  <si>
    <t>27-3895</t>
  </si>
  <si>
    <t>27-3896</t>
  </si>
  <si>
    <t>27-3897</t>
  </si>
  <si>
    <t>27-3898</t>
  </si>
  <si>
    <t>LA100S-0280222</t>
    <phoneticPr fontId="13"/>
  </si>
  <si>
    <t>ZVW30-5710346</t>
    <phoneticPr fontId="13"/>
  </si>
  <si>
    <t>NHP10-2244803</t>
    <phoneticPr fontId="13"/>
  </si>
  <si>
    <t>LA150S-2141563</t>
    <phoneticPr fontId="13"/>
  </si>
  <si>
    <t>LA250S-0013016</t>
    <phoneticPr fontId="13"/>
  </si>
  <si>
    <t>LA350S-0291744</t>
    <phoneticPr fontId="13"/>
  </si>
  <si>
    <t>DA17V-492750</t>
    <phoneticPr fontId="13"/>
  </si>
  <si>
    <t>S700V-0015426</t>
    <phoneticPr fontId="13"/>
  </si>
  <si>
    <t>MR41S-102267</t>
    <phoneticPr fontId="13"/>
  </si>
  <si>
    <t>JB23W-745049</t>
    <phoneticPr fontId="13"/>
  </si>
  <si>
    <t>LA800S-0226359</t>
    <phoneticPr fontId="13"/>
  </si>
  <si>
    <t>ｺﾍﾟﾝ　20ｔｈｱﾆﾊﾞｰｻﾘｰ</t>
    <phoneticPr fontId="13"/>
  </si>
  <si>
    <t>LA400K-0052330</t>
    <phoneticPr fontId="13"/>
  </si>
  <si>
    <t>ｴｸｽﾄﾚｲﾙ　20X</t>
    <phoneticPr fontId="13"/>
  </si>
  <si>
    <t>NT32-080559</t>
    <phoneticPr fontId="13"/>
  </si>
  <si>
    <t>ZSU60-0139669</t>
    <phoneticPr fontId="13"/>
  </si>
  <si>
    <t>JB64W-317266</t>
    <phoneticPr fontId="13"/>
  </si>
  <si>
    <t>JB64W-108756</t>
    <phoneticPr fontId="13"/>
  </si>
  <si>
    <t>RP3-1232372</t>
    <phoneticPr fontId="13"/>
  </si>
  <si>
    <t>BMWﾐﾆｸｰﾊﾟｰD　</t>
    <phoneticPr fontId="13"/>
  </si>
  <si>
    <t>WMWXN320802H82616</t>
    <phoneticPr fontId="13"/>
  </si>
  <si>
    <t>WBAJM720X0G637710</t>
    <phoneticPr fontId="13"/>
  </si>
  <si>
    <t>LA440K-0010847</t>
    <phoneticPr fontId="13"/>
  </si>
  <si>
    <t>ZRR80-0126537</t>
    <phoneticPr fontId="13"/>
  </si>
  <si>
    <t>MR41S-375863</t>
    <phoneticPr fontId="13"/>
  </si>
  <si>
    <t>LA350S-0167555</t>
    <phoneticPr fontId="13"/>
  </si>
  <si>
    <t>LA350S-0263576</t>
    <phoneticPr fontId="13"/>
  </si>
  <si>
    <t>GP5-3025686</t>
    <phoneticPr fontId="13"/>
  </si>
  <si>
    <t>ｸﾞﾛﾘｱ　ﾌﾞﾛｱﾑ</t>
    <phoneticPr fontId="13"/>
  </si>
  <si>
    <t>PY32-419003</t>
    <phoneticPr fontId="13"/>
  </si>
  <si>
    <t>ﾐﾗｼﾞｰﾉ</t>
    <phoneticPr fontId="13"/>
  </si>
  <si>
    <t>L700S-0338762</t>
    <phoneticPr fontId="13"/>
  </si>
  <si>
    <t>HE22S-274640</t>
    <phoneticPr fontId="13"/>
  </si>
  <si>
    <t>ﾊﾟﾚｯﾄSW　ﾘﾐﾃｯﾄﾞⅡ</t>
    <phoneticPr fontId="13"/>
  </si>
  <si>
    <t>MK21S-415434</t>
    <phoneticPr fontId="13"/>
  </si>
  <si>
    <t>27-3899</t>
  </si>
  <si>
    <t>27-3900</t>
  </si>
  <si>
    <t>27-3901</t>
  </si>
  <si>
    <t>27-3902</t>
  </si>
  <si>
    <t>27-3903</t>
  </si>
  <si>
    <t>27-3904</t>
  </si>
  <si>
    <t>27-3905</t>
  </si>
  <si>
    <t>27-3906</t>
  </si>
  <si>
    <t>27-3907</t>
  </si>
  <si>
    <t>27-3908</t>
  </si>
  <si>
    <t>27-3909</t>
  </si>
  <si>
    <t>27-3910</t>
  </si>
  <si>
    <t>27-3911</t>
  </si>
  <si>
    <t>27-3912</t>
  </si>
  <si>
    <t>27-3913</t>
  </si>
  <si>
    <t>27-3914</t>
  </si>
  <si>
    <t>27-3915</t>
  </si>
  <si>
    <t>27-3916</t>
  </si>
  <si>
    <t>LA350S-0251865</t>
    <phoneticPr fontId="13"/>
  </si>
  <si>
    <t>S321V-0444805</t>
    <phoneticPr fontId="13"/>
  </si>
  <si>
    <t>DA17V-327625</t>
    <phoneticPr fontId="13"/>
  </si>
  <si>
    <t>GR3-1323680</t>
    <phoneticPr fontId="13"/>
  </si>
  <si>
    <t>JG1-3203908</t>
    <phoneticPr fontId="13"/>
  </si>
  <si>
    <t>GR3-1323616</t>
    <phoneticPr fontId="13"/>
  </si>
  <si>
    <t>MXPH10-2122809</t>
    <phoneticPr fontId="13"/>
  </si>
  <si>
    <t>MXPH10-2123116</t>
    <phoneticPr fontId="13"/>
  </si>
  <si>
    <t>MXPH10-2122977</t>
    <phoneticPr fontId="13"/>
  </si>
  <si>
    <t>MXPK11-2121196</t>
    <phoneticPr fontId="13"/>
  </si>
  <si>
    <t>GR3-1323615</t>
    <phoneticPr fontId="13"/>
  </si>
  <si>
    <t>MXPK11-2121049</t>
    <phoneticPr fontId="13"/>
  </si>
  <si>
    <t>27-3917</t>
  </si>
  <si>
    <t>27-3918</t>
  </si>
  <si>
    <t>27-3919</t>
  </si>
  <si>
    <t>27-3920</t>
  </si>
  <si>
    <t>27-3921</t>
  </si>
  <si>
    <t>27-3922</t>
  </si>
  <si>
    <t>27-3923</t>
  </si>
  <si>
    <t>27-3924</t>
  </si>
  <si>
    <t>27-3925</t>
  </si>
  <si>
    <t>27-3926</t>
  </si>
  <si>
    <t>27-3927</t>
  </si>
  <si>
    <t>27-3929</t>
  </si>
  <si>
    <t>27-3930</t>
  </si>
  <si>
    <t>27-3931</t>
  </si>
  <si>
    <t>27-3932</t>
  </si>
  <si>
    <t>27-3933</t>
  </si>
  <si>
    <t>27-3934</t>
  </si>
  <si>
    <t>27-3935</t>
  </si>
  <si>
    <t>27-3936</t>
  </si>
  <si>
    <t>27-3937</t>
  </si>
  <si>
    <t>27-3938</t>
  </si>
  <si>
    <t>27-3939</t>
  </si>
  <si>
    <t>27-3940</t>
  </si>
  <si>
    <t>27-3941</t>
  </si>
  <si>
    <t>A344023</t>
    <phoneticPr fontId="13"/>
  </si>
  <si>
    <t>MZAH10-2115916</t>
    <phoneticPr fontId="13"/>
  </si>
  <si>
    <t>A340372</t>
    <phoneticPr fontId="13"/>
  </si>
  <si>
    <t>WDD2383662F005129</t>
    <phoneticPr fontId="13"/>
  </si>
  <si>
    <t>A342605</t>
    <phoneticPr fontId="13"/>
  </si>
  <si>
    <t>GS4-1006686</t>
    <phoneticPr fontId="13"/>
  </si>
  <si>
    <t>A340781</t>
    <phoneticPr fontId="13"/>
  </si>
  <si>
    <t>VR7ECYHZRMJ818745</t>
    <phoneticPr fontId="13"/>
  </si>
  <si>
    <t>A342501</t>
    <phoneticPr fontId="13"/>
  </si>
  <si>
    <t>MH55S-140765</t>
    <phoneticPr fontId="13"/>
  </si>
  <si>
    <t>A341665</t>
    <phoneticPr fontId="13"/>
  </si>
  <si>
    <t>GDH201-1112833</t>
    <phoneticPr fontId="13"/>
  </si>
  <si>
    <t>ﾒﾀﾘｯｸ</t>
    <phoneticPr fontId="13"/>
  </si>
  <si>
    <t>ﾑｰｳﾞｶｽﾀﾑ　RS　SA</t>
    <phoneticPr fontId="13"/>
  </si>
  <si>
    <t>富士山　581　こ　2912</t>
    <rPh sb="0" eb="3">
      <t>フジヤマ</t>
    </rPh>
    <phoneticPr fontId="13"/>
  </si>
  <si>
    <t>ﾌﾟﾘｳｽ　S　ﾏｲｺｰﾃﾞ</t>
    <phoneticPr fontId="13"/>
  </si>
  <si>
    <t>尾張小牧　302　せ　968</t>
    <rPh sb="0" eb="4">
      <t>オバリコマキ</t>
    </rPh>
    <phoneticPr fontId="13"/>
  </si>
  <si>
    <t>9/3/22</t>
    <phoneticPr fontId="13"/>
  </si>
  <si>
    <t>浜松　59X　ち　358</t>
    <rPh sb="0" eb="2">
      <t>ハママツ</t>
    </rPh>
    <phoneticPr fontId="13"/>
  </si>
  <si>
    <t>ｱｸｱ　S</t>
    <phoneticPr fontId="13"/>
  </si>
  <si>
    <t>ﾑｰｳﾞ　XﾘﾐﾃｯﾄﾞⅡ</t>
    <phoneticPr fontId="13"/>
  </si>
  <si>
    <t>松本　581　く　4103</t>
    <rPh sb="0" eb="2">
      <t>マツモト</t>
    </rPh>
    <phoneticPr fontId="13"/>
  </si>
  <si>
    <t>ｷｬｽﾄ　ｱｸﾃｨﾊﾞG　SaⅡ</t>
    <phoneticPr fontId="13"/>
  </si>
  <si>
    <t>三河　580　め　7828</t>
    <rPh sb="0" eb="2">
      <t>ミカワ</t>
    </rPh>
    <phoneticPr fontId="13"/>
  </si>
  <si>
    <t>8/12/8</t>
    <phoneticPr fontId="13"/>
  </si>
  <si>
    <t>浜松　792　み　358</t>
    <rPh sb="0" eb="2">
      <t>ハママツ</t>
    </rPh>
    <phoneticPr fontId="13"/>
  </si>
  <si>
    <t>名古屋　480　ふ　1919</t>
    <rPh sb="0" eb="3">
      <t>ナゴヤ</t>
    </rPh>
    <phoneticPr fontId="13"/>
  </si>
  <si>
    <t>ｱﾄﾚｰﾜｺﾞﾝ　RS</t>
    <phoneticPr fontId="13"/>
  </si>
  <si>
    <t>10/3/5</t>
    <phoneticPr fontId="13"/>
  </si>
  <si>
    <t>三重　486　め　77</t>
    <rPh sb="0" eb="2">
      <t>ミエ</t>
    </rPh>
    <phoneticPr fontId="13"/>
  </si>
  <si>
    <t>名古屋　58A　み　8477</t>
    <rPh sb="0" eb="3">
      <t>ナゴヤ</t>
    </rPh>
    <phoneticPr fontId="13"/>
  </si>
  <si>
    <t>ﾑｰｳﾞｷｬﾝﾊﾞｽ　X　SaⅢ</t>
    <phoneticPr fontId="13"/>
  </si>
  <si>
    <t>名古屋　58A　み　9230</t>
    <rPh sb="0" eb="3">
      <t>ナゴヤ</t>
    </rPh>
    <phoneticPr fontId="13"/>
  </si>
  <si>
    <t>ﾚｸｻｽ　UX250ｈFｽﾎﾟｰﾂ</t>
    <phoneticPr fontId="13"/>
  </si>
  <si>
    <t>8/11/16</t>
    <phoneticPr fontId="13"/>
  </si>
  <si>
    <t>MﾍﾞﾝﾂE400　4ﾏﾁｯｸ　ｸｰﾍﾟｽﾎﾟｰﾂ</t>
    <phoneticPr fontId="13"/>
  </si>
  <si>
    <t>8/7/11</t>
    <phoneticPr fontId="13"/>
  </si>
  <si>
    <t>ﾌｨｯﾄ　RS</t>
    <phoneticPr fontId="13"/>
  </si>
  <si>
    <t>8/12/23</t>
    <phoneticPr fontId="13"/>
  </si>
  <si>
    <t>ﾊｲｴｰｽﾊﾞﾝ　ｽｰﾊﾟｰGL　ﾀﾞｰｸﾌﾟﾗｲﾑS</t>
    <phoneticPr fontId="13"/>
  </si>
  <si>
    <t>VF1KW14B3L0818586</t>
    <phoneticPr fontId="13"/>
  </si>
  <si>
    <t>ｶﾛｰﾗﾌｨｰﾙﾀﾞｰ　ﾊｲﾌﾞﾘｯﾄﾞ　EX</t>
    <phoneticPr fontId="13"/>
  </si>
  <si>
    <t>京都　558　も　358</t>
    <rPh sb="0" eb="2">
      <t>キョウト</t>
    </rPh>
    <phoneticPr fontId="13"/>
  </si>
  <si>
    <t>ﾙｰﾐｰｶｽﾀﾑ　ｶｽﾀﾑG</t>
    <phoneticPr fontId="13"/>
  </si>
  <si>
    <t>滋賀　561　や　1188</t>
    <rPh sb="0" eb="2">
      <t>シガ</t>
    </rPh>
    <phoneticPr fontId="13"/>
  </si>
  <si>
    <t>10/4/22</t>
    <phoneticPr fontId="13"/>
  </si>
  <si>
    <t>ﾌﾟﾘｳｽ　Aﾌﾟﾚﾐｱﾑﾂｰﾘﾝｸﾞｾﾚｸｼｮﾝ</t>
    <phoneticPr fontId="13"/>
  </si>
  <si>
    <t>なにわ　332　や　709</t>
    <phoneticPr fontId="13"/>
  </si>
  <si>
    <t>なにわ　502　と　764</t>
    <phoneticPr fontId="13"/>
  </si>
  <si>
    <t>ﾊｲｴｰｽﾊﾞﾝ　DX</t>
    <phoneticPr fontId="13"/>
  </si>
  <si>
    <t>なにわ　400　め　90</t>
    <phoneticPr fontId="13"/>
  </si>
  <si>
    <t>ﾙｰﾐｰｶｽﾀﾑ　G-T</t>
    <phoneticPr fontId="13"/>
  </si>
  <si>
    <t>和歌山　549　に　55</t>
    <rPh sb="0" eb="3">
      <t>ワカヤマ</t>
    </rPh>
    <phoneticPr fontId="13"/>
  </si>
  <si>
    <t>NV100ｸﾘｯﾊﾟｰﾘｵ　ﾁｪｱｷｬﾌﾞｽﾛｰﾌﾟﾀｲﾌﾟ</t>
    <phoneticPr fontId="13"/>
  </si>
  <si>
    <t>ﾊｽﾗｰ　JｽﾀｲﾙⅡﾀｰﾎﾞ</t>
    <phoneticPr fontId="13"/>
  </si>
  <si>
    <t>大阪　581　と　4272</t>
    <rPh sb="0" eb="2">
      <t>オオサカ</t>
    </rPh>
    <phoneticPr fontId="13"/>
  </si>
  <si>
    <t>10/1/9</t>
    <phoneticPr fontId="13"/>
  </si>
  <si>
    <t>ｻｸﾗ　G</t>
    <phoneticPr fontId="13"/>
  </si>
  <si>
    <t>9/12/14</t>
    <phoneticPr fontId="13"/>
  </si>
  <si>
    <t>ｽﾃｯﾌﾟﾜｺﾞﾝ　ｽﾊﾟｰﾀﾞ　ﾎﾝﾀﾞｾﾝｼﾝｸﾞ</t>
    <phoneticPr fontId="13"/>
  </si>
  <si>
    <t>BMW523ｄ　ﾂｰﾘﾝｸﾞ　ﾗｸﾞｼﾞｭｱﾘｰ</t>
    <phoneticPr fontId="13"/>
  </si>
  <si>
    <t>ﾌｨｯﾄ　ﾊｲﾌﾞﾘｯﾄﾞ　Lﾊﾟｯｹｰｼﾞ</t>
    <phoneticPr fontId="13"/>
  </si>
  <si>
    <t>16/6</t>
    <phoneticPr fontId="13"/>
  </si>
  <si>
    <t>MﾍﾞﾝﾂCLA180　ｼｭｰﾃｨﾝｸﾞﾌﾞﾚｰｸAMGﾗｲﾝ</t>
    <phoneticPr fontId="13"/>
  </si>
  <si>
    <t>W1K1186842N176467</t>
    <phoneticPr fontId="13"/>
  </si>
  <si>
    <t>WMW12DV0902R18846</t>
    <phoneticPr fontId="13"/>
  </si>
  <si>
    <t>豊橋　301　の　5917</t>
    <rPh sb="0" eb="2">
      <t>トヨハシ</t>
    </rPh>
    <phoneticPr fontId="13"/>
  </si>
  <si>
    <t>ﾊｲｾﾞｯﾄｶｰｺﾞ　法人仕様車</t>
    <rPh sb="11" eb="16">
      <t>ホウジンシヨウシャ</t>
    </rPh>
    <phoneticPr fontId="13"/>
  </si>
  <si>
    <t>ﾌｨｯﾄ　ﾊｲﾌﾞﾘｯﾄﾞ　eHEVﾍﾞｰｼｯｸ</t>
    <phoneticPr fontId="13"/>
  </si>
  <si>
    <t>N　ONE　G　ﾛｰﾀﾞｳﾝ</t>
    <phoneticPr fontId="13"/>
  </si>
  <si>
    <t>ﾔﾘｽ　ﾊｲﾌﾞﾘｯﾄﾞX</t>
    <phoneticPr fontId="13"/>
  </si>
  <si>
    <t>27-3928</t>
    <phoneticPr fontId="13"/>
  </si>
  <si>
    <t>NKE165-8016116</t>
    <phoneticPr fontId="13"/>
  </si>
  <si>
    <t>DA17V-742729</t>
    <phoneticPr fontId="13"/>
  </si>
  <si>
    <t>LA350S-0336239</t>
    <phoneticPr fontId="13"/>
  </si>
  <si>
    <t>NSP160-0057228</t>
    <phoneticPr fontId="13"/>
  </si>
  <si>
    <t>ｶﾛｰﾗﾌｨｰﾙﾀﾞｰ　ﾊｲﾌﾞﾘｯﾄﾞ　G</t>
    <phoneticPr fontId="13"/>
  </si>
  <si>
    <t>NKE165-7251053</t>
    <phoneticPr fontId="13"/>
  </si>
  <si>
    <t>NKE165-7251471</t>
    <phoneticPr fontId="13"/>
  </si>
  <si>
    <t>LA650S-0323993</t>
    <phoneticPr fontId="13"/>
  </si>
  <si>
    <t>ZVW51-6172139</t>
    <phoneticPr fontId="13"/>
  </si>
  <si>
    <t>ｱｸｱ　Sｽﾀｲﾙﾌﾞﾗｯｸ</t>
    <phoneticPr fontId="13"/>
  </si>
  <si>
    <t>NHP10-6816502</t>
    <phoneticPr fontId="13"/>
  </si>
  <si>
    <t>LA900S-0131992</t>
    <phoneticPr fontId="13"/>
  </si>
  <si>
    <t>MﾍﾞﾝﾂA35　4ﾏﾁｯｸ</t>
    <phoneticPr fontId="13"/>
  </si>
  <si>
    <t>ｱﾙﾌｧﾛﾒｵｼﾞｭﾘｴｯﾀ　ｳﾞｪﾛｰﾁｪ1750TBI</t>
    <phoneticPr fontId="13"/>
  </si>
  <si>
    <t>ZAR94000007548626</t>
    <phoneticPr fontId="13"/>
  </si>
  <si>
    <t>京都　331　そ　468</t>
    <rPh sb="0" eb="2">
      <t>キョウト</t>
    </rPh>
    <phoneticPr fontId="13"/>
  </si>
  <si>
    <t>神戸　505　た　2404</t>
    <rPh sb="0" eb="2">
      <t>コウベ</t>
    </rPh>
    <phoneticPr fontId="13"/>
  </si>
  <si>
    <t>WMWXM520703A55542</t>
    <phoneticPr fontId="13"/>
  </si>
  <si>
    <t>8/12/3</t>
    <phoneticPr fontId="13"/>
  </si>
  <si>
    <t>奈良　335　の　8338</t>
    <rPh sb="0" eb="2">
      <t>ナラ</t>
    </rPh>
    <phoneticPr fontId="13"/>
  </si>
  <si>
    <t>10/2/14</t>
    <phoneticPr fontId="13"/>
  </si>
  <si>
    <t>所沢　586　や　31</t>
    <rPh sb="0" eb="2">
      <t>トコロザワ</t>
    </rPh>
    <phoneticPr fontId="13"/>
  </si>
  <si>
    <t>W1K770512V061739</t>
    <phoneticPr fontId="13"/>
  </si>
  <si>
    <t>奈良　480　た　3837</t>
    <rPh sb="0" eb="2">
      <t>ナラ</t>
    </rPh>
    <phoneticPr fontId="13"/>
  </si>
  <si>
    <t>澤 昌吾</t>
    <rPh sb="0" eb="1">
      <t>サワ</t>
    </rPh>
    <rPh sb="2" eb="3">
      <t>ショウ</t>
    </rPh>
    <rPh sb="3" eb="4">
      <t>ワレ</t>
    </rPh>
    <phoneticPr fontId="13"/>
  </si>
  <si>
    <t>保証書 取説 ﾅﾋﾞ取 ｽﾍﾟｱｷｰ ﾐﾆB-CAS 録音SD</t>
    <rPh sb="0" eb="3">
      <t>ホショウショ</t>
    </rPh>
    <rPh sb="4" eb="6">
      <t>トリセツ</t>
    </rPh>
    <rPh sb="10" eb="11">
      <t>トリ</t>
    </rPh>
    <rPh sb="27" eb="29">
      <t>ロクオン</t>
    </rPh>
    <phoneticPr fontId="13"/>
  </si>
  <si>
    <t>島根 581 ろ 9213</t>
    <rPh sb="0" eb="2">
      <t>シマネ</t>
    </rPh>
    <phoneticPr fontId="13"/>
  </si>
  <si>
    <t>取説 ｷｰﾚｽ(車内)保証書 SD ﾜﾝｵｰﾅｰ</t>
    <rPh sb="0" eb="2">
      <t>トリセツ</t>
    </rPh>
    <rPh sb="11" eb="14">
      <t>ホショウショ</t>
    </rPh>
    <phoneticPr fontId="13"/>
  </si>
  <si>
    <t>大塚 英明</t>
    <rPh sb="0" eb="2">
      <t>オオツカ</t>
    </rPh>
    <rPh sb="3" eb="5">
      <t>ヒデアキ</t>
    </rPh>
    <phoneticPr fontId="13"/>
  </si>
  <si>
    <t>ｽﾍﾟｱｷｰ 地図SD(車内)保証書 取説</t>
    <rPh sb="7" eb="9">
      <t>チズ</t>
    </rPh>
    <rPh sb="13" eb="14">
      <t>ナイ</t>
    </rPh>
    <rPh sb="15" eb="18">
      <t>ホショウショ</t>
    </rPh>
    <rPh sb="19" eb="21">
      <t>トリセツ</t>
    </rPh>
    <phoneticPr fontId="13"/>
  </si>
  <si>
    <t>GLAD CRE8株式会社</t>
    <rPh sb="9" eb="13">
      <t>カブシキガイシャ</t>
    </rPh>
    <phoneticPr fontId="13"/>
  </si>
  <si>
    <t>沖縄 332 に 1027</t>
    <rPh sb="0" eb="2">
      <t>オキナワ</t>
    </rPh>
    <phoneticPr fontId="13"/>
  </si>
  <si>
    <t>ﾄﾖﾀｶﾛｰﾗ名古屋株式会社</t>
    <rPh sb="7" eb="14">
      <t>ナゴヤカブシキガイシャ</t>
    </rPh>
    <phoneticPr fontId="13"/>
  </si>
  <si>
    <t>ｷｬﾝｾﾙ4/6返送</t>
    <rPh sb="8" eb="10">
      <t>ヘンソウ</t>
    </rPh>
    <phoneticPr fontId="13"/>
  </si>
  <si>
    <t>301 ね 9675</t>
    <phoneticPr fontId="13"/>
  </si>
  <si>
    <t>301 ね 9676</t>
    <phoneticPr fontId="13"/>
  </si>
  <si>
    <t>501 ゆ 5681</t>
    <phoneticPr fontId="13"/>
  </si>
  <si>
    <t>A342652</t>
    <phoneticPr fontId="13"/>
  </si>
  <si>
    <t>GDJ250-0012244</t>
    <phoneticPr fontId="13"/>
  </si>
  <si>
    <t>10/3/11</t>
    <phoneticPr fontId="13"/>
  </si>
  <si>
    <t>WMWXS720102C47563</t>
    <phoneticPr fontId="13"/>
  </si>
  <si>
    <t>春日井 310 の 2005</t>
    <rPh sb="0" eb="3">
      <t>カスガイ</t>
    </rPh>
    <phoneticPr fontId="13"/>
  </si>
  <si>
    <t>名古屋 307 さ 8217</t>
    <rPh sb="0" eb="3">
      <t>ナゴヤ</t>
    </rPh>
    <phoneticPr fontId="13"/>
  </si>
  <si>
    <t>尾張小牧 362 に 15</t>
    <rPh sb="0" eb="4">
      <t>オワリコマキ</t>
    </rPh>
    <phoneticPr fontId="13"/>
  </si>
  <si>
    <t>渥美 千恵</t>
    <rPh sb="0" eb="2">
      <t>アツミ</t>
    </rPh>
    <rPh sb="3" eb="5">
      <t>チエ</t>
    </rPh>
    <phoneticPr fontId="13"/>
  </si>
  <si>
    <t>保証書 取説 ﾅﾋﾞ取 ｷｰﾚｽ ﾘﾓｺﾝ3個 印鑑証明6/13まで</t>
    <rPh sb="0" eb="3">
      <t>ホショウショ</t>
    </rPh>
    <rPh sb="4" eb="6">
      <t>トリセツ</t>
    </rPh>
    <rPh sb="10" eb="11">
      <t>トリ</t>
    </rPh>
    <rPh sb="22" eb="23">
      <t>コ</t>
    </rPh>
    <rPh sb="24" eb="28">
      <t>インカンショウメイ</t>
    </rPh>
    <phoneticPr fontId="13"/>
  </si>
  <si>
    <t>京都 480 み 9912</t>
    <rPh sb="0" eb="2">
      <t>キョウト</t>
    </rPh>
    <phoneticPr fontId="13"/>
  </si>
  <si>
    <t>株式会社triples</t>
    <rPh sb="0" eb="4">
      <t>カブシキガイシャ</t>
    </rPh>
    <phoneticPr fontId="13"/>
  </si>
  <si>
    <t>大宮 581 も 9806</t>
    <rPh sb="0" eb="2">
      <t>オオミヤ</t>
    </rPh>
    <phoneticPr fontId="13"/>
  </si>
  <si>
    <t>ｷｰﾚｽ(車内)保証書 取説 ﾅﾝﾊﾞｰ ﾘﾓｺﾝ</t>
    <rPh sb="8" eb="11">
      <t>ホショウショ</t>
    </rPh>
    <rPh sb="12" eb="14">
      <t>トリセツ</t>
    </rPh>
    <phoneticPr fontId="13"/>
  </si>
  <si>
    <t>姫路 301 ね 8420</t>
    <rPh sb="0" eb="2">
      <t>ヒメジ</t>
    </rPh>
    <phoneticPr fontId="13"/>
  </si>
  <si>
    <t>保証書 取説 ｷｰﾚｽ ﾏｲｸﾛ地図SD ﾐﾆB-CASｶｰﾄﾞ ﾜﾝｵｰﾅｰ</t>
    <rPh sb="0" eb="3">
      <t>ホショウショ</t>
    </rPh>
    <rPh sb="4" eb="6">
      <t>トリセツ</t>
    </rPh>
    <rPh sb="16" eb="18">
      <t>チズ</t>
    </rPh>
    <phoneticPr fontId="13"/>
  </si>
  <si>
    <t>480 ね 5351</t>
    <phoneticPr fontId="13"/>
  </si>
  <si>
    <t>582 う 6523</t>
    <phoneticPr fontId="13"/>
  </si>
  <si>
    <t>480 ね 5352</t>
    <phoneticPr fontId="13"/>
  </si>
  <si>
    <t>582 う 6522</t>
    <phoneticPr fontId="13"/>
  </si>
  <si>
    <t>582 う 6521</t>
    <phoneticPr fontId="13"/>
  </si>
  <si>
    <t>582 う 6524</t>
    <phoneticPr fontId="13"/>
  </si>
  <si>
    <t>地図SD(車内)保証書 取説 ｷｰﾚｽ2個</t>
    <rPh sb="0" eb="2">
      <t>チズ</t>
    </rPh>
    <rPh sb="8" eb="11">
      <t>ホショウショ</t>
    </rPh>
    <rPh sb="12" eb="14">
      <t>トリセツ</t>
    </rPh>
    <rPh sb="20" eb="21">
      <t>コ</t>
    </rPh>
    <phoneticPr fontId="13"/>
  </si>
  <si>
    <t>USS神戸売 保証書印なしそのまま送る</t>
    <rPh sb="3" eb="5">
      <t>コウベ</t>
    </rPh>
    <rPh sb="5" eb="6">
      <t>バイ</t>
    </rPh>
    <rPh sb="7" eb="10">
      <t>ホショウショ</t>
    </rPh>
    <rPh sb="10" eb="11">
      <t>イン</t>
    </rPh>
    <rPh sb="17" eb="18">
      <t>オク</t>
    </rPh>
    <phoneticPr fontId="13"/>
  </si>
  <si>
    <t>石川 300 む 8464</t>
    <rPh sb="0" eb="2">
      <t>イシカワ</t>
    </rPh>
    <phoneticPr fontId="13"/>
  </si>
  <si>
    <t>木下 義隆</t>
    <rPh sb="0" eb="2">
      <t>キノシタ</t>
    </rPh>
    <rPh sb="3" eb="5">
      <t>ヨシタカ</t>
    </rPh>
    <phoneticPr fontId="13"/>
  </si>
  <si>
    <t>A343533</t>
    <phoneticPr fontId="13"/>
  </si>
  <si>
    <t>ﾌﾟﾘｳｽa S ﾁｭｰﾝﾌﾞﾗｯｸ2</t>
    <phoneticPr fontId="13"/>
  </si>
  <si>
    <t>ZVW41-0055050</t>
    <phoneticPr fontId="13"/>
  </si>
  <si>
    <t>取説 ｽﾍﾟｱｷｰ(車内)保証書</t>
    <rPh sb="0" eb="2">
      <t>トリセツ</t>
    </rPh>
    <rPh sb="9" eb="11">
      <t>シャナイ</t>
    </rPh>
    <rPh sb="11" eb="12">
      <t>）</t>
    </rPh>
    <rPh sb="12" eb="15">
      <t>ホショウショ</t>
    </rPh>
    <phoneticPr fontId="13"/>
  </si>
  <si>
    <t xml:space="preserve">取説(車内) 保証書 </t>
    <rPh sb="0" eb="2">
      <t>トリセツ</t>
    </rPh>
    <rPh sb="3" eb="5">
      <t>シャナイ</t>
    </rPh>
    <rPh sb="7" eb="10">
      <t>ホショウショ</t>
    </rPh>
    <phoneticPr fontId="13"/>
  </si>
  <si>
    <t>福山 483 い 6861</t>
    <rPh sb="0" eb="2">
      <t>フクヤマ</t>
    </rPh>
    <phoneticPr fontId="13"/>
  </si>
  <si>
    <t>愛媛 330 ち 3248</t>
    <rPh sb="0" eb="2">
      <t>エヒメ</t>
    </rPh>
    <phoneticPr fontId="13"/>
  </si>
  <si>
    <t>高橋 福太郎</t>
    <rPh sb="0" eb="2">
      <t>タカハシ</t>
    </rPh>
    <rPh sb="3" eb="6">
      <t>フクタロウ</t>
    </rPh>
    <phoneticPr fontId="13"/>
  </si>
  <si>
    <t>広島 499 そ 1038</t>
    <rPh sb="0" eb="2">
      <t>ヒロシマ</t>
    </rPh>
    <phoneticPr fontId="13"/>
  </si>
  <si>
    <t>岡山 399 な 6005</t>
    <rPh sb="0" eb="2">
      <t>オカヤマ</t>
    </rPh>
    <phoneticPr fontId="13"/>
  </si>
  <si>
    <t>品番；CN-RZ846</t>
    <rPh sb="0" eb="2">
      <t>ヒンバン</t>
    </rPh>
    <phoneticPr fontId="13"/>
  </si>
  <si>
    <t>飛鳥 510 ぬ 500</t>
    <rPh sb="0" eb="2">
      <t>アスカ</t>
    </rPh>
    <phoneticPr fontId="13"/>
  </si>
  <si>
    <t>USS神戸(ﾜﾝﾌﾟﾗ)</t>
    <rPh sb="3" eb="5">
      <t>コウベ</t>
    </rPh>
    <phoneticPr fontId="13"/>
  </si>
  <si>
    <t>沖縄 581 さ 5021</t>
    <rPh sb="0" eb="2">
      <t>オキナワ</t>
    </rPh>
    <phoneticPr fontId="13"/>
  </si>
  <si>
    <t>有限会社与那原自動車整備ｾﾝﾀｰ</t>
    <rPh sb="0" eb="4">
      <t>ユウゲンカイシャ</t>
    </rPh>
    <rPh sb="4" eb="7">
      <t>ヨナバル</t>
    </rPh>
    <rPh sb="7" eb="10">
      <t>ジドウシャ</t>
    </rPh>
    <rPh sb="10" eb="12">
      <t>セイビ</t>
    </rPh>
    <phoneticPr fontId="13"/>
  </si>
  <si>
    <t>株式会社ｲﾁﾈﾝCARS NET AUCTIONS</t>
    <phoneticPr fontId="13"/>
  </si>
  <si>
    <t>三浦 元晴</t>
    <rPh sb="0" eb="2">
      <t>ミウラ</t>
    </rPh>
    <rPh sb="3" eb="5">
      <t>モトハル</t>
    </rPh>
    <phoneticPr fontId="13"/>
  </si>
  <si>
    <t>　青木 建夫</t>
    <rPh sb="1" eb="3">
      <t>アオキ</t>
    </rPh>
    <rPh sb="4" eb="5">
      <t>ケン</t>
    </rPh>
    <rPh sb="5" eb="6">
      <t>オット</t>
    </rPh>
    <phoneticPr fontId="13"/>
  </si>
  <si>
    <t>橋本 秋子</t>
    <rPh sb="0" eb="2">
      <t>ハシモト</t>
    </rPh>
    <rPh sb="3" eb="5">
      <t>アキコ</t>
    </rPh>
    <phoneticPr fontId="13"/>
  </si>
  <si>
    <t>名古屋 499 む 5767</t>
    <rPh sb="0" eb="3">
      <t>ナゴヤ</t>
    </rPh>
    <phoneticPr fontId="13"/>
  </si>
  <si>
    <t>愛媛 581 く 1204</t>
    <rPh sb="0" eb="2">
      <t>エヒメ</t>
    </rPh>
    <phoneticPr fontId="13"/>
  </si>
  <si>
    <t>高田 健弘</t>
    <rPh sb="0" eb="2">
      <t>タカダ</t>
    </rPh>
    <rPh sb="3" eb="4">
      <t>ケン</t>
    </rPh>
    <rPh sb="4" eb="5">
      <t>ヒロ</t>
    </rPh>
    <phoneticPr fontId="13"/>
  </si>
  <si>
    <t xml:space="preserve">保証書 取説 ｷｰﾚｽ ﾅﾋﾞ取 </t>
    <rPh sb="0" eb="3">
      <t>ホショウショ</t>
    </rPh>
    <rPh sb="4" eb="6">
      <t>トリセツ</t>
    </rPh>
    <rPh sb="15" eb="16">
      <t>トリ</t>
    </rPh>
    <phoneticPr fontId="13"/>
  </si>
  <si>
    <t>姫路 499 そ 8556</t>
    <rPh sb="0" eb="2">
      <t>ヒメジ</t>
    </rPh>
    <phoneticPr fontId="13"/>
  </si>
  <si>
    <t>ｾﾝﾅﾘﾌｰｽﾞ株式会社</t>
    <rPh sb="8" eb="12">
      <t>カブシキガイシャ</t>
    </rPh>
    <phoneticPr fontId="13"/>
  </si>
  <si>
    <t>なにわ 59C つ 9633</t>
    <phoneticPr fontId="13"/>
  </si>
  <si>
    <t>神戸 531 む 7810</t>
    <rPh sb="0" eb="2">
      <t>コウベ</t>
    </rPh>
    <phoneticPr fontId="13"/>
  </si>
  <si>
    <t>なにわ 59C つ 7563</t>
    <phoneticPr fontId="13"/>
  </si>
  <si>
    <t>名古屋 326 も 1379</t>
    <rPh sb="0" eb="3">
      <t>ナゴヤ</t>
    </rPh>
    <phoneticPr fontId="13"/>
  </si>
  <si>
    <t>名古屋 345 は 816</t>
    <rPh sb="0" eb="3">
      <t>ナゴヤ</t>
    </rPh>
    <phoneticPr fontId="13"/>
  </si>
  <si>
    <t>名古屋 340 ふ 301</t>
    <rPh sb="0" eb="3">
      <t>ナゴヤ</t>
    </rPh>
    <phoneticPr fontId="13"/>
  </si>
  <si>
    <t>名古屋 778 つ 1228</t>
    <phoneticPr fontId="13"/>
  </si>
  <si>
    <t>若山 泰伸</t>
    <rPh sb="0" eb="2">
      <t>ワカヤマ</t>
    </rPh>
    <rPh sb="3" eb="4">
      <t>ヤスシ</t>
    </rPh>
    <rPh sb="4" eb="5">
      <t>シン</t>
    </rPh>
    <phoneticPr fontId="13"/>
  </si>
  <si>
    <t>ｷｰﾚｽ ｽﾀｰﾄﾎﾞﾀﾝ(車内)保証書 取説</t>
    <rPh sb="17" eb="20">
      <t>ホショウショ</t>
    </rPh>
    <rPh sb="21" eb="23">
      <t>トリセツ</t>
    </rPh>
    <phoneticPr fontId="13"/>
  </si>
  <si>
    <t>沼津 399 ち 6927</t>
    <rPh sb="0" eb="2">
      <t>ヌマヅ</t>
    </rPh>
    <phoneticPr fontId="13"/>
  </si>
  <si>
    <t>名変4月 LAAへﾍﾟﾅ32800</t>
    <rPh sb="0" eb="2">
      <t>メイヘン</t>
    </rPh>
    <rPh sb="3" eb="4">
      <t>ガツ</t>
    </rPh>
    <phoneticPr fontId="13"/>
  </si>
  <si>
    <t>301 ね 9754</t>
    <phoneticPr fontId="13"/>
  </si>
  <si>
    <t>301 ね 9755</t>
    <phoneticPr fontId="13"/>
  </si>
  <si>
    <t>582 う 6634</t>
    <phoneticPr fontId="13"/>
  </si>
  <si>
    <t>480 ね 5387</t>
    <phoneticPr fontId="13"/>
  </si>
  <si>
    <t>582 う 6635</t>
    <phoneticPr fontId="13"/>
  </si>
  <si>
    <t>27-3942</t>
  </si>
  <si>
    <t>27-3943</t>
  </si>
  <si>
    <t>27-3944</t>
  </si>
  <si>
    <t>27-3945</t>
  </si>
  <si>
    <t>27-3946</t>
  </si>
  <si>
    <t>27-3947</t>
  </si>
  <si>
    <t>27-3948</t>
  </si>
  <si>
    <t>27-3949</t>
  </si>
  <si>
    <t>27-3950</t>
  </si>
  <si>
    <t>27-3951</t>
  </si>
  <si>
    <t>27-3952</t>
  </si>
  <si>
    <t>27-3953</t>
  </si>
  <si>
    <t>27-3954</t>
  </si>
  <si>
    <t>27-3955</t>
  </si>
  <si>
    <t>27-3956</t>
  </si>
  <si>
    <t>VR7ECYHZRMJ810922</t>
    <phoneticPr fontId="13"/>
  </si>
  <si>
    <t>ｼﾞｬｶﾞｰ　XJｼﾘｰｽﾞ</t>
    <phoneticPr fontId="13"/>
  </si>
  <si>
    <t>SAJKC72N24RG20999</t>
    <phoneticPr fontId="13"/>
  </si>
  <si>
    <t>WAUZZZ4M4GD040953</t>
    <phoneticPr fontId="13"/>
  </si>
  <si>
    <t>WMWLR920102E71888</t>
    <phoneticPr fontId="13"/>
  </si>
  <si>
    <t>WDD2462422J505639</t>
    <phoneticPr fontId="13"/>
  </si>
  <si>
    <t>WDC2533052F205806</t>
    <phoneticPr fontId="13"/>
  </si>
  <si>
    <t>WMWXT320102J07449</t>
    <phoneticPr fontId="13"/>
  </si>
  <si>
    <t>ZVW51-6031630</t>
    <phoneticPr fontId="13"/>
  </si>
  <si>
    <t>ﾀﾝﾄｶｽﾀﾑ　RS　SaⅢ</t>
    <phoneticPr fontId="13"/>
  </si>
  <si>
    <t>LA600S-0705538</t>
    <phoneticPr fontId="13"/>
  </si>
  <si>
    <t>MR41S-131087</t>
    <phoneticPr fontId="13"/>
  </si>
  <si>
    <t>MH55S-135320</t>
    <phoneticPr fontId="13"/>
  </si>
  <si>
    <t>BMW　X6　Xﾄﾞﾗｲﾌﾞ　35I　Mｽﾎﾟｰﾂ</t>
    <phoneticPr fontId="13"/>
  </si>
  <si>
    <t>MK53S-951504</t>
    <phoneticPr fontId="13"/>
  </si>
  <si>
    <t>ﾑｰｳﾞｷｬﾝﾊﾞｽ　ｾｵﾘｰG</t>
    <phoneticPr fontId="13"/>
  </si>
  <si>
    <t>LA850S-1024981</t>
    <phoneticPr fontId="13"/>
  </si>
  <si>
    <t>JF1-2523756</t>
    <phoneticPr fontId="13"/>
  </si>
  <si>
    <t>DA17V-510120</t>
    <phoneticPr fontId="13"/>
  </si>
  <si>
    <t>LA350S-0249991</t>
    <phoneticPr fontId="13"/>
  </si>
  <si>
    <t>27-3957</t>
  </si>
  <si>
    <t>27-3958</t>
  </si>
  <si>
    <t>27-3959</t>
  </si>
  <si>
    <t>27-3960</t>
  </si>
  <si>
    <t>27-3961</t>
  </si>
  <si>
    <t>27-3962</t>
  </si>
  <si>
    <t>27-3963</t>
  </si>
  <si>
    <t>27-3964</t>
  </si>
  <si>
    <t>27-3965</t>
  </si>
  <si>
    <t>27-3966</t>
  </si>
  <si>
    <t>27-3967</t>
  </si>
  <si>
    <t>27-3968</t>
  </si>
  <si>
    <t>27-3969</t>
  </si>
  <si>
    <t>27-3970</t>
  </si>
  <si>
    <t>27-3971</t>
  </si>
  <si>
    <t>27-3972</t>
  </si>
  <si>
    <t>27-3973</t>
  </si>
  <si>
    <t>27-3974</t>
  </si>
  <si>
    <t>27-3975</t>
  </si>
  <si>
    <t>ﾊｽﾗー　JｽﾀｲﾙⅡ</t>
    <phoneticPr fontId="13"/>
  </si>
  <si>
    <t>MR41S-207485</t>
    <phoneticPr fontId="13"/>
  </si>
  <si>
    <t>JF5-1114460</t>
    <phoneticPr fontId="13"/>
  </si>
  <si>
    <t>JF5-1114457</t>
    <phoneticPr fontId="13"/>
  </si>
  <si>
    <t>JF5-1114461</t>
    <phoneticPr fontId="13"/>
  </si>
  <si>
    <t>ZVW50-6126306</t>
    <phoneticPr fontId="13"/>
  </si>
  <si>
    <t>DA17W-305985</t>
    <phoneticPr fontId="13"/>
  </si>
  <si>
    <t>LA650S-0126845</t>
    <phoneticPr fontId="13"/>
  </si>
  <si>
    <t>MH34S-384400</t>
    <phoneticPr fontId="13"/>
  </si>
  <si>
    <t>LA600S-0465364</t>
    <phoneticPr fontId="13"/>
  </si>
  <si>
    <t>LA350S-0248389</t>
    <phoneticPr fontId="13"/>
  </si>
  <si>
    <t>MH35S-112559</t>
    <phoneticPr fontId="13"/>
  </si>
  <si>
    <t>A343194</t>
    <phoneticPr fontId="13"/>
  </si>
  <si>
    <t>TRJ250-0005552</t>
    <phoneticPr fontId="13"/>
  </si>
  <si>
    <t>ﾗﾝﾄﾞｸﾙｰｻﾞｰ250 　VXﾌｧｰｽﾄED</t>
    <phoneticPr fontId="13"/>
  </si>
  <si>
    <t>27-3976</t>
  </si>
  <si>
    <t>27-3977</t>
  </si>
  <si>
    <t>27-3978</t>
  </si>
  <si>
    <t>27-3979</t>
  </si>
  <si>
    <t>27-3980</t>
  </si>
  <si>
    <t>27-3981</t>
  </si>
  <si>
    <t>27-3982</t>
  </si>
  <si>
    <t>27-3983</t>
  </si>
  <si>
    <t>HA36S-603174</t>
    <phoneticPr fontId="13"/>
  </si>
  <si>
    <t>LA350S-0252308</t>
    <phoneticPr fontId="13"/>
  </si>
  <si>
    <t>52858＄</t>
    <phoneticPr fontId="13"/>
  </si>
  <si>
    <t>MH85S-118798</t>
    <phoneticPr fontId="13"/>
  </si>
  <si>
    <t>LA350S-0257287</t>
    <phoneticPr fontId="13"/>
  </si>
  <si>
    <t>LA150S-2112955</t>
    <phoneticPr fontId="13"/>
  </si>
  <si>
    <t>鳥取 300 の 3720</t>
    <rPh sb="0" eb="2">
      <t>トットリ</t>
    </rPh>
    <phoneticPr fontId="13"/>
  </si>
  <si>
    <t>ﾏｲｸﾛ地図SD(車内)保証書 取説 ﾅﾋﾞ取 ｽﾏｰﾄｷｰ ｴﾝｼﾞﾝｽﾀｰﾀｰ</t>
    <rPh sb="4" eb="6">
      <t>チズ</t>
    </rPh>
    <rPh sb="12" eb="15">
      <t>ホショウショ</t>
    </rPh>
    <rPh sb="16" eb="18">
      <t>トリセツ</t>
    </rPh>
    <rPh sb="22" eb="23">
      <t>トリ</t>
    </rPh>
    <phoneticPr fontId="13"/>
  </si>
  <si>
    <t>ﾘﾓｺﾝ(車内)保証書 取説 ｷｰﾚｽ SD ﾅﾋﾞ取</t>
    <rPh sb="8" eb="11">
      <t>ホショウショ</t>
    </rPh>
    <rPh sb="12" eb="14">
      <t>トリセツ</t>
    </rPh>
    <rPh sb="26" eb="27">
      <t>トリ</t>
    </rPh>
    <phoneticPr fontId="13"/>
  </si>
  <si>
    <t>ｼﾄﾛｴﾝ　C3 ｴﾃﾞｨｼｮﾝ2021</t>
    <phoneticPr fontId="13"/>
  </si>
  <si>
    <t>VF7SXHNPYLT636607</t>
    <phoneticPr fontId="13"/>
  </si>
  <si>
    <t>27-3984</t>
  </si>
  <si>
    <t>27-3985</t>
  </si>
  <si>
    <t>ﾌﾟﾘｳｽｱﾙﾌｧS</t>
    <phoneticPr fontId="13"/>
  </si>
  <si>
    <t>ZVW41-3384637</t>
    <phoneticPr fontId="13"/>
  </si>
  <si>
    <t>ZVW41-3378600</t>
    <phoneticPr fontId="13"/>
  </si>
  <si>
    <t>ZFA3120000J700748</t>
    <phoneticPr fontId="13"/>
  </si>
  <si>
    <t>WMWXM520002A62449</t>
    <phoneticPr fontId="13"/>
  </si>
  <si>
    <t>27-3986</t>
  </si>
  <si>
    <t>27-3987</t>
  </si>
  <si>
    <t>神戸 581 み 5199</t>
    <rPh sb="0" eb="2">
      <t>コウベ</t>
    </rPh>
    <phoneticPr fontId="13"/>
  </si>
  <si>
    <t>ﾌﾟﾛﾎﾞｯｸｽ ﾊｲﾌﾞﾘｯﾄﾞGX</t>
    <phoneticPr fontId="13"/>
  </si>
  <si>
    <t>NHP160-0093760</t>
    <phoneticPr fontId="13"/>
  </si>
  <si>
    <t>大阪 302 る 4348</t>
    <rPh sb="0" eb="2">
      <t>オオサカ</t>
    </rPh>
    <phoneticPr fontId="13"/>
  </si>
  <si>
    <r>
      <t>ﾘﾓｺﾝ(車内)保証書 取説</t>
    </r>
    <r>
      <rPr>
        <sz val="11"/>
        <color rgb="FFFF0000"/>
        <rFont val="ＭＳ Ｐゴシック"/>
        <family val="3"/>
        <charset val="128"/>
        <scheme val="minor"/>
      </rPr>
      <t xml:space="preserve"> </t>
    </r>
    <r>
      <rPr>
        <sz val="11"/>
        <color theme="3"/>
        <rFont val="ＭＳ Ｐゴシック"/>
        <family val="3"/>
        <charset val="128"/>
        <scheme val="minor"/>
      </rPr>
      <t>ｽﾍﾟｱｷｰなしクレーム済み</t>
    </r>
    <rPh sb="8" eb="11">
      <t>ホショウショ</t>
    </rPh>
    <rPh sb="12" eb="14">
      <t>トリセツ</t>
    </rPh>
    <rPh sb="27" eb="28">
      <t>ズ</t>
    </rPh>
    <phoneticPr fontId="13"/>
  </si>
  <si>
    <t>広島 302 ち 7453</t>
    <rPh sb="0" eb="2">
      <t>ヒロシマ</t>
    </rPh>
    <phoneticPr fontId="13"/>
  </si>
  <si>
    <t>多摩 592 ろ 9717</t>
    <rPh sb="0" eb="2">
      <t>タマ</t>
    </rPh>
    <phoneticPr fontId="13"/>
  </si>
  <si>
    <t>なにわ 5X1 ろ 965</t>
    <phoneticPr fontId="13"/>
  </si>
  <si>
    <t>有限会社ﾏﾂﾓﾄ自動車</t>
    <rPh sb="0" eb="4">
      <t>ユウゲンカイシャ</t>
    </rPh>
    <rPh sb="8" eb="11">
      <t>ジドウシャ</t>
    </rPh>
    <phoneticPr fontId="13"/>
  </si>
  <si>
    <t>301 ね 3077</t>
    <phoneticPr fontId="13"/>
  </si>
  <si>
    <t>301 ね 9833</t>
    <phoneticPr fontId="13"/>
  </si>
  <si>
    <t>301 ね 9832</t>
    <phoneticPr fontId="13"/>
  </si>
  <si>
    <t>501 ゆ 5766</t>
    <phoneticPr fontId="13"/>
  </si>
  <si>
    <t>301 ね 9831</t>
    <phoneticPr fontId="13"/>
  </si>
  <si>
    <t>301 ね 9830</t>
    <phoneticPr fontId="13"/>
  </si>
  <si>
    <t>301 ね 9829</t>
    <phoneticPr fontId="13"/>
  </si>
  <si>
    <t>名古屋 487 ろ 3097</t>
    <rPh sb="0" eb="3">
      <t>ナゴヤ</t>
    </rPh>
    <phoneticPr fontId="13"/>
  </si>
  <si>
    <t>株式会社中電ｵｰﾄﾘｰｽ</t>
    <rPh sb="4" eb="6">
      <t>ナカデン</t>
    </rPh>
    <phoneticPr fontId="13"/>
  </si>
  <si>
    <t>なにわ 5X0 ろ 2686</t>
    <phoneticPr fontId="13"/>
  </si>
  <si>
    <t>保証書 ﾘﾓｺﾝ</t>
    <rPh sb="0" eb="3">
      <t>ホショウショ</t>
    </rPh>
    <phoneticPr fontId="13"/>
  </si>
  <si>
    <t>品川 5X3 ろ 9962</t>
    <rPh sb="0" eb="2">
      <t>シナガワ</t>
    </rPh>
    <phoneticPr fontId="13"/>
  </si>
  <si>
    <t>広島 301 め 852</t>
    <rPh sb="0" eb="2">
      <t>ヒロシマ</t>
    </rPh>
    <phoneticPr fontId="13"/>
  </si>
  <si>
    <t>札幌 328 ま 1122</t>
    <rPh sb="0" eb="2">
      <t>サッポロ</t>
    </rPh>
    <phoneticPr fontId="13"/>
  </si>
  <si>
    <t>札幌日産自動車株式会社</t>
    <rPh sb="0" eb="2">
      <t>サッポロ</t>
    </rPh>
    <rPh sb="2" eb="7">
      <t>ニッサンジドウシャ</t>
    </rPh>
    <rPh sb="7" eb="11">
      <t>カブシキガイシャ</t>
    </rPh>
    <phoneticPr fontId="13"/>
  </si>
  <si>
    <t>ｷｬﾝｾﾙ4/9返送</t>
    <rPh sb="8" eb="10">
      <t>ヘンソウ</t>
    </rPh>
    <phoneticPr fontId="13"/>
  </si>
  <si>
    <t>582 う 6852</t>
    <phoneticPr fontId="13"/>
  </si>
  <si>
    <t>582 う 6851</t>
    <phoneticPr fontId="13"/>
  </si>
  <si>
    <t>582 う 6850</t>
    <phoneticPr fontId="13"/>
  </si>
  <si>
    <t>582 う 6848</t>
    <phoneticPr fontId="13"/>
  </si>
  <si>
    <t>WMW12DV0202S17131</t>
    <phoneticPr fontId="13"/>
  </si>
  <si>
    <t>27-3988</t>
  </si>
  <si>
    <t>27-3989</t>
  </si>
  <si>
    <t>LA350S-0334688</t>
    <phoneticPr fontId="13"/>
  </si>
  <si>
    <t>NHP160-0048932</t>
    <phoneticPr fontId="13"/>
  </si>
  <si>
    <t>BMWﾐﾆｸｰﾊﾟｰD　 ﾌﾞﾘｯｸﾚｰﾝｴﾃﾞｨｼｮﾝ</t>
    <phoneticPr fontId="13"/>
  </si>
  <si>
    <t>神戸 304 ら 5892</t>
    <rPh sb="0" eb="2">
      <t>コウベ</t>
    </rPh>
    <phoneticPr fontId="13"/>
  </si>
  <si>
    <t>神戸 582 う 2883</t>
    <rPh sb="0" eb="2">
      <t>コウベ</t>
    </rPh>
    <phoneticPr fontId="13"/>
  </si>
  <si>
    <t>神戸 587 さ 1881</t>
    <rPh sb="0" eb="2">
      <t>コウベ</t>
    </rPh>
    <phoneticPr fontId="13"/>
  </si>
  <si>
    <t>香川 幸美</t>
    <rPh sb="0" eb="2">
      <t>カガワ</t>
    </rPh>
    <rPh sb="3" eb="5">
      <t>ユキミ</t>
    </rPh>
    <phoneticPr fontId="13"/>
  </si>
  <si>
    <t>大宮 545 む 8118</t>
    <rPh sb="0" eb="2">
      <t>オオミヤ</t>
    </rPh>
    <phoneticPr fontId="13"/>
  </si>
  <si>
    <t>.安藤 良幸</t>
    <rPh sb="1" eb="3">
      <t>アンドウ</t>
    </rPh>
    <rPh sb="4" eb="6">
      <t>ヨシユキ</t>
    </rPh>
    <phoneticPr fontId="13"/>
  </si>
  <si>
    <t>記録紙1枚(書類と保管) ｷｰﾚｽ 印鑑証明6/23</t>
    <rPh sb="0" eb="3">
      <t>キロクシ</t>
    </rPh>
    <rPh sb="4" eb="5">
      <t>マイ</t>
    </rPh>
    <rPh sb="6" eb="8">
      <t>ショルイ</t>
    </rPh>
    <rPh sb="9" eb="11">
      <t>ホカン</t>
    </rPh>
    <rPh sb="18" eb="22">
      <t>インカンショウメイ</t>
    </rPh>
    <phoneticPr fontId="13"/>
  </si>
  <si>
    <t>WMWXR920002N53092</t>
    <phoneticPr fontId="13"/>
  </si>
  <si>
    <t>宮崎 331 す 2940</t>
    <rPh sb="0" eb="2">
      <t>ミヤザキ</t>
    </rPh>
    <phoneticPr fontId="13"/>
  </si>
  <si>
    <t>WMWXR32040TL82449</t>
    <phoneticPr fontId="13"/>
  </si>
  <si>
    <t>所沢 302 ち 8332</t>
    <rPh sb="0" eb="2">
      <t>トコロザワ</t>
    </rPh>
    <phoneticPr fontId="13"/>
  </si>
  <si>
    <t>WMWXM720102E24946</t>
    <phoneticPr fontId="13"/>
  </si>
  <si>
    <t>大西 孝明</t>
    <rPh sb="0" eb="2">
      <t>オオニシ</t>
    </rPh>
    <rPh sb="3" eb="5">
      <t>タカアキ</t>
    </rPh>
    <phoneticPr fontId="13"/>
  </si>
  <si>
    <t>八王子 301 な 8038</t>
    <rPh sb="0" eb="3">
      <t>ハチオウジ</t>
    </rPh>
    <phoneticPr fontId="13"/>
  </si>
  <si>
    <t>品川 39A も 6861</t>
    <rPh sb="0" eb="2">
      <t>シナガワ</t>
    </rPh>
    <phoneticPr fontId="13"/>
  </si>
  <si>
    <t>株式会社JCM</t>
    <phoneticPr fontId="13"/>
  </si>
  <si>
    <t>一宮 300 は 2308</t>
    <rPh sb="0" eb="2">
      <t>イチノミヤ</t>
    </rPh>
    <phoneticPr fontId="13"/>
  </si>
  <si>
    <t>神戸 39A た 9246</t>
    <rPh sb="0" eb="2">
      <t>コウベ</t>
    </rPh>
    <phoneticPr fontId="13"/>
  </si>
  <si>
    <t>奈良 399 て 3473</t>
    <rPh sb="0" eb="2">
      <t>ナラ</t>
    </rPh>
    <phoneticPr fontId="13"/>
  </si>
  <si>
    <t>神戸 39A た 8614</t>
    <rPh sb="0" eb="2">
      <t>コウベ</t>
    </rPh>
    <phoneticPr fontId="13"/>
  </si>
  <si>
    <t>ｼﾄﾛｴﾝ　ﾍﾞﾙﾗﾝｺﾞ ｻｰﾌｴﾃﾞｨｼｮﾝ</t>
    <phoneticPr fontId="13"/>
  </si>
  <si>
    <t>福井 330 せ 5473</t>
    <rPh sb="0" eb="2">
      <t>フクイ</t>
    </rPh>
    <phoneticPr fontId="13"/>
  </si>
  <si>
    <t>15/12</t>
    <phoneticPr fontId="13"/>
  </si>
  <si>
    <t>ｱｳﾃﾞｨQ7 3.0TFSI</t>
    <phoneticPr fontId="13"/>
  </si>
  <si>
    <t>名古屋 347 も 215</t>
    <rPh sb="0" eb="3">
      <t>ナゴヤ</t>
    </rPh>
    <phoneticPr fontId="13"/>
  </si>
  <si>
    <t>Mﾍﾞﾝﾂ Bｸﾗｽ B180</t>
    <phoneticPr fontId="13"/>
  </si>
  <si>
    <t>岐阜 346 り 1007</t>
    <rPh sb="0" eb="2">
      <t>ギフ</t>
    </rPh>
    <phoneticPr fontId="13"/>
  </si>
  <si>
    <t>MﾍﾞﾝﾂGLC 220d</t>
    <phoneticPr fontId="13"/>
  </si>
  <si>
    <t>大阪 331 つ 2077</t>
    <rPh sb="0" eb="2">
      <t>オオサカ</t>
    </rPh>
    <phoneticPr fontId="13"/>
  </si>
  <si>
    <t>WBAKU220000P56561</t>
    <phoneticPr fontId="13"/>
  </si>
  <si>
    <t>京都 480 は 5503</t>
    <rPh sb="0" eb="2">
      <t>キョウト</t>
    </rPh>
    <phoneticPr fontId="13"/>
  </si>
  <si>
    <t>高知 580 ぬ 2952</t>
    <rPh sb="0" eb="2">
      <t>コウチ</t>
    </rPh>
    <phoneticPr fontId="13"/>
  </si>
  <si>
    <t>高松 580 わ 2037</t>
    <rPh sb="0" eb="2">
      <t>タカマツ</t>
    </rPh>
    <phoneticPr fontId="13"/>
  </si>
  <si>
    <t>高松 580 わ 2040</t>
    <rPh sb="0" eb="2">
      <t>タカマツ</t>
    </rPh>
    <phoneticPr fontId="13"/>
  </si>
  <si>
    <t>高松 580 わ 2044</t>
    <rPh sb="0" eb="2">
      <t>タカマツ</t>
    </rPh>
    <phoneticPr fontId="13"/>
  </si>
  <si>
    <t>WMWXU720502M13851</t>
    <phoneticPr fontId="13"/>
  </si>
  <si>
    <t>愛媛 323 ふ 5678</t>
    <rPh sb="0" eb="2">
      <t>エヒメ</t>
    </rPh>
    <phoneticPr fontId="13"/>
  </si>
  <si>
    <t>YV1MV2920K2605801</t>
    <phoneticPr fontId="13"/>
  </si>
  <si>
    <t>久留米 321 や 111</t>
    <rPh sb="0" eb="3">
      <t>クルメ</t>
    </rPh>
    <phoneticPr fontId="13"/>
  </si>
  <si>
    <t>保証書 取説 ｷｰﾚｽ ﾏｲｸﾛ地図SD ﾜﾝｵｰﾅｰ</t>
    <rPh sb="0" eb="3">
      <t>ホショウショ</t>
    </rPh>
    <rPh sb="4" eb="6">
      <t>トリセツ</t>
    </rPh>
    <rPh sb="16" eb="18">
      <t>チズ</t>
    </rPh>
    <phoneticPr fontId="13"/>
  </si>
  <si>
    <t>保証書 ｷｰﾚｽ ﾏｲｸﾛ地図SD</t>
    <rPh sb="0" eb="3">
      <t>ホショウショ</t>
    </rPh>
    <rPh sb="13" eb="15">
      <t>チズ</t>
    </rPh>
    <phoneticPr fontId="13"/>
  </si>
  <si>
    <t>なにわ 5P4 ろ 9989</t>
    <phoneticPr fontId="13"/>
  </si>
  <si>
    <t>春日井 582 ろ 9423</t>
    <rPh sb="0" eb="3">
      <t>カスガイ</t>
    </rPh>
    <phoneticPr fontId="13"/>
  </si>
  <si>
    <t>なにわ 5X1 ろ 2521</t>
    <phoneticPr fontId="13"/>
  </si>
  <si>
    <t>伊佐地 友哉</t>
    <rPh sb="0" eb="1">
      <t>イ</t>
    </rPh>
    <rPh sb="1" eb="2">
      <t>サ</t>
    </rPh>
    <rPh sb="2" eb="3">
      <t>チ</t>
    </rPh>
    <rPh sb="4" eb="5">
      <t>トモ</t>
    </rPh>
    <rPh sb="5" eb="6">
      <t>ヤ</t>
    </rPh>
    <phoneticPr fontId="13"/>
  </si>
  <si>
    <t>なにわ 5X1 ろ 959</t>
    <phoneticPr fontId="13"/>
  </si>
  <si>
    <t>長野 580 わ 2886</t>
    <rPh sb="0" eb="2">
      <t>ナガノ</t>
    </rPh>
    <phoneticPr fontId="13"/>
  </si>
  <si>
    <t>品川 5X2 ろ 800</t>
    <rPh sb="0" eb="2">
      <t>シナガワ</t>
    </rPh>
    <phoneticPr fontId="13"/>
  </si>
  <si>
    <t>ﾏｲｸﾛ地図SD(車内)保証書</t>
    <rPh sb="4" eb="6">
      <t>チズ</t>
    </rPh>
    <rPh sb="12" eb="15">
      <t>ホショウショ</t>
    </rPh>
    <phoneticPr fontId="13"/>
  </si>
  <si>
    <t>多摩 499 て 1139</t>
    <rPh sb="0" eb="2">
      <t>タマ</t>
    </rPh>
    <phoneticPr fontId="13"/>
  </si>
  <si>
    <t>小原 正彦</t>
    <rPh sb="0" eb="2">
      <t>コハラ</t>
    </rPh>
    <rPh sb="3" eb="5">
      <t>マサヒコ</t>
    </rPh>
    <phoneticPr fontId="13"/>
  </si>
  <si>
    <t>品川 5X4 ろ 429</t>
    <rPh sb="0" eb="2">
      <t>シナガワ</t>
    </rPh>
    <phoneticPr fontId="13"/>
  </si>
  <si>
    <t>品川 49A た 989</t>
    <rPh sb="0" eb="2">
      <t>シナガワ</t>
    </rPh>
    <phoneticPr fontId="13"/>
  </si>
  <si>
    <t>姫路 581 さ 8728</t>
    <rPh sb="0" eb="2">
      <t>ヒメジ</t>
    </rPh>
    <phoneticPr fontId="13"/>
  </si>
  <si>
    <t>東原 輝佳</t>
    <rPh sb="0" eb="2">
      <t>ヒガシハラ</t>
    </rPh>
    <rPh sb="3" eb="4">
      <t>テル</t>
    </rPh>
    <rPh sb="4" eb="5">
      <t>カ</t>
    </rPh>
    <phoneticPr fontId="13"/>
  </si>
  <si>
    <t>多摩 799 ふ 4007</t>
    <rPh sb="0" eb="2">
      <t>タマ</t>
    </rPh>
    <phoneticPr fontId="13"/>
  </si>
  <si>
    <t>品川 48F ろ 6502</t>
    <rPh sb="0" eb="2">
      <t>シナガワ</t>
    </rPh>
    <phoneticPr fontId="13"/>
  </si>
  <si>
    <t>多摩 799 ふ 4093</t>
    <rPh sb="0" eb="2">
      <t>タマ</t>
    </rPh>
    <phoneticPr fontId="13"/>
  </si>
  <si>
    <t>愛媛 585 を 1019</t>
    <rPh sb="0" eb="2">
      <t>エヒメ</t>
    </rPh>
    <phoneticPr fontId="13"/>
  </si>
  <si>
    <t>十亀 博之</t>
    <rPh sb="0" eb="2">
      <t>トカメ</t>
    </rPh>
    <rPh sb="3" eb="5">
      <t>ヒロユキ</t>
    </rPh>
    <phoneticPr fontId="13"/>
  </si>
  <si>
    <t>愛媛 583 う 364</t>
    <rPh sb="0" eb="2">
      <t>エヒメ</t>
    </rPh>
    <phoneticPr fontId="13"/>
  </si>
  <si>
    <t>渡辺 裕子</t>
    <rPh sb="0" eb="2">
      <t>ワタナベ</t>
    </rPh>
    <rPh sb="3" eb="5">
      <t>ユウコ</t>
    </rPh>
    <phoneticPr fontId="13"/>
  </si>
  <si>
    <t>保証書 取説 ｷｰﾚｽ ｶｷﾞ3個</t>
    <rPh sb="0" eb="3">
      <t>ホショウショ</t>
    </rPh>
    <rPh sb="4" eb="6">
      <t>トリセツ</t>
    </rPh>
    <rPh sb="16" eb="17">
      <t>コ</t>
    </rPh>
    <phoneticPr fontId="13"/>
  </si>
  <si>
    <t>山口 581 め 3911</t>
    <rPh sb="0" eb="2">
      <t>ヤマグチ</t>
    </rPh>
    <phoneticPr fontId="13"/>
  </si>
  <si>
    <t>京都 345 せ 8739</t>
    <rPh sb="0" eb="2">
      <t>キョウト</t>
    </rPh>
    <phoneticPr fontId="13"/>
  </si>
  <si>
    <t>なにわ 39A ゆ 4604</t>
    <phoneticPr fontId="13"/>
  </si>
  <si>
    <t>品川 5X3 ろ 2655</t>
    <rPh sb="0" eb="2">
      <t>シナガワ</t>
    </rPh>
    <phoneticPr fontId="13"/>
  </si>
  <si>
    <t>多摩 799 ふ 3864</t>
    <rPh sb="0" eb="2">
      <t>タマ</t>
    </rPh>
    <phoneticPr fontId="13"/>
  </si>
  <si>
    <t>川島 将</t>
    <rPh sb="0" eb="2">
      <t>カワシマ</t>
    </rPh>
    <rPh sb="3" eb="4">
      <t>マサル</t>
    </rPh>
    <phoneticPr fontId="13"/>
  </si>
  <si>
    <t>多摩 799 ふ 3920</t>
    <rPh sb="0" eb="2">
      <t>タマ</t>
    </rPh>
    <phoneticPr fontId="13"/>
  </si>
  <si>
    <t>多摩 799 ふ 4094</t>
    <rPh sb="0" eb="2">
      <t>タマ</t>
    </rPh>
    <phoneticPr fontId="13"/>
  </si>
  <si>
    <t>多摩 799 ふ 3868</t>
    <rPh sb="0" eb="2">
      <t>タマ</t>
    </rPh>
    <phoneticPr fontId="13"/>
  </si>
  <si>
    <t>多摩 799 ふ 3867</t>
    <rPh sb="0" eb="2">
      <t>タマ</t>
    </rPh>
    <phoneticPr fontId="13"/>
  </si>
  <si>
    <t>多摩 799 ふ 4091</t>
    <rPh sb="0" eb="2">
      <t>タマ</t>
    </rPh>
    <phoneticPr fontId="13"/>
  </si>
  <si>
    <t>神戸 587 よ 44</t>
    <rPh sb="0" eb="2">
      <t>コウベ</t>
    </rPh>
    <phoneticPr fontId="13"/>
  </si>
  <si>
    <t>岡山 399 な 6229</t>
    <rPh sb="0" eb="2">
      <t>オカヤマ</t>
    </rPh>
    <phoneticPr fontId="13"/>
  </si>
  <si>
    <t>瀬戸川 雄太</t>
    <rPh sb="0" eb="3">
      <t>セトガワ</t>
    </rPh>
    <rPh sb="4" eb="6">
      <t>ユウタ</t>
    </rPh>
    <phoneticPr fontId="13"/>
  </si>
  <si>
    <t>倉敷 500 は 2314</t>
    <rPh sb="0" eb="2">
      <t>クラシキ</t>
    </rPh>
    <phoneticPr fontId="13"/>
  </si>
  <si>
    <t>株式会社ﾓﾄﾔﾓﾋﾞﾘﾃｨｰｽﾞ</t>
    <rPh sb="0" eb="4">
      <t>カブシキガイシャ</t>
    </rPh>
    <phoneticPr fontId="13"/>
  </si>
  <si>
    <t>豊田 583 ま 116</t>
    <rPh sb="0" eb="2">
      <t>トヨタ</t>
    </rPh>
    <phoneticPr fontId="13"/>
  </si>
  <si>
    <t>福山 581 け 5919</t>
    <rPh sb="0" eb="2">
      <t>フクヤマ</t>
    </rPh>
    <phoneticPr fontId="13"/>
  </si>
  <si>
    <t>岡山 59P さ 55</t>
    <rPh sb="0" eb="2">
      <t>オカヤマ</t>
    </rPh>
    <phoneticPr fontId="13"/>
  </si>
  <si>
    <t>岡山 582 あ 6297</t>
    <rPh sb="0" eb="2">
      <t>オカヤマ</t>
    </rPh>
    <phoneticPr fontId="13"/>
  </si>
  <si>
    <t>広島 581 け 299</t>
    <rPh sb="0" eb="2">
      <t>ヒロシマ</t>
    </rPh>
    <phoneticPr fontId="13"/>
  </si>
  <si>
    <t>光永 菜月</t>
    <rPh sb="0" eb="2">
      <t>ミツナガ</t>
    </rPh>
    <rPh sb="3" eb="5">
      <t>ナツキ</t>
    </rPh>
    <phoneticPr fontId="13"/>
  </si>
  <si>
    <t>神戸 480 ま 7238</t>
    <rPh sb="0" eb="2">
      <t>コウベ</t>
    </rPh>
    <phoneticPr fontId="13"/>
  </si>
  <si>
    <t>神戸 58A き 4767</t>
    <rPh sb="0" eb="2">
      <t>コウベ</t>
    </rPh>
    <phoneticPr fontId="13"/>
  </si>
  <si>
    <t>USS神戸/1012/9070</t>
    <rPh sb="3" eb="5">
      <t>コウベ</t>
    </rPh>
    <phoneticPr fontId="13"/>
  </si>
  <si>
    <t>USS神戸/1012/9072</t>
    <rPh sb="3" eb="5">
      <t>コウベ</t>
    </rPh>
    <phoneticPr fontId="13"/>
  </si>
  <si>
    <t>USS神戸/1012/10161</t>
    <rPh sb="3" eb="5">
      <t>コウベ</t>
    </rPh>
    <phoneticPr fontId="13"/>
  </si>
  <si>
    <t>福岡 39A ち 5509</t>
    <rPh sb="0" eb="2">
      <t>フクオカ</t>
    </rPh>
    <phoneticPr fontId="13"/>
  </si>
  <si>
    <t>ｾｺｲｱ株式会社</t>
    <rPh sb="4" eb="8">
      <t>カブシキガイシャ</t>
    </rPh>
    <phoneticPr fontId="13"/>
  </si>
  <si>
    <t>4/11</t>
    <phoneticPr fontId="13"/>
  </si>
  <si>
    <t>保証書 取説</t>
    <rPh sb="0" eb="3">
      <t>ホショウショ</t>
    </rPh>
    <rPh sb="4" eb="6">
      <t>トリセツ</t>
    </rPh>
    <phoneticPr fontId="13"/>
  </si>
  <si>
    <t>大阪 303 ち 3103</t>
    <rPh sb="0" eb="2">
      <t>オオサカ</t>
    </rPh>
    <phoneticPr fontId="13"/>
  </si>
  <si>
    <t>大坂ﾄﾖﾍﾟｯﾄ株式会社</t>
    <rPh sb="0" eb="2">
      <t>オオサカ</t>
    </rPh>
    <rPh sb="8" eb="12">
      <t>カブシキガイシャ</t>
    </rPh>
    <phoneticPr fontId="13"/>
  </si>
  <si>
    <t>なにわ 5X0 ろ 9723</t>
    <phoneticPr fontId="13"/>
  </si>
  <si>
    <t>株式会社JCMｶｰﾈｸｽﾄ</t>
    <phoneticPr fontId="13"/>
  </si>
  <si>
    <t>なにわ 5X0 ろ 1349</t>
    <phoneticPr fontId="13"/>
  </si>
  <si>
    <t>株式会社はなまる</t>
    <rPh sb="0" eb="4">
      <t>カブシキガイシャ</t>
    </rPh>
    <phoneticPr fontId="13"/>
  </si>
  <si>
    <t>ｷｰﾚｽ</t>
    <phoneticPr fontId="13"/>
  </si>
  <si>
    <t>広島 597 て 23</t>
    <rPh sb="0" eb="2">
      <t>ヒロシマ</t>
    </rPh>
    <phoneticPr fontId="13"/>
  </si>
  <si>
    <t>有限会社ﾏﾙｿｳ自動車</t>
    <rPh sb="0" eb="4">
      <t>ユウゲンカイシャ</t>
    </rPh>
    <rPh sb="8" eb="11">
      <t>ジドウシャ</t>
    </rPh>
    <phoneticPr fontId="13"/>
  </si>
  <si>
    <t>島根 584 ほ 32</t>
    <rPh sb="0" eb="2">
      <t>シマネ</t>
    </rPh>
    <phoneticPr fontId="13"/>
  </si>
  <si>
    <t>島根ﾄﾖﾍﾟｯﾄ株式会社</t>
    <rPh sb="0" eb="2">
      <t>シマネ</t>
    </rPh>
    <rPh sb="8" eb="12">
      <t>カブシキガイシャ</t>
    </rPh>
    <phoneticPr fontId="13"/>
  </si>
  <si>
    <t>奈良 584 ろ 3211</t>
    <rPh sb="0" eb="2">
      <t>ナラ</t>
    </rPh>
    <phoneticPr fontId="13"/>
  </si>
  <si>
    <t>奈良ﾀﾞｲﾊﾂ株式会社</t>
    <rPh sb="0" eb="2">
      <t>ナラ</t>
    </rPh>
    <rPh sb="7" eb="11">
      <t>カブシキガイシャ</t>
    </rPh>
    <phoneticPr fontId="13"/>
  </si>
  <si>
    <t>保証書 取説 ﾅﾋﾞ取 ｷｰﾚｽ</t>
    <rPh sb="0" eb="3">
      <t>ホショウショ</t>
    </rPh>
    <rPh sb="4" eb="6">
      <t>トリセツ</t>
    </rPh>
    <rPh sb="10" eb="11">
      <t>トリ</t>
    </rPh>
    <phoneticPr fontId="13"/>
  </si>
  <si>
    <t>なにわ 5X0 ろ 9116</t>
    <phoneticPr fontId="13"/>
  </si>
  <si>
    <t>広島 581 た 3194</t>
    <rPh sb="0" eb="2">
      <t>ヒロシマ</t>
    </rPh>
    <phoneticPr fontId="13"/>
  </si>
  <si>
    <t>株式会社ｻｺﾀﾞ車輌</t>
    <rPh sb="0" eb="4">
      <t>カブシキガイシャ</t>
    </rPh>
    <rPh sb="8" eb="10">
      <t>シャリョウ</t>
    </rPh>
    <phoneticPr fontId="13"/>
  </si>
  <si>
    <t>広島 587 ろ 641</t>
    <rPh sb="0" eb="2">
      <t>ヒロシマ</t>
    </rPh>
    <phoneticPr fontId="13"/>
  </si>
  <si>
    <t>ﾀﾞｲﾊﾂ広島販売株式会社</t>
    <rPh sb="5" eb="13">
      <t>ヒロシマハンバイカブシキガイシャ</t>
    </rPh>
    <phoneticPr fontId="13"/>
  </si>
  <si>
    <t>なにわ 5X0 ろ 1240</t>
    <phoneticPr fontId="13"/>
  </si>
  <si>
    <t>株式会社ｲﾁﾈﾝ</t>
    <rPh sb="0" eb="4">
      <t>カブシキガイシャ</t>
    </rPh>
    <phoneticPr fontId="13"/>
  </si>
  <si>
    <t>広島 581 く 7846</t>
    <rPh sb="0" eb="2">
      <t>ヒロシマ</t>
    </rPh>
    <phoneticPr fontId="13"/>
  </si>
  <si>
    <t>ﾈｯﾂﾄﾖﾀ南国株式会社</t>
    <rPh sb="6" eb="8">
      <t>ナンゴク</t>
    </rPh>
    <rPh sb="8" eb="12">
      <t>カブシキガイシャ</t>
    </rPh>
    <phoneticPr fontId="13"/>
  </si>
  <si>
    <t>芙蓉ｵｰﾄﾘｰｽ株式会社</t>
    <rPh sb="0" eb="2">
      <t>フヨウ</t>
    </rPh>
    <rPh sb="8" eb="12">
      <t>カブシキガイシャ</t>
    </rPh>
    <phoneticPr fontId="13"/>
  </si>
  <si>
    <t>保証書 ｷｰﾚｽ ﾚﾝﾀｶｰ</t>
    <rPh sb="0" eb="3">
      <t>ホショウショ</t>
    </rPh>
    <phoneticPr fontId="13"/>
  </si>
  <si>
    <t>USS神戸(ﾜﾝｸﾘ)</t>
    <rPh sb="3" eb="5">
      <t>コウベ</t>
    </rPh>
    <phoneticPr fontId="13"/>
  </si>
  <si>
    <t>株式会社名鉄ｱｵﾄ</t>
    <rPh sb="0" eb="4">
      <t>カブシキガイシャ</t>
    </rPh>
    <rPh sb="4" eb="6">
      <t>メイテツ</t>
    </rPh>
    <phoneticPr fontId="13"/>
  </si>
  <si>
    <t>ｷｰﾚｽ ｽﾀｰﾄﾎﾞﾀﾝ(車内) 保証書 取説</t>
    <rPh sb="14" eb="16">
      <t>シャナイ</t>
    </rPh>
    <rPh sb="18" eb="21">
      <t>ホショウショ</t>
    </rPh>
    <rPh sb="22" eb="24">
      <t>トリセツ</t>
    </rPh>
    <phoneticPr fontId="13"/>
  </si>
  <si>
    <t>ｷｰﾚｽ ｽﾀｰﾄﾎﾞﾀﾝ(車内) 取説</t>
    <rPh sb="14" eb="16">
      <t>シャナイ</t>
    </rPh>
    <rPh sb="18" eb="20">
      <t>トリセツ</t>
    </rPh>
    <phoneticPr fontId="13"/>
  </si>
  <si>
    <t>岐阜 399 の 6293</t>
    <rPh sb="0" eb="2">
      <t>ギフ</t>
    </rPh>
    <phoneticPr fontId="13"/>
  </si>
  <si>
    <t>株式会社名鉄ｱｵﾄ</t>
    <rPh sb="0" eb="6">
      <t>カブシキガイシャメイテツ</t>
    </rPh>
    <phoneticPr fontId="13"/>
  </si>
  <si>
    <t>ﾕﾆﾊﾞｰｻﾙﾓｰﾀｰ株式会社</t>
    <rPh sb="11" eb="15">
      <t>カブシキガイシャ</t>
    </rPh>
    <phoneticPr fontId="13"/>
  </si>
  <si>
    <t>保証書 取説 ｷｰﾚｽ ﾜﾝｵｰﾅｰ</t>
    <rPh sb="0" eb="3">
      <t>ホショウショ</t>
    </rPh>
    <rPh sb="4" eb="6">
      <t>トリセツ</t>
    </rPh>
    <phoneticPr fontId="13"/>
  </si>
  <si>
    <t>長崎 300 ひ 5708</t>
    <rPh sb="0" eb="2">
      <t>ナガサキ</t>
    </rPh>
    <phoneticPr fontId="13"/>
  </si>
  <si>
    <t>株式会社MATSUFUJI</t>
    <rPh sb="0" eb="4">
      <t>カブシキガイシャ</t>
    </rPh>
    <phoneticPr fontId="13"/>
  </si>
  <si>
    <t>保証書 取説 ｽﾏｰﾄｷｰ</t>
    <rPh sb="0" eb="3">
      <t>ホショウショ</t>
    </rPh>
    <rPh sb="4" eb="6">
      <t>トリセツ</t>
    </rPh>
    <phoneticPr fontId="13"/>
  </si>
  <si>
    <t>広島 302 す 7658</t>
    <rPh sb="0" eb="2">
      <t>ヒロシマ</t>
    </rPh>
    <phoneticPr fontId="13"/>
  </si>
  <si>
    <t>株式会社ﾊﾞﾙｺﾑﾓｰﾀｰｽ</t>
    <rPh sb="0" eb="4">
      <t>カブシキガイシャ</t>
    </rPh>
    <phoneticPr fontId="13"/>
  </si>
  <si>
    <t>保証書 取説 ｷｰﾚｽ</t>
    <rPh sb="0" eb="3">
      <t>ホショウショ</t>
    </rPh>
    <rPh sb="4" eb="6">
      <t>トリセツ</t>
    </rPh>
    <phoneticPr fontId="13"/>
  </si>
  <si>
    <t>広島 302 に 1430</t>
    <rPh sb="0" eb="2">
      <t>ヒロシマ</t>
    </rPh>
    <phoneticPr fontId="13"/>
  </si>
  <si>
    <t>保証書 取説 ﾃﾞｨｽﾌﾟﾚｲｷｰ ﾒｶｷｰ</t>
    <rPh sb="0" eb="3">
      <t>ホショウショ</t>
    </rPh>
    <rPh sb="4" eb="6">
      <t>トリセツ</t>
    </rPh>
    <phoneticPr fontId="13"/>
  </si>
  <si>
    <t>広島 583 え 8487</t>
    <rPh sb="0" eb="2">
      <t>ヒロシマ</t>
    </rPh>
    <phoneticPr fontId="13"/>
  </si>
  <si>
    <t>X STAR株式会社</t>
    <rPh sb="6" eb="10">
      <t>カブシキガイシャ</t>
    </rPh>
    <phoneticPr fontId="13"/>
  </si>
  <si>
    <t>保証書 取説 ｷｰﾚｽ ﾅﾋﾞ取</t>
    <rPh sb="0" eb="3">
      <t>ホショウショ</t>
    </rPh>
    <rPh sb="4" eb="6">
      <t>トリセツ</t>
    </rPh>
    <rPh sb="15" eb="16">
      <t>トリ</t>
    </rPh>
    <phoneticPr fontId="13"/>
  </si>
  <si>
    <t>湘南 338 ゆ 926</t>
    <rPh sb="0" eb="2">
      <t>ショウナン</t>
    </rPh>
    <phoneticPr fontId="13"/>
  </si>
  <si>
    <t>山本 裕太</t>
    <rPh sb="0" eb="2">
      <t>ヤマモト</t>
    </rPh>
    <rPh sb="3" eb="5">
      <t>ユウタ</t>
    </rPh>
    <phoneticPr fontId="13"/>
  </si>
  <si>
    <t>保証書 取説 ｷｰﾚｽ ﾜﾝｵｰﾅｰ 印鑑証明6/29</t>
    <rPh sb="0" eb="3">
      <t>ホショウショ</t>
    </rPh>
    <rPh sb="4" eb="6">
      <t>トリセツ</t>
    </rPh>
    <rPh sb="19" eb="23">
      <t>インカンショウメイ</t>
    </rPh>
    <phoneticPr fontId="13"/>
  </si>
  <si>
    <t>岡山 583 う 1190</t>
    <rPh sb="0" eb="2">
      <t>オカヤマ</t>
    </rPh>
    <phoneticPr fontId="13"/>
  </si>
  <si>
    <t>栗原 喜美子</t>
    <rPh sb="0" eb="2">
      <t>クリハラ</t>
    </rPh>
    <rPh sb="3" eb="6">
      <t>キミコ</t>
    </rPh>
    <phoneticPr fontId="13"/>
  </si>
  <si>
    <t>保証書 取説 ｽﾍﾟｱｷｰ</t>
    <rPh sb="0" eb="3">
      <t>ホショウショ</t>
    </rPh>
    <rPh sb="4" eb="6">
      <t>トリセツ</t>
    </rPh>
    <phoneticPr fontId="13"/>
  </si>
  <si>
    <t>安達建設株式会社</t>
    <rPh sb="0" eb="2">
      <t>アダチ</t>
    </rPh>
    <rPh sb="2" eb="4">
      <t>ケンセツ</t>
    </rPh>
    <rPh sb="4" eb="8">
      <t>カブシキガイシャ</t>
    </rPh>
    <phoneticPr fontId="13"/>
  </si>
  <si>
    <t>保証書 取説 ｷｰﾚｽ(車内)</t>
    <rPh sb="0" eb="3">
      <t>ホショウショ</t>
    </rPh>
    <rPh sb="4" eb="6">
      <t>トリセツ</t>
    </rPh>
    <rPh sb="12" eb="14">
      <t>シャナイ</t>
    </rPh>
    <phoneticPr fontId="13"/>
  </si>
  <si>
    <t>地図SD(車内)保証書 取説 ﾅﾋﾞ取</t>
    <rPh sb="8" eb="11">
      <t>ホショウショ</t>
    </rPh>
    <rPh sb="12" eb="14">
      <t>トリセツ</t>
    </rPh>
    <rPh sb="18" eb="19">
      <t>トリ</t>
    </rPh>
    <phoneticPr fontId="13"/>
  </si>
  <si>
    <t>地図SD(車内)</t>
    <phoneticPr fontId="13"/>
  </si>
  <si>
    <t>地図SD(車内)取説 ｷｰﾚｽ 記録紙1枚</t>
    <rPh sb="8" eb="10">
      <t>トリセツ</t>
    </rPh>
    <rPh sb="16" eb="19">
      <t>キロクシ</t>
    </rPh>
    <rPh sb="20" eb="21">
      <t>マイ</t>
    </rPh>
    <phoneticPr fontId="13"/>
  </si>
  <si>
    <t>SD(書類と一緒に)保証書 取説 ｷｰﾚｽ(車内)</t>
    <rPh sb="3" eb="5">
      <t>ショルイ</t>
    </rPh>
    <rPh sb="6" eb="8">
      <t>イッショ</t>
    </rPh>
    <rPh sb="10" eb="13">
      <t>ホショウショ</t>
    </rPh>
    <rPh sb="14" eb="16">
      <t>トリセツ</t>
    </rPh>
    <rPh sb="22" eb="24">
      <t>シャナイ</t>
    </rPh>
    <phoneticPr fontId="13"/>
  </si>
  <si>
    <t>保証書 取説 ｽﾍﾟｱｷｰ(車内)</t>
    <rPh sb="0" eb="3">
      <t>ホショウショ</t>
    </rPh>
    <rPh sb="4" eb="6">
      <t>トリセツ</t>
    </rPh>
    <rPh sb="14" eb="16">
      <t>シャナイ</t>
    </rPh>
    <phoneticPr fontId="13"/>
  </si>
  <si>
    <t>取説 ｷｰﾚｽ(車内)</t>
    <rPh sb="0" eb="2">
      <t>トリセツ</t>
    </rPh>
    <phoneticPr fontId="13"/>
  </si>
  <si>
    <t>取説 ｽﾍﾟｱｷｰ(車内)</t>
    <rPh sb="0" eb="2">
      <t>トリセツ</t>
    </rPh>
    <phoneticPr fontId="13"/>
  </si>
  <si>
    <t>保証書 取説 地図SD(車内)</t>
    <rPh sb="0" eb="3">
      <t>ホショウショ</t>
    </rPh>
    <rPh sb="4" eb="6">
      <t>トリセツ</t>
    </rPh>
    <rPh sb="7" eb="9">
      <t>チズ</t>
    </rPh>
    <phoneticPr fontId="13"/>
  </si>
  <si>
    <t>保証書 取説(車内)</t>
    <rPh sb="0" eb="3">
      <t>ホショウショ</t>
    </rPh>
    <rPh sb="4" eb="6">
      <t>トリセツ</t>
    </rPh>
    <phoneticPr fontId="13"/>
  </si>
  <si>
    <t>27-3990</t>
  </si>
  <si>
    <t>27-3991</t>
  </si>
  <si>
    <t>27-3992</t>
  </si>
  <si>
    <t>27-3993</t>
  </si>
  <si>
    <t>27-3994</t>
  </si>
  <si>
    <t>27-3995</t>
  </si>
  <si>
    <t>27-3996</t>
  </si>
  <si>
    <t>27-3997</t>
  </si>
  <si>
    <t>27-3998</t>
  </si>
  <si>
    <t>27-3999</t>
  </si>
  <si>
    <t>27-4000</t>
  </si>
  <si>
    <t>27-4001</t>
  </si>
  <si>
    <t>27-4002</t>
  </si>
  <si>
    <t>27-4003</t>
  </si>
  <si>
    <t>27-4004</t>
  </si>
  <si>
    <t>27-4005</t>
  </si>
  <si>
    <t>27-4006</t>
  </si>
  <si>
    <t>27-4007</t>
  </si>
  <si>
    <t>27-4008</t>
  </si>
  <si>
    <t>27-4009</t>
  </si>
  <si>
    <t>27-4010</t>
  </si>
  <si>
    <t>27-4011</t>
  </si>
  <si>
    <t>27-4012</t>
  </si>
  <si>
    <t>27-4013</t>
  </si>
  <si>
    <t>27-4014</t>
  </si>
  <si>
    <t>27-4015</t>
  </si>
  <si>
    <t>27-4016</t>
  </si>
  <si>
    <t>27-4017</t>
  </si>
  <si>
    <t>27-4018</t>
  </si>
  <si>
    <t>27-4019</t>
  </si>
  <si>
    <t>27-4020</t>
  </si>
  <si>
    <t>27-4021</t>
  </si>
  <si>
    <t>27-4022</t>
  </si>
  <si>
    <t>27-4023</t>
  </si>
  <si>
    <t>27-4024</t>
  </si>
  <si>
    <t>27-4025</t>
  </si>
  <si>
    <t>27-4026</t>
  </si>
  <si>
    <t>LA250S-0038888</t>
    <phoneticPr fontId="13"/>
  </si>
  <si>
    <t>MG33S-662496</t>
    <phoneticPr fontId="13"/>
  </si>
  <si>
    <t>DS64V-900093</t>
    <phoneticPr fontId="13"/>
  </si>
  <si>
    <t>LA300S-1368586</t>
    <phoneticPr fontId="13"/>
  </si>
  <si>
    <t>H58A-0806034</t>
    <phoneticPr fontId="13"/>
  </si>
  <si>
    <t>MK33V-204748</t>
    <phoneticPr fontId="13"/>
  </si>
  <si>
    <t>MR41S-377611</t>
    <phoneticPr fontId="13"/>
  </si>
  <si>
    <t>LA150S-0173836</t>
    <phoneticPr fontId="13"/>
  </si>
  <si>
    <t>LA600S-0713544</t>
    <phoneticPr fontId="13"/>
  </si>
  <si>
    <t>DA17V-454125</t>
    <phoneticPr fontId="13"/>
  </si>
  <si>
    <t>LA800S-0226504</t>
    <phoneticPr fontId="13"/>
  </si>
  <si>
    <t>DA17V-471149</t>
    <phoneticPr fontId="13"/>
  </si>
  <si>
    <t>MK53S-346959</t>
    <phoneticPr fontId="13"/>
  </si>
  <si>
    <t>MR41S-280368</t>
    <phoneticPr fontId="13"/>
  </si>
  <si>
    <t>ﾐﾗｲﾌﾞ大阪（ｱｲｵｰｸ）</t>
    <rPh sb="5" eb="7">
      <t>オオサカ</t>
    </rPh>
    <phoneticPr fontId="13"/>
  </si>
  <si>
    <t>ZRR80-0422941</t>
    <phoneticPr fontId="13"/>
  </si>
  <si>
    <t>UCF31-0054470</t>
    <phoneticPr fontId="13"/>
  </si>
  <si>
    <t>NKE165-7191728</t>
    <phoneticPr fontId="13"/>
  </si>
  <si>
    <t>MXPH10-2036141</t>
    <phoneticPr fontId="13"/>
  </si>
  <si>
    <t>AXUH80-0082855</t>
    <phoneticPr fontId="13"/>
  </si>
  <si>
    <t>RV5-1023770</t>
    <phoneticPr fontId="13"/>
  </si>
  <si>
    <t>DKLFW-105050</t>
    <phoneticPr fontId="13"/>
  </si>
  <si>
    <t>LA800S-0153563</t>
    <phoneticPr fontId="13"/>
  </si>
  <si>
    <t>ﾊｲｾﾞｯﾄﾄﾗｯｸ</t>
    <phoneticPr fontId="13"/>
  </si>
  <si>
    <t>S500P-0069763</t>
    <phoneticPr fontId="13"/>
  </si>
  <si>
    <t>JF1-1507246</t>
    <phoneticPr fontId="13"/>
  </si>
  <si>
    <t>LA350S-0249516</t>
    <phoneticPr fontId="13"/>
  </si>
  <si>
    <t>S510P-0431210</t>
    <phoneticPr fontId="13"/>
  </si>
  <si>
    <t>LA800S-0291255</t>
    <phoneticPr fontId="13"/>
  </si>
  <si>
    <t>DA17V-576505</t>
    <phoneticPr fontId="13"/>
  </si>
  <si>
    <t>S321V-0394554</t>
    <phoneticPr fontId="13"/>
  </si>
  <si>
    <t>DA17V-611828</t>
    <phoneticPr fontId="13"/>
  </si>
  <si>
    <t>HE33S-129487</t>
    <phoneticPr fontId="13"/>
  </si>
  <si>
    <t>LA350S-0251744</t>
    <phoneticPr fontId="13"/>
  </si>
  <si>
    <t>LA350S-0251797</t>
    <phoneticPr fontId="13"/>
  </si>
  <si>
    <t>MK53S-613526</t>
    <phoneticPr fontId="13"/>
  </si>
  <si>
    <t>DA17V-884050</t>
    <phoneticPr fontId="13"/>
  </si>
  <si>
    <t>MH23S-916908</t>
    <phoneticPr fontId="13"/>
  </si>
  <si>
    <t>DA64W-381425</t>
    <phoneticPr fontId="13"/>
  </si>
  <si>
    <t>E13-225590</t>
    <phoneticPr fontId="13"/>
  </si>
  <si>
    <t>E13-225170</t>
    <phoneticPr fontId="13"/>
  </si>
  <si>
    <t>E13-224579</t>
    <phoneticPr fontId="13"/>
  </si>
  <si>
    <t>27-4027</t>
  </si>
  <si>
    <t>27-4028</t>
  </si>
  <si>
    <t>27-4029</t>
  </si>
  <si>
    <t>27-4030</t>
  </si>
  <si>
    <t>27-4031</t>
  </si>
  <si>
    <t>27-4032</t>
  </si>
  <si>
    <t>27-4033</t>
  </si>
  <si>
    <t>27-4034</t>
  </si>
  <si>
    <t>27-4035</t>
  </si>
  <si>
    <t>27-4036</t>
  </si>
  <si>
    <t>27-4037</t>
  </si>
  <si>
    <t>27-4038</t>
  </si>
  <si>
    <t>27-4039</t>
  </si>
  <si>
    <t>27-4040</t>
  </si>
  <si>
    <t>27-4041</t>
  </si>
  <si>
    <t>27-4042</t>
  </si>
  <si>
    <t>27-4043</t>
  </si>
  <si>
    <t>E13-225152</t>
    <phoneticPr fontId="13"/>
  </si>
  <si>
    <t>S510P-0428439</t>
    <phoneticPr fontId="13"/>
  </si>
  <si>
    <t>USS大阪</t>
    <rPh sb="3" eb="5">
      <t>オオサカ</t>
    </rPh>
    <phoneticPr fontId="13"/>
  </si>
  <si>
    <t>DA17W-206109</t>
    <phoneticPr fontId="13"/>
  </si>
  <si>
    <t>USS名古屋</t>
    <rPh sb="3" eb="6">
      <t>ナゴヤ</t>
    </rPh>
    <phoneticPr fontId="13"/>
  </si>
  <si>
    <t>ﾙﾉｰｶﾝｸﾞｰ　ｾﾞﾝ</t>
    <phoneticPr fontId="13"/>
  </si>
  <si>
    <t>BMWﾐﾆｸｰﾊﾟｰ　ｸﾛｽｵｰﾊﾞｰ</t>
    <phoneticPr fontId="13"/>
  </si>
  <si>
    <t>LAA岡山</t>
    <rPh sb="3" eb="5">
      <t>オカヤマ</t>
    </rPh>
    <phoneticPr fontId="13"/>
  </si>
  <si>
    <t>27-4044</t>
  </si>
  <si>
    <t>27-4045</t>
  </si>
  <si>
    <t>27-4046</t>
  </si>
  <si>
    <t>27-4047</t>
  </si>
  <si>
    <t>27-4048</t>
  </si>
  <si>
    <t>27-4049</t>
  </si>
  <si>
    <t>27-4050</t>
  </si>
  <si>
    <t>27-4051</t>
  </si>
  <si>
    <t>27-4052</t>
  </si>
  <si>
    <t>27-4053</t>
  </si>
  <si>
    <t>27-4054</t>
  </si>
  <si>
    <t>27-4055</t>
  </si>
  <si>
    <t>27-4056</t>
  </si>
  <si>
    <t>27-4057</t>
  </si>
  <si>
    <t>27-4058</t>
  </si>
  <si>
    <t>ﾌｨｯﾄ　13G　Sﾎﾝﾀﾞｾﾝｼﾝｸﾞ</t>
    <phoneticPr fontId="13"/>
  </si>
  <si>
    <t>GK3-1330160</t>
    <phoneticPr fontId="13"/>
  </si>
  <si>
    <t>ZVW50-8015452</t>
    <phoneticPr fontId="13"/>
  </si>
  <si>
    <t>ｷｬｽﾄｽﾀｲﾙ　G　SaⅡ</t>
    <phoneticPr fontId="13"/>
  </si>
  <si>
    <t>LA250S-0015239</t>
    <phoneticPr fontId="13"/>
  </si>
  <si>
    <t>ｳﾞｪﾙﾌｧｲｱ　Z　Aｴﾃﾞｨｼｮﾝ</t>
    <phoneticPr fontId="13"/>
  </si>
  <si>
    <t>AGH30-0125594</t>
    <phoneticPr fontId="13"/>
  </si>
  <si>
    <t>ｴｸｽﾄﾚｲﾙ　20XI</t>
    <phoneticPr fontId="13"/>
  </si>
  <si>
    <t>NT32-304987</t>
    <phoneticPr fontId="13"/>
  </si>
  <si>
    <t>ﾌｨｯﾄ　ｸﾛｽﾀｰ</t>
    <phoneticPr fontId="13"/>
  </si>
  <si>
    <t>GR5-1001936</t>
    <phoneticPr fontId="13"/>
  </si>
  <si>
    <t>ﾗﾝﾄﾞｸﾙｰｻﾞｰﾌﾟﾗﾄﾞ　TX</t>
    <phoneticPr fontId="13"/>
  </si>
  <si>
    <t>TRJ150-0087139</t>
    <phoneticPr fontId="13"/>
  </si>
  <si>
    <t>ｸﾗｳﾝﾏｼﾞｪｽﾀ　Fﾊﾞｰｼﾞｮﾝ</t>
    <phoneticPr fontId="13"/>
  </si>
  <si>
    <t>GWS214-6013716</t>
    <phoneticPr fontId="13"/>
  </si>
  <si>
    <t>CX-30　20S　ﾌﾟﾛｱｸﾃｨﾌﾞ</t>
    <phoneticPr fontId="13"/>
  </si>
  <si>
    <t>DMEP-116180</t>
    <phoneticPr fontId="13"/>
  </si>
  <si>
    <t>ﾊﾘｱｰﾊｲﾌﾞﾘｯﾄﾞ　ﾌﾟﾚﾐｱﾑ</t>
    <phoneticPr fontId="13"/>
  </si>
  <si>
    <t>AVU65-0033049</t>
    <phoneticPr fontId="13"/>
  </si>
  <si>
    <t>LA650S-0126878</t>
    <phoneticPr fontId="13"/>
  </si>
  <si>
    <t>NHP170-7241402</t>
    <phoneticPr fontId="13"/>
  </si>
  <si>
    <t>MK53S-863481</t>
    <phoneticPr fontId="13"/>
  </si>
  <si>
    <t>ﾃﾞｲｽﾞ　X</t>
    <phoneticPr fontId="13"/>
  </si>
  <si>
    <t>B43W-0514756</t>
    <phoneticPr fontId="13"/>
  </si>
  <si>
    <t>Sellca</t>
    <phoneticPr fontId="13"/>
  </si>
  <si>
    <t>A344599</t>
    <phoneticPr fontId="13"/>
  </si>
  <si>
    <t>BP8P-202914</t>
    <phoneticPr fontId="13"/>
  </si>
  <si>
    <t>A343557</t>
    <phoneticPr fontId="13"/>
  </si>
  <si>
    <t>LA600S-0540943</t>
    <phoneticPr fontId="13"/>
  </si>
  <si>
    <t>ZIP東京</t>
    <rPh sb="3" eb="5">
      <t>トウキョウ</t>
    </rPh>
    <phoneticPr fontId="13"/>
  </si>
  <si>
    <t>28/3</t>
    <phoneticPr fontId="13"/>
  </si>
  <si>
    <t>青</t>
    <rPh sb="0" eb="1">
      <t>アオ</t>
    </rPh>
    <phoneticPr fontId="13"/>
  </si>
  <si>
    <t>ｷｬｽﾄ　ｱｸﾃｨﾊﾞX</t>
    <phoneticPr fontId="13"/>
  </si>
  <si>
    <t>9/3/30</t>
    <phoneticPr fontId="13"/>
  </si>
  <si>
    <t>滋賀　581　く　2906</t>
    <rPh sb="0" eb="2">
      <t>シガ</t>
    </rPh>
    <phoneticPr fontId="13"/>
  </si>
  <si>
    <t>26/2</t>
    <phoneticPr fontId="13"/>
  </si>
  <si>
    <t>ﾓｺ　S</t>
    <phoneticPr fontId="13"/>
  </si>
  <si>
    <t>9/2/19</t>
    <phoneticPr fontId="13"/>
  </si>
  <si>
    <t>ﾐﾆｷｬﾌﾞV　ﾌﾞﾗﾎﾞｰﾀｰﾎﾞ</t>
    <phoneticPr fontId="13"/>
  </si>
  <si>
    <t>黒</t>
    <rPh sb="0" eb="1">
      <t>クロ</t>
    </rPh>
    <phoneticPr fontId="13"/>
  </si>
  <si>
    <t>ﾐﾗｲｰｽ　XﾘﾐﾃｯﾄﾞSA</t>
    <phoneticPr fontId="13"/>
  </si>
  <si>
    <t>9/3/9</t>
    <phoneticPr fontId="13"/>
  </si>
  <si>
    <t>浜松　582　く　2459</t>
    <rPh sb="0" eb="2">
      <t>ハママツ</t>
    </rPh>
    <phoneticPr fontId="13"/>
  </si>
  <si>
    <t>21/2</t>
    <phoneticPr fontId="13"/>
  </si>
  <si>
    <t>ﾊﾟｼﾞｪﾛﾐﾆ　VR</t>
    <phoneticPr fontId="13"/>
  </si>
  <si>
    <t>6/8</t>
    <phoneticPr fontId="13"/>
  </si>
  <si>
    <t>ｽﾍﾟｰｼｱ　XF</t>
    <phoneticPr fontId="13"/>
  </si>
  <si>
    <t>1/11</t>
    <phoneticPr fontId="13"/>
  </si>
  <si>
    <t>赤</t>
    <rPh sb="0" eb="1">
      <t>アカ</t>
    </rPh>
    <phoneticPr fontId="13"/>
  </si>
  <si>
    <t>ﾊｽﾗｰ　G</t>
    <phoneticPr fontId="13"/>
  </si>
  <si>
    <t>8/11/19</t>
    <phoneticPr fontId="13"/>
  </si>
  <si>
    <t>浜松　582　う　9484</t>
    <rPh sb="0" eb="2">
      <t>ハママツ</t>
    </rPh>
    <phoneticPr fontId="13"/>
  </si>
  <si>
    <t>31/1</t>
    <phoneticPr fontId="13"/>
  </si>
  <si>
    <t>ｲｴﾛｰ</t>
    <phoneticPr fontId="13"/>
  </si>
  <si>
    <t>ﾑｰｳﾞ　L SaⅢ</t>
    <phoneticPr fontId="13"/>
  </si>
  <si>
    <t>ﾋﾟﾝｸ</t>
    <phoneticPr fontId="13"/>
  </si>
  <si>
    <t>ﾀﾝﾄ　L　SaⅢ</t>
    <phoneticPr fontId="13"/>
  </si>
  <si>
    <t>2/1</t>
    <phoneticPr fontId="13"/>
  </si>
  <si>
    <t>白</t>
    <rPh sb="0" eb="1">
      <t>シロ</t>
    </rPh>
    <phoneticPr fontId="13"/>
  </si>
  <si>
    <t>ｴﾌﾞﾘｨV　ｼﾞｮｲﾝ</t>
    <phoneticPr fontId="13"/>
  </si>
  <si>
    <t>2/4</t>
    <phoneticPr fontId="13"/>
  </si>
  <si>
    <t>2/8</t>
    <phoneticPr fontId="13"/>
  </si>
  <si>
    <t>ﾑｰｳﾞｷｬﾝﾊﾞｽ　G　ﾌﾞﾗｯｸｲﾝﾃﾘｱLTD</t>
    <phoneticPr fontId="13"/>
  </si>
  <si>
    <t>9/8/3</t>
    <phoneticPr fontId="13"/>
  </si>
  <si>
    <t>ｴﾌﾞﾘｨV　PA</t>
    <phoneticPr fontId="13"/>
  </si>
  <si>
    <t>3/3</t>
    <phoneticPr fontId="13"/>
  </si>
  <si>
    <t>ｽﾍﾟｰｼｱ　ﾊｲﾌﾞﾘｯﾄﾞX</t>
    <phoneticPr fontId="13"/>
  </si>
  <si>
    <t>30/4</t>
    <phoneticPr fontId="13"/>
  </si>
  <si>
    <t>ﾊｽﾗー　G</t>
    <phoneticPr fontId="13"/>
  </si>
  <si>
    <t>5/1</t>
    <phoneticPr fontId="13"/>
  </si>
  <si>
    <t>ｸﾞﾚｰ</t>
    <phoneticPr fontId="13"/>
  </si>
  <si>
    <t>MAZDA3　ﾌｧｽﾄﾊﾞｯｸ　XDﾌﾟﾛｱｸﾃｨﾌﾞ</t>
    <phoneticPr fontId="13"/>
  </si>
  <si>
    <t>10/1/28</t>
    <phoneticPr fontId="13"/>
  </si>
  <si>
    <t>29/4</t>
    <phoneticPr fontId="13"/>
  </si>
  <si>
    <t>ﾀﾝﾄｶｽﾀﾑ　X　SaⅢ</t>
    <phoneticPr fontId="13"/>
  </si>
  <si>
    <t>ｳﾞｫｸｼｰ　ZSｷﾗﾒｷ</t>
    <phoneticPr fontId="13"/>
  </si>
  <si>
    <t>9/4</t>
    <phoneticPr fontId="13"/>
  </si>
  <si>
    <t>奈良　344　た　13</t>
    <rPh sb="0" eb="2">
      <t>ナラ</t>
    </rPh>
    <phoneticPr fontId="13"/>
  </si>
  <si>
    <t>15/11</t>
    <phoneticPr fontId="13"/>
  </si>
  <si>
    <t>ｾﾙｼｵ　C</t>
    <phoneticPr fontId="13"/>
  </si>
  <si>
    <t>30/8</t>
    <phoneticPr fontId="13"/>
  </si>
  <si>
    <t>ｶﾛｰﾗﾌｨｰﾙﾀﾞｰ　ﾊｲﾌﾞﾘｯﾄﾞG　ﾀﾞﾌﾞﾙﾊﾞｲﾋﾞｰ</t>
    <phoneticPr fontId="13"/>
  </si>
  <si>
    <t>2/10</t>
    <phoneticPr fontId="13"/>
  </si>
  <si>
    <t>ﾔﾘｽ　ﾊｲﾌﾞﾘｯﾄﾞX</t>
    <phoneticPr fontId="13"/>
  </si>
  <si>
    <t>5/12</t>
    <phoneticPr fontId="13"/>
  </si>
  <si>
    <t>ﾊﾘｱｰ　ﾊｲﾌﾞﾘｯﾄﾞG</t>
    <phoneticPr fontId="13"/>
  </si>
  <si>
    <t>8/12</t>
    <phoneticPr fontId="13"/>
  </si>
  <si>
    <t>なにわ　301　る　2184</t>
    <phoneticPr fontId="13"/>
  </si>
  <si>
    <t>3/10</t>
    <phoneticPr fontId="13"/>
  </si>
  <si>
    <t>ｳﾞｪｾﾞﾙ　ﾊｲﾌﾞﾘｯﾄﾞ　eHEV-Z</t>
    <phoneticPr fontId="13"/>
  </si>
  <si>
    <t>3/2</t>
    <phoneticPr fontId="13"/>
  </si>
  <si>
    <t>CX-3　15Sｱｰﾊﾞﾝﾄﾞﾚｯｻｰ</t>
    <phoneticPr fontId="13"/>
  </si>
  <si>
    <t>31/2</t>
    <phoneticPr fontId="13"/>
  </si>
  <si>
    <t>ﾑｰｳﾞｷｬﾝﾊﾞｽ　　X　SaⅢ</t>
    <phoneticPr fontId="13"/>
  </si>
  <si>
    <t>30/1</t>
    <phoneticPr fontId="13"/>
  </si>
  <si>
    <t>26/12</t>
    <phoneticPr fontId="13"/>
  </si>
  <si>
    <t>N　BOX　SSﾊﾟｯｹｰｼﾞ</t>
    <phoneticPr fontId="13"/>
  </si>
  <si>
    <t>9/12</t>
    <phoneticPr fontId="13"/>
  </si>
  <si>
    <t>名古屋　582　ひ　6825</t>
    <rPh sb="0" eb="3">
      <t>ナゴヤ</t>
    </rPh>
    <phoneticPr fontId="13"/>
  </si>
  <si>
    <t>4/2</t>
    <phoneticPr fontId="13"/>
  </si>
  <si>
    <t>ﾊｲｾﾞｯﾄﾄﾗｯｸ　ｼﾞｬﾝﾎﾞｴｸｽﾄﾗ</t>
    <phoneticPr fontId="13"/>
  </si>
  <si>
    <t>ﾑｰｳﾞｷｬﾝﾊﾞｽ　　Gﾌﾞﾗｯｸｲﾝﾃﾘｱ</t>
    <phoneticPr fontId="13"/>
  </si>
  <si>
    <t>9/2</t>
    <phoneticPr fontId="13"/>
  </si>
  <si>
    <t>神戸　582　ま　7393</t>
    <rPh sb="0" eb="2">
      <t>コウベ</t>
    </rPh>
    <phoneticPr fontId="13"/>
  </si>
  <si>
    <t>4/1</t>
    <phoneticPr fontId="13"/>
  </si>
  <si>
    <t>ｴﾌﾞﾘｨV　PAﾘﾐﾃｯﾄﾞ</t>
    <phoneticPr fontId="13"/>
  </si>
  <si>
    <t>ﾊｲｾﾞｯﾄｶｰｺﾞ　ﾃﾞﾗｯｸｽ　SaⅢ</t>
    <phoneticPr fontId="13"/>
  </si>
  <si>
    <t>堺　480　き　9712</t>
    <rPh sb="0" eb="1">
      <t>サカイ</t>
    </rPh>
    <phoneticPr fontId="13"/>
  </si>
  <si>
    <t>4/4</t>
    <phoneticPr fontId="13"/>
  </si>
  <si>
    <t>28/1</t>
    <phoneticPr fontId="13"/>
  </si>
  <si>
    <t>ｱﾙﾄﾗﾊﾟﾝ　L</t>
    <phoneticPr fontId="13"/>
  </si>
  <si>
    <t>ﾐﾗｲｰｽ　L　</t>
    <phoneticPr fontId="13"/>
  </si>
  <si>
    <t>ｵﾌﾌﾞﾙｰ</t>
    <phoneticPr fontId="13"/>
  </si>
  <si>
    <t>　ｴﾌﾞﾘｨV　ｼﾞｮｲﾝﾀｰﾎﾞ</t>
    <phoneticPr fontId="13"/>
  </si>
  <si>
    <t>ﾉｰﾄ　X</t>
    <phoneticPr fontId="13"/>
  </si>
  <si>
    <t>大阪　580　わ　7378</t>
    <rPh sb="0" eb="2">
      <t>オオサカ</t>
    </rPh>
    <phoneticPr fontId="13"/>
  </si>
  <si>
    <t>VF1KW14B3K0805638</t>
    <phoneticPr fontId="13"/>
  </si>
  <si>
    <t>三河　302　ほ　5477</t>
    <rPh sb="0" eb="2">
      <t>ミカワ</t>
    </rPh>
    <phoneticPr fontId="13"/>
  </si>
  <si>
    <t>WMWYW320003L09303</t>
    <phoneticPr fontId="13"/>
  </si>
  <si>
    <t>9/9/24</t>
    <phoneticPr fontId="13"/>
  </si>
  <si>
    <t>名古屋　339　り　841</t>
    <rPh sb="0" eb="3">
      <t>ナゴヤ</t>
    </rPh>
    <phoneticPr fontId="13"/>
  </si>
  <si>
    <t>ﾌﾞﾛﾝﾄﾞ</t>
    <phoneticPr fontId="13"/>
  </si>
  <si>
    <t>9/4/15</t>
    <phoneticPr fontId="13"/>
  </si>
  <si>
    <t>8/11/12</t>
    <phoneticPr fontId="13"/>
  </si>
  <si>
    <t>10/3/25</t>
    <phoneticPr fontId="13"/>
  </si>
  <si>
    <t>ﾀﾝﾄｶｽﾀﾑ　X　</t>
    <phoneticPr fontId="13"/>
  </si>
  <si>
    <t>ｼｴﾝﾀ　ﾊｲﾌﾞﾘｯﾄﾞ　ﾌｧﾝﾍﾞｰｽ　Gｸｴﾛ</t>
    <phoneticPr fontId="13"/>
  </si>
  <si>
    <t>10/3/20</t>
    <phoneticPr fontId="13"/>
  </si>
  <si>
    <t>NHP160-0030288</t>
    <phoneticPr fontId="13"/>
  </si>
  <si>
    <t>NHP160-0155756</t>
    <phoneticPr fontId="13"/>
  </si>
  <si>
    <t>NCP160-0157123</t>
    <phoneticPr fontId="13"/>
  </si>
  <si>
    <t>MN71S-138785</t>
    <phoneticPr fontId="13"/>
  </si>
  <si>
    <t>DK5FW-131957</t>
    <phoneticPr fontId="13"/>
  </si>
  <si>
    <t>ｶﾛｰﾗﾌｨｰﾙﾀﾞｰ　ﾊｲﾌﾞﾘｯﾄﾞG　WXB</t>
    <phoneticPr fontId="13"/>
  </si>
  <si>
    <t>NKE165-8018751</t>
    <phoneticPr fontId="13"/>
  </si>
  <si>
    <t>ｷｬﾘｨﾄﾗｯｸ　ｾｲｿｳﾀﾞﾝﾌﾟ</t>
    <phoneticPr fontId="13"/>
  </si>
  <si>
    <t>DA63T-633548</t>
    <phoneticPr fontId="13"/>
  </si>
  <si>
    <t>S500P-0115996</t>
    <phoneticPr fontId="13"/>
  </si>
  <si>
    <t>BMW320I　ﾂｰﾘﾝｸﾞMｽﾎﾟｰﾂ</t>
    <phoneticPr fontId="13"/>
  </si>
  <si>
    <t>27-4059</t>
  </si>
  <si>
    <t>27-4060</t>
  </si>
  <si>
    <t>27-4061</t>
  </si>
  <si>
    <t>27-4062</t>
  </si>
  <si>
    <t>27-4063</t>
  </si>
  <si>
    <t>27-4064</t>
  </si>
  <si>
    <t>BMWﾐﾆ　ｼﾞｮﾝｸｰﾊﾟｰﾜｰｸｽ　ｺﾝﾊﾞｰﾁﾌﾞﾙ</t>
    <phoneticPr fontId="13"/>
  </si>
  <si>
    <t>BMWX3　Xﾄﾞﾗｲﾌﾞ20DMｽﾎﾟｰﾂ</t>
    <phoneticPr fontId="13"/>
  </si>
  <si>
    <t>WMWXR92060TP21165</t>
    <phoneticPr fontId="13"/>
  </si>
  <si>
    <t>相模　331　に　2118</t>
    <rPh sb="0" eb="2">
      <t>サガミ</t>
    </rPh>
    <phoneticPr fontId="13"/>
  </si>
  <si>
    <t>京都　480　は　6534</t>
    <rPh sb="0" eb="2">
      <t>キョウト</t>
    </rPh>
    <phoneticPr fontId="13"/>
  </si>
  <si>
    <t>WBA6K320X0FK48169</t>
    <phoneticPr fontId="13"/>
  </si>
  <si>
    <t>WP1ZZZ95ZMLB05774</t>
    <phoneticPr fontId="13"/>
  </si>
  <si>
    <t>WMWWJ920303H63766</t>
    <phoneticPr fontId="13"/>
  </si>
  <si>
    <t>広島　335　そ　3298</t>
    <rPh sb="0" eb="2">
      <t>ヒロシマ</t>
    </rPh>
    <phoneticPr fontId="13"/>
  </si>
  <si>
    <t>WBA16BZ080N249938</t>
    <phoneticPr fontId="13"/>
  </si>
  <si>
    <t>WMWWJ920803C54062</t>
    <phoneticPr fontId="13"/>
  </si>
  <si>
    <t>大阪　338　ほ　82</t>
    <rPh sb="0" eb="2">
      <t>オオサカ</t>
    </rPh>
    <phoneticPr fontId="13"/>
  </si>
  <si>
    <t>保証書 取説 ﾅﾋﾞ取 ｷｰﾚｽ(車内)</t>
    <rPh sb="0" eb="3">
      <t>ホショウショ</t>
    </rPh>
    <rPh sb="4" eb="6">
      <t>トリセツ</t>
    </rPh>
    <rPh sb="10" eb="11">
      <t>トリ</t>
    </rPh>
    <rPh sb="17" eb="19">
      <t>シャナイ</t>
    </rPh>
    <phoneticPr fontId="13"/>
  </si>
  <si>
    <t>取説 ｷｰﾚｽ 地図SD(車内)保証書</t>
    <rPh sb="0" eb="2">
      <t>トリセツ</t>
    </rPh>
    <rPh sb="8" eb="10">
      <t>チズ</t>
    </rPh>
    <rPh sb="13" eb="15">
      <t>シャナイ</t>
    </rPh>
    <rPh sb="16" eb="19">
      <t>ホショウショ</t>
    </rPh>
    <phoneticPr fontId="13"/>
  </si>
  <si>
    <t>保証書 取説 ｷｰﾚｽ(車内)ﾅﾝﾊﾞｰ</t>
    <rPh sb="0" eb="3">
      <t>ホショウショ</t>
    </rPh>
    <rPh sb="4" eb="6">
      <t>トリセツ</t>
    </rPh>
    <rPh sb="12" eb="14">
      <t>シャナイ</t>
    </rPh>
    <phoneticPr fontId="13"/>
  </si>
  <si>
    <t>保証書 ﾏｲｸﾛ地図SD(車内)</t>
    <rPh sb="0" eb="3">
      <t>ホショウショ</t>
    </rPh>
    <phoneticPr fontId="13"/>
  </si>
  <si>
    <t xml:space="preserve"> 取説 ｷｰﾚｽ 地図SD(車内)保証書</t>
    <rPh sb="1" eb="3">
      <t>トリセツ</t>
    </rPh>
    <rPh sb="9" eb="11">
      <t>チズ</t>
    </rPh>
    <rPh sb="17" eb="20">
      <t>ホショウショ</t>
    </rPh>
    <phoneticPr fontId="13"/>
  </si>
  <si>
    <t>保証書 取説 ｷｰﾚｽ ﾏｲｸﾛ地図SD(車内)</t>
    <rPh sb="0" eb="3">
      <t>ホショウショ</t>
    </rPh>
    <rPh sb="4" eb="6">
      <t>トリセツ</t>
    </rPh>
    <phoneticPr fontId="13"/>
  </si>
  <si>
    <t>WMWYT920703D53314</t>
    <phoneticPr fontId="13"/>
  </si>
  <si>
    <t>4/13</t>
    <phoneticPr fontId="13"/>
  </si>
  <si>
    <t>ZFA3120000JE88092</t>
    <phoneticPr fontId="13"/>
  </si>
  <si>
    <t>京都 551 ふ 500</t>
    <rPh sb="0" eb="2">
      <t>キョウト</t>
    </rPh>
    <phoneticPr fontId="13"/>
  </si>
  <si>
    <t>神戸 304 や 5469</t>
    <rPh sb="0" eb="2">
      <t>コウベ</t>
    </rPh>
    <phoneticPr fontId="13"/>
  </si>
  <si>
    <t>平山 隆之</t>
    <rPh sb="0" eb="2">
      <t>ヒラヤマ</t>
    </rPh>
    <rPh sb="3" eb="5">
      <t>タカユキ</t>
    </rPh>
    <phoneticPr fontId="13"/>
  </si>
  <si>
    <t>神戸 505 そ 7015</t>
    <rPh sb="0" eb="2">
      <t>コウベ</t>
    </rPh>
    <phoneticPr fontId="13"/>
  </si>
  <si>
    <t>蓬萊 隆史</t>
    <rPh sb="0" eb="1">
      <t>ヨモギ</t>
    </rPh>
    <rPh sb="1" eb="2">
      <t>アカザ</t>
    </rPh>
    <rPh sb="3" eb="5">
      <t>タカシ</t>
    </rPh>
    <phoneticPr fontId="13"/>
  </si>
  <si>
    <t>保証書 取説 ｷｰﾚｽ ﾜﾝｵｰﾅｰ 印鑑証明6/26</t>
    <rPh sb="0" eb="3">
      <t>ホショウショ</t>
    </rPh>
    <rPh sb="4" eb="6">
      <t>トリセツ</t>
    </rPh>
    <rPh sb="19" eb="23">
      <t>インカンショウメイ</t>
    </rPh>
    <phoneticPr fontId="13"/>
  </si>
  <si>
    <t>正岡 博美</t>
    <rPh sb="0" eb="2">
      <t>マサオカ</t>
    </rPh>
    <rPh sb="3" eb="5">
      <t>ヒロミ</t>
    </rPh>
    <phoneticPr fontId="13"/>
  </si>
  <si>
    <t>愛媛ﾄﾖﾍﾟｯﾄ株式会社</t>
    <rPh sb="0" eb="2">
      <t>エヒメ</t>
    </rPh>
    <rPh sb="8" eb="12">
      <t>カブシキガイシャ</t>
    </rPh>
    <phoneticPr fontId="13"/>
  </si>
  <si>
    <t>福山 399 た 7544</t>
    <rPh sb="0" eb="2">
      <t>フクヤマ</t>
    </rPh>
    <phoneticPr fontId="13"/>
  </si>
  <si>
    <t>株式会社BINGO</t>
    <rPh sb="0" eb="4">
      <t>カブシキガイシャ</t>
    </rPh>
    <phoneticPr fontId="13"/>
  </si>
  <si>
    <t>保証書 取説 ﾅﾋﾞ取 ｽﾍﾟｱｷｰ ﾅﾝﾊﾞｰ SD</t>
    <rPh sb="0" eb="3">
      <t>ホショウショ</t>
    </rPh>
    <rPh sb="4" eb="6">
      <t>トリセツ</t>
    </rPh>
    <rPh sb="10" eb="11">
      <t>トリ</t>
    </rPh>
    <phoneticPr fontId="13"/>
  </si>
  <si>
    <t>中井 陽介</t>
    <rPh sb="0" eb="2">
      <t>ナカイ</t>
    </rPh>
    <rPh sb="3" eb="5">
      <t>ヨウスケ</t>
    </rPh>
    <phoneticPr fontId="13"/>
  </si>
  <si>
    <t>酒造 祐介</t>
    <rPh sb="0" eb="1">
      <t>サケ</t>
    </rPh>
    <rPh sb="1" eb="2">
      <t>ゾウ</t>
    </rPh>
    <rPh sb="3" eb="5">
      <t>ユウスケ</t>
    </rPh>
    <phoneticPr fontId="13"/>
  </si>
  <si>
    <t>地図SD(車内)ﾅﾋﾞ取 取説</t>
    <rPh sb="11" eb="12">
      <t>トリ</t>
    </rPh>
    <rPh sb="13" eb="15">
      <t>トリセツ</t>
    </rPh>
    <phoneticPr fontId="13"/>
  </si>
  <si>
    <t>大宮 581 も 9807</t>
    <rPh sb="0" eb="2">
      <t>オオミヤ</t>
    </rPh>
    <phoneticPr fontId="13"/>
  </si>
  <si>
    <t>保証書 取説 ﾅﾝﾊﾞｰ ｽﾛｰﾊﾟｰ取説 ﾘﾓｺﾝ</t>
    <rPh sb="0" eb="3">
      <t>ホショウショ</t>
    </rPh>
    <rPh sb="4" eb="6">
      <t>トリセツ</t>
    </rPh>
    <rPh sb="19" eb="21">
      <t>トリセツ</t>
    </rPh>
    <phoneticPr fontId="13"/>
  </si>
  <si>
    <t>ｵｰﾄﾓｰｼｮﾝ株式会社</t>
    <rPh sb="8" eb="12">
      <t>カブシキガイシャ</t>
    </rPh>
    <phoneticPr fontId="13"/>
  </si>
  <si>
    <t>保証書 取説 ﾏｲｸﾛ地図SD ﾅﾋﾞ取</t>
    <rPh sb="0" eb="3">
      <t>ホショウショ</t>
    </rPh>
    <rPh sb="4" eb="6">
      <t>トリセツ</t>
    </rPh>
    <rPh sb="11" eb="13">
      <t>チズ</t>
    </rPh>
    <rPh sb="19" eb="20">
      <t>トリ</t>
    </rPh>
    <phoneticPr fontId="13"/>
  </si>
  <si>
    <t>大阪 582 に 8537</t>
    <rPh sb="0" eb="2">
      <t>オオサカ</t>
    </rPh>
    <phoneticPr fontId="13"/>
  </si>
  <si>
    <t>地図SD(車内)保証書 取説 ﾅﾝﾊﾞｰ</t>
    <rPh sb="8" eb="11">
      <t>ホショウショ</t>
    </rPh>
    <rPh sb="12" eb="14">
      <t>トリセツ</t>
    </rPh>
    <phoneticPr fontId="13"/>
  </si>
  <si>
    <t>品川 5X3 ろ 1030</t>
    <rPh sb="0" eb="2">
      <t>シナガワ</t>
    </rPh>
    <phoneticPr fontId="13"/>
  </si>
  <si>
    <t>岐阜 400 わ 7224</t>
    <rPh sb="0" eb="2">
      <t>ギフ</t>
    </rPh>
    <phoneticPr fontId="13"/>
  </si>
  <si>
    <t>株式会社ﾄﾖﾀﾚﾝﾀﾘｰｽ岐阜</t>
    <rPh sb="0" eb="4">
      <t>カブシキガイシャ</t>
    </rPh>
    <rPh sb="13" eb="15">
      <t>ギフ</t>
    </rPh>
    <phoneticPr fontId="13"/>
  </si>
  <si>
    <t>保証書 取説 SD ﾅﾋﾞ取 ｽﾍﾟｱｷｰ ﾚﾝﾀｶｰ</t>
    <rPh sb="0" eb="3">
      <t>ホショウショ</t>
    </rPh>
    <rPh sb="4" eb="6">
      <t>トリセツ</t>
    </rPh>
    <rPh sb="13" eb="14">
      <t>トリ</t>
    </rPh>
    <phoneticPr fontId="13"/>
  </si>
  <si>
    <t>ﾎﾞﾙﾎﾞV40 D4 ｲﾝｽｸﾘﾌﾟｼｮﾝ</t>
    <phoneticPr fontId="13"/>
  </si>
  <si>
    <t>YV1MVA8RDH2417389</t>
    <phoneticPr fontId="13"/>
  </si>
  <si>
    <t>BMWﾐﾆ ｸﾗﾌﾞﾏﾝ ｼﾞｮﾝｸｰﾊﾟｰﾜｰｸｽ</t>
    <phoneticPr fontId="13"/>
  </si>
  <si>
    <t>WMWJZ920202L42854</t>
    <phoneticPr fontId="13"/>
  </si>
  <si>
    <t>ｱｳﾃﾞｨｰS1 TFSI クワトロ</t>
    <phoneticPr fontId="13"/>
  </si>
  <si>
    <t>WAUZZZ8X7GB002102</t>
    <phoneticPr fontId="13"/>
  </si>
  <si>
    <t>301 ね 9974</t>
    <phoneticPr fontId="13"/>
  </si>
  <si>
    <t>301 ね 9975</t>
    <phoneticPr fontId="13"/>
  </si>
  <si>
    <t>501 ゆ 5853</t>
    <phoneticPr fontId="13"/>
  </si>
  <si>
    <t>301 ね 9976</t>
    <phoneticPr fontId="13"/>
  </si>
  <si>
    <t>301 ね 9977</t>
    <phoneticPr fontId="13"/>
  </si>
  <si>
    <t>301 ね 9973</t>
    <phoneticPr fontId="13"/>
  </si>
  <si>
    <t>301 ね 9978</t>
    <phoneticPr fontId="13"/>
  </si>
  <si>
    <t>飛騨 300 ち 901</t>
    <rPh sb="0" eb="2">
      <t>ヒダ</t>
    </rPh>
    <phoneticPr fontId="13"/>
  </si>
  <si>
    <t>岡田 久</t>
    <rPh sb="0" eb="2">
      <t>オカダ</t>
    </rPh>
    <rPh sb="3" eb="4">
      <t>ヒサ</t>
    </rPh>
    <phoneticPr fontId="13"/>
  </si>
  <si>
    <t>BMW 2ｼﾘｰｽﾞ ｱｸﾃｨﾌﾞﾂｱﾗｰ 218i</t>
    <phoneticPr fontId="13"/>
  </si>
  <si>
    <t>WBA2A32060V465225</t>
    <phoneticPr fontId="13"/>
  </si>
  <si>
    <t>BMWﾐﾆﾜﾝ ｸﾛｽｵｰﾊﾞｰ</t>
    <phoneticPr fontId="13"/>
  </si>
  <si>
    <t>WMWZA320X0WN23653</t>
    <phoneticPr fontId="13"/>
  </si>
  <si>
    <t>名古屋 307 な 2985</t>
    <rPh sb="0" eb="3">
      <t>ナゴヤ</t>
    </rPh>
    <phoneticPr fontId="13"/>
  </si>
  <si>
    <t>BMWﾐﾆｸｰﾊﾟｰ　 ﾍﾟｰｽﾏﾝ</t>
    <phoneticPr fontId="13"/>
  </si>
  <si>
    <t>WMWSS12000WN74453</t>
    <phoneticPr fontId="13"/>
  </si>
  <si>
    <t>一宮 300 た 8438</t>
    <rPh sb="0" eb="2">
      <t>イチノミヤ</t>
    </rPh>
    <phoneticPr fontId="13"/>
  </si>
  <si>
    <t>ｱｳﾃﾞｨ A3 ｾﾀﾞﾝ1.4 TFSI</t>
    <phoneticPr fontId="13"/>
  </si>
  <si>
    <t>WAUZZZ8V7F1080575</t>
    <phoneticPr fontId="13"/>
  </si>
  <si>
    <t>保証書 取説 ﾅﾋﾞ取 ｷｰﾚｽ 印鑑証明6/25</t>
    <rPh sb="0" eb="3">
      <t>ホショウショ</t>
    </rPh>
    <rPh sb="4" eb="6">
      <t>トリセツ</t>
    </rPh>
    <rPh sb="10" eb="11">
      <t>トリ</t>
    </rPh>
    <rPh sb="17" eb="21">
      <t>インカンショウメイ</t>
    </rPh>
    <phoneticPr fontId="13"/>
  </si>
  <si>
    <t>A342613</t>
    <phoneticPr fontId="13"/>
  </si>
  <si>
    <t>ｱﾙﾄ ﾊｲﾌﾞﾘｯﾄﾞS</t>
    <phoneticPr fontId="13"/>
  </si>
  <si>
    <t>HA97S-117855</t>
    <phoneticPr fontId="13"/>
  </si>
  <si>
    <t>A344043</t>
    <phoneticPr fontId="13"/>
  </si>
  <si>
    <t>TRJ250-0014609</t>
    <phoneticPr fontId="13"/>
  </si>
  <si>
    <t>9/11/17</t>
    <phoneticPr fontId="13"/>
  </si>
  <si>
    <t>A343980</t>
    <phoneticPr fontId="13"/>
  </si>
  <si>
    <t>B21A-0624270</t>
    <phoneticPr fontId="13"/>
  </si>
  <si>
    <t>宮城 302 そ 9306</t>
    <rPh sb="0" eb="2">
      <t>ミヤギ</t>
    </rPh>
    <phoneticPr fontId="13"/>
  </si>
  <si>
    <t>八島 忍</t>
    <rPh sb="0" eb="2">
      <t>ヤジマ</t>
    </rPh>
    <rPh sb="3" eb="4">
      <t>シノブ</t>
    </rPh>
    <phoneticPr fontId="13"/>
  </si>
  <si>
    <t>保証書 取説 ｷｰﾚｽ ﾅﾋﾞ取 印鑑証明6/18</t>
    <rPh sb="0" eb="3">
      <t>ホショウショ</t>
    </rPh>
    <rPh sb="4" eb="6">
      <t>トリセツ</t>
    </rPh>
    <rPh sb="15" eb="16">
      <t>トリ</t>
    </rPh>
    <rPh sb="17" eb="21">
      <t>インカンショウメイ</t>
    </rPh>
    <phoneticPr fontId="13"/>
  </si>
  <si>
    <t>9/2/7</t>
    <phoneticPr fontId="13"/>
  </si>
  <si>
    <t>大宮 482 ま 888</t>
    <rPh sb="0" eb="2">
      <t>オオミヤ</t>
    </rPh>
    <phoneticPr fontId="13"/>
  </si>
  <si>
    <t>株式会社華穂</t>
    <rPh sb="0" eb="4">
      <t>カブシキガイシャ</t>
    </rPh>
    <rPh sb="4" eb="6">
      <t>カホ</t>
    </rPh>
    <phoneticPr fontId="13"/>
  </si>
  <si>
    <t>582 う 7081</t>
    <phoneticPr fontId="13"/>
  </si>
  <si>
    <t>582 う 7077</t>
    <phoneticPr fontId="13"/>
  </si>
  <si>
    <t>582 う 7082</t>
    <phoneticPr fontId="13"/>
  </si>
  <si>
    <t>582 う 7080</t>
    <phoneticPr fontId="13"/>
  </si>
  <si>
    <t>27-4065</t>
  </si>
  <si>
    <t>27-4066</t>
  </si>
  <si>
    <t>27-4067</t>
  </si>
  <si>
    <t>27-4068</t>
  </si>
  <si>
    <t>27-4069</t>
  </si>
  <si>
    <t>27-4070</t>
  </si>
  <si>
    <t>27-4071</t>
  </si>
  <si>
    <t>27-4072</t>
  </si>
  <si>
    <t>A344456</t>
    <phoneticPr fontId="13"/>
  </si>
  <si>
    <t>GDJ250-0007605</t>
    <phoneticPr fontId="13"/>
  </si>
  <si>
    <t>27-4073</t>
  </si>
  <si>
    <t>27-4074</t>
  </si>
  <si>
    <t>27-4075</t>
  </si>
  <si>
    <t>27-4076</t>
  </si>
  <si>
    <t>27-4077</t>
  </si>
  <si>
    <t>27-4078</t>
  </si>
  <si>
    <t>27-4079</t>
  </si>
  <si>
    <t>A345079</t>
    <phoneticPr fontId="13"/>
  </si>
  <si>
    <t>HE33S-125364</t>
    <phoneticPr fontId="13"/>
  </si>
  <si>
    <t>A343962</t>
    <phoneticPr fontId="13"/>
  </si>
  <si>
    <t>MK53S-358745</t>
    <phoneticPr fontId="13"/>
  </si>
  <si>
    <t>A345505</t>
    <phoneticPr fontId="13"/>
  </si>
  <si>
    <t>MR41S-646855</t>
    <phoneticPr fontId="13"/>
  </si>
  <si>
    <t>6/9</t>
    <phoneticPr fontId="13"/>
  </si>
  <si>
    <t>白</t>
    <rPh sb="0" eb="1">
      <t>シロ</t>
    </rPh>
    <phoneticPr fontId="13"/>
  </si>
  <si>
    <t>9/9/3</t>
    <phoneticPr fontId="13"/>
  </si>
  <si>
    <t>28/5</t>
    <phoneticPr fontId="13"/>
  </si>
  <si>
    <t>9/5/25</t>
    <phoneticPr fontId="13"/>
  </si>
  <si>
    <t>保証書 取説</t>
    <rPh sb="0" eb="3">
      <t>ホショウショ</t>
    </rPh>
    <rPh sb="4" eb="6">
      <t>トリセツ</t>
    </rPh>
    <phoneticPr fontId="13"/>
  </si>
  <si>
    <t>3/4</t>
    <phoneticPr fontId="13"/>
  </si>
  <si>
    <t>青</t>
    <rPh sb="0" eb="1">
      <t>アオ</t>
    </rPh>
    <phoneticPr fontId="13"/>
  </si>
  <si>
    <t>ｱﾙﾄﾗﾊﾟﾝ　 L</t>
    <phoneticPr fontId="13"/>
  </si>
  <si>
    <t>ｽﾍﾟｰｼｱ ﾊｲﾌﾞﾘｯﾄﾞX</t>
    <phoneticPr fontId="13"/>
  </si>
  <si>
    <t>8/4/21</t>
    <phoneticPr fontId="13"/>
  </si>
  <si>
    <t>1/9</t>
    <phoneticPr fontId="13"/>
  </si>
  <si>
    <t>ﾊｽﾗｰ Gﾀｰﾎﾞ</t>
    <phoneticPr fontId="13"/>
  </si>
  <si>
    <t>8/9/28</t>
    <phoneticPr fontId="13"/>
  </si>
  <si>
    <t>ﾜｲﾝ</t>
    <phoneticPr fontId="13"/>
  </si>
  <si>
    <t>ｸｲｯｸﾈｯﾄﾜｰｸ</t>
    <phoneticPr fontId="13"/>
  </si>
  <si>
    <t>HAA神戸</t>
    <rPh sb="3" eb="5">
      <t>コウベ</t>
    </rPh>
    <phoneticPr fontId="13"/>
  </si>
  <si>
    <t>愛媛 337 や 223</t>
    <rPh sb="0" eb="2">
      <t>エヒメ</t>
    </rPh>
    <phoneticPr fontId="13"/>
  </si>
  <si>
    <t>株式会社竹葉</t>
    <rPh sb="0" eb="4">
      <t>カブシキガイシャ</t>
    </rPh>
    <rPh sb="4" eb="5">
      <t>タケ</t>
    </rPh>
    <rPh sb="5" eb="6">
      <t>ハ</t>
    </rPh>
    <phoneticPr fontId="13"/>
  </si>
  <si>
    <t>4/14</t>
    <phoneticPr fontId="13"/>
  </si>
  <si>
    <t>ｳｴｽﾄﾚﾝﾀｶｰ株式会社</t>
    <rPh sb="9" eb="13">
      <t>カブシキガイシャ</t>
    </rPh>
    <phoneticPr fontId="13"/>
  </si>
  <si>
    <t>保証書 取説 ﾅﾋﾞ取 ETC取説 ｷｰﾚｽ ﾚﾝﾀｶｰ</t>
    <rPh sb="0" eb="3">
      <t>ホショウショ</t>
    </rPh>
    <rPh sb="4" eb="6">
      <t>トリセツ</t>
    </rPh>
    <rPh sb="10" eb="11">
      <t>トリ</t>
    </rPh>
    <rPh sb="15" eb="17">
      <t>トリセツ</t>
    </rPh>
    <phoneticPr fontId="13"/>
  </si>
  <si>
    <t>福山 583 ろ 1461</t>
    <rPh sb="0" eb="2">
      <t>フクヤマ</t>
    </rPh>
    <phoneticPr fontId="13"/>
  </si>
  <si>
    <t>株式会社ﾈｸｽﾃｰｼﾞ</t>
    <rPh sb="0" eb="4">
      <t>カブシキガイシャ</t>
    </rPh>
    <phoneticPr fontId="13"/>
  </si>
  <si>
    <t>富山 581 き 4568</t>
    <rPh sb="0" eb="2">
      <t>トヤマ</t>
    </rPh>
    <phoneticPr fontId="13"/>
  </si>
  <si>
    <t>株式会社古城ﾓｰﾀｰｽ</t>
    <rPh sb="0" eb="4">
      <t>カブシキガイシャ</t>
    </rPh>
    <rPh sb="4" eb="6">
      <t>フルシロ</t>
    </rPh>
    <phoneticPr fontId="13"/>
  </si>
  <si>
    <t>保証書</t>
    <rPh sb="0" eb="3">
      <t>ホショウショ</t>
    </rPh>
    <phoneticPr fontId="13"/>
  </si>
  <si>
    <t>倉敷 331 さ 5566</t>
    <rPh sb="0" eb="2">
      <t>クラシキ</t>
    </rPh>
    <phoneticPr fontId="13"/>
  </si>
  <si>
    <t>三備ﾎﾝﾀﾞ販売株式会社</t>
    <rPh sb="0" eb="1">
      <t>サン</t>
    </rPh>
    <rPh sb="1" eb="2">
      <t>ビ</t>
    </rPh>
    <rPh sb="5" eb="7">
      <t>ハンバイ</t>
    </rPh>
    <rPh sb="7" eb="11">
      <t>カブシキガイシャ</t>
    </rPh>
    <phoneticPr fontId="13"/>
  </si>
  <si>
    <t>直送</t>
    <rPh sb="0" eb="2">
      <t>チョクソウ</t>
    </rPh>
    <phoneticPr fontId="13"/>
  </si>
  <si>
    <t>沼津 399 ち 7176</t>
    <rPh sb="0" eb="2">
      <t>ヌマヅ</t>
    </rPh>
    <phoneticPr fontId="13"/>
  </si>
  <si>
    <t>株式会社ALCMotoren</t>
    <phoneticPr fontId="13"/>
  </si>
  <si>
    <t>名古屋 780 ろ 9262</t>
    <rPh sb="0" eb="3">
      <t>ナゴヤ</t>
    </rPh>
    <phoneticPr fontId="13"/>
  </si>
  <si>
    <t>名鉄協商株式会社</t>
    <rPh sb="0" eb="2">
      <t>メイテツ</t>
    </rPh>
    <rPh sb="2" eb="8">
      <t>キョウショウカブシキガイシャ</t>
    </rPh>
    <phoneticPr fontId="13"/>
  </si>
  <si>
    <t>名鉄協商株式会社</t>
    <phoneticPr fontId="13"/>
  </si>
  <si>
    <t>名古屋 780 ろ 9261</t>
    <rPh sb="0" eb="3">
      <t>ナゴヤ</t>
    </rPh>
    <phoneticPr fontId="13"/>
  </si>
  <si>
    <t>三重 582 た 9483</t>
    <rPh sb="0" eb="2">
      <t>ミエ</t>
    </rPh>
    <phoneticPr fontId="13"/>
  </si>
  <si>
    <t>ﾅﾝﾊﾞｰ</t>
    <phoneticPr fontId="13"/>
  </si>
  <si>
    <t>尾張小牧 581 ふ 2894</t>
    <rPh sb="0" eb="4">
      <t>オワリコマキ</t>
    </rPh>
    <phoneticPr fontId="13"/>
  </si>
  <si>
    <t>株式会社ｳｪｲｸｱｯﾌﾟ</t>
    <rPh sb="0" eb="4">
      <t>カブシキガイシャ</t>
    </rPh>
    <phoneticPr fontId="13"/>
  </si>
  <si>
    <t>保証書 取説 SD ｷｰﾚｽ ﾜﾝｵｰﾅｰ</t>
    <rPh sb="0" eb="3">
      <t>ホショウショ</t>
    </rPh>
    <rPh sb="4" eb="6">
      <t>トリセツ</t>
    </rPh>
    <phoneticPr fontId="13"/>
  </si>
  <si>
    <t>名古屋 480 ひ 2775</t>
    <rPh sb="0" eb="3">
      <t>ナゴヤ</t>
    </rPh>
    <phoneticPr fontId="13"/>
  </si>
  <si>
    <t>名鉄協商株式会社</t>
    <rPh sb="0" eb="8">
      <t>メイテツキョウショウカブシキガイシャ</t>
    </rPh>
    <phoneticPr fontId="13"/>
  </si>
  <si>
    <t>保証書 取説 ｽﾍﾟｱｷｰ</t>
    <rPh sb="0" eb="3">
      <t>ホショウショ</t>
    </rPh>
    <rPh sb="4" eb="6">
      <t>トリセツ</t>
    </rPh>
    <phoneticPr fontId="13"/>
  </si>
  <si>
    <t>多摩 592 ろ 8282</t>
    <rPh sb="0" eb="2">
      <t>タマ</t>
    </rPh>
    <phoneticPr fontId="13"/>
  </si>
  <si>
    <t>東日本三菱自動車株式会社</t>
    <rPh sb="0" eb="12">
      <t>ヒガシニホンミツビシジドウシャカブシキガイシャ</t>
    </rPh>
    <phoneticPr fontId="13"/>
  </si>
  <si>
    <t>ｽﾍﾟｱｷｰ</t>
    <phoneticPr fontId="13"/>
  </si>
  <si>
    <t>伊村 崇宏</t>
    <rPh sb="0" eb="2">
      <t>イムラ</t>
    </rPh>
    <rPh sb="3" eb="5">
      <t>タカヒロ</t>
    </rPh>
    <phoneticPr fontId="13"/>
  </si>
  <si>
    <t>多摩 485 ろ 599</t>
    <rPh sb="0" eb="2">
      <t>タマ</t>
    </rPh>
    <phoneticPr fontId="13"/>
  </si>
  <si>
    <t>姫路 499 そ 8680</t>
    <rPh sb="0" eb="2">
      <t>ヒメジ</t>
    </rPh>
    <phoneticPr fontId="13"/>
  </si>
  <si>
    <t>株式会社ﾄﾖﾀﾚﾝﾀﾘｰｽ兵庫</t>
    <rPh sb="0" eb="4">
      <t>カブシキガイシャ</t>
    </rPh>
    <rPh sb="13" eb="15">
      <t>ヒョウゴ</t>
    </rPh>
    <phoneticPr fontId="13"/>
  </si>
  <si>
    <t>島根 334 に 8800</t>
    <rPh sb="0" eb="2">
      <t>シマネ</t>
    </rPh>
    <phoneticPr fontId="13"/>
  </si>
  <si>
    <t>ﾄﾖﾀｶﾛｰﾗ島根株式会社</t>
    <rPh sb="7" eb="9">
      <t>シマネ</t>
    </rPh>
    <rPh sb="9" eb="13">
      <t>カブシキガイシャ</t>
    </rPh>
    <phoneticPr fontId="13"/>
  </si>
  <si>
    <t>名古屋 326 も 5760</t>
    <rPh sb="0" eb="3">
      <t>ナゴヤ</t>
    </rPh>
    <phoneticPr fontId="13"/>
  </si>
  <si>
    <t>保証書 取説 ﾅﾋﾞ取 ｷｰﾚｽ ﾏｲｸﾛ地図SD</t>
    <rPh sb="0" eb="3">
      <t>ホショウショ</t>
    </rPh>
    <rPh sb="4" eb="6">
      <t>トリセツ</t>
    </rPh>
    <rPh sb="10" eb="11">
      <t>トリ</t>
    </rPh>
    <rPh sb="21" eb="23">
      <t>チズ</t>
    </rPh>
    <phoneticPr fontId="13"/>
  </si>
  <si>
    <t>品番；CN-RZ743W</t>
    <rPh sb="0" eb="2">
      <t>ヒンバン</t>
    </rPh>
    <phoneticPr fontId="13"/>
  </si>
  <si>
    <t>USS神戸(ﾜﾝｸﾘ)</t>
    <rPh sb="3" eb="5">
      <t>コウベ</t>
    </rPh>
    <phoneticPr fontId="13"/>
  </si>
  <si>
    <t>ｷｬﾝｾﾙ4/14返送</t>
    <rPh sb="9" eb="11">
      <t>ヘンソウ</t>
    </rPh>
    <phoneticPr fontId="13"/>
  </si>
  <si>
    <t>地図SD(車内)</t>
    <rPh sb="0" eb="2">
      <t>チズ</t>
    </rPh>
    <phoneticPr fontId="13"/>
  </si>
  <si>
    <t>USS神戸落札店保証書の問い合わせ連絡あり4/14</t>
    <rPh sb="3" eb="5">
      <t>コウベ</t>
    </rPh>
    <rPh sb="5" eb="8">
      <t>ラクサツテン</t>
    </rPh>
    <rPh sb="8" eb="11">
      <t>ホショウショ</t>
    </rPh>
    <rPh sb="12" eb="13">
      <t>ト</t>
    </rPh>
    <rPh sb="14" eb="15">
      <t>ア</t>
    </rPh>
    <rPh sb="17" eb="19">
      <t>レンラク</t>
    </rPh>
    <phoneticPr fontId="13"/>
  </si>
  <si>
    <t>ﾏｲｸﾛ地図SD(車内)</t>
    <rPh sb="4" eb="6">
      <t>チズ</t>
    </rPh>
    <phoneticPr fontId="13"/>
  </si>
  <si>
    <t xml:space="preserve">地図SD(車内) 保証書 取説 </t>
    <rPh sb="0" eb="2">
      <t>チズ</t>
    </rPh>
    <rPh sb="9" eb="12">
      <t>ホショウショ</t>
    </rPh>
    <rPh sb="13" eb="15">
      <t>トリセツ</t>
    </rPh>
    <phoneticPr fontId="13"/>
  </si>
  <si>
    <t>保証書 取説(車内)</t>
    <rPh sb="0" eb="3">
      <t>ホショウショ</t>
    </rPh>
    <rPh sb="4" eb="6">
      <t>トリセツ</t>
    </rPh>
    <phoneticPr fontId="13"/>
  </si>
  <si>
    <t>保証書 取説 ｷｰﾚｽ(車内)</t>
    <rPh sb="0" eb="3">
      <t>ホショウショ</t>
    </rPh>
    <rPh sb="4" eb="6">
      <t>トリセツ</t>
    </rPh>
    <phoneticPr fontId="13"/>
  </si>
  <si>
    <t>583 ふ 2319</t>
    <phoneticPr fontId="13"/>
  </si>
  <si>
    <t>HAA神戸(ﾜﾝｸﾘ)</t>
    <rPh sb="3" eb="5">
      <t>コウベ</t>
    </rPh>
    <phoneticPr fontId="13"/>
  </si>
  <si>
    <t>27-4080</t>
  </si>
  <si>
    <t>27-4081</t>
  </si>
  <si>
    <t>27-4082</t>
  </si>
  <si>
    <t>27-4083</t>
  </si>
  <si>
    <t>27-4084</t>
  </si>
  <si>
    <t>27-4085</t>
  </si>
  <si>
    <t>27-4086</t>
  </si>
  <si>
    <t>27-4087</t>
  </si>
  <si>
    <t>27-4088</t>
  </si>
  <si>
    <t>27-4089</t>
  </si>
  <si>
    <t>27-4090</t>
  </si>
  <si>
    <t>TAA近畿</t>
    <rPh sb="3" eb="5">
      <t>キンキ</t>
    </rPh>
    <phoneticPr fontId="13"/>
  </si>
  <si>
    <t>ﾊｽﾗｰﾊｲﾌﾞﾘｯﾄﾞX</t>
    <phoneticPr fontId="13"/>
  </si>
  <si>
    <t>MR92S-112898</t>
    <phoneticPr fontId="13"/>
  </si>
  <si>
    <t>ｱﾙﾄﾗﾊﾟﾝ　 S</t>
    <phoneticPr fontId="13"/>
  </si>
  <si>
    <t>HE33S-196694</t>
    <phoneticPr fontId="13"/>
  </si>
  <si>
    <t>ｴﾌﾞﾘｨ　PCﾘﾐﾃｯﾄﾞ</t>
    <phoneticPr fontId="13"/>
  </si>
  <si>
    <t>DA17V-515198</t>
    <phoneticPr fontId="13"/>
  </si>
  <si>
    <t>ﾜｺﾞﾝR　FA</t>
    <phoneticPr fontId="13"/>
  </si>
  <si>
    <t>MH85S-116743</t>
    <phoneticPr fontId="13"/>
  </si>
  <si>
    <t>ﾜｺﾞﾝR　</t>
    <phoneticPr fontId="13"/>
  </si>
  <si>
    <t>MH55S-264035</t>
    <phoneticPr fontId="13"/>
  </si>
  <si>
    <t>ｱﾙﾄﾗﾊﾟﾝ</t>
    <phoneticPr fontId="13"/>
  </si>
  <si>
    <t>HE22S-828133</t>
    <phoneticPr fontId="13"/>
  </si>
  <si>
    <t>ｱｳﾃﾞｨA1　ｽﾎﾟｰﾂﾊﾞｯｸ　1.0TFSI</t>
    <phoneticPr fontId="13"/>
  </si>
  <si>
    <t>ﾀﾝﾄｶｽﾀﾑ　RSﾄｯﾌﾟｴﾃﾞｨｼｮﾝSaⅢ</t>
    <phoneticPr fontId="13"/>
  </si>
  <si>
    <t>LA600S-0519226</t>
    <phoneticPr fontId="13"/>
  </si>
  <si>
    <t>NCP160-0156227</t>
    <phoneticPr fontId="13"/>
  </si>
  <si>
    <t>27-4091</t>
  </si>
  <si>
    <t>27-4092</t>
  </si>
  <si>
    <t>27-4093</t>
  </si>
  <si>
    <t>27-4094</t>
  </si>
  <si>
    <t>27-4095</t>
  </si>
  <si>
    <t>27-4096</t>
  </si>
  <si>
    <t>27-4097</t>
  </si>
  <si>
    <t>27-4098</t>
  </si>
  <si>
    <t>27-4099</t>
  </si>
  <si>
    <t>TAA四国</t>
    <rPh sb="3" eb="5">
      <t>シコク</t>
    </rPh>
    <phoneticPr fontId="13"/>
  </si>
  <si>
    <t>NCP160-0154574</t>
    <phoneticPr fontId="13"/>
  </si>
  <si>
    <t>ﾌﾟﾛﾎﾞｯｸｽ　ﾊｲﾌﾞﾘｯﾄﾞGX</t>
    <phoneticPr fontId="13"/>
  </si>
  <si>
    <t>NHP160-0088792</t>
    <phoneticPr fontId="13"/>
  </si>
  <si>
    <t>VWｻﾞﾋﾞｰﾄﾙ</t>
    <phoneticPr fontId="13"/>
  </si>
  <si>
    <t>BMWX1　Xﾄﾞﾗｲﾌﾞ18DXﾗｲﾝED</t>
    <phoneticPr fontId="13"/>
  </si>
  <si>
    <t>TAA広島</t>
    <rPh sb="3" eb="5">
      <t>ヒロシマ</t>
    </rPh>
    <phoneticPr fontId="13"/>
  </si>
  <si>
    <t>ﾑｰｳﾞ　XﾘﾐﾃｯﾄﾞⅡ　SaⅢ</t>
    <phoneticPr fontId="13"/>
  </si>
  <si>
    <t>LA150S-2080671</t>
    <phoneticPr fontId="13"/>
  </si>
  <si>
    <t>ﾐﾗｲｰｽ　XﾘﾐﾃｯﾄﾞSaⅢ</t>
    <phoneticPr fontId="13"/>
  </si>
  <si>
    <t>LA350S-0239653</t>
    <phoneticPr fontId="13"/>
  </si>
  <si>
    <t>ﾀﾝﾄ　LﾘﾐﾃｯﾄﾞSaⅢ</t>
    <phoneticPr fontId="13"/>
  </si>
  <si>
    <t>LA600S-0757749</t>
    <phoneticPr fontId="13"/>
  </si>
  <si>
    <t>ｱｳﾃﾞｨA3</t>
    <phoneticPr fontId="13"/>
  </si>
  <si>
    <t>TAA南九州</t>
    <rPh sb="3" eb="6">
      <t>ミナミキュウシュウ</t>
    </rPh>
    <phoneticPr fontId="13"/>
  </si>
  <si>
    <t>ﾌｨｱｯﾄ595　ｽｺﾙﾋﾟ　ｵｰﾈｵｰﾛ</t>
    <phoneticPr fontId="13"/>
  </si>
  <si>
    <t>27-4100</t>
  </si>
  <si>
    <t>27-4101</t>
  </si>
  <si>
    <t>27-4102</t>
  </si>
  <si>
    <t>27-4103</t>
  </si>
  <si>
    <t>27-4104</t>
  </si>
  <si>
    <t>27-4105</t>
  </si>
  <si>
    <t>27-4106</t>
  </si>
  <si>
    <t>27-4107</t>
  </si>
  <si>
    <t>27-4108</t>
  </si>
  <si>
    <t>27-4109</t>
  </si>
  <si>
    <t>27-4110</t>
  </si>
  <si>
    <t>ｵﾘｯｸｽ神戸</t>
    <rPh sb="5" eb="7">
      <t>コウベ</t>
    </rPh>
    <phoneticPr fontId="13"/>
  </si>
  <si>
    <t>2/3</t>
    <phoneticPr fontId="13"/>
  </si>
  <si>
    <t>ｵﾚﾝｼﾞⅡ</t>
    <phoneticPr fontId="13"/>
  </si>
  <si>
    <t>10/3</t>
    <phoneticPr fontId="13"/>
  </si>
  <si>
    <t>大阪　580　わ　7519</t>
    <rPh sb="0" eb="2">
      <t>オオサカ</t>
    </rPh>
    <phoneticPr fontId="13"/>
  </si>
  <si>
    <t>30/4</t>
    <phoneticPr fontId="13"/>
  </si>
  <si>
    <t>ﾐｽﾞｲﾛⅡ</t>
    <phoneticPr fontId="13"/>
  </si>
  <si>
    <t>9/4</t>
    <phoneticPr fontId="13"/>
  </si>
  <si>
    <t>3/3</t>
    <phoneticPr fontId="13"/>
  </si>
  <si>
    <t>黒</t>
    <rPh sb="0" eb="1">
      <t>クロ</t>
    </rPh>
    <phoneticPr fontId="13"/>
  </si>
  <si>
    <t>3/1</t>
    <phoneticPr fontId="13"/>
  </si>
  <si>
    <t>白</t>
    <rPh sb="0" eb="1">
      <t>シロ</t>
    </rPh>
    <phoneticPr fontId="13"/>
  </si>
  <si>
    <t>9/1</t>
    <phoneticPr fontId="13"/>
  </si>
  <si>
    <t>大阪　580　わ　8171</t>
    <rPh sb="0" eb="2">
      <t>オオサカ</t>
    </rPh>
    <phoneticPr fontId="13"/>
  </si>
  <si>
    <t>31/1</t>
    <phoneticPr fontId="13"/>
  </si>
  <si>
    <t>26/2</t>
    <phoneticPr fontId="13"/>
  </si>
  <si>
    <t>ﾌﾞﾗｳﾝ</t>
    <phoneticPr fontId="13"/>
  </si>
  <si>
    <t>9/2</t>
    <phoneticPr fontId="13"/>
  </si>
  <si>
    <t>27/7</t>
    <phoneticPr fontId="13"/>
  </si>
  <si>
    <t>赤</t>
    <rPh sb="0" eb="1">
      <t>アカ</t>
    </rPh>
    <phoneticPr fontId="13"/>
  </si>
  <si>
    <t>29/2</t>
    <phoneticPr fontId="13"/>
  </si>
  <si>
    <t>3/2</t>
    <phoneticPr fontId="13"/>
  </si>
  <si>
    <t>5/10</t>
    <phoneticPr fontId="13"/>
  </si>
  <si>
    <t>29/7</t>
    <phoneticPr fontId="13"/>
  </si>
  <si>
    <t>WVWZZZ16ZHM635029</t>
    <phoneticPr fontId="13"/>
  </si>
  <si>
    <t>3/6</t>
    <phoneticPr fontId="13"/>
  </si>
  <si>
    <t>WBA32AD0405T55549</t>
    <phoneticPr fontId="13"/>
  </si>
  <si>
    <t>8/6</t>
    <phoneticPr fontId="13"/>
  </si>
  <si>
    <t>愛媛　330　さ　9863</t>
    <rPh sb="0" eb="2">
      <t>エヒメ</t>
    </rPh>
    <phoneticPr fontId="13"/>
  </si>
  <si>
    <t>2/12</t>
    <phoneticPr fontId="13"/>
  </si>
  <si>
    <t>10/1</t>
    <phoneticPr fontId="13"/>
  </si>
  <si>
    <t>31/3</t>
    <phoneticPr fontId="13"/>
  </si>
  <si>
    <t>ﾋﾟﾝｸ</t>
    <phoneticPr fontId="13"/>
  </si>
  <si>
    <t>29/12</t>
    <phoneticPr fontId="13"/>
  </si>
  <si>
    <t>WAUZZZ8VXJA052519</t>
    <phoneticPr fontId="13"/>
  </si>
  <si>
    <t>4/3</t>
    <phoneticPr fontId="13"/>
  </si>
  <si>
    <t>WMW42BT0203P15473</t>
    <phoneticPr fontId="13"/>
  </si>
  <si>
    <t>9/3</t>
    <phoneticPr fontId="13"/>
  </si>
  <si>
    <t>宇都宮　388　ち　358</t>
    <rPh sb="0" eb="3">
      <t>ウツノミヤ</t>
    </rPh>
    <phoneticPr fontId="13"/>
  </si>
  <si>
    <t>ZFA3120000JE26090</t>
    <phoneticPr fontId="13"/>
  </si>
  <si>
    <t>2/1</t>
    <phoneticPr fontId="13"/>
  </si>
  <si>
    <t>ｽﾍﾟｰｼｱｶｽﾀﾑ　ﾊｲﾌﾞﾘｯﾄﾞXS</t>
    <phoneticPr fontId="13"/>
  </si>
  <si>
    <t>MK53S-657869</t>
    <phoneticPr fontId="13"/>
  </si>
  <si>
    <t>MH55S-272540</t>
    <phoneticPr fontId="13"/>
  </si>
  <si>
    <t>JF3-2321606</t>
    <phoneticPr fontId="13"/>
  </si>
  <si>
    <t>NV100ｸﾘｯﾊﾟｰ　GX</t>
    <phoneticPr fontId="13"/>
  </si>
  <si>
    <t>DR17V-428689</t>
    <phoneticPr fontId="13"/>
  </si>
  <si>
    <t>N　BOX　EXﾀｰﾎﾞ</t>
    <phoneticPr fontId="13"/>
  </si>
  <si>
    <t>JF3-2439316</t>
    <phoneticPr fontId="13"/>
  </si>
  <si>
    <t>ﾐﾗｲｰｽ　　L　SaⅢ</t>
    <phoneticPr fontId="13"/>
  </si>
  <si>
    <t>LA350S-0258983</t>
    <phoneticPr fontId="13"/>
  </si>
  <si>
    <t>L350S-0244976</t>
    <phoneticPr fontId="13"/>
  </si>
  <si>
    <t>NKE165-7235099</t>
    <phoneticPr fontId="13"/>
  </si>
  <si>
    <t>NKE165-7237864</t>
    <phoneticPr fontId="13"/>
  </si>
  <si>
    <t>ｶﾛｰﾗﾂｰﾘﾝｸﾞ　ﾊｲﾌﾞﾘｯﾄﾞS</t>
    <phoneticPr fontId="13"/>
  </si>
  <si>
    <t>ZWE211-6047009</t>
    <phoneticPr fontId="13"/>
  </si>
  <si>
    <t>ｷｬﾝｾﾙ4/16返送</t>
    <rPh sb="9" eb="11">
      <t>ヘンソウ</t>
    </rPh>
    <phoneticPr fontId="13"/>
  </si>
  <si>
    <t>MN71S-150865</t>
    <phoneticPr fontId="13"/>
  </si>
  <si>
    <t>USS売 非課税連絡きたら伴さん報告</t>
    <rPh sb="3" eb="4">
      <t>ウ</t>
    </rPh>
    <rPh sb="5" eb="8">
      <t>ヒカゼイ</t>
    </rPh>
    <rPh sb="8" eb="10">
      <t>レンラク</t>
    </rPh>
    <rPh sb="13" eb="14">
      <t>バン</t>
    </rPh>
    <rPh sb="16" eb="18">
      <t>ホウコク</t>
    </rPh>
    <phoneticPr fontId="13"/>
  </si>
  <si>
    <t>27-4111</t>
  </si>
  <si>
    <t>27-4112</t>
  </si>
  <si>
    <t>27-4113</t>
  </si>
  <si>
    <t>LA350S-0337236</t>
    <phoneticPr fontId="13"/>
  </si>
  <si>
    <t>S321G-0069195</t>
    <phoneticPr fontId="13"/>
  </si>
  <si>
    <t>名古屋 582 た 287</t>
    <rPh sb="0" eb="3">
      <t>ナゴヤ</t>
    </rPh>
    <phoneticPr fontId="13"/>
  </si>
  <si>
    <t>ﾎﾞﾙﾎﾞ V40 D4 Rﾃﾞｻﾞｲﾝﾎﾟｰﾙ</t>
    <phoneticPr fontId="13"/>
  </si>
  <si>
    <t>YV1MVA8RDH2391724</t>
    <phoneticPr fontId="13"/>
  </si>
  <si>
    <t>BMWﾐﾆｸﾛｽｵｰﾊﾞｰ ﾊﾞｯｷﾝｶﾞﾑ</t>
    <phoneticPr fontId="13"/>
  </si>
  <si>
    <t>WMWYV72003F10616</t>
    <phoneticPr fontId="13"/>
  </si>
  <si>
    <t>27-4114</t>
  </si>
  <si>
    <t>ﾒﾙｾﾃﾞｽﾍﾞﾝﾂ Cｸﾗｽ</t>
    <phoneticPr fontId="13"/>
  </si>
  <si>
    <t>WDD2050772F858572</t>
    <phoneticPr fontId="13"/>
  </si>
  <si>
    <t>名古屋 392 は 999</t>
    <rPh sb="0" eb="3">
      <t>ナゴヤ</t>
    </rPh>
    <phoneticPr fontId="13"/>
  </si>
  <si>
    <r>
      <t xml:space="preserve">取説 SD ｷｰﾚｽ </t>
    </r>
    <r>
      <rPr>
        <sz val="11"/>
        <color theme="3"/>
        <rFont val="ＭＳ Ｐゴシック"/>
        <family val="3"/>
        <charset val="128"/>
        <scheme val="minor"/>
      </rPr>
      <t>保証書なしｸﾚｰﾑ対応済</t>
    </r>
    <rPh sb="0" eb="2">
      <t>トリセツ</t>
    </rPh>
    <rPh sb="11" eb="14">
      <t>ホショウショ</t>
    </rPh>
    <rPh sb="20" eb="22">
      <t>タイオウ</t>
    </rPh>
    <rPh sb="22" eb="23">
      <t>ズ</t>
    </rPh>
    <phoneticPr fontId="13"/>
  </si>
  <si>
    <t>雹害ｷｬﾝｾﾙ 書類止めてる 付属品は保管</t>
    <rPh sb="0" eb="1">
      <t>ヒョウ</t>
    </rPh>
    <rPh sb="1" eb="2">
      <t>ガイ</t>
    </rPh>
    <rPh sb="8" eb="10">
      <t>ショルイ</t>
    </rPh>
    <rPh sb="10" eb="11">
      <t>ト</t>
    </rPh>
    <rPh sb="15" eb="18">
      <t>フゾクヒン</t>
    </rPh>
    <rPh sb="19" eb="21">
      <t>ホカン</t>
    </rPh>
    <phoneticPr fontId="13"/>
  </si>
  <si>
    <t>ｷｬﾝｾﾙ返送4/16</t>
    <rPh sb="5" eb="7">
      <t>ヘンソウ</t>
    </rPh>
    <phoneticPr fontId="13"/>
  </si>
  <si>
    <t>春日井 399 つ 7133</t>
    <rPh sb="0" eb="3">
      <t>カスガイ</t>
    </rPh>
    <phoneticPr fontId="13"/>
  </si>
  <si>
    <t>浜松 530 も 3443</t>
    <rPh sb="0" eb="2">
      <t>ハママツ</t>
    </rPh>
    <phoneticPr fontId="13"/>
  </si>
  <si>
    <t>三好 守</t>
    <rPh sb="0" eb="2">
      <t>ミヨシ</t>
    </rPh>
    <rPh sb="3" eb="4">
      <t>マモル</t>
    </rPh>
    <phoneticPr fontId="13"/>
  </si>
  <si>
    <t>株式会社京慈ﾏﾂﾀﾞ</t>
    <rPh sb="0" eb="4">
      <t>カブシキガイシャ</t>
    </rPh>
    <rPh sb="4" eb="5">
      <t>キョウ</t>
    </rPh>
    <rPh sb="5" eb="6">
      <t>ジ</t>
    </rPh>
    <phoneticPr fontId="13"/>
  </si>
  <si>
    <t>名古屋 781 ろ 1194</t>
    <rPh sb="0" eb="3">
      <t>ナゴヤ</t>
    </rPh>
    <phoneticPr fontId="13"/>
  </si>
  <si>
    <t>愛知中古自動車販売商工組合</t>
    <rPh sb="0" eb="4">
      <t>アイチチュウコ</t>
    </rPh>
    <rPh sb="4" eb="7">
      <t>ジドウシャ</t>
    </rPh>
    <rPh sb="7" eb="11">
      <t>ハンバイショウコウ</t>
    </rPh>
    <rPh sb="11" eb="13">
      <t>クミアイ</t>
    </rPh>
    <phoneticPr fontId="13"/>
  </si>
  <si>
    <t>花松 華子</t>
    <rPh sb="0" eb="2">
      <t>ハナマツ</t>
    </rPh>
    <rPh sb="3" eb="5">
      <t>ハナコ</t>
    </rPh>
    <phoneticPr fontId="13"/>
  </si>
  <si>
    <t>和歌山 488 え 8</t>
    <rPh sb="0" eb="3">
      <t>ワカヤマ</t>
    </rPh>
    <phoneticPr fontId="13"/>
  </si>
  <si>
    <t>有限会社農協自動車</t>
    <rPh sb="0" eb="4">
      <t>ユウゲンガイシャ</t>
    </rPh>
    <rPh sb="4" eb="6">
      <t>ノウキョウ</t>
    </rPh>
    <rPh sb="6" eb="9">
      <t>ジドウシャ</t>
    </rPh>
    <phoneticPr fontId="13"/>
  </si>
  <si>
    <t>倉敷 330 せ 783</t>
    <rPh sb="0" eb="2">
      <t>クラシキ</t>
    </rPh>
    <phoneticPr fontId="13"/>
  </si>
  <si>
    <t>なにわ 691 ろ 5189</t>
    <phoneticPr fontId="13"/>
  </si>
  <si>
    <t>なにわ 5X1 ろ 4543</t>
    <phoneticPr fontId="13"/>
  </si>
  <si>
    <t>株式会社ﾀはなまる</t>
    <phoneticPr fontId="13"/>
  </si>
  <si>
    <t>なにわ 5X0 ろ 1066</t>
    <phoneticPr fontId="13"/>
  </si>
  <si>
    <t>保証書(車内)ｽﾍﾟｱｷｰ</t>
    <rPh sb="0" eb="3">
      <t>ホショウショ</t>
    </rPh>
    <phoneticPr fontId="13"/>
  </si>
  <si>
    <t>横浜 30P と 888</t>
    <rPh sb="0" eb="2">
      <t>ヨコハマ</t>
    </rPh>
    <phoneticPr fontId="13"/>
  </si>
  <si>
    <t>松本 則夫</t>
    <rPh sb="0" eb="2">
      <t>マツモト</t>
    </rPh>
    <rPh sb="3" eb="5">
      <t>ノリオ</t>
    </rPh>
    <phoneticPr fontId="13"/>
  </si>
  <si>
    <t>保証書 取説 ｷｰﾚｽ ﾏﾌﾗｰ切り替えｽｲｯﾁ ﾅﾋﾞSSD</t>
    <rPh sb="0" eb="3">
      <t>ホショウショ</t>
    </rPh>
    <rPh sb="4" eb="6">
      <t>トリセツ</t>
    </rPh>
    <rPh sb="16" eb="17">
      <t>キ</t>
    </rPh>
    <rPh sb="18" eb="19">
      <t>カ</t>
    </rPh>
    <phoneticPr fontId="13"/>
  </si>
  <si>
    <t>株式会社IDOM</t>
    <phoneticPr fontId="13"/>
  </si>
  <si>
    <t>高松 310 さ 1998</t>
    <rPh sb="0" eb="2">
      <t>タカマツ</t>
    </rPh>
    <phoneticPr fontId="13"/>
  </si>
  <si>
    <t>大石 美智代</t>
    <rPh sb="0" eb="2">
      <t>オオイシ</t>
    </rPh>
    <rPh sb="3" eb="6">
      <t>ミチヨ</t>
    </rPh>
    <phoneticPr fontId="13"/>
  </si>
  <si>
    <t>保証書 取説  ｷｰﾚｽ ﾜﾝｵｰﾅｰ</t>
    <rPh sb="0" eb="3">
      <t>ホショウショ</t>
    </rPh>
    <rPh sb="4" eb="6">
      <t>トリセツ</t>
    </rPh>
    <phoneticPr fontId="13"/>
  </si>
  <si>
    <t>株式会社名鉄ｱｵﾄ</t>
    <rPh sb="4" eb="6">
      <t>メイテツ</t>
    </rPh>
    <phoneticPr fontId="13"/>
  </si>
  <si>
    <t>習志野 337 ゆ 1014</t>
    <rPh sb="0" eb="3">
      <t>ナラシノ</t>
    </rPh>
    <phoneticPr fontId="13"/>
  </si>
  <si>
    <t>島根 581 こ 7836</t>
    <rPh sb="0" eb="2">
      <t>シマネ</t>
    </rPh>
    <phoneticPr fontId="13"/>
  </si>
  <si>
    <t>神戸 433 に 15</t>
    <rPh sb="0" eb="2">
      <t>コウベ</t>
    </rPh>
    <phoneticPr fontId="13"/>
  </si>
  <si>
    <t>岡山 339 の 828</t>
    <rPh sb="0" eb="2">
      <t>オカヤマ</t>
    </rPh>
    <phoneticPr fontId="13"/>
  </si>
  <si>
    <t>岡山 350 み 12</t>
    <rPh sb="0" eb="2">
      <t>オカヤマ</t>
    </rPh>
    <phoneticPr fontId="13"/>
  </si>
  <si>
    <t>原田 美紀</t>
    <rPh sb="0" eb="2">
      <t>ハラダ</t>
    </rPh>
    <rPh sb="3" eb="5">
      <t>ミキ</t>
    </rPh>
    <phoneticPr fontId="13"/>
  </si>
  <si>
    <t>福山 584 ほ 75</t>
    <rPh sb="0" eb="2">
      <t>フクヤマ</t>
    </rPh>
    <phoneticPr fontId="13"/>
  </si>
  <si>
    <t>芳原 唯</t>
    <rPh sb="0" eb="1">
      <t>ヨシ</t>
    </rPh>
    <rPh sb="1" eb="2">
      <t>ハラ</t>
    </rPh>
    <rPh sb="3" eb="4">
      <t>ユイ</t>
    </rPh>
    <phoneticPr fontId="13"/>
  </si>
  <si>
    <t>岡山 399 な 6171</t>
    <rPh sb="0" eb="2">
      <t>オカヤマ</t>
    </rPh>
    <phoneticPr fontId="13"/>
  </si>
  <si>
    <t>品川 5X3 ろ 807</t>
    <rPh sb="0" eb="2">
      <t>シナガワ</t>
    </rPh>
    <phoneticPr fontId="13"/>
  </si>
  <si>
    <t>安居 詩帆</t>
    <rPh sb="0" eb="2">
      <t>ヤスイ</t>
    </rPh>
    <rPh sb="3" eb="5">
      <t>シホ</t>
    </rPh>
    <phoneticPr fontId="13"/>
  </si>
  <si>
    <t>品川 49A た 6130</t>
    <rPh sb="0" eb="2">
      <t>シナガワ</t>
    </rPh>
    <phoneticPr fontId="13"/>
  </si>
  <si>
    <t>付属品？</t>
    <rPh sb="0" eb="3">
      <t>フゾクヒン</t>
    </rPh>
    <phoneticPr fontId="13"/>
  </si>
  <si>
    <t>品川 49A た 6823</t>
    <rPh sb="0" eb="2">
      <t>シナガワ</t>
    </rPh>
    <phoneticPr fontId="13"/>
  </si>
  <si>
    <t>岡山 583 こ 5587</t>
    <rPh sb="0" eb="2">
      <t>オカヤマ</t>
    </rPh>
    <phoneticPr fontId="13"/>
  </si>
  <si>
    <t>奥田 裕太</t>
    <rPh sb="0" eb="2">
      <t>オクダ</t>
    </rPh>
    <rPh sb="3" eb="5">
      <t>ユウタ</t>
    </rPh>
    <phoneticPr fontId="13"/>
  </si>
  <si>
    <t>河合 宣昌</t>
    <rPh sb="0" eb="2">
      <t>カワイ</t>
    </rPh>
    <rPh sb="3" eb="4">
      <t>ノリ</t>
    </rPh>
    <rPh sb="4" eb="5">
      <t>ショウ</t>
    </rPh>
    <phoneticPr fontId="13"/>
  </si>
  <si>
    <t>なにわ 691 ろ 5471</t>
    <phoneticPr fontId="13"/>
  </si>
  <si>
    <t>浜松 480 て 5664</t>
    <rPh sb="0" eb="2">
      <t>ハママツ</t>
    </rPh>
    <phoneticPr fontId="13"/>
  </si>
  <si>
    <t>静岡ﾄﾖﾀ自動車株式会社</t>
    <rPh sb="0" eb="2">
      <t>シズオカ</t>
    </rPh>
    <rPh sb="5" eb="8">
      <t>ジドウシャ</t>
    </rPh>
    <rPh sb="8" eb="12">
      <t>カブシキガイシャ</t>
    </rPh>
    <phoneticPr fontId="13"/>
  </si>
  <si>
    <t>和泉 329 に 9812</t>
    <rPh sb="0" eb="2">
      <t>イズミ</t>
    </rPh>
    <phoneticPr fontId="13"/>
  </si>
  <si>
    <t>株式会社ｵｸﾋﾗ</t>
    <rPh sb="0" eb="4">
      <t>カブシキガイシャ</t>
    </rPh>
    <phoneticPr fontId="13"/>
  </si>
  <si>
    <t>多摩 592 ろ 9307</t>
    <rPh sb="0" eb="2">
      <t>タマ</t>
    </rPh>
    <phoneticPr fontId="13"/>
  </si>
  <si>
    <t>多摩 592 ろ 9476</t>
    <rPh sb="0" eb="2">
      <t>タマ</t>
    </rPh>
    <phoneticPr fontId="13"/>
  </si>
  <si>
    <t>多摩 592 ろ 9309</t>
    <rPh sb="0" eb="2">
      <t>タマ</t>
    </rPh>
    <phoneticPr fontId="13"/>
  </si>
  <si>
    <t>なにわ 5X1 ろ 4170</t>
    <phoneticPr fontId="13"/>
  </si>
  <si>
    <t>多摩 592 ろ 8521</t>
    <rPh sb="0" eb="2">
      <t>タマ</t>
    </rPh>
    <phoneticPr fontId="13"/>
  </si>
  <si>
    <t>なにわ 5Ｘ０ ろ 1250</t>
    <phoneticPr fontId="13"/>
  </si>
  <si>
    <t>品川 39A も 6139</t>
    <rPh sb="0" eb="2">
      <t>シナガワ</t>
    </rPh>
    <phoneticPr fontId="13"/>
  </si>
  <si>
    <t>和泉 485 さ 17</t>
    <rPh sb="0" eb="2">
      <t>イズミ</t>
    </rPh>
    <phoneticPr fontId="13"/>
  </si>
  <si>
    <t>長田 栄次</t>
    <rPh sb="0" eb="2">
      <t>ナガタ</t>
    </rPh>
    <rPh sb="3" eb="4">
      <t>エイ</t>
    </rPh>
    <rPh sb="4" eb="5">
      <t>ジ</t>
    </rPh>
    <phoneticPr fontId="13"/>
  </si>
  <si>
    <t>保証書 取説 ドアノブ</t>
    <rPh sb="0" eb="3">
      <t>ホショウショ</t>
    </rPh>
    <rPh sb="4" eb="6">
      <t>トリセツ</t>
    </rPh>
    <phoneticPr fontId="13"/>
  </si>
  <si>
    <t>福岡 582 き 5376</t>
    <rPh sb="0" eb="2">
      <t>フクオカ</t>
    </rPh>
    <phoneticPr fontId="13"/>
  </si>
  <si>
    <t>小谷 桂介</t>
    <rPh sb="0" eb="2">
      <t>コタニ</t>
    </rPh>
    <rPh sb="3" eb="4">
      <t>カツラ</t>
    </rPh>
    <rPh sb="4" eb="5">
      <t>スケ</t>
    </rPh>
    <phoneticPr fontId="13"/>
  </si>
  <si>
    <t>ZiP大阪</t>
    <rPh sb="3" eb="5">
      <t>オオサカ</t>
    </rPh>
    <phoneticPr fontId="13"/>
  </si>
  <si>
    <t>ZiP大阪(ﾜﾝｸﾘ)</t>
    <rPh sb="3" eb="5">
      <t>オオサカ</t>
    </rPh>
    <phoneticPr fontId="13"/>
  </si>
  <si>
    <t>971(69)</t>
    <phoneticPr fontId="13"/>
  </si>
  <si>
    <t>27-4115</t>
  </si>
  <si>
    <t>27-4116</t>
  </si>
  <si>
    <t>27-4117</t>
  </si>
  <si>
    <t>ZFABF1C85NJF66455</t>
    <phoneticPr fontId="13"/>
  </si>
  <si>
    <t>WMWZC52040WP81298</t>
    <phoneticPr fontId="13"/>
  </si>
  <si>
    <t>27-4118</t>
  </si>
  <si>
    <t>27-4119</t>
  </si>
  <si>
    <t>3/3</t>
    <phoneticPr fontId="13"/>
  </si>
  <si>
    <t>茶色</t>
    <rPh sb="0" eb="2">
      <t>チャイロ</t>
    </rPh>
    <phoneticPr fontId="13"/>
  </si>
  <si>
    <t>TAA関東</t>
    <rPh sb="3" eb="5">
      <t>カントウ</t>
    </rPh>
    <phoneticPr fontId="13"/>
  </si>
  <si>
    <t>30/3</t>
    <phoneticPr fontId="13"/>
  </si>
  <si>
    <t>ﾌﾟｼﾞｮｰ3008</t>
    <phoneticPr fontId="13"/>
  </si>
  <si>
    <t>VF3M45GZWJS050323</t>
    <phoneticPr fontId="13"/>
  </si>
  <si>
    <t>TAA中部</t>
    <rPh sb="3" eb="5">
      <t>チュウブ</t>
    </rPh>
    <phoneticPr fontId="13"/>
  </si>
  <si>
    <t>白</t>
    <rPh sb="0" eb="1">
      <t>シロ</t>
    </rPh>
    <phoneticPr fontId="13"/>
  </si>
  <si>
    <t>ﾌﾟﾛﾎﾞｯｸｽ DVｺﾝﾌｫｰﾄ</t>
    <phoneticPr fontId="13"/>
  </si>
  <si>
    <t>NSP160-0058652</t>
    <phoneticPr fontId="13"/>
  </si>
  <si>
    <t>25/2</t>
    <phoneticPr fontId="13"/>
  </si>
  <si>
    <t>BMWﾐﾆｸｰﾊﾟｰS ｸﾛｽｵｰﾊﾞｰ</t>
    <phoneticPr fontId="13"/>
  </si>
  <si>
    <t>保証書</t>
    <rPh sb="0" eb="3">
      <t>ホショウショ</t>
    </rPh>
    <phoneticPr fontId="13"/>
  </si>
  <si>
    <t>3/12</t>
    <phoneticPr fontId="13"/>
  </si>
  <si>
    <t>ﾌｨｱｯﾄ 500 ﾂｲﾝｴｱﾄﾞﾙﾁｪｳﾞｨｰﾀ</t>
    <phoneticPr fontId="13"/>
  </si>
  <si>
    <t>8/12</t>
    <phoneticPr fontId="13"/>
  </si>
  <si>
    <t>京都 551 と 111</t>
    <rPh sb="0" eb="2">
      <t>キョウト</t>
    </rPh>
    <phoneticPr fontId="13"/>
  </si>
  <si>
    <t>3/1</t>
    <phoneticPr fontId="13"/>
  </si>
  <si>
    <t>ﾎﾞﾙﾎﾞ XC40 B4</t>
    <phoneticPr fontId="13"/>
  </si>
  <si>
    <t>足立 367 ふ 15</t>
    <rPh sb="0" eb="2">
      <t>アダチ</t>
    </rPh>
    <phoneticPr fontId="13"/>
  </si>
  <si>
    <t>直送</t>
    <rPh sb="0" eb="2">
      <t>チョクソウ</t>
    </rPh>
    <phoneticPr fontId="13"/>
  </si>
  <si>
    <t>保証書 取説 ｽﾍﾟｱｷｰ ﾜﾝｵｰﾅｰ</t>
    <rPh sb="0" eb="3">
      <t>ホショウショ</t>
    </rPh>
    <rPh sb="4" eb="6">
      <t>トリセツ</t>
    </rPh>
    <phoneticPr fontId="13"/>
  </si>
  <si>
    <t>姫路 430 そ 5161</t>
    <rPh sb="0" eb="2">
      <t>ヒメジ</t>
    </rPh>
    <phoneticPr fontId="13"/>
  </si>
  <si>
    <t>ｻﾝﾃｯｸ株式会社</t>
    <rPh sb="5" eb="9">
      <t>カブシキガイシャ</t>
    </rPh>
    <phoneticPr fontId="13"/>
  </si>
  <si>
    <t>4/17</t>
    <phoneticPr fontId="13"/>
  </si>
  <si>
    <t>ﾌﾟｼﾞｮｰ 3008</t>
    <phoneticPr fontId="13"/>
  </si>
  <si>
    <t>VF3M45GFRKS199172</t>
    <phoneticPr fontId="13"/>
  </si>
  <si>
    <t>宮崎 341 の 10</t>
    <rPh sb="0" eb="2">
      <t>ミヤザキ</t>
    </rPh>
    <phoneticPr fontId="13"/>
  </si>
  <si>
    <t>ｱﾙｽﾀｰｵｰﾄ株式会社</t>
    <rPh sb="8" eb="12">
      <t>カブシキガイシャ</t>
    </rPh>
    <phoneticPr fontId="13"/>
  </si>
  <si>
    <t>保証書 取説 ｷｰﾚｽ</t>
    <rPh sb="0" eb="3">
      <t>ホショウショ</t>
    </rPh>
    <rPh sb="4" eb="6">
      <t>トリセツ</t>
    </rPh>
    <phoneticPr fontId="13"/>
  </si>
  <si>
    <t>保証書 取説 ｷｰﾚｽ ﾜﾝｵｰﾅｰ</t>
    <rPh sb="0" eb="3">
      <t>ホショウショ</t>
    </rPh>
    <rPh sb="4" eb="6">
      <t>トリセツ</t>
    </rPh>
    <phoneticPr fontId="13"/>
  </si>
  <si>
    <t>熊谷　333　ち 85</t>
    <rPh sb="0" eb="2">
      <t>クマタニ</t>
    </rPh>
    <phoneticPr fontId="13"/>
  </si>
  <si>
    <t>株式会社ﾎﾝﾀﾞﾌｧｲﾅﾝｽ</t>
    <rPh sb="0" eb="4">
      <t>カブシキガイシャ</t>
    </rPh>
    <phoneticPr fontId="13"/>
  </si>
  <si>
    <t>品川 5X3 ろ 5599</t>
    <rPh sb="0" eb="2">
      <t>シナガワ</t>
    </rPh>
    <phoneticPr fontId="13"/>
  </si>
  <si>
    <t>千葉 488 ろ 193</t>
    <rPh sb="0" eb="2">
      <t>チバ</t>
    </rPh>
    <phoneticPr fontId="13"/>
  </si>
  <si>
    <t>株式会社IDOM</t>
    <rPh sb="0" eb="4">
      <t>カブシキガイシャ</t>
    </rPh>
    <phoneticPr fontId="13"/>
  </si>
  <si>
    <t>地図SD(車内)</t>
    <rPh sb="0" eb="2">
      <t>チズ</t>
    </rPh>
    <rPh sb="5" eb="7">
      <t>シャナイ</t>
    </rPh>
    <phoneticPr fontId="13"/>
  </si>
  <si>
    <t>USS神戸(ﾜﾝｸﾘ)</t>
    <rPh sb="3" eb="5">
      <t>コウベ</t>
    </rPh>
    <phoneticPr fontId="13"/>
  </si>
  <si>
    <t>なにわ 581 せ 9848</t>
    <phoneticPr fontId="13"/>
  </si>
  <si>
    <t>株式会社はなまる</t>
    <rPh sb="0" eb="4">
      <t>カブシキガイシャ</t>
    </rPh>
    <phoneticPr fontId="13"/>
  </si>
  <si>
    <t>地図SD ﾐﾆB-CAS ｽﾍﾟｱｷｰ ﾅﾝﾊﾞｰ</t>
    <rPh sb="0" eb="2">
      <t>チズ</t>
    </rPh>
    <phoneticPr fontId="13"/>
  </si>
  <si>
    <t>愛媛 319 ぬ 1111</t>
    <rPh sb="0" eb="2">
      <t>エヒメ</t>
    </rPh>
    <phoneticPr fontId="13"/>
  </si>
  <si>
    <t>愛媛ﾄﾖﾀ自動車株式会社</t>
    <rPh sb="0" eb="2">
      <t>エヒメ</t>
    </rPh>
    <rPh sb="5" eb="12">
      <t>ジドウシャカブシキガイシャ</t>
    </rPh>
    <phoneticPr fontId="13"/>
  </si>
  <si>
    <t>保証書 ﾏｲｸﾛ地図SD</t>
    <rPh sb="0" eb="3">
      <t>ホショウショ</t>
    </rPh>
    <rPh sb="8" eb="10">
      <t>チズ</t>
    </rPh>
    <phoneticPr fontId="13"/>
  </si>
  <si>
    <t>保証書 取説 ﾅﾋﾞ取 ﾏｲｸﾛ地図SD  ｷｰﾚｽ ｶｰﾄﾞｷｰ ﾜﾝｵｰﾅｰ</t>
    <rPh sb="0" eb="3">
      <t>ホショウショ</t>
    </rPh>
    <rPh sb="4" eb="6">
      <t>トリセツ</t>
    </rPh>
    <rPh sb="10" eb="11">
      <t>トリ</t>
    </rPh>
    <rPh sb="16" eb="18">
      <t>チズ</t>
    </rPh>
    <phoneticPr fontId="13"/>
  </si>
  <si>
    <t>品川 59F す 8317</t>
    <rPh sb="0" eb="2">
      <t>シナガワ</t>
    </rPh>
    <phoneticPr fontId="13"/>
  </si>
  <si>
    <t>保証書 取説</t>
    <rPh sb="0" eb="3">
      <t>ホショウショ</t>
    </rPh>
    <rPh sb="4" eb="6">
      <t>トリセツ</t>
    </rPh>
    <phoneticPr fontId="13"/>
  </si>
  <si>
    <t>品川 5X3 ろ 6523</t>
    <rPh sb="0" eb="2">
      <t>シナガワ</t>
    </rPh>
    <phoneticPr fontId="13"/>
  </si>
  <si>
    <t>春日井 582 ろ 9425</t>
    <rPh sb="0" eb="3">
      <t>カスガイ</t>
    </rPh>
    <phoneticPr fontId="13"/>
  </si>
  <si>
    <t>株式会社ｸﾞｯﾄﾞｽﾋﾟｰﾄﾞ</t>
    <rPh sb="0" eb="4">
      <t>カブシキガイシャ</t>
    </rPh>
    <phoneticPr fontId="13"/>
  </si>
  <si>
    <t>保証書 取説 ﾅﾋﾞ取</t>
    <rPh sb="0" eb="3">
      <t>ホショウショ</t>
    </rPh>
    <rPh sb="4" eb="6">
      <t>トリセツ</t>
    </rPh>
    <rPh sb="10" eb="11">
      <t>トリ</t>
    </rPh>
    <phoneticPr fontId="13"/>
  </si>
  <si>
    <t>品川 39A も 334</t>
    <rPh sb="0" eb="2">
      <t>シナガワ</t>
    </rPh>
    <phoneticPr fontId="13"/>
  </si>
  <si>
    <t>SD ｽﾍﾟｱｷｰ</t>
    <phoneticPr fontId="13"/>
  </si>
  <si>
    <t>品川 59F さ 8914</t>
    <rPh sb="0" eb="2">
      <t>シナガワ</t>
    </rPh>
    <phoneticPr fontId="13"/>
  </si>
  <si>
    <t>保証書 ｽﾍﾟｱｷｰ ﾏｲｸﾛ地図SD</t>
    <rPh sb="0" eb="3">
      <t>ホショウショ</t>
    </rPh>
    <rPh sb="15" eb="17">
      <t>チズ</t>
    </rPh>
    <phoneticPr fontId="13"/>
  </si>
  <si>
    <t>春日井 582 ろ 9551</t>
    <rPh sb="0" eb="3">
      <t>カスガイ</t>
    </rPh>
    <phoneticPr fontId="13"/>
  </si>
  <si>
    <t>取説 ﾅﾋﾞ取</t>
    <rPh sb="0" eb="2">
      <t>トリセツ</t>
    </rPh>
    <rPh sb="6" eb="7">
      <t>トリ</t>
    </rPh>
    <phoneticPr fontId="13"/>
  </si>
  <si>
    <t>品川 48F ろ 8106</t>
    <rPh sb="0" eb="2">
      <t>シナガワ</t>
    </rPh>
    <phoneticPr fontId="13"/>
  </si>
  <si>
    <t>ﾚﾝﾀｶｰ</t>
    <phoneticPr fontId="13"/>
  </si>
  <si>
    <t>480 ね 5637</t>
    <phoneticPr fontId="13"/>
  </si>
  <si>
    <t>582 う 7493</t>
    <phoneticPr fontId="13"/>
  </si>
  <si>
    <t>582 う 7492</t>
    <phoneticPr fontId="13"/>
  </si>
  <si>
    <t>582 う 7491</t>
    <phoneticPr fontId="13"/>
  </si>
  <si>
    <t>582 う 7490</t>
    <phoneticPr fontId="13"/>
  </si>
  <si>
    <t>取説 ｷｰﾚｽ(車内)</t>
    <rPh sb="0" eb="2">
      <t>トリセツ</t>
    </rPh>
    <rPh sb="8" eb="10">
      <t>シャナイ</t>
    </rPh>
    <phoneticPr fontId="13"/>
  </si>
  <si>
    <t>保証書 取説 ｷｰﾚｽ(車内)</t>
    <rPh sb="0" eb="3">
      <t>ホショウショ</t>
    </rPh>
    <rPh sb="4" eb="6">
      <t>トリセツ</t>
    </rPh>
    <phoneticPr fontId="13"/>
  </si>
  <si>
    <t>記録『わ』記載ありｸﾚｰﾑ済 保証書 取説 ｷｰﾚｽ(車内)</t>
    <rPh sb="5" eb="7">
      <t>キサイ</t>
    </rPh>
    <rPh sb="13" eb="14">
      <t>スミ</t>
    </rPh>
    <rPh sb="15" eb="18">
      <t>ホショウショ</t>
    </rPh>
    <rPh sb="19" eb="21">
      <t>トリセツ</t>
    </rPh>
    <phoneticPr fontId="13"/>
  </si>
  <si>
    <t>WAUZZZ8X3FB041381</t>
    <phoneticPr fontId="13"/>
  </si>
  <si>
    <t>川越 583 た 3517</t>
    <rPh sb="0" eb="2">
      <t>カワゴエ</t>
    </rPh>
    <phoneticPr fontId="13"/>
  </si>
  <si>
    <t>株式会社ｵｰﾄｾﾝﾀｰ新生</t>
    <rPh sb="0" eb="4">
      <t>カブシキガイシャ</t>
    </rPh>
    <rPh sb="11" eb="13">
      <t>シンセイ</t>
    </rPh>
    <phoneticPr fontId="13"/>
  </si>
  <si>
    <t>JU愛知(まとめ)</t>
    <rPh sb="2" eb="4">
      <t>アイチ</t>
    </rPh>
    <phoneticPr fontId="13"/>
  </si>
  <si>
    <t>27-4120</t>
  </si>
  <si>
    <t>27-4121</t>
  </si>
  <si>
    <t>27-4122</t>
  </si>
  <si>
    <t>27-4123</t>
  </si>
  <si>
    <t>27-4124</t>
  </si>
  <si>
    <t>27-4125</t>
  </si>
  <si>
    <t>25/5</t>
    <phoneticPr fontId="13"/>
  </si>
  <si>
    <t>黒</t>
    <rPh sb="0" eb="1">
      <t>クロ</t>
    </rPh>
    <phoneticPr fontId="13"/>
  </si>
  <si>
    <t>ｳｨｯｼｭ 1.8S</t>
    <phoneticPr fontId="13"/>
  </si>
  <si>
    <t>ZGE20-0160788</t>
    <phoneticPr fontId="13"/>
  </si>
  <si>
    <t>MR41S-199750</t>
    <phoneticPr fontId="13"/>
  </si>
  <si>
    <t>LA650S-0104033</t>
    <phoneticPr fontId="13"/>
  </si>
  <si>
    <t>MR92S-302981</t>
    <phoneticPr fontId="13"/>
  </si>
  <si>
    <t>MR92S-478283</t>
    <phoneticPr fontId="13"/>
  </si>
  <si>
    <t>28/5</t>
    <phoneticPr fontId="13"/>
  </si>
  <si>
    <t>ﾊｽﾗｰ  Jｽﾀｲﾙ 2</t>
    <phoneticPr fontId="13"/>
  </si>
  <si>
    <t>2/11</t>
    <phoneticPr fontId="13"/>
  </si>
  <si>
    <t>青</t>
    <rPh sb="0" eb="1">
      <t>アオ</t>
    </rPh>
    <phoneticPr fontId="13"/>
  </si>
  <si>
    <t>ﾀﾝﾄｶｽﾀﾑ Xｾﾚｸｼｮﾝ</t>
    <phoneticPr fontId="13"/>
  </si>
  <si>
    <t>4/6</t>
    <phoneticPr fontId="13"/>
  </si>
  <si>
    <t>赤</t>
    <rPh sb="0" eb="1">
      <t>アカ</t>
    </rPh>
    <phoneticPr fontId="13"/>
  </si>
  <si>
    <t>ﾊｽﾗｰ  HV G</t>
    <phoneticPr fontId="13"/>
  </si>
  <si>
    <t>6/10</t>
    <phoneticPr fontId="13"/>
  </si>
  <si>
    <t>ﾊｽﾗｰ ﾊｲﾌﾞﾘｯﾄﾞ G</t>
    <phoneticPr fontId="13"/>
  </si>
  <si>
    <t>9/10/24</t>
    <phoneticPr fontId="13"/>
  </si>
  <si>
    <t>浜松 582 か 7219</t>
    <rPh sb="0" eb="2">
      <t>ハママツ</t>
    </rPh>
    <phoneticPr fontId="13"/>
  </si>
  <si>
    <t>1/6</t>
    <phoneticPr fontId="13"/>
  </si>
  <si>
    <t>BMWﾐﾆｸｰﾊﾟｰS 5ﾄﾞｱ</t>
    <phoneticPr fontId="13"/>
  </si>
  <si>
    <t>ｷｬﾝｾﾙ返送4/18</t>
    <rPh sb="5" eb="7">
      <t>ヘンソウ</t>
    </rPh>
    <phoneticPr fontId="13"/>
  </si>
  <si>
    <t>品番；CN-RZ776W</t>
    <rPh sb="0" eb="2">
      <t>ヒンバン</t>
    </rPh>
    <phoneticPr fontId="13"/>
  </si>
  <si>
    <t>27-4126</t>
  </si>
  <si>
    <t>27-4127</t>
  </si>
  <si>
    <t>27-4128</t>
  </si>
  <si>
    <t>27-4129</t>
  </si>
  <si>
    <t>27-4130</t>
  </si>
  <si>
    <t>27-4131</t>
  </si>
  <si>
    <t>27-4132</t>
  </si>
  <si>
    <t>27-4133</t>
  </si>
  <si>
    <t>27-4134</t>
  </si>
  <si>
    <t>NHP10-2600447</t>
    <phoneticPr fontId="13"/>
  </si>
  <si>
    <t>ZRR80-0663227</t>
    <phoneticPr fontId="13"/>
  </si>
  <si>
    <t>GR3-1048977</t>
    <phoneticPr fontId="13"/>
  </si>
  <si>
    <t>A210S-0005832</t>
    <phoneticPr fontId="13"/>
  </si>
  <si>
    <t>LA800S-0019034</t>
    <phoneticPr fontId="13"/>
  </si>
  <si>
    <t>HE33S-178184</t>
    <phoneticPr fontId="13"/>
  </si>
  <si>
    <t>MH34S-152144</t>
    <phoneticPr fontId="13"/>
  </si>
  <si>
    <t>HE33S-311114</t>
    <phoneticPr fontId="13"/>
  </si>
  <si>
    <t>ﾛｯｷｰ G</t>
    <phoneticPr fontId="13"/>
  </si>
  <si>
    <t>神戸 505 た 1902</t>
    <rPh sb="0" eb="2">
      <t>コウベ</t>
    </rPh>
    <phoneticPr fontId="13"/>
  </si>
  <si>
    <t>ﾌｨｯﾄ ﾊｲﾌﾞﾘｯﾄﾞ eHEVﾍﾞｰｼｯｸ</t>
    <phoneticPr fontId="13"/>
  </si>
  <si>
    <t>ｳﾞｫｸｼｰ ZS ｷﾗﾒｷ3</t>
    <phoneticPr fontId="13"/>
  </si>
  <si>
    <t>ﾚｸｻｽ RX 200t Fｽﾎﾟｰﾂ</t>
    <phoneticPr fontId="13"/>
  </si>
  <si>
    <t>AGL20-0005957</t>
    <phoneticPr fontId="13"/>
  </si>
  <si>
    <t>ｱｸｱ  S</t>
    <phoneticPr fontId="13"/>
  </si>
  <si>
    <t>和泉 581 は 814</t>
    <rPh sb="0" eb="2">
      <t>イズミ</t>
    </rPh>
    <phoneticPr fontId="13"/>
  </si>
  <si>
    <t>和歌山 585 あ 1120</t>
    <rPh sb="0" eb="3">
      <t>ワカヤマ</t>
    </rPh>
    <phoneticPr fontId="13"/>
  </si>
  <si>
    <t>名古屋 487 ろ 3492</t>
    <rPh sb="0" eb="3">
      <t>ナゴヤ</t>
    </rPh>
    <phoneticPr fontId="13"/>
  </si>
  <si>
    <t>角田 琢朗</t>
    <rPh sb="0" eb="2">
      <t>スミタ</t>
    </rPh>
    <rPh sb="3" eb="5">
      <t>タクロウ</t>
    </rPh>
    <phoneticPr fontId="13"/>
  </si>
  <si>
    <t>広島 582 そ 7741</t>
    <rPh sb="0" eb="2">
      <t>ヒロシマ</t>
    </rPh>
    <phoneticPr fontId="13"/>
  </si>
  <si>
    <t>広島 582 そ 5020</t>
    <rPh sb="0" eb="2">
      <t>ヒロシマ</t>
    </rPh>
    <phoneticPr fontId="13"/>
  </si>
  <si>
    <t>ﾋﾞｼﾞﾈｽﾚﾝﾀﾘｰｽ株式会社</t>
    <rPh sb="12" eb="16">
      <t>カブシキガイシャ</t>
    </rPh>
    <phoneticPr fontId="13"/>
  </si>
  <si>
    <t>地図SD(車内)ｷｰﾚｽ  ﾚﾝﾀｶｰ</t>
    <phoneticPr fontId="13"/>
  </si>
  <si>
    <t>大宮 581 や 1207</t>
    <rPh sb="0" eb="2">
      <t>オオミヤ</t>
    </rPh>
    <phoneticPr fontId="13"/>
  </si>
  <si>
    <t>ﾏｲｸﾛ地図SD(車内)ﾅﾝﾊﾞｰ</t>
    <rPh sb="4" eb="6">
      <t>チズ</t>
    </rPh>
    <rPh sb="9" eb="11">
      <t>シャナイ</t>
    </rPh>
    <phoneticPr fontId="13"/>
  </si>
  <si>
    <t>なにわ 581 そ 1962</t>
    <phoneticPr fontId="13"/>
  </si>
  <si>
    <t>なにわ 481 り 1107</t>
    <phoneticPr fontId="13"/>
  </si>
  <si>
    <t>なにわ 580 も 7958</t>
    <phoneticPr fontId="13"/>
  </si>
  <si>
    <t>VF7SXHNZTHT557161</t>
    <phoneticPr fontId="13"/>
  </si>
  <si>
    <t>WBS3R92060K343851</t>
    <phoneticPr fontId="13"/>
  </si>
  <si>
    <t>27-4135</t>
  </si>
  <si>
    <t>27-4136</t>
  </si>
  <si>
    <t>27-4137</t>
  </si>
  <si>
    <t>(株)ﾘﾊﾞﾃｨ</t>
    <rPh sb="0" eb="3">
      <t>カブシキガイシャ</t>
    </rPh>
    <phoneticPr fontId="13"/>
  </si>
  <si>
    <t xml:space="preserve">ﾑｰﾌﾞｷｬﾝﾊﾞｽ </t>
    <phoneticPr fontId="13"/>
  </si>
  <si>
    <t>LA850S-0134973</t>
    <phoneticPr fontId="13"/>
  </si>
  <si>
    <t>神戸 599 は 8787</t>
    <rPh sb="0" eb="2">
      <t>コウベ</t>
    </rPh>
    <phoneticPr fontId="13"/>
  </si>
  <si>
    <t>山口 沙織</t>
    <rPh sb="0" eb="2">
      <t>ヤマグチ</t>
    </rPh>
    <rPh sb="3" eb="5">
      <t>サオリ</t>
    </rPh>
    <phoneticPr fontId="13"/>
  </si>
  <si>
    <t>山口 陽子</t>
    <rPh sb="0" eb="2">
      <t>ヤマグチ</t>
    </rPh>
    <rPh sb="3" eb="5">
      <t>ヨウコ</t>
    </rPh>
    <phoneticPr fontId="13"/>
  </si>
  <si>
    <t>(株)ｽｽﾞｷ中兵庫販売</t>
    <rPh sb="0" eb="3">
      <t>カブシキガイシャ</t>
    </rPh>
    <rPh sb="7" eb="8">
      <t>ナカ</t>
    </rPh>
    <rPh sb="8" eb="10">
      <t>ヒョウゴ</t>
    </rPh>
    <rPh sb="10" eb="12">
      <t>ハンバイ</t>
    </rPh>
    <phoneticPr fontId="13"/>
  </si>
  <si>
    <t>MR92S-573028</t>
    <phoneticPr fontId="13"/>
  </si>
  <si>
    <t>姫路 785 す 7</t>
    <rPh sb="0" eb="2">
      <t>ヒメジ</t>
    </rPh>
    <phoneticPr fontId="13"/>
  </si>
  <si>
    <t>濱野 昌彦</t>
    <rPh sb="0" eb="2">
      <t>ハマノ</t>
    </rPh>
    <rPh sb="3" eb="5">
      <t>マサヒコ</t>
    </rPh>
    <phoneticPr fontId="13"/>
  </si>
  <si>
    <t>山口様</t>
    <rPh sb="0" eb="2">
      <t>ヤマグチ</t>
    </rPh>
    <rPh sb="2" eb="3">
      <t>サマ</t>
    </rPh>
    <phoneticPr fontId="13"/>
  </si>
  <si>
    <t>WMWSU32010T628625</t>
    <phoneticPr fontId="13"/>
  </si>
  <si>
    <t>神戸 566 や 8787</t>
    <rPh sb="0" eb="2">
      <t>コウベ</t>
    </rPh>
    <phoneticPr fontId="13"/>
  </si>
  <si>
    <t>山口 信吾</t>
    <rPh sb="0" eb="2">
      <t>ヤマグチ</t>
    </rPh>
    <rPh sb="3" eb="5">
      <t>シンゴ</t>
    </rPh>
    <phoneticPr fontId="13"/>
  </si>
  <si>
    <t>27-4138</t>
  </si>
  <si>
    <t>三上様</t>
    <rPh sb="0" eb="2">
      <t>ミカミ</t>
    </rPh>
    <rPh sb="2" eb="3">
      <t>サマ</t>
    </rPh>
    <phoneticPr fontId="13"/>
  </si>
  <si>
    <t>WMWXM520702G36688</t>
    <phoneticPr fontId="13"/>
  </si>
  <si>
    <t>姫路 331 ね 1952</t>
    <rPh sb="0" eb="2">
      <t>ヒメジ</t>
    </rPh>
    <phoneticPr fontId="13"/>
  </si>
  <si>
    <t>三上 真司</t>
    <rPh sb="0" eb="2">
      <t>ミカミ</t>
    </rPh>
    <rPh sb="3" eb="5">
      <t>シンジ</t>
    </rPh>
    <phoneticPr fontId="13"/>
  </si>
  <si>
    <t>多摩 799 ひ 7309</t>
    <rPh sb="0" eb="2">
      <t>タマ</t>
    </rPh>
    <phoneticPr fontId="13"/>
  </si>
  <si>
    <t>多摩 799 ひ 7365</t>
    <rPh sb="0" eb="2">
      <t>タマ</t>
    </rPh>
    <phoneticPr fontId="13"/>
  </si>
  <si>
    <t>大阪 399 ゆ 5986</t>
    <rPh sb="0" eb="2">
      <t>オオサカ</t>
    </rPh>
    <phoneticPr fontId="13"/>
  </si>
  <si>
    <t>市川 399 す 2188</t>
    <rPh sb="0" eb="2">
      <t>イチカワ</t>
    </rPh>
    <phoneticPr fontId="13"/>
  </si>
  <si>
    <t>多摩 799 ひ 7387</t>
    <rPh sb="0" eb="2">
      <t>タマ</t>
    </rPh>
    <phoneticPr fontId="13"/>
  </si>
  <si>
    <t>多摩 799 ひ 7357</t>
    <rPh sb="0" eb="2">
      <t>タマ</t>
    </rPh>
    <phoneticPr fontId="13"/>
  </si>
  <si>
    <t>なにわ 531 の 3200</t>
    <phoneticPr fontId="13"/>
  </si>
  <si>
    <t>福山 340 つ 16</t>
    <rPh sb="0" eb="2">
      <t>フクヤマ</t>
    </rPh>
    <phoneticPr fontId="13"/>
  </si>
  <si>
    <t>竹ノ内 俊秀</t>
    <rPh sb="0" eb="1">
      <t>タケ</t>
    </rPh>
    <rPh sb="2" eb="3">
      <t>ウチ</t>
    </rPh>
    <rPh sb="4" eb="5">
      <t>シュン</t>
    </rPh>
    <rPh sb="5" eb="6">
      <t>ヒデ</t>
    </rPh>
    <phoneticPr fontId="13"/>
  </si>
  <si>
    <t>佐世保 330 す 2701</t>
    <rPh sb="0" eb="1">
      <t>サ</t>
    </rPh>
    <rPh sb="1" eb="2">
      <t>ヨ</t>
    </rPh>
    <rPh sb="2" eb="3">
      <t>ホ</t>
    </rPh>
    <phoneticPr fontId="13"/>
  </si>
  <si>
    <t>医療法人ｳｪﾙﾈｽ</t>
    <rPh sb="0" eb="4">
      <t>イリョウホウジン</t>
    </rPh>
    <phoneticPr fontId="13"/>
  </si>
  <si>
    <t>YV1UZ10MCJ1033150</t>
    <phoneticPr fontId="13"/>
  </si>
  <si>
    <t>27-4139</t>
  </si>
  <si>
    <t>27-4140</t>
  </si>
  <si>
    <t>27-4141</t>
  </si>
  <si>
    <t>27-4142</t>
  </si>
  <si>
    <t>27-4143</t>
  </si>
  <si>
    <t>27-4144</t>
  </si>
  <si>
    <t>27-4145</t>
  </si>
  <si>
    <t>27-4146</t>
  </si>
  <si>
    <t>27-4147</t>
  </si>
  <si>
    <t>27-4148</t>
  </si>
  <si>
    <t>27-4149</t>
  </si>
  <si>
    <t>27-4150</t>
  </si>
  <si>
    <t>ﾐﾗｲﾌﾞ愛知（ｱｲｵｰｸ）</t>
    <rPh sb="5" eb="7">
      <t>アイチ</t>
    </rPh>
    <phoneticPr fontId="13"/>
  </si>
  <si>
    <t>L375S-0629573</t>
    <phoneticPr fontId="13"/>
  </si>
  <si>
    <t>MH23S-728963</t>
    <phoneticPr fontId="13"/>
  </si>
  <si>
    <t>MH34S-312380</t>
    <phoneticPr fontId="13"/>
  </si>
  <si>
    <t>DKEFW-206430</t>
    <phoneticPr fontId="13"/>
  </si>
  <si>
    <t>HA36S-304345</t>
    <phoneticPr fontId="13"/>
  </si>
  <si>
    <t>LA150S-2082487</t>
    <phoneticPr fontId="13"/>
  </si>
  <si>
    <t>GVF-005096</t>
    <phoneticPr fontId="13"/>
  </si>
  <si>
    <t>27-4151</t>
  </si>
  <si>
    <t>27-4152</t>
  </si>
  <si>
    <t>27-4153</t>
  </si>
  <si>
    <t>27-4154</t>
  </si>
  <si>
    <t>27-4155</t>
  </si>
  <si>
    <t>27-4156</t>
  </si>
  <si>
    <t>27-4157</t>
  </si>
  <si>
    <t>27-4158</t>
  </si>
  <si>
    <t>27-4159</t>
  </si>
  <si>
    <t>27-4160</t>
  </si>
  <si>
    <t>27-4161</t>
  </si>
  <si>
    <t>USS名古屋</t>
    <rPh sb="3" eb="6">
      <t>ナゴヤ</t>
    </rPh>
    <phoneticPr fontId="13"/>
  </si>
  <si>
    <t>MﾍﾞﾝﾂC200　ｱﾊﾞﾝｷﾞｬﾙﾄﾞAMGﾗｲﾝ</t>
    <phoneticPr fontId="13"/>
  </si>
  <si>
    <t>LRﾚﾝｼﾞﾛｰﾊﾞｰ　3.0V6SCｳﾞｫｰｸﾞ</t>
    <phoneticPr fontId="13"/>
  </si>
  <si>
    <t>LAA岡山</t>
    <rPh sb="3" eb="5">
      <t>オカヤマ</t>
    </rPh>
    <phoneticPr fontId="13"/>
  </si>
  <si>
    <t>27-4162</t>
  </si>
  <si>
    <t>27-4163</t>
  </si>
  <si>
    <t>27-4164</t>
  </si>
  <si>
    <t>27-4165</t>
  </si>
  <si>
    <t>27-4166</t>
  </si>
  <si>
    <t>27-4167</t>
  </si>
  <si>
    <t>27-4168</t>
  </si>
  <si>
    <t>27-4169</t>
  </si>
  <si>
    <t>27-4170</t>
  </si>
  <si>
    <t>27-4171</t>
  </si>
  <si>
    <t>27-4172</t>
  </si>
  <si>
    <t>　ﾚｸｻｽ GS350　Fｽﾎﾟｰﾂ</t>
    <phoneticPr fontId="13"/>
  </si>
  <si>
    <t>GRL10-6002431</t>
    <phoneticPr fontId="13"/>
  </si>
  <si>
    <t>ｸﾗｳﾝ　2.5ｱｽﾘｰﾄ</t>
    <phoneticPr fontId="13"/>
  </si>
  <si>
    <t>GRS200-0061620</t>
    <phoneticPr fontId="13"/>
  </si>
  <si>
    <t>MK53S-763162</t>
    <phoneticPr fontId="13"/>
  </si>
  <si>
    <t>ﾌｨｯﾄ　ﾎｰﾑ</t>
    <phoneticPr fontId="13"/>
  </si>
  <si>
    <t>GR1-1023220</t>
    <phoneticPr fontId="13"/>
  </si>
  <si>
    <t>N　BOX　GﾀｰﾎﾞSSﾊﾟｯｹｰｼﾞ</t>
    <phoneticPr fontId="13"/>
  </si>
  <si>
    <t>JF1-2547422</t>
    <phoneticPr fontId="13"/>
  </si>
  <si>
    <t>SAI　G　ｳﾞｨｵﾗ</t>
    <phoneticPr fontId="13"/>
  </si>
  <si>
    <t>AZK10-2098834</t>
    <phoneticPr fontId="13"/>
  </si>
  <si>
    <t>DA17V-750120</t>
    <phoneticPr fontId="13"/>
  </si>
  <si>
    <t>ｷｯｸｽ　X</t>
    <phoneticPr fontId="13"/>
  </si>
  <si>
    <t>P15-018424</t>
    <phoneticPr fontId="13"/>
  </si>
  <si>
    <t>ｸﾗｳﾝ　ﾊｲﾌﾞﾘｯﾄﾞｱｽﾘｰﾄ</t>
    <phoneticPr fontId="13"/>
  </si>
  <si>
    <t>AWS210-6125182</t>
    <phoneticPr fontId="13"/>
  </si>
  <si>
    <t>ﾏｰｸX　250G　Sﾊﾟｯｹｰｼﾞ</t>
    <phoneticPr fontId="13"/>
  </si>
  <si>
    <t>GRX130-6099328</t>
    <phoneticPr fontId="13"/>
  </si>
  <si>
    <t>MAZDA3　ﾌｧｽﾄﾊﾞｯｸ</t>
    <phoneticPr fontId="13"/>
  </si>
  <si>
    <t>BPFP-102084</t>
    <phoneticPr fontId="13"/>
  </si>
  <si>
    <t>ｱﾙﾄﾗﾊﾟﾝ　X</t>
    <phoneticPr fontId="13"/>
  </si>
  <si>
    <t>HE33S-305155</t>
    <phoneticPr fontId="13"/>
  </si>
  <si>
    <t>MK53S-664304</t>
    <phoneticPr fontId="13"/>
  </si>
  <si>
    <t>ｽﾍﾟｰｼｱ　ﾊｲﾌﾞﾘｯﾄﾞX</t>
    <phoneticPr fontId="13"/>
  </si>
  <si>
    <t>MK53S-356850</t>
    <phoneticPr fontId="13"/>
  </si>
  <si>
    <t>ﾜｺﾞﾝR　FX</t>
    <phoneticPr fontId="13"/>
  </si>
  <si>
    <t>MH34S-178613</t>
    <phoneticPr fontId="13"/>
  </si>
  <si>
    <t>ﾊｽﾗｰ　Jｽﾀｲﾙ</t>
    <phoneticPr fontId="13"/>
  </si>
  <si>
    <t>MR92S-174741</t>
    <phoneticPr fontId="13"/>
  </si>
  <si>
    <t>ﾐﾗｲｰｽ　X　SaⅢ</t>
    <phoneticPr fontId="13"/>
  </si>
  <si>
    <t>LA350S-0070243</t>
    <phoneticPr fontId="13"/>
  </si>
  <si>
    <t>ｴﾌﾞﾘｨ　ｼﾞｮｲﾝﾀｰﾎﾞ　ﾊｲﾌﾞﾘｯﾄﾞ</t>
    <phoneticPr fontId="13"/>
  </si>
  <si>
    <t>DA17V-814028</t>
    <phoneticPr fontId="13"/>
  </si>
  <si>
    <t>ﾌﾟﾚｵﾌﾟﾗｽ　F</t>
    <phoneticPr fontId="13"/>
  </si>
  <si>
    <t>LA350F-0000774</t>
    <phoneticPr fontId="13"/>
  </si>
  <si>
    <t>ｿﾘｵﾊﾞﾝﾃﾞｨｯﾄ　</t>
    <phoneticPr fontId="13"/>
  </si>
  <si>
    <t>MA15S-658999</t>
    <phoneticPr fontId="13"/>
  </si>
  <si>
    <t>ﾌﾟﾘｳｽｱﾙﾌｧ　S　Lｾﾚｸｼｮﾝ</t>
    <phoneticPr fontId="13"/>
  </si>
  <si>
    <t>ZVW41-3399922</t>
    <phoneticPr fontId="13"/>
  </si>
  <si>
    <t>27-4173</t>
  </si>
  <si>
    <t>27-4174</t>
  </si>
  <si>
    <t>27-4175</t>
  </si>
  <si>
    <t>27-4176</t>
  </si>
  <si>
    <t>27-4177</t>
  </si>
  <si>
    <t>27-4178</t>
  </si>
  <si>
    <t>27-4179</t>
  </si>
  <si>
    <t>27-4180</t>
  </si>
  <si>
    <t>Sellca</t>
    <phoneticPr fontId="13"/>
  </si>
  <si>
    <t>A346463</t>
    <phoneticPr fontId="13"/>
  </si>
  <si>
    <t>TRJ250-0014099</t>
    <phoneticPr fontId="13"/>
  </si>
  <si>
    <t>A347046</t>
    <phoneticPr fontId="13"/>
  </si>
  <si>
    <t>TRJ250-0020425</t>
    <phoneticPr fontId="13"/>
  </si>
  <si>
    <t>A344297</t>
    <phoneticPr fontId="13"/>
  </si>
  <si>
    <t>ZVG13-2006707</t>
    <phoneticPr fontId="13"/>
  </si>
  <si>
    <t>A344524</t>
    <phoneticPr fontId="13"/>
  </si>
  <si>
    <t>DA17W-283454</t>
    <phoneticPr fontId="13"/>
  </si>
  <si>
    <t>A345898</t>
    <phoneticPr fontId="13"/>
  </si>
  <si>
    <t>JF3-2416044</t>
    <phoneticPr fontId="13"/>
  </si>
  <si>
    <t>USS岡山</t>
    <rPh sb="3" eb="5">
      <t>オカヤマ</t>
    </rPh>
    <phoneticPr fontId="13"/>
  </si>
  <si>
    <t>BMWﾐﾆｸｰﾊﾟｰS　ｸﾗﾌﾞﾏﾝ</t>
    <phoneticPr fontId="13"/>
  </si>
  <si>
    <t>ZIP東京</t>
    <rPh sb="3" eb="5">
      <t>トウキョウ</t>
    </rPh>
    <phoneticPr fontId="13"/>
  </si>
  <si>
    <t>MﾍﾞﾝﾂGLC220ｄ</t>
    <phoneticPr fontId="13"/>
  </si>
  <si>
    <t>WDC2539152F732347</t>
    <phoneticPr fontId="13"/>
  </si>
  <si>
    <t>USS九州</t>
    <rPh sb="3" eb="5">
      <t>キュウシュウ</t>
    </rPh>
    <phoneticPr fontId="13"/>
  </si>
  <si>
    <t>MﾍﾞﾝﾂB180　AMGﾗｲﾝ</t>
    <phoneticPr fontId="13"/>
  </si>
  <si>
    <t>6/10</t>
    <phoneticPr fontId="13"/>
  </si>
  <si>
    <t>ｸﾞﾚｰ</t>
    <phoneticPr fontId="13"/>
  </si>
  <si>
    <t>ﾗﾝﾄﾞｸﾙｰｻﾞｰ250　VX</t>
    <phoneticPr fontId="13"/>
  </si>
  <si>
    <t>9/10/30</t>
    <phoneticPr fontId="13"/>
  </si>
  <si>
    <t>7/1</t>
    <phoneticPr fontId="13"/>
  </si>
  <si>
    <t>10/1/29</t>
    <phoneticPr fontId="13"/>
  </si>
  <si>
    <t>7/7</t>
    <phoneticPr fontId="13"/>
  </si>
  <si>
    <t>黒</t>
    <rPh sb="0" eb="1">
      <t>クロ</t>
    </rPh>
    <phoneticPr fontId="13"/>
  </si>
  <si>
    <t>ｶﾛｰﾗｸﾛｽ　ﾊｲﾌﾞﾘｯﾄﾞZ</t>
    <phoneticPr fontId="13"/>
  </si>
  <si>
    <t>10/7/13</t>
    <phoneticPr fontId="13"/>
  </si>
  <si>
    <t>3/11</t>
    <phoneticPr fontId="13"/>
  </si>
  <si>
    <t>ｸﾞﾘｰﾝ</t>
    <phoneticPr fontId="13"/>
  </si>
  <si>
    <t>ｴﾌﾞﾘｨﾜｺﾞﾝ　JPﾀｰﾎﾞ</t>
    <phoneticPr fontId="13"/>
  </si>
  <si>
    <t>9/3/12</t>
    <phoneticPr fontId="13"/>
  </si>
  <si>
    <t>5/4</t>
    <phoneticPr fontId="13"/>
  </si>
  <si>
    <t>8/4/17</t>
    <phoneticPr fontId="13"/>
  </si>
  <si>
    <t>TAA兵庫</t>
    <rPh sb="3" eb="5">
      <t>ヒョウゴ</t>
    </rPh>
    <phoneticPr fontId="13"/>
  </si>
  <si>
    <t>ZVW41-0029345</t>
    <phoneticPr fontId="13"/>
  </si>
  <si>
    <t>ﾐﾗｲｰｽ</t>
    <phoneticPr fontId="13"/>
  </si>
  <si>
    <t>LA350S-0332132</t>
    <phoneticPr fontId="13"/>
  </si>
  <si>
    <t>27/7</t>
    <phoneticPr fontId="13"/>
  </si>
  <si>
    <t>ﾌﾟﾘｳｽｱﾙﾌｧ　S</t>
    <phoneticPr fontId="13"/>
  </si>
  <si>
    <t>5/1</t>
    <phoneticPr fontId="13"/>
  </si>
  <si>
    <t>白</t>
    <rPh sb="0" eb="1">
      <t>シロ</t>
    </rPh>
    <phoneticPr fontId="13"/>
  </si>
  <si>
    <t>27-4181</t>
  </si>
  <si>
    <t>27-4182</t>
  </si>
  <si>
    <t>27-4183</t>
  </si>
  <si>
    <t>27-4184</t>
  </si>
  <si>
    <t>HAA神戸</t>
    <rPh sb="3" eb="5">
      <t>コウベ</t>
    </rPh>
    <phoneticPr fontId="13"/>
  </si>
  <si>
    <t>GUN125-3917077</t>
    <phoneticPr fontId="13"/>
  </si>
  <si>
    <t>ﾌｨｯﾄ　EHEV　RS</t>
    <phoneticPr fontId="13"/>
  </si>
  <si>
    <t>GR3-1366055</t>
    <phoneticPr fontId="13"/>
  </si>
  <si>
    <t>MN71S-149809</t>
    <phoneticPr fontId="13"/>
  </si>
  <si>
    <t>ｸﾘｯﾊﾟｰV　DX　GLﾊﾟｯｹｰｼﾞ</t>
    <phoneticPr fontId="13"/>
  </si>
  <si>
    <t>27-4185</t>
  </si>
  <si>
    <t>27-4186</t>
  </si>
  <si>
    <t>27-4187</t>
  </si>
  <si>
    <t>27-4188</t>
  </si>
  <si>
    <t>27-4189</t>
  </si>
  <si>
    <t>27-4190</t>
  </si>
  <si>
    <t>27-4191</t>
  </si>
  <si>
    <t>27-4192</t>
  </si>
  <si>
    <t>DR17V-462820</t>
    <phoneticPr fontId="13"/>
  </si>
  <si>
    <t>ﾐﾗｼﾞｰﾉ　ﾐﾆﾗｲﾄｽﾍﾟｼｬﾙTB</t>
    <phoneticPr fontId="13"/>
  </si>
  <si>
    <t>L700S-0255929</t>
    <phoneticPr fontId="13"/>
  </si>
  <si>
    <t>ﾎﾞﾙﾎﾞXC40　B4　Rﾃﾞｻﾞｲﾝ</t>
    <phoneticPr fontId="13"/>
  </si>
  <si>
    <t>ﾌｨｱｯﾄ500　ﾂｲﾝｴｱ　ｶﾙﾄ</t>
    <phoneticPr fontId="13"/>
  </si>
  <si>
    <t>MﾍﾞﾝﾂB180</t>
    <phoneticPr fontId="13"/>
  </si>
  <si>
    <t>27-4193</t>
  </si>
  <si>
    <t>BMW530I　Mｽﾎﾟｰﾂ</t>
    <phoneticPr fontId="13"/>
  </si>
  <si>
    <t>BMWX2　Sﾄﾞﾗｲﾌﾞ18IMｽﾎﾟｰﾂ</t>
    <phoneticPr fontId="13"/>
  </si>
  <si>
    <t>ﾌｨｱｯﾄ500　</t>
    <phoneticPr fontId="13"/>
  </si>
  <si>
    <t>25/1</t>
    <phoneticPr fontId="13"/>
  </si>
  <si>
    <t>ﾀﾝﾄ　ｽﾛｰﾊﾟｰ　ﾘｱｼｰﾄ付仕様</t>
    <rPh sb="16" eb="17">
      <t>ツ</t>
    </rPh>
    <phoneticPr fontId="13"/>
  </si>
  <si>
    <t>23/4</t>
    <phoneticPr fontId="13"/>
  </si>
  <si>
    <t>ﾜｺﾞﾝR　ﾘﾐﾃｯﾄﾞ</t>
    <phoneticPr fontId="13"/>
  </si>
  <si>
    <t>26/3</t>
    <phoneticPr fontId="13"/>
  </si>
  <si>
    <t>ﾋﾟﾝｸ</t>
    <phoneticPr fontId="13"/>
  </si>
  <si>
    <t>ﾜｺﾞﾝR　FXｾｯﾄｵﾌﾟｼｮﾝ</t>
    <phoneticPr fontId="13"/>
  </si>
  <si>
    <t>31/4</t>
    <phoneticPr fontId="13"/>
  </si>
  <si>
    <t>紺</t>
    <rPh sb="0" eb="1">
      <t>コン</t>
    </rPh>
    <phoneticPr fontId="13"/>
  </si>
  <si>
    <t>CX-3　20SﾌﾟﾛｱｸﾃｨﾌﾞSﾊﾟｯｹｰｼﾞ</t>
    <phoneticPr fontId="13"/>
  </si>
  <si>
    <t>29/1</t>
    <phoneticPr fontId="13"/>
  </si>
  <si>
    <t>ﾌﾞﾙｰ</t>
    <phoneticPr fontId="13"/>
  </si>
  <si>
    <t>ｱﾙﾄ　L</t>
    <phoneticPr fontId="13"/>
  </si>
  <si>
    <t>29/3</t>
    <phoneticPr fontId="13"/>
  </si>
  <si>
    <t>NV350ｷｬﾗﾊﾞﾝ　ﾌﾟﾚﾐｱﾑGX</t>
    <phoneticPr fontId="13"/>
  </si>
  <si>
    <t>3/1</t>
    <phoneticPr fontId="13"/>
  </si>
  <si>
    <t>ﾑｰｳﾞ　L SaⅢ</t>
    <phoneticPr fontId="13"/>
  </si>
  <si>
    <t>24/6</t>
    <phoneticPr fontId="13"/>
  </si>
  <si>
    <t>ｲﾝﾌﾟﾚｯｻWRX　STI</t>
    <phoneticPr fontId="13"/>
  </si>
  <si>
    <t>WDD2052772F793296</t>
    <phoneticPr fontId="13"/>
  </si>
  <si>
    <t>27/4</t>
    <phoneticPr fontId="13"/>
  </si>
  <si>
    <t>SALGA2VE7EA186514</t>
    <phoneticPr fontId="13"/>
  </si>
  <si>
    <t>1/10</t>
    <phoneticPr fontId="13"/>
  </si>
  <si>
    <t>WBATX32060LG60324</t>
    <phoneticPr fontId="13"/>
  </si>
  <si>
    <t>8/10</t>
    <phoneticPr fontId="13"/>
  </si>
  <si>
    <t>福井　333　ほ　418</t>
    <rPh sb="0" eb="2">
      <t>フクイ</t>
    </rPh>
    <phoneticPr fontId="13"/>
  </si>
  <si>
    <t>24/7</t>
    <phoneticPr fontId="13"/>
  </si>
  <si>
    <t>赤</t>
    <rPh sb="0" eb="1">
      <t>アカ</t>
    </rPh>
    <phoneticPr fontId="13"/>
  </si>
  <si>
    <t>R</t>
    <phoneticPr fontId="13"/>
  </si>
  <si>
    <t>3/8</t>
    <phoneticPr fontId="13"/>
  </si>
  <si>
    <t>8/8/22</t>
    <phoneticPr fontId="13"/>
  </si>
  <si>
    <t>2/10</t>
    <phoneticPr fontId="13"/>
  </si>
  <si>
    <t>9/10/21</t>
    <phoneticPr fontId="13"/>
  </si>
  <si>
    <t>ｱｲﾎﾞﾘｰ</t>
    <phoneticPr fontId="13"/>
  </si>
  <si>
    <t>28/7</t>
    <phoneticPr fontId="13"/>
  </si>
  <si>
    <t>9/2/19</t>
    <phoneticPr fontId="13"/>
  </si>
  <si>
    <t>6/4</t>
    <phoneticPr fontId="13"/>
  </si>
  <si>
    <t>ﾃﾞﾆﾑﾌﾞﾙｰ</t>
    <phoneticPr fontId="13"/>
  </si>
  <si>
    <t>10/4/16</t>
    <phoneticPr fontId="13"/>
  </si>
  <si>
    <t>2/11</t>
    <phoneticPr fontId="13"/>
  </si>
  <si>
    <t>9/11/26</t>
    <phoneticPr fontId="13"/>
  </si>
  <si>
    <t>29/</t>
    <phoneticPr fontId="13"/>
  </si>
  <si>
    <t>9/9/4</t>
    <phoneticPr fontId="13"/>
  </si>
  <si>
    <t>28/6</t>
    <phoneticPr fontId="13"/>
  </si>
  <si>
    <t>1/8</t>
    <phoneticPr fontId="13"/>
  </si>
  <si>
    <t>2/12</t>
    <phoneticPr fontId="13"/>
  </si>
  <si>
    <t>2/1</t>
    <phoneticPr fontId="13"/>
  </si>
  <si>
    <t>ｽﾍﾟｰｼｱｷﾞｱ　ﾊｲﾌﾞﾘｯﾄﾞXZ</t>
    <phoneticPr fontId="13"/>
  </si>
  <si>
    <t>9/1/26</t>
    <phoneticPr fontId="13"/>
  </si>
  <si>
    <t>3//4</t>
    <phoneticPr fontId="13"/>
  </si>
  <si>
    <t>25/3</t>
    <phoneticPr fontId="13"/>
  </si>
  <si>
    <t>3/3</t>
    <phoneticPr fontId="13"/>
  </si>
  <si>
    <t>30/3</t>
    <phoneticPr fontId="13"/>
  </si>
  <si>
    <t>9/3/26</t>
    <phoneticPr fontId="13"/>
  </si>
  <si>
    <t>28/11</t>
    <phoneticPr fontId="13"/>
  </si>
  <si>
    <t>29/6</t>
    <phoneticPr fontId="13"/>
  </si>
  <si>
    <t>8/6/25</t>
    <phoneticPr fontId="13"/>
  </si>
  <si>
    <t>25/5</t>
    <phoneticPr fontId="13"/>
  </si>
  <si>
    <t>27/11</t>
    <phoneticPr fontId="13"/>
  </si>
  <si>
    <t>29/5</t>
    <phoneticPr fontId="13"/>
  </si>
  <si>
    <t>ﾌﾞﾗｳﾝ</t>
    <phoneticPr fontId="13"/>
  </si>
  <si>
    <t>WMWLN720402F25801</t>
    <phoneticPr fontId="13"/>
  </si>
  <si>
    <t>1/12</t>
    <phoneticPr fontId="13"/>
  </si>
  <si>
    <t>8/12</t>
    <phoneticPr fontId="13"/>
  </si>
  <si>
    <t>3/6</t>
    <phoneticPr fontId="13"/>
  </si>
  <si>
    <t>W1K2470842J268230</t>
    <phoneticPr fontId="13"/>
  </si>
  <si>
    <t>8/6/10</t>
    <phoneticPr fontId="13"/>
  </si>
  <si>
    <t>山口　331　す　2210</t>
    <rPh sb="0" eb="2">
      <t>ヤマグチ</t>
    </rPh>
    <phoneticPr fontId="13"/>
  </si>
  <si>
    <t>2/8</t>
    <phoneticPr fontId="13"/>
  </si>
  <si>
    <t>ﾊｲﾗｯｸｽ　　Z</t>
    <phoneticPr fontId="13"/>
  </si>
  <si>
    <t>8/6</t>
    <phoneticPr fontId="13"/>
  </si>
  <si>
    <t>神戸　133　に　55</t>
    <rPh sb="0" eb="2">
      <t>コウベ</t>
    </rPh>
    <phoneticPr fontId="13"/>
  </si>
  <si>
    <t>6/8</t>
    <phoneticPr fontId="13"/>
  </si>
  <si>
    <t>9/8/18</t>
    <phoneticPr fontId="13"/>
  </si>
  <si>
    <t>鳥取　501　す　1744</t>
    <rPh sb="0" eb="2">
      <t>トットリ</t>
    </rPh>
    <phoneticPr fontId="13"/>
  </si>
  <si>
    <t>1/7</t>
    <phoneticPr fontId="13"/>
  </si>
  <si>
    <t>8/7</t>
    <phoneticPr fontId="13"/>
  </si>
  <si>
    <t>なにわ　536　む　323</t>
    <phoneticPr fontId="13"/>
  </si>
  <si>
    <t>3/2</t>
    <phoneticPr fontId="13"/>
  </si>
  <si>
    <t>13/10</t>
    <phoneticPr fontId="13"/>
  </si>
  <si>
    <t>9/3</t>
    <phoneticPr fontId="13"/>
  </si>
  <si>
    <t>岡山　51　つ　6383</t>
    <rPh sb="0" eb="2">
      <t>オカヤマ</t>
    </rPh>
    <phoneticPr fontId="13"/>
  </si>
  <si>
    <t>3/5</t>
    <phoneticPr fontId="13"/>
  </si>
  <si>
    <t>YV1XZK9MCM2559836</t>
    <phoneticPr fontId="13"/>
  </si>
  <si>
    <t>8/5/23</t>
    <phoneticPr fontId="13"/>
  </si>
  <si>
    <t>神戸　303　わ　3351</t>
    <rPh sb="0" eb="2">
      <t>コウベ</t>
    </rPh>
    <phoneticPr fontId="13"/>
  </si>
  <si>
    <t>ｱﾊﾞﾙﾄ595　ｺﾝﾍﾟﾃｨﾂｨｵｰﾈ　ﾊﾟﾌｫｰﾏﾝｽP</t>
    <phoneticPr fontId="13"/>
  </si>
  <si>
    <t>8/9/16</t>
    <phoneticPr fontId="13"/>
  </si>
  <si>
    <t>岡山　532　る　595</t>
    <rPh sb="0" eb="2">
      <t>オカヤマ</t>
    </rPh>
    <phoneticPr fontId="13"/>
  </si>
  <si>
    <t>1/6</t>
    <phoneticPr fontId="13"/>
  </si>
  <si>
    <t>WBATX32060L59805</t>
    <phoneticPr fontId="13"/>
  </si>
  <si>
    <t>8/6/27</t>
    <phoneticPr fontId="13"/>
  </si>
  <si>
    <t>和歌山　330　ち　1856</t>
    <rPh sb="0" eb="3">
      <t>ワカヤマ</t>
    </rPh>
    <phoneticPr fontId="13"/>
  </si>
  <si>
    <t>3/12</t>
    <phoneticPr fontId="13"/>
  </si>
  <si>
    <t>ZFABF1B82NJF67368</t>
    <phoneticPr fontId="13"/>
  </si>
  <si>
    <t>8/12/21</t>
    <phoneticPr fontId="13"/>
  </si>
  <si>
    <t>広島　537　ひ　528</t>
    <rPh sb="0" eb="2">
      <t>ヒロシマ</t>
    </rPh>
    <phoneticPr fontId="13"/>
  </si>
  <si>
    <t>30/10</t>
    <phoneticPr fontId="13"/>
  </si>
  <si>
    <t>WDD2462422J526473</t>
    <phoneticPr fontId="13"/>
  </si>
  <si>
    <t>9/10/28</t>
    <phoneticPr fontId="13"/>
  </si>
  <si>
    <t>29/2</t>
    <phoneticPr fontId="13"/>
  </si>
  <si>
    <t>WBAJA52050G454647</t>
    <phoneticPr fontId="13"/>
  </si>
  <si>
    <t>WBAYH120X0EM94110</t>
    <phoneticPr fontId="13"/>
  </si>
  <si>
    <t>2/9</t>
    <phoneticPr fontId="13"/>
  </si>
  <si>
    <t>ZFA312000JC15886</t>
    <phoneticPr fontId="13"/>
  </si>
  <si>
    <t>TAA近畿成約ｷｬﾝｾﾙ1925回3143</t>
    <rPh sb="3" eb="5">
      <t>キンキ</t>
    </rPh>
    <rPh sb="5" eb="7">
      <t>セイヤク</t>
    </rPh>
    <rPh sb="16" eb="17">
      <t>カイ</t>
    </rPh>
    <phoneticPr fontId="13"/>
  </si>
  <si>
    <t>大阪 34C ひ 55</t>
    <rPh sb="0" eb="2">
      <t>オオサカ</t>
    </rPh>
    <phoneticPr fontId="13"/>
  </si>
  <si>
    <t>4/19</t>
    <phoneticPr fontId="13"/>
  </si>
  <si>
    <t>名古屋 342 み 2727</t>
    <rPh sb="0" eb="3">
      <t>ナゴヤ</t>
    </rPh>
    <phoneticPr fontId="13"/>
  </si>
  <si>
    <t>品川 39A も 4977</t>
    <rPh sb="0" eb="2">
      <t>シナガワ</t>
    </rPh>
    <phoneticPr fontId="13"/>
  </si>
  <si>
    <t>愛媛 340 ろ 1126</t>
    <rPh sb="0" eb="2">
      <t>エヒメ</t>
    </rPh>
    <phoneticPr fontId="13"/>
  </si>
  <si>
    <t>ﾚｸｻｽ松山城北株式会社</t>
    <rPh sb="4" eb="6">
      <t>マツヤマ</t>
    </rPh>
    <rPh sb="6" eb="8">
      <t>ジョウホク</t>
    </rPh>
    <rPh sb="8" eb="12">
      <t>カブシキガイシャ</t>
    </rPh>
    <phoneticPr fontId="13"/>
  </si>
  <si>
    <t>福山 342 ほ 23</t>
    <rPh sb="0" eb="2">
      <t>フクヤマ</t>
    </rPh>
    <phoneticPr fontId="13"/>
  </si>
  <si>
    <t>愛媛 330 つ 1094</t>
    <rPh sb="0" eb="2">
      <t>エヒメ</t>
    </rPh>
    <phoneticPr fontId="13"/>
  </si>
  <si>
    <t>なにわ 479 や 9277</t>
    <phoneticPr fontId="13"/>
  </si>
  <si>
    <t>品川 49A た 1822</t>
    <rPh sb="0" eb="2">
      <t>シナガワ</t>
    </rPh>
    <phoneticPr fontId="13"/>
  </si>
  <si>
    <t>京都 583 ふ 1257</t>
    <rPh sb="0" eb="2">
      <t>キョウト</t>
    </rPh>
    <phoneticPr fontId="13"/>
  </si>
  <si>
    <t>神戸 39A ち 186</t>
    <rPh sb="0" eb="2">
      <t>コウベ</t>
    </rPh>
    <phoneticPr fontId="13"/>
  </si>
  <si>
    <t>和歌山 501 た 4136</t>
    <rPh sb="0" eb="3">
      <t>ワカヤマ</t>
    </rPh>
    <phoneticPr fontId="13"/>
  </si>
  <si>
    <t>保証書 取説 ﾅﾋﾞ取 ﾏｲｸﾛSD ﾐﾆB-CAS ｷｰﾚｽ</t>
    <rPh sb="0" eb="3">
      <t>ホショウショ</t>
    </rPh>
    <rPh sb="4" eb="6">
      <t>トリセツ</t>
    </rPh>
    <rPh sb="10" eb="11">
      <t>トリ</t>
    </rPh>
    <phoneticPr fontId="13"/>
  </si>
  <si>
    <t>神戸 799 ら 6411</t>
    <rPh sb="0" eb="2">
      <t>コウベ</t>
    </rPh>
    <phoneticPr fontId="13"/>
  </si>
  <si>
    <t>保証書 取説 ｷｰﾚｽ ﾅﾋﾞ取 SD2個</t>
    <rPh sb="0" eb="3">
      <t>ホショウショ</t>
    </rPh>
    <rPh sb="4" eb="6">
      <t>トリセツ</t>
    </rPh>
    <rPh sb="15" eb="16">
      <t>トリ</t>
    </rPh>
    <rPh sb="20" eb="21">
      <t>コ</t>
    </rPh>
    <phoneticPr fontId="13"/>
  </si>
  <si>
    <t>なにわ 480 ね 1005</t>
    <phoneticPr fontId="13"/>
  </si>
  <si>
    <t>保証書 取説 SD ﾐﾆB-CAS ﾅﾝﾊﾞｰ</t>
    <rPh sb="0" eb="3">
      <t>ホショウショ</t>
    </rPh>
    <rPh sb="4" eb="6">
      <t>トリセツ</t>
    </rPh>
    <phoneticPr fontId="13"/>
  </si>
  <si>
    <t>保証書 取説 荷台の鍵</t>
    <rPh sb="0" eb="3">
      <t>ホショウショ</t>
    </rPh>
    <rPh sb="4" eb="6">
      <t>トリセツ</t>
    </rPh>
    <rPh sb="7" eb="9">
      <t>ニダイ</t>
    </rPh>
    <rPh sb="10" eb="11">
      <t>カギ</t>
    </rPh>
    <phoneticPr fontId="13"/>
  </si>
  <si>
    <t>広島 331 ろ 3715</t>
    <rPh sb="0" eb="2">
      <t>ヒロシマ</t>
    </rPh>
    <phoneticPr fontId="13"/>
  </si>
  <si>
    <t>吉岡 龍大</t>
    <rPh sb="0" eb="2">
      <t>ヨシオカ</t>
    </rPh>
    <rPh sb="3" eb="4">
      <t>リュウ</t>
    </rPh>
    <rPh sb="4" eb="5">
      <t>ダイ</t>
    </rPh>
    <phoneticPr fontId="13"/>
  </si>
  <si>
    <t>非課税TEL済 よしのさん</t>
    <rPh sb="0" eb="3">
      <t>ヒカゼイ</t>
    </rPh>
    <rPh sb="6" eb="7">
      <t>ズ</t>
    </rPh>
    <phoneticPr fontId="13"/>
  </si>
  <si>
    <t>ﾏｲｸﾛ地図SD(車内)保証書 取説 ﾜﾝｵｰﾅｰ 印鑑証明6/25</t>
    <rPh sb="12" eb="15">
      <t>ホショウショ</t>
    </rPh>
    <rPh sb="16" eb="18">
      <t>トリセツ</t>
    </rPh>
    <rPh sb="26" eb="30">
      <t>インカンショウメイ</t>
    </rPh>
    <phoneticPr fontId="13"/>
  </si>
  <si>
    <t>保証書 取説 ｷｰﾚｽ 地図SD (車内)</t>
    <rPh sb="0" eb="3">
      <t>ホショウショ</t>
    </rPh>
    <rPh sb="4" eb="6">
      <t>トリセツ</t>
    </rPh>
    <rPh sb="12" eb="14">
      <t>チズ</t>
    </rPh>
    <phoneticPr fontId="13"/>
  </si>
  <si>
    <t xml:space="preserve">取説 ｷｰﾚｽ 地図SD(車内)保証書 </t>
    <rPh sb="0" eb="2">
      <t>トリセツ</t>
    </rPh>
    <rPh sb="8" eb="10">
      <t>チズ</t>
    </rPh>
    <rPh sb="16" eb="19">
      <t>ホショウショ</t>
    </rPh>
    <phoneticPr fontId="13"/>
  </si>
  <si>
    <t>取説 ｽﾍﾟｱｷｰ 地図SD(車内)保証書</t>
    <rPh sb="0" eb="2">
      <t>トリセツ</t>
    </rPh>
    <rPh sb="10" eb="12">
      <t>チズ</t>
    </rPh>
    <rPh sb="18" eb="21">
      <t>ホショウショ</t>
    </rPh>
    <phoneticPr fontId="13"/>
  </si>
  <si>
    <t>582 う 7606</t>
    <phoneticPr fontId="13"/>
  </si>
  <si>
    <t>582 う 7605</t>
    <phoneticPr fontId="13"/>
  </si>
  <si>
    <t>582 う 7604</t>
    <phoneticPr fontId="13"/>
  </si>
  <si>
    <t>582 う 7603</t>
    <phoneticPr fontId="13"/>
  </si>
  <si>
    <t>582 う 7602</t>
    <phoneticPr fontId="13"/>
  </si>
  <si>
    <t>582 う 7601</t>
    <phoneticPr fontId="13"/>
  </si>
  <si>
    <t>582 う 7600</t>
    <phoneticPr fontId="13"/>
  </si>
  <si>
    <t>582 う 7599</t>
    <phoneticPr fontId="13"/>
  </si>
  <si>
    <t>582 う 7598</t>
    <phoneticPr fontId="13"/>
  </si>
  <si>
    <t>582 う 7597</t>
    <phoneticPr fontId="13"/>
  </si>
  <si>
    <t>582 う 7596</t>
    <phoneticPr fontId="13"/>
  </si>
  <si>
    <t>480 ね 5681</t>
    <phoneticPr fontId="13"/>
  </si>
  <si>
    <t>練馬 583 か 2483</t>
    <rPh sb="0" eb="2">
      <t>ネリマ</t>
    </rPh>
    <phoneticPr fontId="13"/>
  </si>
  <si>
    <t>樋口 大志</t>
    <rPh sb="0" eb="2">
      <t>ヒグチ</t>
    </rPh>
    <rPh sb="3" eb="5">
      <t>タイシ</t>
    </rPh>
    <phoneticPr fontId="13"/>
  </si>
  <si>
    <t>27-4194</t>
  </si>
  <si>
    <t>27-4195</t>
  </si>
  <si>
    <t>27-4196</t>
  </si>
  <si>
    <t>27-4197</t>
  </si>
  <si>
    <t>WMW22BU0603N06761</t>
    <phoneticPr fontId="13"/>
  </si>
  <si>
    <t>島根 501 な 4918</t>
    <rPh sb="0" eb="2">
      <t>シマネ</t>
    </rPh>
    <phoneticPr fontId="13"/>
  </si>
  <si>
    <t>27-4198</t>
  </si>
  <si>
    <t>27-4199</t>
  </si>
  <si>
    <t>27-4200</t>
  </si>
  <si>
    <t>27-4201</t>
  </si>
  <si>
    <t>ﾒﾙｾﾃﾞｽﾍﾞﾝﾂ GLCｸﾗｽ 220d 4ﾏﾁｽﾎﾟｰﾂ</t>
    <phoneticPr fontId="13"/>
  </si>
  <si>
    <t>WDC2539052F227098</t>
    <phoneticPr fontId="13"/>
  </si>
  <si>
    <t>WMWXU920102L17517</t>
    <phoneticPr fontId="13"/>
  </si>
  <si>
    <t>沖縄 359 は 358</t>
    <rPh sb="0" eb="2">
      <t>オキナワ</t>
    </rPh>
    <phoneticPr fontId="13"/>
  </si>
  <si>
    <t>WMWZB72020WT67886</t>
    <phoneticPr fontId="13"/>
  </si>
  <si>
    <t>一宮 300 は 2575</t>
    <rPh sb="0" eb="2">
      <t>イチノミヤ</t>
    </rPh>
    <phoneticPr fontId="13"/>
  </si>
  <si>
    <t>WMWYS920X03E58657</t>
    <phoneticPr fontId="13"/>
  </si>
  <si>
    <t>WMWXD32090WT54708</t>
    <phoneticPr fontId="13"/>
  </si>
  <si>
    <t>27-4202</t>
  </si>
  <si>
    <t>WMWXU72010TN42650</t>
    <phoneticPr fontId="13"/>
  </si>
  <si>
    <t>A346415</t>
    <phoneticPr fontId="13"/>
  </si>
  <si>
    <t>ｳｪｲｸ GﾀｰﾎﾞSA2</t>
    <phoneticPr fontId="13"/>
  </si>
  <si>
    <t>LA700S-0091643</t>
    <phoneticPr fontId="13"/>
  </si>
  <si>
    <t>9/4/1</t>
    <phoneticPr fontId="13"/>
  </si>
  <si>
    <t>A346990</t>
    <phoneticPr fontId="13"/>
  </si>
  <si>
    <t>RAV4 ﾊｲﾌﾞﾘｯﾄﾞG</t>
    <phoneticPr fontId="13"/>
  </si>
  <si>
    <t>AXAH54-4013324</t>
    <phoneticPr fontId="13"/>
  </si>
  <si>
    <t>A345858</t>
    <phoneticPr fontId="13"/>
  </si>
  <si>
    <t>C-HR GーT</t>
    <phoneticPr fontId="13"/>
  </si>
  <si>
    <t>NGX10-2018453</t>
    <phoneticPr fontId="13"/>
  </si>
  <si>
    <t>301 の 284</t>
    <phoneticPr fontId="13"/>
  </si>
  <si>
    <t>VWｺﾞﾙﾌ ﾜｺﾞﾝTSIｺﾝﾌｫｰﾄﾗｲﾝ</t>
    <phoneticPr fontId="13"/>
  </si>
  <si>
    <t>神戸 304 ち 528</t>
    <rPh sb="0" eb="2">
      <t>コウベ</t>
    </rPh>
    <phoneticPr fontId="13"/>
  </si>
  <si>
    <t>27-4203</t>
  </si>
  <si>
    <t>ﾎﾝﾀﾞ関西</t>
    <rPh sb="4" eb="6">
      <t>カンサイ</t>
    </rPh>
    <phoneticPr fontId="13"/>
  </si>
  <si>
    <t>31/2</t>
    <phoneticPr fontId="13"/>
  </si>
  <si>
    <t>黒</t>
    <rPh sb="0" eb="1">
      <t>クロ</t>
    </rPh>
    <phoneticPr fontId="13"/>
  </si>
  <si>
    <t>BMW 3ｼﾘｰｽﾞ 330i Mｽﾎﾟｰﾂ</t>
    <phoneticPr fontId="13"/>
  </si>
  <si>
    <t>27-4204</t>
  </si>
  <si>
    <t>27-4205</t>
  </si>
  <si>
    <t>27-4206</t>
  </si>
  <si>
    <t>27-4207</t>
  </si>
  <si>
    <t>和泉 587 か 215</t>
    <rPh sb="0" eb="2">
      <t>イズミ</t>
    </rPh>
    <phoneticPr fontId="13"/>
  </si>
  <si>
    <t>植月 淳太</t>
    <rPh sb="0" eb="2">
      <t>ウエツキ</t>
    </rPh>
    <rPh sb="3" eb="4">
      <t>ジュン</t>
    </rPh>
    <rPh sb="4" eb="5">
      <t>フト</t>
    </rPh>
    <phoneticPr fontId="13"/>
  </si>
  <si>
    <t>4/21</t>
    <phoneticPr fontId="13"/>
  </si>
  <si>
    <t>大阪 303 る 4807</t>
    <rPh sb="0" eb="2">
      <t>オオサカ</t>
    </rPh>
    <phoneticPr fontId="13"/>
  </si>
  <si>
    <t>WMWXU92030TX53067</t>
    <phoneticPr fontId="13"/>
  </si>
  <si>
    <t>なにわ 39A ゆ 3502</t>
    <phoneticPr fontId="13"/>
  </si>
  <si>
    <t>名古屋 360 ち 78</t>
    <rPh sb="0" eb="3">
      <t>ナゴヤ</t>
    </rPh>
    <phoneticPr fontId="13"/>
  </si>
  <si>
    <t>品川 39A た 7352</t>
    <rPh sb="0" eb="2">
      <t>シナガワ</t>
    </rPh>
    <phoneticPr fontId="13"/>
  </si>
  <si>
    <t>品川 49A た 1389</t>
    <rPh sb="0" eb="2">
      <t>シナガワ</t>
    </rPh>
    <phoneticPr fontId="13"/>
  </si>
  <si>
    <t>ｷｰﾚｽ  ﾜﾝｵｰﾅｰ？</t>
    <phoneticPr fontId="13"/>
  </si>
  <si>
    <t>品川 5X4 ろ 1451</t>
    <rPh sb="0" eb="2">
      <t>シナガワ</t>
    </rPh>
    <phoneticPr fontId="13"/>
  </si>
  <si>
    <t>社会福祉法人 来光会</t>
    <rPh sb="0" eb="6">
      <t>シャカイフクシホウジン</t>
    </rPh>
    <rPh sb="7" eb="8">
      <t>ク</t>
    </rPh>
    <rPh sb="8" eb="9">
      <t>ヒカリ</t>
    </rPh>
    <rPh sb="9" eb="10">
      <t>カイ</t>
    </rPh>
    <phoneticPr fontId="13"/>
  </si>
  <si>
    <t>取説 ｷｰﾚｽ(車内)保証書 ｽﾛｰﾊﾟｰﾘﾓｺﾝ</t>
    <rPh sb="0" eb="2">
      <t>トリセツ</t>
    </rPh>
    <rPh sb="11" eb="14">
      <t>ホショウショ</t>
    </rPh>
    <phoneticPr fontId="13"/>
  </si>
  <si>
    <t>富士山 588 ろ 349</t>
    <rPh sb="0" eb="3">
      <t>フジサン</t>
    </rPh>
    <phoneticPr fontId="13"/>
  </si>
  <si>
    <t>株式会社Nexus Fuji</t>
    <rPh sb="0" eb="4">
      <t>カブシキガイシャ</t>
    </rPh>
    <phoneticPr fontId="13"/>
  </si>
  <si>
    <t>多摩 593 ろ 18</t>
    <rPh sb="0" eb="2">
      <t>タマ</t>
    </rPh>
    <phoneticPr fontId="13"/>
  </si>
  <si>
    <t>ｷｰﾚｽ ﾐﾆB-CAS</t>
    <phoneticPr fontId="13"/>
  </si>
  <si>
    <t>岡山 599 に 6423</t>
    <rPh sb="0" eb="2">
      <t>オカヤマ</t>
    </rPh>
    <phoneticPr fontId="13"/>
  </si>
  <si>
    <t>ﾏｲｸﾛ地図SD(車内)取説</t>
    <rPh sb="4" eb="6">
      <t>チズ</t>
    </rPh>
    <rPh sb="12" eb="14">
      <t>トリセツ</t>
    </rPh>
    <phoneticPr fontId="13"/>
  </si>
  <si>
    <t>山口 502 せ 3288</t>
    <rPh sb="0" eb="2">
      <t>ヤマグチ</t>
    </rPh>
    <phoneticPr fontId="13"/>
  </si>
  <si>
    <t>大阪 399 ゆ 6427</t>
    <rPh sb="0" eb="2">
      <t>オオサカ</t>
    </rPh>
    <phoneticPr fontId="13"/>
  </si>
  <si>
    <t>株式会社大衆自動車商会</t>
    <rPh sb="4" eb="6">
      <t>タイシュウ</t>
    </rPh>
    <rPh sb="6" eb="9">
      <t>ジドウシャ</t>
    </rPh>
    <rPh sb="9" eb="11">
      <t>ショウカイ</t>
    </rPh>
    <phoneticPr fontId="13"/>
  </si>
  <si>
    <t>湘南 330 や 2505</t>
    <rPh sb="0" eb="2">
      <t>ショウナン</t>
    </rPh>
    <phoneticPr fontId="13"/>
  </si>
  <si>
    <t>岡山 581 よ 8136</t>
    <rPh sb="0" eb="2">
      <t>オカヤマ</t>
    </rPh>
    <phoneticPr fontId="13"/>
  </si>
  <si>
    <t>岡山 584 す 3016</t>
    <rPh sb="0" eb="2">
      <t>オカヤマ</t>
    </rPh>
    <phoneticPr fontId="13"/>
  </si>
  <si>
    <t>福島 584 え 307</t>
    <rPh sb="0" eb="2">
      <t>フクシマ</t>
    </rPh>
    <phoneticPr fontId="13"/>
  </si>
  <si>
    <t>本田 まゆみ</t>
    <rPh sb="0" eb="2">
      <t>ホンダ</t>
    </rPh>
    <phoneticPr fontId="13"/>
  </si>
  <si>
    <t>川﨑 337 も 516</t>
    <rPh sb="0" eb="2">
      <t>カワサキ</t>
    </rPh>
    <phoneticPr fontId="13"/>
  </si>
  <si>
    <t>渡邉 洋美</t>
    <rPh sb="0" eb="2">
      <t>ワタナベ</t>
    </rPh>
    <rPh sb="3" eb="5">
      <t>ヒロミ</t>
    </rPh>
    <phoneticPr fontId="13"/>
  </si>
  <si>
    <t>27-4208</t>
  </si>
  <si>
    <t>27-4209</t>
  </si>
  <si>
    <t>27-4210</t>
  </si>
  <si>
    <t>27-4211</t>
  </si>
  <si>
    <t>27-4212</t>
  </si>
  <si>
    <t>27-4213</t>
  </si>
  <si>
    <t>27-4214</t>
  </si>
  <si>
    <t>27-4215</t>
  </si>
  <si>
    <t>27-4216</t>
  </si>
  <si>
    <t>27-4217</t>
  </si>
  <si>
    <t>27-4218</t>
  </si>
  <si>
    <t>27-4219</t>
  </si>
  <si>
    <t>27-4221</t>
  </si>
  <si>
    <t>27-4222</t>
  </si>
  <si>
    <t>27-4223</t>
  </si>
  <si>
    <t>27-4224</t>
  </si>
  <si>
    <t>LA650S-0094200</t>
    <phoneticPr fontId="13"/>
  </si>
  <si>
    <t>LA350S-0240331</t>
    <phoneticPr fontId="13"/>
  </si>
  <si>
    <t>LA350S-0337451</t>
    <phoneticPr fontId="13"/>
  </si>
  <si>
    <t>ｴﾌﾞﾘｨﾜｺﾞﾝ　PZﾀｰﾎﾞ　</t>
    <phoneticPr fontId="13"/>
  </si>
  <si>
    <t>DA64W-412712</t>
    <phoneticPr fontId="13"/>
  </si>
  <si>
    <t>N　BOX　Gﾀｰﾎﾞ　Lﾊﾟｯｹｰｼﾞ</t>
    <phoneticPr fontId="13"/>
  </si>
  <si>
    <t>JF1-2413899</t>
    <phoneticPr fontId="13"/>
  </si>
  <si>
    <t>ﾌｨｱｯﾄ500　ｻﾞｯﾌｨﾛ</t>
    <phoneticPr fontId="13"/>
  </si>
  <si>
    <t>BMW320I　ｽﾎﾟｰﾂ</t>
    <phoneticPr fontId="13"/>
  </si>
  <si>
    <t>BMW　X1</t>
    <phoneticPr fontId="13"/>
  </si>
  <si>
    <t>NCP160-0155319</t>
    <phoneticPr fontId="13"/>
  </si>
  <si>
    <t>NHP160-0045743</t>
    <phoneticPr fontId="13"/>
  </si>
  <si>
    <t>LA150S-2107246</t>
    <phoneticPr fontId="13"/>
  </si>
  <si>
    <t>27-4220</t>
    <phoneticPr fontId="13"/>
  </si>
  <si>
    <t>MﾍﾞﾝﾂA45　AMG　4ﾏﾁｯｸ</t>
    <phoneticPr fontId="13"/>
  </si>
  <si>
    <t>LA350S-0251747</t>
    <phoneticPr fontId="13"/>
  </si>
  <si>
    <t>ﾎﾞﾙﾎﾞXC40　T4　AWD　Rﾃﾞｻﾞｲﾝ</t>
    <phoneticPr fontId="13"/>
  </si>
  <si>
    <t>ﾌｨｱｯﾄ500C</t>
    <phoneticPr fontId="13"/>
  </si>
  <si>
    <t>N　VAN+ｽﾀｲﾙ　ｸｰﾙ　ﾎﾝﾀﾞｾﾝｼﾝｸﾞ</t>
    <phoneticPr fontId="13"/>
  </si>
  <si>
    <t>JJ1-1000115</t>
    <phoneticPr fontId="13"/>
  </si>
  <si>
    <t>27-4225</t>
  </si>
  <si>
    <t>27-4226</t>
  </si>
  <si>
    <t>27-4227</t>
  </si>
  <si>
    <t>27-4228</t>
  </si>
  <si>
    <t>27-4229</t>
  </si>
  <si>
    <t>27-4230</t>
  </si>
  <si>
    <t>27-4231</t>
  </si>
  <si>
    <t>27-4232</t>
  </si>
  <si>
    <t>ｽﾏｰﾄ　ﾌｫｰﾌｫｰ</t>
    <phoneticPr fontId="13"/>
  </si>
  <si>
    <t>NCP160-0158567</t>
    <phoneticPr fontId="13"/>
  </si>
  <si>
    <t>BMW320I　MｽﾎﾟｰﾂﾊｲﾗｲﾝP</t>
    <phoneticPr fontId="13"/>
  </si>
  <si>
    <t>WBA53F300508BB76534</t>
    <phoneticPr fontId="13"/>
  </si>
  <si>
    <t>WMWXU72040TR60720</t>
    <phoneticPr fontId="13"/>
  </si>
  <si>
    <t>JF3-1441190</t>
    <phoneticPr fontId="13"/>
  </si>
  <si>
    <t>NHP10-6597739</t>
    <phoneticPr fontId="13"/>
  </si>
  <si>
    <t>ﾐﾗｲｰｽ　X　ﾘﾐﾃｯﾄﾞ　SaⅢ</t>
    <phoneticPr fontId="13"/>
  </si>
  <si>
    <t>LA350S-0242949</t>
    <phoneticPr fontId="13"/>
  </si>
  <si>
    <t>3/3</t>
    <phoneticPr fontId="13"/>
  </si>
  <si>
    <t>白</t>
    <rPh sb="0" eb="1">
      <t>シロ</t>
    </rPh>
    <phoneticPr fontId="13"/>
  </si>
  <si>
    <t>5/3</t>
    <phoneticPr fontId="13"/>
  </si>
  <si>
    <t>24/12</t>
    <phoneticPr fontId="13"/>
  </si>
  <si>
    <t>10/1</t>
    <phoneticPr fontId="13"/>
  </si>
  <si>
    <t>27/11</t>
    <phoneticPr fontId="13"/>
  </si>
  <si>
    <t>8/11</t>
    <phoneticPr fontId="13"/>
  </si>
  <si>
    <t>30/10</t>
    <phoneticPr fontId="13"/>
  </si>
  <si>
    <t>紺</t>
    <rPh sb="0" eb="1">
      <t>コン</t>
    </rPh>
    <phoneticPr fontId="13"/>
  </si>
  <si>
    <t>ZFA3120000JA43768</t>
    <phoneticPr fontId="13"/>
  </si>
  <si>
    <t>29/10</t>
    <phoneticPr fontId="13"/>
  </si>
  <si>
    <t>WBA8A16000NU76004</t>
    <phoneticPr fontId="13"/>
  </si>
  <si>
    <t>30/6</t>
    <phoneticPr fontId="13"/>
  </si>
  <si>
    <t>WBAHT920X05L21734</t>
    <phoneticPr fontId="13"/>
  </si>
  <si>
    <t>9/6</t>
    <phoneticPr fontId="13"/>
  </si>
  <si>
    <t>なにわ　361　と　1717</t>
    <phoneticPr fontId="13"/>
  </si>
  <si>
    <t>2/9</t>
    <phoneticPr fontId="13"/>
  </si>
  <si>
    <t>WMW72BB0202N49654</t>
    <phoneticPr fontId="13"/>
  </si>
  <si>
    <t>3/1</t>
    <phoneticPr fontId="13"/>
  </si>
  <si>
    <t>4/4</t>
    <phoneticPr fontId="13"/>
  </si>
  <si>
    <t>4/1</t>
    <phoneticPr fontId="13"/>
  </si>
  <si>
    <t>29/5</t>
    <phoneticPr fontId="13"/>
  </si>
  <si>
    <t>WMWLN720602F25671</t>
    <phoneticPr fontId="13"/>
  </si>
  <si>
    <t>29/3</t>
    <phoneticPr fontId="13"/>
  </si>
  <si>
    <t>WDD1760522J559538</t>
    <phoneticPr fontId="13"/>
  </si>
  <si>
    <t>1/5</t>
    <phoneticPr fontId="13"/>
  </si>
  <si>
    <t>YV1XZACMCK2143038</t>
    <phoneticPr fontId="13"/>
  </si>
  <si>
    <t>3/2</t>
    <phoneticPr fontId="13"/>
  </si>
  <si>
    <t>ZFA3120000JE30063</t>
    <phoneticPr fontId="13"/>
  </si>
  <si>
    <t>30/7</t>
    <phoneticPr fontId="13"/>
  </si>
  <si>
    <t>黒</t>
    <rPh sb="0" eb="1">
      <t>クロ</t>
    </rPh>
    <phoneticPr fontId="13"/>
  </si>
  <si>
    <t>9/1</t>
    <phoneticPr fontId="13"/>
  </si>
  <si>
    <t>島根　480　そ　9556</t>
    <rPh sb="0" eb="2">
      <t>シマネ</t>
    </rPh>
    <phoneticPr fontId="13"/>
  </si>
  <si>
    <t>30/4</t>
    <phoneticPr fontId="13"/>
  </si>
  <si>
    <t>ｺﾞｰﾙﾄﾞ</t>
    <phoneticPr fontId="13"/>
  </si>
  <si>
    <t>WME4530442Y149254</t>
    <phoneticPr fontId="13"/>
  </si>
  <si>
    <t>3/4</t>
    <phoneticPr fontId="13"/>
  </si>
  <si>
    <t>27-4233</t>
  </si>
  <si>
    <t>27-4234</t>
  </si>
  <si>
    <t>27-4235</t>
  </si>
  <si>
    <t>27-4236</t>
  </si>
  <si>
    <t>USS東北</t>
    <rPh sb="3" eb="5">
      <t>トウホク</t>
    </rPh>
    <phoneticPr fontId="13"/>
  </si>
  <si>
    <t>ｼﾞｭｰｸ　ﾆｽﾓ</t>
    <phoneticPr fontId="13"/>
  </si>
  <si>
    <t>NF15-321618</t>
    <phoneticPr fontId="13"/>
  </si>
  <si>
    <t>USS神戸</t>
    <rPh sb="3" eb="5">
      <t>コウベ</t>
    </rPh>
    <phoneticPr fontId="13"/>
  </si>
  <si>
    <t>ﾚｸｻｽLS500H　Iﾊﾟｯｹｰｼﾞ</t>
    <phoneticPr fontId="13"/>
  </si>
  <si>
    <t>GVF50-6002190</t>
    <phoneticPr fontId="13"/>
  </si>
  <si>
    <t>ﾔﾘｽ　G</t>
    <phoneticPr fontId="13"/>
  </si>
  <si>
    <t>KSP210-0035807</t>
    <phoneticPr fontId="13"/>
  </si>
  <si>
    <t>ﾐﾗｲｰｽ　XﾘﾐﾃｯﾄﾞSaⅢ</t>
    <phoneticPr fontId="13"/>
  </si>
  <si>
    <t>LA350S-0231504</t>
    <phoneticPr fontId="13"/>
  </si>
  <si>
    <t>26/4</t>
    <phoneticPr fontId="13"/>
  </si>
  <si>
    <t>9/4</t>
    <phoneticPr fontId="13"/>
  </si>
  <si>
    <t>盛岡　300　な　5721</t>
    <rPh sb="0" eb="2">
      <t>モリオカ</t>
    </rPh>
    <phoneticPr fontId="13"/>
  </si>
  <si>
    <t>29/12</t>
    <phoneticPr fontId="13"/>
  </si>
  <si>
    <t>9/3/12</t>
    <phoneticPr fontId="13"/>
  </si>
  <si>
    <t>神戸　304　ひ　6686</t>
    <rPh sb="0" eb="2">
      <t>コウベ</t>
    </rPh>
    <phoneticPr fontId="13"/>
  </si>
  <si>
    <t>ｷｬﾝｾﾙ返送4/23</t>
    <rPh sb="5" eb="7">
      <t>ヘンソウ</t>
    </rPh>
    <phoneticPr fontId="13"/>
  </si>
  <si>
    <t>京都 131 な 51</t>
    <rPh sb="0" eb="2">
      <t>キョウト</t>
    </rPh>
    <phoneticPr fontId="13"/>
  </si>
  <si>
    <t>京都ﾄﾖﾀ自動車株式会社</t>
    <rPh sb="0" eb="2">
      <t>キョウト</t>
    </rPh>
    <rPh sb="5" eb="8">
      <t>ジドウシャ</t>
    </rPh>
    <rPh sb="8" eb="12">
      <t>カブシキガイシャ</t>
    </rPh>
    <phoneticPr fontId="13"/>
  </si>
  <si>
    <t>VF34J5FVAFP003713</t>
    <phoneticPr fontId="13"/>
  </si>
  <si>
    <t>27-4237</t>
  </si>
  <si>
    <t>27-4238</t>
  </si>
  <si>
    <t>27-4240</t>
  </si>
  <si>
    <t>CX3 20S ﾌﾟﾛｱｸﾃｨﾌﾞ</t>
    <phoneticPr fontId="13"/>
  </si>
  <si>
    <t>DKEFW-204977</t>
    <phoneticPr fontId="13"/>
  </si>
  <si>
    <t>WMWXN920202D27473</t>
    <phoneticPr fontId="13"/>
  </si>
  <si>
    <t>27-4239</t>
    <phoneticPr fontId="13"/>
  </si>
  <si>
    <t>27-4241</t>
  </si>
  <si>
    <t>YV1ZW10MDK2332438</t>
    <phoneticPr fontId="13"/>
  </si>
  <si>
    <t>ﾌﾟﾛﾎﾞｯｸｽ ﾊｲﾌﾞﾘｯﾄﾞDX</t>
    <phoneticPr fontId="13"/>
  </si>
  <si>
    <t>NHP160-0031326</t>
    <phoneticPr fontId="13"/>
  </si>
  <si>
    <t>富士山 303 ぬ 2052</t>
    <rPh sb="0" eb="3">
      <t>フジサン</t>
    </rPh>
    <phoneticPr fontId="13"/>
  </si>
  <si>
    <t>4/23</t>
    <phoneticPr fontId="13"/>
  </si>
  <si>
    <t>保証書 ｷｰﾚｽ ﾏｲｸﾛSD ﾘﾓｺﾝ</t>
    <rPh sb="0" eb="3">
      <t>ホショウショ</t>
    </rPh>
    <phoneticPr fontId="13"/>
  </si>
  <si>
    <t>鹿児島 536 み 22</t>
    <rPh sb="0" eb="3">
      <t>カゴシマ</t>
    </rPh>
    <phoneticPr fontId="13"/>
  </si>
  <si>
    <t>鹿児島ﾄﾖﾀ自動車株式会社</t>
    <rPh sb="0" eb="3">
      <t>カゴシマ</t>
    </rPh>
    <rPh sb="6" eb="13">
      <t>ジドウシャカブシキガイシャ</t>
    </rPh>
    <phoneticPr fontId="13"/>
  </si>
  <si>
    <t>山口 334 ふ 316</t>
    <rPh sb="0" eb="2">
      <t>ヤマグチ</t>
    </rPh>
    <phoneticPr fontId="13"/>
  </si>
  <si>
    <t>株式会社ﾍﾞﾙ・ﾋﾞｼﾞｮﾝ</t>
    <rPh sb="0" eb="4">
      <t>カブシキガイシャ</t>
    </rPh>
    <phoneticPr fontId="13"/>
  </si>
  <si>
    <t>ﾏｲｸﾛ地図SD(車内)保証書 取説</t>
    <rPh sb="4" eb="6">
      <t>チズ</t>
    </rPh>
    <rPh sb="9" eb="11">
      <t>シャナイ</t>
    </rPh>
    <rPh sb="12" eb="15">
      <t>ホショウショ</t>
    </rPh>
    <rPh sb="16" eb="18">
      <t>トリセツ</t>
    </rPh>
    <phoneticPr fontId="13"/>
  </si>
  <si>
    <t>神戸 400 み 2561</t>
    <rPh sb="0" eb="2">
      <t>コウベ</t>
    </rPh>
    <phoneticPr fontId="13"/>
  </si>
  <si>
    <t>多摩 799 ふ 2362</t>
    <rPh sb="0" eb="2">
      <t>タマ</t>
    </rPh>
    <phoneticPr fontId="13"/>
  </si>
  <si>
    <t>春日井 310 る 1003</t>
    <rPh sb="0" eb="3">
      <t>カスガイ</t>
    </rPh>
    <phoneticPr fontId="13"/>
  </si>
  <si>
    <t>服部 友輔</t>
    <rPh sb="0" eb="2">
      <t>ハットリ</t>
    </rPh>
    <rPh sb="3" eb="4">
      <t>トモ</t>
    </rPh>
    <rPh sb="4" eb="5">
      <t>スケ</t>
    </rPh>
    <phoneticPr fontId="13"/>
  </si>
  <si>
    <t xml:space="preserve">保証書 取説 ﾅﾋﾞ取 ｷｰﾚｽ ﾏｲｸﾛSD </t>
    <rPh sb="0" eb="3">
      <t>ホショウショ</t>
    </rPh>
    <rPh sb="4" eb="6">
      <t>トリセツ</t>
    </rPh>
    <rPh sb="10" eb="11">
      <t>トリ</t>
    </rPh>
    <phoneticPr fontId="13"/>
  </si>
  <si>
    <t>岐阜 303 す 8562</t>
    <rPh sb="0" eb="2">
      <t>ギフ</t>
    </rPh>
    <phoneticPr fontId="13"/>
  </si>
  <si>
    <t>保証書 取説 ｷｰﾚｽ ロックナット</t>
    <rPh sb="0" eb="3">
      <t>ホショウショ</t>
    </rPh>
    <rPh sb="4" eb="6">
      <t>トリセツ</t>
    </rPh>
    <phoneticPr fontId="13"/>
  </si>
  <si>
    <t>藤崎 紀子</t>
    <rPh sb="0" eb="2">
      <t>フジサキ</t>
    </rPh>
    <rPh sb="3" eb="5">
      <t>ノリコ</t>
    </rPh>
    <phoneticPr fontId="13"/>
  </si>
  <si>
    <t>福山 480 こ 1754</t>
    <rPh sb="0" eb="2">
      <t>フクヤマ</t>
    </rPh>
    <phoneticPr fontId="13"/>
  </si>
  <si>
    <t>広島 581 も 8068</t>
    <rPh sb="0" eb="2">
      <t>ヒロシマ</t>
    </rPh>
    <phoneticPr fontId="13"/>
  </si>
  <si>
    <t>藤岡 昭則</t>
    <rPh sb="0" eb="2">
      <t>フジオカ</t>
    </rPh>
    <rPh sb="3" eb="5">
      <t>アキノリ</t>
    </rPh>
    <phoneticPr fontId="13"/>
  </si>
  <si>
    <t>愛媛 337 た 1000</t>
    <rPh sb="0" eb="2">
      <t>エヒメ</t>
    </rPh>
    <phoneticPr fontId="13"/>
  </si>
  <si>
    <t>武田 大我</t>
    <rPh sb="0" eb="2">
      <t>タケダ</t>
    </rPh>
    <rPh sb="3" eb="5">
      <t>タイガ</t>
    </rPh>
    <phoneticPr fontId="13"/>
  </si>
  <si>
    <t>ｽﾏｰﾄｷｰ ﾏｲｸﾛSD</t>
    <phoneticPr fontId="13"/>
  </si>
  <si>
    <t>鳥取 580 む 4580</t>
    <rPh sb="0" eb="2">
      <t>トットリ</t>
    </rPh>
    <phoneticPr fontId="13"/>
  </si>
  <si>
    <t>岡山 399 な 6543</t>
    <rPh sb="0" eb="2">
      <t>オカヤマ</t>
    </rPh>
    <phoneticPr fontId="13"/>
  </si>
  <si>
    <t>DUO岡山株式会社</t>
    <rPh sb="3" eb="5">
      <t>オカヤマ</t>
    </rPh>
    <rPh sb="5" eb="9">
      <t>カブシキガイシャ</t>
    </rPh>
    <phoneticPr fontId="13"/>
  </si>
  <si>
    <t>保証書 取説 ｷｰ ﾘﾓｺﾝ</t>
    <rPh sb="0" eb="3">
      <t>ホショウショ</t>
    </rPh>
    <rPh sb="4" eb="6">
      <t>トリセツ</t>
    </rPh>
    <phoneticPr fontId="13"/>
  </si>
  <si>
    <t>井原 健太</t>
    <rPh sb="0" eb="2">
      <t>イハラ</t>
    </rPh>
    <rPh sb="3" eb="5">
      <t>ケンタ</t>
    </rPh>
    <phoneticPr fontId="13"/>
  </si>
  <si>
    <t>大阪 583 こ 6778</t>
    <rPh sb="0" eb="2">
      <t>オオサカ</t>
    </rPh>
    <phoneticPr fontId="13"/>
  </si>
  <si>
    <t>坂本 和也</t>
    <rPh sb="0" eb="2">
      <t>サカモト</t>
    </rPh>
    <rPh sb="3" eb="5">
      <t>カズヤ</t>
    </rPh>
    <phoneticPr fontId="13"/>
  </si>
  <si>
    <t>久留米 332 と 634</t>
    <rPh sb="0" eb="3">
      <t>クルメ</t>
    </rPh>
    <phoneticPr fontId="13"/>
  </si>
  <si>
    <t>株式会社TAKEZO</t>
    <rPh sb="0" eb="4">
      <t>カブシキガイシャ</t>
    </rPh>
    <phoneticPr fontId="13"/>
  </si>
  <si>
    <t>保証書 取説 ｷｰﾚｽ ﾜﾝｵｰﾅｰ 印鑑証明7/8</t>
    <rPh sb="0" eb="3">
      <t>ホショウショ</t>
    </rPh>
    <rPh sb="4" eb="6">
      <t>トリセツ</t>
    </rPh>
    <rPh sb="19" eb="23">
      <t>インカンショウメイ</t>
    </rPh>
    <phoneticPr fontId="13"/>
  </si>
  <si>
    <t>神戸 35M な 8008</t>
    <rPh sb="0" eb="2">
      <t>コウベ</t>
    </rPh>
    <phoneticPr fontId="13"/>
  </si>
  <si>
    <t>興津 庄吾</t>
    <rPh sb="0" eb="2">
      <t>オキツ</t>
    </rPh>
    <rPh sb="3" eb="4">
      <t>ショウ</t>
    </rPh>
    <rPh sb="4" eb="5">
      <t>ワ</t>
    </rPh>
    <phoneticPr fontId="13"/>
  </si>
  <si>
    <t>保証書 取説 ｷｰﾚｽ ﾜﾝｵｰﾅｰ 印鑑証明7/14</t>
    <rPh sb="0" eb="3">
      <t>ホショウショ</t>
    </rPh>
    <rPh sb="4" eb="6">
      <t>トリセツ</t>
    </rPh>
    <rPh sb="19" eb="23">
      <t>インカンショウメイ</t>
    </rPh>
    <phoneticPr fontId="13"/>
  </si>
  <si>
    <t>YV1XZK9MCM2490425</t>
    <phoneticPr fontId="13"/>
  </si>
  <si>
    <t>神戸 39A そ 7052</t>
    <rPh sb="0" eb="2">
      <t>コウベ</t>
    </rPh>
    <phoneticPr fontId="13"/>
  </si>
  <si>
    <t>川口 399 そ 4503</t>
    <rPh sb="0" eb="2">
      <t>カワグチ</t>
    </rPh>
    <phoneticPr fontId="13"/>
  </si>
  <si>
    <t>ﾈｯﾂﾄﾖﾀ東埼玉株式会社</t>
    <rPh sb="6" eb="7">
      <t>ヒガシ</t>
    </rPh>
    <rPh sb="7" eb="9">
      <t>サイタマ</t>
    </rPh>
    <rPh sb="9" eb="13">
      <t>カブシキガイシャ</t>
    </rPh>
    <phoneticPr fontId="13"/>
  </si>
  <si>
    <t>江東 300 そ 1139</t>
    <rPh sb="0" eb="2">
      <t>エトウ</t>
    </rPh>
    <phoneticPr fontId="13"/>
  </si>
  <si>
    <t>名古屋 394 の 22</t>
    <rPh sb="0" eb="3">
      <t>ナゴヤ</t>
    </rPh>
    <phoneticPr fontId="13"/>
  </si>
  <si>
    <t>株式会社ｲｼﾂﾞｶ</t>
    <rPh sb="0" eb="4">
      <t>カブシキガイシャ</t>
    </rPh>
    <phoneticPr fontId="13"/>
  </si>
  <si>
    <t>保証書 取説 ﾅﾋﾞ取 ﾍｯﾄﾞﾌｫﾝ ｷｰﾚｽ</t>
    <rPh sb="0" eb="3">
      <t>ホショウショ</t>
    </rPh>
    <rPh sb="4" eb="6">
      <t>トリセツ</t>
    </rPh>
    <rPh sb="10" eb="11">
      <t>トリ</t>
    </rPh>
    <phoneticPr fontId="13"/>
  </si>
  <si>
    <t>奈良 330 は 7727</t>
    <rPh sb="0" eb="2">
      <t>ナラ</t>
    </rPh>
    <phoneticPr fontId="13"/>
  </si>
  <si>
    <t>株式会社ﾐﾅﾐｼﾏ自動車販売</t>
    <rPh sb="0" eb="4">
      <t>カブシキガイシャ</t>
    </rPh>
    <rPh sb="9" eb="14">
      <t>ジドウシャハンバイ</t>
    </rPh>
    <phoneticPr fontId="13"/>
  </si>
  <si>
    <t>保証書(保証蘭車番なしﾃﾞｨｰﾗｰ印角印あり) 取説 ｷｰﾚｽ</t>
    <rPh sb="0" eb="3">
      <t>ホショウショ</t>
    </rPh>
    <rPh sb="4" eb="7">
      <t>ホショウラン</t>
    </rPh>
    <rPh sb="7" eb="9">
      <t>シャバン</t>
    </rPh>
    <rPh sb="17" eb="18">
      <t>イン</t>
    </rPh>
    <rPh sb="18" eb="20">
      <t>カクイン</t>
    </rPh>
    <rPh sb="24" eb="26">
      <t>トリセツ</t>
    </rPh>
    <phoneticPr fontId="13"/>
  </si>
  <si>
    <t>ｷｰﾚｽ(車内)取説 ﾜﾝｵｰﾅｰ</t>
    <rPh sb="5" eb="7">
      <t>シャナイ</t>
    </rPh>
    <rPh sb="8" eb="10">
      <t>トリセツ</t>
    </rPh>
    <phoneticPr fontId="13"/>
  </si>
  <si>
    <t>27-4242</t>
  </si>
  <si>
    <t>27-4243</t>
  </si>
  <si>
    <t>27-4244</t>
  </si>
  <si>
    <t>27-4245</t>
  </si>
  <si>
    <t>ZiP大阪</t>
    <rPh sb="3" eb="5">
      <t>オオサカ</t>
    </rPh>
    <phoneticPr fontId="13"/>
  </si>
  <si>
    <t>27-4246</t>
  </si>
  <si>
    <t>5/6</t>
    <phoneticPr fontId="13"/>
  </si>
  <si>
    <t xml:space="preserve">ﾒﾙｾﾃﾞｽﾍﾞﾝﾂ GLCｸﾗｽ 220d </t>
    <phoneticPr fontId="13"/>
  </si>
  <si>
    <t>W1K1186122N373809</t>
    <phoneticPr fontId="13"/>
  </si>
  <si>
    <t>8/6</t>
    <phoneticPr fontId="13"/>
  </si>
  <si>
    <t>大阪 304 た 2693</t>
    <rPh sb="0" eb="2">
      <t>オオサカ</t>
    </rPh>
    <phoneticPr fontId="13"/>
  </si>
  <si>
    <t>3/3</t>
    <phoneticPr fontId="13"/>
  </si>
  <si>
    <t>ｱｳﾃﾞｨA3 ｾﾀﾞﾝ 30TFSI</t>
    <phoneticPr fontId="13"/>
  </si>
  <si>
    <t>WAUZZZ8V1LA074380</t>
    <phoneticPr fontId="13"/>
  </si>
  <si>
    <t>30/6</t>
    <phoneticPr fontId="13"/>
  </si>
  <si>
    <t>白</t>
    <rPh sb="0" eb="1">
      <t>シロ</t>
    </rPh>
    <phoneticPr fontId="13"/>
  </si>
  <si>
    <t>BMW X3 xﾄﾞﾗｲﾌﾞ20d Mｽﾎﾟｰﾂ</t>
    <phoneticPr fontId="13"/>
  </si>
  <si>
    <t>WBATX32070LB25356</t>
    <phoneticPr fontId="13"/>
  </si>
  <si>
    <t>29/3</t>
    <phoneticPr fontId="13"/>
  </si>
  <si>
    <t>黒</t>
    <rPh sb="0" eb="1">
      <t>クロ</t>
    </rPh>
    <phoneticPr fontId="13"/>
  </si>
  <si>
    <t>BMW 523i ﾂｰﾘﾝｸﾞMｽﾎﾟｰﾂ</t>
    <phoneticPr fontId="13"/>
  </si>
  <si>
    <t>WBA5G12060D388328</t>
    <phoneticPr fontId="13"/>
  </si>
  <si>
    <t>27/2</t>
    <phoneticPr fontId="13"/>
  </si>
  <si>
    <t>ﾒﾙｾﾃﾞｽﾍﾞﾝﾂ SL350</t>
    <phoneticPr fontId="13"/>
  </si>
  <si>
    <t>WDD2314572F033176</t>
    <phoneticPr fontId="13"/>
  </si>
  <si>
    <t>HAA神戸(ﾜﾝｸﾘ)</t>
    <rPh sb="3" eb="5">
      <t>コウベ</t>
    </rPh>
    <phoneticPr fontId="13"/>
  </si>
  <si>
    <t>HAA神戸(ﾜﾝｸﾘ)</t>
    <phoneticPr fontId="13"/>
  </si>
  <si>
    <t>27-4247</t>
  </si>
  <si>
    <t>27-4248</t>
  </si>
  <si>
    <t>27-4249</t>
  </si>
  <si>
    <t>27-4250</t>
  </si>
  <si>
    <t>27-4251</t>
  </si>
  <si>
    <t>TAA中部</t>
    <rPh sb="3" eb="5">
      <t>チュウブ</t>
    </rPh>
    <phoneticPr fontId="13"/>
  </si>
  <si>
    <t>5/4</t>
    <phoneticPr fontId="13"/>
  </si>
  <si>
    <t>ﾐﾗｲｰｽ Xﾘﾐﾃｯﾄﾞ SA3</t>
    <phoneticPr fontId="13"/>
  </si>
  <si>
    <t>LA350S-0336354</t>
    <phoneticPr fontId="13"/>
  </si>
  <si>
    <t>3/1</t>
    <phoneticPr fontId="13"/>
  </si>
  <si>
    <t>ﾌﾟﾛﾎﾞｯｸｽ DXｺﾝﾌｫｰﾄ</t>
    <phoneticPr fontId="13"/>
  </si>
  <si>
    <t>NSP160-0057661</t>
    <phoneticPr fontId="13"/>
  </si>
  <si>
    <t>3/4</t>
    <phoneticPr fontId="13"/>
  </si>
  <si>
    <t>NCP160-0158745</t>
    <phoneticPr fontId="13"/>
  </si>
  <si>
    <t>NCP160-0154377</t>
    <phoneticPr fontId="13"/>
  </si>
  <si>
    <t>NSP160-0059673</t>
    <phoneticPr fontId="13"/>
  </si>
  <si>
    <t>高松 310 す 8852</t>
    <rPh sb="0" eb="2">
      <t>タカマツ</t>
    </rPh>
    <phoneticPr fontId="13"/>
  </si>
  <si>
    <t>着</t>
    <phoneticPr fontId="13"/>
  </si>
  <si>
    <t>株式会社ﾈｸｽﾃｰｼﾞ</t>
    <rPh sb="0" eb="4">
      <t>カブシキガイシャ</t>
    </rPh>
    <phoneticPr fontId="13"/>
  </si>
  <si>
    <t>4/23</t>
    <phoneticPr fontId="13"/>
  </si>
  <si>
    <t>ｷｰﾚｽ</t>
    <phoneticPr fontId="13"/>
  </si>
  <si>
    <t>岡山 502 ほ 1898</t>
    <rPh sb="0" eb="2">
      <t>オカヤマ</t>
    </rPh>
    <phoneticPr fontId="13"/>
  </si>
  <si>
    <t>株式会社ｳｫｯｼｭ</t>
    <rPh sb="0" eb="4">
      <t>カブシキガイシャ</t>
    </rPh>
    <phoneticPr fontId="13"/>
  </si>
  <si>
    <t>取説 ｷｰﾚｽ ﾅﾋﾞ取</t>
    <rPh sb="0" eb="2">
      <t>トリセツ</t>
    </rPh>
    <rPh sb="11" eb="12">
      <t>トリ</t>
    </rPh>
    <phoneticPr fontId="13"/>
  </si>
  <si>
    <t>岡山 30Y ゆ 5</t>
    <rPh sb="0" eb="2">
      <t>オカヤマ</t>
    </rPh>
    <phoneticPr fontId="13"/>
  </si>
  <si>
    <t>豊森 雅美</t>
    <rPh sb="0" eb="2">
      <t>トヨモリ</t>
    </rPh>
    <rPh sb="3" eb="5">
      <t>マサミ</t>
    </rPh>
    <phoneticPr fontId="13"/>
  </si>
  <si>
    <t>広島 301 る 6093</t>
    <rPh sb="0" eb="2">
      <t>ヒロシマ</t>
    </rPh>
    <phoneticPr fontId="13"/>
  </si>
  <si>
    <t>福山 584 も 1024</t>
    <rPh sb="0" eb="2">
      <t>フクヤマ</t>
    </rPh>
    <phoneticPr fontId="13"/>
  </si>
  <si>
    <t>ﾌﾟﾚﾐｱ株式会社</t>
    <rPh sb="5" eb="9">
      <t>カブシキガイシャ</t>
    </rPh>
    <phoneticPr fontId="13"/>
  </si>
  <si>
    <t>愛媛 332 ひ 85</t>
    <rPh sb="0" eb="2">
      <t>エヒメ</t>
    </rPh>
    <phoneticPr fontId="13"/>
  </si>
  <si>
    <t>西日本三菱自動車販売株式会社</t>
    <rPh sb="0" eb="14">
      <t>ニシニホンミツビシジドウシャハンバイカブシキガイシャ</t>
    </rPh>
    <phoneticPr fontId="13"/>
  </si>
  <si>
    <t>保証書 取説</t>
    <rPh sb="0" eb="3">
      <t>ホショウショ</t>
    </rPh>
    <rPh sb="4" eb="6">
      <t>トリセツ</t>
    </rPh>
    <phoneticPr fontId="13"/>
  </si>
  <si>
    <t>島根 599 ち 299</t>
    <rPh sb="0" eb="2">
      <t>シマネ</t>
    </rPh>
    <phoneticPr fontId="13"/>
  </si>
  <si>
    <t>保証書 取説 ﾅﾋﾞ取</t>
    <rPh sb="0" eb="3">
      <t>ホショウショ</t>
    </rPh>
    <rPh sb="4" eb="6">
      <t>トリセツ</t>
    </rPh>
    <rPh sb="10" eb="11">
      <t>トリ</t>
    </rPh>
    <phoneticPr fontId="13"/>
  </si>
  <si>
    <t>広島 399 に 4334</t>
    <rPh sb="0" eb="2">
      <t>ヒロシマ</t>
    </rPh>
    <phoneticPr fontId="13"/>
  </si>
  <si>
    <t>株式会社ﾊﾞﾙｺﾑﾓｰﾀｰｽ</t>
    <phoneticPr fontId="13"/>
  </si>
  <si>
    <t>品川 5X4 ろ 95</t>
    <rPh sb="0" eb="2">
      <t>シナガワ</t>
    </rPh>
    <phoneticPr fontId="13"/>
  </si>
  <si>
    <t>株式会社JCM</t>
    <rPh sb="0" eb="4">
      <t>カブシキガイシャ</t>
    </rPh>
    <phoneticPr fontId="13"/>
  </si>
  <si>
    <t>群馬 333 そ 432</t>
    <rPh sb="0" eb="2">
      <t>グンマ</t>
    </rPh>
    <phoneticPr fontId="13"/>
  </si>
  <si>
    <t>株式会社ﾎﾝﾀﾞﾓﾋﾞﾘﾃｨ北関東</t>
    <rPh sb="0" eb="4">
      <t>カブシキガイシャ</t>
    </rPh>
    <rPh sb="14" eb="15">
      <t>キタ</t>
    </rPh>
    <rPh sb="15" eb="17">
      <t>カントウ</t>
    </rPh>
    <phoneticPr fontId="13"/>
  </si>
  <si>
    <t>4/24</t>
    <phoneticPr fontId="13"/>
  </si>
  <si>
    <t>折笠 勝浩</t>
    <rPh sb="0" eb="2">
      <t>オリカサ</t>
    </rPh>
    <rPh sb="3" eb="4">
      <t>カツ</t>
    </rPh>
    <rPh sb="4" eb="5">
      <t>ヒロシ</t>
    </rPh>
    <phoneticPr fontId="13"/>
  </si>
  <si>
    <t>福島 580 ゆ 3678</t>
    <rPh sb="0" eb="2">
      <t>フクシマ</t>
    </rPh>
    <phoneticPr fontId="13"/>
  </si>
  <si>
    <t>保証書 取説 ｷｰﾚｽ ﾜﾝｵｰﾅｰ</t>
    <rPh sb="0" eb="3">
      <t>ホショウショ</t>
    </rPh>
    <rPh sb="4" eb="6">
      <t>トリセツ</t>
    </rPh>
    <phoneticPr fontId="13"/>
  </si>
  <si>
    <t>なにわ 5P9 ろ 4924</t>
    <phoneticPr fontId="13"/>
  </si>
  <si>
    <t>株式会社ｲﾁﾈﾝ</t>
    <rPh sb="0" eb="4">
      <t>カブシキガイシャ</t>
    </rPh>
    <phoneticPr fontId="13"/>
  </si>
  <si>
    <t>なにわ 5X0 ろ 9639</t>
    <phoneticPr fontId="13"/>
  </si>
  <si>
    <t>株式会社はなまる</t>
    <rPh sb="0" eb="4">
      <t>カブシキガイシャ</t>
    </rPh>
    <phoneticPr fontId="13"/>
  </si>
  <si>
    <t>ｽﾍﾟｱｷｰ</t>
    <phoneticPr fontId="13"/>
  </si>
  <si>
    <t>倉敷 583 よ 224</t>
    <rPh sb="0" eb="2">
      <t>クラシキ</t>
    </rPh>
    <phoneticPr fontId="13"/>
  </si>
  <si>
    <t>岡山ﾀﾞｲﾊﾂ販売株式会社</t>
    <rPh sb="0" eb="2">
      <t>オカヤマ</t>
    </rPh>
    <rPh sb="7" eb="13">
      <t>ハンバイカブシキガイシャ</t>
    </rPh>
    <phoneticPr fontId="13"/>
  </si>
  <si>
    <t>取説 ﾅﾋﾞ取 SD ｷｰﾚｽ</t>
    <rPh sb="0" eb="2">
      <t>トリセツ</t>
    </rPh>
    <rPh sb="6" eb="7">
      <t>トリ</t>
    </rPh>
    <phoneticPr fontId="13"/>
  </si>
  <si>
    <t>和歌山 501 ぬ 6433</t>
    <rPh sb="0" eb="3">
      <t>ワカヤマ</t>
    </rPh>
    <phoneticPr fontId="13"/>
  </si>
  <si>
    <t>株式会社加藤工業</t>
    <rPh sb="0" eb="4">
      <t>カブシキガイシャ</t>
    </rPh>
    <rPh sb="4" eb="6">
      <t>カトウ</t>
    </rPh>
    <rPh sb="6" eb="8">
      <t>コウギョウ</t>
    </rPh>
    <phoneticPr fontId="13"/>
  </si>
  <si>
    <t>保証書 取説 ﾅﾋﾞ取 ｽﾍﾟｱｷｰ ﾏｲｸﾛSD</t>
    <rPh sb="0" eb="3">
      <t>ホショウショ</t>
    </rPh>
    <rPh sb="4" eb="6">
      <t>トリセツ</t>
    </rPh>
    <rPh sb="10" eb="11">
      <t>トリ</t>
    </rPh>
    <phoneticPr fontId="13"/>
  </si>
  <si>
    <t>ｷｰﾚｽ(車内)</t>
    <rPh sb="5" eb="7">
      <t>シャナイ</t>
    </rPh>
    <phoneticPr fontId="13"/>
  </si>
  <si>
    <t>株式会社ｵﾘｺｵｰﾄﾘｰｽ</t>
    <rPh sb="0" eb="4">
      <t>カブシキガイシャ</t>
    </rPh>
    <phoneticPr fontId="13"/>
  </si>
  <si>
    <t>山口 580 み 2758</t>
    <rPh sb="0" eb="2">
      <t>ヤマグチ</t>
    </rPh>
    <phoneticPr fontId="13"/>
  </si>
  <si>
    <t>ﾈｯﾂﾄﾖﾀ山口株式会社</t>
    <rPh sb="6" eb="8">
      <t>ヤマグチ</t>
    </rPh>
    <rPh sb="8" eb="12">
      <t>カブシキガイシャ</t>
    </rPh>
    <phoneticPr fontId="13"/>
  </si>
  <si>
    <t>名古屋 333 る 8001</t>
    <rPh sb="0" eb="3">
      <t>ナゴヤ</t>
    </rPh>
    <phoneticPr fontId="13"/>
  </si>
  <si>
    <t>株式会社旭ﾓｰﾀｰｽ</t>
    <rPh sb="0" eb="4">
      <t>カブシキガイシャ</t>
    </rPh>
    <rPh sb="4" eb="5">
      <t>アサヒ</t>
    </rPh>
    <phoneticPr fontId="13"/>
  </si>
  <si>
    <t>保証書 取説 ｷｰﾚｽ SD</t>
    <rPh sb="0" eb="3">
      <t>ホショウショ</t>
    </rPh>
    <rPh sb="4" eb="6">
      <t>トリセツ</t>
    </rPh>
    <phoneticPr fontId="13"/>
  </si>
  <si>
    <t>和泉 300 わ 3674</t>
    <rPh sb="0" eb="2">
      <t>イズミ</t>
    </rPh>
    <phoneticPr fontId="13"/>
  </si>
  <si>
    <t>株式会社ｳｪﾙｽﾞﾒｲﾄ</t>
    <rPh sb="0" eb="4">
      <t>カブシキガイシャ</t>
    </rPh>
    <phoneticPr fontId="13"/>
  </si>
  <si>
    <t>保証書 取説 ﾏｲｸﾛSD ﾅﾋﾞ取 ﾚﾝﾀｶｰ</t>
    <rPh sb="0" eb="3">
      <t>ホショウショ</t>
    </rPh>
    <rPh sb="4" eb="6">
      <t>トリセツ</t>
    </rPh>
    <rPh sb="17" eb="18">
      <t>トリ</t>
    </rPh>
    <phoneticPr fontId="13"/>
  </si>
  <si>
    <t>品川 59F す 3233</t>
    <rPh sb="0" eb="2">
      <t>シナガワ</t>
    </rPh>
    <phoneticPr fontId="13"/>
  </si>
  <si>
    <t>日本ｶｰｿﾘｭｰｼﾞｮﾝ株式会社</t>
    <rPh sb="0" eb="2">
      <t>ニホン</t>
    </rPh>
    <rPh sb="12" eb="16">
      <t>カブシキガイシャ</t>
    </rPh>
    <phoneticPr fontId="13"/>
  </si>
  <si>
    <t>品川 59F す 7791</t>
    <rPh sb="0" eb="2">
      <t>シナガワ</t>
    </rPh>
    <phoneticPr fontId="13"/>
  </si>
  <si>
    <t>品川 39A む 2775</t>
    <rPh sb="0" eb="2">
      <t>シナガワ</t>
    </rPh>
    <phoneticPr fontId="13"/>
  </si>
  <si>
    <t>福岡 536 は 415</t>
    <rPh sb="0" eb="2">
      <t>フクオカ</t>
    </rPh>
    <phoneticPr fontId="13"/>
  </si>
  <si>
    <t>福岡ﾄﾖﾀ自動車株式会社</t>
    <rPh sb="0" eb="2">
      <t>フクオカ</t>
    </rPh>
    <rPh sb="5" eb="12">
      <t>ジドウシャカブシキガイシャ</t>
    </rPh>
    <phoneticPr fontId="13"/>
  </si>
  <si>
    <t>なにわ 39A ゆ 8250</t>
    <phoneticPr fontId="13"/>
  </si>
  <si>
    <t>株式会社ｶｰﾈｸｽﾄ</t>
    <rPh sb="0" eb="4">
      <t>カブシキガイシャ</t>
    </rPh>
    <phoneticPr fontId="13"/>
  </si>
  <si>
    <t>ﾏｲｸﾛSD(車内)保証書 取説 ﾅﾋﾞ取 ｷｰﾚｽ ﾜﾝｵｰﾅｰ 印鑑証明7/7</t>
    <rPh sb="10" eb="13">
      <t>ホショウショ</t>
    </rPh>
    <rPh sb="14" eb="16">
      <t>トリセツ</t>
    </rPh>
    <rPh sb="20" eb="21">
      <t>トリ</t>
    </rPh>
    <rPh sb="34" eb="38">
      <t>インカンショウメイ</t>
    </rPh>
    <phoneticPr fontId="13"/>
  </si>
  <si>
    <t>地図SD(車内)</t>
    <rPh sb="0" eb="2">
      <t>チズ</t>
    </rPh>
    <phoneticPr fontId="13"/>
  </si>
  <si>
    <t>ｷｰﾚｽ(車内)</t>
    <phoneticPr fontId="13"/>
  </si>
  <si>
    <t>USS神戸(ﾜﾝｸﾘ)</t>
    <rPh sb="3" eb="5">
      <t>コウベ</t>
    </rPh>
    <phoneticPr fontId="13"/>
  </si>
  <si>
    <t>整備手帳 取説(車内)</t>
    <rPh sb="0" eb="4">
      <t>セイビテチョウ</t>
    </rPh>
    <rPh sb="5" eb="7">
      <t>トリセツ</t>
    </rPh>
    <phoneticPr fontId="13"/>
  </si>
  <si>
    <t>保証書 取説 ｷｰﾚｽ(車内)</t>
    <rPh sb="0" eb="3">
      <t>ホショウショ</t>
    </rPh>
    <rPh sb="4" eb="6">
      <t>トリセツ</t>
    </rPh>
    <phoneticPr fontId="13"/>
  </si>
  <si>
    <t>取説 ｷｰﾚｽ(車内)</t>
    <rPh sb="0" eb="2">
      <t>トリセツ</t>
    </rPh>
    <phoneticPr fontId="13"/>
  </si>
  <si>
    <t>保証書 取説 ｷｰﾚｽ ﾘﾓｺﾝ(車内)</t>
    <rPh sb="0" eb="3">
      <t>ホショウショ</t>
    </rPh>
    <rPh sb="4" eb="6">
      <t>トリセツ</t>
    </rPh>
    <phoneticPr fontId="13"/>
  </si>
  <si>
    <t>保証書 取説 ﾅﾋﾞ取 ｽﾍﾟｱｷｰ 地図SD(車内)</t>
    <rPh sb="0" eb="3">
      <t>ホショウショ</t>
    </rPh>
    <rPh sb="4" eb="6">
      <t>トリセツ</t>
    </rPh>
    <rPh sb="10" eb="11">
      <t>トリ</t>
    </rPh>
    <rPh sb="19" eb="21">
      <t>チズ</t>
    </rPh>
    <phoneticPr fontId="13"/>
  </si>
  <si>
    <t>保証書 取説 ｽﾍﾟｱｷｰ(車内)</t>
    <rPh sb="0" eb="3">
      <t>ホショウショ</t>
    </rPh>
    <rPh sb="4" eb="6">
      <t>トリセツ</t>
    </rPh>
    <phoneticPr fontId="13"/>
  </si>
  <si>
    <t>保証書 取説(車内)</t>
    <rPh sb="0" eb="3">
      <t>ホショウショ</t>
    </rPh>
    <rPh sb="4" eb="6">
      <t>トリセツ</t>
    </rPh>
    <phoneticPr fontId="13"/>
  </si>
  <si>
    <t xml:space="preserve"> HAA神戸(ﾜﾝｸﾘ)</t>
    <rPh sb="4" eb="6">
      <t>コウベ</t>
    </rPh>
    <phoneticPr fontId="13"/>
  </si>
  <si>
    <t>岡山 480 ぬ 6719</t>
    <rPh sb="0" eb="2">
      <t>オカヤマ</t>
    </rPh>
    <phoneticPr fontId="13"/>
  </si>
  <si>
    <t>株式会社ｼﾃｨﾗｲﾄ</t>
    <rPh sb="0" eb="4">
      <t>カブシキガイシャ</t>
    </rPh>
    <phoneticPr fontId="13"/>
  </si>
  <si>
    <t>保証書 取説 ｽﾍﾟｱｷｰ ﾜﾝｵｰﾅｰ</t>
    <rPh sb="0" eb="3">
      <t>ホショウショ</t>
    </rPh>
    <rPh sb="4" eb="6">
      <t>トリセツ</t>
    </rPh>
    <phoneticPr fontId="13"/>
  </si>
  <si>
    <t>岡山 399 な 6879</t>
    <rPh sb="0" eb="2">
      <t>オカヤマ</t>
    </rPh>
    <phoneticPr fontId="13"/>
  </si>
  <si>
    <t xml:space="preserve">保証書 取説 </t>
    <rPh sb="0" eb="3">
      <t>ホショウショ</t>
    </rPh>
    <rPh sb="4" eb="6">
      <t>トリセツ</t>
    </rPh>
    <phoneticPr fontId="13"/>
  </si>
  <si>
    <t>品川 5X3 ろ 1003</t>
    <rPh sb="0" eb="2">
      <t>シナガワ</t>
    </rPh>
    <phoneticPr fontId="13"/>
  </si>
  <si>
    <t>三菱ｵｰﾄﾘｰｽ株式会社</t>
    <rPh sb="0" eb="2">
      <t>ミツビシ</t>
    </rPh>
    <rPh sb="8" eb="12">
      <t>カブシキガイシャ</t>
    </rPh>
    <phoneticPr fontId="13"/>
  </si>
  <si>
    <t>多摩 485 ろ 1004</t>
    <rPh sb="0" eb="2">
      <t>タマ</t>
    </rPh>
    <phoneticPr fontId="13"/>
  </si>
  <si>
    <t>多摩 593 ろ 322</t>
    <rPh sb="0" eb="2">
      <t>タマ</t>
    </rPh>
    <phoneticPr fontId="13"/>
  </si>
  <si>
    <t>多摩 593 ろ 317</t>
    <rPh sb="0" eb="2">
      <t>タマ</t>
    </rPh>
    <phoneticPr fontId="13"/>
  </si>
  <si>
    <t>多摩 592 ろ 3973</t>
    <rPh sb="0" eb="2">
      <t>タマ</t>
    </rPh>
    <phoneticPr fontId="13"/>
  </si>
  <si>
    <t>多摩 593 ろ 512</t>
    <rPh sb="0" eb="2">
      <t>タマ</t>
    </rPh>
    <phoneticPr fontId="13"/>
  </si>
  <si>
    <t>岡山 583 き 3286</t>
    <rPh sb="0" eb="2">
      <t>オカヤマ</t>
    </rPh>
    <phoneticPr fontId="13"/>
  </si>
  <si>
    <t>和泉 535 ふ 35</t>
    <rPh sb="0" eb="2">
      <t>イズミ</t>
    </rPh>
    <phoneticPr fontId="13"/>
  </si>
  <si>
    <t>株式会社ﾎﾝﾀﾞﾌｧｲﾅﾝｽ</t>
    <rPh sb="0" eb="4">
      <t>カブシキガイシャ</t>
    </rPh>
    <phoneticPr fontId="13"/>
  </si>
  <si>
    <t>保証書 取説 ｽﾍﾟｱｷｰ</t>
    <rPh sb="0" eb="3">
      <t>ホショウショ</t>
    </rPh>
    <rPh sb="4" eb="6">
      <t>トリセツ</t>
    </rPh>
    <phoneticPr fontId="13"/>
  </si>
  <si>
    <t>名古屋 58A つ 8845</t>
    <rPh sb="0" eb="3">
      <t>ナゴヤ</t>
    </rPh>
    <phoneticPr fontId="13"/>
  </si>
  <si>
    <t>ﾌｼﾞ自動車工業株式会社</t>
    <rPh sb="5" eb="7">
      <t>コウギョウ</t>
    </rPh>
    <rPh sb="7" eb="11">
      <t>カブシキガイシャ</t>
    </rPh>
    <phoneticPr fontId="13"/>
  </si>
  <si>
    <t>保証書 取説(車内) SD</t>
    <rPh sb="0" eb="3">
      <t>ホショウショ</t>
    </rPh>
    <rPh sb="4" eb="6">
      <t>トリセツ</t>
    </rPh>
    <phoneticPr fontId="13"/>
  </si>
  <si>
    <t>なにわ 5X1ろ 5409</t>
    <phoneticPr fontId="13"/>
  </si>
  <si>
    <t>なにわ 5X1 ろ 5412</t>
    <phoneticPr fontId="13"/>
  </si>
  <si>
    <t>名古屋 581 ひ 2429</t>
    <rPh sb="0" eb="3">
      <t>ナゴヤ</t>
    </rPh>
    <phoneticPr fontId="13"/>
  </si>
  <si>
    <t>VR2E26-040577</t>
    <phoneticPr fontId="13"/>
  </si>
  <si>
    <t>品川 39A た 599</t>
    <rPh sb="0" eb="2">
      <t>シナガワ</t>
    </rPh>
    <phoneticPr fontId="13"/>
  </si>
  <si>
    <t>品川 5X3 ろ 1588</t>
    <rPh sb="0" eb="2">
      <t>シナガワ</t>
    </rPh>
    <phoneticPr fontId="13"/>
  </si>
  <si>
    <t>熊谷 342 ち 9000</t>
    <rPh sb="0" eb="2">
      <t>クマガヤ</t>
    </rPh>
    <phoneticPr fontId="13"/>
  </si>
  <si>
    <t>株式会社ｱﾌﾟﾗｽ</t>
    <rPh sb="0" eb="4">
      <t>カブシキガイシャ</t>
    </rPh>
    <phoneticPr fontId="13"/>
  </si>
  <si>
    <t>浜松 330 る 8887</t>
    <rPh sb="0" eb="2">
      <t>ハママツ</t>
    </rPh>
    <phoneticPr fontId="13"/>
  </si>
  <si>
    <t>浜松ﾔﾅｾ株式会社</t>
    <rPh sb="0" eb="2">
      <t>ハママツ</t>
    </rPh>
    <rPh sb="5" eb="9">
      <t>カブシキガイシャ</t>
    </rPh>
    <phoneticPr fontId="13"/>
  </si>
  <si>
    <t>保証書 取説 ｷｰﾚｽ</t>
    <rPh sb="0" eb="3">
      <t>ホショウショ</t>
    </rPh>
    <rPh sb="4" eb="6">
      <t>トリセツ</t>
    </rPh>
    <phoneticPr fontId="13"/>
  </si>
  <si>
    <t>保証書 取説 ｷｰﾚｽ ﾜﾝｵｰﾅｰかも</t>
    <rPh sb="0" eb="3">
      <t>ホショウショ</t>
    </rPh>
    <rPh sb="4" eb="6">
      <t>トリセツ</t>
    </rPh>
    <phoneticPr fontId="13"/>
  </si>
  <si>
    <t>取説 ｷｰﾚｽ ｽﾍﾟｱｷｰ(車内)</t>
    <rPh sb="0" eb="2">
      <t>トリセツ</t>
    </rPh>
    <phoneticPr fontId="13"/>
  </si>
  <si>
    <t>保証書 取説 ｷｰﾚｽ 地図SD(車内)</t>
    <rPh sb="0" eb="3">
      <t>ホショウショ</t>
    </rPh>
    <rPh sb="4" eb="6">
      <t>トリセツ</t>
    </rPh>
    <rPh sb="12" eb="14">
      <t>チズ</t>
    </rPh>
    <phoneticPr fontId="13"/>
  </si>
  <si>
    <t>27-4252</t>
  </si>
  <si>
    <t>27-4253</t>
  </si>
  <si>
    <t>27-4254</t>
  </si>
  <si>
    <t>27-4255</t>
  </si>
  <si>
    <t>27-4256</t>
  </si>
  <si>
    <t>27-4257</t>
  </si>
  <si>
    <t>27-4258</t>
  </si>
  <si>
    <t>27-4259</t>
  </si>
  <si>
    <t>USS東京</t>
    <rPh sb="3" eb="5">
      <t>トウキョウ</t>
    </rPh>
    <phoneticPr fontId="13"/>
  </si>
  <si>
    <t>ｱﾊﾞﾙﾄ 595 ｺﾝﾍﾟﾃｨｼｮﾝ</t>
    <phoneticPr fontId="13"/>
  </si>
  <si>
    <t>1/9</t>
    <phoneticPr fontId="13"/>
  </si>
  <si>
    <t>8/10/23</t>
    <phoneticPr fontId="13"/>
  </si>
  <si>
    <t>ZFA3120000JC43034</t>
    <phoneticPr fontId="13"/>
  </si>
  <si>
    <t>千葉 542 に 220</t>
    <rPh sb="0" eb="2">
      <t>チバ</t>
    </rPh>
    <phoneticPr fontId="13"/>
  </si>
  <si>
    <t>JU愛知(まとめ)</t>
    <rPh sb="2" eb="4">
      <t>アイチ</t>
    </rPh>
    <phoneticPr fontId="13"/>
  </si>
  <si>
    <t>29/11</t>
    <phoneticPr fontId="13"/>
  </si>
  <si>
    <t>赤</t>
    <rPh sb="0" eb="1">
      <t>アカ</t>
    </rPh>
    <phoneticPr fontId="13"/>
  </si>
  <si>
    <t xml:space="preserve">ﾊﾘｱｰ ﾌﾟﾚﾐｱﾑ </t>
    <phoneticPr fontId="13"/>
  </si>
  <si>
    <t>ASU60-0006227</t>
    <phoneticPr fontId="13"/>
  </si>
  <si>
    <t>8/11/27</t>
    <phoneticPr fontId="13"/>
  </si>
  <si>
    <t>25/4</t>
    <phoneticPr fontId="13"/>
  </si>
  <si>
    <t>ｱｲﾎﾞﾘｰ</t>
    <phoneticPr fontId="13"/>
  </si>
  <si>
    <t>ﾐﾗｺｺｱ ﾌﾟﾗｽX</t>
    <phoneticPr fontId="13"/>
  </si>
  <si>
    <t>L675S-0140418</t>
    <phoneticPr fontId="13"/>
  </si>
  <si>
    <t>5/3</t>
    <phoneticPr fontId="13"/>
  </si>
  <si>
    <t>ｵﾚﾝｼﾞ</t>
    <phoneticPr fontId="13"/>
  </si>
  <si>
    <t>ﾊｽﾗｰ ﾊｲﾌﾞﾘｯﾄﾞG</t>
    <phoneticPr fontId="13"/>
  </si>
  <si>
    <t>MR92S-343290</t>
    <phoneticPr fontId="13"/>
  </si>
  <si>
    <t>青</t>
    <rPh sb="0" eb="1">
      <t>アオ</t>
    </rPh>
    <phoneticPr fontId="13"/>
  </si>
  <si>
    <t>ｽﾍﾟｰｼｶｽﾀﾑ ﾊｲﾌﾞﾘｯﾄﾞXSﾀｰﾎﾞ</t>
    <phoneticPr fontId="13"/>
  </si>
  <si>
    <t>MK53S-990968</t>
    <phoneticPr fontId="13"/>
  </si>
  <si>
    <t>7/3</t>
    <phoneticPr fontId="13"/>
  </si>
  <si>
    <t>ﾑｰﾌﾞｷｬﾝﾊﾞｽ ｽﾄﾗｲﾌﾟｽX</t>
    <phoneticPr fontId="13"/>
  </si>
  <si>
    <t>LA850S-1044003</t>
    <phoneticPr fontId="13"/>
  </si>
  <si>
    <t>2/3</t>
    <phoneticPr fontId="13"/>
  </si>
  <si>
    <t>N-BOXｶｽﾀﾑ G EXﾀｰﾎﾞﾎﾝﾀﾞｾﾝｼﾝｸﾞ</t>
    <phoneticPr fontId="13"/>
  </si>
  <si>
    <t>JF3-2221741</t>
    <phoneticPr fontId="13"/>
  </si>
  <si>
    <t>9/3/15</t>
    <phoneticPr fontId="13"/>
  </si>
  <si>
    <t>四日市 580 き 1389</t>
    <rPh sb="0" eb="3">
      <t>ヨッカイチ</t>
    </rPh>
    <phoneticPr fontId="13"/>
  </si>
  <si>
    <t>MR92S-180672</t>
    <phoneticPr fontId="13"/>
  </si>
  <si>
    <t>ｷｬﾝｾﾙ返送4/25</t>
    <rPh sb="5" eb="7">
      <t>ヘンソウ</t>
    </rPh>
    <phoneticPr fontId="13"/>
  </si>
  <si>
    <t>WBA5R12040AE79760</t>
    <phoneticPr fontId="13"/>
  </si>
  <si>
    <t>高松 310 す 1196</t>
    <rPh sb="0" eb="2">
      <t>タカマツ</t>
    </rPh>
    <phoneticPr fontId="13"/>
  </si>
  <si>
    <t>株式会社ﾎﾝﾀﾞﾓﾋﾞﾘﾃｨ中四国</t>
    <rPh sb="14" eb="17">
      <t>ナカシコク</t>
    </rPh>
    <phoneticPr fontId="13"/>
  </si>
  <si>
    <t>4/25</t>
    <phoneticPr fontId="13"/>
  </si>
  <si>
    <t>山本 由樹</t>
    <rPh sb="0" eb="2">
      <t>ヤマモト</t>
    </rPh>
    <rPh sb="3" eb="4">
      <t>ヨシ</t>
    </rPh>
    <rPh sb="4" eb="5">
      <t>キ</t>
    </rPh>
    <phoneticPr fontId="13"/>
  </si>
  <si>
    <t>名古屋 326 も 8798</t>
    <rPh sb="0" eb="3">
      <t>ナゴヤ</t>
    </rPh>
    <phoneticPr fontId="13"/>
  </si>
  <si>
    <t>ﾄﾖﾀﾓﾋﾞﾘﾃｨｻｰﾋﾞｽ東名古屋株式会社</t>
    <rPh sb="14" eb="15">
      <t>ヒガシ</t>
    </rPh>
    <rPh sb="15" eb="22">
      <t>ナゴヤカブシキガイシャ</t>
    </rPh>
    <phoneticPr fontId="13"/>
  </si>
  <si>
    <t>保証書 取説 (車内) SD</t>
    <rPh sb="0" eb="3">
      <t>ホショウショ</t>
    </rPh>
    <rPh sb="4" eb="6">
      <t>トリセツ</t>
    </rPh>
    <phoneticPr fontId="13"/>
  </si>
  <si>
    <t>滋賀 330 そ 2045</t>
    <rPh sb="0" eb="2">
      <t>シガ</t>
    </rPh>
    <phoneticPr fontId="13"/>
  </si>
  <si>
    <t>滋賀ｽﾊﾞﾙ自動車株式会社</t>
    <rPh sb="0" eb="2">
      <t>シガ</t>
    </rPh>
    <rPh sb="6" eb="13">
      <t>ジドウシャカブシキガイシャ</t>
    </rPh>
    <phoneticPr fontId="13"/>
  </si>
  <si>
    <t>なにわ 59C と 8975</t>
    <phoneticPr fontId="13"/>
  </si>
  <si>
    <t>株式会社はなまる</t>
    <phoneticPr fontId="13"/>
  </si>
  <si>
    <t>山口 534 つ 417</t>
    <rPh sb="0" eb="2">
      <t>ヤマグチ</t>
    </rPh>
    <phoneticPr fontId="13"/>
  </si>
  <si>
    <t>稲垣 豊広</t>
    <rPh sb="0" eb="2">
      <t>イナガキ</t>
    </rPh>
    <rPh sb="3" eb="5">
      <t>トヨヒロ</t>
    </rPh>
    <phoneticPr fontId="13"/>
  </si>
  <si>
    <t>なにわ 5P9 ろ 9000</t>
    <phoneticPr fontId="13"/>
  </si>
  <si>
    <t>なにわ 479 や 8245</t>
    <phoneticPr fontId="13"/>
  </si>
  <si>
    <t>なにわ 5X1 ろ 606</t>
    <phoneticPr fontId="13"/>
  </si>
  <si>
    <t>なにわ 479 や 7436</t>
    <phoneticPr fontId="13"/>
  </si>
  <si>
    <t>なにわ 581 そ 2692</t>
    <phoneticPr fontId="13"/>
  </si>
  <si>
    <t>ﾅﾝﾊﾞｰ ｽﾍﾟｱｷｰ</t>
    <phoneticPr fontId="13"/>
  </si>
  <si>
    <t>なにわ 581 そ 2685</t>
    <phoneticPr fontId="13"/>
  </si>
  <si>
    <t>堺 399 ひ 8924</t>
    <rPh sb="0" eb="1">
      <t>サカイ</t>
    </rPh>
    <phoneticPr fontId="13"/>
  </si>
  <si>
    <t>大賀 敏信</t>
    <rPh sb="0" eb="2">
      <t>オオガ</t>
    </rPh>
    <rPh sb="3" eb="5">
      <t>トシノブ</t>
    </rPh>
    <phoneticPr fontId="13"/>
  </si>
  <si>
    <t>島根 583 ほ 1014</t>
    <rPh sb="0" eb="2">
      <t>シマネ</t>
    </rPh>
    <phoneticPr fontId="13"/>
  </si>
  <si>
    <t>長崎 300 の 9976</t>
    <rPh sb="0" eb="2">
      <t>ナガサキ</t>
    </rPh>
    <phoneticPr fontId="13"/>
  </si>
  <si>
    <t>長崎 399 そ 5090</t>
    <rPh sb="0" eb="2">
      <t>ナガサキ</t>
    </rPh>
    <phoneticPr fontId="13"/>
  </si>
  <si>
    <t>横浜 39A る 4691</t>
    <rPh sb="0" eb="2">
      <t>ヨコハマ</t>
    </rPh>
    <phoneticPr fontId="13"/>
  </si>
  <si>
    <t>有限会社ﾋﾞｰｱﾝﾄﾞｴﾑﾖｺﾊﾏ</t>
    <rPh sb="0" eb="4">
      <t>ユウゲンガイシャ</t>
    </rPh>
    <phoneticPr fontId="13"/>
  </si>
  <si>
    <t>なにわ 39A ゆ 5652</t>
    <phoneticPr fontId="13"/>
  </si>
  <si>
    <t>ｷｰﾚｽ 地図SD(車内) 保証書 取説 ﾅﾋﾞ取</t>
    <rPh sb="5" eb="7">
      <t>チズ</t>
    </rPh>
    <rPh sb="10" eb="12">
      <t>シャナイ</t>
    </rPh>
    <rPh sb="14" eb="17">
      <t>ホショウショ</t>
    </rPh>
    <rPh sb="18" eb="20">
      <t>トリセツ</t>
    </rPh>
    <rPh sb="24" eb="25">
      <t>トリ</t>
    </rPh>
    <phoneticPr fontId="13"/>
  </si>
  <si>
    <t>株式会社大衆自動車商会</t>
    <rPh sb="4" eb="6">
      <t>タイシュウ</t>
    </rPh>
    <rPh sb="6" eb="11">
      <t>ジドウシャショウカイ</t>
    </rPh>
    <phoneticPr fontId="13"/>
  </si>
  <si>
    <t>保証書 取説 ｷｰﾚｽ 交換歴あり</t>
    <rPh sb="0" eb="3">
      <t>ホショウショ</t>
    </rPh>
    <rPh sb="4" eb="6">
      <t>トリセツ</t>
    </rPh>
    <rPh sb="12" eb="14">
      <t>コウカン</t>
    </rPh>
    <rPh sb="14" eb="15">
      <t>レキ</t>
    </rPh>
    <phoneticPr fontId="13"/>
  </si>
  <si>
    <t>島根 581 ろ 8900</t>
    <rPh sb="0" eb="2">
      <t>シマネ</t>
    </rPh>
    <phoneticPr fontId="13"/>
  </si>
  <si>
    <t>島根 581 い 7820</t>
    <rPh sb="0" eb="2">
      <t>シマネ</t>
    </rPh>
    <phoneticPr fontId="13"/>
  </si>
  <si>
    <t>島根 580 な 4973</t>
    <rPh sb="0" eb="2">
      <t>シマネ</t>
    </rPh>
    <phoneticPr fontId="13"/>
  </si>
  <si>
    <t>福祉1298回60065非課税申告あり</t>
    <rPh sb="0" eb="2">
      <t>フクシ</t>
    </rPh>
    <rPh sb="6" eb="7">
      <t>カイ</t>
    </rPh>
    <rPh sb="12" eb="15">
      <t>ヒカゼイ</t>
    </rPh>
    <rPh sb="15" eb="17">
      <t>シンコク</t>
    </rPh>
    <phoneticPr fontId="13"/>
  </si>
  <si>
    <t>WVWZZZAUZJW239255</t>
    <phoneticPr fontId="13"/>
  </si>
  <si>
    <t>27-4260</t>
  </si>
  <si>
    <t>27-4261</t>
  </si>
  <si>
    <t>27-4262</t>
  </si>
  <si>
    <t>27-4263</t>
  </si>
  <si>
    <t>27-4264</t>
  </si>
  <si>
    <t>27-4265</t>
  </si>
  <si>
    <t>27-4266</t>
  </si>
  <si>
    <t>27-4267</t>
  </si>
  <si>
    <t>27-4268</t>
  </si>
  <si>
    <t>ﾐﾗｲﾌﾞ大阪（ｱｲｵｰｸ）</t>
    <rPh sb="5" eb="7">
      <t>オオサカ</t>
    </rPh>
    <phoneticPr fontId="13"/>
  </si>
  <si>
    <t>ASU60-0002802</t>
    <phoneticPr fontId="13"/>
  </si>
  <si>
    <t>M900A-0453260</t>
    <phoneticPr fontId="13"/>
  </si>
  <si>
    <t>GR1-1032282</t>
    <phoneticPr fontId="13"/>
  </si>
  <si>
    <t>AGH30-0310707</t>
    <phoneticPr fontId="13"/>
  </si>
  <si>
    <t>TRH214-0063563</t>
    <phoneticPr fontId="13"/>
  </si>
  <si>
    <t>ZWR80-0163117</t>
    <phoneticPr fontId="13"/>
  </si>
  <si>
    <t>JH1-1377928</t>
    <phoneticPr fontId="13"/>
  </si>
  <si>
    <t>LA400K-0004986</t>
    <phoneticPr fontId="13"/>
  </si>
  <si>
    <t>LA350S-0250231</t>
    <phoneticPr fontId="13"/>
  </si>
  <si>
    <t>27-4269</t>
  </si>
  <si>
    <t>27-4270</t>
  </si>
  <si>
    <t>27-4271</t>
  </si>
  <si>
    <t>27-4272</t>
  </si>
  <si>
    <t>27-4273</t>
  </si>
  <si>
    <t>27-4274</t>
  </si>
  <si>
    <t>27-4275</t>
  </si>
  <si>
    <t>27-4276</t>
  </si>
  <si>
    <t>27-4277</t>
  </si>
  <si>
    <t>27-4278</t>
  </si>
  <si>
    <t>27-4279</t>
  </si>
  <si>
    <t>27-4280</t>
  </si>
  <si>
    <t>27-4281</t>
  </si>
  <si>
    <t>27-4282</t>
  </si>
  <si>
    <t>27-4283</t>
  </si>
  <si>
    <t>27-4284</t>
  </si>
  <si>
    <t>27-4285</t>
  </si>
  <si>
    <t>27-4286</t>
  </si>
  <si>
    <t>27-4287</t>
  </si>
  <si>
    <t>27-4288</t>
  </si>
  <si>
    <t>27-4289</t>
  </si>
  <si>
    <t>27-4290</t>
  </si>
  <si>
    <t>27-4291</t>
  </si>
  <si>
    <t>27-4292</t>
  </si>
  <si>
    <t>27-4293</t>
  </si>
  <si>
    <t>27-4294</t>
  </si>
  <si>
    <t>27-4295</t>
  </si>
  <si>
    <t>27-4296</t>
  </si>
  <si>
    <t>27-4297</t>
  </si>
  <si>
    <t>27-4298</t>
  </si>
  <si>
    <t>27-4299</t>
  </si>
  <si>
    <t>27-4300</t>
  </si>
  <si>
    <t>27-4301</t>
  </si>
  <si>
    <t>27-4302</t>
  </si>
  <si>
    <t>27-4303</t>
  </si>
  <si>
    <t>27-4304</t>
  </si>
  <si>
    <t>27-4305</t>
  </si>
  <si>
    <t>27-4306</t>
  </si>
  <si>
    <t>27-4307</t>
  </si>
  <si>
    <t>DA17W-314975</t>
    <phoneticPr fontId="13"/>
  </si>
  <si>
    <t>MH95S-163776</t>
    <phoneticPr fontId="13"/>
  </si>
  <si>
    <t>LA350S-0205929</t>
    <phoneticPr fontId="13"/>
  </si>
  <si>
    <t>JF3-1229916</t>
    <phoneticPr fontId="13"/>
  </si>
  <si>
    <t>S321G-0074926</t>
    <phoneticPr fontId="13"/>
  </si>
  <si>
    <t>DA17V-455237</t>
    <phoneticPr fontId="13"/>
  </si>
  <si>
    <t>LA350S-0247675</t>
    <phoneticPr fontId="13"/>
  </si>
  <si>
    <t>MR41S-343604</t>
    <phoneticPr fontId="13"/>
  </si>
  <si>
    <t>LA900S-0081978</t>
    <phoneticPr fontId="13"/>
  </si>
  <si>
    <t>H58A-0717630</t>
    <phoneticPr fontId="13"/>
  </si>
  <si>
    <t>DJ3FS-148538</t>
    <phoneticPr fontId="13"/>
  </si>
  <si>
    <t>B11A-0206895</t>
    <phoneticPr fontId="13"/>
  </si>
  <si>
    <t>M700A-0114272</t>
    <phoneticPr fontId="13"/>
  </si>
  <si>
    <t>B11W-0217400</t>
    <phoneticPr fontId="13"/>
  </si>
  <si>
    <t>ZVW30-1944517</t>
    <phoneticPr fontId="13"/>
  </si>
  <si>
    <t>HFC26-268840</t>
    <phoneticPr fontId="13"/>
  </si>
  <si>
    <t>ZC83-111726</t>
    <phoneticPr fontId="13"/>
  </si>
  <si>
    <t>LAA岡山</t>
    <rPh sb="3" eb="5">
      <t>オカヤマ</t>
    </rPh>
    <phoneticPr fontId="13"/>
  </si>
  <si>
    <t>ﾌﾟﾘｳｽ　Sﾂｰﾘﾝｸﾞｾﾚｸｼｮﾝ</t>
    <phoneticPr fontId="13"/>
  </si>
  <si>
    <t>ZVW30-5744077</t>
    <phoneticPr fontId="13"/>
  </si>
  <si>
    <t>BPFP-113108</t>
    <phoneticPr fontId="13"/>
  </si>
  <si>
    <t>CX-60　XD　Lﾊﾟｯｹｰｼﾞ</t>
    <phoneticPr fontId="13"/>
  </si>
  <si>
    <t>KH3P-105866</t>
    <phoneticPr fontId="13"/>
  </si>
  <si>
    <t>ｸﾗｳﾝﾏｼﾞｪｽﾀ　ﾊｲﾌﾞﾘｯﾄﾞ　F</t>
    <phoneticPr fontId="13"/>
  </si>
  <si>
    <t>GWS214-6008526</t>
    <phoneticPr fontId="13"/>
  </si>
  <si>
    <t>ｽﾍﾟｰｼｱｶｽﾀﾑ　TS</t>
    <phoneticPr fontId="13"/>
  </si>
  <si>
    <t>MK32S-863636</t>
    <phoneticPr fontId="13"/>
  </si>
  <si>
    <t>ﾐﾗｲｰｽ　G　ﾘﾐﾃｯﾄﾞ</t>
    <phoneticPr fontId="13"/>
  </si>
  <si>
    <t>LA350S-0113548</t>
    <phoneticPr fontId="13"/>
  </si>
  <si>
    <t>ﾊｲｾﾞｯﾄｶｰｺﾞ　ｽﾍﾟｼｬﾙ</t>
    <phoneticPr fontId="13"/>
  </si>
  <si>
    <t>S321V-0451620</t>
    <phoneticPr fontId="13"/>
  </si>
  <si>
    <t>BMWX1　Xﾄﾞﾗｲﾌﾞ　18ｄ　Ｘﾗｲﾝ</t>
    <phoneticPr fontId="13"/>
  </si>
  <si>
    <t>WBA32AD0905S96787</t>
    <phoneticPr fontId="13"/>
  </si>
  <si>
    <t>ｴﾌﾞﾘｨ　ｼﾞｮｲﾝ　ﾊｲﾙｰﾌ</t>
    <phoneticPr fontId="13"/>
  </si>
  <si>
    <t>DA17V-113448</t>
    <phoneticPr fontId="13"/>
  </si>
  <si>
    <t>USS大阪</t>
    <rPh sb="3" eb="5">
      <t>オオサカ</t>
    </rPh>
    <phoneticPr fontId="13"/>
  </si>
  <si>
    <t>USS名古屋</t>
    <rPh sb="3" eb="6">
      <t>ナゴヤ</t>
    </rPh>
    <phoneticPr fontId="13"/>
  </si>
  <si>
    <t>BMWﾐﾆｸｰﾊﾟｰ</t>
    <phoneticPr fontId="13"/>
  </si>
  <si>
    <t>Sellca</t>
    <phoneticPr fontId="13"/>
  </si>
  <si>
    <t>A348025</t>
    <phoneticPr fontId="13"/>
  </si>
  <si>
    <t>ZC33S-407395</t>
    <phoneticPr fontId="13"/>
  </si>
  <si>
    <t>A345322</t>
    <phoneticPr fontId="13"/>
  </si>
  <si>
    <t>TRJ150-0177003</t>
    <phoneticPr fontId="13"/>
  </si>
  <si>
    <t>A346707</t>
    <phoneticPr fontId="13"/>
  </si>
  <si>
    <t>AAZH20-1013146</t>
    <phoneticPr fontId="13"/>
  </si>
  <si>
    <t>USS九州</t>
    <rPh sb="3" eb="5">
      <t>キュウシュウ</t>
    </rPh>
    <phoneticPr fontId="13"/>
  </si>
  <si>
    <t>BMWﾐﾆｸｰﾊﾟｰD　ｸﾛｽｵｰﾊﾞｰ</t>
    <phoneticPr fontId="13"/>
  </si>
  <si>
    <t>BMWﾐﾆｸｰﾊﾟｰ　ｸﾗﾌﾞﾏﾝ</t>
    <phoneticPr fontId="13"/>
  </si>
  <si>
    <t>TAA横浜</t>
    <rPh sb="3" eb="5">
      <t>ヨコハマ</t>
    </rPh>
    <phoneticPr fontId="13"/>
  </si>
  <si>
    <t>ﾙﾉｰﾄｩｲﾝｺﾞ　ｲﾝﾃﾝｽ</t>
    <phoneticPr fontId="13"/>
  </si>
  <si>
    <t>HAA神戸</t>
    <rPh sb="3" eb="5">
      <t>コウベ</t>
    </rPh>
    <phoneticPr fontId="13"/>
  </si>
  <si>
    <t>ｸﾗｳﾝﾏｼﾞｪｽﾀ　Fﾊﾞｰｼﾞｮﾝ</t>
    <phoneticPr fontId="13"/>
  </si>
  <si>
    <t>GWS214-6004469</t>
    <phoneticPr fontId="13"/>
  </si>
  <si>
    <t>ﾀﾌﾄ　G</t>
    <phoneticPr fontId="13"/>
  </si>
  <si>
    <t>LA900S-0177707</t>
    <phoneticPr fontId="13"/>
  </si>
  <si>
    <t>ﾊｽﾗｰ　JｽﾀｲﾙⅡ</t>
    <phoneticPr fontId="13"/>
  </si>
  <si>
    <t>MR92S-308587</t>
    <phoneticPr fontId="13"/>
  </si>
  <si>
    <t>ﾌﾟﾛﾎﾞｯｸｽ　G</t>
    <phoneticPr fontId="13"/>
  </si>
  <si>
    <t>NSP160-0066203</t>
    <phoneticPr fontId="13"/>
  </si>
  <si>
    <t>NSP160-0066188</t>
    <phoneticPr fontId="13"/>
  </si>
  <si>
    <t>ﾙﾉｰﾄｩｲﾝｺﾞ　GT</t>
    <phoneticPr fontId="13"/>
  </si>
  <si>
    <t>ｼｴﾝﾀ　ﾌｧﾝﾍﾞｰｽG</t>
    <phoneticPr fontId="13"/>
  </si>
  <si>
    <t>NSP170-7209999</t>
    <phoneticPr fontId="13"/>
  </si>
  <si>
    <t>ﾊｲｾﾞｯﾄﾄﾗｯｸ</t>
    <phoneticPr fontId="13"/>
  </si>
  <si>
    <t>S500P-0098980</t>
    <phoneticPr fontId="13"/>
  </si>
  <si>
    <t>ｽﾍﾟｰｼｱ　ﾊｲﾌﾞﾘｯﾄﾞX</t>
    <phoneticPr fontId="13"/>
  </si>
  <si>
    <t>MK53S-375457</t>
    <phoneticPr fontId="13"/>
  </si>
  <si>
    <t>N　BOXｶｽﾀﾑ　ﾀｰﾎﾞSSﾊﾟｯｹｰｼﾞ</t>
    <phoneticPr fontId="13"/>
  </si>
  <si>
    <t>JF1-2548247</t>
    <phoneticPr fontId="13"/>
  </si>
  <si>
    <t>DA17W-263694</t>
    <phoneticPr fontId="13"/>
  </si>
  <si>
    <t>ｱﾙﾄﾗﾊﾟﾝ　S</t>
    <phoneticPr fontId="13"/>
  </si>
  <si>
    <t>HE33S-144680</t>
    <phoneticPr fontId="13"/>
  </si>
  <si>
    <t>27-4308</t>
  </si>
  <si>
    <t>27-4309</t>
  </si>
  <si>
    <t>27-4310</t>
  </si>
  <si>
    <t>27-4311</t>
  </si>
  <si>
    <t>27-4312</t>
  </si>
  <si>
    <t>27-4313</t>
  </si>
  <si>
    <t>27-4314</t>
  </si>
  <si>
    <t>27-4315</t>
  </si>
  <si>
    <t>27-4316</t>
  </si>
  <si>
    <t>29/7</t>
    <phoneticPr fontId="13"/>
  </si>
  <si>
    <t>黒</t>
    <rPh sb="0" eb="1">
      <t>クロ</t>
    </rPh>
    <phoneticPr fontId="13"/>
  </si>
  <si>
    <t>9/7</t>
    <phoneticPr fontId="13"/>
  </si>
  <si>
    <t>大分　310　と　5555</t>
    <rPh sb="0" eb="2">
      <t>オオイタ</t>
    </rPh>
    <phoneticPr fontId="13"/>
  </si>
  <si>
    <t>2/4</t>
    <phoneticPr fontId="13"/>
  </si>
  <si>
    <t>ﾀﾝｸｶｽﾀﾑ　ｶｽﾀﾑG</t>
    <phoneticPr fontId="13"/>
  </si>
  <si>
    <t>3/1</t>
    <phoneticPr fontId="13"/>
  </si>
  <si>
    <t>ﾌｨｯﾄ　</t>
    <phoneticPr fontId="13"/>
  </si>
  <si>
    <t>2/3</t>
    <phoneticPr fontId="13"/>
  </si>
  <si>
    <t>ｱﾙﾌｧｰﾄﾞ　S　Cﾊﾟｯｹｰｼﾞ</t>
    <phoneticPr fontId="13"/>
  </si>
  <si>
    <t>9/3</t>
    <phoneticPr fontId="13"/>
  </si>
  <si>
    <t>和泉　301　ひ　9100</t>
    <rPh sb="0" eb="2">
      <t>イズミ</t>
    </rPh>
    <phoneticPr fontId="13"/>
  </si>
  <si>
    <t>2/12</t>
    <phoneticPr fontId="13"/>
  </si>
  <si>
    <t>白</t>
    <rPh sb="0" eb="1">
      <t>シロ</t>
    </rPh>
    <phoneticPr fontId="13"/>
  </si>
  <si>
    <t>ﾊｲｴｰｽﾜｺﾞﾝ　DX</t>
    <phoneticPr fontId="13"/>
  </si>
  <si>
    <t>28/4</t>
    <phoneticPr fontId="13"/>
  </si>
  <si>
    <t>ﾉｱﾊｲﾌﾞﾘｯﾄﾞ　ﾊｲﾌﾞﾘｯﾄﾞSi</t>
    <phoneticPr fontId="13"/>
  </si>
  <si>
    <t>9/4</t>
    <phoneticPr fontId="13"/>
  </si>
  <si>
    <t>三重　302　と　6939</t>
    <rPh sb="0" eb="2">
      <t>ミエ</t>
    </rPh>
    <phoneticPr fontId="13"/>
  </si>
  <si>
    <t>30/2</t>
    <phoneticPr fontId="13"/>
  </si>
  <si>
    <t>26/9</t>
    <phoneticPr fontId="13"/>
  </si>
  <si>
    <t>9/9</t>
    <phoneticPr fontId="13"/>
  </si>
  <si>
    <t>神戸　581　ぬ　1972</t>
    <rPh sb="0" eb="2">
      <t>コウベ</t>
    </rPh>
    <phoneticPr fontId="13"/>
  </si>
  <si>
    <t>3/3</t>
    <phoneticPr fontId="13"/>
  </si>
  <si>
    <t>5/1</t>
    <phoneticPr fontId="13"/>
  </si>
  <si>
    <t>ﾊﾟｰﾙ</t>
    <phoneticPr fontId="13"/>
  </si>
  <si>
    <t>10/1</t>
    <phoneticPr fontId="13"/>
  </si>
  <si>
    <t>堺　584　こ　58</t>
    <rPh sb="0" eb="1">
      <t>サカイ</t>
    </rPh>
    <phoneticPr fontId="13"/>
  </si>
  <si>
    <t>3/4</t>
    <phoneticPr fontId="13"/>
  </si>
  <si>
    <t>ﾐﾗｲｰｽ　GﾘﾐﾃｯﾄﾞSaⅢ</t>
    <phoneticPr fontId="13"/>
  </si>
  <si>
    <t>31/3</t>
    <phoneticPr fontId="13"/>
  </si>
  <si>
    <t>NBOXｶｽﾀﾑ　G　Lﾎﾝﾀﾞｾﾝｼﾝｸﾞ</t>
    <phoneticPr fontId="13"/>
  </si>
  <si>
    <t>ﾊﾟｰﾌﾟﾙ</t>
    <phoneticPr fontId="13"/>
  </si>
  <si>
    <t>ｱﾄﾚｰﾜｺﾞﾝ　ｶｽﾀﾑﾀｰﾎﾞRS　SaⅢ</t>
    <phoneticPr fontId="13"/>
  </si>
  <si>
    <t>2/1</t>
    <phoneticPr fontId="13"/>
  </si>
  <si>
    <t>ｴﾌﾞﾘｨﾊﾞﾝ　PC</t>
    <phoneticPr fontId="13"/>
  </si>
  <si>
    <t>31/2</t>
    <phoneticPr fontId="13"/>
  </si>
  <si>
    <t>ｲｴﾛｰ</t>
    <phoneticPr fontId="13"/>
  </si>
  <si>
    <t>ﾊｽﾗｰ 　G</t>
    <phoneticPr fontId="13"/>
  </si>
  <si>
    <t>10/2</t>
    <phoneticPr fontId="13"/>
  </si>
  <si>
    <t>神戸　58A　け　1644</t>
    <rPh sb="0" eb="2">
      <t>コウベ</t>
    </rPh>
    <phoneticPr fontId="13"/>
  </si>
  <si>
    <t>4/1</t>
    <phoneticPr fontId="13"/>
  </si>
  <si>
    <t>9/1</t>
    <phoneticPr fontId="13"/>
  </si>
  <si>
    <t>大阪　582　ぬ　420</t>
    <rPh sb="0" eb="2">
      <t>オオサカ</t>
    </rPh>
    <phoneticPr fontId="13"/>
  </si>
  <si>
    <t>20/2</t>
    <phoneticPr fontId="13"/>
  </si>
  <si>
    <t>ﾊﾟｼﾞｪﾛﾐﾆ　ｱｸﾃｨﾌﾞﾌｨｰﾙﾄﾞED</t>
    <phoneticPr fontId="13"/>
  </si>
  <si>
    <t>9/2</t>
    <phoneticPr fontId="13"/>
  </si>
  <si>
    <t>神戸　580　な　2390</t>
    <rPh sb="0" eb="2">
      <t>コウベ</t>
    </rPh>
    <phoneticPr fontId="13"/>
  </si>
  <si>
    <t>28/3</t>
    <phoneticPr fontId="13"/>
  </si>
  <si>
    <t>ﾃﾞﾐｵ　13S</t>
    <phoneticPr fontId="13"/>
  </si>
  <si>
    <t>三河　503　な　1685</t>
    <rPh sb="0" eb="2">
      <t>ミカワ</t>
    </rPh>
    <phoneticPr fontId="13"/>
  </si>
  <si>
    <t>29/5</t>
    <phoneticPr fontId="13"/>
  </si>
  <si>
    <t>ﾌﾞﾙｰ</t>
    <phoneticPr fontId="13"/>
  </si>
  <si>
    <t>EKｽﾍﾟｰｽ　Gｾｰﾌﾃｨﾊﾟｯｹｰｼﾞ</t>
    <phoneticPr fontId="13"/>
  </si>
  <si>
    <t>30/7</t>
    <phoneticPr fontId="13"/>
  </si>
  <si>
    <t>ﾊﾟｯｿ　ﾓｰﾀﾞS</t>
    <phoneticPr fontId="13"/>
  </si>
  <si>
    <t>京都　542　な　206</t>
    <rPh sb="0" eb="2">
      <t>キョウト</t>
    </rPh>
    <phoneticPr fontId="13"/>
  </si>
  <si>
    <t>28/8</t>
    <phoneticPr fontId="13"/>
  </si>
  <si>
    <t>EKｶｽﾀﾑ　Gｾｰﾌﾃｨﾊﾟｯｹｰｼﾞ</t>
    <phoneticPr fontId="13"/>
  </si>
  <si>
    <t>27/3</t>
    <phoneticPr fontId="13"/>
  </si>
  <si>
    <t>ﾌﾟﾘｳｽ　Gﾂｰﾘﾝｸﾞｾﾚｸｼｮﾝ</t>
    <phoneticPr fontId="13"/>
  </si>
  <si>
    <t>R</t>
    <phoneticPr fontId="13"/>
  </si>
  <si>
    <t>27/7</t>
    <phoneticPr fontId="13"/>
  </si>
  <si>
    <t>ｾﾚﾅ　ﾊｲｳｪｲｽﾀｰVｾﾚｸｼｮﾝ</t>
    <phoneticPr fontId="13"/>
  </si>
  <si>
    <t>29/9</t>
    <phoneticPr fontId="13"/>
  </si>
  <si>
    <t>ｽｲﾌﾄ　RS</t>
    <phoneticPr fontId="13"/>
  </si>
  <si>
    <t>26/3</t>
    <phoneticPr fontId="13"/>
  </si>
  <si>
    <t>9/3/30</t>
    <phoneticPr fontId="13"/>
  </si>
  <si>
    <t>2/8</t>
    <phoneticPr fontId="13"/>
  </si>
  <si>
    <t>赤</t>
    <rPh sb="0" eb="1">
      <t>アカ</t>
    </rPh>
    <phoneticPr fontId="13"/>
  </si>
  <si>
    <t>MAZDA3　ﾌｧｽﾄﾊﾞｯｸ　20Sﾌﾟﾛｱｸﾃｨﾌﾞ</t>
    <phoneticPr fontId="13"/>
  </si>
  <si>
    <t>5/2</t>
    <phoneticPr fontId="13"/>
  </si>
  <si>
    <t>27/4</t>
    <phoneticPr fontId="13"/>
  </si>
  <si>
    <t>10/3/11</t>
    <phoneticPr fontId="13"/>
  </si>
  <si>
    <t>30/10</t>
    <phoneticPr fontId="13"/>
  </si>
  <si>
    <t>9/10/22</t>
    <phoneticPr fontId="13"/>
  </si>
  <si>
    <t>MﾍﾞﾝﾂB200D　</t>
    <phoneticPr fontId="13"/>
  </si>
  <si>
    <t>WDD2470122J084264</t>
    <phoneticPr fontId="13"/>
  </si>
  <si>
    <t>奈良　301　ね　8465</t>
    <rPh sb="0" eb="2">
      <t>ナラ</t>
    </rPh>
    <phoneticPr fontId="13"/>
  </si>
  <si>
    <t>WMWXU72060TR58998</t>
    <phoneticPr fontId="13"/>
  </si>
  <si>
    <t>9/9/19</t>
    <phoneticPr fontId="13"/>
  </si>
  <si>
    <t>名古屋　330　て　3794</t>
    <rPh sb="0" eb="3">
      <t>ナゴヤ</t>
    </rPh>
    <phoneticPr fontId="13"/>
  </si>
  <si>
    <t>10/1/17</t>
    <phoneticPr fontId="13"/>
  </si>
  <si>
    <t>5/11</t>
    <phoneticPr fontId="13"/>
  </si>
  <si>
    <t>8/11/23</t>
    <phoneticPr fontId="13"/>
  </si>
  <si>
    <t>5/8</t>
    <phoneticPr fontId="13"/>
  </si>
  <si>
    <t>ﾚｸｻｽ　NX350ｈ　Ｆｽﾎﾟｰﾂ</t>
    <phoneticPr fontId="13"/>
  </si>
  <si>
    <t>8/8/24</t>
    <phoneticPr fontId="13"/>
  </si>
  <si>
    <t>4/11</t>
    <phoneticPr fontId="13"/>
  </si>
  <si>
    <t>VF1AH0006N0846586</t>
    <phoneticPr fontId="13"/>
  </si>
  <si>
    <t>27/6</t>
    <phoneticPr fontId="13"/>
  </si>
  <si>
    <t>WMWXM520203A53407</t>
    <phoneticPr fontId="13"/>
  </si>
  <si>
    <t>28/6</t>
    <phoneticPr fontId="13"/>
  </si>
  <si>
    <t>WMWLN320402D75231</t>
    <phoneticPr fontId="13"/>
  </si>
  <si>
    <t>10/1/29</t>
    <phoneticPr fontId="13"/>
  </si>
  <si>
    <t>北九州　332　つ　3298</t>
    <rPh sb="0" eb="3">
      <t>キタキュウシュウ</t>
    </rPh>
    <phoneticPr fontId="13"/>
  </si>
  <si>
    <t>26/2</t>
    <phoneticPr fontId="13"/>
  </si>
  <si>
    <t>6/7</t>
    <phoneticPr fontId="13"/>
  </si>
  <si>
    <t>9/7/4</t>
    <phoneticPr fontId="13"/>
  </si>
  <si>
    <t>岡山　581　め　8947</t>
    <rPh sb="0" eb="2">
      <t>オカヤマ</t>
    </rPh>
    <phoneticPr fontId="13"/>
  </si>
  <si>
    <t>4/7</t>
    <phoneticPr fontId="13"/>
  </si>
  <si>
    <t>Lﾌﾞﾙｰ</t>
    <phoneticPr fontId="13"/>
  </si>
  <si>
    <t>9/7/28</t>
    <phoneticPr fontId="13"/>
  </si>
  <si>
    <t>神戸　583　さ　1892</t>
    <rPh sb="0" eb="2">
      <t>コウベ</t>
    </rPh>
    <phoneticPr fontId="13"/>
  </si>
  <si>
    <t>4/3</t>
    <phoneticPr fontId="13"/>
  </si>
  <si>
    <t>30/3</t>
    <phoneticPr fontId="13"/>
  </si>
  <si>
    <t>ｵﾚﾝｼﾞ</t>
    <phoneticPr fontId="13"/>
  </si>
  <si>
    <t>2/7</t>
    <phoneticPr fontId="13"/>
  </si>
  <si>
    <t>31/4</t>
    <phoneticPr fontId="13"/>
  </si>
  <si>
    <t>奈良　483　あ　2579</t>
    <rPh sb="0" eb="2">
      <t>ナラ</t>
    </rPh>
    <phoneticPr fontId="13"/>
  </si>
  <si>
    <t>3/7</t>
    <phoneticPr fontId="13"/>
  </si>
  <si>
    <t>ﾋﾟﾝｸ</t>
    <phoneticPr fontId="13"/>
  </si>
  <si>
    <t>8/7/2</t>
    <phoneticPr fontId="13"/>
  </si>
  <si>
    <t>奈良　581　と　8138</t>
    <rPh sb="0" eb="2">
      <t>ナラ</t>
    </rPh>
    <phoneticPr fontId="13"/>
  </si>
  <si>
    <t>10/3/24</t>
    <phoneticPr fontId="13"/>
  </si>
  <si>
    <t>堺　595　た　11</t>
    <rPh sb="0" eb="1">
      <t>サカイ</t>
    </rPh>
    <phoneticPr fontId="13"/>
  </si>
  <si>
    <t>28/7</t>
    <phoneticPr fontId="13"/>
  </si>
  <si>
    <t>神戸　581　む　9938</t>
    <rPh sb="0" eb="2">
      <t>コウベ</t>
    </rPh>
    <phoneticPr fontId="13"/>
  </si>
  <si>
    <t>5/10</t>
    <phoneticPr fontId="13"/>
  </si>
  <si>
    <t>WMW32DH0702V08406</t>
    <phoneticPr fontId="13"/>
  </si>
  <si>
    <t>WMW42BT0303M92229</t>
    <phoneticPr fontId="13"/>
  </si>
  <si>
    <t>非課税ならず</t>
    <rPh sb="0" eb="3">
      <t>ヒカゼイ</t>
    </rPh>
    <phoneticPr fontId="13"/>
  </si>
  <si>
    <t>ZiP東京</t>
    <rPh sb="3" eb="5">
      <t>トウキョウ</t>
    </rPh>
    <phoneticPr fontId="13"/>
  </si>
  <si>
    <t>27-4317</t>
  </si>
  <si>
    <t>27-4318</t>
  </si>
  <si>
    <t>WMW52DH0902T71736</t>
    <phoneticPr fontId="13"/>
  </si>
  <si>
    <t>W1N2476132W130559</t>
    <phoneticPr fontId="13"/>
  </si>
  <si>
    <t>27-4319</t>
  </si>
  <si>
    <t>中野様</t>
    <rPh sb="0" eb="2">
      <t>ナカノ</t>
    </rPh>
    <rPh sb="2" eb="3">
      <t>サマ</t>
    </rPh>
    <phoneticPr fontId="13"/>
  </si>
  <si>
    <t>ｼﾞｬｶﾞｰ XE</t>
    <phoneticPr fontId="13"/>
  </si>
  <si>
    <t>SAJAB4AG4HA973133</t>
    <phoneticPr fontId="13"/>
  </si>
  <si>
    <t>姫路 351 せ 1125</t>
    <rPh sb="0" eb="2">
      <t>ヒメジ</t>
    </rPh>
    <phoneticPr fontId="13"/>
  </si>
  <si>
    <t>中野 善文</t>
    <rPh sb="0" eb="2">
      <t>ナカノ</t>
    </rPh>
    <rPh sb="3" eb="4">
      <t>ゼン</t>
    </rPh>
    <rPh sb="4" eb="5">
      <t>フミ</t>
    </rPh>
    <phoneticPr fontId="13"/>
  </si>
  <si>
    <t>4/26</t>
    <phoneticPr fontId="13"/>
  </si>
  <si>
    <t>品川 5X4 ろ 1458</t>
    <rPh sb="0" eb="2">
      <t>シナガワ</t>
    </rPh>
    <phoneticPr fontId="13"/>
  </si>
  <si>
    <t>神戸 39A ち 566</t>
    <rPh sb="0" eb="2">
      <t>コウベ</t>
    </rPh>
    <phoneticPr fontId="13"/>
  </si>
  <si>
    <t>なにわ 691 ろ 7256</t>
    <phoneticPr fontId="13"/>
  </si>
  <si>
    <t>なにわ 39A や 7054</t>
    <phoneticPr fontId="13"/>
  </si>
  <si>
    <t>小山 善弘</t>
    <rPh sb="0" eb="2">
      <t>コヤマ</t>
    </rPh>
    <rPh sb="3" eb="4">
      <t>ゼン</t>
    </rPh>
    <rPh sb="4" eb="5">
      <t>ヒロ</t>
    </rPh>
    <phoneticPr fontId="13"/>
  </si>
  <si>
    <t>保証書 取説 ﾅﾋﾞ取 ｽﾍﾟｱｷｰ 地図SD ﾘﾓｺﾝ</t>
    <rPh sb="0" eb="3">
      <t>ホショウショ</t>
    </rPh>
    <rPh sb="4" eb="6">
      <t>トリセツ</t>
    </rPh>
    <rPh sb="10" eb="11">
      <t>トリ</t>
    </rPh>
    <rPh sb="19" eb="21">
      <t>チズ</t>
    </rPh>
    <phoneticPr fontId="13"/>
  </si>
  <si>
    <t>株式会社ｏｗｎ</t>
    <rPh sb="0" eb="4">
      <t>カブシキガイシャ</t>
    </rPh>
    <phoneticPr fontId="13"/>
  </si>
  <si>
    <t>株式会社コンクエスト</t>
    <rPh sb="0" eb="4">
      <t>カブシキガイシャ</t>
    </rPh>
    <phoneticPr fontId="13"/>
  </si>
  <si>
    <t>川崎 399 ふ 79</t>
    <rPh sb="0" eb="2">
      <t>カワサキ</t>
    </rPh>
    <phoneticPr fontId="13"/>
  </si>
  <si>
    <t>多摩 593 ろ 324</t>
    <rPh sb="0" eb="2">
      <t>タマ</t>
    </rPh>
    <phoneticPr fontId="13"/>
  </si>
  <si>
    <t>品川 5X3 ろ 1037</t>
    <rPh sb="0" eb="2">
      <t>シナガワ</t>
    </rPh>
    <phoneticPr fontId="13"/>
  </si>
  <si>
    <t>品川 49A た 8123</t>
    <rPh sb="0" eb="2">
      <t>シナガワ</t>
    </rPh>
    <phoneticPr fontId="13"/>
  </si>
  <si>
    <t>なにわ 479 や 6596</t>
    <phoneticPr fontId="13"/>
  </si>
  <si>
    <t>名古屋 401 ほ 1047</t>
    <rPh sb="0" eb="3">
      <t>ナゴヤ</t>
    </rPh>
    <phoneticPr fontId="13"/>
  </si>
  <si>
    <t>SD(書類と一緒)</t>
    <rPh sb="3" eb="5">
      <t>ショルイ</t>
    </rPh>
    <rPh sb="6" eb="8">
      <t>イッショ</t>
    </rPh>
    <phoneticPr fontId="13"/>
  </si>
  <si>
    <t>名古屋 499 む 6575</t>
    <rPh sb="0" eb="3">
      <t>ナゴヤ</t>
    </rPh>
    <phoneticPr fontId="13"/>
  </si>
  <si>
    <t>保証書 取説 ｽﾍﾟｱｷｰ SD 名変期限5/23</t>
    <rPh sb="0" eb="3">
      <t>ホショウショ</t>
    </rPh>
    <rPh sb="4" eb="6">
      <t>トリセツ</t>
    </rPh>
    <rPh sb="17" eb="21">
      <t>メイヘンキゲン</t>
    </rPh>
    <phoneticPr fontId="13"/>
  </si>
  <si>
    <t>堺 300 ま 6096</t>
    <rPh sb="0" eb="1">
      <t>サカイ</t>
    </rPh>
    <phoneticPr fontId="13"/>
  </si>
  <si>
    <t>脇谷 信也</t>
    <rPh sb="0" eb="2">
      <t>ワキタニ</t>
    </rPh>
    <rPh sb="3" eb="5">
      <t>シンヤ</t>
    </rPh>
    <phoneticPr fontId="13"/>
  </si>
  <si>
    <t>EG合同会社</t>
    <rPh sb="2" eb="4">
      <t>ゴウドウ</t>
    </rPh>
    <rPh sb="4" eb="6">
      <t>カイシャ</t>
    </rPh>
    <phoneticPr fontId="13"/>
  </si>
  <si>
    <t>岡山 32K り 77</t>
    <rPh sb="0" eb="2">
      <t>オカヤマ</t>
    </rPh>
    <phoneticPr fontId="13"/>
  </si>
  <si>
    <t>片島 伸司</t>
    <rPh sb="0" eb="2">
      <t>カタシマ</t>
    </rPh>
    <rPh sb="3" eb="5">
      <t>ノブシ</t>
    </rPh>
    <phoneticPr fontId="13"/>
  </si>
  <si>
    <t>神戸 305 た 1212</t>
    <rPh sb="0" eb="2">
      <t>コウベ</t>
    </rPh>
    <phoneticPr fontId="13"/>
  </si>
  <si>
    <t>名古屋 326 も 6259</t>
    <rPh sb="0" eb="3">
      <t>ナゴヤ</t>
    </rPh>
    <phoneticPr fontId="13"/>
  </si>
  <si>
    <t>名古屋 332 ほ 2512</t>
    <rPh sb="0" eb="3">
      <t>ナゴヤ</t>
    </rPh>
    <phoneticPr fontId="13"/>
  </si>
  <si>
    <t>名古屋 30M や 5678</t>
    <rPh sb="0" eb="3">
      <t>ナゴヤ</t>
    </rPh>
    <phoneticPr fontId="13"/>
  </si>
  <si>
    <t>ﾄﾞﾗｲﾌﾞSD伴さん渡してくれてる</t>
    <rPh sb="8" eb="9">
      <t>バン</t>
    </rPh>
    <rPh sb="11" eb="12">
      <t>ワタ</t>
    </rPh>
    <phoneticPr fontId="13"/>
  </si>
  <si>
    <t>ZFA3120000JA96683</t>
    <phoneticPr fontId="13"/>
  </si>
  <si>
    <t>島根 501 ち 4217</t>
    <rPh sb="0" eb="2">
      <t>シマネ</t>
    </rPh>
    <phoneticPr fontId="13"/>
  </si>
  <si>
    <t>株式会社ﾎﾝﾀﾞｶｰｽﾞ島根</t>
    <rPh sb="0" eb="4">
      <t>カブシキガイシャ</t>
    </rPh>
    <rPh sb="12" eb="14">
      <t>シマネ</t>
    </rPh>
    <phoneticPr fontId="13"/>
  </si>
  <si>
    <t>ZFABF1BG0RJJ63155</t>
    <phoneticPr fontId="13"/>
  </si>
  <si>
    <t>神戸 332 め 2714</t>
    <rPh sb="0" eb="2">
      <t>コウベ</t>
    </rPh>
    <phoneticPr fontId="13"/>
  </si>
  <si>
    <t>株式会社ﾎﾝﾀﾞ兵庫</t>
    <rPh sb="0" eb="4">
      <t>カブシキガイシャ</t>
    </rPh>
    <rPh sb="8" eb="10">
      <t>ヒョウゴ</t>
    </rPh>
    <phoneticPr fontId="13"/>
  </si>
  <si>
    <t>品番；VXM-175VFi</t>
    <rPh sb="0" eb="2">
      <t>ヒンバン</t>
    </rPh>
    <phoneticPr fontId="13"/>
  </si>
  <si>
    <t>品番；MC315D-W</t>
    <rPh sb="0" eb="2">
      <t>ヒンバン</t>
    </rPh>
    <phoneticPr fontId="13"/>
  </si>
  <si>
    <t>大西 寛人</t>
    <rPh sb="0" eb="2">
      <t>オオニシ</t>
    </rPh>
    <rPh sb="3" eb="5">
      <t>ヒロト</t>
    </rPh>
    <phoneticPr fontId="13"/>
  </si>
  <si>
    <t>島 一達</t>
    <rPh sb="0" eb="1">
      <t>シマ</t>
    </rPh>
    <rPh sb="2" eb="3">
      <t>イチ</t>
    </rPh>
    <rPh sb="3" eb="4">
      <t>タツ</t>
    </rPh>
    <phoneticPr fontId="13"/>
  </si>
  <si>
    <t>鎌田 千枝</t>
    <rPh sb="0" eb="2">
      <t>カマダ</t>
    </rPh>
    <rPh sb="3" eb="4">
      <t>セン</t>
    </rPh>
    <rPh sb="4" eb="5">
      <t>エ</t>
    </rPh>
    <phoneticPr fontId="13"/>
  </si>
  <si>
    <t>(有)TELLUS INTERNATIONAL</t>
    <rPh sb="1" eb="2">
      <t>ユウ</t>
    </rPh>
    <phoneticPr fontId="13"/>
  </si>
  <si>
    <t>戸城 真帆</t>
    <rPh sb="0" eb="2">
      <t>トジョウ</t>
    </rPh>
    <rPh sb="3" eb="5">
      <t>マホ</t>
    </rPh>
    <phoneticPr fontId="13"/>
  </si>
  <si>
    <t>一宮 健剛</t>
    <rPh sb="0" eb="2">
      <t>イチノミヤ</t>
    </rPh>
    <rPh sb="3" eb="4">
      <t>タケル</t>
    </rPh>
    <rPh sb="4" eb="5">
      <t>ツヨシ</t>
    </rPh>
    <phoneticPr fontId="13"/>
  </si>
  <si>
    <t>松本 祥忍(株)松本</t>
    <rPh sb="0" eb="2">
      <t>マツモト</t>
    </rPh>
    <rPh sb="3" eb="4">
      <t>ショウ</t>
    </rPh>
    <rPh sb="4" eb="5">
      <t>シノブ</t>
    </rPh>
    <rPh sb="5" eb="8">
      <t>カブシキガイシャ</t>
    </rPh>
    <rPh sb="8" eb="10">
      <t>マツモト</t>
    </rPh>
    <phoneticPr fontId="13"/>
  </si>
  <si>
    <t>井倉 涼</t>
    <rPh sb="0" eb="2">
      <t>イクラ</t>
    </rPh>
    <rPh sb="3" eb="4">
      <t>リョウ</t>
    </rPh>
    <phoneticPr fontId="13"/>
  </si>
  <si>
    <t>藤原 敬浩</t>
    <rPh sb="0" eb="2">
      <t>フジワラ</t>
    </rPh>
    <rPh sb="3" eb="4">
      <t>ケイ</t>
    </rPh>
    <rPh sb="4" eb="5">
      <t>ヒロ</t>
    </rPh>
    <phoneticPr fontId="13"/>
  </si>
  <si>
    <t>西脇 博義</t>
    <rPh sb="0" eb="2">
      <t>ニシワキ</t>
    </rPh>
    <rPh sb="3" eb="5">
      <t>ヒロヨシ</t>
    </rPh>
    <phoneticPr fontId="13"/>
  </si>
  <si>
    <t>27-4320</t>
  </si>
  <si>
    <t>27-4321</t>
  </si>
  <si>
    <t>27-4322</t>
  </si>
  <si>
    <t>27-4323</t>
  </si>
  <si>
    <t>27-4324</t>
  </si>
  <si>
    <t>ﾒﾙｾﾃﾞｽﾍﾞﾝﾂ Cｸﾗｽ ｽﾃｰｼｮﾝﾜｺﾞﾝ</t>
    <phoneticPr fontId="13"/>
  </si>
  <si>
    <t>WDD2052432F755481</t>
    <phoneticPr fontId="13"/>
  </si>
  <si>
    <t>なにわ 358 ち 12</t>
    <phoneticPr fontId="13"/>
  </si>
  <si>
    <t>ﾌｨｱｯﾄ500S</t>
    <phoneticPr fontId="13"/>
  </si>
  <si>
    <t>BMW X2 Xﾄﾞﾗｲﾌﾞ20i MｽﾎﾟｰﾂX</t>
    <phoneticPr fontId="13"/>
  </si>
  <si>
    <t>京都 302 も 3399</t>
    <rPh sb="0" eb="2">
      <t>キョウト</t>
    </rPh>
    <phoneticPr fontId="13"/>
  </si>
  <si>
    <t>ﾌｨｱｯﾄ ﾄﾞﾌﾞﾛ</t>
    <phoneticPr fontId="13"/>
  </si>
  <si>
    <t>27-4325</t>
  </si>
  <si>
    <t>WMWXT320202F06955</t>
    <phoneticPr fontId="13"/>
  </si>
  <si>
    <t>301 の 608</t>
    <phoneticPr fontId="13"/>
  </si>
  <si>
    <t>A344890</t>
    <phoneticPr fontId="13"/>
  </si>
  <si>
    <t>ﾉｱ Ｓｉ ﾀﾞﾌﾞﾙﾊﾞｲﾋﾞｰ2</t>
    <phoneticPr fontId="13"/>
  </si>
  <si>
    <t>ZRR80-0539136</t>
    <phoneticPr fontId="13"/>
  </si>
  <si>
    <t>A347500</t>
    <phoneticPr fontId="13"/>
  </si>
  <si>
    <t>FE13-224019</t>
    <phoneticPr fontId="13"/>
  </si>
  <si>
    <t>9/7/6</t>
    <phoneticPr fontId="13"/>
  </si>
  <si>
    <t>ｷｰﾚｽﾀﾞﾐｰ送る</t>
    <rPh sb="8" eb="9">
      <t>オク</t>
    </rPh>
    <phoneticPr fontId="13"/>
  </si>
  <si>
    <t>A348315</t>
    <phoneticPr fontId="13"/>
  </si>
  <si>
    <t>ﾗﾝﾄﾞｸﾙｰｻﾞｰﾌ VX</t>
    <phoneticPr fontId="13"/>
  </si>
  <si>
    <t>TRJ250-0022564</t>
    <phoneticPr fontId="13"/>
  </si>
  <si>
    <t>10/3/31</t>
    <phoneticPr fontId="13"/>
  </si>
  <si>
    <t>27-4326</t>
  </si>
  <si>
    <t>27-4327</t>
  </si>
  <si>
    <t>27-4328</t>
  </si>
  <si>
    <t>なにわ 5X1 ろ 1289</t>
    <phoneticPr fontId="13"/>
  </si>
  <si>
    <t>27-4329</t>
  </si>
  <si>
    <t>A338572</t>
    <phoneticPr fontId="13"/>
  </si>
  <si>
    <t>MK53S-900929</t>
    <phoneticPr fontId="13"/>
  </si>
  <si>
    <t>浜松 350 と 21</t>
    <rPh sb="0" eb="2">
      <t>ハママツ</t>
    </rPh>
    <phoneticPr fontId="13"/>
  </si>
  <si>
    <t>佐藤 仁</t>
    <rPh sb="0" eb="2">
      <t>サトウ</t>
    </rPh>
    <rPh sb="3" eb="4">
      <t>ジン</t>
    </rPh>
    <phoneticPr fontId="13"/>
  </si>
  <si>
    <t>保証書 取説 ﾅﾋﾞ取 ｷｰﾚｽ ﾜﾝｵｰﾅｰ 印鑑証明7/11</t>
    <rPh sb="0" eb="3">
      <t>ホショウショ</t>
    </rPh>
    <rPh sb="4" eb="6">
      <t>トリセツ</t>
    </rPh>
    <rPh sb="10" eb="11">
      <t>トリ</t>
    </rPh>
    <rPh sb="24" eb="28">
      <t>インカンショウメイ</t>
    </rPh>
    <phoneticPr fontId="13"/>
  </si>
  <si>
    <t>岡山 330 る 2623</t>
    <rPh sb="0" eb="2">
      <t>オカヤマ</t>
    </rPh>
    <phoneticPr fontId="13"/>
  </si>
  <si>
    <t>広島 581 ま 5339</t>
    <rPh sb="0" eb="2">
      <t>ヒロシマ</t>
    </rPh>
    <phoneticPr fontId="13"/>
  </si>
  <si>
    <t>多摩 326 や 755</t>
    <rPh sb="0" eb="2">
      <t>タマ</t>
    </rPh>
    <phoneticPr fontId="13"/>
  </si>
  <si>
    <t>品川 5X4 ろ 2556</t>
    <rPh sb="0" eb="2">
      <t>シナガワ</t>
    </rPh>
    <phoneticPr fontId="13"/>
  </si>
  <si>
    <t>横浜 499 の 6443</t>
    <rPh sb="0" eb="2">
      <t>ヨコハマ</t>
    </rPh>
    <phoneticPr fontId="13"/>
  </si>
  <si>
    <t>株式会社ﾄﾖﾀﾚﾝﾘｰｽ横浜</t>
    <rPh sb="0" eb="4">
      <t>カブシキガイシャ</t>
    </rPh>
    <rPh sb="12" eb="14">
      <t>ヨコハマ</t>
    </rPh>
    <phoneticPr fontId="13"/>
  </si>
  <si>
    <t>ｷｬﾝｾﾙ返送4/28</t>
    <rPh sb="5" eb="7">
      <t>ヘンソウ</t>
    </rPh>
    <phoneticPr fontId="13"/>
  </si>
  <si>
    <t xml:space="preserve">取説 ｽﾍﾟｱｷｰ(車内)保証書 </t>
    <rPh sb="0" eb="2">
      <t>トリセツ</t>
    </rPh>
    <rPh sb="13" eb="16">
      <t>ホショウショ</t>
    </rPh>
    <phoneticPr fontId="13"/>
  </si>
  <si>
    <t>整備手帳 取説 ｷｰﾚｽ 地図SD(車内)</t>
    <rPh sb="0" eb="4">
      <t>セイビテチョウ</t>
    </rPh>
    <rPh sb="5" eb="7">
      <t>トリセツ</t>
    </rPh>
    <rPh sb="13" eb="15">
      <t>チズ</t>
    </rPh>
    <phoneticPr fontId="13"/>
  </si>
  <si>
    <t>取説 ｽﾍﾟｱｷｰ 地図SD(車内)</t>
    <rPh sb="0" eb="2">
      <t>トリセツ</t>
    </rPh>
    <rPh sb="10" eb="12">
      <t>チズ</t>
    </rPh>
    <phoneticPr fontId="13"/>
  </si>
  <si>
    <t>取説 ｷｰﾚｽ ﾜﾝｵｰﾅｰ</t>
    <rPh sb="0" eb="2">
      <t>トリセツ</t>
    </rPh>
    <phoneticPr fontId="13"/>
  </si>
  <si>
    <t>なにわ 479 ゆ 1831</t>
    <phoneticPr fontId="13"/>
  </si>
  <si>
    <t>名古屋 352 や 228</t>
    <rPh sb="0" eb="3">
      <t>ナゴヤ</t>
    </rPh>
    <phoneticPr fontId="13"/>
  </si>
  <si>
    <t>27-4330</t>
  </si>
  <si>
    <t>27-4331</t>
  </si>
  <si>
    <t>27-4332</t>
  </si>
  <si>
    <t>27-4333</t>
  </si>
  <si>
    <t>27-4334</t>
  </si>
  <si>
    <t>27-4335</t>
  </si>
  <si>
    <t>27-4336</t>
  </si>
  <si>
    <t>27-4337</t>
  </si>
  <si>
    <t>27-4338</t>
  </si>
  <si>
    <t>27-4339</t>
  </si>
  <si>
    <t>27-4340</t>
  </si>
  <si>
    <t>27-4341</t>
  </si>
  <si>
    <t>27-4342</t>
  </si>
  <si>
    <t>27-4343</t>
  </si>
  <si>
    <t>S321V-0483367</t>
    <phoneticPr fontId="13"/>
  </si>
  <si>
    <t>LA350S-0339415</t>
    <phoneticPr fontId="13"/>
  </si>
  <si>
    <t>LA350S-0340100</t>
    <phoneticPr fontId="13"/>
  </si>
  <si>
    <t>LA700S-0140671</t>
    <phoneticPr fontId="13"/>
  </si>
  <si>
    <t>L375S-0429028</t>
    <phoneticPr fontId="13"/>
  </si>
  <si>
    <t>ﾚｸｻｽ　LS500ｈ　Ｉﾊﾟｯｹｰｼﾞ</t>
    <phoneticPr fontId="13"/>
  </si>
  <si>
    <t>GVF50-6008668</t>
    <phoneticPr fontId="13"/>
  </si>
  <si>
    <t>LA350S-0259157</t>
    <phoneticPr fontId="13"/>
  </si>
  <si>
    <t>JF1-1828693</t>
    <phoneticPr fontId="13"/>
  </si>
  <si>
    <t>ｸﾗｳﾝ　ﾛｲﾔﾙｻﾙｰﾝG</t>
    <phoneticPr fontId="13"/>
  </si>
  <si>
    <t>GRS202-0007282</t>
    <phoneticPr fontId="13"/>
  </si>
  <si>
    <t>NHP160-0100996</t>
    <phoneticPr fontId="13"/>
  </si>
  <si>
    <t>NCP160-0153295</t>
    <phoneticPr fontId="13"/>
  </si>
  <si>
    <t>ｼﾞｬｶﾞｰ XE　S</t>
    <phoneticPr fontId="13"/>
  </si>
  <si>
    <t>27-4344</t>
  </si>
  <si>
    <t>27-4345</t>
  </si>
  <si>
    <t>27-4346</t>
  </si>
  <si>
    <t>27-4347</t>
  </si>
  <si>
    <t>27-4348</t>
  </si>
  <si>
    <t>27-4349</t>
  </si>
  <si>
    <t>27-4350</t>
  </si>
  <si>
    <t>27-4351</t>
  </si>
  <si>
    <t>A335820</t>
    <phoneticPr fontId="13"/>
  </si>
  <si>
    <t>TRJ250-0023856</t>
    <phoneticPr fontId="13"/>
  </si>
  <si>
    <t>ｸﾗｳﾝ　ｱｽﾘｰﾄS</t>
    <phoneticPr fontId="13"/>
  </si>
  <si>
    <t>GRS214-6000390</t>
    <phoneticPr fontId="13"/>
  </si>
  <si>
    <t>A348112</t>
    <phoneticPr fontId="13"/>
  </si>
  <si>
    <t>ZRR80-0638376</t>
    <phoneticPr fontId="13"/>
  </si>
  <si>
    <t>堺　480　く　5279</t>
    <rPh sb="0" eb="1">
      <t>サカイ</t>
    </rPh>
    <phoneticPr fontId="13"/>
  </si>
  <si>
    <t>1C4BU0000LPL57307</t>
    <phoneticPr fontId="13"/>
  </si>
  <si>
    <t>徳島　580　め　3141</t>
    <rPh sb="0" eb="2">
      <t>トクシマ</t>
    </rPh>
    <phoneticPr fontId="13"/>
  </si>
  <si>
    <t>20/4</t>
    <phoneticPr fontId="13"/>
  </si>
  <si>
    <t>SAJAB4AV4HA946464</t>
    <phoneticPr fontId="13"/>
  </si>
  <si>
    <t>諏訪　330　て　3009</t>
    <rPh sb="0" eb="2">
      <t>スホウ</t>
    </rPh>
    <phoneticPr fontId="13"/>
  </si>
  <si>
    <t>ｴﾌﾞﾘｨﾊﾞﾝ　PA</t>
    <phoneticPr fontId="13"/>
  </si>
  <si>
    <t>DA17V-745925</t>
    <phoneticPr fontId="13"/>
  </si>
  <si>
    <t>NSP160-0059891</t>
    <phoneticPr fontId="13"/>
  </si>
  <si>
    <t>NSP160-0071917</t>
    <phoneticPr fontId="13"/>
  </si>
  <si>
    <t>TRH211-8005912</t>
    <phoneticPr fontId="13"/>
  </si>
  <si>
    <t>JF4-1103333</t>
    <phoneticPr fontId="13"/>
  </si>
  <si>
    <t>10/4/24</t>
    <phoneticPr fontId="13"/>
  </si>
  <si>
    <t>WMWXM920002G55722</t>
    <phoneticPr fontId="13"/>
  </si>
  <si>
    <t>ﾉｱ　SI　ﾀﾞﾌﾞﾙﾊﾞｲﾋﾞｰⅡ</t>
    <phoneticPr fontId="13"/>
  </si>
  <si>
    <t>HE33S-155748</t>
    <phoneticPr fontId="13"/>
  </si>
  <si>
    <t>27-4352</t>
  </si>
  <si>
    <t>ZN6TU61C00X347013</t>
    <phoneticPr fontId="13"/>
  </si>
  <si>
    <t>ﾏｾﾗﾃｨ ﾚｳﾞｫﾝﾃ</t>
    <phoneticPr fontId="13"/>
  </si>
  <si>
    <t>品川 59F ち 1959</t>
    <rPh sb="0" eb="2">
      <t>シナガワ</t>
    </rPh>
    <phoneticPr fontId="13"/>
  </si>
  <si>
    <t>香川 338 み 34</t>
    <rPh sb="0" eb="2">
      <t>カガワ</t>
    </rPh>
    <phoneticPr fontId="13"/>
  </si>
  <si>
    <t>株式会社ｼｭﾃﾙﾝ丸亀</t>
    <rPh sb="0" eb="4">
      <t>カブシキガイシャ</t>
    </rPh>
    <rPh sb="9" eb="11">
      <t>マルガメ</t>
    </rPh>
    <phoneticPr fontId="13"/>
  </si>
  <si>
    <t>4/30</t>
    <phoneticPr fontId="13"/>
  </si>
  <si>
    <t>保証書 取説 ｽﾀｰﾄﾎﾞﾀﾝ(車内)ｷｰﾚｽ</t>
    <rPh sb="0" eb="3">
      <t>ホショウショ</t>
    </rPh>
    <rPh sb="4" eb="6">
      <t>トリセツ</t>
    </rPh>
    <phoneticPr fontId="13"/>
  </si>
  <si>
    <t>品川 5X2 ろ 9920</t>
    <rPh sb="0" eb="2">
      <t>シナガワ</t>
    </rPh>
    <phoneticPr fontId="13"/>
  </si>
  <si>
    <t>和泉 590 も 1020</t>
    <rPh sb="0" eb="2">
      <t>イズミ</t>
    </rPh>
    <phoneticPr fontId="13"/>
  </si>
  <si>
    <t>株式会社南海ｽｽﾞｷ</t>
    <rPh sb="4" eb="6">
      <t>ナンカイ</t>
    </rPh>
    <phoneticPr fontId="13"/>
  </si>
  <si>
    <t>広島 399 に 3921</t>
    <rPh sb="0" eb="2">
      <t>ヒロシマ</t>
    </rPh>
    <phoneticPr fontId="13"/>
  </si>
  <si>
    <t>堺 599 ま 7008</t>
    <rPh sb="0" eb="1">
      <t>サカイ</t>
    </rPh>
    <phoneticPr fontId="13"/>
  </si>
  <si>
    <t>保証書 取説 ｷｰﾚｽ ﾏｲｸﾛ地図SD</t>
    <rPh sb="0" eb="3">
      <t>ホショウショ</t>
    </rPh>
    <rPh sb="4" eb="6">
      <t>トリセツ</t>
    </rPh>
    <rPh sb="16" eb="18">
      <t>チズ</t>
    </rPh>
    <phoneticPr fontId="13"/>
  </si>
  <si>
    <t>岡山 399 な 5375</t>
    <rPh sb="0" eb="2">
      <t>オカヤマ</t>
    </rPh>
    <phoneticPr fontId="13"/>
  </si>
  <si>
    <t>倉敷 332 ら 519</t>
    <rPh sb="0" eb="2">
      <t>クラシキ</t>
    </rPh>
    <phoneticPr fontId="13"/>
  </si>
  <si>
    <t>田中 勝昭</t>
    <rPh sb="0" eb="2">
      <t>タナカ</t>
    </rPh>
    <rPh sb="3" eb="5">
      <t>カツアキ</t>
    </rPh>
    <phoneticPr fontId="13"/>
  </si>
  <si>
    <t>品川 39A め 1841</t>
    <rPh sb="0" eb="2">
      <t>シナガワ</t>
    </rPh>
    <phoneticPr fontId="13"/>
  </si>
  <si>
    <t>多摩 592 ろ 6999</t>
    <rPh sb="0" eb="2">
      <t>タマ</t>
    </rPh>
    <phoneticPr fontId="13"/>
  </si>
  <si>
    <t>27-4353</t>
  </si>
  <si>
    <t>日産 ｱﾘｱ</t>
    <rPh sb="0" eb="2">
      <t>ニッサン</t>
    </rPh>
    <phoneticPr fontId="13"/>
  </si>
  <si>
    <t>FE0-100324</t>
    <phoneticPr fontId="13"/>
  </si>
  <si>
    <t>神戸 31F ほ 8000</t>
    <rPh sb="0" eb="2">
      <t>コウベ</t>
    </rPh>
    <phoneticPr fontId="13"/>
  </si>
  <si>
    <t>村上 晴佳</t>
    <rPh sb="0" eb="2">
      <t>ムラカミ</t>
    </rPh>
    <rPh sb="3" eb="5">
      <t>ハルカ</t>
    </rPh>
    <phoneticPr fontId="13"/>
  </si>
  <si>
    <t>中古保証書 取説</t>
    <rPh sb="0" eb="2">
      <t>チュウコ</t>
    </rPh>
    <rPh sb="2" eb="5">
      <t>ホショウショ</t>
    </rPh>
    <rPh sb="6" eb="8">
      <t>トリセツ</t>
    </rPh>
    <phoneticPr fontId="13"/>
  </si>
  <si>
    <t>和歌山 583 き 5020</t>
    <rPh sb="0" eb="3">
      <t>ワカヤマ</t>
    </rPh>
    <phoneticPr fontId="13"/>
  </si>
  <si>
    <t>地図SD(車内)Sｷｰ</t>
    <rPh sb="0" eb="2">
      <t>チズ</t>
    </rPh>
    <phoneticPr fontId="13"/>
  </si>
  <si>
    <t>大阪 347 や 7778</t>
    <rPh sb="0" eb="2">
      <t>オオサカ</t>
    </rPh>
    <phoneticPr fontId="13"/>
  </si>
  <si>
    <t>横浜 306 す 987</t>
    <rPh sb="0" eb="2">
      <t>ヨコハマ</t>
    </rPh>
    <phoneticPr fontId="13"/>
  </si>
  <si>
    <t>堀内自動車工業株式会社</t>
    <rPh sb="0" eb="5">
      <t>ホリウチジドウシャ</t>
    </rPh>
    <rPh sb="5" eb="7">
      <t>コウギョウ</t>
    </rPh>
    <rPh sb="7" eb="11">
      <t>カブシキガイシャ</t>
    </rPh>
    <phoneticPr fontId="13"/>
  </si>
  <si>
    <t>保証書 取説 ﾘﾓｺﾝ B-CAS</t>
    <rPh sb="0" eb="3">
      <t>ホショウショ</t>
    </rPh>
    <rPh sb="4" eb="6">
      <t>トリセツ</t>
    </rPh>
    <phoneticPr fontId="13"/>
  </si>
  <si>
    <t>品川 5X4 ろ 569</t>
    <rPh sb="0" eb="2">
      <t>シナガワ</t>
    </rPh>
    <phoneticPr fontId="13"/>
  </si>
  <si>
    <t>多摩 593 ろ 568</t>
    <rPh sb="0" eb="2">
      <t>タマ</t>
    </rPh>
    <phoneticPr fontId="13"/>
  </si>
  <si>
    <t>多摩 799 ほ 571</t>
    <rPh sb="0" eb="2">
      <t>タマ</t>
    </rPh>
    <phoneticPr fontId="13"/>
  </si>
  <si>
    <t>尾張小牧 589 ろ 9250</t>
    <rPh sb="0" eb="4">
      <t>オワリコマキ</t>
    </rPh>
    <phoneticPr fontId="13"/>
  </si>
  <si>
    <t>BG株式会社</t>
    <rPh sb="2" eb="6">
      <t>カブシキガイシャ</t>
    </rPh>
    <phoneticPr fontId="13"/>
  </si>
  <si>
    <t>保証書 Sｷｰ SD</t>
    <rPh sb="0" eb="3">
      <t>ホショウショ</t>
    </rPh>
    <phoneticPr fontId="13"/>
  </si>
  <si>
    <t>平阪 幸造</t>
    <rPh sb="0" eb="2">
      <t>ヒラサカ</t>
    </rPh>
    <rPh sb="3" eb="4">
      <t>シアワ</t>
    </rPh>
    <rPh sb="4" eb="5">
      <t>ゾウ</t>
    </rPh>
    <phoneticPr fontId="13"/>
  </si>
  <si>
    <t>和歌山 336 の 1218</t>
    <rPh sb="0" eb="3">
      <t>ワカヤマ</t>
    </rPh>
    <phoneticPr fontId="13"/>
  </si>
  <si>
    <t>徳田 真一</t>
    <rPh sb="0" eb="2">
      <t>トクダ</t>
    </rPh>
    <rPh sb="3" eb="5">
      <t>シンイチ</t>
    </rPh>
    <phoneticPr fontId="13"/>
  </si>
  <si>
    <t>京都三菱自動車販売株式会社</t>
    <rPh sb="0" eb="2">
      <t>キョウト</t>
    </rPh>
    <rPh sb="2" eb="13">
      <t>ミツビシジドウシャハンバイカブシキガイシャ</t>
    </rPh>
    <phoneticPr fontId="13"/>
  </si>
  <si>
    <t>取説 SD</t>
    <rPh sb="0" eb="2">
      <t>トリセツ</t>
    </rPh>
    <phoneticPr fontId="13"/>
  </si>
  <si>
    <t>多々内 勝</t>
    <rPh sb="0" eb="3">
      <t>タタウチ</t>
    </rPh>
    <rPh sb="4" eb="5">
      <t>マサル</t>
    </rPh>
    <phoneticPr fontId="13"/>
  </si>
  <si>
    <t>大阪 599 ら 6505</t>
    <rPh sb="0" eb="2">
      <t>オオサカ</t>
    </rPh>
    <phoneticPr fontId="13"/>
  </si>
  <si>
    <t>兵庫三菱自動車販売株式会社</t>
    <rPh sb="0" eb="2">
      <t>ヒョウゴ</t>
    </rPh>
    <rPh sb="2" eb="13">
      <t>ミツビシジドウシャハンバイカブシキガイシャ</t>
    </rPh>
    <phoneticPr fontId="13"/>
  </si>
  <si>
    <t>有限会社ｾﾚｰﾉ</t>
    <rPh sb="0" eb="4">
      <t>ユウゲンガイシャ</t>
    </rPh>
    <phoneticPr fontId="13"/>
  </si>
  <si>
    <t>SD Sｷｰ</t>
    <phoneticPr fontId="13"/>
  </si>
  <si>
    <t>なにわ 5X1 ろ 5667</t>
    <phoneticPr fontId="13"/>
  </si>
  <si>
    <t>奈良 581 と 8309</t>
    <rPh sb="0" eb="2">
      <t>ナラ</t>
    </rPh>
    <phoneticPr fontId="13"/>
  </si>
  <si>
    <t>富士山 581 は 1053</t>
    <rPh sb="0" eb="3">
      <t>フジサン</t>
    </rPh>
    <phoneticPr fontId="13"/>
  </si>
  <si>
    <t>東海三菱自動車販売株式会社</t>
    <rPh sb="0" eb="4">
      <t>トウカイミツビシ</t>
    </rPh>
    <rPh sb="4" eb="13">
      <t>ジドウシャハンバイカブシキガイシャ</t>
    </rPh>
    <phoneticPr fontId="13"/>
  </si>
  <si>
    <t>福井 583 か 1806</t>
    <rPh sb="0" eb="2">
      <t>フクイ</t>
    </rPh>
    <phoneticPr fontId="13"/>
  </si>
  <si>
    <t>大阪 583 け 3182</t>
    <rPh sb="0" eb="2">
      <t>オオサカ</t>
    </rPh>
    <phoneticPr fontId="13"/>
  </si>
  <si>
    <t>株式会社VOITURE</t>
    <rPh sb="0" eb="4">
      <t>カブシキガイシャ</t>
    </rPh>
    <phoneticPr fontId="13"/>
  </si>
  <si>
    <t>豊田 300 ひ 601</t>
    <rPh sb="0" eb="2">
      <t>トヨタ</t>
    </rPh>
    <phoneticPr fontId="13"/>
  </si>
  <si>
    <t>保証書(車内)SD</t>
    <rPh sb="0" eb="3">
      <t>ホショウショ</t>
    </rPh>
    <phoneticPr fontId="13"/>
  </si>
  <si>
    <t>名古屋 583 む 1619</t>
    <rPh sb="0" eb="3">
      <t>ナゴヤ</t>
    </rPh>
    <phoneticPr fontId="13"/>
  </si>
  <si>
    <t>愛知県中古自動車販売商工組合</t>
    <rPh sb="0" eb="3">
      <t>アイチケン</t>
    </rPh>
    <rPh sb="3" eb="12">
      <t>チュウコジドウシャハンバイショウコウ</t>
    </rPh>
    <rPh sb="12" eb="14">
      <t>クミアイ</t>
    </rPh>
    <phoneticPr fontId="13"/>
  </si>
  <si>
    <t>神戸 352 ろ 1006</t>
    <rPh sb="0" eb="2">
      <t>コウベ</t>
    </rPh>
    <phoneticPr fontId="13"/>
  </si>
  <si>
    <t>神戸ﾄﾖﾍﾟｯﾄ株式会社</t>
    <rPh sb="0" eb="2">
      <t>コウベ</t>
    </rPh>
    <rPh sb="8" eb="12">
      <t>カブシキガイシャ</t>
    </rPh>
    <phoneticPr fontId="13"/>
  </si>
  <si>
    <t>4/30</t>
    <phoneticPr fontId="13"/>
  </si>
  <si>
    <t>つくば 300 も 2138</t>
    <phoneticPr fontId="13"/>
  </si>
  <si>
    <t>株式会社ﾈｸｽﾃｰｼﾞ</t>
    <rPh sb="0" eb="4">
      <t>カブシキガイシャ</t>
    </rPh>
    <phoneticPr fontId="13"/>
  </si>
  <si>
    <t xml:space="preserve">ｷｰﾚｽ(車内) </t>
    <phoneticPr fontId="13"/>
  </si>
  <si>
    <t>広島 331 た 1257</t>
    <rPh sb="0" eb="2">
      <t>ヒロシマ</t>
    </rPh>
    <phoneticPr fontId="13"/>
  </si>
  <si>
    <t>ﾋﾞｰｴﾑﾀﾞﾌﾞﾘｭｰｼﾞｬﾊﾟﾝﾌｧｲﾅﾝｽ株式会社</t>
    <rPh sb="24" eb="28">
      <t>カブシキガイシャ</t>
    </rPh>
    <phoneticPr fontId="13"/>
  </si>
  <si>
    <t>株式会社ﾓﾄｰﾚﾝﾃｨｰｱｲ</t>
    <rPh sb="0" eb="4">
      <t>カブシキガイシャ</t>
    </rPh>
    <phoneticPr fontId="13"/>
  </si>
  <si>
    <t>保証書 取説 ｷｰﾚｽ</t>
    <rPh sb="0" eb="3">
      <t>ホショウショ</t>
    </rPh>
    <rPh sb="4" eb="6">
      <t>トリセツ</t>
    </rPh>
    <phoneticPr fontId="13"/>
  </si>
  <si>
    <t>柴田 恵美子</t>
    <rPh sb="0" eb="2">
      <t>シバタ</t>
    </rPh>
    <rPh sb="3" eb="6">
      <t>エミコ</t>
    </rPh>
    <phoneticPr fontId="13"/>
  </si>
  <si>
    <t>広島 340 せ 918</t>
    <rPh sb="0" eb="2">
      <t>ヒロシマ</t>
    </rPh>
    <phoneticPr fontId="13"/>
  </si>
  <si>
    <t>27-4354</t>
  </si>
  <si>
    <t>27-4355</t>
  </si>
  <si>
    <t>27-4356</t>
  </si>
  <si>
    <t>27-4357</t>
  </si>
  <si>
    <t>TAA中部</t>
    <rPh sb="3" eb="5">
      <t>チュウブ</t>
    </rPh>
    <phoneticPr fontId="13"/>
  </si>
  <si>
    <t>ZRR80-0246587</t>
    <phoneticPr fontId="13"/>
  </si>
  <si>
    <t>MN71S-136694</t>
    <phoneticPr fontId="13"/>
  </si>
  <si>
    <t>WMWYU520403G97057</t>
    <phoneticPr fontId="13"/>
  </si>
  <si>
    <t>NSP160-0059039</t>
    <phoneticPr fontId="13"/>
  </si>
  <si>
    <t>28/8</t>
    <phoneticPr fontId="13"/>
  </si>
  <si>
    <t>ｳﾞｫｸｼｰ ZS 煌2</t>
    <rPh sb="10" eb="11">
      <t>キラメ</t>
    </rPh>
    <phoneticPr fontId="13"/>
  </si>
  <si>
    <t>9/8</t>
    <phoneticPr fontId="13"/>
  </si>
  <si>
    <t>滋賀 344 に 14</t>
    <rPh sb="0" eb="2">
      <t>シガ</t>
    </rPh>
    <phoneticPr fontId="13"/>
  </si>
  <si>
    <t>31/3</t>
    <phoneticPr fontId="13"/>
  </si>
  <si>
    <t>黒</t>
    <rPh sb="0" eb="1">
      <t>クロ</t>
    </rPh>
    <phoneticPr fontId="13"/>
  </si>
  <si>
    <t>ｸﾛｽﾋﾞｰ ﾊｲﾌﾞﾘｯﾄﾞ MZ</t>
    <phoneticPr fontId="13"/>
  </si>
  <si>
    <t>1/5</t>
    <phoneticPr fontId="13"/>
  </si>
  <si>
    <t>赤</t>
    <rPh sb="0" eb="1">
      <t>アカ</t>
    </rPh>
    <phoneticPr fontId="13"/>
  </si>
  <si>
    <t>3/3</t>
    <phoneticPr fontId="13"/>
  </si>
  <si>
    <t>白</t>
    <rPh sb="0" eb="1">
      <t>シロ</t>
    </rPh>
    <phoneticPr fontId="13"/>
  </si>
  <si>
    <t>ﾌﾟﾛﾎﾞｯｸｽ DXｺﾝﾌｫｰﾄ</t>
    <phoneticPr fontId="13"/>
  </si>
  <si>
    <t>保証書</t>
    <rPh sb="0" eb="3">
      <t>ホショウショ</t>
    </rPh>
    <phoneticPr fontId="13"/>
  </si>
  <si>
    <t>CAA中部(まとめ)</t>
    <rPh sb="3" eb="5">
      <t>チュウブ</t>
    </rPh>
    <phoneticPr fontId="13"/>
  </si>
  <si>
    <t>27-4358</t>
  </si>
  <si>
    <t>27-4359</t>
  </si>
  <si>
    <t>27-4360</t>
  </si>
  <si>
    <t>27-4361</t>
  </si>
  <si>
    <t>5/4</t>
    <phoneticPr fontId="13"/>
  </si>
  <si>
    <t>ﾐﾗｲｰｽ X SA3</t>
    <phoneticPr fontId="13"/>
  </si>
  <si>
    <t>LA350S-0340418</t>
    <phoneticPr fontId="13"/>
  </si>
  <si>
    <t>ﾌﾟﾛﾎﾞｯｸｽ ﾊｲﾌﾞﾘｯﾄﾞGL</t>
    <phoneticPr fontId="13"/>
  </si>
  <si>
    <t>NHP160-0030726</t>
    <phoneticPr fontId="13"/>
  </si>
  <si>
    <t>NHP160-0030495</t>
    <phoneticPr fontId="13"/>
  </si>
  <si>
    <t>CAN</t>
    <phoneticPr fontId="13"/>
  </si>
  <si>
    <t>ｷｬﾝｾﾙ</t>
    <phoneticPr fontId="13"/>
  </si>
  <si>
    <t>ﾊｲｴｰｽ ﾚｼﾞｱｽｴｰｽ　ｽｰﾊﾟｰGL</t>
    <phoneticPr fontId="13"/>
  </si>
  <si>
    <t>取説 ｽﾍﾟｱｷｰ(車内)</t>
    <rPh sb="0" eb="2">
      <t>トリセツ</t>
    </rPh>
    <phoneticPr fontId="13"/>
  </si>
  <si>
    <t>HAA神戸(ﾜﾝｸﾘ)</t>
    <rPh sb="3" eb="5">
      <t>コウベ</t>
    </rPh>
    <phoneticPr fontId="13"/>
  </si>
  <si>
    <t>西日本三菱自動車販売株式会社</t>
    <rPh sb="0" eb="14">
      <t>ニシニホンミツビシジドウシャハンバイカブシキガイシャ</t>
    </rPh>
    <phoneticPr fontId="13"/>
  </si>
  <si>
    <t>5/1</t>
    <phoneticPr fontId="13"/>
  </si>
  <si>
    <t>保証書 取説 ｷｰﾚｽ SD</t>
    <rPh sb="0" eb="3">
      <t>ホショウショ</t>
    </rPh>
    <rPh sb="4" eb="6">
      <t>トリセツ</t>
    </rPh>
    <phoneticPr fontId="13"/>
  </si>
  <si>
    <t>品川 48F ろ 7214</t>
    <rPh sb="0" eb="2">
      <t>シナガワ</t>
    </rPh>
    <phoneticPr fontId="13"/>
  </si>
  <si>
    <t>三菱ｵｰﾄﾘｰｽ株式会社</t>
    <rPh sb="0" eb="2">
      <t>ミツビシ</t>
    </rPh>
    <rPh sb="8" eb="12">
      <t>カブシキガイシャ</t>
    </rPh>
    <phoneticPr fontId="13"/>
  </si>
  <si>
    <t>品川 59F そ 7161</t>
    <rPh sb="0" eb="2">
      <t>シナガワ</t>
    </rPh>
    <phoneticPr fontId="13"/>
  </si>
  <si>
    <t>保証書 取説(車内)</t>
    <rPh sb="0" eb="3">
      <t>ホショウショ</t>
    </rPh>
    <rPh sb="4" eb="6">
      <t>トリセツ</t>
    </rPh>
    <phoneticPr fontId="13"/>
  </si>
  <si>
    <t>保証書 取説 ｷｰﾚｽ(車内)</t>
    <rPh sb="0" eb="3">
      <t>ホショウショ</t>
    </rPh>
    <rPh sb="4" eb="6">
      <t>トリセツ</t>
    </rPh>
    <phoneticPr fontId="13"/>
  </si>
  <si>
    <t>27-4362</t>
  </si>
  <si>
    <t>27-4363</t>
  </si>
  <si>
    <t>27-4364</t>
  </si>
  <si>
    <t>27-4365</t>
  </si>
  <si>
    <t>27-4366</t>
  </si>
  <si>
    <t>27-4367</t>
  </si>
  <si>
    <t>JU愛知(まとめ)</t>
    <rPh sb="2" eb="4">
      <t>アイチ</t>
    </rPh>
    <phoneticPr fontId="13"/>
  </si>
  <si>
    <t>27-4368</t>
  </si>
  <si>
    <t>JF1-1632854</t>
    <phoneticPr fontId="13"/>
  </si>
  <si>
    <t>HE33S-212133</t>
    <phoneticPr fontId="13"/>
  </si>
  <si>
    <t>JF3-5110675</t>
    <phoneticPr fontId="13"/>
  </si>
  <si>
    <t>S331V-0151013</t>
    <phoneticPr fontId="13"/>
  </si>
  <si>
    <t>MXPH10-2023915</t>
    <phoneticPr fontId="13"/>
  </si>
  <si>
    <t>DC5-1012691</t>
    <phoneticPr fontId="13"/>
  </si>
  <si>
    <t>GRS214-6002306</t>
    <phoneticPr fontId="13"/>
  </si>
  <si>
    <t>JF3-2086922</t>
    <phoneticPr fontId="13"/>
  </si>
  <si>
    <t>27/6</t>
    <phoneticPr fontId="13"/>
  </si>
  <si>
    <t>N-BOX Gl ﾊﾟｯｹｰｼﾞ</t>
    <phoneticPr fontId="13"/>
  </si>
  <si>
    <t>30/11</t>
    <phoneticPr fontId="13"/>
  </si>
  <si>
    <t>茶色</t>
    <rPh sb="0" eb="2">
      <t>チャイロ</t>
    </rPh>
    <phoneticPr fontId="13"/>
  </si>
  <si>
    <t>3/12</t>
    <phoneticPr fontId="13"/>
  </si>
  <si>
    <t>N-BOXｶｽﾀﾑ L</t>
    <phoneticPr fontId="13"/>
  </si>
  <si>
    <t>8/12/15</t>
    <phoneticPr fontId="13"/>
  </si>
  <si>
    <t>ﾊｲｾﾞｯﾄ ﾊﾞﾝ 55thｱﾆﾊﾞｰｻﾘｰ ｸﾙｰｽﾞﾀｰﾎﾞ</t>
    <phoneticPr fontId="13"/>
  </si>
  <si>
    <t>名古屋 58A む 5627</t>
    <rPh sb="0" eb="3">
      <t>ナゴヤ</t>
    </rPh>
    <phoneticPr fontId="13"/>
  </si>
  <si>
    <t>ﾔﾘｽ  HV X</t>
    <phoneticPr fontId="13"/>
  </si>
  <si>
    <t>15/2</t>
    <phoneticPr fontId="13"/>
  </si>
  <si>
    <t>青</t>
    <rPh sb="0" eb="1">
      <t>アオ</t>
    </rPh>
    <phoneticPr fontId="13"/>
  </si>
  <si>
    <t>ｲﾝﾃｸﾞﾗ ﾀｲﾌﾟR</t>
    <phoneticPr fontId="13"/>
  </si>
  <si>
    <t>10/2/11</t>
    <phoneticPr fontId="13"/>
  </si>
  <si>
    <t>福井 330 す 8115</t>
    <rPh sb="0" eb="2">
      <t>フクイ</t>
    </rPh>
    <phoneticPr fontId="13"/>
  </si>
  <si>
    <t>25/4</t>
    <phoneticPr fontId="13"/>
  </si>
  <si>
    <t>ｸﾗｳﾝ ｱｽﾘｰﾄ G</t>
    <phoneticPr fontId="13"/>
  </si>
  <si>
    <t>N-BOXｶｽﾀﾑ Gl ﾀｰﾎﾞ ﾎﾝﾀﾞｾﾝｼﾝｸﾞ</t>
    <phoneticPr fontId="13"/>
  </si>
  <si>
    <t>27-4369</t>
  </si>
  <si>
    <t>27-4370</t>
  </si>
  <si>
    <t>27-4371</t>
  </si>
  <si>
    <t>27-4372</t>
  </si>
  <si>
    <t>27-4373</t>
  </si>
  <si>
    <t>27-4374</t>
  </si>
  <si>
    <t>27-4375</t>
  </si>
  <si>
    <t>27-4376</t>
  </si>
  <si>
    <t>27-4377</t>
  </si>
  <si>
    <t>27-4378</t>
  </si>
  <si>
    <t>ﾐﾗｲﾌﾞ大阪(ｱｲｵｰｸ)</t>
    <rPh sb="5" eb="7">
      <t>オオサカ</t>
    </rPh>
    <phoneticPr fontId="13"/>
  </si>
  <si>
    <t>27-4379</t>
  </si>
  <si>
    <t>AGH30-0124482</t>
    <phoneticPr fontId="13"/>
  </si>
  <si>
    <t>AGH30-0405459</t>
    <phoneticPr fontId="13"/>
  </si>
  <si>
    <t>AWS210-6083509</t>
    <phoneticPr fontId="13"/>
  </si>
  <si>
    <t>MXWH61-4003449</t>
    <phoneticPr fontId="13"/>
  </si>
  <si>
    <t>JH3-2008187</t>
    <phoneticPr fontId="13"/>
  </si>
  <si>
    <t>LA600S-0534531</t>
    <phoneticPr fontId="13"/>
  </si>
  <si>
    <t>MH34S-534830</t>
    <phoneticPr fontId="13"/>
  </si>
  <si>
    <t>MK53S-338673</t>
    <phoneticPr fontId="13"/>
  </si>
  <si>
    <t>JF1-1924510</t>
    <phoneticPr fontId="13"/>
  </si>
  <si>
    <t>LA650S-1101282</t>
    <phoneticPr fontId="13"/>
  </si>
  <si>
    <t>MH44S-461844</t>
    <phoneticPr fontId="13"/>
  </si>
  <si>
    <t>29/3</t>
    <phoneticPr fontId="13"/>
  </si>
  <si>
    <t>ｱﾙﾌｧｰﾄﾞ S</t>
    <phoneticPr fontId="13"/>
  </si>
  <si>
    <t>R</t>
    <phoneticPr fontId="13"/>
  </si>
  <si>
    <t>5/7</t>
    <phoneticPr fontId="13"/>
  </si>
  <si>
    <t>ﾌﾟﾘｳｽ PHEV Z</t>
    <phoneticPr fontId="13"/>
  </si>
  <si>
    <t>27/3</t>
    <phoneticPr fontId="13"/>
  </si>
  <si>
    <t>ｸﾗｳﾝ ﾊｲﾌﾞﾘｯﾄﾞｱｽﾘｰﾄS</t>
    <phoneticPr fontId="13"/>
  </si>
  <si>
    <t>4/1</t>
    <phoneticPr fontId="13"/>
  </si>
  <si>
    <t>ｱﾙﾌｧｰﾄﾞ Sﾀｲﾌﾟｺﾞｰﾙﾄﾞ2</t>
    <phoneticPr fontId="13"/>
  </si>
  <si>
    <t>9/1</t>
    <phoneticPr fontId="13"/>
  </si>
  <si>
    <t>なにわ 389 と 24</t>
    <phoneticPr fontId="13"/>
  </si>
  <si>
    <t>26/11</t>
    <phoneticPr fontId="13"/>
  </si>
  <si>
    <t>ﾜｺﾞﾝR ｽﾃｨﾝｸﾞﾚｰ X ﾚｰﾀﾞｰﾌﾞﾚｰｷS</t>
    <phoneticPr fontId="13"/>
  </si>
  <si>
    <t>3/9</t>
    <phoneticPr fontId="13"/>
  </si>
  <si>
    <t>ﾀﾝﾄｶｽﾀﾑRSｽﾀｲﾙｾﾚｸｼｮﾝ</t>
    <phoneticPr fontId="13"/>
  </si>
  <si>
    <t>29/2</t>
    <phoneticPr fontId="13"/>
  </si>
  <si>
    <t>N-BOXｶｽﾀﾑ SSﾊﾟｯｹｰｼﾞ</t>
    <phoneticPr fontId="13"/>
  </si>
  <si>
    <t>10/2</t>
    <phoneticPr fontId="13"/>
  </si>
  <si>
    <t>京都 582 つ 7263</t>
    <rPh sb="0" eb="2">
      <t>キョウト</t>
    </rPh>
    <phoneticPr fontId="13"/>
  </si>
  <si>
    <t>ﾋﾟﾝｸ</t>
    <phoneticPr fontId="13"/>
  </si>
  <si>
    <t>ｽﾍﾟｰｼｱﾊｲﾌﾞﾘｯﾄﾞX</t>
    <phoneticPr fontId="13"/>
  </si>
  <si>
    <t>8/9</t>
    <phoneticPr fontId="13"/>
  </si>
  <si>
    <t>和泉 581 ひ 5127</t>
    <rPh sb="0" eb="2">
      <t>イズミ</t>
    </rPh>
    <phoneticPr fontId="13"/>
  </si>
  <si>
    <t>28/6</t>
    <phoneticPr fontId="13"/>
  </si>
  <si>
    <t>ﾜｺﾞﾝR FX</t>
    <phoneticPr fontId="13"/>
  </si>
  <si>
    <t>9/6</t>
    <phoneticPr fontId="13"/>
  </si>
  <si>
    <t>ﾀﾝﾄｶｽﾀﾑ Xﾄｯﾌﾟｴﾃﾞｨｼｮﾝ</t>
    <phoneticPr fontId="13"/>
  </si>
  <si>
    <t>2/4</t>
    <phoneticPr fontId="13"/>
  </si>
  <si>
    <t>N-WGN ｶｽﾀﾑ Lﾀｰﾎﾞﾎﾝﾀﾞｾﾝｼﾝｸﾞ</t>
    <phoneticPr fontId="13"/>
  </si>
  <si>
    <t>9/4</t>
    <phoneticPr fontId="13"/>
  </si>
  <si>
    <t>三河 583 い 7875</t>
    <rPh sb="0" eb="2">
      <t>ミカワ</t>
    </rPh>
    <phoneticPr fontId="13"/>
  </si>
  <si>
    <t>USS名古屋</t>
    <rPh sb="3" eb="6">
      <t>ナゴヤ</t>
    </rPh>
    <phoneticPr fontId="13"/>
  </si>
  <si>
    <t>29/10</t>
    <phoneticPr fontId="13"/>
  </si>
  <si>
    <t>ﾒﾙｾﾃﾞｽﾍﾞﾝﾂBｸﾗｽ B180</t>
    <phoneticPr fontId="13"/>
  </si>
  <si>
    <t>WDD2462422J462049</t>
    <phoneticPr fontId="13"/>
  </si>
  <si>
    <t>8/10/26</t>
    <phoneticPr fontId="13"/>
  </si>
  <si>
    <t>春日井 317 と 55</t>
    <rPh sb="0" eb="3">
      <t>カスガイ</t>
    </rPh>
    <phoneticPr fontId="13"/>
  </si>
  <si>
    <t>4/10</t>
    <phoneticPr fontId="13"/>
  </si>
  <si>
    <t>黄色</t>
    <rPh sb="0" eb="2">
      <t>キイロ</t>
    </rPh>
    <phoneticPr fontId="13"/>
  </si>
  <si>
    <t>ﾌﾟｼﾞｮｰ208 GT</t>
    <phoneticPr fontId="13"/>
  </si>
  <si>
    <t>VR3UPHNKSNT089867</t>
    <phoneticPr fontId="13"/>
  </si>
  <si>
    <t>1/11</t>
    <phoneticPr fontId="13"/>
  </si>
  <si>
    <t>ｱﾊﾞﾙﾄ595 ｺﾝﾍﾟﾃｨﾂｨｵｰﾈ ｽﾃｨｰﾚ</t>
    <phoneticPr fontId="13"/>
  </si>
  <si>
    <t>ZFA3120000JC65743</t>
    <phoneticPr fontId="13"/>
  </si>
  <si>
    <t>USS大阪</t>
    <rPh sb="3" eb="5">
      <t>オオサカ</t>
    </rPh>
    <phoneticPr fontId="13"/>
  </si>
  <si>
    <t>25/5</t>
    <phoneticPr fontId="13"/>
  </si>
  <si>
    <t>ｸﾗｳﾝ ｱｽﾘｰﾄG</t>
    <phoneticPr fontId="13"/>
  </si>
  <si>
    <t>GRS214-6002361</t>
    <phoneticPr fontId="13"/>
  </si>
  <si>
    <t>ﾐﾗｲﾌﾞ愛知ｱｲｵｰｸ)</t>
    <rPh sb="6" eb="11">
      <t>アイオーク</t>
    </rPh>
    <phoneticPr fontId="13"/>
  </si>
  <si>
    <t>8/4</t>
    <phoneticPr fontId="13"/>
  </si>
  <si>
    <t>ｽｰﾊﾟｰｷｬﾘｨ 4WD</t>
    <phoneticPr fontId="13"/>
  </si>
  <si>
    <t>DA16T-922351</t>
    <phoneticPr fontId="13"/>
  </si>
  <si>
    <t>10/4</t>
    <phoneticPr fontId="13"/>
  </si>
  <si>
    <t>S</t>
    <phoneticPr fontId="13"/>
  </si>
  <si>
    <t>京都 480 む 418</t>
    <rPh sb="0" eb="2">
      <t>キョウト</t>
    </rPh>
    <phoneticPr fontId="13"/>
  </si>
  <si>
    <t>25/1</t>
    <phoneticPr fontId="13"/>
  </si>
  <si>
    <t>ｽｸﾗﾑﾜｺﾞﾝ PZﾀｰﾎﾞ</t>
    <phoneticPr fontId="13"/>
  </si>
  <si>
    <t>DG64W-401351</t>
    <phoneticPr fontId="13"/>
  </si>
  <si>
    <t>301 の 813</t>
    <phoneticPr fontId="13"/>
  </si>
  <si>
    <t>301 の 814</t>
    <phoneticPr fontId="13"/>
  </si>
  <si>
    <t>301 の 816</t>
    <phoneticPr fontId="13"/>
  </si>
  <si>
    <t>301 の 818</t>
    <phoneticPr fontId="13"/>
  </si>
  <si>
    <t>301 の 815</t>
    <phoneticPr fontId="13"/>
  </si>
  <si>
    <t>301 の 817</t>
    <phoneticPr fontId="13"/>
  </si>
  <si>
    <t>27-4380</t>
  </si>
  <si>
    <t>27-4381</t>
  </si>
  <si>
    <t>27-4382</t>
  </si>
  <si>
    <t>27-4383</t>
  </si>
  <si>
    <t>27-4384</t>
  </si>
  <si>
    <t>27-4385</t>
  </si>
  <si>
    <t>27-4387</t>
  </si>
  <si>
    <t>27-4388</t>
  </si>
  <si>
    <t>27-4389</t>
  </si>
  <si>
    <t>27-4390</t>
  </si>
  <si>
    <t>27-4391</t>
  </si>
  <si>
    <t>27-4392</t>
  </si>
  <si>
    <t>27-4393</t>
  </si>
  <si>
    <t>27-4394</t>
  </si>
  <si>
    <t>27-4395</t>
  </si>
  <si>
    <t>27-4396</t>
  </si>
  <si>
    <t>27-4397</t>
  </si>
  <si>
    <t>27-4398</t>
  </si>
  <si>
    <t>27-4399</t>
  </si>
  <si>
    <t>27-4400</t>
  </si>
  <si>
    <t>27-4401</t>
  </si>
  <si>
    <t>27-4402</t>
  </si>
  <si>
    <t>27-4403</t>
  </si>
  <si>
    <t>27-4404</t>
  </si>
  <si>
    <t>27-4405</t>
  </si>
  <si>
    <t>27-4406</t>
  </si>
  <si>
    <t>27-4407</t>
  </si>
  <si>
    <t>27-4408</t>
  </si>
  <si>
    <t>27-4409</t>
  </si>
  <si>
    <t>27-4410</t>
  </si>
  <si>
    <t>LAA岡山</t>
    <rPh sb="3" eb="5">
      <t>オカヤマ</t>
    </rPh>
    <phoneticPr fontId="13"/>
  </si>
  <si>
    <t>GR86　RC</t>
    <phoneticPr fontId="13"/>
  </si>
  <si>
    <t>ZN8-031421</t>
    <phoneticPr fontId="13"/>
  </si>
  <si>
    <t>ｸﾗｳﾝ　ﾊｲﾌﾞﾘｯﾄﾞZ</t>
    <phoneticPr fontId="13"/>
  </si>
  <si>
    <t>AZSH32-0007458</t>
    <phoneticPr fontId="13"/>
  </si>
  <si>
    <t>ｽﾍﾟｰｼｱｶｽﾀﾑ　Z</t>
    <phoneticPr fontId="13"/>
  </si>
  <si>
    <t>MK42S-637210</t>
    <phoneticPr fontId="13"/>
  </si>
  <si>
    <t>FSNE13-593403</t>
    <phoneticPr fontId="13"/>
  </si>
  <si>
    <t>NV100ｸﾘｯﾊﾟｰﾊﾞﾝ　GX</t>
    <phoneticPr fontId="13"/>
  </si>
  <si>
    <t>DR17V-743097</t>
    <phoneticPr fontId="13"/>
  </si>
  <si>
    <t>Nﾜｺﾞﾝｶｽﾀﾑ　SSﾊﾟｯｹｰｼﾞ</t>
    <phoneticPr fontId="13"/>
  </si>
  <si>
    <t>JH1-1343531</t>
    <phoneticPr fontId="13"/>
  </si>
  <si>
    <t>ﾚｸｻｽ　IS300ｈ　Ｆｽﾎﾟｰﾂ</t>
    <phoneticPr fontId="13"/>
  </si>
  <si>
    <t>AVE30-5015968</t>
    <phoneticPr fontId="13"/>
  </si>
  <si>
    <t>ｱﾙﾄ　ﾊｲﾌﾞﾘｯﾄﾞS</t>
    <phoneticPr fontId="13"/>
  </si>
  <si>
    <t>HA97S-167209</t>
    <phoneticPr fontId="13"/>
  </si>
  <si>
    <t>BP8P-101558</t>
    <phoneticPr fontId="13"/>
  </si>
  <si>
    <t>LA800S-0110570</t>
    <phoneticPr fontId="13"/>
  </si>
  <si>
    <t>ﾊﾟｼﾞｪﾛ　VR-I</t>
    <phoneticPr fontId="13"/>
  </si>
  <si>
    <t>V83W-0500115</t>
    <phoneticPr fontId="13"/>
  </si>
  <si>
    <t>ｾﾞｽﾄｽﾊﾟｰｸ　W</t>
    <phoneticPr fontId="13"/>
  </si>
  <si>
    <t>JE1-1331059</t>
    <phoneticPr fontId="13"/>
  </si>
  <si>
    <t>USS九州</t>
    <rPh sb="3" eb="5">
      <t>キュウシュウ</t>
    </rPh>
    <phoneticPr fontId="13"/>
  </si>
  <si>
    <t>ﾙﾉｰｶﾝｸﾞｰ　ﾗ･ﾎﾟｽﾄ</t>
    <phoneticPr fontId="13"/>
  </si>
  <si>
    <t>HAA神戸</t>
    <rPh sb="3" eb="5">
      <t>コウベ</t>
    </rPh>
    <phoneticPr fontId="13"/>
  </si>
  <si>
    <t>CX-60　XD　Lﾊﾟｯｹｰｼﾞ</t>
    <phoneticPr fontId="13"/>
  </si>
  <si>
    <t>ﾉｰﾄ　EﾊﾟﾜｰﾆｽﾓS</t>
    <phoneticPr fontId="13"/>
  </si>
  <si>
    <t>HE12-314987</t>
    <phoneticPr fontId="13"/>
  </si>
  <si>
    <t>ﾊﾘｱｰ　Zﾚｻﾞｰﾊﾟｯｹｰｼﾞ</t>
    <phoneticPr fontId="13"/>
  </si>
  <si>
    <t>MXUA80-0067378</t>
    <phoneticPr fontId="13"/>
  </si>
  <si>
    <t>ｶﾛｰﾗﾌｨｰﾙﾀﾞｰ　HV　G　WXB</t>
    <phoneticPr fontId="13"/>
  </si>
  <si>
    <t>NKE165-8025846</t>
    <phoneticPr fontId="13"/>
  </si>
  <si>
    <t>ﾚｸｻｽ　LS500Fｽﾎﾟｰﾂ</t>
    <phoneticPr fontId="13"/>
  </si>
  <si>
    <t>VXFA50-6004118</t>
    <phoneticPr fontId="13"/>
  </si>
  <si>
    <t>MﾍﾞﾝﾂCLA200ｄ　AMGﾗｲﾝ</t>
    <phoneticPr fontId="13"/>
  </si>
  <si>
    <t>ｸﾗｲｽﾗｰｼﾞｰﾌﾟ　ﾗﾝｸﾞﾗｰUL4W　ｽﾎﾟｰﾂ</t>
    <phoneticPr fontId="13"/>
  </si>
  <si>
    <t>ﾎﾞﾙﾎﾞXC40　T4AWD　Rﾃﾞｻﾞｲﾝ</t>
    <phoneticPr fontId="13"/>
  </si>
  <si>
    <t>BMWﾐﾆ　ﾜﾝ</t>
    <phoneticPr fontId="13"/>
  </si>
  <si>
    <t>5/12</t>
    <phoneticPr fontId="13"/>
  </si>
  <si>
    <t>ﾌﾞﾙｰ</t>
    <phoneticPr fontId="13"/>
  </si>
  <si>
    <t>6/9</t>
    <phoneticPr fontId="13"/>
  </si>
  <si>
    <t>9/9/17</t>
    <phoneticPr fontId="13"/>
  </si>
  <si>
    <t>29/7</t>
    <phoneticPr fontId="13"/>
  </si>
  <si>
    <t>黒</t>
    <rPh sb="0" eb="1">
      <t>クロ</t>
    </rPh>
    <phoneticPr fontId="13"/>
  </si>
  <si>
    <t>8/7/23</t>
    <phoneticPr fontId="13"/>
  </si>
  <si>
    <t>ｵｰﾗ　ﾆｽﾓ　ﾁｭｰﾝﾄﾞeﾊﾟﾜｰ</t>
    <phoneticPr fontId="13"/>
  </si>
  <si>
    <t>9/9/26</t>
    <phoneticPr fontId="13"/>
  </si>
  <si>
    <t>6/3</t>
    <phoneticPr fontId="13"/>
  </si>
  <si>
    <t>29/4</t>
    <phoneticPr fontId="13"/>
  </si>
  <si>
    <t>8/6/29</t>
    <phoneticPr fontId="13"/>
  </si>
  <si>
    <t>25/11</t>
    <phoneticPr fontId="13"/>
  </si>
  <si>
    <t>9/3/9</t>
    <phoneticPr fontId="13"/>
  </si>
  <si>
    <t>6/7</t>
    <phoneticPr fontId="13"/>
  </si>
  <si>
    <t>9/7/4</t>
    <phoneticPr fontId="13"/>
  </si>
  <si>
    <t>1/6</t>
    <phoneticPr fontId="13"/>
  </si>
  <si>
    <t>赤</t>
    <rPh sb="0" eb="1">
      <t>アカ</t>
    </rPh>
    <phoneticPr fontId="13"/>
  </si>
  <si>
    <t>30/4</t>
    <phoneticPr fontId="13"/>
  </si>
  <si>
    <t>白</t>
    <rPh sb="0" eb="1">
      <t>シロ</t>
    </rPh>
    <phoneticPr fontId="13"/>
  </si>
  <si>
    <t>ﾑｰｳﾞｷｬﾝﾊﾞｽ　Gﾒｲｸｱｯﾌﾟ</t>
    <phoneticPr fontId="13"/>
  </si>
  <si>
    <t>9/3/31</t>
    <phoneticPr fontId="13"/>
  </si>
  <si>
    <t>R</t>
    <phoneticPr fontId="13"/>
  </si>
  <si>
    <t>23/11</t>
    <phoneticPr fontId="13"/>
  </si>
  <si>
    <t>23/7</t>
    <phoneticPr fontId="13"/>
  </si>
  <si>
    <t>8/7/27</t>
    <phoneticPr fontId="13"/>
  </si>
  <si>
    <t>30/5</t>
    <phoneticPr fontId="13"/>
  </si>
  <si>
    <t>ｲｴﾛｰ</t>
    <phoneticPr fontId="13"/>
  </si>
  <si>
    <t>9/3/25</t>
    <phoneticPr fontId="13"/>
  </si>
  <si>
    <t>佐賀　530　の　595</t>
    <rPh sb="0" eb="2">
      <t>サガ</t>
    </rPh>
    <phoneticPr fontId="13"/>
  </si>
  <si>
    <t>2/12</t>
    <phoneticPr fontId="13"/>
  </si>
  <si>
    <t>VF1KW14B3L0809970</t>
    <phoneticPr fontId="13"/>
  </si>
  <si>
    <t>9/12/24</t>
    <phoneticPr fontId="13"/>
  </si>
  <si>
    <t>久留米　300　ら　4883</t>
    <rPh sb="0" eb="3">
      <t>クルメ</t>
    </rPh>
    <phoneticPr fontId="13"/>
  </si>
  <si>
    <t>5/5</t>
    <phoneticPr fontId="13"/>
  </si>
  <si>
    <t>KH3P-100825</t>
    <phoneticPr fontId="13"/>
  </si>
  <si>
    <t>2/3</t>
    <phoneticPr fontId="13"/>
  </si>
  <si>
    <t>4/2</t>
    <phoneticPr fontId="13"/>
  </si>
  <si>
    <t>28/2</t>
    <phoneticPr fontId="13"/>
  </si>
  <si>
    <t>30/10</t>
    <phoneticPr fontId="13"/>
  </si>
  <si>
    <t>9/10</t>
    <phoneticPr fontId="13"/>
  </si>
  <si>
    <t>京都　314　ゆ　1010</t>
    <rPh sb="0" eb="2">
      <t>キョウト</t>
    </rPh>
    <phoneticPr fontId="13"/>
  </si>
  <si>
    <t>1/5</t>
    <phoneticPr fontId="13"/>
  </si>
  <si>
    <t>ｼﾄﾛｴﾝ　ｸﾞﾗﾝﾄﾞC4　ｽﾍﾟｰｽﾂｱﾗｰ　</t>
    <phoneticPr fontId="13"/>
  </si>
  <si>
    <t>VF73AEHYRKJ625686</t>
    <phoneticPr fontId="13"/>
  </si>
  <si>
    <t>2/6</t>
    <phoneticPr fontId="13"/>
  </si>
  <si>
    <t>WDD1183122N019173</t>
    <phoneticPr fontId="13"/>
  </si>
  <si>
    <t>9/6</t>
    <phoneticPr fontId="13"/>
  </si>
  <si>
    <t>京都　331　つ　3253</t>
    <rPh sb="0" eb="2">
      <t>キョウト</t>
    </rPh>
    <phoneticPr fontId="13"/>
  </si>
  <si>
    <t>1C4HJWKG4JL877149</t>
    <phoneticPr fontId="13"/>
  </si>
  <si>
    <t>神戸　304　む　1123</t>
    <rPh sb="0" eb="2">
      <t>コウベ</t>
    </rPh>
    <phoneticPr fontId="13"/>
  </si>
  <si>
    <t>YV1XZACMCL2297129</t>
    <phoneticPr fontId="13"/>
  </si>
  <si>
    <t>9/3</t>
    <phoneticPr fontId="13"/>
  </si>
  <si>
    <t>和泉　335　り　519</t>
    <rPh sb="0" eb="2">
      <t>イズミ</t>
    </rPh>
    <phoneticPr fontId="13"/>
  </si>
  <si>
    <t>28/6</t>
    <phoneticPr fontId="13"/>
  </si>
  <si>
    <t>WMWXS120X02C75262</t>
    <phoneticPr fontId="13"/>
  </si>
  <si>
    <t>奈良　304　ほ　101</t>
    <rPh sb="0" eb="2">
      <t>ナラ</t>
    </rPh>
    <phoneticPr fontId="13"/>
  </si>
  <si>
    <t>ｷｬﾝｾﾙ返送5/7返送</t>
    <rPh sb="5" eb="7">
      <t>ヘンソウ</t>
    </rPh>
    <rPh sb="10" eb="12">
      <t>ヘンソウ</t>
    </rPh>
    <phoneticPr fontId="13"/>
  </si>
  <si>
    <t>名古屋 781 ろ 1250</t>
    <rPh sb="0" eb="3">
      <t>ナゴヤ</t>
    </rPh>
    <phoneticPr fontId="13"/>
  </si>
  <si>
    <t>品川 39A め 5688</t>
    <rPh sb="0" eb="2">
      <t>シナガワ</t>
    </rPh>
    <phoneticPr fontId="13"/>
  </si>
  <si>
    <t>福本 嘉章</t>
    <rPh sb="0" eb="2">
      <t>フクモト</t>
    </rPh>
    <rPh sb="3" eb="4">
      <t>ヨシミ</t>
    </rPh>
    <rPh sb="4" eb="5">
      <t>アキラ</t>
    </rPh>
    <phoneticPr fontId="13"/>
  </si>
  <si>
    <t>VF1AHB55AJ0770267</t>
    <phoneticPr fontId="13"/>
  </si>
  <si>
    <t>京都 502 も 1060</t>
    <rPh sb="0" eb="2">
      <t>キョウト</t>
    </rPh>
    <phoneticPr fontId="13"/>
  </si>
  <si>
    <t>愛媛 400 わ 7275</t>
    <rPh sb="0" eb="2">
      <t>エヒメ</t>
    </rPh>
    <phoneticPr fontId="13"/>
  </si>
  <si>
    <t>保証書 取説 ﾏｲｸﾛ地図SD ｽﾍﾟｱｷｰ ﾚﾝﾀｶｰ</t>
    <rPh sb="0" eb="3">
      <t>ホショウショ</t>
    </rPh>
    <rPh sb="4" eb="6">
      <t>トリセツ</t>
    </rPh>
    <rPh sb="11" eb="13">
      <t>チズ</t>
    </rPh>
    <phoneticPr fontId="13"/>
  </si>
  <si>
    <t>岡山 399 な 6901</t>
    <rPh sb="0" eb="2">
      <t>オカヤマ</t>
    </rPh>
    <phoneticPr fontId="13"/>
  </si>
  <si>
    <t>神戸 581 よ 4107</t>
    <rPh sb="0" eb="2">
      <t>コウベ</t>
    </rPh>
    <phoneticPr fontId="13"/>
  </si>
  <si>
    <t xml:space="preserve">保証書 取説 ﾅﾋﾞ取 地図SD 録音SD B-CASｶｰﾄﾞ </t>
    <rPh sb="0" eb="3">
      <t>ホショウショ</t>
    </rPh>
    <rPh sb="4" eb="6">
      <t>トリセツ</t>
    </rPh>
    <rPh sb="10" eb="11">
      <t>トリ</t>
    </rPh>
    <rPh sb="12" eb="14">
      <t>チズ</t>
    </rPh>
    <rPh sb="17" eb="19">
      <t>ロクオン</t>
    </rPh>
    <phoneticPr fontId="13"/>
  </si>
  <si>
    <t>ｽﾍﾟｱｷｰ  保証書</t>
    <rPh sb="8" eb="11">
      <t>ホショウショ</t>
    </rPh>
    <phoneticPr fontId="13"/>
  </si>
  <si>
    <t>新潟 301 め 8696</t>
    <rPh sb="0" eb="2">
      <t>ニイガタ</t>
    </rPh>
    <phoneticPr fontId="13"/>
  </si>
  <si>
    <t>ﾄﾖﾀｶﾛｰﾗ新潟株式会社</t>
    <rPh sb="7" eb="9">
      <t>ニイガタ</t>
    </rPh>
    <rPh sb="9" eb="13">
      <t>カブシキガイシャ</t>
    </rPh>
    <phoneticPr fontId="13"/>
  </si>
  <si>
    <t>地図SD(車内)保証書</t>
    <rPh sb="0" eb="2">
      <t>チズ</t>
    </rPh>
    <rPh sb="5" eb="7">
      <t>シャナイ</t>
    </rPh>
    <rPh sb="8" eb="11">
      <t>ホショウショ</t>
    </rPh>
    <phoneticPr fontId="13"/>
  </si>
  <si>
    <t>森 新治</t>
    <rPh sb="0" eb="1">
      <t>モリ</t>
    </rPh>
    <rPh sb="2" eb="3">
      <t>シン</t>
    </rPh>
    <rPh sb="3" eb="4">
      <t>ジ</t>
    </rPh>
    <phoneticPr fontId="13"/>
  </si>
  <si>
    <t>保証書 ﾅﾋﾞ取 地図SD ｴﾝﾀﾒSD</t>
    <rPh sb="0" eb="3">
      <t>ホショウショ</t>
    </rPh>
    <rPh sb="7" eb="8">
      <t>トリ</t>
    </rPh>
    <rPh sb="9" eb="11">
      <t>チズ</t>
    </rPh>
    <phoneticPr fontId="13"/>
  </si>
  <si>
    <t>京都 582 と 5557</t>
    <rPh sb="0" eb="2">
      <t>キョウト</t>
    </rPh>
    <phoneticPr fontId="13"/>
  </si>
  <si>
    <t>保証書 取説 ﾅﾋﾞ取 SD  ｷｰﾚｽ</t>
    <rPh sb="0" eb="3">
      <t>ホショウショ</t>
    </rPh>
    <rPh sb="4" eb="6">
      <t>トリセツ</t>
    </rPh>
    <rPh sb="10" eb="11">
      <t>トリ</t>
    </rPh>
    <phoneticPr fontId="13"/>
  </si>
  <si>
    <t>株式会社ｵｰｴﾑｼﾞｰ</t>
    <rPh sb="0" eb="4">
      <t>カブシキガイシャ</t>
    </rPh>
    <phoneticPr fontId="13"/>
  </si>
  <si>
    <t>川越 330 そ 1628</t>
    <rPh sb="0" eb="2">
      <t>カワゴエ</t>
    </rPh>
    <phoneticPr fontId="13"/>
  </si>
  <si>
    <t>地図SD(車内)保証書 取説 ﾜﾝｵｰﾅｰ 印鑑証明7/2まで</t>
    <rPh sb="0" eb="2">
      <t>チズ</t>
    </rPh>
    <rPh sb="5" eb="7">
      <t>シャナイ</t>
    </rPh>
    <rPh sb="8" eb="11">
      <t>ホショウショ</t>
    </rPh>
    <rPh sb="12" eb="14">
      <t>トリセツ</t>
    </rPh>
    <rPh sb="22" eb="26">
      <t>インカンショウメイ</t>
    </rPh>
    <phoneticPr fontId="13"/>
  </si>
  <si>
    <t>鹿児島 339 せ 1202</t>
    <rPh sb="0" eb="3">
      <t>カゴシマ</t>
    </rPh>
    <phoneticPr fontId="13"/>
  </si>
  <si>
    <t>八色 琴美</t>
    <rPh sb="0" eb="2">
      <t>ヤイロ</t>
    </rPh>
    <rPh sb="3" eb="5">
      <t>コトミ</t>
    </rPh>
    <phoneticPr fontId="13"/>
  </si>
  <si>
    <t>保証書 ﾜﾝｵｰﾅｰ 印鑑証明6/30まで</t>
    <rPh sb="0" eb="3">
      <t>ホショウショ</t>
    </rPh>
    <rPh sb="11" eb="15">
      <t>インカンショウメイ</t>
    </rPh>
    <phoneticPr fontId="13"/>
  </si>
  <si>
    <t>三河 503 す 2876</t>
    <rPh sb="0" eb="2">
      <t>ミカワ</t>
    </rPh>
    <phoneticPr fontId="13"/>
  </si>
  <si>
    <t>広島 300 り 7975</t>
    <rPh sb="0" eb="2">
      <t>ヒロシマ</t>
    </rPh>
    <phoneticPr fontId="13"/>
  </si>
  <si>
    <t>有限会社広和ｵｰﾄ</t>
    <rPh sb="0" eb="4">
      <t>ユウゲンガイシャ</t>
    </rPh>
    <rPh sb="4" eb="5">
      <t>ヒロ</t>
    </rPh>
    <rPh sb="5" eb="6">
      <t>ワ</t>
    </rPh>
    <phoneticPr fontId="13"/>
  </si>
  <si>
    <t>大阪 590 ろ 1140</t>
    <rPh sb="0" eb="2">
      <t>オオサカ</t>
    </rPh>
    <phoneticPr fontId="13"/>
  </si>
  <si>
    <t>ｼﾞｭﾘｰｽﾞｵｰﾄ合同会社</t>
    <rPh sb="10" eb="14">
      <t>ゴウドウカイシャ</t>
    </rPh>
    <phoneticPr fontId="13"/>
  </si>
  <si>
    <t>春日部 586 ろ 9853</t>
    <rPh sb="0" eb="3">
      <t>カスカベ</t>
    </rPh>
    <phoneticPr fontId="13"/>
  </si>
  <si>
    <t xml:space="preserve">保証書 取説 SD </t>
    <rPh sb="0" eb="3">
      <t>ホショウショ</t>
    </rPh>
    <rPh sb="4" eb="6">
      <t>トリセツ</t>
    </rPh>
    <phoneticPr fontId="13"/>
  </si>
  <si>
    <t>高知 340 さ 17</t>
    <rPh sb="0" eb="2">
      <t>コウチ</t>
    </rPh>
    <phoneticPr fontId="13"/>
  </si>
  <si>
    <t>神戸 319 ら 8080</t>
    <rPh sb="0" eb="2">
      <t>コウベ</t>
    </rPh>
    <phoneticPr fontId="13"/>
  </si>
  <si>
    <t>佐世保 300 に 4995</t>
    <rPh sb="0" eb="3">
      <t>サセボ</t>
    </rPh>
    <phoneticPr fontId="13"/>
  </si>
  <si>
    <t>株式会社EXJP.Limited</t>
    <rPh sb="0" eb="4">
      <t>カブシキガイシャ</t>
    </rPh>
    <phoneticPr fontId="13"/>
  </si>
  <si>
    <t>愛媛 400 わ 7273</t>
    <rPh sb="0" eb="2">
      <t>エヒメ</t>
    </rPh>
    <phoneticPr fontId="13"/>
  </si>
  <si>
    <t>保証書 取説 ｽﾍﾟｱｷｰ ﾏｲｸﾛSD</t>
    <rPh sb="0" eb="3">
      <t>ホショウショ</t>
    </rPh>
    <rPh sb="4" eb="6">
      <t>トリセツ</t>
    </rPh>
    <phoneticPr fontId="13"/>
  </si>
  <si>
    <t>中村 莉都子</t>
    <rPh sb="0" eb="2">
      <t>ナカムラ</t>
    </rPh>
    <rPh sb="3" eb="4">
      <t>マリ</t>
    </rPh>
    <rPh sb="4" eb="6">
      <t>ミヤコ</t>
    </rPh>
    <phoneticPr fontId="13"/>
  </si>
  <si>
    <t>取説 ﾅﾋﾞ取 ｷｰﾚｽ ﾜﾝｵｰﾅｰ</t>
    <rPh sb="0" eb="2">
      <t>トリセツ</t>
    </rPh>
    <rPh sb="6" eb="7">
      <t>トリ</t>
    </rPh>
    <phoneticPr fontId="13"/>
  </si>
  <si>
    <t>北 航太郎</t>
    <rPh sb="0" eb="1">
      <t>キタ</t>
    </rPh>
    <rPh sb="2" eb="3">
      <t>コウ</t>
    </rPh>
    <rPh sb="3" eb="5">
      <t>タロウ</t>
    </rPh>
    <phoneticPr fontId="13"/>
  </si>
  <si>
    <t>ﾏｲｸﾛ地図SD(車内)保証書 取説 ｷｰﾚｽ ﾅﾋﾞ取 印鑑証明6/29</t>
    <rPh sb="4" eb="6">
      <t>チズ</t>
    </rPh>
    <rPh sb="12" eb="15">
      <t>ホショウショ</t>
    </rPh>
    <rPh sb="16" eb="18">
      <t>トリセツ</t>
    </rPh>
    <rPh sb="27" eb="28">
      <t>トリ</t>
    </rPh>
    <rPh sb="29" eb="33">
      <t>インカンショウメイ</t>
    </rPh>
    <phoneticPr fontId="13"/>
  </si>
  <si>
    <t>保証書 取説 ｶｰﾄﾞｷｰ(車内)</t>
    <rPh sb="0" eb="3">
      <t>ホショウショ</t>
    </rPh>
    <rPh sb="4" eb="6">
      <t>トリセツ</t>
    </rPh>
    <phoneticPr fontId="13"/>
  </si>
  <si>
    <t>横浜 335 ま 2728</t>
    <rPh sb="0" eb="2">
      <t>ヨコハマ</t>
    </rPh>
    <phoneticPr fontId="13"/>
  </si>
  <si>
    <t>三重 350 め 515</t>
    <rPh sb="0" eb="2">
      <t>ミエ</t>
    </rPh>
    <phoneticPr fontId="13"/>
  </si>
  <si>
    <t>大阪 335 た 6788</t>
    <rPh sb="0" eb="2">
      <t>オオサカ</t>
    </rPh>
    <phoneticPr fontId="13"/>
  </si>
  <si>
    <t>取説 ｶｰﾄﾞｷｰ(車内)保証書</t>
    <rPh sb="0" eb="2">
      <t>トリセツ</t>
    </rPh>
    <rPh sb="13" eb="16">
      <t>ホショウショ</t>
    </rPh>
    <phoneticPr fontId="13"/>
  </si>
  <si>
    <t>伊勢志摩 580 ろ 8535</t>
    <rPh sb="0" eb="4">
      <t>イセシマ</t>
    </rPh>
    <phoneticPr fontId="13"/>
  </si>
  <si>
    <t>株式会社UNO</t>
    <rPh sb="0" eb="4">
      <t>カブシキガイシャ</t>
    </rPh>
    <phoneticPr fontId="13"/>
  </si>
  <si>
    <t>357 ま 32</t>
    <phoneticPr fontId="13"/>
  </si>
  <si>
    <t>ｷｬﾝｾﾙ返送5/8</t>
    <rPh sb="5" eb="7">
      <t>ヘンソウ</t>
    </rPh>
    <phoneticPr fontId="13"/>
  </si>
  <si>
    <t>301ね 8385</t>
    <phoneticPr fontId="13"/>
  </si>
  <si>
    <t>A349032</t>
    <phoneticPr fontId="13"/>
  </si>
  <si>
    <t>JB74W-235296</t>
    <phoneticPr fontId="13"/>
  </si>
  <si>
    <t>A348411</t>
    <phoneticPr fontId="13"/>
  </si>
  <si>
    <t>ﾏﾂﾀﾞ CX8 XD Lﾊﾟｯｹｰｼﾞ</t>
    <phoneticPr fontId="13"/>
  </si>
  <si>
    <t>KG2P-100437</t>
    <phoneticPr fontId="13"/>
  </si>
  <si>
    <t>A348664</t>
    <phoneticPr fontId="13"/>
  </si>
  <si>
    <t>ｳﾞｪﾙﾌｧｲｱ 2.5Z Gｴﾃﾞｨｼｮﾝ</t>
    <phoneticPr fontId="13"/>
  </si>
  <si>
    <t>AGH30-0265647</t>
    <phoneticPr fontId="13"/>
  </si>
  <si>
    <t>A350176</t>
    <phoneticPr fontId="13"/>
  </si>
  <si>
    <t>ﾏﾂﾀﾞ CX8 25S Lﾊﾟｯｹｰｼﾞ</t>
    <phoneticPr fontId="13"/>
  </si>
  <si>
    <t>KG5P-252458</t>
    <phoneticPr fontId="13"/>
  </si>
  <si>
    <t>A349653</t>
    <phoneticPr fontId="13"/>
  </si>
  <si>
    <t>ｿﾘｵﾊﾞﾝﾃﾞｨｯﾄ ﾊｲﾌﾞﾘｯﾄﾞ MV</t>
    <phoneticPr fontId="13"/>
  </si>
  <si>
    <t>MA36S-788443</t>
    <phoneticPr fontId="13"/>
  </si>
  <si>
    <t>A349776</t>
    <phoneticPr fontId="13"/>
  </si>
  <si>
    <t>ｺﾍﾟﾝ ｴｸｽﾌﾟﾚｲ</t>
    <phoneticPr fontId="13"/>
  </si>
  <si>
    <t>LA400K-0024029</t>
    <phoneticPr fontId="13"/>
  </si>
  <si>
    <t>A348635</t>
    <phoneticPr fontId="13"/>
  </si>
  <si>
    <t>WAUZZZ8X9GB052774</t>
    <phoneticPr fontId="13"/>
  </si>
  <si>
    <t>A349864</t>
    <phoneticPr fontId="13"/>
  </si>
  <si>
    <t>NV100ｸﾘｯﾊﾟｰﾊﾞﾝ　GXﾀｰﾎﾞ</t>
    <phoneticPr fontId="13"/>
  </si>
  <si>
    <t>DR17V-854110</t>
    <phoneticPr fontId="13"/>
  </si>
  <si>
    <t>A349755</t>
    <phoneticPr fontId="13"/>
  </si>
  <si>
    <t>LA650S-0322731</t>
    <phoneticPr fontId="13"/>
  </si>
  <si>
    <t>A349289</t>
    <phoneticPr fontId="13"/>
  </si>
  <si>
    <t>ﾎﾝﾀﾞ eｱﾄﾞﾊﾞﾝｽ</t>
    <phoneticPr fontId="13"/>
  </si>
  <si>
    <t>A347796</t>
    <phoneticPr fontId="13"/>
  </si>
  <si>
    <t>ｽﾊﾞﾙ ﾌｫﾚｽﾀｰ 2.0X ｱｲｻｲﾄ</t>
    <phoneticPr fontId="13"/>
  </si>
  <si>
    <t>SJG-010132</t>
    <phoneticPr fontId="13"/>
  </si>
  <si>
    <t>ﾀﾞｰｸｸﾞﾚｰ</t>
    <phoneticPr fontId="13"/>
  </si>
  <si>
    <t>301 の 896</t>
    <phoneticPr fontId="13"/>
  </si>
  <si>
    <t>582 う 8925</t>
    <phoneticPr fontId="13"/>
  </si>
  <si>
    <t>480 ね 6034</t>
    <phoneticPr fontId="13"/>
  </si>
  <si>
    <t>582 う 8924</t>
    <phoneticPr fontId="13"/>
  </si>
  <si>
    <t>A328041</t>
    <phoneticPr fontId="13"/>
  </si>
  <si>
    <t>27-4411</t>
  </si>
  <si>
    <t>27-4412</t>
  </si>
  <si>
    <t>27-4413</t>
  </si>
  <si>
    <t>27-4414</t>
  </si>
  <si>
    <t>27-4415</t>
  </si>
  <si>
    <t>27-4416</t>
  </si>
  <si>
    <t>27-4417</t>
  </si>
  <si>
    <t>27-4418</t>
  </si>
  <si>
    <t>27-4419</t>
  </si>
  <si>
    <t>27-4420</t>
  </si>
  <si>
    <t>27-4421</t>
  </si>
  <si>
    <t>27-4422</t>
  </si>
  <si>
    <t>JF3-2044993</t>
    <phoneticPr fontId="13"/>
  </si>
  <si>
    <t>N-BOXｶｽﾀﾑ G･EXﾀｰﾎﾞﾎﾝﾀﾞｾﾝｼﾝｸﾞ</t>
    <phoneticPr fontId="13"/>
  </si>
  <si>
    <t>MK53S-946562</t>
    <phoneticPr fontId="13"/>
  </si>
  <si>
    <t>品川 5X4 ろ 2206</t>
    <rPh sb="0" eb="2">
      <t>シナガワ</t>
    </rPh>
    <phoneticPr fontId="13"/>
  </si>
  <si>
    <t>品川 5X4 ろ 2959</t>
    <rPh sb="0" eb="2">
      <t>シナガワ</t>
    </rPh>
    <phoneticPr fontId="13"/>
  </si>
  <si>
    <t>山梨 530 ひ 8128</t>
    <rPh sb="0" eb="2">
      <t>ヤマナシ</t>
    </rPh>
    <phoneticPr fontId="13"/>
  </si>
  <si>
    <t>横浜 39A る 7267</t>
    <rPh sb="0" eb="2">
      <t>ヨコハマ</t>
    </rPh>
    <phoneticPr fontId="13"/>
  </si>
  <si>
    <t>ﾏｰｸX ﾌﾟﾚﾐｱﾑ</t>
    <phoneticPr fontId="13"/>
  </si>
  <si>
    <t>GRX130-6094045</t>
    <phoneticPr fontId="13"/>
  </si>
  <si>
    <t>ｱﾙﾌｧｰﾄﾞ 2.5S Cﾊﾟｯｹｰｼﾞ</t>
    <phoneticPr fontId="13"/>
  </si>
  <si>
    <t>AGH30-0194139</t>
    <phoneticPr fontId="13"/>
  </si>
  <si>
    <t>AGH35-0029141</t>
    <phoneticPr fontId="13"/>
  </si>
  <si>
    <t>ZC33S-122402</t>
    <phoneticPr fontId="13"/>
  </si>
  <si>
    <t>MN71S-152479</t>
    <phoneticPr fontId="13"/>
  </si>
  <si>
    <t xml:space="preserve">ﾌﾟﾘｳｽ U </t>
    <phoneticPr fontId="13"/>
  </si>
  <si>
    <t>ZVW65-4000701</t>
    <phoneticPr fontId="13"/>
  </si>
  <si>
    <t>MXWH60-4007135</t>
    <phoneticPr fontId="13"/>
  </si>
  <si>
    <t>S321V-0484912</t>
    <phoneticPr fontId="13"/>
  </si>
  <si>
    <t>神戸 480 み 935</t>
    <rPh sb="0" eb="2">
      <t>コウベ</t>
    </rPh>
    <phoneticPr fontId="13"/>
  </si>
  <si>
    <t>ﾊｲｾﾞｯﾄｶｰｺﾞ DX  SA3</t>
    <phoneticPr fontId="13"/>
  </si>
  <si>
    <t>S321V-0479503</t>
    <phoneticPr fontId="13"/>
  </si>
  <si>
    <t>岡山 480 な 289</t>
    <rPh sb="0" eb="2">
      <t>オカヤマ</t>
    </rPh>
    <phoneticPr fontId="13"/>
  </si>
  <si>
    <t>WVWZZZ16ZEM659118</t>
    <phoneticPr fontId="13"/>
  </si>
  <si>
    <t>27-4423</t>
  </si>
  <si>
    <t>BMWﾐﾆ JCWｸﾗﾌﾞﾏﾝ GPｲﾝｽﾊﾟｲｱｰﾄﾞ</t>
    <phoneticPr fontId="13"/>
  </si>
  <si>
    <t>WMWJZ920102N23816</t>
    <phoneticPr fontId="13"/>
  </si>
  <si>
    <t>27-4424</t>
  </si>
  <si>
    <t>27-4425</t>
  </si>
  <si>
    <t>27-4426</t>
  </si>
  <si>
    <t>27-4427</t>
  </si>
  <si>
    <t>27-4428</t>
  </si>
  <si>
    <t>27-4429</t>
  </si>
  <si>
    <t>27-4430</t>
  </si>
  <si>
    <t>27-4431</t>
  </si>
  <si>
    <t>27-4432</t>
  </si>
  <si>
    <t>27-4433</t>
  </si>
  <si>
    <t>27-4434</t>
  </si>
  <si>
    <t>WBAYH52090EB37169</t>
    <phoneticPr fontId="13"/>
  </si>
  <si>
    <t>株式会社ﾎﾝﾀﾞﾓﾋﾞﾘﾃｨ近畿</t>
    <rPh sb="0" eb="4">
      <t>カブシキガイシャ</t>
    </rPh>
    <rPh sb="14" eb="16">
      <t>キンキ</t>
    </rPh>
    <phoneticPr fontId="13"/>
  </si>
  <si>
    <t>5/10</t>
    <phoneticPr fontId="13"/>
  </si>
  <si>
    <t>品川 49A た 323</t>
    <rPh sb="0" eb="2">
      <t>シナガワ</t>
    </rPh>
    <phoneticPr fontId="13"/>
  </si>
  <si>
    <t>ﾄﾖﾀﾓﾋﾞﾘﾃｨｻｰﾋﾞｽ株式会社</t>
    <rPh sb="14" eb="18">
      <t>カブシキガイシャ</t>
    </rPh>
    <phoneticPr fontId="13"/>
  </si>
  <si>
    <t>多摩 581 い 8591</t>
    <rPh sb="0" eb="2">
      <t>タマ</t>
    </rPh>
    <phoneticPr fontId="13"/>
  </si>
  <si>
    <t>黒崎 充博</t>
    <rPh sb="0" eb="2">
      <t>クロサキ</t>
    </rPh>
    <rPh sb="3" eb="4">
      <t>ミツ</t>
    </rPh>
    <rPh sb="4" eb="5">
      <t>ヒロシ</t>
    </rPh>
    <phoneticPr fontId="13"/>
  </si>
  <si>
    <t>VR7ECYHZRMJ884959</t>
    <phoneticPr fontId="13"/>
  </si>
  <si>
    <t>なにわ 39A ゆ 7248</t>
    <phoneticPr fontId="13"/>
  </si>
  <si>
    <t>福岡 348 り 1217</t>
    <rPh sb="0" eb="2">
      <t>フクオカ</t>
    </rPh>
    <phoneticPr fontId="13"/>
  </si>
  <si>
    <t>株式会社ﾎﾝﾀﾞﾓﾋﾞﾘﾃｨ九州</t>
    <rPh sb="0" eb="4">
      <t>カブシキガイシャ</t>
    </rPh>
    <rPh sb="14" eb="16">
      <t>キュウシュウ</t>
    </rPh>
    <phoneticPr fontId="13"/>
  </si>
  <si>
    <t>ZFA3120000J465445</t>
    <phoneticPr fontId="13"/>
  </si>
  <si>
    <t>香川 501 つ 7043</t>
    <rPh sb="0" eb="2">
      <t>カガワ</t>
    </rPh>
    <phoneticPr fontId="13"/>
  </si>
  <si>
    <t>株式会社ﾎﾝﾀﾞﾓﾋﾞﾘﾃｨ中四国</t>
    <rPh sb="0" eb="4">
      <t>カブシキガイシャ</t>
    </rPh>
    <rPh sb="14" eb="15">
      <t>ナカ</t>
    </rPh>
    <rPh sb="15" eb="17">
      <t>シコク</t>
    </rPh>
    <phoneticPr fontId="13"/>
  </si>
  <si>
    <t>VYFECYHZ3PJ775831</t>
    <phoneticPr fontId="13"/>
  </si>
  <si>
    <t>広島 330 ま 1753</t>
    <rPh sb="0" eb="2">
      <t>ヒロシマ</t>
    </rPh>
    <phoneticPr fontId="13"/>
  </si>
  <si>
    <t>株式会社ﾎﾝﾀﾞﾓﾋﾞﾘﾃｨ中四国</t>
    <rPh sb="0" eb="4">
      <t>カブシキガイシャ</t>
    </rPh>
    <rPh sb="14" eb="17">
      <t>ナカシコク</t>
    </rPh>
    <phoneticPr fontId="13"/>
  </si>
  <si>
    <t>徳島 581 ろ 3593</t>
    <rPh sb="0" eb="2">
      <t>トクシマ</t>
    </rPh>
    <phoneticPr fontId="13"/>
  </si>
  <si>
    <t>ﾈｯﾂﾄﾖﾀ徳島株式会社</t>
    <rPh sb="6" eb="8">
      <t>トクシマ</t>
    </rPh>
    <rPh sb="8" eb="12">
      <t>カブシキガイシャ</t>
    </rPh>
    <phoneticPr fontId="13"/>
  </si>
  <si>
    <t>品川 49A た 4306</t>
    <rPh sb="0" eb="2">
      <t>シナガワ</t>
    </rPh>
    <phoneticPr fontId="13"/>
  </si>
  <si>
    <t>品川 49A た 4975</t>
    <rPh sb="0" eb="2">
      <t>シナガワ</t>
    </rPh>
    <phoneticPr fontId="13"/>
  </si>
  <si>
    <t>ﾎﾝﾀﾞ名古屋</t>
    <rPh sb="4" eb="7">
      <t>ナゴヤ</t>
    </rPh>
    <phoneticPr fontId="13"/>
  </si>
  <si>
    <t>25/3</t>
    <phoneticPr fontId="13"/>
  </si>
  <si>
    <t>ｱｳﾃﾞｨ TTｸｰﾍﾟ 1.8 TFSI</t>
    <phoneticPr fontId="13"/>
  </si>
  <si>
    <t>10/3</t>
    <phoneticPr fontId="13"/>
  </si>
  <si>
    <t>三重 330 ほ 3778</t>
    <rPh sb="0" eb="2">
      <t>ミエ</t>
    </rPh>
    <phoneticPr fontId="13"/>
  </si>
  <si>
    <t>ﾅﾝﾊﾞｰ 保証書なしｸﾚｰﾑ済</t>
    <rPh sb="6" eb="9">
      <t>ホショウショ</t>
    </rPh>
    <rPh sb="15" eb="16">
      <t>ズ</t>
    </rPh>
    <phoneticPr fontId="13"/>
  </si>
  <si>
    <t>書類戻り4/19 SDなし HAに返送</t>
    <rPh sb="0" eb="2">
      <t>ショルイ</t>
    </rPh>
    <rPh sb="2" eb="3">
      <t>モド</t>
    </rPh>
    <rPh sb="17" eb="19">
      <t>ヘンソウ</t>
    </rPh>
    <phoneticPr fontId="13"/>
  </si>
  <si>
    <t>CAN</t>
    <phoneticPr fontId="13"/>
  </si>
  <si>
    <t>ｷｬﾝｾﾙ</t>
    <phoneticPr fontId="13"/>
  </si>
  <si>
    <t>保証書(ﾃﾞｨﾗｰ印なしOK)取説 ｷｰﾚｽ</t>
    <rPh sb="0" eb="3">
      <t>ホショウショ</t>
    </rPh>
    <rPh sb="9" eb="10">
      <t>イン</t>
    </rPh>
    <rPh sb="15" eb="17">
      <t>トリセツ</t>
    </rPh>
    <phoneticPr fontId="13"/>
  </si>
  <si>
    <t>保証書出品注意(整備手帳)</t>
    <rPh sb="0" eb="3">
      <t>ホショウショ</t>
    </rPh>
    <rPh sb="3" eb="5">
      <t>シュッピン</t>
    </rPh>
    <rPh sb="5" eb="7">
      <t>チュウイ</t>
    </rPh>
    <rPh sb="8" eb="12">
      <t>セイビテチョウ</t>
    </rPh>
    <phoneticPr fontId="13"/>
  </si>
  <si>
    <t>ﾎﾝﾀﾞ名古屋(まとめ)</t>
    <rPh sb="4" eb="7">
      <t>ナゴヤ</t>
    </rPh>
    <phoneticPr fontId="13"/>
  </si>
  <si>
    <t>ｵｰｸﾈｯﾄ</t>
    <phoneticPr fontId="13"/>
  </si>
  <si>
    <t>4/2</t>
    <phoneticPr fontId="13"/>
  </si>
  <si>
    <t>黒</t>
    <rPh sb="0" eb="1">
      <t>クロ</t>
    </rPh>
    <phoneticPr fontId="13"/>
  </si>
  <si>
    <t>ﾐﾗｲｰｽ G ﾘﾐﾃｯﾄﾞSA3</t>
    <phoneticPr fontId="13"/>
  </si>
  <si>
    <t>LA350S-0298026</t>
    <phoneticPr fontId="13"/>
  </si>
  <si>
    <t>9/2</t>
    <phoneticPr fontId="13"/>
  </si>
  <si>
    <t>神戸 587 は 813</t>
    <rPh sb="0" eb="2">
      <t>コウベ</t>
    </rPh>
    <phoneticPr fontId="13"/>
  </si>
  <si>
    <t>29/6</t>
    <phoneticPr fontId="13"/>
  </si>
  <si>
    <t>ｺﾞｰﾙﾄﾞ</t>
    <phoneticPr fontId="13"/>
  </si>
  <si>
    <t>VW ｺﾞﾙﾌ TSい ﾊｲﾗｲﾝ</t>
    <phoneticPr fontId="13"/>
  </si>
  <si>
    <t>WVWZZZAUZHW345998</t>
    <phoneticPr fontId="13"/>
  </si>
  <si>
    <t>ｼﾞｰﾌﾟ ｺﾝﾊﾟｽ 4ED LTD</t>
    <phoneticPr fontId="13"/>
  </si>
  <si>
    <t>MCANJRCB8PFA98639</t>
    <phoneticPr fontId="13"/>
  </si>
  <si>
    <t>福岡 303 ま 8714</t>
    <rPh sb="0" eb="2">
      <t>フクオカ</t>
    </rPh>
    <phoneticPr fontId="13"/>
  </si>
  <si>
    <t>3/6</t>
    <phoneticPr fontId="13"/>
  </si>
  <si>
    <t>赤</t>
    <rPh sb="0" eb="1">
      <t>アカ</t>
    </rPh>
    <phoneticPr fontId="13"/>
  </si>
  <si>
    <t>ｼﾞｰﾌﾟ ﾚﾈｹﾞｰﾄﾞ ﾘﾐﾃｯﾄﾞ</t>
    <phoneticPr fontId="13"/>
  </si>
  <si>
    <t>1C4NJCD13MPM85139</t>
    <phoneticPr fontId="13"/>
  </si>
  <si>
    <t>HAA神戸(ﾜﾝｸﾘ)</t>
    <rPh sb="3" eb="5">
      <t>コウベ</t>
    </rPh>
    <phoneticPr fontId="13"/>
  </si>
  <si>
    <t>HAA神戸(ﾜﾝｸﾘ)</t>
    <phoneticPr fontId="13"/>
  </si>
  <si>
    <t>USS神戸(ﾜﾝｸﾘ)</t>
    <rPh sb="3" eb="5">
      <t>コウベ</t>
    </rPh>
    <phoneticPr fontId="13"/>
  </si>
  <si>
    <t>USS神戸(ﾜﾝｸﾘ)</t>
    <phoneticPr fontId="13"/>
  </si>
  <si>
    <t>4/5</t>
    <phoneticPr fontId="13"/>
  </si>
  <si>
    <t>ｵﾚﾝｼﾞ</t>
    <phoneticPr fontId="13"/>
  </si>
  <si>
    <t>ﾊｽﾗｰ ﾊｲﾌﾞﾘｯﾄﾞG</t>
    <phoneticPr fontId="13"/>
  </si>
  <si>
    <t>MR92S-228782</t>
    <phoneticPr fontId="13"/>
  </si>
  <si>
    <t>27/6</t>
    <phoneticPr fontId="13"/>
  </si>
  <si>
    <t>白</t>
    <rPh sb="0" eb="1">
      <t>シロ</t>
    </rPh>
    <phoneticPr fontId="13"/>
  </si>
  <si>
    <t>BMW 3ｼﾘｰｽﾞ ｾﾀﾞﾝ 320d ﾌﾞﾙｰﾊﾟﾌｫｰﾏﾝｽ</t>
    <phoneticPr fontId="13"/>
  </si>
  <si>
    <t>WBA3D36030NS48527</t>
    <phoneticPr fontId="13"/>
  </si>
  <si>
    <t>1/9</t>
    <phoneticPr fontId="13"/>
  </si>
  <si>
    <t>ﾎﾞﾙﾎﾞ V40 D4 ｲﾝｽｸﾘﾌﾟｼｮﾝ</t>
    <phoneticPr fontId="13"/>
  </si>
  <si>
    <t>YV1MVA8RDK2555485</t>
    <phoneticPr fontId="13"/>
  </si>
  <si>
    <t>8/9</t>
    <phoneticPr fontId="13"/>
  </si>
  <si>
    <t>大阪 356 た 130</t>
    <rPh sb="0" eb="2">
      <t>オオサカ</t>
    </rPh>
    <phoneticPr fontId="13"/>
  </si>
  <si>
    <t>ﾎﾝﾀﾞ関西(まとめ)</t>
    <rPh sb="4" eb="6">
      <t>カンサイ</t>
    </rPh>
    <phoneticPr fontId="13"/>
  </si>
  <si>
    <t>26/4</t>
    <phoneticPr fontId="13"/>
  </si>
  <si>
    <t>ｱｳﾃﾞｨ A5 ｽﾎﾟｰﾂﾊﾞｯｸ2.0TFSI</t>
    <phoneticPr fontId="13"/>
  </si>
  <si>
    <t>Sellca</t>
    <phoneticPr fontId="13"/>
  </si>
  <si>
    <t>A400953</t>
    <phoneticPr fontId="13"/>
  </si>
  <si>
    <t>5/4</t>
    <phoneticPr fontId="13"/>
  </si>
  <si>
    <t>ﾏﾂﾀﾞ CX5 25S ｽﾎﾟｰﾂｱﾋﾟｱﾗﾝｽ</t>
    <phoneticPr fontId="13"/>
  </si>
  <si>
    <t>10/4</t>
    <phoneticPr fontId="13"/>
  </si>
  <si>
    <t>KF5P-550895</t>
    <phoneticPr fontId="13"/>
  </si>
  <si>
    <t>ﾈｲﾋﾞｰ</t>
    <phoneticPr fontId="13"/>
  </si>
  <si>
    <t>予定</t>
    <phoneticPr fontId="13"/>
  </si>
  <si>
    <t>30/5</t>
    <phoneticPr fontId="13"/>
  </si>
  <si>
    <t>ｼﾄﾛｴﾝ　ｸﾞﾗﾝﾄﾞC4　ｽﾍﾟｰｽ ｼｬｲﾝﾌﾞﾙｰ</t>
    <phoneticPr fontId="13"/>
  </si>
  <si>
    <t>9/5</t>
    <phoneticPr fontId="13"/>
  </si>
  <si>
    <t>三河 302 た 5617</t>
    <rPh sb="0" eb="2">
      <t>ミカワ</t>
    </rPh>
    <phoneticPr fontId="13"/>
  </si>
  <si>
    <t>山梨 336 ね 703</t>
    <rPh sb="0" eb="2">
      <t>ヤマナシ</t>
    </rPh>
    <phoneticPr fontId="13"/>
  </si>
  <si>
    <t>ﾈｯﾂﾄﾖﾀ千葉株式会社</t>
    <rPh sb="6" eb="8">
      <t>チバ</t>
    </rPh>
    <rPh sb="8" eb="12">
      <t>カブシキガイシャ</t>
    </rPh>
    <phoneticPr fontId="13"/>
  </si>
  <si>
    <t>抹消</t>
    <rPh sb="0" eb="2">
      <t>マッショウ</t>
    </rPh>
    <phoneticPr fontId="13"/>
  </si>
  <si>
    <t>ﾚﾝﾀｶｰﾌｧｲﾙ⑧にあり</t>
    <phoneticPr fontId="13"/>
  </si>
  <si>
    <t>480 ね 6063</t>
    <phoneticPr fontId="13"/>
  </si>
  <si>
    <t>301 の 964</t>
    <phoneticPr fontId="13"/>
  </si>
  <si>
    <t>501 ゆ 6479</t>
    <phoneticPr fontId="13"/>
  </si>
  <si>
    <t>27-4435</t>
  </si>
  <si>
    <t>27-4436</t>
  </si>
  <si>
    <t>27-4437</t>
  </si>
  <si>
    <t>27-4438</t>
  </si>
  <si>
    <t>27-4439</t>
  </si>
  <si>
    <t>27-4440</t>
  </si>
  <si>
    <t>27-4441</t>
  </si>
  <si>
    <t>27-4442</t>
  </si>
  <si>
    <t>27-4443</t>
  </si>
  <si>
    <t>27-4444</t>
  </si>
  <si>
    <t>27-4445</t>
  </si>
  <si>
    <t>神戸 587 ま 301</t>
    <rPh sb="0" eb="2">
      <t>コウベ</t>
    </rPh>
    <phoneticPr fontId="13"/>
  </si>
  <si>
    <t>有限会社ｸﾗﾌﾄふじい</t>
    <rPh sb="0" eb="4">
      <t>ユウゲンガイシャ</t>
    </rPh>
    <phoneticPr fontId="13"/>
  </si>
  <si>
    <t>あいおいニッセイ同和損害保険株式会社</t>
    <rPh sb="8" eb="14">
      <t>ドウワソンガイホケン</t>
    </rPh>
    <rPh sb="14" eb="18">
      <t>カブシキガイシャ</t>
    </rPh>
    <phoneticPr fontId="13"/>
  </si>
  <si>
    <t>福井 300 ひ 1010</t>
    <rPh sb="0" eb="2">
      <t>フクイ</t>
    </rPh>
    <phoneticPr fontId="13"/>
  </si>
  <si>
    <t>株式会社ﾊｾｶﾞﾜﾌﾞﾗｻﾞｰｽﾞ</t>
    <rPh sb="0" eb="4">
      <t>カブシキガイシャ</t>
    </rPh>
    <phoneticPr fontId="13"/>
  </si>
  <si>
    <t>滋賀 502 た 9538</t>
    <rPh sb="0" eb="2">
      <t>シガ</t>
    </rPh>
    <phoneticPr fontId="13"/>
  </si>
  <si>
    <t>有限会社間田自動車</t>
    <rPh sb="0" eb="4">
      <t>ユウゲンガイシャ</t>
    </rPh>
    <rPh sb="4" eb="5">
      <t>ハザマ</t>
    </rPh>
    <rPh sb="5" eb="6">
      <t>ダ</t>
    </rPh>
    <rPh sb="6" eb="9">
      <t>ジドウシャ</t>
    </rPh>
    <phoneticPr fontId="13"/>
  </si>
  <si>
    <t>京都 589 ろ 3666</t>
    <rPh sb="0" eb="2">
      <t>キョウト</t>
    </rPh>
    <phoneticPr fontId="13"/>
  </si>
  <si>
    <t xml:space="preserve">地図SD(車内)保証書 取説 ﾅﾋﾞ取説 </t>
    <rPh sb="0" eb="2">
      <t>チズ</t>
    </rPh>
    <rPh sb="8" eb="11">
      <t>ホショウショ</t>
    </rPh>
    <rPh sb="12" eb="14">
      <t>トリセツ</t>
    </rPh>
    <rPh sb="18" eb="20">
      <t>トリセツ</t>
    </rPh>
    <phoneticPr fontId="13"/>
  </si>
  <si>
    <t>石倉 和彦</t>
    <rPh sb="0" eb="2">
      <t>イシクラ</t>
    </rPh>
    <rPh sb="3" eb="5">
      <t>カズヒコ</t>
    </rPh>
    <phoneticPr fontId="13"/>
  </si>
  <si>
    <t>記録紙2枚(一緒に保管)</t>
    <rPh sb="0" eb="3">
      <t>キロクシ</t>
    </rPh>
    <rPh sb="4" eb="5">
      <t>マイ</t>
    </rPh>
    <rPh sb="6" eb="8">
      <t>イッショ</t>
    </rPh>
    <rPh sb="9" eb="11">
      <t>ホカン</t>
    </rPh>
    <phoneticPr fontId="13"/>
  </si>
  <si>
    <t>滋賀 480 せ 7812</t>
    <rPh sb="0" eb="2">
      <t>シガ</t>
    </rPh>
    <phoneticPr fontId="13"/>
  </si>
  <si>
    <t>杉浦 政明</t>
    <rPh sb="0" eb="2">
      <t>スギウラ</t>
    </rPh>
    <rPh sb="3" eb="5">
      <t>マサアキ</t>
    </rPh>
    <phoneticPr fontId="13"/>
  </si>
  <si>
    <t>ﾊﾞｯﾄ ﾏﾘｱ ﾖﾐｺ ｵｻﾞｷ</t>
    <phoneticPr fontId="13"/>
  </si>
  <si>
    <t>名古屋 582 に 9303</t>
    <rPh sb="0" eb="3">
      <t>ナゴヤ</t>
    </rPh>
    <phoneticPr fontId="13"/>
  </si>
  <si>
    <t>愛知ｽﾞｽﾞｷ販売株式会社</t>
    <rPh sb="0" eb="2">
      <t>アイチ</t>
    </rPh>
    <rPh sb="7" eb="9">
      <t>ハンバイ</t>
    </rPh>
    <rPh sb="9" eb="13">
      <t>カブシキガイシャ</t>
    </rPh>
    <phoneticPr fontId="13"/>
  </si>
  <si>
    <t>大宮 39A さ 9798</t>
    <rPh sb="0" eb="2">
      <t>オオミヤ</t>
    </rPh>
    <phoneticPr fontId="13"/>
  </si>
  <si>
    <t>株式会社ｱｼｬｰﾌﾟﾛｸﾞﾚｽ</t>
    <rPh sb="0" eb="4">
      <t>カブシキガイシャ</t>
    </rPh>
    <phoneticPr fontId="13"/>
  </si>
  <si>
    <t>5/13</t>
    <phoneticPr fontId="13"/>
  </si>
  <si>
    <t>岡山 583 く 8328</t>
    <rPh sb="0" eb="2">
      <t>オカヤマ</t>
    </rPh>
    <phoneticPr fontId="13"/>
  </si>
  <si>
    <t>広島 583 む 9090</t>
    <rPh sb="0" eb="2">
      <t>ヒロシマ</t>
    </rPh>
    <phoneticPr fontId="13"/>
  </si>
  <si>
    <t>岡山 586 ほ 6666</t>
    <rPh sb="0" eb="2">
      <t>オカヤマ</t>
    </rPh>
    <phoneticPr fontId="13"/>
  </si>
  <si>
    <t>福山 399 た 7728</t>
    <rPh sb="0" eb="2">
      <t>フクヤマ</t>
    </rPh>
    <phoneticPr fontId="13"/>
  </si>
  <si>
    <t>岡山 481 ろ 484</t>
    <rPh sb="0" eb="2">
      <t>オカヤマ</t>
    </rPh>
    <phoneticPr fontId="13"/>
  </si>
  <si>
    <t>福山 323 め 8000</t>
    <rPh sb="0" eb="2">
      <t>フクヤマ</t>
    </rPh>
    <phoneticPr fontId="13"/>
  </si>
  <si>
    <t>河本 幸江</t>
    <rPh sb="0" eb="2">
      <t>カワモト</t>
    </rPh>
    <rPh sb="3" eb="5">
      <t>サチエ</t>
    </rPh>
    <phoneticPr fontId="13"/>
  </si>
  <si>
    <t>市川 310 と 1984</t>
    <rPh sb="0" eb="2">
      <t>イチカワ</t>
    </rPh>
    <phoneticPr fontId="13"/>
  </si>
  <si>
    <t>小林 克太郎</t>
    <rPh sb="0" eb="2">
      <t>コバヤシ</t>
    </rPh>
    <rPh sb="3" eb="4">
      <t>カツ</t>
    </rPh>
    <rPh sb="4" eb="6">
      <t>タロウ</t>
    </rPh>
    <phoneticPr fontId="13"/>
  </si>
  <si>
    <r>
      <t>保証書 取説 ﾜﾝｵｰﾅｰ 印鑑証明7/1</t>
    </r>
    <r>
      <rPr>
        <sz val="11"/>
        <color rgb="FFFF0000"/>
        <rFont val="ＭＳ Ｐゴシック"/>
        <family val="3"/>
        <charset val="128"/>
        <scheme val="minor"/>
      </rPr>
      <t xml:space="preserve"> ｽﾍﾟｱｷｰ問い合わせ中</t>
    </r>
    <rPh sb="0" eb="3">
      <t>ホショウショ</t>
    </rPh>
    <rPh sb="4" eb="6">
      <t>トリセツ</t>
    </rPh>
    <phoneticPr fontId="13"/>
  </si>
  <si>
    <t>582 う 9152</t>
    <phoneticPr fontId="13"/>
  </si>
  <si>
    <t>LA350S-0343447</t>
    <phoneticPr fontId="13"/>
  </si>
  <si>
    <t>MK32S-832861</t>
    <phoneticPr fontId="13"/>
  </si>
  <si>
    <t>BMW1ｼﾘｰｽﾞ</t>
    <phoneticPr fontId="13"/>
  </si>
  <si>
    <t>NSP160-0067772</t>
    <phoneticPr fontId="13"/>
  </si>
  <si>
    <t>MH55S-278031</t>
    <phoneticPr fontId="13"/>
  </si>
  <si>
    <t>ﾌﾟﾛﾎﾞｯｸｽ　　ﾊｲﾌﾞﾘｯﾄﾞDXｺﾝﾌｫｰﾄ</t>
    <phoneticPr fontId="13"/>
  </si>
  <si>
    <t>NHP160-0027872</t>
    <phoneticPr fontId="13"/>
  </si>
  <si>
    <t>LA350S-0333154</t>
    <phoneticPr fontId="13"/>
  </si>
  <si>
    <t>NSP160-0072489</t>
    <phoneticPr fontId="13"/>
  </si>
  <si>
    <t>NCP160-0156228</t>
    <phoneticPr fontId="13"/>
  </si>
  <si>
    <t>MR52S-317615</t>
    <phoneticPr fontId="13"/>
  </si>
  <si>
    <t>ｽﾍﾟｰｼｱｶｽﾀﾑ　　ﾊｲﾌﾞﾘｯﾄﾞGS</t>
    <phoneticPr fontId="13"/>
  </si>
  <si>
    <t>MK53S-511967</t>
    <phoneticPr fontId="13"/>
  </si>
  <si>
    <t>BMW3ｼﾘｰｽﾞ</t>
    <phoneticPr fontId="13"/>
  </si>
  <si>
    <t>ZVW41-0057795</t>
    <phoneticPr fontId="13"/>
  </si>
  <si>
    <t>DA17V-865613</t>
    <phoneticPr fontId="13"/>
  </si>
  <si>
    <t>LA350S-0264457</t>
    <phoneticPr fontId="13"/>
  </si>
  <si>
    <t>MﾍﾞﾝﾂGLAｸﾗｽ</t>
    <phoneticPr fontId="13"/>
  </si>
  <si>
    <t>ZRR80-0119497</t>
    <phoneticPr fontId="13"/>
  </si>
  <si>
    <t>NCP160-0160354</t>
    <phoneticPr fontId="13"/>
  </si>
  <si>
    <t>27-4446</t>
  </si>
  <si>
    <t>27-4447</t>
  </si>
  <si>
    <t>27-4448</t>
  </si>
  <si>
    <t>27-4449</t>
  </si>
  <si>
    <t>27-4450</t>
  </si>
  <si>
    <t>27-4451</t>
  </si>
  <si>
    <t>27-4452</t>
  </si>
  <si>
    <t>27-4453</t>
  </si>
  <si>
    <t>27-4454</t>
  </si>
  <si>
    <t>27-4455</t>
  </si>
  <si>
    <t>27-4456</t>
  </si>
  <si>
    <t>27-4457</t>
  </si>
  <si>
    <t>27-4458</t>
  </si>
  <si>
    <t>27-4459</t>
  </si>
  <si>
    <t>27-4460</t>
  </si>
  <si>
    <t>27-4461</t>
  </si>
  <si>
    <t>27-4462</t>
  </si>
  <si>
    <t>27-4463</t>
  </si>
  <si>
    <t>27-4464</t>
  </si>
  <si>
    <t>27-4465</t>
  </si>
  <si>
    <t>27-4466</t>
  </si>
  <si>
    <t>27-4467</t>
  </si>
  <si>
    <t>27-4468</t>
  </si>
  <si>
    <t>27-4469</t>
  </si>
  <si>
    <t>27-4470</t>
  </si>
  <si>
    <t>27-4471</t>
  </si>
  <si>
    <t>27-4472</t>
  </si>
  <si>
    <t>27-4473</t>
  </si>
  <si>
    <t>27-4474</t>
  </si>
  <si>
    <t>27-4475</t>
  </si>
  <si>
    <t>27-4476</t>
  </si>
  <si>
    <t>27-4477</t>
  </si>
  <si>
    <t>ﾎﾞﾙﾎﾞ V60　B4ﾓﾒﾝﾀﾑ</t>
    <phoneticPr fontId="13"/>
  </si>
  <si>
    <t>MR92S-330056</t>
    <phoneticPr fontId="13"/>
  </si>
  <si>
    <t>HA36S-607887</t>
    <phoneticPr fontId="13"/>
  </si>
  <si>
    <t>NCP160-0143424</t>
    <phoneticPr fontId="13"/>
  </si>
  <si>
    <t>MN71S-213704</t>
    <phoneticPr fontId="13"/>
  </si>
  <si>
    <t>LA150S-2092626</t>
    <phoneticPr fontId="13"/>
  </si>
  <si>
    <t>MH55S-310090</t>
    <phoneticPr fontId="13"/>
  </si>
  <si>
    <t>HA36S-613868</t>
    <phoneticPr fontId="13"/>
  </si>
  <si>
    <t>YV1ZWK9MDN2476581</t>
    <phoneticPr fontId="13"/>
  </si>
  <si>
    <t>江東　300　そ　1476</t>
    <rPh sb="0" eb="1">
      <t>エ</t>
    </rPh>
    <rPh sb="1" eb="2">
      <t>ヒガシ</t>
    </rPh>
    <phoneticPr fontId="13"/>
  </si>
  <si>
    <t>WBA1S520107D25093</t>
    <phoneticPr fontId="13"/>
  </si>
  <si>
    <t>WBA8B56080NT32172</t>
    <phoneticPr fontId="13"/>
  </si>
  <si>
    <t>広島　484　ふ　1123</t>
    <rPh sb="0" eb="2">
      <t>ヒロシマ</t>
    </rPh>
    <phoneticPr fontId="13"/>
  </si>
  <si>
    <t>WDC1569472J370188</t>
    <phoneticPr fontId="13"/>
  </si>
  <si>
    <t>MﾍﾞﾝﾂA200ｄ</t>
    <phoneticPr fontId="13"/>
  </si>
  <si>
    <t>W1K1770122V055401</t>
    <phoneticPr fontId="13"/>
  </si>
  <si>
    <t>宇都宮　331　は　3127</t>
    <rPh sb="0" eb="3">
      <t>ウツノミヤ</t>
    </rPh>
    <phoneticPr fontId="13"/>
  </si>
  <si>
    <t>27-4478</t>
  </si>
  <si>
    <t>NHP10-6391244</t>
    <phoneticPr fontId="13"/>
  </si>
  <si>
    <t>NKE165-7241321</t>
    <phoneticPr fontId="13"/>
  </si>
  <si>
    <t>ﾌﾟﾘｳｽ　S</t>
    <phoneticPr fontId="13"/>
  </si>
  <si>
    <t>ZVW51-6188768</t>
    <phoneticPr fontId="13"/>
  </si>
  <si>
    <t>MK94S-163624</t>
    <phoneticPr fontId="13"/>
  </si>
  <si>
    <t>NSP160-0065595</t>
    <phoneticPr fontId="13"/>
  </si>
  <si>
    <t>DA17V-589156</t>
    <phoneticPr fontId="13"/>
  </si>
  <si>
    <t>9/12/21</t>
    <phoneticPr fontId="13"/>
  </si>
  <si>
    <t>大阪　531　も　1418</t>
    <rPh sb="0" eb="2">
      <t>オオサカ</t>
    </rPh>
    <phoneticPr fontId="13"/>
  </si>
  <si>
    <t>広島　582　く　3665</t>
    <rPh sb="0" eb="2">
      <t>ヒロシマ</t>
    </rPh>
    <phoneticPr fontId="13"/>
  </si>
  <si>
    <t>CX-3　XDﾂｰﾘﾝｸﾞ</t>
    <phoneticPr fontId="13"/>
  </si>
  <si>
    <t>27-4479</t>
  </si>
  <si>
    <t>27-4480</t>
  </si>
  <si>
    <t>27-4481</t>
  </si>
  <si>
    <t>27-4482</t>
  </si>
  <si>
    <t>ﾍﾞｲｵｰｸ</t>
    <phoneticPr fontId="13"/>
  </si>
  <si>
    <t>2/2</t>
    <phoneticPr fontId="13"/>
  </si>
  <si>
    <t>ﾑｰﾌﾞｷｬﾝﾊﾞｽ Xﾒｲｸｱｯﾌﾟﾘﾐﾃｯﾄﾞ</t>
    <phoneticPr fontId="13"/>
  </si>
  <si>
    <t>LA800S-0215848</t>
    <phoneticPr fontId="13"/>
  </si>
  <si>
    <t>28/3</t>
    <phoneticPr fontId="13"/>
  </si>
  <si>
    <t>ZRR80-0208763</t>
    <phoneticPr fontId="13"/>
  </si>
  <si>
    <t>9/2/16</t>
    <phoneticPr fontId="13"/>
  </si>
  <si>
    <t>黒</t>
    <rPh sb="0" eb="1">
      <t>クロ</t>
    </rPh>
    <phoneticPr fontId="13"/>
  </si>
  <si>
    <t>27-4483</t>
  </si>
  <si>
    <t>27-4484</t>
  </si>
  <si>
    <t>CAA中部(まとめ)</t>
    <rPh sb="3" eb="5">
      <t>チュウブ</t>
    </rPh>
    <phoneticPr fontId="13"/>
  </si>
  <si>
    <t>30/10</t>
    <phoneticPr fontId="13"/>
  </si>
  <si>
    <t>BMW X1 xﾄﾞﾗｲﾌﾞ18d xﾗｲﾝ</t>
    <phoneticPr fontId="13"/>
  </si>
  <si>
    <t>WBAHT920805L21702</t>
    <phoneticPr fontId="13"/>
  </si>
  <si>
    <t>9/10</t>
    <phoneticPr fontId="13"/>
  </si>
  <si>
    <t>浜松 330 と 2556</t>
    <rPh sb="0" eb="2">
      <t>ハママツ</t>
    </rPh>
    <phoneticPr fontId="13"/>
  </si>
  <si>
    <t>4/3</t>
    <phoneticPr fontId="13"/>
  </si>
  <si>
    <t>紺</t>
    <rPh sb="0" eb="1">
      <t>コン</t>
    </rPh>
    <phoneticPr fontId="13"/>
  </si>
  <si>
    <t>BMWﾐﾆ ｼﾞｮﾝｸｰﾊﾟｰﾜｰｸｽ ｺﾝﾊﾞｰﾁﾌﾞﾙ</t>
    <phoneticPr fontId="13"/>
  </si>
  <si>
    <t>WMW62DL0203P06731</t>
    <phoneticPr fontId="13"/>
  </si>
  <si>
    <t>9/3</t>
    <phoneticPr fontId="13"/>
  </si>
  <si>
    <t>大阪 366 む 32</t>
    <rPh sb="0" eb="2">
      <t>オオサカ</t>
    </rPh>
    <phoneticPr fontId="13"/>
  </si>
  <si>
    <t>29/10</t>
    <phoneticPr fontId="13"/>
  </si>
  <si>
    <t>YV1MVA8RDJ2448928</t>
    <phoneticPr fontId="13"/>
  </si>
  <si>
    <t>2/8</t>
    <phoneticPr fontId="13"/>
  </si>
  <si>
    <t>青</t>
    <rPh sb="0" eb="1">
      <t>アオ</t>
    </rPh>
    <phoneticPr fontId="13"/>
  </si>
  <si>
    <t>ｱﾊﾞﾙﾄ595 ﾋﾟｽﾀ</t>
    <phoneticPr fontId="13"/>
  </si>
  <si>
    <t>ZFA3120000JD44953</t>
    <phoneticPr fontId="13"/>
  </si>
  <si>
    <t>9/8</t>
    <phoneticPr fontId="13"/>
  </si>
  <si>
    <t>飛鳥 500 り 7</t>
    <rPh sb="0" eb="2">
      <t>アスカ</t>
    </rPh>
    <phoneticPr fontId="13"/>
  </si>
  <si>
    <t>岡山 582 い 1427</t>
    <rPh sb="0" eb="2">
      <t>オカヤマ</t>
    </rPh>
    <phoneticPr fontId="13"/>
  </si>
  <si>
    <t>直送</t>
    <rPh sb="0" eb="2">
      <t>チョクソウ</t>
    </rPh>
    <phoneticPr fontId="13"/>
  </si>
  <si>
    <t>岡山 399 な 7217</t>
    <rPh sb="0" eb="2">
      <t>オカヤマ</t>
    </rPh>
    <phoneticPr fontId="13"/>
  </si>
  <si>
    <t>株式会社ｺﾝﾁﾈﾝﾄ</t>
    <rPh sb="0" eb="4">
      <t>カブシキガイシャ</t>
    </rPh>
    <phoneticPr fontId="13"/>
  </si>
  <si>
    <t>Nﾜｺﾞﾝ G　Lﾊﾟｯｹｰｼﾞ</t>
    <phoneticPr fontId="13"/>
  </si>
  <si>
    <r>
      <t xml:space="preserve">保証書 </t>
    </r>
    <r>
      <rPr>
        <sz val="11"/>
        <color rgb="FFFF0000"/>
        <rFont val="ＭＳ Ｐゴシック"/>
        <family val="3"/>
        <charset val="128"/>
        <scheme val="minor"/>
      </rPr>
      <t xml:space="preserve">取説問い合わせ中 </t>
    </r>
    <r>
      <rPr>
        <sz val="11"/>
        <color theme="4" tint="-0.499984740745262"/>
        <rFont val="ＭＳ Ｐゴシック"/>
        <family val="3"/>
        <charset val="128"/>
        <scheme val="minor"/>
      </rPr>
      <t>印鑑証明7/11</t>
    </r>
    <rPh sb="0" eb="3">
      <t>ホショウショ</t>
    </rPh>
    <rPh sb="4" eb="6">
      <t>トリセツ</t>
    </rPh>
    <rPh sb="6" eb="7">
      <t>ト</t>
    </rPh>
    <rPh sb="8" eb="9">
      <t>ア</t>
    </rPh>
    <rPh sb="11" eb="12">
      <t>チュウ</t>
    </rPh>
    <rPh sb="13" eb="17">
      <t>インカンショウメイ</t>
    </rPh>
    <phoneticPr fontId="13"/>
  </si>
  <si>
    <t>大阪 795 な 1122</t>
    <rPh sb="0" eb="2">
      <t>オオサカ</t>
    </rPh>
    <phoneticPr fontId="13"/>
  </si>
  <si>
    <t>岡山 358 ろ 2</t>
    <rPh sb="0" eb="2">
      <t>オカヤマ</t>
    </rPh>
    <phoneticPr fontId="13"/>
  </si>
  <si>
    <t>杉井 謙太</t>
    <rPh sb="0" eb="2">
      <t>スギイ</t>
    </rPh>
    <rPh sb="3" eb="5">
      <t>ケンタ</t>
    </rPh>
    <phoneticPr fontId="13"/>
  </si>
  <si>
    <t>高松 580 く 6372</t>
    <rPh sb="0" eb="2">
      <t>タカマツ</t>
    </rPh>
    <phoneticPr fontId="13"/>
  </si>
  <si>
    <t>太田 健登</t>
    <rPh sb="0" eb="2">
      <t>オオタ</t>
    </rPh>
    <rPh sb="3" eb="4">
      <t>ケン</t>
    </rPh>
    <rPh sb="4" eb="5">
      <t>ノボル</t>
    </rPh>
    <phoneticPr fontId="13"/>
  </si>
  <si>
    <t>広島 583 ま 1955</t>
    <rPh sb="0" eb="2">
      <t>ヒロシマ</t>
    </rPh>
    <phoneticPr fontId="13"/>
  </si>
  <si>
    <t>滋賀 345 に 1020</t>
    <rPh sb="0" eb="2">
      <t>シガ</t>
    </rPh>
    <phoneticPr fontId="13"/>
  </si>
  <si>
    <t>株式会社滋賀ﾄﾖﾀ</t>
    <rPh sb="0" eb="4">
      <t>カブシキガイシャ</t>
    </rPh>
    <rPh sb="4" eb="6">
      <t>シガ</t>
    </rPh>
    <phoneticPr fontId="13"/>
  </si>
  <si>
    <t>なにわ 59C に 4720</t>
    <phoneticPr fontId="13"/>
  </si>
  <si>
    <t>和泉 323 ひ 222</t>
    <rPh sb="0" eb="2">
      <t>イズミ</t>
    </rPh>
    <phoneticPr fontId="13"/>
  </si>
  <si>
    <t>名古屋 326 も 9885</t>
    <rPh sb="0" eb="3">
      <t>ナゴヤ</t>
    </rPh>
    <phoneticPr fontId="13"/>
  </si>
  <si>
    <t>株式会社KINTO</t>
    <rPh sb="0" eb="4">
      <t>カブシキガイシャ</t>
    </rPh>
    <phoneticPr fontId="13"/>
  </si>
  <si>
    <t>地図SD車内なし(問い合わせしたがなしｸﾚｰﾑならず) 保証書 取説</t>
    <rPh sb="0" eb="2">
      <t>チズ</t>
    </rPh>
    <rPh sb="4" eb="6">
      <t>シャナイ</t>
    </rPh>
    <rPh sb="9" eb="10">
      <t>ト</t>
    </rPh>
    <rPh sb="11" eb="12">
      <t>ア</t>
    </rPh>
    <rPh sb="28" eb="31">
      <t>ホショウショ</t>
    </rPh>
    <rPh sb="32" eb="34">
      <t>トリセツ</t>
    </rPh>
    <phoneticPr fontId="13"/>
  </si>
  <si>
    <t>582 う 9335</t>
    <phoneticPr fontId="13"/>
  </si>
  <si>
    <t>ZIP大阪(ﾜﾝｸﾘ)</t>
    <rPh sb="3" eb="5">
      <t>オオサカ</t>
    </rPh>
    <phoneticPr fontId="13"/>
  </si>
  <si>
    <t>971(318)</t>
    <phoneticPr fontId="13"/>
  </si>
  <si>
    <t>尾張小牧 599 ほ 5043</t>
    <rPh sb="0" eb="4">
      <t>オワリコマキ</t>
    </rPh>
    <phoneticPr fontId="13"/>
  </si>
  <si>
    <t>ｷｬﾝｾﾙ返送5/15</t>
    <rPh sb="5" eb="7">
      <t>ヘンソウ</t>
    </rPh>
    <phoneticPr fontId="13"/>
  </si>
  <si>
    <t>岡山 330 せ 498</t>
    <rPh sb="0" eb="2">
      <t>オカヤマ</t>
    </rPh>
    <phoneticPr fontId="13"/>
  </si>
  <si>
    <t>溝脇 吉展</t>
    <rPh sb="0" eb="2">
      <t>ミゾワキ</t>
    </rPh>
    <rPh sb="3" eb="4">
      <t>ヨシ</t>
    </rPh>
    <rPh sb="4" eb="5">
      <t>テン</t>
    </rPh>
    <phoneticPr fontId="13"/>
  </si>
  <si>
    <t>保証書 取説 ｷｰﾚｽ ｱﾝﾃﾅ</t>
    <rPh sb="0" eb="3">
      <t>ホショウショ</t>
    </rPh>
    <rPh sb="4" eb="6">
      <t>トリセツ</t>
    </rPh>
    <phoneticPr fontId="13"/>
  </si>
  <si>
    <t>練馬 302 た 9193</t>
    <rPh sb="0" eb="2">
      <t>ネリマ</t>
    </rPh>
    <phoneticPr fontId="13"/>
  </si>
  <si>
    <t>田中 壽夫</t>
    <rPh sb="0" eb="2">
      <t>タナカ</t>
    </rPh>
    <rPh sb="3" eb="4">
      <t>コトブキ</t>
    </rPh>
    <rPh sb="4" eb="5">
      <t>オット</t>
    </rPh>
    <phoneticPr fontId="13"/>
  </si>
  <si>
    <t>神戸 39A ち 1531</t>
    <rPh sb="0" eb="2">
      <t>コウベ</t>
    </rPh>
    <phoneticPr fontId="13"/>
  </si>
  <si>
    <t>松尾 香奈美</t>
    <rPh sb="0" eb="2">
      <t>マツオ</t>
    </rPh>
    <rPh sb="3" eb="4">
      <t>カオル</t>
    </rPh>
    <rPh sb="4" eb="6">
      <t>ナミ</t>
    </rPh>
    <phoneticPr fontId="13"/>
  </si>
  <si>
    <t>島根 399 そ 3174</t>
    <rPh sb="0" eb="2">
      <t>シマネ</t>
    </rPh>
    <phoneticPr fontId="13"/>
  </si>
  <si>
    <t>和泉 329 ぬ 2293</t>
    <rPh sb="0" eb="2">
      <t>イズミ</t>
    </rPh>
    <phoneticPr fontId="13"/>
  </si>
  <si>
    <t>株式会社ｼｰｽﾍﾟｰｽ</t>
    <rPh sb="0" eb="4">
      <t>カブシキガイシャ</t>
    </rPh>
    <phoneticPr fontId="13"/>
  </si>
  <si>
    <t>山梨 580 め 902</t>
    <rPh sb="0" eb="2">
      <t>ヤマナシ</t>
    </rPh>
    <phoneticPr fontId="13"/>
  </si>
  <si>
    <t>市川 聖一</t>
    <rPh sb="0" eb="2">
      <t>イチカワ</t>
    </rPh>
    <rPh sb="3" eb="4">
      <t>ヒジリ</t>
    </rPh>
    <rPh sb="4" eb="5">
      <t>イチ</t>
    </rPh>
    <phoneticPr fontId="13"/>
  </si>
  <si>
    <t>一宮 363 つ 8008</t>
    <rPh sb="0" eb="2">
      <t>イチノミヤ</t>
    </rPh>
    <phoneticPr fontId="13"/>
  </si>
  <si>
    <t>一般社団法人百美会</t>
    <rPh sb="0" eb="6">
      <t>イッパンシャダンホウジン</t>
    </rPh>
    <rPh sb="6" eb="7">
      <t>ヒャク</t>
    </rPh>
    <rPh sb="7" eb="8">
      <t>ミ</t>
    </rPh>
    <rPh sb="8" eb="9">
      <t>カイ</t>
    </rPh>
    <phoneticPr fontId="13"/>
  </si>
  <si>
    <t>保証書 ﾜﾝｵｰﾅｰ 取説 印鑑証明8/10</t>
    <rPh sb="0" eb="3">
      <t>ホショウショ</t>
    </rPh>
    <rPh sb="11" eb="13">
      <t>トリセツ</t>
    </rPh>
    <rPh sb="14" eb="18">
      <t>インカンショウメイ</t>
    </rPh>
    <phoneticPr fontId="13"/>
  </si>
  <si>
    <t>静岡 580 や 3895</t>
    <rPh sb="0" eb="2">
      <t>シズオカ</t>
    </rPh>
    <phoneticPr fontId="13"/>
  </si>
  <si>
    <t>佐藤 智哉</t>
    <rPh sb="0" eb="2">
      <t>サトウ</t>
    </rPh>
    <rPh sb="3" eb="5">
      <t>トモヤ</t>
    </rPh>
    <phoneticPr fontId="13"/>
  </si>
  <si>
    <t>千葉 794 ろ 1934</t>
    <rPh sb="0" eb="2">
      <t>チバ</t>
    </rPh>
    <phoneticPr fontId="13"/>
  </si>
  <si>
    <t>奈良 399 て 4829</t>
    <rPh sb="0" eb="2">
      <t>ナラ</t>
    </rPh>
    <phoneticPr fontId="13"/>
  </si>
  <si>
    <t>倉田 あずさ</t>
    <rPh sb="0" eb="2">
      <t>クラタ</t>
    </rPh>
    <phoneticPr fontId="13"/>
  </si>
  <si>
    <t>神戸 597 ろ 362</t>
    <rPh sb="0" eb="2">
      <t>コウベ</t>
    </rPh>
    <phoneticPr fontId="13"/>
  </si>
  <si>
    <t>品川 39A や 650</t>
    <rPh sb="0" eb="2">
      <t>シナガワ</t>
    </rPh>
    <phoneticPr fontId="13"/>
  </si>
  <si>
    <t>なにわ 39A や 2852</t>
    <phoneticPr fontId="13"/>
  </si>
  <si>
    <t>愛媛 332 せ 8823</t>
    <rPh sb="0" eb="2">
      <t>エヒメ</t>
    </rPh>
    <phoneticPr fontId="13"/>
  </si>
  <si>
    <t>倉敷 480 ろ 4230</t>
    <rPh sb="0" eb="2">
      <t>クラシキ</t>
    </rPh>
    <phoneticPr fontId="13"/>
  </si>
  <si>
    <t>なにわ 690 ろ 8498</t>
    <phoneticPr fontId="13"/>
  </si>
  <si>
    <t>広島 340 の 827</t>
    <rPh sb="0" eb="2">
      <t>ヒロシマ</t>
    </rPh>
    <phoneticPr fontId="13"/>
  </si>
  <si>
    <t>倉敷 584 そ 7373</t>
    <rPh sb="0" eb="2">
      <t>クラシキ</t>
    </rPh>
    <phoneticPr fontId="13"/>
  </si>
  <si>
    <t>近藤 美彩</t>
    <rPh sb="0" eb="2">
      <t>コンドウ</t>
    </rPh>
    <rPh sb="3" eb="4">
      <t>ミ</t>
    </rPh>
    <rPh sb="4" eb="5">
      <t>アヤ</t>
    </rPh>
    <phoneticPr fontId="13"/>
  </si>
  <si>
    <t>岡山 301 や 3012</t>
    <rPh sb="0" eb="2">
      <t>オカヤマ</t>
    </rPh>
    <phoneticPr fontId="13"/>
  </si>
  <si>
    <t>ZFA3120000J874889</t>
    <phoneticPr fontId="13"/>
  </si>
  <si>
    <t>太田 隆徳</t>
    <rPh sb="0" eb="2">
      <t>オオタ</t>
    </rPh>
    <rPh sb="3" eb="4">
      <t>タカシ</t>
    </rPh>
    <rPh sb="4" eb="5">
      <t>トク</t>
    </rPh>
    <phoneticPr fontId="13"/>
  </si>
  <si>
    <t>品川 39A や 3710</t>
    <rPh sb="0" eb="2">
      <t>シナガワ</t>
    </rPh>
    <phoneticPr fontId="13"/>
  </si>
  <si>
    <t>なにわ 330 も 1416</t>
    <phoneticPr fontId="13"/>
  </si>
  <si>
    <t>堺 399 ひ 9813</t>
    <rPh sb="0" eb="1">
      <t>サカイ</t>
    </rPh>
    <phoneticPr fontId="13"/>
  </si>
  <si>
    <t>地図SD(書類と一緒)</t>
    <rPh sb="0" eb="2">
      <t>チズ</t>
    </rPh>
    <rPh sb="5" eb="7">
      <t>ショルイ</t>
    </rPh>
    <rPh sb="8" eb="10">
      <t>イッショ</t>
    </rPh>
    <phoneticPr fontId="13"/>
  </si>
  <si>
    <t>澤田 拳太</t>
    <rPh sb="0" eb="2">
      <t>サワダ</t>
    </rPh>
    <rPh sb="3" eb="4">
      <t>ケン</t>
    </rPh>
    <rPh sb="4" eb="5">
      <t>タ</t>
    </rPh>
    <phoneticPr fontId="13"/>
  </si>
  <si>
    <t>和泉 329 ぬ 2192</t>
    <rPh sb="0" eb="2">
      <t>イズミ</t>
    </rPh>
    <phoneticPr fontId="13"/>
  </si>
  <si>
    <t>長野 580 わ 2957</t>
    <rPh sb="0" eb="2">
      <t>ナガノ</t>
    </rPh>
    <phoneticPr fontId="13"/>
  </si>
  <si>
    <t>株式会社ﾀｶｻﾜ</t>
    <phoneticPr fontId="13"/>
  </si>
  <si>
    <t>大阪 100 ち 197</t>
    <rPh sb="0" eb="2">
      <t>オオサカ</t>
    </rPh>
    <phoneticPr fontId="13"/>
  </si>
  <si>
    <t>多摩 499 て 1567</t>
    <rPh sb="0" eb="2">
      <t>タマ</t>
    </rPh>
    <phoneticPr fontId="13"/>
  </si>
  <si>
    <t>多摩 499 て 1565</t>
    <rPh sb="0" eb="2">
      <t>タマ</t>
    </rPh>
    <phoneticPr fontId="13"/>
  </si>
  <si>
    <t>多摩 485 ろ 1140</t>
    <rPh sb="0" eb="2">
      <t>タマ</t>
    </rPh>
    <phoneticPr fontId="13"/>
  </si>
  <si>
    <t>なにわ 331 ふ 2227</t>
    <phoneticPr fontId="13"/>
  </si>
  <si>
    <t>滋賀 583 か 5203</t>
    <rPh sb="0" eb="2">
      <t>シガ</t>
    </rPh>
    <phoneticPr fontId="13"/>
  </si>
  <si>
    <t>大島 雅基</t>
    <rPh sb="0" eb="2">
      <t>オオシマ</t>
    </rPh>
    <rPh sb="3" eb="4">
      <t>マサシ</t>
    </rPh>
    <rPh sb="4" eb="5">
      <t>キ</t>
    </rPh>
    <phoneticPr fontId="13"/>
  </si>
  <si>
    <t>品川 39A た 4569</t>
    <rPh sb="0" eb="2">
      <t>シナガワ</t>
    </rPh>
    <phoneticPr fontId="13"/>
  </si>
  <si>
    <t>品川 49A た 4570</t>
    <rPh sb="0" eb="2">
      <t>シナガワ</t>
    </rPh>
    <phoneticPr fontId="13"/>
  </si>
  <si>
    <t>品川 5X4 ろ 2489</t>
    <rPh sb="0" eb="2">
      <t>シナガワ</t>
    </rPh>
    <phoneticPr fontId="13"/>
  </si>
  <si>
    <t>千葉 34K は 8008</t>
    <rPh sb="0" eb="2">
      <t>チバ</t>
    </rPh>
    <phoneticPr fontId="13"/>
  </si>
  <si>
    <t>大野 如城</t>
    <rPh sb="0" eb="2">
      <t>オオノ</t>
    </rPh>
    <rPh sb="3" eb="4">
      <t>ニョ</t>
    </rPh>
    <rPh sb="4" eb="5">
      <t>シロ</t>
    </rPh>
    <phoneticPr fontId="13"/>
  </si>
  <si>
    <t>保証書 取説 ｷｰﾚｽ ﾜﾝｵｰﾅｰ 印鑑証明8/3</t>
    <rPh sb="0" eb="3">
      <t>ホショウショ</t>
    </rPh>
    <rPh sb="4" eb="6">
      <t>トリセツ</t>
    </rPh>
    <rPh sb="19" eb="23">
      <t>インカンショウメイ</t>
    </rPh>
    <phoneticPr fontId="13"/>
  </si>
  <si>
    <t>501 ゆ 6590</t>
    <phoneticPr fontId="13"/>
  </si>
  <si>
    <t>301 の 1147</t>
    <phoneticPr fontId="13"/>
  </si>
  <si>
    <t>501 ゆ 6589</t>
    <phoneticPr fontId="13"/>
  </si>
  <si>
    <t>301 の 1146</t>
    <phoneticPr fontId="13"/>
  </si>
  <si>
    <t>湘南 302 と 5584</t>
    <rPh sb="0" eb="2">
      <t>ショウナン</t>
    </rPh>
    <phoneticPr fontId="13"/>
  </si>
  <si>
    <t>星 敏昭</t>
    <rPh sb="0" eb="1">
      <t>ホシ</t>
    </rPh>
    <rPh sb="2" eb="4">
      <t>トシアキ</t>
    </rPh>
    <phoneticPr fontId="13"/>
  </si>
  <si>
    <t xml:space="preserve">ｽﾍﾟｱｷｰ(車内)保証書 ｽﾍﾟｱｷｰ </t>
    <rPh sb="7" eb="9">
      <t>シャナイ</t>
    </rPh>
    <rPh sb="10" eb="13">
      <t>ホショウショ</t>
    </rPh>
    <phoneticPr fontId="13"/>
  </si>
  <si>
    <t>ｷｰﾚｽ(車内)取説</t>
    <rPh sb="5" eb="7">
      <t>シャナイ</t>
    </rPh>
    <rPh sb="8" eb="10">
      <t>トリセツ</t>
    </rPh>
    <phoneticPr fontId="13"/>
  </si>
  <si>
    <t>ﾏｲｸﾛ地図SD(車内)保証書 取説 ﾅﾋﾞ取 ｶｰﾄﾞｷｰ ｷｰﾚｽ</t>
    <rPh sb="4" eb="6">
      <t>チズ</t>
    </rPh>
    <rPh sb="12" eb="15">
      <t>ホショウショ</t>
    </rPh>
    <rPh sb="16" eb="18">
      <t>トリセツ</t>
    </rPh>
    <rPh sb="22" eb="23">
      <t>トリ</t>
    </rPh>
    <phoneticPr fontId="13"/>
  </si>
  <si>
    <t xml:space="preserve"> ﾏｲｸﾛSD 取説 ｽﾍﾟｱｷｰ(車内)保証書</t>
    <rPh sb="8" eb="10">
      <t>トリセツ</t>
    </rPh>
    <rPh sb="21" eb="24">
      <t>ホショウショ</t>
    </rPh>
    <phoneticPr fontId="13"/>
  </si>
  <si>
    <t xml:space="preserve"> ｷｰﾚｽ ﾘﾓｺﾝ(車内)保証書 ﾅﾋﾞ取説</t>
    <rPh sb="14" eb="17">
      <t>ホショウショ</t>
    </rPh>
    <rPh sb="21" eb="23">
      <t>トリセツ</t>
    </rPh>
    <phoneticPr fontId="13"/>
  </si>
  <si>
    <t>保証書 地図SD(車内)</t>
    <rPh sb="0" eb="3">
      <t>ホショウショ</t>
    </rPh>
    <rPh sb="4" eb="6">
      <t>チズ</t>
    </rPh>
    <phoneticPr fontId="13"/>
  </si>
  <si>
    <t xml:space="preserve"> ﾏｲｸﾛ地図SD(車内)保証書</t>
    <rPh sb="5" eb="7">
      <t>チズ</t>
    </rPh>
    <rPh sb="13" eb="16">
      <t>ホショウショ</t>
    </rPh>
    <phoneticPr fontId="13"/>
  </si>
  <si>
    <t>27-4485</t>
  </si>
  <si>
    <t>27-4486</t>
  </si>
  <si>
    <t>27-4487</t>
  </si>
  <si>
    <t>27-4488</t>
  </si>
  <si>
    <t>S321V-0445142</t>
    <phoneticPr fontId="13"/>
  </si>
  <si>
    <t>LA400K-0021390</t>
    <phoneticPr fontId="13"/>
  </si>
  <si>
    <t>NHP160-0047888</t>
    <phoneticPr fontId="13"/>
  </si>
  <si>
    <t>NSP160-0060296</t>
    <phoneticPr fontId="13"/>
  </si>
  <si>
    <t>ﾊｲｾﾞｯﾄｶｰｺﾞ ｽﾍﾟｼｬﾙｸﾘｰﾝ SA3</t>
    <phoneticPr fontId="13"/>
  </si>
  <si>
    <t>ﾌﾟﾛﾎﾞｯｸｽ ﾊｲﾌﾞﾘｯﾄﾞ GX</t>
    <phoneticPr fontId="13"/>
  </si>
  <si>
    <t>27-4489</t>
  </si>
  <si>
    <t>27-4490</t>
  </si>
  <si>
    <t>27-4491</t>
  </si>
  <si>
    <t>27-4492</t>
  </si>
  <si>
    <t>27-4493</t>
  </si>
  <si>
    <t>W1K2130772A945563</t>
    <phoneticPr fontId="13"/>
  </si>
  <si>
    <t>YV1LF68MCL1548072</t>
    <phoneticPr fontId="13"/>
  </si>
  <si>
    <t>WMWXS520502C87150</t>
    <phoneticPr fontId="13"/>
  </si>
  <si>
    <t>WMWXY520502N45288</t>
    <phoneticPr fontId="13"/>
  </si>
  <si>
    <t>WME4530622Y127791</t>
    <phoneticPr fontId="13"/>
  </si>
  <si>
    <t>保証書ﾀﾞﾐｰ送る 申告入る</t>
    <rPh sb="0" eb="3">
      <t>ホショウショ</t>
    </rPh>
    <rPh sb="7" eb="8">
      <t>オク</t>
    </rPh>
    <rPh sb="10" eb="12">
      <t>シンコク</t>
    </rPh>
    <rPh sb="12" eb="13">
      <t>ハイ</t>
    </rPh>
    <phoneticPr fontId="13"/>
  </si>
  <si>
    <t>神戸 583 す 1352</t>
    <rPh sb="0" eb="2">
      <t>コウベ</t>
    </rPh>
    <phoneticPr fontId="13"/>
  </si>
  <si>
    <t>杼村 陽介</t>
    <rPh sb="1" eb="2">
      <t>ムラ</t>
    </rPh>
    <rPh sb="3" eb="5">
      <t>ヨウスケ</t>
    </rPh>
    <phoneticPr fontId="13"/>
  </si>
  <si>
    <t>ﾒﾙｾﾃﾞｽﾍﾞﾝﾂ E200 ｽﾎﾟｰﾂ</t>
    <phoneticPr fontId="13"/>
  </si>
  <si>
    <t>ﾎﾞﾙﾎﾞ XC90 D5</t>
    <phoneticPr fontId="13"/>
  </si>
  <si>
    <t>和歌山 331 ぬ 905</t>
    <rPh sb="0" eb="2">
      <t>ワカ</t>
    </rPh>
    <rPh sb="2" eb="3">
      <t>ヤマ</t>
    </rPh>
    <phoneticPr fontId="13"/>
  </si>
  <si>
    <t>神戸 335 す 3211</t>
    <rPh sb="0" eb="2">
      <t>コウベ</t>
    </rPh>
    <phoneticPr fontId="13"/>
  </si>
  <si>
    <t>ｽﾏｰﾄ ﾌｫｰﾌｫｰ ﾌﾞﾗﾊﾞﾝｴｸｽｸﾙｰｼﾌﾞ</t>
    <phoneticPr fontId="13"/>
  </si>
  <si>
    <t>ｷｬﾝｾﾙ返送5/16</t>
    <rPh sb="5" eb="7">
      <t>ヘンソウ</t>
    </rPh>
    <phoneticPr fontId="13"/>
  </si>
  <si>
    <t>ﾘｻｲｸﾙ2470円差額あり</t>
    <rPh sb="9" eb="10">
      <t>エン</t>
    </rPh>
    <rPh sb="10" eb="12">
      <t>サガク</t>
    </rPh>
    <phoneticPr fontId="13"/>
  </si>
  <si>
    <t>VF73AAHXTHJ811903</t>
    <phoneticPr fontId="13"/>
  </si>
  <si>
    <t>株式会社ﾎﾝﾀﾞｶｰｽﾞ三河</t>
    <rPh sb="0" eb="4">
      <t>カブシキガイシャ</t>
    </rPh>
    <rPh sb="12" eb="14">
      <t>ミカワ</t>
    </rPh>
    <phoneticPr fontId="13"/>
  </si>
  <si>
    <t>27-4494</t>
  </si>
  <si>
    <t>佐野様</t>
    <rPh sb="0" eb="2">
      <t>サノ</t>
    </rPh>
    <rPh sb="2" eb="3">
      <t>サマ</t>
    </rPh>
    <phoneticPr fontId="13"/>
  </si>
  <si>
    <t>WMWZB72080WT67259</t>
    <phoneticPr fontId="13"/>
  </si>
  <si>
    <t>神戸 303 は 4844</t>
    <rPh sb="0" eb="2">
      <t>コウベ</t>
    </rPh>
    <phoneticPr fontId="13"/>
  </si>
  <si>
    <t>佐野 剛士</t>
    <rPh sb="0" eb="2">
      <t>サノ</t>
    </rPh>
    <rPh sb="3" eb="4">
      <t>ツヨシ</t>
    </rPh>
    <rPh sb="4" eb="5">
      <t>シ</t>
    </rPh>
    <phoneticPr fontId="13"/>
  </si>
  <si>
    <t>なにわ 344 や 1121</t>
    <phoneticPr fontId="13"/>
  </si>
  <si>
    <t>ｽﾊﾞﾙ近畿株式会社</t>
    <rPh sb="4" eb="6">
      <t>キンキ</t>
    </rPh>
    <rPh sb="6" eb="10">
      <t>カブシキガイシャ</t>
    </rPh>
    <phoneticPr fontId="13"/>
  </si>
  <si>
    <t>株式会社川本ｶｰｺﾞ</t>
    <rPh sb="0" eb="4">
      <t>カブシキガイシャ</t>
    </rPh>
    <rPh sb="4" eb="6">
      <t>カワモト</t>
    </rPh>
    <phoneticPr fontId="13"/>
  </si>
  <si>
    <t>岡山 399 な 6377</t>
    <rPh sb="0" eb="2">
      <t>オカヤマ</t>
    </rPh>
    <phoneticPr fontId="13"/>
  </si>
  <si>
    <t>品川 5P9 ろ 2760</t>
    <rPh sb="0" eb="2">
      <t>シナガワ</t>
    </rPh>
    <phoneticPr fontId="13"/>
  </si>
  <si>
    <t>なにわ 479 や 9689</t>
    <phoneticPr fontId="13"/>
  </si>
  <si>
    <t>なにわ 479 や 9268</t>
    <phoneticPr fontId="13"/>
  </si>
  <si>
    <t>株式会社ﾚﾝﾀﾘｰｽ大阪</t>
    <rPh sb="0" eb="4">
      <t>カブシキガイシャ</t>
    </rPh>
    <rPh sb="10" eb="12">
      <t>オオサカ</t>
    </rPh>
    <phoneticPr fontId="13"/>
  </si>
  <si>
    <t>なにわ 479 ゆ 848</t>
    <phoneticPr fontId="13"/>
  </si>
  <si>
    <t>和歌山 580 の 3288</t>
    <rPh sb="0" eb="3">
      <t>ワカヤマ</t>
    </rPh>
    <phoneticPr fontId="13"/>
  </si>
  <si>
    <t>和歌山ﾄﾖﾍﾟｯﾄ株式会社</t>
    <rPh sb="0" eb="3">
      <t>ワカヤマ</t>
    </rPh>
    <rPh sb="9" eb="13">
      <t>カブシキガイシャ</t>
    </rPh>
    <phoneticPr fontId="13"/>
  </si>
  <si>
    <t>滋賀 347 も 818</t>
    <rPh sb="0" eb="2">
      <t>シガ</t>
    </rPh>
    <phoneticPr fontId="13"/>
  </si>
  <si>
    <t>ﾜﾝｵｰﾅｰ×そのまま送る</t>
    <rPh sb="11" eb="12">
      <t>オク</t>
    </rPh>
    <phoneticPr fontId="13"/>
  </si>
  <si>
    <t>神戸 553 は 9999</t>
    <rPh sb="0" eb="2">
      <t>コウベ</t>
    </rPh>
    <phoneticPr fontId="13"/>
  </si>
  <si>
    <t>株式会社ｲﾁﾈﾝIDOM</t>
    <phoneticPr fontId="13"/>
  </si>
  <si>
    <t>保証書 取説 録音SD B-CAS ﾜﾝｵｰﾅｰ</t>
    <rPh sb="0" eb="3">
      <t>ホショウショ</t>
    </rPh>
    <rPh sb="4" eb="6">
      <t>トリセツ</t>
    </rPh>
    <rPh sb="7" eb="9">
      <t>ロクオン</t>
    </rPh>
    <phoneticPr fontId="13"/>
  </si>
  <si>
    <t>神戸 39A ち 1784</t>
    <rPh sb="0" eb="2">
      <t>コウベ</t>
    </rPh>
    <phoneticPr fontId="13"/>
  </si>
  <si>
    <t>株式会社信和ｺﾞﾙﾌﾒﾝﾃﾅﾝｽ</t>
    <rPh sb="0" eb="4">
      <t>カブシキガイシャ</t>
    </rPh>
    <rPh sb="4" eb="6">
      <t>シンワ</t>
    </rPh>
    <phoneticPr fontId="13"/>
  </si>
  <si>
    <t>保証書 取説 ｷｰﾚｽ2個 ｶｰﾄﾞｷｰ ロックナット ﾜﾝｵｰﾅｰ</t>
    <rPh sb="0" eb="3">
      <t>ホショウショ</t>
    </rPh>
    <rPh sb="4" eb="6">
      <t>トリセツ</t>
    </rPh>
    <rPh sb="12" eb="13">
      <t>コ</t>
    </rPh>
    <phoneticPr fontId="13"/>
  </si>
  <si>
    <t>鳥取 530 す 9230</t>
    <rPh sb="0" eb="2">
      <t>トットリ</t>
    </rPh>
    <phoneticPr fontId="13"/>
  </si>
  <si>
    <t>株式会社ﾄｰﾀﾙｴﾅｼﾞｰｵｵﾀ</t>
    <rPh sb="0" eb="4">
      <t>カブシキガイシャ</t>
    </rPh>
    <phoneticPr fontId="13"/>
  </si>
  <si>
    <t>保証書 取説 ﾅﾋﾞ取 ｷｰﾚｽ ﾐﾆB-CAS ﾏｲｸﾛ地図SD ﾜﾝｵｰﾅｰ</t>
    <rPh sb="0" eb="3">
      <t>ホショウショ</t>
    </rPh>
    <rPh sb="4" eb="6">
      <t>トリセツ</t>
    </rPh>
    <rPh sb="10" eb="11">
      <t>トリ</t>
    </rPh>
    <rPh sb="29" eb="31">
      <t>チズ</t>
    </rPh>
    <phoneticPr fontId="13"/>
  </si>
  <si>
    <t>神戸 39A ち 1648</t>
    <rPh sb="0" eb="2">
      <t>コウベ</t>
    </rPh>
    <phoneticPr fontId="13"/>
  </si>
  <si>
    <r>
      <t xml:space="preserve">保証書 取説 ｷｰﾚｽ </t>
    </r>
    <r>
      <rPr>
        <sz val="11"/>
        <color rgb="FFFF0000"/>
        <rFont val="ＭＳ Ｐゴシック"/>
        <family val="3"/>
        <charset val="128"/>
        <scheme val="minor"/>
      </rPr>
      <t>ﾜﾝｵｰﾅｰ×</t>
    </r>
    <r>
      <rPr>
        <sz val="11"/>
        <color theme="4" tint="-0.499984740745262"/>
        <rFont val="ＭＳ Ｐゴシック"/>
        <family val="3"/>
        <charset val="128"/>
        <scheme val="minor"/>
      </rPr>
      <t>(中古保証)</t>
    </r>
    <rPh sb="0" eb="3">
      <t>ホショウショ</t>
    </rPh>
    <rPh sb="4" eb="6">
      <t>トリセツ</t>
    </rPh>
    <rPh sb="20" eb="22">
      <t>チュウコ</t>
    </rPh>
    <rPh sb="22" eb="24">
      <t>ホショウ</t>
    </rPh>
    <phoneticPr fontId="13"/>
  </si>
  <si>
    <r>
      <t xml:space="preserve">保証書 取説 ｷｰﾚｽ </t>
    </r>
    <r>
      <rPr>
        <sz val="11"/>
        <color rgb="FFFF0000"/>
        <rFont val="ＭＳ Ｐゴシック"/>
        <family val="3"/>
        <charset val="128"/>
        <scheme val="minor"/>
      </rPr>
      <t>ﾜﾝｵｰﾅｰ？</t>
    </r>
    <rPh sb="0" eb="3">
      <t>ホショウショ</t>
    </rPh>
    <rPh sb="4" eb="6">
      <t>トリセツ</t>
    </rPh>
    <phoneticPr fontId="13"/>
  </si>
  <si>
    <t>惠比奈 和彦</t>
    <rPh sb="0" eb="1">
      <t>ケイ</t>
    </rPh>
    <rPh sb="1" eb="2">
      <t>ヒ</t>
    </rPh>
    <rPh sb="2" eb="3">
      <t>ナ</t>
    </rPh>
    <rPh sb="4" eb="6">
      <t>カズヒコ</t>
    </rPh>
    <phoneticPr fontId="13"/>
  </si>
  <si>
    <t>地図SD(車内)保証書 取説 ｽﾍﾟｱｷｰ ﾜﾝｵｰﾅｰ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</si>
  <si>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株式会社KBS</t>
    <rPh sb="0" eb="4">
      <t>カブシキガイシャ</t>
    </rPh>
    <phoneticPr fontId="13"/>
  </si>
  <si>
    <t>ﾘﾓｺﾝ2個(車内)保証書 取説 ｷｰﾚｽ ﾜﾝｵｰﾅｰ</t>
    <rPh sb="5" eb="6">
      <t>コ</t>
    </rPh>
    <rPh sb="10" eb="13">
      <t>ホショウショ</t>
    </rPh>
    <rPh sb="14" eb="16">
      <t>トリセツ</t>
    </rPh>
    <phoneticPr fontId="13"/>
  </si>
  <si>
    <t>保証書 ﾏｲｸﾛ地図SD(車内)</t>
    <rPh sb="0" eb="3">
      <t>ホショウショ</t>
    </rPh>
    <rPh sb="8" eb="10">
      <t>チズ</t>
    </rPh>
    <phoneticPr fontId="13"/>
  </si>
  <si>
    <t>保証書 取説 ｽﾍﾟｱｷｰ 地図SD(車内)</t>
    <rPh sb="0" eb="3">
      <t>ホショウショ</t>
    </rPh>
    <rPh sb="4" eb="6">
      <t>トリセツ</t>
    </rPh>
    <rPh sb="14" eb="16">
      <t>チズ</t>
    </rPh>
    <rPh sb="19" eb="21">
      <t>シャナイ</t>
    </rPh>
    <phoneticPr fontId="13"/>
  </si>
  <si>
    <t>保証書 取説 ｷｰﾚｽ ｽﾀｰﾄﾎﾞﾀﾝ(車内)</t>
    <rPh sb="0" eb="3">
      <t>ホショウショ</t>
    </rPh>
    <rPh sb="4" eb="6">
      <t>トリセツ</t>
    </rPh>
    <rPh sb="21" eb="23">
      <t>シャナイ</t>
    </rPh>
    <phoneticPr fontId="13"/>
  </si>
  <si>
    <t>取説 ﾏｲｸﾛ地図SD(車内)保証書</t>
    <rPh sb="0" eb="2">
      <t>トリセツ</t>
    </rPh>
    <rPh sb="7" eb="9">
      <t>チズ</t>
    </rPh>
    <rPh sb="15" eb="18">
      <t>ホショウショ</t>
    </rPh>
    <phoneticPr fontId="13"/>
  </si>
  <si>
    <t>ﾎﾞﾙﾎﾞ V40　D4ﾓﾒﾝﾀﾑ</t>
    <phoneticPr fontId="13"/>
  </si>
  <si>
    <t>27-4495</t>
  </si>
  <si>
    <t>27-4496</t>
  </si>
  <si>
    <t>27-4497</t>
  </si>
  <si>
    <t>27-4498</t>
  </si>
  <si>
    <t>27-4499</t>
  </si>
  <si>
    <t>27-4500</t>
  </si>
  <si>
    <t>27-4501</t>
  </si>
  <si>
    <t>27-4502</t>
  </si>
  <si>
    <t>27-4503</t>
  </si>
  <si>
    <t>27-4504</t>
  </si>
  <si>
    <t>27-4505</t>
  </si>
  <si>
    <t>27-4506</t>
  </si>
  <si>
    <t>27-4507</t>
  </si>
  <si>
    <t>27-4508</t>
  </si>
  <si>
    <t>27-4509</t>
  </si>
  <si>
    <t>27-4510</t>
  </si>
  <si>
    <t>27-4511</t>
  </si>
  <si>
    <t>27-4512</t>
  </si>
  <si>
    <t>JU愛知（まとめ）</t>
    <rPh sb="2" eb="4">
      <t>アイチ</t>
    </rPh>
    <phoneticPr fontId="13"/>
  </si>
  <si>
    <t>DA17W-313738</t>
    <phoneticPr fontId="13"/>
  </si>
  <si>
    <t>LA900S-0040598</t>
    <phoneticPr fontId="13"/>
  </si>
  <si>
    <t>S500P-0072578</t>
    <phoneticPr fontId="13"/>
  </si>
  <si>
    <t>MR92S-218800</t>
    <phoneticPr fontId="13"/>
  </si>
  <si>
    <t>LA800S-1004055</t>
    <phoneticPr fontId="13"/>
  </si>
  <si>
    <t>MXWH60-4105998</t>
    <phoneticPr fontId="13"/>
  </si>
  <si>
    <t>AVE30-5089899</t>
    <phoneticPr fontId="13"/>
  </si>
  <si>
    <t>AGH30-0085531</t>
    <phoneticPr fontId="13"/>
  </si>
  <si>
    <t>AGH30-0234611</t>
    <phoneticPr fontId="13"/>
  </si>
  <si>
    <t>NHP10-2518586</t>
    <phoneticPr fontId="13"/>
  </si>
  <si>
    <t>URJ202-4214244</t>
    <phoneticPr fontId="13"/>
  </si>
  <si>
    <t>多摩 499 て 1670</t>
    <rPh sb="0" eb="2">
      <t>タマ</t>
    </rPh>
    <phoneticPr fontId="13"/>
  </si>
  <si>
    <t>5/17</t>
    <phoneticPr fontId="13"/>
  </si>
  <si>
    <t>多摩 593 ろ 858</t>
    <rPh sb="0" eb="2">
      <t>タマ</t>
    </rPh>
    <phoneticPr fontId="13"/>
  </si>
  <si>
    <t>本田 潔</t>
    <rPh sb="0" eb="2">
      <t>ホンダ</t>
    </rPh>
    <rPh sb="3" eb="4">
      <t>キヨシ</t>
    </rPh>
    <phoneticPr fontId="13"/>
  </si>
  <si>
    <t>名古屋 326 や 1410</t>
    <rPh sb="0" eb="3">
      <t>ナゴヤ</t>
    </rPh>
    <phoneticPr fontId="13"/>
  </si>
  <si>
    <t>秋田 581 た 9212</t>
    <rPh sb="0" eb="2">
      <t>アキタ</t>
    </rPh>
    <phoneticPr fontId="13"/>
  </si>
  <si>
    <t>齋藤 渉</t>
    <rPh sb="0" eb="2">
      <t>サイトウ</t>
    </rPh>
    <rPh sb="3" eb="4">
      <t>アユム</t>
    </rPh>
    <phoneticPr fontId="13"/>
  </si>
  <si>
    <t>名古屋 401 わ 9127</t>
    <rPh sb="0" eb="3">
      <t>ナゴヤ</t>
    </rPh>
    <phoneticPr fontId="13"/>
  </si>
  <si>
    <t>福岡 302 て 2469</t>
    <rPh sb="0" eb="2">
      <t>フクオカ</t>
    </rPh>
    <phoneticPr fontId="13"/>
  </si>
  <si>
    <t>品川 49A た 9043</t>
    <rPh sb="0" eb="2">
      <t>シナガワ</t>
    </rPh>
    <phoneticPr fontId="13"/>
  </si>
  <si>
    <t>品川 49A  そ 9254</t>
    <rPh sb="0" eb="2">
      <t>シナガワ</t>
    </rPh>
    <phoneticPr fontId="13"/>
  </si>
  <si>
    <t>品川 5X3 ろ 1023</t>
    <rPh sb="0" eb="2">
      <t>シナガワ</t>
    </rPh>
    <phoneticPr fontId="13"/>
  </si>
  <si>
    <t>品川 5X4 ろ 3893</t>
    <rPh sb="0" eb="2">
      <t>シナガワ</t>
    </rPh>
    <phoneticPr fontId="13"/>
  </si>
  <si>
    <t>神戸 58A け 4039</t>
    <rPh sb="0" eb="2">
      <t>コウベ</t>
    </rPh>
    <phoneticPr fontId="13"/>
  </si>
  <si>
    <t>中川 雄介</t>
    <rPh sb="0" eb="2">
      <t>ナカガワ</t>
    </rPh>
    <rPh sb="3" eb="5">
      <t>ユウスケ</t>
    </rPh>
    <phoneticPr fontId="13"/>
  </si>
  <si>
    <t>佐賀 581 こ 7525</t>
    <rPh sb="0" eb="2">
      <t>サガ</t>
    </rPh>
    <phoneticPr fontId="13"/>
  </si>
  <si>
    <t>佐賀ﾄﾖﾀ自動車株式会社</t>
    <rPh sb="0" eb="2">
      <t>サガ</t>
    </rPh>
    <rPh sb="5" eb="12">
      <t>ジドウシャカブシキガイシャ</t>
    </rPh>
    <phoneticPr fontId="13"/>
  </si>
  <si>
    <t>多摩 593 ろ 985</t>
    <rPh sb="0" eb="2">
      <t>タマ</t>
    </rPh>
    <phoneticPr fontId="13"/>
  </si>
  <si>
    <t>多摩 593 ろ 984</t>
    <rPh sb="0" eb="2">
      <t>タマ</t>
    </rPh>
    <phoneticPr fontId="13"/>
  </si>
  <si>
    <t>多摩 799 ほ 1212</t>
    <rPh sb="0" eb="2">
      <t>タマ</t>
    </rPh>
    <phoneticPr fontId="13"/>
  </si>
  <si>
    <t>多摩 593 ろ 857</t>
    <rPh sb="0" eb="2">
      <t>タマ</t>
    </rPh>
    <phoneticPr fontId="13"/>
  </si>
  <si>
    <t>岡山 399 な 7011</t>
    <rPh sb="0" eb="2">
      <t>オカヤマ</t>
    </rPh>
    <phoneticPr fontId="13"/>
  </si>
  <si>
    <t>TRUZZZ8J4D1009045</t>
    <phoneticPr fontId="13"/>
  </si>
  <si>
    <t>株式会社ﾎﾝﾀﾞ四輪販売中京</t>
    <rPh sb="0" eb="4">
      <t>カブシキガイシャ</t>
    </rPh>
    <rPh sb="8" eb="10">
      <t>ヨンリン</t>
    </rPh>
    <rPh sb="10" eb="12">
      <t>ハンバイ</t>
    </rPh>
    <rPh sb="12" eb="14">
      <t>チュウキョウ</t>
    </rPh>
    <phoneticPr fontId="13"/>
  </si>
  <si>
    <t>取説 ｷｰﾚｽ ﾌﾟﾗｷｰ(車内) 地図SD</t>
    <rPh sb="0" eb="2">
      <t>トリセツ</t>
    </rPh>
    <rPh sb="18" eb="20">
      <t>チズ</t>
    </rPh>
    <phoneticPr fontId="13"/>
  </si>
  <si>
    <r>
      <t xml:space="preserve">ZIPで探し中 </t>
    </r>
    <r>
      <rPr>
        <sz val="8"/>
        <color theme="1"/>
        <rFont val="ＭＳ Ｐゴシック"/>
        <family val="3"/>
        <charset val="128"/>
        <scheme val="minor"/>
      </rPr>
      <t>※鍵が合っていた</t>
    </r>
    <rPh sb="4" eb="5">
      <t>サガ</t>
    </rPh>
    <rPh sb="6" eb="7">
      <t>チュウ</t>
    </rPh>
    <rPh sb="9" eb="10">
      <t>カギ</t>
    </rPh>
    <rPh sb="11" eb="12">
      <t>ア</t>
    </rPh>
    <phoneticPr fontId="13"/>
  </si>
  <si>
    <t>27-4513</t>
  </si>
  <si>
    <t>27-4514</t>
  </si>
  <si>
    <t>27-4515</t>
  </si>
  <si>
    <t>27-4516</t>
  </si>
  <si>
    <t>27-4517</t>
  </si>
  <si>
    <t>27-4518</t>
  </si>
  <si>
    <t>27-4519</t>
  </si>
  <si>
    <t>27-4520</t>
  </si>
  <si>
    <t>NCP160-0157725</t>
    <phoneticPr fontId="13"/>
  </si>
  <si>
    <t>AGH30-0294330</t>
    <phoneticPr fontId="13"/>
  </si>
  <si>
    <t>ﾚｸｻｽLS ﾊｲﾌﾞﾘｯﾄﾞ</t>
    <phoneticPr fontId="13"/>
  </si>
  <si>
    <t>SNE13-183645</t>
    <phoneticPr fontId="13"/>
  </si>
  <si>
    <t>M900S-0005370</t>
    <phoneticPr fontId="13"/>
  </si>
  <si>
    <t>JF5-1039713</t>
    <phoneticPr fontId="13"/>
  </si>
  <si>
    <t>JF5-1017479</t>
    <phoneticPr fontId="13"/>
  </si>
  <si>
    <t>LA650S-0281341</t>
    <phoneticPr fontId="13"/>
  </si>
  <si>
    <t>HE33S-327945</t>
    <phoneticPr fontId="13"/>
  </si>
  <si>
    <t>HE33S-504825</t>
    <phoneticPr fontId="13"/>
  </si>
  <si>
    <t>LA600S-0271359</t>
    <phoneticPr fontId="13"/>
  </si>
  <si>
    <t>S500P-0195803</t>
    <phoneticPr fontId="13"/>
  </si>
  <si>
    <t>MH34S-536515</t>
    <phoneticPr fontId="13"/>
  </si>
  <si>
    <t>MH34S-284562</t>
    <phoneticPr fontId="13"/>
  </si>
  <si>
    <t>非課税OK</t>
    <rPh sb="0" eb="3">
      <t>ヒカゼイ</t>
    </rPh>
    <phoneticPr fontId="13"/>
  </si>
  <si>
    <t>27-4521</t>
  </si>
  <si>
    <t>27-4522</t>
  </si>
  <si>
    <t>27-4523</t>
  </si>
  <si>
    <t>27-4524</t>
  </si>
  <si>
    <t>27-4525</t>
  </si>
  <si>
    <t>27-4526</t>
  </si>
  <si>
    <t>27-4527</t>
  </si>
  <si>
    <t>A339004</t>
    <phoneticPr fontId="13"/>
  </si>
  <si>
    <t>A400784</t>
    <phoneticPr fontId="13"/>
  </si>
  <si>
    <t>A401149</t>
    <phoneticPr fontId="13"/>
  </si>
  <si>
    <t>27-4528</t>
  </si>
  <si>
    <t>27-4529</t>
  </si>
  <si>
    <t>27-4530</t>
  </si>
  <si>
    <t>27-4531</t>
  </si>
  <si>
    <t>27-4532</t>
  </si>
  <si>
    <t>27-4533</t>
  </si>
  <si>
    <t>27-4534</t>
  </si>
  <si>
    <t>27-4535</t>
  </si>
  <si>
    <t>LA350S-0186000</t>
    <phoneticPr fontId="13"/>
  </si>
  <si>
    <t>LA350S-0134748</t>
    <phoneticPr fontId="13"/>
  </si>
  <si>
    <t>HE22S-244985</t>
    <phoneticPr fontId="13"/>
  </si>
  <si>
    <t>S321V-0446273</t>
    <phoneticPr fontId="13"/>
  </si>
  <si>
    <t>LA360S-0008962</t>
    <phoneticPr fontId="13"/>
  </si>
  <si>
    <t>B44W-0128229</t>
    <phoneticPr fontId="13"/>
  </si>
  <si>
    <t>E13-225320</t>
    <phoneticPr fontId="13"/>
  </si>
  <si>
    <t>E13-224792</t>
    <phoneticPr fontId="13"/>
  </si>
  <si>
    <t>E13-224787</t>
    <phoneticPr fontId="13"/>
  </si>
  <si>
    <t>E13-226233</t>
    <phoneticPr fontId="13"/>
  </si>
  <si>
    <t>27-4536</t>
  </si>
  <si>
    <t>27-4537</t>
  </si>
  <si>
    <t>27-4538</t>
  </si>
  <si>
    <t>27-4539</t>
  </si>
  <si>
    <t>27-4540</t>
  </si>
  <si>
    <t>27-4541</t>
  </si>
  <si>
    <t>27-4542</t>
  </si>
  <si>
    <t>27-4543</t>
  </si>
  <si>
    <t>27-4544</t>
  </si>
  <si>
    <t>27-4545</t>
  </si>
  <si>
    <t>27-4546</t>
  </si>
  <si>
    <t>27-4547</t>
  </si>
  <si>
    <t>27-4548</t>
  </si>
  <si>
    <t>27-4549</t>
  </si>
  <si>
    <t>27-4550</t>
  </si>
  <si>
    <t>MH55S-203234</t>
    <phoneticPr fontId="13"/>
  </si>
  <si>
    <t>JB23W-708455</t>
    <phoneticPr fontId="13"/>
  </si>
  <si>
    <t>ｳﾞｫｸｼｰ ZS 煌</t>
    <rPh sb="10" eb="11">
      <t>キラメ</t>
    </rPh>
    <phoneticPr fontId="13"/>
  </si>
  <si>
    <t>ZRR80-0237325</t>
    <phoneticPr fontId="13"/>
  </si>
  <si>
    <t>ｶﾑﾘ WS ﾚｻﾞｰﾊﾟｯｹｰｼﾞ</t>
    <phoneticPr fontId="13"/>
  </si>
  <si>
    <t>AXVH70-1038237</t>
    <phoneticPr fontId="13"/>
  </si>
  <si>
    <t>MXPK11-2072583</t>
    <phoneticPr fontId="13"/>
  </si>
  <si>
    <t>MR92S-452609</t>
    <phoneticPr fontId="13"/>
  </si>
  <si>
    <t>WMWXY320602N65165</t>
    <phoneticPr fontId="13"/>
  </si>
  <si>
    <t>ﾎﾞﾙﾎﾞ V60 T5 ﾓﾒﾝﾀﾑ</t>
    <phoneticPr fontId="13"/>
  </si>
  <si>
    <t>YV1ZW10MDK1006909</t>
    <phoneticPr fontId="13"/>
  </si>
  <si>
    <t>ﾊｽﾗｰ J ｽﾀｲﾙ2</t>
    <phoneticPr fontId="13"/>
  </si>
  <si>
    <t>MR41S-200956</t>
    <phoneticPr fontId="13"/>
  </si>
  <si>
    <t>ANH20-8301813</t>
    <phoneticPr fontId="13"/>
  </si>
  <si>
    <t>M700S-0177592</t>
    <phoneticPr fontId="13"/>
  </si>
  <si>
    <t>MK42S-205988</t>
    <phoneticPr fontId="13"/>
  </si>
  <si>
    <t>HE33S-306311</t>
    <phoneticPr fontId="13"/>
  </si>
  <si>
    <t>27-4551</t>
  </si>
  <si>
    <t>ﾌﾚｱ ﾊｲﾌﾞﾘｯﾄﾞXG</t>
    <phoneticPr fontId="13"/>
  </si>
  <si>
    <t>MJ95S-109346</t>
    <phoneticPr fontId="13"/>
  </si>
  <si>
    <t>MH34S-411386</t>
    <phoneticPr fontId="13"/>
  </si>
  <si>
    <t>27-4552</t>
  </si>
  <si>
    <t>27-4553</t>
  </si>
  <si>
    <t>27-4554</t>
  </si>
  <si>
    <t>27-4555</t>
  </si>
  <si>
    <t>27-4556</t>
  </si>
  <si>
    <t>27-4557</t>
  </si>
  <si>
    <t>27-4558</t>
  </si>
  <si>
    <t>27-4559</t>
  </si>
  <si>
    <t>27-4560</t>
  </si>
  <si>
    <t>27-4561</t>
  </si>
  <si>
    <t>27-4562</t>
  </si>
  <si>
    <t>27-4563</t>
  </si>
  <si>
    <t>27-4564</t>
  </si>
  <si>
    <t>27-4565</t>
  </si>
  <si>
    <t>27-4566</t>
  </si>
  <si>
    <t>27-4567</t>
  </si>
  <si>
    <t>27-4568</t>
  </si>
  <si>
    <t>27-4569</t>
  </si>
  <si>
    <t>27-4570</t>
  </si>
  <si>
    <t>27-4571</t>
  </si>
  <si>
    <t>27-4572</t>
  </si>
  <si>
    <t>27-4573</t>
  </si>
  <si>
    <t>MN71S-147937</t>
    <phoneticPr fontId="13"/>
  </si>
  <si>
    <t>ﾌﾟﾘｳｽ Aﾂｰﾘﾝｸﾞｾﾚｸｼｮﾝ</t>
    <phoneticPr fontId="13"/>
  </si>
  <si>
    <t>ZVW51-6028891</t>
    <phoneticPr fontId="13"/>
  </si>
  <si>
    <t>MR41S-287259</t>
    <phoneticPr fontId="13"/>
  </si>
  <si>
    <t>ﾀﾝﾄ LﾘﾐﾃｯﾄﾞSA3</t>
    <phoneticPr fontId="13"/>
  </si>
  <si>
    <t>LA610S-0140387</t>
    <phoneticPr fontId="13"/>
  </si>
  <si>
    <t>DA17W-129731</t>
    <phoneticPr fontId="13"/>
  </si>
  <si>
    <t>HE33S-106121</t>
    <phoneticPr fontId="13"/>
  </si>
  <si>
    <t>MR31S-202348</t>
    <phoneticPr fontId="13"/>
  </si>
  <si>
    <t>LA900S-0143089</t>
    <phoneticPr fontId="13"/>
  </si>
  <si>
    <t>MR41S-319208</t>
    <phoneticPr fontId="13"/>
  </si>
  <si>
    <t>LA650S-0130565</t>
    <phoneticPr fontId="13"/>
  </si>
  <si>
    <t>ﾜｺﾞﾝRｽﾃｨﾝｸﾞﾚｰ ﾊｲﾌﾞﾘｯﾄﾞT</t>
    <phoneticPr fontId="13"/>
  </si>
  <si>
    <t>MH55S-909503</t>
    <phoneticPr fontId="13"/>
  </si>
  <si>
    <t>JF1-1914950</t>
    <phoneticPr fontId="13"/>
  </si>
  <si>
    <t>MR41S-380000</t>
    <phoneticPr fontId="13"/>
  </si>
  <si>
    <t>MK53S-486272</t>
    <phoneticPr fontId="13"/>
  </si>
  <si>
    <t>LA800S-0046750</t>
    <phoneticPr fontId="13"/>
  </si>
  <si>
    <t>ﾙﾉｰ ｶﾝｸﾞｰ ｸﾙｰﾙ</t>
    <phoneticPr fontId="13"/>
  </si>
  <si>
    <t>BMW 3ｼﾘｰｽﾞ 318 Iｸﾗｼｯｸ</t>
    <phoneticPr fontId="13"/>
  </si>
  <si>
    <t>ZFABF13H9MJF16401</t>
    <phoneticPr fontId="13"/>
  </si>
  <si>
    <t>岡山 330 ろ 332</t>
    <rPh sb="0" eb="2">
      <t>オカヤマ</t>
    </rPh>
    <phoneticPr fontId="13"/>
  </si>
  <si>
    <t>ｴﾌﾞﾘｨW PZﾀｰﾎﾞ</t>
    <phoneticPr fontId="13"/>
  </si>
  <si>
    <t>名古屋 583 や 1817</t>
    <rPh sb="0" eb="3">
      <t>ナゴヤ</t>
    </rPh>
    <phoneticPr fontId="13"/>
  </si>
  <si>
    <t>10/2/23</t>
    <phoneticPr fontId="13"/>
  </si>
  <si>
    <t>岡崎 583 あ 3195</t>
    <rPh sb="0" eb="2">
      <t>オカザキ</t>
    </rPh>
    <phoneticPr fontId="13"/>
  </si>
  <si>
    <t>ﾊｲｾﾞｯﾄT ｴｸｽﾄﾗ</t>
    <phoneticPr fontId="13"/>
  </si>
  <si>
    <t xml:space="preserve">ﾑｰｳﾞｷｬﾝﾊﾞｽ Gﾒｲｸｱｯﾌﾟ </t>
    <phoneticPr fontId="13"/>
  </si>
  <si>
    <t>福井 353 ち 15</t>
    <rPh sb="0" eb="2">
      <t>フクイ</t>
    </rPh>
    <phoneticPr fontId="13"/>
  </si>
  <si>
    <t>ﾚｸｻｽIS 300h ﾊﾞｰｼﾞｮﾝL</t>
    <phoneticPr fontId="13"/>
  </si>
  <si>
    <t>尾張小牧 374 さ 88</t>
    <rPh sb="0" eb="4">
      <t>オワリコマキ</t>
    </rPh>
    <phoneticPr fontId="13"/>
  </si>
  <si>
    <t>ｱｸｱ　G ﾌﾞﾗｯｸｿﾌﾄﾚｻﾞｰｾﾚｸｼｮﾝ</t>
    <phoneticPr fontId="13"/>
  </si>
  <si>
    <t>ﾗﾝﾄﾞｸﾙｰｻﾞｰ200 ZX</t>
    <phoneticPr fontId="13"/>
  </si>
  <si>
    <t>9/7/21</t>
    <phoneticPr fontId="13"/>
  </si>
  <si>
    <t>大阪 346 ふ 103</t>
    <rPh sb="0" eb="2">
      <t>オオサカ</t>
    </rPh>
    <phoneticPr fontId="13"/>
  </si>
  <si>
    <t>大阪 480 め 8610</t>
    <rPh sb="0" eb="2">
      <t>オオサカ</t>
    </rPh>
    <phoneticPr fontId="13"/>
  </si>
  <si>
    <t>ﾜｺﾞﾝR　 FX</t>
    <phoneticPr fontId="13"/>
  </si>
  <si>
    <t>ﾜｺﾞﾝR FX-E</t>
    <phoneticPr fontId="13"/>
  </si>
  <si>
    <t>ﾀﾝﾄﾌｧﾝｸﾛｽ ﾀｰﾎﾞ</t>
    <phoneticPr fontId="13"/>
  </si>
  <si>
    <t>和泉 590 ほ 16</t>
    <rPh sb="0" eb="2">
      <t>イズミ</t>
    </rPh>
    <phoneticPr fontId="13"/>
  </si>
  <si>
    <t>ﾄｰﾙ G</t>
    <phoneticPr fontId="13"/>
  </si>
  <si>
    <t>ﾉｰﾄ X FOUR</t>
    <phoneticPr fontId="13"/>
  </si>
  <si>
    <t>なにわ 302 た 4065</t>
    <phoneticPr fontId="13"/>
  </si>
  <si>
    <t>なにわ 331 ひ 9898</t>
    <phoneticPr fontId="13"/>
  </si>
  <si>
    <t>ﾌﾟﾛﾎﾞｯｸｽﾊﾞﾝ GL</t>
    <phoneticPr fontId="13"/>
  </si>
  <si>
    <t>AGH30-0381019</t>
    <phoneticPr fontId="13"/>
  </si>
  <si>
    <t>ｸﾗｳﾝｴｽﾃｰﾄ ﾊｲﾌﾞﾘｯﾄﾞZ</t>
    <phoneticPr fontId="13"/>
  </si>
  <si>
    <t>AZSH38-4010283</t>
    <phoneticPr fontId="13"/>
  </si>
  <si>
    <t xml:space="preserve"> ｳﾞｪｾﾞﾙ e HEV Z</t>
    <phoneticPr fontId="13"/>
  </si>
  <si>
    <t>RV5-1051143</t>
    <phoneticPr fontId="13"/>
  </si>
  <si>
    <t>BMW X3 M40d</t>
    <phoneticPr fontId="13"/>
  </si>
  <si>
    <t>WBATX920109B26728</t>
    <phoneticPr fontId="13"/>
  </si>
  <si>
    <t>ﾐﾗｲｰｽ GﾘﾐﾃｯﾄﾞSA3</t>
    <phoneticPr fontId="13"/>
  </si>
  <si>
    <t>名古屋 583 さ 3608</t>
    <rPh sb="0" eb="3">
      <t>ナゴヤ</t>
    </rPh>
    <phoneticPr fontId="13"/>
  </si>
  <si>
    <t>名古屋 583 け 2346</t>
    <rPh sb="0" eb="3">
      <t>ナゴヤ</t>
    </rPh>
    <phoneticPr fontId="13"/>
  </si>
  <si>
    <t>ｱﾙﾄﾗﾊﾟﾝ 10thｱﾆﾊﾞｰｻﾘｰ</t>
    <phoneticPr fontId="13"/>
  </si>
  <si>
    <t>ﾋﾟｸｼｽ ｴﾎﾟｯｸ X SA3</t>
    <phoneticPr fontId="13"/>
  </si>
  <si>
    <t>ﾚｼﾞｱﾝｽｴｰｽﾊﾞﾝ DX</t>
    <phoneticPr fontId="13"/>
  </si>
  <si>
    <t>TRH200K-0190987</t>
    <phoneticPr fontId="13"/>
  </si>
  <si>
    <t>非課税問い合わせ</t>
    <rPh sb="0" eb="3">
      <t>ヒカゼイ</t>
    </rPh>
    <rPh sb="3" eb="4">
      <t>ト</t>
    </rPh>
    <rPh sb="5" eb="6">
      <t>ア</t>
    </rPh>
    <phoneticPr fontId="13"/>
  </si>
  <si>
    <t>ﾃﾞｲｽ ﾊｲｳｪｲｽﾀｰX</t>
    <phoneticPr fontId="13"/>
  </si>
  <si>
    <t>豊橋 583 あ 3430</t>
    <rPh sb="0" eb="2">
      <t>トヨハシ</t>
    </rPh>
    <phoneticPr fontId="13"/>
  </si>
  <si>
    <t>ﾉｰﾄ X</t>
    <phoneticPr fontId="13"/>
  </si>
  <si>
    <t>9/7/7</t>
    <phoneticPr fontId="13"/>
  </si>
  <si>
    <t>9/11/28</t>
    <phoneticPr fontId="13"/>
  </si>
  <si>
    <t>WMW42BT0903P38670</t>
    <phoneticPr fontId="13"/>
  </si>
  <si>
    <t>倉敷 348 り 1010</t>
    <rPh sb="0" eb="2">
      <t>クラシキ</t>
    </rPh>
    <phoneticPr fontId="13"/>
  </si>
  <si>
    <t>ｼﾞｰﾌﾟ ｺﾝﾊﾟｽ ｸﾗｲｽﾗｰ ﾘﾐﾃｯﾄﾞ</t>
    <phoneticPr fontId="13"/>
  </si>
  <si>
    <t>MCANJRCB9PFB05209</t>
    <phoneticPr fontId="13"/>
  </si>
  <si>
    <t>京都 302 す 1811</t>
    <rPh sb="0" eb="2">
      <t>キョウト</t>
    </rPh>
    <phoneticPr fontId="13"/>
  </si>
  <si>
    <t>ZFA3120000JC57192</t>
    <phoneticPr fontId="13"/>
  </si>
  <si>
    <t>和泉 502 の 6432</t>
    <rPh sb="0" eb="2">
      <t>イズミ</t>
    </rPh>
    <phoneticPr fontId="13"/>
  </si>
  <si>
    <t>VF1KW14B3K0801785</t>
    <phoneticPr fontId="13"/>
  </si>
  <si>
    <t>神戸 331 さ 9333</t>
    <rPh sb="0" eb="2">
      <t>コウベ</t>
    </rPh>
    <phoneticPr fontId="13"/>
  </si>
  <si>
    <t>ﾎﾞﾙﾎﾞ V60 B4 ﾓﾒﾝﾀﾑ</t>
    <phoneticPr fontId="13"/>
  </si>
  <si>
    <t>和歌山 330 や 2217</t>
    <rPh sb="0" eb="3">
      <t>ワカヤマ</t>
    </rPh>
    <phoneticPr fontId="13"/>
  </si>
  <si>
    <t>VW ｱﾙﾃｵﾝ TSI ｴﾚｶﾞﾝｽ</t>
    <phoneticPr fontId="13"/>
  </si>
  <si>
    <t>WVWZZZ3HZME010393</t>
    <phoneticPr fontId="13"/>
  </si>
  <si>
    <t>神戸 304 ら 7185</t>
    <rPh sb="0" eb="2">
      <t>コウベ</t>
    </rPh>
    <phoneticPr fontId="13"/>
  </si>
  <si>
    <t>高松 580 く 6678</t>
    <rPh sb="0" eb="2">
      <t>タカマツ</t>
    </rPh>
    <phoneticPr fontId="13"/>
  </si>
  <si>
    <t>和泉 581 ね 1173</t>
    <rPh sb="0" eb="2">
      <t>イズミ</t>
    </rPh>
    <phoneticPr fontId="13"/>
  </si>
  <si>
    <t>岡山 581 そ 8694</t>
    <rPh sb="0" eb="2">
      <t>オカヤマ</t>
    </rPh>
    <phoneticPr fontId="13"/>
  </si>
  <si>
    <t>京都 588 ね 1027</t>
    <rPh sb="0" eb="2">
      <t>キョウト</t>
    </rPh>
    <phoneticPr fontId="13"/>
  </si>
  <si>
    <t>大阪 582 ち 5566</t>
    <rPh sb="0" eb="2">
      <t>オオサカ</t>
    </rPh>
    <phoneticPr fontId="13"/>
  </si>
  <si>
    <t>徳島 331 て 2030</t>
    <rPh sb="0" eb="2">
      <t>トクシマ</t>
    </rPh>
    <phoneticPr fontId="13"/>
  </si>
  <si>
    <t>301 の 1223</t>
    <phoneticPr fontId="13"/>
  </si>
  <si>
    <t>301 の 1224</t>
    <phoneticPr fontId="13"/>
  </si>
  <si>
    <t>301 の 1225</t>
    <phoneticPr fontId="13"/>
  </si>
  <si>
    <t>301 の 1226</t>
    <phoneticPr fontId="13"/>
  </si>
  <si>
    <t>301 の 1227</t>
    <phoneticPr fontId="13"/>
  </si>
  <si>
    <t>301 の 1228</t>
    <phoneticPr fontId="13"/>
  </si>
  <si>
    <t>301 の 1229</t>
    <phoneticPr fontId="13"/>
  </si>
  <si>
    <t>BMWﾐﾆ ｸﾗﾌﾞﾏﾝ ｸｰﾊﾟｰ</t>
    <phoneticPr fontId="13"/>
  </si>
  <si>
    <t>YV1FWA8RDH1329123</t>
    <phoneticPr fontId="13"/>
  </si>
  <si>
    <t>ﾌﾟｼﾞｮｰ GT ﾄﾞﾗｲﾌﾞｴﾃﾞｨｼｮﾝ</t>
    <phoneticPr fontId="13"/>
  </si>
  <si>
    <t>VR3USHNSSMJ710383</t>
    <phoneticPr fontId="13"/>
  </si>
  <si>
    <t>ﾒﾙｾﾃﾞｽﾍﾞﾝﾂ GLAｸﾗｽ 200d</t>
    <phoneticPr fontId="13"/>
  </si>
  <si>
    <t>W1N2477132J276965</t>
    <phoneticPr fontId="13"/>
  </si>
  <si>
    <t>BMW 6ｼﾘｰｽﾞ ｸﾞﾗﾝｸｰﾍﾟ650i</t>
    <phoneticPr fontId="13"/>
  </si>
  <si>
    <t>WBA6B22010D289523</t>
    <phoneticPr fontId="13"/>
  </si>
  <si>
    <t>BMW3ｼﾘｰｽﾞ ﾂｰﾘﾝｸﾞ320d xdrive</t>
    <phoneticPr fontId="13"/>
  </si>
  <si>
    <t>WBA6L72060F24183</t>
    <phoneticPr fontId="13"/>
  </si>
  <si>
    <t>ｱｳﾃﾞｨS5 ｽﾎﾟｰﾂﾊﾞｯｸ</t>
    <phoneticPr fontId="13"/>
  </si>
  <si>
    <t>WAUZZZ8T5GA006006</t>
    <phoneticPr fontId="13"/>
  </si>
  <si>
    <t>大阪 355 や 1025</t>
    <rPh sb="0" eb="2">
      <t>オオサカ</t>
    </rPh>
    <phoneticPr fontId="13"/>
  </si>
  <si>
    <t>充電ｹｰﾌﾞﾙ 保証書 取説</t>
    <rPh sb="0" eb="2">
      <t>ジュウデン</t>
    </rPh>
    <rPh sb="8" eb="11">
      <t>ホショウショ</t>
    </rPh>
    <rPh sb="12" eb="14">
      <t>トリセツ</t>
    </rPh>
    <phoneticPr fontId="13"/>
  </si>
  <si>
    <r>
      <t xml:space="preserve">取説 ｷｰﾚｽ 記録 </t>
    </r>
    <r>
      <rPr>
        <sz val="11"/>
        <color rgb="FFFF0000"/>
        <rFont val="ＭＳ Ｐゴシック"/>
        <family val="3"/>
        <charset val="128"/>
        <scheme val="minor"/>
      </rPr>
      <t>保証書未着問い合わせ中</t>
    </r>
    <rPh sb="0" eb="2">
      <t>トリセツ</t>
    </rPh>
    <rPh sb="8" eb="10">
      <t>キロク</t>
    </rPh>
    <rPh sb="11" eb="14">
      <t>ホショウショ</t>
    </rPh>
    <rPh sb="14" eb="16">
      <t>ミチャク</t>
    </rPh>
    <rPh sb="16" eb="17">
      <t>ト</t>
    </rPh>
    <rPh sb="18" eb="19">
      <t>ア</t>
    </rPh>
    <rPh sb="21" eb="22">
      <t>チュウ</t>
    </rPh>
    <phoneticPr fontId="13"/>
  </si>
  <si>
    <t>A342658</t>
    <phoneticPr fontId="13"/>
  </si>
  <si>
    <t>A400755</t>
    <phoneticPr fontId="13"/>
  </si>
  <si>
    <t>A402142</t>
    <phoneticPr fontId="13"/>
  </si>
  <si>
    <t>ｳﾞｪｾﾞﾙ e HEV Z</t>
    <phoneticPr fontId="13"/>
  </si>
  <si>
    <t>RV5-1021405</t>
    <phoneticPr fontId="13"/>
  </si>
  <si>
    <t>ｷｬﾝｾﾙ返送5/19</t>
    <rPh sb="5" eb="7">
      <t>ヘンソウ</t>
    </rPh>
    <phoneticPr fontId="13"/>
  </si>
  <si>
    <t>ｼﾞｬｶﾞｰI ﾍﾟｲｽ HSE</t>
    <phoneticPr fontId="13"/>
  </si>
  <si>
    <t>SADHA2A12K1F76311</t>
    <phoneticPr fontId="13"/>
  </si>
  <si>
    <t>MN71S-147369</t>
    <phoneticPr fontId="13"/>
  </si>
  <si>
    <t>A402960</t>
    <phoneticPr fontId="13"/>
  </si>
  <si>
    <t>JF3-1492978</t>
    <phoneticPr fontId="13"/>
  </si>
  <si>
    <t>27-4574</t>
  </si>
  <si>
    <t>27-4575</t>
  </si>
  <si>
    <t>27-4576</t>
  </si>
  <si>
    <t>27-4577</t>
  </si>
  <si>
    <t>27-4578</t>
  </si>
  <si>
    <t>27-4579</t>
  </si>
  <si>
    <t>27-4580</t>
  </si>
  <si>
    <t>27-4581</t>
  </si>
  <si>
    <t>27-4582</t>
  </si>
  <si>
    <t>27-4583</t>
  </si>
  <si>
    <t>27-4584</t>
  </si>
  <si>
    <t>ZC7-1000992</t>
    <phoneticPr fontId="13"/>
  </si>
  <si>
    <t>尾張小牧 302 ゆ 5712</t>
    <rPh sb="0" eb="4">
      <t>オワリコマキ</t>
    </rPh>
    <phoneticPr fontId="13"/>
  </si>
  <si>
    <t>南 俊成</t>
    <rPh sb="0" eb="1">
      <t>ミナミ</t>
    </rPh>
    <rPh sb="2" eb="3">
      <t>シュン</t>
    </rPh>
    <rPh sb="3" eb="4">
      <t>ナリ</t>
    </rPh>
    <phoneticPr fontId="13"/>
  </si>
  <si>
    <t>なにわ 39A ら 216</t>
    <phoneticPr fontId="13"/>
  </si>
  <si>
    <t>WAUZZZ8T3EA032973</t>
    <phoneticPr fontId="13"/>
  </si>
  <si>
    <t>広島 321 る 555</t>
    <rPh sb="0" eb="2">
      <t>ヒロシマ</t>
    </rPh>
    <phoneticPr fontId="13"/>
  </si>
  <si>
    <t>なにわ 5X1 ろ 8289</t>
    <phoneticPr fontId="13"/>
  </si>
  <si>
    <t>保証書(手帳なしOK)取説 ｷｰﾚｽ</t>
    <rPh sb="0" eb="3">
      <t>ホショウショ</t>
    </rPh>
    <rPh sb="4" eb="6">
      <t>テチョウ</t>
    </rPh>
    <rPh sb="11" eb="13">
      <t>トリセツ</t>
    </rPh>
    <phoneticPr fontId="13"/>
  </si>
  <si>
    <t>株式会社ﾎﾝﾀﾞｶｰｽﾞ北九州</t>
    <rPh sb="0" eb="4">
      <t>カブシキガイシャ</t>
    </rPh>
    <rPh sb="12" eb="15">
      <t>キタキュウシュウ</t>
    </rPh>
    <phoneticPr fontId="13"/>
  </si>
  <si>
    <t>なにわ 5X1 ろ 8685</t>
    <phoneticPr fontId="13"/>
  </si>
  <si>
    <t>名古屋 781 ろ 2031</t>
    <rPh sb="0" eb="3">
      <t>ナゴヤ</t>
    </rPh>
    <phoneticPr fontId="13"/>
  </si>
  <si>
    <t>ｽﾊﾞﾙ東海株式会社</t>
    <rPh sb="4" eb="6">
      <t>トウカイ</t>
    </rPh>
    <rPh sb="6" eb="10">
      <t>カブシキガイシャ</t>
    </rPh>
    <phoneticPr fontId="13"/>
  </si>
  <si>
    <t>山口 581 ぬ 6988</t>
    <rPh sb="0" eb="2">
      <t>ヤマグチ</t>
    </rPh>
    <phoneticPr fontId="13"/>
  </si>
  <si>
    <t>なにわ 39A ゆ 1408</t>
    <phoneticPr fontId="13"/>
  </si>
  <si>
    <t>取説 ﾅﾋﾞ取 ﾏｲｸﾛ地図SD</t>
    <rPh sb="0" eb="2">
      <t>トリセツ</t>
    </rPh>
    <rPh sb="6" eb="7">
      <t>トリ</t>
    </rPh>
    <rPh sb="12" eb="14">
      <t>チズ</t>
    </rPh>
    <phoneticPr fontId="13"/>
  </si>
  <si>
    <t>福井 580 も 3571</t>
    <rPh sb="0" eb="2">
      <t>フクイ</t>
    </rPh>
    <phoneticPr fontId="13"/>
  </si>
  <si>
    <t>地図SD(車内) 取説 ﾅﾋﾞ取</t>
    <rPh sb="0" eb="2">
      <t>チズ</t>
    </rPh>
    <rPh sb="9" eb="11">
      <t>トリセツ</t>
    </rPh>
    <rPh sb="15" eb="16">
      <t>トリ</t>
    </rPh>
    <phoneticPr fontId="13"/>
  </si>
  <si>
    <t>名古屋 537 ほ 216</t>
    <rPh sb="0" eb="3">
      <t>ナゴヤ</t>
    </rPh>
    <phoneticPr fontId="13"/>
  </si>
  <si>
    <t>品川 39A や 3055</t>
    <rPh sb="0" eb="2">
      <t>シナガワ</t>
    </rPh>
    <phoneticPr fontId="13"/>
  </si>
  <si>
    <t>馬場 幹也</t>
    <rPh sb="0" eb="2">
      <t>ババ</t>
    </rPh>
    <rPh sb="3" eb="5">
      <t>ミキヤ</t>
    </rPh>
    <phoneticPr fontId="13"/>
  </si>
  <si>
    <t xml:space="preserve">保証書 取説 ﾅﾋﾞ取 ｽﾏｰﾄｷｰ ｶｰﾄﾞｷｰ </t>
    <phoneticPr fontId="13"/>
  </si>
  <si>
    <t>名古屋 331 す 5331</t>
    <rPh sb="0" eb="3">
      <t>ナゴヤ</t>
    </rPh>
    <phoneticPr fontId="13"/>
  </si>
  <si>
    <t>山本 光明</t>
    <rPh sb="0" eb="2">
      <t>ヤマモト</t>
    </rPh>
    <rPh sb="3" eb="4">
      <t>ヒカリ</t>
    </rPh>
    <rPh sb="4" eb="5">
      <t>メイ</t>
    </rPh>
    <phoneticPr fontId="13"/>
  </si>
  <si>
    <t>保証書 取説 ﾅﾋﾞ取 ｷｰﾚｽ ﾜﾝｵｰﾅｰ</t>
    <rPh sb="10" eb="11">
      <t>トリ</t>
    </rPh>
    <phoneticPr fontId="13"/>
  </si>
  <si>
    <t>藤井 雄大</t>
    <rPh sb="0" eb="2">
      <t>フジイ</t>
    </rPh>
    <rPh sb="3" eb="5">
      <t>ユウダイ</t>
    </rPh>
    <phoneticPr fontId="13"/>
  </si>
  <si>
    <t>27-4585</t>
  </si>
  <si>
    <t>A401028</t>
    <phoneticPr fontId="13"/>
  </si>
  <si>
    <t>ﾗﾝﾄﾞｸﾙｰｻﾞｰ250VX</t>
    <phoneticPr fontId="13"/>
  </si>
  <si>
    <t>TRJ250-0015910</t>
    <phoneticPr fontId="13"/>
  </si>
  <si>
    <t>高知 306 の 1000</t>
    <rPh sb="0" eb="2">
      <t>コウチ</t>
    </rPh>
    <phoneticPr fontId="13"/>
  </si>
  <si>
    <t>株式会社外車ｾﾝﾀｰ</t>
    <rPh sb="0" eb="4">
      <t>カブシキガイシャ</t>
    </rPh>
    <rPh sb="4" eb="6">
      <t>ガイシャ</t>
    </rPh>
    <phoneticPr fontId="13"/>
  </si>
  <si>
    <t>27-4586</t>
  </si>
  <si>
    <t>27-4587</t>
  </si>
  <si>
    <t>27-4588</t>
  </si>
  <si>
    <t>27-4589</t>
  </si>
  <si>
    <t>27-4590</t>
  </si>
  <si>
    <t>27-4591</t>
  </si>
  <si>
    <t>27-4592</t>
  </si>
  <si>
    <t>27-4593</t>
  </si>
  <si>
    <t>27-4594</t>
  </si>
  <si>
    <t>27-4595</t>
  </si>
  <si>
    <t>27-4596</t>
  </si>
  <si>
    <t>27-4597</t>
  </si>
  <si>
    <t>27-4598</t>
  </si>
  <si>
    <t>27-4599</t>
  </si>
  <si>
    <t>27-4600</t>
  </si>
  <si>
    <t>27-4601</t>
  </si>
  <si>
    <t>27-4602</t>
  </si>
  <si>
    <t>27-4603</t>
  </si>
  <si>
    <t>27-4604</t>
  </si>
  <si>
    <t>27-4605</t>
  </si>
  <si>
    <t>27-4606</t>
  </si>
  <si>
    <t>27-4607</t>
  </si>
  <si>
    <t>27-4608</t>
  </si>
  <si>
    <t>27-4609</t>
  </si>
  <si>
    <t>27-4610</t>
  </si>
  <si>
    <t>ｼﾞｬｶﾞｰXE　S　P250</t>
    <phoneticPr fontId="13"/>
  </si>
  <si>
    <t>LA350S-0343047</t>
    <phoneticPr fontId="13"/>
  </si>
  <si>
    <t>MR41S-368682</t>
    <phoneticPr fontId="13"/>
  </si>
  <si>
    <t>DA17V-624727</t>
    <phoneticPr fontId="13"/>
  </si>
  <si>
    <t>DA17W-265821</t>
    <phoneticPr fontId="13"/>
  </si>
  <si>
    <t>LA650S-0134929</t>
    <phoneticPr fontId="13"/>
  </si>
  <si>
    <t>DA17V-670250</t>
    <phoneticPr fontId="13"/>
  </si>
  <si>
    <t>MK53S-990731</t>
    <phoneticPr fontId="13"/>
  </si>
  <si>
    <t>MH35S-102343</t>
    <phoneticPr fontId="13"/>
  </si>
  <si>
    <t>ｱﾙﾌｧﾛﾒｵ　ｼﾞｭﾘｴｯﾀ　ｳﾞｪﾛｰﾁｪ</t>
    <phoneticPr fontId="13"/>
  </si>
  <si>
    <t>LA350S-0255258</t>
    <phoneticPr fontId="13"/>
  </si>
  <si>
    <t>ﾌﾟﾘｳｽ　Sｾｰﾌﾃｨﾌﾟﾗｽ</t>
    <phoneticPr fontId="13"/>
  </si>
  <si>
    <t>ZVW50-6083462</t>
    <phoneticPr fontId="13"/>
  </si>
  <si>
    <t>ｷｬｽﾄ　ｽﾀｲﾙG　ﾀｰﾎﾞVS　SaⅢ</t>
    <phoneticPr fontId="13"/>
  </si>
  <si>
    <t>LA250S-0210237</t>
    <phoneticPr fontId="13"/>
  </si>
  <si>
    <t>ﾑｰｳﾞｷｬﾝﾊﾞｽ　Xﾒｲｸｱｯﾌﾟﾘﾐﾃｯﾄﾞ</t>
    <phoneticPr fontId="13"/>
  </si>
  <si>
    <t>LA800S-0207784</t>
    <phoneticPr fontId="13"/>
  </si>
  <si>
    <t>ﾑｰｳﾞｷｬﾝﾊﾞｽ　GﾎﾜｲﾄｱｸｾﾝﾄVS</t>
    <phoneticPr fontId="13"/>
  </si>
  <si>
    <t>LA800S-0249385</t>
    <phoneticPr fontId="13"/>
  </si>
  <si>
    <t>ZVW40-0023857</t>
    <phoneticPr fontId="13"/>
  </si>
  <si>
    <t>ｱﾙﾄﾗﾊﾟﾝ 　L</t>
    <phoneticPr fontId="13"/>
  </si>
  <si>
    <t>HE33S-423841</t>
    <phoneticPr fontId="13"/>
  </si>
  <si>
    <t>BMWﾐﾆｸｰﾊﾟｰ　ｸﾗｼｯｸﾄﾘﾑ</t>
    <phoneticPr fontId="13"/>
  </si>
  <si>
    <t>27-4611</t>
  </si>
  <si>
    <t>27-4612</t>
  </si>
  <si>
    <t>27-4613</t>
  </si>
  <si>
    <t>27-4614</t>
  </si>
  <si>
    <t>27-4615</t>
  </si>
  <si>
    <t>LA350S-0261992</t>
    <phoneticPr fontId="13"/>
  </si>
  <si>
    <t>ﾌﾟﾛﾎﾞｯｸｽﾊﾞﾝ 　GL</t>
    <phoneticPr fontId="13"/>
  </si>
  <si>
    <t>NCP160-0154210</t>
    <phoneticPr fontId="13"/>
  </si>
  <si>
    <t>LA800S-0222984</t>
    <phoneticPr fontId="13"/>
  </si>
  <si>
    <t>ﾙｰｸｽﾊｲｳｪｲｽﾀｰ　Gﾀｰﾎﾞ</t>
    <phoneticPr fontId="13"/>
  </si>
  <si>
    <t>B45A-0320572</t>
    <phoneticPr fontId="13"/>
  </si>
  <si>
    <t>ﾙｰｸｽ　X</t>
    <phoneticPr fontId="13"/>
  </si>
  <si>
    <t>B44A-0070822</t>
    <phoneticPr fontId="13"/>
  </si>
  <si>
    <t>HA37S-102386</t>
    <phoneticPr fontId="13"/>
  </si>
  <si>
    <t>JF4-1108399</t>
    <phoneticPr fontId="13"/>
  </si>
  <si>
    <t>SAJAB4AX1MC68237</t>
    <phoneticPr fontId="13"/>
  </si>
  <si>
    <t>山梨　332　た　7775</t>
    <rPh sb="0" eb="2">
      <t>ヤマナシ</t>
    </rPh>
    <phoneticPr fontId="13"/>
  </si>
  <si>
    <t>大阪　583　に　2318</t>
    <rPh sb="0" eb="2">
      <t>オオサカ</t>
    </rPh>
    <phoneticPr fontId="13"/>
  </si>
  <si>
    <t>なにわ　480　わ　3259</t>
    <phoneticPr fontId="13"/>
  </si>
  <si>
    <t>ZAR94000007442520</t>
    <phoneticPr fontId="13"/>
  </si>
  <si>
    <t>WMWXR52000TE33587</t>
    <phoneticPr fontId="13"/>
  </si>
  <si>
    <t>大阪　304　ち　347</t>
    <rPh sb="0" eb="2">
      <t>オオサカ</t>
    </rPh>
    <phoneticPr fontId="13"/>
  </si>
  <si>
    <t>ﾌﾞﾛﾝﾄﾞM</t>
    <phoneticPr fontId="13"/>
  </si>
  <si>
    <t>VF1KW14B3L0818693</t>
    <phoneticPr fontId="13"/>
  </si>
  <si>
    <t>WDD2462422J455169</t>
    <phoneticPr fontId="13"/>
  </si>
  <si>
    <t>WMWYT920903D51144</t>
    <phoneticPr fontId="13"/>
  </si>
  <si>
    <t>WMW42BT0003N21380</t>
    <phoneticPr fontId="13"/>
  </si>
  <si>
    <t>WMW32DK0502U13707</t>
    <phoneticPr fontId="13"/>
  </si>
  <si>
    <t>取説 保証書 ｷｰﾚｽ ﾜﾝｵｰﾅｰ ﾕｰｻﾞｰ</t>
  </si>
  <si>
    <t>保証書 取説 ﾜﾝｵｰﾅｰ ﾕｰｻﾞｰ</t>
  </si>
  <si>
    <t>保証書 取説 ﾅﾋﾞﾛﾑ B-CAS ｽﾍﾟｱｷｰ</t>
  </si>
  <si>
    <t>SD ﾐﾆB-CAS</t>
  </si>
  <si>
    <t>保証書 ﾜﾝｵｰﾅｰ  点検記録30/7、R1/7、R2/7</t>
  </si>
  <si>
    <t>保証書 取説 記録</t>
  </si>
  <si>
    <t>保証書 ｽﾍﾟｱｷｰ</t>
  </si>
  <si>
    <t>保証書 取説 Sｷｰ</t>
  </si>
  <si>
    <t>手帳 取説  ﾜﾝｵｰﾅｰ</t>
  </si>
  <si>
    <t>保証書 取説 ｽﾍﾟｱｷｰ？  ﾜﾝｵｰﾅｰ</t>
  </si>
  <si>
    <t>取説 ｽﾍﾟｱｷｰ</t>
  </si>
  <si>
    <t xml:space="preserve">保証書 取説 </t>
  </si>
  <si>
    <t xml:space="preserve">保証書 取説 ｽﾍﾟｱｷｰ    </t>
  </si>
  <si>
    <t>保証書 手帳 取説 ｽﾍﾟｱｷｰ ﾜﾝｵｰﾅｰ</t>
  </si>
  <si>
    <t>保証書 手帳 取説   名変期限1/24まで</t>
  </si>
  <si>
    <t>保証書 手帳 ﾜﾝｵｰﾅｰ</t>
  </si>
  <si>
    <t>保証書 取説 ﾅﾋﾞSD ﾜﾝｵｰﾅｰ</t>
  </si>
  <si>
    <t>手帳 取説</t>
  </si>
  <si>
    <t>保証書 Sｷｰ</t>
  </si>
  <si>
    <t>保証書     名変期限3/22まで</t>
  </si>
  <si>
    <t>保証書 取説 手帳 ｽﾍﾟｱｷｰ</t>
  </si>
  <si>
    <t>保証書 取説 ｽﾍﾟｱｷｰ 記録（29/6.30/6.1/6.2/6.3/6） ﾜﾝｵｰﾅｰ</t>
  </si>
  <si>
    <t xml:space="preserve">保証書 取説 ｽﾍﾟｱｷｰ </t>
  </si>
  <si>
    <t>保証書 整備手帳 取説</t>
  </si>
  <si>
    <t>保証書 記録簿 取説</t>
  </si>
  <si>
    <t>ﾜﾝｵｰﾅｰ</t>
  </si>
  <si>
    <t>整備手帳</t>
  </si>
  <si>
    <t>保証書 手帳 取説</t>
  </si>
  <si>
    <t>保証書 整備手帳 取説 ｽﾍﾟｱｷｰ</t>
  </si>
  <si>
    <t>保証書 取説 ｶﾞﾗｽｷｰ</t>
  </si>
  <si>
    <t>保証書 整備手帳 取説 ｽﾍﾟｱｷｰ ﾜﾝｵｰﾅｰ</t>
  </si>
  <si>
    <t>保証書 取説 ｽﾏｰﾄｷｰ ﾜﾝｵｰﾅｰ</t>
  </si>
  <si>
    <t>取説 ｽﾍﾟｱｷｰ 記録簿</t>
  </si>
  <si>
    <t>保証書 ｽﾍﾟｱｷｰ ﾚﾝﾀｶｰ</t>
  </si>
  <si>
    <t>保証書 取説 ﾃﾞｨｽﾌﾟﾚｲｷｰ 4/5記録簿</t>
  </si>
  <si>
    <t>保証書 取説 ﾜﾝｵｰﾅｰ 記録（25/4、26/3、27/1、28/1、29/1、30/2、31/2、R2/7、R3/1、4/3）</t>
  </si>
  <si>
    <t>保証書 取説 ｽﾏｰﾄｷｰ</t>
  </si>
  <si>
    <t>保証書    名変期限5/23まで</t>
  </si>
  <si>
    <t>保証書 名変8/9まで</t>
  </si>
  <si>
    <t>ﾐﾆB-CAS</t>
  </si>
  <si>
    <t xml:space="preserve">保証書 取説 ｽﾍﾟｱｷｰ ﾜﾝｵｰﾅｰ </t>
  </si>
  <si>
    <t>保証書　取説　ｽﾍﾟｱｷｰ　ﾘﾓｺﾝ</t>
  </si>
  <si>
    <t>取説 整備手帳</t>
  </si>
  <si>
    <t>保証書 取説 整備記録 ｽﾍﾟｱｷｰ</t>
  </si>
  <si>
    <t>保証書 取説 整備手帳</t>
  </si>
  <si>
    <t>保証書 取説 ﾒﾝﾃﾅｽﾉｰﾄ ｽﾍﾟｱｷｰ</t>
  </si>
  <si>
    <t>保証書 取説 ﾘﾓｺﾝ ｽﾍﾟｱｷｰ</t>
  </si>
  <si>
    <t>保証書 取説 ﾄﾞﾗﾚｺSD</t>
  </si>
  <si>
    <t>保証書 ｷｰ</t>
  </si>
  <si>
    <t>保証書 取説 Ｓｷｰ</t>
  </si>
  <si>
    <t>保証書 取説 整備手帳 ｽﾍﾟｱｷｰ ﾜﾝｵｰﾅｰ</t>
  </si>
  <si>
    <t>保証書 取説 ﾘﾓｺﾝ ｽﾏｰﾄｷｰ ﾜﾝｵｰﾅｰ</t>
  </si>
  <si>
    <t>ｽﾏｰﾄｷｰ</t>
  </si>
  <si>
    <t>保証書 整備手帳 取説 Sｷｰ</t>
  </si>
  <si>
    <t>保証書 取説 予備ｷｰ</t>
  </si>
  <si>
    <t>保証書  ｽﾏｰﾄｷｰ</t>
  </si>
  <si>
    <t>保証書 取説 ﾅﾋﾞ取説</t>
  </si>
  <si>
    <t>取説 ｽﾏｰﾄｷｰ</t>
  </si>
  <si>
    <t>保証書 取説 ﾅﾋﾞ取 ｽﾍﾟｱｷｰ ﾜﾝｵｰﾅｰ 名変期限12/12</t>
  </si>
  <si>
    <t>保証書 取説 ｽﾍﾟｱｷｰ ﾌﾟﾗｷｰ</t>
  </si>
  <si>
    <t>整備手帳 取説 ｽﾍﾟｱｷｰ</t>
  </si>
  <si>
    <t xml:space="preserve"> 整備手帳 取説</t>
  </si>
  <si>
    <t>自賠責 ﾘｻｲｸﾙ券 JU愛知返送済2/21</t>
  </si>
  <si>
    <t>保証書 取説 Sｽﾏｰﾄｷｰ</t>
  </si>
  <si>
    <t>保証書  取説 ｽﾍﾟｱｷｰ ﾚﾝﾀｶｰ</t>
  </si>
  <si>
    <t>取説 予備キー</t>
  </si>
  <si>
    <t>保証書 取説 ﾅﾋﾞ取説 ｷｰﾚｽ ﾅﾋﾞﾛﾑ ﾘﾓｺﾝ</t>
  </si>
  <si>
    <t>保証書 取説　ﾜﾝｵｰﾅｰ</t>
  </si>
  <si>
    <t>保証書　ｽﾍﾟｱｷｰ</t>
  </si>
  <si>
    <t>保証書 取説 名変期限7/6まで</t>
  </si>
  <si>
    <t xml:space="preserve">取説 </t>
  </si>
  <si>
    <t>ﾅﾝﾊﾞｰ</t>
  </si>
  <si>
    <t>保証書　取説　Sｷｰ</t>
  </si>
  <si>
    <t>整備手帳　取説</t>
  </si>
  <si>
    <t>事業車</t>
  </si>
  <si>
    <t>保証書　取説　予備ｷｰ　ﾜﾝｵｰﾅｰ</t>
  </si>
  <si>
    <t>保証書 取説 名変期限8/29まで</t>
  </si>
  <si>
    <t>保証書 取説 予備ｷｰ ﾚﾝﾀｶｰ</t>
  </si>
  <si>
    <t xml:space="preserve">保証書 取説 予備ｷｰ </t>
  </si>
  <si>
    <t>取説 ｷｰﾚｽ ﾅﾋﾞ取 ｽﾏｰﾄｷｰ</t>
  </si>
  <si>
    <t>保証書　取説　ﾅﾋﾞ取説</t>
  </si>
  <si>
    <t>取説 ﾅﾋﾞ取</t>
  </si>
  <si>
    <t>保証書 取説 名変期限9/20まで</t>
  </si>
  <si>
    <t>保証書 取説 ｽﾍﾟｱｷｰ ﾅﾋﾞSD</t>
  </si>
  <si>
    <t>保証書 取説 ｽﾍﾟｱｷｰ ﾚﾝﾀｶｰ</t>
  </si>
  <si>
    <t>整備手帳 取説</t>
  </si>
  <si>
    <t>保証書 取説 ｽﾍﾟｱｷｰ 地図SD ﾜﾝｵｰﾅｰ</t>
  </si>
  <si>
    <t xml:space="preserve"> ｽﾏｰﾄｷｰ 保証書 取説 </t>
  </si>
  <si>
    <t xml:space="preserve"> 取説</t>
  </si>
  <si>
    <t>保証書 取説 ﾅﾝﾊﾞｰ</t>
  </si>
  <si>
    <t>保証書 取説 ﾚﾝﾀｶｰ</t>
  </si>
  <si>
    <t xml:space="preserve">ﾅﾝﾊﾞｰ </t>
  </si>
  <si>
    <t>ｽﾍﾟｱｷｰ ﾐﾆB-CAS 地図SD</t>
  </si>
  <si>
    <t>ｴﾝｼﾞﾝｽﾀｰﾄﾎﾞﾀﾝ</t>
  </si>
  <si>
    <t>抹消依頼済み</t>
  </si>
  <si>
    <t>保証書 取説 ﾏｲｸﾛSD ﾚﾝﾀｶｰ</t>
  </si>
  <si>
    <t>保証書 取説 ﾅﾋﾞ ｽﾏｰﾄｷｰ ｷｬﾘｱｷｰ3個</t>
  </si>
  <si>
    <t>保証書 ﾄﾞﾗﾚｺSD</t>
  </si>
  <si>
    <t>初年度違う24/9 ｸﾚｰﾑ良さん済</t>
  </si>
  <si>
    <t>整備手帳 取説 Ｓキー</t>
  </si>
  <si>
    <t>保証書 ﾚﾝﾀｶｰ</t>
  </si>
  <si>
    <t>ｽﾏｰﾄｷｰ 地図SD</t>
  </si>
  <si>
    <t>ﾅﾋﾞSD ｽﾏｰﾄｷｰ</t>
  </si>
  <si>
    <t>保証書 取説 ﾘﾓｺﾝ 非課税OK</t>
  </si>
  <si>
    <t>ﾅﾋﾞ取</t>
  </si>
  <si>
    <t>福祉車両非課税OK</t>
  </si>
  <si>
    <t>保証書 取説 ﾅﾋﾞ取 ｽﾍﾟｱｷｰ</t>
  </si>
  <si>
    <t>ｽﾏｰﾄｷｰ車内 保証書 取説  ﾜﾝｵｰﾅｰ</t>
  </si>
  <si>
    <t>保証書 取説 ﾜﾝｵｰﾅｰ 車検切れ</t>
  </si>
  <si>
    <t xml:space="preserve"> </t>
  </si>
  <si>
    <t>取説 ﾜﾝｵｰﾅｰ</t>
  </si>
  <si>
    <t>抹消依頼済 保証書 ｽﾍﾟｱｷｰ ﾜﾝｵｰﾅｰ</t>
  </si>
  <si>
    <t>保証書 取説 ｽﾍﾟｱｷｰ ﾜﾝｵｰﾅｰ 福祉車両OK</t>
  </si>
  <si>
    <t>保証書 取説 予備ｷｰ ﾜﾝｵｰﾅｰ</t>
  </si>
  <si>
    <t>保証書 取説 予備ｷｰ ﾅﾋﾞ取</t>
  </si>
  <si>
    <t>保証書 取説 ｽﾍﾟｱｷｰ ﾅﾝﾊﾞｰ</t>
  </si>
  <si>
    <t xml:space="preserve">ｽﾏｰﾄｷｰ車内確認 保証書 取説 ﾅﾋﾞ取 </t>
  </si>
  <si>
    <t>取説 ｽﾍﾟｱｷｰ ﾘﾓｺﾝ SD</t>
  </si>
  <si>
    <t>取説 名変期間10/24まで</t>
  </si>
  <si>
    <t>SD ﾅﾝﾊﾞｰ</t>
  </si>
  <si>
    <t>保証書 取説  ﾜﾝｵｰﾅｰ</t>
  </si>
  <si>
    <t>ｽﾍﾟｱｷｰ確認 保証書 取説 ﾜﾝｵｰﾅｰ</t>
  </si>
  <si>
    <t xml:space="preserve">ｽﾏｰﾄｷｰ車内確認 </t>
  </si>
  <si>
    <t>保証書 取説 地図SD ﾅﾝﾊﾞｰ</t>
  </si>
  <si>
    <t>ｽﾏｰﾄｷｰ 取説</t>
  </si>
  <si>
    <t>保証書 取説 地図SD miniB-CAS</t>
  </si>
  <si>
    <t>保証書 取説 ｽﾍﾟｱｷｰ 地図SD</t>
  </si>
  <si>
    <t>保証書 取説 11末名変</t>
  </si>
  <si>
    <t>保証書 ﾅﾝﾊﾞｰ</t>
  </si>
  <si>
    <t xml:space="preserve"> ｽﾏｰﾄｷｰ車内確認 保証書 取説</t>
  </si>
  <si>
    <t>整備手帳 ﾚﾝﾀｶｰ</t>
  </si>
  <si>
    <t>保証書 ｽﾍﾟｱｷｰ ﾜﾝｵｰﾅｰ 名変期間11/2まで</t>
  </si>
  <si>
    <t>保証書 取説 ﾅﾋﾞ取 地図SD ｽﾏｰﾄｷｰ</t>
  </si>
  <si>
    <t>ｽﾏｰﾄｷｰ車内確認</t>
  </si>
  <si>
    <t>保証書 取説 ﾅﾋﾞ取 ｽﾍﾟｱｷｰ ﾜﾝｵｰﾅｰ</t>
  </si>
  <si>
    <t xml:space="preserve">保証書 取説 ｽﾏｰﾄｷｰ </t>
  </si>
  <si>
    <t>保証書 取説 ｽﾍﾟｱｷｰ 地図SD B-CAS</t>
  </si>
  <si>
    <t>保証書 地図SD</t>
  </si>
  <si>
    <t>保証書 取説  ｽﾍﾟｱｷｰ ﾜﾝｵｰﾅｰ</t>
  </si>
  <si>
    <t>保証書 ｽﾍﾟｱｷｰ ﾜﾝｵｰﾅｰ 名変期間10/31まで</t>
  </si>
  <si>
    <t>取説 整備手帳 ｽﾍﾟｱｷｰ</t>
  </si>
  <si>
    <t>非課税申告済</t>
  </si>
  <si>
    <t>保証書  取説 ｽﾍﾟｱｷｰ</t>
  </si>
  <si>
    <t>保証書　</t>
  </si>
  <si>
    <t>保証書　取説　</t>
  </si>
  <si>
    <t>取説　ﾜﾝｵｰﾅｰ　車検切れ</t>
  </si>
  <si>
    <t>保証書　取説　ｽﾍﾟｱｷｰ　ﾜﾝｵｰﾅｰ</t>
  </si>
  <si>
    <t>保証書　取説　ｽﾍﾟｱｷｰ　　ﾜﾝｵｰﾅｰ</t>
  </si>
  <si>
    <t>保証書　取説 ｽﾍﾟｱｷｰ ﾜﾝｵｰﾅｰ</t>
  </si>
  <si>
    <t>ｽﾏｰﾄｷｰ車内確認 保証書 取説</t>
  </si>
  <si>
    <t>保証書 取説 ﾅﾋﾞ取 予備ｷｰ</t>
  </si>
  <si>
    <t>予備ｷｰ</t>
  </si>
  <si>
    <t>保証書 取説 予備ｷｰ 名変期間11/18まで</t>
  </si>
  <si>
    <t>保証書 取説 ｽﾍﾟｱｷｰ ﾎｲｰﾙ工具</t>
  </si>
  <si>
    <t xml:space="preserve">保証書 取説 ﾅﾋﾞ取 ﾘﾓｺﾝ </t>
  </si>
  <si>
    <t>保証書　取説　ﾅﾋﾞ取　</t>
  </si>
  <si>
    <t>保証書　地図SD</t>
  </si>
  <si>
    <t>保証書　取説　ｽﾍﾟｱｷｰ　ﾅﾝﾊﾞｰ　ﾜﾝｵｰﾅｰ</t>
  </si>
  <si>
    <t>保証書 ﾅﾋﾞ取</t>
  </si>
  <si>
    <t>保証書 非課税対応済</t>
  </si>
  <si>
    <t>保証書 取説 ﾅﾝﾊﾞｰ ﾜﾝｵｰﾅｰ</t>
  </si>
  <si>
    <t>保証書　 Ｓｷｰ ﾜﾝｵｰﾅｰ</t>
  </si>
  <si>
    <t>取説 ﾅﾋﾞ取 ｽﾏｰﾄｷｰ</t>
  </si>
  <si>
    <t>保証書 取説 Ｓｷｰ ﾜﾝｵｰﾅｰ</t>
  </si>
  <si>
    <t>保証書 取説 １２月名変</t>
  </si>
  <si>
    <t>保証書 取説 ｽﾍﾟｱｷｰ  免税車</t>
  </si>
  <si>
    <t>保証書 B-CAS  ﾜﾝｵｰﾅｰ</t>
  </si>
  <si>
    <t>保証書 ｽﾍﾟｱｷｰ ﾘﾓｺﾝ</t>
  </si>
  <si>
    <t xml:space="preserve">ｽﾍﾟｱｷｰ 保証書 ﾜﾝｵｰﾅｰ </t>
  </si>
  <si>
    <t xml:space="preserve"> 保証書 </t>
  </si>
  <si>
    <t>保証書 取説 地図SD B-CAS ｽﾍﾟｱｷｰ ﾜﾝｵｰﾅｰ</t>
  </si>
  <si>
    <t xml:space="preserve"> 保証書 取説  11月末名変</t>
  </si>
  <si>
    <t>12月末名変</t>
  </si>
  <si>
    <t>取説 11月名変</t>
  </si>
  <si>
    <t>保証書 取説 12月末名変</t>
  </si>
  <si>
    <t>保証書  取説 ﾅﾋﾞ取 ｽﾍﾟｱｷｰ</t>
  </si>
  <si>
    <t>取説 ｽﾍﾟｱｷｰ 地図SD</t>
  </si>
  <si>
    <t>B-CAS</t>
  </si>
  <si>
    <t>保証書  取説 ﾜﾝｵｰﾅｰ</t>
  </si>
  <si>
    <t>保証書 取説 ｽﾍﾟｱｷｰ B-CAS</t>
  </si>
  <si>
    <t>保証書 取説  12月末名変</t>
  </si>
  <si>
    <t>保証書  取説  12月末名変</t>
  </si>
  <si>
    <t>保証書 取説  11月末名変</t>
  </si>
  <si>
    <t>保証書 ﾅﾋﾞ取  11月末名変</t>
  </si>
  <si>
    <t>取説  1月末名変</t>
  </si>
  <si>
    <t>ｽﾏｰﾄｷｰ車内確認 取説</t>
  </si>
  <si>
    <t>保証書 取説  2月末名変</t>
  </si>
  <si>
    <t>保証書  1月末名変</t>
  </si>
  <si>
    <t>保証書  取説  ｽﾏｰﾄｷｰ</t>
  </si>
  <si>
    <t>保証書 取説 ﾅﾋﾞ取 ﾅﾝﾊﾞｰ</t>
  </si>
  <si>
    <t>保証書  取説  予備ｷｰ ﾚﾝﾀｶｰ</t>
  </si>
  <si>
    <t>保証書 取説 予備ｷｰ ﾅﾝﾊﾞｰ</t>
  </si>
  <si>
    <t>取説 予備ｷｰ</t>
  </si>
  <si>
    <t>保証書  取説  ｽﾍﾟｱｷｰ</t>
  </si>
  <si>
    <t xml:space="preserve">ｽﾏｰﾄｷｰ車内確認 保証書 地図SD </t>
  </si>
  <si>
    <t>保証書  11月末名変</t>
  </si>
  <si>
    <t>保証書 取説  11末名変</t>
  </si>
  <si>
    <t>保証書  12末名変</t>
  </si>
  <si>
    <t>SD</t>
  </si>
  <si>
    <t>保証書 取説 ｲﾝﾃﾘｷｰ ﾜﾝｵｰﾅｰ</t>
  </si>
  <si>
    <t>保証書 ｽﾏｰﾄｷｰ</t>
  </si>
  <si>
    <t>ｽﾏｰﾄｷｰ SD B-CAS</t>
  </si>
  <si>
    <t>保証書 取説 ｳｲﾝﾁﾘﾓｺﾝ 非課税OK</t>
  </si>
  <si>
    <t>保証書 取説 ﾅﾋﾞ取 ｽﾏｰﾄｷｰ ﾜﾝｵｰﾅｰ</t>
  </si>
  <si>
    <t>保証書 取説 Sｷｰ ﾜﾝｵｰﾅｰ</t>
  </si>
  <si>
    <t>保証書 取説 SD B-CAS</t>
  </si>
  <si>
    <t>保証書 12月末名変</t>
  </si>
  <si>
    <t>取説 12月末名変</t>
  </si>
  <si>
    <t>保証書 取説 ﾅﾋﾞ取 12月末名変</t>
  </si>
  <si>
    <t>ﾚﾝﾀｶｰ 自賠責離島</t>
  </si>
  <si>
    <t xml:space="preserve">ﾚﾝﾀｶｰ </t>
  </si>
  <si>
    <t>保証書 取説 ﾅﾋﾞ取 地図SD</t>
  </si>
  <si>
    <t>保証書 取説 ﾒｶﾆｶﾙｷｰ ﾜﾝｵｰﾅｰ</t>
  </si>
  <si>
    <t xml:space="preserve">保証書 取説 ﾅﾋﾞ取 </t>
  </si>
  <si>
    <t>保証書 ｽﾍﾟｱｷｰ 名変期限12/24まで</t>
  </si>
  <si>
    <t>保証書 取説←車載</t>
  </si>
  <si>
    <t>保証書 取説  1月末名変</t>
  </si>
  <si>
    <t>保証書 取説 予備ｷｰ ﾚﾝﾀｶｰ 名変ﾃｨｰｽﾞでする</t>
  </si>
  <si>
    <t>ｽﾍﾟｱｷｰ車内確認 保証書</t>
  </si>
  <si>
    <t>保証書 取説 ﾅﾋﾞ取 ｽﾏｰﾄｷｰ ﾘﾓｺﾝ ﾜﾝｵｰﾅｰ</t>
  </si>
  <si>
    <t>保証書 取説 ﾅﾋﾞ取 ﾜﾝｵｰﾅｰ</t>
  </si>
  <si>
    <t>ﾅﾋﾞﾘﾓｺﾝ</t>
  </si>
  <si>
    <t>保証書 取説 地図SD ｽﾍﾟｱｷｰ</t>
  </si>
  <si>
    <t>保証書 取説 ﾅﾋﾞ取 ﾅﾋﾞSD ﾅﾝﾊﾞｰ</t>
  </si>
  <si>
    <t>保証書 ｷｰﾚｽ ﾜﾝｵｰﾅｰ</t>
  </si>
  <si>
    <t>保証書 取説 ｽﾍﾟｱｷｰ 名変12/18まで</t>
  </si>
  <si>
    <t>取説 ﾅﾋﾞ取 ｷｰﾚｽ</t>
  </si>
  <si>
    <t>整備記録</t>
  </si>
  <si>
    <t>保証書 ｽﾍﾟｱｷｰ 取説 ﾜﾝｵｰﾅｰ</t>
  </si>
  <si>
    <t>保証書 取説 ｽﾍﾟｱｷｰ SD ﾜﾝｵｰﾅｰ</t>
  </si>
  <si>
    <t>取説 ｽﾍﾟｱｷｰ ﾄﾞﾗﾚｺSD 名変期限12/25まで</t>
  </si>
  <si>
    <t>SD ｽﾏｰﾄｷｰ ﾜﾝｵｰﾅｰ</t>
  </si>
  <si>
    <t>取説  12月末名変</t>
  </si>
  <si>
    <t>保証書 取説 ｹｰﾌﾞﾙ伴さん保管</t>
  </si>
  <si>
    <t>保証書 取説 ﾅﾋﾞ取 ｽﾏｰﾄｷｰ SD B-CAS</t>
  </si>
  <si>
    <t>ﾅﾝﾊﾞｰ応相談</t>
  </si>
  <si>
    <t xml:space="preserve">ｽﾏｰﾄｷｰ車内確認 保証書 取説 </t>
  </si>
  <si>
    <t>保証書 取説 ﾘﾓｺﾝ ﾜﾝｵｰﾅｰ</t>
  </si>
  <si>
    <t>保証書 ﾅﾝﾊﾞｰ ｽﾍﾟｱｷｰ</t>
  </si>
  <si>
    <t>保証書 名変期限12/19まで</t>
  </si>
  <si>
    <t>ｽﾏｰﾄｷｰ SD</t>
  </si>
  <si>
    <t>TVﾘﾓｺﾝ ﾜﾝｵｰﾅｰ</t>
  </si>
  <si>
    <t>保証書 取説 SD</t>
  </si>
  <si>
    <t>ｽﾏｰﾄｷｰ車内2個あり</t>
  </si>
  <si>
    <t>保証書 取説 1月末名変</t>
  </si>
  <si>
    <t>保証書 ﾅﾋﾞ取 12月末名変</t>
  </si>
  <si>
    <t>取説 1月末名変</t>
  </si>
  <si>
    <t>1月末名変</t>
  </si>
  <si>
    <t>ﾅﾋﾞ取 保証書 1月末名変</t>
  </si>
  <si>
    <t>ﾅﾋﾞ取 取説 地図SD ｽﾍﾟｱｷｰ</t>
  </si>
  <si>
    <t>ｽﾍﾟｱｷｰ ｷｰｶｰﾄﾞ</t>
  </si>
  <si>
    <t xml:space="preserve">充電ｹｰﾌﾞﾙ車載 保証書 取説 ｽﾍﾟｱｷｰ </t>
  </si>
  <si>
    <t>記録簿 取説 ｽﾍﾟｱｷｰ 地図SD</t>
  </si>
  <si>
    <t>保証書 取説 ﾅﾋﾞ取 ｽﾍﾟｱｷｰﾒｶｷｰなし</t>
  </si>
  <si>
    <t>保証書 取説 ﾅﾋﾞ取 SD</t>
  </si>
  <si>
    <t>取説 SD B-CAS</t>
  </si>
  <si>
    <t>保証書 取説 ﾅﾋﾞ取 ｽﾏｰﾄｷｰ</t>
  </si>
  <si>
    <t>保証書 取説 ｽﾏｰﾄｷｰ ﾚﾝﾀｶｰ</t>
  </si>
  <si>
    <t>保証書 取説 SD ｽﾏｰﾄｷｰ</t>
  </si>
  <si>
    <t>保証書 1月末名変</t>
  </si>
  <si>
    <t>車内ｶｷﾞ確認</t>
  </si>
  <si>
    <t>保証書 取説 地図SD ﾜﾝｵｰﾅｰ</t>
  </si>
  <si>
    <t>名変期限1/20まで</t>
  </si>
  <si>
    <t>取説 地図SD</t>
  </si>
  <si>
    <t>名変期限12/27まで</t>
  </si>
  <si>
    <t>保証書 取説 ﾅﾋﾞ取 予備ｷｰ ﾅﾝﾊﾞｰ</t>
  </si>
  <si>
    <t>保証書 取説 書類期限1/15まで</t>
  </si>
  <si>
    <t>ｽﾏｰﾄｷｰ車内確認 保証書</t>
  </si>
  <si>
    <t xml:space="preserve">保証書 取説 ﾅﾋﾞ取 予備ｷｰ </t>
  </si>
  <si>
    <t>ｽﾏｰﾄｷｰ車内確認 保証書 ﾜﾝｵｰﾅｰ</t>
  </si>
  <si>
    <t>ﾜﾝｵｰﾅｰ 名変期限1/14まで</t>
  </si>
  <si>
    <t>保証書 取説 ﾅﾋﾞ取 SD ｷｰﾚｽ</t>
  </si>
  <si>
    <t>保証書 取説 SD B-CAS ｽﾍﾟｱｷｰ</t>
  </si>
  <si>
    <t>保証書 ｽﾍﾟｱｷｰ 取説</t>
  </si>
  <si>
    <t>ｽﾏｰﾄｷｰ ﾜﾝｵｰﾅｰ</t>
  </si>
  <si>
    <t>地図SD</t>
  </si>
  <si>
    <t>保証書 ｽﾏｰﾄｷｰ ﾏｲｸﾛSDﾄﾞﾗﾚｺ用</t>
  </si>
  <si>
    <t>保証書 取説 ﾅﾋﾞ取 ﾅﾝﾊﾞｰ ﾜﾝｵｰﾅｰ</t>
  </si>
  <si>
    <t>保証書 取説 ｶｰﾄﾞｷｰ ｽﾏｰﾄｷｰ 地図SD</t>
  </si>
  <si>
    <t>保証書 取説 ｽﾏｰﾄｷｰ ｽﾍﾟｱｷｰ2個 ﾜﾝｵｰﾅｰ</t>
  </si>
  <si>
    <t>ｲﾝﾃﾘｷｰ</t>
  </si>
  <si>
    <t>保証書 取説 ｽﾍﾟｱｷｰ 名変期限1/27まで</t>
  </si>
  <si>
    <t>保証書 取説 ｽﾍﾟｱｷｰ ﾜﾝｵｰﾅｰ 名変期限1/15まで</t>
  </si>
  <si>
    <t>保証書 予備ｷｰ</t>
  </si>
  <si>
    <t>保証書 取説 ﾜﾝｵｰﾅｰ ｽﾍﾟｱｷｰ 地図SD</t>
  </si>
  <si>
    <t>取説 ﾅﾋﾞ取 ﾘﾓｺﾝ</t>
  </si>
  <si>
    <t>取説 ﾅﾋﾞ取 SD ﾘﾓｺﾝ</t>
  </si>
  <si>
    <t xml:space="preserve">保証書 取説 ﾅﾋﾞ取 ｽﾍﾟｱｷｰ </t>
  </si>
  <si>
    <t>保証書 取説 B-CAS ｽﾍﾟｱｷｰ</t>
  </si>
  <si>
    <t>保証書 地図SD ｽﾍﾟｱｷｰ</t>
  </si>
  <si>
    <t>保証書 取説 ｽﾍﾟｱｷｰ ﾌﾘｰｷｰ ﾜﾝｵｰﾅｰ</t>
  </si>
  <si>
    <t>ｽﾏｰﾄｷｰ2個あり 保証書 ﾜﾝｵｰﾅｰ</t>
  </si>
  <si>
    <t>保証書 取説 ｽﾛｰﾊﾟｰ取説  ﾘﾓｺﾝ ｽﾏｰﾄｷｰ ﾜﾝｵｰﾅｰ</t>
  </si>
  <si>
    <t>取説 ﾜﾝｵｰﾅｰ 名変期限2/10まで</t>
  </si>
  <si>
    <t>取説  ｽﾍﾟｱｷｰ</t>
  </si>
  <si>
    <t>保証書 取説 ｽﾏｰﾄｷｰ SD</t>
  </si>
  <si>
    <t>保証書 取説 ﾅﾋﾞ取 ﾘﾓｺﾝ</t>
  </si>
  <si>
    <t>保証書 B-CAS ﾜﾝｵｰﾅｰ</t>
  </si>
  <si>
    <t>2月末名変</t>
  </si>
  <si>
    <t>保証書 2月末名変</t>
  </si>
  <si>
    <t>保証書 取説 2月末名変</t>
  </si>
  <si>
    <t>保証書 取説 ﾜﾝｵｰﾅｰ SD</t>
  </si>
  <si>
    <t>冠水の為HAA返送する</t>
  </si>
  <si>
    <t>保証書 取説 ﾅﾋﾞ取 ﾅﾋﾞSD</t>
  </si>
  <si>
    <t>ｽﾍﾟｱｷｰ SD</t>
  </si>
  <si>
    <t>取説 ｽﾍﾟｱｷｰ SD</t>
  </si>
  <si>
    <t xml:space="preserve">取説 ｽﾍﾟｱｷｰ </t>
  </si>
  <si>
    <t>保証書 ﾅﾋﾞ取 ｽﾍﾟｱｷｰ</t>
  </si>
  <si>
    <t xml:space="preserve">ｽﾏｰﾄｷｰ車内確認 保証書 </t>
  </si>
  <si>
    <t>保証書 取説 ｽﾏｰﾄｷｰ ｴﾝｼﾞﾝｽﾀｰﾀｰ ﾜﾝｵｰﾅｰ</t>
  </si>
  <si>
    <t>取説 2月末名変</t>
  </si>
  <si>
    <t>保証書 取説  ｽﾍﾟｱｷｰ</t>
  </si>
  <si>
    <t>保証書 取説 ｽﾍﾟｱｷｰ ﾜﾝｵｰﾅｰ 名変期限2/27まで</t>
  </si>
  <si>
    <t>名変期限2/20まで</t>
  </si>
  <si>
    <t>保証書 ﾅﾋﾞ取 B-CAS ｽﾏｰﾄｷｰ</t>
  </si>
  <si>
    <t>名変期限2/4まで</t>
  </si>
  <si>
    <t>地図SD ｽﾏｰﾄｷｰ</t>
  </si>
  <si>
    <t>保証書 取説 ｽﾍﾟｱｷｰ ﾛｯｸﾅｯﾄ ﾜﾝｵｰﾅｰ</t>
  </si>
  <si>
    <t>保証書 取説 ｽﾍﾟｱｷｰ ﾜﾝｵｰﾅｰ 名変期限2/23まで</t>
  </si>
  <si>
    <t>保証書 取説 3月末名変</t>
  </si>
  <si>
    <t>整備手帳　福祉車両</t>
  </si>
  <si>
    <t>保証書　整備手帳　　ﾚﾝﾀｶｰ</t>
  </si>
  <si>
    <t>保証書　整備手帳</t>
  </si>
  <si>
    <t>保証書　取説　ｽﾏｰﾄｷｰ</t>
  </si>
  <si>
    <t>保証書　ｽﾍﾟｱｷｰ　ﾜﾝｵｰﾅｰ</t>
  </si>
  <si>
    <t>ｽﾀｰﾄﾎﾞﾀﾝ</t>
  </si>
  <si>
    <t>名変期限2/13</t>
  </si>
  <si>
    <t>保証書　取説　ﾅﾋﾞ取　ｽﾏｰﾄｷｰ</t>
  </si>
  <si>
    <t>記録簿有り</t>
  </si>
  <si>
    <t>取説　ｽﾍﾟｱｷｰ　ﾅﾝﾊﾞｰ</t>
  </si>
  <si>
    <t>保証書　ﾜﾝｵｰﾅｰ</t>
  </si>
  <si>
    <t>保証書　取説　名変期限2/28</t>
  </si>
  <si>
    <t>保証書　取説　名変期限3/31</t>
  </si>
  <si>
    <t>保証書　名変期限3/31</t>
  </si>
  <si>
    <t>保証書　取説（抜粋版のみ）　名変期限2/28</t>
  </si>
  <si>
    <t>保証書　取説　　名変期限2/28</t>
  </si>
  <si>
    <t>保証書　取説　ｽﾍｱｽﾏｰﾄｷｰ　ﾜﾝｵｰﾅｰ</t>
  </si>
  <si>
    <t>保証書　取説　ﾃﾞｨｰﾗｰ記録簿　ﾓﾆﾀｰﾘﾓｺﾝ</t>
  </si>
  <si>
    <t>保証書　ｽﾍﾟｱｽﾏｰﾄｷｰ　ﾜﾝｵｰﾅｰ</t>
  </si>
  <si>
    <t>保証書　ｽﾍﾟｱｷｰ　</t>
  </si>
  <si>
    <t>保証書　取説　ｽﾍﾟｱｽﾏｰﾄｷｰ</t>
  </si>
  <si>
    <t>保証書　ｽﾍﾟｱｷｰ有</t>
  </si>
  <si>
    <t>保証書　取説　ｽﾍﾟｱｽﾏｰﾄｷｰ　ﾄﾞﾗﾚｺSD　　ﾚﾝﾀｶｰ</t>
  </si>
  <si>
    <t>手帳　取説</t>
  </si>
  <si>
    <t>保証書　手帳　取説　ﾘﾓｺﾝ車載</t>
  </si>
  <si>
    <t>保証書　手帳　取説　</t>
  </si>
  <si>
    <t>保証書　手帳　取説</t>
  </si>
  <si>
    <t>保証書　整備手帳　取説</t>
  </si>
  <si>
    <t>保証書　整備手帳　取説　ﾜﾝｵｰﾅｰ</t>
  </si>
  <si>
    <t>保証書　取説　ﾅﾋﾞ取</t>
  </si>
  <si>
    <t>保証書　ﾅﾋﾞ取</t>
  </si>
  <si>
    <t>保証書　取説　ﾅﾋﾞ取　ｷｰﾚｽ</t>
  </si>
  <si>
    <t>保証書 ｽﾍﾟｱｷｰ 充電ｹｰﾌﾞﾙ車内</t>
  </si>
  <si>
    <t>保証書　取説　ﾅﾋﾞ取　SD</t>
  </si>
  <si>
    <t>保証書　ﾘﾓｺﾝ　ｽﾍﾟｷｰ　ｽﾛｰﾌﾟ仕様車（非課税TEL返金OK)</t>
  </si>
  <si>
    <t>保証書　ﾅﾋﾞ取　SD　ｽﾏｰﾄｷｰ</t>
  </si>
  <si>
    <t>ｽﾍﾟｱｽﾏｰﾄｷｰ　ﾜﾝｵｰﾅｰ</t>
  </si>
  <si>
    <t>ｽﾏｰﾄｷｰX2（ﾘｽﾄに記載あり）</t>
  </si>
  <si>
    <t>取説　　名変期限2/28</t>
  </si>
  <si>
    <t>名変期限2/28</t>
  </si>
  <si>
    <t>保証書　取説　　名変期限3/31</t>
  </si>
  <si>
    <t>保証書　取説　ﾃﾞｨｰﾗｰ記録簿　ﾚﾝﾀｶｰ</t>
  </si>
  <si>
    <t>保証書　BMWﾃﾞｨｰﾗｰ記録簿</t>
  </si>
  <si>
    <t>ｽﾍﾟｱｷｰ　ﾚﾝﾀｶｰ</t>
  </si>
  <si>
    <t>保証書　取説　ﾒｲﾝｷｰ　ｽﾍﾟｱｷｰ　ﾛｯｸﾅｯﾄ</t>
  </si>
  <si>
    <t>保証書　ｽﾍﾟｱｷｰ有り（ﾘｽﾄに記載有り）</t>
  </si>
  <si>
    <t>取説　ﾅﾋﾞ取　ﾚﾝﾀｶｰ</t>
  </si>
  <si>
    <t>保証書　ｲﾝﾃﾘｷｰ</t>
  </si>
  <si>
    <t>保証書 取説  ｽﾍﾟｱｷｰ車内確認 名変期限2/25まで</t>
  </si>
  <si>
    <t>保証書　　取説　ﾅﾝﾊﾞｰ</t>
  </si>
  <si>
    <t>保証書　取説　ﾅﾋﾞ取　ﾅﾝﾊﾞｰ</t>
  </si>
  <si>
    <t>取説　ｷｰﾚｽ</t>
  </si>
  <si>
    <t>整備手帳　ﾚﾝﾀｶｰ</t>
  </si>
  <si>
    <t>保証書　取説　ﾚﾝﾀｶｰ　　　　ﾜﾝｵｰﾅｰ記載有り、ﾚﾝﾀｶｰなのでｸﾚｰﾑ済</t>
  </si>
  <si>
    <t>保証書 取説 予備ｷｰ ﾅﾋﾞSD ﾅﾋﾞ取 ﾘﾓｺﾝ</t>
  </si>
  <si>
    <t>保証書 取説 予備ｷｰ ﾜﾝｵｰﾅｰ 名変期限2/25まで</t>
  </si>
  <si>
    <t>名変期限2/27まで</t>
  </si>
  <si>
    <t>ﾒﾝﾃﾅｽﾉｰﾄ 取説 名変期限2/27</t>
  </si>
  <si>
    <t>保証書付属品(TAA預かってる)</t>
  </si>
  <si>
    <t>保証書 付属品(TAA預かってる)</t>
  </si>
  <si>
    <t>取説　</t>
  </si>
  <si>
    <t>保証書　 取説 SD ｽﾍﾟｱｷｰ</t>
  </si>
  <si>
    <t>保証書　 取説 ﾅﾋﾞ取 ﾅﾝﾊﾞｰ</t>
  </si>
  <si>
    <t>ﾅﾝﾊﾞｰ相談 検付き？抹消？</t>
  </si>
  <si>
    <t>取説 名変期限3/31</t>
  </si>
  <si>
    <t>保証書 取説 名変期限3/31</t>
  </si>
  <si>
    <t>整備手帳 ﾜﾝｵｰﾅｰ</t>
  </si>
  <si>
    <t>保証書　取説　　　ｽﾏｰﾄｷｰ2（ﾘｽﾄに記載有り）</t>
  </si>
  <si>
    <t>保証書　取説　　　</t>
  </si>
  <si>
    <t>取説　地図SD</t>
  </si>
  <si>
    <t>保証書　整備手帳　取説　Sｷｰ　構造変更書類</t>
  </si>
  <si>
    <t>保証書　ｽﾍﾟｱｷｰ　　地図SD　B-CAS</t>
  </si>
  <si>
    <t>取説　ｽﾏｰﾄｷｰ</t>
  </si>
  <si>
    <t>取説　ｽﾍﾟｱｷｰ</t>
  </si>
  <si>
    <t>保証書 取説 ｽﾏｰﾄｷｰ2個ﾘｽﾄ記載</t>
  </si>
  <si>
    <t>保証書　他ﾘﾓｺﾝ</t>
  </si>
  <si>
    <t>保証書　取説　予備ｷｰ</t>
  </si>
  <si>
    <t xml:space="preserve">地図SD </t>
  </si>
  <si>
    <t>ｼﾌﾄﾉﾌﾞ</t>
  </si>
  <si>
    <t>保証書　取説　ﾅﾋﾞ取　ｽﾍﾟｱｷｰ</t>
  </si>
  <si>
    <t>保証書　取説　ﾅﾋﾞ取　ﾅﾋﾞSD　ｽﾍﾟｱｽﾏｰﾄｷｰ　　ﾚﾝﾀｶｰ</t>
  </si>
  <si>
    <t>福祉車両非課税車 連絡済 対応OK</t>
  </si>
  <si>
    <t>保証書　取説　記録簿　ﾜﾝｵｰﾅｰ</t>
  </si>
  <si>
    <t>保証書　SD　ｽﾍﾟｱｷｰ</t>
  </si>
  <si>
    <t>保証書　取説　ﾚﾝﾀｶｰ</t>
  </si>
  <si>
    <t>保証書　ﾚﾝﾀｶｰ</t>
  </si>
  <si>
    <t>保証書　取説？　ﾚﾝﾀｶｰ</t>
  </si>
  <si>
    <t>保証書　取説　ﾅﾋﾞ取　ｽﾍﾟｱｷｰ　ﾅﾋﾞSD　B-CAS</t>
  </si>
  <si>
    <t>名変期限2月末</t>
  </si>
  <si>
    <t>保証書　取説　ｽﾏｰﾄｷｰ　ﾜﾝｵｰﾅｰ</t>
  </si>
  <si>
    <t>保証書　取説　ﾅﾋﾞSD</t>
  </si>
  <si>
    <t>保証書　取説　ｽﾍﾟｱｷｰ　ﾅﾝﾊﾞｰ</t>
  </si>
  <si>
    <t>非課税車OK</t>
  </si>
  <si>
    <t>BMWﾃﾞｨｰﾗｰ記録簿</t>
  </si>
  <si>
    <t>保証書　ｽﾏｰﾄｷｰX2（ﾘｽﾄに記載有り）</t>
  </si>
  <si>
    <t>保証書　取説　ﾅﾋﾞ取　ｽﾍﾟｱｷｰ　ﾜﾝｵｰﾅｰ</t>
  </si>
  <si>
    <t>保証書　ｽﾏｰﾄｷｰ</t>
  </si>
  <si>
    <t>保証書　ｽﾍﾟｱｷｰ　　　名変期限3/15</t>
  </si>
  <si>
    <t>保証書 名変期限3/31</t>
  </si>
  <si>
    <t>保証書　ﾅﾋﾞﾛﾑ　　ﾚﾝﾀｶｰ</t>
  </si>
  <si>
    <t xml:space="preserve">整備手帳 </t>
  </si>
  <si>
    <t>わﾅﾝﾊﾞｰ記載あり ｸﾚｰﾑ中</t>
  </si>
  <si>
    <t>保証書 ｽﾍﾟｱｷｰ 地図SD</t>
  </si>
  <si>
    <t>保証書　取説　ﾅﾝﾊﾞｰ</t>
  </si>
  <si>
    <t>取説　ﾅﾋﾞ取　ｽﾍﾟｱｷｰ　　　非課税車申請済</t>
  </si>
  <si>
    <t>保証書　取説　ﾅﾋﾞ取　SD　HDDﾕﾆｯﾄ</t>
  </si>
  <si>
    <t>保証書　取説　ﾅﾋﾞ取　ｽﾏｰﾄｷｰ　ﾅﾋﾞSD　ﾜﾝｵｰﾅｰ</t>
  </si>
  <si>
    <t>福祉車両連絡済OK</t>
  </si>
  <si>
    <t>保証書　ﾅﾋﾞSD</t>
  </si>
  <si>
    <t>保証書　ｽﾏｰﾄｷｰ　　ﾚﾝﾀｶｰ</t>
  </si>
  <si>
    <t>保証書　整備手帳　取説　ｽﾍﾟｱｷｰ</t>
  </si>
  <si>
    <t>保証書　取説　ｽﾍﾟｱｷｰ　地図SD</t>
  </si>
  <si>
    <t>保証書　取説　ｽﾍﾟｱｷｰX2有　　ﾜﾝｵｰﾅｰ</t>
  </si>
  <si>
    <t>保証書　取説　地図SD</t>
  </si>
  <si>
    <t>保証書　取説　ﾅﾋﾞ取　地図SD　B-CAS　ﾜﾝｵｰﾅｰ</t>
  </si>
  <si>
    <t>保証書 取説  ｷｰﾚｽ</t>
  </si>
  <si>
    <t>電子ｷｰ</t>
  </si>
  <si>
    <t xml:space="preserve">保証書 取説  </t>
  </si>
  <si>
    <t>保証書 取説 ﾜﾝｵｰﾅｰ 福祉車両</t>
  </si>
  <si>
    <t>手帳　取説　ｽﾍﾟｱｷｰ　ﾜﾝｵｰﾅｰ</t>
  </si>
  <si>
    <t>整備手帳　　ﾚﾝﾀｶｰ</t>
  </si>
  <si>
    <t>保証書 ｽﾍﾟｱｷｰ ﾐﾆB-CASｶｰﾄﾞ</t>
  </si>
  <si>
    <t>保証書 取説 ｽﾍﾟｱｷｰ ﾅﾝﾊﾞｰ ﾜﾝｵｰﾅｰ</t>
  </si>
  <si>
    <t>保証書 取説 地図SD ｽﾍﾟｱｷｰ ﾜﾝｵｰﾅｰ</t>
  </si>
  <si>
    <t>名変期限3/31</t>
  </si>
  <si>
    <t>名変期限4/30</t>
  </si>
  <si>
    <t>保証書 取説 名変期限4/30</t>
  </si>
  <si>
    <t>名変期限3/13まで</t>
  </si>
  <si>
    <t>ｽﾍﾟｱｷｰ記載あり</t>
  </si>
  <si>
    <t>整備手帳　取説　ｽﾍﾟｱｷｰ</t>
  </si>
  <si>
    <t>保証書　取説　後席ﾓﾆﾀｰﾘﾓｺﾝ＆取説　ｽﾍﾟｱｷｰ</t>
  </si>
  <si>
    <t>整備手帳（保証書に印無）　取説　ｽﾍﾟｱｷｰ　ﾜﾝｵｰﾅｰ</t>
  </si>
  <si>
    <t>保証書　取説　ｽﾍﾟｱｷｰ　ﾄﾞﾗﾚｺSD　 ﾜﾝｵｰﾅｰ</t>
  </si>
  <si>
    <t>保証書　取説　ﾅﾋﾞ取　地図SD　予備ｷｰ</t>
  </si>
  <si>
    <t>保証書　取説　予備ｷｰ　　事業用</t>
  </si>
  <si>
    <t>保証書　　ﾚﾝﾀｶｰ</t>
  </si>
  <si>
    <t>保証書 取説 ｷｰﾚｽ ﾅﾋﾞ取 ﾜﾝｵｰﾅｰ</t>
  </si>
  <si>
    <t>保証書 取説 ﾜﾝｵｰﾅｰ ｽﾏｰﾄｷｰ</t>
  </si>
  <si>
    <t>保証書 取説 SD ｽﾍﾟｱｷｰ</t>
  </si>
  <si>
    <t>保証書 SD</t>
  </si>
  <si>
    <t xml:space="preserve">保証書 取説 ﾜﾝｵｰﾅｰ </t>
  </si>
  <si>
    <t>保証書 取説 ﾅﾋﾞ取 ｽﾏｰﾄｷｰ ｴﾝｼﾞﾝｽﾀｰﾀｰ</t>
  </si>
  <si>
    <t>保証書 ｽﾏｰﾄｷｰ(車内記載)</t>
  </si>
  <si>
    <t>ｽﾏｰﾄｷｰ記載あり</t>
  </si>
  <si>
    <t>保証書 取説 地図SD</t>
  </si>
  <si>
    <t>保証書 取説 ｽﾏｰﾄｷｰ 地図SD B-CAS</t>
  </si>
  <si>
    <t>保証書 地図SD ﾄﾞﾗﾚｺSD</t>
  </si>
  <si>
    <t>保証書　取説　Sｷｰ車載</t>
  </si>
  <si>
    <t>ﾚﾝﾀｶｰ　　名変期限3/31</t>
  </si>
  <si>
    <t>ｽﾍﾟｱｷｰ SD ﾜﾝｵｰﾅｰ</t>
  </si>
  <si>
    <t>保証書 取説 予備ｷｰ 名変期限3/31</t>
  </si>
  <si>
    <t>取説　SD　ｽﾍﾟｱｷｰ</t>
  </si>
  <si>
    <t>保証書　ﾅﾝﾊﾞｰ</t>
  </si>
  <si>
    <t>保証書　取説　ｽﾍﾟｱｷｰ　　</t>
  </si>
  <si>
    <t>ﾅﾋﾞ取　　名変期限3/31</t>
  </si>
  <si>
    <t>保証書　ｽﾍﾟｱｷｰ　　名変期限3/31</t>
  </si>
  <si>
    <t>保証書　ﾅﾋﾞ取　ｽﾍﾟｱｷｰ　　車検記録H27,29、R1，3，5有　　ﾜﾝｵｰﾅｰ</t>
  </si>
  <si>
    <t>整備手帳　ｽﾍﾟｱｷｰ　　ﾚﾝﾀｶｰ</t>
  </si>
  <si>
    <t>取説　ﾏｲｸﾛSD</t>
  </si>
  <si>
    <t>保証書　取説　ﾜﾝｵｰﾅｰ　　名変期限3/31</t>
  </si>
  <si>
    <t>保証書　ﾜﾝｵｰﾅｰ　　ｽﾏｰﾄｷｰX2（ﾘｽﾄに記載有り）</t>
  </si>
  <si>
    <t>保証書　取説　名変期限4/30</t>
  </si>
  <si>
    <t>地図SD　　名変期限3/31</t>
  </si>
  <si>
    <t>地図SD　ﾜﾝｵｰﾅｰ</t>
  </si>
  <si>
    <t>保証書　取説　ｽﾍﾟｱｷｰ　　ﾚﾝﾀｶｰ</t>
  </si>
  <si>
    <t>整備手帳 取説 ｽﾏｰﾄｷｰ2個記載</t>
  </si>
  <si>
    <t>保証書 sｷｰ</t>
  </si>
  <si>
    <t>ﾚﾝﾀｶｰ　　　名変期限3/31</t>
  </si>
  <si>
    <t>保証書 取説(抜粋版)</t>
  </si>
  <si>
    <t>保証書 ﾘﾓｺﾝ ｽﾏｰﾄｷｰ ﾜﾝｵｰﾅｰ 名変期限3/31</t>
  </si>
  <si>
    <t>保証書 取説 SD ﾜﾝｵｰﾅｰ</t>
  </si>
  <si>
    <t>保証書　取説　ｽﾏｰﾄｷｰX2（ﾘｽﾄに記載有）　　ﾜﾝｵｰﾅｰ</t>
  </si>
  <si>
    <t>保証書　取説　ｽﾍﾟｱｷｰ　ﾘﾓｺﾝ　ﾜﾝｵｰﾅｰ</t>
  </si>
  <si>
    <t>保証書　法人ﾜﾝｵｰﾅｰ</t>
  </si>
  <si>
    <t>保証書 取説  ｽﾏｰﾄｷｰ(記載り車内確認)</t>
  </si>
  <si>
    <t>保証書 取説 ｽﾏｰﾄｷｰ(記載あり車内確認)</t>
  </si>
  <si>
    <t>ｽﾏｰﾄｷ-(記載あり車内確認)</t>
  </si>
  <si>
    <t>保証書　取説　R4/5,R5/4,R6/4,R7/7記録有　ｽﾏｰﾄｷｰX2（ﾘｽﾄに記載）</t>
  </si>
  <si>
    <t>保証書　SD　ﾚﾝﾀｶｰ</t>
  </si>
  <si>
    <t>保証書　ｽﾏｰﾄｷｰX2（ﾘｽﾄに記載有）　ﾅﾝﾊﾞｰ</t>
  </si>
  <si>
    <t>ｷｰﾚｽX2（ﾘｽﾄに記載有）</t>
  </si>
  <si>
    <t>保証書　取説　ｷｰﾚｽ　予備ｷｰ</t>
  </si>
  <si>
    <t>保証書　取説　　ﾚﾝﾀｶｰ</t>
  </si>
  <si>
    <t>保証書　取説（抜粋版）　ｽﾍﾟｱｷｰ</t>
  </si>
  <si>
    <t>保証書　取説　地図SD　ﾜﾝｵｰﾅｰ</t>
  </si>
  <si>
    <t>保証書　ｽﾏｰﾄｷｰX2（ﾘｽﾄに記載有）　</t>
  </si>
  <si>
    <t>保証書　取説　ｽﾍﾟｱｷｰ　ﾚﾝﾀｶｰ　2023.6/1.14022㎞時ｲﾝｽﾄﾙﾒﾝﾄｸﾗｽﾀｰ交換</t>
  </si>
  <si>
    <t>保証書　取説　ｽﾏｰﾄｷｰ　ｽﾍﾟｱ　　ﾅﾝﾊﾞｰ</t>
  </si>
  <si>
    <t>保証書　取説　ｽﾍﾟｱｷｰ　　名変期限4/17</t>
  </si>
  <si>
    <t>保証書　取説　ｽﾍﾟｱｷｰ　SD</t>
  </si>
  <si>
    <t>保証書　取説　ｽﾏｰﾄｷｰ　地図SD　ﾄﾞﾗﾚｺﾏｲｸﾛSD</t>
  </si>
  <si>
    <t>保証書　取説　ﾅﾋﾞ取　SD　ｽﾍﾟｱｷｰ　ﾜﾝｵｰﾅｰ</t>
  </si>
  <si>
    <t>保証書　取説　　名変期限4/30</t>
  </si>
  <si>
    <t>保証書　取説　ﾅﾋﾞ取　SD　ｽﾏｰﾄｷｰ</t>
  </si>
  <si>
    <t>充電ｹｰﾌﾞﾙ</t>
  </si>
  <si>
    <t>保証書　取説　ｷｰﾚｽX2（ﾘｽﾄに記載有）　ﾜﾝｵｰﾅｰ</t>
  </si>
  <si>
    <t>ｽﾍﾟｱｷｰ　地図SD　B-CASｶｰﾄﾞ</t>
  </si>
  <si>
    <t>保証書　取説　ﾅﾋﾞ取　地図SD　ﾜﾝｵｰﾅｰ</t>
  </si>
  <si>
    <t>保証書　取説　ｽﾏｰﾄｷｰX2（ﾘｽﾄに記載有）　ﾚﾝﾀｶｰ</t>
  </si>
  <si>
    <t>ｽﾏｰﾄｷｰ　SD</t>
  </si>
  <si>
    <t>保証書　取説　ﾅﾋﾞ取　予備ｷｰ　ﾜﾝｵｰﾅｰ　　記録簿R5.R7有り</t>
  </si>
  <si>
    <t>保証書　取説　板ｽﾍﾟｱｷｰ　ﾜﾝｵｰﾅｰ</t>
  </si>
  <si>
    <t>保証書　取説 ﾚﾝﾀｶｰ</t>
  </si>
  <si>
    <t>保証書 取説 ｽﾏｰﾄｷｰ 記載あり車内確認</t>
  </si>
  <si>
    <t>保証書 取説 ｽﾏｰﾄｷｰ記載あり車内確認</t>
  </si>
  <si>
    <t>保証書　取説　ﾅﾋﾞ取　予備ｷｰ</t>
  </si>
  <si>
    <t>保証書　取説　予備ｷｰ　ﾄﾞﾗﾚｺ取説　ﾄﾞﾗﾚｺSD</t>
  </si>
  <si>
    <t>整備手帳　取説　ﾅﾋﾞ取　ｽﾍﾟｱｷｰ　ﾜﾝｵｰﾅｰ</t>
  </si>
  <si>
    <t>保証書　取説　　ﾅﾋﾞ取　Sｽﾏｰﾄ　ｶｰﾄﾞｷｰ</t>
  </si>
  <si>
    <t>保証書 取説 ﾅﾋﾞﾛﾑ ﾅﾋﾞ取</t>
  </si>
  <si>
    <t>ﾘﾓｺﾝ B-CAS</t>
  </si>
  <si>
    <t>ﾅﾋﾞSD</t>
  </si>
  <si>
    <t>保証書　取説　ﾅﾋﾞ取　ｽﾍﾟｱｷｰ　ﾘﾓｺﾝ　ﾜﾝｵｰﾅｰ　　　</t>
  </si>
  <si>
    <t>保証書　取説　ｽﾏｰﾄｷｰ　　ﾚﾝﾀｶｰ</t>
  </si>
  <si>
    <t>保証書　取説　SD</t>
  </si>
  <si>
    <t>取説　名変期限5/31</t>
  </si>
  <si>
    <t>保証書　取説　　名変期限5/31</t>
  </si>
  <si>
    <t>保証書　取説　　名変期限6/30</t>
  </si>
  <si>
    <t>取説　ｽﾍﾟｱｷｰ　ﾜﾝｵｰﾅｰ</t>
  </si>
  <si>
    <t>ｽﾍﾟｱｷｰ　地図SD</t>
  </si>
  <si>
    <t>保証書　取説　ｽﾏｰﾄｷｰ　</t>
  </si>
  <si>
    <t>保証書　取説　ｷｰ</t>
  </si>
  <si>
    <t>保証書　取説　ﾅﾋﾞ取　B-CASｶｰﾄﾞ　Sｽﾏｰﾄｷｰ　ﾜﾝｵｰﾅｰ</t>
  </si>
  <si>
    <t>保証書　取説　ﾘﾓｺﾝ　ﾅﾝﾊﾞｰ　　福祉車両</t>
  </si>
  <si>
    <t>ｽﾏｰﾄｷｰ×2車内確認</t>
  </si>
  <si>
    <t>保証書　予備ｷｰ</t>
  </si>
  <si>
    <t>保証書　取説　予備ｷｰ　ﾚﾝﾀｶｰ</t>
  </si>
  <si>
    <t>保証書　取説　ｽﾍﾟｱﾘﾓｺﾝ　ﾚﾝﾀｶｰ</t>
  </si>
  <si>
    <t>地図SD ｽﾍﾟｱｷｰ</t>
  </si>
  <si>
    <t>ｴﾝｼﾞﾝｽﾀｰﾀｰ</t>
  </si>
  <si>
    <t>保証書　取説　ﾅﾋﾞ取　SD　ｽﾏｰﾄｷｰ　ﾜﾝｵｰﾅｰ</t>
  </si>
  <si>
    <t>保証書　取説　ﾅﾋﾞ取　SD　ｽﾏｰﾄｷｰ　</t>
  </si>
  <si>
    <t>保証書　ﾘﾓｺﾝ</t>
  </si>
  <si>
    <t>保証書　取説　充電ｹｰﾌﾞﾙ</t>
  </si>
  <si>
    <t>保証書　取説（抜粋版）　ﾜﾝｵｰﾅｰ</t>
  </si>
  <si>
    <t>保証書　取説　地図SD　ｽﾏｰﾄｷｰ　ｶｰﾄﾞｷｰ　ﾜﾝｵｰﾅｰ</t>
  </si>
  <si>
    <t>保証書　取説　地図SD　ｽﾏｰﾄｷｰ</t>
  </si>
  <si>
    <t>保証書　取説　BMWﾃﾞｨｰﾗｰ記録簿　　ｽﾏｰﾄｷｰX2（ﾘｽﾄに記載有）</t>
  </si>
  <si>
    <t>保証書　取説　BMWﾃﾞｨｰﾗｰ記録簿　　ﾃﾞｨｽﾌﾟﾚｲｷｰ</t>
  </si>
  <si>
    <t>保証書　取説　ｽﾏｰﾄｷｰ　ﾚﾝﾀｶｰ</t>
  </si>
  <si>
    <t>保証書　取説　ﾅﾋﾞ取　ｽﾏｰﾄｷｰ　ﾚﾝﾀｶｰ</t>
  </si>
  <si>
    <t>保証書　取説　地図SD　　ﾃﾞｨｰﾗｰ記録簿有り（R3.R4.R5.R7）</t>
  </si>
  <si>
    <t>保証書 取説 ｽﾏｰﾄｷｰ2個記載 ﾜﾝｵｰﾅｰ</t>
  </si>
  <si>
    <t>取説 ｽﾏｰﾄｷｰ記載あり車内確認</t>
  </si>
  <si>
    <t>取説 ｷｰﾚｽ ﾅﾋﾞ取</t>
  </si>
  <si>
    <t>保証書 ｷｰﾚｽ ﾚﾝﾀｶｰ</t>
  </si>
  <si>
    <t>名義変更4/30まで</t>
  </si>
  <si>
    <t>整備手帳　メーター交換記録有2022/1/6　11,868㎞時（現ｵﾄﾞ40,990㎞）</t>
  </si>
  <si>
    <t>保証書 取説 予備ｷｰ ﾅﾋﾞSD</t>
  </si>
  <si>
    <t>取説 予備ｷｰ ﾅﾋﾞSD ﾅﾋﾞ取 ﾚﾝﾀｶｰ</t>
  </si>
  <si>
    <t>Sｷｰ</t>
  </si>
  <si>
    <t>保証書　取説　地図SD　ｽﾍﾟｱｷｰ　ﾜﾝｵｰﾅｰ</t>
  </si>
  <si>
    <t>保証書　地図SD　ｽﾍﾟｱｷｰ</t>
  </si>
  <si>
    <t>SD　ｽﾍﾟｱｷｰ</t>
  </si>
  <si>
    <t>地図SD　ﾐﾆB-CASｶｰﾄﾞ　ﾅﾝﾊﾞｰ</t>
  </si>
  <si>
    <t>保証書　取説　ﾅﾋﾞ取　ETC取説　ｽﾍﾟｱｽﾏｰﾄｷｰ　ﾚﾝﾀｶｰ</t>
  </si>
  <si>
    <t>ｱﾄﾞﾊﾞﾝｽｷｰX2（ﾘｽﾄに記載有）</t>
  </si>
  <si>
    <t>保証書　取説　ﾅﾋﾞ取　ｽﾍﾟｱｽﾏｰﾄｷｰ　ﾜﾝｵｰﾅｰ</t>
  </si>
  <si>
    <t>保証書　取説　ﾅﾋﾞ取　地図SD　B-CASｶｰﾄﾞ　ｽﾏｰﾄｷｰ</t>
  </si>
  <si>
    <t>保証書　取説　荷台鍵</t>
  </si>
  <si>
    <t>保証書　取説　地図SD　B-CASｶｰﾄﾞ　ﾅﾝﾊﾞｰ</t>
  </si>
  <si>
    <t xml:space="preserve">ｽﾏｰﾄｷｰ車内確認   保証書 取説 </t>
  </si>
  <si>
    <t xml:space="preserve"> ｽﾏｰﾄｷｰ車内確認   保証書 取説 </t>
  </si>
  <si>
    <t>保証書 取説  ｽﾏｰﾄｷｰ車内確認</t>
  </si>
  <si>
    <t>保証書 取説 ｷｰﾚｽ車内確認</t>
  </si>
  <si>
    <t>保証書 ｽﾍﾟｱ車内あり</t>
  </si>
  <si>
    <t>保証書 他ﾘﾓｺﾝ</t>
  </si>
  <si>
    <t>保証書 取説 ｽﾍﾟｱｷｰ SD</t>
  </si>
  <si>
    <t>SD ﾚﾝﾀｶｰ</t>
  </si>
  <si>
    <t>保証書 取説 ﾅﾋﾞ取 SD ｽﾍﾟｱｷｰ</t>
  </si>
  <si>
    <t>取説 ﾅﾋﾞ取 SD ｽﾏｰﾄｷｰ</t>
  </si>
  <si>
    <t>保証書 取説 ｽﾍﾟｱｷｰ ﾜﾝｵｰﾅｰ 名変期限5/31</t>
  </si>
  <si>
    <t xml:space="preserve">SD </t>
  </si>
  <si>
    <t>保証書　取説　SD　ｽﾏｰﾄｷｰ</t>
  </si>
  <si>
    <t>保証書　取説　ﾛｯｸﾅｯﾄ</t>
  </si>
  <si>
    <t>取説　ｽﾏｰﾄｷｰX2（ﾘｽﾄに記載有）</t>
  </si>
  <si>
    <t>ｽﾏｰﾄｷｰX2（ﾘｽﾄに記載有）</t>
  </si>
  <si>
    <t>保証書　取説　ﾃﾞｨｰﾗｰ記録簿</t>
  </si>
  <si>
    <t>保証書　取説　ｽﾍﾟｱｷｰ　</t>
  </si>
  <si>
    <t>ｽﾏｰﾄｷｰ　地図SD</t>
  </si>
  <si>
    <t>保証書　取説　ﾃﾞｨｰﾗｰ記録簿　ｽﾏｰﾄｷｰX2（ﾘｽﾄに記載有）</t>
  </si>
  <si>
    <t>事業用</t>
  </si>
  <si>
    <t>保証書　取説　ｽﾍﾟｱｷｰ　ﾚﾝﾀｶｰ</t>
  </si>
  <si>
    <t>名変期限5/23まで</t>
  </si>
  <si>
    <t>ｷｰﾚｽ車内確認     保証書 取説</t>
  </si>
  <si>
    <t>ｽﾏｰﾄｷｰ車内確認    保証書 取説</t>
  </si>
  <si>
    <t>名変期限5/26まで</t>
  </si>
  <si>
    <t>保証書 ｽﾍﾟｱｷｰ  2025/4/36606ｷﾛ時ﾒｰﾀｰ交換</t>
  </si>
  <si>
    <t>ｽﾍﾟｱｷｰ ﾜﾝｵｰﾅｰ</t>
  </si>
  <si>
    <t>保証書 取説 ｽﾍﾟｱｷｰ ｴﾝｼﾞﾝｽﾀｰﾀｰ</t>
  </si>
  <si>
    <t>保証書　取説　B-CASｶｰﾄﾞ　ﾘﾓｺﾝ</t>
  </si>
  <si>
    <t>保証書　SD　B-CASｶｰﾄﾞ</t>
  </si>
  <si>
    <t>保証書　SD　ｽﾏｰﾄｷｰ</t>
  </si>
  <si>
    <t>保証書　取説　ﾅﾋﾞ取　ｽﾍﾟｱｷｰ　ﾄﾞﾗﾚｺSD</t>
  </si>
  <si>
    <t>保証書　取説　SD　ｽﾍﾟｱｷｰ</t>
  </si>
  <si>
    <t>SD　</t>
  </si>
  <si>
    <t>保証書　取説　SD　B-CASｶｰﾄﾞ　ﾜﾝｵｰﾅｰ</t>
  </si>
  <si>
    <t>保証書　取説　ﾃﾞｨｰﾗｰ記録簿　ｷｰX2（ﾘｽﾄに記載有）</t>
  </si>
  <si>
    <t>保証書　取説　SD　ﾚﾝﾀｶｰ</t>
  </si>
  <si>
    <t>保証書　取説　ﾅﾋﾞ取　ｽﾏｰﾄｷｰ　SD</t>
  </si>
  <si>
    <t>保証書 取説 ｽﾍﾟｱｷｰ  ﾜﾝｵｰﾅｰ</t>
  </si>
  <si>
    <t>保証書　SD</t>
  </si>
  <si>
    <t>保証書　取説　ｽﾍﾟｱｷｰ　　H30、R1、2、4、5、7年記録有</t>
  </si>
  <si>
    <t>保証書　取説　ｽﾍﾟｱｷｰ　ｱﾝﾃﾅ</t>
  </si>
  <si>
    <t>名変期限5/29</t>
  </si>
  <si>
    <t>保証書　取説　ﾜﾝｵｰﾅｰ　　ｽﾏｰﾄｷｰX2（ﾘｽﾄに記載有）</t>
  </si>
  <si>
    <t>保証書　取説　ｽﾍﾟｱｽﾏｰﾄｷｰ　ｶｰﾄﾞｷｰ</t>
  </si>
  <si>
    <t>保証書　取説　ﾃﾞｨｰﾗｰ記録簿　　ｽﾏｰﾄｷｰX2（ﾘｽﾄに記載有）</t>
  </si>
  <si>
    <t>保証書　取説　B-CASｶｰﾄﾞ　ﾅﾋﾞSD　ｽﾏｰﾄｷｰ　ﾜﾝｵｰﾅｰ</t>
  </si>
  <si>
    <t>保証書　点検記録簿　ｽﾍﾟｱｷｰ　法人ﾜﾝｵｰﾅｰ</t>
  </si>
  <si>
    <t>保証書　取説　ｽﾍﾟｱｷｰ　ﾜﾝｵｰﾅｰ　　名変期限6/2</t>
  </si>
  <si>
    <t>ﾜﾝｵｰﾅｰ　　名変期限6/8</t>
  </si>
  <si>
    <t>名変期限6/26</t>
  </si>
  <si>
    <t>取説 ｽﾍﾟｱｷｰ ﾜﾝｵｰﾅｰ</t>
  </si>
  <si>
    <t xml:space="preserve">ｽﾏｰﾄｷｰ車内確認する 保証書 取説 </t>
  </si>
  <si>
    <t>整備手帳 取説  ﾜﾝｵｰﾅｰ</t>
  </si>
  <si>
    <t>保証書 取説 Ｓｷｰ ﾜﾝｵｰﾅｰ 名変期限6/14まで</t>
  </si>
  <si>
    <t>保証書 取説 ﾅﾋﾞ取説 ｽﾏｰﾄｷｰ</t>
  </si>
  <si>
    <t>ﾜﾝｵｰﾅｰ　　名変期限6/23</t>
  </si>
  <si>
    <t>保証書　取説　ﾅﾋﾞ取　地図SD　B-CASｶｰﾄﾞ</t>
  </si>
  <si>
    <t xml:space="preserve">保証書 取説 TVﾘﾓｺﾝ </t>
  </si>
  <si>
    <t>ﾜﾝｵｰﾅｰ　　</t>
  </si>
  <si>
    <t xml:space="preserve">保証書 取説 ﾅﾋﾞ取 ｽﾏｰﾄｷｰ ｶｰﾄﾞｷｰ </t>
  </si>
  <si>
    <t>Ｓｷｰ ﾜﾝｵｰﾅｰ</t>
  </si>
  <si>
    <t>B-CAS ｽﾏｰﾄｷｰ ﾜﾝｵｰﾅｰ 名変期限6/16</t>
  </si>
  <si>
    <t>保証書 取説 ﾅﾋﾞ取 SD ｽﾏｰﾄｷｰ ﾜﾝｵｰﾅｰ</t>
  </si>
  <si>
    <t>保証書 ﾘﾓｺﾝ</t>
  </si>
  <si>
    <t>取説 ﾅﾝﾊﾞｰ</t>
  </si>
  <si>
    <t>整備手帳 取説 ﾜﾝｵｰﾅｰ</t>
  </si>
  <si>
    <t>保証書 取説 ｽﾏｰﾄｷｰ ｴﾝｼﾞﾝｽﾀｰﾀｰ</t>
  </si>
  <si>
    <t>保証書 取説 ｽﾍﾟｱｷｰ ﾄﾞﾗﾚｺSD</t>
  </si>
  <si>
    <t>保証書 取説 ﾅﾋﾞ取 ｽﾍﾟｱｷｰ SD B-CAS ﾜﾝｵｰﾅｰ</t>
  </si>
  <si>
    <t>保証書 ﾜﾝｵｰﾅｰ 名変期限6/13</t>
  </si>
  <si>
    <t>保証書 取説 ｽﾍﾟｱｷｰ ﾄﾞﾗﾚｺSD ﾜﾝｵｰﾅｰ</t>
  </si>
  <si>
    <t>保証書 取説 Sｷｰ 地図SD B-CAS ﾜﾝｵｰﾅｰ</t>
  </si>
  <si>
    <t>整備手帳 取説 ｽﾍﾟｱｷｰ ﾜﾝｵｰﾅｰ</t>
  </si>
  <si>
    <t xml:space="preserve">ｽﾏｰﾄｷｰ記載 車内確認    保証書 取説 </t>
  </si>
  <si>
    <t>保証書　取説　ﾃﾞｨｰﾗｰ記録簿（R5R6R7R8）ｷｰﾚｽX2（ﾘｽﾄに記載）ﾜﾝｵｰﾅｰ</t>
  </si>
  <si>
    <t>27-4616</t>
  </si>
  <si>
    <t>JB74W-246276</t>
    <phoneticPr fontId="13"/>
  </si>
  <si>
    <t>10/5/28</t>
    <phoneticPr fontId="13"/>
  </si>
  <si>
    <t>鳥取　501　す　6376</t>
    <rPh sb="0" eb="2">
      <t>トットリ</t>
    </rPh>
    <phoneticPr fontId="13"/>
  </si>
  <si>
    <t>ｽﾏｰﾄｷｰX2（ﾘｽﾄに記載有）　名変期限6/20</t>
    <rPh sb="13" eb="16">
      <t>キサイアリ</t>
    </rPh>
    <rPh sb="18" eb="22">
      <t>メイヘンキゲン</t>
    </rPh>
    <phoneticPr fontId="13"/>
  </si>
  <si>
    <t>神戸 581 ぬ 1972</t>
    <rPh sb="0" eb="2">
      <t>コウベ</t>
    </rPh>
    <phoneticPr fontId="13"/>
  </si>
  <si>
    <t>車庫出し</t>
    <rPh sb="0" eb="3">
      <t>シャコダ</t>
    </rPh>
    <phoneticPr fontId="13"/>
  </si>
  <si>
    <t>ｷｬﾝｾﾙ返送5/21</t>
    <rPh sb="5" eb="7">
      <t>ヘンソウ</t>
    </rPh>
    <phoneticPr fontId="13"/>
  </si>
  <si>
    <t>富士山 503 の 859</t>
    <rPh sb="0" eb="3">
      <t>フジサン</t>
    </rPh>
    <phoneticPr fontId="13"/>
  </si>
  <si>
    <r>
      <t xml:space="preserve">←車内から車検証上がってきた 保証書 取説 ﾅﾋﾞ取 ｷｰﾚｽ(車内) ﾜﾝｵｰﾅｰ </t>
    </r>
    <r>
      <rPr>
        <sz val="9"/>
        <color rgb="FFFF0000"/>
        <rFont val="ＭＳ Ｐゴシック"/>
        <family val="3"/>
        <charset val="128"/>
        <scheme val="minor"/>
      </rPr>
      <t>印鑑証 委任状 譲渡証未着</t>
    </r>
    <rPh sb="1" eb="3">
      <t>シャナイ</t>
    </rPh>
    <rPh sb="5" eb="8">
      <t>シャケンショウ</t>
    </rPh>
    <rPh sb="8" eb="9">
      <t>ア</t>
    </rPh>
    <rPh sb="15" eb="18">
      <t>ホショウショ</t>
    </rPh>
    <rPh sb="19" eb="21">
      <t>トリセツ</t>
    </rPh>
    <rPh sb="25" eb="26">
      <t>トリ</t>
    </rPh>
    <rPh sb="32" eb="34">
      <t>シャナイ</t>
    </rPh>
    <rPh sb="44" eb="45">
      <t>ショウ</t>
    </rPh>
    <rPh sb="45" eb="46">
      <t>　</t>
    </rPh>
    <rPh sb="47" eb="50">
      <t>イニンジョウ</t>
    </rPh>
    <rPh sb="51" eb="52">
      <t>ユズル</t>
    </rPh>
    <rPh sb="52" eb="53">
      <t>ワタ</t>
    </rPh>
    <rPh sb="53" eb="54">
      <t>ショウ</t>
    </rPh>
    <rPh sb="54" eb="56">
      <t>ミチャク</t>
    </rPh>
    <phoneticPr fontId="13"/>
  </si>
  <si>
    <t>WBA8A52040AG58599</t>
    <phoneticPr fontId="13"/>
  </si>
  <si>
    <t>27-4617</t>
  </si>
  <si>
    <t>ﾌｨｱｯﾄ500 ﾄﾞﾙﾁｪｳﾞｨｰﾀ</t>
    <phoneticPr fontId="13"/>
  </si>
  <si>
    <t>ZFA3120000JE24797</t>
    <phoneticPr fontId="13"/>
  </si>
  <si>
    <t>27-4618</t>
  </si>
  <si>
    <t>BMW3ｼﾘｰｽﾞ 320i 4WD</t>
    <phoneticPr fontId="13"/>
  </si>
  <si>
    <t>WMWYT920203D50773</t>
    <phoneticPr fontId="13"/>
  </si>
  <si>
    <t>27-4619</t>
  </si>
  <si>
    <t>27-4620</t>
  </si>
  <si>
    <t>27-4621</t>
  </si>
  <si>
    <t>27-4622</t>
  </si>
  <si>
    <t>27-4623</t>
  </si>
  <si>
    <t>27-4624</t>
  </si>
  <si>
    <t>27-4625</t>
  </si>
  <si>
    <t>27-4626</t>
  </si>
  <si>
    <t>27-4627</t>
  </si>
  <si>
    <t>27-4628</t>
  </si>
  <si>
    <t>27-4629</t>
  </si>
  <si>
    <t>27-4630</t>
  </si>
  <si>
    <t>27-4631</t>
  </si>
  <si>
    <t>CX5 25S ﾌﾟﾛｱｸﾃｨﾌﾞ</t>
    <phoneticPr fontId="13"/>
  </si>
  <si>
    <t>KF5P-401607</t>
    <phoneticPr fontId="13"/>
  </si>
  <si>
    <t>JB64W-128330</t>
    <phoneticPr fontId="13"/>
  </si>
  <si>
    <t>ｾﾚﾅ eﾊﾟﾜｰ ﾊｲｳｪｲｽﾀｰ</t>
    <phoneticPr fontId="13"/>
  </si>
  <si>
    <t>HEC27-027162</t>
    <phoneticPr fontId="13"/>
  </si>
  <si>
    <t>MK53S-949365</t>
    <phoneticPr fontId="13"/>
  </si>
  <si>
    <t>CX5 XD ｴｸｽｸﾙｰｼ</t>
    <phoneticPr fontId="13"/>
  </si>
  <si>
    <t>KF2P-557298</t>
    <phoneticPr fontId="13"/>
  </si>
  <si>
    <t>ｱﾙﾄﾗﾊﾟﾝ LC X</t>
    <phoneticPr fontId="13"/>
  </si>
  <si>
    <t>HE33S-426396</t>
    <phoneticPr fontId="13"/>
  </si>
  <si>
    <t>MN71S-212706</t>
    <phoneticPr fontId="13"/>
  </si>
  <si>
    <t>MJ34S-370640</t>
    <phoneticPr fontId="13"/>
  </si>
  <si>
    <t>JF3-2423712</t>
    <phoneticPr fontId="13"/>
  </si>
  <si>
    <t>ｸﾗｳﾝ ﾛｲﾔﾙｻﾙｰﾝ</t>
    <phoneticPr fontId="13"/>
  </si>
  <si>
    <t>GRS210-6012122</t>
    <phoneticPr fontId="13"/>
  </si>
  <si>
    <t>CX5 XD ｽﾏｰﾄｴﾃﾞｨｼｮﾝ</t>
    <phoneticPr fontId="13"/>
  </si>
  <si>
    <t>KF2P-462934</t>
    <phoneticPr fontId="13"/>
  </si>
  <si>
    <t>S500P-0107756</t>
    <phoneticPr fontId="13"/>
  </si>
  <si>
    <t>保証書 取説 ﾅﾋﾞ取 地図SD ｽﾍﾟｱｷｰ ﾜﾝｵｰﾅｰ</t>
    <rPh sb="0" eb="3">
      <t>ホショウショ</t>
    </rPh>
    <rPh sb="4" eb="6">
      <t>トリセツ</t>
    </rPh>
    <rPh sb="10" eb="11">
      <t>トリ</t>
    </rPh>
    <rPh sb="12" eb="14">
      <t>チズ</t>
    </rPh>
    <phoneticPr fontId="13"/>
  </si>
  <si>
    <t>ｽﾍﾟｰｼｶｽﾀﾑ ﾊｲﾌﾞﾘｯﾄﾞ XSﾀｰﾎﾞ</t>
    <phoneticPr fontId="13"/>
  </si>
  <si>
    <t>保証書 取説 地図SD ｽﾏｰﾄｷｰ ﾜﾝｵｰﾅｰ</t>
    <rPh sb="0" eb="3">
      <t>ホショウショ</t>
    </rPh>
    <rPh sb="4" eb="6">
      <t>トリセツ</t>
    </rPh>
    <rPh sb="7" eb="9">
      <t>チズ</t>
    </rPh>
    <phoneticPr fontId="13"/>
  </si>
  <si>
    <t>8/8/26</t>
    <phoneticPr fontId="13"/>
  </si>
  <si>
    <t>MK53S-934545</t>
    <phoneticPr fontId="13"/>
  </si>
  <si>
    <t>ﾊｽﾗｰ 4WD Xﾀｰﾎﾞ</t>
    <phoneticPr fontId="13"/>
  </si>
  <si>
    <t>MR31S-802489</t>
    <phoneticPr fontId="13"/>
  </si>
  <si>
    <t>大阪 587 き 703</t>
    <rPh sb="0" eb="2">
      <t>オオサカ</t>
    </rPh>
    <phoneticPr fontId="13"/>
  </si>
  <si>
    <t>SD B-CAS ｽﾍﾟｱｷｰ ﾜﾝｵｰﾅｰ</t>
    <phoneticPr fontId="13"/>
  </si>
  <si>
    <t>MH85S-116317</t>
    <phoneticPr fontId="13"/>
  </si>
  <si>
    <t>N-WGN GLﾊﾟｯｹｰｼﾞ</t>
    <phoneticPr fontId="13"/>
  </si>
  <si>
    <t>JH1-143618</t>
    <phoneticPr fontId="13"/>
  </si>
  <si>
    <t>ﾑｰﾌﾞｷｬﾝﾊﾞｽ Gﾎﾜｲﾄｱｸｾﾝﾄ SA3</t>
    <phoneticPr fontId="13"/>
  </si>
  <si>
    <t>LA800S-0258823</t>
    <phoneticPr fontId="13"/>
  </si>
  <si>
    <t>MS31S-803507</t>
    <phoneticPr fontId="13"/>
  </si>
  <si>
    <t>B-CAS ｽﾍﾟｱｷｰ</t>
    <phoneticPr fontId="13"/>
  </si>
  <si>
    <t>HE33S-224974</t>
    <phoneticPr fontId="13"/>
  </si>
  <si>
    <t>DA17V-232045</t>
    <phoneticPr fontId="13"/>
  </si>
  <si>
    <t>和泉 480 つ 2836</t>
    <rPh sb="0" eb="2">
      <t>イズミ</t>
    </rPh>
    <phoneticPr fontId="13"/>
  </si>
  <si>
    <t>LA650S-0118519</t>
    <phoneticPr fontId="13"/>
  </si>
  <si>
    <t>ｽﾍﾟｰｼｶｽﾀﾑﾊｲﾌﾞﾘｯﾄﾞXS</t>
    <phoneticPr fontId="13"/>
  </si>
  <si>
    <t>MK53S-670678</t>
    <phoneticPr fontId="13"/>
  </si>
  <si>
    <t>品川 ３９Aも 1193</t>
    <rPh sb="0" eb="2">
      <t>シナガワ</t>
    </rPh>
    <phoneticPr fontId="13"/>
  </si>
  <si>
    <t>品川 5X4 ろ 4603</t>
    <rPh sb="0" eb="2">
      <t>シナガワ</t>
    </rPh>
    <phoneticPr fontId="13"/>
  </si>
  <si>
    <t>ｷｰﾚｽ (車内)保証書 取説 SD ﾘﾓｺﾝ</t>
    <rPh sb="9" eb="12">
      <t>ホショウショ</t>
    </rPh>
    <rPh sb="13" eb="15">
      <t>トリセツ</t>
    </rPh>
    <phoneticPr fontId="13"/>
  </si>
  <si>
    <t>ｷｬﾝｾﾙ予定書類もってる</t>
    <rPh sb="5" eb="7">
      <t>ヨテイ</t>
    </rPh>
    <rPh sb="7" eb="9">
      <t>ショルイ</t>
    </rPh>
    <phoneticPr fontId="13"/>
  </si>
  <si>
    <t>名古屋 326 や 5037</t>
    <rPh sb="0" eb="3">
      <t>ナゴヤ</t>
    </rPh>
    <phoneticPr fontId="13"/>
  </si>
  <si>
    <t>名古屋 487 ろ 3604</t>
    <rPh sb="0" eb="3">
      <t>ナゴヤ</t>
    </rPh>
    <phoneticPr fontId="13"/>
  </si>
  <si>
    <t>石川 580 み 3974</t>
    <rPh sb="0" eb="2">
      <t>イシカワ</t>
    </rPh>
    <phoneticPr fontId="13"/>
  </si>
  <si>
    <t>臓谷 正也</t>
    <rPh sb="0" eb="1">
      <t>ゾウ</t>
    </rPh>
    <rPh sb="1" eb="2">
      <t>タニ</t>
    </rPh>
    <rPh sb="3" eb="5">
      <t>マサヤ</t>
    </rPh>
    <phoneticPr fontId="13"/>
  </si>
  <si>
    <t>倉敷 583 そ 1325</t>
    <rPh sb="0" eb="2">
      <t>クラシキ</t>
    </rPh>
    <phoneticPr fontId="13"/>
  </si>
  <si>
    <t>倉敷 584 ち 423</t>
    <rPh sb="0" eb="2">
      <t>クラシキ</t>
    </rPh>
    <phoneticPr fontId="13"/>
  </si>
  <si>
    <t>池本 裕一</t>
    <rPh sb="0" eb="2">
      <t>イケモト</t>
    </rPh>
    <rPh sb="3" eb="5">
      <t>ユウイチ</t>
    </rPh>
    <phoneticPr fontId="13"/>
  </si>
  <si>
    <t>保証書 取説 ﾅﾋﾞ取説 ｽﾍﾟｱｷｰ ﾏｲｸﾛSD</t>
    <rPh sb="0" eb="3">
      <t>ホショウショ</t>
    </rPh>
    <rPh sb="4" eb="6">
      <t>トリセツ</t>
    </rPh>
    <rPh sb="10" eb="12">
      <t>トリセツ</t>
    </rPh>
    <phoneticPr fontId="13"/>
  </si>
  <si>
    <t>倉敷 585 め 517</t>
    <rPh sb="0" eb="2">
      <t>クラシキ</t>
    </rPh>
    <phoneticPr fontId="13"/>
  </si>
  <si>
    <t>金山 正治</t>
    <rPh sb="0" eb="2">
      <t>カナヤマ</t>
    </rPh>
    <rPh sb="3" eb="4">
      <t>マサ</t>
    </rPh>
    <rPh sb="4" eb="5">
      <t>ナオ</t>
    </rPh>
    <phoneticPr fontId="13"/>
  </si>
  <si>
    <t>峯 美恵子</t>
    <rPh sb="0" eb="1">
      <t>ミネ</t>
    </rPh>
    <rPh sb="2" eb="5">
      <t>ミエコ</t>
    </rPh>
    <phoneticPr fontId="13"/>
  </si>
  <si>
    <t>なにわ 5X1 ろ 2797</t>
    <phoneticPr fontId="13"/>
  </si>
  <si>
    <t>京都 580 わ 8344</t>
    <rPh sb="0" eb="2">
      <t>キョウト</t>
    </rPh>
    <phoneticPr fontId="13"/>
  </si>
  <si>
    <t>480 ね 6334</t>
    <phoneticPr fontId="13"/>
  </si>
  <si>
    <t>480 ね 6333</t>
    <phoneticPr fontId="13"/>
  </si>
  <si>
    <t>582 う 9837</t>
    <phoneticPr fontId="13"/>
  </si>
  <si>
    <t>ｱﾗｲ4輪小山</t>
    <rPh sb="4" eb="5">
      <t>リン</t>
    </rPh>
    <rPh sb="5" eb="7">
      <t>コヤマ</t>
    </rPh>
    <phoneticPr fontId="13"/>
  </si>
  <si>
    <t>AZSH36-4034667</t>
    <phoneticPr fontId="13"/>
  </si>
  <si>
    <t>GR1-1032574</t>
    <phoneticPr fontId="13"/>
  </si>
  <si>
    <t>GR3-1053363</t>
    <phoneticPr fontId="13"/>
  </si>
  <si>
    <t>27-4632</t>
  </si>
  <si>
    <t>27-4633</t>
  </si>
  <si>
    <t>27-4634</t>
  </si>
  <si>
    <t>27-4635</t>
  </si>
  <si>
    <t>27-4636</t>
  </si>
  <si>
    <t>27-4637</t>
  </si>
  <si>
    <t>27-4638</t>
  </si>
  <si>
    <t>27-4639</t>
  </si>
  <si>
    <t>27-4640</t>
  </si>
  <si>
    <t>27-4641</t>
  </si>
  <si>
    <t>27-4642</t>
  </si>
  <si>
    <t>27-4643</t>
  </si>
  <si>
    <t>27-4644</t>
  </si>
  <si>
    <t>27-4645</t>
  </si>
  <si>
    <t>DR17V-575670</t>
    <phoneticPr fontId="13"/>
  </si>
  <si>
    <t>NV100ｸﾘｯﾊﾟｰ CXｾｰﾌﾃｨﾊﾟｯｹｰｼﾞ</t>
    <phoneticPr fontId="13"/>
  </si>
  <si>
    <t>ﾗﾝﾄﾞﾛｰﾊﾞｰ ﾃﾞｨﾌｪﾝﾀﾞｰ5D</t>
    <phoneticPr fontId="13"/>
  </si>
  <si>
    <t>SALEA7AW8N2082644</t>
    <phoneticPr fontId="13"/>
  </si>
  <si>
    <t>ﾌｨｯﾄ ﾍﾞｰｼｯｸ</t>
    <phoneticPr fontId="13"/>
  </si>
  <si>
    <t>ｸﾗｳﾝ  ｽﾎﾟｰﾂZ HV</t>
    <phoneticPr fontId="13"/>
  </si>
  <si>
    <t>那須 331 ぬ 721</t>
    <rPh sb="0" eb="2">
      <t>ナス</t>
    </rPh>
    <phoneticPr fontId="13"/>
  </si>
  <si>
    <t>27-4646</t>
  </si>
  <si>
    <t>27-4647</t>
  </si>
  <si>
    <t>27-4648</t>
  </si>
  <si>
    <t>27-4649</t>
  </si>
  <si>
    <t>27-4650</t>
  </si>
  <si>
    <t>S700V-0096904</t>
    <phoneticPr fontId="13"/>
  </si>
  <si>
    <t>ZFA3120000JE77864</t>
    <phoneticPr fontId="13"/>
  </si>
  <si>
    <t>VW ﾃｨｸﾞｱﾝ TDI Rﾗｲﾝ ﾌﾞﾗｯｸｽﾀｲﾙ</t>
    <phoneticPr fontId="13"/>
  </si>
  <si>
    <t>WVGZZZ5NZLW881076</t>
    <phoneticPr fontId="13"/>
  </si>
  <si>
    <t>名古屋 306 ま 1573</t>
    <rPh sb="0" eb="3">
      <t>ナゴヤ</t>
    </rPh>
    <phoneticPr fontId="13"/>
  </si>
  <si>
    <t>ﾌﾟﾛﾎﾞｯｸｽﾊﾞﾝ 　ﾊｲﾌﾞﾘｯﾄﾞ GX</t>
    <phoneticPr fontId="13"/>
  </si>
  <si>
    <t>NHP160-0093118</t>
    <phoneticPr fontId="13"/>
  </si>
  <si>
    <t>27-4651</t>
  </si>
  <si>
    <t>27-4652</t>
  </si>
  <si>
    <t>27-4653</t>
  </si>
  <si>
    <t>27-4654</t>
  </si>
  <si>
    <t>27-4655</t>
  </si>
  <si>
    <t>27-4656</t>
  </si>
  <si>
    <t>27-4657</t>
  </si>
  <si>
    <t>WDD2130422A112749</t>
    <phoneticPr fontId="13"/>
  </si>
  <si>
    <t>WMWYT92023H97295</t>
    <phoneticPr fontId="13"/>
  </si>
  <si>
    <t>ﾎﾞﾙﾎﾞ V90 B6</t>
    <phoneticPr fontId="13"/>
  </si>
  <si>
    <t>YV1PW06MCM1164666</t>
    <phoneticPr fontId="13"/>
  </si>
  <si>
    <t>WBAHT920905N32066</t>
    <phoneticPr fontId="13"/>
  </si>
  <si>
    <t>W1K2060422R131223</t>
    <phoneticPr fontId="13"/>
  </si>
  <si>
    <t>ﾒﾙｾﾃﾞｽﾍﾞﾝﾂ C 200ｽﾎﾟｰﾂ</t>
    <phoneticPr fontId="13"/>
  </si>
  <si>
    <t>神戸 304 ゆ 4235</t>
    <rPh sb="0" eb="2">
      <t>コウベ</t>
    </rPh>
    <phoneticPr fontId="13"/>
  </si>
  <si>
    <t>BMW X1 Xdrive 18D</t>
    <phoneticPr fontId="13"/>
  </si>
  <si>
    <t>27-4658</t>
  </si>
  <si>
    <t>LA350S-0121815</t>
    <phoneticPr fontId="13"/>
  </si>
  <si>
    <t>ｷｬﾝﾀｰ 3ﾄﾝ ﾀﾞﾝﾌﾟ</t>
    <phoneticPr fontId="13"/>
  </si>
  <si>
    <t>FBA60-582885</t>
    <phoneticPr fontId="13"/>
  </si>
  <si>
    <t>8/6/13</t>
    <phoneticPr fontId="13"/>
  </si>
  <si>
    <t>名古屋 430 ふ 61</t>
    <rPh sb="0" eb="3">
      <t>ナゴヤ</t>
    </rPh>
    <phoneticPr fontId="13"/>
  </si>
  <si>
    <t>保証書 名変期限6/23</t>
    <rPh sb="0" eb="3">
      <t>ホショウショ</t>
    </rPh>
    <rPh sb="4" eb="8">
      <t>メイヘンキゲン</t>
    </rPh>
    <phoneticPr fontId="13"/>
  </si>
  <si>
    <t>972(74)</t>
    <phoneticPr fontId="13"/>
  </si>
  <si>
    <t>ｽﾍﾟｱｷｰ車内に入れたままと連絡あり写真あり</t>
    <rPh sb="6" eb="8">
      <t>シャナイ</t>
    </rPh>
    <rPh sb="9" eb="10">
      <t>イ</t>
    </rPh>
    <rPh sb="15" eb="17">
      <t>レンラク</t>
    </rPh>
    <rPh sb="19" eb="21">
      <t>シャシン</t>
    </rPh>
    <phoneticPr fontId="13"/>
  </si>
  <si>
    <t>保証書 ﾘﾓｺﾝ 非課税車確認OK</t>
    <rPh sb="0" eb="3">
      <t>ホショウショ</t>
    </rPh>
    <rPh sb="9" eb="12">
      <t>ヒカゼイ</t>
    </rPh>
    <rPh sb="12" eb="13">
      <t>シャ</t>
    </rPh>
    <rPh sb="13" eb="15">
      <t>カクニン</t>
    </rPh>
    <phoneticPr fontId="13"/>
  </si>
  <si>
    <t>名古屋 326 や 4273</t>
    <rPh sb="0" eb="3">
      <t>ナゴヤ</t>
    </rPh>
    <phoneticPr fontId="13"/>
  </si>
  <si>
    <t>千葉 326 つ 2978</t>
    <rPh sb="0" eb="2">
      <t>チバ</t>
    </rPh>
    <phoneticPr fontId="13"/>
  </si>
  <si>
    <t>ｺﾝﾎﾟｰﾄ株式会社</t>
    <rPh sb="6" eb="10">
      <t>カブシキガイシャ</t>
    </rPh>
    <phoneticPr fontId="13"/>
  </si>
  <si>
    <t>株式会社ｴｰ ｴﾙ ｼｰ</t>
    <rPh sb="0" eb="4">
      <t>カブシキガイシャ</t>
    </rPh>
    <phoneticPr fontId="13"/>
  </si>
  <si>
    <t>福山 331 ひ 60</t>
    <rPh sb="0" eb="2">
      <t>フクヤマ</t>
    </rPh>
    <phoneticPr fontId="13"/>
  </si>
  <si>
    <t>村上 和英</t>
    <rPh sb="0" eb="2">
      <t>ムラカミ</t>
    </rPh>
    <rPh sb="3" eb="5">
      <t>カズヒデ</t>
    </rPh>
    <phoneticPr fontId="13"/>
  </si>
  <si>
    <t>保証書  取説 整備手帳 ｷｰﾚｽ ｽﾍﾟｱｷｰ</t>
    <rPh sb="0" eb="3">
      <t>ホショウショ</t>
    </rPh>
    <rPh sb="5" eb="7">
      <t>トリセツ</t>
    </rPh>
    <rPh sb="8" eb="12">
      <t>セイビテチョウ</t>
    </rPh>
    <phoneticPr fontId="13"/>
  </si>
  <si>
    <t>磯部 修</t>
    <rPh sb="0" eb="2">
      <t>イソベ</t>
    </rPh>
    <rPh sb="3" eb="4">
      <t>オサム</t>
    </rPh>
    <phoneticPr fontId="13"/>
  </si>
  <si>
    <t>神戸 799 り 194</t>
    <rPh sb="0" eb="2">
      <t>コウベ</t>
    </rPh>
    <phoneticPr fontId="13"/>
  </si>
  <si>
    <t>取説 中古保証書(白紙)ｷｰﾚｽ</t>
    <rPh sb="0" eb="2">
      <t>トリセツ</t>
    </rPh>
    <rPh sb="3" eb="8">
      <t>チュウコホショウショ</t>
    </rPh>
    <rPh sb="9" eb="11">
      <t>ハクシ</t>
    </rPh>
    <phoneticPr fontId="13"/>
  </si>
  <si>
    <t>神戸 31C た 8118</t>
    <rPh sb="0" eb="2">
      <t>コウベ</t>
    </rPh>
    <phoneticPr fontId="13"/>
  </si>
  <si>
    <t>袖ヶ浦 376 の 8</t>
    <rPh sb="0" eb="3">
      <t>ソデガウラ</t>
    </rPh>
    <phoneticPr fontId="13"/>
  </si>
  <si>
    <t>三枝 和行</t>
    <rPh sb="0" eb="2">
      <t>サンエダ</t>
    </rPh>
    <rPh sb="3" eb="4">
      <t>カズ</t>
    </rPh>
    <rPh sb="4" eb="5">
      <t>ギョウ</t>
    </rPh>
    <phoneticPr fontId="13"/>
  </si>
  <si>
    <t>保証書 取説 ｷｰﾚｽ ﾜﾝｵｰﾅｰ 印鑑証明8/10</t>
    <rPh sb="0" eb="3">
      <t>ホショウショ</t>
    </rPh>
    <rPh sb="4" eb="6">
      <t>トリセツ</t>
    </rPh>
    <rPh sb="19" eb="23">
      <t>インカンショウメイ</t>
    </rPh>
    <phoneticPr fontId="13"/>
  </si>
  <si>
    <t>湘南 583 や 3150</t>
    <rPh sb="0" eb="2">
      <t>ショウナン</t>
    </rPh>
    <phoneticPr fontId="13"/>
  </si>
  <si>
    <t>甲斐 丈嗣</t>
    <rPh sb="0" eb="1">
      <t>コウ</t>
    </rPh>
    <rPh sb="3" eb="5">
      <t>タケツグ</t>
    </rPh>
    <phoneticPr fontId="13"/>
  </si>
  <si>
    <t>GVF55-[国]01204379</t>
    <rPh sb="7" eb="8">
      <t>クニ</t>
    </rPh>
    <phoneticPr fontId="13"/>
  </si>
  <si>
    <t>YAMATO株式会社</t>
    <rPh sb="6" eb="10">
      <t>カブシキガイシャ</t>
    </rPh>
    <phoneticPr fontId="13"/>
  </si>
  <si>
    <t>ｷｰﾚｽ(車内)保証書 取説 SD B-CAS ﾅﾋﾞ取</t>
    <rPh sb="5" eb="7">
      <t>シャナイ</t>
    </rPh>
    <rPh sb="8" eb="11">
      <t>ホショウショ</t>
    </rPh>
    <rPh sb="12" eb="14">
      <t>トリセツ</t>
    </rPh>
    <phoneticPr fontId="13"/>
  </si>
  <si>
    <t>品川 59F そ 9244</t>
    <rPh sb="0" eb="2">
      <t>シナガワ</t>
    </rPh>
    <phoneticPr fontId="13"/>
  </si>
  <si>
    <t>品川 48F ろ 7833</t>
    <rPh sb="0" eb="2">
      <t>シナガワ</t>
    </rPh>
    <phoneticPr fontId="13"/>
  </si>
  <si>
    <t>品川 49A た 2113</t>
    <rPh sb="0" eb="2">
      <t>シナガワ</t>
    </rPh>
    <phoneticPr fontId="13"/>
  </si>
  <si>
    <t>香川 399 せ 6839</t>
    <rPh sb="0" eb="2">
      <t>カガワ</t>
    </rPh>
    <phoneticPr fontId="13"/>
  </si>
  <si>
    <t>株式会社Revive</t>
    <rPh sb="0" eb="4">
      <t>カブシキガイシャ</t>
    </rPh>
    <phoneticPr fontId="13"/>
  </si>
  <si>
    <t>三重 480 ぬ 9646</t>
    <rPh sb="0" eb="2">
      <t>ミエ</t>
    </rPh>
    <phoneticPr fontId="13"/>
  </si>
  <si>
    <t>株式会社ﾄﾖﾀﾚﾝﾀﾘｰｽ三重</t>
    <rPh sb="0" eb="4">
      <t>カブシキガイシャ</t>
    </rPh>
    <rPh sb="13" eb="15">
      <t>ミエ</t>
    </rPh>
    <phoneticPr fontId="13"/>
  </si>
  <si>
    <t>三重 400 わ 6304</t>
    <rPh sb="0" eb="2">
      <t>ミエ</t>
    </rPh>
    <phoneticPr fontId="13"/>
  </si>
  <si>
    <t>名古屋 58A む 750</t>
    <rPh sb="0" eb="3">
      <t>ナゴヤ</t>
    </rPh>
    <phoneticPr fontId="13"/>
  </si>
  <si>
    <t xml:space="preserve">保証書 取説 Sｷｰ </t>
    <phoneticPr fontId="13"/>
  </si>
  <si>
    <t>馬場 智恵子</t>
    <rPh sb="0" eb="2">
      <t>ババ</t>
    </rPh>
    <rPh sb="3" eb="6">
      <t>チエコ</t>
    </rPh>
    <phoneticPr fontId="13"/>
  </si>
  <si>
    <t>品川 49A た 9196</t>
    <rPh sb="0" eb="2">
      <t>シナガワ</t>
    </rPh>
    <phoneticPr fontId="13"/>
  </si>
  <si>
    <t>谷 可奈子</t>
    <rPh sb="0" eb="1">
      <t>タニ</t>
    </rPh>
    <rPh sb="2" eb="5">
      <t>カナコ</t>
    </rPh>
    <phoneticPr fontId="13"/>
  </si>
  <si>
    <t>保証書 取説 Sｷｰ SD ﾜﾝｵｰﾅｰ</t>
    <rPh sb="0" eb="3">
      <t>ホショウショ</t>
    </rPh>
    <rPh sb="4" eb="6">
      <t>トリセツ</t>
    </rPh>
    <phoneticPr fontId="13"/>
  </si>
  <si>
    <t>品川 48H ろ 3092</t>
    <rPh sb="0" eb="2">
      <t>シナガワ</t>
    </rPh>
    <phoneticPr fontId="13"/>
  </si>
  <si>
    <t>岡山 331 ふ 5551</t>
    <rPh sb="0" eb="2">
      <t>オカヤマ</t>
    </rPh>
    <phoneticPr fontId="13"/>
  </si>
  <si>
    <t>保証書 取説 Sｷｰ ｴﾝｼﾞﾝｽﾀｰﾀｰ</t>
    <rPh sb="0" eb="3">
      <t>ホショウショ</t>
    </rPh>
    <rPh sb="4" eb="6">
      <t>トリセツ</t>
    </rPh>
    <phoneticPr fontId="13"/>
  </si>
  <si>
    <t>岡山 586 す 2288</t>
    <rPh sb="0" eb="2">
      <t>オカヤマ</t>
    </rPh>
    <phoneticPr fontId="13"/>
  </si>
  <si>
    <t>姫路 331 や 422</t>
    <rPh sb="0" eb="2">
      <t>ヒメジ</t>
    </rPh>
    <phoneticPr fontId="13"/>
  </si>
  <si>
    <t>岸本 輝</t>
    <rPh sb="0" eb="2">
      <t>キシモト</t>
    </rPh>
    <rPh sb="3" eb="4">
      <t>カガヤ</t>
    </rPh>
    <phoneticPr fontId="13"/>
  </si>
  <si>
    <t>鹿児島 502 せ 4273</t>
    <rPh sb="0" eb="3">
      <t>カゴシマ</t>
    </rPh>
    <phoneticPr fontId="13"/>
  </si>
  <si>
    <t>鹿児島ﾄﾖﾍﾟｯﾄ株式会社</t>
    <rPh sb="0" eb="3">
      <t>カゴシマ</t>
    </rPh>
    <rPh sb="9" eb="13">
      <t>カブシキガイシャ</t>
    </rPh>
    <phoneticPr fontId="13"/>
  </si>
  <si>
    <t>姫路 581 つ 6955</t>
    <rPh sb="0" eb="2">
      <t>ヒメジ</t>
    </rPh>
    <phoneticPr fontId="13"/>
  </si>
  <si>
    <t>倉敷 584 け 416</t>
    <rPh sb="0" eb="2">
      <t>クラシキ</t>
    </rPh>
    <phoneticPr fontId="13"/>
  </si>
  <si>
    <t>京都 582 に 5936</t>
    <rPh sb="0" eb="2">
      <t>キョウト</t>
    </rPh>
    <phoneticPr fontId="13"/>
  </si>
  <si>
    <t>和田 一晃</t>
    <rPh sb="0" eb="2">
      <t>ワダ</t>
    </rPh>
    <rPh sb="3" eb="4">
      <t>カズ</t>
    </rPh>
    <rPh sb="4" eb="5">
      <t>アキラ</t>
    </rPh>
    <phoneticPr fontId="13"/>
  </si>
  <si>
    <t>なにわ 581 そ 2662</t>
    <phoneticPr fontId="13"/>
  </si>
  <si>
    <t>ﾕﾆｵﾝｴﾝﾀﾆﾃｨ株式会社</t>
    <rPh sb="10" eb="14">
      <t>カブシキガイシャ</t>
    </rPh>
    <phoneticPr fontId="13"/>
  </si>
  <si>
    <t>横浜 778 も 7848</t>
    <rPh sb="0" eb="2">
      <t>ヨコハマ</t>
    </rPh>
    <phoneticPr fontId="13"/>
  </si>
  <si>
    <t>岐阜 399 の 7160</t>
    <rPh sb="0" eb="2">
      <t>ギフ</t>
    </rPh>
    <phoneticPr fontId="13"/>
  </si>
  <si>
    <t>なにわ 5X2 ろ 576</t>
    <phoneticPr fontId="13"/>
  </si>
  <si>
    <t>なにわ 5X2 ろ 578</t>
    <phoneticPr fontId="13"/>
  </si>
  <si>
    <r>
      <t xml:space="preserve">保証書 取説 </t>
    </r>
    <r>
      <rPr>
        <sz val="11"/>
        <color theme="3"/>
        <rFont val="ＭＳ Ｐゴシック"/>
        <family val="3"/>
        <charset val="128"/>
        <scheme val="minor"/>
      </rPr>
      <t xml:space="preserve"> ﾜﾝｵｰﾅｰ×ｸﾚｰﾑ済み</t>
    </r>
    <rPh sb="0" eb="3">
      <t>ホショウショ</t>
    </rPh>
    <rPh sb="4" eb="6">
      <t>トリセツ</t>
    </rPh>
    <rPh sb="19" eb="20">
      <t>ズ</t>
    </rPh>
    <phoneticPr fontId="13"/>
  </si>
  <si>
    <t>神戸 590 ぬ 126</t>
    <rPh sb="0" eb="2">
      <t>コウベ</t>
    </rPh>
    <phoneticPr fontId="13"/>
  </si>
  <si>
    <t>保証書 取説 ﾅﾋﾞ取 ｷｰﾚｽ</t>
    <rPh sb="10" eb="11">
      <t>トリ</t>
    </rPh>
    <phoneticPr fontId="13"/>
  </si>
  <si>
    <t>なにわ 5X2 ろ 1394</t>
    <phoneticPr fontId="13"/>
  </si>
  <si>
    <t>株式会社ﾚｯｸｽﾘｰｽ</t>
    <rPh sb="0" eb="4">
      <t>カブシキガイシャ</t>
    </rPh>
    <phoneticPr fontId="13"/>
  </si>
  <si>
    <t>京都 582 に 5935</t>
    <rPh sb="0" eb="2">
      <t>キョウト</t>
    </rPh>
    <phoneticPr fontId="13"/>
  </si>
  <si>
    <t>YV1ZWK8MFN2480811</t>
    <phoneticPr fontId="13"/>
  </si>
  <si>
    <t>株式会社ｱｽﾃｯｸ</t>
    <rPh sb="0" eb="4">
      <t>カブシキガイシャ</t>
    </rPh>
    <phoneticPr fontId="13"/>
  </si>
  <si>
    <t>WBA8E36040NU79214</t>
    <phoneticPr fontId="13"/>
  </si>
  <si>
    <t>加藤 温惠</t>
    <rPh sb="0" eb="2">
      <t>カトウ</t>
    </rPh>
    <rPh sb="3" eb="4">
      <t>オン</t>
    </rPh>
    <rPh sb="4" eb="5">
      <t>ケイ</t>
    </rPh>
    <phoneticPr fontId="13"/>
  </si>
  <si>
    <t xml:space="preserve"> 保証書 ｷｰﾚｽ ﾜﾝｵｰﾅｰ</t>
    <rPh sb="1" eb="4">
      <t>ホショウショ</t>
    </rPh>
    <phoneticPr fontId="13"/>
  </si>
  <si>
    <t>株式会社BRACA</t>
    <rPh sb="0" eb="4">
      <t>カブシキガイシャ</t>
    </rPh>
    <phoneticPr fontId="13"/>
  </si>
  <si>
    <r>
      <t>保証書 取説</t>
    </r>
    <r>
      <rPr>
        <sz val="11"/>
        <color rgb="FFFF0000"/>
        <rFont val="ＭＳ Ｐゴシック"/>
        <family val="3"/>
        <charset val="128"/>
        <scheme val="minor"/>
      </rPr>
      <t xml:space="preserve"> </t>
    </r>
    <r>
      <rPr>
        <sz val="11"/>
        <color theme="3"/>
        <rFont val="ＭＳ Ｐゴシック"/>
        <family val="3"/>
        <charset val="128"/>
        <scheme val="minor"/>
      </rPr>
      <t>ｽﾏｰﾄｷｰ車内に入れてると出品店</t>
    </r>
    <rPh sb="0" eb="3">
      <t>ホショウショ</t>
    </rPh>
    <rPh sb="4" eb="6">
      <t>トリセツ</t>
    </rPh>
    <rPh sb="13" eb="15">
      <t>シャナイ</t>
    </rPh>
    <rPh sb="16" eb="17">
      <t>イ</t>
    </rPh>
    <rPh sb="21" eb="24">
      <t>シュッピンテン</t>
    </rPh>
    <phoneticPr fontId="13"/>
  </si>
  <si>
    <t>空 裕子</t>
    <rPh sb="0" eb="1">
      <t>ソラ</t>
    </rPh>
    <rPh sb="2" eb="4">
      <t>ユウコ</t>
    </rPh>
    <phoneticPr fontId="13"/>
  </si>
  <si>
    <t>保証書 取説 ｷｰﾚｽ3個 ﾜﾝｵｰﾅｰ</t>
    <rPh sb="0" eb="3">
      <t>ホショウショ</t>
    </rPh>
    <rPh sb="4" eb="6">
      <t>トリセツ</t>
    </rPh>
    <rPh sb="12" eb="13">
      <t>コ</t>
    </rPh>
    <phoneticPr fontId="13"/>
  </si>
  <si>
    <t>取説がﾅﾋﾞ取だったそのまま送る</t>
    <rPh sb="0" eb="2">
      <t>トリセツ</t>
    </rPh>
    <rPh sb="6" eb="7">
      <t>トリ</t>
    </rPh>
    <rPh sb="14" eb="15">
      <t>オク</t>
    </rPh>
    <phoneticPr fontId="13"/>
  </si>
  <si>
    <t>森口 啓子</t>
    <rPh sb="0" eb="2">
      <t>モリグチ</t>
    </rPh>
    <rPh sb="3" eb="5">
      <t>ケイコ</t>
    </rPh>
    <phoneticPr fontId="13"/>
  </si>
  <si>
    <t>春日井 599 そ 7693</t>
    <rPh sb="0" eb="3">
      <t>カスガイ</t>
    </rPh>
    <phoneticPr fontId="13"/>
  </si>
  <si>
    <t>松崎 稔</t>
    <rPh sb="0" eb="2">
      <t>マツザキ</t>
    </rPh>
    <rPh sb="3" eb="4">
      <t>ミノル</t>
    </rPh>
    <phoneticPr fontId="13"/>
  </si>
  <si>
    <t xml:space="preserve">保証書 取説 ﾅﾋﾞ取 ﾏｲｸﾛ地図SD B-CAS ｷｰﾚｽ </t>
    <rPh sb="0" eb="3">
      <t>ホショウショ</t>
    </rPh>
    <rPh sb="4" eb="6">
      <t>トリセツ</t>
    </rPh>
    <rPh sb="10" eb="11">
      <t>トリ</t>
    </rPh>
    <rPh sb="16" eb="18">
      <t>チズ</t>
    </rPh>
    <phoneticPr fontId="13"/>
  </si>
  <si>
    <t>滋賀 583 ろ 1256</t>
    <rPh sb="0" eb="2">
      <t>シガ</t>
    </rPh>
    <phoneticPr fontId="13"/>
  </si>
  <si>
    <t>伊木 彩</t>
    <rPh sb="0" eb="1">
      <t>イ</t>
    </rPh>
    <rPh sb="1" eb="2">
      <t>キ</t>
    </rPh>
    <rPh sb="3" eb="4">
      <t>アヤ</t>
    </rPh>
    <phoneticPr fontId="13"/>
  </si>
  <si>
    <t>品川 5X4 ろ 3328</t>
    <rPh sb="0" eb="2">
      <t>シナガワ</t>
    </rPh>
    <phoneticPr fontId="13"/>
  </si>
  <si>
    <t>ｺｽﾓ石油販売株式会社</t>
    <rPh sb="3" eb="5">
      <t>セキユ</t>
    </rPh>
    <rPh sb="5" eb="11">
      <t>ハンバイカブシキガイシャ</t>
    </rPh>
    <phoneticPr fontId="13"/>
  </si>
  <si>
    <t>滋賀 583 ろ 1311</t>
    <rPh sb="0" eb="2">
      <t>シガ</t>
    </rPh>
    <phoneticPr fontId="13"/>
  </si>
  <si>
    <t>保証書 取説 ｷｰﾚｽ SD B-CAS ﾜﾝｵｰﾅｰ</t>
    <rPh sb="0" eb="3">
      <t>ホショウショ</t>
    </rPh>
    <rPh sb="4" eb="6">
      <t>トリセツ</t>
    </rPh>
    <phoneticPr fontId="13"/>
  </si>
  <si>
    <t>矢井田 裕介</t>
    <rPh sb="0" eb="3">
      <t>ヤイダ</t>
    </rPh>
    <rPh sb="4" eb="6">
      <t>ユウスケ</t>
    </rPh>
    <phoneticPr fontId="13"/>
  </si>
  <si>
    <t>付属品未着問い合わせ中</t>
    <rPh sb="0" eb="3">
      <t>フゾクヒン</t>
    </rPh>
    <rPh sb="3" eb="5">
      <t>ミチャク</t>
    </rPh>
    <rPh sb="5" eb="6">
      <t>ト</t>
    </rPh>
    <rPh sb="7" eb="8">
      <t>ア</t>
    </rPh>
    <rPh sb="10" eb="11">
      <t>チュウ</t>
    </rPh>
    <phoneticPr fontId="13"/>
  </si>
  <si>
    <t>姫路 581 ち 7413</t>
    <rPh sb="0" eb="2">
      <t>ヒメジ</t>
    </rPh>
    <phoneticPr fontId="13"/>
  </si>
  <si>
    <t>川戸自動車工業株式会社</t>
    <rPh sb="0" eb="2">
      <t>カワト</t>
    </rPh>
    <rPh sb="2" eb="5">
      <t>ジドウシャ</t>
    </rPh>
    <rPh sb="5" eb="7">
      <t>コウギョウ</t>
    </rPh>
    <rPh sb="7" eb="11">
      <t>カブシキガイシャ</t>
    </rPh>
    <phoneticPr fontId="13"/>
  </si>
  <si>
    <t>堺 586 ろ 5872</t>
    <rPh sb="0" eb="1">
      <t>サカイ</t>
    </rPh>
    <phoneticPr fontId="13"/>
  </si>
  <si>
    <t>倉敷 583 ら 2800</t>
    <rPh sb="0" eb="2">
      <t>クラシキ</t>
    </rPh>
    <phoneticPr fontId="13"/>
  </si>
  <si>
    <t>保証書 取説 ﾏｲｸﾛSD</t>
    <rPh sb="0" eb="3">
      <t>ホショウショ</t>
    </rPh>
    <rPh sb="4" eb="6">
      <t>トリセツ</t>
    </rPh>
    <phoneticPr fontId="13"/>
  </si>
  <si>
    <t>姫路 587 ろ 3917</t>
    <rPh sb="0" eb="2">
      <t>ヒメジ</t>
    </rPh>
    <phoneticPr fontId="13"/>
  </si>
  <si>
    <t>神田 もも</t>
    <rPh sb="0" eb="2">
      <t>カンダ</t>
    </rPh>
    <phoneticPr fontId="13"/>
  </si>
  <si>
    <t>301 の 1453</t>
    <phoneticPr fontId="13"/>
  </si>
  <si>
    <t>ｷｬﾝｾﾙ返送5/24</t>
    <rPh sb="5" eb="7">
      <t>ヘンソウ</t>
    </rPh>
    <phoneticPr fontId="13"/>
  </si>
  <si>
    <t>横浜 338 の 8558</t>
    <rPh sb="0" eb="2">
      <t>ヨコハマ</t>
    </rPh>
    <phoneticPr fontId="13"/>
  </si>
  <si>
    <t>八木下 育夫</t>
    <rPh sb="0" eb="3">
      <t>ヤギシタ</t>
    </rPh>
    <rPh sb="4" eb="6">
      <t>イクオ</t>
    </rPh>
    <phoneticPr fontId="13"/>
  </si>
  <si>
    <t>愛媛 581 ほ 5375</t>
    <rPh sb="0" eb="2">
      <t>エヒメ</t>
    </rPh>
    <phoneticPr fontId="13"/>
  </si>
  <si>
    <t>株式会社GARAGE180</t>
    <rPh sb="0" eb="4">
      <t>カブシキガイシャ</t>
    </rPh>
    <phoneticPr fontId="13"/>
  </si>
  <si>
    <t>西井 正和</t>
    <rPh sb="0" eb="2">
      <t>ニシイ</t>
    </rPh>
    <rPh sb="3" eb="5">
      <t>マサカズ</t>
    </rPh>
    <phoneticPr fontId="13"/>
  </si>
  <si>
    <t>服部 信也</t>
    <rPh sb="0" eb="2">
      <t>ハットリ</t>
    </rPh>
    <rPh sb="3" eb="5">
      <t>シンヤ</t>
    </rPh>
    <phoneticPr fontId="13"/>
  </si>
  <si>
    <t>名変期限6/25</t>
    <rPh sb="0" eb="4">
      <t>メイヘンキゲン</t>
    </rPh>
    <phoneticPr fontId="13"/>
  </si>
  <si>
    <t>長崎 330 ほ 2411</t>
    <rPh sb="0" eb="2">
      <t>ナガサキ</t>
    </rPh>
    <phoneticPr fontId="13"/>
  </si>
  <si>
    <t>神戸 39A ち 4856</t>
    <rPh sb="0" eb="2">
      <t>コウベ</t>
    </rPh>
    <phoneticPr fontId="13"/>
  </si>
  <si>
    <t>岡山 339 せ 1016</t>
    <rPh sb="0" eb="2">
      <t>オカヤマ</t>
    </rPh>
    <phoneticPr fontId="13"/>
  </si>
  <si>
    <t>広島 344 な 323</t>
    <rPh sb="0" eb="2">
      <t>ヒロシマ</t>
    </rPh>
    <phoneticPr fontId="13"/>
  </si>
  <si>
    <t>福岡 392 す 1103</t>
    <rPh sb="0" eb="2">
      <t>フクオカ</t>
    </rPh>
    <phoneticPr fontId="13"/>
  </si>
  <si>
    <t>福岡 484 ろ 6063</t>
    <rPh sb="0" eb="2">
      <t>フクオカ</t>
    </rPh>
    <phoneticPr fontId="13"/>
  </si>
  <si>
    <t>株式会社ﾄﾖﾀﾚﾝﾀﾘｰｽ福岡</t>
    <rPh sb="0" eb="4">
      <t>カブシキガイシャ</t>
    </rPh>
    <rPh sb="13" eb="15">
      <t>フクオカ</t>
    </rPh>
    <phoneticPr fontId="13"/>
  </si>
  <si>
    <t>品川 5X1 ろ 8599</t>
    <rPh sb="0" eb="2">
      <t>シナガワ</t>
    </rPh>
    <phoneticPr fontId="13"/>
  </si>
  <si>
    <t>愛媛 592 そ 125</t>
    <rPh sb="0" eb="2">
      <t>エヒメ</t>
    </rPh>
    <phoneticPr fontId="13"/>
  </si>
  <si>
    <t>田中 莉央</t>
    <rPh sb="0" eb="2">
      <t>タナカ</t>
    </rPh>
    <rPh sb="3" eb="5">
      <t>リオ</t>
    </rPh>
    <phoneticPr fontId="13"/>
  </si>
  <si>
    <t>奈良 581 な 3021</t>
    <rPh sb="0" eb="2">
      <t>ナラ</t>
    </rPh>
    <phoneticPr fontId="13"/>
  </si>
  <si>
    <t>5/23</t>
    <phoneticPr fontId="13"/>
  </si>
  <si>
    <t>名古屋 367 な 1116</t>
    <rPh sb="0" eb="3">
      <t>ナゴヤ</t>
    </rPh>
    <phoneticPr fontId="13"/>
  </si>
  <si>
    <t>堺 599 ま 7695</t>
    <rPh sb="0" eb="1">
      <t>サカイ</t>
    </rPh>
    <phoneticPr fontId="13"/>
  </si>
  <si>
    <t>名古屋 307 せ 6892</t>
    <rPh sb="0" eb="3">
      <t>ナゴヤ</t>
    </rPh>
    <phoneticPr fontId="13"/>
  </si>
  <si>
    <t>子安 茂樹</t>
    <rPh sb="0" eb="1">
      <t>コ</t>
    </rPh>
    <rPh sb="1" eb="2">
      <t>ヤス</t>
    </rPh>
    <rPh sb="3" eb="5">
      <t>シゲキ</t>
    </rPh>
    <phoneticPr fontId="13"/>
  </si>
  <si>
    <t>大阪 332 そ 181</t>
    <rPh sb="0" eb="2">
      <t>オオサカ</t>
    </rPh>
    <phoneticPr fontId="13"/>
  </si>
  <si>
    <t>北九州 399 て 9495</t>
    <rPh sb="0" eb="3">
      <t>キタキュウシュウ</t>
    </rPh>
    <phoneticPr fontId="13"/>
  </si>
  <si>
    <t>福岡 39A ち 7786</t>
    <rPh sb="0" eb="2">
      <t>フクオカ</t>
    </rPh>
    <phoneticPr fontId="13"/>
  </si>
  <si>
    <t>福岡 335 の 1991</t>
    <rPh sb="0" eb="2">
      <t>フクオカ</t>
    </rPh>
    <phoneticPr fontId="13"/>
  </si>
  <si>
    <t>和泉 582 う 7962</t>
    <rPh sb="0" eb="2">
      <t>イズミ</t>
    </rPh>
    <phoneticPr fontId="13"/>
  </si>
  <si>
    <t>保証書 取説 ｽﾍﾟｱｷｰ ﾏｲｸﾛSD ﾅﾝﾊﾞｰ</t>
    <rPh sb="0" eb="3">
      <t>ホショウショ</t>
    </rPh>
    <rPh sb="4" eb="6">
      <t>トリセツ</t>
    </rPh>
    <phoneticPr fontId="13"/>
  </si>
  <si>
    <t>品川 59F ち 3108</t>
    <rPh sb="0" eb="2">
      <t>シナガワ</t>
    </rPh>
    <phoneticPr fontId="13"/>
  </si>
  <si>
    <t>品川 59F ち 3104</t>
    <rPh sb="0" eb="2">
      <t>シナガワ</t>
    </rPh>
    <phoneticPr fontId="13"/>
  </si>
  <si>
    <t>舩橋 510 せ 1014</t>
    <rPh sb="0" eb="2">
      <t>フナバシ</t>
    </rPh>
    <phoneticPr fontId="13"/>
  </si>
  <si>
    <t>佐保 よし乃</t>
    <rPh sb="0" eb="2">
      <t>サホ</t>
    </rPh>
    <rPh sb="5" eb="6">
      <t>ノ</t>
    </rPh>
    <phoneticPr fontId="13"/>
  </si>
  <si>
    <t>なにわ 39A ら 5446</t>
    <phoneticPr fontId="13"/>
  </si>
  <si>
    <t>和泉 583 う 3880</t>
    <rPh sb="0" eb="2">
      <t>イズミ</t>
    </rPh>
    <phoneticPr fontId="13"/>
  </si>
  <si>
    <t>大阪 582 ぬ 1865</t>
    <rPh sb="0" eb="2">
      <t>オオサカ</t>
    </rPh>
    <phoneticPr fontId="13"/>
  </si>
  <si>
    <t>なにわ 480 ね 1743</t>
    <phoneticPr fontId="13"/>
  </si>
  <si>
    <t>桑原 孝</t>
    <rPh sb="0" eb="2">
      <t>クワハラ</t>
    </rPh>
    <rPh sb="3" eb="4">
      <t>タカシ</t>
    </rPh>
    <phoneticPr fontId="13"/>
  </si>
  <si>
    <t>広島 582 う 3606</t>
    <rPh sb="0" eb="2">
      <t>ヒロシマ</t>
    </rPh>
    <phoneticPr fontId="13"/>
  </si>
  <si>
    <t>株式会社ﾍｯｼﾞﾎｯｸﾞ</t>
    <rPh sb="0" eb="4">
      <t>カブシキガイシャ</t>
    </rPh>
    <phoneticPr fontId="13"/>
  </si>
  <si>
    <t>多摩 799 ひ 7329</t>
    <rPh sb="0" eb="2">
      <t>タマ</t>
    </rPh>
    <phoneticPr fontId="13"/>
  </si>
  <si>
    <t>多摩 799 ひ 7335</t>
    <rPh sb="0" eb="2">
      <t>タマ</t>
    </rPh>
    <phoneticPr fontId="13"/>
  </si>
  <si>
    <t>多摩 799 ひ 7336</t>
    <rPh sb="0" eb="2">
      <t>タマ</t>
    </rPh>
    <phoneticPr fontId="13"/>
  </si>
  <si>
    <t>多摩 799 ひ 7376</t>
    <rPh sb="0" eb="2">
      <t>タマ</t>
    </rPh>
    <phoneticPr fontId="13"/>
  </si>
  <si>
    <t>品川 899 な 3956</t>
    <rPh sb="0" eb="2">
      <t>シナガワ</t>
    </rPh>
    <phoneticPr fontId="13"/>
  </si>
  <si>
    <t>三河 584 ろ 3123</t>
    <rPh sb="0" eb="2">
      <t>ミカワ</t>
    </rPh>
    <phoneticPr fontId="13"/>
  </si>
  <si>
    <t>和泉 582 う 7961</t>
    <rPh sb="0" eb="2">
      <t>イズミ</t>
    </rPh>
    <phoneticPr fontId="13"/>
  </si>
  <si>
    <t>保証書 取説 ｷｰﾚｽ ﾅﾋﾞ取 ﾏｲｸﾛSD ﾜﾝｵｰﾅｰ</t>
    <rPh sb="0" eb="3">
      <t>ホショウショ</t>
    </rPh>
    <rPh sb="4" eb="6">
      <t>トリセツ</t>
    </rPh>
    <rPh sb="15" eb="16">
      <t>トリ</t>
    </rPh>
    <phoneticPr fontId="13"/>
  </si>
  <si>
    <t>非課税連絡きたら伴さんへ報告</t>
    <rPh sb="0" eb="3">
      <t>ヒカゼイ</t>
    </rPh>
    <rPh sb="3" eb="5">
      <t>レンラク</t>
    </rPh>
    <rPh sb="8" eb="9">
      <t>バン</t>
    </rPh>
    <rPh sb="12" eb="14">
      <t>ホウコク</t>
    </rPh>
    <phoneticPr fontId="13"/>
  </si>
  <si>
    <t>ZRR80-0344195</t>
    <phoneticPr fontId="13"/>
  </si>
  <si>
    <t>N-BOX G 特別仕様車SS</t>
    <rPh sb="8" eb="13">
      <t>トクベツシヨウシャ</t>
    </rPh>
    <phoneticPr fontId="13"/>
  </si>
  <si>
    <t>JF1-1991152</t>
    <phoneticPr fontId="13"/>
  </si>
  <si>
    <t>ｼﾞｭｰｸ</t>
    <phoneticPr fontId="13"/>
  </si>
  <si>
    <t>YF15-605189</t>
    <phoneticPr fontId="13"/>
  </si>
  <si>
    <t>MR92S-535858</t>
    <phoneticPr fontId="13"/>
  </si>
  <si>
    <t>LA600S-0536818</t>
    <phoneticPr fontId="13"/>
  </si>
  <si>
    <t>ｸﾗｳﾝ ﾊｲﾌﾞﾘｯﾄﾞRS</t>
    <phoneticPr fontId="13"/>
  </si>
  <si>
    <t>AZSH20-1039542</t>
    <phoneticPr fontId="13"/>
  </si>
  <si>
    <t>ZVW51-8039336</t>
    <phoneticPr fontId="13"/>
  </si>
  <si>
    <t>AGH30-9036969</t>
    <phoneticPr fontId="13"/>
  </si>
  <si>
    <t>HE33S-503347</t>
    <phoneticPr fontId="13"/>
  </si>
  <si>
    <t>ATH20-8033891</t>
    <phoneticPr fontId="13"/>
  </si>
  <si>
    <t>ﾌﾟﾚﾐｵ 助手席回転スライド</t>
    <rPh sb="6" eb="9">
      <t>ジョシュセキ</t>
    </rPh>
    <rPh sb="9" eb="11">
      <t>カイテン</t>
    </rPh>
    <phoneticPr fontId="13"/>
  </si>
  <si>
    <t>ZRT260-3114144</t>
    <phoneticPr fontId="13"/>
  </si>
  <si>
    <t>非課税連絡</t>
    <rPh sb="0" eb="5">
      <t>ヒカゼイレンラク</t>
    </rPh>
    <phoneticPr fontId="13"/>
  </si>
  <si>
    <t>GRS200-0042307</t>
    <phoneticPr fontId="13"/>
  </si>
  <si>
    <t>ﾔﾘｽ X</t>
    <phoneticPr fontId="13"/>
  </si>
  <si>
    <t>KSP210-0042307</t>
    <phoneticPr fontId="13"/>
  </si>
  <si>
    <t>HE33S-216198</t>
    <phoneticPr fontId="13"/>
  </si>
  <si>
    <t>MK21S-248372</t>
    <phoneticPr fontId="13"/>
  </si>
  <si>
    <t>LA300S-1426113</t>
    <phoneticPr fontId="13"/>
  </si>
  <si>
    <t>S321V-0445594</t>
    <phoneticPr fontId="13"/>
  </si>
  <si>
    <t>LA650S-0115319</t>
    <phoneticPr fontId="13"/>
  </si>
  <si>
    <t>VM20-133048</t>
    <phoneticPr fontId="13"/>
  </si>
  <si>
    <t>HA36S-611827</t>
    <phoneticPr fontId="13"/>
  </si>
  <si>
    <t>LA300S-1362470</t>
    <phoneticPr fontId="13"/>
  </si>
  <si>
    <t>LA600S-0257660</t>
    <phoneticPr fontId="13"/>
  </si>
  <si>
    <t>ZRR80-0424238</t>
    <phoneticPr fontId="13"/>
  </si>
  <si>
    <t>LA400S-0052878</t>
    <phoneticPr fontId="13"/>
  </si>
  <si>
    <t>ZVW30-5764210</t>
    <phoneticPr fontId="13"/>
  </si>
  <si>
    <t>B21A-0340937</t>
    <phoneticPr fontId="13"/>
  </si>
  <si>
    <t>LA650S-0143335</t>
    <phoneticPr fontId="13"/>
  </si>
  <si>
    <t>DA17W-210590</t>
    <phoneticPr fontId="13"/>
  </si>
  <si>
    <t>LA650S-0139321</t>
    <phoneticPr fontId="13"/>
  </si>
  <si>
    <t>S321V-0492321</t>
    <phoneticPr fontId="13"/>
  </si>
  <si>
    <t>A401235</t>
    <phoneticPr fontId="13"/>
  </si>
  <si>
    <t>GDJ250-0010775</t>
    <phoneticPr fontId="13"/>
  </si>
  <si>
    <t>A403683</t>
    <phoneticPr fontId="13"/>
  </si>
  <si>
    <t>LA650S-0288174</t>
    <phoneticPr fontId="13"/>
  </si>
  <si>
    <t>A401668</t>
    <phoneticPr fontId="13"/>
  </si>
  <si>
    <t>ｼｴﾝﾀ ﾊｲﾌﾞﾘｯﾄﾞﾌｧﾝﾍﾞｰｽG</t>
    <phoneticPr fontId="13"/>
  </si>
  <si>
    <t>NHP170-7241301</t>
    <phoneticPr fontId="13"/>
  </si>
  <si>
    <t>A400084</t>
    <phoneticPr fontId="13"/>
  </si>
  <si>
    <t>ﾎﾝﾀﾞ e ﾍﾞｰｽｸﾞﾚｰﾄﾞ</t>
    <phoneticPr fontId="13"/>
  </si>
  <si>
    <t>ZC7-1001423</t>
    <phoneticPr fontId="13"/>
  </si>
  <si>
    <t>A404612</t>
    <phoneticPr fontId="13"/>
  </si>
  <si>
    <t>AZSH32-0001663</t>
    <phoneticPr fontId="13"/>
  </si>
  <si>
    <t>A403730</t>
    <phoneticPr fontId="13"/>
  </si>
  <si>
    <t>ｶﾛｰﾗﾂｰﾘﾝｸﾞ ﾊｲﾌﾞﾘｯﾄﾞﾀﾞﾌﾞﾙﾊﾞｲﾋﾞｰ</t>
    <phoneticPr fontId="13"/>
  </si>
  <si>
    <t>ZWE211-6023673</t>
    <phoneticPr fontId="13"/>
  </si>
  <si>
    <t>A402608</t>
    <phoneticPr fontId="13"/>
  </si>
  <si>
    <t>GDH201-1067383</t>
    <phoneticPr fontId="13"/>
  </si>
  <si>
    <t>整備手帳 取説 ﾜﾝｵｰﾅｰ</t>
    <rPh sb="0" eb="4">
      <t>セイビテチョウ</t>
    </rPh>
    <rPh sb="5" eb="7">
      <t>トリセツ</t>
    </rPh>
    <phoneticPr fontId="13"/>
  </si>
  <si>
    <t>A402636</t>
    <phoneticPr fontId="13"/>
  </si>
  <si>
    <t>LA350S-0247458</t>
    <phoneticPr fontId="13"/>
  </si>
  <si>
    <t>整備手帳 取説 ｽﾍﾟｱｷｰ ﾜﾝｵｰﾅｰ</t>
    <rPh sb="0" eb="4">
      <t>セイビテチョウ</t>
    </rPh>
    <rPh sb="5" eb="7">
      <t>トリセツ</t>
    </rPh>
    <phoneticPr fontId="13"/>
  </si>
  <si>
    <t>A344274</t>
    <phoneticPr fontId="13"/>
  </si>
  <si>
    <t>GDJ250-0024026</t>
    <phoneticPr fontId="13"/>
  </si>
  <si>
    <t>ｸﾗｳﾝ ｴｽﾃｰﾄZ</t>
    <phoneticPr fontId="13"/>
  </si>
  <si>
    <t>A403346</t>
    <phoneticPr fontId="13"/>
  </si>
  <si>
    <t>AZSH38-4012266</t>
    <phoneticPr fontId="13"/>
  </si>
  <si>
    <t>ｼﾞｬｶﾞｰ Eﾍﾟｲｽ Rﾀﾞｲﾅﾐｯｸ HSE250PS</t>
    <phoneticPr fontId="13"/>
  </si>
  <si>
    <t>SADF2AX2K1Z72506</t>
    <phoneticPr fontId="13"/>
  </si>
  <si>
    <t>BMWﾐﾆ ｸﾛｽｵｰﾊﾞｰ ﾊﾞｯｷﾝｶﾞﾑ</t>
    <phoneticPr fontId="13"/>
  </si>
  <si>
    <t>WMWYV720103F10463</t>
    <phoneticPr fontId="13"/>
  </si>
  <si>
    <t>保証書 取説 予備ｷｰ</t>
    <rPh sb="0" eb="3">
      <t>ホショウショ</t>
    </rPh>
    <rPh sb="4" eb="6">
      <t>トリセツ</t>
    </rPh>
    <rPh sb="7" eb="9">
      <t>ヨビ</t>
    </rPh>
    <phoneticPr fontId="13"/>
  </si>
  <si>
    <t>ﾉｱ Si WxB</t>
    <phoneticPr fontId="13"/>
  </si>
  <si>
    <t>堺 300 ま 7351</t>
    <rPh sb="0" eb="1">
      <t>サカイ</t>
    </rPh>
    <phoneticPr fontId="13"/>
  </si>
  <si>
    <t>ｱﾙﾌｧｰﾄﾞ S ｺﾞｰﾙﾄﾞ2</t>
    <phoneticPr fontId="13"/>
  </si>
  <si>
    <t>取説 ｽﾏｰﾄｷｰ</t>
    <rPh sb="0" eb="2">
      <t>トリセツ</t>
    </rPh>
    <phoneticPr fontId="13"/>
  </si>
  <si>
    <t>ﾀﾝﾄ ｶｽﾀﾑX ﾄｯﾌﾟｴﾃﾞｨｼｮﾝSA3</t>
    <phoneticPr fontId="13"/>
  </si>
  <si>
    <t>10/7/31</t>
    <phoneticPr fontId="13"/>
  </si>
  <si>
    <t>22/？</t>
    <phoneticPr fontId="13"/>
  </si>
  <si>
    <t>ｳﾞｪﾙﾌｧｲｱﾊｲﾌﾞﾘｯﾄﾞ ZR G Iｴﾃﾞｨｼｮﾝ</t>
    <phoneticPr fontId="13"/>
  </si>
  <si>
    <t>27-4659</t>
  </si>
  <si>
    <t>27-4660</t>
  </si>
  <si>
    <t>27-4661</t>
  </si>
  <si>
    <t>27-4662</t>
  </si>
  <si>
    <t>27-4663</t>
  </si>
  <si>
    <t>27-4664</t>
  </si>
  <si>
    <t>27-4665</t>
  </si>
  <si>
    <t>27-4666</t>
  </si>
  <si>
    <t>27-4667</t>
  </si>
  <si>
    <t>27-4668</t>
  </si>
  <si>
    <t>27-4669</t>
  </si>
  <si>
    <t>27-4670</t>
  </si>
  <si>
    <t>27-4671</t>
  </si>
  <si>
    <t>WMWLR920602F96045</t>
    <phoneticPr fontId="13"/>
  </si>
  <si>
    <t>BMWﾐﾆｸｰﾊﾟｰD  ｸﾛｽｵｰﾊﾞｰ</t>
    <phoneticPr fontId="13"/>
  </si>
  <si>
    <t>WMW62BT003N78252</t>
    <phoneticPr fontId="13"/>
  </si>
  <si>
    <t xml:space="preserve">ｽﾍﾟｱｷｰ記載あり 保証書 </t>
    <rPh sb="6" eb="8">
      <t>キサイ</t>
    </rPh>
    <rPh sb="11" eb="14">
      <t>ホショウショ</t>
    </rPh>
    <phoneticPr fontId="13"/>
  </si>
  <si>
    <t>ﾗﾝﾄﾞﾛｰﾊﾞｰ LR ｲｳﾞｫｰｸ RﾀﾞｲﾅﾐｯｸSE 250</t>
    <phoneticPr fontId="13"/>
  </si>
  <si>
    <t>SALZA2AX0LH004477</t>
    <phoneticPr fontId="13"/>
  </si>
  <si>
    <t>岡崎 300 ま 4124</t>
    <rPh sb="0" eb="2">
      <t>オカザキ</t>
    </rPh>
    <phoneticPr fontId="13"/>
  </si>
  <si>
    <t>付属品</t>
    <rPh sb="0" eb="3">
      <t>フゾクヒン</t>
    </rPh>
    <phoneticPr fontId="13"/>
  </si>
  <si>
    <t>27-4672</t>
  </si>
  <si>
    <t>27-4673</t>
  </si>
  <si>
    <t>27-4674</t>
  </si>
  <si>
    <t>富山 332 つ 753</t>
    <rPh sb="0" eb="2">
      <t>トヤマ</t>
    </rPh>
    <phoneticPr fontId="13"/>
  </si>
  <si>
    <t>ﾀﾝﾄ X SA</t>
    <phoneticPr fontId="13"/>
  </si>
  <si>
    <t>名古屋 58A む 6987</t>
    <rPh sb="0" eb="3">
      <t>ナゴヤ</t>
    </rPh>
    <phoneticPr fontId="13"/>
  </si>
  <si>
    <t>NV200ﾊﾞﾈｯﾄﾊﾞﾝ GX</t>
    <phoneticPr fontId="13"/>
  </si>
  <si>
    <t>ﾊｲｾﾞｯﾄｶｰｺﾞ ｽﾍﾟｼｬﾙ SA3</t>
    <phoneticPr fontId="13"/>
  </si>
  <si>
    <t>ﾐﾗｲｰｽ XﾘﾐﾃｯﾄﾞSA</t>
    <phoneticPr fontId="13"/>
  </si>
  <si>
    <t>ｱﾙﾄﾗﾊﾟﾝ  4WD-S</t>
    <phoneticPr fontId="13"/>
  </si>
  <si>
    <t>27-4675</t>
  </si>
  <si>
    <t>27-4676</t>
  </si>
  <si>
    <t>27-4677</t>
  </si>
  <si>
    <t>27-4678</t>
  </si>
  <si>
    <t>27-4679</t>
  </si>
  <si>
    <t>27-4680</t>
  </si>
  <si>
    <t>27-4681</t>
  </si>
  <si>
    <t>27-4682</t>
  </si>
  <si>
    <t>27-4683</t>
  </si>
  <si>
    <t>27-4684</t>
  </si>
  <si>
    <t>27-4685</t>
  </si>
  <si>
    <t>27-4686</t>
  </si>
  <si>
    <t>27-4687</t>
  </si>
  <si>
    <t>27-4688</t>
  </si>
  <si>
    <t>27-4689</t>
  </si>
  <si>
    <t>27-4690</t>
  </si>
  <si>
    <t>27-4691</t>
  </si>
  <si>
    <t>27-4692</t>
  </si>
  <si>
    <t>27-4693</t>
  </si>
  <si>
    <t>27-4694</t>
  </si>
  <si>
    <t>27-4695</t>
  </si>
  <si>
    <t>27-4696</t>
  </si>
  <si>
    <t>27-4697</t>
  </si>
  <si>
    <t>YV1FWA8RDH1361909</t>
    <phoneticPr fontId="13"/>
  </si>
  <si>
    <t>WMWXY320802N03475</t>
    <phoneticPr fontId="13"/>
  </si>
  <si>
    <t>徳島 347 も 18</t>
    <rPh sb="0" eb="2">
      <t>トクシマ</t>
    </rPh>
    <phoneticPr fontId="13"/>
  </si>
  <si>
    <t>ﾒﾙｾﾃﾞｽﾍﾞﾝﾂ Cｸﾗｽ C250 ｽﾎﾟｰﾂ</t>
    <phoneticPr fontId="13"/>
  </si>
  <si>
    <t>WDD2052452F430459</t>
    <phoneticPr fontId="13"/>
  </si>
  <si>
    <t>保証書 取説 ｽﾍﾟｱｷｰ ｽﾀｰﾄﾎﾞﾀﾝ</t>
    <rPh sb="0" eb="3">
      <t>ホショウショ</t>
    </rPh>
    <rPh sb="4" eb="6">
      <t>トリセツ</t>
    </rPh>
    <phoneticPr fontId="13"/>
  </si>
  <si>
    <t>BMW 318i ｸﾗｼｯｸ</t>
    <phoneticPr fontId="13"/>
  </si>
  <si>
    <t>WBA8E36060NU79344</t>
    <phoneticPr fontId="13"/>
  </si>
  <si>
    <t>BMWﾐﾆ ｸﾛｽｵｰﾊﾞｰ SD</t>
    <phoneticPr fontId="13"/>
  </si>
  <si>
    <t>WMW22BU0203M38782</t>
    <phoneticPr fontId="13"/>
  </si>
  <si>
    <t>京都 480 は 9500</t>
    <rPh sb="0" eb="2">
      <t>キョウト</t>
    </rPh>
    <phoneticPr fontId="13"/>
  </si>
  <si>
    <t>堺 580 ぬ 3190</t>
    <rPh sb="0" eb="1">
      <t>サカイ</t>
    </rPh>
    <phoneticPr fontId="13"/>
  </si>
  <si>
    <t>保証書 地図SD ｽﾍﾟｱｷｰ</t>
    <rPh sb="0" eb="3">
      <t>ホショウショ</t>
    </rPh>
    <rPh sb="4" eb="6">
      <t>チズ</t>
    </rPh>
    <phoneticPr fontId="13"/>
  </si>
  <si>
    <t>VF1AHB22AJ0770525</t>
    <phoneticPr fontId="13"/>
  </si>
  <si>
    <t>9/3/5</t>
    <phoneticPr fontId="13"/>
  </si>
  <si>
    <t>なにわ 534 ね 80</t>
    <phoneticPr fontId="13"/>
  </si>
  <si>
    <t>コペン ﾛｰﾌﾟ</t>
    <phoneticPr fontId="13"/>
  </si>
  <si>
    <t>10/1/24</t>
    <phoneticPr fontId="13"/>
  </si>
  <si>
    <t>香川 581 た 5628</t>
    <rPh sb="0" eb="2">
      <t>カガワ</t>
    </rPh>
    <phoneticPr fontId="13"/>
  </si>
  <si>
    <t>27-4698</t>
  </si>
  <si>
    <t>27-4699</t>
  </si>
  <si>
    <t>27-4700</t>
  </si>
  <si>
    <t>27-4701</t>
  </si>
  <si>
    <t>27-4702</t>
  </si>
  <si>
    <t>27-4703</t>
  </si>
  <si>
    <t>27-4704</t>
  </si>
  <si>
    <t>27-4705</t>
  </si>
  <si>
    <t>27-4706</t>
  </si>
  <si>
    <t>27-4707</t>
  </si>
  <si>
    <t>27-4708</t>
  </si>
  <si>
    <t>27-4709</t>
  </si>
  <si>
    <t>5/25</t>
    <phoneticPr fontId="13"/>
  </si>
  <si>
    <t>広島 583 か 3066</t>
    <rPh sb="0" eb="2">
      <t>ヒロシマ</t>
    </rPh>
    <phoneticPr fontId="13"/>
  </si>
  <si>
    <t>ｷｬﾝｾﾙ返送5/25</t>
    <rPh sb="5" eb="7">
      <t>ヘンソウ</t>
    </rPh>
    <phoneticPr fontId="13"/>
  </si>
  <si>
    <t>姫路 501 ゆ 5765</t>
    <rPh sb="0" eb="2">
      <t>ヒメジ</t>
    </rPh>
    <phoneticPr fontId="13"/>
  </si>
  <si>
    <t>旧 27-3754</t>
    <rPh sb="0" eb="1">
      <t>キュウ</t>
    </rPh>
    <phoneticPr fontId="13"/>
  </si>
  <si>
    <t>旧 27-3879</t>
    <rPh sb="0" eb="1">
      <t>キュウ</t>
    </rPh>
    <phoneticPr fontId="13"/>
  </si>
  <si>
    <t>地図SD(車内)保証書 取説 ﾅﾋﾞ取説 ｽﾍﾟｱｷｰ ﾚﾝﾀｶｰ</t>
    <rPh sb="0" eb="2">
      <t>チズ</t>
    </rPh>
    <rPh sb="8" eb="11">
      <t>ホショウショ</t>
    </rPh>
    <rPh sb="12" eb="14">
      <t>トリセツ</t>
    </rPh>
    <rPh sb="18" eb="20">
      <t>トリセツ</t>
    </rPh>
    <phoneticPr fontId="13"/>
  </si>
  <si>
    <t>ｷｰﾚｽ(車内)保証書 取説 ﾜﾝｵｰﾅｰ？</t>
    <rPh sb="8" eb="11">
      <t>ホショウショ</t>
    </rPh>
    <rPh sb="12" eb="14">
      <t>トリセツ</t>
    </rPh>
    <phoneticPr fontId="13"/>
  </si>
  <si>
    <t>ﾏｲｸﾛSD(車内)保証書 取説 ｷｰﾚｽ 印鑑証明7/22</t>
    <rPh sb="10" eb="13">
      <t>ホショウショ</t>
    </rPh>
    <rPh sb="14" eb="16">
      <t>トリセツ</t>
    </rPh>
    <rPh sb="22" eb="26">
      <t>インカンショウメイ</t>
    </rPh>
    <phoneticPr fontId="13"/>
  </si>
  <si>
    <t>整備手帳 ﾚﾝﾀｶｰ</t>
    <rPh sb="0" eb="4">
      <t>セイビテチョウ</t>
    </rPh>
    <phoneticPr fontId="13"/>
  </si>
  <si>
    <t>A403585</t>
    <phoneticPr fontId="13"/>
  </si>
  <si>
    <t>ｾﾚﾅ e ﾊﾟﾜｰ ﾊｲｳｪｲｽﾀｰ</t>
    <phoneticPr fontId="13"/>
  </si>
  <si>
    <t>GFC28-037511</t>
    <phoneticPr fontId="13"/>
  </si>
  <si>
    <t>YV1UZL1MCM1851698</t>
    <phoneticPr fontId="13"/>
  </si>
  <si>
    <t>ｽﾏｰﾄｷｰ記載有車内確認     保証書 取説</t>
    <rPh sb="6" eb="9">
      <t>キサイアリ</t>
    </rPh>
    <rPh sb="9" eb="11">
      <t>シャナイ</t>
    </rPh>
    <rPh sb="11" eb="13">
      <t>カクニン</t>
    </rPh>
    <rPh sb="18" eb="21">
      <t>ホショウショ</t>
    </rPh>
    <rPh sb="22" eb="24">
      <t>トリセツ</t>
    </rPh>
    <phoneticPr fontId="13"/>
  </si>
  <si>
    <t>WMW42BT0803M64135</t>
    <phoneticPr fontId="13"/>
  </si>
  <si>
    <t>WMW12DV0702R53501</t>
    <phoneticPr fontId="13"/>
  </si>
  <si>
    <t>名古屋 307 す 829</t>
    <rPh sb="0" eb="3">
      <t>ナゴヤ</t>
    </rPh>
    <phoneticPr fontId="13"/>
  </si>
  <si>
    <t>ｽﾏｰﾄｷｰ記載有車内確認    取説</t>
    <rPh sb="17" eb="19">
      <t>トリセツ</t>
    </rPh>
    <phoneticPr fontId="13"/>
  </si>
  <si>
    <t>BMWﾐﾆﾜﾝ ｳﾞｨｸﾄﾘｱ</t>
    <phoneticPr fontId="13"/>
  </si>
  <si>
    <t>WMWXR12050TE88335</t>
    <phoneticPr fontId="13"/>
  </si>
  <si>
    <t>P15-059982</t>
    <phoneticPr fontId="13"/>
  </si>
  <si>
    <t>一宮 300 は 3182</t>
    <rPh sb="0" eb="2">
      <t>イチノミヤ</t>
    </rPh>
    <phoneticPr fontId="13"/>
  </si>
  <si>
    <t>ﾚｸｻｽ GS450h</t>
    <phoneticPr fontId="13"/>
  </si>
  <si>
    <t>GWL10-7002925</t>
    <phoneticPr fontId="13"/>
  </si>
  <si>
    <t>取説 整備手帳</t>
    <rPh sb="0" eb="2">
      <t>トリセツ</t>
    </rPh>
    <rPh sb="3" eb="7">
      <t>セイビテチョウ</t>
    </rPh>
    <phoneticPr fontId="13"/>
  </si>
  <si>
    <t>ﾒﾙｾﾃﾞｽﾍﾞﾝﾂ GLAｸﾗｽ 220</t>
    <phoneticPr fontId="13"/>
  </si>
  <si>
    <t>WDC1569472J636735</t>
    <phoneticPr fontId="13"/>
  </si>
  <si>
    <t>ｱｳﾃﾞｨ A5 ｽﾎﾟｰﾂﾊﾞｯｸ40</t>
    <phoneticPr fontId="13"/>
  </si>
  <si>
    <t>KA044098</t>
    <phoneticPr fontId="13"/>
  </si>
  <si>
    <t>S60 T5ｲﾝｽｸﾘﾌﾟﾟｼｮﾝ</t>
    <phoneticPr fontId="13"/>
  </si>
  <si>
    <t>LG037232</t>
    <phoneticPr fontId="13"/>
  </si>
  <si>
    <t>480 ね 6405</t>
    <phoneticPr fontId="13"/>
  </si>
  <si>
    <t>582 え 100</t>
    <phoneticPr fontId="13"/>
  </si>
  <si>
    <t>582 え 99</t>
    <phoneticPr fontId="13"/>
  </si>
  <si>
    <t>582 え 98</t>
    <phoneticPr fontId="13"/>
  </si>
  <si>
    <t>582 え 101</t>
    <phoneticPr fontId="13"/>
  </si>
  <si>
    <t>582 え 97</t>
    <phoneticPr fontId="13"/>
  </si>
  <si>
    <t>582 え 96</t>
    <phoneticPr fontId="13"/>
  </si>
  <si>
    <t>582 え 95</t>
    <phoneticPr fontId="13"/>
  </si>
  <si>
    <t>582 え 94</t>
    <phoneticPr fontId="13"/>
  </si>
  <si>
    <t>582 え 93</t>
    <phoneticPr fontId="13"/>
  </si>
  <si>
    <t>姫路 501 ゆ 6888</t>
    <rPh sb="0" eb="2">
      <t>ヒメジ</t>
    </rPh>
    <phoneticPr fontId="13"/>
  </si>
  <si>
    <t>保証書 取説 地図SD(車内) ﾜﾝｵｰﾅｰ</t>
    <rPh sb="0" eb="3">
      <t>ホショウショ</t>
    </rPh>
    <rPh sb="4" eb="6">
      <t>トリセツ</t>
    </rPh>
    <rPh sb="7" eb="9">
      <t>チズ</t>
    </rPh>
    <rPh sb="12" eb="14">
      <t>シャナイ</t>
    </rPh>
    <phoneticPr fontId="13"/>
  </si>
  <si>
    <t>27-4710</t>
  </si>
  <si>
    <t>27-4711</t>
  </si>
  <si>
    <t>27-4712</t>
  </si>
  <si>
    <t>27-4713</t>
  </si>
  <si>
    <t>27-4714</t>
  </si>
  <si>
    <t>27-4715</t>
  </si>
  <si>
    <t>27-4716</t>
  </si>
  <si>
    <t>27-4717</t>
  </si>
  <si>
    <t>整備手帳 取説 ｷｰﾚｽ ﾘﾓｺﾝ ﾜﾝｵｰﾅｰ</t>
    <rPh sb="0" eb="4">
      <t>セイビテチョウ</t>
    </rPh>
    <rPh sb="5" eb="7">
      <t>トリセツ</t>
    </rPh>
    <phoneticPr fontId="13"/>
  </si>
  <si>
    <t>取説 ｷｰﾚｽ ｽﾀｰﾄﾎﾞﾀﾝ(車内)</t>
    <rPh sb="0" eb="2">
      <t>トリセツ</t>
    </rPh>
    <phoneticPr fontId="13"/>
  </si>
  <si>
    <t>取説(車内)保証書 SD ﾚﾝﾀｶｰ</t>
    <rPh sb="0" eb="2">
      <t>トリセツ</t>
    </rPh>
    <rPh sb="6" eb="9">
      <t>ホショウショ</t>
    </rPh>
    <phoneticPr fontId="13"/>
  </si>
  <si>
    <t>保証書 ｽﾍﾟｱｷｰ ﾚﾝﾀｶｰ 取説</t>
    <rPh sb="0" eb="3">
      <t>ホショウショ</t>
    </rPh>
    <rPh sb="17" eb="19">
      <t>トリセツ</t>
    </rPh>
    <phoneticPr fontId="13"/>
  </si>
  <si>
    <t>ｷｰﾚｽ 地図SD(車内)</t>
    <rPh sb="5" eb="7">
      <t>チズ</t>
    </rPh>
    <phoneticPr fontId="13"/>
  </si>
  <si>
    <t>ｽﾏｰﾄｷｰ記載車内  保証書 取説</t>
    <rPh sb="8" eb="10">
      <t>シャナイ</t>
    </rPh>
    <phoneticPr fontId="13"/>
  </si>
  <si>
    <t>WMWXM520103B54129</t>
    <phoneticPr fontId="13"/>
  </si>
  <si>
    <t>豊田 399 ち 670</t>
    <rPh sb="0" eb="2">
      <t>トヨタ</t>
    </rPh>
    <phoneticPr fontId="13"/>
  </si>
  <si>
    <t>株式会社LIST</t>
    <rPh sb="0" eb="4">
      <t>カブシキガイシャ</t>
    </rPh>
    <phoneticPr fontId="13"/>
  </si>
  <si>
    <t>ｷｰﾚｽ(車内) 保証書 取説 ﾘﾓｺﾝ2個</t>
    <rPh sb="9" eb="12">
      <t>ホショウショ</t>
    </rPh>
    <rPh sb="13" eb="15">
      <t>トリセツ</t>
    </rPh>
    <rPh sb="21" eb="22">
      <t>コ</t>
    </rPh>
    <phoneticPr fontId="13"/>
  </si>
  <si>
    <t>WMWLN320002D74156</t>
    <phoneticPr fontId="13"/>
  </si>
  <si>
    <t>なにわ 39A ら 735</t>
    <phoneticPr fontId="13"/>
  </si>
  <si>
    <t>なにわ 5X2 ろ 194</t>
    <phoneticPr fontId="13"/>
  </si>
  <si>
    <t>三重 480 は 6674</t>
    <rPh sb="0" eb="2">
      <t>ミエ</t>
    </rPh>
    <phoneticPr fontId="13"/>
  </si>
  <si>
    <t>神戸 581 よ 2541</t>
    <rPh sb="0" eb="2">
      <t>コウベ</t>
    </rPh>
    <phoneticPr fontId="13"/>
  </si>
  <si>
    <t>株式会社ﾄﾖﾀﾚﾝﾀﾘｰｽ神戸</t>
    <rPh sb="0" eb="4">
      <t>カブシキガイシャ</t>
    </rPh>
    <rPh sb="13" eb="15">
      <t>コウベ</t>
    </rPh>
    <phoneticPr fontId="13"/>
  </si>
  <si>
    <t>倉敷 580 み 20387</t>
    <rPh sb="0" eb="2">
      <t>クラシキ</t>
    </rPh>
    <phoneticPr fontId="13"/>
  </si>
  <si>
    <t>27-4718</t>
  </si>
  <si>
    <t>27-4719</t>
  </si>
  <si>
    <t>保証書 取説 ｷｰﾚｽ (車内)</t>
    <rPh sb="0" eb="3">
      <t>ホショウショ</t>
    </rPh>
    <rPh sb="4" eb="6">
      <t>トリセツ</t>
    </rPh>
    <phoneticPr fontId="13"/>
  </si>
  <si>
    <t>保証書</t>
    <phoneticPr fontId="13"/>
  </si>
  <si>
    <t>なにわ 5X0 ろ 7362</t>
    <phoneticPr fontId="13"/>
  </si>
  <si>
    <t>名古屋 781 ろ 2411</t>
    <rPh sb="0" eb="3">
      <t>ナゴヤ</t>
    </rPh>
    <phoneticPr fontId="13"/>
  </si>
  <si>
    <t>愛媛 581 ふ 3013</t>
    <rPh sb="0" eb="2">
      <t>エヒメ</t>
    </rPh>
    <phoneticPr fontId="13"/>
  </si>
  <si>
    <t>岡山 330 せ 8451</t>
    <rPh sb="0" eb="2">
      <t>オカヤマ</t>
    </rPh>
    <phoneticPr fontId="13"/>
  </si>
  <si>
    <t>橋本 信也</t>
    <rPh sb="0" eb="2">
      <t>ハシモト</t>
    </rPh>
    <rPh sb="3" eb="5">
      <t>シンヤ</t>
    </rPh>
    <phoneticPr fontId="13"/>
  </si>
  <si>
    <t>地図SD(車内)保証書 取説 ｷｰﾚｽ ﾘﾓｺﾝ ﾜﾝｵｰﾅｰ</t>
    <rPh sb="8" eb="11">
      <t>ホショウショ</t>
    </rPh>
    <rPh sb="12" eb="14">
      <t>トリセツ</t>
    </rPh>
    <phoneticPr fontId="13"/>
  </si>
  <si>
    <t>福山 337 な 126</t>
    <rPh sb="0" eb="2">
      <t>フクヤマ</t>
    </rPh>
    <phoneticPr fontId="13"/>
  </si>
  <si>
    <t>ｽｽﾞｷ中国販売株式会社</t>
    <rPh sb="4" eb="6">
      <t>チュウゴク</t>
    </rPh>
    <rPh sb="7" eb="11">
      <t>カブシキガイシャ</t>
    </rPh>
    <phoneticPr fontId="13"/>
  </si>
  <si>
    <t>広島 583 け 5568</t>
    <rPh sb="0" eb="2">
      <t>ヒロシマ</t>
    </rPh>
    <phoneticPr fontId="13"/>
  </si>
  <si>
    <t>岡山 533 み 3776</t>
    <rPh sb="0" eb="2">
      <t>オカヤマ</t>
    </rPh>
    <phoneticPr fontId="13"/>
  </si>
  <si>
    <t>安井 久貴</t>
    <rPh sb="0" eb="2">
      <t>ヤスイ</t>
    </rPh>
    <rPh sb="3" eb="4">
      <t>ヒサ</t>
    </rPh>
    <rPh sb="4" eb="5">
      <t>タカ</t>
    </rPh>
    <phoneticPr fontId="13"/>
  </si>
  <si>
    <t>山口 581 み 2315</t>
    <rPh sb="0" eb="2">
      <t>ヤマグチ</t>
    </rPh>
    <phoneticPr fontId="13"/>
  </si>
  <si>
    <t>三浦 洋一</t>
    <rPh sb="0" eb="2">
      <t>ミウラ</t>
    </rPh>
    <rPh sb="3" eb="5">
      <t>ヨウイチ</t>
    </rPh>
    <phoneticPr fontId="13"/>
  </si>
  <si>
    <t>名古屋 330 ち 4784</t>
    <rPh sb="0" eb="3">
      <t>ナゴヤ</t>
    </rPh>
    <phoneticPr fontId="13"/>
  </si>
  <si>
    <t>奈良 301 す 9300</t>
    <rPh sb="0" eb="2">
      <t>ナラ</t>
    </rPh>
    <phoneticPr fontId="13"/>
  </si>
  <si>
    <t>保証書 取説 ｷｰﾚｽ</t>
    <rPh sb="4" eb="6">
      <t>トリセツ</t>
    </rPh>
    <phoneticPr fontId="13"/>
  </si>
  <si>
    <t>愛媛 334 ぬ 901</t>
    <rPh sb="0" eb="2">
      <t>エヒメ</t>
    </rPh>
    <phoneticPr fontId="13"/>
  </si>
  <si>
    <t>愛媛 339 む 127</t>
    <rPh sb="0" eb="2">
      <t>エヒメ</t>
    </rPh>
    <phoneticPr fontId="13"/>
  </si>
  <si>
    <t>藁池 昇吾</t>
    <rPh sb="0" eb="1">
      <t>ワラ</t>
    </rPh>
    <rPh sb="1" eb="2">
      <t>イケ</t>
    </rPh>
    <rPh sb="3" eb="5">
      <t>ショウゴ</t>
    </rPh>
    <phoneticPr fontId="13"/>
  </si>
  <si>
    <t>保証書 取説 ﾅﾋﾞ取 SD ｷｰﾚｽ ﾜﾝｵｰﾅｰ</t>
    <rPh sb="0" eb="3">
      <t>ホショウショ</t>
    </rPh>
    <rPh sb="4" eb="6">
      <t>トリセツ</t>
    </rPh>
    <rPh sb="10" eb="11">
      <t>トリ</t>
    </rPh>
    <phoneticPr fontId="13"/>
  </si>
  <si>
    <t>愛媛 587 そ 822</t>
    <rPh sb="0" eb="2">
      <t>エヒメ</t>
    </rPh>
    <phoneticPr fontId="13"/>
  </si>
  <si>
    <t>川端 啓司</t>
    <rPh sb="0" eb="2">
      <t>カワバタ</t>
    </rPh>
    <rPh sb="3" eb="4">
      <t>ケイ</t>
    </rPh>
    <phoneticPr fontId="13"/>
  </si>
  <si>
    <t>ｷｰﾚｽ(車内)ﾅﾋﾞ取 名変期限6/25</t>
    <rPh sb="11" eb="12">
      <t>トリ</t>
    </rPh>
    <rPh sb="13" eb="17">
      <t>メイヘンキゲン</t>
    </rPh>
    <phoneticPr fontId="13"/>
  </si>
  <si>
    <t>ﾏｲｸﾛSD(車内)</t>
    <phoneticPr fontId="13"/>
  </si>
  <si>
    <t>SD届いたら良さんに伝える</t>
    <rPh sb="2" eb="3">
      <t>トド</t>
    </rPh>
    <rPh sb="6" eb="7">
      <t>リョウ</t>
    </rPh>
    <rPh sb="10" eb="11">
      <t>ツタ</t>
    </rPh>
    <phoneticPr fontId="13"/>
  </si>
  <si>
    <t>ﾅﾋﾞなし買いSD届いたら伴さん伝える</t>
    <rPh sb="5" eb="6">
      <t>カ</t>
    </rPh>
    <rPh sb="9" eb="10">
      <t>トド</t>
    </rPh>
    <rPh sb="13" eb="14">
      <t>バン</t>
    </rPh>
    <rPh sb="16" eb="17">
      <t>ツタ</t>
    </rPh>
    <phoneticPr fontId="13"/>
  </si>
  <si>
    <t>野田 301 な 8525</t>
    <rPh sb="0" eb="2">
      <t>ノダ</t>
    </rPh>
    <phoneticPr fontId="13"/>
  </si>
  <si>
    <t>松田 聖広</t>
    <rPh sb="0" eb="2">
      <t>マツダ</t>
    </rPh>
    <rPh sb="3" eb="4">
      <t>ヒジリ</t>
    </rPh>
    <rPh sb="4" eb="5">
      <t>ヒロ</t>
    </rPh>
    <phoneticPr fontId="13"/>
  </si>
  <si>
    <t>保証書 取説 ｷｰﾚｽ ﾜﾝｵｰﾅｰ 印鑑証明8/1まで</t>
    <rPh sb="0" eb="3">
      <t>ホショウショ</t>
    </rPh>
    <rPh sb="4" eb="6">
      <t>トリセツ</t>
    </rPh>
    <rPh sb="19" eb="23">
      <t>インカンショウメイ</t>
    </rPh>
    <phoneticPr fontId="13"/>
  </si>
  <si>
    <t>CAN？</t>
    <phoneticPr fontId="13"/>
  </si>
  <si>
    <t>27-4720</t>
  </si>
  <si>
    <t>27-4721</t>
  </si>
  <si>
    <t>27-4722</t>
  </si>
  <si>
    <t>27-4723</t>
  </si>
  <si>
    <t>27-4724</t>
  </si>
  <si>
    <t>27-4725</t>
  </si>
  <si>
    <t>27-4726</t>
  </si>
  <si>
    <t>27-4727</t>
  </si>
  <si>
    <t>27-4728</t>
  </si>
  <si>
    <t>27-4729</t>
  </si>
  <si>
    <t>27-4730</t>
  </si>
  <si>
    <t>27-4731</t>
  </si>
  <si>
    <t>27-4732</t>
  </si>
  <si>
    <t>27-4733</t>
  </si>
  <si>
    <t>27-4734</t>
  </si>
  <si>
    <t>27-4735</t>
  </si>
  <si>
    <t>27-4736</t>
  </si>
  <si>
    <t>27-4737</t>
  </si>
  <si>
    <t>27-4738</t>
  </si>
  <si>
    <t>27-4739</t>
  </si>
  <si>
    <t>27-4740</t>
  </si>
  <si>
    <t>27-4741</t>
  </si>
  <si>
    <t>ｳﾞｫｸｼｰ　ZS　ｷﾗﾒｷⅡ</t>
    <phoneticPr fontId="13"/>
  </si>
  <si>
    <t>ZRR80-0269009</t>
    <phoneticPr fontId="13"/>
  </si>
  <si>
    <t>LA650S-0136341</t>
    <phoneticPr fontId="13"/>
  </si>
  <si>
    <t>MH55S-735779</t>
    <phoneticPr fontId="13"/>
  </si>
  <si>
    <t>ｴﾌﾞﾘｨ　ｼﾞｮｲﾝﾀｰﾎﾞ　</t>
    <phoneticPr fontId="13"/>
  </si>
  <si>
    <t>DA17V-754663</t>
    <phoneticPr fontId="13"/>
  </si>
  <si>
    <t>ﾀﾝﾄ　Xﾀｰﾎﾞ　ｾﾚｸｼｮﾝ</t>
    <phoneticPr fontId="13"/>
  </si>
  <si>
    <t>LA650S-1060496</t>
    <phoneticPr fontId="13"/>
  </si>
  <si>
    <t>MJ34S-107917</t>
    <phoneticPr fontId="13"/>
  </si>
  <si>
    <t>ﾚｸｻｽ　IS300Fｽﾎﾟｰﾂﾓｰﾄﾞ　ﾌﾞﾗｯｸ</t>
    <phoneticPr fontId="13"/>
  </si>
  <si>
    <t>ASE30-0008446</t>
    <phoneticPr fontId="13"/>
  </si>
  <si>
    <t>LA650S-0379675</t>
    <phoneticPr fontId="13"/>
  </si>
  <si>
    <t>ﾌﾟﾘｳｽ　PHV　S</t>
    <phoneticPr fontId="13"/>
  </si>
  <si>
    <t>ZVW52-3177922</t>
    <phoneticPr fontId="13"/>
  </si>
  <si>
    <t>S321V-0426403</t>
    <phoneticPr fontId="13"/>
  </si>
  <si>
    <t>S700V-0095964</t>
    <phoneticPr fontId="13"/>
  </si>
  <si>
    <t>DA17W-326179</t>
    <phoneticPr fontId="13"/>
  </si>
  <si>
    <t>BMW320Iﾂｰﾘﾝｸﾞ　ﾗｸﾞｼﾞｭｱﾘｰ</t>
    <phoneticPr fontId="13"/>
  </si>
  <si>
    <t>MK53S-634236</t>
    <phoneticPr fontId="13"/>
  </si>
  <si>
    <t>MR92S-166896</t>
    <phoneticPr fontId="13"/>
  </si>
  <si>
    <t>B43W-0122648</t>
    <phoneticPr fontId="13"/>
  </si>
  <si>
    <t>MK42S-112960</t>
    <phoneticPr fontId="13"/>
  </si>
  <si>
    <t>BMW523I　ﾗｸﾞｼﾞｭｱﾘｰ</t>
    <phoneticPr fontId="13"/>
  </si>
  <si>
    <t>BMW118ｄ　Ｍｽﾎﾟｰﾂ</t>
    <phoneticPr fontId="13"/>
  </si>
  <si>
    <t>VWｻﾞﾋﾞｰﾄﾙ　ﾃﾞｻﾞｲﾝ</t>
    <phoneticPr fontId="13"/>
  </si>
  <si>
    <t>BMWﾐﾆｸｰﾊﾟｰS　ｸﾗﾌﾞﾏﾝｵｰﾙ4</t>
    <phoneticPr fontId="13"/>
  </si>
  <si>
    <t>LA350S-0261938</t>
    <phoneticPr fontId="13"/>
  </si>
  <si>
    <t>MH34S-331680</t>
    <phoneticPr fontId="13"/>
  </si>
  <si>
    <t>ﾌﾟﾛﾎﾞｯｸｽﾊﾞﾝ　GX</t>
    <phoneticPr fontId="13"/>
  </si>
  <si>
    <t>NHP160-0075227</t>
    <phoneticPr fontId="13"/>
  </si>
  <si>
    <t>JF3-1475519</t>
    <phoneticPr fontId="13"/>
  </si>
  <si>
    <t>27-4742</t>
  </si>
  <si>
    <t>27-4743</t>
  </si>
  <si>
    <t>27-4744</t>
  </si>
  <si>
    <t>WMWLU320002？43831</t>
    <phoneticPr fontId="13"/>
  </si>
  <si>
    <t>横浜　305　は　2985</t>
    <rPh sb="0" eb="2">
      <t>ヨコハマ</t>
    </rPh>
    <phoneticPr fontId="13"/>
  </si>
  <si>
    <t>整備手帳　　ﾚﾝﾀｶｰ</t>
    <rPh sb="0" eb="4">
      <t>セイビテチョウ</t>
    </rPh>
    <phoneticPr fontId="13"/>
  </si>
  <si>
    <t>奈良　330　そ　9686</t>
    <rPh sb="0" eb="2">
      <t>ナラ</t>
    </rPh>
    <phoneticPr fontId="13"/>
  </si>
  <si>
    <t>高知　300　ぬ　9572</t>
    <rPh sb="0" eb="2">
      <t>コウチ</t>
    </rPh>
    <phoneticPr fontId="13"/>
  </si>
  <si>
    <t>保証書　取説　予備ｷｰ</t>
    <rPh sb="0" eb="3">
      <t>ホショウショ</t>
    </rPh>
    <rPh sb="4" eb="6">
      <t>トリセツ</t>
    </rPh>
    <rPh sb="7" eb="9">
      <t>ヨビ</t>
    </rPh>
    <phoneticPr fontId="13"/>
  </si>
  <si>
    <t>香川　586　ふ　1120</t>
    <rPh sb="0" eb="2">
      <t>カガワ</t>
    </rPh>
    <phoneticPr fontId="13"/>
  </si>
  <si>
    <t>WBA8G320X0K778921</t>
    <phoneticPr fontId="13"/>
  </si>
  <si>
    <t>WBAJA12090BF87307</t>
    <phoneticPr fontId="13"/>
  </si>
  <si>
    <t>WBA7M920807Ｈ17449</t>
    <phoneticPr fontId="13"/>
  </si>
  <si>
    <t>ｽﾏｰﾄｷｰX2（ﾘｽﾄに記載有）</t>
    <rPh sb="13" eb="16">
      <t>キサイアリ</t>
    </rPh>
    <phoneticPr fontId="13"/>
  </si>
  <si>
    <t>WVWZZZ16ZHM620708</t>
    <phoneticPr fontId="13"/>
  </si>
  <si>
    <t>27-4745</t>
  </si>
  <si>
    <t>CAA東北</t>
    <rPh sb="3" eb="5">
      <t>トウホク</t>
    </rPh>
    <phoneticPr fontId="13"/>
  </si>
  <si>
    <t>WMW22DV0502R99719</t>
    <phoneticPr fontId="13"/>
  </si>
  <si>
    <t>八戸　300　ま　2804</t>
    <rPh sb="0" eb="2">
      <t>ハチノヘ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</si>
</sst>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Blue]General"/>
    <numFmt numFmtId="177" formatCode="#,##0_);[Red]\(#,##0\)"/>
    <numFmt numFmtId="178" formatCode="&quot;姫路 &quot;@\ "/>
    <numFmt numFmtId="179" formatCode="####&quot;回&quot;"/>
    <numFmt numFmtId="180" formatCode="###&quot;回&quot;"/>
    <numFmt numFmtId="181" formatCode="0_);[Red]\(0\)"/>
    <numFmt numFmtId="182" formatCode="m&quot;月&quot;d&quot;日&quot;;@"/>
    <numFmt numFmtId="183" formatCode="#,##0_ "/>
  </numFmts>
  <fonts count="38">
    <font>
      <sz val="11"/>
      <color theme="1"/>
      <name val="ＭＳ Ｐゴシック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theme="4" tint="-0.499984740745262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rgb="FFC00000"/>
      <name val="ＭＳ Ｐゴシック"/>
      <family val="3"/>
      <charset val="128"/>
      <scheme val="minor"/>
    </font>
    <font>
      <b/>
      <sz val="11"/>
      <color theme="4" tint="-0.499984740745262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 tint="4.9989318521683403E-2"/>
      <name val="ＭＳ Ｐゴシック"/>
      <family val="3"/>
      <charset val="128"/>
      <scheme val="minor"/>
    </font>
    <font>
      <sz val="11"/>
      <color theme="4" tint="-0.499984740745262"/>
      <name val="ＭＳ Ｐゴシック"/>
      <family val="3"/>
      <charset val="128"/>
    </font>
    <font>
      <sz val="11"/>
      <color theme="4" tint="-0.249977111117893"/>
      <name val="ＭＳ Ｐゴシック"/>
      <family val="3"/>
      <charset val="128"/>
    </font>
    <font>
      <sz val="11"/>
      <color theme="9" tint="-0.249977111117893"/>
      <name val="ＭＳ Ｐゴシック"/>
      <family val="3"/>
      <charset val="128"/>
      <scheme val="minor"/>
    </font>
    <font>
      <sz val="11"/>
      <color theme="9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1"/>
      <color theme="8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sz val="11"/>
      <color theme="4" tint="-0.249977111117893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0"/>
      <color theme="4" tint="-0.499984740745262"/>
      <name val="ＭＳ Ｐゴシック"/>
      <family val="3"/>
      <charset val="128"/>
      <scheme val="minor"/>
    </font>
    <font>
      <sz val="11"/>
      <color theme="3"/>
      <name val="ＭＳ Ｐゴシック"/>
      <family val="3"/>
      <charset val="128"/>
      <scheme val="minor"/>
    </font>
    <font>
      <sz val="9"/>
      <color theme="4" tint="-0.499984740745262"/>
      <name val="ＭＳ Ｐ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rgb="FF7030A0"/>
      <name val="ＭＳ Ｐゴシック"/>
      <family val="3"/>
      <charset val="128"/>
      <scheme val="minor"/>
    </font>
    <font>
      <sz val="9"/>
      <color theme="3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u/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9"/>
      <color rgb="FFFF0000"/>
      <name val="ＭＳ Ｐゴシック"/>
      <family val="3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thick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28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177" fontId="2" fillId="0" borderId="11" xfId="0" applyNumberFormat="1" applyFont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49" fontId="10" fillId="2" borderId="12" xfId="0" applyNumberFormat="1" applyFont="1" applyFill="1" applyBorder="1" applyAlignment="1">
      <alignment horizontal="center" vertical="center"/>
    </xf>
    <xf numFmtId="181" fontId="0" fillId="0" borderId="1" xfId="0" applyNumberFormat="1" applyBorder="1">
      <alignment vertical="center"/>
    </xf>
    <xf numFmtId="181" fontId="3" fillId="4" borderId="3" xfId="0" applyNumberFormat="1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178" fontId="9" fillId="0" borderId="26" xfId="0" applyNumberFormat="1" applyFont="1" applyBorder="1" applyAlignment="1">
      <alignment horizontal="center" vertical="center"/>
    </xf>
    <xf numFmtId="176" fontId="12" fillId="0" borderId="25" xfId="0" applyNumberFormat="1" applyFont="1" applyBorder="1" applyAlignment="1">
      <alignment horizontal="center" vertical="center"/>
    </xf>
    <xf numFmtId="181" fontId="0" fillId="0" borderId="0" xfId="0" applyNumberFormat="1">
      <alignment vertical="center"/>
    </xf>
    <xf numFmtId="49" fontId="2" fillId="0" borderId="29" xfId="0" applyNumberFormat="1" applyFont="1" applyBorder="1" applyAlignment="1">
      <alignment horizontal="center" vertical="center"/>
    </xf>
    <xf numFmtId="179" fontId="2" fillId="0" borderId="7" xfId="0" applyNumberFormat="1" applyFont="1" applyBorder="1" applyAlignment="1">
      <alignment horizontal="center" vertical="center"/>
    </xf>
    <xf numFmtId="177" fontId="2" fillId="0" borderId="12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178" fontId="9" fillId="0" borderId="41" xfId="0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3" fillId="6" borderId="45" xfId="0" applyFont="1" applyFill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176" fontId="12" fillId="0" borderId="46" xfId="0" applyNumberFormat="1" applyFont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9" fontId="4" fillId="2" borderId="45" xfId="0" applyNumberFormat="1" applyFont="1" applyFill="1" applyBorder="1" applyAlignment="1">
      <alignment horizontal="center" vertical="center"/>
    </xf>
    <xf numFmtId="0" fontId="4" fillId="2" borderId="5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4" fillId="2" borderId="45" xfId="0" applyFont="1" applyFill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177" fontId="2" fillId="0" borderId="56" xfId="0" applyNumberFormat="1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56" fontId="2" fillId="0" borderId="7" xfId="0" applyNumberFormat="1" applyFont="1" applyBorder="1" applyAlignment="1">
      <alignment horizontal="center" vertical="center"/>
    </xf>
    <xf numFmtId="49" fontId="2" fillId="0" borderId="58" xfId="0" applyNumberFormat="1" applyFont="1" applyBorder="1" applyAlignment="1">
      <alignment horizontal="center" vertical="center"/>
    </xf>
    <xf numFmtId="178" fontId="9" fillId="0" borderId="25" xfId="0" applyNumberFormat="1" applyFont="1" applyBorder="1">
      <alignment vertical="center"/>
    </xf>
    <xf numFmtId="14" fontId="0" fillId="0" borderId="7" xfId="0" applyNumberFormat="1" applyBorder="1" applyAlignment="1">
      <alignment horizontal="center" vertical="center"/>
    </xf>
    <xf numFmtId="14" fontId="0" fillId="0" borderId="7" xfId="0" applyNumberFormat="1" applyBorder="1">
      <alignment vertical="center"/>
    </xf>
    <xf numFmtId="49" fontId="0" fillId="0" borderId="7" xfId="0" applyNumberFormat="1" applyBorder="1" applyAlignment="1">
      <alignment horizontal="center" vertical="center"/>
    </xf>
    <xf numFmtId="49" fontId="0" fillId="0" borderId="58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83" fontId="0" fillId="0" borderId="56" xfId="0" applyNumberFormat="1" applyBorder="1" applyAlignment="1">
      <alignment horizontal="center" vertical="center"/>
    </xf>
    <xf numFmtId="49" fontId="15" fillId="2" borderId="12" xfId="0" applyNumberFormat="1" applyFont="1" applyFill="1" applyBorder="1" applyAlignment="1">
      <alignment horizontal="center" vertical="center"/>
    </xf>
    <xf numFmtId="49" fontId="2" fillId="0" borderId="59" xfId="0" applyNumberFormat="1" applyFont="1" applyBorder="1" applyAlignment="1">
      <alignment horizontal="center" vertical="center"/>
    </xf>
    <xf numFmtId="178" fontId="9" fillId="0" borderId="26" xfId="0" applyNumberFormat="1" applyFont="1" applyBorder="1">
      <alignment vertical="center"/>
    </xf>
    <xf numFmtId="0" fontId="9" fillId="0" borderId="25" xfId="0" applyFont="1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/>
    </xf>
    <xf numFmtId="177" fontId="22" fillId="0" borderId="11" xfId="0" applyNumberFormat="1" applyFont="1" applyBorder="1" applyAlignment="1">
      <alignment horizontal="center" vertical="center"/>
    </xf>
    <xf numFmtId="176" fontId="23" fillId="0" borderId="25" xfId="0" applyNumberFormat="1" applyFon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50" xfId="0" applyNumberFormat="1" applyBorder="1">
      <alignment vertical="center"/>
    </xf>
    <xf numFmtId="49" fontId="0" fillId="0" borderId="8" xfId="0" applyNumberFormat="1" applyBorder="1" applyAlignment="1">
      <alignment horizontal="center" vertical="center"/>
    </xf>
    <xf numFmtId="49" fontId="0" fillId="0" borderId="59" xfId="0" applyNumberForma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45" xfId="0" applyBorder="1" applyAlignment="1">
      <alignment horizontal="center" vertical="center"/>
    </xf>
    <xf numFmtId="0" fontId="0" fillId="0" borderId="51" xfId="0" applyBorder="1">
      <alignment vertical="center"/>
    </xf>
    <xf numFmtId="177" fontId="0" fillId="0" borderId="64" xfId="0" applyNumberFormat="1" applyBorder="1" applyAlignment="1">
      <alignment horizontal="center" vertical="center"/>
    </xf>
    <xf numFmtId="0" fontId="0" fillId="0" borderId="45" xfId="0" applyBorder="1">
      <alignment vertical="center"/>
    </xf>
    <xf numFmtId="14" fontId="0" fillId="0" borderId="22" xfId="0" applyNumberFormat="1" applyBorder="1">
      <alignment vertical="center"/>
    </xf>
    <xf numFmtId="0" fontId="0" fillId="0" borderId="7" xfId="0" applyBorder="1">
      <alignment vertical="center"/>
    </xf>
    <xf numFmtId="0" fontId="0" fillId="0" borderId="23" xfId="0" applyBorder="1">
      <alignment vertical="center"/>
    </xf>
    <xf numFmtId="0" fontId="0" fillId="0" borderId="11" xfId="0" applyBorder="1">
      <alignment vertical="center"/>
    </xf>
    <xf numFmtId="177" fontId="0" fillId="0" borderId="23" xfId="0" applyNumberFormat="1" applyBorder="1">
      <alignment vertical="center"/>
    </xf>
    <xf numFmtId="0" fontId="26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76" fontId="28" fillId="0" borderId="25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49" fontId="2" fillId="0" borderId="54" xfId="0" applyNumberFormat="1" applyFont="1" applyBorder="1" applyAlignment="1">
      <alignment horizontal="center" vertical="center"/>
    </xf>
    <xf numFmtId="177" fontId="2" fillId="0" borderId="13" xfId="0" applyNumberFormat="1" applyFont="1" applyBorder="1" applyAlignment="1">
      <alignment horizontal="center" vertical="center"/>
    </xf>
    <xf numFmtId="0" fontId="31" fillId="0" borderId="0" xfId="0" applyFont="1">
      <alignment vertical="center"/>
    </xf>
    <xf numFmtId="0" fontId="1" fillId="0" borderId="32" xfId="2" applyFont="1" applyBorder="1" applyAlignment="1">
      <alignment horizontal="center" vertical="center"/>
    </xf>
    <xf numFmtId="0" fontId="1" fillId="0" borderId="66" xfId="2" applyFont="1" applyBorder="1" applyAlignment="1">
      <alignment horizontal="center" vertical="center"/>
    </xf>
    <xf numFmtId="0" fontId="2" fillId="0" borderId="0" xfId="2">
      <alignment vertical="center"/>
    </xf>
    <xf numFmtId="0" fontId="2" fillId="7" borderId="33" xfId="2" applyFill="1" applyBorder="1" applyAlignment="1">
      <alignment horizontal="center" vertical="center"/>
    </xf>
    <xf numFmtId="0" fontId="2" fillId="0" borderId="33" xfId="2" applyBorder="1" applyAlignment="1">
      <alignment horizontal="center" vertical="center"/>
    </xf>
    <xf numFmtId="49" fontId="2" fillId="0" borderId="33" xfId="2" applyNumberFormat="1" applyBorder="1" applyAlignment="1">
      <alignment horizontal="center" vertical="center"/>
    </xf>
    <xf numFmtId="0" fontId="2" fillId="0" borderId="65" xfId="2" applyBorder="1" applyAlignment="1">
      <alignment horizontal="center" vertical="center"/>
    </xf>
    <xf numFmtId="49" fontId="2" fillId="0" borderId="8" xfId="2" applyNumberFormat="1" applyBorder="1" applyAlignment="1">
      <alignment horizontal="center" vertical="center"/>
    </xf>
    <xf numFmtId="14" fontId="2" fillId="0" borderId="8" xfId="2" applyNumberFormat="1" applyBorder="1">
      <alignment vertical="center"/>
    </xf>
    <xf numFmtId="14" fontId="2" fillId="0" borderId="8" xfId="2" applyNumberFormat="1" applyBorder="1" applyAlignment="1">
      <alignment horizontal="center" vertical="center"/>
    </xf>
    <xf numFmtId="14" fontId="2" fillId="0" borderId="33" xfId="2" applyNumberFormat="1" applyBorder="1">
      <alignment vertical="center"/>
    </xf>
    <xf numFmtId="14" fontId="2" fillId="0" borderId="33" xfId="2" applyNumberFormat="1" applyBorder="1" applyAlignment="1">
      <alignment horizontal="center" vertical="center"/>
    </xf>
    <xf numFmtId="0" fontId="2" fillId="0" borderId="33" xfId="2" applyBorder="1">
      <alignment vertical="center"/>
    </xf>
    <xf numFmtId="0" fontId="2" fillId="8" borderId="33" xfId="2" applyFill="1" applyBorder="1" applyAlignment="1">
      <alignment horizontal="center" vertical="center"/>
    </xf>
    <xf numFmtId="49" fontId="9" fillId="0" borderId="33" xfId="2" applyNumberFormat="1" applyFont="1" applyBorder="1" applyAlignment="1">
      <alignment horizontal="center" vertical="center"/>
    </xf>
    <xf numFmtId="0" fontId="2" fillId="13" borderId="33" xfId="2" applyFill="1" applyBorder="1" applyAlignment="1">
      <alignment horizontal="center" vertical="center"/>
    </xf>
    <xf numFmtId="49" fontId="2" fillId="13" borderId="33" xfId="2" applyNumberFormat="1" applyFill="1" applyBorder="1" applyAlignment="1">
      <alignment horizontal="center" vertical="center"/>
    </xf>
    <xf numFmtId="0" fontId="2" fillId="13" borderId="65" xfId="2" applyFill="1" applyBorder="1" applyAlignment="1">
      <alignment horizontal="center" vertical="center"/>
    </xf>
    <xf numFmtId="0" fontId="22" fillId="13" borderId="33" xfId="2" applyFont="1" applyFill="1" applyBorder="1" applyAlignment="1">
      <alignment horizontal="center" vertical="center"/>
    </xf>
    <xf numFmtId="0" fontId="2" fillId="13" borderId="33" xfId="2" applyFill="1" applyBorder="1">
      <alignment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4" fontId="2" fillId="0" borderId="27" xfId="0" applyNumberFormat="1" applyFont="1" applyBorder="1" applyAlignment="1">
      <alignment horizontal="center" vertical="center"/>
    </xf>
    <xf numFmtId="180" fontId="2" fillId="0" borderId="14" xfId="0" applyNumberFormat="1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35" fillId="0" borderId="28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56" fontId="2" fillId="0" borderId="14" xfId="0" applyNumberFormat="1" applyFont="1" applyBorder="1" applyAlignment="1">
      <alignment horizontal="center" vertical="center"/>
    </xf>
    <xf numFmtId="177" fontId="2" fillId="0" borderId="37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14" fontId="0" fillId="0" borderId="5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4" fontId="0" fillId="0" borderId="50" xfId="0" applyNumberFormat="1" applyBorder="1" applyAlignment="1">
      <alignment horizontal="center" vertical="center"/>
    </xf>
    <xf numFmtId="180" fontId="2" fillId="0" borderId="29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14" fontId="2" fillId="0" borderId="48" xfId="0" applyNumberFormat="1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177" fontId="2" fillId="0" borderId="14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3" fontId="2" fillId="0" borderId="14" xfId="0" applyNumberFormat="1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56" fontId="2" fillId="0" borderId="48" xfId="0" applyNumberFormat="1" applyFont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3" fontId="2" fillId="0" borderId="37" xfId="0" applyNumberFormat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56" fontId="2" fillId="0" borderId="28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56" fontId="2" fillId="3" borderId="14" xfId="0" applyNumberFormat="1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0" fontId="25" fillId="0" borderId="4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36" fillId="2" borderId="15" xfId="0" applyFont="1" applyFill="1" applyBorder="1" applyAlignment="1">
      <alignment horizontal="center" vertical="center"/>
    </xf>
    <xf numFmtId="17" fontId="2" fillId="0" borderId="14" xfId="0" applyNumberFormat="1" applyFont="1" applyBorder="1" applyAlignment="1">
      <alignment horizontal="center" vertical="center"/>
    </xf>
    <xf numFmtId="0" fontId="2" fillId="0" borderId="23" xfId="0" applyFont="1" applyBorder="1">
      <alignment vertical="center"/>
    </xf>
    <xf numFmtId="0" fontId="9" fillId="2" borderId="14" xfId="0" applyFont="1" applyFill="1" applyBorder="1">
      <alignment vertical="center"/>
    </xf>
    <xf numFmtId="0" fontId="36" fillId="2" borderId="14" xfId="0" applyFont="1" applyFill="1" applyBorder="1">
      <alignment vertical="center"/>
    </xf>
    <xf numFmtId="0" fontId="28" fillId="2" borderId="14" xfId="0" applyFont="1" applyFill="1" applyBorder="1">
      <alignment vertical="center"/>
    </xf>
    <xf numFmtId="0" fontId="24" fillId="2" borderId="14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8" fillId="0" borderId="14" xfId="0" applyFont="1" applyBorder="1">
      <alignment vertical="center"/>
    </xf>
    <xf numFmtId="0" fontId="2" fillId="2" borderId="14" xfId="0" applyFont="1" applyFill="1" applyBorder="1">
      <alignment vertical="center"/>
    </xf>
    <xf numFmtId="0" fontId="4" fillId="2" borderId="14" xfId="0" applyFont="1" applyFill="1" applyBorder="1">
      <alignment vertical="center"/>
    </xf>
    <xf numFmtId="0" fontId="9" fillId="0" borderId="37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177" fontId="5" fillId="0" borderId="17" xfId="0" applyNumberFormat="1" applyFont="1" applyBorder="1" applyAlignment="1">
      <alignment horizontal="center" vertical="center"/>
    </xf>
    <xf numFmtId="177" fontId="5" fillId="0" borderId="20" xfId="0" applyNumberFormat="1" applyFont="1" applyBorder="1" applyAlignment="1">
      <alignment horizontal="center" vertical="center"/>
    </xf>
    <xf numFmtId="182" fontId="11" fillId="0" borderId="61" xfId="0" applyNumberFormat="1" applyFont="1" applyBorder="1" applyAlignment="1">
      <alignment horizontal="center" vertical="center"/>
    </xf>
    <xf numFmtId="182" fontId="11" fillId="0" borderId="63" xfId="0" applyNumberFormat="1" applyFont="1" applyBorder="1" applyAlignment="1">
      <alignment horizontal="center" vertical="center"/>
    </xf>
    <xf numFmtId="38" fontId="5" fillId="0" borderId="34" xfId="1" applyFont="1" applyBorder="1" applyAlignment="1">
      <alignment horizontal="center" vertical="center"/>
    </xf>
    <xf numFmtId="38" fontId="5" fillId="0" borderId="35" xfId="1" applyFont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31" xfId="0" applyFont="1" applyFill="1" applyBorder="1" applyAlignment="1">
      <alignment horizontal="center" vertical="center"/>
    </xf>
    <xf numFmtId="49" fontId="2" fillId="3" borderId="9" xfId="0" applyNumberFormat="1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0" fontId="7" fillId="12" borderId="31" xfId="0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7" fillId="14" borderId="31" xfId="0" applyFont="1" applyFill="1" applyBorder="1" applyAlignment="1">
      <alignment horizontal="center" vertical="center"/>
    </xf>
    <xf numFmtId="177" fontId="34" fillId="0" borderId="17" xfId="0" applyNumberFormat="1" applyFont="1" applyBorder="1" applyAlignment="1">
      <alignment horizontal="center" vertical="center"/>
    </xf>
    <xf numFmtId="177" fontId="34" fillId="0" borderId="20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77" fontId="5" fillId="0" borderId="40" xfId="0" applyNumberFormat="1" applyFont="1" applyBorder="1" applyAlignment="1">
      <alignment horizontal="center" vertical="center"/>
    </xf>
    <xf numFmtId="177" fontId="5" fillId="0" borderId="43" xfId="0" applyNumberFormat="1" applyFont="1" applyBorder="1" applyAlignment="1">
      <alignment horizontal="center" vertical="center"/>
    </xf>
    <xf numFmtId="182" fontId="11" fillId="0" borderId="9" xfId="0" applyNumberFormat="1" applyFont="1" applyBorder="1" applyAlignment="1">
      <alignment horizontal="center" vertical="center"/>
    </xf>
    <xf numFmtId="182" fontId="11" fillId="0" borderId="10" xfId="0" applyNumberFormat="1" applyFont="1" applyBorder="1" applyAlignment="1">
      <alignment horizontal="center" vertical="center"/>
    </xf>
    <xf numFmtId="38" fontId="5" fillId="0" borderId="36" xfId="1" applyFont="1" applyBorder="1" applyAlignment="1">
      <alignment horizontal="center" vertical="center"/>
    </xf>
    <xf numFmtId="177" fontId="5" fillId="0" borderId="18" xfId="0" applyNumberFormat="1" applyFont="1" applyBorder="1" applyAlignment="1">
      <alignment horizontal="center" vertical="center"/>
    </xf>
    <xf numFmtId="177" fontId="5" fillId="0" borderId="21" xfId="0" applyNumberFormat="1" applyFont="1" applyBorder="1" applyAlignment="1">
      <alignment horizontal="center" vertical="center"/>
    </xf>
    <xf numFmtId="182" fontId="11" fillId="0" borderId="44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3" borderId="44" xfId="0" applyNumberFormat="1" applyFont="1" applyFill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38" fontId="5" fillId="0" borderId="57" xfId="1" applyFont="1" applyBorder="1" applyAlignment="1">
      <alignment horizontal="center" vertical="center"/>
    </xf>
    <xf numFmtId="183" fontId="5" fillId="0" borderId="43" xfId="0" applyNumberFormat="1" applyFont="1" applyBorder="1" applyAlignment="1">
      <alignment horizontal="center" vertical="center"/>
    </xf>
    <xf numFmtId="183" fontId="5" fillId="0" borderId="20" xfId="0" applyNumberFormat="1" applyFont="1" applyBorder="1" applyAlignment="1">
      <alignment horizontal="center" vertical="center"/>
    </xf>
    <xf numFmtId="183" fontId="5" fillId="0" borderId="8" xfId="0" applyNumberFormat="1" applyFont="1" applyBorder="1" applyAlignment="1">
      <alignment horizontal="center" vertical="center"/>
    </xf>
    <xf numFmtId="183" fontId="5" fillId="0" borderId="45" xfId="0" applyNumberFormat="1" applyFont="1" applyBorder="1" applyAlignment="1">
      <alignment horizontal="center" vertical="center"/>
    </xf>
    <xf numFmtId="182" fontId="11" fillId="0" borderId="8" xfId="0" applyNumberFormat="1" applyFont="1" applyBorder="1" applyAlignment="1">
      <alignment horizontal="center" vertical="center"/>
    </xf>
    <xf numFmtId="182" fontId="11" fillId="0" borderId="45" xfId="0" applyNumberFormat="1" applyFont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177" fontId="5" fillId="0" borderId="7" xfId="0" applyNumberFormat="1" applyFont="1" applyBorder="1" applyAlignment="1">
      <alignment horizontal="center" vertical="center"/>
    </xf>
    <xf numFmtId="177" fontId="5" fillId="0" borderId="11" xfId="0" applyNumberFormat="1" applyFont="1" applyBorder="1" applyAlignment="1">
      <alignment horizontal="center" vertical="center"/>
    </xf>
    <xf numFmtId="183" fontId="5" fillId="0" borderId="17" xfId="0" applyNumberFormat="1" applyFont="1" applyBorder="1" applyAlignment="1">
      <alignment horizontal="center" vertical="center"/>
    </xf>
    <xf numFmtId="183" fontId="5" fillId="0" borderId="7" xfId="0" applyNumberFormat="1" applyFont="1" applyBorder="1" applyAlignment="1">
      <alignment horizontal="center" vertical="center"/>
    </xf>
    <xf numFmtId="183" fontId="5" fillId="0" borderId="11" xfId="0" applyNumberFormat="1" applyFont="1" applyBorder="1" applyAlignment="1">
      <alignment horizontal="center" vertical="center"/>
    </xf>
    <xf numFmtId="0" fontId="2" fillId="11" borderId="44" xfId="0" applyFont="1" applyFill="1" applyBorder="1" applyAlignment="1">
      <alignment horizontal="center" vertical="center"/>
    </xf>
    <xf numFmtId="0" fontId="0" fillId="11" borderId="44" xfId="0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7" fontId="5" fillId="0" borderId="8" xfId="0" applyNumberFormat="1" applyFont="1" applyBorder="1" applyAlignment="1">
      <alignment horizontal="center" vertical="center"/>
    </xf>
    <xf numFmtId="177" fontId="5" fillId="0" borderId="45" xfId="0" applyNumberFormat="1" applyFont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77" fontId="5" fillId="2" borderId="17" xfId="0" applyNumberFormat="1" applyFont="1" applyFill="1" applyBorder="1" applyAlignment="1">
      <alignment horizontal="center" vertical="center"/>
    </xf>
    <xf numFmtId="177" fontId="5" fillId="2" borderId="20" xfId="0" applyNumberFormat="1" applyFont="1" applyFill="1" applyBorder="1" applyAlignment="1">
      <alignment horizontal="center" vertical="center"/>
    </xf>
    <xf numFmtId="56" fontId="11" fillId="0" borderId="9" xfId="0" applyNumberFormat="1" applyFont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12" borderId="10" xfId="0" applyFont="1" applyFill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 2" xfId="2" xr:uid="{00000000-0005-0000-0000-000002000000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/>
  <colors>
    <mruColors>
      <color rgb="FFFFCCFF"/>
      <color rgb="FFCCFFFF"/>
      <color rgb="FFEDEDED"/>
      <color rgb="FFCCFFCC"/>
      <color rgb="FFFFC000"/>
      <color rgb="FFFF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9526"/>
  <sheetViews>
    <sheetView tabSelected="1" zoomScaleNormal="100" workbookViewId="0">
      <pane xSplit="7" ySplit="1" topLeftCell="M9457" activePane="bottomRight" state="frozen"/>
      <selection pane="topRight"/>
      <selection pane="bottomLeft"/>
      <selection pane="bottomRight" activeCell="P9475" sqref="P9475"/>
    </sheetView>
  </sheetViews>
  <sheetFormatPr defaultColWidth="9" defaultRowHeight="17.100000000000001" customHeight="1"/>
  <cols>
    <col min="1" max="1" width="9.44140625" bestFit="1" customWidth="1"/>
    <col min="2" max="2" width="18.77734375" style="2" customWidth="1"/>
    <col min="3" max="3" width="12.77734375" style="2" customWidth="1"/>
    <col min="4" max="4" width="10.77734375" style="2" customWidth="1"/>
    <col min="5" max="5" width="4.21875" style="3" bestFit="1" customWidth="1"/>
    <col min="6" max="6" width="38.77734375" style="4" customWidth="1"/>
    <col min="7" max="7" width="10.77734375" style="2" customWidth="1"/>
    <col min="8" max="8" width="6.77734375" style="5" customWidth="1"/>
    <col min="9" max="14" width="16.77734375" customWidth="1"/>
    <col min="15" max="15" width="16.77734375" style="18" customWidth="1"/>
    <col min="16" max="16" width="35.77734375" customWidth="1"/>
    <col min="17" max="17" width="6.77734375" style="6" customWidth="1"/>
    <col min="18" max="18" width="7.109375" style="7" bestFit="1" customWidth="1"/>
    <col min="19" max="19" width="65.77734375" style="214" customWidth="1"/>
    <col min="20" max="20" width="25.77734375" customWidth="1"/>
    <col min="21" max="21" width="18.77734375" customWidth="1"/>
    <col min="22" max="22" width="18.77734375" style="2" customWidth="1"/>
    <col min="23" max="23" width="12.77734375" style="2" customWidth="1"/>
    <col min="24" max="27" width="16.77734375" style="8" customWidth="1"/>
    <col min="28" max="28" width="11.21875" style="9" bestFit="1" customWidth="1"/>
  </cols>
  <sheetData>
    <row r="1" spans="1:28" s="1" customFormat="1" ht="17.100000000000001" customHeight="1" thickBot="1">
      <c r="A1" s="10" t="s">
        <v>0</v>
      </c>
      <c r="B1" s="11" t="s">
        <v>13824</v>
      </c>
      <c r="C1" s="12" t="s">
        <v>2</v>
      </c>
      <c r="D1" s="11" t="s">
        <v>3</v>
      </c>
      <c r="E1" s="239" t="s">
        <v>16160</v>
      </c>
      <c r="F1" s="240"/>
      <c r="G1" s="10" t="s">
        <v>5</v>
      </c>
      <c r="H1" s="11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9" t="s">
        <v>20582</v>
      </c>
      <c r="P1" s="10" t="s">
        <v>15321</v>
      </c>
      <c r="Q1" s="217"/>
      <c r="R1" s="218"/>
      <c r="S1" s="218" t="s">
        <v>26404</v>
      </c>
      <c r="T1" s="10" t="s">
        <v>15</v>
      </c>
      <c r="U1" s="20" t="s">
        <v>16</v>
      </c>
      <c r="V1" s="181" t="s">
        <v>15952</v>
      </c>
      <c r="W1" s="10" t="s">
        <v>2</v>
      </c>
      <c r="X1" s="10" t="s">
        <v>7</v>
      </c>
      <c r="Y1" s="10" t="s">
        <v>8</v>
      </c>
      <c r="Z1" s="10" t="s">
        <v>10</v>
      </c>
      <c r="AA1" s="10" t="s">
        <v>12</v>
      </c>
      <c r="AB1" s="11" t="s">
        <v>18</v>
      </c>
    </row>
    <row r="2" spans="1:28" ht="17.100000000000001" customHeight="1" thickTop="1">
      <c r="A2" s="226" t="s">
        <v>5632</v>
      </c>
      <c r="B2" s="31">
        <v>36329</v>
      </c>
      <c r="C2" s="32"/>
      <c r="D2" s="32" t="s">
        <v>28</v>
      </c>
      <c r="E2" s="241"/>
      <c r="F2" s="182" t="s">
        <v>29</v>
      </c>
      <c r="G2" s="24"/>
      <c r="H2" s="242"/>
      <c r="I2" s="131">
        <v>430000</v>
      </c>
      <c r="J2" s="131">
        <v>21500</v>
      </c>
      <c r="K2" s="131" t="s">
        <v>30</v>
      </c>
      <c r="L2" s="131" t="s">
        <v>31</v>
      </c>
      <c r="M2" s="131" t="s">
        <v>32</v>
      </c>
      <c r="N2" s="244">
        <v>879965</v>
      </c>
      <c r="O2" s="248">
        <v>20000</v>
      </c>
      <c r="P2" s="183" t="s">
        <v>33</v>
      </c>
      <c r="Q2" s="33" t="s">
        <v>19</v>
      </c>
      <c r="R2" s="213"/>
      <c r="S2" s="215"/>
      <c r="T2" s="184">
        <v>100000</v>
      </c>
      <c r="U2" s="34"/>
      <c r="V2" s="177"/>
      <c r="W2" s="116"/>
      <c r="X2" s="245"/>
      <c r="Y2" s="245">
        <f>X2*0.1</f>
        <v>0</v>
      </c>
      <c r="Z2" s="245"/>
      <c r="AA2" s="245">
        <f>SUM(X2:Z2)</f>
        <v>0</v>
      </c>
      <c r="AB2" s="251"/>
    </row>
    <row r="3" spans="1:28" ht="17.100000000000001" customHeight="1" thickBot="1">
      <c r="A3" s="227"/>
      <c r="B3" s="35" t="s">
        <v>34</v>
      </c>
      <c r="C3" s="35"/>
      <c r="D3" s="35" t="s">
        <v>35</v>
      </c>
      <c r="E3" s="229"/>
      <c r="F3" s="117" t="s">
        <v>36</v>
      </c>
      <c r="G3" s="26"/>
      <c r="H3" s="243"/>
      <c r="I3" s="26" t="s">
        <v>37</v>
      </c>
      <c r="J3" s="26" t="s">
        <v>38</v>
      </c>
      <c r="K3" s="26" t="s">
        <v>39</v>
      </c>
      <c r="L3" s="26" t="s">
        <v>40</v>
      </c>
      <c r="M3" s="26"/>
      <c r="N3" s="221"/>
      <c r="O3" s="225"/>
      <c r="P3" s="119" t="s">
        <v>41</v>
      </c>
      <c r="Q3" s="36" t="s">
        <v>20</v>
      </c>
      <c r="R3" s="37"/>
      <c r="S3" s="164"/>
      <c r="T3" s="122"/>
      <c r="U3" s="38"/>
      <c r="V3" s="168"/>
      <c r="W3" s="122"/>
      <c r="X3" s="221"/>
      <c r="Y3" s="221"/>
      <c r="Z3" s="221"/>
      <c r="AA3" s="221"/>
      <c r="AB3" s="247"/>
    </row>
    <row r="4" spans="1:28" ht="17.100000000000001" customHeight="1" thickTop="1">
      <c r="A4" s="226" t="s">
        <v>5633</v>
      </c>
      <c r="B4" s="28">
        <v>37996</v>
      </c>
      <c r="C4" s="29"/>
      <c r="D4" s="29" t="s">
        <v>42</v>
      </c>
      <c r="E4" s="228"/>
      <c r="F4" s="109" t="s">
        <v>43</v>
      </c>
      <c r="G4" s="24"/>
      <c r="H4" s="232"/>
      <c r="I4" s="132">
        <v>560000</v>
      </c>
      <c r="J4" s="132">
        <v>28000</v>
      </c>
      <c r="K4" s="132"/>
      <c r="L4" s="132"/>
      <c r="M4" s="132">
        <v>4200</v>
      </c>
      <c r="N4" s="220">
        <v>592885</v>
      </c>
      <c r="O4" s="224">
        <v>20000</v>
      </c>
      <c r="P4" s="112" t="s">
        <v>44</v>
      </c>
      <c r="Q4" s="15" t="s">
        <v>19</v>
      </c>
      <c r="R4" s="205"/>
      <c r="S4" s="189"/>
      <c r="T4" s="178">
        <v>354800</v>
      </c>
      <c r="U4" s="21"/>
      <c r="V4" s="180"/>
      <c r="W4" s="116"/>
      <c r="X4" s="220"/>
      <c r="Y4" s="245">
        <f>X4*0.1</f>
        <v>0</v>
      </c>
      <c r="Z4" s="220"/>
      <c r="AA4" s="220">
        <f>SUM(X4:Z4)</f>
        <v>0</v>
      </c>
      <c r="AB4" s="246"/>
    </row>
    <row r="5" spans="1:28" ht="17.100000000000001" customHeight="1" thickBot="1">
      <c r="A5" s="227"/>
      <c r="B5" s="27" t="s">
        <v>45</v>
      </c>
      <c r="C5" s="27"/>
      <c r="D5" s="27" t="s">
        <v>46</v>
      </c>
      <c r="E5" s="229"/>
      <c r="F5" s="117" t="s">
        <v>47</v>
      </c>
      <c r="G5" s="26"/>
      <c r="H5" s="243"/>
      <c r="I5" s="122" t="s">
        <v>48</v>
      </c>
      <c r="J5" s="122"/>
      <c r="K5" s="122"/>
      <c r="L5" s="122"/>
      <c r="M5" s="122"/>
      <c r="N5" s="221"/>
      <c r="O5" s="225"/>
      <c r="P5" s="120" t="s">
        <v>49</v>
      </c>
      <c r="Q5" s="16" t="s">
        <v>20</v>
      </c>
      <c r="R5" s="39"/>
      <c r="S5" s="171"/>
      <c r="T5" s="122"/>
      <c r="U5" s="22" t="s">
        <v>50</v>
      </c>
      <c r="V5" s="159"/>
      <c r="W5" s="122"/>
      <c r="X5" s="221"/>
      <c r="Y5" s="221"/>
      <c r="Z5" s="221"/>
      <c r="AA5" s="221"/>
      <c r="AB5" s="247"/>
    </row>
    <row r="6" spans="1:28" ht="17.100000000000001" customHeight="1" thickTop="1">
      <c r="A6" s="226" t="s">
        <v>5634</v>
      </c>
      <c r="B6" s="31">
        <v>38325</v>
      </c>
      <c r="C6" s="32"/>
      <c r="D6" s="32" t="s">
        <v>51</v>
      </c>
      <c r="E6" s="228"/>
      <c r="F6" s="109" t="s">
        <v>52</v>
      </c>
      <c r="G6" s="40"/>
      <c r="H6" s="232"/>
      <c r="I6" s="133">
        <v>430000</v>
      </c>
      <c r="J6" s="133">
        <v>21500</v>
      </c>
      <c r="K6" s="133">
        <v>11200</v>
      </c>
      <c r="L6" s="133">
        <v>4200</v>
      </c>
      <c r="M6" s="133"/>
      <c r="N6" s="220">
        <v>541900</v>
      </c>
      <c r="O6" s="224">
        <v>20000</v>
      </c>
      <c r="P6" s="172" t="s">
        <v>53</v>
      </c>
      <c r="Q6" s="33" t="s">
        <v>19</v>
      </c>
      <c r="R6" s="211"/>
      <c r="S6" s="190"/>
      <c r="T6" s="178">
        <v>100000</v>
      </c>
      <c r="U6" s="21"/>
      <c r="V6" s="177"/>
      <c r="W6" s="116"/>
      <c r="X6" s="220"/>
      <c r="Y6" s="245">
        <f>X6*0.1</f>
        <v>0</v>
      </c>
      <c r="Z6" s="220"/>
      <c r="AA6" s="220">
        <f>SUM(X6:Z6)</f>
        <v>0</v>
      </c>
      <c r="AB6" s="246"/>
    </row>
    <row r="7" spans="1:28" ht="17.100000000000001" customHeight="1" thickBot="1">
      <c r="A7" s="227"/>
      <c r="B7" s="35" t="s">
        <v>45</v>
      </c>
      <c r="C7" s="35"/>
      <c r="D7" s="35" t="s">
        <v>54</v>
      </c>
      <c r="E7" s="229"/>
      <c r="F7" s="117" t="s">
        <v>55</v>
      </c>
      <c r="G7" s="26">
        <v>98100</v>
      </c>
      <c r="H7" s="243"/>
      <c r="I7" s="122" t="s">
        <v>56</v>
      </c>
      <c r="J7" s="122" t="s">
        <v>57</v>
      </c>
      <c r="K7" s="122" t="s">
        <v>58</v>
      </c>
      <c r="L7" s="122" t="s">
        <v>59</v>
      </c>
      <c r="M7" s="122"/>
      <c r="N7" s="221"/>
      <c r="O7" s="225"/>
      <c r="P7" s="165" t="s">
        <v>60</v>
      </c>
      <c r="Q7" s="36" t="s">
        <v>20</v>
      </c>
      <c r="R7" s="41"/>
      <c r="S7" s="167"/>
      <c r="T7" s="122"/>
      <c r="U7" s="22" t="s">
        <v>50</v>
      </c>
      <c r="V7" s="168"/>
      <c r="W7" s="122"/>
      <c r="X7" s="221"/>
      <c r="Y7" s="221"/>
      <c r="Z7" s="221"/>
      <c r="AA7" s="221"/>
      <c r="AB7" s="247"/>
    </row>
    <row r="8" spans="1:28" ht="17.100000000000001" customHeight="1" thickTop="1">
      <c r="A8" s="226" t="s">
        <v>5635</v>
      </c>
      <c r="B8" s="28">
        <v>38596</v>
      </c>
      <c r="C8" s="29"/>
      <c r="D8" s="29" t="s">
        <v>61</v>
      </c>
      <c r="E8" s="228"/>
      <c r="F8" s="109" t="s">
        <v>62</v>
      </c>
      <c r="G8" s="24"/>
      <c r="H8" s="232"/>
      <c r="I8" s="132">
        <v>1000000</v>
      </c>
      <c r="J8" s="132">
        <v>50000</v>
      </c>
      <c r="K8" s="132"/>
      <c r="L8" s="132"/>
      <c r="M8" s="132">
        <v>21000</v>
      </c>
      <c r="N8" s="220">
        <v>1071850</v>
      </c>
      <c r="O8" s="224">
        <v>20000</v>
      </c>
      <c r="P8" s="112" t="s">
        <v>63</v>
      </c>
      <c r="Q8" s="15" t="s">
        <v>19</v>
      </c>
      <c r="R8" s="211"/>
      <c r="S8" s="190"/>
      <c r="T8" s="178">
        <v>315000</v>
      </c>
      <c r="U8" s="21"/>
      <c r="V8" s="179"/>
      <c r="W8" s="116"/>
      <c r="X8" s="220"/>
      <c r="Y8" s="245">
        <f>X8*0.1</f>
        <v>0</v>
      </c>
      <c r="Z8" s="220"/>
      <c r="AA8" s="220">
        <f>SUM(X8:Z8)</f>
        <v>0</v>
      </c>
      <c r="AB8" s="246"/>
    </row>
    <row r="9" spans="1:28" ht="17.100000000000001" customHeight="1" thickBot="1">
      <c r="A9" s="227"/>
      <c r="B9" s="27" t="s">
        <v>64</v>
      </c>
      <c r="C9" s="27"/>
      <c r="D9" s="27" t="s">
        <v>65</v>
      </c>
      <c r="E9" s="229"/>
      <c r="F9" s="117" t="s">
        <v>66</v>
      </c>
      <c r="G9" s="26"/>
      <c r="H9" s="243"/>
      <c r="I9" s="122" t="s">
        <v>67</v>
      </c>
      <c r="J9" s="122"/>
      <c r="K9" s="122"/>
      <c r="L9" s="122"/>
      <c r="M9" s="122"/>
      <c r="N9" s="221"/>
      <c r="O9" s="225"/>
      <c r="P9" s="120" t="s">
        <v>68</v>
      </c>
      <c r="Q9" s="16" t="s">
        <v>20</v>
      </c>
      <c r="R9" s="39"/>
      <c r="S9" s="174"/>
      <c r="T9" s="122"/>
      <c r="U9" s="22" t="s">
        <v>50</v>
      </c>
      <c r="V9" s="159"/>
      <c r="W9" s="122"/>
      <c r="X9" s="221"/>
      <c r="Y9" s="221"/>
      <c r="Z9" s="221"/>
      <c r="AA9" s="221"/>
      <c r="AB9" s="247"/>
    </row>
    <row r="10" spans="1:28" ht="17.100000000000001" customHeight="1" thickTop="1">
      <c r="A10" s="226" t="s">
        <v>5636</v>
      </c>
      <c r="B10" s="31">
        <v>38768</v>
      </c>
      <c r="C10" s="32"/>
      <c r="D10" s="32" t="s">
        <v>69</v>
      </c>
      <c r="E10" s="228"/>
      <c r="F10" s="109" t="s">
        <v>70</v>
      </c>
      <c r="G10" s="24"/>
      <c r="H10" s="232"/>
      <c r="I10" s="133">
        <v>320000</v>
      </c>
      <c r="J10" s="133">
        <v>16000</v>
      </c>
      <c r="K10" s="133"/>
      <c r="L10" s="133"/>
      <c r="M10" s="133">
        <v>18375</v>
      </c>
      <c r="N10" s="220">
        <v>376110</v>
      </c>
      <c r="O10" s="224">
        <v>20000</v>
      </c>
      <c r="P10" s="172" t="s">
        <v>71</v>
      </c>
      <c r="Q10" s="33" t="s">
        <v>19</v>
      </c>
      <c r="R10" s="211"/>
      <c r="S10" s="190"/>
      <c r="T10" s="114">
        <v>341500</v>
      </c>
      <c r="U10" s="21"/>
      <c r="V10" s="177"/>
      <c r="W10" s="116"/>
      <c r="X10" s="220"/>
      <c r="Y10" s="245">
        <f>X10*0.1</f>
        <v>0</v>
      </c>
      <c r="Z10" s="220"/>
      <c r="AA10" s="220">
        <f>SUM(X10:Z10)</f>
        <v>0</v>
      </c>
      <c r="AB10" s="246"/>
    </row>
    <row r="11" spans="1:28" ht="17.100000000000001" customHeight="1" thickBot="1">
      <c r="A11" s="227"/>
      <c r="B11" s="35" t="s">
        <v>72</v>
      </c>
      <c r="C11" s="35"/>
      <c r="D11" s="35" t="s">
        <v>73</v>
      </c>
      <c r="E11" s="229"/>
      <c r="F11" s="117" t="s">
        <v>74</v>
      </c>
      <c r="G11" s="26"/>
      <c r="H11" s="243"/>
      <c r="I11" s="122" t="s">
        <v>75</v>
      </c>
      <c r="J11" s="122" t="s">
        <v>76</v>
      </c>
      <c r="K11" s="133"/>
      <c r="L11" s="133"/>
      <c r="M11" s="133"/>
      <c r="N11" s="221"/>
      <c r="O11" s="225"/>
      <c r="P11" s="165" t="s">
        <v>77</v>
      </c>
      <c r="Q11" s="36" t="s">
        <v>20</v>
      </c>
      <c r="R11" s="41"/>
      <c r="S11" s="166" t="s">
        <v>78</v>
      </c>
      <c r="T11" s="122"/>
      <c r="U11" s="22"/>
      <c r="V11" s="168"/>
      <c r="W11" s="122"/>
      <c r="X11" s="221"/>
      <c r="Y11" s="221"/>
      <c r="Z11" s="221"/>
      <c r="AA11" s="221"/>
      <c r="AB11" s="247"/>
    </row>
    <row r="12" spans="1:28" ht="17.100000000000001" customHeight="1" thickTop="1">
      <c r="A12" s="226" t="s">
        <v>5637</v>
      </c>
      <c r="B12" s="28">
        <v>38792</v>
      </c>
      <c r="C12" s="29"/>
      <c r="D12" s="29" t="s">
        <v>79</v>
      </c>
      <c r="E12" s="228"/>
      <c r="F12" s="109" t="s">
        <v>80</v>
      </c>
      <c r="G12" s="24"/>
      <c r="H12" s="232"/>
      <c r="I12" s="170">
        <v>710000</v>
      </c>
      <c r="J12" s="170">
        <v>35500</v>
      </c>
      <c r="K12" s="170"/>
      <c r="L12" s="170"/>
      <c r="M12" s="170">
        <v>10500</v>
      </c>
      <c r="N12" s="249">
        <v>788596</v>
      </c>
      <c r="O12" s="224">
        <v>20000</v>
      </c>
      <c r="P12" s="112" t="s">
        <v>81</v>
      </c>
      <c r="Q12" s="15" t="s">
        <v>19</v>
      </c>
      <c r="R12" s="211"/>
      <c r="S12" s="190"/>
      <c r="T12" s="114">
        <v>400000</v>
      </c>
      <c r="U12" s="21"/>
      <c r="V12" s="160"/>
      <c r="W12" s="116"/>
      <c r="X12" s="220"/>
      <c r="Y12" s="245">
        <f>X12*0.1</f>
        <v>0</v>
      </c>
      <c r="Z12" s="220"/>
      <c r="AA12" s="220">
        <f>SUM(X12:Z12)</f>
        <v>0</v>
      </c>
      <c r="AB12" s="246"/>
    </row>
    <row r="13" spans="1:28" ht="17.100000000000001" customHeight="1" thickBot="1">
      <c r="A13" s="227"/>
      <c r="B13" s="27" t="s">
        <v>82</v>
      </c>
      <c r="C13" s="27"/>
      <c r="D13" s="27" t="s">
        <v>65</v>
      </c>
      <c r="E13" s="229"/>
      <c r="F13" s="117" t="s">
        <v>83</v>
      </c>
      <c r="G13" s="26"/>
      <c r="H13" s="243"/>
      <c r="I13" s="122" t="s">
        <v>84</v>
      </c>
      <c r="J13" s="204"/>
      <c r="K13" s="119"/>
      <c r="L13" s="252" t="s">
        <v>85</v>
      </c>
      <c r="M13" s="253"/>
      <c r="N13" s="250"/>
      <c r="O13" s="225"/>
      <c r="P13" s="165" t="s">
        <v>86</v>
      </c>
      <c r="Q13" s="36" t="s">
        <v>20</v>
      </c>
      <c r="R13" s="42"/>
      <c r="S13" s="169" t="s">
        <v>87</v>
      </c>
      <c r="T13" s="122"/>
      <c r="U13" s="22" t="s">
        <v>50</v>
      </c>
      <c r="V13" s="168"/>
      <c r="W13" s="122"/>
      <c r="X13" s="221"/>
      <c r="Y13" s="221"/>
      <c r="Z13" s="221"/>
      <c r="AA13" s="221"/>
      <c r="AB13" s="247"/>
    </row>
    <row r="14" spans="1:28" ht="17.100000000000001" customHeight="1" thickTop="1">
      <c r="A14" s="226" t="s">
        <v>5638</v>
      </c>
      <c r="B14" s="28">
        <v>38920</v>
      </c>
      <c r="C14" s="29"/>
      <c r="D14" s="29" t="s">
        <v>79</v>
      </c>
      <c r="E14" s="228"/>
      <c r="F14" s="109" t="s">
        <v>88</v>
      </c>
      <c r="G14" s="24"/>
      <c r="H14" s="232"/>
      <c r="I14" s="132">
        <v>795000</v>
      </c>
      <c r="J14" s="132">
        <v>39750</v>
      </c>
      <c r="K14" s="132"/>
      <c r="L14" s="132"/>
      <c r="M14" s="132">
        <v>8610</v>
      </c>
      <c r="N14" s="220">
        <v>886785</v>
      </c>
      <c r="O14" s="224">
        <v>20000</v>
      </c>
      <c r="P14" s="112" t="s">
        <v>89</v>
      </c>
      <c r="Q14" s="15" t="s">
        <v>19</v>
      </c>
      <c r="R14" s="211"/>
      <c r="S14" s="190"/>
      <c r="T14" s="114">
        <v>147000</v>
      </c>
      <c r="U14" s="21"/>
      <c r="V14" s="160"/>
      <c r="W14" s="116"/>
      <c r="X14" s="220"/>
      <c r="Y14" s="245">
        <f>X14*0.1</f>
        <v>0</v>
      </c>
      <c r="Z14" s="220"/>
      <c r="AA14" s="220">
        <f>SUM(X14:Z14)</f>
        <v>0</v>
      </c>
      <c r="AB14" s="246"/>
    </row>
    <row r="15" spans="1:28" ht="17.100000000000001" customHeight="1" thickBot="1">
      <c r="A15" s="227"/>
      <c r="B15" s="27" t="s">
        <v>45</v>
      </c>
      <c r="C15" s="27"/>
      <c r="D15" s="27" t="s">
        <v>90</v>
      </c>
      <c r="E15" s="229"/>
      <c r="F15" s="117" t="s">
        <v>91</v>
      </c>
      <c r="G15" s="26"/>
      <c r="H15" s="243"/>
      <c r="I15" s="122" t="s">
        <v>92</v>
      </c>
      <c r="J15" s="122" t="s">
        <v>93</v>
      </c>
      <c r="K15" s="122"/>
      <c r="L15" s="122"/>
      <c r="M15" s="122"/>
      <c r="N15" s="221"/>
      <c r="O15" s="225"/>
      <c r="P15" s="120" t="s">
        <v>94</v>
      </c>
      <c r="Q15" s="16" t="s">
        <v>20</v>
      </c>
      <c r="R15" s="43"/>
      <c r="S15" s="171"/>
      <c r="T15" s="122"/>
      <c r="U15" s="22"/>
      <c r="V15" s="159"/>
      <c r="W15" s="122"/>
      <c r="X15" s="221"/>
      <c r="Y15" s="221"/>
      <c r="Z15" s="221"/>
      <c r="AA15" s="221"/>
      <c r="AB15" s="247"/>
    </row>
    <row r="16" spans="1:28" ht="17.100000000000001" customHeight="1" thickTop="1">
      <c r="A16" s="226" t="s">
        <v>5639</v>
      </c>
      <c r="B16" s="28">
        <v>39366</v>
      </c>
      <c r="C16" s="29"/>
      <c r="D16" s="29" t="s">
        <v>51</v>
      </c>
      <c r="E16" s="228"/>
      <c r="F16" s="109" t="s">
        <v>95</v>
      </c>
      <c r="G16" s="24"/>
      <c r="H16" s="232"/>
      <c r="I16" s="176">
        <v>400000</v>
      </c>
      <c r="J16" s="176"/>
      <c r="K16" s="176"/>
      <c r="L16" s="176"/>
      <c r="M16" s="176"/>
      <c r="N16" s="220">
        <f>SUM(I16:M16)</f>
        <v>400000</v>
      </c>
      <c r="O16" s="224">
        <v>20000</v>
      </c>
      <c r="P16" s="112" t="s">
        <v>96</v>
      </c>
      <c r="Q16" s="15" t="s">
        <v>19</v>
      </c>
      <c r="R16" s="211"/>
      <c r="S16" s="190"/>
      <c r="T16" s="114">
        <v>105000</v>
      </c>
      <c r="U16" s="21"/>
      <c r="V16" s="160"/>
      <c r="W16" s="116"/>
      <c r="X16" s="220"/>
      <c r="Y16" s="245">
        <f>X16*0.1</f>
        <v>0</v>
      </c>
      <c r="Z16" s="220"/>
      <c r="AA16" s="220">
        <f>SUM(X16:Z16)</f>
        <v>0</v>
      </c>
      <c r="AB16" s="246"/>
    </row>
    <row r="17" spans="1:28" ht="17.100000000000001" customHeight="1" thickBot="1">
      <c r="A17" s="227"/>
      <c r="B17" s="27" t="s">
        <v>97</v>
      </c>
      <c r="C17" s="27"/>
      <c r="D17" s="27"/>
      <c r="E17" s="229"/>
      <c r="F17" s="117" t="s">
        <v>98</v>
      </c>
      <c r="G17" s="26"/>
      <c r="H17" s="243"/>
      <c r="I17" s="14"/>
      <c r="J17" s="14"/>
      <c r="K17" s="14"/>
      <c r="L17" s="14"/>
      <c r="M17" s="14"/>
      <c r="N17" s="221"/>
      <c r="O17" s="225"/>
      <c r="P17" s="120" t="s">
        <v>99</v>
      </c>
      <c r="Q17" s="16" t="s">
        <v>20</v>
      </c>
      <c r="R17" s="43"/>
      <c r="S17" s="171"/>
      <c r="T17" s="122"/>
      <c r="U17" s="22" t="s">
        <v>50</v>
      </c>
      <c r="V17" s="159"/>
      <c r="W17" s="122"/>
      <c r="X17" s="221"/>
      <c r="Y17" s="221"/>
      <c r="Z17" s="221"/>
      <c r="AA17" s="221"/>
      <c r="AB17" s="247"/>
    </row>
    <row r="18" spans="1:28" ht="17.100000000000001" customHeight="1" thickTop="1">
      <c r="A18" s="226" t="s">
        <v>5640</v>
      </c>
      <c r="B18" s="28">
        <v>39576</v>
      </c>
      <c r="C18" s="29"/>
      <c r="D18" s="29" t="s">
        <v>61</v>
      </c>
      <c r="E18" s="228"/>
      <c r="F18" s="109" t="s">
        <v>100</v>
      </c>
      <c r="G18" s="24"/>
      <c r="H18" s="232"/>
      <c r="I18" s="170">
        <v>383000</v>
      </c>
      <c r="J18" s="170">
        <v>19150</v>
      </c>
      <c r="K18" s="170">
        <v>37500</v>
      </c>
      <c r="L18" s="170">
        <v>19140</v>
      </c>
      <c r="M18" s="170">
        <v>19425</v>
      </c>
      <c r="N18" s="220">
        <v>491445</v>
      </c>
      <c r="O18" s="224">
        <v>20000</v>
      </c>
      <c r="P18" s="112" t="s">
        <v>101</v>
      </c>
      <c r="Q18" s="15" t="s">
        <v>19</v>
      </c>
      <c r="R18" s="211"/>
      <c r="S18" s="190"/>
      <c r="T18" s="114">
        <v>458790</v>
      </c>
      <c r="U18" s="21"/>
      <c r="V18" s="160"/>
      <c r="W18" s="116"/>
      <c r="X18" s="220"/>
      <c r="Y18" s="245">
        <f>X18*0.1</f>
        <v>0</v>
      </c>
      <c r="Z18" s="220"/>
      <c r="AA18" s="220">
        <f>SUM(X18:Z18)</f>
        <v>0</v>
      </c>
      <c r="AB18" s="246"/>
    </row>
    <row r="19" spans="1:28" ht="17.100000000000001" customHeight="1" thickBot="1">
      <c r="A19" s="227"/>
      <c r="B19" s="27" t="s">
        <v>102</v>
      </c>
      <c r="C19" s="27"/>
      <c r="D19" s="27"/>
      <c r="E19" s="229"/>
      <c r="F19" s="117" t="s">
        <v>103</v>
      </c>
      <c r="G19" s="26"/>
      <c r="H19" s="243"/>
      <c r="I19" s="44" t="s">
        <v>104</v>
      </c>
      <c r="J19" s="45"/>
      <c r="K19" s="14"/>
      <c r="L19" s="14"/>
      <c r="M19" s="14"/>
      <c r="N19" s="221"/>
      <c r="O19" s="225"/>
      <c r="P19" s="165" t="s">
        <v>105</v>
      </c>
      <c r="Q19" s="36" t="s">
        <v>20</v>
      </c>
      <c r="R19" s="42"/>
      <c r="S19" s="175"/>
      <c r="T19" s="122"/>
      <c r="U19" s="22" t="s">
        <v>106</v>
      </c>
      <c r="V19" s="159"/>
      <c r="W19" s="122"/>
      <c r="X19" s="221"/>
      <c r="Y19" s="221"/>
      <c r="Z19" s="221"/>
      <c r="AA19" s="221"/>
      <c r="AB19" s="247"/>
    </row>
    <row r="20" spans="1:28" ht="17.100000000000001" customHeight="1" thickTop="1">
      <c r="A20" s="226" t="s">
        <v>5641</v>
      </c>
      <c r="B20" s="28">
        <v>39872</v>
      </c>
      <c r="C20" s="29"/>
      <c r="D20" s="29" t="s">
        <v>107</v>
      </c>
      <c r="E20" s="228"/>
      <c r="F20" s="109" t="s">
        <v>108</v>
      </c>
      <c r="G20" s="24"/>
      <c r="H20" s="232"/>
      <c r="I20" s="132">
        <v>295000</v>
      </c>
      <c r="J20" s="132">
        <v>14750</v>
      </c>
      <c r="K20" s="132">
        <v>3200</v>
      </c>
      <c r="L20" s="132">
        <v>18050</v>
      </c>
      <c r="M20" s="132">
        <v>4305</v>
      </c>
      <c r="N20" s="220">
        <v>346330</v>
      </c>
      <c r="O20" s="224">
        <v>20000</v>
      </c>
      <c r="P20" s="112" t="s">
        <v>109</v>
      </c>
      <c r="Q20" s="15" t="s">
        <v>19</v>
      </c>
      <c r="R20" s="211"/>
      <c r="S20" s="190"/>
      <c r="T20" s="114">
        <v>313000</v>
      </c>
      <c r="U20" s="21"/>
      <c r="V20" s="160"/>
      <c r="W20" s="116"/>
      <c r="X20" s="220"/>
      <c r="Y20" s="245">
        <f>X20*0.1</f>
        <v>0</v>
      </c>
      <c r="Z20" s="220"/>
      <c r="AA20" s="220">
        <f>SUM(X20:Z20)</f>
        <v>0</v>
      </c>
      <c r="AB20" s="246"/>
    </row>
    <row r="21" spans="1:28" ht="17.100000000000001" customHeight="1" thickBot="1">
      <c r="A21" s="227"/>
      <c r="B21" s="27" t="s">
        <v>45</v>
      </c>
      <c r="C21" s="27"/>
      <c r="D21" s="27" t="s">
        <v>110</v>
      </c>
      <c r="E21" s="229"/>
      <c r="F21" s="117" t="s">
        <v>111</v>
      </c>
      <c r="G21" s="26"/>
      <c r="H21" s="243"/>
      <c r="I21" s="122" t="s">
        <v>112</v>
      </c>
      <c r="J21" s="14"/>
      <c r="K21" s="14"/>
      <c r="L21" s="14"/>
      <c r="M21" s="14"/>
      <c r="N21" s="221"/>
      <c r="O21" s="225"/>
      <c r="P21" s="120" t="s">
        <v>113</v>
      </c>
      <c r="Q21" s="16" t="s">
        <v>20</v>
      </c>
      <c r="R21" s="43"/>
      <c r="S21" s="174" t="s">
        <v>78</v>
      </c>
      <c r="T21" s="122"/>
      <c r="U21" s="22" t="s">
        <v>50</v>
      </c>
      <c r="V21" s="159"/>
      <c r="W21" s="122"/>
      <c r="X21" s="221"/>
      <c r="Y21" s="221"/>
      <c r="Z21" s="221"/>
      <c r="AA21" s="221"/>
      <c r="AB21" s="247"/>
    </row>
    <row r="22" spans="1:28" ht="17.100000000000001" customHeight="1" thickTop="1">
      <c r="A22" s="226" t="s">
        <v>5642</v>
      </c>
      <c r="B22" s="31">
        <v>39963</v>
      </c>
      <c r="C22" s="32"/>
      <c r="D22" s="32" t="s">
        <v>114</v>
      </c>
      <c r="E22" s="228"/>
      <c r="F22" s="109" t="s">
        <v>115</v>
      </c>
      <c r="G22" s="24"/>
      <c r="H22" s="232"/>
      <c r="I22" s="133">
        <v>745000</v>
      </c>
      <c r="J22" s="133">
        <v>37250</v>
      </c>
      <c r="K22" s="133"/>
      <c r="L22" s="133">
        <v>19660</v>
      </c>
      <c r="M22" s="133">
        <v>4305</v>
      </c>
      <c r="N22" s="220">
        <f>SUM(I22:M22)</f>
        <v>806215</v>
      </c>
      <c r="O22" s="224">
        <v>20000</v>
      </c>
      <c r="P22" s="172" t="s">
        <v>116</v>
      </c>
      <c r="Q22" s="33" t="s">
        <v>19</v>
      </c>
      <c r="R22" s="211"/>
      <c r="S22" s="190"/>
      <c r="T22" s="114"/>
      <c r="U22" s="21"/>
      <c r="V22" s="160"/>
      <c r="W22" s="116"/>
      <c r="X22" s="220"/>
      <c r="Y22" s="245">
        <f>X22*0.1</f>
        <v>0</v>
      </c>
      <c r="Z22" s="220"/>
      <c r="AA22" s="220">
        <f>SUM(X22:Z22)</f>
        <v>0</v>
      </c>
      <c r="AB22" s="246"/>
    </row>
    <row r="23" spans="1:28" ht="17.100000000000001" customHeight="1" thickBot="1">
      <c r="A23" s="227"/>
      <c r="B23" s="35" t="s">
        <v>45</v>
      </c>
      <c r="C23" s="35"/>
      <c r="D23" s="35" t="s">
        <v>117</v>
      </c>
      <c r="E23" s="229"/>
      <c r="F23" s="117" t="s">
        <v>118</v>
      </c>
      <c r="G23" s="26">
        <v>50901</v>
      </c>
      <c r="H23" s="243"/>
      <c r="I23" s="14"/>
      <c r="J23" s="14"/>
      <c r="K23" s="14"/>
      <c r="L23" s="14"/>
      <c r="M23" s="14"/>
      <c r="N23" s="221"/>
      <c r="O23" s="225"/>
      <c r="P23" s="165" t="s">
        <v>119</v>
      </c>
      <c r="Q23" s="36" t="s">
        <v>20</v>
      </c>
      <c r="R23" s="46"/>
      <c r="S23" s="167"/>
      <c r="T23" s="122"/>
      <c r="U23" s="22"/>
      <c r="V23" s="159"/>
      <c r="W23" s="122"/>
      <c r="X23" s="221"/>
      <c r="Y23" s="221"/>
      <c r="Z23" s="221"/>
      <c r="AA23" s="221"/>
      <c r="AB23" s="247"/>
    </row>
    <row r="24" spans="1:28" ht="17.100000000000001" customHeight="1" thickTop="1">
      <c r="A24" s="226" t="s">
        <v>5643</v>
      </c>
      <c r="B24" s="28">
        <v>40026</v>
      </c>
      <c r="C24" s="29" t="s">
        <v>120</v>
      </c>
      <c r="D24" s="29" t="s">
        <v>121</v>
      </c>
      <c r="E24" s="228"/>
      <c r="F24" s="109" t="s">
        <v>122</v>
      </c>
      <c r="G24" s="24"/>
      <c r="H24" s="232"/>
      <c r="I24" s="170">
        <v>725000</v>
      </c>
      <c r="J24" s="170">
        <v>36250</v>
      </c>
      <c r="K24" s="170"/>
      <c r="L24" s="170">
        <v>19350</v>
      </c>
      <c r="M24" s="170">
        <v>4305</v>
      </c>
      <c r="N24" s="220">
        <f>SUM(I24:M24)</f>
        <v>784905</v>
      </c>
      <c r="O24" s="224">
        <v>20000</v>
      </c>
      <c r="P24" s="112" t="s">
        <v>123</v>
      </c>
      <c r="Q24" s="15" t="s">
        <v>19</v>
      </c>
      <c r="R24" s="211"/>
      <c r="S24" s="190"/>
      <c r="T24" s="114"/>
      <c r="U24" s="21"/>
      <c r="V24" s="160"/>
      <c r="W24" s="116"/>
      <c r="X24" s="220"/>
      <c r="Y24" s="245">
        <f>X24*0.1</f>
        <v>0</v>
      </c>
      <c r="Z24" s="220"/>
      <c r="AA24" s="220">
        <f>SUM(X24:Z24)</f>
        <v>0</v>
      </c>
      <c r="AB24" s="246"/>
    </row>
    <row r="25" spans="1:28" ht="17.100000000000001" customHeight="1" thickBot="1">
      <c r="A25" s="227"/>
      <c r="B25" s="27" t="s">
        <v>45</v>
      </c>
      <c r="C25" s="27">
        <v>80273</v>
      </c>
      <c r="D25" s="27" t="s">
        <v>65</v>
      </c>
      <c r="E25" s="229"/>
      <c r="F25" s="117" t="s">
        <v>124</v>
      </c>
      <c r="G25" s="26">
        <v>50901</v>
      </c>
      <c r="H25" s="243"/>
      <c r="I25" s="14"/>
      <c r="J25" s="14"/>
      <c r="K25" s="14"/>
      <c r="L25" s="14"/>
      <c r="M25" s="14"/>
      <c r="N25" s="221"/>
      <c r="O25" s="225"/>
      <c r="P25" s="173" t="s">
        <v>125</v>
      </c>
      <c r="Q25" s="16" t="s">
        <v>20</v>
      </c>
      <c r="R25" s="42"/>
      <c r="S25" s="169" t="s">
        <v>126</v>
      </c>
      <c r="T25" s="122"/>
      <c r="U25" s="22"/>
      <c r="V25" s="159"/>
      <c r="W25" s="122"/>
      <c r="X25" s="221"/>
      <c r="Y25" s="221"/>
      <c r="Z25" s="221"/>
      <c r="AA25" s="221"/>
      <c r="AB25" s="247"/>
    </row>
    <row r="26" spans="1:28" ht="17.100000000000001" customHeight="1" thickTop="1">
      <c r="A26" s="226" t="s">
        <v>5644</v>
      </c>
      <c r="B26" s="28">
        <v>40575</v>
      </c>
      <c r="C26" s="29" t="s">
        <v>127</v>
      </c>
      <c r="D26" s="29" t="s">
        <v>107</v>
      </c>
      <c r="E26" s="228"/>
      <c r="F26" s="109" t="s">
        <v>128</v>
      </c>
      <c r="G26" s="47"/>
      <c r="H26" s="232"/>
      <c r="I26" s="132">
        <v>842000</v>
      </c>
      <c r="J26" s="132">
        <v>42100</v>
      </c>
      <c r="K26" s="132">
        <v>3200</v>
      </c>
      <c r="L26" s="132">
        <v>16040</v>
      </c>
      <c r="M26" s="132">
        <v>19420</v>
      </c>
      <c r="N26" s="220">
        <v>923390</v>
      </c>
      <c r="O26" s="224">
        <v>70000</v>
      </c>
      <c r="P26" s="172" t="s">
        <v>129</v>
      </c>
      <c r="Q26" s="33" t="s">
        <v>19</v>
      </c>
      <c r="R26" s="211"/>
      <c r="S26" s="190"/>
      <c r="T26" s="40"/>
      <c r="U26" s="21"/>
      <c r="V26" s="160"/>
      <c r="W26" s="116"/>
      <c r="X26" s="220"/>
      <c r="Y26" s="245">
        <f>X26*0.1</f>
        <v>0</v>
      </c>
      <c r="Z26" s="220"/>
      <c r="AA26" s="220">
        <f>SUM(X26:Z26)</f>
        <v>0</v>
      </c>
      <c r="AB26" s="246"/>
    </row>
    <row r="27" spans="1:28" ht="17.100000000000001" customHeight="1" thickBot="1">
      <c r="A27" s="227"/>
      <c r="B27" s="27" t="s">
        <v>130</v>
      </c>
      <c r="C27" s="27">
        <v>70861</v>
      </c>
      <c r="D27" s="27" t="s">
        <v>131</v>
      </c>
      <c r="E27" s="229"/>
      <c r="F27" s="117" t="s">
        <v>132</v>
      </c>
      <c r="G27" s="26"/>
      <c r="H27" s="243"/>
      <c r="I27" s="122" t="s">
        <v>133</v>
      </c>
      <c r="J27" s="14"/>
      <c r="K27" s="14"/>
      <c r="L27" s="14"/>
      <c r="M27" s="14"/>
      <c r="N27" s="221"/>
      <c r="O27" s="225"/>
      <c r="P27" s="173" t="s">
        <v>134</v>
      </c>
      <c r="Q27" s="36" t="s">
        <v>20</v>
      </c>
      <c r="R27" s="46"/>
      <c r="S27" s="167"/>
      <c r="T27" s="122"/>
      <c r="U27" s="22" t="s">
        <v>106</v>
      </c>
      <c r="V27" s="159"/>
      <c r="W27" s="122"/>
      <c r="X27" s="221"/>
      <c r="Y27" s="221"/>
      <c r="Z27" s="221"/>
      <c r="AA27" s="221"/>
      <c r="AB27" s="247"/>
    </row>
    <row r="28" spans="1:28" ht="17.100000000000001" customHeight="1" thickTop="1">
      <c r="A28" s="226" t="s">
        <v>5645</v>
      </c>
      <c r="B28" s="31">
        <v>40778</v>
      </c>
      <c r="C28" s="32" t="s">
        <v>135</v>
      </c>
      <c r="D28" s="32" t="s">
        <v>136</v>
      </c>
      <c r="E28" s="254"/>
      <c r="F28" s="109" t="s">
        <v>137</v>
      </c>
      <c r="G28" s="24"/>
      <c r="H28" s="255"/>
      <c r="I28" s="133">
        <v>1235000</v>
      </c>
      <c r="J28" s="133">
        <v>61750</v>
      </c>
      <c r="K28" s="133">
        <v>51300</v>
      </c>
      <c r="L28" s="133">
        <v>20550</v>
      </c>
      <c r="M28" s="133">
        <v>10550</v>
      </c>
      <c r="N28" s="220">
        <f>SUM(I28:M28)</f>
        <v>1379150</v>
      </c>
      <c r="O28" s="224">
        <v>100000</v>
      </c>
      <c r="P28" s="172" t="s">
        <v>138</v>
      </c>
      <c r="Q28" s="33" t="s">
        <v>19</v>
      </c>
      <c r="R28" s="212"/>
      <c r="S28" s="191"/>
      <c r="T28" s="114"/>
      <c r="U28" s="21"/>
      <c r="V28" s="160"/>
      <c r="W28" s="116"/>
      <c r="X28" s="220"/>
      <c r="Y28" s="245">
        <f>X28*0.1</f>
        <v>0</v>
      </c>
      <c r="Z28" s="220"/>
      <c r="AA28" s="220">
        <f>SUM(X28:Z28)</f>
        <v>0</v>
      </c>
      <c r="AB28" s="246"/>
    </row>
    <row r="29" spans="1:28" ht="17.100000000000001" customHeight="1" thickBot="1">
      <c r="A29" s="227"/>
      <c r="B29" s="35" t="s">
        <v>130</v>
      </c>
      <c r="C29" s="35">
        <v>70169</v>
      </c>
      <c r="D29" s="35" t="s">
        <v>65</v>
      </c>
      <c r="E29" s="229"/>
      <c r="F29" s="117" t="s">
        <v>139</v>
      </c>
      <c r="G29" s="26">
        <v>45564</v>
      </c>
      <c r="H29" s="243"/>
      <c r="I29" s="14"/>
      <c r="J29" s="14"/>
      <c r="K29" s="14"/>
      <c r="L29" s="14"/>
      <c r="M29" s="14"/>
      <c r="N29" s="221"/>
      <c r="O29" s="225"/>
      <c r="P29" s="165" t="s">
        <v>140</v>
      </c>
      <c r="Q29" s="36" t="s">
        <v>20</v>
      </c>
      <c r="R29" s="46"/>
      <c r="S29" s="166" t="s">
        <v>141</v>
      </c>
      <c r="T29" s="122"/>
      <c r="U29" s="22"/>
      <c r="V29" s="159"/>
      <c r="W29" s="122"/>
      <c r="X29" s="221"/>
      <c r="Y29" s="221"/>
      <c r="Z29" s="221"/>
      <c r="AA29" s="221"/>
      <c r="AB29" s="247"/>
    </row>
    <row r="30" spans="1:28" ht="17.100000000000001" customHeight="1" thickTop="1">
      <c r="A30" s="226" t="s">
        <v>5646</v>
      </c>
      <c r="B30" s="28">
        <v>40854</v>
      </c>
      <c r="C30" s="29" t="s">
        <v>142</v>
      </c>
      <c r="D30" s="29" t="s">
        <v>143</v>
      </c>
      <c r="E30" s="228"/>
      <c r="F30" s="109" t="s">
        <v>144</v>
      </c>
      <c r="G30" s="24"/>
      <c r="H30" s="232"/>
      <c r="I30" s="132">
        <v>1065000</v>
      </c>
      <c r="J30" s="132">
        <v>53250</v>
      </c>
      <c r="K30" s="132"/>
      <c r="L30" s="132">
        <v>18630</v>
      </c>
      <c r="M30" s="132">
        <v>10500</v>
      </c>
      <c r="N30" s="220">
        <v>1217205</v>
      </c>
      <c r="O30" s="224">
        <v>150000</v>
      </c>
      <c r="P30" s="112" t="s">
        <v>145</v>
      </c>
      <c r="Q30" s="15" t="s">
        <v>19</v>
      </c>
      <c r="R30" s="211"/>
      <c r="S30" s="190"/>
      <c r="T30" s="114"/>
      <c r="U30" s="21"/>
      <c r="V30" s="160"/>
      <c r="W30" s="116"/>
      <c r="X30" s="220"/>
      <c r="Y30" s="245">
        <f>X30*0.1</f>
        <v>0</v>
      </c>
      <c r="Z30" s="220"/>
      <c r="AA30" s="220">
        <f>SUM(X30:Z30)</f>
        <v>0</v>
      </c>
      <c r="AB30" s="246"/>
    </row>
    <row r="31" spans="1:28" ht="17.100000000000001" customHeight="1" thickBot="1">
      <c r="A31" s="227"/>
      <c r="B31" s="27" t="s">
        <v>146</v>
      </c>
      <c r="C31" s="27">
        <v>70185</v>
      </c>
      <c r="D31" s="27" t="s">
        <v>147</v>
      </c>
      <c r="E31" s="229"/>
      <c r="F31" s="117" t="s">
        <v>148</v>
      </c>
      <c r="G31" s="26"/>
      <c r="H31" s="243"/>
      <c r="I31" s="252" t="s">
        <v>149</v>
      </c>
      <c r="J31" s="253"/>
      <c r="K31" s="14"/>
      <c r="L31" s="14"/>
      <c r="M31" s="14"/>
      <c r="N31" s="221"/>
      <c r="O31" s="225"/>
      <c r="P31" s="120" t="s">
        <v>150</v>
      </c>
      <c r="Q31" s="16" t="s">
        <v>20</v>
      </c>
      <c r="R31" s="43"/>
      <c r="S31" s="171"/>
      <c r="T31" s="122"/>
      <c r="U31" s="22"/>
      <c r="V31" s="159"/>
      <c r="W31" s="122"/>
      <c r="X31" s="221"/>
      <c r="Y31" s="221"/>
      <c r="Z31" s="221"/>
      <c r="AA31" s="221"/>
      <c r="AB31" s="247"/>
    </row>
    <row r="32" spans="1:28" ht="17.100000000000001" customHeight="1" thickTop="1">
      <c r="A32" s="226" t="s">
        <v>5647</v>
      </c>
      <c r="B32" s="31">
        <v>40870</v>
      </c>
      <c r="C32" s="32" t="s">
        <v>151</v>
      </c>
      <c r="D32" s="32" t="s">
        <v>114</v>
      </c>
      <c r="E32" s="228"/>
      <c r="F32" s="109" t="s">
        <v>152</v>
      </c>
      <c r="G32" s="24"/>
      <c r="H32" s="232"/>
      <c r="I32" s="133">
        <v>1150000</v>
      </c>
      <c r="J32" s="133">
        <v>57500</v>
      </c>
      <c r="K32" s="133">
        <v>20400</v>
      </c>
      <c r="L32" s="133">
        <v>12600</v>
      </c>
      <c r="M32" s="133">
        <v>19240</v>
      </c>
      <c r="N32" s="220">
        <f>SUM(I32:M32)</f>
        <v>1259740</v>
      </c>
      <c r="O32" s="224">
        <v>100000</v>
      </c>
      <c r="P32" s="172" t="s">
        <v>153</v>
      </c>
      <c r="Q32" s="33" t="s">
        <v>19</v>
      </c>
      <c r="R32" s="211"/>
      <c r="S32" s="190"/>
      <c r="T32" s="114"/>
      <c r="U32" s="21"/>
      <c r="V32" s="160"/>
      <c r="W32" s="116"/>
      <c r="X32" s="220"/>
      <c r="Y32" s="245">
        <f>X32*0.1</f>
        <v>0</v>
      </c>
      <c r="Z32" s="220"/>
      <c r="AA32" s="220">
        <f>SUM(X32:Z32)</f>
        <v>0</v>
      </c>
      <c r="AB32" s="246"/>
    </row>
    <row r="33" spans="1:28" ht="17.100000000000001" customHeight="1" thickBot="1">
      <c r="A33" s="227"/>
      <c r="B33" s="35" t="s">
        <v>72</v>
      </c>
      <c r="C33" s="35">
        <v>30056</v>
      </c>
      <c r="D33" s="35" t="s">
        <v>65</v>
      </c>
      <c r="E33" s="229"/>
      <c r="F33" s="117" t="s">
        <v>154</v>
      </c>
      <c r="G33" s="26">
        <v>59357</v>
      </c>
      <c r="H33" s="243"/>
      <c r="I33" s="14"/>
      <c r="J33" s="14"/>
      <c r="K33" s="14"/>
      <c r="L33" s="14"/>
      <c r="M33" s="14"/>
      <c r="N33" s="221"/>
      <c r="O33" s="225"/>
      <c r="P33" s="165" t="s">
        <v>155</v>
      </c>
      <c r="Q33" s="36" t="s">
        <v>20</v>
      </c>
      <c r="R33" s="46"/>
      <c r="S33" s="166" t="s">
        <v>156</v>
      </c>
      <c r="T33" s="122"/>
      <c r="U33" s="22"/>
      <c r="V33" s="159"/>
      <c r="W33" s="122"/>
      <c r="X33" s="221"/>
      <c r="Y33" s="221"/>
      <c r="Z33" s="221"/>
      <c r="AA33" s="221"/>
      <c r="AB33" s="247"/>
    </row>
    <row r="34" spans="1:28" ht="17.100000000000001" customHeight="1" thickTop="1">
      <c r="A34" s="226" t="s">
        <v>5648</v>
      </c>
      <c r="B34" s="28">
        <v>40969</v>
      </c>
      <c r="C34" s="29" t="s">
        <v>157</v>
      </c>
      <c r="D34" s="29"/>
      <c r="E34" s="228"/>
      <c r="F34" s="109" t="s">
        <v>158</v>
      </c>
      <c r="G34" s="24"/>
      <c r="H34" s="232"/>
      <c r="I34" s="170">
        <v>965000</v>
      </c>
      <c r="J34" s="170">
        <v>48250</v>
      </c>
      <c r="K34" s="170"/>
      <c r="L34" s="170">
        <v>22250</v>
      </c>
      <c r="M34" s="170">
        <v>10500</v>
      </c>
      <c r="N34" s="220">
        <v>1046630</v>
      </c>
      <c r="O34" s="224">
        <v>100000</v>
      </c>
      <c r="P34" s="112" t="s">
        <v>159</v>
      </c>
      <c r="Q34" s="15" t="s">
        <v>19</v>
      </c>
      <c r="R34" s="212"/>
      <c r="S34" s="191"/>
      <c r="T34" s="114"/>
      <c r="U34" s="21"/>
      <c r="V34" s="160"/>
      <c r="W34" s="116"/>
      <c r="X34" s="220"/>
      <c r="Y34" s="245">
        <f>X34*0.1</f>
        <v>0</v>
      </c>
      <c r="Z34" s="220"/>
      <c r="AA34" s="220">
        <f>SUM(X34:Z34)</f>
        <v>0</v>
      </c>
      <c r="AB34" s="246"/>
    </row>
    <row r="35" spans="1:28" ht="17.100000000000001" customHeight="1" thickBot="1">
      <c r="A35" s="227"/>
      <c r="B35" s="27" t="s">
        <v>64</v>
      </c>
      <c r="C35" s="27">
        <v>570</v>
      </c>
      <c r="D35" s="27"/>
      <c r="E35" s="229"/>
      <c r="F35" s="117" t="s">
        <v>160</v>
      </c>
      <c r="G35" s="26"/>
      <c r="H35" s="243"/>
      <c r="I35" s="122" t="s">
        <v>133</v>
      </c>
      <c r="J35" s="14"/>
      <c r="K35" s="14"/>
      <c r="L35" s="14"/>
      <c r="M35" s="14"/>
      <c r="N35" s="221"/>
      <c r="O35" s="225"/>
      <c r="P35" s="165" t="s">
        <v>161</v>
      </c>
      <c r="Q35" s="36" t="s">
        <v>20</v>
      </c>
      <c r="R35" s="42"/>
      <c r="S35" s="169" t="s">
        <v>162</v>
      </c>
      <c r="T35" s="122"/>
      <c r="U35" s="22"/>
      <c r="V35" s="159"/>
      <c r="W35" s="122"/>
      <c r="X35" s="221"/>
      <c r="Y35" s="221"/>
      <c r="Z35" s="221"/>
      <c r="AA35" s="221"/>
      <c r="AB35" s="247"/>
    </row>
    <row r="36" spans="1:28" ht="17.100000000000001" customHeight="1" thickTop="1">
      <c r="A36" s="226" t="s">
        <v>5649</v>
      </c>
      <c r="B36" s="28">
        <v>41123</v>
      </c>
      <c r="C36" s="29"/>
      <c r="D36" s="30" t="s">
        <v>163</v>
      </c>
      <c r="E36" s="228" t="s">
        <v>164</v>
      </c>
      <c r="F36" s="109" t="s">
        <v>165</v>
      </c>
      <c r="G36" s="47"/>
      <c r="H36" s="232"/>
      <c r="I36" s="220">
        <v>2150000</v>
      </c>
      <c r="J36" s="220">
        <v>107500</v>
      </c>
      <c r="K36" s="220">
        <v>29700</v>
      </c>
      <c r="L36" s="220">
        <v>18510</v>
      </c>
      <c r="M36" s="220">
        <v>11550</v>
      </c>
      <c r="N36" s="220">
        <f>SUM(I36:M36)</f>
        <v>2317260</v>
      </c>
      <c r="O36" s="224"/>
      <c r="P36" s="112" t="s">
        <v>166</v>
      </c>
      <c r="Q36" s="15" t="s">
        <v>19</v>
      </c>
      <c r="R36" s="211"/>
      <c r="S36" s="190"/>
      <c r="T36" s="114"/>
      <c r="U36" s="21"/>
      <c r="V36" s="160"/>
      <c r="W36" s="116"/>
      <c r="X36" s="220"/>
      <c r="Y36" s="245">
        <f>X36*0.1</f>
        <v>0</v>
      </c>
      <c r="Z36" s="220"/>
      <c r="AA36" s="220">
        <f>SUM(X36:Z36)</f>
        <v>0</v>
      </c>
      <c r="AB36" s="246"/>
    </row>
    <row r="37" spans="1:28" ht="17.100000000000001" customHeight="1" thickBot="1">
      <c r="A37" s="227"/>
      <c r="B37" s="35" t="s">
        <v>146</v>
      </c>
      <c r="C37" s="35"/>
      <c r="D37" s="27" t="s">
        <v>90</v>
      </c>
      <c r="E37" s="229"/>
      <c r="F37" s="117" t="s">
        <v>167</v>
      </c>
      <c r="G37" s="48"/>
      <c r="H37" s="255"/>
      <c r="I37" s="221"/>
      <c r="J37" s="221"/>
      <c r="K37" s="221"/>
      <c r="L37" s="221"/>
      <c r="M37" s="221"/>
      <c r="N37" s="221"/>
      <c r="O37" s="256"/>
      <c r="P37" s="165" t="s">
        <v>168</v>
      </c>
      <c r="Q37" s="36" t="s">
        <v>20</v>
      </c>
      <c r="R37" s="46"/>
      <c r="S37" s="166" t="s">
        <v>169</v>
      </c>
      <c r="T37" s="122"/>
      <c r="U37" s="22"/>
      <c r="V37" s="168"/>
      <c r="W37" s="122"/>
      <c r="X37" s="245"/>
      <c r="Y37" s="221"/>
      <c r="Z37" s="245"/>
      <c r="AA37" s="245"/>
      <c r="AB37" s="251"/>
    </row>
    <row r="38" spans="1:28" ht="17.100000000000001" customHeight="1" thickTop="1">
      <c r="A38" s="226" t="s">
        <v>5650</v>
      </c>
      <c r="B38" s="28">
        <v>41424</v>
      </c>
      <c r="C38" s="29" t="s">
        <v>170</v>
      </c>
      <c r="D38" s="13" t="s">
        <v>171</v>
      </c>
      <c r="E38" s="228"/>
      <c r="F38" s="156" t="s">
        <v>172</v>
      </c>
      <c r="G38" s="24"/>
      <c r="H38" s="230"/>
      <c r="I38" s="220">
        <v>688000</v>
      </c>
      <c r="J38" s="220">
        <v>34400</v>
      </c>
      <c r="K38" s="220"/>
      <c r="L38" s="220">
        <v>15890</v>
      </c>
      <c r="M38" s="220">
        <v>13125</v>
      </c>
      <c r="N38" s="220">
        <f>SUM(I38:M38)</f>
        <v>751415</v>
      </c>
      <c r="O38" s="224">
        <v>20000</v>
      </c>
      <c r="P38" s="146" t="s">
        <v>173</v>
      </c>
      <c r="Q38" s="15" t="s">
        <v>19</v>
      </c>
      <c r="R38" s="211"/>
      <c r="S38" s="190"/>
      <c r="T38" s="114"/>
      <c r="U38" s="21"/>
      <c r="V38" s="160"/>
      <c r="W38" s="116"/>
      <c r="X38" s="220"/>
      <c r="Y38" s="245">
        <f>X38*0.1</f>
        <v>0</v>
      </c>
      <c r="Z38" s="220"/>
      <c r="AA38" s="220">
        <f>SUM(X38:Z38)</f>
        <v>0</v>
      </c>
      <c r="AB38" s="246"/>
    </row>
    <row r="39" spans="1:28" ht="17.100000000000001" customHeight="1" thickBot="1">
      <c r="A39" s="227"/>
      <c r="B39" s="27" t="s">
        <v>174</v>
      </c>
      <c r="C39" s="27">
        <v>5002</v>
      </c>
      <c r="D39" s="14" t="s">
        <v>65</v>
      </c>
      <c r="E39" s="229"/>
      <c r="F39" s="117" t="s">
        <v>175</v>
      </c>
      <c r="G39" s="26">
        <v>58677</v>
      </c>
      <c r="H39" s="231"/>
      <c r="I39" s="221"/>
      <c r="J39" s="221"/>
      <c r="K39" s="221"/>
      <c r="L39" s="221"/>
      <c r="M39" s="221"/>
      <c r="N39" s="221"/>
      <c r="O39" s="225"/>
      <c r="P39" s="120" t="s">
        <v>176</v>
      </c>
      <c r="Q39" s="16" t="s">
        <v>20</v>
      </c>
      <c r="R39" s="49"/>
      <c r="S39" s="164"/>
      <c r="T39" s="122"/>
      <c r="U39" s="22"/>
      <c r="V39" s="159"/>
      <c r="W39" s="122"/>
      <c r="X39" s="221"/>
      <c r="Y39" s="221"/>
      <c r="Z39" s="221"/>
      <c r="AA39" s="221"/>
      <c r="AB39" s="247"/>
    </row>
    <row r="40" spans="1:28" ht="17.100000000000001" customHeight="1" thickTop="1">
      <c r="A40" s="226" t="s">
        <v>5651</v>
      </c>
      <c r="B40" s="28">
        <v>41706</v>
      </c>
      <c r="C40" s="29" t="s">
        <v>177</v>
      </c>
      <c r="D40" s="13" t="s">
        <v>178</v>
      </c>
      <c r="E40" s="228"/>
      <c r="F40" s="156" t="s">
        <v>179</v>
      </c>
      <c r="G40" s="24"/>
      <c r="H40" s="230"/>
      <c r="I40" s="220">
        <v>1095000</v>
      </c>
      <c r="J40" s="220">
        <v>54750</v>
      </c>
      <c r="K40" s="220">
        <v>0</v>
      </c>
      <c r="L40" s="220">
        <v>16190</v>
      </c>
      <c r="M40" s="220">
        <v>10500</v>
      </c>
      <c r="N40" s="220">
        <f>SUM(I40:M40)</f>
        <v>1176440</v>
      </c>
      <c r="O40" s="224">
        <v>200000</v>
      </c>
      <c r="P40" s="146" t="s">
        <v>180</v>
      </c>
      <c r="Q40" s="15" t="s">
        <v>19</v>
      </c>
      <c r="R40" s="211"/>
      <c r="S40" s="190"/>
      <c r="T40" s="114"/>
      <c r="U40" s="21"/>
      <c r="V40" s="160"/>
      <c r="W40" s="116"/>
      <c r="X40" s="220"/>
      <c r="Y40" s="245">
        <f>X40*0.1</f>
        <v>0</v>
      </c>
      <c r="Z40" s="220"/>
      <c r="AA40" s="220">
        <f>SUM(X40:Z40)</f>
        <v>0</v>
      </c>
      <c r="AB40" s="246"/>
    </row>
    <row r="41" spans="1:28" ht="17.100000000000001" customHeight="1" thickBot="1">
      <c r="A41" s="227"/>
      <c r="B41" s="27" t="s">
        <v>45</v>
      </c>
      <c r="C41" s="27">
        <v>81186</v>
      </c>
      <c r="D41" s="14" t="s">
        <v>65</v>
      </c>
      <c r="E41" s="229"/>
      <c r="F41" s="117" t="s">
        <v>181</v>
      </c>
      <c r="G41" s="26"/>
      <c r="H41" s="231"/>
      <c r="I41" s="221"/>
      <c r="J41" s="221"/>
      <c r="K41" s="221"/>
      <c r="L41" s="221"/>
      <c r="M41" s="221"/>
      <c r="N41" s="221"/>
      <c r="O41" s="225"/>
      <c r="P41" s="120" t="s">
        <v>182</v>
      </c>
      <c r="Q41" s="16" t="s">
        <v>20</v>
      </c>
      <c r="R41" s="49"/>
      <c r="S41" s="121" t="s">
        <v>183</v>
      </c>
      <c r="T41" s="122" t="s">
        <v>184</v>
      </c>
      <c r="U41" s="22"/>
      <c r="V41" s="159"/>
      <c r="W41" s="122"/>
      <c r="X41" s="221"/>
      <c r="Y41" s="221"/>
      <c r="Z41" s="221"/>
      <c r="AA41" s="221"/>
      <c r="AB41" s="247"/>
    </row>
    <row r="42" spans="1:28" ht="17.100000000000001" customHeight="1" thickTop="1">
      <c r="A42" s="226" t="s">
        <v>5652</v>
      </c>
      <c r="B42" s="28">
        <v>41787</v>
      </c>
      <c r="C42" s="29" t="s">
        <v>185</v>
      </c>
      <c r="D42" s="13" t="s">
        <v>186</v>
      </c>
      <c r="E42" s="228"/>
      <c r="F42" s="156" t="s">
        <v>179</v>
      </c>
      <c r="G42" s="24" t="s">
        <v>187</v>
      </c>
      <c r="H42" s="230"/>
      <c r="I42" s="220">
        <v>559000</v>
      </c>
      <c r="J42" s="220">
        <v>44720</v>
      </c>
      <c r="K42" s="220">
        <v>32900</v>
      </c>
      <c r="L42" s="220">
        <v>15790</v>
      </c>
      <c r="M42" s="220">
        <v>12960</v>
      </c>
      <c r="N42" s="220">
        <f>SUM(I42:M42)</f>
        <v>665370</v>
      </c>
      <c r="O42" s="224">
        <v>20000</v>
      </c>
      <c r="P42" s="146" t="s">
        <v>188</v>
      </c>
      <c r="Q42" s="15" t="s">
        <v>19</v>
      </c>
      <c r="R42" s="211"/>
      <c r="S42" s="190"/>
      <c r="T42" s="114"/>
      <c r="U42" s="21"/>
      <c r="V42" s="160"/>
      <c r="W42" s="116"/>
      <c r="X42" s="220"/>
      <c r="Y42" s="245">
        <f>X42*0.1</f>
        <v>0</v>
      </c>
      <c r="Z42" s="220"/>
      <c r="AA42" s="220">
        <f>SUM(X42:Z42)</f>
        <v>0</v>
      </c>
      <c r="AB42" s="246"/>
    </row>
    <row r="43" spans="1:28" ht="17.100000000000001" customHeight="1" thickBot="1">
      <c r="A43" s="227"/>
      <c r="B43" s="27" t="s">
        <v>189</v>
      </c>
      <c r="C43" s="27">
        <v>80078</v>
      </c>
      <c r="D43" s="14" t="s">
        <v>190</v>
      </c>
      <c r="E43" s="229"/>
      <c r="F43" s="117" t="s">
        <v>191</v>
      </c>
      <c r="G43" s="26">
        <v>43453</v>
      </c>
      <c r="H43" s="231"/>
      <c r="I43" s="221"/>
      <c r="J43" s="221"/>
      <c r="K43" s="221"/>
      <c r="L43" s="221"/>
      <c r="M43" s="221"/>
      <c r="N43" s="221"/>
      <c r="O43" s="225"/>
      <c r="P43" s="120" t="s">
        <v>192</v>
      </c>
      <c r="Q43" s="16" t="s">
        <v>20</v>
      </c>
      <c r="R43" s="49"/>
      <c r="S43" s="121"/>
      <c r="T43" s="122"/>
      <c r="U43" s="22"/>
      <c r="V43" s="159"/>
      <c r="W43" s="122"/>
      <c r="X43" s="221"/>
      <c r="Y43" s="221"/>
      <c r="Z43" s="221"/>
      <c r="AA43" s="221"/>
      <c r="AB43" s="247"/>
    </row>
    <row r="44" spans="1:28" ht="17.100000000000001" customHeight="1" thickTop="1">
      <c r="A44" s="226" t="s">
        <v>5653</v>
      </c>
      <c r="B44" s="28">
        <v>41790</v>
      </c>
      <c r="C44" s="29" t="s">
        <v>193</v>
      </c>
      <c r="D44" s="13" t="s">
        <v>194</v>
      </c>
      <c r="E44" s="228"/>
      <c r="F44" s="156" t="s">
        <v>179</v>
      </c>
      <c r="G44" s="24"/>
      <c r="H44" s="230"/>
      <c r="I44" s="220">
        <v>1135000</v>
      </c>
      <c r="J44" s="220">
        <v>90800</v>
      </c>
      <c r="K44" s="220"/>
      <c r="L44" s="220">
        <v>16090</v>
      </c>
      <c r="M44" s="220">
        <v>10900</v>
      </c>
      <c r="N44" s="220">
        <f>SUM(I44:M44)</f>
        <v>1252790</v>
      </c>
      <c r="O44" s="224">
        <v>200000</v>
      </c>
      <c r="P44" s="146" t="s">
        <v>195</v>
      </c>
      <c r="Q44" s="15" t="s">
        <v>19</v>
      </c>
      <c r="R44" s="211"/>
      <c r="S44" s="190"/>
      <c r="T44" s="114"/>
      <c r="U44" s="21"/>
      <c r="V44" s="160"/>
      <c r="W44" s="116"/>
      <c r="X44" s="220"/>
      <c r="Y44" s="245">
        <f>X44*0.1</f>
        <v>0</v>
      </c>
      <c r="Z44" s="220"/>
      <c r="AA44" s="220">
        <f>SUM(X44:Z44)</f>
        <v>0</v>
      </c>
      <c r="AB44" s="246"/>
    </row>
    <row r="45" spans="1:28" ht="17.100000000000001" customHeight="1" thickBot="1">
      <c r="A45" s="227"/>
      <c r="B45" s="27" t="s">
        <v>45</v>
      </c>
      <c r="C45" s="27">
        <v>80436</v>
      </c>
      <c r="D45" s="14" t="s">
        <v>196</v>
      </c>
      <c r="E45" s="229"/>
      <c r="F45" s="117" t="s">
        <v>197</v>
      </c>
      <c r="G45" s="26">
        <v>43478</v>
      </c>
      <c r="H45" s="231"/>
      <c r="I45" s="221"/>
      <c r="J45" s="221"/>
      <c r="K45" s="221"/>
      <c r="L45" s="221"/>
      <c r="M45" s="221"/>
      <c r="N45" s="221"/>
      <c r="O45" s="225"/>
      <c r="P45" s="120" t="s">
        <v>198</v>
      </c>
      <c r="Q45" s="16" t="s">
        <v>20</v>
      </c>
      <c r="R45" s="49"/>
      <c r="S45" s="121" t="s">
        <v>183</v>
      </c>
      <c r="T45" s="122"/>
      <c r="U45" s="22"/>
      <c r="V45" s="159"/>
      <c r="W45" s="122"/>
      <c r="X45" s="221"/>
      <c r="Y45" s="221"/>
      <c r="Z45" s="221"/>
      <c r="AA45" s="221"/>
      <c r="AB45" s="247"/>
    </row>
    <row r="46" spans="1:28" ht="17.100000000000001" customHeight="1" thickTop="1">
      <c r="A46" s="226" t="s">
        <v>5654</v>
      </c>
      <c r="B46" s="28">
        <v>41873</v>
      </c>
      <c r="C46" s="29" t="s">
        <v>199</v>
      </c>
      <c r="D46" s="13" t="s">
        <v>200</v>
      </c>
      <c r="E46" s="228"/>
      <c r="F46" s="156" t="s">
        <v>201</v>
      </c>
      <c r="G46" s="24"/>
      <c r="H46" s="230"/>
      <c r="I46" s="220">
        <v>365000</v>
      </c>
      <c r="J46" s="220">
        <v>29200</v>
      </c>
      <c r="K46" s="220"/>
      <c r="L46" s="220">
        <v>10520</v>
      </c>
      <c r="M46" s="220">
        <v>11880</v>
      </c>
      <c r="N46" s="220">
        <f>SUM(I46:M46)</f>
        <v>416600</v>
      </c>
      <c r="O46" s="224">
        <v>70000</v>
      </c>
      <c r="P46" s="146" t="s">
        <v>202</v>
      </c>
      <c r="Q46" s="15" t="s">
        <v>19</v>
      </c>
      <c r="R46" s="211"/>
      <c r="S46" s="190"/>
      <c r="T46" s="114"/>
      <c r="U46" s="21"/>
      <c r="V46" s="160"/>
      <c r="W46" s="116"/>
      <c r="X46" s="220"/>
      <c r="Y46" s="245">
        <f>X46*0.1</f>
        <v>0</v>
      </c>
      <c r="Z46" s="220"/>
      <c r="AA46" s="220">
        <f>SUM(X46:Z46)</f>
        <v>0</v>
      </c>
      <c r="AB46" s="246"/>
    </row>
    <row r="47" spans="1:28" ht="17.100000000000001" customHeight="1" thickBot="1">
      <c r="A47" s="227"/>
      <c r="B47" s="27" t="s">
        <v>203</v>
      </c>
      <c r="C47" s="27">
        <v>25030</v>
      </c>
      <c r="D47" s="14" t="s">
        <v>204</v>
      </c>
      <c r="E47" s="229"/>
      <c r="F47" s="117" t="s">
        <v>205</v>
      </c>
      <c r="G47" s="26">
        <v>49850</v>
      </c>
      <c r="H47" s="231"/>
      <c r="I47" s="221"/>
      <c r="J47" s="221"/>
      <c r="K47" s="221"/>
      <c r="L47" s="221"/>
      <c r="M47" s="221"/>
      <c r="N47" s="221"/>
      <c r="O47" s="225"/>
      <c r="P47" s="120" t="s">
        <v>206</v>
      </c>
      <c r="Q47" s="16" t="s">
        <v>20</v>
      </c>
      <c r="R47" s="49"/>
      <c r="S47" s="164"/>
      <c r="T47" s="122"/>
      <c r="U47" s="22"/>
      <c r="V47" s="159"/>
      <c r="W47" s="122"/>
      <c r="X47" s="221"/>
      <c r="Y47" s="221"/>
      <c r="Z47" s="221"/>
      <c r="AA47" s="221"/>
      <c r="AB47" s="247"/>
    </row>
    <row r="48" spans="1:28" ht="17.100000000000001" customHeight="1" thickTop="1">
      <c r="A48" s="226" t="s">
        <v>5655</v>
      </c>
      <c r="B48" s="28">
        <v>41895</v>
      </c>
      <c r="C48" s="29" t="s">
        <v>207</v>
      </c>
      <c r="D48" s="13" t="s">
        <v>208</v>
      </c>
      <c r="E48" s="228"/>
      <c r="F48" s="156" t="s">
        <v>209</v>
      </c>
      <c r="G48" s="24" t="s">
        <v>210</v>
      </c>
      <c r="H48" s="230"/>
      <c r="I48" s="220">
        <v>655000</v>
      </c>
      <c r="J48" s="220">
        <v>52400</v>
      </c>
      <c r="K48" s="220">
        <v>25500</v>
      </c>
      <c r="L48" s="220">
        <v>19800</v>
      </c>
      <c r="M48" s="220">
        <v>10800</v>
      </c>
      <c r="N48" s="220">
        <f>SUM(I48:M48)</f>
        <v>763500</v>
      </c>
      <c r="O48" s="224">
        <v>100000</v>
      </c>
      <c r="P48" s="146" t="s">
        <v>211</v>
      </c>
      <c r="Q48" s="15" t="s">
        <v>19</v>
      </c>
      <c r="R48" s="211"/>
      <c r="S48" s="190"/>
      <c r="T48" s="114"/>
      <c r="U48" s="21"/>
      <c r="V48" s="160"/>
      <c r="W48" s="116"/>
      <c r="X48" s="220"/>
      <c r="Y48" s="245">
        <f>X48*0.1</f>
        <v>0</v>
      </c>
      <c r="Z48" s="220"/>
      <c r="AA48" s="220">
        <f>SUM(X48:Z48)</f>
        <v>0</v>
      </c>
      <c r="AB48" s="246"/>
    </row>
    <row r="49" spans="1:28" ht="17.100000000000001" customHeight="1" thickBot="1">
      <c r="A49" s="227"/>
      <c r="B49" s="27" t="s">
        <v>45</v>
      </c>
      <c r="C49" s="27">
        <v>80003</v>
      </c>
      <c r="D49" s="14" t="s">
        <v>147</v>
      </c>
      <c r="E49" s="229"/>
      <c r="F49" s="117" t="s">
        <v>212</v>
      </c>
      <c r="G49" s="26">
        <v>48520</v>
      </c>
      <c r="H49" s="231"/>
      <c r="I49" s="221"/>
      <c r="J49" s="221"/>
      <c r="K49" s="221"/>
      <c r="L49" s="221"/>
      <c r="M49" s="221"/>
      <c r="N49" s="221"/>
      <c r="O49" s="225"/>
      <c r="P49" s="120" t="s">
        <v>213</v>
      </c>
      <c r="Q49" s="16" t="s">
        <v>20</v>
      </c>
      <c r="R49" s="49"/>
      <c r="S49" s="121" t="s">
        <v>214</v>
      </c>
      <c r="T49" s="122"/>
      <c r="U49" s="22" t="s">
        <v>50</v>
      </c>
      <c r="V49" s="159"/>
      <c r="W49" s="122"/>
      <c r="X49" s="221"/>
      <c r="Y49" s="221"/>
      <c r="Z49" s="221"/>
      <c r="AA49" s="221"/>
      <c r="AB49" s="247"/>
    </row>
    <row r="50" spans="1:28" ht="17.100000000000001" customHeight="1" thickTop="1">
      <c r="A50" s="226" t="s">
        <v>5656</v>
      </c>
      <c r="B50" s="28">
        <v>41979</v>
      </c>
      <c r="C50" s="29" t="s">
        <v>215</v>
      </c>
      <c r="D50" s="13" t="s">
        <v>216</v>
      </c>
      <c r="E50" s="228"/>
      <c r="F50" s="156" t="s">
        <v>217</v>
      </c>
      <c r="G50" s="24"/>
      <c r="H50" s="230"/>
      <c r="I50" s="220">
        <v>325000</v>
      </c>
      <c r="J50" s="220">
        <v>26000</v>
      </c>
      <c r="K50" s="220"/>
      <c r="L50" s="220">
        <v>5520</v>
      </c>
      <c r="M50" s="220">
        <v>9180</v>
      </c>
      <c r="N50" s="220">
        <f>SUM(I50:M50)</f>
        <v>365700</v>
      </c>
      <c r="O50" s="224">
        <v>100000</v>
      </c>
      <c r="P50" s="146" t="s">
        <v>218</v>
      </c>
      <c r="Q50" s="15" t="s">
        <v>19</v>
      </c>
      <c r="R50" s="211"/>
      <c r="S50" s="190"/>
      <c r="T50" s="114"/>
      <c r="U50" s="21"/>
      <c r="V50" s="160"/>
      <c r="W50" s="116"/>
      <c r="X50" s="220"/>
      <c r="Y50" s="245">
        <f>X50*0.1</f>
        <v>0</v>
      </c>
      <c r="Z50" s="220"/>
      <c r="AA50" s="220">
        <f>SUM(X50:Z50)</f>
        <v>0</v>
      </c>
      <c r="AB50" s="246"/>
    </row>
    <row r="51" spans="1:28" ht="17.100000000000001" customHeight="1" thickBot="1">
      <c r="A51" s="227"/>
      <c r="B51" s="27" t="s">
        <v>45</v>
      </c>
      <c r="C51" s="27">
        <v>33259</v>
      </c>
      <c r="D51" s="14" t="s">
        <v>219</v>
      </c>
      <c r="E51" s="229"/>
      <c r="F51" s="117" t="s">
        <v>220</v>
      </c>
      <c r="G51" s="26">
        <v>11283</v>
      </c>
      <c r="H51" s="231"/>
      <c r="I51" s="221"/>
      <c r="J51" s="221"/>
      <c r="K51" s="221"/>
      <c r="L51" s="221"/>
      <c r="M51" s="221"/>
      <c r="N51" s="221"/>
      <c r="O51" s="225"/>
      <c r="P51" s="120" t="s">
        <v>221</v>
      </c>
      <c r="Q51" s="16" t="s">
        <v>20</v>
      </c>
      <c r="R51" s="49"/>
      <c r="S51" s="164"/>
      <c r="T51" s="122"/>
      <c r="U51" s="22"/>
      <c r="V51" s="159"/>
      <c r="W51" s="122"/>
      <c r="X51" s="221"/>
      <c r="Y51" s="221"/>
      <c r="Z51" s="221"/>
      <c r="AA51" s="221"/>
      <c r="AB51" s="247"/>
    </row>
    <row r="52" spans="1:28" ht="17.100000000000001" customHeight="1" thickTop="1">
      <c r="A52" s="226" t="s">
        <v>5657</v>
      </c>
      <c r="B52" s="28">
        <v>42017</v>
      </c>
      <c r="C52" s="29" t="s">
        <v>222</v>
      </c>
      <c r="D52" s="13" t="s">
        <v>223</v>
      </c>
      <c r="E52" s="228"/>
      <c r="F52" s="156" t="s">
        <v>224</v>
      </c>
      <c r="G52" s="24"/>
      <c r="H52" s="230"/>
      <c r="I52" s="220">
        <v>620000</v>
      </c>
      <c r="J52" s="220">
        <v>49600</v>
      </c>
      <c r="K52" s="220"/>
      <c r="L52" s="220">
        <v>16090</v>
      </c>
      <c r="M52" s="220">
        <v>11880</v>
      </c>
      <c r="N52" s="220">
        <f>SUM(I52:M52)</f>
        <v>697570</v>
      </c>
      <c r="O52" s="224">
        <v>20000</v>
      </c>
      <c r="P52" s="146" t="s">
        <v>225</v>
      </c>
      <c r="Q52" s="15" t="s">
        <v>19</v>
      </c>
      <c r="R52" s="211"/>
      <c r="S52" s="190"/>
      <c r="T52" s="114"/>
      <c r="U52" s="21"/>
      <c r="V52" s="160"/>
      <c r="W52" s="116"/>
      <c r="X52" s="220"/>
      <c r="Y52" s="245">
        <f>X52*0.1</f>
        <v>0</v>
      </c>
      <c r="Z52" s="220"/>
      <c r="AA52" s="220">
        <f>SUM(X52:Z52)</f>
        <v>0</v>
      </c>
      <c r="AB52" s="246"/>
    </row>
    <row r="53" spans="1:28" ht="17.100000000000001" customHeight="1" thickBot="1">
      <c r="A53" s="227"/>
      <c r="B53" s="27" t="s">
        <v>130</v>
      </c>
      <c r="C53" s="27">
        <v>70264</v>
      </c>
      <c r="D53" s="14" t="s">
        <v>54</v>
      </c>
      <c r="E53" s="229"/>
      <c r="F53" s="117" t="s">
        <v>226</v>
      </c>
      <c r="G53" s="26">
        <v>56245</v>
      </c>
      <c r="H53" s="231"/>
      <c r="I53" s="221"/>
      <c r="J53" s="221"/>
      <c r="K53" s="221"/>
      <c r="L53" s="221"/>
      <c r="M53" s="221"/>
      <c r="N53" s="221"/>
      <c r="O53" s="225"/>
      <c r="P53" s="120" t="s">
        <v>227</v>
      </c>
      <c r="Q53" s="16" t="s">
        <v>20</v>
      </c>
      <c r="R53" s="49"/>
      <c r="S53" s="121" t="s">
        <v>183</v>
      </c>
      <c r="T53" s="122"/>
      <c r="U53" s="22"/>
      <c r="V53" s="159"/>
      <c r="W53" s="122"/>
      <c r="X53" s="221"/>
      <c r="Y53" s="221"/>
      <c r="Z53" s="221"/>
      <c r="AA53" s="221"/>
      <c r="AB53" s="247"/>
    </row>
    <row r="54" spans="1:28" ht="17.100000000000001" customHeight="1" thickTop="1">
      <c r="A54" s="226" t="s">
        <v>5658</v>
      </c>
      <c r="B54" s="28">
        <v>42059</v>
      </c>
      <c r="C54" s="29" t="s">
        <v>228</v>
      </c>
      <c r="D54" s="13" t="s">
        <v>229</v>
      </c>
      <c r="E54" s="228"/>
      <c r="F54" s="156" t="s">
        <v>230</v>
      </c>
      <c r="G54" s="24"/>
      <c r="H54" s="230"/>
      <c r="I54" s="220">
        <v>980000</v>
      </c>
      <c r="J54" s="220">
        <v>78400</v>
      </c>
      <c r="K54" s="220"/>
      <c r="L54" s="220">
        <v>23340</v>
      </c>
      <c r="M54" s="220">
        <v>11880</v>
      </c>
      <c r="N54" s="220">
        <f>SUM(I54:M54)</f>
        <v>1093620</v>
      </c>
      <c r="O54" s="224">
        <v>100000</v>
      </c>
      <c r="P54" s="146" t="s">
        <v>231</v>
      </c>
      <c r="Q54" s="15" t="s">
        <v>19</v>
      </c>
      <c r="R54" s="211"/>
      <c r="S54" s="190"/>
      <c r="T54" s="114"/>
      <c r="U54" s="21"/>
      <c r="V54" s="160"/>
      <c r="W54" s="116"/>
      <c r="X54" s="220"/>
      <c r="Y54" s="245">
        <f>X54*0.1</f>
        <v>0</v>
      </c>
      <c r="Z54" s="220"/>
      <c r="AA54" s="220">
        <f>SUM(X54:Z54)</f>
        <v>0</v>
      </c>
      <c r="AB54" s="246"/>
    </row>
    <row r="55" spans="1:28" ht="17.100000000000001" customHeight="1" thickBot="1">
      <c r="A55" s="227"/>
      <c r="B55" s="27" t="s">
        <v>130</v>
      </c>
      <c r="C55" s="27">
        <v>70716</v>
      </c>
      <c r="D55" s="14" t="s">
        <v>65</v>
      </c>
      <c r="E55" s="229"/>
      <c r="F55" s="117" t="s">
        <v>232</v>
      </c>
      <c r="G55" s="26">
        <v>56276</v>
      </c>
      <c r="H55" s="231"/>
      <c r="I55" s="221"/>
      <c r="J55" s="221"/>
      <c r="K55" s="221"/>
      <c r="L55" s="221"/>
      <c r="M55" s="221"/>
      <c r="N55" s="221"/>
      <c r="O55" s="225"/>
      <c r="P55" s="120" t="s">
        <v>233</v>
      </c>
      <c r="Q55" s="16" t="s">
        <v>20</v>
      </c>
      <c r="R55" s="50"/>
      <c r="S55" s="121" t="s">
        <v>234</v>
      </c>
      <c r="T55" s="122"/>
      <c r="U55" s="22"/>
      <c r="V55" s="159"/>
      <c r="W55" s="122"/>
      <c r="X55" s="221"/>
      <c r="Y55" s="221"/>
      <c r="Z55" s="221"/>
      <c r="AA55" s="221"/>
      <c r="AB55" s="247"/>
    </row>
    <row r="56" spans="1:28" ht="17.100000000000001" customHeight="1" thickTop="1">
      <c r="A56" s="226" t="s">
        <v>5659</v>
      </c>
      <c r="B56" s="28">
        <v>42120</v>
      </c>
      <c r="C56" s="29" t="s">
        <v>235</v>
      </c>
      <c r="D56" s="13" t="s">
        <v>236</v>
      </c>
      <c r="E56" s="228"/>
      <c r="F56" s="156" t="s">
        <v>237</v>
      </c>
      <c r="G56" s="24"/>
      <c r="H56" s="230"/>
      <c r="I56" s="220">
        <v>520000</v>
      </c>
      <c r="J56" s="220">
        <v>41600</v>
      </c>
      <c r="K56" s="220"/>
      <c r="L56" s="220">
        <v>16420</v>
      </c>
      <c r="M56" s="220">
        <v>12960</v>
      </c>
      <c r="N56" s="220">
        <f>SUM(I56:M56)</f>
        <v>590980</v>
      </c>
      <c r="O56" s="224">
        <v>100000</v>
      </c>
      <c r="P56" s="146" t="s">
        <v>238</v>
      </c>
      <c r="Q56" s="15" t="s">
        <v>19</v>
      </c>
      <c r="R56" s="209"/>
      <c r="S56" s="193"/>
      <c r="T56" s="114"/>
      <c r="U56" s="21"/>
      <c r="V56" s="160"/>
      <c r="W56" s="116"/>
      <c r="X56" s="220"/>
      <c r="Y56" s="245">
        <f>X56*0.1</f>
        <v>0</v>
      </c>
      <c r="Z56" s="220"/>
      <c r="AA56" s="220">
        <f>SUM(X56:Z56)</f>
        <v>0</v>
      </c>
      <c r="AB56" s="246"/>
    </row>
    <row r="57" spans="1:28" ht="17.100000000000001" customHeight="1" thickBot="1">
      <c r="A57" s="227"/>
      <c r="B57" s="27" t="s">
        <v>239</v>
      </c>
      <c r="C57" s="27">
        <v>3712</v>
      </c>
      <c r="D57" s="14" t="s">
        <v>65</v>
      </c>
      <c r="E57" s="229"/>
      <c r="F57" s="117" t="s">
        <v>240</v>
      </c>
      <c r="G57" s="26">
        <v>45619</v>
      </c>
      <c r="H57" s="231"/>
      <c r="I57" s="221"/>
      <c r="J57" s="221"/>
      <c r="K57" s="221"/>
      <c r="L57" s="221"/>
      <c r="M57" s="221"/>
      <c r="N57" s="221"/>
      <c r="O57" s="225"/>
      <c r="P57" s="120" t="s">
        <v>241</v>
      </c>
      <c r="Q57" s="16" t="s">
        <v>20</v>
      </c>
      <c r="R57" s="50"/>
      <c r="S57" s="121" t="s">
        <v>242</v>
      </c>
      <c r="T57" s="122"/>
      <c r="U57" s="22"/>
      <c r="V57" s="159"/>
      <c r="W57" s="122"/>
      <c r="X57" s="221"/>
      <c r="Y57" s="221"/>
      <c r="Z57" s="221"/>
      <c r="AA57" s="221"/>
      <c r="AB57" s="247"/>
    </row>
    <row r="58" spans="1:28" ht="17.100000000000001" customHeight="1" thickTop="1">
      <c r="A58" s="226" t="s">
        <v>5660</v>
      </c>
      <c r="B58" s="28">
        <v>42180</v>
      </c>
      <c r="C58" s="29" t="s">
        <v>243</v>
      </c>
      <c r="D58" s="13" t="s">
        <v>244</v>
      </c>
      <c r="E58" s="228"/>
      <c r="F58" s="156" t="s">
        <v>245</v>
      </c>
      <c r="G58" s="24" t="s">
        <v>246</v>
      </c>
      <c r="H58" s="230"/>
      <c r="I58" s="220">
        <v>615000</v>
      </c>
      <c r="J58" s="220">
        <v>49200</v>
      </c>
      <c r="K58" s="220">
        <v>43500</v>
      </c>
      <c r="L58" s="220">
        <v>20150</v>
      </c>
      <c r="M58" s="220">
        <v>11880</v>
      </c>
      <c r="N58" s="220">
        <f>SUM(I58:M58)</f>
        <v>739730</v>
      </c>
      <c r="O58" s="224">
        <v>200000</v>
      </c>
      <c r="P58" s="146" t="s">
        <v>247</v>
      </c>
      <c r="Q58" s="15" t="s">
        <v>19</v>
      </c>
      <c r="R58" s="209"/>
      <c r="S58" s="193"/>
      <c r="T58" s="114"/>
      <c r="U58" s="21"/>
      <c r="V58" s="160"/>
      <c r="W58" s="116"/>
      <c r="X58" s="220"/>
      <c r="Y58" s="245">
        <f>X58*0.1</f>
        <v>0</v>
      </c>
      <c r="Z58" s="220"/>
      <c r="AA58" s="220">
        <f>SUM(X58:Z58)</f>
        <v>0</v>
      </c>
      <c r="AB58" s="246"/>
    </row>
    <row r="59" spans="1:28" ht="17.100000000000001" customHeight="1" thickBot="1">
      <c r="A59" s="227"/>
      <c r="B59" s="27" t="s">
        <v>248</v>
      </c>
      <c r="C59" s="27">
        <v>522</v>
      </c>
      <c r="D59" s="14" t="s">
        <v>219</v>
      </c>
      <c r="E59" s="229"/>
      <c r="F59" s="117" t="s">
        <v>249</v>
      </c>
      <c r="G59" s="26">
        <v>41397</v>
      </c>
      <c r="H59" s="231"/>
      <c r="I59" s="221"/>
      <c r="J59" s="221"/>
      <c r="K59" s="221"/>
      <c r="L59" s="221"/>
      <c r="M59" s="221"/>
      <c r="N59" s="221"/>
      <c r="O59" s="225"/>
      <c r="P59" s="120" t="s">
        <v>161</v>
      </c>
      <c r="Q59" s="16" t="s">
        <v>20</v>
      </c>
      <c r="R59" s="50"/>
      <c r="S59" s="121" t="s">
        <v>250</v>
      </c>
      <c r="T59" s="122"/>
      <c r="U59" s="22"/>
      <c r="V59" s="159"/>
      <c r="W59" s="122"/>
      <c r="X59" s="221"/>
      <c r="Y59" s="221"/>
      <c r="Z59" s="221"/>
      <c r="AA59" s="221"/>
      <c r="AB59" s="247"/>
    </row>
    <row r="60" spans="1:28" ht="17.100000000000001" customHeight="1" thickTop="1">
      <c r="A60" s="226" t="s">
        <v>5661</v>
      </c>
      <c r="B60" s="28">
        <v>42193</v>
      </c>
      <c r="C60" s="29" t="s">
        <v>251</v>
      </c>
      <c r="D60" s="13" t="s">
        <v>252</v>
      </c>
      <c r="E60" s="228"/>
      <c r="F60" s="156" t="s">
        <v>253</v>
      </c>
      <c r="G60" s="24" t="s">
        <v>246</v>
      </c>
      <c r="H60" s="230"/>
      <c r="I60" s="220">
        <v>2895000</v>
      </c>
      <c r="J60" s="220">
        <v>231600</v>
      </c>
      <c r="K60" s="220">
        <v>58600</v>
      </c>
      <c r="L60" s="220">
        <v>25670</v>
      </c>
      <c r="M60" s="220">
        <v>12960</v>
      </c>
      <c r="N60" s="220">
        <f>SUM(I60:M60)</f>
        <v>3223830</v>
      </c>
      <c r="O60" s="224">
        <v>100000</v>
      </c>
      <c r="P60" s="146" t="s">
        <v>254</v>
      </c>
      <c r="Q60" s="15" t="s">
        <v>19</v>
      </c>
      <c r="R60" s="209"/>
      <c r="S60" s="193"/>
      <c r="T60" s="114"/>
      <c r="U60" s="21"/>
      <c r="V60" s="160"/>
      <c r="W60" s="116"/>
      <c r="X60" s="220"/>
      <c r="Y60" s="245">
        <f>X60*0.1</f>
        <v>0</v>
      </c>
      <c r="Z60" s="220"/>
      <c r="AA60" s="220">
        <f>SUM(X60:Z60)</f>
        <v>0</v>
      </c>
      <c r="AB60" s="246"/>
    </row>
    <row r="61" spans="1:28" ht="17.100000000000001" customHeight="1" thickBot="1">
      <c r="A61" s="227"/>
      <c r="B61" s="27" t="s">
        <v>255</v>
      </c>
      <c r="C61" s="27">
        <v>4021</v>
      </c>
      <c r="D61" s="14" t="s">
        <v>65</v>
      </c>
      <c r="E61" s="229"/>
      <c r="F61" s="117" t="s">
        <v>256</v>
      </c>
      <c r="G61" s="26">
        <v>33407</v>
      </c>
      <c r="H61" s="231"/>
      <c r="I61" s="221"/>
      <c r="J61" s="221"/>
      <c r="K61" s="221"/>
      <c r="L61" s="221"/>
      <c r="M61" s="221"/>
      <c r="N61" s="221"/>
      <c r="O61" s="225"/>
      <c r="P61" s="120" t="s">
        <v>257</v>
      </c>
      <c r="Q61" s="16" t="s">
        <v>20</v>
      </c>
      <c r="R61" s="50"/>
      <c r="S61" s="121" t="s">
        <v>183</v>
      </c>
      <c r="T61" s="122"/>
      <c r="U61" s="22" t="s">
        <v>50</v>
      </c>
      <c r="V61" s="159"/>
      <c r="W61" s="122"/>
      <c r="X61" s="221"/>
      <c r="Y61" s="221"/>
      <c r="Z61" s="221"/>
      <c r="AA61" s="221"/>
      <c r="AB61" s="247"/>
    </row>
    <row r="62" spans="1:28" ht="17.100000000000001" customHeight="1" thickTop="1">
      <c r="A62" s="226" t="s">
        <v>5662</v>
      </c>
      <c r="B62" s="28">
        <v>42234</v>
      </c>
      <c r="C62" s="29" t="s">
        <v>258</v>
      </c>
      <c r="D62" s="13" t="s">
        <v>259</v>
      </c>
      <c r="E62" s="228"/>
      <c r="F62" s="156" t="s">
        <v>260</v>
      </c>
      <c r="G62" s="24" t="s">
        <v>261</v>
      </c>
      <c r="H62" s="230"/>
      <c r="I62" s="220">
        <v>1695000</v>
      </c>
      <c r="J62" s="220">
        <v>135600</v>
      </c>
      <c r="K62" s="220">
        <v>26200</v>
      </c>
      <c r="L62" s="220">
        <v>21580</v>
      </c>
      <c r="M62" s="220">
        <v>12960</v>
      </c>
      <c r="N62" s="220">
        <f>SUM(I62:M62)</f>
        <v>1891340</v>
      </c>
      <c r="O62" s="224">
        <v>100000</v>
      </c>
      <c r="P62" s="146" t="s">
        <v>262</v>
      </c>
      <c r="Q62" s="15" t="s">
        <v>19</v>
      </c>
      <c r="R62" s="209"/>
      <c r="S62" s="193"/>
      <c r="T62" s="114"/>
      <c r="U62" s="21"/>
      <c r="V62" s="160"/>
      <c r="W62" s="116"/>
      <c r="X62" s="220"/>
      <c r="Y62" s="245">
        <f>X62*0.1</f>
        <v>0</v>
      </c>
      <c r="Z62" s="220"/>
      <c r="AA62" s="220">
        <f>SUM(X62:Z62)</f>
        <v>0</v>
      </c>
      <c r="AB62" s="246"/>
    </row>
    <row r="63" spans="1:28" ht="17.100000000000001" customHeight="1" thickBot="1">
      <c r="A63" s="227"/>
      <c r="B63" s="27" t="s">
        <v>130</v>
      </c>
      <c r="C63" s="27">
        <v>75018</v>
      </c>
      <c r="D63" s="14" t="s">
        <v>263</v>
      </c>
      <c r="E63" s="229"/>
      <c r="F63" s="117" t="s">
        <v>264</v>
      </c>
      <c r="G63" s="26">
        <v>36328</v>
      </c>
      <c r="H63" s="231"/>
      <c r="I63" s="221"/>
      <c r="J63" s="221"/>
      <c r="K63" s="221"/>
      <c r="L63" s="221"/>
      <c r="M63" s="221"/>
      <c r="N63" s="221"/>
      <c r="O63" s="225"/>
      <c r="P63" s="120" t="s">
        <v>265</v>
      </c>
      <c r="Q63" s="16" t="s">
        <v>20</v>
      </c>
      <c r="R63" s="50"/>
      <c r="S63" s="121" t="s">
        <v>266</v>
      </c>
      <c r="T63" s="122"/>
      <c r="U63" s="22" t="s">
        <v>50</v>
      </c>
      <c r="V63" s="159"/>
      <c r="W63" s="122"/>
      <c r="X63" s="221"/>
      <c r="Y63" s="221"/>
      <c r="Z63" s="221"/>
      <c r="AA63" s="221"/>
      <c r="AB63" s="247"/>
    </row>
    <row r="64" spans="1:28" ht="17.100000000000001" customHeight="1" thickTop="1">
      <c r="A64" s="226" t="s">
        <v>5663</v>
      </c>
      <c r="B64" s="28">
        <v>42461</v>
      </c>
      <c r="C64" s="51"/>
      <c r="D64" s="13" t="s">
        <v>267</v>
      </c>
      <c r="E64" s="228" t="s">
        <v>164</v>
      </c>
      <c r="F64" s="156" t="s">
        <v>268</v>
      </c>
      <c r="G64" s="52" t="s">
        <v>269</v>
      </c>
      <c r="H64" s="230"/>
      <c r="I64" s="220">
        <v>6000000</v>
      </c>
      <c r="J64" s="220"/>
      <c r="K64" s="220"/>
      <c r="L64" s="220"/>
      <c r="M64" s="220"/>
      <c r="N64" s="220">
        <f>SUM(I64:M65)</f>
        <v>6000000</v>
      </c>
      <c r="O64" s="224"/>
      <c r="P64" s="143" t="s">
        <v>270</v>
      </c>
      <c r="Q64" s="15" t="s">
        <v>19</v>
      </c>
      <c r="R64" s="209"/>
      <c r="S64" s="216"/>
      <c r="T64" s="112"/>
      <c r="U64" s="21" t="s">
        <v>271</v>
      </c>
      <c r="V64" s="160"/>
      <c r="W64" s="116"/>
      <c r="X64" s="220"/>
      <c r="Y64" s="245">
        <f>X64*0.1</f>
        <v>0</v>
      </c>
      <c r="Z64" s="220"/>
      <c r="AA64" s="220">
        <f>SUM(X64:Z64)</f>
        <v>0</v>
      </c>
      <c r="AB64" s="246"/>
    </row>
    <row r="65" spans="1:28" ht="17.100000000000001" customHeight="1" thickBot="1">
      <c r="A65" s="227"/>
      <c r="B65" s="27" t="s">
        <v>272</v>
      </c>
      <c r="C65" s="27"/>
      <c r="D65" s="14" t="s">
        <v>273</v>
      </c>
      <c r="E65" s="229"/>
      <c r="F65" s="117" t="s">
        <v>274</v>
      </c>
      <c r="G65" s="48"/>
      <c r="H65" s="231"/>
      <c r="I65" s="221"/>
      <c r="J65" s="221"/>
      <c r="K65" s="221"/>
      <c r="L65" s="221"/>
      <c r="M65" s="221"/>
      <c r="N65" s="221"/>
      <c r="O65" s="225"/>
      <c r="P65" s="27" t="s">
        <v>275</v>
      </c>
      <c r="Q65" s="16" t="s">
        <v>20</v>
      </c>
      <c r="R65" s="50"/>
      <c r="S65" s="174"/>
      <c r="T65" s="120"/>
      <c r="U65" s="53"/>
      <c r="V65" s="159"/>
      <c r="W65" s="27"/>
      <c r="X65" s="221"/>
      <c r="Y65" s="221"/>
      <c r="Z65" s="221"/>
      <c r="AA65" s="221"/>
      <c r="AB65" s="247"/>
    </row>
    <row r="66" spans="1:28" ht="17.100000000000001" customHeight="1" thickTop="1">
      <c r="A66" s="226" t="s">
        <v>5664</v>
      </c>
      <c r="B66" s="28">
        <v>42411</v>
      </c>
      <c r="C66" s="29" t="s">
        <v>276</v>
      </c>
      <c r="D66" s="13" t="s">
        <v>277</v>
      </c>
      <c r="E66" s="228"/>
      <c r="F66" s="156" t="s">
        <v>278</v>
      </c>
      <c r="G66" s="24"/>
      <c r="H66" s="230"/>
      <c r="I66" s="220">
        <v>597000</v>
      </c>
      <c r="J66" s="220">
        <v>47760</v>
      </c>
      <c r="K66" s="220"/>
      <c r="L66" s="220">
        <v>16090</v>
      </c>
      <c r="M66" s="220">
        <v>4320</v>
      </c>
      <c r="N66" s="220">
        <f>SUM(I66:M66)</f>
        <v>665170</v>
      </c>
      <c r="O66" s="224">
        <v>200000</v>
      </c>
      <c r="P66" s="146" t="s">
        <v>279</v>
      </c>
      <c r="Q66" s="15" t="s">
        <v>19</v>
      </c>
      <c r="R66" s="209"/>
      <c r="S66" s="193"/>
      <c r="T66" s="114"/>
      <c r="U66" s="21"/>
      <c r="V66" s="160"/>
      <c r="W66" s="116"/>
      <c r="X66" s="220"/>
      <c r="Y66" s="245">
        <f>X66*0.1</f>
        <v>0</v>
      </c>
      <c r="Z66" s="220"/>
      <c r="AA66" s="220">
        <f>SUM(X66:Z66)</f>
        <v>0</v>
      </c>
      <c r="AB66" s="246"/>
    </row>
    <row r="67" spans="1:28" ht="17.100000000000001" customHeight="1" thickBot="1">
      <c r="A67" s="227"/>
      <c r="B67" s="27" t="s">
        <v>280</v>
      </c>
      <c r="C67" s="27">
        <v>30016</v>
      </c>
      <c r="D67" s="14" t="s">
        <v>219</v>
      </c>
      <c r="E67" s="229"/>
      <c r="F67" s="117" t="s">
        <v>281</v>
      </c>
      <c r="G67" s="26">
        <v>86558</v>
      </c>
      <c r="H67" s="231"/>
      <c r="I67" s="221"/>
      <c r="J67" s="221"/>
      <c r="K67" s="221"/>
      <c r="L67" s="221"/>
      <c r="M67" s="221"/>
      <c r="N67" s="221"/>
      <c r="O67" s="225"/>
      <c r="P67" s="120" t="s">
        <v>282</v>
      </c>
      <c r="Q67" s="16" t="s">
        <v>20</v>
      </c>
      <c r="R67" s="50"/>
      <c r="S67" s="121" t="s">
        <v>283</v>
      </c>
      <c r="T67" s="122"/>
      <c r="U67" s="22"/>
      <c r="V67" s="159"/>
      <c r="W67" s="122"/>
      <c r="X67" s="221"/>
      <c r="Y67" s="221"/>
      <c r="Z67" s="221"/>
      <c r="AA67" s="221"/>
      <c r="AB67" s="247"/>
    </row>
    <row r="68" spans="1:28" ht="17.100000000000001" customHeight="1" thickTop="1">
      <c r="A68" s="226" t="s">
        <v>5665</v>
      </c>
      <c r="B68" s="28">
        <v>42429</v>
      </c>
      <c r="C68" s="29" t="s">
        <v>284</v>
      </c>
      <c r="D68" s="13" t="s">
        <v>285</v>
      </c>
      <c r="E68" s="228"/>
      <c r="F68" s="156" t="s">
        <v>286</v>
      </c>
      <c r="G68" s="24"/>
      <c r="H68" s="230"/>
      <c r="I68" s="220">
        <v>1715000</v>
      </c>
      <c r="J68" s="220">
        <v>137200</v>
      </c>
      <c r="K68" s="220"/>
      <c r="L68" s="220">
        <v>18770</v>
      </c>
      <c r="M68" s="220">
        <v>10800</v>
      </c>
      <c r="N68" s="220">
        <f>SUM(I68:M68)</f>
        <v>1881770</v>
      </c>
      <c r="O68" s="224">
        <v>500000</v>
      </c>
      <c r="P68" s="146" t="s">
        <v>287</v>
      </c>
      <c r="Q68" s="15" t="s">
        <v>19</v>
      </c>
      <c r="R68" s="210"/>
      <c r="S68" s="194" t="s">
        <v>288</v>
      </c>
      <c r="T68" s="114"/>
      <c r="U68" s="21"/>
      <c r="V68" s="160"/>
      <c r="W68" s="116"/>
      <c r="X68" s="220"/>
      <c r="Y68" s="245">
        <f>X68*0.1</f>
        <v>0</v>
      </c>
      <c r="Z68" s="220"/>
      <c r="AA68" s="220">
        <f>SUM(X68:Z68)</f>
        <v>0</v>
      </c>
      <c r="AB68" s="246"/>
    </row>
    <row r="69" spans="1:28" ht="17.100000000000001" customHeight="1" thickBot="1">
      <c r="A69" s="227"/>
      <c r="B69" s="27" t="s">
        <v>82</v>
      </c>
      <c r="C69" s="27">
        <v>35518</v>
      </c>
      <c r="D69" s="14" t="s">
        <v>289</v>
      </c>
      <c r="E69" s="229"/>
      <c r="F69" s="117" t="s">
        <v>290</v>
      </c>
      <c r="G69" s="26">
        <v>31008</v>
      </c>
      <c r="H69" s="231"/>
      <c r="I69" s="221"/>
      <c r="J69" s="221"/>
      <c r="K69" s="221"/>
      <c r="L69" s="221"/>
      <c r="M69" s="221"/>
      <c r="N69" s="221"/>
      <c r="O69" s="225"/>
      <c r="P69" s="120" t="s">
        <v>291</v>
      </c>
      <c r="Q69" s="16" t="s">
        <v>20</v>
      </c>
      <c r="R69" s="50"/>
      <c r="S69" s="121" t="s">
        <v>283</v>
      </c>
      <c r="T69" s="122"/>
      <c r="U69" s="22"/>
      <c r="V69" s="159"/>
      <c r="W69" s="122"/>
      <c r="X69" s="221"/>
      <c r="Y69" s="221"/>
      <c r="Z69" s="221"/>
      <c r="AA69" s="221"/>
      <c r="AB69" s="247"/>
    </row>
    <row r="70" spans="1:28" ht="17.100000000000001" customHeight="1" thickTop="1">
      <c r="A70" s="226" t="s">
        <v>5666</v>
      </c>
      <c r="B70" s="28">
        <v>42453</v>
      </c>
      <c r="C70" s="29" t="s">
        <v>292</v>
      </c>
      <c r="D70" s="13" t="s">
        <v>293</v>
      </c>
      <c r="E70" s="228"/>
      <c r="F70" s="156" t="s">
        <v>294</v>
      </c>
      <c r="G70" s="24"/>
      <c r="H70" s="230"/>
      <c r="I70" s="220">
        <v>820000</v>
      </c>
      <c r="J70" s="220">
        <v>65600</v>
      </c>
      <c r="K70" s="220"/>
      <c r="L70" s="220">
        <v>16190</v>
      </c>
      <c r="M70" s="220">
        <v>12960</v>
      </c>
      <c r="N70" s="220">
        <f>SUM(I70:M70)</f>
        <v>914750</v>
      </c>
      <c r="O70" s="224">
        <v>200000</v>
      </c>
      <c r="P70" s="146" t="s">
        <v>295</v>
      </c>
      <c r="Q70" s="15" t="s">
        <v>19</v>
      </c>
      <c r="R70" s="209"/>
      <c r="S70" s="193"/>
      <c r="T70" s="114"/>
      <c r="U70" s="21"/>
      <c r="V70" s="160"/>
      <c r="W70" s="116"/>
      <c r="X70" s="220"/>
      <c r="Y70" s="245">
        <f>X70*0.1</f>
        <v>0</v>
      </c>
      <c r="Z70" s="220"/>
      <c r="AA70" s="220">
        <f>SUM(X70:Z70)</f>
        <v>0</v>
      </c>
      <c r="AB70" s="246"/>
    </row>
    <row r="71" spans="1:28" ht="17.100000000000001" customHeight="1" thickBot="1">
      <c r="A71" s="227"/>
      <c r="B71" s="27" t="s">
        <v>146</v>
      </c>
      <c r="C71" s="27">
        <v>70730</v>
      </c>
      <c r="D71" s="14" t="s">
        <v>204</v>
      </c>
      <c r="E71" s="229"/>
      <c r="F71" s="117" t="s">
        <v>296</v>
      </c>
      <c r="G71" s="26">
        <v>46600</v>
      </c>
      <c r="H71" s="231"/>
      <c r="I71" s="221"/>
      <c r="J71" s="221"/>
      <c r="K71" s="221"/>
      <c r="L71" s="221"/>
      <c r="M71" s="221"/>
      <c r="N71" s="221"/>
      <c r="O71" s="225"/>
      <c r="P71" s="120" t="s">
        <v>297</v>
      </c>
      <c r="Q71" s="16" t="s">
        <v>20</v>
      </c>
      <c r="R71" s="50"/>
      <c r="S71" s="121" t="s">
        <v>283</v>
      </c>
      <c r="T71" s="122"/>
      <c r="U71" s="22"/>
      <c r="V71" s="159"/>
      <c r="W71" s="122"/>
      <c r="X71" s="221"/>
      <c r="Y71" s="221"/>
      <c r="Z71" s="221"/>
      <c r="AA71" s="221"/>
      <c r="AB71" s="247"/>
    </row>
    <row r="72" spans="1:28" ht="17.100000000000001" customHeight="1" thickTop="1">
      <c r="A72" s="226" t="s">
        <v>5667</v>
      </c>
      <c r="B72" s="28">
        <v>42516</v>
      </c>
      <c r="C72" s="29" t="s">
        <v>298</v>
      </c>
      <c r="D72" s="13" t="s">
        <v>299</v>
      </c>
      <c r="E72" s="228"/>
      <c r="F72" s="156" t="s">
        <v>300</v>
      </c>
      <c r="G72" s="24"/>
      <c r="H72" s="230"/>
      <c r="I72" s="220">
        <v>1705000</v>
      </c>
      <c r="J72" s="220">
        <v>136400</v>
      </c>
      <c r="K72" s="220"/>
      <c r="L72" s="220">
        <v>19810</v>
      </c>
      <c r="M72" s="220">
        <v>12960</v>
      </c>
      <c r="N72" s="220">
        <f>SUM(I72:M72)</f>
        <v>1874170</v>
      </c>
      <c r="O72" s="224">
        <v>200000</v>
      </c>
      <c r="P72" s="146" t="s">
        <v>301</v>
      </c>
      <c r="Q72" s="15" t="s">
        <v>19</v>
      </c>
      <c r="R72" s="209"/>
      <c r="S72" s="193"/>
      <c r="T72" s="114"/>
      <c r="U72" s="21"/>
      <c r="V72" s="160"/>
      <c r="W72" s="116"/>
      <c r="X72" s="220"/>
      <c r="Y72" s="245">
        <f>X72*0.1</f>
        <v>0</v>
      </c>
      <c r="Z72" s="220"/>
      <c r="AA72" s="220">
        <f>SUM(X72:Z72)</f>
        <v>0</v>
      </c>
      <c r="AB72" s="246"/>
    </row>
    <row r="73" spans="1:28" ht="17.100000000000001" customHeight="1" thickBot="1">
      <c r="A73" s="227"/>
      <c r="B73" s="27" t="s">
        <v>248</v>
      </c>
      <c r="C73" s="27">
        <v>3</v>
      </c>
      <c r="D73" s="14" t="s">
        <v>302</v>
      </c>
      <c r="E73" s="229"/>
      <c r="F73" s="117" t="s">
        <v>303</v>
      </c>
      <c r="G73" s="26">
        <v>49995</v>
      </c>
      <c r="H73" s="231"/>
      <c r="I73" s="221"/>
      <c r="J73" s="221"/>
      <c r="K73" s="221"/>
      <c r="L73" s="221"/>
      <c r="M73" s="221"/>
      <c r="N73" s="221"/>
      <c r="O73" s="225"/>
      <c r="P73" s="120" t="s">
        <v>161</v>
      </c>
      <c r="Q73" s="16" t="s">
        <v>20</v>
      </c>
      <c r="R73" s="50"/>
      <c r="S73" s="121" t="s">
        <v>304</v>
      </c>
      <c r="T73" s="122"/>
      <c r="U73" s="22"/>
      <c r="V73" s="159"/>
      <c r="W73" s="122"/>
      <c r="X73" s="221"/>
      <c r="Y73" s="221"/>
      <c r="Z73" s="221"/>
      <c r="AA73" s="221"/>
      <c r="AB73" s="247"/>
    </row>
    <row r="74" spans="1:28" ht="17.100000000000001" customHeight="1" thickTop="1">
      <c r="A74" s="226" t="s">
        <v>5668</v>
      </c>
      <c r="B74" s="28">
        <v>42524</v>
      </c>
      <c r="C74" s="29" t="s">
        <v>305</v>
      </c>
      <c r="D74" s="13" t="s">
        <v>306</v>
      </c>
      <c r="E74" s="228"/>
      <c r="F74" s="156" t="s">
        <v>307</v>
      </c>
      <c r="G74" s="24" t="s">
        <v>308</v>
      </c>
      <c r="H74" s="230"/>
      <c r="I74" s="220">
        <v>958000</v>
      </c>
      <c r="J74" s="220">
        <v>76640</v>
      </c>
      <c r="K74" s="220">
        <v>29600</v>
      </c>
      <c r="L74" s="220">
        <v>18990</v>
      </c>
      <c r="M74" s="220">
        <v>12960</v>
      </c>
      <c r="N74" s="220">
        <f>SUM(I74:M74)</f>
        <v>1096190</v>
      </c>
      <c r="O74" s="224">
        <v>250000</v>
      </c>
      <c r="P74" s="146" t="s">
        <v>309</v>
      </c>
      <c r="Q74" s="15" t="s">
        <v>19</v>
      </c>
      <c r="R74" s="209"/>
      <c r="S74" s="193"/>
      <c r="T74" s="114"/>
      <c r="U74" s="21"/>
      <c r="V74" s="160"/>
      <c r="W74" s="116"/>
      <c r="X74" s="220"/>
      <c r="Y74" s="245">
        <f>X74*0.1</f>
        <v>0</v>
      </c>
      <c r="Z74" s="220"/>
      <c r="AA74" s="220">
        <f>SUM(X74:Z74)</f>
        <v>0</v>
      </c>
      <c r="AB74" s="246"/>
    </row>
    <row r="75" spans="1:28" ht="17.100000000000001" customHeight="1" thickBot="1">
      <c r="A75" s="227"/>
      <c r="B75" s="27" t="s">
        <v>203</v>
      </c>
      <c r="C75" s="27">
        <v>20851</v>
      </c>
      <c r="D75" s="14" t="s">
        <v>65</v>
      </c>
      <c r="E75" s="229"/>
      <c r="F75" s="117" t="s">
        <v>310</v>
      </c>
      <c r="G75" s="26">
        <v>58387</v>
      </c>
      <c r="H75" s="231"/>
      <c r="I75" s="221"/>
      <c r="J75" s="221"/>
      <c r="K75" s="221"/>
      <c r="L75" s="221"/>
      <c r="M75" s="221"/>
      <c r="N75" s="221"/>
      <c r="O75" s="225"/>
      <c r="P75" s="120" t="s">
        <v>311</v>
      </c>
      <c r="Q75" s="16" t="s">
        <v>20</v>
      </c>
      <c r="R75" s="50"/>
      <c r="S75" s="121"/>
      <c r="T75" s="122"/>
      <c r="U75" s="22" t="s">
        <v>50</v>
      </c>
      <c r="V75" s="159"/>
      <c r="W75" s="122"/>
      <c r="X75" s="221"/>
      <c r="Y75" s="221"/>
      <c r="Z75" s="221"/>
      <c r="AA75" s="221"/>
      <c r="AB75" s="247"/>
    </row>
    <row r="76" spans="1:28" ht="17.100000000000001" customHeight="1" thickTop="1">
      <c r="A76" s="226" t="s">
        <v>5669</v>
      </c>
      <c r="B76" s="28">
        <v>42532</v>
      </c>
      <c r="C76" s="29" t="s">
        <v>312</v>
      </c>
      <c r="D76" s="13" t="s">
        <v>236</v>
      </c>
      <c r="E76" s="228"/>
      <c r="F76" s="156" t="s">
        <v>313</v>
      </c>
      <c r="G76" s="24" t="s">
        <v>314</v>
      </c>
      <c r="H76" s="230"/>
      <c r="I76" s="220">
        <v>174000</v>
      </c>
      <c r="J76" s="220">
        <v>13920</v>
      </c>
      <c r="K76" s="220">
        <v>49800</v>
      </c>
      <c r="L76" s="220">
        <v>15590</v>
      </c>
      <c r="M76" s="220">
        <v>11880</v>
      </c>
      <c r="N76" s="220">
        <f>SUM(I76:M76)</f>
        <v>265190</v>
      </c>
      <c r="O76" s="224"/>
      <c r="P76" s="146" t="s">
        <v>315</v>
      </c>
      <c r="Q76" s="15" t="s">
        <v>19</v>
      </c>
      <c r="R76" s="209"/>
      <c r="S76" s="193"/>
      <c r="T76" s="114"/>
      <c r="U76" s="21"/>
      <c r="V76" s="160"/>
      <c r="W76" s="116"/>
      <c r="X76" s="220"/>
      <c r="Y76" s="245">
        <f>X76*0.1</f>
        <v>0</v>
      </c>
      <c r="Z76" s="220"/>
      <c r="AA76" s="220">
        <f>SUM(X76:Z76)</f>
        <v>0</v>
      </c>
      <c r="AB76" s="246"/>
    </row>
    <row r="77" spans="1:28" ht="17.100000000000001" customHeight="1" thickBot="1">
      <c r="A77" s="227"/>
      <c r="B77" s="27" t="s">
        <v>45</v>
      </c>
      <c r="C77" s="27">
        <v>10284</v>
      </c>
      <c r="D77" s="14" t="s">
        <v>65</v>
      </c>
      <c r="E77" s="229"/>
      <c r="F77" s="117" t="s">
        <v>316</v>
      </c>
      <c r="G77" s="26">
        <v>67839</v>
      </c>
      <c r="H77" s="231"/>
      <c r="I77" s="221"/>
      <c r="J77" s="221"/>
      <c r="K77" s="221"/>
      <c r="L77" s="221"/>
      <c r="M77" s="221"/>
      <c r="N77" s="221"/>
      <c r="O77" s="225"/>
      <c r="P77" s="120" t="s">
        <v>317</v>
      </c>
      <c r="Q77" s="16" t="s">
        <v>20</v>
      </c>
      <c r="R77" s="50"/>
      <c r="S77" s="121" t="s">
        <v>283</v>
      </c>
      <c r="T77" s="122"/>
      <c r="U77" s="22" t="s">
        <v>50</v>
      </c>
      <c r="V77" s="159"/>
      <c r="W77" s="122"/>
      <c r="X77" s="221"/>
      <c r="Y77" s="221"/>
      <c r="Z77" s="221"/>
      <c r="AA77" s="221"/>
      <c r="AB77" s="247"/>
    </row>
    <row r="78" spans="1:28" ht="17.100000000000001" customHeight="1" thickTop="1">
      <c r="A78" s="226" t="s">
        <v>5670</v>
      </c>
      <c r="B78" s="28">
        <v>42578</v>
      </c>
      <c r="C78" s="29" t="s">
        <v>318</v>
      </c>
      <c r="D78" s="13" t="s">
        <v>319</v>
      </c>
      <c r="E78" s="228"/>
      <c r="F78" s="156" t="s">
        <v>320</v>
      </c>
      <c r="G78" s="24" t="s">
        <v>321</v>
      </c>
      <c r="H78" s="230"/>
      <c r="I78" s="220">
        <v>1643000</v>
      </c>
      <c r="J78" s="220">
        <v>131440</v>
      </c>
      <c r="K78" s="220">
        <v>26300</v>
      </c>
      <c r="L78" s="220">
        <v>18870</v>
      </c>
      <c r="M78" s="220">
        <v>13500</v>
      </c>
      <c r="N78" s="220">
        <f>SUM(I78:M78)</f>
        <v>1833110</v>
      </c>
      <c r="O78" s="224">
        <v>500000</v>
      </c>
      <c r="P78" s="146" t="s">
        <v>322</v>
      </c>
      <c r="Q78" s="15" t="s">
        <v>19</v>
      </c>
      <c r="R78" s="209"/>
      <c r="S78" s="193"/>
      <c r="T78" s="114"/>
      <c r="U78" s="21"/>
      <c r="V78" s="160"/>
      <c r="W78" s="116"/>
      <c r="X78" s="220"/>
      <c r="Y78" s="245">
        <f>X78*0.1</f>
        <v>0</v>
      </c>
      <c r="Z78" s="220"/>
      <c r="AA78" s="220">
        <f>SUM(X78:Z78)</f>
        <v>0</v>
      </c>
      <c r="AB78" s="246"/>
    </row>
    <row r="79" spans="1:28" ht="17.100000000000001" customHeight="1" thickBot="1">
      <c r="A79" s="227"/>
      <c r="B79" s="27" t="s">
        <v>323</v>
      </c>
      <c r="C79" s="27">
        <v>7175</v>
      </c>
      <c r="D79" s="14" t="s">
        <v>324</v>
      </c>
      <c r="E79" s="229"/>
      <c r="F79" s="117" t="s">
        <v>325</v>
      </c>
      <c r="G79" s="26">
        <v>46424</v>
      </c>
      <c r="H79" s="231"/>
      <c r="I79" s="221"/>
      <c r="J79" s="221"/>
      <c r="K79" s="221"/>
      <c r="L79" s="221"/>
      <c r="M79" s="221"/>
      <c r="N79" s="221"/>
      <c r="O79" s="225"/>
      <c r="P79" s="120" t="s">
        <v>326</v>
      </c>
      <c r="Q79" s="16" t="s">
        <v>20</v>
      </c>
      <c r="R79" s="50"/>
      <c r="S79" s="121" t="s">
        <v>183</v>
      </c>
      <c r="T79" s="122"/>
      <c r="U79" s="22"/>
      <c r="V79" s="159"/>
      <c r="W79" s="122"/>
      <c r="X79" s="221"/>
      <c r="Y79" s="221"/>
      <c r="Z79" s="221"/>
      <c r="AA79" s="221"/>
      <c r="AB79" s="247"/>
    </row>
    <row r="80" spans="1:28" ht="17.100000000000001" customHeight="1" thickTop="1">
      <c r="A80" s="226" t="s">
        <v>5671</v>
      </c>
      <c r="B80" s="28">
        <v>42581</v>
      </c>
      <c r="C80" s="29" t="s">
        <v>327</v>
      </c>
      <c r="D80" s="13" t="s">
        <v>328</v>
      </c>
      <c r="E80" s="228"/>
      <c r="F80" s="156" t="s">
        <v>278</v>
      </c>
      <c r="G80" s="24" t="s">
        <v>329</v>
      </c>
      <c r="H80" s="230"/>
      <c r="I80" s="220">
        <v>460000</v>
      </c>
      <c r="J80" s="220">
        <v>36800</v>
      </c>
      <c r="K80" s="220">
        <v>26300</v>
      </c>
      <c r="L80" s="220">
        <v>15890</v>
      </c>
      <c r="M80" s="220">
        <v>23760</v>
      </c>
      <c r="N80" s="220">
        <f>SUM(I80:M80)</f>
        <v>562750</v>
      </c>
      <c r="O80" s="224">
        <v>50000</v>
      </c>
      <c r="P80" s="146" t="s">
        <v>330</v>
      </c>
      <c r="Q80" s="15" t="s">
        <v>19</v>
      </c>
      <c r="R80" s="209"/>
      <c r="S80" s="193"/>
      <c r="T80" s="114"/>
      <c r="U80" s="21"/>
      <c r="V80" s="160"/>
      <c r="W80" s="116"/>
      <c r="X80" s="220"/>
      <c r="Y80" s="245">
        <f>X80*0.1</f>
        <v>0</v>
      </c>
      <c r="Z80" s="220"/>
      <c r="AA80" s="220">
        <f>SUM(X80:Z80)</f>
        <v>0</v>
      </c>
      <c r="AB80" s="246"/>
    </row>
    <row r="81" spans="1:28" ht="17.100000000000001" customHeight="1" thickBot="1">
      <c r="A81" s="227"/>
      <c r="B81" s="27" t="s">
        <v>331</v>
      </c>
      <c r="C81" s="27">
        <v>5506</v>
      </c>
      <c r="D81" s="14" t="s">
        <v>65</v>
      </c>
      <c r="E81" s="229"/>
      <c r="F81" s="117" t="s">
        <v>332</v>
      </c>
      <c r="G81" s="26">
        <v>47436</v>
      </c>
      <c r="H81" s="231"/>
      <c r="I81" s="221"/>
      <c r="J81" s="221"/>
      <c r="K81" s="221"/>
      <c r="L81" s="221"/>
      <c r="M81" s="221"/>
      <c r="N81" s="221"/>
      <c r="O81" s="225"/>
      <c r="P81" s="120" t="s">
        <v>333</v>
      </c>
      <c r="Q81" s="16" t="s">
        <v>20</v>
      </c>
      <c r="R81" s="50"/>
      <c r="S81" s="121" t="s">
        <v>283</v>
      </c>
      <c r="T81" s="122"/>
      <c r="U81" s="22"/>
      <c r="V81" s="159"/>
      <c r="W81" s="122"/>
      <c r="X81" s="221"/>
      <c r="Y81" s="221"/>
      <c r="Z81" s="221"/>
      <c r="AA81" s="221"/>
      <c r="AB81" s="247"/>
    </row>
    <row r="82" spans="1:28" ht="17.100000000000001" customHeight="1" thickTop="1">
      <c r="A82" s="226" t="s">
        <v>5672</v>
      </c>
      <c r="B82" s="28">
        <v>42619</v>
      </c>
      <c r="C82" s="29" t="s">
        <v>334</v>
      </c>
      <c r="D82" s="13" t="s">
        <v>335</v>
      </c>
      <c r="E82" s="228"/>
      <c r="F82" s="156" t="s">
        <v>336</v>
      </c>
      <c r="G82" s="24"/>
      <c r="H82" s="230"/>
      <c r="I82" s="220">
        <v>987000</v>
      </c>
      <c r="J82" s="220">
        <v>78960</v>
      </c>
      <c r="K82" s="220"/>
      <c r="L82" s="220">
        <v>23900</v>
      </c>
      <c r="M82" s="220">
        <v>9720</v>
      </c>
      <c r="N82" s="220">
        <f>SUM(I82:M82)</f>
        <v>1099580</v>
      </c>
      <c r="O82" s="224">
        <v>500000</v>
      </c>
      <c r="P82" s="146" t="s">
        <v>337</v>
      </c>
      <c r="Q82" s="15" t="s">
        <v>19</v>
      </c>
      <c r="R82" s="205"/>
      <c r="S82" s="189"/>
      <c r="T82" s="114"/>
      <c r="U82" s="21"/>
      <c r="V82" s="160"/>
      <c r="W82" s="116"/>
      <c r="X82" s="220"/>
      <c r="Y82" s="245">
        <f>X82*0.1</f>
        <v>0</v>
      </c>
      <c r="Z82" s="220"/>
      <c r="AA82" s="220">
        <f>SUM(X82:Z82)</f>
        <v>0</v>
      </c>
      <c r="AB82" s="246"/>
    </row>
    <row r="83" spans="1:28" ht="17.100000000000001" customHeight="1" thickBot="1">
      <c r="A83" s="227"/>
      <c r="B83" s="27" t="s">
        <v>338</v>
      </c>
      <c r="C83" s="27">
        <v>5005</v>
      </c>
      <c r="D83" s="14" t="s">
        <v>65</v>
      </c>
      <c r="E83" s="229"/>
      <c r="F83" s="117" t="s">
        <v>339</v>
      </c>
      <c r="G83" s="26">
        <v>36892</v>
      </c>
      <c r="H83" s="231"/>
      <c r="I83" s="221"/>
      <c r="J83" s="221"/>
      <c r="K83" s="221"/>
      <c r="L83" s="221"/>
      <c r="M83" s="221"/>
      <c r="N83" s="221"/>
      <c r="O83" s="225"/>
      <c r="P83" s="120" t="s">
        <v>340</v>
      </c>
      <c r="Q83" s="16" t="s">
        <v>20</v>
      </c>
      <c r="R83" s="17"/>
      <c r="S83" s="121"/>
      <c r="T83" s="122"/>
      <c r="U83" s="22"/>
      <c r="V83" s="159"/>
      <c r="W83" s="122"/>
      <c r="X83" s="221"/>
      <c r="Y83" s="221"/>
      <c r="Z83" s="221"/>
      <c r="AA83" s="221"/>
      <c r="AB83" s="247"/>
    </row>
    <row r="84" spans="1:28" ht="17.100000000000001" customHeight="1" thickTop="1">
      <c r="A84" s="226" t="s">
        <v>5673</v>
      </c>
      <c r="B84" s="28">
        <v>42621</v>
      </c>
      <c r="C84" s="29"/>
      <c r="D84" s="13" t="s">
        <v>341</v>
      </c>
      <c r="E84" s="228"/>
      <c r="F84" s="156" t="s">
        <v>342</v>
      </c>
      <c r="G84" s="24" t="s">
        <v>314</v>
      </c>
      <c r="H84" s="230"/>
      <c r="I84" s="220">
        <v>2230000</v>
      </c>
      <c r="J84" s="220"/>
      <c r="K84" s="220"/>
      <c r="L84" s="220"/>
      <c r="M84" s="220">
        <v>648</v>
      </c>
      <c r="N84" s="220">
        <f>SUM(I84:M84)</f>
        <v>2230648</v>
      </c>
      <c r="O84" s="224">
        <v>500000</v>
      </c>
      <c r="P84" s="146" t="s">
        <v>343</v>
      </c>
      <c r="Q84" s="15" t="s">
        <v>19</v>
      </c>
      <c r="R84" s="209"/>
      <c r="S84" s="193"/>
      <c r="T84" s="114"/>
      <c r="U84" s="21"/>
      <c r="V84" s="160"/>
      <c r="W84" s="116"/>
      <c r="X84" s="220"/>
      <c r="Y84" s="245">
        <f>X84*0.1</f>
        <v>0</v>
      </c>
      <c r="Z84" s="220"/>
      <c r="AA84" s="220">
        <f>SUM(X84:Z84)</f>
        <v>0</v>
      </c>
      <c r="AB84" s="246"/>
    </row>
    <row r="85" spans="1:28" ht="17.100000000000001" customHeight="1" thickBot="1">
      <c r="A85" s="227"/>
      <c r="B85" s="27" t="s">
        <v>344</v>
      </c>
      <c r="C85" s="27"/>
      <c r="D85" s="14" t="s">
        <v>345</v>
      </c>
      <c r="E85" s="229"/>
      <c r="F85" s="117">
        <v>227012252</v>
      </c>
      <c r="G85" s="26"/>
      <c r="H85" s="231"/>
      <c r="I85" s="221"/>
      <c r="J85" s="221"/>
      <c r="K85" s="221"/>
      <c r="L85" s="221"/>
      <c r="M85" s="221"/>
      <c r="N85" s="221"/>
      <c r="O85" s="225"/>
      <c r="P85" s="120" t="s">
        <v>346</v>
      </c>
      <c r="Q85" s="16" t="s">
        <v>20</v>
      </c>
      <c r="R85" s="50"/>
      <c r="S85" s="121"/>
      <c r="T85" s="122"/>
      <c r="U85" s="22" t="s">
        <v>50</v>
      </c>
      <c r="V85" s="159"/>
      <c r="W85" s="122"/>
      <c r="X85" s="221"/>
      <c r="Y85" s="221"/>
      <c r="Z85" s="221"/>
      <c r="AA85" s="221"/>
      <c r="AB85" s="247"/>
    </row>
    <row r="86" spans="1:28" ht="17.100000000000001" customHeight="1" thickTop="1">
      <c r="A86" s="226" t="s">
        <v>5674</v>
      </c>
      <c r="B86" s="28">
        <v>42637</v>
      </c>
      <c r="C86" s="29" t="s">
        <v>347</v>
      </c>
      <c r="D86" s="13" t="s">
        <v>348</v>
      </c>
      <c r="E86" s="228"/>
      <c r="F86" s="156" t="s">
        <v>349</v>
      </c>
      <c r="G86" s="24"/>
      <c r="H86" s="230"/>
      <c r="I86" s="220">
        <v>472000</v>
      </c>
      <c r="J86" s="220">
        <v>37760</v>
      </c>
      <c r="K86" s="220"/>
      <c r="L86" s="220">
        <v>15590</v>
      </c>
      <c r="M86" s="220">
        <v>14580</v>
      </c>
      <c r="N86" s="220">
        <f>SUM(I86:M86)</f>
        <v>539930</v>
      </c>
      <c r="O86" s="224">
        <v>300000</v>
      </c>
      <c r="P86" s="146" t="s">
        <v>350</v>
      </c>
      <c r="Q86" s="15" t="s">
        <v>19</v>
      </c>
      <c r="R86" s="209"/>
      <c r="S86" s="193"/>
      <c r="T86" s="114"/>
      <c r="U86" s="21"/>
      <c r="V86" s="160"/>
      <c r="W86" s="116"/>
      <c r="X86" s="220"/>
      <c r="Y86" s="245">
        <f>X86*0.1</f>
        <v>0</v>
      </c>
      <c r="Z86" s="220"/>
      <c r="AA86" s="220">
        <f>SUM(X86:Z86)</f>
        <v>0</v>
      </c>
      <c r="AB86" s="246"/>
    </row>
    <row r="87" spans="1:28" ht="17.100000000000001" customHeight="1" thickBot="1">
      <c r="A87" s="227"/>
      <c r="B87" s="27" t="s">
        <v>351</v>
      </c>
      <c r="C87" s="27">
        <v>5049</v>
      </c>
      <c r="D87" s="14" t="s">
        <v>65</v>
      </c>
      <c r="E87" s="229"/>
      <c r="F87" s="117" t="s">
        <v>352</v>
      </c>
      <c r="G87" s="26">
        <v>30492</v>
      </c>
      <c r="H87" s="231"/>
      <c r="I87" s="221"/>
      <c r="J87" s="221"/>
      <c r="K87" s="221"/>
      <c r="L87" s="221"/>
      <c r="M87" s="221"/>
      <c r="N87" s="221"/>
      <c r="O87" s="225"/>
      <c r="P87" s="120" t="s">
        <v>353</v>
      </c>
      <c r="Q87" s="16" t="s">
        <v>20</v>
      </c>
      <c r="R87" s="50"/>
      <c r="S87" s="121"/>
      <c r="T87" s="122"/>
      <c r="U87" s="22"/>
      <c r="V87" s="159"/>
      <c r="W87" s="122"/>
      <c r="X87" s="221"/>
      <c r="Y87" s="221"/>
      <c r="Z87" s="221"/>
      <c r="AA87" s="221"/>
      <c r="AB87" s="247"/>
    </row>
    <row r="88" spans="1:28" ht="17.100000000000001" customHeight="1" thickTop="1">
      <c r="A88" s="226" t="s">
        <v>5675</v>
      </c>
      <c r="B88" s="28">
        <v>42650</v>
      </c>
      <c r="C88" s="29" t="s">
        <v>354</v>
      </c>
      <c r="D88" s="13" t="s">
        <v>355</v>
      </c>
      <c r="E88" s="228"/>
      <c r="F88" s="156" t="s">
        <v>356</v>
      </c>
      <c r="G88" s="24" t="s">
        <v>357</v>
      </c>
      <c r="H88" s="230"/>
      <c r="I88" s="220">
        <v>560000</v>
      </c>
      <c r="J88" s="220">
        <v>44800</v>
      </c>
      <c r="K88" s="220">
        <v>18900</v>
      </c>
      <c r="L88" s="220">
        <v>10890</v>
      </c>
      <c r="M88" s="220">
        <v>12960</v>
      </c>
      <c r="N88" s="220">
        <f>SUM(I88:M88)</f>
        <v>647550</v>
      </c>
      <c r="O88" s="224">
        <v>200000</v>
      </c>
      <c r="P88" s="146" t="s">
        <v>358</v>
      </c>
      <c r="Q88" s="15" t="s">
        <v>19</v>
      </c>
      <c r="R88" s="209"/>
      <c r="S88" s="193"/>
      <c r="T88" s="114"/>
      <c r="U88" s="21"/>
      <c r="V88" s="160"/>
      <c r="W88" s="116"/>
      <c r="X88" s="220"/>
      <c r="Y88" s="245">
        <f>X88*0.1</f>
        <v>0</v>
      </c>
      <c r="Z88" s="220"/>
      <c r="AA88" s="220">
        <f>SUM(X88:Z88)</f>
        <v>0</v>
      </c>
      <c r="AB88" s="246"/>
    </row>
    <row r="89" spans="1:28" ht="17.100000000000001" customHeight="1" thickBot="1">
      <c r="A89" s="227"/>
      <c r="B89" s="27" t="s">
        <v>203</v>
      </c>
      <c r="C89" s="27">
        <v>58027</v>
      </c>
      <c r="D89" s="14" t="s">
        <v>90</v>
      </c>
      <c r="E89" s="229"/>
      <c r="F89" s="117" t="s">
        <v>359</v>
      </c>
      <c r="G89" s="26">
        <v>78705</v>
      </c>
      <c r="H89" s="231"/>
      <c r="I89" s="221"/>
      <c r="J89" s="221"/>
      <c r="K89" s="221"/>
      <c r="L89" s="221"/>
      <c r="M89" s="221"/>
      <c r="N89" s="221"/>
      <c r="O89" s="225"/>
      <c r="P89" s="120" t="s">
        <v>360</v>
      </c>
      <c r="Q89" s="16" t="s">
        <v>20</v>
      </c>
      <c r="R89" s="50"/>
      <c r="S89" s="121" t="s">
        <v>361</v>
      </c>
      <c r="T89" s="122"/>
      <c r="U89" s="22" t="s">
        <v>50</v>
      </c>
      <c r="V89" s="159"/>
      <c r="W89" s="122"/>
      <c r="X89" s="221"/>
      <c r="Y89" s="221"/>
      <c r="Z89" s="221"/>
      <c r="AA89" s="221"/>
      <c r="AB89" s="247"/>
    </row>
    <row r="90" spans="1:28" ht="17.100000000000001" customHeight="1" thickTop="1">
      <c r="A90" s="226" t="s">
        <v>5676</v>
      </c>
      <c r="B90" s="28">
        <v>42672</v>
      </c>
      <c r="C90" s="29" t="s">
        <v>362</v>
      </c>
      <c r="D90" s="13" t="s">
        <v>363</v>
      </c>
      <c r="E90" s="228"/>
      <c r="F90" s="156" t="s">
        <v>364</v>
      </c>
      <c r="G90" s="24" t="s">
        <v>314</v>
      </c>
      <c r="H90" s="230"/>
      <c r="I90" s="220">
        <v>645000</v>
      </c>
      <c r="J90" s="220">
        <v>51600</v>
      </c>
      <c r="K90" s="220">
        <v>15000</v>
      </c>
      <c r="L90" s="220">
        <v>5070</v>
      </c>
      <c r="M90" s="220">
        <v>9720</v>
      </c>
      <c r="N90" s="220">
        <f>SUM(I90:M90)</f>
        <v>726390</v>
      </c>
      <c r="O90" s="224">
        <v>350000</v>
      </c>
      <c r="P90" s="146" t="s">
        <v>365</v>
      </c>
      <c r="Q90" s="15" t="s">
        <v>19</v>
      </c>
      <c r="R90" s="209"/>
      <c r="S90" s="193"/>
      <c r="T90" s="114"/>
      <c r="U90" s="21"/>
      <c r="V90" s="160"/>
      <c r="W90" s="116"/>
      <c r="X90" s="220"/>
      <c r="Y90" s="245">
        <f>X90*0.1</f>
        <v>0</v>
      </c>
      <c r="Z90" s="220"/>
      <c r="AA90" s="220">
        <f>SUM(X90:Z90)</f>
        <v>0</v>
      </c>
      <c r="AB90" s="246"/>
    </row>
    <row r="91" spans="1:28" ht="17.100000000000001" customHeight="1" thickBot="1">
      <c r="A91" s="227"/>
      <c r="B91" s="27" t="s">
        <v>45</v>
      </c>
      <c r="C91" s="27">
        <v>33081</v>
      </c>
      <c r="D91" s="14" t="s">
        <v>219</v>
      </c>
      <c r="E91" s="229"/>
      <c r="F91" s="117" t="s">
        <v>366</v>
      </c>
      <c r="G91" s="26">
        <v>45980</v>
      </c>
      <c r="H91" s="231"/>
      <c r="I91" s="221"/>
      <c r="J91" s="221"/>
      <c r="K91" s="221"/>
      <c r="L91" s="221"/>
      <c r="M91" s="221"/>
      <c r="N91" s="221"/>
      <c r="O91" s="225"/>
      <c r="P91" s="120" t="s">
        <v>367</v>
      </c>
      <c r="Q91" s="16" t="s">
        <v>20</v>
      </c>
      <c r="R91" s="50"/>
      <c r="S91" s="121" t="s">
        <v>183</v>
      </c>
      <c r="T91" s="122"/>
      <c r="U91" s="22"/>
      <c r="V91" s="159"/>
      <c r="W91" s="122"/>
      <c r="X91" s="221"/>
      <c r="Y91" s="221"/>
      <c r="Z91" s="221"/>
      <c r="AA91" s="221"/>
      <c r="AB91" s="247"/>
    </row>
    <row r="92" spans="1:28" ht="17.100000000000001" customHeight="1" thickTop="1">
      <c r="A92" s="226" t="s">
        <v>5677</v>
      </c>
      <c r="B92" s="28">
        <v>42693</v>
      </c>
      <c r="C92" s="29" t="s">
        <v>368</v>
      </c>
      <c r="D92" s="13" t="s">
        <v>369</v>
      </c>
      <c r="E92" s="228"/>
      <c r="F92" s="156" t="s">
        <v>370</v>
      </c>
      <c r="G92" s="24"/>
      <c r="H92" s="230"/>
      <c r="I92" s="220">
        <v>230000</v>
      </c>
      <c r="J92" s="220">
        <v>18400</v>
      </c>
      <c r="K92" s="220"/>
      <c r="L92" s="220">
        <v>8400</v>
      </c>
      <c r="M92" s="220">
        <v>9720</v>
      </c>
      <c r="N92" s="220">
        <f>SUM(I92:M92)</f>
        <v>266520</v>
      </c>
      <c r="O92" s="224">
        <v>40000</v>
      </c>
      <c r="P92" s="146" t="s">
        <v>371</v>
      </c>
      <c r="Q92" s="15" t="s">
        <v>19</v>
      </c>
      <c r="R92" s="209"/>
      <c r="S92" s="193"/>
      <c r="T92" s="114" t="s">
        <v>372</v>
      </c>
      <c r="U92" s="21"/>
      <c r="V92" s="160"/>
      <c r="W92" s="116"/>
      <c r="X92" s="220"/>
      <c r="Y92" s="245">
        <f>X92*0.1</f>
        <v>0</v>
      </c>
      <c r="Z92" s="220"/>
      <c r="AA92" s="220">
        <f>SUM(X92:Z92)</f>
        <v>0</v>
      </c>
      <c r="AB92" s="246"/>
    </row>
    <row r="93" spans="1:28" ht="17.100000000000001" customHeight="1" thickBot="1">
      <c r="A93" s="227"/>
      <c r="B93" s="27" t="s">
        <v>45</v>
      </c>
      <c r="C93" s="27">
        <v>33131</v>
      </c>
      <c r="D93" s="14" t="s">
        <v>373</v>
      </c>
      <c r="E93" s="229"/>
      <c r="F93" s="117" t="s">
        <v>374</v>
      </c>
      <c r="G93" s="26">
        <v>31808</v>
      </c>
      <c r="H93" s="231"/>
      <c r="I93" s="221"/>
      <c r="J93" s="221"/>
      <c r="K93" s="221"/>
      <c r="L93" s="221"/>
      <c r="M93" s="221"/>
      <c r="N93" s="221"/>
      <c r="O93" s="225"/>
      <c r="P93" s="120" t="s">
        <v>375</v>
      </c>
      <c r="Q93" s="16" t="s">
        <v>20</v>
      </c>
      <c r="R93" s="50"/>
      <c r="S93" s="121"/>
      <c r="T93" s="122"/>
      <c r="U93" s="22"/>
      <c r="V93" s="159"/>
      <c r="W93" s="122"/>
      <c r="X93" s="221"/>
      <c r="Y93" s="221"/>
      <c r="Z93" s="221"/>
      <c r="AA93" s="221"/>
      <c r="AB93" s="247"/>
    </row>
    <row r="94" spans="1:28" ht="17.100000000000001" customHeight="1" thickTop="1">
      <c r="A94" s="226" t="s">
        <v>5678</v>
      </c>
      <c r="B94" s="28">
        <v>42693</v>
      </c>
      <c r="C94" s="29" t="s">
        <v>368</v>
      </c>
      <c r="D94" s="13" t="s">
        <v>376</v>
      </c>
      <c r="E94" s="228"/>
      <c r="F94" s="156" t="s">
        <v>377</v>
      </c>
      <c r="G94" s="24" t="s">
        <v>378</v>
      </c>
      <c r="H94" s="230"/>
      <c r="I94" s="220">
        <v>605000</v>
      </c>
      <c r="J94" s="220">
        <v>48400</v>
      </c>
      <c r="K94" s="220">
        <v>15000</v>
      </c>
      <c r="L94" s="220">
        <v>10270</v>
      </c>
      <c r="M94" s="220">
        <v>15120</v>
      </c>
      <c r="N94" s="220">
        <f>SUM(I94:M94)</f>
        <v>693790</v>
      </c>
      <c r="O94" s="224">
        <v>200000</v>
      </c>
      <c r="P94" s="146" t="s">
        <v>379</v>
      </c>
      <c r="Q94" s="15" t="s">
        <v>19</v>
      </c>
      <c r="R94" s="209"/>
      <c r="S94" s="193"/>
      <c r="T94" s="114"/>
      <c r="U94" s="21"/>
      <c r="V94" s="160">
        <v>45997</v>
      </c>
      <c r="W94" s="116">
        <v>1279</v>
      </c>
      <c r="X94" s="220">
        <v>225000</v>
      </c>
      <c r="Y94" s="245">
        <f>X94*0.1</f>
        <v>22500</v>
      </c>
      <c r="Z94" s="220">
        <v>10270</v>
      </c>
      <c r="AA94" s="220">
        <f>SUM(X94:Z94)</f>
        <v>257770</v>
      </c>
      <c r="AB94" s="246">
        <v>46000</v>
      </c>
    </row>
    <row r="95" spans="1:28" ht="17.100000000000001" customHeight="1" thickBot="1">
      <c r="A95" s="227"/>
      <c r="B95" s="27" t="s">
        <v>45</v>
      </c>
      <c r="C95" s="27">
        <v>38042</v>
      </c>
      <c r="D95" s="14" t="s">
        <v>302</v>
      </c>
      <c r="E95" s="229"/>
      <c r="F95" s="117" t="s">
        <v>380</v>
      </c>
      <c r="G95" s="26">
        <v>53845</v>
      </c>
      <c r="H95" s="231"/>
      <c r="I95" s="221"/>
      <c r="J95" s="221"/>
      <c r="K95" s="221"/>
      <c r="L95" s="221"/>
      <c r="M95" s="221"/>
      <c r="N95" s="221"/>
      <c r="O95" s="225"/>
      <c r="P95" s="120" t="s">
        <v>381</v>
      </c>
      <c r="Q95" s="16" t="s">
        <v>20</v>
      </c>
      <c r="R95" s="50"/>
      <c r="S95" s="121" t="s">
        <v>382</v>
      </c>
      <c r="T95" s="122"/>
      <c r="U95" s="22"/>
      <c r="V95" s="159" t="s">
        <v>2472</v>
      </c>
      <c r="W95" s="122">
        <v>65164</v>
      </c>
      <c r="X95" s="221"/>
      <c r="Y95" s="221"/>
      <c r="Z95" s="221"/>
      <c r="AA95" s="221"/>
      <c r="AB95" s="247"/>
    </row>
    <row r="96" spans="1:28" ht="17.100000000000001" customHeight="1" thickTop="1">
      <c r="A96" s="226" t="s">
        <v>5679</v>
      </c>
      <c r="B96" s="54">
        <v>42768</v>
      </c>
      <c r="C96" s="55"/>
      <c r="D96" s="56" t="s">
        <v>383</v>
      </c>
      <c r="E96" s="228" t="s">
        <v>164</v>
      </c>
      <c r="F96" s="142" t="s">
        <v>384</v>
      </c>
      <c r="G96" s="57" t="s">
        <v>385</v>
      </c>
      <c r="H96" s="230"/>
      <c r="I96" s="220">
        <v>10600000</v>
      </c>
      <c r="J96" s="220"/>
      <c r="K96" s="220"/>
      <c r="L96" s="220"/>
      <c r="M96" s="220"/>
      <c r="N96" s="220">
        <f>SUM(I96:M97)</f>
        <v>10600000</v>
      </c>
      <c r="O96" s="224"/>
      <c r="P96" s="143" t="s">
        <v>386</v>
      </c>
      <c r="Q96" s="15" t="s">
        <v>19</v>
      </c>
      <c r="R96" s="209"/>
      <c r="S96" s="193"/>
      <c r="T96" s="112" t="s">
        <v>387</v>
      </c>
      <c r="U96" s="21" t="s">
        <v>388</v>
      </c>
      <c r="V96" s="160"/>
      <c r="W96" s="116"/>
      <c r="X96" s="220"/>
      <c r="Y96" s="245">
        <f>X96*0.1</f>
        <v>0</v>
      </c>
      <c r="Z96" s="220"/>
      <c r="AA96" s="220">
        <f>SUM(X96:Z96)</f>
        <v>0</v>
      </c>
      <c r="AB96" s="246"/>
    </row>
    <row r="97" spans="1:28" ht="17.100000000000001" customHeight="1" thickBot="1">
      <c r="A97" s="227"/>
      <c r="B97" s="58" t="s">
        <v>389</v>
      </c>
      <c r="C97" s="58"/>
      <c r="D97" s="58" t="s">
        <v>219</v>
      </c>
      <c r="E97" s="229"/>
      <c r="F97" s="137" t="s">
        <v>390</v>
      </c>
      <c r="G97" s="59"/>
      <c r="H97" s="231"/>
      <c r="I97" s="221"/>
      <c r="J97" s="221"/>
      <c r="K97" s="221"/>
      <c r="L97" s="221"/>
      <c r="M97" s="221"/>
      <c r="N97" s="221"/>
      <c r="O97" s="225"/>
      <c r="P97" s="58" t="s">
        <v>391</v>
      </c>
      <c r="Q97" s="16" t="s">
        <v>20</v>
      </c>
      <c r="R97" s="50"/>
      <c r="S97" s="121"/>
      <c r="T97" s="120"/>
      <c r="U97" s="53"/>
      <c r="V97" s="159"/>
      <c r="W97" s="27"/>
      <c r="X97" s="221"/>
      <c r="Y97" s="221"/>
      <c r="Z97" s="221"/>
      <c r="AA97" s="221"/>
      <c r="AB97" s="247"/>
    </row>
    <row r="98" spans="1:28" ht="17.100000000000001" customHeight="1" thickTop="1">
      <c r="A98" s="226" t="s">
        <v>5680</v>
      </c>
      <c r="B98" s="28">
        <v>42775</v>
      </c>
      <c r="C98" s="29" t="s">
        <v>392</v>
      </c>
      <c r="D98" s="13" t="s">
        <v>393</v>
      </c>
      <c r="E98" s="228"/>
      <c r="F98" s="156" t="s">
        <v>394</v>
      </c>
      <c r="G98" s="24" t="s">
        <v>378</v>
      </c>
      <c r="H98" s="230"/>
      <c r="I98" s="220">
        <v>515000</v>
      </c>
      <c r="J98" s="220">
        <v>41200</v>
      </c>
      <c r="K98" s="220">
        <v>5500</v>
      </c>
      <c r="L98" s="220">
        <v>15590</v>
      </c>
      <c r="M98" s="220">
        <v>12960</v>
      </c>
      <c r="N98" s="220">
        <f>SUM(I98:M98)</f>
        <v>590250</v>
      </c>
      <c r="O98" s="224">
        <v>300000</v>
      </c>
      <c r="P98" s="146" t="s">
        <v>395</v>
      </c>
      <c r="Q98" s="15" t="s">
        <v>19</v>
      </c>
      <c r="R98" s="209"/>
      <c r="S98" s="193"/>
      <c r="T98" s="114"/>
      <c r="U98" s="21"/>
      <c r="V98" s="160"/>
      <c r="W98" s="116"/>
      <c r="X98" s="220"/>
      <c r="Y98" s="245">
        <f>X98*0.1</f>
        <v>0</v>
      </c>
      <c r="Z98" s="220"/>
      <c r="AA98" s="220">
        <f>SUM(X98:Z98)</f>
        <v>0</v>
      </c>
      <c r="AB98" s="246"/>
    </row>
    <row r="99" spans="1:28" ht="17.100000000000001" customHeight="1" thickBot="1">
      <c r="A99" s="227"/>
      <c r="B99" s="27" t="s">
        <v>146</v>
      </c>
      <c r="C99" s="27">
        <v>75182</v>
      </c>
      <c r="D99" s="14" t="s">
        <v>65</v>
      </c>
      <c r="E99" s="229"/>
      <c r="F99" s="117" t="s">
        <v>396</v>
      </c>
      <c r="G99" s="26">
        <v>52324</v>
      </c>
      <c r="H99" s="231"/>
      <c r="I99" s="221"/>
      <c r="J99" s="221"/>
      <c r="K99" s="221"/>
      <c r="L99" s="221"/>
      <c r="M99" s="221"/>
      <c r="N99" s="221"/>
      <c r="O99" s="225"/>
      <c r="P99" s="120" t="s">
        <v>397</v>
      </c>
      <c r="Q99" s="16" t="s">
        <v>20</v>
      </c>
      <c r="R99" s="50"/>
      <c r="S99" s="121" t="s">
        <v>398</v>
      </c>
      <c r="T99" s="122"/>
      <c r="U99" s="22" t="s">
        <v>50</v>
      </c>
      <c r="V99" s="159"/>
      <c r="W99" s="122"/>
      <c r="X99" s="221"/>
      <c r="Y99" s="221"/>
      <c r="Z99" s="221"/>
      <c r="AA99" s="221"/>
      <c r="AB99" s="247"/>
    </row>
    <row r="100" spans="1:28" ht="17.100000000000001" customHeight="1" thickTop="1">
      <c r="A100" s="226" t="s">
        <v>5681</v>
      </c>
      <c r="B100" s="28">
        <v>42777</v>
      </c>
      <c r="C100" s="29" t="s">
        <v>318</v>
      </c>
      <c r="D100" s="13" t="s">
        <v>399</v>
      </c>
      <c r="E100" s="228"/>
      <c r="F100" s="156" t="s">
        <v>394</v>
      </c>
      <c r="G100" s="24" t="s">
        <v>400</v>
      </c>
      <c r="H100" s="230"/>
      <c r="I100" s="220">
        <v>365000</v>
      </c>
      <c r="J100" s="220">
        <v>29200</v>
      </c>
      <c r="K100" s="220">
        <v>5500</v>
      </c>
      <c r="L100" s="220">
        <v>15590</v>
      </c>
      <c r="M100" s="220">
        <v>11880</v>
      </c>
      <c r="N100" s="220">
        <f>SUM(I100:M100)</f>
        <v>427170</v>
      </c>
      <c r="O100" s="224">
        <v>400000</v>
      </c>
      <c r="P100" s="146" t="s">
        <v>401</v>
      </c>
      <c r="Q100" s="15" t="s">
        <v>19</v>
      </c>
      <c r="R100" s="209"/>
      <c r="S100" s="193"/>
      <c r="T100" s="114"/>
      <c r="U100" s="21"/>
      <c r="V100" s="160"/>
      <c r="W100" s="116"/>
      <c r="X100" s="220"/>
      <c r="Y100" s="245">
        <f>X100*0.1</f>
        <v>0</v>
      </c>
      <c r="Z100" s="220"/>
      <c r="AA100" s="220">
        <f>SUM(X100:Z100)</f>
        <v>0</v>
      </c>
      <c r="AB100" s="246"/>
    </row>
    <row r="101" spans="1:28" ht="17.100000000000001" customHeight="1" thickBot="1">
      <c r="A101" s="227"/>
      <c r="B101" s="27" t="s">
        <v>45</v>
      </c>
      <c r="C101" s="27">
        <v>84076</v>
      </c>
      <c r="D101" s="14" t="s">
        <v>65</v>
      </c>
      <c r="E101" s="229"/>
      <c r="F101" s="117" t="s">
        <v>402</v>
      </c>
      <c r="G101" s="26">
        <v>60616</v>
      </c>
      <c r="H101" s="231"/>
      <c r="I101" s="221"/>
      <c r="J101" s="221"/>
      <c r="K101" s="221"/>
      <c r="L101" s="221"/>
      <c r="M101" s="221"/>
      <c r="N101" s="221"/>
      <c r="O101" s="225"/>
      <c r="P101" s="120" t="s">
        <v>403</v>
      </c>
      <c r="Q101" s="16" t="s">
        <v>20</v>
      </c>
      <c r="R101" s="50"/>
      <c r="S101" s="121" t="s">
        <v>404</v>
      </c>
      <c r="T101" s="122"/>
      <c r="U101" s="22" t="s">
        <v>50</v>
      </c>
      <c r="V101" s="159"/>
      <c r="W101" s="122"/>
      <c r="X101" s="221"/>
      <c r="Y101" s="221"/>
      <c r="Z101" s="221"/>
      <c r="AA101" s="221"/>
      <c r="AB101" s="247"/>
    </row>
    <row r="102" spans="1:28" ht="17.100000000000001" customHeight="1" thickTop="1">
      <c r="A102" s="226" t="s">
        <v>5682</v>
      </c>
      <c r="B102" s="28">
        <v>42796</v>
      </c>
      <c r="C102" s="29" t="s">
        <v>405</v>
      </c>
      <c r="D102" s="13" t="s">
        <v>406</v>
      </c>
      <c r="E102" s="228"/>
      <c r="F102" s="156" t="s">
        <v>407</v>
      </c>
      <c r="G102" s="24"/>
      <c r="H102" s="230"/>
      <c r="I102" s="220">
        <v>1206000</v>
      </c>
      <c r="J102" s="220">
        <v>96480</v>
      </c>
      <c r="K102" s="220"/>
      <c r="L102" s="220">
        <v>15600</v>
      </c>
      <c r="M102" s="220">
        <v>14040</v>
      </c>
      <c r="N102" s="220">
        <f>SUM(I102:M102)</f>
        <v>1332120</v>
      </c>
      <c r="O102" s="224">
        <v>600000</v>
      </c>
      <c r="P102" s="146" t="s">
        <v>408</v>
      </c>
      <c r="Q102" s="15" t="s">
        <v>19</v>
      </c>
      <c r="R102" s="209"/>
      <c r="S102" s="193"/>
      <c r="T102" s="114"/>
      <c r="U102" s="21"/>
      <c r="V102" s="160"/>
      <c r="W102" s="116"/>
      <c r="X102" s="220"/>
      <c r="Y102" s="245">
        <f>X102*0.1</f>
        <v>0</v>
      </c>
      <c r="Z102" s="220"/>
      <c r="AA102" s="220">
        <f>SUM(X102:Z102)</f>
        <v>0</v>
      </c>
      <c r="AB102" s="246"/>
    </row>
    <row r="103" spans="1:28" ht="17.100000000000001" customHeight="1" thickBot="1">
      <c r="A103" s="227"/>
      <c r="B103" s="27" t="s">
        <v>239</v>
      </c>
      <c r="C103" s="27">
        <v>80110</v>
      </c>
      <c r="D103" s="14" t="s">
        <v>190</v>
      </c>
      <c r="E103" s="229"/>
      <c r="F103" s="117" t="s">
        <v>409</v>
      </c>
      <c r="G103" s="26">
        <v>46500</v>
      </c>
      <c r="H103" s="231"/>
      <c r="I103" s="221"/>
      <c r="J103" s="221"/>
      <c r="K103" s="221"/>
      <c r="L103" s="221"/>
      <c r="M103" s="221"/>
      <c r="N103" s="221"/>
      <c r="O103" s="225"/>
      <c r="P103" s="120" t="s">
        <v>410</v>
      </c>
      <c r="Q103" s="16" t="s">
        <v>20</v>
      </c>
      <c r="R103" s="50"/>
      <c r="S103" s="121" t="s">
        <v>183</v>
      </c>
      <c r="T103" s="122"/>
      <c r="U103" s="22"/>
      <c r="V103" s="159"/>
      <c r="W103" s="122"/>
      <c r="X103" s="221"/>
      <c r="Y103" s="221"/>
      <c r="Z103" s="221"/>
      <c r="AA103" s="221"/>
      <c r="AB103" s="247"/>
    </row>
    <row r="104" spans="1:28" ht="17.100000000000001" customHeight="1" thickTop="1">
      <c r="A104" s="226" t="s">
        <v>5683</v>
      </c>
      <c r="B104" s="28">
        <v>42804</v>
      </c>
      <c r="C104" s="29" t="s">
        <v>411</v>
      </c>
      <c r="D104" s="13" t="s">
        <v>412</v>
      </c>
      <c r="E104" s="228"/>
      <c r="F104" s="156" t="s">
        <v>413</v>
      </c>
      <c r="G104" s="24"/>
      <c r="H104" s="230"/>
      <c r="I104" s="220">
        <v>1245000</v>
      </c>
      <c r="J104" s="220">
        <v>99600</v>
      </c>
      <c r="K104" s="220"/>
      <c r="L104" s="220">
        <v>18990</v>
      </c>
      <c r="M104" s="220">
        <v>12960</v>
      </c>
      <c r="N104" s="220">
        <f>SUM(I104:M104)</f>
        <v>1376550</v>
      </c>
      <c r="O104" s="224">
        <v>400000</v>
      </c>
      <c r="P104" s="146" t="s">
        <v>414</v>
      </c>
      <c r="Q104" s="15" t="s">
        <v>19</v>
      </c>
      <c r="R104" s="209"/>
      <c r="S104" s="193"/>
      <c r="T104" s="114"/>
      <c r="U104" s="21"/>
      <c r="V104" s="160"/>
      <c r="W104" s="116"/>
      <c r="X104" s="220"/>
      <c r="Y104" s="245">
        <f>X104*0.1</f>
        <v>0</v>
      </c>
      <c r="Z104" s="220"/>
      <c r="AA104" s="220">
        <f>SUM(X104:Z104)</f>
        <v>0</v>
      </c>
      <c r="AB104" s="246"/>
    </row>
    <row r="105" spans="1:28" ht="17.100000000000001" customHeight="1" thickBot="1">
      <c r="A105" s="227"/>
      <c r="B105" s="27" t="s">
        <v>203</v>
      </c>
      <c r="C105" s="27">
        <v>58328</v>
      </c>
      <c r="D105" s="14" t="s">
        <v>65</v>
      </c>
      <c r="E105" s="229"/>
      <c r="F105" s="117" t="s">
        <v>415</v>
      </c>
      <c r="G105" s="26">
        <v>49734</v>
      </c>
      <c r="H105" s="231"/>
      <c r="I105" s="221"/>
      <c r="J105" s="221"/>
      <c r="K105" s="221"/>
      <c r="L105" s="221"/>
      <c r="M105" s="221"/>
      <c r="N105" s="221"/>
      <c r="O105" s="225"/>
      <c r="P105" s="120" t="s">
        <v>416</v>
      </c>
      <c r="Q105" s="16" t="s">
        <v>20</v>
      </c>
      <c r="R105" s="50"/>
      <c r="S105" s="121" t="s">
        <v>417</v>
      </c>
      <c r="T105" s="122"/>
      <c r="U105" s="22"/>
      <c r="V105" s="159"/>
      <c r="W105" s="122"/>
      <c r="X105" s="221"/>
      <c r="Y105" s="221"/>
      <c r="Z105" s="221"/>
      <c r="AA105" s="221"/>
      <c r="AB105" s="247"/>
    </row>
    <row r="106" spans="1:28" ht="17.100000000000001" customHeight="1" thickTop="1">
      <c r="A106" s="226" t="s">
        <v>5684</v>
      </c>
      <c r="B106" s="28">
        <v>42817</v>
      </c>
      <c r="C106" s="51" t="s">
        <v>418</v>
      </c>
      <c r="D106" s="13" t="s">
        <v>208</v>
      </c>
      <c r="E106" s="228"/>
      <c r="F106" s="109" t="s">
        <v>419</v>
      </c>
      <c r="G106" s="24"/>
      <c r="H106" s="230"/>
      <c r="I106" s="220">
        <v>353000</v>
      </c>
      <c r="J106" s="220">
        <v>28240</v>
      </c>
      <c r="K106" s="220"/>
      <c r="L106" s="220">
        <v>16040</v>
      </c>
      <c r="M106" s="220">
        <v>15120</v>
      </c>
      <c r="N106" s="220">
        <f>SUM(I106:M106)</f>
        <v>412400</v>
      </c>
      <c r="O106" s="224">
        <v>100000</v>
      </c>
      <c r="P106" s="146" t="s">
        <v>420</v>
      </c>
      <c r="Q106" s="15" t="s">
        <v>19</v>
      </c>
      <c r="R106" s="209"/>
      <c r="S106" s="193"/>
      <c r="T106" s="114"/>
      <c r="U106" s="21"/>
      <c r="V106" s="160"/>
      <c r="W106" s="116"/>
      <c r="X106" s="220"/>
      <c r="Y106" s="245">
        <f>X106*0.1</f>
        <v>0</v>
      </c>
      <c r="Z106" s="220"/>
      <c r="AA106" s="220">
        <f>SUM(X106:Z106)</f>
        <v>0</v>
      </c>
      <c r="AB106" s="246"/>
    </row>
    <row r="107" spans="1:28" ht="17.100000000000001" customHeight="1" thickBot="1">
      <c r="A107" s="227"/>
      <c r="B107" s="27" t="s">
        <v>239</v>
      </c>
      <c r="C107" s="27">
        <v>80094</v>
      </c>
      <c r="D107" s="14" t="s">
        <v>421</v>
      </c>
      <c r="E107" s="229"/>
      <c r="F107" s="117" t="s">
        <v>422</v>
      </c>
      <c r="G107" s="26">
        <v>40859</v>
      </c>
      <c r="H107" s="231"/>
      <c r="I107" s="221"/>
      <c r="J107" s="221"/>
      <c r="K107" s="221"/>
      <c r="L107" s="221"/>
      <c r="M107" s="221"/>
      <c r="N107" s="221"/>
      <c r="O107" s="225"/>
      <c r="P107" s="120" t="s">
        <v>423</v>
      </c>
      <c r="Q107" s="16" t="s">
        <v>20</v>
      </c>
      <c r="R107" s="50"/>
      <c r="S107" s="121" t="s">
        <v>283</v>
      </c>
      <c r="T107" s="122"/>
      <c r="U107" s="22"/>
      <c r="V107" s="159"/>
      <c r="W107" s="122"/>
      <c r="X107" s="221"/>
      <c r="Y107" s="221"/>
      <c r="Z107" s="221"/>
      <c r="AA107" s="221"/>
      <c r="AB107" s="247"/>
    </row>
    <row r="108" spans="1:28" ht="17.100000000000001" customHeight="1" thickTop="1">
      <c r="A108" s="226" t="s">
        <v>5685</v>
      </c>
      <c r="B108" s="28">
        <v>42865</v>
      </c>
      <c r="C108" s="29" t="s">
        <v>424</v>
      </c>
      <c r="D108" s="13" t="s">
        <v>425</v>
      </c>
      <c r="E108" s="228"/>
      <c r="F108" s="109" t="s">
        <v>426</v>
      </c>
      <c r="G108" s="24" t="s">
        <v>427</v>
      </c>
      <c r="H108" s="230">
        <v>3</v>
      </c>
      <c r="I108" s="220">
        <v>516000</v>
      </c>
      <c r="J108" s="220">
        <v>41280</v>
      </c>
      <c r="K108" s="220">
        <v>28000</v>
      </c>
      <c r="L108" s="220">
        <v>4450</v>
      </c>
      <c r="M108" s="220">
        <v>10800</v>
      </c>
      <c r="N108" s="220">
        <f>SUM(I108:M108)</f>
        <v>600530</v>
      </c>
      <c r="O108" s="224">
        <v>300000</v>
      </c>
      <c r="P108" s="146" t="s">
        <v>428</v>
      </c>
      <c r="Q108" s="15" t="s">
        <v>19</v>
      </c>
      <c r="R108" s="209"/>
      <c r="S108" s="193"/>
      <c r="T108" s="114"/>
      <c r="U108" s="21"/>
      <c r="V108" s="160"/>
      <c r="W108" s="116"/>
      <c r="X108" s="220"/>
      <c r="Y108" s="245">
        <f>X108*0.1</f>
        <v>0</v>
      </c>
      <c r="Z108" s="220"/>
      <c r="AA108" s="220">
        <f>SUM(X108:Z108)</f>
        <v>0</v>
      </c>
      <c r="AB108" s="246"/>
    </row>
    <row r="109" spans="1:28" ht="17.100000000000001" customHeight="1" thickBot="1">
      <c r="A109" s="227"/>
      <c r="B109" s="27" t="s">
        <v>429</v>
      </c>
      <c r="C109" s="27">
        <v>7257</v>
      </c>
      <c r="D109" s="14" t="s">
        <v>110</v>
      </c>
      <c r="E109" s="229"/>
      <c r="F109" s="117" t="s">
        <v>430</v>
      </c>
      <c r="G109" s="26">
        <v>37973</v>
      </c>
      <c r="H109" s="231"/>
      <c r="I109" s="221"/>
      <c r="J109" s="221"/>
      <c r="K109" s="221"/>
      <c r="L109" s="221"/>
      <c r="M109" s="221"/>
      <c r="N109" s="221"/>
      <c r="O109" s="225"/>
      <c r="P109" s="120" t="s">
        <v>431</v>
      </c>
      <c r="Q109" s="16" t="s">
        <v>20</v>
      </c>
      <c r="R109" s="60"/>
      <c r="S109" s="121" t="s">
        <v>432</v>
      </c>
      <c r="T109" s="122"/>
      <c r="U109" s="22"/>
      <c r="V109" s="159"/>
      <c r="W109" s="122"/>
      <c r="X109" s="221"/>
      <c r="Y109" s="221"/>
      <c r="Z109" s="221"/>
      <c r="AA109" s="221"/>
      <c r="AB109" s="247"/>
    </row>
    <row r="110" spans="1:28" ht="17.100000000000001" customHeight="1" thickTop="1">
      <c r="A110" s="226" t="s">
        <v>5686</v>
      </c>
      <c r="B110" s="28">
        <v>42875</v>
      </c>
      <c r="C110" s="29" t="s">
        <v>433</v>
      </c>
      <c r="D110" s="13" t="s">
        <v>434</v>
      </c>
      <c r="E110" s="228"/>
      <c r="F110" s="156" t="s">
        <v>179</v>
      </c>
      <c r="G110" s="24" t="s">
        <v>435</v>
      </c>
      <c r="H110" s="230">
        <v>4</v>
      </c>
      <c r="I110" s="220">
        <v>505000</v>
      </c>
      <c r="J110" s="220">
        <v>40400</v>
      </c>
      <c r="K110" s="220">
        <v>32900</v>
      </c>
      <c r="L110" s="220">
        <v>16190</v>
      </c>
      <c r="M110" s="220">
        <v>13500</v>
      </c>
      <c r="N110" s="220">
        <f>SUM(I110:M110)</f>
        <v>607990</v>
      </c>
      <c r="O110" s="224">
        <v>200000</v>
      </c>
      <c r="P110" s="146" t="s">
        <v>436</v>
      </c>
      <c r="Q110" s="15" t="s">
        <v>19</v>
      </c>
      <c r="R110" s="209"/>
      <c r="S110" s="193"/>
      <c r="T110" s="114"/>
      <c r="U110" s="21"/>
      <c r="V110" s="160"/>
      <c r="W110" s="116"/>
      <c r="X110" s="220"/>
      <c r="Y110" s="245">
        <f>X110*0.1</f>
        <v>0</v>
      </c>
      <c r="Z110" s="220"/>
      <c r="AA110" s="220">
        <f>SUM(X110:Z110)</f>
        <v>0</v>
      </c>
      <c r="AB110" s="246"/>
    </row>
    <row r="111" spans="1:28" ht="17.100000000000001" customHeight="1" thickBot="1">
      <c r="A111" s="227"/>
      <c r="B111" s="27" t="s">
        <v>45</v>
      </c>
      <c r="C111" s="27">
        <v>80034</v>
      </c>
      <c r="D111" s="14" t="s">
        <v>437</v>
      </c>
      <c r="E111" s="229"/>
      <c r="F111" s="163" t="s">
        <v>438</v>
      </c>
      <c r="G111" s="26">
        <v>57640</v>
      </c>
      <c r="H111" s="231"/>
      <c r="I111" s="221"/>
      <c r="J111" s="221"/>
      <c r="K111" s="221"/>
      <c r="L111" s="221"/>
      <c r="M111" s="221"/>
      <c r="N111" s="221"/>
      <c r="O111" s="225"/>
      <c r="P111" s="120" t="s">
        <v>439</v>
      </c>
      <c r="Q111" s="16" t="s">
        <v>20</v>
      </c>
      <c r="R111" s="60"/>
      <c r="S111" s="121" t="s">
        <v>440</v>
      </c>
      <c r="T111" s="122"/>
      <c r="U111" s="22"/>
      <c r="V111" s="159"/>
      <c r="W111" s="122"/>
      <c r="X111" s="221"/>
      <c r="Y111" s="221"/>
      <c r="Z111" s="221"/>
      <c r="AA111" s="221"/>
      <c r="AB111" s="247"/>
    </row>
    <row r="112" spans="1:28" ht="17.100000000000001" customHeight="1" thickTop="1">
      <c r="A112" s="226" t="s">
        <v>5687</v>
      </c>
      <c r="B112" s="28">
        <v>42889</v>
      </c>
      <c r="C112" s="29" t="s">
        <v>441</v>
      </c>
      <c r="D112" s="13" t="s">
        <v>442</v>
      </c>
      <c r="E112" s="228"/>
      <c r="F112" s="156" t="s">
        <v>443</v>
      </c>
      <c r="G112" s="24"/>
      <c r="H112" s="230">
        <v>4</v>
      </c>
      <c r="I112" s="220">
        <v>2680000</v>
      </c>
      <c r="J112" s="220">
        <v>214400</v>
      </c>
      <c r="K112" s="220"/>
      <c r="L112" s="220">
        <v>24810</v>
      </c>
      <c r="M112" s="220">
        <v>10800</v>
      </c>
      <c r="N112" s="220">
        <f>SUM(I112:M112)</f>
        <v>2930010</v>
      </c>
      <c r="O112" s="224">
        <v>1500000</v>
      </c>
      <c r="P112" s="146" t="s">
        <v>444</v>
      </c>
      <c r="Q112" s="15" t="s">
        <v>19</v>
      </c>
      <c r="R112" s="209"/>
      <c r="S112" s="193"/>
      <c r="T112" s="114"/>
      <c r="U112" s="21"/>
      <c r="V112" s="160"/>
      <c r="W112" s="116"/>
      <c r="X112" s="220"/>
      <c r="Y112" s="245">
        <f>X112*0.1</f>
        <v>0</v>
      </c>
      <c r="Z112" s="220"/>
      <c r="AA112" s="220">
        <f>SUM(X112:Z112)</f>
        <v>0</v>
      </c>
      <c r="AB112" s="246"/>
    </row>
    <row r="113" spans="1:28" ht="17.100000000000001" customHeight="1" thickBot="1">
      <c r="A113" s="227"/>
      <c r="B113" s="27" t="s">
        <v>45</v>
      </c>
      <c r="C113" s="27">
        <v>80392</v>
      </c>
      <c r="D113" s="14" t="s">
        <v>445</v>
      </c>
      <c r="E113" s="229"/>
      <c r="F113" s="117" t="s">
        <v>446</v>
      </c>
      <c r="G113" s="26">
        <v>53004</v>
      </c>
      <c r="H113" s="231"/>
      <c r="I113" s="221"/>
      <c r="J113" s="221"/>
      <c r="K113" s="221"/>
      <c r="L113" s="221"/>
      <c r="M113" s="221"/>
      <c r="N113" s="221"/>
      <c r="O113" s="225"/>
      <c r="P113" s="120" t="s">
        <v>447</v>
      </c>
      <c r="Q113" s="16" t="s">
        <v>20</v>
      </c>
      <c r="R113" s="60"/>
      <c r="S113" s="121" t="s">
        <v>448</v>
      </c>
      <c r="T113" s="122"/>
      <c r="U113" s="22"/>
      <c r="V113" s="159"/>
      <c r="W113" s="122"/>
      <c r="X113" s="221"/>
      <c r="Y113" s="221"/>
      <c r="Z113" s="221"/>
      <c r="AA113" s="221"/>
      <c r="AB113" s="247"/>
    </row>
    <row r="114" spans="1:28" ht="17.100000000000001" customHeight="1" thickTop="1">
      <c r="A114" s="226" t="s">
        <v>5688</v>
      </c>
      <c r="B114" s="28">
        <v>42901</v>
      </c>
      <c r="C114" s="29" t="s">
        <v>449</v>
      </c>
      <c r="D114" s="13" t="s">
        <v>450</v>
      </c>
      <c r="E114" s="228"/>
      <c r="F114" s="156" t="s">
        <v>451</v>
      </c>
      <c r="G114" s="24"/>
      <c r="H114" s="230">
        <v>4</v>
      </c>
      <c r="I114" s="220">
        <v>400000</v>
      </c>
      <c r="J114" s="220">
        <v>32000</v>
      </c>
      <c r="K114" s="220"/>
      <c r="L114" s="220">
        <v>15210</v>
      </c>
      <c r="M114" s="220">
        <v>12960</v>
      </c>
      <c r="N114" s="220">
        <f>SUM(I114:M114)</f>
        <v>460170</v>
      </c>
      <c r="O114" s="224">
        <v>150000</v>
      </c>
      <c r="P114" s="146" t="s">
        <v>452</v>
      </c>
      <c r="Q114" s="15" t="s">
        <v>19</v>
      </c>
      <c r="R114" s="209"/>
      <c r="S114" s="193"/>
      <c r="T114" s="114"/>
      <c r="U114" s="21"/>
      <c r="V114" s="160"/>
      <c r="W114" s="116"/>
      <c r="X114" s="220"/>
      <c r="Y114" s="245">
        <f>X114*0.1</f>
        <v>0</v>
      </c>
      <c r="Z114" s="220"/>
      <c r="AA114" s="220">
        <f>SUM(X114:Z114)</f>
        <v>0</v>
      </c>
      <c r="AB114" s="246"/>
    </row>
    <row r="115" spans="1:28" ht="17.100000000000001" customHeight="1" thickBot="1">
      <c r="A115" s="227"/>
      <c r="B115" s="27" t="s">
        <v>146</v>
      </c>
      <c r="C115" s="27">
        <v>70054</v>
      </c>
      <c r="D115" s="14" t="s">
        <v>219</v>
      </c>
      <c r="E115" s="229"/>
      <c r="F115" s="117" t="s">
        <v>453</v>
      </c>
      <c r="G115" s="26">
        <v>51510</v>
      </c>
      <c r="H115" s="231"/>
      <c r="I115" s="221"/>
      <c r="J115" s="221"/>
      <c r="K115" s="221"/>
      <c r="L115" s="221"/>
      <c r="M115" s="221"/>
      <c r="N115" s="221"/>
      <c r="O115" s="225"/>
      <c r="P115" s="120" t="s">
        <v>454</v>
      </c>
      <c r="Q115" s="16" t="s">
        <v>20</v>
      </c>
      <c r="R115" s="60"/>
      <c r="S115" s="121" t="s">
        <v>455</v>
      </c>
      <c r="T115" s="122"/>
      <c r="U115" s="22"/>
      <c r="V115" s="159"/>
      <c r="W115" s="122"/>
      <c r="X115" s="221"/>
      <c r="Y115" s="221"/>
      <c r="Z115" s="221"/>
      <c r="AA115" s="221"/>
      <c r="AB115" s="247"/>
    </row>
    <row r="116" spans="1:28" ht="17.100000000000001" customHeight="1" thickTop="1">
      <c r="A116" s="226" t="s">
        <v>5689</v>
      </c>
      <c r="B116" s="28">
        <v>42927</v>
      </c>
      <c r="C116" s="29" t="s">
        <v>456</v>
      </c>
      <c r="D116" s="13" t="s">
        <v>457</v>
      </c>
      <c r="E116" s="228"/>
      <c r="F116" s="156" t="s">
        <v>458</v>
      </c>
      <c r="G116" s="24" t="s">
        <v>427</v>
      </c>
      <c r="H116" s="230">
        <v>3.5</v>
      </c>
      <c r="I116" s="220">
        <v>875000</v>
      </c>
      <c r="J116" s="220">
        <v>70000</v>
      </c>
      <c r="K116" s="220">
        <v>22600</v>
      </c>
      <c r="L116" s="220">
        <v>4790</v>
      </c>
      <c r="M116" s="220">
        <v>12960</v>
      </c>
      <c r="N116" s="220">
        <f>SUM(I116:M116)</f>
        <v>985350</v>
      </c>
      <c r="O116" s="224">
        <v>600000</v>
      </c>
      <c r="P116" s="146" t="s">
        <v>459</v>
      </c>
      <c r="Q116" s="15" t="s">
        <v>19</v>
      </c>
      <c r="R116" s="209"/>
      <c r="S116" s="193"/>
      <c r="T116" s="114"/>
      <c r="U116" s="21"/>
      <c r="V116" s="160"/>
      <c r="W116" s="116"/>
      <c r="X116" s="220"/>
      <c r="Y116" s="245">
        <f>X116*0.1</f>
        <v>0</v>
      </c>
      <c r="Z116" s="220"/>
      <c r="AA116" s="220">
        <f>SUM(X116:Z116)</f>
        <v>0</v>
      </c>
      <c r="AB116" s="246"/>
    </row>
    <row r="117" spans="1:28" ht="17.100000000000001" customHeight="1" thickBot="1">
      <c r="A117" s="227"/>
      <c r="B117" s="27" t="s">
        <v>130</v>
      </c>
      <c r="C117" s="27">
        <v>30225</v>
      </c>
      <c r="D117" s="14" t="s">
        <v>460</v>
      </c>
      <c r="E117" s="229"/>
      <c r="F117" s="117" t="s">
        <v>461</v>
      </c>
      <c r="G117" s="26">
        <v>58625</v>
      </c>
      <c r="H117" s="231"/>
      <c r="I117" s="221"/>
      <c r="J117" s="221"/>
      <c r="K117" s="221"/>
      <c r="L117" s="221"/>
      <c r="M117" s="221"/>
      <c r="N117" s="221"/>
      <c r="O117" s="225"/>
      <c r="P117" s="120" t="s">
        <v>462</v>
      </c>
      <c r="Q117" s="16" t="s">
        <v>20</v>
      </c>
      <c r="R117" s="60"/>
      <c r="S117" s="121" t="s">
        <v>463</v>
      </c>
      <c r="T117" s="122"/>
      <c r="U117" s="22"/>
      <c r="V117" s="159"/>
      <c r="W117" s="122"/>
      <c r="X117" s="221"/>
      <c r="Y117" s="221"/>
      <c r="Z117" s="221"/>
      <c r="AA117" s="221"/>
      <c r="AB117" s="247"/>
    </row>
    <row r="118" spans="1:28" ht="17.100000000000001" customHeight="1" thickTop="1">
      <c r="A118" s="226" t="s">
        <v>5690</v>
      </c>
      <c r="B118" s="28">
        <v>42991</v>
      </c>
      <c r="C118" s="29" t="s">
        <v>464</v>
      </c>
      <c r="D118" s="13" t="s">
        <v>465</v>
      </c>
      <c r="E118" s="228"/>
      <c r="F118" s="156" t="s">
        <v>466</v>
      </c>
      <c r="G118" s="24"/>
      <c r="H118" s="230">
        <v>3</v>
      </c>
      <c r="I118" s="220">
        <v>615000</v>
      </c>
      <c r="J118" s="220">
        <v>49200</v>
      </c>
      <c r="K118" s="220"/>
      <c r="L118" s="220"/>
      <c r="M118" s="220">
        <v>12960</v>
      </c>
      <c r="N118" s="220">
        <f>SUM(I118:M118)</f>
        <v>677160</v>
      </c>
      <c r="O118" s="224">
        <v>350000</v>
      </c>
      <c r="P118" s="146" t="s">
        <v>467</v>
      </c>
      <c r="Q118" s="15" t="s">
        <v>19</v>
      </c>
      <c r="R118" s="205"/>
      <c r="S118" s="189"/>
      <c r="T118" s="114"/>
      <c r="U118" s="21"/>
      <c r="V118" s="160"/>
      <c r="W118" s="116"/>
      <c r="X118" s="220"/>
      <c r="Y118" s="245">
        <f>X118*0.1</f>
        <v>0</v>
      </c>
      <c r="Z118" s="220"/>
      <c r="AA118" s="220">
        <f>SUM(X118:Z118)</f>
        <v>0</v>
      </c>
      <c r="AB118" s="246"/>
    </row>
    <row r="119" spans="1:28" ht="17.100000000000001" customHeight="1" thickBot="1">
      <c r="A119" s="227"/>
      <c r="B119" s="27" t="s">
        <v>255</v>
      </c>
      <c r="C119" s="27">
        <v>6067</v>
      </c>
      <c r="D119" s="14" t="s">
        <v>204</v>
      </c>
      <c r="E119" s="229"/>
      <c r="F119" s="117" t="s">
        <v>468</v>
      </c>
      <c r="G119" s="26">
        <v>50187</v>
      </c>
      <c r="H119" s="231"/>
      <c r="I119" s="221"/>
      <c r="J119" s="221"/>
      <c r="K119" s="221"/>
      <c r="L119" s="221"/>
      <c r="M119" s="221"/>
      <c r="N119" s="221"/>
      <c r="O119" s="225"/>
      <c r="P119" s="120" t="s">
        <v>469</v>
      </c>
      <c r="Q119" s="16" t="s">
        <v>20</v>
      </c>
      <c r="R119" s="17" t="s">
        <v>470</v>
      </c>
      <c r="S119" s="121"/>
      <c r="T119" s="122"/>
      <c r="U119" s="22"/>
      <c r="V119" s="159"/>
      <c r="W119" s="122"/>
      <c r="X119" s="221"/>
      <c r="Y119" s="221"/>
      <c r="Z119" s="221"/>
      <c r="AA119" s="221"/>
      <c r="AB119" s="247"/>
    </row>
    <row r="120" spans="1:28" ht="17.100000000000001" customHeight="1" thickTop="1">
      <c r="A120" s="226" t="s">
        <v>5691</v>
      </c>
      <c r="B120" s="28">
        <v>43007</v>
      </c>
      <c r="C120" s="29" t="s">
        <v>471</v>
      </c>
      <c r="D120" s="13" t="s">
        <v>472</v>
      </c>
      <c r="E120" s="228"/>
      <c r="F120" s="156" t="s">
        <v>473</v>
      </c>
      <c r="G120" s="24"/>
      <c r="H120" s="230">
        <v>4</v>
      </c>
      <c r="I120" s="220">
        <v>405000</v>
      </c>
      <c r="J120" s="220">
        <v>32400</v>
      </c>
      <c r="K120" s="220"/>
      <c r="L120" s="220">
        <v>16090</v>
      </c>
      <c r="M120" s="220">
        <v>12960</v>
      </c>
      <c r="N120" s="220">
        <f>SUM(I120:M120)</f>
        <v>466450</v>
      </c>
      <c r="O120" s="224">
        <v>150000</v>
      </c>
      <c r="P120" s="146" t="s">
        <v>474</v>
      </c>
      <c r="Q120" s="15" t="s">
        <v>19</v>
      </c>
      <c r="R120" s="205"/>
      <c r="S120" s="189"/>
      <c r="T120" s="114"/>
      <c r="U120" s="21"/>
      <c r="V120" s="160"/>
      <c r="W120" s="116"/>
      <c r="X120" s="220"/>
      <c r="Y120" s="245">
        <f>X120*0.1</f>
        <v>0</v>
      </c>
      <c r="Z120" s="220"/>
      <c r="AA120" s="220">
        <f>SUM(X120:Z120)</f>
        <v>0</v>
      </c>
      <c r="AB120" s="246"/>
    </row>
    <row r="121" spans="1:28" ht="17.100000000000001" customHeight="1" thickBot="1">
      <c r="A121" s="227"/>
      <c r="B121" s="27" t="s">
        <v>203</v>
      </c>
      <c r="C121" s="27">
        <v>20164</v>
      </c>
      <c r="D121" s="14" t="s">
        <v>475</v>
      </c>
      <c r="E121" s="229"/>
      <c r="F121" s="117" t="s">
        <v>476</v>
      </c>
      <c r="G121" s="26">
        <v>67118</v>
      </c>
      <c r="H121" s="231"/>
      <c r="I121" s="221"/>
      <c r="J121" s="221"/>
      <c r="K121" s="221"/>
      <c r="L121" s="221"/>
      <c r="M121" s="221"/>
      <c r="N121" s="221"/>
      <c r="O121" s="225"/>
      <c r="P121" s="120" t="s">
        <v>477</v>
      </c>
      <c r="Q121" s="16" t="s">
        <v>20</v>
      </c>
      <c r="R121" s="17" t="s">
        <v>478</v>
      </c>
      <c r="S121" s="121"/>
      <c r="T121" s="122"/>
      <c r="U121" s="22"/>
      <c r="V121" s="159"/>
      <c r="W121" s="122"/>
      <c r="X121" s="221"/>
      <c r="Y121" s="221"/>
      <c r="Z121" s="221"/>
      <c r="AA121" s="221"/>
      <c r="AB121" s="247"/>
    </row>
    <row r="122" spans="1:28" ht="17.100000000000001" customHeight="1" thickTop="1">
      <c r="A122" s="226" t="s">
        <v>5692</v>
      </c>
      <c r="B122" s="28">
        <v>43022</v>
      </c>
      <c r="C122" s="29" t="s">
        <v>479</v>
      </c>
      <c r="D122" s="13" t="s">
        <v>480</v>
      </c>
      <c r="E122" s="228"/>
      <c r="F122" s="156" t="s">
        <v>179</v>
      </c>
      <c r="G122" s="24" t="s">
        <v>435</v>
      </c>
      <c r="H122" s="230">
        <v>4.5</v>
      </c>
      <c r="I122" s="220">
        <v>2150000</v>
      </c>
      <c r="J122" s="220">
        <v>172000</v>
      </c>
      <c r="K122" s="220">
        <v>16400</v>
      </c>
      <c r="L122" s="220">
        <v>18960</v>
      </c>
      <c r="M122" s="220">
        <v>11880</v>
      </c>
      <c r="N122" s="220">
        <f>SUM(I122:M122)</f>
        <v>2369240</v>
      </c>
      <c r="O122" s="224">
        <v>1400000</v>
      </c>
      <c r="P122" s="146" t="s">
        <v>481</v>
      </c>
      <c r="Q122" s="15" t="s">
        <v>19</v>
      </c>
      <c r="R122" s="205"/>
      <c r="S122" s="189" t="s">
        <v>482</v>
      </c>
      <c r="T122" s="114"/>
      <c r="U122" s="21"/>
      <c r="V122" s="160"/>
      <c r="W122" s="116"/>
      <c r="X122" s="220"/>
      <c r="Y122" s="245">
        <f>X122*0.1</f>
        <v>0</v>
      </c>
      <c r="Z122" s="220"/>
      <c r="AA122" s="220">
        <f>SUM(X122:Z122)</f>
        <v>0</v>
      </c>
      <c r="AB122" s="246"/>
    </row>
    <row r="123" spans="1:28" ht="17.100000000000001" customHeight="1" thickBot="1">
      <c r="A123" s="227"/>
      <c r="B123" s="27" t="s">
        <v>45</v>
      </c>
      <c r="C123" s="27">
        <v>85345</v>
      </c>
      <c r="D123" s="14" t="s">
        <v>483</v>
      </c>
      <c r="E123" s="229"/>
      <c r="F123" s="117" t="s">
        <v>484</v>
      </c>
      <c r="G123" s="26">
        <v>24867</v>
      </c>
      <c r="H123" s="231"/>
      <c r="I123" s="221"/>
      <c r="J123" s="221"/>
      <c r="K123" s="221"/>
      <c r="L123" s="221"/>
      <c r="M123" s="221"/>
      <c r="N123" s="221"/>
      <c r="O123" s="225"/>
      <c r="P123" s="120" t="s">
        <v>485</v>
      </c>
      <c r="Q123" s="16" t="s">
        <v>20</v>
      </c>
      <c r="R123" s="17" t="s">
        <v>486</v>
      </c>
      <c r="S123" s="121" t="s">
        <v>487</v>
      </c>
      <c r="T123" s="122"/>
      <c r="U123" s="22"/>
      <c r="V123" s="159"/>
      <c r="W123" s="122"/>
      <c r="X123" s="221"/>
      <c r="Y123" s="221"/>
      <c r="Z123" s="221"/>
      <c r="AA123" s="221"/>
      <c r="AB123" s="247"/>
    </row>
    <row r="124" spans="1:28" ht="17.100000000000001" customHeight="1" thickTop="1">
      <c r="A124" s="226" t="s">
        <v>5693</v>
      </c>
      <c r="B124" s="28">
        <v>43027</v>
      </c>
      <c r="C124" s="29" t="s">
        <v>488</v>
      </c>
      <c r="D124" s="13" t="s">
        <v>489</v>
      </c>
      <c r="E124" s="228"/>
      <c r="F124" s="156" t="s">
        <v>490</v>
      </c>
      <c r="G124" s="24" t="s">
        <v>357</v>
      </c>
      <c r="H124" s="230">
        <v>4</v>
      </c>
      <c r="I124" s="220">
        <v>505000</v>
      </c>
      <c r="J124" s="220">
        <v>40400</v>
      </c>
      <c r="K124" s="220">
        <v>18700</v>
      </c>
      <c r="L124" s="220">
        <v>16320</v>
      </c>
      <c r="M124" s="220">
        <v>12960</v>
      </c>
      <c r="N124" s="220">
        <f>SUM(I124:M124)</f>
        <v>593380</v>
      </c>
      <c r="O124" s="224">
        <v>200000</v>
      </c>
      <c r="P124" s="146" t="s">
        <v>491</v>
      </c>
      <c r="Q124" s="15" t="s">
        <v>19</v>
      </c>
      <c r="R124" s="205"/>
      <c r="S124" s="189" t="s">
        <v>492</v>
      </c>
      <c r="T124" s="114" t="s">
        <v>493</v>
      </c>
      <c r="U124" s="21"/>
      <c r="V124" s="160"/>
      <c r="W124" s="116"/>
      <c r="X124" s="220"/>
      <c r="Y124" s="245">
        <f>X124*0.1</f>
        <v>0</v>
      </c>
      <c r="Z124" s="220"/>
      <c r="AA124" s="220">
        <f>SUM(X124:Z124)</f>
        <v>0</v>
      </c>
      <c r="AB124" s="246"/>
    </row>
    <row r="125" spans="1:28" ht="17.100000000000001" customHeight="1" thickBot="1">
      <c r="A125" s="227"/>
      <c r="B125" s="27" t="s">
        <v>248</v>
      </c>
      <c r="C125" s="27">
        <v>126</v>
      </c>
      <c r="D125" s="14" t="s">
        <v>65</v>
      </c>
      <c r="E125" s="229"/>
      <c r="F125" s="117" t="s">
        <v>494</v>
      </c>
      <c r="G125" s="26">
        <v>50633</v>
      </c>
      <c r="H125" s="231"/>
      <c r="I125" s="221"/>
      <c r="J125" s="221"/>
      <c r="K125" s="221"/>
      <c r="L125" s="221"/>
      <c r="M125" s="221"/>
      <c r="N125" s="221"/>
      <c r="O125" s="225"/>
      <c r="P125" s="120" t="s">
        <v>495</v>
      </c>
      <c r="Q125" s="16" t="s">
        <v>20</v>
      </c>
      <c r="R125" s="17" t="s">
        <v>496</v>
      </c>
      <c r="S125" s="121" t="s">
        <v>497</v>
      </c>
      <c r="T125" s="122"/>
      <c r="U125" s="22" t="s">
        <v>50</v>
      </c>
      <c r="V125" s="159"/>
      <c r="W125" s="122"/>
      <c r="X125" s="221"/>
      <c r="Y125" s="221"/>
      <c r="Z125" s="221"/>
      <c r="AA125" s="221"/>
      <c r="AB125" s="247"/>
    </row>
    <row r="126" spans="1:28" ht="17.100000000000001" customHeight="1" thickTop="1">
      <c r="A126" s="226" t="s">
        <v>5694</v>
      </c>
      <c r="B126" s="28">
        <v>43035</v>
      </c>
      <c r="C126" s="29" t="s">
        <v>498</v>
      </c>
      <c r="D126" s="13" t="s">
        <v>499</v>
      </c>
      <c r="E126" s="228" t="s">
        <v>164</v>
      </c>
      <c r="F126" s="156" t="s">
        <v>179</v>
      </c>
      <c r="G126" s="61" t="s">
        <v>321</v>
      </c>
      <c r="H126" s="230">
        <v>5</v>
      </c>
      <c r="I126" s="220">
        <v>1920000</v>
      </c>
      <c r="J126" s="220">
        <v>153600</v>
      </c>
      <c r="K126" s="220">
        <v>16400</v>
      </c>
      <c r="L126" s="220">
        <v>18960</v>
      </c>
      <c r="M126" s="220">
        <v>12960</v>
      </c>
      <c r="N126" s="220">
        <f>SUM(I126:M126)</f>
        <v>2121920</v>
      </c>
      <c r="O126" s="224"/>
      <c r="P126" s="143" t="s">
        <v>500</v>
      </c>
      <c r="Q126" s="15" t="s">
        <v>19</v>
      </c>
      <c r="R126" s="205"/>
      <c r="S126" s="189" t="s">
        <v>25361</v>
      </c>
      <c r="T126" s="112" t="s">
        <v>501</v>
      </c>
      <c r="U126" s="62"/>
      <c r="V126" s="160"/>
      <c r="W126" s="116"/>
      <c r="X126" s="220"/>
      <c r="Y126" s="245">
        <f>X126*0.1</f>
        <v>0</v>
      </c>
      <c r="Z126" s="220"/>
      <c r="AA126" s="220">
        <f>SUM(X126:Z126)</f>
        <v>0</v>
      </c>
      <c r="AB126" s="246"/>
    </row>
    <row r="127" spans="1:28" ht="17.100000000000001" customHeight="1" thickBot="1">
      <c r="A127" s="227"/>
      <c r="B127" s="27" t="s">
        <v>203</v>
      </c>
      <c r="C127" s="27">
        <v>58183</v>
      </c>
      <c r="D127" s="14" t="s">
        <v>324</v>
      </c>
      <c r="E127" s="229"/>
      <c r="F127" s="117" t="s">
        <v>502</v>
      </c>
      <c r="G127" s="48">
        <v>36757</v>
      </c>
      <c r="H127" s="231"/>
      <c r="I127" s="221"/>
      <c r="J127" s="221"/>
      <c r="K127" s="221"/>
      <c r="L127" s="221"/>
      <c r="M127" s="221"/>
      <c r="N127" s="221"/>
      <c r="O127" s="225"/>
      <c r="P127" s="27" t="s">
        <v>503</v>
      </c>
      <c r="Q127" s="16" t="s">
        <v>20</v>
      </c>
      <c r="R127" s="17" t="s">
        <v>504</v>
      </c>
      <c r="S127" s="121" t="s">
        <v>505</v>
      </c>
      <c r="T127" s="120"/>
      <c r="U127" s="63" t="s">
        <v>506</v>
      </c>
      <c r="V127" s="159"/>
      <c r="W127" s="27"/>
      <c r="X127" s="221"/>
      <c r="Y127" s="221"/>
      <c r="Z127" s="221"/>
      <c r="AA127" s="221"/>
      <c r="AB127" s="247"/>
    </row>
    <row r="128" spans="1:28" ht="17.100000000000001" customHeight="1" thickTop="1">
      <c r="A128" s="226" t="s">
        <v>5695</v>
      </c>
      <c r="B128" s="28">
        <v>43041</v>
      </c>
      <c r="C128" s="29" t="s">
        <v>507</v>
      </c>
      <c r="D128" s="13" t="s">
        <v>508</v>
      </c>
      <c r="E128" s="228"/>
      <c r="F128" s="156" t="s">
        <v>179</v>
      </c>
      <c r="G128" s="24"/>
      <c r="H128" s="230">
        <v>4</v>
      </c>
      <c r="I128" s="220">
        <v>2010000</v>
      </c>
      <c r="J128" s="220">
        <v>160800</v>
      </c>
      <c r="K128" s="220">
        <v>0</v>
      </c>
      <c r="L128" s="220">
        <v>18960</v>
      </c>
      <c r="M128" s="220">
        <v>12960</v>
      </c>
      <c r="N128" s="220">
        <f>SUM(I128:M128)</f>
        <v>2202720</v>
      </c>
      <c r="O128" s="224">
        <v>1300000</v>
      </c>
      <c r="P128" s="146" t="s">
        <v>509</v>
      </c>
      <c r="Q128" s="15" t="s">
        <v>19</v>
      </c>
      <c r="R128" s="205"/>
      <c r="S128" s="189" t="s">
        <v>25362</v>
      </c>
      <c r="T128" s="114"/>
      <c r="U128" s="62"/>
      <c r="V128" s="160"/>
      <c r="W128" s="116"/>
      <c r="X128" s="220"/>
      <c r="Y128" s="245">
        <f>X128*0.1</f>
        <v>0</v>
      </c>
      <c r="Z128" s="220"/>
      <c r="AA128" s="220">
        <f>SUM(X128:Z128)</f>
        <v>0</v>
      </c>
      <c r="AB128" s="246"/>
    </row>
    <row r="129" spans="1:28" ht="17.100000000000001" customHeight="1" thickBot="1">
      <c r="A129" s="227"/>
      <c r="B129" s="27" t="s">
        <v>146</v>
      </c>
      <c r="C129" s="27">
        <v>75584</v>
      </c>
      <c r="D129" s="14" t="s">
        <v>263</v>
      </c>
      <c r="E129" s="229"/>
      <c r="F129" s="117" t="s">
        <v>510</v>
      </c>
      <c r="G129" s="26">
        <v>17730</v>
      </c>
      <c r="H129" s="231"/>
      <c r="I129" s="221"/>
      <c r="J129" s="221"/>
      <c r="K129" s="221"/>
      <c r="L129" s="221"/>
      <c r="M129" s="221"/>
      <c r="N129" s="221"/>
      <c r="O129" s="225"/>
      <c r="P129" s="120" t="s">
        <v>511</v>
      </c>
      <c r="Q129" s="16" t="s">
        <v>20</v>
      </c>
      <c r="R129" s="17" t="s">
        <v>512</v>
      </c>
      <c r="S129" s="121" t="s">
        <v>513</v>
      </c>
      <c r="T129" s="122"/>
      <c r="U129" s="22"/>
      <c r="V129" s="159"/>
      <c r="W129" s="122"/>
      <c r="X129" s="221"/>
      <c r="Y129" s="221"/>
      <c r="Z129" s="221"/>
      <c r="AA129" s="221"/>
      <c r="AB129" s="247"/>
    </row>
    <row r="130" spans="1:28" ht="17.100000000000001" customHeight="1" thickTop="1">
      <c r="A130" s="226" t="s">
        <v>5696</v>
      </c>
      <c r="B130" s="28">
        <v>43082</v>
      </c>
      <c r="C130" s="29" t="s">
        <v>514</v>
      </c>
      <c r="D130" s="13" t="s">
        <v>261</v>
      </c>
      <c r="E130" s="228" t="s">
        <v>164</v>
      </c>
      <c r="F130" s="156" t="s">
        <v>515</v>
      </c>
      <c r="G130" s="61" t="s">
        <v>516</v>
      </c>
      <c r="H130" s="230">
        <v>5</v>
      </c>
      <c r="I130" s="220">
        <v>1925000</v>
      </c>
      <c r="J130" s="220">
        <v>154000</v>
      </c>
      <c r="K130" s="220">
        <v>9800</v>
      </c>
      <c r="L130" s="220">
        <v>17700</v>
      </c>
      <c r="M130" s="220">
        <v>12960</v>
      </c>
      <c r="N130" s="220">
        <f>SUM(I130:M130)</f>
        <v>2119460</v>
      </c>
      <c r="O130" s="224"/>
      <c r="P130" s="143" t="s">
        <v>517</v>
      </c>
      <c r="Q130" s="15" t="s">
        <v>19</v>
      </c>
      <c r="R130" s="205"/>
      <c r="S130" s="189" t="s">
        <v>518</v>
      </c>
      <c r="T130" s="112" t="s">
        <v>519</v>
      </c>
      <c r="U130" s="62"/>
      <c r="V130" s="160"/>
      <c r="W130" s="116"/>
      <c r="X130" s="220"/>
      <c r="Y130" s="245">
        <f>X130*0.1</f>
        <v>0</v>
      </c>
      <c r="Z130" s="220"/>
      <c r="AA130" s="220">
        <f>SUM(X130:Z130)</f>
        <v>0</v>
      </c>
      <c r="AB130" s="246"/>
    </row>
    <row r="131" spans="1:28" ht="17.100000000000001" customHeight="1" thickBot="1">
      <c r="A131" s="227"/>
      <c r="B131" s="27" t="s">
        <v>520</v>
      </c>
      <c r="C131" s="27">
        <v>70039</v>
      </c>
      <c r="D131" s="14" t="s">
        <v>521</v>
      </c>
      <c r="E131" s="229"/>
      <c r="F131" s="117" t="s">
        <v>522</v>
      </c>
      <c r="G131" s="48">
        <v>24113</v>
      </c>
      <c r="H131" s="231"/>
      <c r="I131" s="221"/>
      <c r="J131" s="221"/>
      <c r="K131" s="221"/>
      <c r="L131" s="221"/>
      <c r="M131" s="221"/>
      <c r="N131" s="221"/>
      <c r="O131" s="225"/>
      <c r="P131" s="27" t="s">
        <v>485</v>
      </c>
      <c r="Q131" s="16" t="s">
        <v>20</v>
      </c>
      <c r="R131" s="17" t="s">
        <v>523</v>
      </c>
      <c r="S131" s="121" t="s">
        <v>505</v>
      </c>
      <c r="T131" s="120"/>
      <c r="U131" s="63" t="s">
        <v>524</v>
      </c>
      <c r="V131" s="159"/>
      <c r="W131" s="27"/>
      <c r="X131" s="221"/>
      <c r="Y131" s="221"/>
      <c r="Z131" s="221"/>
      <c r="AA131" s="221"/>
      <c r="AB131" s="247"/>
    </row>
    <row r="132" spans="1:28" ht="17.100000000000001" customHeight="1" thickTop="1">
      <c r="A132" s="226" t="s">
        <v>5697</v>
      </c>
      <c r="B132" s="28">
        <v>43083</v>
      </c>
      <c r="C132" s="29" t="s">
        <v>525</v>
      </c>
      <c r="D132" s="13" t="s">
        <v>526</v>
      </c>
      <c r="E132" s="228"/>
      <c r="F132" s="156" t="s">
        <v>527</v>
      </c>
      <c r="G132" s="24" t="s">
        <v>516</v>
      </c>
      <c r="H132" s="230">
        <v>4</v>
      </c>
      <c r="I132" s="220">
        <v>1695000</v>
      </c>
      <c r="J132" s="220">
        <v>135600</v>
      </c>
      <c r="K132" s="220">
        <v>9800</v>
      </c>
      <c r="L132" s="220">
        <v>24290</v>
      </c>
      <c r="M132" s="220">
        <v>12960</v>
      </c>
      <c r="N132" s="220">
        <f>SUM(I132:M132)</f>
        <v>1877650</v>
      </c>
      <c r="O132" s="224">
        <v>650000</v>
      </c>
      <c r="P132" s="146" t="s">
        <v>528</v>
      </c>
      <c r="Q132" s="15" t="s">
        <v>19</v>
      </c>
      <c r="R132" s="205"/>
      <c r="S132" s="189" t="s">
        <v>529</v>
      </c>
      <c r="T132" s="114"/>
      <c r="U132" s="21"/>
      <c r="V132" s="160"/>
      <c r="W132" s="116"/>
      <c r="X132" s="220"/>
      <c r="Y132" s="245">
        <f>X132*0.1</f>
        <v>0</v>
      </c>
      <c r="Z132" s="220"/>
      <c r="AA132" s="220">
        <f>SUM(X132:Z132)</f>
        <v>0</v>
      </c>
      <c r="AB132" s="246"/>
    </row>
    <row r="133" spans="1:28" ht="17.100000000000001" customHeight="1" thickBot="1">
      <c r="A133" s="227"/>
      <c r="B133" s="27" t="s">
        <v>248</v>
      </c>
      <c r="C133" s="27">
        <v>602</v>
      </c>
      <c r="D133" s="14" t="s">
        <v>445</v>
      </c>
      <c r="E133" s="229"/>
      <c r="F133" s="117" t="s">
        <v>530</v>
      </c>
      <c r="G133" s="26">
        <v>34309</v>
      </c>
      <c r="H133" s="231"/>
      <c r="I133" s="221"/>
      <c r="J133" s="221"/>
      <c r="K133" s="221"/>
      <c r="L133" s="221"/>
      <c r="M133" s="221"/>
      <c r="N133" s="221"/>
      <c r="O133" s="225"/>
      <c r="P133" s="120" t="s">
        <v>531</v>
      </c>
      <c r="Q133" s="16" t="s">
        <v>20</v>
      </c>
      <c r="R133" s="17" t="s">
        <v>532</v>
      </c>
      <c r="S133" s="121" t="s">
        <v>487</v>
      </c>
      <c r="T133" s="122"/>
      <c r="U133" s="22" t="s">
        <v>50</v>
      </c>
      <c r="V133" s="159"/>
      <c r="W133" s="122"/>
      <c r="X133" s="221"/>
      <c r="Y133" s="221"/>
      <c r="Z133" s="221"/>
      <c r="AA133" s="221"/>
      <c r="AB133" s="247"/>
    </row>
    <row r="134" spans="1:28" ht="17.100000000000001" customHeight="1" thickTop="1">
      <c r="A134" s="226" t="s">
        <v>5698</v>
      </c>
      <c r="B134" s="28">
        <v>43090</v>
      </c>
      <c r="C134" s="29" t="s">
        <v>533</v>
      </c>
      <c r="D134" s="13" t="s">
        <v>534</v>
      </c>
      <c r="E134" s="228"/>
      <c r="F134" s="156" t="s">
        <v>535</v>
      </c>
      <c r="G134" s="24"/>
      <c r="H134" s="230">
        <v>4</v>
      </c>
      <c r="I134" s="220">
        <v>955000</v>
      </c>
      <c r="J134" s="220">
        <v>76400</v>
      </c>
      <c r="K134" s="220">
        <v>0</v>
      </c>
      <c r="L134" s="220">
        <v>19820</v>
      </c>
      <c r="M134" s="220">
        <v>12960</v>
      </c>
      <c r="N134" s="220">
        <f>SUM(I134:M134)</f>
        <v>1064180</v>
      </c>
      <c r="O134" s="224">
        <v>200000</v>
      </c>
      <c r="P134" s="146" t="s">
        <v>536</v>
      </c>
      <c r="Q134" s="15" t="s">
        <v>19</v>
      </c>
      <c r="R134" s="205"/>
      <c r="S134" s="189" t="s">
        <v>25363</v>
      </c>
      <c r="T134" s="114"/>
      <c r="U134" s="21"/>
      <c r="V134" s="160"/>
      <c r="W134" s="116"/>
      <c r="X134" s="220"/>
      <c r="Y134" s="245">
        <f>X134*0.1</f>
        <v>0</v>
      </c>
      <c r="Z134" s="220"/>
      <c r="AA134" s="220">
        <f>SUM(X134:Z134)</f>
        <v>0</v>
      </c>
      <c r="AB134" s="246"/>
    </row>
    <row r="135" spans="1:28" ht="17.100000000000001" customHeight="1" thickBot="1">
      <c r="A135" s="227"/>
      <c r="B135" s="27" t="s">
        <v>146</v>
      </c>
      <c r="C135" s="27">
        <v>75666</v>
      </c>
      <c r="D135" s="14" t="s">
        <v>537</v>
      </c>
      <c r="E135" s="229"/>
      <c r="F135" s="117" t="s">
        <v>538</v>
      </c>
      <c r="G135" s="26">
        <v>58895</v>
      </c>
      <c r="H135" s="231"/>
      <c r="I135" s="221"/>
      <c r="J135" s="221"/>
      <c r="K135" s="221"/>
      <c r="L135" s="221"/>
      <c r="M135" s="221"/>
      <c r="N135" s="221"/>
      <c r="O135" s="225"/>
      <c r="P135" s="120" t="s">
        <v>539</v>
      </c>
      <c r="Q135" s="16" t="s">
        <v>20</v>
      </c>
      <c r="R135" s="17" t="s">
        <v>540</v>
      </c>
      <c r="S135" s="121" t="s">
        <v>541</v>
      </c>
      <c r="T135" s="122"/>
      <c r="U135" s="22"/>
      <c r="V135" s="159"/>
      <c r="W135" s="122"/>
      <c r="X135" s="221"/>
      <c r="Y135" s="221"/>
      <c r="Z135" s="221"/>
      <c r="AA135" s="221"/>
      <c r="AB135" s="247"/>
    </row>
    <row r="136" spans="1:28" ht="17.100000000000001" customHeight="1" thickTop="1">
      <c r="A136" s="226" t="s">
        <v>5699</v>
      </c>
      <c r="B136" s="28">
        <v>43111</v>
      </c>
      <c r="C136" s="29" t="s">
        <v>542</v>
      </c>
      <c r="D136" s="13" t="s">
        <v>543</v>
      </c>
      <c r="E136" s="228"/>
      <c r="F136" s="109" t="s">
        <v>544</v>
      </c>
      <c r="G136" s="24"/>
      <c r="H136" s="230">
        <v>4.5</v>
      </c>
      <c r="I136" s="220">
        <v>1008000</v>
      </c>
      <c r="J136" s="220">
        <v>80640</v>
      </c>
      <c r="K136" s="220">
        <v>0</v>
      </c>
      <c r="L136" s="220">
        <v>16890</v>
      </c>
      <c r="M136" s="220">
        <v>10800</v>
      </c>
      <c r="N136" s="220">
        <f>SUM(I136:M136)</f>
        <v>1116330</v>
      </c>
      <c r="O136" s="224">
        <v>500000</v>
      </c>
      <c r="P136" s="146" t="s">
        <v>545</v>
      </c>
      <c r="Q136" s="15" t="s">
        <v>19</v>
      </c>
      <c r="R136" s="205"/>
      <c r="S136" s="189" t="s">
        <v>546</v>
      </c>
      <c r="T136" s="114"/>
      <c r="U136" s="21"/>
      <c r="V136" s="160"/>
      <c r="W136" s="116"/>
      <c r="X136" s="220"/>
      <c r="Y136" s="245">
        <f>X136*0.1</f>
        <v>0</v>
      </c>
      <c r="Z136" s="220"/>
      <c r="AA136" s="220">
        <f>SUM(X136:Z136)</f>
        <v>0</v>
      </c>
      <c r="AB136" s="246"/>
    </row>
    <row r="137" spans="1:28" ht="17.100000000000001" customHeight="1" thickBot="1">
      <c r="A137" s="227"/>
      <c r="B137" s="27" t="s">
        <v>547</v>
      </c>
      <c r="C137" s="27">
        <v>80041</v>
      </c>
      <c r="D137" s="14" t="s">
        <v>548</v>
      </c>
      <c r="E137" s="229"/>
      <c r="F137" s="117" t="s">
        <v>549</v>
      </c>
      <c r="G137" s="26">
        <v>50900</v>
      </c>
      <c r="H137" s="231"/>
      <c r="I137" s="221"/>
      <c r="J137" s="221"/>
      <c r="K137" s="221"/>
      <c r="L137" s="221"/>
      <c r="M137" s="221"/>
      <c r="N137" s="221"/>
      <c r="O137" s="225"/>
      <c r="P137" s="120" t="s">
        <v>550</v>
      </c>
      <c r="Q137" s="16" t="s">
        <v>20</v>
      </c>
      <c r="R137" s="17" t="s">
        <v>551</v>
      </c>
      <c r="S137" s="121" t="s">
        <v>552</v>
      </c>
      <c r="T137" s="122"/>
      <c r="U137" s="22"/>
      <c r="V137" s="159"/>
      <c r="W137" s="122"/>
      <c r="X137" s="221"/>
      <c r="Y137" s="221"/>
      <c r="Z137" s="221"/>
      <c r="AA137" s="221"/>
      <c r="AB137" s="247"/>
    </row>
    <row r="138" spans="1:28" ht="17.100000000000001" customHeight="1" thickTop="1">
      <c r="A138" s="226" t="s">
        <v>5700</v>
      </c>
      <c r="B138" s="28">
        <v>43132</v>
      </c>
      <c r="C138" s="29" t="s">
        <v>553</v>
      </c>
      <c r="D138" s="13" t="s">
        <v>383</v>
      </c>
      <c r="E138" s="228"/>
      <c r="F138" s="156" t="s">
        <v>554</v>
      </c>
      <c r="G138" s="24" t="s">
        <v>555</v>
      </c>
      <c r="H138" s="230">
        <v>5</v>
      </c>
      <c r="I138" s="220">
        <v>1895000</v>
      </c>
      <c r="J138" s="220">
        <v>151600</v>
      </c>
      <c r="K138" s="220">
        <v>4200</v>
      </c>
      <c r="L138" s="220">
        <v>18360</v>
      </c>
      <c r="M138" s="220">
        <v>12960</v>
      </c>
      <c r="N138" s="220">
        <f>SUM(I138:M138)</f>
        <v>2082120</v>
      </c>
      <c r="O138" s="224">
        <v>1100000</v>
      </c>
      <c r="P138" s="146" t="s">
        <v>556</v>
      </c>
      <c r="Q138" s="15" t="s">
        <v>19</v>
      </c>
      <c r="R138" s="205"/>
      <c r="S138" s="189" t="s">
        <v>557</v>
      </c>
      <c r="T138" s="114"/>
      <c r="U138" s="21"/>
      <c r="V138" s="160"/>
      <c r="W138" s="116"/>
      <c r="X138" s="220"/>
      <c r="Y138" s="245">
        <f>X138*0.1</f>
        <v>0</v>
      </c>
      <c r="Z138" s="220"/>
      <c r="AA138" s="220">
        <f>SUM(X138:Z138)</f>
        <v>0</v>
      </c>
      <c r="AB138" s="246"/>
    </row>
    <row r="139" spans="1:28" ht="17.100000000000001" customHeight="1" thickBot="1">
      <c r="A139" s="227"/>
      <c r="B139" s="27" t="s">
        <v>146</v>
      </c>
      <c r="C139" s="27">
        <v>75222</v>
      </c>
      <c r="D139" s="14" t="s">
        <v>219</v>
      </c>
      <c r="E139" s="229"/>
      <c r="F139" s="117" t="s">
        <v>558</v>
      </c>
      <c r="G139" s="26">
        <v>39282</v>
      </c>
      <c r="H139" s="231"/>
      <c r="I139" s="221"/>
      <c r="J139" s="221"/>
      <c r="K139" s="221"/>
      <c r="L139" s="221"/>
      <c r="M139" s="221"/>
      <c r="N139" s="221"/>
      <c r="O139" s="225"/>
      <c r="P139" s="120" t="s">
        <v>559</v>
      </c>
      <c r="Q139" s="16" t="s">
        <v>20</v>
      </c>
      <c r="R139" s="17" t="s">
        <v>560</v>
      </c>
      <c r="S139" s="121" t="s">
        <v>561</v>
      </c>
      <c r="T139" s="122"/>
      <c r="U139" s="22" t="s">
        <v>50</v>
      </c>
      <c r="V139" s="159"/>
      <c r="W139" s="122"/>
      <c r="X139" s="221"/>
      <c r="Y139" s="221"/>
      <c r="Z139" s="221"/>
      <c r="AA139" s="221"/>
      <c r="AB139" s="247"/>
    </row>
    <row r="140" spans="1:28" ht="17.100000000000001" customHeight="1" thickTop="1">
      <c r="A140" s="226" t="s">
        <v>5701</v>
      </c>
      <c r="B140" s="28">
        <v>43176</v>
      </c>
      <c r="C140" s="29" t="s">
        <v>562</v>
      </c>
      <c r="D140" s="13" t="s">
        <v>457</v>
      </c>
      <c r="E140" s="228"/>
      <c r="F140" s="156" t="s">
        <v>563</v>
      </c>
      <c r="G140" s="24" t="s">
        <v>564</v>
      </c>
      <c r="H140" s="230">
        <v>4</v>
      </c>
      <c r="I140" s="220">
        <v>905000</v>
      </c>
      <c r="J140" s="220">
        <v>72400</v>
      </c>
      <c r="K140" s="220">
        <v>33900</v>
      </c>
      <c r="L140" s="220">
        <v>4790</v>
      </c>
      <c r="M140" s="220">
        <v>11880</v>
      </c>
      <c r="N140" s="220">
        <f>SUM(I140:M140)</f>
        <v>1027970</v>
      </c>
      <c r="O140" s="224">
        <v>600000</v>
      </c>
      <c r="P140" s="146" t="s">
        <v>565</v>
      </c>
      <c r="Q140" s="15" t="s">
        <v>19</v>
      </c>
      <c r="R140" s="205"/>
      <c r="S140" s="189" t="s">
        <v>566</v>
      </c>
      <c r="T140" s="114"/>
      <c r="U140" s="21"/>
      <c r="V140" s="160">
        <v>46085</v>
      </c>
      <c r="W140" s="116">
        <v>1007</v>
      </c>
      <c r="X140" s="220">
        <v>355000</v>
      </c>
      <c r="Y140" s="245">
        <f>X140*0.1</f>
        <v>35500</v>
      </c>
      <c r="Z140" s="220">
        <v>4790</v>
      </c>
      <c r="AA140" s="220">
        <f>SUM(X140:Z140)</f>
        <v>395290</v>
      </c>
      <c r="AB140" s="246">
        <v>46090</v>
      </c>
    </row>
    <row r="141" spans="1:28" ht="17.100000000000001" customHeight="1" thickBot="1">
      <c r="A141" s="227"/>
      <c r="B141" s="27" t="s">
        <v>45</v>
      </c>
      <c r="C141" s="27">
        <v>30068</v>
      </c>
      <c r="D141" s="14" t="s">
        <v>567</v>
      </c>
      <c r="E141" s="229"/>
      <c r="F141" s="117" t="s">
        <v>568</v>
      </c>
      <c r="G141" s="26">
        <v>44694</v>
      </c>
      <c r="H141" s="231"/>
      <c r="I141" s="221"/>
      <c r="J141" s="221"/>
      <c r="K141" s="221"/>
      <c r="L141" s="221"/>
      <c r="M141" s="221"/>
      <c r="N141" s="221"/>
      <c r="O141" s="225"/>
      <c r="P141" s="120" t="s">
        <v>569</v>
      </c>
      <c r="Q141" s="16" t="s">
        <v>20</v>
      </c>
      <c r="R141" s="17" t="s">
        <v>570</v>
      </c>
      <c r="S141" s="121" t="s">
        <v>571</v>
      </c>
      <c r="T141" s="122"/>
      <c r="U141" s="22"/>
      <c r="V141" s="159" t="s">
        <v>2747</v>
      </c>
      <c r="W141" s="122">
        <v>7011</v>
      </c>
      <c r="X141" s="221"/>
      <c r="Y141" s="221"/>
      <c r="Z141" s="221"/>
      <c r="AA141" s="221"/>
      <c r="AB141" s="247"/>
    </row>
    <row r="142" spans="1:28" ht="17.100000000000001" customHeight="1" thickTop="1">
      <c r="A142" s="226" t="s">
        <v>5702</v>
      </c>
      <c r="B142" s="28">
        <v>43194</v>
      </c>
      <c r="C142" s="29" t="s">
        <v>572</v>
      </c>
      <c r="D142" s="13" t="s">
        <v>573</v>
      </c>
      <c r="E142" s="228"/>
      <c r="F142" s="156" t="s">
        <v>574</v>
      </c>
      <c r="G142" s="24"/>
      <c r="H142" s="230">
        <v>4</v>
      </c>
      <c r="I142" s="220">
        <v>964000</v>
      </c>
      <c r="J142" s="220">
        <v>77120</v>
      </c>
      <c r="K142" s="220">
        <v>0</v>
      </c>
      <c r="L142" s="220">
        <v>18840</v>
      </c>
      <c r="M142" s="220">
        <v>12960</v>
      </c>
      <c r="N142" s="220">
        <f>SUM(I142:M142)</f>
        <v>1072920</v>
      </c>
      <c r="O142" s="224">
        <v>200000</v>
      </c>
      <c r="P142" s="146" t="s">
        <v>575</v>
      </c>
      <c r="Q142" s="15" t="s">
        <v>19</v>
      </c>
      <c r="R142" s="205"/>
      <c r="S142" s="189" t="s">
        <v>576</v>
      </c>
      <c r="T142" s="114"/>
      <c r="U142" s="21"/>
      <c r="V142" s="160"/>
      <c r="W142" s="116"/>
      <c r="X142" s="220"/>
      <c r="Y142" s="245">
        <f>X142*0.1</f>
        <v>0</v>
      </c>
      <c r="Z142" s="220"/>
      <c r="AA142" s="220">
        <f>SUM(X142:Z142)</f>
        <v>0</v>
      </c>
      <c r="AB142" s="246"/>
    </row>
    <row r="143" spans="1:28" ht="17.100000000000001" customHeight="1" thickBot="1">
      <c r="A143" s="227"/>
      <c r="B143" s="27" t="s">
        <v>577</v>
      </c>
      <c r="C143" s="27">
        <v>80048</v>
      </c>
      <c r="D143" s="14" t="s">
        <v>219</v>
      </c>
      <c r="E143" s="229"/>
      <c r="F143" s="117" t="s">
        <v>578</v>
      </c>
      <c r="G143" s="26">
        <v>41231</v>
      </c>
      <c r="H143" s="231"/>
      <c r="I143" s="221"/>
      <c r="J143" s="221"/>
      <c r="K143" s="221"/>
      <c r="L143" s="221"/>
      <c r="M143" s="221"/>
      <c r="N143" s="221"/>
      <c r="O143" s="225"/>
      <c r="P143" s="120" t="s">
        <v>579</v>
      </c>
      <c r="Q143" s="16" t="s">
        <v>20</v>
      </c>
      <c r="R143" s="17" t="s">
        <v>580</v>
      </c>
      <c r="S143" s="121" t="s">
        <v>581</v>
      </c>
      <c r="T143" s="122"/>
      <c r="U143" s="22"/>
      <c r="V143" s="159"/>
      <c r="W143" s="122"/>
      <c r="X143" s="221"/>
      <c r="Y143" s="221"/>
      <c r="Z143" s="221"/>
      <c r="AA143" s="221"/>
      <c r="AB143" s="247"/>
    </row>
    <row r="144" spans="1:28" ht="17.100000000000001" customHeight="1" thickTop="1">
      <c r="A144" s="226" t="s">
        <v>5703</v>
      </c>
      <c r="B144" s="28">
        <v>43216</v>
      </c>
      <c r="C144" s="29" t="s">
        <v>582</v>
      </c>
      <c r="D144" s="13" t="s">
        <v>194</v>
      </c>
      <c r="E144" s="228"/>
      <c r="F144" s="109" t="s">
        <v>583</v>
      </c>
      <c r="G144" s="24"/>
      <c r="H144" s="230">
        <v>4</v>
      </c>
      <c r="I144" s="220">
        <v>715000</v>
      </c>
      <c r="J144" s="220">
        <v>57200</v>
      </c>
      <c r="K144" s="220">
        <v>0</v>
      </c>
      <c r="L144" s="220">
        <v>19020</v>
      </c>
      <c r="M144" s="220">
        <v>12960</v>
      </c>
      <c r="N144" s="220">
        <f>SUM(I144:M144)</f>
        <v>804180</v>
      </c>
      <c r="O144" s="224">
        <v>100000</v>
      </c>
      <c r="P144" s="146" t="s">
        <v>584</v>
      </c>
      <c r="Q144" s="15" t="s">
        <v>19</v>
      </c>
      <c r="R144" s="205"/>
      <c r="S144" s="189"/>
      <c r="T144" s="114" t="s">
        <v>585</v>
      </c>
      <c r="U144" s="21"/>
      <c r="V144" s="160"/>
      <c r="W144" s="116"/>
      <c r="X144" s="220"/>
      <c r="Y144" s="245">
        <f>X144*0.1</f>
        <v>0</v>
      </c>
      <c r="Z144" s="220"/>
      <c r="AA144" s="220">
        <f>SUM(X144:Z144)</f>
        <v>0</v>
      </c>
      <c r="AB144" s="246"/>
    </row>
    <row r="145" spans="1:28" ht="17.100000000000001" customHeight="1" thickBot="1">
      <c r="A145" s="227"/>
      <c r="B145" s="27" t="s">
        <v>146</v>
      </c>
      <c r="C145" s="27">
        <v>75649</v>
      </c>
      <c r="D145" s="14" t="s">
        <v>445</v>
      </c>
      <c r="E145" s="229"/>
      <c r="F145" s="117" t="s">
        <v>586</v>
      </c>
      <c r="G145" s="26">
        <v>54966</v>
      </c>
      <c r="H145" s="231"/>
      <c r="I145" s="221"/>
      <c r="J145" s="221"/>
      <c r="K145" s="221"/>
      <c r="L145" s="221"/>
      <c r="M145" s="221"/>
      <c r="N145" s="221"/>
      <c r="O145" s="225"/>
      <c r="P145" s="120" t="s">
        <v>587</v>
      </c>
      <c r="Q145" s="16" t="s">
        <v>20</v>
      </c>
      <c r="R145" s="17" t="s">
        <v>588</v>
      </c>
      <c r="S145" s="121" t="s">
        <v>589</v>
      </c>
      <c r="T145" s="122"/>
      <c r="U145" s="22"/>
      <c r="V145" s="159"/>
      <c r="W145" s="122"/>
      <c r="X145" s="221"/>
      <c r="Y145" s="221"/>
      <c r="Z145" s="221"/>
      <c r="AA145" s="221"/>
      <c r="AB145" s="247"/>
    </row>
    <row r="146" spans="1:28" ht="17.100000000000001" customHeight="1" thickTop="1">
      <c r="A146" s="226" t="s">
        <v>5704</v>
      </c>
      <c r="B146" s="28">
        <v>43245</v>
      </c>
      <c r="C146" s="29" t="s">
        <v>590</v>
      </c>
      <c r="D146" s="13" t="s">
        <v>591</v>
      </c>
      <c r="E146" s="228"/>
      <c r="F146" s="156" t="s">
        <v>592</v>
      </c>
      <c r="G146" s="24" t="s">
        <v>593</v>
      </c>
      <c r="H146" s="230">
        <v>4</v>
      </c>
      <c r="I146" s="220">
        <v>1000000</v>
      </c>
      <c r="J146" s="220">
        <v>80000</v>
      </c>
      <c r="K146" s="220">
        <v>63700</v>
      </c>
      <c r="L146" s="220">
        <v>18960</v>
      </c>
      <c r="M146" s="220">
        <v>23760</v>
      </c>
      <c r="N146" s="220">
        <f>SUM(I146:M146)</f>
        <v>1186420</v>
      </c>
      <c r="O146" s="224">
        <v>500000</v>
      </c>
      <c r="P146" s="146" t="s">
        <v>594</v>
      </c>
      <c r="Q146" s="15" t="s">
        <v>19</v>
      </c>
      <c r="R146" s="205"/>
      <c r="S146" s="189"/>
      <c r="T146" s="114"/>
      <c r="U146" s="21"/>
      <c r="V146" s="160"/>
      <c r="W146" s="116"/>
      <c r="X146" s="220"/>
      <c r="Y146" s="245">
        <f>X146*0.1</f>
        <v>0</v>
      </c>
      <c r="Z146" s="220"/>
      <c r="AA146" s="220">
        <f>SUM(X146:Z146)</f>
        <v>0</v>
      </c>
      <c r="AB146" s="246"/>
    </row>
    <row r="147" spans="1:28" ht="17.100000000000001" customHeight="1" thickBot="1">
      <c r="A147" s="227"/>
      <c r="B147" s="27" t="s">
        <v>203</v>
      </c>
      <c r="C147" s="27">
        <v>20650</v>
      </c>
      <c r="D147" s="14" t="s">
        <v>117</v>
      </c>
      <c r="E147" s="229"/>
      <c r="F147" s="117" t="s">
        <v>595</v>
      </c>
      <c r="G147" s="26">
        <v>57147</v>
      </c>
      <c r="H147" s="231"/>
      <c r="I147" s="221"/>
      <c r="J147" s="221"/>
      <c r="K147" s="221"/>
      <c r="L147" s="221"/>
      <c r="M147" s="221"/>
      <c r="N147" s="221"/>
      <c r="O147" s="225"/>
      <c r="P147" s="120" t="s">
        <v>596</v>
      </c>
      <c r="Q147" s="16" t="s">
        <v>20</v>
      </c>
      <c r="R147" s="17" t="s">
        <v>597</v>
      </c>
      <c r="S147" s="121" t="s">
        <v>598</v>
      </c>
      <c r="T147" s="122" t="s">
        <v>599</v>
      </c>
      <c r="U147" s="22" t="s">
        <v>50</v>
      </c>
      <c r="V147" s="159"/>
      <c r="W147" s="122"/>
      <c r="X147" s="221"/>
      <c r="Y147" s="221"/>
      <c r="Z147" s="221"/>
      <c r="AA147" s="221"/>
      <c r="AB147" s="247"/>
    </row>
    <row r="148" spans="1:28" ht="17.100000000000001" customHeight="1" thickTop="1">
      <c r="A148" s="226" t="s">
        <v>5705</v>
      </c>
      <c r="B148" s="28">
        <v>43307</v>
      </c>
      <c r="C148" s="29" t="s">
        <v>600</v>
      </c>
      <c r="D148" s="13" t="s">
        <v>308</v>
      </c>
      <c r="E148" s="228" t="s">
        <v>164</v>
      </c>
      <c r="F148" s="156" t="s">
        <v>601</v>
      </c>
      <c r="G148" s="61" t="s">
        <v>602</v>
      </c>
      <c r="H148" s="230">
        <v>4.5</v>
      </c>
      <c r="I148" s="220">
        <v>2200000</v>
      </c>
      <c r="J148" s="220">
        <v>176000</v>
      </c>
      <c r="K148" s="220">
        <v>26300</v>
      </c>
      <c r="L148" s="220">
        <v>19440</v>
      </c>
      <c r="M148" s="220">
        <v>12960</v>
      </c>
      <c r="N148" s="220">
        <f>SUM(I148:M148)</f>
        <v>2434700</v>
      </c>
      <c r="O148" s="224"/>
      <c r="P148" s="143" t="s">
        <v>603</v>
      </c>
      <c r="Q148" s="15" t="s">
        <v>19</v>
      </c>
      <c r="R148" s="205"/>
      <c r="S148" s="189" t="s">
        <v>518</v>
      </c>
      <c r="T148" s="112"/>
      <c r="U148" s="62"/>
      <c r="V148" s="160"/>
      <c r="W148" s="116"/>
      <c r="X148" s="220"/>
      <c r="Y148" s="245">
        <f>X148*0.1</f>
        <v>0</v>
      </c>
      <c r="Z148" s="220"/>
      <c r="AA148" s="220">
        <f>SUM(X148:Z148)</f>
        <v>0</v>
      </c>
      <c r="AB148" s="246"/>
    </row>
    <row r="149" spans="1:28" ht="17.100000000000001" customHeight="1" thickBot="1">
      <c r="A149" s="227"/>
      <c r="B149" s="27" t="s">
        <v>248</v>
      </c>
      <c r="C149" s="27">
        <v>460</v>
      </c>
      <c r="D149" s="14" t="s">
        <v>437</v>
      </c>
      <c r="E149" s="229"/>
      <c r="F149" s="117" t="s">
        <v>604</v>
      </c>
      <c r="G149" s="48">
        <v>18374</v>
      </c>
      <c r="H149" s="231"/>
      <c r="I149" s="221"/>
      <c r="J149" s="221"/>
      <c r="K149" s="221"/>
      <c r="L149" s="221"/>
      <c r="M149" s="221"/>
      <c r="N149" s="221"/>
      <c r="O149" s="225"/>
      <c r="P149" s="27" t="s">
        <v>605</v>
      </c>
      <c r="Q149" s="16" t="s">
        <v>20</v>
      </c>
      <c r="R149" s="17" t="s">
        <v>606</v>
      </c>
      <c r="S149" s="121" t="s">
        <v>487</v>
      </c>
      <c r="T149" s="162" t="s">
        <v>607</v>
      </c>
      <c r="U149" s="63" t="s">
        <v>608</v>
      </c>
      <c r="V149" s="159"/>
      <c r="W149" s="27"/>
      <c r="X149" s="221"/>
      <c r="Y149" s="221"/>
      <c r="Z149" s="221"/>
      <c r="AA149" s="221"/>
      <c r="AB149" s="247"/>
    </row>
    <row r="150" spans="1:28" ht="17.100000000000001" customHeight="1" thickTop="1">
      <c r="A150" s="226" t="s">
        <v>5706</v>
      </c>
      <c r="B150" s="28">
        <v>43383</v>
      </c>
      <c r="C150" s="29" t="s">
        <v>609</v>
      </c>
      <c r="D150" s="13" t="s">
        <v>610</v>
      </c>
      <c r="E150" s="228"/>
      <c r="F150" s="156" t="s">
        <v>611</v>
      </c>
      <c r="G150" s="24" t="s">
        <v>612</v>
      </c>
      <c r="H150" s="230">
        <v>3.5</v>
      </c>
      <c r="I150" s="220">
        <v>357000</v>
      </c>
      <c r="J150" s="220">
        <v>28560</v>
      </c>
      <c r="K150" s="220">
        <v>10000</v>
      </c>
      <c r="L150" s="220">
        <v>10010</v>
      </c>
      <c r="M150" s="220">
        <v>12960</v>
      </c>
      <c r="N150" s="220">
        <f>SUM(I150:M150)</f>
        <v>418530</v>
      </c>
      <c r="O150" s="224">
        <v>200000</v>
      </c>
      <c r="P150" s="146" t="s">
        <v>613</v>
      </c>
      <c r="Q150" s="15" t="s">
        <v>19</v>
      </c>
      <c r="R150" s="205"/>
      <c r="S150" s="189" t="s">
        <v>614</v>
      </c>
      <c r="T150" s="114"/>
      <c r="U150" s="21"/>
      <c r="V150" s="160">
        <v>46004</v>
      </c>
      <c r="W150" s="116">
        <v>1280</v>
      </c>
      <c r="X150" s="220">
        <v>290000</v>
      </c>
      <c r="Y150" s="245">
        <f>X150*0.1</f>
        <v>29000</v>
      </c>
      <c r="Z150" s="220">
        <v>10010</v>
      </c>
      <c r="AA150" s="220">
        <f>SUM(X150:Z150)</f>
        <v>329010</v>
      </c>
      <c r="AB150" s="246">
        <v>46008</v>
      </c>
    </row>
    <row r="151" spans="1:28" ht="17.100000000000001" customHeight="1" thickBot="1">
      <c r="A151" s="227"/>
      <c r="B151" s="27" t="s">
        <v>577</v>
      </c>
      <c r="C151" s="27">
        <v>10364</v>
      </c>
      <c r="D151" s="14" t="s">
        <v>483</v>
      </c>
      <c r="E151" s="229"/>
      <c r="F151" s="117" t="s">
        <v>615</v>
      </c>
      <c r="G151" s="26">
        <v>53283</v>
      </c>
      <c r="H151" s="231"/>
      <c r="I151" s="221"/>
      <c r="J151" s="221"/>
      <c r="K151" s="221"/>
      <c r="L151" s="221"/>
      <c r="M151" s="221"/>
      <c r="N151" s="221"/>
      <c r="O151" s="225"/>
      <c r="P151" s="120" t="s">
        <v>616</v>
      </c>
      <c r="Q151" s="16" t="s">
        <v>20</v>
      </c>
      <c r="R151" s="17" t="s">
        <v>617</v>
      </c>
      <c r="S151" s="121" t="s">
        <v>614</v>
      </c>
      <c r="T151" s="122"/>
      <c r="U151" s="22"/>
      <c r="V151" s="159" t="s">
        <v>2472</v>
      </c>
      <c r="W151" s="122">
        <v>65218</v>
      </c>
      <c r="X151" s="221"/>
      <c r="Y151" s="221"/>
      <c r="Z151" s="221"/>
      <c r="AA151" s="221"/>
      <c r="AB151" s="247"/>
    </row>
    <row r="152" spans="1:28" ht="17.100000000000001" customHeight="1" thickTop="1">
      <c r="A152" s="226" t="s">
        <v>5707</v>
      </c>
      <c r="B152" s="28">
        <v>43395</v>
      </c>
      <c r="C152" s="29"/>
      <c r="D152" s="13" t="s">
        <v>308</v>
      </c>
      <c r="E152" s="228"/>
      <c r="F152" s="156" t="s">
        <v>618</v>
      </c>
      <c r="G152" s="24" t="s">
        <v>602</v>
      </c>
      <c r="H152" s="230">
        <v>4.5</v>
      </c>
      <c r="I152" s="220">
        <v>2740000</v>
      </c>
      <c r="J152" s="220">
        <v>219200</v>
      </c>
      <c r="K152" s="220">
        <v>9800</v>
      </c>
      <c r="L152" s="220">
        <v>20370</v>
      </c>
      <c r="M152" s="220">
        <f>118500+9480</f>
        <v>127980</v>
      </c>
      <c r="N152" s="220">
        <f>SUM(I152:M152)</f>
        <v>3117350</v>
      </c>
      <c r="O152" s="224">
        <v>1700000</v>
      </c>
      <c r="P152" s="146" t="s">
        <v>619</v>
      </c>
      <c r="Q152" s="15" t="s">
        <v>19</v>
      </c>
      <c r="R152" s="205"/>
      <c r="S152" s="189" t="s">
        <v>25364</v>
      </c>
      <c r="T152" s="114"/>
      <c r="U152" s="21"/>
      <c r="V152" s="160"/>
      <c r="W152" s="116"/>
      <c r="X152" s="220"/>
      <c r="Y152" s="245">
        <f>X152*0.1</f>
        <v>0</v>
      </c>
      <c r="Z152" s="220"/>
      <c r="AA152" s="220">
        <f>SUM(X152:Z152)</f>
        <v>0</v>
      </c>
      <c r="AB152" s="246"/>
    </row>
    <row r="153" spans="1:28" ht="17.100000000000001" customHeight="1" thickBot="1">
      <c r="A153" s="227"/>
      <c r="B153" s="27" t="s">
        <v>620</v>
      </c>
      <c r="C153" s="27" t="s">
        <v>621</v>
      </c>
      <c r="D153" s="14" t="s">
        <v>537</v>
      </c>
      <c r="E153" s="229"/>
      <c r="F153" s="117" t="s">
        <v>622</v>
      </c>
      <c r="G153" s="26">
        <v>9247</v>
      </c>
      <c r="H153" s="231"/>
      <c r="I153" s="221"/>
      <c r="J153" s="221"/>
      <c r="K153" s="221"/>
      <c r="L153" s="221"/>
      <c r="M153" s="221"/>
      <c r="N153" s="221"/>
      <c r="O153" s="225"/>
      <c r="P153" s="120" t="s">
        <v>623</v>
      </c>
      <c r="Q153" s="16" t="s">
        <v>20</v>
      </c>
      <c r="R153" s="17" t="s">
        <v>624</v>
      </c>
      <c r="S153" s="121" t="s">
        <v>625</v>
      </c>
      <c r="T153" s="122"/>
      <c r="U153" s="22"/>
      <c r="V153" s="159"/>
      <c r="W153" s="122"/>
      <c r="X153" s="221"/>
      <c r="Y153" s="221"/>
      <c r="Z153" s="221"/>
      <c r="AA153" s="221"/>
      <c r="AB153" s="247"/>
    </row>
    <row r="154" spans="1:28" ht="17.100000000000001" customHeight="1" thickTop="1">
      <c r="A154" s="226" t="s">
        <v>5708</v>
      </c>
      <c r="B154" s="28">
        <v>43417</v>
      </c>
      <c r="C154" s="29"/>
      <c r="D154" s="13" t="s">
        <v>626</v>
      </c>
      <c r="E154" s="228"/>
      <c r="F154" s="156" t="s">
        <v>627</v>
      </c>
      <c r="G154" s="24" t="s">
        <v>628</v>
      </c>
      <c r="H154" s="230">
        <v>4.5</v>
      </c>
      <c r="I154" s="220">
        <v>2624000</v>
      </c>
      <c r="J154" s="220">
        <v>209920</v>
      </c>
      <c r="K154" s="220">
        <v>22100</v>
      </c>
      <c r="L154" s="220">
        <v>19240</v>
      </c>
      <c r="M154" s="220">
        <f>115600+9248</f>
        <v>124848</v>
      </c>
      <c r="N154" s="220">
        <f>SUM(I154:M154)</f>
        <v>3000108</v>
      </c>
      <c r="O154" s="224">
        <v>1700000</v>
      </c>
      <c r="P154" s="112" t="s">
        <v>629</v>
      </c>
      <c r="Q154" s="15" t="s">
        <v>19</v>
      </c>
      <c r="R154" s="205"/>
      <c r="S154" s="189" t="s">
        <v>630</v>
      </c>
      <c r="T154" s="114"/>
      <c r="U154" s="21"/>
      <c r="V154" s="160"/>
      <c r="W154" s="116"/>
      <c r="X154" s="220"/>
      <c r="Y154" s="245">
        <f>X154*0.1</f>
        <v>0</v>
      </c>
      <c r="Z154" s="220"/>
      <c r="AA154" s="220">
        <f>SUM(X154:Z154)</f>
        <v>0</v>
      </c>
      <c r="AB154" s="246"/>
    </row>
    <row r="155" spans="1:28" ht="17.100000000000001" customHeight="1" thickBot="1">
      <c r="A155" s="227"/>
      <c r="B155" s="27" t="s">
        <v>631</v>
      </c>
      <c r="C155" s="27" t="s">
        <v>632</v>
      </c>
      <c r="D155" s="14" t="s">
        <v>633</v>
      </c>
      <c r="E155" s="229"/>
      <c r="F155" s="117" t="s">
        <v>634</v>
      </c>
      <c r="G155" s="26">
        <v>23841</v>
      </c>
      <c r="H155" s="231"/>
      <c r="I155" s="221"/>
      <c r="J155" s="221"/>
      <c r="K155" s="221"/>
      <c r="L155" s="221"/>
      <c r="M155" s="221"/>
      <c r="N155" s="221"/>
      <c r="O155" s="225"/>
      <c r="P155" s="120" t="s">
        <v>635</v>
      </c>
      <c r="Q155" s="16" t="s">
        <v>20</v>
      </c>
      <c r="R155" s="17" t="s">
        <v>636</v>
      </c>
      <c r="S155" s="121" t="s">
        <v>156</v>
      </c>
      <c r="T155" s="122"/>
      <c r="U155" s="22"/>
      <c r="V155" s="159"/>
      <c r="W155" s="122"/>
      <c r="X155" s="221"/>
      <c r="Y155" s="221"/>
      <c r="Z155" s="221"/>
      <c r="AA155" s="221"/>
      <c r="AB155" s="247"/>
    </row>
    <row r="156" spans="1:28" ht="17.100000000000001" customHeight="1" thickTop="1">
      <c r="A156" s="226" t="s">
        <v>5709</v>
      </c>
      <c r="B156" s="28">
        <v>43418</v>
      </c>
      <c r="C156" s="29" t="s">
        <v>637</v>
      </c>
      <c r="D156" s="13" t="s">
        <v>638</v>
      </c>
      <c r="E156" s="228"/>
      <c r="F156" s="156" t="s">
        <v>639</v>
      </c>
      <c r="G156" s="24" t="s">
        <v>640</v>
      </c>
      <c r="H156" s="230">
        <v>5</v>
      </c>
      <c r="I156" s="220">
        <v>2365000</v>
      </c>
      <c r="J156" s="220">
        <v>189200</v>
      </c>
      <c r="K156" s="220">
        <v>13100</v>
      </c>
      <c r="L156" s="220">
        <v>17700</v>
      </c>
      <c r="M156" s="220">
        <v>15660</v>
      </c>
      <c r="N156" s="220">
        <f>SUM(I156:M156)</f>
        <v>2600660</v>
      </c>
      <c r="O156" s="224">
        <v>1600000</v>
      </c>
      <c r="P156" s="146" t="s">
        <v>641</v>
      </c>
      <c r="Q156" s="15" t="s">
        <v>19</v>
      </c>
      <c r="R156" s="205"/>
      <c r="S156" s="189" t="s">
        <v>642</v>
      </c>
      <c r="T156" s="114"/>
      <c r="U156" s="21"/>
      <c r="V156" s="160"/>
      <c r="W156" s="116"/>
      <c r="X156" s="220"/>
      <c r="Y156" s="245">
        <f>X156*0.1</f>
        <v>0</v>
      </c>
      <c r="Z156" s="220"/>
      <c r="AA156" s="220">
        <f>SUM(X156:Z156)</f>
        <v>0</v>
      </c>
      <c r="AB156" s="246"/>
    </row>
    <row r="157" spans="1:28" ht="17.100000000000001" customHeight="1" thickBot="1">
      <c r="A157" s="227"/>
      <c r="B157" s="27" t="s">
        <v>643</v>
      </c>
      <c r="C157" s="27">
        <v>38080</v>
      </c>
      <c r="D157" s="14" t="s">
        <v>644</v>
      </c>
      <c r="E157" s="229"/>
      <c r="F157" s="117" t="s">
        <v>645</v>
      </c>
      <c r="G157" s="26">
        <v>19950</v>
      </c>
      <c r="H157" s="231"/>
      <c r="I157" s="221"/>
      <c r="J157" s="221"/>
      <c r="K157" s="221"/>
      <c r="L157" s="221"/>
      <c r="M157" s="221"/>
      <c r="N157" s="221"/>
      <c r="O157" s="225"/>
      <c r="P157" s="120" t="s">
        <v>646</v>
      </c>
      <c r="Q157" s="16" t="s">
        <v>20</v>
      </c>
      <c r="R157" s="17" t="s">
        <v>647</v>
      </c>
      <c r="S157" s="121" t="s">
        <v>648</v>
      </c>
      <c r="T157" s="122"/>
      <c r="U157" s="22"/>
      <c r="V157" s="159"/>
      <c r="W157" s="122"/>
      <c r="X157" s="221"/>
      <c r="Y157" s="221"/>
      <c r="Z157" s="221"/>
      <c r="AA157" s="221"/>
      <c r="AB157" s="247"/>
    </row>
    <row r="158" spans="1:28" ht="17.100000000000001" customHeight="1" thickTop="1">
      <c r="A158" s="226" t="s">
        <v>5710</v>
      </c>
      <c r="B158" s="28">
        <v>43423</v>
      </c>
      <c r="C158" s="29" t="s">
        <v>649</v>
      </c>
      <c r="D158" s="13" t="s">
        <v>650</v>
      </c>
      <c r="E158" s="228"/>
      <c r="F158" s="156" t="s">
        <v>651</v>
      </c>
      <c r="G158" s="24"/>
      <c r="H158" s="230" t="s">
        <v>652</v>
      </c>
      <c r="I158" s="220">
        <v>13000</v>
      </c>
      <c r="J158" s="220">
        <v>1040</v>
      </c>
      <c r="K158" s="220">
        <v>0</v>
      </c>
      <c r="L158" s="220">
        <v>9380</v>
      </c>
      <c r="M158" s="220">
        <v>8640</v>
      </c>
      <c r="N158" s="220">
        <f>SUM(I158:M158)</f>
        <v>32060</v>
      </c>
      <c r="O158" s="224"/>
      <c r="P158" s="146" t="s">
        <v>653</v>
      </c>
      <c r="Q158" s="15" t="s">
        <v>19</v>
      </c>
      <c r="R158" s="205"/>
      <c r="S158" s="189"/>
      <c r="T158" s="114"/>
      <c r="U158" s="21"/>
      <c r="V158" s="160"/>
      <c r="W158" s="116"/>
      <c r="X158" s="220"/>
      <c r="Y158" s="245">
        <f>X158*0.1</f>
        <v>0</v>
      </c>
      <c r="Z158" s="220"/>
      <c r="AA158" s="220">
        <f>SUM(X158:Z158)</f>
        <v>0</v>
      </c>
      <c r="AB158" s="246"/>
    </row>
    <row r="159" spans="1:28" ht="17.100000000000001" customHeight="1" thickBot="1">
      <c r="A159" s="227"/>
      <c r="B159" s="27" t="s">
        <v>654</v>
      </c>
      <c r="C159" s="27">
        <v>10509</v>
      </c>
      <c r="D159" s="14" t="s">
        <v>263</v>
      </c>
      <c r="E159" s="229"/>
      <c r="F159" s="117" t="s">
        <v>655</v>
      </c>
      <c r="G159" s="26">
        <v>56043</v>
      </c>
      <c r="H159" s="231"/>
      <c r="I159" s="221"/>
      <c r="J159" s="221"/>
      <c r="K159" s="221"/>
      <c r="L159" s="221"/>
      <c r="M159" s="221"/>
      <c r="N159" s="221"/>
      <c r="O159" s="225"/>
      <c r="P159" s="120" t="s">
        <v>656</v>
      </c>
      <c r="Q159" s="16" t="s">
        <v>20</v>
      </c>
      <c r="R159" s="17" t="s">
        <v>657</v>
      </c>
      <c r="S159" s="121"/>
      <c r="T159" s="122"/>
      <c r="U159" s="22"/>
      <c r="V159" s="159"/>
      <c r="W159" s="122"/>
      <c r="X159" s="221"/>
      <c r="Y159" s="221"/>
      <c r="Z159" s="221"/>
      <c r="AA159" s="221"/>
      <c r="AB159" s="247"/>
    </row>
    <row r="160" spans="1:28" ht="17.100000000000001" customHeight="1" thickTop="1">
      <c r="A160" s="226" t="s">
        <v>5711</v>
      </c>
      <c r="B160" s="28">
        <v>43445</v>
      </c>
      <c r="C160" s="29" t="s">
        <v>658</v>
      </c>
      <c r="D160" s="13" t="s">
        <v>659</v>
      </c>
      <c r="E160" s="228"/>
      <c r="F160" s="156" t="s">
        <v>660</v>
      </c>
      <c r="G160" s="24" t="s">
        <v>661</v>
      </c>
      <c r="H160" s="230">
        <v>4</v>
      </c>
      <c r="I160" s="220">
        <v>2290000</v>
      </c>
      <c r="J160" s="220">
        <v>183200</v>
      </c>
      <c r="K160" s="220">
        <v>0</v>
      </c>
      <c r="L160" s="220">
        <v>19100</v>
      </c>
      <c r="M160" s="220">
        <v>12960</v>
      </c>
      <c r="N160" s="220">
        <f>SUM(I160:M160)</f>
        <v>2505260</v>
      </c>
      <c r="O160" s="224">
        <v>1300000</v>
      </c>
      <c r="P160" s="146" t="s">
        <v>662</v>
      </c>
      <c r="Q160" s="15" t="s">
        <v>19</v>
      </c>
      <c r="R160" s="205"/>
      <c r="S160" s="189" t="s">
        <v>663</v>
      </c>
      <c r="T160" s="114" t="s">
        <v>664</v>
      </c>
      <c r="U160" s="21"/>
      <c r="V160" s="160"/>
      <c r="W160" s="116"/>
      <c r="X160" s="220"/>
      <c r="Y160" s="245">
        <f>X160*0.1</f>
        <v>0</v>
      </c>
      <c r="Z160" s="220"/>
      <c r="AA160" s="220">
        <f>SUM(X160:Z160)</f>
        <v>0</v>
      </c>
      <c r="AB160" s="246"/>
    </row>
    <row r="161" spans="1:28" ht="17.100000000000001" customHeight="1" thickBot="1">
      <c r="A161" s="227"/>
      <c r="B161" s="27" t="s">
        <v>130</v>
      </c>
      <c r="C161" s="27">
        <v>84117</v>
      </c>
      <c r="D161" s="14" t="s">
        <v>445</v>
      </c>
      <c r="E161" s="229"/>
      <c r="F161" s="117" t="s">
        <v>665</v>
      </c>
      <c r="G161" s="26">
        <v>32480</v>
      </c>
      <c r="H161" s="231"/>
      <c r="I161" s="221"/>
      <c r="J161" s="221"/>
      <c r="K161" s="221"/>
      <c r="L161" s="221"/>
      <c r="M161" s="221"/>
      <c r="N161" s="221"/>
      <c r="O161" s="225"/>
      <c r="P161" s="120" t="s">
        <v>666</v>
      </c>
      <c r="Q161" s="16" t="s">
        <v>20</v>
      </c>
      <c r="R161" s="17" t="s">
        <v>667</v>
      </c>
      <c r="S161" s="121" t="s">
        <v>487</v>
      </c>
      <c r="T161" s="122"/>
      <c r="U161" s="22" t="s">
        <v>50</v>
      </c>
      <c r="V161" s="159"/>
      <c r="W161" s="122"/>
      <c r="X161" s="221"/>
      <c r="Y161" s="221"/>
      <c r="Z161" s="221"/>
      <c r="AA161" s="221"/>
      <c r="AB161" s="247"/>
    </row>
    <row r="162" spans="1:28" ht="17.100000000000001" customHeight="1" thickTop="1">
      <c r="A162" s="226" t="s">
        <v>5712</v>
      </c>
      <c r="B162" s="28">
        <v>43472</v>
      </c>
      <c r="C162" s="29" t="s">
        <v>668</v>
      </c>
      <c r="D162" s="13" t="s">
        <v>669</v>
      </c>
      <c r="E162" s="228"/>
      <c r="F162" s="156" t="s">
        <v>670</v>
      </c>
      <c r="G162" s="24"/>
      <c r="H162" s="230">
        <v>4</v>
      </c>
      <c r="I162" s="220">
        <v>461000</v>
      </c>
      <c r="J162" s="220">
        <v>36880</v>
      </c>
      <c r="K162" s="220">
        <v>0</v>
      </c>
      <c r="L162" s="220">
        <v>19820</v>
      </c>
      <c r="M162" s="220">
        <v>10800</v>
      </c>
      <c r="N162" s="220">
        <f>SUM(I162:M162)</f>
        <v>528500</v>
      </c>
      <c r="O162" s="224">
        <v>200000</v>
      </c>
      <c r="P162" s="146" t="s">
        <v>671</v>
      </c>
      <c r="Q162" s="15" t="s">
        <v>19</v>
      </c>
      <c r="R162" s="205"/>
      <c r="S162" s="189" t="s">
        <v>672</v>
      </c>
      <c r="T162" s="114"/>
      <c r="U162" s="21"/>
      <c r="V162" s="160"/>
      <c r="W162" s="116"/>
      <c r="X162" s="220"/>
      <c r="Y162" s="245">
        <f>X162*0.1</f>
        <v>0</v>
      </c>
      <c r="Z162" s="220"/>
      <c r="AA162" s="220">
        <f>SUM(X162:Z162)</f>
        <v>0</v>
      </c>
      <c r="AB162" s="246"/>
    </row>
    <row r="163" spans="1:28" ht="17.100000000000001" customHeight="1" thickBot="1">
      <c r="A163" s="227"/>
      <c r="B163" s="27" t="s">
        <v>654</v>
      </c>
      <c r="C163" s="27">
        <v>37022</v>
      </c>
      <c r="D163" s="14" t="s">
        <v>445</v>
      </c>
      <c r="E163" s="229"/>
      <c r="F163" s="117" t="s">
        <v>673</v>
      </c>
      <c r="G163" s="26">
        <v>28287</v>
      </c>
      <c r="H163" s="231"/>
      <c r="I163" s="221"/>
      <c r="J163" s="221"/>
      <c r="K163" s="221"/>
      <c r="L163" s="221"/>
      <c r="M163" s="221"/>
      <c r="N163" s="221"/>
      <c r="O163" s="225"/>
      <c r="P163" s="120" t="s">
        <v>674</v>
      </c>
      <c r="Q163" s="16" t="s">
        <v>20</v>
      </c>
      <c r="R163" s="17" t="s">
        <v>675</v>
      </c>
      <c r="S163" s="121" t="s">
        <v>581</v>
      </c>
      <c r="T163" s="122"/>
      <c r="U163" s="22"/>
      <c r="V163" s="159"/>
      <c r="W163" s="122"/>
      <c r="X163" s="221"/>
      <c r="Y163" s="221"/>
      <c r="Z163" s="221"/>
      <c r="AA163" s="221"/>
      <c r="AB163" s="247"/>
    </row>
    <row r="164" spans="1:28" ht="17.100000000000001" customHeight="1" thickTop="1">
      <c r="A164" s="226" t="s">
        <v>5713</v>
      </c>
      <c r="B164" s="28">
        <v>43481</v>
      </c>
      <c r="C164" s="29" t="s">
        <v>676</v>
      </c>
      <c r="D164" s="13" t="s">
        <v>187</v>
      </c>
      <c r="E164" s="228"/>
      <c r="F164" s="156" t="s">
        <v>677</v>
      </c>
      <c r="G164" s="24" t="s">
        <v>678</v>
      </c>
      <c r="H164" s="230">
        <v>3.5</v>
      </c>
      <c r="I164" s="220">
        <v>477000</v>
      </c>
      <c r="J164" s="220">
        <v>38160</v>
      </c>
      <c r="K164" s="220">
        <v>15000</v>
      </c>
      <c r="L164" s="220">
        <v>9190</v>
      </c>
      <c r="M164" s="220">
        <v>15660</v>
      </c>
      <c r="N164" s="220">
        <f>SUM(I164:M164)</f>
        <v>555010</v>
      </c>
      <c r="O164" s="224">
        <v>280000</v>
      </c>
      <c r="P164" s="146" t="s">
        <v>679</v>
      </c>
      <c r="Q164" s="15" t="s">
        <v>19</v>
      </c>
      <c r="R164" s="205"/>
      <c r="S164" s="189"/>
      <c r="T164" s="114"/>
      <c r="U164" s="21"/>
      <c r="V164" s="160"/>
      <c r="W164" s="116"/>
      <c r="X164" s="220"/>
      <c r="Y164" s="245">
        <f>X164*0.1</f>
        <v>0</v>
      </c>
      <c r="Z164" s="220"/>
      <c r="AA164" s="220">
        <f>SUM(X164:Z164)</f>
        <v>0</v>
      </c>
      <c r="AB164" s="246"/>
    </row>
    <row r="165" spans="1:28" ht="17.100000000000001" customHeight="1" thickBot="1">
      <c r="A165" s="227"/>
      <c r="B165" s="27" t="s">
        <v>643</v>
      </c>
      <c r="C165" s="27">
        <v>9081</v>
      </c>
      <c r="D165" s="14" t="s">
        <v>445</v>
      </c>
      <c r="E165" s="229"/>
      <c r="F165" s="117" t="s">
        <v>680</v>
      </c>
      <c r="G165" s="26">
        <v>50691</v>
      </c>
      <c r="H165" s="231"/>
      <c r="I165" s="221"/>
      <c r="J165" s="221"/>
      <c r="K165" s="221"/>
      <c r="L165" s="221"/>
      <c r="M165" s="221"/>
      <c r="N165" s="221"/>
      <c r="O165" s="225"/>
      <c r="P165" s="120" t="s">
        <v>681</v>
      </c>
      <c r="Q165" s="16" t="s">
        <v>20</v>
      </c>
      <c r="R165" s="17" t="s">
        <v>682</v>
      </c>
      <c r="S165" s="121" t="s">
        <v>683</v>
      </c>
      <c r="T165" s="122"/>
      <c r="U165" s="22"/>
      <c r="V165" s="159"/>
      <c r="W165" s="122"/>
      <c r="X165" s="221"/>
      <c r="Y165" s="221"/>
      <c r="Z165" s="221"/>
      <c r="AA165" s="221"/>
      <c r="AB165" s="247"/>
    </row>
    <row r="166" spans="1:28" ht="17.100000000000001" customHeight="1" thickTop="1">
      <c r="A166" s="226" t="s">
        <v>5714</v>
      </c>
      <c r="B166" s="28">
        <v>43486</v>
      </c>
      <c r="C166" s="29" t="s">
        <v>684</v>
      </c>
      <c r="D166" s="13" t="s">
        <v>223</v>
      </c>
      <c r="E166" s="228"/>
      <c r="F166" s="156" t="s">
        <v>685</v>
      </c>
      <c r="G166" s="24"/>
      <c r="H166" s="230">
        <v>4</v>
      </c>
      <c r="I166" s="220">
        <v>22000</v>
      </c>
      <c r="J166" s="220">
        <v>1760</v>
      </c>
      <c r="K166" s="220">
        <v>0</v>
      </c>
      <c r="L166" s="220">
        <v>16090</v>
      </c>
      <c r="M166" s="220">
        <v>10800</v>
      </c>
      <c r="N166" s="220">
        <f>SUM(I166:M166)</f>
        <v>50650</v>
      </c>
      <c r="O166" s="224"/>
      <c r="P166" s="146" t="s">
        <v>686</v>
      </c>
      <c r="Q166" s="15" t="s">
        <v>19</v>
      </c>
      <c r="R166" s="205"/>
      <c r="S166" s="189"/>
      <c r="T166" s="114" t="s">
        <v>687</v>
      </c>
      <c r="U166" s="21"/>
      <c r="V166" s="160"/>
      <c r="W166" s="116"/>
      <c r="X166" s="220"/>
      <c r="Y166" s="245">
        <f>X166*0.1</f>
        <v>0</v>
      </c>
      <c r="Z166" s="220"/>
      <c r="AA166" s="220">
        <f>SUM(X166:Z166)</f>
        <v>0</v>
      </c>
      <c r="AB166" s="246"/>
    </row>
    <row r="167" spans="1:28" ht="17.100000000000001" customHeight="1" thickBot="1">
      <c r="A167" s="227"/>
      <c r="B167" s="27" t="s">
        <v>654</v>
      </c>
      <c r="C167" s="27">
        <v>10510</v>
      </c>
      <c r="D167" s="14" t="s">
        <v>302</v>
      </c>
      <c r="E167" s="229"/>
      <c r="F167" s="117" t="s">
        <v>688</v>
      </c>
      <c r="G167" s="26">
        <v>105606</v>
      </c>
      <c r="H167" s="231"/>
      <c r="I167" s="221"/>
      <c r="J167" s="221"/>
      <c r="K167" s="221"/>
      <c r="L167" s="221"/>
      <c r="M167" s="221"/>
      <c r="N167" s="221"/>
      <c r="O167" s="225"/>
      <c r="P167" s="120" t="s">
        <v>689</v>
      </c>
      <c r="Q167" s="16" t="s">
        <v>20</v>
      </c>
      <c r="R167" s="17" t="s">
        <v>690</v>
      </c>
      <c r="S167" s="121" t="s">
        <v>78</v>
      </c>
      <c r="T167" s="122"/>
      <c r="U167" s="22"/>
      <c r="V167" s="159"/>
      <c r="W167" s="122"/>
      <c r="X167" s="221"/>
      <c r="Y167" s="221"/>
      <c r="Z167" s="221"/>
      <c r="AA167" s="221"/>
      <c r="AB167" s="247"/>
    </row>
    <row r="168" spans="1:28" ht="17.100000000000001" customHeight="1" thickTop="1">
      <c r="A168" s="226" t="s">
        <v>5715</v>
      </c>
      <c r="B168" s="28">
        <v>43488</v>
      </c>
      <c r="C168" s="29" t="s">
        <v>691</v>
      </c>
      <c r="D168" s="13" t="s">
        <v>692</v>
      </c>
      <c r="E168" s="228"/>
      <c r="F168" s="156" t="s">
        <v>693</v>
      </c>
      <c r="G168" s="24" t="s">
        <v>694</v>
      </c>
      <c r="H168" s="230">
        <v>3.5</v>
      </c>
      <c r="I168" s="220">
        <v>362000</v>
      </c>
      <c r="J168" s="220">
        <v>28960</v>
      </c>
      <c r="K168" s="220">
        <v>15000</v>
      </c>
      <c r="L168" s="220">
        <v>8930</v>
      </c>
      <c r="M168" s="220">
        <v>15660</v>
      </c>
      <c r="N168" s="220">
        <f>SUM(I168:M168)</f>
        <v>430550</v>
      </c>
      <c r="O168" s="224">
        <v>100000</v>
      </c>
      <c r="P168" s="146" t="s">
        <v>695</v>
      </c>
      <c r="Q168" s="15" t="s">
        <v>19</v>
      </c>
      <c r="R168" s="205"/>
      <c r="S168" s="189" t="s">
        <v>576</v>
      </c>
      <c r="T168" s="114" t="s">
        <v>696</v>
      </c>
      <c r="U168" s="21"/>
      <c r="V168" s="160"/>
      <c r="W168" s="116"/>
      <c r="X168" s="220"/>
      <c r="Y168" s="245">
        <f>X168*0.1</f>
        <v>0</v>
      </c>
      <c r="Z168" s="220"/>
      <c r="AA168" s="220">
        <f>SUM(X168:Z168)</f>
        <v>0</v>
      </c>
      <c r="AB168" s="246"/>
    </row>
    <row r="169" spans="1:28" ht="17.100000000000001" customHeight="1" thickBot="1">
      <c r="A169" s="227"/>
      <c r="B169" s="27" t="s">
        <v>643</v>
      </c>
      <c r="C169" s="27">
        <v>9185</v>
      </c>
      <c r="D169" s="14" t="s">
        <v>263</v>
      </c>
      <c r="E169" s="229"/>
      <c r="F169" s="117" t="s">
        <v>697</v>
      </c>
      <c r="G169" s="26">
        <v>54030</v>
      </c>
      <c r="H169" s="231"/>
      <c r="I169" s="221"/>
      <c r="J169" s="221"/>
      <c r="K169" s="221"/>
      <c r="L169" s="221"/>
      <c r="M169" s="221"/>
      <c r="N169" s="221"/>
      <c r="O169" s="225"/>
      <c r="P169" s="120" t="s">
        <v>698</v>
      </c>
      <c r="Q169" s="16" t="s">
        <v>20</v>
      </c>
      <c r="R169" s="17" t="s">
        <v>699</v>
      </c>
      <c r="S169" s="121" t="s">
        <v>156</v>
      </c>
      <c r="T169" s="122"/>
      <c r="U169" s="22"/>
      <c r="V169" s="159"/>
      <c r="W169" s="122"/>
      <c r="X169" s="221"/>
      <c r="Y169" s="221"/>
      <c r="Z169" s="221"/>
      <c r="AA169" s="221"/>
      <c r="AB169" s="247"/>
    </row>
    <row r="170" spans="1:28" ht="17.100000000000001" customHeight="1" thickTop="1">
      <c r="A170" s="226" t="s">
        <v>5716</v>
      </c>
      <c r="B170" s="28">
        <v>43495</v>
      </c>
      <c r="C170" s="29" t="s">
        <v>700</v>
      </c>
      <c r="D170" s="13" t="s">
        <v>259</v>
      </c>
      <c r="E170" s="228"/>
      <c r="F170" s="156" t="s">
        <v>701</v>
      </c>
      <c r="G170" s="24" t="s">
        <v>702</v>
      </c>
      <c r="H170" s="230">
        <v>3.5</v>
      </c>
      <c r="I170" s="220">
        <v>226000</v>
      </c>
      <c r="J170" s="220">
        <v>18080</v>
      </c>
      <c r="K170" s="220">
        <v>10000</v>
      </c>
      <c r="L170" s="220">
        <v>9880</v>
      </c>
      <c r="M170" s="220">
        <v>12960</v>
      </c>
      <c r="N170" s="220">
        <f>SUM(I170:M170)</f>
        <v>276920</v>
      </c>
      <c r="O170" s="224">
        <v>70000</v>
      </c>
      <c r="P170" s="146" t="s">
        <v>703</v>
      </c>
      <c r="Q170" s="15" t="s">
        <v>19</v>
      </c>
      <c r="R170" s="205"/>
      <c r="S170" s="189"/>
      <c r="T170" s="114"/>
      <c r="U170" s="21"/>
      <c r="V170" s="160"/>
      <c r="W170" s="116"/>
      <c r="X170" s="220"/>
      <c r="Y170" s="245">
        <f>X170*0.1</f>
        <v>0</v>
      </c>
      <c r="Z170" s="220"/>
      <c r="AA170" s="220">
        <f>SUM(X170:Z170)</f>
        <v>0</v>
      </c>
      <c r="AB170" s="246"/>
    </row>
    <row r="171" spans="1:28" ht="17.100000000000001" customHeight="1" thickBot="1">
      <c r="A171" s="227"/>
      <c r="B171" s="27" t="s">
        <v>577</v>
      </c>
      <c r="C171" s="27">
        <v>10159</v>
      </c>
      <c r="D171" s="14" t="s">
        <v>704</v>
      </c>
      <c r="E171" s="229"/>
      <c r="F171" s="117" t="s">
        <v>705</v>
      </c>
      <c r="G171" s="26">
        <v>41155</v>
      </c>
      <c r="H171" s="231"/>
      <c r="I171" s="221"/>
      <c r="J171" s="221"/>
      <c r="K171" s="221"/>
      <c r="L171" s="221"/>
      <c r="M171" s="221"/>
      <c r="N171" s="221"/>
      <c r="O171" s="225"/>
      <c r="P171" s="120" t="s">
        <v>706</v>
      </c>
      <c r="Q171" s="16" t="s">
        <v>20</v>
      </c>
      <c r="R171" s="17" t="s">
        <v>707</v>
      </c>
      <c r="S171" s="121" t="s">
        <v>708</v>
      </c>
      <c r="T171" s="122"/>
      <c r="U171" s="22"/>
      <c r="V171" s="159"/>
      <c r="W171" s="122"/>
      <c r="X171" s="221"/>
      <c r="Y171" s="221"/>
      <c r="Z171" s="221"/>
      <c r="AA171" s="221"/>
      <c r="AB171" s="247"/>
    </row>
    <row r="172" spans="1:28" ht="17.100000000000001" customHeight="1" thickTop="1">
      <c r="A172" s="226" t="s">
        <v>5717</v>
      </c>
      <c r="B172" s="28">
        <v>43495</v>
      </c>
      <c r="C172" s="29" t="s">
        <v>700</v>
      </c>
      <c r="D172" s="13" t="s">
        <v>709</v>
      </c>
      <c r="E172" s="228"/>
      <c r="F172" s="156" t="s">
        <v>710</v>
      </c>
      <c r="G172" s="24" t="s">
        <v>711</v>
      </c>
      <c r="H172" s="230">
        <v>4</v>
      </c>
      <c r="I172" s="220">
        <v>452000</v>
      </c>
      <c r="J172" s="220">
        <v>36160</v>
      </c>
      <c r="K172" s="220">
        <v>10000</v>
      </c>
      <c r="L172" s="220">
        <v>9200</v>
      </c>
      <c r="M172" s="220">
        <v>12960</v>
      </c>
      <c r="N172" s="220">
        <f>SUM(I172:M172)</f>
        <v>520320</v>
      </c>
      <c r="O172" s="224">
        <v>300000</v>
      </c>
      <c r="P172" s="146" t="s">
        <v>712</v>
      </c>
      <c r="Q172" s="15" t="s">
        <v>19</v>
      </c>
      <c r="R172" s="205"/>
      <c r="S172" s="189" t="s">
        <v>713</v>
      </c>
      <c r="T172" s="114"/>
      <c r="U172" s="21"/>
      <c r="V172" s="160"/>
      <c r="W172" s="116"/>
      <c r="X172" s="220"/>
      <c r="Y172" s="245">
        <f>X172*0.1</f>
        <v>0</v>
      </c>
      <c r="Z172" s="220"/>
      <c r="AA172" s="220">
        <f>SUM(X172:Z172)</f>
        <v>0</v>
      </c>
      <c r="AB172" s="246"/>
    </row>
    <row r="173" spans="1:28" ht="17.100000000000001" customHeight="1" thickBot="1">
      <c r="A173" s="227"/>
      <c r="B173" s="27" t="s">
        <v>577</v>
      </c>
      <c r="C173" s="27">
        <v>10467</v>
      </c>
      <c r="D173" s="14" t="s">
        <v>714</v>
      </c>
      <c r="E173" s="229"/>
      <c r="F173" s="117" t="s">
        <v>715</v>
      </c>
      <c r="G173" s="26">
        <v>52695</v>
      </c>
      <c r="H173" s="231"/>
      <c r="I173" s="221"/>
      <c r="J173" s="221"/>
      <c r="K173" s="221"/>
      <c r="L173" s="221"/>
      <c r="M173" s="221"/>
      <c r="N173" s="221"/>
      <c r="O173" s="225"/>
      <c r="P173" s="120" t="s">
        <v>716</v>
      </c>
      <c r="Q173" s="16" t="s">
        <v>20</v>
      </c>
      <c r="R173" s="17" t="s">
        <v>717</v>
      </c>
      <c r="S173" s="121" t="s">
        <v>718</v>
      </c>
      <c r="T173" s="122"/>
      <c r="U173" s="22"/>
      <c r="V173" s="159"/>
      <c r="W173" s="122"/>
      <c r="X173" s="221"/>
      <c r="Y173" s="221"/>
      <c r="Z173" s="221"/>
      <c r="AA173" s="221"/>
      <c r="AB173" s="247"/>
    </row>
    <row r="174" spans="1:28" ht="17.100000000000001" customHeight="1" thickTop="1">
      <c r="A174" s="226" t="s">
        <v>5718</v>
      </c>
      <c r="B174" s="28">
        <v>43509</v>
      </c>
      <c r="C174" s="29" t="s">
        <v>719</v>
      </c>
      <c r="D174" s="13" t="s">
        <v>720</v>
      </c>
      <c r="E174" s="228"/>
      <c r="F174" s="156" t="s">
        <v>721</v>
      </c>
      <c r="G174" s="24"/>
      <c r="H174" s="230">
        <v>3.5</v>
      </c>
      <c r="I174" s="220">
        <v>326000</v>
      </c>
      <c r="J174" s="220">
        <v>26080</v>
      </c>
      <c r="K174" s="220">
        <v>0</v>
      </c>
      <c r="L174" s="220">
        <v>9790</v>
      </c>
      <c r="M174" s="220">
        <v>12960</v>
      </c>
      <c r="N174" s="220">
        <f>SUM(I174:M174)</f>
        <v>374830</v>
      </c>
      <c r="O174" s="224">
        <v>140000</v>
      </c>
      <c r="P174" s="145" t="s">
        <v>722</v>
      </c>
      <c r="Q174" s="15" t="s">
        <v>19</v>
      </c>
      <c r="R174" s="205"/>
      <c r="S174" s="189"/>
      <c r="T174" s="114"/>
      <c r="U174" s="21"/>
      <c r="V174" s="115"/>
      <c r="W174" s="116"/>
      <c r="X174" s="220"/>
      <c r="Y174" s="245">
        <f>X174*0.1</f>
        <v>0</v>
      </c>
      <c r="Z174" s="220"/>
      <c r="AA174" s="220">
        <f>SUM(X174:Z174)</f>
        <v>0</v>
      </c>
      <c r="AB174" s="246"/>
    </row>
    <row r="175" spans="1:28" ht="17.100000000000001" customHeight="1" thickBot="1">
      <c r="A175" s="227"/>
      <c r="B175" s="27" t="s">
        <v>577</v>
      </c>
      <c r="C175" s="27">
        <v>10013</v>
      </c>
      <c r="D175" s="14" t="s">
        <v>445</v>
      </c>
      <c r="E175" s="229"/>
      <c r="F175" s="117" t="s">
        <v>723</v>
      </c>
      <c r="G175" s="26">
        <v>58890</v>
      </c>
      <c r="H175" s="231"/>
      <c r="I175" s="221"/>
      <c r="J175" s="221"/>
      <c r="K175" s="221"/>
      <c r="L175" s="221"/>
      <c r="M175" s="221"/>
      <c r="N175" s="221"/>
      <c r="O175" s="225"/>
      <c r="P175" s="119" t="s">
        <v>724</v>
      </c>
      <c r="Q175" s="16" t="s">
        <v>20</v>
      </c>
      <c r="R175" s="17" t="s">
        <v>725</v>
      </c>
      <c r="S175" s="121" t="s">
        <v>726</v>
      </c>
      <c r="T175" s="122"/>
      <c r="U175" s="22"/>
      <c r="V175" s="123"/>
      <c r="W175" s="122"/>
      <c r="X175" s="221"/>
      <c r="Y175" s="221"/>
      <c r="Z175" s="221"/>
      <c r="AA175" s="221"/>
      <c r="AB175" s="247"/>
    </row>
    <row r="176" spans="1:28" ht="17.100000000000001" customHeight="1" thickTop="1">
      <c r="A176" s="226" t="s">
        <v>5719</v>
      </c>
      <c r="B176" s="28">
        <v>43533</v>
      </c>
      <c r="C176" s="29" t="s">
        <v>727</v>
      </c>
      <c r="D176" s="13" t="s">
        <v>728</v>
      </c>
      <c r="E176" s="228"/>
      <c r="F176" s="156" t="s">
        <v>729</v>
      </c>
      <c r="G176" s="24" t="s">
        <v>730</v>
      </c>
      <c r="H176" s="230">
        <v>4.5</v>
      </c>
      <c r="I176" s="220">
        <v>1995000</v>
      </c>
      <c r="J176" s="220">
        <v>159600</v>
      </c>
      <c r="K176" s="220">
        <v>39500</v>
      </c>
      <c r="L176" s="220">
        <v>19100</v>
      </c>
      <c r="M176" s="220">
        <v>12960</v>
      </c>
      <c r="N176" s="220">
        <f>SUM(I176:M176)</f>
        <v>2226160</v>
      </c>
      <c r="O176" s="224">
        <v>1400000</v>
      </c>
      <c r="P176" s="145" t="s">
        <v>731</v>
      </c>
      <c r="Q176" s="15" t="s">
        <v>19</v>
      </c>
      <c r="R176" s="205"/>
      <c r="S176" s="189" t="s">
        <v>732</v>
      </c>
      <c r="T176" s="114" t="s">
        <v>733</v>
      </c>
      <c r="U176" s="21"/>
      <c r="V176" s="115"/>
      <c r="W176" s="116"/>
      <c r="X176" s="220"/>
      <c r="Y176" s="245">
        <f>X176*0.1</f>
        <v>0</v>
      </c>
      <c r="Z176" s="220"/>
      <c r="AA176" s="220">
        <f>SUM(X176:Z176)</f>
        <v>0</v>
      </c>
      <c r="AB176" s="246"/>
    </row>
    <row r="177" spans="1:28" ht="17.100000000000001" customHeight="1" thickBot="1">
      <c r="A177" s="227"/>
      <c r="B177" s="27" t="s">
        <v>734</v>
      </c>
      <c r="C177" s="27">
        <v>59210</v>
      </c>
      <c r="D177" s="14" t="s">
        <v>219</v>
      </c>
      <c r="E177" s="229"/>
      <c r="F177" s="117" t="s">
        <v>735</v>
      </c>
      <c r="G177" s="26">
        <v>35405</v>
      </c>
      <c r="H177" s="231"/>
      <c r="I177" s="221"/>
      <c r="J177" s="221"/>
      <c r="K177" s="221"/>
      <c r="L177" s="221"/>
      <c r="M177" s="221"/>
      <c r="N177" s="221"/>
      <c r="O177" s="225"/>
      <c r="P177" s="119" t="s">
        <v>736</v>
      </c>
      <c r="Q177" s="16" t="s">
        <v>20</v>
      </c>
      <c r="R177" s="17" t="s">
        <v>737</v>
      </c>
      <c r="S177" s="121" t="s">
        <v>738</v>
      </c>
      <c r="T177" s="122"/>
      <c r="U177" s="22" t="s">
        <v>50</v>
      </c>
      <c r="V177" s="123"/>
      <c r="W177" s="122"/>
      <c r="X177" s="221"/>
      <c r="Y177" s="221"/>
      <c r="Z177" s="221"/>
      <c r="AA177" s="221"/>
      <c r="AB177" s="247"/>
    </row>
    <row r="178" spans="1:28" ht="17.100000000000001" customHeight="1" thickTop="1">
      <c r="A178" s="226" t="s">
        <v>5720</v>
      </c>
      <c r="B178" s="28">
        <v>43591</v>
      </c>
      <c r="C178" s="29" t="s">
        <v>739</v>
      </c>
      <c r="D178" s="13" t="s">
        <v>261</v>
      </c>
      <c r="E178" s="228"/>
      <c r="F178" s="156" t="s">
        <v>740</v>
      </c>
      <c r="G178" s="24" t="s">
        <v>741</v>
      </c>
      <c r="H178" s="230">
        <v>4</v>
      </c>
      <c r="I178" s="220">
        <v>1820000</v>
      </c>
      <c r="J178" s="220">
        <v>145600</v>
      </c>
      <c r="K178" s="220">
        <v>32900</v>
      </c>
      <c r="L178" s="220">
        <v>22120</v>
      </c>
      <c r="M178" s="220">
        <v>10800</v>
      </c>
      <c r="N178" s="220">
        <f>SUM(I178:M178)</f>
        <v>2031420</v>
      </c>
      <c r="O178" s="224">
        <v>1100000</v>
      </c>
      <c r="P178" s="145" t="s">
        <v>742</v>
      </c>
      <c r="Q178" s="15" t="s">
        <v>19</v>
      </c>
      <c r="R178" s="205"/>
      <c r="S178" s="189" t="s">
        <v>743</v>
      </c>
      <c r="T178" s="114"/>
      <c r="U178" s="21"/>
      <c r="V178" s="115"/>
      <c r="W178" s="116"/>
      <c r="X178" s="220"/>
      <c r="Y178" s="245">
        <f>X178*0.1</f>
        <v>0</v>
      </c>
      <c r="Z178" s="220"/>
      <c r="AA178" s="220">
        <f>SUM(X178:Z178)</f>
        <v>0</v>
      </c>
      <c r="AB178" s="246"/>
    </row>
    <row r="179" spans="1:28" ht="17.100000000000001" customHeight="1" thickBot="1">
      <c r="A179" s="227"/>
      <c r="B179" s="27" t="s">
        <v>654</v>
      </c>
      <c r="C179" s="27">
        <v>37016</v>
      </c>
      <c r="D179" s="14" t="s">
        <v>744</v>
      </c>
      <c r="E179" s="229"/>
      <c r="F179" s="117" t="s">
        <v>745</v>
      </c>
      <c r="G179" s="26">
        <v>19663</v>
      </c>
      <c r="H179" s="231"/>
      <c r="I179" s="221"/>
      <c r="J179" s="221"/>
      <c r="K179" s="221"/>
      <c r="L179" s="221"/>
      <c r="M179" s="221"/>
      <c r="N179" s="221"/>
      <c r="O179" s="225"/>
      <c r="P179" s="119" t="s">
        <v>674</v>
      </c>
      <c r="Q179" s="16" t="s">
        <v>20</v>
      </c>
      <c r="R179" s="17" t="s">
        <v>746</v>
      </c>
      <c r="S179" s="121" t="s">
        <v>747</v>
      </c>
      <c r="T179" s="122"/>
      <c r="U179" s="22" t="s">
        <v>50</v>
      </c>
      <c r="V179" s="123"/>
      <c r="W179" s="122"/>
      <c r="X179" s="221"/>
      <c r="Y179" s="221"/>
      <c r="Z179" s="221"/>
      <c r="AA179" s="221"/>
      <c r="AB179" s="247"/>
    </row>
    <row r="180" spans="1:28" ht="17.100000000000001" customHeight="1" thickTop="1">
      <c r="A180" s="226" t="s">
        <v>5721</v>
      </c>
      <c r="B180" s="28">
        <v>43598</v>
      </c>
      <c r="C180" s="29" t="s">
        <v>748</v>
      </c>
      <c r="D180" s="13" t="s">
        <v>406</v>
      </c>
      <c r="E180" s="228"/>
      <c r="F180" s="156" t="s">
        <v>749</v>
      </c>
      <c r="G180" s="24"/>
      <c r="H180" s="230">
        <v>3.5</v>
      </c>
      <c r="I180" s="220">
        <v>465000</v>
      </c>
      <c r="J180" s="220">
        <v>37200</v>
      </c>
      <c r="K180" s="220">
        <v>0</v>
      </c>
      <c r="L180" s="220">
        <v>10460</v>
      </c>
      <c r="M180" s="220">
        <v>9720</v>
      </c>
      <c r="N180" s="220">
        <f>SUM(I180:M180)</f>
        <v>522380</v>
      </c>
      <c r="O180" s="224">
        <v>350000</v>
      </c>
      <c r="P180" s="145" t="s">
        <v>750</v>
      </c>
      <c r="Q180" s="15" t="s">
        <v>19</v>
      </c>
      <c r="R180" s="205"/>
      <c r="S180" s="189"/>
      <c r="T180" s="114"/>
      <c r="U180" s="21"/>
      <c r="V180" s="115"/>
      <c r="W180" s="116"/>
      <c r="X180" s="220"/>
      <c r="Y180" s="245">
        <f>X180*0.1</f>
        <v>0</v>
      </c>
      <c r="Z180" s="220"/>
      <c r="AA180" s="220">
        <f>SUM(X180:Z180)</f>
        <v>0</v>
      </c>
      <c r="AB180" s="246"/>
    </row>
    <row r="181" spans="1:28" ht="17.100000000000001" customHeight="1" thickBot="1">
      <c r="A181" s="227"/>
      <c r="B181" s="27" t="s">
        <v>654</v>
      </c>
      <c r="C181" s="27">
        <v>11069</v>
      </c>
      <c r="D181" s="14" t="s">
        <v>65</v>
      </c>
      <c r="E181" s="229"/>
      <c r="F181" s="117" t="s">
        <v>751</v>
      </c>
      <c r="G181" s="26">
        <v>26682</v>
      </c>
      <c r="H181" s="231"/>
      <c r="I181" s="221"/>
      <c r="J181" s="221"/>
      <c r="K181" s="221"/>
      <c r="L181" s="221"/>
      <c r="M181" s="221"/>
      <c r="N181" s="221"/>
      <c r="O181" s="225"/>
      <c r="P181" s="119" t="s">
        <v>752</v>
      </c>
      <c r="Q181" s="16" t="s">
        <v>20</v>
      </c>
      <c r="R181" s="17" t="s">
        <v>753</v>
      </c>
      <c r="S181" s="121"/>
      <c r="T181" s="122"/>
      <c r="U181" s="22"/>
      <c r="V181" s="123"/>
      <c r="W181" s="122"/>
      <c r="X181" s="221"/>
      <c r="Y181" s="221"/>
      <c r="Z181" s="221"/>
      <c r="AA181" s="221"/>
      <c r="AB181" s="247"/>
    </row>
    <row r="182" spans="1:28" ht="17.100000000000001" customHeight="1" thickTop="1">
      <c r="A182" s="226" t="s">
        <v>5722</v>
      </c>
      <c r="B182" s="28">
        <v>43603</v>
      </c>
      <c r="C182" s="29" t="s">
        <v>754</v>
      </c>
      <c r="D182" s="13" t="s">
        <v>755</v>
      </c>
      <c r="E182" s="228"/>
      <c r="F182" s="156" t="s">
        <v>756</v>
      </c>
      <c r="G182" s="24"/>
      <c r="H182" s="230">
        <v>4.5</v>
      </c>
      <c r="I182" s="220">
        <v>1505000</v>
      </c>
      <c r="J182" s="220">
        <v>120400</v>
      </c>
      <c r="K182" s="220">
        <v>0</v>
      </c>
      <c r="L182" s="220">
        <v>21970</v>
      </c>
      <c r="M182" s="220">
        <v>12960</v>
      </c>
      <c r="N182" s="220">
        <f>SUM(I182:M182)</f>
        <v>1660330</v>
      </c>
      <c r="O182" s="224">
        <v>700000</v>
      </c>
      <c r="P182" s="145" t="s">
        <v>757</v>
      </c>
      <c r="Q182" s="15" t="s">
        <v>19</v>
      </c>
      <c r="R182" s="205"/>
      <c r="S182" s="189" t="s">
        <v>758</v>
      </c>
      <c r="T182" s="114"/>
      <c r="U182" s="21"/>
      <c r="V182" s="115"/>
      <c r="W182" s="116"/>
      <c r="X182" s="220"/>
      <c r="Y182" s="245">
        <f>X182*0.1</f>
        <v>0</v>
      </c>
      <c r="Z182" s="220"/>
      <c r="AA182" s="220">
        <f>SUM(X182:Z182)</f>
        <v>0</v>
      </c>
      <c r="AB182" s="246"/>
    </row>
    <row r="183" spans="1:28" ht="17.100000000000001" customHeight="1" thickBot="1">
      <c r="A183" s="227"/>
      <c r="B183" s="27" t="s">
        <v>734</v>
      </c>
      <c r="C183" s="27">
        <v>57114</v>
      </c>
      <c r="D183" s="14" t="s">
        <v>759</v>
      </c>
      <c r="E183" s="229"/>
      <c r="F183" s="117" t="s">
        <v>760</v>
      </c>
      <c r="G183" s="26">
        <v>38971</v>
      </c>
      <c r="H183" s="231"/>
      <c r="I183" s="221"/>
      <c r="J183" s="221"/>
      <c r="K183" s="221"/>
      <c r="L183" s="221"/>
      <c r="M183" s="221"/>
      <c r="N183" s="221"/>
      <c r="O183" s="225"/>
      <c r="P183" s="119" t="s">
        <v>761</v>
      </c>
      <c r="Q183" s="16" t="s">
        <v>20</v>
      </c>
      <c r="R183" s="17" t="s">
        <v>762</v>
      </c>
      <c r="S183" s="121" t="s">
        <v>763</v>
      </c>
      <c r="T183" s="122"/>
      <c r="U183" s="22"/>
      <c r="V183" s="123"/>
      <c r="W183" s="122"/>
      <c r="X183" s="221"/>
      <c r="Y183" s="221"/>
      <c r="Z183" s="221"/>
      <c r="AA183" s="221"/>
      <c r="AB183" s="247"/>
    </row>
    <row r="184" spans="1:28" ht="17.100000000000001" customHeight="1" thickTop="1">
      <c r="A184" s="226" t="s">
        <v>5723</v>
      </c>
      <c r="B184" s="28">
        <v>43607</v>
      </c>
      <c r="C184" s="29" t="s">
        <v>764</v>
      </c>
      <c r="D184" s="13" t="s">
        <v>765</v>
      </c>
      <c r="E184" s="228"/>
      <c r="F184" s="156" t="s">
        <v>766</v>
      </c>
      <c r="G184" s="24"/>
      <c r="H184" s="230">
        <v>4</v>
      </c>
      <c r="I184" s="220">
        <v>520000</v>
      </c>
      <c r="J184" s="220">
        <v>41600</v>
      </c>
      <c r="K184" s="220">
        <v>0</v>
      </c>
      <c r="L184" s="220">
        <v>23900</v>
      </c>
      <c r="M184" s="220">
        <v>10800</v>
      </c>
      <c r="N184" s="220">
        <f>SUM(I184:M184)</f>
        <v>596300</v>
      </c>
      <c r="O184" s="224">
        <v>250000</v>
      </c>
      <c r="P184" s="145" t="s">
        <v>767</v>
      </c>
      <c r="Q184" s="15" t="s">
        <v>19</v>
      </c>
      <c r="R184" s="205"/>
      <c r="S184" s="189"/>
      <c r="T184" s="114"/>
      <c r="U184" s="21"/>
      <c r="V184" s="115"/>
      <c r="W184" s="116"/>
      <c r="X184" s="220"/>
      <c r="Y184" s="245">
        <f>X184*0.1</f>
        <v>0</v>
      </c>
      <c r="Z184" s="220"/>
      <c r="AA184" s="220">
        <f>SUM(X184:Z184)</f>
        <v>0</v>
      </c>
      <c r="AB184" s="246"/>
    </row>
    <row r="185" spans="1:28" ht="17.100000000000001" customHeight="1" thickBot="1">
      <c r="A185" s="227"/>
      <c r="B185" s="27" t="s">
        <v>255</v>
      </c>
      <c r="C185" s="27">
        <v>4069</v>
      </c>
      <c r="D185" s="14" t="s">
        <v>263</v>
      </c>
      <c r="E185" s="229"/>
      <c r="F185" s="117" t="s">
        <v>768</v>
      </c>
      <c r="G185" s="26">
        <v>56221</v>
      </c>
      <c r="H185" s="231"/>
      <c r="I185" s="221"/>
      <c r="J185" s="221"/>
      <c r="K185" s="221"/>
      <c r="L185" s="221"/>
      <c r="M185" s="221"/>
      <c r="N185" s="221"/>
      <c r="O185" s="225"/>
      <c r="P185" s="119" t="s">
        <v>769</v>
      </c>
      <c r="Q185" s="16" t="s">
        <v>20</v>
      </c>
      <c r="R185" s="17" t="s">
        <v>770</v>
      </c>
      <c r="S185" s="121" t="s">
        <v>589</v>
      </c>
      <c r="T185" s="122"/>
      <c r="U185" s="22"/>
      <c r="V185" s="123"/>
      <c r="W185" s="122"/>
      <c r="X185" s="221"/>
      <c r="Y185" s="221"/>
      <c r="Z185" s="221"/>
      <c r="AA185" s="221"/>
      <c r="AB185" s="247"/>
    </row>
    <row r="186" spans="1:28" ht="17.100000000000001" customHeight="1" thickTop="1">
      <c r="A186" s="226" t="s">
        <v>5724</v>
      </c>
      <c r="B186" s="28">
        <v>43608</v>
      </c>
      <c r="C186" s="29" t="s">
        <v>771</v>
      </c>
      <c r="D186" s="13" t="s">
        <v>659</v>
      </c>
      <c r="E186" s="228"/>
      <c r="F186" s="156" t="s">
        <v>772</v>
      </c>
      <c r="G186" s="24"/>
      <c r="H186" s="230">
        <v>4</v>
      </c>
      <c r="I186" s="220">
        <v>2900000</v>
      </c>
      <c r="J186" s="220">
        <v>232000</v>
      </c>
      <c r="K186" s="220">
        <v>0</v>
      </c>
      <c r="L186" s="220">
        <v>19100</v>
      </c>
      <c r="M186" s="220">
        <v>12960</v>
      </c>
      <c r="N186" s="220">
        <f>SUM(I186:M186)</f>
        <v>3164060</v>
      </c>
      <c r="O186" s="224">
        <v>2000000</v>
      </c>
      <c r="P186" s="145" t="s">
        <v>773</v>
      </c>
      <c r="Q186" s="15" t="s">
        <v>19</v>
      </c>
      <c r="R186" s="205"/>
      <c r="S186" s="189"/>
      <c r="T186" s="114"/>
      <c r="U186" s="21"/>
      <c r="V186" s="115"/>
      <c r="W186" s="116"/>
      <c r="X186" s="220"/>
      <c r="Y186" s="245">
        <f>X186*0.1</f>
        <v>0</v>
      </c>
      <c r="Z186" s="220"/>
      <c r="AA186" s="220">
        <f>SUM(X186:Z186)</f>
        <v>0</v>
      </c>
      <c r="AB186" s="246"/>
    </row>
    <row r="187" spans="1:28" ht="17.100000000000001" customHeight="1" thickBot="1">
      <c r="A187" s="227"/>
      <c r="B187" s="27" t="s">
        <v>248</v>
      </c>
      <c r="C187" s="27">
        <v>22</v>
      </c>
      <c r="D187" s="14" t="s">
        <v>219</v>
      </c>
      <c r="E187" s="229"/>
      <c r="F187" s="117" t="s">
        <v>774</v>
      </c>
      <c r="G187" s="26">
        <v>14700</v>
      </c>
      <c r="H187" s="231"/>
      <c r="I187" s="221"/>
      <c r="J187" s="221"/>
      <c r="K187" s="221"/>
      <c r="L187" s="221"/>
      <c r="M187" s="221"/>
      <c r="N187" s="221"/>
      <c r="O187" s="225"/>
      <c r="P187" s="119" t="s">
        <v>579</v>
      </c>
      <c r="Q187" s="16" t="s">
        <v>20</v>
      </c>
      <c r="R187" s="17" t="s">
        <v>775</v>
      </c>
      <c r="S187" s="121" t="s">
        <v>776</v>
      </c>
      <c r="T187" s="122"/>
      <c r="U187" s="22"/>
      <c r="V187" s="123"/>
      <c r="W187" s="122"/>
      <c r="X187" s="221"/>
      <c r="Y187" s="221"/>
      <c r="Z187" s="221"/>
      <c r="AA187" s="221"/>
      <c r="AB187" s="247"/>
    </row>
    <row r="188" spans="1:28" ht="17.100000000000001" customHeight="1" thickTop="1">
      <c r="A188" s="226" t="s">
        <v>5725</v>
      </c>
      <c r="B188" s="28">
        <v>43615</v>
      </c>
      <c r="C188" s="29" t="s">
        <v>777</v>
      </c>
      <c r="D188" s="13" t="s">
        <v>778</v>
      </c>
      <c r="E188" s="228"/>
      <c r="F188" s="156" t="s">
        <v>179</v>
      </c>
      <c r="G188" s="24"/>
      <c r="H188" s="230">
        <v>4</v>
      </c>
      <c r="I188" s="220">
        <v>738000</v>
      </c>
      <c r="J188" s="220">
        <v>59040</v>
      </c>
      <c r="K188" s="220">
        <v>0</v>
      </c>
      <c r="L188" s="220">
        <v>16090</v>
      </c>
      <c r="M188" s="220">
        <v>10800</v>
      </c>
      <c r="N188" s="220">
        <f>SUM(I188:M188)</f>
        <v>823930</v>
      </c>
      <c r="O188" s="224">
        <v>400000</v>
      </c>
      <c r="P188" s="145" t="s">
        <v>779</v>
      </c>
      <c r="Q188" s="15" t="s">
        <v>19</v>
      </c>
      <c r="R188" s="205"/>
      <c r="S188" s="189" t="s">
        <v>780</v>
      </c>
      <c r="T188" s="114"/>
      <c r="U188" s="21"/>
      <c r="V188" s="115"/>
      <c r="W188" s="116"/>
      <c r="X188" s="220"/>
      <c r="Y188" s="245">
        <f>X188*0.1</f>
        <v>0</v>
      </c>
      <c r="Z188" s="220"/>
      <c r="AA188" s="220">
        <f>SUM(X188:Z188)</f>
        <v>0</v>
      </c>
      <c r="AB188" s="246"/>
    </row>
    <row r="189" spans="1:28" ht="17.100000000000001" customHeight="1" thickBot="1">
      <c r="A189" s="227"/>
      <c r="B189" s="27" t="s">
        <v>547</v>
      </c>
      <c r="C189" s="27">
        <v>80105</v>
      </c>
      <c r="D189" s="14" t="s">
        <v>781</v>
      </c>
      <c r="E189" s="229"/>
      <c r="F189" s="117" t="s">
        <v>782</v>
      </c>
      <c r="G189" s="26">
        <v>44240</v>
      </c>
      <c r="H189" s="231"/>
      <c r="I189" s="221"/>
      <c r="J189" s="221"/>
      <c r="K189" s="221"/>
      <c r="L189" s="221"/>
      <c r="M189" s="221"/>
      <c r="N189" s="221"/>
      <c r="O189" s="225"/>
      <c r="P189" s="119" t="s">
        <v>550</v>
      </c>
      <c r="Q189" s="16" t="s">
        <v>20</v>
      </c>
      <c r="R189" s="17" t="s">
        <v>783</v>
      </c>
      <c r="S189" s="121" t="s">
        <v>780</v>
      </c>
      <c r="T189" s="122"/>
      <c r="U189" s="22"/>
      <c r="V189" s="123"/>
      <c r="W189" s="122"/>
      <c r="X189" s="221"/>
      <c r="Y189" s="221"/>
      <c r="Z189" s="221"/>
      <c r="AA189" s="221"/>
      <c r="AB189" s="247"/>
    </row>
    <row r="190" spans="1:28" ht="17.100000000000001" customHeight="1" thickTop="1">
      <c r="A190" s="226" t="s">
        <v>5726</v>
      </c>
      <c r="B190" s="28">
        <v>43622</v>
      </c>
      <c r="C190" s="29" t="s">
        <v>411</v>
      </c>
      <c r="D190" s="13" t="s">
        <v>784</v>
      </c>
      <c r="E190" s="228"/>
      <c r="F190" s="156" t="s">
        <v>785</v>
      </c>
      <c r="G190" s="24" t="s">
        <v>786</v>
      </c>
      <c r="H190" s="230">
        <v>3.5</v>
      </c>
      <c r="I190" s="220">
        <v>479000</v>
      </c>
      <c r="J190" s="220">
        <v>38320</v>
      </c>
      <c r="K190" s="220">
        <v>65900</v>
      </c>
      <c r="L190" s="220">
        <v>14220</v>
      </c>
      <c r="M190" s="220">
        <v>10800</v>
      </c>
      <c r="N190" s="220">
        <f>SUM(I190:M190)</f>
        <v>608240</v>
      </c>
      <c r="O190" s="224">
        <v>200000</v>
      </c>
      <c r="P190" s="145" t="s">
        <v>787</v>
      </c>
      <c r="Q190" s="15" t="s">
        <v>19</v>
      </c>
      <c r="R190" s="205"/>
      <c r="S190" s="189"/>
      <c r="T190" s="114"/>
      <c r="U190" s="21"/>
      <c r="V190" s="115"/>
      <c r="W190" s="116"/>
      <c r="X190" s="220"/>
      <c r="Y190" s="245">
        <f>X190*0.1</f>
        <v>0</v>
      </c>
      <c r="Z190" s="220"/>
      <c r="AA190" s="220">
        <f>SUM(X190:Z190)</f>
        <v>0</v>
      </c>
      <c r="AB190" s="246"/>
    </row>
    <row r="191" spans="1:28" ht="17.100000000000001" customHeight="1" thickBot="1">
      <c r="A191" s="227"/>
      <c r="B191" s="27" t="s">
        <v>547</v>
      </c>
      <c r="C191" s="27">
        <v>30205</v>
      </c>
      <c r="D191" s="14" t="s">
        <v>759</v>
      </c>
      <c r="E191" s="229"/>
      <c r="F191" s="117" t="s">
        <v>788</v>
      </c>
      <c r="G191" s="26">
        <v>59183</v>
      </c>
      <c r="H191" s="231"/>
      <c r="I191" s="221"/>
      <c r="J191" s="221"/>
      <c r="K191" s="221"/>
      <c r="L191" s="221"/>
      <c r="M191" s="221"/>
      <c r="N191" s="221"/>
      <c r="O191" s="225"/>
      <c r="P191" s="119" t="s">
        <v>789</v>
      </c>
      <c r="Q191" s="16" t="s">
        <v>20</v>
      </c>
      <c r="R191" s="17" t="s">
        <v>790</v>
      </c>
      <c r="S191" s="121" t="s">
        <v>791</v>
      </c>
      <c r="T191" s="122"/>
      <c r="U191" s="22"/>
      <c r="V191" s="123"/>
      <c r="W191" s="122"/>
      <c r="X191" s="221"/>
      <c r="Y191" s="221"/>
      <c r="Z191" s="221"/>
      <c r="AA191" s="221"/>
      <c r="AB191" s="247"/>
    </row>
    <row r="192" spans="1:28" ht="17.100000000000001" customHeight="1" thickTop="1">
      <c r="A192" s="226" t="s">
        <v>5727</v>
      </c>
      <c r="B192" s="28">
        <v>43627</v>
      </c>
      <c r="C192" s="29" t="s">
        <v>792</v>
      </c>
      <c r="D192" s="13" t="s">
        <v>755</v>
      </c>
      <c r="E192" s="228"/>
      <c r="F192" s="156" t="s">
        <v>793</v>
      </c>
      <c r="G192" s="24" t="s">
        <v>794</v>
      </c>
      <c r="H192" s="230">
        <v>3.5</v>
      </c>
      <c r="I192" s="220">
        <v>424000</v>
      </c>
      <c r="J192" s="220">
        <v>33920</v>
      </c>
      <c r="K192" s="220">
        <v>15000</v>
      </c>
      <c r="L192" s="220">
        <v>9210</v>
      </c>
      <c r="M192" s="220">
        <v>15660</v>
      </c>
      <c r="N192" s="220">
        <f>SUM(I192:M192)</f>
        <v>497790</v>
      </c>
      <c r="O192" s="224">
        <v>200000</v>
      </c>
      <c r="P192" s="145" t="s">
        <v>795</v>
      </c>
      <c r="Q192" s="15" t="s">
        <v>19</v>
      </c>
      <c r="R192" s="205"/>
      <c r="S192" s="189" t="s">
        <v>576</v>
      </c>
      <c r="T192" s="114"/>
      <c r="U192" s="21"/>
      <c r="V192" s="115"/>
      <c r="W192" s="116"/>
      <c r="X192" s="220"/>
      <c r="Y192" s="245">
        <f>X192*0.1</f>
        <v>0</v>
      </c>
      <c r="Z192" s="220"/>
      <c r="AA192" s="220">
        <f>SUM(X192:Z192)</f>
        <v>0</v>
      </c>
      <c r="AB192" s="246"/>
    </row>
    <row r="193" spans="1:28" ht="17.100000000000001" customHeight="1" thickBot="1">
      <c r="A193" s="227"/>
      <c r="B193" s="27" t="s">
        <v>796</v>
      </c>
      <c r="C193" s="27">
        <v>3492</v>
      </c>
      <c r="D193" s="14" t="s">
        <v>65</v>
      </c>
      <c r="E193" s="229"/>
      <c r="F193" s="117" t="s">
        <v>797</v>
      </c>
      <c r="G193" s="26">
        <v>53613</v>
      </c>
      <c r="H193" s="231"/>
      <c r="I193" s="221"/>
      <c r="J193" s="221"/>
      <c r="K193" s="221"/>
      <c r="L193" s="221"/>
      <c r="M193" s="221"/>
      <c r="N193" s="221"/>
      <c r="O193" s="225"/>
      <c r="P193" s="119" t="s">
        <v>798</v>
      </c>
      <c r="Q193" s="16" t="s">
        <v>20</v>
      </c>
      <c r="R193" s="17" t="s">
        <v>799</v>
      </c>
      <c r="S193" s="121" t="s">
        <v>800</v>
      </c>
      <c r="T193" s="122"/>
      <c r="U193" s="22"/>
      <c r="V193" s="123"/>
      <c r="W193" s="122"/>
      <c r="X193" s="221"/>
      <c r="Y193" s="221"/>
      <c r="Z193" s="221"/>
      <c r="AA193" s="221"/>
      <c r="AB193" s="247"/>
    </row>
    <row r="194" spans="1:28" ht="17.100000000000001" customHeight="1" thickTop="1">
      <c r="A194" s="226" t="s">
        <v>5728</v>
      </c>
      <c r="B194" s="54">
        <v>43627</v>
      </c>
      <c r="C194" s="54"/>
      <c r="D194" s="56" t="s">
        <v>801</v>
      </c>
      <c r="E194" s="228" t="s">
        <v>164</v>
      </c>
      <c r="F194" s="142" t="s">
        <v>802</v>
      </c>
      <c r="G194" s="57" t="s">
        <v>803</v>
      </c>
      <c r="H194" s="230"/>
      <c r="I194" s="220">
        <v>15000000</v>
      </c>
      <c r="J194" s="220"/>
      <c r="K194" s="220"/>
      <c r="L194" s="220"/>
      <c r="M194" s="220"/>
      <c r="N194" s="220">
        <f>SUM(I194:M195)</f>
        <v>15000000</v>
      </c>
      <c r="O194" s="224"/>
      <c r="P194" s="143" t="s">
        <v>804</v>
      </c>
      <c r="Q194" s="15" t="s">
        <v>19</v>
      </c>
      <c r="R194" s="209"/>
      <c r="S194" s="193"/>
      <c r="T194" s="112"/>
      <c r="U194" s="21" t="s">
        <v>805</v>
      </c>
      <c r="V194" s="160">
        <v>46314</v>
      </c>
      <c r="W194" s="116"/>
      <c r="X194" s="220">
        <v>15970000</v>
      </c>
      <c r="Y194" s="245">
        <v>0</v>
      </c>
      <c r="Z194" s="220">
        <v>0</v>
      </c>
      <c r="AA194" s="220">
        <f>SUM(X194:Z194)</f>
        <v>15970000</v>
      </c>
      <c r="AB194" s="246">
        <v>46382</v>
      </c>
    </row>
    <row r="195" spans="1:28" ht="17.100000000000001" customHeight="1" thickBot="1">
      <c r="A195" s="227"/>
      <c r="B195" s="64" t="s">
        <v>806</v>
      </c>
      <c r="C195" s="58"/>
      <c r="D195" s="58" t="s">
        <v>219</v>
      </c>
      <c r="E195" s="229"/>
      <c r="F195" s="137" t="s">
        <v>807</v>
      </c>
      <c r="G195" s="59"/>
      <c r="H195" s="231"/>
      <c r="I195" s="221"/>
      <c r="J195" s="221"/>
      <c r="K195" s="221"/>
      <c r="L195" s="221"/>
      <c r="M195" s="221"/>
      <c r="N195" s="221"/>
      <c r="O195" s="225"/>
      <c r="P195" s="58" t="s">
        <v>808</v>
      </c>
      <c r="Q195" s="16" t="s">
        <v>20</v>
      </c>
      <c r="R195" s="50"/>
      <c r="S195" s="121" t="s">
        <v>809</v>
      </c>
      <c r="T195" s="120"/>
      <c r="U195" s="53"/>
      <c r="V195" s="159" t="s">
        <v>15361</v>
      </c>
      <c r="W195" s="122"/>
      <c r="X195" s="221"/>
      <c r="Y195" s="221"/>
      <c r="Z195" s="221"/>
      <c r="AA195" s="221"/>
      <c r="AB195" s="247"/>
    </row>
    <row r="196" spans="1:28" ht="17.100000000000001" customHeight="1" thickTop="1">
      <c r="A196" s="226" t="s">
        <v>5729</v>
      </c>
      <c r="B196" s="28">
        <v>43634</v>
      </c>
      <c r="C196" s="29" t="s">
        <v>810</v>
      </c>
      <c r="D196" s="13" t="s">
        <v>314</v>
      </c>
      <c r="E196" s="228"/>
      <c r="F196" s="156" t="s">
        <v>811</v>
      </c>
      <c r="G196" s="65" t="s">
        <v>812</v>
      </c>
      <c r="H196" s="230">
        <v>3.5</v>
      </c>
      <c r="I196" s="220">
        <v>688000</v>
      </c>
      <c r="J196" s="220">
        <v>55040</v>
      </c>
      <c r="K196" s="220">
        <v>15000</v>
      </c>
      <c r="L196" s="220">
        <v>7020</v>
      </c>
      <c r="M196" s="220">
        <f>14500+1160</f>
        <v>15660</v>
      </c>
      <c r="N196" s="220">
        <f>SUM(I196:M196)</f>
        <v>780720</v>
      </c>
      <c r="O196" s="224">
        <v>400000</v>
      </c>
      <c r="P196" s="145" t="s">
        <v>813</v>
      </c>
      <c r="Q196" s="15" t="s">
        <v>19</v>
      </c>
      <c r="R196" s="205"/>
      <c r="S196" s="189" t="s">
        <v>758</v>
      </c>
      <c r="T196" s="114"/>
      <c r="U196" s="21"/>
      <c r="V196" s="115"/>
      <c r="W196" s="116"/>
      <c r="X196" s="220"/>
      <c r="Y196" s="245">
        <f>X196*0.1</f>
        <v>0</v>
      </c>
      <c r="Z196" s="220"/>
      <c r="AA196" s="220">
        <f>SUM(X196:Z196)</f>
        <v>0</v>
      </c>
      <c r="AB196" s="246"/>
    </row>
    <row r="197" spans="1:28" ht="17.100000000000001" customHeight="1" thickBot="1">
      <c r="A197" s="227"/>
      <c r="B197" s="27" t="s">
        <v>796</v>
      </c>
      <c r="C197" s="27">
        <v>3338</v>
      </c>
      <c r="D197" s="14" t="s">
        <v>759</v>
      </c>
      <c r="E197" s="229"/>
      <c r="F197" s="117" t="s">
        <v>814</v>
      </c>
      <c r="G197" s="26">
        <v>31604</v>
      </c>
      <c r="H197" s="231"/>
      <c r="I197" s="221"/>
      <c r="J197" s="221"/>
      <c r="K197" s="221"/>
      <c r="L197" s="221"/>
      <c r="M197" s="221"/>
      <c r="N197" s="221"/>
      <c r="O197" s="225"/>
      <c r="P197" s="119" t="s">
        <v>815</v>
      </c>
      <c r="Q197" s="16" t="s">
        <v>20</v>
      </c>
      <c r="R197" s="17" t="s">
        <v>816</v>
      </c>
      <c r="S197" s="121" t="s">
        <v>758</v>
      </c>
      <c r="T197" s="122"/>
      <c r="U197" s="22"/>
      <c r="V197" s="123"/>
      <c r="W197" s="122"/>
      <c r="X197" s="221"/>
      <c r="Y197" s="221"/>
      <c r="Z197" s="221"/>
      <c r="AA197" s="221"/>
      <c r="AB197" s="247"/>
    </row>
    <row r="198" spans="1:28" ht="17.100000000000001" customHeight="1" thickTop="1">
      <c r="A198" s="226" t="s">
        <v>5730</v>
      </c>
      <c r="B198" s="28">
        <v>43635</v>
      </c>
      <c r="C198" s="29" t="s">
        <v>817</v>
      </c>
      <c r="D198" s="13" t="s">
        <v>818</v>
      </c>
      <c r="E198" s="228"/>
      <c r="F198" s="156" t="s">
        <v>819</v>
      </c>
      <c r="G198" s="24"/>
      <c r="H198" s="230" t="s">
        <v>652</v>
      </c>
      <c r="I198" s="220">
        <v>130000</v>
      </c>
      <c r="J198" s="220">
        <v>10400</v>
      </c>
      <c r="K198" s="220">
        <v>0</v>
      </c>
      <c r="L198" s="220">
        <v>9170</v>
      </c>
      <c r="M198" s="220">
        <f>14500+1160</f>
        <v>15660</v>
      </c>
      <c r="N198" s="220">
        <f>SUM(I198:M198)</f>
        <v>165230</v>
      </c>
      <c r="O198" s="224">
        <v>50000</v>
      </c>
      <c r="P198" s="145" t="s">
        <v>820</v>
      </c>
      <c r="Q198" s="15" t="s">
        <v>19</v>
      </c>
      <c r="R198" s="205"/>
      <c r="S198" s="189"/>
      <c r="T198" s="114"/>
      <c r="U198" s="21"/>
      <c r="V198" s="115"/>
      <c r="W198" s="116"/>
      <c r="X198" s="220"/>
      <c r="Y198" s="245">
        <f>X198*0.1</f>
        <v>0</v>
      </c>
      <c r="Z198" s="220"/>
      <c r="AA198" s="220">
        <f>SUM(X198:Z198)</f>
        <v>0</v>
      </c>
      <c r="AB198" s="246"/>
    </row>
    <row r="199" spans="1:28" ht="17.100000000000001" customHeight="1" thickBot="1">
      <c r="A199" s="227"/>
      <c r="B199" s="27" t="s">
        <v>643</v>
      </c>
      <c r="C199" s="27">
        <v>3215</v>
      </c>
      <c r="D199" s="14" t="s">
        <v>821</v>
      </c>
      <c r="E199" s="229"/>
      <c r="F199" s="117" t="s">
        <v>822</v>
      </c>
      <c r="G199" s="26">
        <v>39778</v>
      </c>
      <c r="H199" s="231"/>
      <c r="I199" s="221"/>
      <c r="J199" s="221"/>
      <c r="K199" s="221"/>
      <c r="L199" s="221"/>
      <c r="M199" s="221"/>
      <c r="N199" s="221"/>
      <c r="O199" s="225"/>
      <c r="P199" s="119" t="s">
        <v>823</v>
      </c>
      <c r="Q199" s="16" t="s">
        <v>20</v>
      </c>
      <c r="R199" s="17" t="s">
        <v>824</v>
      </c>
      <c r="S199" s="121"/>
      <c r="T199" s="122"/>
      <c r="U199" s="22"/>
      <c r="V199" s="123"/>
      <c r="W199" s="122"/>
      <c r="X199" s="221"/>
      <c r="Y199" s="221"/>
      <c r="Z199" s="221"/>
      <c r="AA199" s="221"/>
      <c r="AB199" s="247"/>
    </row>
    <row r="200" spans="1:28" ht="17.100000000000001" customHeight="1" thickTop="1">
      <c r="A200" s="226" t="s">
        <v>5731</v>
      </c>
      <c r="B200" s="28">
        <v>43635</v>
      </c>
      <c r="C200" s="29"/>
      <c r="D200" s="13" t="s">
        <v>383</v>
      </c>
      <c r="E200" s="228"/>
      <c r="F200" s="156" t="s">
        <v>825</v>
      </c>
      <c r="G200" s="24" t="s">
        <v>555</v>
      </c>
      <c r="H200" s="230" t="s">
        <v>652</v>
      </c>
      <c r="I200" s="220">
        <v>815000</v>
      </c>
      <c r="J200" s="220">
        <v>65200</v>
      </c>
      <c r="K200" s="220">
        <v>26300</v>
      </c>
      <c r="L200" s="220">
        <v>9810</v>
      </c>
      <c r="M200" s="220">
        <f>66579+5327</f>
        <v>71906</v>
      </c>
      <c r="N200" s="220">
        <f>SUM(I200:M200)</f>
        <v>988216</v>
      </c>
      <c r="O200" s="224">
        <v>450000</v>
      </c>
      <c r="P200" s="161" t="s">
        <v>826</v>
      </c>
      <c r="Q200" s="15" t="s">
        <v>19</v>
      </c>
      <c r="R200" s="205"/>
      <c r="S200" s="189" t="s">
        <v>827</v>
      </c>
      <c r="T200" s="114"/>
      <c r="U200" s="21"/>
      <c r="V200" s="115"/>
      <c r="W200" s="116"/>
      <c r="X200" s="220"/>
      <c r="Y200" s="245">
        <f>X200*0.1</f>
        <v>0</v>
      </c>
      <c r="Z200" s="220"/>
      <c r="AA200" s="220">
        <f>SUM(X200:Z200)</f>
        <v>0</v>
      </c>
      <c r="AB200" s="246"/>
    </row>
    <row r="201" spans="1:28" ht="17.100000000000001" customHeight="1" thickBot="1">
      <c r="A201" s="227"/>
      <c r="B201" s="27" t="s">
        <v>631</v>
      </c>
      <c r="C201" s="27" t="s">
        <v>828</v>
      </c>
      <c r="D201" s="14" t="s">
        <v>483</v>
      </c>
      <c r="E201" s="229"/>
      <c r="F201" s="117" t="s">
        <v>829</v>
      </c>
      <c r="G201" s="26">
        <v>54373</v>
      </c>
      <c r="H201" s="231"/>
      <c r="I201" s="221"/>
      <c r="J201" s="221"/>
      <c r="K201" s="221"/>
      <c r="L201" s="221"/>
      <c r="M201" s="221"/>
      <c r="N201" s="221"/>
      <c r="O201" s="225"/>
      <c r="P201" s="119" t="s">
        <v>830</v>
      </c>
      <c r="Q201" s="16" t="s">
        <v>20</v>
      </c>
      <c r="R201" s="17" t="s">
        <v>831</v>
      </c>
      <c r="S201" s="121" t="s">
        <v>780</v>
      </c>
      <c r="T201" s="122"/>
      <c r="U201" s="22"/>
      <c r="V201" s="123"/>
      <c r="W201" s="122"/>
      <c r="X201" s="221"/>
      <c r="Y201" s="221"/>
      <c r="Z201" s="221"/>
      <c r="AA201" s="221"/>
      <c r="AB201" s="247"/>
    </row>
    <row r="202" spans="1:28" ht="17.100000000000001" customHeight="1" thickTop="1">
      <c r="A202" s="226" t="s">
        <v>5732</v>
      </c>
      <c r="B202" s="28">
        <v>43666</v>
      </c>
      <c r="C202" s="29"/>
      <c r="D202" s="13" t="s">
        <v>832</v>
      </c>
      <c r="E202" s="228" t="s">
        <v>164</v>
      </c>
      <c r="F202" s="156" t="s">
        <v>833</v>
      </c>
      <c r="G202" s="61" t="s">
        <v>834</v>
      </c>
      <c r="H202" s="230">
        <v>5</v>
      </c>
      <c r="I202" s="220">
        <v>1600000</v>
      </c>
      <c r="J202" s="220">
        <v>128000</v>
      </c>
      <c r="K202" s="220">
        <v>0</v>
      </c>
      <c r="L202" s="220">
        <v>8110</v>
      </c>
      <c r="M202" s="220">
        <f>89375+7150</f>
        <v>96525</v>
      </c>
      <c r="N202" s="220">
        <f>SUM(I202:M202)</f>
        <v>1832635</v>
      </c>
      <c r="O202" s="224"/>
      <c r="P202" s="114" t="s">
        <v>835</v>
      </c>
      <c r="Q202" s="15" t="s">
        <v>19</v>
      </c>
      <c r="R202" s="205"/>
      <c r="S202" s="189" t="s">
        <v>836</v>
      </c>
      <c r="T202" s="114"/>
      <c r="U202" s="21" t="s">
        <v>837</v>
      </c>
      <c r="V202" s="115"/>
      <c r="W202" s="116"/>
      <c r="X202" s="220"/>
      <c r="Y202" s="245">
        <f>X202*0.1</f>
        <v>0</v>
      </c>
      <c r="Z202" s="220"/>
      <c r="AA202" s="220">
        <f>SUM(X202:Z202)</f>
        <v>0</v>
      </c>
      <c r="AB202" s="246"/>
    </row>
    <row r="203" spans="1:28" ht="17.100000000000001" customHeight="1" thickBot="1">
      <c r="A203" s="227"/>
      <c r="B203" s="27" t="s">
        <v>631</v>
      </c>
      <c r="C203" s="27" t="s">
        <v>838</v>
      </c>
      <c r="D203" s="14" t="s">
        <v>483</v>
      </c>
      <c r="E203" s="229"/>
      <c r="F203" s="117" t="s">
        <v>839</v>
      </c>
      <c r="G203" s="48">
        <v>8337</v>
      </c>
      <c r="H203" s="231"/>
      <c r="I203" s="221"/>
      <c r="J203" s="221"/>
      <c r="K203" s="221"/>
      <c r="L203" s="221"/>
      <c r="M203" s="221"/>
      <c r="N203" s="221"/>
      <c r="O203" s="225"/>
      <c r="P203" s="122" t="s">
        <v>840</v>
      </c>
      <c r="Q203" s="16" t="s">
        <v>20</v>
      </c>
      <c r="R203" s="17" t="s">
        <v>841</v>
      </c>
      <c r="S203" s="121" t="s">
        <v>842</v>
      </c>
      <c r="T203" s="122"/>
      <c r="U203" s="53"/>
      <c r="V203" s="123"/>
      <c r="W203" s="122"/>
      <c r="X203" s="221"/>
      <c r="Y203" s="221"/>
      <c r="Z203" s="221"/>
      <c r="AA203" s="221"/>
      <c r="AB203" s="247"/>
    </row>
    <row r="204" spans="1:28" ht="17.100000000000001" customHeight="1" thickTop="1">
      <c r="A204" s="226" t="s">
        <v>5733</v>
      </c>
      <c r="B204" s="28">
        <v>43673</v>
      </c>
      <c r="C204" s="29" t="s">
        <v>514</v>
      </c>
      <c r="D204" s="13" t="s">
        <v>843</v>
      </c>
      <c r="E204" s="228"/>
      <c r="F204" s="156" t="s">
        <v>844</v>
      </c>
      <c r="G204" s="24"/>
      <c r="H204" s="230">
        <v>3.5</v>
      </c>
      <c r="I204" s="220">
        <v>156000</v>
      </c>
      <c r="J204" s="220">
        <v>12480</v>
      </c>
      <c r="K204" s="220">
        <v>0</v>
      </c>
      <c r="L204" s="220">
        <v>10110</v>
      </c>
      <c r="M204" s="220">
        <v>8640</v>
      </c>
      <c r="N204" s="220">
        <f>SUM(I204:M204)</f>
        <v>187230</v>
      </c>
      <c r="O204" s="224">
        <v>80000</v>
      </c>
      <c r="P204" s="145" t="s">
        <v>845</v>
      </c>
      <c r="Q204" s="15" t="s">
        <v>19</v>
      </c>
      <c r="R204" s="205"/>
      <c r="S204" s="189"/>
      <c r="T204" s="114"/>
      <c r="U204" s="21"/>
      <c r="V204" s="115"/>
      <c r="W204" s="116"/>
      <c r="X204" s="220"/>
      <c r="Y204" s="245">
        <f>X204*0.1</f>
        <v>0</v>
      </c>
      <c r="Z204" s="220"/>
      <c r="AA204" s="220">
        <f>SUM(X204:Z204)</f>
        <v>0</v>
      </c>
      <c r="AB204" s="246"/>
    </row>
    <row r="205" spans="1:28" ht="17.100000000000001" customHeight="1" thickBot="1">
      <c r="A205" s="227"/>
      <c r="B205" s="27" t="s">
        <v>45</v>
      </c>
      <c r="C205" s="27">
        <v>63078</v>
      </c>
      <c r="D205" s="14" t="s">
        <v>117</v>
      </c>
      <c r="E205" s="229"/>
      <c r="F205" s="117" t="s">
        <v>846</v>
      </c>
      <c r="G205" s="26">
        <v>36756</v>
      </c>
      <c r="H205" s="231"/>
      <c r="I205" s="221"/>
      <c r="J205" s="221"/>
      <c r="K205" s="221"/>
      <c r="L205" s="221"/>
      <c r="M205" s="221"/>
      <c r="N205" s="221"/>
      <c r="O205" s="225"/>
      <c r="P205" s="119" t="s">
        <v>847</v>
      </c>
      <c r="Q205" s="16" t="s">
        <v>20</v>
      </c>
      <c r="R205" s="17" t="s">
        <v>848</v>
      </c>
      <c r="S205" s="121" t="s">
        <v>849</v>
      </c>
      <c r="T205" s="122"/>
      <c r="U205" s="22"/>
      <c r="V205" s="123"/>
      <c r="W205" s="122"/>
      <c r="X205" s="221"/>
      <c r="Y205" s="221"/>
      <c r="Z205" s="221"/>
      <c r="AA205" s="221"/>
      <c r="AB205" s="247"/>
    </row>
    <row r="206" spans="1:28" ht="17.100000000000001" customHeight="1" thickTop="1">
      <c r="A206" s="226" t="s">
        <v>5734</v>
      </c>
      <c r="B206" s="28">
        <v>43699</v>
      </c>
      <c r="C206" s="29" t="s">
        <v>850</v>
      </c>
      <c r="D206" s="13" t="s">
        <v>851</v>
      </c>
      <c r="E206" s="228"/>
      <c r="F206" s="156" t="s">
        <v>852</v>
      </c>
      <c r="G206" s="65" t="s">
        <v>853</v>
      </c>
      <c r="H206" s="230">
        <v>4.5</v>
      </c>
      <c r="I206" s="220">
        <v>4550000</v>
      </c>
      <c r="J206" s="220">
        <v>364000</v>
      </c>
      <c r="K206" s="220">
        <v>44600</v>
      </c>
      <c r="L206" s="220">
        <v>22700</v>
      </c>
      <c r="M206" s="220">
        <v>23760</v>
      </c>
      <c r="N206" s="220">
        <f>SUM(I206:M206)</f>
        <v>5005060</v>
      </c>
      <c r="O206" s="224">
        <v>3000000</v>
      </c>
      <c r="P206" s="145" t="s">
        <v>854</v>
      </c>
      <c r="Q206" s="15" t="s">
        <v>19</v>
      </c>
      <c r="R206" s="205"/>
      <c r="S206" s="189" t="s">
        <v>855</v>
      </c>
      <c r="T206" s="114"/>
      <c r="U206" s="21"/>
      <c r="V206" s="115"/>
      <c r="W206" s="116"/>
      <c r="X206" s="220"/>
      <c r="Y206" s="245">
        <f>X206*0.1</f>
        <v>0</v>
      </c>
      <c r="Z206" s="220"/>
      <c r="AA206" s="220">
        <f>SUM(X206:Z206)</f>
        <v>0</v>
      </c>
      <c r="AB206" s="246"/>
    </row>
    <row r="207" spans="1:28" ht="17.100000000000001" customHeight="1" thickBot="1">
      <c r="A207" s="227"/>
      <c r="B207" s="27" t="s">
        <v>146</v>
      </c>
      <c r="C207" s="27">
        <v>70034</v>
      </c>
      <c r="D207" s="14" t="s">
        <v>856</v>
      </c>
      <c r="E207" s="229"/>
      <c r="F207" s="117" t="s">
        <v>857</v>
      </c>
      <c r="G207" s="26">
        <v>37542</v>
      </c>
      <c r="H207" s="231"/>
      <c r="I207" s="221"/>
      <c r="J207" s="221"/>
      <c r="K207" s="221"/>
      <c r="L207" s="221"/>
      <c r="M207" s="221"/>
      <c r="N207" s="221"/>
      <c r="O207" s="225"/>
      <c r="P207" s="119" t="s">
        <v>858</v>
      </c>
      <c r="Q207" s="16" t="s">
        <v>20</v>
      </c>
      <c r="R207" s="17" t="s">
        <v>859</v>
      </c>
      <c r="S207" s="121" t="s">
        <v>860</v>
      </c>
      <c r="T207" s="122"/>
      <c r="U207" s="22" t="s">
        <v>50</v>
      </c>
      <c r="V207" s="123"/>
      <c r="W207" s="122"/>
      <c r="X207" s="221"/>
      <c r="Y207" s="221"/>
      <c r="Z207" s="221"/>
      <c r="AA207" s="221"/>
      <c r="AB207" s="247"/>
    </row>
    <row r="208" spans="1:28" ht="17.100000000000001" customHeight="1" thickTop="1">
      <c r="A208" s="226" t="s">
        <v>5735</v>
      </c>
      <c r="B208" s="28">
        <v>43699</v>
      </c>
      <c r="C208" s="29" t="s">
        <v>861</v>
      </c>
      <c r="D208" s="13" t="s">
        <v>499</v>
      </c>
      <c r="E208" s="228"/>
      <c r="F208" s="156" t="s">
        <v>862</v>
      </c>
      <c r="G208" s="24"/>
      <c r="H208" s="230">
        <v>4</v>
      </c>
      <c r="I208" s="220">
        <v>1350000</v>
      </c>
      <c r="J208" s="220">
        <v>108000</v>
      </c>
      <c r="K208" s="220">
        <v>0</v>
      </c>
      <c r="L208" s="220">
        <v>21300</v>
      </c>
      <c r="M208" s="220">
        <v>12960</v>
      </c>
      <c r="N208" s="220">
        <f>SUM(I208:M208)</f>
        <v>1492260</v>
      </c>
      <c r="O208" s="224">
        <v>700000</v>
      </c>
      <c r="P208" s="145" t="s">
        <v>863</v>
      </c>
      <c r="Q208" s="15" t="s">
        <v>19</v>
      </c>
      <c r="R208" s="205"/>
      <c r="S208" s="189" t="s">
        <v>864</v>
      </c>
      <c r="T208" s="114"/>
      <c r="U208" s="21"/>
      <c r="V208" s="115"/>
      <c r="W208" s="116"/>
      <c r="X208" s="220"/>
      <c r="Y208" s="245">
        <f>X208*0.1</f>
        <v>0</v>
      </c>
      <c r="Z208" s="220"/>
      <c r="AA208" s="220">
        <f>SUM(X208:Z208)</f>
        <v>0</v>
      </c>
      <c r="AB208" s="246"/>
    </row>
    <row r="209" spans="1:28" ht="17.100000000000001" customHeight="1" thickBot="1">
      <c r="A209" s="227"/>
      <c r="B209" s="27" t="s">
        <v>248</v>
      </c>
      <c r="C209" s="27">
        <v>133</v>
      </c>
      <c r="D209" s="14" t="s">
        <v>445</v>
      </c>
      <c r="E209" s="229"/>
      <c r="F209" s="117" t="s">
        <v>865</v>
      </c>
      <c r="G209" s="26">
        <v>43772</v>
      </c>
      <c r="H209" s="231"/>
      <c r="I209" s="221"/>
      <c r="J209" s="221"/>
      <c r="K209" s="221"/>
      <c r="L209" s="221"/>
      <c r="M209" s="221"/>
      <c r="N209" s="221"/>
      <c r="O209" s="225"/>
      <c r="P209" s="119" t="s">
        <v>866</v>
      </c>
      <c r="Q209" s="16" t="s">
        <v>20</v>
      </c>
      <c r="R209" s="17" t="s">
        <v>859</v>
      </c>
      <c r="S209" s="121" t="s">
        <v>487</v>
      </c>
      <c r="T209" s="122"/>
      <c r="U209" s="22"/>
      <c r="V209" s="123"/>
      <c r="W209" s="122"/>
      <c r="X209" s="221"/>
      <c r="Y209" s="221"/>
      <c r="Z209" s="221"/>
      <c r="AA209" s="221"/>
      <c r="AB209" s="247"/>
    </row>
    <row r="210" spans="1:28" ht="17.100000000000001" customHeight="1" thickTop="1">
      <c r="A210" s="226" t="s">
        <v>5736</v>
      </c>
      <c r="B210" s="28">
        <v>43699</v>
      </c>
      <c r="C210" s="29" t="s">
        <v>867</v>
      </c>
      <c r="D210" s="13" t="s">
        <v>626</v>
      </c>
      <c r="E210" s="228"/>
      <c r="F210" s="156" t="s">
        <v>868</v>
      </c>
      <c r="G210" s="24" t="s">
        <v>869</v>
      </c>
      <c r="H210" s="230">
        <v>4.5</v>
      </c>
      <c r="I210" s="220">
        <v>800000</v>
      </c>
      <c r="J210" s="220">
        <v>64000</v>
      </c>
      <c r="K210" s="220">
        <v>29700</v>
      </c>
      <c r="L210" s="220">
        <v>21540</v>
      </c>
      <c r="M210" s="220">
        <v>12960</v>
      </c>
      <c r="N210" s="220">
        <f>SUM(I210:M210)</f>
        <v>928200</v>
      </c>
      <c r="O210" s="224">
        <v>100000</v>
      </c>
      <c r="P210" s="145" t="s">
        <v>870</v>
      </c>
      <c r="Q210" s="15" t="s">
        <v>19</v>
      </c>
      <c r="R210" s="205"/>
      <c r="S210" s="189" t="s">
        <v>871</v>
      </c>
      <c r="T210" s="114"/>
      <c r="U210" s="21"/>
      <c r="V210" s="115"/>
      <c r="W210" s="116"/>
      <c r="X210" s="220"/>
      <c r="Y210" s="245">
        <f>X210*0.1</f>
        <v>0</v>
      </c>
      <c r="Z210" s="220"/>
      <c r="AA210" s="220">
        <f>SUM(X210:Z210)</f>
        <v>0</v>
      </c>
      <c r="AB210" s="246"/>
    </row>
    <row r="211" spans="1:28" ht="17.100000000000001" customHeight="1" thickBot="1">
      <c r="A211" s="227"/>
      <c r="B211" s="27" t="s">
        <v>547</v>
      </c>
      <c r="C211" s="27">
        <v>80056</v>
      </c>
      <c r="D211" s="14" t="s">
        <v>65</v>
      </c>
      <c r="E211" s="229"/>
      <c r="F211" s="117" t="s">
        <v>872</v>
      </c>
      <c r="G211" s="26">
        <v>54970</v>
      </c>
      <c r="H211" s="231"/>
      <c r="I211" s="221"/>
      <c r="J211" s="221"/>
      <c r="K211" s="221"/>
      <c r="L211" s="221"/>
      <c r="M211" s="221"/>
      <c r="N211" s="221"/>
      <c r="O211" s="225"/>
      <c r="P211" s="119" t="s">
        <v>873</v>
      </c>
      <c r="Q211" s="16" t="s">
        <v>20</v>
      </c>
      <c r="R211" s="17" t="s">
        <v>874</v>
      </c>
      <c r="S211" s="121" t="s">
        <v>875</v>
      </c>
      <c r="T211" s="122"/>
      <c r="U211" s="22" t="s">
        <v>876</v>
      </c>
      <c r="V211" s="123"/>
      <c r="W211" s="122"/>
      <c r="X211" s="221"/>
      <c r="Y211" s="221"/>
      <c r="Z211" s="221"/>
      <c r="AA211" s="221"/>
      <c r="AB211" s="247"/>
    </row>
    <row r="212" spans="1:28" ht="17.100000000000001" customHeight="1" thickTop="1">
      <c r="A212" s="226" t="s">
        <v>5737</v>
      </c>
      <c r="B212" s="28">
        <v>43701</v>
      </c>
      <c r="C212" s="29" t="s">
        <v>877</v>
      </c>
      <c r="D212" s="13" t="s">
        <v>878</v>
      </c>
      <c r="E212" s="228"/>
      <c r="F212" s="156" t="s">
        <v>879</v>
      </c>
      <c r="G212" s="24" t="s">
        <v>880</v>
      </c>
      <c r="H212" s="230">
        <v>4.5</v>
      </c>
      <c r="I212" s="220">
        <v>2000000</v>
      </c>
      <c r="J212" s="220">
        <v>160000</v>
      </c>
      <c r="K212" s="220">
        <v>20100</v>
      </c>
      <c r="L212" s="220">
        <v>15100</v>
      </c>
      <c r="M212" s="220">
        <v>12960</v>
      </c>
      <c r="N212" s="220">
        <f>SUM(I212:M212)</f>
        <v>2208160</v>
      </c>
      <c r="O212" s="224">
        <v>1200000</v>
      </c>
      <c r="P212" s="145" t="s">
        <v>881</v>
      </c>
      <c r="Q212" s="15" t="s">
        <v>19</v>
      </c>
      <c r="R212" s="205"/>
      <c r="S212" s="189" t="s">
        <v>713</v>
      </c>
      <c r="T212" s="114"/>
      <c r="U212" s="21"/>
      <c r="V212" s="115"/>
      <c r="W212" s="116"/>
      <c r="X212" s="220"/>
      <c r="Y212" s="245">
        <f>X212*0.1</f>
        <v>0</v>
      </c>
      <c r="Z212" s="220"/>
      <c r="AA212" s="220">
        <f>SUM(X212:Z212)</f>
        <v>0</v>
      </c>
      <c r="AB212" s="246"/>
    </row>
    <row r="213" spans="1:28" ht="17.100000000000001" customHeight="1" thickBot="1">
      <c r="A213" s="227"/>
      <c r="B213" s="27" t="s">
        <v>45</v>
      </c>
      <c r="C213" s="27">
        <v>82156</v>
      </c>
      <c r="D213" s="14" t="s">
        <v>219</v>
      </c>
      <c r="E213" s="229"/>
      <c r="F213" s="117" t="s">
        <v>882</v>
      </c>
      <c r="G213" s="26">
        <v>20510</v>
      </c>
      <c r="H213" s="231"/>
      <c r="I213" s="221"/>
      <c r="J213" s="221"/>
      <c r="K213" s="221"/>
      <c r="L213" s="221"/>
      <c r="M213" s="221"/>
      <c r="N213" s="221"/>
      <c r="O213" s="225"/>
      <c r="P213" s="119" t="s">
        <v>883</v>
      </c>
      <c r="Q213" s="16" t="s">
        <v>20</v>
      </c>
      <c r="R213" s="17" t="s">
        <v>884</v>
      </c>
      <c r="S213" s="121" t="s">
        <v>885</v>
      </c>
      <c r="T213" s="122"/>
      <c r="U213" s="22" t="s">
        <v>50</v>
      </c>
      <c r="V213" s="123"/>
      <c r="W213" s="122"/>
      <c r="X213" s="221"/>
      <c r="Y213" s="221"/>
      <c r="Z213" s="221"/>
      <c r="AA213" s="221"/>
      <c r="AB213" s="247"/>
    </row>
    <row r="214" spans="1:28" ht="17.100000000000001" customHeight="1" thickTop="1">
      <c r="A214" s="226" t="s">
        <v>5738</v>
      </c>
      <c r="B214" s="28">
        <v>43706</v>
      </c>
      <c r="C214" s="29" t="s">
        <v>886</v>
      </c>
      <c r="D214" s="13" t="s">
        <v>610</v>
      </c>
      <c r="E214" s="228"/>
      <c r="F214" s="156" t="s">
        <v>887</v>
      </c>
      <c r="G214" s="24"/>
      <c r="H214" s="230">
        <v>3.5</v>
      </c>
      <c r="I214" s="220">
        <v>247000</v>
      </c>
      <c r="J214" s="220">
        <v>19760</v>
      </c>
      <c r="K214" s="220">
        <v>0</v>
      </c>
      <c r="L214" s="220">
        <v>10010</v>
      </c>
      <c r="M214" s="220">
        <v>12960</v>
      </c>
      <c r="N214" s="220">
        <f>SUM(I214:M214)</f>
        <v>289730</v>
      </c>
      <c r="O214" s="224">
        <v>150000</v>
      </c>
      <c r="P214" s="145" t="s">
        <v>888</v>
      </c>
      <c r="Q214" s="15" t="s">
        <v>19</v>
      </c>
      <c r="R214" s="205"/>
      <c r="S214" s="189" t="s">
        <v>576</v>
      </c>
      <c r="T214" s="114"/>
      <c r="U214" s="21"/>
      <c r="V214" s="115"/>
      <c r="W214" s="116"/>
      <c r="X214" s="220"/>
      <c r="Y214" s="245">
        <f>X214*0.1</f>
        <v>0</v>
      </c>
      <c r="Z214" s="220"/>
      <c r="AA214" s="220">
        <f>SUM(X214:Z214)</f>
        <v>0</v>
      </c>
      <c r="AB214" s="246"/>
    </row>
    <row r="215" spans="1:28" ht="17.100000000000001" customHeight="1" thickBot="1">
      <c r="A215" s="227"/>
      <c r="B215" s="27" t="s">
        <v>547</v>
      </c>
      <c r="C215" s="27">
        <v>50306</v>
      </c>
      <c r="D215" s="14" t="s">
        <v>445</v>
      </c>
      <c r="E215" s="229"/>
      <c r="F215" s="117" t="s">
        <v>889</v>
      </c>
      <c r="G215" s="26">
        <v>49441</v>
      </c>
      <c r="H215" s="231"/>
      <c r="I215" s="221"/>
      <c r="J215" s="221"/>
      <c r="K215" s="221"/>
      <c r="L215" s="221"/>
      <c r="M215" s="221"/>
      <c r="N215" s="221"/>
      <c r="O215" s="225"/>
      <c r="P215" s="119" t="s">
        <v>890</v>
      </c>
      <c r="Q215" s="16" t="s">
        <v>20</v>
      </c>
      <c r="R215" s="17" t="s">
        <v>891</v>
      </c>
      <c r="S215" s="121" t="s">
        <v>892</v>
      </c>
      <c r="T215" s="122"/>
      <c r="U215" s="22"/>
      <c r="V215" s="123"/>
      <c r="W215" s="122"/>
      <c r="X215" s="221"/>
      <c r="Y215" s="221"/>
      <c r="Z215" s="221"/>
      <c r="AA215" s="221"/>
      <c r="AB215" s="247"/>
    </row>
    <row r="216" spans="1:28" ht="17.100000000000001" customHeight="1" thickTop="1">
      <c r="A216" s="226" t="s">
        <v>5739</v>
      </c>
      <c r="B216" s="28">
        <v>43719</v>
      </c>
      <c r="C216" s="29" t="s">
        <v>893</v>
      </c>
      <c r="D216" s="13" t="s">
        <v>894</v>
      </c>
      <c r="E216" s="228"/>
      <c r="F216" s="156" t="s">
        <v>895</v>
      </c>
      <c r="G216" s="24" t="s">
        <v>896</v>
      </c>
      <c r="H216" s="230">
        <v>4</v>
      </c>
      <c r="I216" s="220">
        <v>318000</v>
      </c>
      <c r="J216" s="220">
        <v>25440</v>
      </c>
      <c r="K216" s="220">
        <v>19770</v>
      </c>
      <c r="L216" s="220">
        <v>20140</v>
      </c>
      <c r="M216" s="220">
        <v>12420</v>
      </c>
      <c r="N216" s="220">
        <f>SUM(I216:M216)</f>
        <v>395770</v>
      </c>
      <c r="O216" s="224">
        <v>100000</v>
      </c>
      <c r="P216" s="145" t="s">
        <v>897</v>
      </c>
      <c r="Q216" s="15" t="s">
        <v>19</v>
      </c>
      <c r="R216" s="205"/>
      <c r="S216" s="189"/>
      <c r="T216" s="114"/>
      <c r="U216" s="21"/>
      <c r="V216" s="115"/>
      <c r="W216" s="116"/>
      <c r="X216" s="220"/>
      <c r="Y216" s="245">
        <f>X216*0.1</f>
        <v>0</v>
      </c>
      <c r="Z216" s="220"/>
      <c r="AA216" s="220">
        <f>SUM(X216:Z216)</f>
        <v>0</v>
      </c>
      <c r="AB216" s="246"/>
    </row>
    <row r="217" spans="1:28" ht="17.100000000000001" customHeight="1" thickBot="1">
      <c r="A217" s="227"/>
      <c r="B217" s="27" t="s">
        <v>429</v>
      </c>
      <c r="C217" s="27">
        <v>35238</v>
      </c>
      <c r="D217" s="14" t="s">
        <v>898</v>
      </c>
      <c r="E217" s="229"/>
      <c r="F217" s="117" t="s">
        <v>899</v>
      </c>
      <c r="G217" s="26">
        <v>18781</v>
      </c>
      <c r="H217" s="231"/>
      <c r="I217" s="221"/>
      <c r="J217" s="221"/>
      <c r="K217" s="221"/>
      <c r="L217" s="221"/>
      <c r="M217" s="221"/>
      <c r="N217" s="221"/>
      <c r="O217" s="225"/>
      <c r="P217" s="119" t="s">
        <v>623</v>
      </c>
      <c r="Q217" s="16" t="s">
        <v>20</v>
      </c>
      <c r="R217" s="17" t="s">
        <v>900</v>
      </c>
      <c r="S217" s="121" t="s">
        <v>576</v>
      </c>
      <c r="T217" s="122"/>
      <c r="U217" s="22" t="s">
        <v>901</v>
      </c>
      <c r="V217" s="123"/>
      <c r="W217" s="122"/>
      <c r="X217" s="221"/>
      <c r="Y217" s="221"/>
      <c r="Z217" s="221"/>
      <c r="AA217" s="221"/>
      <c r="AB217" s="247"/>
    </row>
    <row r="218" spans="1:28" ht="17.100000000000001" customHeight="1" thickTop="1">
      <c r="A218" s="226" t="s">
        <v>5740</v>
      </c>
      <c r="B218" s="28">
        <v>43784</v>
      </c>
      <c r="C218" s="29" t="s">
        <v>902</v>
      </c>
      <c r="D218" s="13" t="s">
        <v>903</v>
      </c>
      <c r="E218" s="228"/>
      <c r="F218" s="109" t="s">
        <v>904</v>
      </c>
      <c r="G218" s="24" t="s">
        <v>905</v>
      </c>
      <c r="H218" s="230">
        <v>5</v>
      </c>
      <c r="I218" s="220">
        <v>1660000</v>
      </c>
      <c r="J218" s="220">
        <v>166000</v>
      </c>
      <c r="K218" s="220">
        <v>13100</v>
      </c>
      <c r="L218" s="220">
        <v>19330</v>
      </c>
      <c r="M218" s="220">
        <v>24200</v>
      </c>
      <c r="N218" s="220">
        <f>SUM(I218:M218)</f>
        <v>1882630</v>
      </c>
      <c r="O218" s="224">
        <v>1300000</v>
      </c>
      <c r="P218" s="145" t="s">
        <v>906</v>
      </c>
      <c r="Q218" s="15" t="s">
        <v>19</v>
      </c>
      <c r="R218" s="205"/>
      <c r="S218" s="189" t="s">
        <v>907</v>
      </c>
      <c r="T218" s="114"/>
      <c r="U218" s="21" t="s">
        <v>908</v>
      </c>
      <c r="V218" s="115"/>
      <c r="W218" s="116"/>
      <c r="X218" s="220"/>
      <c r="Y218" s="245">
        <f>X218*0.1</f>
        <v>0</v>
      </c>
      <c r="Z218" s="220"/>
      <c r="AA218" s="220">
        <f>SUM(X218:Z218)</f>
        <v>0</v>
      </c>
      <c r="AB218" s="246"/>
    </row>
    <row r="219" spans="1:28" ht="17.100000000000001" customHeight="1" thickBot="1">
      <c r="A219" s="227"/>
      <c r="B219" s="27" t="s">
        <v>203</v>
      </c>
      <c r="C219" s="27">
        <v>35081</v>
      </c>
      <c r="D219" s="14" t="s">
        <v>445</v>
      </c>
      <c r="E219" s="229"/>
      <c r="F219" s="117" t="s">
        <v>909</v>
      </c>
      <c r="G219" s="26">
        <v>46258</v>
      </c>
      <c r="H219" s="231"/>
      <c r="I219" s="221"/>
      <c r="J219" s="221"/>
      <c r="K219" s="221"/>
      <c r="L219" s="221"/>
      <c r="M219" s="221"/>
      <c r="N219" s="221"/>
      <c r="O219" s="225"/>
      <c r="P219" s="119" t="s">
        <v>910</v>
      </c>
      <c r="Q219" s="16" t="s">
        <v>20</v>
      </c>
      <c r="R219" s="17" t="s">
        <v>911</v>
      </c>
      <c r="S219" s="121" t="s">
        <v>912</v>
      </c>
      <c r="T219" s="122"/>
      <c r="U219" s="22" t="s">
        <v>50</v>
      </c>
      <c r="V219" s="123"/>
      <c r="W219" s="122"/>
      <c r="X219" s="221"/>
      <c r="Y219" s="221"/>
      <c r="Z219" s="221"/>
      <c r="AA219" s="221"/>
      <c r="AB219" s="247"/>
    </row>
    <row r="220" spans="1:28" ht="17.100000000000001" customHeight="1" thickTop="1">
      <c r="A220" s="226" t="s">
        <v>5741</v>
      </c>
      <c r="B220" s="28">
        <v>43868</v>
      </c>
      <c r="C220" s="51"/>
      <c r="D220" s="13" t="s">
        <v>923</v>
      </c>
      <c r="E220" s="228" t="s">
        <v>164</v>
      </c>
      <c r="F220" s="156" t="s">
        <v>924</v>
      </c>
      <c r="G220" s="61" t="s">
        <v>925</v>
      </c>
      <c r="H220" s="230">
        <v>5</v>
      </c>
      <c r="I220" s="220">
        <v>5000000</v>
      </c>
      <c r="J220" s="220">
        <v>500000</v>
      </c>
      <c r="K220" s="220">
        <v>4200</v>
      </c>
      <c r="L220" s="220">
        <v>22540</v>
      </c>
      <c r="M220" s="220">
        <v>24200</v>
      </c>
      <c r="N220" s="220">
        <f>SUM(I220:M221)</f>
        <v>5550940</v>
      </c>
      <c r="O220" s="224"/>
      <c r="P220" s="143" t="s">
        <v>926</v>
      </c>
      <c r="Q220" s="15" t="s">
        <v>19</v>
      </c>
      <c r="R220" s="205"/>
      <c r="S220" s="189" t="s">
        <v>927</v>
      </c>
      <c r="T220" s="114" t="s">
        <v>928</v>
      </c>
      <c r="U220" s="21" t="s">
        <v>929</v>
      </c>
      <c r="V220" s="160"/>
      <c r="W220" s="116"/>
      <c r="X220" s="220"/>
      <c r="Y220" s="245">
        <f>X220*0.1</f>
        <v>0</v>
      </c>
      <c r="Z220" s="220"/>
      <c r="AA220" s="220">
        <f>SUM(X220:Z220)</f>
        <v>0</v>
      </c>
      <c r="AB220" s="246"/>
    </row>
    <row r="221" spans="1:28" ht="17.100000000000001" customHeight="1" thickBot="1">
      <c r="A221" s="227"/>
      <c r="B221" s="27" t="s">
        <v>203</v>
      </c>
      <c r="C221" s="27"/>
      <c r="D221" s="14" t="s">
        <v>759</v>
      </c>
      <c r="E221" s="229"/>
      <c r="F221" s="117" t="s">
        <v>930</v>
      </c>
      <c r="G221" s="48">
        <v>3830</v>
      </c>
      <c r="H221" s="231"/>
      <c r="I221" s="221"/>
      <c r="J221" s="221"/>
      <c r="K221" s="221"/>
      <c r="L221" s="221"/>
      <c r="M221" s="221"/>
      <c r="N221" s="221"/>
      <c r="O221" s="225"/>
      <c r="P221" s="27" t="s">
        <v>931</v>
      </c>
      <c r="Q221" s="16" t="s">
        <v>20</v>
      </c>
      <c r="R221" s="17" t="s">
        <v>932</v>
      </c>
      <c r="S221" s="121" t="s">
        <v>849</v>
      </c>
      <c r="T221" s="122" t="s">
        <v>933</v>
      </c>
      <c r="U221" s="53"/>
      <c r="V221" s="159"/>
      <c r="W221" s="122"/>
      <c r="X221" s="221"/>
      <c r="Y221" s="221"/>
      <c r="Z221" s="221"/>
      <c r="AA221" s="221"/>
      <c r="AB221" s="247"/>
    </row>
    <row r="222" spans="1:28" ht="17.100000000000001" customHeight="1" thickTop="1">
      <c r="A222" s="226" t="s">
        <v>5742</v>
      </c>
      <c r="B222" s="28">
        <v>44000</v>
      </c>
      <c r="C222" s="29" t="s">
        <v>934</v>
      </c>
      <c r="D222" s="13" t="s">
        <v>935</v>
      </c>
      <c r="E222" s="228"/>
      <c r="F222" s="156" t="s">
        <v>936</v>
      </c>
      <c r="G222" s="24"/>
      <c r="H222" s="230">
        <v>4</v>
      </c>
      <c r="I222" s="220">
        <v>1965000</v>
      </c>
      <c r="J222" s="220">
        <v>196500</v>
      </c>
      <c r="K222" s="220">
        <v>0</v>
      </c>
      <c r="L222" s="220">
        <v>19610</v>
      </c>
      <c r="M222" s="220">
        <v>13200</v>
      </c>
      <c r="N222" s="220">
        <f>SUM(I222:M222)</f>
        <v>2194310</v>
      </c>
      <c r="O222" s="224">
        <v>1400000</v>
      </c>
      <c r="P222" s="145" t="s">
        <v>937</v>
      </c>
      <c r="Q222" s="15" t="s">
        <v>19</v>
      </c>
      <c r="R222" s="205"/>
      <c r="S222" s="189" t="s">
        <v>938</v>
      </c>
      <c r="T222" s="114"/>
      <c r="U222" s="21"/>
      <c r="V222" s="115"/>
      <c r="W222" s="116"/>
      <c r="X222" s="220"/>
      <c r="Y222" s="245">
        <f>X222*0.1</f>
        <v>0</v>
      </c>
      <c r="Z222" s="220"/>
      <c r="AA222" s="220">
        <f>SUM(X222:Z222)</f>
        <v>0</v>
      </c>
      <c r="AB222" s="246"/>
    </row>
    <row r="223" spans="1:28" ht="17.100000000000001" customHeight="1" thickBot="1">
      <c r="A223" s="227"/>
      <c r="B223" s="27" t="s">
        <v>248</v>
      </c>
      <c r="C223" s="27">
        <v>599</v>
      </c>
      <c r="D223" s="14" t="s">
        <v>219</v>
      </c>
      <c r="E223" s="229"/>
      <c r="F223" s="117" t="s">
        <v>939</v>
      </c>
      <c r="G223" s="26">
        <v>40533</v>
      </c>
      <c r="H223" s="231"/>
      <c r="I223" s="221"/>
      <c r="J223" s="221"/>
      <c r="K223" s="221"/>
      <c r="L223" s="221"/>
      <c r="M223" s="221"/>
      <c r="N223" s="221"/>
      <c r="O223" s="225"/>
      <c r="P223" s="119" t="s">
        <v>940</v>
      </c>
      <c r="Q223" s="16" t="s">
        <v>20</v>
      </c>
      <c r="R223" s="17" t="s">
        <v>941</v>
      </c>
      <c r="S223" s="121" t="s">
        <v>942</v>
      </c>
      <c r="T223" s="122"/>
      <c r="U223" s="22"/>
      <c r="V223" s="123"/>
      <c r="W223" s="122"/>
      <c r="X223" s="221"/>
      <c r="Y223" s="221"/>
      <c r="Z223" s="221"/>
      <c r="AA223" s="221"/>
      <c r="AB223" s="247"/>
    </row>
    <row r="224" spans="1:28" ht="17.100000000000001" customHeight="1" thickTop="1">
      <c r="A224" s="226" t="s">
        <v>5743</v>
      </c>
      <c r="B224" s="28">
        <v>44007</v>
      </c>
      <c r="C224" s="29"/>
      <c r="D224" s="13" t="s">
        <v>943</v>
      </c>
      <c r="E224" s="228" t="s">
        <v>164</v>
      </c>
      <c r="F224" s="109" t="s">
        <v>944</v>
      </c>
      <c r="G224" s="61"/>
      <c r="H224" s="230"/>
      <c r="I224" s="220">
        <v>111000</v>
      </c>
      <c r="J224" s="220">
        <v>11100</v>
      </c>
      <c r="K224" s="220">
        <v>0</v>
      </c>
      <c r="L224" s="220">
        <v>0</v>
      </c>
      <c r="M224" s="220">
        <f>29527+2953</f>
        <v>32480</v>
      </c>
      <c r="N224" s="220">
        <f>SUM(I224:M224)</f>
        <v>154580</v>
      </c>
      <c r="O224" s="224"/>
      <c r="P224" s="147" t="s">
        <v>945</v>
      </c>
      <c r="Q224" s="15" t="s">
        <v>19</v>
      </c>
      <c r="R224" s="205"/>
      <c r="S224" s="189" t="s">
        <v>946</v>
      </c>
      <c r="T224" s="114"/>
      <c r="U224" s="62"/>
      <c r="V224" s="115"/>
      <c r="W224" s="116"/>
      <c r="X224" s="220"/>
      <c r="Y224" s="245">
        <f>X224*0.1</f>
        <v>0</v>
      </c>
      <c r="Z224" s="220"/>
      <c r="AA224" s="220">
        <f>SUM(X224:Z224)</f>
        <v>0</v>
      </c>
      <c r="AB224" s="246"/>
    </row>
    <row r="225" spans="1:28" ht="17.100000000000001" customHeight="1" thickBot="1">
      <c r="A225" s="227"/>
      <c r="B225" s="27" t="s">
        <v>631</v>
      </c>
      <c r="C225" s="27" t="s">
        <v>947</v>
      </c>
      <c r="D225" s="14" t="s">
        <v>204</v>
      </c>
      <c r="E225" s="229"/>
      <c r="F225" s="117" t="s">
        <v>948</v>
      </c>
      <c r="G225" s="48">
        <v>0</v>
      </c>
      <c r="H225" s="231"/>
      <c r="I225" s="221"/>
      <c r="J225" s="221"/>
      <c r="K225" s="221"/>
      <c r="L225" s="221"/>
      <c r="M225" s="221"/>
      <c r="N225" s="221"/>
      <c r="O225" s="225"/>
      <c r="P225" s="122" t="s">
        <v>949</v>
      </c>
      <c r="Q225" s="16" t="s">
        <v>20</v>
      </c>
      <c r="R225" s="17" t="s">
        <v>606</v>
      </c>
      <c r="S225" s="121" t="s">
        <v>946</v>
      </c>
      <c r="T225" s="122"/>
      <c r="U225" s="53"/>
      <c r="V225" s="123"/>
      <c r="W225" s="122"/>
      <c r="X225" s="221"/>
      <c r="Y225" s="221"/>
      <c r="Z225" s="221"/>
      <c r="AA225" s="221"/>
      <c r="AB225" s="247"/>
    </row>
    <row r="226" spans="1:28" ht="17.100000000000001" customHeight="1" thickTop="1">
      <c r="A226" s="226" t="s">
        <v>5744</v>
      </c>
      <c r="B226" s="28">
        <v>44015</v>
      </c>
      <c r="C226" s="29" t="s">
        <v>950</v>
      </c>
      <c r="D226" s="13" t="s">
        <v>951</v>
      </c>
      <c r="E226" s="228" t="s">
        <v>164</v>
      </c>
      <c r="F226" s="156" t="s">
        <v>952</v>
      </c>
      <c r="G226" s="24" t="s">
        <v>953</v>
      </c>
      <c r="H226" s="230">
        <v>4</v>
      </c>
      <c r="I226" s="220">
        <v>4080000</v>
      </c>
      <c r="J226" s="220">
        <v>408000</v>
      </c>
      <c r="K226" s="220">
        <v>34000</v>
      </c>
      <c r="L226" s="220">
        <v>20860</v>
      </c>
      <c r="M226" s="220">
        <v>13200</v>
      </c>
      <c r="N226" s="220">
        <f>SUM(I226:M226)</f>
        <v>4556060</v>
      </c>
      <c r="O226" s="224"/>
      <c r="P226" s="145" t="s">
        <v>954</v>
      </c>
      <c r="Q226" s="15" t="s">
        <v>19</v>
      </c>
      <c r="R226" s="205"/>
      <c r="S226" s="189" t="s">
        <v>864</v>
      </c>
      <c r="T226" s="114"/>
      <c r="U226" s="21" t="s">
        <v>955</v>
      </c>
      <c r="V226" s="115"/>
      <c r="W226" s="116"/>
      <c r="X226" s="220"/>
      <c r="Y226" s="245">
        <f>X226*0.1</f>
        <v>0</v>
      </c>
      <c r="Z226" s="220"/>
      <c r="AA226" s="220">
        <f>SUM(X226:Z226)</f>
        <v>0</v>
      </c>
      <c r="AB226" s="246"/>
    </row>
    <row r="227" spans="1:28" ht="17.100000000000001" customHeight="1" thickBot="1">
      <c r="A227" s="227"/>
      <c r="B227" s="27" t="s">
        <v>203</v>
      </c>
      <c r="C227" s="27">
        <v>58193</v>
      </c>
      <c r="D227" s="14" t="s">
        <v>445</v>
      </c>
      <c r="E227" s="229"/>
      <c r="F227" s="117" t="s">
        <v>956</v>
      </c>
      <c r="G227" s="26">
        <v>37375</v>
      </c>
      <c r="H227" s="231"/>
      <c r="I227" s="221"/>
      <c r="J227" s="221"/>
      <c r="K227" s="221"/>
      <c r="L227" s="221"/>
      <c r="M227" s="221"/>
      <c r="N227" s="221"/>
      <c r="O227" s="225"/>
      <c r="P227" s="119" t="s">
        <v>957</v>
      </c>
      <c r="Q227" s="16" t="s">
        <v>20</v>
      </c>
      <c r="R227" s="17" t="s">
        <v>958</v>
      </c>
      <c r="S227" s="121" t="s">
        <v>959</v>
      </c>
      <c r="T227" s="122"/>
      <c r="U227" s="22"/>
      <c r="V227" s="123"/>
      <c r="W227" s="122"/>
      <c r="X227" s="221"/>
      <c r="Y227" s="221"/>
      <c r="Z227" s="221"/>
      <c r="AA227" s="221"/>
      <c r="AB227" s="247"/>
    </row>
    <row r="228" spans="1:28" ht="17.100000000000001" customHeight="1" thickTop="1">
      <c r="A228" s="226" t="s">
        <v>5745</v>
      </c>
      <c r="B228" s="28">
        <v>44021</v>
      </c>
      <c r="C228" s="29" t="s">
        <v>960</v>
      </c>
      <c r="D228" s="13" t="s">
        <v>638</v>
      </c>
      <c r="E228" s="228"/>
      <c r="F228" s="156" t="s">
        <v>961</v>
      </c>
      <c r="G228" s="24" t="s">
        <v>962</v>
      </c>
      <c r="H228" s="230">
        <v>4</v>
      </c>
      <c r="I228" s="220">
        <v>1403000</v>
      </c>
      <c r="J228" s="220">
        <v>140300</v>
      </c>
      <c r="K228" s="220">
        <v>23000</v>
      </c>
      <c r="L228" s="220">
        <v>17700</v>
      </c>
      <c r="M228" s="220">
        <v>22000</v>
      </c>
      <c r="N228" s="220">
        <f>SUM(I228:M228)</f>
        <v>1606000</v>
      </c>
      <c r="O228" s="224">
        <v>800000</v>
      </c>
      <c r="P228" s="145" t="s">
        <v>963</v>
      </c>
      <c r="Q228" s="15" t="s">
        <v>19</v>
      </c>
      <c r="R228" s="205"/>
      <c r="S228" s="189" t="s">
        <v>864</v>
      </c>
      <c r="T228" s="114"/>
      <c r="U228" s="21" t="s">
        <v>964</v>
      </c>
      <c r="V228" s="115"/>
      <c r="W228" s="116"/>
      <c r="X228" s="220"/>
      <c r="Y228" s="245">
        <f>X228*0.1</f>
        <v>0</v>
      </c>
      <c r="Z228" s="220"/>
      <c r="AA228" s="220">
        <f>SUM(X228:Z228)</f>
        <v>0</v>
      </c>
      <c r="AB228" s="246"/>
    </row>
    <row r="229" spans="1:28" ht="17.100000000000001" customHeight="1" thickBot="1">
      <c r="A229" s="227"/>
      <c r="B229" s="27" t="s">
        <v>965</v>
      </c>
      <c r="C229" s="27">
        <v>30066</v>
      </c>
      <c r="D229" s="14" t="s">
        <v>966</v>
      </c>
      <c r="E229" s="229"/>
      <c r="F229" s="117" t="s">
        <v>967</v>
      </c>
      <c r="G229" s="26">
        <v>51233</v>
      </c>
      <c r="H229" s="231"/>
      <c r="I229" s="221"/>
      <c r="J229" s="221"/>
      <c r="K229" s="221"/>
      <c r="L229" s="221"/>
      <c r="M229" s="221"/>
      <c r="N229" s="221"/>
      <c r="O229" s="225"/>
      <c r="P229" s="119" t="s">
        <v>968</v>
      </c>
      <c r="Q229" s="16" t="s">
        <v>20</v>
      </c>
      <c r="R229" s="17" t="s">
        <v>969</v>
      </c>
      <c r="S229" s="121" t="s">
        <v>970</v>
      </c>
      <c r="T229" s="122"/>
      <c r="U229" s="22" t="s">
        <v>922</v>
      </c>
      <c r="V229" s="123"/>
      <c r="W229" s="122"/>
      <c r="X229" s="221"/>
      <c r="Y229" s="221"/>
      <c r="Z229" s="221"/>
      <c r="AA229" s="221"/>
      <c r="AB229" s="247"/>
    </row>
    <row r="230" spans="1:28" ht="17.100000000000001" customHeight="1" thickTop="1">
      <c r="A230" s="226" t="s">
        <v>5746</v>
      </c>
      <c r="B230" s="28">
        <v>44037</v>
      </c>
      <c r="C230" s="29"/>
      <c r="D230" s="13" t="s">
        <v>971</v>
      </c>
      <c r="E230" s="228"/>
      <c r="F230" s="156" t="s">
        <v>972</v>
      </c>
      <c r="G230" s="24" t="s">
        <v>973</v>
      </c>
      <c r="H230" s="230">
        <v>3</v>
      </c>
      <c r="I230" s="220">
        <v>225000</v>
      </c>
      <c r="J230" s="220">
        <v>22500</v>
      </c>
      <c r="K230" s="220">
        <v>20100</v>
      </c>
      <c r="L230" s="220">
        <v>8510</v>
      </c>
      <c r="M230" s="220">
        <f>35527+3553</f>
        <v>39080</v>
      </c>
      <c r="N230" s="220">
        <f>SUM(I230:M230)</f>
        <v>315190</v>
      </c>
      <c r="O230" s="224">
        <v>150000</v>
      </c>
      <c r="P230" s="145" t="s">
        <v>974</v>
      </c>
      <c r="Q230" s="15" t="s">
        <v>19</v>
      </c>
      <c r="R230" s="205"/>
      <c r="S230" s="189" t="s">
        <v>780</v>
      </c>
      <c r="T230" s="114"/>
      <c r="U230" s="21"/>
      <c r="V230" s="115"/>
      <c r="W230" s="116"/>
      <c r="X230" s="220"/>
      <c r="Y230" s="245">
        <f>X230*0.1</f>
        <v>0</v>
      </c>
      <c r="Z230" s="220"/>
      <c r="AA230" s="220">
        <f>SUM(X230:Z230)</f>
        <v>0</v>
      </c>
      <c r="AB230" s="246"/>
    </row>
    <row r="231" spans="1:28" ht="17.100000000000001" customHeight="1" thickBot="1">
      <c r="A231" s="227"/>
      <c r="B231" s="27" t="s">
        <v>631</v>
      </c>
      <c r="C231" s="27" t="s">
        <v>975</v>
      </c>
      <c r="D231" s="14" t="s">
        <v>976</v>
      </c>
      <c r="E231" s="229"/>
      <c r="F231" s="117" t="s">
        <v>977</v>
      </c>
      <c r="G231" s="26">
        <v>14833</v>
      </c>
      <c r="H231" s="231"/>
      <c r="I231" s="221"/>
      <c r="J231" s="221"/>
      <c r="K231" s="221"/>
      <c r="L231" s="221"/>
      <c r="M231" s="221"/>
      <c r="N231" s="221"/>
      <c r="O231" s="225"/>
      <c r="P231" s="119" t="s">
        <v>978</v>
      </c>
      <c r="Q231" s="16" t="s">
        <v>20</v>
      </c>
      <c r="R231" s="17" t="s">
        <v>979</v>
      </c>
      <c r="S231" s="121" t="s">
        <v>780</v>
      </c>
      <c r="T231" s="122"/>
      <c r="U231" s="22"/>
      <c r="V231" s="123"/>
      <c r="W231" s="122"/>
      <c r="X231" s="221"/>
      <c r="Y231" s="221"/>
      <c r="Z231" s="221"/>
      <c r="AA231" s="221"/>
      <c r="AB231" s="247"/>
    </row>
    <row r="232" spans="1:28" ht="17.100000000000001" customHeight="1" thickTop="1">
      <c r="A232" s="226" t="s">
        <v>5747</v>
      </c>
      <c r="B232" s="28">
        <v>44042</v>
      </c>
      <c r="C232" s="29" t="s">
        <v>980</v>
      </c>
      <c r="D232" s="13" t="s">
        <v>981</v>
      </c>
      <c r="E232" s="228"/>
      <c r="F232" s="156" t="s">
        <v>982</v>
      </c>
      <c r="G232" s="24" t="s">
        <v>786</v>
      </c>
      <c r="H232" s="230">
        <v>4.5</v>
      </c>
      <c r="I232" s="220">
        <v>1505000</v>
      </c>
      <c r="J232" s="220">
        <v>150500</v>
      </c>
      <c r="K232" s="220">
        <v>26300</v>
      </c>
      <c r="L232" s="220">
        <v>20310</v>
      </c>
      <c r="M232" s="220">
        <v>13200</v>
      </c>
      <c r="N232" s="220">
        <f>SUM(I232:M232)</f>
        <v>1715310</v>
      </c>
      <c r="O232" s="224">
        <v>1100000</v>
      </c>
      <c r="P232" s="145" t="s">
        <v>983</v>
      </c>
      <c r="Q232" s="15" t="s">
        <v>19</v>
      </c>
      <c r="R232" s="205"/>
      <c r="S232" s="189" t="s">
        <v>984</v>
      </c>
      <c r="T232" s="114"/>
      <c r="U232" s="21"/>
      <c r="V232" s="115"/>
      <c r="W232" s="116"/>
      <c r="X232" s="220"/>
      <c r="Y232" s="245">
        <f>X232*0.1</f>
        <v>0</v>
      </c>
      <c r="Z232" s="220"/>
      <c r="AA232" s="220">
        <f>SUM(X232:Z232)</f>
        <v>0</v>
      </c>
      <c r="AB232" s="246"/>
    </row>
    <row r="233" spans="1:28" ht="17.100000000000001" customHeight="1" thickBot="1">
      <c r="A233" s="227"/>
      <c r="B233" s="27" t="s">
        <v>248</v>
      </c>
      <c r="C233" s="27">
        <v>110</v>
      </c>
      <c r="D233" s="14" t="s">
        <v>219</v>
      </c>
      <c r="E233" s="229"/>
      <c r="F233" s="117" t="s">
        <v>985</v>
      </c>
      <c r="G233" s="26">
        <v>48776</v>
      </c>
      <c r="H233" s="231"/>
      <c r="I233" s="221"/>
      <c r="J233" s="221"/>
      <c r="K233" s="221"/>
      <c r="L233" s="221"/>
      <c r="M233" s="221"/>
      <c r="N233" s="221"/>
      <c r="O233" s="225"/>
      <c r="P233" s="119" t="s">
        <v>605</v>
      </c>
      <c r="Q233" s="16" t="s">
        <v>20</v>
      </c>
      <c r="R233" s="17" t="s">
        <v>841</v>
      </c>
      <c r="S233" s="121" t="s">
        <v>849</v>
      </c>
      <c r="T233" s="122"/>
      <c r="U233" s="22" t="s">
        <v>901</v>
      </c>
      <c r="V233" s="123"/>
      <c r="W233" s="122"/>
      <c r="X233" s="221"/>
      <c r="Y233" s="221"/>
      <c r="Z233" s="221"/>
      <c r="AA233" s="221"/>
      <c r="AB233" s="247"/>
    </row>
    <row r="234" spans="1:28" ht="17.100000000000001" customHeight="1" thickTop="1">
      <c r="A234" s="226" t="s">
        <v>5748</v>
      </c>
      <c r="B234" s="28">
        <v>44047</v>
      </c>
      <c r="C234" s="29" t="s">
        <v>986</v>
      </c>
      <c r="D234" s="13" t="s">
        <v>987</v>
      </c>
      <c r="E234" s="228"/>
      <c r="F234" s="156" t="s">
        <v>179</v>
      </c>
      <c r="G234" s="24"/>
      <c r="H234" s="230">
        <v>4.5</v>
      </c>
      <c r="I234" s="220">
        <v>1944000</v>
      </c>
      <c r="J234" s="220">
        <v>194400</v>
      </c>
      <c r="K234" s="220">
        <v>0</v>
      </c>
      <c r="L234" s="220">
        <v>17700</v>
      </c>
      <c r="M234" s="220">
        <v>15950</v>
      </c>
      <c r="N234" s="220">
        <f>SUM(I234:M234)</f>
        <v>2172050</v>
      </c>
      <c r="O234" s="224">
        <v>1500000</v>
      </c>
      <c r="P234" s="145" t="s">
        <v>988</v>
      </c>
      <c r="Q234" s="15" t="s">
        <v>19</v>
      </c>
      <c r="R234" s="205"/>
      <c r="S234" s="189"/>
      <c r="T234" s="114"/>
      <c r="U234" s="21"/>
      <c r="V234" s="115"/>
      <c r="W234" s="116"/>
      <c r="X234" s="220"/>
      <c r="Y234" s="245">
        <f>X234*0.1</f>
        <v>0</v>
      </c>
      <c r="Z234" s="220"/>
      <c r="AA234" s="220">
        <f>SUM(X234:Z234)</f>
        <v>0</v>
      </c>
      <c r="AB234" s="246"/>
    </row>
    <row r="235" spans="1:28" ht="17.100000000000001" customHeight="1" thickBot="1">
      <c r="A235" s="227"/>
      <c r="B235" s="27" t="s">
        <v>796</v>
      </c>
      <c r="C235" s="27">
        <v>5003</v>
      </c>
      <c r="D235" s="14" t="s">
        <v>989</v>
      </c>
      <c r="E235" s="229"/>
      <c r="F235" s="117" t="s">
        <v>990</v>
      </c>
      <c r="G235" s="26">
        <v>21296</v>
      </c>
      <c r="H235" s="231"/>
      <c r="I235" s="221"/>
      <c r="J235" s="221"/>
      <c r="K235" s="221"/>
      <c r="L235" s="221"/>
      <c r="M235" s="221"/>
      <c r="N235" s="221"/>
      <c r="O235" s="225"/>
      <c r="P235" s="119" t="s">
        <v>991</v>
      </c>
      <c r="Q235" s="16" t="s">
        <v>20</v>
      </c>
      <c r="R235" s="17" t="s">
        <v>992</v>
      </c>
      <c r="S235" s="121" t="s">
        <v>993</v>
      </c>
      <c r="T235" s="122"/>
      <c r="U235" s="22"/>
      <c r="V235" s="123"/>
      <c r="W235" s="122"/>
      <c r="X235" s="221"/>
      <c r="Y235" s="221"/>
      <c r="Z235" s="221"/>
      <c r="AA235" s="221"/>
      <c r="AB235" s="247"/>
    </row>
    <row r="236" spans="1:28" ht="17.100000000000001" customHeight="1" thickTop="1">
      <c r="A236" s="226" t="s">
        <v>5749</v>
      </c>
      <c r="B236" s="28">
        <v>44054</v>
      </c>
      <c r="C236" s="29"/>
      <c r="D236" s="13" t="s">
        <v>994</v>
      </c>
      <c r="E236" s="228"/>
      <c r="F236" s="156" t="s">
        <v>995</v>
      </c>
      <c r="G236" s="24" t="s">
        <v>786</v>
      </c>
      <c r="H236" s="230">
        <v>2</v>
      </c>
      <c r="I236" s="220">
        <v>100000</v>
      </c>
      <c r="J236" s="220">
        <v>10000</v>
      </c>
      <c r="K236" s="220">
        <v>0</v>
      </c>
      <c r="L236" s="220">
        <v>7540</v>
      </c>
      <c r="M236" s="220">
        <v>5500</v>
      </c>
      <c r="N236" s="220">
        <f>SUM(I236:M236)</f>
        <v>123040</v>
      </c>
      <c r="O236" s="224">
        <v>20000</v>
      </c>
      <c r="P236" s="145" t="s">
        <v>996</v>
      </c>
      <c r="Q236" s="15" t="s">
        <v>19</v>
      </c>
      <c r="R236" s="205"/>
      <c r="S236" s="189"/>
      <c r="T236" s="114"/>
      <c r="U236" s="21"/>
      <c r="V236" s="115"/>
      <c r="W236" s="116"/>
      <c r="X236" s="220"/>
      <c r="Y236" s="245">
        <f>X236*0.1</f>
        <v>0</v>
      </c>
      <c r="Z236" s="220"/>
      <c r="AA236" s="220">
        <f>SUM(X236:Z236)</f>
        <v>0</v>
      </c>
      <c r="AB236" s="246"/>
    </row>
    <row r="237" spans="1:28" ht="17.100000000000001" customHeight="1" thickBot="1">
      <c r="A237" s="227"/>
      <c r="B237" s="27" t="s">
        <v>997</v>
      </c>
      <c r="C237" s="27" t="s">
        <v>998</v>
      </c>
      <c r="D237" s="14" t="s">
        <v>219</v>
      </c>
      <c r="E237" s="229"/>
      <c r="F237" s="117" t="s">
        <v>999</v>
      </c>
      <c r="G237" s="26">
        <v>213000</v>
      </c>
      <c r="H237" s="231"/>
      <c r="I237" s="221"/>
      <c r="J237" s="221"/>
      <c r="K237" s="221"/>
      <c r="L237" s="221"/>
      <c r="M237" s="221"/>
      <c r="N237" s="221"/>
      <c r="O237" s="225"/>
      <c r="P237" s="119" t="s">
        <v>1000</v>
      </c>
      <c r="Q237" s="16" t="s">
        <v>20</v>
      </c>
      <c r="R237" s="17" t="s">
        <v>1001</v>
      </c>
      <c r="S237" s="121"/>
      <c r="T237" s="122"/>
      <c r="U237" s="22"/>
      <c r="V237" s="123"/>
      <c r="W237" s="122"/>
      <c r="X237" s="221"/>
      <c r="Y237" s="221"/>
      <c r="Z237" s="221"/>
      <c r="AA237" s="221"/>
      <c r="AB237" s="247"/>
    </row>
    <row r="238" spans="1:28" ht="17.100000000000001" customHeight="1" thickTop="1">
      <c r="A238" s="226" t="s">
        <v>5750</v>
      </c>
      <c r="B238" s="28">
        <v>44062</v>
      </c>
      <c r="C238" s="29" t="s">
        <v>1002</v>
      </c>
      <c r="D238" s="13" t="s">
        <v>1003</v>
      </c>
      <c r="E238" s="228"/>
      <c r="F238" s="156" t="s">
        <v>1004</v>
      </c>
      <c r="G238" s="24" t="s">
        <v>1005</v>
      </c>
      <c r="H238" s="230">
        <v>4</v>
      </c>
      <c r="I238" s="220">
        <v>2046000</v>
      </c>
      <c r="J238" s="220">
        <v>204600</v>
      </c>
      <c r="K238" s="220">
        <v>29700</v>
      </c>
      <c r="L238" s="220">
        <v>26610</v>
      </c>
      <c r="M238" s="220">
        <v>13200</v>
      </c>
      <c r="N238" s="220">
        <f>SUM(I238:M238)</f>
        <v>2320110</v>
      </c>
      <c r="O238" s="224">
        <v>1300000</v>
      </c>
      <c r="P238" s="145" t="s">
        <v>1006</v>
      </c>
      <c r="Q238" s="15" t="s">
        <v>19</v>
      </c>
      <c r="R238" s="205"/>
      <c r="S238" s="189"/>
      <c r="T238" s="114"/>
      <c r="U238" s="21"/>
      <c r="V238" s="115"/>
      <c r="W238" s="116"/>
      <c r="X238" s="220"/>
      <c r="Y238" s="245">
        <f>X238*0.1</f>
        <v>0</v>
      </c>
      <c r="Z238" s="220"/>
      <c r="AA238" s="220">
        <f>SUM(X238:Z238)</f>
        <v>0</v>
      </c>
      <c r="AB238" s="246"/>
    </row>
    <row r="239" spans="1:28" ht="17.100000000000001" customHeight="1" thickBot="1">
      <c r="A239" s="227"/>
      <c r="B239" s="27" t="s">
        <v>577</v>
      </c>
      <c r="C239" s="27">
        <v>80018</v>
      </c>
      <c r="D239" s="14" t="s">
        <v>445</v>
      </c>
      <c r="E239" s="229"/>
      <c r="F239" s="117" t="s">
        <v>1007</v>
      </c>
      <c r="G239" s="26">
        <v>45152</v>
      </c>
      <c r="H239" s="231"/>
      <c r="I239" s="221"/>
      <c r="J239" s="221"/>
      <c r="K239" s="221"/>
      <c r="L239" s="221"/>
      <c r="M239" s="221"/>
      <c r="N239" s="221"/>
      <c r="O239" s="225"/>
      <c r="P239" s="119" t="s">
        <v>1008</v>
      </c>
      <c r="Q239" s="16" t="s">
        <v>20</v>
      </c>
      <c r="R239" s="17" t="s">
        <v>1009</v>
      </c>
      <c r="S239" s="121" t="s">
        <v>581</v>
      </c>
      <c r="T239" s="122"/>
      <c r="U239" s="22" t="s">
        <v>901</v>
      </c>
      <c r="V239" s="123"/>
      <c r="W239" s="122"/>
      <c r="X239" s="221"/>
      <c r="Y239" s="221"/>
      <c r="Z239" s="221"/>
      <c r="AA239" s="221"/>
      <c r="AB239" s="247"/>
    </row>
    <row r="240" spans="1:28" ht="17.100000000000001" customHeight="1" thickTop="1">
      <c r="A240" s="226" t="s">
        <v>5751</v>
      </c>
      <c r="B240" s="28">
        <v>44064</v>
      </c>
      <c r="C240" s="29" t="s">
        <v>1010</v>
      </c>
      <c r="D240" s="13" t="s">
        <v>1011</v>
      </c>
      <c r="E240" s="228" t="s">
        <v>164</v>
      </c>
      <c r="F240" s="156" t="s">
        <v>1012</v>
      </c>
      <c r="G240" s="24" t="s">
        <v>1013</v>
      </c>
      <c r="H240" s="230">
        <v>4.5</v>
      </c>
      <c r="I240" s="220">
        <v>1315000</v>
      </c>
      <c r="J240" s="220">
        <v>131500</v>
      </c>
      <c r="K240" s="220">
        <v>23000</v>
      </c>
      <c r="L240" s="220">
        <v>15440</v>
      </c>
      <c r="M240" s="220">
        <v>13200</v>
      </c>
      <c r="N240" s="220">
        <f>SUM(I240:M240)</f>
        <v>1498140</v>
      </c>
      <c r="O240" s="224">
        <v>900000</v>
      </c>
      <c r="P240" s="145" t="s">
        <v>1014</v>
      </c>
      <c r="Q240" s="15" t="s">
        <v>19</v>
      </c>
      <c r="R240" s="205"/>
      <c r="S240" s="189" t="s">
        <v>1015</v>
      </c>
      <c r="T240" s="114"/>
      <c r="U240" s="21" t="s">
        <v>1016</v>
      </c>
      <c r="V240" s="115"/>
      <c r="W240" s="116"/>
      <c r="X240" s="220"/>
      <c r="Y240" s="245">
        <f>X240*0.1</f>
        <v>0</v>
      </c>
      <c r="Z240" s="220"/>
      <c r="AA240" s="220">
        <f>SUM(X240:Z240)</f>
        <v>0</v>
      </c>
      <c r="AB240" s="246"/>
    </row>
    <row r="241" spans="1:28" ht="17.100000000000001" customHeight="1" thickBot="1">
      <c r="A241" s="227"/>
      <c r="B241" s="27" t="s">
        <v>203</v>
      </c>
      <c r="C241" s="27">
        <v>58133</v>
      </c>
      <c r="D241" s="14" t="s">
        <v>263</v>
      </c>
      <c r="E241" s="229"/>
      <c r="F241" s="117" t="s">
        <v>1017</v>
      </c>
      <c r="G241" s="26">
        <v>39627</v>
      </c>
      <c r="H241" s="231"/>
      <c r="I241" s="221"/>
      <c r="J241" s="221"/>
      <c r="K241" s="221"/>
      <c r="L241" s="221"/>
      <c r="M241" s="221"/>
      <c r="N241" s="221"/>
      <c r="O241" s="225"/>
      <c r="P241" s="119" t="s">
        <v>1018</v>
      </c>
      <c r="Q241" s="16" t="s">
        <v>20</v>
      </c>
      <c r="R241" s="17" t="s">
        <v>1019</v>
      </c>
      <c r="S241" s="121" t="s">
        <v>747</v>
      </c>
      <c r="T241" s="122"/>
      <c r="U241" s="22"/>
      <c r="V241" s="123"/>
      <c r="W241" s="122"/>
      <c r="X241" s="221"/>
      <c r="Y241" s="221"/>
      <c r="Z241" s="221"/>
      <c r="AA241" s="221"/>
      <c r="AB241" s="247"/>
    </row>
    <row r="242" spans="1:28" ht="17.100000000000001" customHeight="1" thickTop="1">
      <c r="A242" s="226" t="s">
        <v>5752</v>
      </c>
      <c r="B242" s="28">
        <v>44078</v>
      </c>
      <c r="C242" s="29" t="s">
        <v>1020</v>
      </c>
      <c r="D242" s="13" t="s">
        <v>1021</v>
      </c>
      <c r="E242" s="228"/>
      <c r="F242" s="156" t="s">
        <v>1022</v>
      </c>
      <c r="G242" s="24"/>
      <c r="H242" s="230">
        <v>4.5</v>
      </c>
      <c r="I242" s="220">
        <v>2015000</v>
      </c>
      <c r="J242" s="220">
        <v>201500</v>
      </c>
      <c r="K242" s="220">
        <v>0</v>
      </c>
      <c r="L242" s="220">
        <v>18110</v>
      </c>
      <c r="M242" s="220">
        <v>13200</v>
      </c>
      <c r="N242" s="220">
        <f>SUM(I242:M242)</f>
        <v>2247810</v>
      </c>
      <c r="O242" s="224">
        <v>1600000</v>
      </c>
      <c r="P242" s="145" t="s">
        <v>1023</v>
      </c>
      <c r="Q242" s="15" t="s">
        <v>19</v>
      </c>
      <c r="R242" s="205"/>
      <c r="S242" s="189"/>
      <c r="T242" s="114"/>
      <c r="U242" s="21"/>
      <c r="V242" s="115"/>
      <c r="W242" s="116"/>
      <c r="X242" s="220"/>
      <c r="Y242" s="245">
        <f>X242*0.1</f>
        <v>0</v>
      </c>
      <c r="Z242" s="220"/>
      <c r="AA242" s="220">
        <f>SUM(X242:Z242)</f>
        <v>0</v>
      </c>
      <c r="AB242" s="246"/>
    </row>
    <row r="243" spans="1:28" ht="17.100000000000001" customHeight="1" thickBot="1">
      <c r="A243" s="227"/>
      <c r="B243" s="27" t="s">
        <v>203</v>
      </c>
      <c r="C243" s="27">
        <v>20305</v>
      </c>
      <c r="D243" s="14" t="s">
        <v>759</v>
      </c>
      <c r="E243" s="229"/>
      <c r="F243" s="117" t="s">
        <v>1024</v>
      </c>
      <c r="G243" s="26">
        <v>50167</v>
      </c>
      <c r="H243" s="231"/>
      <c r="I243" s="221"/>
      <c r="J243" s="221"/>
      <c r="K243" s="221"/>
      <c r="L243" s="221"/>
      <c r="M243" s="221"/>
      <c r="N243" s="221"/>
      <c r="O243" s="225"/>
      <c r="P243" s="119" t="s">
        <v>1025</v>
      </c>
      <c r="Q243" s="16" t="s">
        <v>20</v>
      </c>
      <c r="R243" s="17" t="s">
        <v>1026</v>
      </c>
      <c r="S243" s="121" t="s">
        <v>283</v>
      </c>
      <c r="T243" s="122"/>
      <c r="U243" s="22"/>
      <c r="V243" s="123"/>
      <c r="W243" s="122"/>
      <c r="X243" s="221"/>
      <c r="Y243" s="221"/>
      <c r="Z243" s="221"/>
      <c r="AA243" s="221"/>
      <c r="AB243" s="247"/>
    </row>
    <row r="244" spans="1:28" ht="17.100000000000001" customHeight="1" thickTop="1">
      <c r="A244" s="226" t="s">
        <v>5753</v>
      </c>
      <c r="B244" s="28">
        <v>44081</v>
      </c>
      <c r="C244" s="29" t="s">
        <v>1027</v>
      </c>
      <c r="D244" s="13" t="s">
        <v>1028</v>
      </c>
      <c r="E244" s="228"/>
      <c r="F244" s="156" t="s">
        <v>1029</v>
      </c>
      <c r="G244" s="24"/>
      <c r="H244" s="230">
        <v>4</v>
      </c>
      <c r="I244" s="220">
        <v>1885000</v>
      </c>
      <c r="J244" s="220">
        <v>188500</v>
      </c>
      <c r="K244" s="220">
        <v>0</v>
      </c>
      <c r="L244" s="220">
        <v>17540</v>
      </c>
      <c r="M244" s="220">
        <v>11000</v>
      </c>
      <c r="N244" s="220">
        <f>SUM(I244:M244)</f>
        <v>2102040</v>
      </c>
      <c r="O244" s="224">
        <v>1200000</v>
      </c>
      <c r="P244" s="145" t="s">
        <v>1030</v>
      </c>
      <c r="Q244" s="15" t="s">
        <v>19</v>
      </c>
      <c r="R244" s="205"/>
      <c r="S244" s="189" t="s">
        <v>576</v>
      </c>
      <c r="T244" s="114"/>
      <c r="U244" s="21"/>
      <c r="V244" s="115"/>
      <c r="W244" s="116"/>
      <c r="X244" s="220"/>
      <c r="Y244" s="245">
        <f>X244*0.1</f>
        <v>0</v>
      </c>
      <c r="Z244" s="220"/>
      <c r="AA244" s="220">
        <f>SUM(X244:Z244)</f>
        <v>0</v>
      </c>
      <c r="AB244" s="246"/>
    </row>
    <row r="245" spans="1:28" ht="17.100000000000001" customHeight="1" thickBot="1">
      <c r="A245" s="227"/>
      <c r="B245" s="27" t="s">
        <v>654</v>
      </c>
      <c r="C245" s="27">
        <v>37029</v>
      </c>
      <c r="D245" s="14" t="s">
        <v>898</v>
      </c>
      <c r="E245" s="229"/>
      <c r="F245" s="117" t="s">
        <v>1031</v>
      </c>
      <c r="G245" s="26">
        <v>45267</v>
      </c>
      <c r="H245" s="231"/>
      <c r="I245" s="221"/>
      <c r="J245" s="221"/>
      <c r="K245" s="221"/>
      <c r="L245" s="221"/>
      <c r="M245" s="221"/>
      <c r="N245" s="221"/>
      <c r="O245" s="225"/>
      <c r="P245" s="119" t="s">
        <v>674</v>
      </c>
      <c r="Q245" s="16" t="s">
        <v>20</v>
      </c>
      <c r="R245" s="17" t="s">
        <v>1032</v>
      </c>
      <c r="S245" s="121" t="s">
        <v>780</v>
      </c>
      <c r="T245" s="122"/>
      <c r="U245" s="22"/>
      <c r="V245" s="123"/>
      <c r="W245" s="122"/>
      <c r="X245" s="221"/>
      <c r="Y245" s="221"/>
      <c r="Z245" s="221"/>
      <c r="AA245" s="221"/>
      <c r="AB245" s="247"/>
    </row>
    <row r="246" spans="1:28" ht="17.100000000000001" customHeight="1" thickTop="1">
      <c r="A246" s="226" t="s">
        <v>5754</v>
      </c>
      <c r="B246" s="28">
        <v>44084</v>
      </c>
      <c r="C246" s="29" t="s">
        <v>1033</v>
      </c>
      <c r="D246" s="13" t="s">
        <v>285</v>
      </c>
      <c r="E246" s="228"/>
      <c r="F246" s="156" t="s">
        <v>1034</v>
      </c>
      <c r="G246" s="24"/>
      <c r="H246" s="230">
        <v>4.5</v>
      </c>
      <c r="I246" s="220">
        <v>3170000</v>
      </c>
      <c r="J246" s="220">
        <v>317000</v>
      </c>
      <c r="K246" s="220">
        <v>0</v>
      </c>
      <c r="L246" s="220">
        <v>27600</v>
      </c>
      <c r="M246" s="220">
        <v>13200</v>
      </c>
      <c r="N246" s="220">
        <f>SUM(I246:M246)</f>
        <v>3527800</v>
      </c>
      <c r="O246" s="224">
        <v>2500000</v>
      </c>
      <c r="P246" s="145" t="s">
        <v>1035</v>
      </c>
      <c r="Q246" s="15" t="s">
        <v>19</v>
      </c>
      <c r="R246" s="205"/>
      <c r="S246" s="189" t="s">
        <v>1036</v>
      </c>
      <c r="T246" s="114"/>
      <c r="U246" s="21"/>
      <c r="V246" s="115"/>
      <c r="W246" s="116"/>
      <c r="X246" s="220"/>
      <c r="Y246" s="245">
        <f>X246*0.1</f>
        <v>0</v>
      </c>
      <c r="Z246" s="220"/>
      <c r="AA246" s="220">
        <f>SUM(X246:Z246)</f>
        <v>0</v>
      </c>
      <c r="AB246" s="246"/>
    </row>
    <row r="247" spans="1:28" ht="17.100000000000001" customHeight="1" thickBot="1">
      <c r="A247" s="227"/>
      <c r="B247" s="27" t="s">
        <v>248</v>
      </c>
      <c r="C247" s="27">
        <v>35</v>
      </c>
      <c r="D247" s="14" t="s">
        <v>704</v>
      </c>
      <c r="E247" s="229"/>
      <c r="F247" s="117" t="s">
        <v>1037</v>
      </c>
      <c r="G247" s="26">
        <v>46183</v>
      </c>
      <c r="H247" s="231"/>
      <c r="I247" s="221"/>
      <c r="J247" s="221"/>
      <c r="K247" s="221"/>
      <c r="L247" s="221"/>
      <c r="M247" s="221"/>
      <c r="N247" s="221"/>
      <c r="O247" s="225"/>
      <c r="P247" s="119" t="s">
        <v>579</v>
      </c>
      <c r="Q247" s="16" t="s">
        <v>20</v>
      </c>
      <c r="R247" s="17" t="s">
        <v>1038</v>
      </c>
      <c r="S247" s="121" t="s">
        <v>776</v>
      </c>
      <c r="T247" s="122"/>
      <c r="U247" s="22"/>
      <c r="V247" s="123"/>
      <c r="W247" s="122"/>
      <c r="X247" s="221"/>
      <c r="Y247" s="221"/>
      <c r="Z247" s="221"/>
      <c r="AA247" s="221"/>
      <c r="AB247" s="247"/>
    </row>
    <row r="248" spans="1:28" ht="17.100000000000001" customHeight="1" thickTop="1">
      <c r="A248" s="226" t="s">
        <v>5755</v>
      </c>
      <c r="B248" s="28">
        <v>44084</v>
      </c>
      <c r="C248" s="29" t="s">
        <v>1039</v>
      </c>
      <c r="D248" s="13" t="s">
        <v>638</v>
      </c>
      <c r="E248" s="228"/>
      <c r="F248" s="156" t="s">
        <v>1040</v>
      </c>
      <c r="G248" s="24" t="s">
        <v>1041</v>
      </c>
      <c r="H248" s="230">
        <v>4.5</v>
      </c>
      <c r="I248" s="220">
        <v>1555000</v>
      </c>
      <c r="J248" s="220">
        <v>155500</v>
      </c>
      <c r="K248" s="220">
        <v>17200</v>
      </c>
      <c r="L248" s="220">
        <v>18960</v>
      </c>
      <c r="M248" s="220">
        <v>13200</v>
      </c>
      <c r="N248" s="220">
        <f>SUM(I248:M248)</f>
        <v>1759860</v>
      </c>
      <c r="O248" s="224">
        <v>1200000</v>
      </c>
      <c r="P248" s="145" t="s">
        <v>1042</v>
      </c>
      <c r="Q248" s="15" t="s">
        <v>19</v>
      </c>
      <c r="R248" s="205"/>
      <c r="S248" s="189" t="s">
        <v>1043</v>
      </c>
      <c r="T248" s="114" t="s">
        <v>1044</v>
      </c>
      <c r="U248" s="21" t="s">
        <v>1045</v>
      </c>
      <c r="V248" s="115"/>
      <c r="W248" s="116"/>
      <c r="X248" s="220"/>
      <c r="Y248" s="245">
        <f>X248*0.1</f>
        <v>0</v>
      </c>
      <c r="Z248" s="220"/>
      <c r="AA248" s="220">
        <f>SUM(X248:Z248)</f>
        <v>0</v>
      </c>
      <c r="AB248" s="246"/>
    </row>
    <row r="249" spans="1:28" ht="17.100000000000001" customHeight="1" thickBot="1">
      <c r="A249" s="227"/>
      <c r="B249" s="27" t="s">
        <v>146</v>
      </c>
      <c r="C249" s="27">
        <v>75085</v>
      </c>
      <c r="D249" s="14" t="s">
        <v>1046</v>
      </c>
      <c r="E249" s="229"/>
      <c r="F249" s="117" t="s">
        <v>1047</v>
      </c>
      <c r="G249" s="26">
        <v>45417</v>
      </c>
      <c r="H249" s="231"/>
      <c r="I249" s="221"/>
      <c r="J249" s="221"/>
      <c r="K249" s="221"/>
      <c r="L249" s="221"/>
      <c r="M249" s="221"/>
      <c r="N249" s="221"/>
      <c r="O249" s="225"/>
      <c r="P249" s="119" t="s">
        <v>1048</v>
      </c>
      <c r="Q249" s="16" t="s">
        <v>20</v>
      </c>
      <c r="R249" s="17" t="s">
        <v>1049</v>
      </c>
      <c r="S249" s="121" t="s">
        <v>487</v>
      </c>
      <c r="T249" s="122"/>
      <c r="U249" s="22" t="s">
        <v>1050</v>
      </c>
      <c r="V249" s="123"/>
      <c r="W249" s="122"/>
      <c r="X249" s="221"/>
      <c r="Y249" s="221"/>
      <c r="Z249" s="221"/>
      <c r="AA249" s="221"/>
      <c r="AB249" s="247"/>
    </row>
    <row r="250" spans="1:28" ht="17.100000000000001" customHeight="1" thickTop="1">
      <c r="A250" s="226" t="s">
        <v>5756</v>
      </c>
      <c r="B250" s="28">
        <v>44088</v>
      </c>
      <c r="C250" s="29" t="s">
        <v>902</v>
      </c>
      <c r="D250" s="13" t="s">
        <v>1051</v>
      </c>
      <c r="E250" s="228"/>
      <c r="F250" s="156" t="s">
        <v>1052</v>
      </c>
      <c r="G250" s="24" t="s">
        <v>1053</v>
      </c>
      <c r="H250" s="230">
        <v>4</v>
      </c>
      <c r="I250" s="220">
        <v>2970000</v>
      </c>
      <c r="J250" s="220">
        <v>297000</v>
      </c>
      <c r="K250" s="220">
        <v>25500</v>
      </c>
      <c r="L250" s="220">
        <v>18110</v>
      </c>
      <c r="M250" s="220">
        <v>11000</v>
      </c>
      <c r="N250" s="220">
        <f>SUM(I250:M250)</f>
        <v>3321610</v>
      </c>
      <c r="O250" s="224">
        <v>2200000</v>
      </c>
      <c r="P250" s="145" t="s">
        <v>1054</v>
      </c>
      <c r="Q250" s="15" t="s">
        <v>19</v>
      </c>
      <c r="R250" s="205"/>
      <c r="S250" s="189" t="s">
        <v>576</v>
      </c>
      <c r="T250" s="114"/>
      <c r="U250" s="21" t="s">
        <v>1055</v>
      </c>
      <c r="V250" s="115"/>
      <c r="W250" s="116"/>
      <c r="X250" s="220"/>
      <c r="Y250" s="245">
        <f>X250*0.1</f>
        <v>0</v>
      </c>
      <c r="Z250" s="220"/>
      <c r="AA250" s="220">
        <f>SUM(X250:Z250)</f>
        <v>0</v>
      </c>
      <c r="AB250" s="246"/>
    </row>
    <row r="251" spans="1:28" ht="17.100000000000001" customHeight="1" thickBot="1">
      <c r="A251" s="227"/>
      <c r="B251" s="27" t="s">
        <v>654</v>
      </c>
      <c r="C251" s="27">
        <v>36036</v>
      </c>
      <c r="D251" s="14" t="s">
        <v>219</v>
      </c>
      <c r="E251" s="229"/>
      <c r="F251" s="117" t="s">
        <v>1056</v>
      </c>
      <c r="G251" s="26">
        <v>37780</v>
      </c>
      <c r="H251" s="231"/>
      <c r="I251" s="221"/>
      <c r="J251" s="221"/>
      <c r="K251" s="221"/>
      <c r="L251" s="221"/>
      <c r="M251" s="221"/>
      <c r="N251" s="221"/>
      <c r="O251" s="225"/>
      <c r="P251" s="119" t="s">
        <v>1057</v>
      </c>
      <c r="Q251" s="16" t="s">
        <v>20</v>
      </c>
      <c r="R251" s="17" t="s">
        <v>1058</v>
      </c>
      <c r="S251" s="121" t="s">
        <v>1059</v>
      </c>
      <c r="T251" s="122"/>
      <c r="U251" s="22" t="s">
        <v>901</v>
      </c>
      <c r="V251" s="123"/>
      <c r="W251" s="122"/>
      <c r="X251" s="221"/>
      <c r="Y251" s="221"/>
      <c r="Z251" s="221"/>
      <c r="AA251" s="221"/>
      <c r="AB251" s="247"/>
    </row>
    <row r="252" spans="1:28" ht="17.100000000000001" customHeight="1" thickTop="1">
      <c r="A252" s="226" t="s">
        <v>5757</v>
      </c>
      <c r="B252" s="28">
        <v>44091</v>
      </c>
      <c r="C252" s="29" t="s">
        <v>1060</v>
      </c>
      <c r="D252" s="13" t="s">
        <v>1061</v>
      </c>
      <c r="E252" s="228"/>
      <c r="F252" s="156" t="s">
        <v>1062</v>
      </c>
      <c r="G252" s="24" t="s">
        <v>707</v>
      </c>
      <c r="H252" s="230">
        <v>4</v>
      </c>
      <c r="I252" s="220">
        <v>2350000</v>
      </c>
      <c r="J252" s="220">
        <v>235000</v>
      </c>
      <c r="K252" s="220">
        <v>0</v>
      </c>
      <c r="L252" s="220">
        <v>18170</v>
      </c>
      <c r="M252" s="220">
        <v>13200</v>
      </c>
      <c r="N252" s="220">
        <f>SUM(I252:M252)</f>
        <v>2616370</v>
      </c>
      <c r="O252" s="224">
        <v>1600000</v>
      </c>
      <c r="P252" s="145" t="s">
        <v>1063</v>
      </c>
      <c r="Q252" s="15" t="s">
        <v>19</v>
      </c>
      <c r="R252" s="205"/>
      <c r="S252" s="189" t="s">
        <v>780</v>
      </c>
      <c r="T252" s="158"/>
      <c r="U252" s="21"/>
      <c r="V252" s="115"/>
      <c r="W252" s="116"/>
      <c r="X252" s="220"/>
      <c r="Y252" s="245">
        <f>X252*0.1</f>
        <v>0</v>
      </c>
      <c r="Z252" s="220"/>
      <c r="AA252" s="220">
        <f>SUM(X252:Z252)</f>
        <v>0</v>
      </c>
      <c r="AB252" s="246"/>
    </row>
    <row r="253" spans="1:28" ht="17.100000000000001" customHeight="1" thickBot="1">
      <c r="A253" s="227"/>
      <c r="B253" s="27" t="s">
        <v>146</v>
      </c>
      <c r="C253" s="27">
        <v>75293</v>
      </c>
      <c r="D253" s="14" t="s">
        <v>117</v>
      </c>
      <c r="E253" s="229"/>
      <c r="F253" s="117" t="s">
        <v>1064</v>
      </c>
      <c r="G253" s="26">
        <v>50320</v>
      </c>
      <c r="H253" s="231"/>
      <c r="I253" s="221"/>
      <c r="J253" s="221"/>
      <c r="K253" s="221"/>
      <c r="L253" s="221"/>
      <c r="M253" s="221"/>
      <c r="N253" s="221"/>
      <c r="O253" s="225"/>
      <c r="P253" s="119" t="s">
        <v>1065</v>
      </c>
      <c r="Q253" s="16" t="s">
        <v>20</v>
      </c>
      <c r="R253" s="17" t="s">
        <v>1066</v>
      </c>
      <c r="S253" s="121" t="s">
        <v>1067</v>
      </c>
      <c r="T253" s="122"/>
      <c r="U253" s="22"/>
      <c r="V253" s="123"/>
      <c r="W253" s="122"/>
      <c r="X253" s="221"/>
      <c r="Y253" s="221"/>
      <c r="Z253" s="221"/>
      <c r="AA253" s="221"/>
      <c r="AB253" s="247"/>
    </row>
    <row r="254" spans="1:28" ht="17.100000000000001" customHeight="1" thickTop="1">
      <c r="A254" s="226" t="s">
        <v>5758</v>
      </c>
      <c r="B254" s="28">
        <v>44096</v>
      </c>
      <c r="C254" s="29"/>
      <c r="D254" s="13" t="s">
        <v>1068</v>
      </c>
      <c r="E254" s="228"/>
      <c r="F254" s="156" t="s">
        <v>1069</v>
      </c>
      <c r="G254" s="24" t="s">
        <v>1070</v>
      </c>
      <c r="H254" s="230" t="s">
        <v>652</v>
      </c>
      <c r="I254" s="220">
        <v>305000</v>
      </c>
      <c r="J254" s="220">
        <v>30500</v>
      </c>
      <c r="K254" s="220"/>
      <c r="L254" s="220">
        <v>8400</v>
      </c>
      <c r="M254" s="220">
        <f>39737+3974</f>
        <v>43711</v>
      </c>
      <c r="N254" s="220">
        <f>SUM(I254:M254)</f>
        <v>387611</v>
      </c>
      <c r="O254" s="224">
        <v>150000</v>
      </c>
      <c r="P254" s="145" t="s">
        <v>1071</v>
      </c>
      <c r="Q254" s="15" t="s">
        <v>19</v>
      </c>
      <c r="R254" s="205"/>
      <c r="S254" s="189" t="s">
        <v>1072</v>
      </c>
      <c r="T254" s="114" t="s">
        <v>1073</v>
      </c>
      <c r="U254" s="21" t="s">
        <v>1074</v>
      </c>
      <c r="V254" s="115"/>
      <c r="W254" s="116"/>
      <c r="X254" s="220"/>
      <c r="Y254" s="245">
        <f>X254*0.1</f>
        <v>0</v>
      </c>
      <c r="Z254" s="220"/>
      <c r="AA254" s="220">
        <f>SUM(X254:Z254)</f>
        <v>0</v>
      </c>
      <c r="AB254" s="246"/>
    </row>
    <row r="255" spans="1:28" ht="17.100000000000001" customHeight="1" thickBot="1">
      <c r="A255" s="227"/>
      <c r="B255" s="27" t="s">
        <v>631</v>
      </c>
      <c r="C255" s="27" t="s">
        <v>1075</v>
      </c>
      <c r="D255" s="14" t="s">
        <v>537</v>
      </c>
      <c r="E255" s="229"/>
      <c r="F255" s="117" t="s">
        <v>1076</v>
      </c>
      <c r="G255" s="26">
        <v>51451</v>
      </c>
      <c r="H255" s="231"/>
      <c r="I255" s="221"/>
      <c r="J255" s="221"/>
      <c r="K255" s="221"/>
      <c r="L255" s="221"/>
      <c r="M255" s="221"/>
      <c r="N255" s="221"/>
      <c r="O255" s="225"/>
      <c r="P255" s="119" t="s">
        <v>1077</v>
      </c>
      <c r="Q255" s="16" t="s">
        <v>20</v>
      </c>
      <c r="R255" s="17" t="s">
        <v>1078</v>
      </c>
      <c r="S255" s="121" t="s">
        <v>1072</v>
      </c>
      <c r="T255" s="122" t="s">
        <v>1079</v>
      </c>
      <c r="U255" s="22" t="s">
        <v>1050</v>
      </c>
      <c r="V255" s="123"/>
      <c r="W255" s="122"/>
      <c r="X255" s="221"/>
      <c r="Y255" s="221"/>
      <c r="Z255" s="221"/>
      <c r="AA255" s="221"/>
      <c r="AB255" s="247"/>
    </row>
    <row r="256" spans="1:28" ht="17.100000000000001" customHeight="1" thickTop="1">
      <c r="A256" s="226" t="s">
        <v>5759</v>
      </c>
      <c r="B256" s="28">
        <v>44099</v>
      </c>
      <c r="C256" s="29" t="s">
        <v>1080</v>
      </c>
      <c r="D256" s="13" t="s">
        <v>914</v>
      </c>
      <c r="E256" s="228"/>
      <c r="F256" s="156" t="s">
        <v>278</v>
      </c>
      <c r="G256" s="24" t="s">
        <v>1081</v>
      </c>
      <c r="H256" s="230">
        <v>4</v>
      </c>
      <c r="I256" s="220">
        <v>1580000</v>
      </c>
      <c r="J256" s="220">
        <v>158000</v>
      </c>
      <c r="K256" s="220">
        <v>17200</v>
      </c>
      <c r="L256" s="220">
        <v>17700</v>
      </c>
      <c r="M256" s="220">
        <v>13200</v>
      </c>
      <c r="N256" s="220">
        <f>SUM(I256:M256)</f>
        <v>1786100</v>
      </c>
      <c r="O256" s="224">
        <v>1400000</v>
      </c>
      <c r="P256" s="145" t="s">
        <v>1082</v>
      </c>
      <c r="Q256" s="15" t="s">
        <v>19</v>
      </c>
      <c r="R256" s="205"/>
      <c r="S256" s="189" t="s">
        <v>1083</v>
      </c>
      <c r="T256" s="114" t="s">
        <v>24639</v>
      </c>
      <c r="U256" s="21"/>
      <c r="V256" s="115"/>
      <c r="W256" s="116"/>
      <c r="X256" s="220"/>
      <c r="Y256" s="245">
        <f>X256*0.1</f>
        <v>0</v>
      </c>
      <c r="Z256" s="220"/>
      <c r="AA256" s="220">
        <f>SUM(X256:Z256)</f>
        <v>0</v>
      </c>
      <c r="AB256" s="246"/>
    </row>
    <row r="257" spans="1:28" ht="17.100000000000001" customHeight="1" thickBot="1">
      <c r="A257" s="227"/>
      <c r="B257" s="27" t="s">
        <v>203</v>
      </c>
      <c r="C257" s="27">
        <v>58258</v>
      </c>
      <c r="D257" s="14" t="s">
        <v>263</v>
      </c>
      <c r="E257" s="229"/>
      <c r="F257" s="117" t="s">
        <v>1084</v>
      </c>
      <c r="G257" s="26">
        <v>40463</v>
      </c>
      <c r="H257" s="231"/>
      <c r="I257" s="221"/>
      <c r="J257" s="221"/>
      <c r="K257" s="221"/>
      <c r="L257" s="221"/>
      <c r="M257" s="221"/>
      <c r="N257" s="221"/>
      <c r="O257" s="225"/>
      <c r="P257" s="119" t="s">
        <v>1085</v>
      </c>
      <c r="Q257" s="16" t="s">
        <v>20</v>
      </c>
      <c r="R257" s="17" t="s">
        <v>1086</v>
      </c>
      <c r="S257" s="121" t="s">
        <v>487</v>
      </c>
      <c r="T257" s="122"/>
      <c r="U257" s="22" t="s">
        <v>24638</v>
      </c>
      <c r="V257" s="123"/>
      <c r="W257" s="122"/>
      <c r="X257" s="221"/>
      <c r="Y257" s="221"/>
      <c r="Z257" s="221"/>
      <c r="AA257" s="221"/>
      <c r="AB257" s="247"/>
    </row>
    <row r="258" spans="1:28" ht="17.100000000000001" customHeight="1" thickTop="1">
      <c r="A258" s="226" t="s">
        <v>5760</v>
      </c>
      <c r="B258" s="28">
        <v>44105</v>
      </c>
      <c r="C258" s="29" t="s">
        <v>1087</v>
      </c>
      <c r="D258" s="13" t="s">
        <v>755</v>
      </c>
      <c r="E258" s="228"/>
      <c r="F258" s="156" t="s">
        <v>1088</v>
      </c>
      <c r="G258" s="24" t="s">
        <v>1089</v>
      </c>
      <c r="H258" s="230">
        <v>4</v>
      </c>
      <c r="I258" s="220">
        <v>1470000</v>
      </c>
      <c r="J258" s="220">
        <v>147000</v>
      </c>
      <c r="K258" s="220">
        <v>16400</v>
      </c>
      <c r="L258" s="220">
        <v>20310</v>
      </c>
      <c r="M258" s="220">
        <v>13200</v>
      </c>
      <c r="N258" s="220">
        <f>SUM(I258:M258)</f>
        <v>1666910</v>
      </c>
      <c r="O258" s="224">
        <v>1000000</v>
      </c>
      <c r="P258" s="145" t="s">
        <v>1090</v>
      </c>
      <c r="Q258" s="15" t="s">
        <v>19</v>
      </c>
      <c r="R258" s="205"/>
      <c r="S258" s="189" t="s">
        <v>984</v>
      </c>
      <c r="T258" s="114"/>
      <c r="U258" s="21"/>
      <c r="V258" s="115"/>
      <c r="W258" s="116"/>
      <c r="X258" s="220"/>
      <c r="Y258" s="245">
        <f>X258*0.1</f>
        <v>0</v>
      </c>
      <c r="Z258" s="220"/>
      <c r="AA258" s="220">
        <f>SUM(X258:Z258)</f>
        <v>0</v>
      </c>
      <c r="AB258" s="246"/>
    </row>
    <row r="259" spans="1:28" ht="17.100000000000001" customHeight="1" thickBot="1">
      <c r="A259" s="227"/>
      <c r="B259" s="27" t="s">
        <v>248</v>
      </c>
      <c r="C259" s="27">
        <v>94</v>
      </c>
      <c r="D259" s="14" t="s">
        <v>219</v>
      </c>
      <c r="E259" s="229"/>
      <c r="F259" s="117" t="s">
        <v>1091</v>
      </c>
      <c r="G259" s="26">
        <v>56559</v>
      </c>
      <c r="H259" s="231"/>
      <c r="I259" s="221"/>
      <c r="J259" s="221"/>
      <c r="K259" s="221"/>
      <c r="L259" s="221"/>
      <c r="M259" s="221"/>
      <c r="N259" s="221"/>
      <c r="O259" s="225"/>
      <c r="P259" s="119" t="s">
        <v>724</v>
      </c>
      <c r="Q259" s="16" t="s">
        <v>20</v>
      </c>
      <c r="R259" s="17" t="s">
        <v>1086</v>
      </c>
      <c r="S259" s="121" t="s">
        <v>959</v>
      </c>
      <c r="T259" s="122"/>
      <c r="U259" s="22" t="s">
        <v>922</v>
      </c>
      <c r="V259" s="123"/>
      <c r="W259" s="122"/>
      <c r="X259" s="221"/>
      <c r="Y259" s="221"/>
      <c r="Z259" s="221"/>
      <c r="AA259" s="221"/>
      <c r="AB259" s="247"/>
    </row>
    <row r="260" spans="1:28" ht="17.100000000000001" customHeight="1" thickTop="1">
      <c r="A260" s="226" t="s">
        <v>5761</v>
      </c>
      <c r="B260" s="28">
        <v>44112</v>
      </c>
      <c r="C260" s="29" t="s">
        <v>1092</v>
      </c>
      <c r="D260" s="13" t="s">
        <v>499</v>
      </c>
      <c r="E260" s="228"/>
      <c r="F260" s="156" t="s">
        <v>1093</v>
      </c>
      <c r="G260" s="24"/>
      <c r="H260" s="230">
        <v>4.5</v>
      </c>
      <c r="I260" s="220">
        <v>3065000</v>
      </c>
      <c r="J260" s="220">
        <v>306500</v>
      </c>
      <c r="K260" s="220">
        <v>0</v>
      </c>
      <c r="L260" s="220">
        <v>19630</v>
      </c>
      <c r="M260" s="220">
        <v>13200</v>
      </c>
      <c r="N260" s="220">
        <f>SUM(I260:M260)</f>
        <v>3404330</v>
      </c>
      <c r="O260" s="224">
        <v>2200000</v>
      </c>
      <c r="P260" s="145" t="s">
        <v>1094</v>
      </c>
      <c r="Q260" s="15" t="s">
        <v>19</v>
      </c>
      <c r="R260" s="205"/>
      <c r="S260" s="189" t="s">
        <v>576</v>
      </c>
      <c r="T260" s="114" t="s">
        <v>1095</v>
      </c>
      <c r="U260" s="21"/>
      <c r="V260" s="115"/>
      <c r="W260" s="116"/>
      <c r="X260" s="220"/>
      <c r="Y260" s="245">
        <f>X260*0.1</f>
        <v>0</v>
      </c>
      <c r="Z260" s="220"/>
      <c r="AA260" s="220">
        <f>SUM(X260:Z260)</f>
        <v>0</v>
      </c>
      <c r="AB260" s="246"/>
    </row>
    <row r="261" spans="1:28" ht="17.100000000000001" customHeight="1" thickBot="1">
      <c r="A261" s="227"/>
      <c r="B261" s="27" t="s">
        <v>248</v>
      </c>
      <c r="C261" s="27">
        <v>15</v>
      </c>
      <c r="D261" s="14" t="s">
        <v>289</v>
      </c>
      <c r="E261" s="229"/>
      <c r="F261" s="117" t="s">
        <v>1096</v>
      </c>
      <c r="G261" s="26">
        <v>16542</v>
      </c>
      <c r="H261" s="231"/>
      <c r="I261" s="221"/>
      <c r="J261" s="221"/>
      <c r="K261" s="221"/>
      <c r="L261" s="221"/>
      <c r="M261" s="221"/>
      <c r="N261" s="221"/>
      <c r="O261" s="225"/>
      <c r="P261" s="119" t="s">
        <v>1097</v>
      </c>
      <c r="Q261" s="16" t="s">
        <v>20</v>
      </c>
      <c r="R261" s="17" t="s">
        <v>1098</v>
      </c>
      <c r="S261" s="121" t="s">
        <v>1099</v>
      </c>
      <c r="T261" s="122"/>
      <c r="U261" s="22"/>
      <c r="V261" s="123"/>
      <c r="W261" s="122"/>
      <c r="X261" s="221"/>
      <c r="Y261" s="221"/>
      <c r="Z261" s="221"/>
      <c r="AA261" s="221"/>
      <c r="AB261" s="247"/>
    </row>
    <row r="262" spans="1:28" ht="17.100000000000001" customHeight="1" thickTop="1">
      <c r="A262" s="226" t="s">
        <v>5762</v>
      </c>
      <c r="B262" s="28">
        <v>44119</v>
      </c>
      <c r="C262" s="29" t="s">
        <v>1100</v>
      </c>
      <c r="D262" s="13" t="s">
        <v>1101</v>
      </c>
      <c r="E262" s="228"/>
      <c r="F262" s="156" t="s">
        <v>1102</v>
      </c>
      <c r="G262" s="24" t="s">
        <v>1103</v>
      </c>
      <c r="H262" s="230">
        <v>4.5</v>
      </c>
      <c r="I262" s="220">
        <v>2625000</v>
      </c>
      <c r="J262" s="220">
        <v>262500</v>
      </c>
      <c r="K262" s="220">
        <v>21200</v>
      </c>
      <c r="L262" s="220">
        <v>26150</v>
      </c>
      <c r="M262" s="220">
        <v>13200</v>
      </c>
      <c r="N262" s="220">
        <f>SUM(I262:M262)</f>
        <v>2948050</v>
      </c>
      <c r="O262" s="224">
        <v>2000000</v>
      </c>
      <c r="P262" s="145" t="s">
        <v>1104</v>
      </c>
      <c r="Q262" s="15" t="s">
        <v>19</v>
      </c>
      <c r="R262" s="205"/>
      <c r="S262" s="189"/>
      <c r="T262" s="114"/>
      <c r="U262" s="21" t="s">
        <v>1105</v>
      </c>
      <c r="V262" s="115"/>
      <c r="W262" s="116"/>
      <c r="X262" s="220"/>
      <c r="Y262" s="245">
        <f>X262*0.1</f>
        <v>0</v>
      </c>
      <c r="Z262" s="220"/>
      <c r="AA262" s="220">
        <f>SUM(X262:Z262)</f>
        <v>0</v>
      </c>
      <c r="AB262" s="246"/>
    </row>
    <row r="263" spans="1:28" ht="17.100000000000001" customHeight="1" thickBot="1">
      <c r="A263" s="227"/>
      <c r="B263" s="27" t="s">
        <v>146</v>
      </c>
      <c r="C263" s="27">
        <v>75256</v>
      </c>
      <c r="D263" s="14" t="s">
        <v>445</v>
      </c>
      <c r="E263" s="229"/>
      <c r="F263" s="117" t="s">
        <v>1106</v>
      </c>
      <c r="G263" s="26">
        <v>48597</v>
      </c>
      <c r="H263" s="231"/>
      <c r="I263" s="221"/>
      <c r="J263" s="221"/>
      <c r="K263" s="221"/>
      <c r="L263" s="221"/>
      <c r="M263" s="221"/>
      <c r="N263" s="221"/>
      <c r="O263" s="225"/>
      <c r="P263" s="119" t="s">
        <v>1107</v>
      </c>
      <c r="Q263" s="16" t="s">
        <v>20</v>
      </c>
      <c r="R263" s="17" t="s">
        <v>1108</v>
      </c>
      <c r="S263" s="121"/>
      <c r="T263" s="122"/>
      <c r="U263" s="22" t="s">
        <v>106</v>
      </c>
      <c r="V263" s="123"/>
      <c r="W263" s="122"/>
      <c r="X263" s="221"/>
      <c r="Y263" s="221"/>
      <c r="Z263" s="221"/>
      <c r="AA263" s="221"/>
      <c r="AB263" s="247"/>
    </row>
    <row r="264" spans="1:28" ht="17.100000000000001" customHeight="1" thickTop="1">
      <c r="A264" s="226" t="s">
        <v>5763</v>
      </c>
      <c r="B264" s="28">
        <v>44119</v>
      </c>
      <c r="C264" s="29" t="s">
        <v>1109</v>
      </c>
      <c r="D264" s="13" t="s">
        <v>755</v>
      </c>
      <c r="E264" s="228"/>
      <c r="F264" s="156" t="s">
        <v>1110</v>
      </c>
      <c r="G264" s="24" t="s">
        <v>1111</v>
      </c>
      <c r="H264" s="230">
        <v>4</v>
      </c>
      <c r="I264" s="220">
        <v>2490000</v>
      </c>
      <c r="J264" s="220">
        <v>249000</v>
      </c>
      <c r="K264" s="220">
        <v>21200</v>
      </c>
      <c r="L264" s="220">
        <v>18110</v>
      </c>
      <c r="M264" s="220">
        <v>22000</v>
      </c>
      <c r="N264" s="220">
        <f>SUM(I264:M264)</f>
        <v>2800310</v>
      </c>
      <c r="O264" s="224">
        <v>1800000</v>
      </c>
      <c r="P264" s="145" t="s">
        <v>1112</v>
      </c>
      <c r="Q264" s="15" t="s">
        <v>19</v>
      </c>
      <c r="R264" s="205"/>
      <c r="S264" s="189" t="s">
        <v>1113</v>
      </c>
      <c r="T264" s="114"/>
      <c r="U264" s="21" t="s">
        <v>1114</v>
      </c>
      <c r="V264" s="115"/>
      <c r="W264" s="116"/>
      <c r="X264" s="220"/>
      <c r="Y264" s="245">
        <f>X264*0.1</f>
        <v>0</v>
      </c>
      <c r="Z264" s="220"/>
      <c r="AA264" s="220">
        <f>SUM(X264:Z264)</f>
        <v>0</v>
      </c>
      <c r="AB264" s="246"/>
    </row>
    <row r="265" spans="1:28" ht="17.100000000000001" customHeight="1" thickBot="1">
      <c r="A265" s="227"/>
      <c r="B265" s="27" t="s">
        <v>1115</v>
      </c>
      <c r="C265" s="27">
        <v>30264</v>
      </c>
      <c r="D265" s="14" t="s">
        <v>219</v>
      </c>
      <c r="E265" s="229"/>
      <c r="F265" s="117" t="s">
        <v>1116</v>
      </c>
      <c r="G265" s="26">
        <v>31939</v>
      </c>
      <c r="H265" s="231"/>
      <c r="I265" s="221"/>
      <c r="J265" s="221"/>
      <c r="K265" s="221"/>
      <c r="L265" s="221"/>
      <c r="M265" s="221"/>
      <c r="N265" s="221"/>
      <c r="O265" s="225"/>
      <c r="P265" s="119" t="s">
        <v>1117</v>
      </c>
      <c r="Q265" s="16" t="s">
        <v>20</v>
      </c>
      <c r="R265" s="17" t="s">
        <v>1108</v>
      </c>
      <c r="S265" s="121" t="s">
        <v>1118</v>
      </c>
      <c r="T265" s="122"/>
      <c r="U265" s="22" t="s">
        <v>106</v>
      </c>
      <c r="V265" s="123"/>
      <c r="W265" s="122"/>
      <c r="X265" s="221"/>
      <c r="Y265" s="221"/>
      <c r="Z265" s="221"/>
      <c r="AA265" s="221"/>
      <c r="AB265" s="247"/>
    </row>
    <row r="266" spans="1:28" ht="17.100000000000001" customHeight="1" thickTop="1">
      <c r="A266" s="226" t="s">
        <v>5764</v>
      </c>
      <c r="B266" s="28">
        <v>44127</v>
      </c>
      <c r="C266" s="29" t="s">
        <v>1119</v>
      </c>
      <c r="D266" s="13" t="s">
        <v>1120</v>
      </c>
      <c r="E266" s="228"/>
      <c r="F266" s="156" t="s">
        <v>1121</v>
      </c>
      <c r="G266" s="24" t="s">
        <v>1122</v>
      </c>
      <c r="H266" s="230">
        <v>4</v>
      </c>
      <c r="I266" s="220">
        <v>2600000</v>
      </c>
      <c r="J266" s="220">
        <v>260000</v>
      </c>
      <c r="K266" s="220">
        <v>27700</v>
      </c>
      <c r="L266" s="220">
        <v>18070</v>
      </c>
      <c r="M266" s="220">
        <v>13200</v>
      </c>
      <c r="N266" s="220">
        <f>SUM(I266:M266)</f>
        <v>2918970</v>
      </c>
      <c r="O266" s="224">
        <v>2000000</v>
      </c>
      <c r="P266" s="145" t="s">
        <v>1123</v>
      </c>
      <c r="Q266" s="15" t="s">
        <v>19</v>
      </c>
      <c r="R266" s="205"/>
      <c r="S266" s="189" t="s">
        <v>1124</v>
      </c>
      <c r="T266" s="114"/>
      <c r="U266" s="21"/>
      <c r="V266" s="115"/>
      <c r="W266" s="116"/>
      <c r="X266" s="220"/>
      <c r="Y266" s="245">
        <f>X266*0.1</f>
        <v>0</v>
      </c>
      <c r="Z266" s="220"/>
      <c r="AA266" s="220">
        <f>SUM(X266:Z266)</f>
        <v>0</v>
      </c>
      <c r="AB266" s="246"/>
    </row>
    <row r="267" spans="1:28" ht="17.100000000000001" customHeight="1" thickBot="1">
      <c r="A267" s="227"/>
      <c r="B267" s="27" t="s">
        <v>203</v>
      </c>
      <c r="C267" s="27">
        <v>58285</v>
      </c>
      <c r="D267" s="14" t="s">
        <v>263</v>
      </c>
      <c r="E267" s="229"/>
      <c r="F267" s="117" t="s">
        <v>1125</v>
      </c>
      <c r="G267" s="26">
        <v>20175</v>
      </c>
      <c r="H267" s="231"/>
      <c r="I267" s="221"/>
      <c r="J267" s="221"/>
      <c r="K267" s="221"/>
      <c r="L267" s="221"/>
      <c r="M267" s="221"/>
      <c r="N267" s="221"/>
      <c r="O267" s="225"/>
      <c r="P267" s="119" t="s">
        <v>1126</v>
      </c>
      <c r="Q267" s="16" t="s">
        <v>20</v>
      </c>
      <c r="R267" s="17" t="s">
        <v>1127</v>
      </c>
      <c r="S267" s="121" t="s">
        <v>1128</v>
      </c>
      <c r="T267" s="122"/>
      <c r="U267" s="22" t="s">
        <v>901</v>
      </c>
      <c r="V267" s="123"/>
      <c r="W267" s="122"/>
      <c r="X267" s="221"/>
      <c r="Y267" s="221"/>
      <c r="Z267" s="221"/>
      <c r="AA267" s="221"/>
      <c r="AB267" s="247"/>
    </row>
    <row r="268" spans="1:28" ht="17.100000000000001" customHeight="1" thickTop="1">
      <c r="A268" s="226" t="s">
        <v>5765</v>
      </c>
      <c r="B268" s="28">
        <v>44132</v>
      </c>
      <c r="C268" s="29" t="s">
        <v>1087</v>
      </c>
      <c r="D268" s="13" t="s">
        <v>314</v>
      </c>
      <c r="E268" s="228"/>
      <c r="F268" s="156" t="s">
        <v>639</v>
      </c>
      <c r="G268" s="24" t="s">
        <v>1111</v>
      </c>
      <c r="H268" s="230">
        <v>4.5</v>
      </c>
      <c r="I268" s="220">
        <v>2143000</v>
      </c>
      <c r="J268" s="220">
        <v>214300</v>
      </c>
      <c r="K268" s="220">
        <v>16400</v>
      </c>
      <c r="L268" s="220">
        <v>18960</v>
      </c>
      <c r="M268" s="220">
        <v>22000</v>
      </c>
      <c r="N268" s="220">
        <f>SUM(I268:M268)</f>
        <v>2414660</v>
      </c>
      <c r="O268" s="224">
        <v>1700000</v>
      </c>
      <c r="P268" s="145" t="s">
        <v>1129</v>
      </c>
      <c r="Q268" s="15" t="s">
        <v>19</v>
      </c>
      <c r="R268" s="205"/>
      <c r="S268" s="189" t="s">
        <v>518</v>
      </c>
      <c r="T268" s="114"/>
      <c r="U268" s="21"/>
      <c r="V268" s="115"/>
      <c r="W268" s="116"/>
      <c r="X268" s="220"/>
      <c r="Y268" s="245">
        <f>X268*0.1</f>
        <v>0</v>
      </c>
      <c r="Z268" s="220"/>
      <c r="AA268" s="220">
        <f>SUM(X268:Z268)</f>
        <v>0</v>
      </c>
      <c r="AB268" s="246"/>
    </row>
    <row r="269" spans="1:28" ht="17.100000000000001" customHeight="1" thickBot="1">
      <c r="A269" s="227"/>
      <c r="B269" s="27" t="s">
        <v>1130</v>
      </c>
      <c r="C269" s="27">
        <v>35142</v>
      </c>
      <c r="D269" s="14" t="s">
        <v>117</v>
      </c>
      <c r="E269" s="229"/>
      <c r="F269" s="117" t="s">
        <v>1131</v>
      </c>
      <c r="G269" s="26">
        <v>38451</v>
      </c>
      <c r="H269" s="231"/>
      <c r="I269" s="221"/>
      <c r="J269" s="221"/>
      <c r="K269" s="221"/>
      <c r="L269" s="221"/>
      <c r="M269" s="221"/>
      <c r="N269" s="221"/>
      <c r="O269" s="225"/>
      <c r="P269" s="119" t="s">
        <v>1132</v>
      </c>
      <c r="Q269" s="16" t="s">
        <v>20</v>
      </c>
      <c r="R269" s="17" t="s">
        <v>1133</v>
      </c>
      <c r="S269" s="121" t="s">
        <v>487</v>
      </c>
      <c r="T269" s="122"/>
      <c r="U269" s="22"/>
      <c r="V269" s="123"/>
      <c r="W269" s="122"/>
      <c r="X269" s="221"/>
      <c r="Y269" s="221"/>
      <c r="Z269" s="221"/>
      <c r="AA269" s="221"/>
      <c r="AB269" s="247"/>
    </row>
    <row r="270" spans="1:28" ht="17.100000000000001" customHeight="1" thickTop="1">
      <c r="A270" s="226" t="s">
        <v>5766</v>
      </c>
      <c r="B270" s="28">
        <v>44137</v>
      </c>
      <c r="C270" s="29" t="s">
        <v>913</v>
      </c>
      <c r="D270" s="13" t="s">
        <v>400</v>
      </c>
      <c r="E270" s="228"/>
      <c r="F270" s="156" t="s">
        <v>278</v>
      </c>
      <c r="G270" s="24"/>
      <c r="H270" s="230">
        <v>4</v>
      </c>
      <c r="I270" s="220">
        <v>2240000</v>
      </c>
      <c r="J270" s="220">
        <v>224000</v>
      </c>
      <c r="K270" s="220">
        <v>0</v>
      </c>
      <c r="L270" s="220">
        <v>18960</v>
      </c>
      <c r="M270" s="220">
        <v>11000</v>
      </c>
      <c r="N270" s="220">
        <f>SUM(I270:M270)</f>
        <v>2493960</v>
      </c>
      <c r="O270" s="224">
        <v>1600000</v>
      </c>
      <c r="P270" s="145" t="s">
        <v>1134</v>
      </c>
      <c r="Q270" s="15" t="s">
        <v>19</v>
      </c>
      <c r="R270" s="205"/>
      <c r="S270" s="189" t="s">
        <v>1072</v>
      </c>
      <c r="T270" s="114"/>
      <c r="U270" s="21"/>
      <c r="V270" s="115"/>
      <c r="W270" s="116"/>
      <c r="X270" s="220"/>
      <c r="Y270" s="245">
        <f>X270*0.1</f>
        <v>0</v>
      </c>
      <c r="Z270" s="220"/>
      <c r="AA270" s="220">
        <f>SUM(X270:Z270)</f>
        <v>0</v>
      </c>
      <c r="AB270" s="246"/>
    </row>
    <row r="271" spans="1:28" ht="17.100000000000001" customHeight="1" thickBot="1">
      <c r="A271" s="227"/>
      <c r="B271" s="27" t="s">
        <v>654</v>
      </c>
      <c r="C271" s="27">
        <v>30505</v>
      </c>
      <c r="D271" s="14" t="s">
        <v>324</v>
      </c>
      <c r="E271" s="229"/>
      <c r="F271" s="117" t="s">
        <v>1135</v>
      </c>
      <c r="G271" s="26">
        <v>29687</v>
      </c>
      <c r="H271" s="231"/>
      <c r="I271" s="221"/>
      <c r="J271" s="221"/>
      <c r="K271" s="221"/>
      <c r="L271" s="221"/>
      <c r="M271" s="221"/>
      <c r="N271" s="221"/>
      <c r="O271" s="225"/>
      <c r="P271" s="119" t="s">
        <v>1136</v>
      </c>
      <c r="Q271" s="16" t="s">
        <v>20</v>
      </c>
      <c r="R271" s="17" t="s">
        <v>1137</v>
      </c>
      <c r="S271" s="121" t="s">
        <v>1138</v>
      </c>
      <c r="T271" s="122"/>
      <c r="U271" s="22"/>
      <c r="V271" s="123"/>
      <c r="W271" s="122"/>
      <c r="X271" s="221"/>
      <c r="Y271" s="221"/>
      <c r="Z271" s="221"/>
      <c r="AA271" s="221"/>
      <c r="AB271" s="247"/>
    </row>
    <row r="272" spans="1:28" ht="17.100000000000001" customHeight="1" thickTop="1">
      <c r="A272" s="226" t="s">
        <v>5767</v>
      </c>
      <c r="B272" s="28">
        <v>44140</v>
      </c>
      <c r="C272" s="29" t="s">
        <v>1139</v>
      </c>
      <c r="D272" s="13" t="s">
        <v>1140</v>
      </c>
      <c r="E272" s="228"/>
      <c r="F272" s="109" t="s">
        <v>1141</v>
      </c>
      <c r="G272" s="24" t="s">
        <v>1142</v>
      </c>
      <c r="H272" s="230">
        <v>4.5</v>
      </c>
      <c r="I272" s="220">
        <v>2850000</v>
      </c>
      <c r="J272" s="220">
        <v>285000</v>
      </c>
      <c r="K272" s="220">
        <v>13100</v>
      </c>
      <c r="L272" s="220">
        <v>17600</v>
      </c>
      <c r="M272" s="220">
        <v>22000</v>
      </c>
      <c r="N272" s="220">
        <f>SUM(I272:M272)</f>
        <v>3187700</v>
      </c>
      <c r="O272" s="224">
        <v>2200000</v>
      </c>
      <c r="P272" s="145" t="s">
        <v>1143</v>
      </c>
      <c r="Q272" s="15" t="s">
        <v>19</v>
      </c>
      <c r="R272" s="205"/>
      <c r="S272" s="189" t="s">
        <v>576</v>
      </c>
      <c r="T272" s="114"/>
      <c r="U272" s="21" t="s">
        <v>1144</v>
      </c>
      <c r="V272" s="115"/>
      <c r="W272" s="116"/>
      <c r="X272" s="220"/>
      <c r="Y272" s="245">
        <f>X272*0.1</f>
        <v>0</v>
      </c>
      <c r="Z272" s="220"/>
      <c r="AA272" s="220">
        <f>SUM(X272:Z272)</f>
        <v>0</v>
      </c>
      <c r="AB272" s="246"/>
    </row>
    <row r="273" spans="1:28" ht="17.100000000000001" customHeight="1" thickBot="1">
      <c r="A273" s="227"/>
      <c r="B273" s="27" t="s">
        <v>248</v>
      </c>
      <c r="C273" s="27">
        <v>145</v>
      </c>
      <c r="D273" s="14" t="s">
        <v>324</v>
      </c>
      <c r="E273" s="229"/>
      <c r="F273" s="117" t="s">
        <v>1145</v>
      </c>
      <c r="G273" s="26">
        <v>5682</v>
      </c>
      <c r="H273" s="231"/>
      <c r="I273" s="221"/>
      <c r="J273" s="221"/>
      <c r="K273" s="221"/>
      <c r="L273" s="221"/>
      <c r="M273" s="221"/>
      <c r="N273" s="221"/>
      <c r="O273" s="225"/>
      <c r="P273" s="119" t="s">
        <v>605</v>
      </c>
      <c r="Q273" s="16" t="s">
        <v>20</v>
      </c>
      <c r="R273" s="17" t="s">
        <v>1146</v>
      </c>
      <c r="S273" s="121" t="s">
        <v>1147</v>
      </c>
      <c r="T273" s="122"/>
      <c r="U273" s="22" t="s">
        <v>1148</v>
      </c>
      <c r="V273" s="123"/>
      <c r="W273" s="122"/>
      <c r="X273" s="221"/>
      <c r="Y273" s="221"/>
      <c r="Z273" s="221"/>
      <c r="AA273" s="221"/>
      <c r="AB273" s="247"/>
    </row>
    <row r="274" spans="1:28" ht="17.100000000000001" customHeight="1" thickTop="1">
      <c r="A274" s="226" t="s">
        <v>5768</v>
      </c>
      <c r="B274" s="28">
        <v>44146</v>
      </c>
      <c r="C274" s="29" t="s">
        <v>405</v>
      </c>
      <c r="D274" s="13" t="s">
        <v>994</v>
      </c>
      <c r="E274" s="228"/>
      <c r="F274" s="156" t="s">
        <v>1149</v>
      </c>
      <c r="G274" s="24"/>
      <c r="H274" s="230">
        <v>4</v>
      </c>
      <c r="I274" s="220">
        <v>1700000</v>
      </c>
      <c r="J274" s="220">
        <v>170000</v>
      </c>
      <c r="K274" s="220">
        <v>0</v>
      </c>
      <c r="L274" s="220">
        <v>15570</v>
      </c>
      <c r="M274" s="220">
        <v>15950</v>
      </c>
      <c r="N274" s="220">
        <f>SUM(I274:M274)</f>
        <v>1901520</v>
      </c>
      <c r="O274" s="224">
        <v>1300000</v>
      </c>
      <c r="P274" s="145" t="s">
        <v>1150</v>
      </c>
      <c r="Q274" s="15" t="s">
        <v>19</v>
      </c>
      <c r="R274" s="205"/>
      <c r="S274" s="189" t="s">
        <v>1151</v>
      </c>
      <c r="T274" s="114"/>
      <c r="U274" s="21"/>
      <c r="V274" s="115"/>
      <c r="W274" s="116"/>
      <c r="X274" s="220"/>
      <c r="Y274" s="245">
        <f>X274*0.1</f>
        <v>0</v>
      </c>
      <c r="Z274" s="220"/>
      <c r="AA274" s="220">
        <f>SUM(X274:Z274)</f>
        <v>0</v>
      </c>
      <c r="AB274" s="246"/>
    </row>
    <row r="275" spans="1:28" ht="17.100000000000001" customHeight="1" thickBot="1">
      <c r="A275" s="227"/>
      <c r="B275" s="27" t="s">
        <v>643</v>
      </c>
      <c r="C275" s="27">
        <v>33235</v>
      </c>
      <c r="D275" s="14" t="s">
        <v>289</v>
      </c>
      <c r="E275" s="229"/>
      <c r="F275" s="117" t="s">
        <v>1152</v>
      </c>
      <c r="G275" s="26">
        <v>50111</v>
      </c>
      <c r="H275" s="231"/>
      <c r="I275" s="221"/>
      <c r="J275" s="221"/>
      <c r="K275" s="221"/>
      <c r="L275" s="221"/>
      <c r="M275" s="221"/>
      <c r="N275" s="221"/>
      <c r="O275" s="225"/>
      <c r="P275" s="119" t="s">
        <v>1153</v>
      </c>
      <c r="Q275" s="16" t="s">
        <v>20</v>
      </c>
      <c r="R275" s="17" t="s">
        <v>1154</v>
      </c>
      <c r="S275" s="121" t="s">
        <v>1155</v>
      </c>
      <c r="T275" s="122"/>
      <c r="U275" s="22"/>
      <c r="V275" s="123"/>
      <c r="W275" s="122"/>
      <c r="X275" s="221"/>
      <c r="Y275" s="221"/>
      <c r="Z275" s="221"/>
      <c r="AA275" s="221"/>
      <c r="AB275" s="247"/>
    </row>
    <row r="276" spans="1:28" ht="17.100000000000001" customHeight="1" thickTop="1">
      <c r="A276" s="226" t="s">
        <v>5769</v>
      </c>
      <c r="B276" s="28">
        <v>44146</v>
      </c>
      <c r="C276" s="29"/>
      <c r="D276" s="13" t="s">
        <v>357</v>
      </c>
      <c r="E276" s="228" t="s">
        <v>164</v>
      </c>
      <c r="F276" s="156" t="s">
        <v>1156</v>
      </c>
      <c r="G276" s="24" t="s">
        <v>1013</v>
      </c>
      <c r="H276" s="230">
        <v>4</v>
      </c>
      <c r="I276" s="220">
        <v>2504000</v>
      </c>
      <c r="J276" s="220">
        <v>250400</v>
      </c>
      <c r="K276" s="220">
        <v>11500</v>
      </c>
      <c r="L276" s="220">
        <v>11740</v>
      </c>
      <c r="M276" s="220">
        <v>22000</v>
      </c>
      <c r="N276" s="220">
        <f>SUM(I276:M276)</f>
        <v>2799640</v>
      </c>
      <c r="O276" s="224">
        <v>2000000</v>
      </c>
      <c r="P276" s="145" t="s">
        <v>1157</v>
      </c>
      <c r="Q276" s="15" t="s">
        <v>19</v>
      </c>
      <c r="R276" s="205"/>
      <c r="S276" s="189" t="s">
        <v>758</v>
      </c>
      <c r="T276" s="114"/>
      <c r="U276" s="21" t="s">
        <v>1158</v>
      </c>
      <c r="V276" s="115"/>
      <c r="W276" s="116"/>
      <c r="X276" s="220"/>
      <c r="Y276" s="245">
        <f>X276*0.1</f>
        <v>0</v>
      </c>
      <c r="Z276" s="220"/>
      <c r="AA276" s="220">
        <f>SUM(X276:Z276)</f>
        <v>0</v>
      </c>
      <c r="AB276" s="246"/>
    </row>
    <row r="277" spans="1:28" ht="17.100000000000001" customHeight="1" thickBot="1">
      <c r="A277" s="227"/>
      <c r="B277" s="27" t="s">
        <v>1130</v>
      </c>
      <c r="C277" s="27">
        <v>35079</v>
      </c>
      <c r="D277" s="14" t="s">
        <v>204</v>
      </c>
      <c r="E277" s="229"/>
      <c r="F277" s="117" t="s">
        <v>1159</v>
      </c>
      <c r="G277" s="26">
        <v>23841</v>
      </c>
      <c r="H277" s="231"/>
      <c r="I277" s="221"/>
      <c r="J277" s="221"/>
      <c r="K277" s="221"/>
      <c r="L277" s="221"/>
      <c r="M277" s="221"/>
      <c r="N277" s="221"/>
      <c r="O277" s="225"/>
      <c r="P277" s="119" t="s">
        <v>1160</v>
      </c>
      <c r="Q277" s="16" t="s">
        <v>20</v>
      </c>
      <c r="R277" s="17" t="s">
        <v>1161</v>
      </c>
      <c r="S277" s="121" t="s">
        <v>518</v>
      </c>
      <c r="T277" s="122"/>
      <c r="U277" s="22" t="s">
        <v>1050</v>
      </c>
      <c r="V277" s="123"/>
      <c r="W277" s="122"/>
      <c r="X277" s="221"/>
      <c r="Y277" s="221"/>
      <c r="Z277" s="221"/>
      <c r="AA277" s="221"/>
      <c r="AB277" s="247"/>
    </row>
    <row r="278" spans="1:28" ht="17.100000000000001" customHeight="1" thickTop="1">
      <c r="A278" s="226" t="s">
        <v>5770</v>
      </c>
      <c r="B278" s="28">
        <v>44147</v>
      </c>
      <c r="C278" s="29" t="s">
        <v>1162</v>
      </c>
      <c r="D278" s="13" t="s">
        <v>480</v>
      </c>
      <c r="E278" s="228"/>
      <c r="F278" s="156" t="s">
        <v>1163</v>
      </c>
      <c r="G278" s="24"/>
      <c r="H278" s="230">
        <v>4</v>
      </c>
      <c r="I278" s="220">
        <v>1690000</v>
      </c>
      <c r="J278" s="220">
        <v>169000</v>
      </c>
      <c r="K278" s="220">
        <v>0</v>
      </c>
      <c r="L278" s="220">
        <v>17700</v>
      </c>
      <c r="M278" s="220">
        <v>13200</v>
      </c>
      <c r="N278" s="220">
        <f>SUM(I278:M278)</f>
        <v>1889900</v>
      </c>
      <c r="O278" s="224">
        <v>1200000</v>
      </c>
      <c r="P278" s="145" t="s">
        <v>1164</v>
      </c>
      <c r="Q278" s="15" t="s">
        <v>19</v>
      </c>
      <c r="R278" s="205"/>
      <c r="S278" s="189" t="s">
        <v>864</v>
      </c>
      <c r="T278" s="114"/>
      <c r="U278" s="21"/>
      <c r="V278" s="115"/>
      <c r="W278" s="116"/>
      <c r="X278" s="220"/>
      <c r="Y278" s="245">
        <f>X278*0.1</f>
        <v>0</v>
      </c>
      <c r="Z278" s="220"/>
      <c r="AA278" s="220">
        <f>SUM(X278:Z278)</f>
        <v>0</v>
      </c>
      <c r="AB278" s="246"/>
    </row>
    <row r="279" spans="1:28" ht="17.100000000000001" customHeight="1" thickBot="1">
      <c r="A279" s="227"/>
      <c r="B279" s="27" t="s">
        <v>146</v>
      </c>
      <c r="C279" s="27">
        <v>75432</v>
      </c>
      <c r="D279" s="14" t="s">
        <v>714</v>
      </c>
      <c r="E279" s="229"/>
      <c r="F279" s="117" t="s">
        <v>1165</v>
      </c>
      <c r="G279" s="26">
        <v>11941</v>
      </c>
      <c r="H279" s="231"/>
      <c r="I279" s="221"/>
      <c r="J279" s="221"/>
      <c r="K279" s="221"/>
      <c r="L279" s="221"/>
      <c r="M279" s="221"/>
      <c r="N279" s="221"/>
      <c r="O279" s="225"/>
      <c r="P279" s="119" t="s">
        <v>1166</v>
      </c>
      <c r="Q279" s="16" t="s">
        <v>20</v>
      </c>
      <c r="R279" s="17" t="s">
        <v>1161</v>
      </c>
      <c r="S279" s="121" t="s">
        <v>581</v>
      </c>
      <c r="T279" s="122"/>
      <c r="U279" s="22"/>
      <c r="V279" s="123"/>
      <c r="W279" s="122"/>
      <c r="X279" s="221"/>
      <c r="Y279" s="221"/>
      <c r="Z279" s="221"/>
      <c r="AA279" s="221"/>
      <c r="AB279" s="247"/>
    </row>
    <row r="280" spans="1:28" ht="17.100000000000001" customHeight="1" thickTop="1">
      <c r="A280" s="226" t="s">
        <v>5771</v>
      </c>
      <c r="B280" s="28">
        <v>44147</v>
      </c>
      <c r="C280" s="29" t="s">
        <v>1162</v>
      </c>
      <c r="D280" s="13" t="s">
        <v>1167</v>
      </c>
      <c r="E280" s="228" t="s">
        <v>164</v>
      </c>
      <c r="F280" s="156" t="s">
        <v>1168</v>
      </c>
      <c r="G280" s="24" t="s">
        <v>1169</v>
      </c>
      <c r="H280" s="230">
        <v>4</v>
      </c>
      <c r="I280" s="220">
        <v>2345000</v>
      </c>
      <c r="J280" s="220">
        <v>234500</v>
      </c>
      <c r="K280" s="220">
        <v>13100</v>
      </c>
      <c r="L280" s="220">
        <v>22640</v>
      </c>
      <c r="M280" s="220">
        <v>13200</v>
      </c>
      <c r="N280" s="220">
        <f>SUM(I280:M280)</f>
        <v>2628440</v>
      </c>
      <c r="O280" s="224">
        <v>2000000</v>
      </c>
      <c r="P280" s="145" t="s">
        <v>1170</v>
      </c>
      <c r="Q280" s="15" t="s">
        <v>19</v>
      </c>
      <c r="R280" s="205"/>
      <c r="S280" s="189" t="s">
        <v>864</v>
      </c>
      <c r="T280" s="114"/>
      <c r="U280" s="21" t="s">
        <v>1171</v>
      </c>
      <c r="V280" s="115"/>
      <c r="W280" s="116"/>
      <c r="X280" s="220"/>
      <c r="Y280" s="245">
        <f>X280*0.1</f>
        <v>0</v>
      </c>
      <c r="Z280" s="220"/>
      <c r="AA280" s="220">
        <f>SUM(X280:Z280)</f>
        <v>0</v>
      </c>
      <c r="AB280" s="246"/>
    </row>
    <row r="281" spans="1:28" ht="17.100000000000001" customHeight="1" thickBot="1">
      <c r="A281" s="227"/>
      <c r="B281" s="27" t="s">
        <v>146</v>
      </c>
      <c r="C281" s="27">
        <v>75632</v>
      </c>
      <c r="D281" s="14" t="s">
        <v>263</v>
      </c>
      <c r="E281" s="229"/>
      <c r="F281" s="117" t="s">
        <v>1172</v>
      </c>
      <c r="G281" s="26">
        <v>40126</v>
      </c>
      <c r="H281" s="231"/>
      <c r="I281" s="221"/>
      <c r="J281" s="221"/>
      <c r="K281" s="221"/>
      <c r="L281" s="221"/>
      <c r="M281" s="221"/>
      <c r="N281" s="221"/>
      <c r="O281" s="225"/>
      <c r="P281" s="119" t="s">
        <v>1173</v>
      </c>
      <c r="Q281" s="16" t="s">
        <v>20</v>
      </c>
      <c r="R281" s="17" t="s">
        <v>1161</v>
      </c>
      <c r="S281" s="121" t="s">
        <v>1174</v>
      </c>
      <c r="T281" s="122"/>
      <c r="U281" s="22" t="s">
        <v>106</v>
      </c>
      <c r="V281" s="123"/>
      <c r="W281" s="122"/>
      <c r="X281" s="221"/>
      <c r="Y281" s="221"/>
      <c r="Z281" s="221"/>
      <c r="AA281" s="221"/>
      <c r="AB281" s="247"/>
    </row>
    <row r="282" spans="1:28" ht="17.100000000000001" customHeight="1" thickTop="1">
      <c r="A282" s="226" t="s">
        <v>5772</v>
      </c>
      <c r="B282" s="28">
        <v>44148</v>
      </c>
      <c r="C282" s="29" t="s">
        <v>1175</v>
      </c>
      <c r="D282" s="13" t="s">
        <v>903</v>
      </c>
      <c r="E282" s="228"/>
      <c r="F282" s="156" t="s">
        <v>1176</v>
      </c>
      <c r="G282" s="24"/>
      <c r="H282" s="230">
        <v>4.5</v>
      </c>
      <c r="I282" s="220">
        <v>1705000</v>
      </c>
      <c r="J282" s="220">
        <v>170500</v>
      </c>
      <c r="K282" s="220">
        <v>0</v>
      </c>
      <c r="L282" s="220">
        <v>18110</v>
      </c>
      <c r="M282" s="220">
        <v>13200</v>
      </c>
      <c r="N282" s="220">
        <f>SUM(I282:M282)</f>
        <v>1906810</v>
      </c>
      <c r="O282" s="224">
        <v>1300000</v>
      </c>
      <c r="P282" s="145" t="s">
        <v>1177</v>
      </c>
      <c r="Q282" s="15" t="s">
        <v>19</v>
      </c>
      <c r="R282" s="205"/>
      <c r="S282" s="189" t="s">
        <v>1113</v>
      </c>
      <c r="T282" s="114"/>
      <c r="U282" s="21"/>
      <c r="V282" s="115"/>
      <c r="W282" s="116"/>
      <c r="X282" s="220"/>
      <c r="Y282" s="245">
        <f>X282*0.1</f>
        <v>0</v>
      </c>
      <c r="Z282" s="220"/>
      <c r="AA282" s="220">
        <f>SUM(X282:Z282)</f>
        <v>0</v>
      </c>
      <c r="AB282" s="246"/>
    </row>
    <row r="283" spans="1:28" ht="17.100000000000001" customHeight="1" thickBot="1">
      <c r="A283" s="227"/>
      <c r="B283" s="27" t="s">
        <v>1178</v>
      </c>
      <c r="C283" s="27">
        <v>80054</v>
      </c>
      <c r="D283" s="14" t="s">
        <v>445</v>
      </c>
      <c r="E283" s="229"/>
      <c r="F283" s="117" t="s">
        <v>1179</v>
      </c>
      <c r="G283" s="26">
        <v>14079</v>
      </c>
      <c r="H283" s="231"/>
      <c r="I283" s="221"/>
      <c r="J283" s="221"/>
      <c r="K283" s="221"/>
      <c r="L283" s="221"/>
      <c r="M283" s="221"/>
      <c r="N283" s="221"/>
      <c r="O283" s="225"/>
      <c r="P283" s="119" t="s">
        <v>1180</v>
      </c>
      <c r="Q283" s="16" t="s">
        <v>20</v>
      </c>
      <c r="R283" s="17" t="s">
        <v>1161</v>
      </c>
      <c r="S283" s="121" t="s">
        <v>581</v>
      </c>
      <c r="T283" s="122"/>
      <c r="U283" s="22"/>
      <c r="V283" s="123"/>
      <c r="W283" s="122"/>
      <c r="X283" s="221"/>
      <c r="Y283" s="221"/>
      <c r="Z283" s="221"/>
      <c r="AA283" s="221"/>
      <c r="AB283" s="247"/>
    </row>
    <row r="284" spans="1:28" ht="17.100000000000001" customHeight="1" thickTop="1">
      <c r="A284" s="226" t="s">
        <v>5773</v>
      </c>
      <c r="B284" s="28">
        <v>44148</v>
      </c>
      <c r="C284" s="29" t="s">
        <v>1181</v>
      </c>
      <c r="D284" s="13" t="s">
        <v>1182</v>
      </c>
      <c r="E284" s="228"/>
      <c r="F284" s="156" t="s">
        <v>179</v>
      </c>
      <c r="G284" s="24" t="s">
        <v>1183</v>
      </c>
      <c r="H284" s="230">
        <v>4.5</v>
      </c>
      <c r="I284" s="220">
        <v>1788000</v>
      </c>
      <c r="J284" s="220">
        <v>178800</v>
      </c>
      <c r="K284" s="220">
        <v>13100</v>
      </c>
      <c r="L284" s="220">
        <v>17700</v>
      </c>
      <c r="M284" s="220">
        <v>22000</v>
      </c>
      <c r="N284" s="220">
        <f>SUM(I284:M284)</f>
        <v>2019600</v>
      </c>
      <c r="O284" s="224">
        <v>1300000</v>
      </c>
      <c r="P284" s="145" t="s">
        <v>1184</v>
      </c>
      <c r="Q284" s="15" t="s">
        <v>19</v>
      </c>
      <c r="R284" s="205"/>
      <c r="S284" s="189" t="s">
        <v>1113</v>
      </c>
      <c r="T284" s="114"/>
      <c r="U284" s="21" t="s">
        <v>1185</v>
      </c>
      <c r="V284" s="115"/>
      <c r="W284" s="116"/>
      <c r="X284" s="220"/>
      <c r="Y284" s="245">
        <f>X284*0.1</f>
        <v>0</v>
      </c>
      <c r="Z284" s="220"/>
      <c r="AA284" s="220">
        <f>SUM(X284:Z284)</f>
        <v>0</v>
      </c>
      <c r="AB284" s="246"/>
    </row>
    <row r="285" spans="1:28" ht="17.100000000000001" customHeight="1" thickBot="1">
      <c r="A285" s="227"/>
      <c r="B285" s="27" t="s">
        <v>1186</v>
      </c>
      <c r="C285" s="27">
        <v>40046</v>
      </c>
      <c r="D285" s="14" t="s">
        <v>644</v>
      </c>
      <c r="E285" s="229"/>
      <c r="F285" s="117" t="s">
        <v>1187</v>
      </c>
      <c r="G285" s="26">
        <v>40515</v>
      </c>
      <c r="H285" s="231"/>
      <c r="I285" s="221"/>
      <c r="J285" s="221"/>
      <c r="K285" s="221"/>
      <c r="L285" s="221"/>
      <c r="M285" s="221"/>
      <c r="N285" s="221"/>
      <c r="O285" s="225"/>
      <c r="P285" s="119" t="s">
        <v>1188</v>
      </c>
      <c r="Q285" s="16" t="s">
        <v>20</v>
      </c>
      <c r="R285" s="17" t="s">
        <v>1161</v>
      </c>
      <c r="S285" s="121" t="s">
        <v>1189</v>
      </c>
      <c r="T285" s="122" t="s">
        <v>1190</v>
      </c>
      <c r="U285" s="22" t="s">
        <v>106</v>
      </c>
      <c r="V285" s="123"/>
      <c r="W285" s="122"/>
      <c r="X285" s="221"/>
      <c r="Y285" s="221"/>
      <c r="Z285" s="221"/>
      <c r="AA285" s="221"/>
      <c r="AB285" s="247"/>
    </row>
    <row r="286" spans="1:28" ht="17.100000000000001" customHeight="1" thickTop="1">
      <c r="A286" s="226" t="s">
        <v>5774</v>
      </c>
      <c r="B286" s="28">
        <v>44148</v>
      </c>
      <c r="C286" s="29" t="s">
        <v>1197</v>
      </c>
      <c r="D286" s="13" t="s">
        <v>1198</v>
      </c>
      <c r="E286" s="228"/>
      <c r="F286" s="156" t="s">
        <v>1012</v>
      </c>
      <c r="G286" s="24" t="s">
        <v>1199</v>
      </c>
      <c r="H286" s="230">
        <v>4.5</v>
      </c>
      <c r="I286" s="220">
        <v>1555000</v>
      </c>
      <c r="J286" s="220">
        <v>155500</v>
      </c>
      <c r="K286" s="220">
        <v>13100</v>
      </c>
      <c r="L286" s="220">
        <v>14620</v>
      </c>
      <c r="M286" s="220">
        <v>13200</v>
      </c>
      <c r="N286" s="220">
        <f>SUM(I286:M286)</f>
        <v>1751420</v>
      </c>
      <c r="O286" s="224">
        <v>1100000</v>
      </c>
      <c r="P286" s="145" t="s">
        <v>1200</v>
      </c>
      <c r="Q286" s="15" t="s">
        <v>19</v>
      </c>
      <c r="R286" s="205"/>
      <c r="S286" s="189" t="s">
        <v>780</v>
      </c>
      <c r="T286" s="114"/>
      <c r="U286" s="21"/>
      <c r="V286" s="115"/>
      <c r="W286" s="116"/>
      <c r="X286" s="220"/>
      <c r="Y286" s="245">
        <f>X286*0.1</f>
        <v>0</v>
      </c>
      <c r="Z286" s="220"/>
      <c r="AA286" s="220">
        <f>SUM(X286:Z286)</f>
        <v>0</v>
      </c>
      <c r="AB286" s="246"/>
    </row>
    <row r="287" spans="1:28" ht="17.100000000000001" customHeight="1" thickBot="1">
      <c r="A287" s="227"/>
      <c r="B287" s="27" t="s">
        <v>203</v>
      </c>
      <c r="C287" s="27">
        <v>58317</v>
      </c>
      <c r="D287" s="14" t="s">
        <v>1201</v>
      </c>
      <c r="E287" s="229"/>
      <c r="F287" s="117" t="s">
        <v>1202</v>
      </c>
      <c r="G287" s="26">
        <v>16820</v>
      </c>
      <c r="H287" s="231"/>
      <c r="I287" s="221"/>
      <c r="J287" s="221"/>
      <c r="K287" s="221"/>
      <c r="L287" s="221"/>
      <c r="M287" s="221"/>
      <c r="N287" s="221"/>
      <c r="O287" s="225"/>
      <c r="P287" s="119" t="s">
        <v>1203</v>
      </c>
      <c r="Q287" s="16" t="s">
        <v>20</v>
      </c>
      <c r="R287" s="17" t="s">
        <v>1161</v>
      </c>
      <c r="S287" s="121" t="s">
        <v>1204</v>
      </c>
      <c r="T287" s="122"/>
      <c r="U287" s="22"/>
      <c r="V287" s="123"/>
      <c r="W287" s="122"/>
      <c r="X287" s="221"/>
      <c r="Y287" s="221"/>
      <c r="Z287" s="221"/>
      <c r="AA287" s="221"/>
      <c r="AB287" s="247"/>
    </row>
    <row r="288" spans="1:28" ht="17.100000000000001" customHeight="1" thickTop="1">
      <c r="A288" s="226" t="s">
        <v>5775</v>
      </c>
      <c r="B288" s="28">
        <v>44149</v>
      </c>
      <c r="C288" s="29" t="s">
        <v>1205</v>
      </c>
      <c r="D288" s="13" t="s">
        <v>499</v>
      </c>
      <c r="E288" s="228"/>
      <c r="F288" s="156" t="s">
        <v>1206</v>
      </c>
      <c r="G288" s="24" t="s">
        <v>1169</v>
      </c>
      <c r="H288" s="230">
        <v>4</v>
      </c>
      <c r="I288" s="220">
        <v>1410000</v>
      </c>
      <c r="J288" s="220">
        <v>141000</v>
      </c>
      <c r="K288" s="220">
        <v>13100</v>
      </c>
      <c r="L288" s="220">
        <v>19750</v>
      </c>
      <c r="M288" s="220">
        <v>13200</v>
      </c>
      <c r="N288" s="220">
        <f>SUM(I288:M288)</f>
        <v>1597050</v>
      </c>
      <c r="O288" s="224">
        <v>900000</v>
      </c>
      <c r="P288" s="145" t="s">
        <v>1207</v>
      </c>
      <c r="Q288" s="15" t="s">
        <v>19</v>
      </c>
      <c r="R288" s="205"/>
      <c r="S288" s="189" t="s">
        <v>780</v>
      </c>
      <c r="T288" s="114"/>
      <c r="U288" s="21" t="s">
        <v>1208</v>
      </c>
      <c r="V288" s="115"/>
      <c r="W288" s="116"/>
      <c r="X288" s="220"/>
      <c r="Y288" s="245">
        <f>X288*0.1</f>
        <v>0</v>
      </c>
      <c r="Z288" s="220"/>
      <c r="AA288" s="220">
        <f>SUM(X288:Z288)</f>
        <v>0</v>
      </c>
      <c r="AB288" s="246"/>
    </row>
    <row r="289" spans="1:28" ht="17.100000000000001" customHeight="1" thickBot="1">
      <c r="A289" s="227"/>
      <c r="B289" s="27" t="s">
        <v>45</v>
      </c>
      <c r="C289" s="27">
        <v>82283</v>
      </c>
      <c r="D289" s="14" t="s">
        <v>219</v>
      </c>
      <c r="E289" s="229"/>
      <c r="F289" s="117" t="s">
        <v>1209</v>
      </c>
      <c r="G289" s="26">
        <v>41488</v>
      </c>
      <c r="H289" s="231"/>
      <c r="I289" s="221"/>
      <c r="J289" s="221"/>
      <c r="K289" s="221"/>
      <c r="L289" s="221"/>
      <c r="M289" s="221"/>
      <c r="N289" s="221"/>
      <c r="O289" s="225"/>
      <c r="P289" s="119" t="s">
        <v>1210</v>
      </c>
      <c r="Q289" s="16" t="s">
        <v>20</v>
      </c>
      <c r="R289" s="17" t="s">
        <v>1211</v>
      </c>
      <c r="S289" s="121" t="s">
        <v>1212</v>
      </c>
      <c r="T289" s="122" t="s">
        <v>1213</v>
      </c>
      <c r="U289" s="22" t="s">
        <v>106</v>
      </c>
      <c r="V289" s="123"/>
      <c r="W289" s="122"/>
      <c r="X289" s="221"/>
      <c r="Y289" s="221"/>
      <c r="Z289" s="221"/>
      <c r="AA289" s="221"/>
      <c r="AB289" s="247"/>
    </row>
    <row r="290" spans="1:28" ht="17.100000000000001" customHeight="1" thickTop="1">
      <c r="A290" s="226" t="s">
        <v>5776</v>
      </c>
      <c r="B290" s="28">
        <v>44154</v>
      </c>
      <c r="C290" s="29" t="s">
        <v>1214</v>
      </c>
      <c r="D290" s="13" t="s">
        <v>1215</v>
      </c>
      <c r="E290" s="228"/>
      <c r="F290" s="156" t="s">
        <v>1216</v>
      </c>
      <c r="G290" s="24" t="s">
        <v>1122</v>
      </c>
      <c r="H290" s="230">
        <v>4</v>
      </c>
      <c r="I290" s="220">
        <v>2850000</v>
      </c>
      <c r="J290" s="220">
        <v>285000</v>
      </c>
      <c r="K290" s="220">
        <v>13100</v>
      </c>
      <c r="L290" s="220">
        <v>19540</v>
      </c>
      <c r="M290" s="220">
        <v>13200</v>
      </c>
      <c r="N290" s="220">
        <f>SUM(I290:M290)</f>
        <v>3180840</v>
      </c>
      <c r="O290" s="224">
        <v>2500000</v>
      </c>
      <c r="P290" s="145" t="s">
        <v>1217</v>
      </c>
      <c r="Q290" s="15" t="s">
        <v>19</v>
      </c>
      <c r="R290" s="205"/>
      <c r="S290" s="189" t="s">
        <v>864</v>
      </c>
      <c r="T290" s="114"/>
      <c r="U290" s="21" t="s">
        <v>1218</v>
      </c>
      <c r="V290" s="115"/>
      <c r="W290" s="116"/>
      <c r="X290" s="220"/>
      <c r="Y290" s="245">
        <f>X290*0.1</f>
        <v>0</v>
      </c>
      <c r="Z290" s="220"/>
      <c r="AA290" s="220">
        <f>SUM(X290:Z290)</f>
        <v>0</v>
      </c>
      <c r="AB290" s="246"/>
    </row>
    <row r="291" spans="1:28" ht="17.100000000000001" customHeight="1" thickBot="1">
      <c r="A291" s="227"/>
      <c r="B291" s="27" t="s">
        <v>248</v>
      </c>
      <c r="C291" s="27">
        <v>7</v>
      </c>
      <c r="D291" s="14" t="s">
        <v>704</v>
      </c>
      <c r="E291" s="229"/>
      <c r="F291" s="117" t="s">
        <v>1219</v>
      </c>
      <c r="G291" s="26">
        <v>27191</v>
      </c>
      <c r="H291" s="231"/>
      <c r="I291" s="221"/>
      <c r="J291" s="221"/>
      <c r="K291" s="221"/>
      <c r="L291" s="221"/>
      <c r="M291" s="221"/>
      <c r="N291" s="221"/>
      <c r="O291" s="225"/>
      <c r="P291" s="119" t="s">
        <v>1220</v>
      </c>
      <c r="Q291" s="16" t="s">
        <v>20</v>
      </c>
      <c r="R291" s="17" t="s">
        <v>647</v>
      </c>
      <c r="S291" s="121" t="s">
        <v>581</v>
      </c>
      <c r="T291" s="122"/>
      <c r="U291" s="22" t="s">
        <v>106</v>
      </c>
      <c r="V291" s="123"/>
      <c r="W291" s="122"/>
      <c r="X291" s="221"/>
      <c r="Y291" s="221"/>
      <c r="Z291" s="221"/>
      <c r="AA291" s="221"/>
      <c r="AB291" s="247"/>
    </row>
    <row r="292" spans="1:28" ht="17.100000000000001" customHeight="1" thickTop="1">
      <c r="A292" s="226" t="s">
        <v>5777</v>
      </c>
      <c r="B292" s="28">
        <v>44154</v>
      </c>
      <c r="C292" s="29" t="s">
        <v>1214</v>
      </c>
      <c r="D292" s="13" t="s">
        <v>914</v>
      </c>
      <c r="E292" s="228"/>
      <c r="F292" s="156" t="s">
        <v>278</v>
      </c>
      <c r="G292" s="24" t="s">
        <v>916</v>
      </c>
      <c r="H292" s="230">
        <v>4</v>
      </c>
      <c r="I292" s="220">
        <v>1275000</v>
      </c>
      <c r="J292" s="220">
        <v>127500</v>
      </c>
      <c r="K292" s="220">
        <v>11500</v>
      </c>
      <c r="L292" s="220">
        <v>18960</v>
      </c>
      <c r="M292" s="220">
        <v>13200</v>
      </c>
      <c r="N292" s="220">
        <f>SUM(I292:M292)</f>
        <v>1446160</v>
      </c>
      <c r="O292" s="224">
        <v>1100000</v>
      </c>
      <c r="P292" s="145" t="s">
        <v>1221</v>
      </c>
      <c r="Q292" s="15" t="s">
        <v>19</v>
      </c>
      <c r="R292" s="205"/>
      <c r="S292" s="189" t="s">
        <v>518</v>
      </c>
      <c r="T292" s="114"/>
      <c r="U292" s="21"/>
      <c r="V292" s="115"/>
      <c r="W292" s="116"/>
      <c r="X292" s="220"/>
      <c r="Y292" s="245">
        <f>X292*0.1</f>
        <v>0</v>
      </c>
      <c r="Z292" s="220"/>
      <c r="AA292" s="220">
        <f>SUM(X292:Z292)</f>
        <v>0</v>
      </c>
      <c r="AB292" s="246"/>
    </row>
    <row r="293" spans="1:28" ht="17.100000000000001" customHeight="1" thickBot="1">
      <c r="A293" s="227"/>
      <c r="B293" s="27" t="s">
        <v>248</v>
      </c>
      <c r="C293" s="27">
        <v>374</v>
      </c>
      <c r="D293" s="14" t="s">
        <v>1222</v>
      </c>
      <c r="E293" s="229"/>
      <c r="F293" s="117" t="s">
        <v>1223</v>
      </c>
      <c r="G293" s="26">
        <v>30344</v>
      </c>
      <c r="H293" s="231"/>
      <c r="I293" s="221"/>
      <c r="J293" s="221"/>
      <c r="K293" s="221"/>
      <c r="L293" s="221"/>
      <c r="M293" s="221"/>
      <c r="N293" s="221"/>
      <c r="O293" s="225"/>
      <c r="P293" s="119" t="s">
        <v>605</v>
      </c>
      <c r="Q293" s="16" t="s">
        <v>20</v>
      </c>
      <c r="R293" s="17" t="s">
        <v>1224</v>
      </c>
      <c r="S293" s="121" t="s">
        <v>487</v>
      </c>
      <c r="T293" s="122"/>
      <c r="U293" s="22"/>
      <c r="V293" s="123"/>
      <c r="W293" s="122"/>
      <c r="X293" s="221"/>
      <c r="Y293" s="221"/>
      <c r="Z293" s="221"/>
      <c r="AA293" s="221"/>
      <c r="AB293" s="247"/>
    </row>
    <row r="294" spans="1:28" ht="17.100000000000001" customHeight="1" thickTop="1">
      <c r="A294" s="226" t="s">
        <v>5778</v>
      </c>
      <c r="B294" s="28">
        <v>44154</v>
      </c>
      <c r="C294" s="29" t="s">
        <v>1214</v>
      </c>
      <c r="D294" s="13" t="s">
        <v>1225</v>
      </c>
      <c r="E294" s="228"/>
      <c r="F294" s="156" t="s">
        <v>1168</v>
      </c>
      <c r="G294" s="24"/>
      <c r="H294" s="230">
        <v>5</v>
      </c>
      <c r="I294" s="220">
        <v>2520000</v>
      </c>
      <c r="J294" s="220">
        <v>252000</v>
      </c>
      <c r="K294" s="220">
        <v>0</v>
      </c>
      <c r="L294" s="220">
        <v>22640</v>
      </c>
      <c r="M294" s="220">
        <v>13200</v>
      </c>
      <c r="N294" s="220">
        <f>SUM(I294:M294)</f>
        <v>2807840</v>
      </c>
      <c r="O294" s="224">
        <v>2100000</v>
      </c>
      <c r="P294" s="145" t="s">
        <v>1226</v>
      </c>
      <c r="Q294" s="15" t="s">
        <v>19</v>
      </c>
      <c r="R294" s="205"/>
      <c r="S294" s="189" t="s">
        <v>864</v>
      </c>
      <c r="T294" s="114"/>
      <c r="U294" s="21"/>
      <c r="V294" s="115"/>
      <c r="W294" s="116"/>
      <c r="X294" s="220"/>
      <c r="Y294" s="245">
        <f>X294*0.1</f>
        <v>0</v>
      </c>
      <c r="Z294" s="220"/>
      <c r="AA294" s="220">
        <f>SUM(X294:Z294)</f>
        <v>0</v>
      </c>
      <c r="AB294" s="246"/>
    </row>
    <row r="295" spans="1:28" ht="17.100000000000001" customHeight="1" thickBot="1">
      <c r="A295" s="227"/>
      <c r="B295" s="27" t="s">
        <v>248</v>
      </c>
      <c r="C295" s="27">
        <v>581</v>
      </c>
      <c r="D295" s="14" t="s">
        <v>759</v>
      </c>
      <c r="E295" s="229"/>
      <c r="F295" s="117" t="s">
        <v>1227</v>
      </c>
      <c r="G295" s="26">
        <v>26534</v>
      </c>
      <c r="H295" s="231"/>
      <c r="I295" s="221"/>
      <c r="J295" s="221"/>
      <c r="K295" s="221"/>
      <c r="L295" s="221"/>
      <c r="M295" s="221"/>
      <c r="N295" s="221"/>
      <c r="O295" s="225"/>
      <c r="P295" s="119" t="s">
        <v>940</v>
      </c>
      <c r="Q295" s="16" t="s">
        <v>20</v>
      </c>
      <c r="R295" s="17" t="s">
        <v>1224</v>
      </c>
      <c r="S295" s="121" t="s">
        <v>1228</v>
      </c>
      <c r="T295" s="122" t="s">
        <v>1213</v>
      </c>
      <c r="U295" s="22"/>
      <c r="V295" s="123"/>
      <c r="W295" s="122"/>
      <c r="X295" s="221"/>
      <c r="Y295" s="221"/>
      <c r="Z295" s="221"/>
      <c r="AA295" s="221"/>
      <c r="AB295" s="247"/>
    </row>
    <row r="296" spans="1:28" ht="17.100000000000001" customHeight="1" thickTop="1">
      <c r="A296" s="226" t="s">
        <v>5779</v>
      </c>
      <c r="B296" s="28">
        <v>44168</v>
      </c>
      <c r="C296" s="29" t="s">
        <v>1229</v>
      </c>
      <c r="D296" s="13" t="s">
        <v>903</v>
      </c>
      <c r="E296" s="228"/>
      <c r="F296" s="156" t="s">
        <v>1230</v>
      </c>
      <c r="G296" s="24"/>
      <c r="H296" s="230">
        <v>4</v>
      </c>
      <c r="I296" s="220">
        <v>1520000</v>
      </c>
      <c r="J296" s="220">
        <v>152000</v>
      </c>
      <c r="K296" s="220">
        <v>0</v>
      </c>
      <c r="L296" s="220">
        <v>18960</v>
      </c>
      <c r="M296" s="220">
        <v>13200</v>
      </c>
      <c r="N296" s="220">
        <f>SUM(I296:M296)</f>
        <v>1704160</v>
      </c>
      <c r="O296" s="224">
        <v>1300000</v>
      </c>
      <c r="P296" s="145" t="s">
        <v>1231</v>
      </c>
      <c r="Q296" s="15" t="s">
        <v>19</v>
      </c>
      <c r="R296" s="205"/>
      <c r="S296" s="189" t="s">
        <v>518</v>
      </c>
      <c r="T296" s="114"/>
      <c r="U296" s="21"/>
      <c r="V296" s="115"/>
      <c r="W296" s="116"/>
      <c r="X296" s="220"/>
      <c r="Y296" s="245">
        <f>X296*0.1</f>
        <v>0</v>
      </c>
      <c r="Z296" s="220"/>
      <c r="AA296" s="220">
        <f>SUM(X296:Z296)</f>
        <v>0</v>
      </c>
      <c r="AB296" s="246"/>
    </row>
    <row r="297" spans="1:28" ht="17.100000000000001" customHeight="1" thickBot="1">
      <c r="A297" s="227"/>
      <c r="B297" s="27" t="s">
        <v>248</v>
      </c>
      <c r="C297" s="27">
        <v>365</v>
      </c>
      <c r="D297" s="14" t="s">
        <v>1232</v>
      </c>
      <c r="E297" s="229"/>
      <c r="F297" s="117" t="s">
        <v>1233</v>
      </c>
      <c r="G297" s="26">
        <v>56438</v>
      </c>
      <c r="H297" s="231"/>
      <c r="I297" s="221"/>
      <c r="J297" s="221"/>
      <c r="K297" s="221"/>
      <c r="L297" s="221"/>
      <c r="M297" s="221"/>
      <c r="N297" s="221"/>
      <c r="O297" s="225"/>
      <c r="P297" s="119" t="s">
        <v>605</v>
      </c>
      <c r="Q297" s="16" t="s">
        <v>20</v>
      </c>
      <c r="R297" s="17" t="s">
        <v>1234</v>
      </c>
      <c r="S297" s="121"/>
      <c r="T297" s="122"/>
      <c r="U297" s="22"/>
      <c r="V297" s="123"/>
      <c r="W297" s="122"/>
      <c r="X297" s="221"/>
      <c r="Y297" s="221"/>
      <c r="Z297" s="221"/>
      <c r="AA297" s="221"/>
      <c r="AB297" s="247"/>
    </row>
    <row r="298" spans="1:28" ht="17.100000000000001" customHeight="1" thickTop="1">
      <c r="A298" s="226" t="s">
        <v>5780</v>
      </c>
      <c r="B298" s="28">
        <v>44175</v>
      </c>
      <c r="C298" s="29" t="s">
        <v>1235</v>
      </c>
      <c r="D298" s="13" t="s">
        <v>269</v>
      </c>
      <c r="E298" s="228"/>
      <c r="F298" s="156" t="s">
        <v>1236</v>
      </c>
      <c r="G298" s="24" t="s">
        <v>1237</v>
      </c>
      <c r="H298" s="230">
        <v>4</v>
      </c>
      <c r="I298" s="220">
        <v>2658000</v>
      </c>
      <c r="J298" s="220">
        <v>265800</v>
      </c>
      <c r="K298" s="220">
        <v>9800</v>
      </c>
      <c r="L298" s="220">
        <v>17990</v>
      </c>
      <c r="M298" s="220">
        <v>19800</v>
      </c>
      <c r="N298" s="220">
        <f>SUM(I298:M298)</f>
        <v>2971390</v>
      </c>
      <c r="O298" s="224">
        <v>1700000</v>
      </c>
      <c r="P298" s="145" t="s">
        <v>1238</v>
      </c>
      <c r="Q298" s="15" t="s">
        <v>19</v>
      </c>
      <c r="R298" s="205"/>
      <c r="S298" s="189" t="s">
        <v>758</v>
      </c>
      <c r="T298" s="114"/>
      <c r="U298" s="21"/>
      <c r="V298" s="115"/>
      <c r="W298" s="116"/>
      <c r="X298" s="220"/>
      <c r="Y298" s="245">
        <f>X298*0.1</f>
        <v>0</v>
      </c>
      <c r="Z298" s="220"/>
      <c r="AA298" s="220">
        <f>SUM(X298:Z298)</f>
        <v>0</v>
      </c>
      <c r="AB298" s="246"/>
    </row>
    <row r="299" spans="1:28" ht="17.100000000000001" customHeight="1" thickBot="1">
      <c r="A299" s="227"/>
      <c r="B299" s="27" t="s">
        <v>1239</v>
      </c>
      <c r="C299" s="27">
        <v>10076</v>
      </c>
      <c r="D299" s="14" t="s">
        <v>65</v>
      </c>
      <c r="E299" s="229"/>
      <c r="F299" s="117" t="s">
        <v>1240</v>
      </c>
      <c r="G299" s="26">
        <v>48403</v>
      </c>
      <c r="H299" s="231"/>
      <c r="I299" s="221"/>
      <c r="J299" s="221"/>
      <c r="K299" s="221"/>
      <c r="L299" s="221"/>
      <c r="M299" s="221"/>
      <c r="N299" s="221"/>
      <c r="O299" s="225"/>
      <c r="P299" s="119" t="s">
        <v>1241</v>
      </c>
      <c r="Q299" s="16" t="s">
        <v>20</v>
      </c>
      <c r="R299" s="17" t="s">
        <v>1242</v>
      </c>
      <c r="S299" s="121" t="s">
        <v>487</v>
      </c>
      <c r="T299" s="122"/>
      <c r="U299" s="22" t="s">
        <v>901</v>
      </c>
      <c r="V299" s="123"/>
      <c r="W299" s="122"/>
      <c r="X299" s="221"/>
      <c r="Y299" s="221"/>
      <c r="Z299" s="221"/>
      <c r="AA299" s="221"/>
      <c r="AB299" s="247"/>
    </row>
    <row r="300" spans="1:28" ht="17.100000000000001" customHeight="1" thickTop="1">
      <c r="A300" s="226" t="s">
        <v>5781</v>
      </c>
      <c r="B300" s="28">
        <v>44182</v>
      </c>
      <c r="C300" s="29" t="s">
        <v>1243</v>
      </c>
      <c r="D300" s="13" t="s">
        <v>1244</v>
      </c>
      <c r="E300" s="228"/>
      <c r="F300" s="156" t="s">
        <v>1245</v>
      </c>
      <c r="G300" s="24" t="s">
        <v>1103</v>
      </c>
      <c r="H300" s="230">
        <v>4</v>
      </c>
      <c r="I300" s="220">
        <v>3600000</v>
      </c>
      <c r="J300" s="220">
        <v>360000</v>
      </c>
      <c r="K300" s="220">
        <v>19100</v>
      </c>
      <c r="L300" s="220">
        <v>23320</v>
      </c>
      <c r="M300" s="220">
        <v>13200</v>
      </c>
      <c r="N300" s="220">
        <f>SUM(I300:M300)</f>
        <v>4015620</v>
      </c>
      <c r="O300" s="224">
        <v>3100000</v>
      </c>
      <c r="P300" s="145" t="s">
        <v>1246</v>
      </c>
      <c r="Q300" s="15" t="s">
        <v>19</v>
      </c>
      <c r="R300" s="205"/>
      <c r="S300" s="189" t="s">
        <v>864</v>
      </c>
      <c r="T300" s="114"/>
      <c r="U300" s="21"/>
      <c r="V300" s="115"/>
      <c r="W300" s="116"/>
      <c r="X300" s="220"/>
      <c r="Y300" s="245">
        <f>X300*0.1</f>
        <v>0</v>
      </c>
      <c r="Z300" s="220"/>
      <c r="AA300" s="220">
        <f>SUM(X300:Z300)</f>
        <v>0</v>
      </c>
      <c r="AB300" s="246"/>
    </row>
    <row r="301" spans="1:28" ht="17.100000000000001" customHeight="1" thickBot="1">
      <c r="A301" s="227"/>
      <c r="B301" s="27" t="s">
        <v>248</v>
      </c>
      <c r="C301" s="27">
        <v>197</v>
      </c>
      <c r="D301" s="14" t="s">
        <v>1247</v>
      </c>
      <c r="E301" s="229"/>
      <c r="F301" s="117" t="s">
        <v>1248</v>
      </c>
      <c r="G301" s="26">
        <v>38279</v>
      </c>
      <c r="H301" s="231"/>
      <c r="I301" s="221"/>
      <c r="J301" s="221"/>
      <c r="K301" s="221"/>
      <c r="L301" s="221"/>
      <c r="M301" s="221"/>
      <c r="N301" s="221"/>
      <c r="O301" s="225"/>
      <c r="P301" s="119" t="s">
        <v>1249</v>
      </c>
      <c r="Q301" s="16" t="s">
        <v>20</v>
      </c>
      <c r="R301" s="17" t="s">
        <v>1250</v>
      </c>
      <c r="S301" s="121" t="s">
        <v>581</v>
      </c>
      <c r="T301" s="122"/>
      <c r="U301" s="22" t="s">
        <v>901</v>
      </c>
      <c r="V301" s="123"/>
      <c r="W301" s="122"/>
      <c r="X301" s="221"/>
      <c r="Y301" s="221"/>
      <c r="Z301" s="221"/>
      <c r="AA301" s="221"/>
      <c r="AB301" s="247"/>
    </row>
    <row r="302" spans="1:28" ht="17.100000000000001" customHeight="1" thickTop="1">
      <c r="A302" s="226" t="s">
        <v>5782</v>
      </c>
      <c r="B302" s="28">
        <v>44183</v>
      </c>
      <c r="C302" s="29" t="s">
        <v>1251</v>
      </c>
      <c r="D302" s="13" t="s">
        <v>1252</v>
      </c>
      <c r="E302" s="228"/>
      <c r="F302" s="156" t="s">
        <v>1253</v>
      </c>
      <c r="G302" s="24" t="s">
        <v>1254</v>
      </c>
      <c r="H302" s="230">
        <v>5</v>
      </c>
      <c r="I302" s="220">
        <v>2235000</v>
      </c>
      <c r="J302" s="220">
        <v>223500</v>
      </c>
      <c r="K302" s="220">
        <v>12700</v>
      </c>
      <c r="L302" s="220">
        <v>18110</v>
      </c>
      <c r="M302" s="220">
        <v>13200</v>
      </c>
      <c r="N302" s="220">
        <f>SUM(I302:M302)</f>
        <v>2502510</v>
      </c>
      <c r="O302" s="224">
        <v>1800000</v>
      </c>
      <c r="P302" s="145" t="s">
        <v>1255</v>
      </c>
      <c r="Q302" s="15" t="s">
        <v>19</v>
      </c>
      <c r="R302" s="205"/>
      <c r="S302" s="189" t="s">
        <v>1015</v>
      </c>
      <c r="T302" s="114"/>
      <c r="U302" s="21"/>
      <c r="V302" s="115"/>
      <c r="W302" s="116"/>
      <c r="X302" s="220"/>
      <c r="Y302" s="245">
        <f>X302*0.1</f>
        <v>0</v>
      </c>
      <c r="Z302" s="220"/>
      <c r="AA302" s="220">
        <f>SUM(X302:Z302)</f>
        <v>0</v>
      </c>
      <c r="AB302" s="246"/>
    </row>
    <row r="303" spans="1:28" ht="17.100000000000001" customHeight="1" thickBot="1">
      <c r="A303" s="227"/>
      <c r="B303" s="27" t="s">
        <v>203</v>
      </c>
      <c r="C303" s="27">
        <v>58182</v>
      </c>
      <c r="D303" s="14" t="s">
        <v>1256</v>
      </c>
      <c r="E303" s="229"/>
      <c r="F303" s="117" t="s">
        <v>1257</v>
      </c>
      <c r="G303" s="26">
        <v>47800</v>
      </c>
      <c r="H303" s="231"/>
      <c r="I303" s="221"/>
      <c r="J303" s="221"/>
      <c r="K303" s="221"/>
      <c r="L303" s="221"/>
      <c r="M303" s="221"/>
      <c r="N303" s="221"/>
      <c r="O303" s="225"/>
      <c r="P303" s="119" t="s">
        <v>1258</v>
      </c>
      <c r="Q303" s="16" t="s">
        <v>20</v>
      </c>
      <c r="R303" s="17" t="s">
        <v>1259</v>
      </c>
      <c r="S303" s="121" t="s">
        <v>1260</v>
      </c>
      <c r="T303" s="122"/>
      <c r="U303" s="22" t="s">
        <v>922</v>
      </c>
      <c r="V303" s="123"/>
      <c r="W303" s="122"/>
      <c r="X303" s="221"/>
      <c r="Y303" s="221"/>
      <c r="Z303" s="221"/>
      <c r="AA303" s="221"/>
      <c r="AB303" s="247"/>
    </row>
    <row r="304" spans="1:28" ht="17.100000000000001" customHeight="1" thickTop="1">
      <c r="A304" s="226" t="s">
        <v>5783</v>
      </c>
      <c r="B304" s="28">
        <v>44190</v>
      </c>
      <c r="C304" s="29"/>
      <c r="D304" s="13" t="s">
        <v>1261</v>
      </c>
      <c r="E304" s="228"/>
      <c r="F304" s="156" t="s">
        <v>1262</v>
      </c>
      <c r="G304" s="24" t="s">
        <v>1263</v>
      </c>
      <c r="H304" s="230" t="s">
        <v>652</v>
      </c>
      <c r="I304" s="220">
        <v>355000</v>
      </c>
      <c r="J304" s="220">
        <v>35500</v>
      </c>
      <c r="K304" s="220">
        <v>0</v>
      </c>
      <c r="L304" s="220">
        <v>7860</v>
      </c>
      <c r="M304" s="220">
        <f>42369+4237</f>
        <v>46606</v>
      </c>
      <c r="N304" s="220">
        <f>SUM(I304:M304)</f>
        <v>444966</v>
      </c>
      <c r="O304" s="224">
        <v>150000</v>
      </c>
      <c r="P304" s="145" t="s">
        <v>1264</v>
      </c>
      <c r="Q304" s="15" t="s">
        <v>19</v>
      </c>
      <c r="R304" s="205"/>
      <c r="S304" s="189" t="s">
        <v>1265</v>
      </c>
      <c r="T304" s="114"/>
      <c r="U304" s="21" t="s">
        <v>1266</v>
      </c>
      <c r="V304" s="115"/>
      <c r="W304" s="116"/>
      <c r="X304" s="220"/>
      <c r="Y304" s="245">
        <f>X304*0.1</f>
        <v>0</v>
      </c>
      <c r="Z304" s="220"/>
      <c r="AA304" s="220">
        <f>SUM(X304:Z304)</f>
        <v>0</v>
      </c>
      <c r="AB304" s="246"/>
    </row>
    <row r="305" spans="1:28" ht="17.100000000000001" customHeight="1" thickBot="1">
      <c r="A305" s="227"/>
      <c r="B305" s="27" t="s">
        <v>631</v>
      </c>
      <c r="C305" s="27" t="s">
        <v>1267</v>
      </c>
      <c r="D305" s="14" t="s">
        <v>219</v>
      </c>
      <c r="E305" s="229"/>
      <c r="F305" s="117" t="s">
        <v>1268</v>
      </c>
      <c r="G305" s="26">
        <v>54394</v>
      </c>
      <c r="H305" s="231"/>
      <c r="I305" s="221"/>
      <c r="J305" s="221"/>
      <c r="K305" s="221"/>
      <c r="L305" s="221"/>
      <c r="M305" s="221"/>
      <c r="N305" s="221"/>
      <c r="O305" s="225"/>
      <c r="P305" s="119" t="s">
        <v>1269</v>
      </c>
      <c r="Q305" s="16" t="s">
        <v>20</v>
      </c>
      <c r="R305" s="17" t="s">
        <v>1270</v>
      </c>
      <c r="S305" s="121" t="s">
        <v>1271</v>
      </c>
      <c r="T305" s="122" t="s">
        <v>1272</v>
      </c>
      <c r="U305" s="22" t="s">
        <v>1050</v>
      </c>
      <c r="V305" s="123"/>
      <c r="W305" s="122"/>
      <c r="X305" s="221"/>
      <c r="Y305" s="221"/>
      <c r="Z305" s="221"/>
      <c r="AA305" s="221"/>
      <c r="AB305" s="247"/>
    </row>
    <row r="306" spans="1:28" ht="17.100000000000001" customHeight="1" thickTop="1">
      <c r="A306" s="226" t="s">
        <v>5784</v>
      </c>
      <c r="B306" s="28">
        <v>44208</v>
      </c>
      <c r="C306" s="29" t="s">
        <v>1273</v>
      </c>
      <c r="D306" s="13" t="s">
        <v>261</v>
      </c>
      <c r="E306" s="228"/>
      <c r="F306" s="156" t="s">
        <v>1274</v>
      </c>
      <c r="G306" s="24" t="s">
        <v>1081</v>
      </c>
      <c r="H306" s="230">
        <v>4.5</v>
      </c>
      <c r="I306" s="220">
        <v>2050000</v>
      </c>
      <c r="J306" s="220">
        <v>205000</v>
      </c>
      <c r="K306" s="220">
        <v>8500</v>
      </c>
      <c r="L306" s="220">
        <v>18110</v>
      </c>
      <c r="M306" s="220">
        <v>13200</v>
      </c>
      <c r="N306" s="220">
        <f>SUM(I306:M306)</f>
        <v>2294810</v>
      </c>
      <c r="O306" s="224">
        <v>1700000</v>
      </c>
      <c r="P306" s="145" t="s">
        <v>1275</v>
      </c>
      <c r="Q306" s="15" t="s">
        <v>19</v>
      </c>
      <c r="R306" s="205"/>
      <c r="S306" s="189" t="s">
        <v>1276</v>
      </c>
      <c r="T306" s="114"/>
      <c r="U306" s="21"/>
      <c r="V306" s="115"/>
      <c r="W306" s="116"/>
      <c r="X306" s="220"/>
      <c r="Y306" s="245">
        <f>X306*0.1</f>
        <v>0</v>
      </c>
      <c r="Z306" s="220"/>
      <c r="AA306" s="220">
        <f>SUM(X306:Z306)</f>
        <v>0</v>
      </c>
      <c r="AB306" s="246"/>
    </row>
    <row r="307" spans="1:28" ht="17.100000000000001" customHeight="1" thickBot="1">
      <c r="A307" s="227"/>
      <c r="B307" s="27" t="s">
        <v>130</v>
      </c>
      <c r="C307" s="27">
        <v>82027</v>
      </c>
      <c r="D307" s="14" t="s">
        <v>219</v>
      </c>
      <c r="E307" s="229"/>
      <c r="F307" s="117" t="s">
        <v>1277</v>
      </c>
      <c r="G307" s="26">
        <v>58355</v>
      </c>
      <c r="H307" s="231"/>
      <c r="I307" s="221"/>
      <c r="J307" s="221"/>
      <c r="K307" s="221"/>
      <c r="L307" s="221"/>
      <c r="M307" s="221"/>
      <c r="N307" s="221"/>
      <c r="O307" s="225"/>
      <c r="P307" s="119" t="s">
        <v>1278</v>
      </c>
      <c r="Q307" s="16" t="s">
        <v>20</v>
      </c>
      <c r="R307" s="17" t="s">
        <v>1279</v>
      </c>
      <c r="S307" s="121" t="s">
        <v>1280</v>
      </c>
      <c r="T307" s="122"/>
      <c r="U307" s="22" t="s">
        <v>901</v>
      </c>
      <c r="V307" s="123"/>
      <c r="W307" s="122"/>
      <c r="X307" s="221"/>
      <c r="Y307" s="221"/>
      <c r="Z307" s="221"/>
      <c r="AA307" s="221"/>
      <c r="AB307" s="247"/>
    </row>
    <row r="308" spans="1:28" ht="17.100000000000001" customHeight="1" thickTop="1">
      <c r="A308" s="226" t="s">
        <v>5785</v>
      </c>
      <c r="B308" s="28">
        <v>44210</v>
      </c>
      <c r="C308" s="29" t="s">
        <v>1281</v>
      </c>
      <c r="D308" s="13" t="s">
        <v>1101</v>
      </c>
      <c r="E308" s="228"/>
      <c r="F308" s="156" t="s">
        <v>1282</v>
      </c>
      <c r="G308" s="24" t="s">
        <v>1283</v>
      </c>
      <c r="H308" s="230">
        <v>4.5</v>
      </c>
      <c r="I308" s="220">
        <v>2875000</v>
      </c>
      <c r="J308" s="220">
        <v>287500</v>
      </c>
      <c r="K308" s="220">
        <v>8500</v>
      </c>
      <c r="L308" s="220">
        <v>23470</v>
      </c>
      <c r="M308" s="220">
        <v>13200</v>
      </c>
      <c r="N308" s="220">
        <f>SUM(I308:M308)</f>
        <v>3207670</v>
      </c>
      <c r="O308" s="224">
        <v>2200000</v>
      </c>
      <c r="P308" s="145" t="s">
        <v>1284</v>
      </c>
      <c r="Q308" s="15" t="s">
        <v>19</v>
      </c>
      <c r="R308" s="205"/>
      <c r="S308" s="189" t="s">
        <v>1271</v>
      </c>
      <c r="T308" s="114"/>
      <c r="U308" s="21" t="s">
        <v>1285</v>
      </c>
      <c r="V308" s="115"/>
      <c r="W308" s="116"/>
      <c r="X308" s="220"/>
      <c r="Y308" s="245">
        <f>X308*0.1</f>
        <v>0</v>
      </c>
      <c r="Z308" s="220"/>
      <c r="AA308" s="220">
        <f>SUM(X308:Z308)</f>
        <v>0</v>
      </c>
      <c r="AB308" s="246"/>
    </row>
    <row r="309" spans="1:28" ht="17.100000000000001" customHeight="1" thickBot="1">
      <c r="A309" s="227"/>
      <c r="B309" s="27" t="s">
        <v>146</v>
      </c>
      <c r="C309" s="27">
        <v>75677</v>
      </c>
      <c r="D309" s="14" t="s">
        <v>219</v>
      </c>
      <c r="E309" s="229"/>
      <c r="F309" s="117" t="s">
        <v>1286</v>
      </c>
      <c r="G309" s="26">
        <v>46871</v>
      </c>
      <c r="H309" s="231"/>
      <c r="I309" s="221"/>
      <c r="J309" s="221"/>
      <c r="K309" s="221"/>
      <c r="L309" s="221"/>
      <c r="M309" s="221"/>
      <c r="N309" s="221"/>
      <c r="O309" s="225"/>
      <c r="P309" s="119" t="s">
        <v>1287</v>
      </c>
      <c r="Q309" s="16" t="s">
        <v>20</v>
      </c>
      <c r="R309" s="17" t="s">
        <v>1288</v>
      </c>
      <c r="S309" s="121" t="s">
        <v>1289</v>
      </c>
      <c r="T309" s="122"/>
      <c r="U309" s="22" t="s">
        <v>1290</v>
      </c>
      <c r="V309" s="123"/>
      <c r="W309" s="122"/>
      <c r="X309" s="221"/>
      <c r="Y309" s="221"/>
      <c r="Z309" s="221"/>
      <c r="AA309" s="221"/>
      <c r="AB309" s="247"/>
    </row>
    <row r="310" spans="1:28" ht="17.100000000000001" customHeight="1" thickTop="1">
      <c r="A310" s="226" t="s">
        <v>5786</v>
      </c>
      <c r="B310" s="28">
        <v>44214</v>
      </c>
      <c r="C310" s="29"/>
      <c r="D310" s="13" t="s">
        <v>1291</v>
      </c>
      <c r="E310" s="228"/>
      <c r="F310" s="156" t="s">
        <v>1292</v>
      </c>
      <c r="G310" s="24" t="s">
        <v>1293</v>
      </c>
      <c r="H310" s="230">
        <v>3.5</v>
      </c>
      <c r="I310" s="220">
        <v>630000</v>
      </c>
      <c r="J310" s="220">
        <v>63000</v>
      </c>
      <c r="K310" s="220">
        <v>0</v>
      </c>
      <c r="L310" s="220">
        <v>9550</v>
      </c>
      <c r="M310" s="220">
        <v>11000</v>
      </c>
      <c r="N310" s="220">
        <f>SUM(I310:M310)</f>
        <v>713550</v>
      </c>
      <c r="O310" s="224">
        <v>400000</v>
      </c>
      <c r="P310" s="145" t="s">
        <v>1294</v>
      </c>
      <c r="Q310" s="15" t="s">
        <v>19</v>
      </c>
      <c r="R310" s="205"/>
      <c r="S310" s="189"/>
      <c r="T310" s="114"/>
      <c r="U310" s="21" t="s">
        <v>1295</v>
      </c>
      <c r="V310" s="115"/>
      <c r="W310" s="116"/>
      <c r="X310" s="220"/>
      <c r="Y310" s="245">
        <f>X310*0.1</f>
        <v>0</v>
      </c>
      <c r="Z310" s="220"/>
      <c r="AA310" s="220">
        <f>SUM(X310:Z310)</f>
        <v>0</v>
      </c>
      <c r="AB310" s="246"/>
    </row>
    <row r="311" spans="1:28" ht="17.100000000000001" customHeight="1" thickBot="1">
      <c r="A311" s="227"/>
      <c r="B311" s="27" t="s">
        <v>997</v>
      </c>
      <c r="C311" s="27" t="s">
        <v>1296</v>
      </c>
      <c r="D311" s="14" t="s">
        <v>1297</v>
      </c>
      <c r="E311" s="229"/>
      <c r="F311" s="117" t="s">
        <v>1298</v>
      </c>
      <c r="G311" s="26">
        <v>51000</v>
      </c>
      <c r="H311" s="231"/>
      <c r="I311" s="221"/>
      <c r="J311" s="221"/>
      <c r="K311" s="221"/>
      <c r="L311" s="221"/>
      <c r="M311" s="221"/>
      <c r="N311" s="221"/>
      <c r="O311" s="225"/>
      <c r="P311" s="119" t="s">
        <v>1299</v>
      </c>
      <c r="Q311" s="16" t="s">
        <v>20</v>
      </c>
      <c r="R311" s="17" t="s">
        <v>1300</v>
      </c>
      <c r="S311" s="121" t="s">
        <v>1301</v>
      </c>
      <c r="T311" s="122"/>
      <c r="U311" s="22" t="s">
        <v>1302</v>
      </c>
      <c r="V311" s="123"/>
      <c r="W311" s="122"/>
      <c r="X311" s="221"/>
      <c r="Y311" s="221"/>
      <c r="Z311" s="221"/>
      <c r="AA311" s="221"/>
      <c r="AB311" s="247"/>
    </row>
    <row r="312" spans="1:28" ht="17.100000000000001" customHeight="1" thickTop="1">
      <c r="A312" s="226" t="s">
        <v>5787</v>
      </c>
      <c r="B312" s="28">
        <v>44225</v>
      </c>
      <c r="C312" s="29" t="s">
        <v>1303</v>
      </c>
      <c r="D312" s="13" t="s">
        <v>1261</v>
      </c>
      <c r="E312" s="228"/>
      <c r="F312" s="156" t="s">
        <v>1304</v>
      </c>
      <c r="G312" s="24" t="s">
        <v>1199</v>
      </c>
      <c r="H312" s="230">
        <v>4.5</v>
      </c>
      <c r="I312" s="220">
        <v>2390000</v>
      </c>
      <c r="J312" s="220">
        <v>239000</v>
      </c>
      <c r="K312" s="220">
        <v>6500</v>
      </c>
      <c r="L312" s="220">
        <v>16240</v>
      </c>
      <c r="M312" s="220">
        <v>13200</v>
      </c>
      <c r="N312" s="220">
        <f>SUM(I312:M312)</f>
        <v>2664940</v>
      </c>
      <c r="O312" s="224">
        <v>2000000</v>
      </c>
      <c r="P312" s="145" t="s">
        <v>1305</v>
      </c>
      <c r="Q312" s="15" t="s">
        <v>19</v>
      </c>
      <c r="R312" s="205"/>
      <c r="S312" s="189" t="s">
        <v>1306</v>
      </c>
      <c r="T312" s="114"/>
      <c r="U312" s="21"/>
      <c r="V312" s="115"/>
      <c r="W312" s="116"/>
      <c r="X312" s="220"/>
      <c r="Y312" s="245">
        <f>X312*0.1</f>
        <v>0</v>
      </c>
      <c r="Z312" s="220"/>
      <c r="AA312" s="220">
        <f>SUM(X312:Z312)</f>
        <v>0</v>
      </c>
      <c r="AB312" s="246"/>
    </row>
    <row r="313" spans="1:28" ht="17.100000000000001" customHeight="1" thickBot="1">
      <c r="A313" s="227"/>
      <c r="B313" s="27" t="s">
        <v>1178</v>
      </c>
      <c r="C313" s="27">
        <v>88022</v>
      </c>
      <c r="D313" s="14" t="s">
        <v>475</v>
      </c>
      <c r="E313" s="229"/>
      <c r="F313" s="117" t="s">
        <v>1307</v>
      </c>
      <c r="G313" s="26">
        <v>30828</v>
      </c>
      <c r="H313" s="231"/>
      <c r="I313" s="221"/>
      <c r="J313" s="221"/>
      <c r="K313" s="221"/>
      <c r="L313" s="221"/>
      <c r="M313" s="221"/>
      <c r="N313" s="221"/>
      <c r="O313" s="225"/>
      <c r="P313" s="119" t="s">
        <v>1308</v>
      </c>
      <c r="Q313" s="16" t="s">
        <v>20</v>
      </c>
      <c r="R313" s="17" t="s">
        <v>1309</v>
      </c>
      <c r="S313" s="121" t="s">
        <v>1280</v>
      </c>
      <c r="T313" s="122"/>
      <c r="U313" s="22"/>
      <c r="V313" s="123"/>
      <c r="W313" s="122"/>
      <c r="X313" s="221"/>
      <c r="Y313" s="221"/>
      <c r="Z313" s="221"/>
      <c r="AA313" s="221"/>
      <c r="AB313" s="247"/>
    </row>
    <row r="314" spans="1:28" ht="17.100000000000001" customHeight="1" thickTop="1">
      <c r="A314" s="226" t="s">
        <v>5788</v>
      </c>
      <c r="B314" s="28">
        <v>44226</v>
      </c>
      <c r="C314" s="29" t="s">
        <v>1310</v>
      </c>
      <c r="D314" s="13" t="s">
        <v>321</v>
      </c>
      <c r="E314" s="228"/>
      <c r="F314" s="156" t="s">
        <v>1191</v>
      </c>
      <c r="G314" s="24"/>
      <c r="H314" s="230">
        <v>4.5</v>
      </c>
      <c r="I314" s="220">
        <v>1580000</v>
      </c>
      <c r="J314" s="220">
        <v>158000</v>
      </c>
      <c r="K314" s="220">
        <v>0</v>
      </c>
      <c r="L314" s="220">
        <v>14590</v>
      </c>
      <c r="M314" s="220">
        <v>13200</v>
      </c>
      <c r="N314" s="220">
        <f>SUM(I314:M314)</f>
        <v>1765790</v>
      </c>
      <c r="O314" s="224">
        <v>1300000</v>
      </c>
      <c r="P314" s="145" t="s">
        <v>1311</v>
      </c>
      <c r="Q314" s="15" t="s">
        <v>19</v>
      </c>
      <c r="R314" s="205"/>
      <c r="S314" s="189" t="s">
        <v>1312</v>
      </c>
      <c r="T314" s="114"/>
      <c r="U314" s="21"/>
      <c r="V314" s="115"/>
      <c r="W314" s="116"/>
      <c r="X314" s="220"/>
      <c r="Y314" s="245">
        <f>X314*0.1</f>
        <v>0</v>
      </c>
      <c r="Z314" s="220"/>
      <c r="AA314" s="220">
        <f>SUM(X314:Z314)</f>
        <v>0</v>
      </c>
      <c r="AB314" s="246"/>
    </row>
    <row r="315" spans="1:28" ht="17.100000000000001" customHeight="1" thickBot="1">
      <c r="A315" s="227"/>
      <c r="B315" s="27" t="s">
        <v>45</v>
      </c>
      <c r="C315" s="27">
        <v>82193</v>
      </c>
      <c r="D315" s="14" t="s">
        <v>289</v>
      </c>
      <c r="E315" s="229"/>
      <c r="F315" s="117" t="s">
        <v>1313</v>
      </c>
      <c r="G315" s="26">
        <v>38372</v>
      </c>
      <c r="H315" s="231"/>
      <c r="I315" s="221"/>
      <c r="J315" s="221"/>
      <c r="K315" s="221"/>
      <c r="L315" s="221"/>
      <c r="M315" s="221"/>
      <c r="N315" s="221"/>
      <c r="O315" s="225"/>
      <c r="P315" s="119" t="s">
        <v>1314</v>
      </c>
      <c r="Q315" s="16" t="s">
        <v>20</v>
      </c>
      <c r="R315" s="17" t="s">
        <v>1300</v>
      </c>
      <c r="S315" s="121" t="s">
        <v>1315</v>
      </c>
      <c r="T315" s="157" t="s">
        <v>1316</v>
      </c>
      <c r="U315" s="22"/>
      <c r="V315" s="123"/>
      <c r="W315" s="122"/>
      <c r="X315" s="221"/>
      <c r="Y315" s="221"/>
      <c r="Z315" s="221"/>
      <c r="AA315" s="221"/>
      <c r="AB315" s="247"/>
    </row>
    <row r="316" spans="1:28" ht="17.100000000000001" customHeight="1" thickTop="1">
      <c r="A316" s="226" t="s">
        <v>5789</v>
      </c>
      <c r="B316" s="28">
        <v>44233</v>
      </c>
      <c r="C316" s="29" t="s">
        <v>1317</v>
      </c>
      <c r="D316" s="13" t="s">
        <v>508</v>
      </c>
      <c r="E316" s="228"/>
      <c r="F316" s="156" t="s">
        <v>1318</v>
      </c>
      <c r="G316" s="24" t="s">
        <v>1122</v>
      </c>
      <c r="H316" s="230">
        <v>4.5</v>
      </c>
      <c r="I316" s="220">
        <v>3680000</v>
      </c>
      <c r="J316" s="220">
        <v>368000</v>
      </c>
      <c r="K316" s="220">
        <v>4200</v>
      </c>
      <c r="L316" s="220">
        <v>27360</v>
      </c>
      <c r="M316" s="220">
        <v>13200</v>
      </c>
      <c r="N316" s="220">
        <f>SUM(I316:M316)</f>
        <v>4092760</v>
      </c>
      <c r="O316" s="224">
        <v>3200000</v>
      </c>
      <c r="P316" s="145" t="s">
        <v>1319</v>
      </c>
      <c r="Q316" s="15" t="s">
        <v>19</v>
      </c>
      <c r="R316" s="205"/>
      <c r="S316" s="189" t="s">
        <v>1271</v>
      </c>
      <c r="T316" s="114"/>
      <c r="U316" s="21"/>
      <c r="V316" s="115"/>
      <c r="W316" s="116"/>
      <c r="X316" s="220"/>
      <c r="Y316" s="245">
        <f>X316*0.1</f>
        <v>0</v>
      </c>
      <c r="Z316" s="220"/>
      <c r="AA316" s="220">
        <f>SUM(X316:Z316)</f>
        <v>0</v>
      </c>
      <c r="AB316" s="246"/>
    </row>
    <row r="317" spans="1:28" ht="17.100000000000001" customHeight="1" thickBot="1">
      <c r="A317" s="227"/>
      <c r="B317" s="27" t="s">
        <v>45</v>
      </c>
      <c r="C317" s="27">
        <v>82018</v>
      </c>
      <c r="D317" s="14" t="s">
        <v>219</v>
      </c>
      <c r="E317" s="229"/>
      <c r="F317" s="117" t="s">
        <v>1320</v>
      </c>
      <c r="G317" s="26">
        <v>22528</v>
      </c>
      <c r="H317" s="231"/>
      <c r="I317" s="221"/>
      <c r="J317" s="221"/>
      <c r="K317" s="221"/>
      <c r="L317" s="221"/>
      <c r="M317" s="221"/>
      <c r="N317" s="221"/>
      <c r="O317" s="225"/>
      <c r="P317" s="119" t="s">
        <v>1321</v>
      </c>
      <c r="Q317" s="16" t="s">
        <v>20</v>
      </c>
      <c r="R317" s="17" t="s">
        <v>932</v>
      </c>
      <c r="S317" s="121" t="s">
        <v>1322</v>
      </c>
      <c r="T317" s="157" t="s">
        <v>1316</v>
      </c>
      <c r="U317" s="22" t="s">
        <v>922</v>
      </c>
      <c r="V317" s="123"/>
      <c r="W317" s="122"/>
      <c r="X317" s="221"/>
      <c r="Y317" s="221"/>
      <c r="Z317" s="221"/>
      <c r="AA317" s="221"/>
      <c r="AB317" s="247"/>
    </row>
    <row r="318" spans="1:28" ht="17.100000000000001" customHeight="1" thickTop="1">
      <c r="A318" s="226" t="s">
        <v>5790</v>
      </c>
      <c r="B318" s="28">
        <v>44266</v>
      </c>
      <c r="C318" s="29" t="s">
        <v>1323</v>
      </c>
      <c r="D318" s="13" t="s">
        <v>261</v>
      </c>
      <c r="E318" s="228"/>
      <c r="F318" s="156" t="s">
        <v>1324</v>
      </c>
      <c r="G318" s="24"/>
      <c r="H318" s="230">
        <v>4.5</v>
      </c>
      <c r="I318" s="220">
        <v>1660000</v>
      </c>
      <c r="J318" s="220">
        <v>166000</v>
      </c>
      <c r="K318" s="220">
        <v>0</v>
      </c>
      <c r="L318" s="220">
        <v>18960</v>
      </c>
      <c r="M318" s="220">
        <v>13200</v>
      </c>
      <c r="N318" s="220">
        <f>SUM(I318:M318)</f>
        <v>1858160</v>
      </c>
      <c r="O318" s="224">
        <v>1600000</v>
      </c>
      <c r="P318" s="145" t="s">
        <v>1325</v>
      </c>
      <c r="Q318" s="15" t="s">
        <v>19</v>
      </c>
      <c r="R318" s="205"/>
      <c r="S318" s="189" t="s">
        <v>1113</v>
      </c>
      <c r="T318" s="114"/>
      <c r="U318" s="21"/>
      <c r="V318" s="115"/>
      <c r="W318" s="116"/>
      <c r="X318" s="220"/>
      <c r="Y318" s="245">
        <f>X318*0.1</f>
        <v>0</v>
      </c>
      <c r="Z318" s="220"/>
      <c r="AA318" s="220">
        <f>SUM(X318:Z318)</f>
        <v>0</v>
      </c>
      <c r="AB318" s="246"/>
    </row>
    <row r="319" spans="1:28" ht="17.100000000000001" customHeight="1" thickBot="1">
      <c r="A319" s="227"/>
      <c r="B319" s="27" t="s">
        <v>146</v>
      </c>
      <c r="C319" s="27">
        <v>76135</v>
      </c>
      <c r="D319" s="14" t="s">
        <v>759</v>
      </c>
      <c r="E319" s="229"/>
      <c r="F319" s="117" t="s">
        <v>1326</v>
      </c>
      <c r="G319" s="26">
        <v>45392</v>
      </c>
      <c r="H319" s="231"/>
      <c r="I319" s="221"/>
      <c r="J319" s="221"/>
      <c r="K319" s="221"/>
      <c r="L319" s="221"/>
      <c r="M319" s="221"/>
      <c r="N319" s="221"/>
      <c r="O319" s="225"/>
      <c r="P319" s="119" t="s">
        <v>1327</v>
      </c>
      <c r="Q319" s="16" t="s">
        <v>20</v>
      </c>
      <c r="R319" s="17" t="s">
        <v>1328</v>
      </c>
      <c r="S319" s="121" t="s">
        <v>1329</v>
      </c>
      <c r="T319" s="122"/>
      <c r="U319" s="22"/>
      <c r="V319" s="123"/>
      <c r="W319" s="122"/>
      <c r="X319" s="221"/>
      <c r="Y319" s="221"/>
      <c r="Z319" s="221"/>
      <c r="AA319" s="221"/>
      <c r="AB319" s="247"/>
    </row>
    <row r="320" spans="1:28" ht="17.100000000000001" customHeight="1" thickTop="1">
      <c r="A320" s="226" t="s">
        <v>5791</v>
      </c>
      <c r="B320" s="28">
        <v>44268</v>
      </c>
      <c r="C320" s="29" t="s">
        <v>1330</v>
      </c>
      <c r="D320" s="13" t="s">
        <v>638</v>
      </c>
      <c r="E320" s="228" t="s">
        <v>164</v>
      </c>
      <c r="F320" s="156" t="s">
        <v>1331</v>
      </c>
      <c r="G320" s="24" t="s">
        <v>1332</v>
      </c>
      <c r="H320" s="230">
        <v>4.5</v>
      </c>
      <c r="I320" s="220">
        <v>3585000</v>
      </c>
      <c r="J320" s="220">
        <v>358500</v>
      </c>
      <c r="K320" s="220">
        <v>51000</v>
      </c>
      <c r="L320" s="220">
        <v>26010</v>
      </c>
      <c r="M320" s="220">
        <v>13200</v>
      </c>
      <c r="N320" s="220">
        <f>SUM(I320:M320)</f>
        <v>4033710</v>
      </c>
      <c r="O320" s="224"/>
      <c r="P320" s="145" t="s">
        <v>1333</v>
      </c>
      <c r="Q320" s="15" t="s">
        <v>19</v>
      </c>
      <c r="R320" s="205"/>
      <c r="S320" s="189" t="s">
        <v>1271</v>
      </c>
      <c r="T320" s="114"/>
      <c r="U320" s="21" t="s">
        <v>1334</v>
      </c>
      <c r="V320" s="115"/>
      <c r="W320" s="116"/>
      <c r="X320" s="220"/>
      <c r="Y320" s="245">
        <f>X320*0.1</f>
        <v>0</v>
      </c>
      <c r="Z320" s="220"/>
      <c r="AA320" s="220">
        <f>SUM(X320:Z320)</f>
        <v>0</v>
      </c>
      <c r="AB320" s="246"/>
    </row>
    <row r="321" spans="1:28" ht="17.100000000000001" customHeight="1" thickBot="1">
      <c r="A321" s="227"/>
      <c r="B321" s="27" t="s">
        <v>734</v>
      </c>
      <c r="C321" s="27">
        <v>60019</v>
      </c>
      <c r="D321" s="14" t="s">
        <v>445</v>
      </c>
      <c r="E321" s="229"/>
      <c r="F321" s="117" t="s">
        <v>1335</v>
      </c>
      <c r="G321" s="26">
        <v>46309</v>
      </c>
      <c r="H321" s="231"/>
      <c r="I321" s="221"/>
      <c r="J321" s="221"/>
      <c r="K321" s="221"/>
      <c r="L321" s="221"/>
      <c r="M321" s="221"/>
      <c r="N321" s="221"/>
      <c r="O321" s="225"/>
      <c r="P321" s="119" t="s">
        <v>1336</v>
      </c>
      <c r="Q321" s="16" t="s">
        <v>20</v>
      </c>
      <c r="R321" s="17" t="s">
        <v>1328</v>
      </c>
      <c r="S321" s="121" t="s">
        <v>1337</v>
      </c>
      <c r="T321" s="122"/>
      <c r="U321" s="22"/>
      <c r="V321" s="123"/>
      <c r="W321" s="122"/>
      <c r="X321" s="221"/>
      <c r="Y321" s="221"/>
      <c r="Z321" s="221"/>
      <c r="AA321" s="221"/>
      <c r="AB321" s="247"/>
    </row>
    <row r="322" spans="1:28" ht="17.100000000000001" customHeight="1" thickTop="1">
      <c r="A322" s="226" t="s">
        <v>5792</v>
      </c>
      <c r="B322" s="28">
        <v>44268</v>
      </c>
      <c r="C322" s="29" t="s">
        <v>1330</v>
      </c>
      <c r="D322" s="13" t="s">
        <v>1338</v>
      </c>
      <c r="E322" s="228"/>
      <c r="F322" s="156" t="s">
        <v>1339</v>
      </c>
      <c r="G322" s="24"/>
      <c r="H322" s="230">
        <v>4.5</v>
      </c>
      <c r="I322" s="220">
        <v>1405000</v>
      </c>
      <c r="J322" s="220">
        <v>140500</v>
      </c>
      <c r="K322" s="220">
        <v>0</v>
      </c>
      <c r="L322" s="220">
        <v>18110</v>
      </c>
      <c r="M322" s="220">
        <v>13200</v>
      </c>
      <c r="N322" s="220">
        <f>SUM(I322:M322)</f>
        <v>1576810</v>
      </c>
      <c r="O322" s="224">
        <v>1000000</v>
      </c>
      <c r="P322" s="145" t="s">
        <v>1340</v>
      </c>
      <c r="Q322" s="15" t="s">
        <v>19</v>
      </c>
      <c r="R322" s="205"/>
      <c r="S322" s="189" t="s">
        <v>1341</v>
      </c>
      <c r="T322" s="114"/>
      <c r="U322" s="21"/>
      <c r="V322" s="115"/>
      <c r="W322" s="116"/>
      <c r="X322" s="220"/>
      <c r="Y322" s="245">
        <f>X322*0.1</f>
        <v>0</v>
      </c>
      <c r="Z322" s="220"/>
      <c r="AA322" s="220">
        <f>SUM(X322:Z322)</f>
        <v>0</v>
      </c>
      <c r="AB322" s="246"/>
    </row>
    <row r="323" spans="1:28" ht="17.100000000000001" customHeight="1" thickBot="1">
      <c r="A323" s="227"/>
      <c r="B323" s="27" t="s">
        <v>734</v>
      </c>
      <c r="C323" s="27">
        <v>72019</v>
      </c>
      <c r="D323" s="14" t="s">
        <v>289</v>
      </c>
      <c r="E323" s="229"/>
      <c r="F323" s="117" t="s">
        <v>1342</v>
      </c>
      <c r="G323" s="26">
        <v>47410</v>
      </c>
      <c r="H323" s="231"/>
      <c r="I323" s="221"/>
      <c r="J323" s="221"/>
      <c r="K323" s="221"/>
      <c r="L323" s="221"/>
      <c r="M323" s="221"/>
      <c r="N323" s="221"/>
      <c r="O323" s="225"/>
      <c r="P323" s="119" t="s">
        <v>1343</v>
      </c>
      <c r="Q323" s="16" t="s">
        <v>20</v>
      </c>
      <c r="R323" s="17" t="s">
        <v>1328</v>
      </c>
      <c r="S323" s="121" t="s">
        <v>1329</v>
      </c>
      <c r="T323" s="122"/>
      <c r="U323" s="22"/>
      <c r="V323" s="123"/>
      <c r="W323" s="122"/>
      <c r="X323" s="221"/>
      <c r="Y323" s="221"/>
      <c r="Z323" s="221"/>
      <c r="AA323" s="221"/>
      <c r="AB323" s="247"/>
    </row>
    <row r="324" spans="1:28" ht="17.100000000000001" customHeight="1" thickTop="1">
      <c r="A324" s="226" t="s">
        <v>5793</v>
      </c>
      <c r="B324" s="28">
        <v>44275</v>
      </c>
      <c r="C324" s="29" t="s">
        <v>1344</v>
      </c>
      <c r="D324" s="13" t="s">
        <v>261</v>
      </c>
      <c r="E324" s="228"/>
      <c r="F324" s="156" t="s">
        <v>1345</v>
      </c>
      <c r="G324" s="24"/>
      <c r="H324" s="230">
        <v>4</v>
      </c>
      <c r="I324" s="220">
        <v>1090000</v>
      </c>
      <c r="J324" s="220">
        <v>109000</v>
      </c>
      <c r="K324" s="220">
        <v>0</v>
      </c>
      <c r="L324" s="220">
        <v>17420</v>
      </c>
      <c r="M324" s="220">
        <v>13200</v>
      </c>
      <c r="N324" s="220">
        <f>SUM(I324:M324)</f>
        <v>1229620</v>
      </c>
      <c r="O324" s="224">
        <v>1000000</v>
      </c>
      <c r="P324" s="145" t="s">
        <v>1346</v>
      </c>
      <c r="Q324" s="15" t="s">
        <v>19</v>
      </c>
      <c r="R324" s="205"/>
      <c r="S324" s="189" t="s">
        <v>1113</v>
      </c>
      <c r="T324" s="114"/>
      <c r="U324" s="21"/>
      <c r="V324" s="115"/>
      <c r="W324" s="116"/>
      <c r="X324" s="220"/>
      <c r="Y324" s="245">
        <f>X324*0.1</f>
        <v>0</v>
      </c>
      <c r="Z324" s="220"/>
      <c r="AA324" s="220">
        <f>SUM(X324:Z324)</f>
        <v>0</v>
      </c>
      <c r="AB324" s="246"/>
    </row>
    <row r="325" spans="1:28" ht="17.100000000000001" customHeight="1" thickBot="1">
      <c r="A325" s="227"/>
      <c r="B325" s="27" t="s">
        <v>734</v>
      </c>
      <c r="C325" s="27">
        <v>60109</v>
      </c>
      <c r="D325" s="14" t="s">
        <v>289</v>
      </c>
      <c r="E325" s="229"/>
      <c r="F325" s="117" t="s">
        <v>1347</v>
      </c>
      <c r="G325" s="26">
        <v>33507</v>
      </c>
      <c r="H325" s="231"/>
      <c r="I325" s="221"/>
      <c r="J325" s="221"/>
      <c r="K325" s="221"/>
      <c r="L325" s="221"/>
      <c r="M325" s="221"/>
      <c r="N325" s="221"/>
      <c r="O325" s="225"/>
      <c r="P325" s="119" t="s">
        <v>1348</v>
      </c>
      <c r="Q325" s="16" t="s">
        <v>20</v>
      </c>
      <c r="R325" s="17" t="s">
        <v>1349</v>
      </c>
      <c r="S325" s="121" t="s">
        <v>1350</v>
      </c>
      <c r="T325" s="122"/>
      <c r="U325" s="22"/>
      <c r="V325" s="123"/>
      <c r="W325" s="122"/>
      <c r="X325" s="221"/>
      <c r="Y325" s="221"/>
      <c r="Z325" s="221"/>
      <c r="AA325" s="221"/>
      <c r="AB325" s="247"/>
    </row>
    <row r="326" spans="1:28" ht="17.100000000000001" customHeight="1" thickTop="1">
      <c r="A326" s="226" t="s">
        <v>5794</v>
      </c>
      <c r="B326" s="28">
        <v>44291</v>
      </c>
      <c r="C326" s="29"/>
      <c r="D326" s="13" t="s">
        <v>1351</v>
      </c>
      <c r="E326" s="228"/>
      <c r="F326" s="156" t="s">
        <v>1352</v>
      </c>
      <c r="G326" s="24"/>
      <c r="H326" s="230">
        <v>3.5</v>
      </c>
      <c r="I326" s="220">
        <v>1282000</v>
      </c>
      <c r="J326" s="220">
        <v>128200</v>
      </c>
      <c r="K326" s="220">
        <v>0</v>
      </c>
      <c r="L326" s="220">
        <v>15440</v>
      </c>
      <c r="M326" s="220">
        <v>13200</v>
      </c>
      <c r="N326" s="220">
        <f>SUM(I326:M326)</f>
        <v>1438840</v>
      </c>
      <c r="O326" s="224">
        <v>1000000</v>
      </c>
      <c r="P326" s="145" t="s">
        <v>1353</v>
      </c>
      <c r="Q326" s="15" t="s">
        <v>19</v>
      </c>
      <c r="R326" s="205"/>
      <c r="S326" s="189" t="s">
        <v>758</v>
      </c>
      <c r="T326" s="114"/>
      <c r="U326" s="21"/>
      <c r="V326" s="115"/>
      <c r="W326" s="116"/>
      <c r="X326" s="220"/>
      <c r="Y326" s="245">
        <f>X326*0.1</f>
        <v>0</v>
      </c>
      <c r="Z326" s="220"/>
      <c r="AA326" s="220">
        <f>SUM(X326:Z326)</f>
        <v>0</v>
      </c>
      <c r="AB326" s="246"/>
    </row>
    <row r="327" spans="1:28" ht="17.100000000000001" customHeight="1" thickBot="1">
      <c r="A327" s="227"/>
      <c r="B327" s="27" t="s">
        <v>1354</v>
      </c>
      <c r="C327" s="27">
        <v>70393</v>
      </c>
      <c r="D327" s="14" t="s">
        <v>1222</v>
      </c>
      <c r="E327" s="229"/>
      <c r="F327" s="117" t="s">
        <v>1355</v>
      </c>
      <c r="G327" s="26">
        <v>51387</v>
      </c>
      <c r="H327" s="231"/>
      <c r="I327" s="221"/>
      <c r="J327" s="221"/>
      <c r="K327" s="221"/>
      <c r="L327" s="221"/>
      <c r="M327" s="221"/>
      <c r="N327" s="221"/>
      <c r="O327" s="225"/>
      <c r="P327" s="119" t="s">
        <v>1356</v>
      </c>
      <c r="Q327" s="16" t="s">
        <v>20</v>
      </c>
      <c r="R327" s="17" t="s">
        <v>1357</v>
      </c>
      <c r="S327" s="121" t="s">
        <v>1289</v>
      </c>
      <c r="T327" s="122"/>
      <c r="U327" s="22"/>
      <c r="V327" s="123"/>
      <c r="W327" s="122"/>
      <c r="X327" s="221"/>
      <c r="Y327" s="221"/>
      <c r="Z327" s="221"/>
      <c r="AA327" s="221"/>
      <c r="AB327" s="247"/>
    </row>
    <row r="328" spans="1:28" ht="17.100000000000001" customHeight="1" thickTop="1">
      <c r="A328" s="226" t="s">
        <v>5795</v>
      </c>
      <c r="B328" s="28">
        <v>44294</v>
      </c>
      <c r="C328" s="29" t="s">
        <v>1358</v>
      </c>
      <c r="D328" s="13" t="s">
        <v>1215</v>
      </c>
      <c r="E328" s="228"/>
      <c r="F328" s="156" t="s">
        <v>1359</v>
      </c>
      <c r="G328" s="24" t="s">
        <v>1122</v>
      </c>
      <c r="H328" s="230">
        <v>4.5</v>
      </c>
      <c r="I328" s="220">
        <v>2043000</v>
      </c>
      <c r="J328" s="220">
        <v>204300</v>
      </c>
      <c r="K328" s="220">
        <v>36200</v>
      </c>
      <c r="L328" s="220">
        <v>17700</v>
      </c>
      <c r="M328" s="220">
        <v>19800</v>
      </c>
      <c r="N328" s="220">
        <f>SUM(I328:M328)</f>
        <v>2321000</v>
      </c>
      <c r="O328" s="224">
        <v>1900000</v>
      </c>
      <c r="P328" s="145" t="s">
        <v>1360</v>
      </c>
      <c r="Q328" s="15" t="s">
        <v>19</v>
      </c>
      <c r="R328" s="205"/>
      <c r="S328" s="189" t="s">
        <v>1361</v>
      </c>
      <c r="T328" s="114"/>
      <c r="U328" s="21"/>
      <c r="V328" s="115"/>
      <c r="W328" s="116"/>
      <c r="X328" s="220"/>
      <c r="Y328" s="245">
        <f>X328*0.1</f>
        <v>0</v>
      </c>
      <c r="Z328" s="220"/>
      <c r="AA328" s="220">
        <f>SUM(X328:Z328)</f>
        <v>0</v>
      </c>
      <c r="AB328" s="246"/>
    </row>
    <row r="329" spans="1:28" ht="17.100000000000001" customHeight="1" thickBot="1">
      <c r="A329" s="227"/>
      <c r="B329" s="27" t="s">
        <v>1362</v>
      </c>
      <c r="C329" s="27">
        <v>10205</v>
      </c>
      <c r="D329" s="14" t="s">
        <v>1222</v>
      </c>
      <c r="E329" s="229"/>
      <c r="F329" s="117" t="s">
        <v>1363</v>
      </c>
      <c r="G329" s="26">
        <v>30408</v>
      </c>
      <c r="H329" s="231"/>
      <c r="I329" s="221"/>
      <c r="J329" s="221"/>
      <c r="K329" s="221"/>
      <c r="L329" s="221"/>
      <c r="M329" s="221"/>
      <c r="N329" s="221"/>
      <c r="O329" s="225"/>
      <c r="P329" s="119" t="s">
        <v>1364</v>
      </c>
      <c r="Q329" s="16" t="s">
        <v>20</v>
      </c>
      <c r="R329" s="17" t="s">
        <v>1365</v>
      </c>
      <c r="S329" s="121" t="s">
        <v>183</v>
      </c>
      <c r="T329" s="122"/>
      <c r="U329" s="22"/>
      <c r="V329" s="123"/>
      <c r="W329" s="122"/>
      <c r="X329" s="221"/>
      <c r="Y329" s="221"/>
      <c r="Z329" s="221"/>
      <c r="AA329" s="221"/>
      <c r="AB329" s="247"/>
    </row>
    <row r="330" spans="1:28" ht="17.100000000000001" customHeight="1" thickTop="1">
      <c r="A330" s="226" t="s">
        <v>5796</v>
      </c>
      <c r="B330" s="28">
        <v>44299</v>
      </c>
      <c r="C330" s="29" t="s">
        <v>1366</v>
      </c>
      <c r="D330" s="13" t="s">
        <v>208</v>
      </c>
      <c r="E330" s="228"/>
      <c r="F330" s="156" t="s">
        <v>1367</v>
      </c>
      <c r="G330" s="24"/>
      <c r="H330" s="230">
        <v>3</v>
      </c>
      <c r="I330" s="220">
        <v>930000</v>
      </c>
      <c r="J330" s="220">
        <v>93000</v>
      </c>
      <c r="K330" s="220">
        <v>0</v>
      </c>
      <c r="L330" s="220">
        <v>15590</v>
      </c>
      <c r="M330" s="220">
        <v>13200</v>
      </c>
      <c r="N330" s="220">
        <f>SUM(I330:M330)</f>
        <v>1051790</v>
      </c>
      <c r="O330" s="224">
        <v>700000</v>
      </c>
      <c r="P330" s="145" t="s">
        <v>1368</v>
      </c>
      <c r="Q330" s="15" t="s">
        <v>19</v>
      </c>
      <c r="R330" s="205"/>
      <c r="S330" s="189"/>
      <c r="T330" s="114"/>
      <c r="U330" s="21"/>
      <c r="V330" s="115"/>
      <c r="W330" s="116"/>
      <c r="X330" s="220"/>
      <c r="Y330" s="245">
        <f>X330*0.1</f>
        <v>0</v>
      </c>
      <c r="Z330" s="220"/>
      <c r="AA330" s="220">
        <f>SUM(X330:Z330)</f>
        <v>0</v>
      </c>
      <c r="AB330" s="246"/>
    </row>
    <row r="331" spans="1:28" ht="17.100000000000001" customHeight="1" thickBot="1">
      <c r="A331" s="227"/>
      <c r="B331" s="27" t="s">
        <v>130</v>
      </c>
      <c r="C331" s="27">
        <v>84155</v>
      </c>
      <c r="D331" s="14" t="s">
        <v>90</v>
      </c>
      <c r="E331" s="229"/>
      <c r="F331" s="117" t="s">
        <v>1369</v>
      </c>
      <c r="G331" s="26">
        <v>59138</v>
      </c>
      <c r="H331" s="231"/>
      <c r="I331" s="221"/>
      <c r="J331" s="221"/>
      <c r="K331" s="221"/>
      <c r="L331" s="221"/>
      <c r="M331" s="221"/>
      <c r="N331" s="221"/>
      <c r="O331" s="225"/>
      <c r="P331" s="119" t="s">
        <v>1370</v>
      </c>
      <c r="Q331" s="16" t="s">
        <v>20</v>
      </c>
      <c r="R331" s="17" t="s">
        <v>1371</v>
      </c>
      <c r="S331" s="121" t="s">
        <v>1372</v>
      </c>
      <c r="T331" s="122"/>
      <c r="U331" s="22"/>
      <c r="V331" s="123"/>
      <c r="W331" s="122"/>
      <c r="X331" s="221"/>
      <c r="Y331" s="221"/>
      <c r="Z331" s="221"/>
      <c r="AA331" s="221"/>
      <c r="AB331" s="247"/>
    </row>
    <row r="332" spans="1:28" ht="17.100000000000001" customHeight="1" thickTop="1">
      <c r="A332" s="226" t="s">
        <v>5797</v>
      </c>
      <c r="B332" s="28">
        <v>44303</v>
      </c>
      <c r="C332" s="29" t="s">
        <v>1373</v>
      </c>
      <c r="D332" s="13" t="s">
        <v>1374</v>
      </c>
      <c r="E332" s="228"/>
      <c r="F332" s="156" t="s">
        <v>1375</v>
      </c>
      <c r="G332" s="24"/>
      <c r="H332" s="230">
        <v>3.5</v>
      </c>
      <c r="I332" s="220">
        <v>500000</v>
      </c>
      <c r="J332" s="220">
        <v>50000</v>
      </c>
      <c r="K332" s="220">
        <v>0</v>
      </c>
      <c r="L332" s="220">
        <v>10010</v>
      </c>
      <c r="M332" s="220">
        <v>9900</v>
      </c>
      <c r="N332" s="220">
        <f>SUM(I332:M332)</f>
        <v>569910</v>
      </c>
      <c r="O332" s="224">
        <v>300000</v>
      </c>
      <c r="P332" s="145" t="s">
        <v>1376</v>
      </c>
      <c r="Q332" s="15" t="s">
        <v>19</v>
      </c>
      <c r="R332" s="205"/>
      <c r="S332" s="189"/>
      <c r="T332" s="114"/>
      <c r="U332" s="21"/>
      <c r="V332" s="115"/>
      <c r="W332" s="116"/>
      <c r="X332" s="220"/>
      <c r="Y332" s="245">
        <f>X332*0.1</f>
        <v>0</v>
      </c>
      <c r="Z332" s="220"/>
      <c r="AA332" s="220">
        <f>SUM(X332:Z332)</f>
        <v>0</v>
      </c>
      <c r="AB332" s="246"/>
    </row>
    <row r="333" spans="1:28" ht="17.100000000000001" customHeight="1" thickBot="1">
      <c r="A333" s="227"/>
      <c r="B333" s="27" t="s">
        <v>45</v>
      </c>
      <c r="C333" s="27">
        <v>33185</v>
      </c>
      <c r="D333" s="14" t="s">
        <v>65</v>
      </c>
      <c r="E333" s="229"/>
      <c r="F333" s="117" t="s">
        <v>1377</v>
      </c>
      <c r="G333" s="26">
        <v>37727</v>
      </c>
      <c r="H333" s="231"/>
      <c r="I333" s="221"/>
      <c r="J333" s="221"/>
      <c r="K333" s="221"/>
      <c r="L333" s="221"/>
      <c r="M333" s="221"/>
      <c r="N333" s="221"/>
      <c r="O333" s="225"/>
      <c r="P333" s="119" t="s">
        <v>1378</v>
      </c>
      <c r="Q333" s="16" t="s">
        <v>20</v>
      </c>
      <c r="R333" s="17" t="s">
        <v>1379</v>
      </c>
      <c r="S333" s="121"/>
      <c r="T333" s="122"/>
      <c r="U333" s="22"/>
      <c r="V333" s="123"/>
      <c r="W333" s="122"/>
      <c r="X333" s="221"/>
      <c r="Y333" s="221"/>
      <c r="Z333" s="221"/>
      <c r="AA333" s="221"/>
      <c r="AB333" s="247"/>
    </row>
    <row r="334" spans="1:28" ht="17.100000000000001" customHeight="1" thickTop="1">
      <c r="A334" s="226" t="s">
        <v>5798</v>
      </c>
      <c r="B334" s="28">
        <v>44330</v>
      </c>
      <c r="C334" s="29" t="s">
        <v>1380</v>
      </c>
      <c r="D334" s="13" t="s">
        <v>1068</v>
      </c>
      <c r="E334" s="228"/>
      <c r="F334" s="156" t="s">
        <v>1381</v>
      </c>
      <c r="G334" s="24"/>
      <c r="H334" s="230">
        <v>4</v>
      </c>
      <c r="I334" s="220">
        <v>2065000</v>
      </c>
      <c r="J334" s="220">
        <v>206500</v>
      </c>
      <c r="K334" s="220">
        <v>0</v>
      </c>
      <c r="L334" s="220">
        <v>18300</v>
      </c>
      <c r="M334" s="220">
        <v>13200</v>
      </c>
      <c r="N334" s="220">
        <f>SUM(I334:M334)</f>
        <v>2303000</v>
      </c>
      <c r="O334" s="224">
        <v>2000000</v>
      </c>
      <c r="P334" s="145" t="s">
        <v>1382</v>
      </c>
      <c r="Q334" s="15" t="s">
        <v>19</v>
      </c>
      <c r="R334" s="205"/>
      <c r="S334" s="189" t="s">
        <v>1276</v>
      </c>
      <c r="T334" s="114"/>
      <c r="U334" s="21"/>
      <c r="V334" s="115"/>
      <c r="W334" s="116"/>
      <c r="X334" s="220"/>
      <c r="Y334" s="245">
        <f>X334*0.1</f>
        <v>0</v>
      </c>
      <c r="Z334" s="220"/>
      <c r="AA334" s="220">
        <f>SUM(X334:Z334)</f>
        <v>0</v>
      </c>
      <c r="AB334" s="246"/>
    </row>
    <row r="335" spans="1:28" ht="17.100000000000001" customHeight="1" thickBot="1">
      <c r="A335" s="227"/>
      <c r="B335" s="27" t="s">
        <v>203</v>
      </c>
      <c r="C335" s="27">
        <v>58741</v>
      </c>
      <c r="D335" s="14" t="s">
        <v>759</v>
      </c>
      <c r="E335" s="229"/>
      <c r="F335" s="117" t="s">
        <v>1383</v>
      </c>
      <c r="G335" s="26">
        <v>47295</v>
      </c>
      <c r="H335" s="231"/>
      <c r="I335" s="221"/>
      <c r="J335" s="221"/>
      <c r="K335" s="221"/>
      <c r="L335" s="221"/>
      <c r="M335" s="221"/>
      <c r="N335" s="221"/>
      <c r="O335" s="225"/>
      <c r="P335" s="119" t="s">
        <v>1384</v>
      </c>
      <c r="Q335" s="16" t="s">
        <v>20</v>
      </c>
      <c r="R335" s="17" t="s">
        <v>1385</v>
      </c>
      <c r="S335" s="121" t="s">
        <v>1386</v>
      </c>
      <c r="T335" s="122"/>
      <c r="U335" s="22"/>
      <c r="V335" s="123"/>
      <c r="W335" s="122"/>
      <c r="X335" s="221"/>
      <c r="Y335" s="221"/>
      <c r="Z335" s="221"/>
      <c r="AA335" s="221"/>
      <c r="AB335" s="247"/>
    </row>
    <row r="336" spans="1:28" ht="17.100000000000001" customHeight="1" thickTop="1">
      <c r="A336" s="226" t="s">
        <v>5799</v>
      </c>
      <c r="B336" s="28">
        <v>44342</v>
      </c>
      <c r="C336" s="29" t="s">
        <v>1387</v>
      </c>
      <c r="D336" s="13" t="s">
        <v>357</v>
      </c>
      <c r="E336" s="228"/>
      <c r="F336" s="156" t="s">
        <v>1388</v>
      </c>
      <c r="G336" s="24"/>
      <c r="H336" s="230">
        <v>4.5</v>
      </c>
      <c r="I336" s="220">
        <v>1700000</v>
      </c>
      <c r="J336" s="220">
        <v>170000</v>
      </c>
      <c r="K336" s="220">
        <v>0</v>
      </c>
      <c r="L336" s="220">
        <v>21650</v>
      </c>
      <c r="M336" s="220">
        <v>15950</v>
      </c>
      <c r="N336" s="220">
        <f>SUM(I336:M336)</f>
        <v>1907600</v>
      </c>
      <c r="O336" s="224">
        <v>1600000</v>
      </c>
      <c r="P336" s="145" t="s">
        <v>1389</v>
      </c>
      <c r="Q336" s="15" t="s">
        <v>19</v>
      </c>
      <c r="R336" s="205"/>
      <c r="S336" s="189"/>
      <c r="T336" s="114"/>
      <c r="U336" s="21"/>
      <c r="V336" s="115"/>
      <c r="W336" s="116"/>
      <c r="X336" s="220"/>
      <c r="Y336" s="245">
        <f>X336*0.1</f>
        <v>0</v>
      </c>
      <c r="Z336" s="220"/>
      <c r="AA336" s="220">
        <f>SUM(X336:Z336)</f>
        <v>0</v>
      </c>
      <c r="AB336" s="246"/>
    </row>
    <row r="337" spans="1:28" ht="17.100000000000001" customHeight="1" thickBot="1">
      <c r="A337" s="227"/>
      <c r="B337" s="27" t="s">
        <v>643</v>
      </c>
      <c r="C337" s="27">
        <v>36118</v>
      </c>
      <c r="D337" s="14" t="s">
        <v>759</v>
      </c>
      <c r="E337" s="229"/>
      <c r="F337" s="117" t="s">
        <v>1390</v>
      </c>
      <c r="G337" s="26">
        <v>28571</v>
      </c>
      <c r="H337" s="231"/>
      <c r="I337" s="221"/>
      <c r="J337" s="221"/>
      <c r="K337" s="221"/>
      <c r="L337" s="221"/>
      <c r="M337" s="221"/>
      <c r="N337" s="221"/>
      <c r="O337" s="225"/>
      <c r="P337" s="119" t="s">
        <v>1391</v>
      </c>
      <c r="Q337" s="16" t="s">
        <v>20</v>
      </c>
      <c r="R337" s="17" t="s">
        <v>770</v>
      </c>
      <c r="S337" s="121" t="s">
        <v>1392</v>
      </c>
      <c r="T337" s="122"/>
      <c r="U337" s="22"/>
      <c r="V337" s="123"/>
      <c r="W337" s="122"/>
      <c r="X337" s="221"/>
      <c r="Y337" s="221"/>
      <c r="Z337" s="221"/>
      <c r="AA337" s="221"/>
      <c r="AB337" s="247"/>
    </row>
    <row r="338" spans="1:28" ht="17.100000000000001" customHeight="1" thickTop="1">
      <c r="A338" s="226" t="s">
        <v>5800</v>
      </c>
      <c r="B338" s="28">
        <v>44345</v>
      </c>
      <c r="C338" s="29" t="s">
        <v>1393</v>
      </c>
      <c r="D338" s="13" t="s">
        <v>1394</v>
      </c>
      <c r="E338" s="228"/>
      <c r="F338" s="156" t="s">
        <v>1395</v>
      </c>
      <c r="G338" s="24" t="s">
        <v>1396</v>
      </c>
      <c r="H338" s="230">
        <v>4.5</v>
      </c>
      <c r="I338" s="220">
        <v>1310000</v>
      </c>
      <c r="J338" s="220">
        <v>131000</v>
      </c>
      <c r="K338" s="220">
        <v>42500</v>
      </c>
      <c r="L338" s="220">
        <v>19670</v>
      </c>
      <c r="M338" s="220">
        <v>13200</v>
      </c>
      <c r="N338" s="220">
        <f>SUM(I338:M338)</f>
        <v>1516370</v>
      </c>
      <c r="O338" s="224">
        <v>1100000</v>
      </c>
      <c r="P338" s="145" t="s">
        <v>1397</v>
      </c>
      <c r="Q338" s="15" t="s">
        <v>19</v>
      </c>
      <c r="R338" s="205"/>
      <c r="S338" s="189" t="s">
        <v>1398</v>
      </c>
      <c r="T338" s="114"/>
      <c r="U338" s="21" t="s">
        <v>1399</v>
      </c>
      <c r="V338" s="115"/>
      <c r="W338" s="116"/>
      <c r="X338" s="220"/>
      <c r="Y338" s="245">
        <f>X338*0.1</f>
        <v>0</v>
      </c>
      <c r="Z338" s="220"/>
      <c r="AA338" s="220">
        <f>SUM(X338:Z338)</f>
        <v>0</v>
      </c>
      <c r="AB338" s="246"/>
    </row>
    <row r="339" spans="1:28" ht="17.100000000000001" customHeight="1" thickBot="1">
      <c r="A339" s="227"/>
      <c r="B339" s="27" t="s">
        <v>734</v>
      </c>
      <c r="C339" s="27">
        <v>83007</v>
      </c>
      <c r="D339" s="14" t="s">
        <v>633</v>
      </c>
      <c r="E339" s="229"/>
      <c r="F339" s="117" t="s">
        <v>1400</v>
      </c>
      <c r="G339" s="26">
        <v>28244</v>
      </c>
      <c r="H339" s="231"/>
      <c r="I339" s="221"/>
      <c r="J339" s="221"/>
      <c r="K339" s="221"/>
      <c r="L339" s="221"/>
      <c r="M339" s="221"/>
      <c r="N339" s="221"/>
      <c r="O339" s="225"/>
      <c r="P339" s="119" t="s">
        <v>1401</v>
      </c>
      <c r="Q339" s="16" t="s">
        <v>20</v>
      </c>
      <c r="R339" s="17" t="s">
        <v>597</v>
      </c>
      <c r="S339" s="121" t="s">
        <v>1402</v>
      </c>
      <c r="T339" s="122"/>
      <c r="U339" s="22" t="s">
        <v>1290</v>
      </c>
      <c r="V339" s="123"/>
      <c r="W339" s="122"/>
      <c r="X339" s="221"/>
      <c r="Y339" s="221"/>
      <c r="Z339" s="221"/>
      <c r="AA339" s="221"/>
      <c r="AB339" s="247"/>
    </row>
    <row r="340" spans="1:28" ht="17.100000000000001" customHeight="1" thickTop="1">
      <c r="A340" s="226" t="s">
        <v>5801</v>
      </c>
      <c r="B340" s="28">
        <v>44350</v>
      </c>
      <c r="C340" s="29" t="s">
        <v>1403</v>
      </c>
      <c r="D340" s="13" t="s">
        <v>178</v>
      </c>
      <c r="E340" s="228"/>
      <c r="F340" s="156" t="s">
        <v>1404</v>
      </c>
      <c r="G340" s="24"/>
      <c r="H340" s="230">
        <v>3.5</v>
      </c>
      <c r="I340" s="220">
        <v>2175000</v>
      </c>
      <c r="J340" s="220">
        <v>217500</v>
      </c>
      <c r="K340" s="220">
        <v>0</v>
      </c>
      <c r="L340" s="220">
        <v>19180</v>
      </c>
      <c r="M340" s="220">
        <v>13200</v>
      </c>
      <c r="N340" s="220">
        <f>SUM(I340:M340)</f>
        <v>2424880</v>
      </c>
      <c r="O340" s="224">
        <v>2000000</v>
      </c>
      <c r="P340" s="145" t="s">
        <v>1405</v>
      </c>
      <c r="Q340" s="15" t="s">
        <v>19</v>
      </c>
      <c r="R340" s="205"/>
      <c r="S340" s="189" t="s">
        <v>1406</v>
      </c>
      <c r="T340" s="114"/>
      <c r="U340" s="21"/>
      <c r="V340" s="115"/>
      <c r="W340" s="116"/>
      <c r="X340" s="220"/>
      <c r="Y340" s="245">
        <f>X340*0.1</f>
        <v>0</v>
      </c>
      <c r="Z340" s="220"/>
      <c r="AA340" s="220">
        <f>SUM(X340:Z340)</f>
        <v>0</v>
      </c>
      <c r="AB340" s="246"/>
    </row>
    <row r="341" spans="1:28" ht="17.100000000000001" customHeight="1" thickBot="1">
      <c r="A341" s="227"/>
      <c r="B341" s="27" t="s">
        <v>64</v>
      </c>
      <c r="C341" s="27">
        <v>148</v>
      </c>
      <c r="D341" s="14" t="s">
        <v>65</v>
      </c>
      <c r="E341" s="229"/>
      <c r="F341" s="117" t="s">
        <v>1407</v>
      </c>
      <c r="G341" s="26">
        <v>68042</v>
      </c>
      <c r="H341" s="231"/>
      <c r="I341" s="221"/>
      <c r="J341" s="221"/>
      <c r="K341" s="221"/>
      <c r="L341" s="221"/>
      <c r="M341" s="221"/>
      <c r="N341" s="221"/>
      <c r="O341" s="225"/>
      <c r="P341" s="119" t="s">
        <v>1408</v>
      </c>
      <c r="Q341" s="16" t="s">
        <v>20</v>
      </c>
      <c r="R341" s="17" t="s">
        <v>783</v>
      </c>
      <c r="S341" s="121" t="s">
        <v>776</v>
      </c>
      <c r="T341" s="122"/>
      <c r="U341" s="22"/>
      <c r="V341" s="123"/>
      <c r="W341" s="122"/>
      <c r="X341" s="221"/>
      <c r="Y341" s="221"/>
      <c r="Z341" s="221"/>
      <c r="AA341" s="221"/>
      <c r="AB341" s="247"/>
    </row>
    <row r="342" spans="1:28" ht="17.100000000000001" customHeight="1" thickTop="1">
      <c r="A342" s="226" t="s">
        <v>5802</v>
      </c>
      <c r="B342" s="28">
        <v>44357</v>
      </c>
      <c r="C342" s="29" t="s">
        <v>1409</v>
      </c>
      <c r="D342" s="13" t="s">
        <v>971</v>
      </c>
      <c r="E342" s="228"/>
      <c r="F342" s="156" t="s">
        <v>1410</v>
      </c>
      <c r="G342" s="24" t="s">
        <v>580</v>
      </c>
      <c r="H342" s="230">
        <v>4.5</v>
      </c>
      <c r="I342" s="220">
        <v>2970000</v>
      </c>
      <c r="J342" s="220">
        <v>297000</v>
      </c>
      <c r="K342" s="220">
        <v>66000</v>
      </c>
      <c r="L342" s="220">
        <v>19620</v>
      </c>
      <c r="M342" s="220">
        <v>13200</v>
      </c>
      <c r="N342" s="220">
        <f>SUM(I342:M342)</f>
        <v>3365820</v>
      </c>
      <c r="O342" s="224">
        <v>3000000</v>
      </c>
      <c r="P342" s="145" t="s">
        <v>1411</v>
      </c>
      <c r="Q342" s="15" t="s">
        <v>19</v>
      </c>
      <c r="R342" s="205"/>
      <c r="S342" s="189"/>
      <c r="T342" s="114"/>
      <c r="U342" s="21" t="s">
        <v>1412</v>
      </c>
      <c r="V342" s="115"/>
      <c r="W342" s="116"/>
      <c r="X342" s="220"/>
      <c r="Y342" s="245">
        <f>X342*0.1</f>
        <v>0</v>
      </c>
      <c r="Z342" s="220"/>
      <c r="AA342" s="220">
        <f>SUM(X342:Z342)</f>
        <v>0</v>
      </c>
      <c r="AB342" s="246"/>
    </row>
    <row r="343" spans="1:28" ht="17.100000000000001" customHeight="1" thickBot="1">
      <c r="A343" s="227"/>
      <c r="B343" s="27" t="s">
        <v>146</v>
      </c>
      <c r="C343" s="27">
        <v>75271</v>
      </c>
      <c r="D343" s="14" t="s">
        <v>537</v>
      </c>
      <c r="E343" s="229"/>
      <c r="F343" s="117" t="s">
        <v>1413</v>
      </c>
      <c r="G343" s="26">
        <v>49543</v>
      </c>
      <c r="H343" s="231"/>
      <c r="I343" s="221"/>
      <c r="J343" s="221"/>
      <c r="K343" s="221"/>
      <c r="L343" s="221"/>
      <c r="M343" s="221"/>
      <c r="N343" s="221"/>
      <c r="O343" s="225"/>
      <c r="P343" s="119" t="s">
        <v>1327</v>
      </c>
      <c r="Q343" s="16" t="s">
        <v>20</v>
      </c>
      <c r="R343" s="17" t="s">
        <v>799</v>
      </c>
      <c r="S343" s="121" t="s">
        <v>1322</v>
      </c>
      <c r="T343" s="122"/>
      <c r="U343" s="22" t="s">
        <v>1050</v>
      </c>
      <c r="V343" s="123"/>
      <c r="W343" s="122"/>
      <c r="X343" s="221"/>
      <c r="Y343" s="221"/>
      <c r="Z343" s="221"/>
      <c r="AA343" s="221"/>
      <c r="AB343" s="247"/>
    </row>
    <row r="344" spans="1:28" ht="17.100000000000001" customHeight="1" thickTop="1">
      <c r="A344" s="226" t="s">
        <v>5803</v>
      </c>
      <c r="B344" s="28">
        <v>44358</v>
      </c>
      <c r="C344" s="29" t="s">
        <v>1414</v>
      </c>
      <c r="D344" s="13" t="s">
        <v>293</v>
      </c>
      <c r="E344" s="228"/>
      <c r="F344" s="156" t="s">
        <v>1415</v>
      </c>
      <c r="G344" s="24"/>
      <c r="H344" s="230">
        <v>4.5</v>
      </c>
      <c r="I344" s="220">
        <v>3400000</v>
      </c>
      <c r="J344" s="220">
        <v>340000</v>
      </c>
      <c r="K344" s="220">
        <v>0</v>
      </c>
      <c r="L344" s="220">
        <v>19470</v>
      </c>
      <c r="M344" s="220">
        <v>13200</v>
      </c>
      <c r="N344" s="220">
        <f>SUM(I344:M344)</f>
        <v>3772670</v>
      </c>
      <c r="O344" s="224">
        <v>3300000</v>
      </c>
      <c r="P344" s="145" t="s">
        <v>1416</v>
      </c>
      <c r="Q344" s="15" t="s">
        <v>19</v>
      </c>
      <c r="R344" s="205"/>
      <c r="S344" s="189" t="s">
        <v>1341</v>
      </c>
      <c r="T344" s="114"/>
      <c r="U344" s="21"/>
      <c r="V344" s="115"/>
      <c r="W344" s="116"/>
      <c r="X344" s="220"/>
      <c r="Y344" s="245">
        <f>X344*0.1</f>
        <v>0</v>
      </c>
      <c r="Z344" s="220"/>
      <c r="AA344" s="220">
        <f>SUM(X344:Z344)</f>
        <v>0</v>
      </c>
      <c r="AB344" s="246"/>
    </row>
    <row r="345" spans="1:28" ht="17.100000000000001" customHeight="1" thickBot="1">
      <c r="A345" s="227"/>
      <c r="B345" s="27" t="s">
        <v>203</v>
      </c>
      <c r="C345" s="27">
        <v>58530</v>
      </c>
      <c r="D345" s="14" t="s">
        <v>263</v>
      </c>
      <c r="E345" s="229"/>
      <c r="F345" s="117" t="s">
        <v>1417</v>
      </c>
      <c r="G345" s="26">
        <v>55552</v>
      </c>
      <c r="H345" s="231"/>
      <c r="I345" s="221"/>
      <c r="J345" s="221"/>
      <c r="K345" s="221"/>
      <c r="L345" s="221"/>
      <c r="M345" s="221"/>
      <c r="N345" s="221"/>
      <c r="O345" s="225"/>
      <c r="P345" s="119" t="s">
        <v>1418</v>
      </c>
      <c r="Q345" s="16" t="s">
        <v>20</v>
      </c>
      <c r="R345" s="17" t="s">
        <v>799</v>
      </c>
      <c r="S345" s="121" t="s">
        <v>1341</v>
      </c>
      <c r="T345" s="122"/>
      <c r="U345" s="22"/>
      <c r="V345" s="123"/>
      <c r="W345" s="122"/>
      <c r="X345" s="221"/>
      <c r="Y345" s="221"/>
      <c r="Z345" s="221"/>
      <c r="AA345" s="221"/>
      <c r="AB345" s="247"/>
    </row>
    <row r="346" spans="1:28" ht="17.100000000000001" customHeight="1" thickTop="1">
      <c r="A346" s="226" t="s">
        <v>5804</v>
      </c>
      <c r="B346" s="28">
        <v>44364</v>
      </c>
      <c r="C346" s="25">
        <v>1326</v>
      </c>
      <c r="D346" s="13" t="s">
        <v>1419</v>
      </c>
      <c r="E346" s="228"/>
      <c r="F346" s="156" t="s">
        <v>1420</v>
      </c>
      <c r="G346" s="24"/>
      <c r="H346" s="230">
        <v>4.5</v>
      </c>
      <c r="I346" s="220">
        <v>3555000</v>
      </c>
      <c r="J346" s="220">
        <v>355500</v>
      </c>
      <c r="K346" s="220">
        <v>0</v>
      </c>
      <c r="L346" s="220">
        <v>16930</v>
      </c>
      <c r="M346" s="220">
        <v>13200</v>
      </c>
      <c r="N346" s="220">
        <f>SUM(I346:M346)</f>
        <v>3940630</v>
      </c>
      <c r="O346" s="224">
        <v>3600000</v>
      </c>
      <c r="P346" s="145" t="s">
        <v>1421</v>
      </c>
      <c r="Q346" s="15" t="s">
        <v>19</v>
      </c>
      <c r="R346" s="205"/>
      <c r="S346" s="189" t="s">
        <v>1422</v>
      </c>
      <c r="T346" s="114"/>
      <c r="U346" s="21"/>
      <c r="V346" s="115"/>
      <c r="W346" s="116"/>
      <c r="X346" s="220"/>
      <c r="Y346" s="245">
        <f>X346*0.1</f>
        <v>0</v>
      </c>
      <c r="Z346" s="220"/>
      <c r="AA346" s="220">
        <f>SUM(X346:Z346)</f>
        <v>0</v>
      </c>
      <c r="AB346" s="246"/>
    </row>
    <row r="347" spans="1:28" ht="17.100000000000001" customHeight="1" thickBot="1">
      <c r="A347" s="227"/>
      <c r="B347" s="27" t="s">
        <v>146</v>
      </c>
      <c r="C347" s="27">
        <v>75828</v>
      </c>
      <c r="D347" s="14" t="s">
        <v>219</v>
      </c>
      <c r="E347" s="229"/>
      <c r="F347" s="117" t="s">
        <v>1423</v>
      </c>
      <c r="G347" s="26">
        <v>48701</v>
      </c>
      <c r="H347" s="231"/>
      <c r="I347" s="221"/>
      <c r="J347" s="221"/>
      <c r="K347" s="221"/>
      <c r="L347" s="221"/>
      <c r="M347" s="221"/>
      <c r="N347" s="221"/>
      <c r="O347" s="225"/>
      <c r="P347" s="119" t="s">
        <v>1424</v>
      </c>
      <c r="Q347" s="16" t="s">
        <v>20</v>
      </c>
      <c r="R347" s="17" t="s">
        <v>816</v>
      </c>
      <c r="S347" s="121" t="s">
        <v>1280</v>
      </c>
      <c r="T347" s="122"/>
      <c r="U347" s="22"/>
      <c r="V347" s="123"/>
      <c r="W347" s="122"/>
      <c r="X347" s="221"/>
      <c r="Y347" s="221"/>
      <c r="Z347" s="221"/>
      <c r="AA347" s="221"/>
      <c r="AB347" s="247"/>
    </row>
    <row r="348" spans="1:28" ht="17.100000000000001" customHeight="1" thickTop="1">
      <c r="A348" s="226" t="s">
        <v>5805</v>
      </c>
      <c r="B348" s="28">
        <v>44371</v>
      </c>
      <c r="C348" s="25">
        <v>1327</v>
      </c>
      <c r="D348" s="13" t="s">
        <v>851</v>
      </c>
      <c r="E348" s="228"/>
      <c r="F348" s="156" t="s">
        <v>1425</v>
      </c>
      <c r="G348" s="24" t="s">
        <v>1426</v>
      </c>
      <c r="H348" s="230">
        <v>4.5</v>
      </c>
      <c r="I348" s="220">
        <v>2960000</v>
      </c>
      <c r="J348" s="220">
        <v>296000</v>
      </c>
      <c r="K348" s="220">
        <v>49800</v>
      </c>
      <c r="L348" s="220">
        <v>19270</v>
      </c>
      <c r="M348" s="220">
        <v>13200</v>
      </c>
      <c r="N348" s="220">
        <f>SUM(I348:M348)</f>
        <v>3338270</v>
      </c>
      <c r="O348" s="224">
        <v>3000000</v>
      </c>
      <c r="P348" s="145" t="s">
        <v>1427</v>
      </c>
      <c r="Q348" s="15" t="s">
        <v>19</v>
      </c>
      <c r="R348" s="205"/>
      <c r="S348" s="189" t="s">
        <v>1271</v>
      </c>
      <c r="T348" s="114"/>
      <c r="U348" s="21" t="s">
        <v>1428</v>
      </c>
      <c r="V348" s="115"/>
      <c r="W348" s="116"/>
      <c r="X348" s="220"/>
      <c r="Y348" s="245">
        <f>X348*0.1</f>
        <v>0</v>
      </c>
      <c r="Z348" s="220"/>
      <c r="AA348" s="220">
        <f>SUM(X348:Z348)</f>
        <v>0</v>
      </c>
      <c r="AB348" s="246"/>
    </row>
    <row r="349" spans="1:28" ht="17.100000000000001" customHeight="1" thickBot="1">
      <c r="A349" s="227"/>
      <c r="B349" s="27" t="s">
        <v>146</v>
      </c>
      <c r="C349" s="27">
        <v>75829</v>
      </c>
      <c r="D349" s="14" t="s">
        <v>219</v>
      </c>
      <c r="E349" s="229"/>
      <c r="F349" s="117" t="s">
        <v>1429</v>
      </c>
      <c r="G349" s="26">
        <v>49885</v>
      </c>
      <c r="H349" s="231"/>
      <c r="I349" s="221"/>
      <c r="J349" s="221"/>
      <c r="K349" s="221"/>
      <c r="L349" s="221"/>
      <c r="M349" s="221"/>
      <c r="N349" s="221"/>
      <c r="O349" s="225"/>
      <c r="P349" s="119" t="s">
        <v>1430</v>
      </c>
      <c r="Q349" s="16" t="s">
        <v>20</v>
      </c>
      <c r="R349" s="17" t="s">
        <v>824</v>
      </c>
      <c r="S349" s="121" t="s">
        <v>1431</v>
      </c>
      <c r="T349" s="122"/>
      <c r="U349" s="22" t="s">
        <v>922</v>
      </c>
      <c r="V349" s="123"/>
      <c r="W349" s="122"/>
      <c r="X349" s="221"/>
      <c r="Y349" s="221"/>
      <c r="Z349" s="221"/>
      <c r="AA349" s="221"/>
      <c r="AB349" s="247"/>
    </row>
    <row r="350" spans="1:28" ht="17.100000000000001" customHeight="1" thickTop="1">
      <c r="A350" s="226" t="s">
        <v>5806</v>
      </c>
      <c r="B350" s="28">
        <v>44373</v>
      </c>
      <c r="C350" s="25">
        <v>1061</v>
      </c>
      <c r="D350" s="13" t="s">
        <v>1225</v>
      </c>
      <c r="E350" s="228"/>
      <c r="F350" s="156" t="s">
        <v>1432</v>
      </c>
      <c r="G350" s="24" t="s">
        <v>1433</v>
      </c>
      <c r="H350" s="230">
        <v>4.5</v>
      </c>
      <c r="I350" s="220">
        <v>2330000</v>
      </c>
      <c r="J350" s="220">
        <v>233000</v>
      </c>
      <c r="K350" s="220">
        <v>29600</v>
      </c>
      <c r="L350" s="220">
        <v>16930</v>
      </c>
      <c r="M350" s="220">
        <v>13200</v>
      </c>
      <c r="N350" s="220">
        <f>SUM(I350:M350)</f>
        <v>2622730</v>
      </c>
      <c r="O350" s="224">
        <v>2000000</v>
      </c>
      <c r="P350" s="145" t="s">
        <v>1434</v>
      </c>
      <c r="Q350" s="15" t="s">
        <v>19</v>
      </c>
      <c r="R350" s="205"/>
      <c r="S350" s="189" t="s">
        <v>1312</v>
      </c>
      <c r="T350" s="114"/>
      <c r="U350" s="21" t="s">
        <v>1435</v>
      </c>
      <c r="V350" s="115"/>
      <c r="W350" s="116"/>
      <c r="X350" s="220"/>
      <c r="Y350" s="245">
        <f>X350*0.1</f>
        <v>0</v>
      </c>
      <c r="Z350" s="220"/>
      <c r="AA350" s="220">
        <f>SUM(X350:Z350)</f>
        <v>0</v>
      </c>
      <c r="AB350" s="246"/>
    </row>
    <row r="351" spans="1:28" ht="17.100000000000001" customHeight="1" thickBot="1">
      <c r="A351" s="227"/>
      <c r="B351" s="27" t="s">
        <v>45</v>
      </c>
      <c r="C351" s="27">
        <v>82178</v>
      </c>
      <c r="D351" s="14" t="s">
        <v>1256</v>
      </c>
      <c r="E351" s="229"/>
      <c r="F351" s="117" t="s">
        <v>1436</v>
      </c>
      <c r="G351" s="26">
        <v>27469</v>
      </c>
      <c r="H351" s="231"/>
      <c r="I351" s="221"/>
      <c r="J351" s="221"/>
      <c r="K351" s="221"/>
      <c r="L351" s="221"/>
      <c r="M351" s="221"/>
      <c r="N351" s="221"/>
      <c r="O351" s="225"/>
      <c r="P351" s="119" t="s">
        <v>1437</v>
      </c>
      <c r="Q351" s="16" t="s">
        <v>20</v>
      </c>
      <c r="R351" s="17" t="s">
        <v>1438</v>
      </c>
      <c r="S351" s="121" t="s">
        <v>1280</v>
      </c>
      <c r="T351" s="122"/>
      <c r="U351" s="22" t="s">
        <v>1290</v>
      </c>
      <c r="V351" s="123"/>
      <c r="W351" s="122"/>
      <c r="X351" s="221"/>
      <c r="Y351" s="221"/>
      <c r="Z351" s="221"/>
      <c r="AA351" s="221"/>
      <c r="AB351" s="247"/>
    </row>
    <row r="352" spans="1:28" ht="17.100000000000001" customHeight="1" thickTop="1">
      <c r="A352" s="226" t="s">
        <v>5807</v>
      </c>
      <c r="B352" s="28">
        <v>44378</v>
      </c>
      <c r="C352" s="25">
        <v>1094</v>
      </c>
      <c r="D352" s="13" t="s">
        <v>1439</v>
      </c>
      <c r="E352" s="228"/>
      <c r="F352" s="156" t="s">
        <v>1440</v>
      </c>
      <c r="G352" s="24" t="s">
        <v>1103</v>
      </c>
      <c r="H352" s="230">
        <v>4.5</v>
      </c>
      <c r="I352" s="220">
        <v>1445000</v>
      </c>
      <c r="J352" s="220">
        <v>144500</v>
      </c>
      <c r="K352" s="220">
        <v>26300</v>
      </c>
      <c r="L352" s="220">
        <v>19750</v>
      </c>
      <c r="M352" s="220">
        <v>13200</v>
      </c>
      <c r="N352" s="220">
        <f>SUM(I352:M352)</f>
        <v>1648750</v>
      </c>
      <c r="O352" s="224">
        <v>1250000</v>
      </c>
      <c r="P352" s="145" t="s">
        <v>1441</v>
      </c>
      <c r="Q352" s="15" t="s">
        <v>19</v>
      </c>
      <c r="R352" s="205"/>
      <c r="S352" s="189" t="s">
        <v>1271</v>
      </c>
      <c r="T352" s="114"/>
      <c r="U352" s="21" t="s">
        <v>1442</v>
      </c>
      <c r="V352" s="115"/>
      <c r="W352" s="116"/>
      <c r="X352" s="220"/>
      <c r="Y352" s="245">
        <f>X352*0.1</f>
        <v>0</v>
      </c>
      <c r="Z352" s="220"/>
      <c r="AA352" s="220">
        <f>SUM(X352:Z352)</f>
        <v>0</v>
      </c>
      <c r="AB352" s="246"/>
    </row>
    <row r="353" spans="1:28" ht="17.100000000000001" customHeight="1" thickBot="1">
      <c r="A353" s="227"/>
      <c r="B353" s="27" t="s">
        <v>64</v>
      </c>
      <c r="C353" s="27">
        <v>102</v>
      </c>
      <c r="D353" s="14" t="s">
        <v>263</v>
      </c>
      <c r="E353" s="229"/>
      <c r="F353" s="117" t="s">
        <v>1443</v>
      </c>
      <c r="G353" s="26">
        <v>50677</v>
      </c>
      <c r="H353" s="231"/>
      <c r="I353" s="221"/>
      <c r="J353" s="221"/>
      <c r="K353" s="221"/>
      <c r="L353" s="221"/>
      <c r="M353" s="221"/>
      <c r="N353" s="221"/>
      <c r="O353" s="225"/>
      <c r="P353" s="119" t="s">
        <v>724</v>
      </c>
      <c r="Q353" s="16" t="s">
        <v>20</v>
      </c>
      <c r="R353" s="17" t="s">
        <v>1444</v>
      </c>
      <c r="S353" s="121" t="s">
        <v>1329</v>
      </c>
      <c r="T353" s="122"/>
      <c r="U353" s="22" t="s">
        <v>1050</v>
      </c>
      <c r="V353" s="123"/>
      <c r="W353" s="122"/>
      <c r="X353" s="221"/>
      <c r="Y353" s="221"/>
      <c r="Z353" s="221"/>
      <c r="AA353" s="221"/>
      <c r="AB353" s="247"/>
    </row>
    <row r="354" spans="1:28" ht="17.100000000000001" customHeight="1" thickTop="1">
      <c r="A354" s="226" t="s">
        <v>5808</v>
      </c>
      <c r="B354" s="28">
        <v>44385</v>
      </c>
      <c r="C354" s="25">
        <v>1329</v>
      </c>
      <c r="D354" s="13" t="s">
        <v>1028</v>
      </c>
      <c r="E354" s="228"/>
      <c r="F354" s="156" t="s">
        <v>1445</v>
      </c>
      <c r="G354" s="24" t="s">
        <v>580</v>
      </c>
      <c r="H354" s="230">
        <v>4</v>
      </c>
      <c r="I354" s="220">
        <v>1765000</v>
      </c>
      <c r="J354" s="220">
        <v>176500</v>
      </c>
      <c r="K354" s="220">
        <v>26300</v>
      </c>
      <c r="L354" s="220">
        <v>22240</v>
      </c>
      <c r="M354" s="220">
        <v>13200</v>
      </c>
      <c r="N354" s="220">
        <f>SUM(I354:M354)</f>
        <v>2003240</v>
      </c>
      <c r="O354" s="224">
        <v>1700000</v>
      </c>
      <c r="P354" s="145" t="s">
        <v>1446</v>
      </c>
      <c r="Q354" s="15" t="s">
        <v>19</v>
      </c>
      <c r="R354" s="205"/>
      <c r="S354" s="189" t="s">
        <v>1072</v>
      </c>
      <c r="T354" s="114"/>
      <c r="U354" s="21" t="s">
        <v>1447</v>
      </c>
      <c r="V354" s="115"/>
      <c r="W354" s="116"/>
      <c r="X354" s="220"/>
      <c r="Y354" s="245">
        <f>X354*0.1</f>
        <v>0</v>
      </c>
      <c r="Z354" s="220"/>
      <c r="AA354" s="220">
        <f>SUM(X354:Z354)</f>
        <v>0</v>
      </c>
      <c r="AB354" s="246"/>
    </row>
    <row r="355" spans="1:28" ht="17.100000000000001" customHeight="1" thickBot="1">
      <c r="A355" s="227"/>
      <c r="B355" s="27" t="s">
        <v>146</v>
      </c>
      <c r="C355" s="27">
        <v>70291</v>
      </c>
      <c r="D355" s="14" t="s">
        <v>445</v>
      </c>
      <c r="E355" s="229"/>
      <c r="F355" s="117" t="s">
        <v>1448</v>
      </c>
      <c r="G355" s="26">
        <v>46346</v>
      </c>
      <c r="H355" s="231"/>
      <c r="I355" s="221"/>
      <c r="J355" s="221"/>
      <c r="K355" s="221"/>
      <c r="L355" s="221"/>
      <c r="M355" s="221"/>
      <c r="N355" s="221"/>
      <c r="O355" s="225"/>
      <c r="P355" s="119" t="s">
        <v>1449</v>
      </c>
      <c r="Q355" s="16" t="s">
        <v>20</v>
      </c>
      <c r="R355" s="17" t="s">
        <v>1450</v>
      </c>
      <c r="S355" s="121" t="s">
        <v>1451</v>
      </c>
      <c r="T355" s="122"/>
      <c r="U355" s="22" t="s">
        <v>1050</v>
      </c>
      <c r="V355" s="123"/>
      <c r="W355" s="122"/>
      <c r="X355" s="221"/>
      <c r="Y355" s="221"/>
      <c r="Z355" s="221"/>
      <c r="AA355" s="221"/>
      <c r="AB355" s="247"/>
    </row>
    <row r="356" spans="1:28" ht="17.100000000000001" customHeight="1" thickTop="1">
      <c r="A356" s="226" t="s">
        <v>5809</v>
      </c>
      <c r="B356" s="28">
        <v>44386</v>
      </c>
      <c r="C356" s="25">
        <v>1898</v>
      </c>
      <c r="D356" s="13" t="s">
        <v>543</v>
      </c>
      <c r="E356" s="228"/>
      <c r="F356" s="156" t="s">
        <v>627</v>
      </c>
      <c r="G356" s="24" t="s">
        <v>1452</v>
      </c>
      <c r="H356" s="230">
        <v>4.5</v>
      </c>
      <c r="I356" s="220">
        <v>3020000</v>
      </c>
      <c r="J356" s="220">
        <v>302000</v>
      </c>
      <c r="K356" s="220">
        <v>44300</v>
      </c>
      <c r="L356" s="220">
        <v>19270</v>
      </c>
      <c r="M356" s="220">
        <v>13200</v>
      </c>
      <c r="N356" s="220">
        <f>SUM(I356:M356)</f>
        <v>3398770</v>
      </c>
      <c r="O356" s="224">
        <v>3000000</v>
      </c>
      <c r="P356" s="145" t="s">
        <v>1453</v>
      </c>
      <c r="Q356" s="15" t="s">
        <v>19</v>
      </c>
      <c r="R356" s="205"/>
      <c r="S356" s="189" t="s">
        <v>1454</v>
      </c>
      <c r="T356" s="114"/>
      <c r="U356" s="21"/>
      <c r="V356" s="115"/>
      <c r="W356" s="116"/>
      <c r="X356" s="220"/>
      <c r="Y356" s="245">
        <f>X356*0.1</f>
        <v>0</v>
      </c>
      <c r="Z356" s="220"/>
      <c r="AA356" s="220">
        <f>SUM(X356:Z356)</f>
        <v>0</v>
      </c>
      <c r="AB356" s="246"/>
    </row>
    <row r="357" spans="1:28" ht="17.100000000000001" customHeight="1" thickBot="1">
      <c r="A357" s="227"/>
      <c r="B357" s="27" t="s">
        <v>203</v>
      </c>
      <c r="C357" s="27">
        <v>58095</v>
      </c>
      <c r="D357" s="14" t="s">
        <v>65</v>
      </c>
      <c r="E357" s="229"/>
      <c r="F357" s="117" t="s">
        <v>1455</v>
      </c>
      <c r="G357" s="26">
        <v>60528</v>
      </c>
      <c r="H357" s="231"/>
      <c r="I357" s="221"/>
      <c r="J357" s="221"/>
      <c r="K357" s="221"/>
      <c r="L357" s="221"/>
      <c r="M357" s="221"/>
      <c r="N357" s="221"/>
      <c r="O357" s="225"/>
      <c r="P357" s="119" t="s">
        <v>1456</v>
      </c>
      <c r="Q357" s="16" t="s">
        <v>20</v>
      </c>
      <c r="R357" s="17" t="s">
        <v>1457</v>
      </c>
      <c r="S357" s="121" t="s">
        <v>1458</v>
      </c>
      <c r="T357" s="122"/>
      <c r="U357" s="22" t="s">
        <v>901</v>
      </c>
      <c r="V357" s="123"/>
      <c r="W357" s="122"/>
      <c r="X357" s="221"/>
      <c r="Y357" s="221"/>
      <c r="Z357" s="221"/>
      <c r="AA357" s="221"/>
      <c r="AB357" s="247"/>
    </row>
    <row r="358" spans="1:28" ht="17.100000000000001" customHeight="1" thickTop="1">
      <c r="A358" s="226" t="s">
        <v>5810</v>
      </c>
      <c r="B358" s="28">
        <v>44392</v>
      </c>
      <c r="C358" s="25">
        <v>1330</v>
      </c>
      <c r="D358" s="13" t="s">
        <v>369</v>
      </c>
      <c r="E358" s="228"/>
      <c r="F358" s="156" t="s">
        <v>1459</v>
      </c>
      <c r="G358" s="24"/>
      <c r="H358" s="230">
        <v>4</v>
      </c>
      <c r="I358" s="220">
        <v>3580000</v>
      </c>
      <c r="J358" s="220">
        <v>358000</v>
      </c>
      <c r="K358" s="220">
        <v>0</v>
      </c>
      <c r="L358" s="220">
        <v>18510</v>
      </c>
      <c r="M358" s="220">
        <v>13200</v>
      </c>
      <c r="N358" s="220">
        <f>SUM(I358:M358)</f>
        <v>3969710</v>
      </c>
      <c r="O358" s="224">
        <v>3600000</v>
      </c>
      <c r="P358" s="145" t="s">
        <v>1460</v>
      </c>
      <c r="Q358" s="15" t="s">
        <v>19</v>
      </c>
      <c r="R358" s="205"/>
      <c r="S358" s="189" t="s">
        <v>1361</v>
      </c>
      <c r="T358" s="114"/>
      <c r="U358" s="21"/>
      <c r="V358" s="115"/>
      <c r="W358" s="116"/>
      <c r="X358" s="220"/>
      <c r="Y358" s="245">
        <f>X358*0.1</f>
        <v>0</v>
      </c>
      <c r="Z358" s="220"/>
      <c r="AA358" s="220">
        <f>SUM(X358:Z358)</f>
        <v>0</v>
      </c>
      <c r="AB358" s="246"/>
    </row>
    <row r="359" spans="1:28" ht="17.100000000000001" customHeight="1" thickBot="1">
      <c r="A359" s="227"/>
      <c r="B359" s="27" t="s">
        <v>146</v>
      </c>
      <c r="C359" s="27">
        <v>75413</v>
      </c>
      <c r="D359" s="14" t="s">
        <v>219</v>
      </c>
      <c r="E359" s="229"/>
      <c r="F359" s="117" t="s">
        <v>1461</v>
      </c>
      <c r="G359" s="26">
        <v>48057</v>
      </c>
      <c r="H359" s="231"/>
      <c r="I359" s="221"/>
      <c r="J359" s="221"/>
      <c r="K359" s="221"/>
      <c r="L359" s="221"/>
      <c r="M359" s="221"/>
      <c r="N359" s="221"/>
      <c r="O359" s="225"/>
      <c r="P359" s="119" t="s">
        <v>1462</v>
      </c>
      <c r="Q359" s="16" t="s">
        <v>20</v>
      </c>
      <c r="R359" s="17" t="s">
        <v>1463</v>
      </c>
      <c r="S359" s="121" t="s">
        <v>1361</v>
      </c>
      <c r="T359" s="122"/>
      <c r="U359" s="22"/>
      <c r="V359" s="123"/>
      <c r="W359" s="122"/>
      <c r="X359" s="221"/>
      <c r="Y359" s="221"/>
      <c r="Z359" s="221"/>
      <c r="AA359" s="221"/>
      <c r="AB359" s="247"/>
    </row>
    <row r="360" spans="1:28" ht="17.100000000000001" customHeight="1" thickTop="1">
      <c r="A360" s="226" t="s">
        <v>5811</v>
      </c>
      <c r="B360" s="28">
        <v>44392</v>
      </c>
      <c r="C360" s="25">
        <v>1096</v>
      </c>
      <c r="D360" s="13" t="s">
        <v>1464</v>
      </c>
      <c r="E360" s="228"/>
      <c r="F360" s="156" t="s">
        <v>1465</v>
      </c>
      <c r="G360" s="24"/>
      <c r="H360" s="230">
        <v>4</v>
      </c>
      <c r="I360" s="220">
        <v>1430000</v>
      </c>
      <c r="J360" s="220">
        <v>143000</v>
      </c>
      <c r="K360" s="220">
        <v>0</v>
      </c>
      <c r="L360" s="220">
        <v>20310</v>
      </c>
      <c r="M360" s="220">
        <v>13200</v>
      </c>
      <c r="N360" s="220">
        <f>SUM(I360:M360)</f>
        <v>1606510</v>
      </c>
      <c r="O360" s="224">
        <v>1300000</v>
      </c>
      <c r="P360" s="145" t="s">
        <v>1466</v>
      </c>
      <c r="Q360" s="15" t="s">
        <v>19</v>
      </c>
      <c r="R360" s="205"/>
      <c r="S360" s="189" t="s">
        <v>1312</v>
      </c>
      <c r="T360" s="114"/>
      <c r="U360" s="21"/>
      <c r="V360" s="115"/>
      <c r="W360" s="116"/>
      <c r="X360" s="220"/>
      <c r="Y360" s="245">
        <f>X360*0.1</f>
        <v>0</v>
      </c>
      <c r="Z360" s="220"/>
      <c r="AA360" s="220">
        <f>SUM(X360:Z360)</f>
        <v>0</v>
      </c>
      <c r="AB360" s="246"/>
    </row>
    <row r="361" spans="1:28" ht="17.100000000000001" customHeight="1" thickBot="1">
      <c r="A361" s="227"/>
      <c r="B361" s="27" t="s">
        <v>64</v>
      </c>
      <c r="C361" s="27">
        <v>382</v>
      </c>
      <c r="D361" s="14" t="s">
        <v>110</v>
      </c>
      <c r="E361" s="229"/>
      <c r="F361" s="117" t="s">
        <v>1467</v>
      </c>
      <c r="G361" s="26">
        <v>27375</v>
      </c>
      <c r="H361" s="231"/>
      <c r="I361" s="221"/>
      <c r="J361" s="221"/>
      <c r="K361" s="221"/>
      <c r="L361" s="221"/>
      <c r="M361" s="221"/>
      <c r="N361" s="221"/>
      <c r="O361" s="225"/>
      <c r="P361" s="119" t="s">
        <v>1468</v>
      </c>
      <c r="Q361" s="16" t="s">
        <v>20</v>
      </c>
      <c r="R361" s="17" t="s">
        <v>1469</v>
      </c>
      <c r="S361" s="121" t="s">
        <v>1280</v>
      </c>
      <c r="T361" s="122"/>
      <c r="U361" s="22"/>
      <c r="V361" s="123"/>
      <c r="W361" s="122"/>
      <c r="X361" s="221"/>
      <c r="Y361" s="221"/>
      <c r="Z361" s="221"/>
      <c r="AA361" s="221"/>
      <c r="AB361" s="247"/>
    </row>
    <row r="362" spans="1:28" ht="17.100000000000001" customHeight="1" thickTop="1">
      <c r="A362" s="226" t="s">
        <v>5812</v>
      </c>
      <c r="B362" s="28">
        <v>44392</v>
      </c>
      <c r="C362" s="25">
        <v>1096</v>
      </c>
      <c r="D362" s="13" t="s">
        <v>1439</v>
      </c>
      <c r="E362" s="228"/>
      <c r="F362" s="156" t="s">
        <v>1470</v>
      </c>
      <c r="G362" s="24" t="s">
        <v>580</v>
      </c>
      <c r="H362" s="230">
        <v>4.5</v>
      </c>
      <c r="I362" s="220">
        <v>1940000</v>
      </c>
      <c r="J362" s="220">
        <v>194000</v>
      </c>
      <c r="K362" s="220">
        <v>26300</v>
      </c>
      <c r="L362" s="220">
        <v>19100</v>
      </c>
      <c r="M362" s="220">
        <v>13200</v>
      </c>
      <c r="N362" s="220">
        <f>SUM(I362:M362)</f>
        <v>2192600</v>
      </c>
      <c r="O362" s="224">
        <v>1600000</v>
      </c>
      <c r="P362" s="145" t="s">
        <v>1471</v>
      </c>
      <c r="Q362" s="15" t="s">
        <v>19</v>
      </c>
      <c r="R362" s="205"/>
      <c r="S362" s="189" t="s">
        <v>1472</v>
      </c>
      <c r="T362" s="114"/>
      <c r="U362" s="21" t="s">
        <v>1473</v>
      </c>
      <c r="V362" s="115"/>
      <c r="W362" s="116"/>
      <c r="X362" s="220"/>
      <c r="Y362" s="245">
        <f>X362*0.1</f>
        <v>0</v>
      </c>
      <c r="Z362" s="220"/>
      <c r="AA362" s="220">
        <f>SUM(X362:Z362)</f>
        <v>0</v>
      </c>
      <c r="AB362" s="246"/>
    </row>
    <row r="363" spans="1:28" ht="17.100000000000001" customHeight="1" thickBot="1">
      <c r="A363" s="227"/>
      <c r="B363" s="27" t="s">
        <v>64</v>
      </c>
      <c r="C363" s="27">
        <v>505</v>
      </c>
      <c r="D363" s="14" t="s">
        <v>219</v>
      </c>
      <c r="E363" s="229"/>
      <c r="F363" s="117" t="s">
        <v>1474</v>
      </c>
      <c r="G363" s="26">
        <v>51128</v>
      </c>
      <c r="H363" s="231"/>
      <c r="I363" s="221"/>
      <c r="J363" s="221"/>
      <c r="K363" s="221"/>
      <c r="L363" s="221"/>
      <c r="M363" s="221"/>
      <c r="N363" s="221"/>
      <c r="O363" s="225"/>
      <c r="P363" s="119" t="s">
        <v>1475</v>
      </c>
      <c r="Q363" s="16" t="s">
        <v>20</v>
      </c>
      <c r="R363" s="17" t="s">
        <v>1476</v>
      </c>
      <c r="S363" s="121" t="s">
        <v>1477</v>
      </c>
      <c r="T363" s="122" t="s">
        <v>1478</v>
      </c>
      <c r="U363" s="22" t="s">
        <v>1050</v>
      </c>
      <c r="V363" s="123"/>
      <c r="W363" s="122"/>
      <c r="X363" s="221"/>
      <c r="Y363" s="221"/>
      <c r="Z363" s="221"/>
      <c r="AA363" s="221"/>
      <c r="AB363" s="247"/>
    </row>
    <row r="364" spans="1:28" ht="17.100000000000001" customHeight="1" thickTop="1">
      <c r="A364" s="226" t="s">
        <v>5813</v>
      </c>
      <c r="B364" s="28">
        <v>44399</v>
      </c>
      <c r="C364" s="25">
        <v>1331</v>
      </c>
      <c r="D364" s="13" t="s">
        <v>1479</v>
      </c>
      <c r="E364" s="228"/>
      <c r="F364" s="156" t="s">
        <v>179</v>
      </c>
      <c r="G364" s="24" t="s">
        <v>1480</v>
      </c>
      <c r="H364" s="230">
        <v>4.5</v>
      </c>
      <c r="I364" s="220">
        <v>1115000</v>
      </c>
      <c r="J364" s="220">
        <v>111500</v>
      </c>
      <c r="K364" s="220">
        <v>26300</v>
      </c>
      <c r="L364" s="220">
        <v>16190</v>
      </c>
      <c r="M364" s="220">
        <v>13200</v>
      </c>
      <c r="N364" s="220">
        <f>SUM(I364:M364)</f>
        <v>1282190</v>
      </c>
      <c r="O364" s="224">
        <v>700000</v>
      </c>
      <c r="P364" s="145" t="s">
        <v>1481</v>
      </c>
      <c r="Q364" s="15" t="s">
        <v>19</v>
      </c>
      <c r="R364" s="205"/>
      <c r="S364" s="189" t="s">
        <v>758</v>
      </c>
      <c r="T364" s="114"/>
      <c r="U364" s="21" t="s">
        <v>1482</v>
      </c>
      <c r="V364" s="115"/>
      <c r="W364" s="116"/>
      <c r="X364" s="220"/>
      <c r="Y364" s="245">
        <f>X364*0.1</f>
        <v>0</v>
      </c>
      <c r="Z364" s="220"/>
      <c r="AA364" s="220">
        <f>SUM(X364:Z364)</f>
        <v>0</v>
      </c>
      <c r="AB364" s="246"/>
    </row>
    <row r="365" spans="1:28" ht="17.100000000000001" customHeight="1" thickBot="1">
      <c r="A365" s="227"/>
      <c r="B365" s="27" t="s">
        <v>146</v>
      </c>
      <c r="C365" s="27">
        <v>75908</v>
      </c>
      <c r="D365" s="14" t="s">
        <v>445</v>
      </c>
      <c r="E365" s="229"/>
      <c r="F365" s="117" t="s">
        <v>1483</v>
      </c>
      <c r="G365" s="26">
        <v>48553</v>
      </c>
      <c r="H365" s="231"/>
      <c r="I365" s="221"/>
      <c r="J365" s="221"/>
      <c r="K365" s="221"/>
      <c r="L365" s="221"/>
      <c r="M365" s="221"/>
      <c r="N365" s="221"/>
      <c r="O365" s="225"/>
      <c r="P365" s="119" t="s">
        <v>1484</v>
      </c>
      <c r="Q365" s="16" t="s">
        <v>20</v>
      </c>
      <c r="R365" s="17" t="s">
        <v>979</v>
      </c>
      <c r="S365" s="121" t="s">
        <v>1485</v>
      </c>
      <c r="T365" s="122"/>
      <c r="U365" s="22" t="s">
        <v>1290</v>
      </c>
      <c r="V365" s="123"/>
      <c r="W365" s="122"/>
      <c r="X365" s="221"/>
      <c r="Y365" s="221"/>
      <c r="Z365" s="221"/>
      <c r="AA365" s="221"/>
      <c r="AB365" s="247"/>
    </row>
    <row r="366" spans="1:28" ht="17.100000000000001" customHeight="1" thickTop="1">
      <c r="A366" s="226" t="s">
        <v>5814</v>
      </c>
      <c r="B366" s="28">
        <v>44399</v>
      </c>
      <c r="C366" s="25">
        <v>1097</v>
      </c>
      <c r="D366" s="13" t="s">
        <v>1479</v>
      </c>
      <c r="E366" s="228"/>
      <c r="F366" s="156" t="s">
        <v>179</v>
      </c>
      <c r="G366" s="24"/>
      <c r="H366" s="230">
        <v>4.5</v>
      </c>
      <c r="I366" s="220">
        <v>1090000</v>
      </c>
      <c r="J366" s="220">
        <v>109000</v>
      </c>
      <c r="K366" s="220">
        <v>0</v>
      </c>
      <c r="L366" s="220">
        <v>15540</v>
      </c>
      <c r="M366" s="220">
        <v>13200</v>
      </c>
      <c r="N366" s="220">
        <f>SUM(I366:M366)</f>
        <v>1227740</v>
      </c>
      <c r="O366" s="224">
        <v>800000</v>
      </c>
      <c r="P366" s="145" t="s">
        <v>1486</v>
      </c>
      <c r="Q366" s="15" t="s">
        <v>19</v>
      </c>
      <c r="R366" s="205"/>
      <c r="S366" s="189" t="s">
        <v>1487</v>
      </c>
      <c r="T366" s="114"/>
      <c r="U366" s="21"/>
      <c r="V366" s="115"/>
      <c r="W366" s="116"/>
      <c r="X366" s="220"/>
      <c r="Y366" s="245">
        <f>X366*0.1</f>
        <v>0</v>
      </c>
      <c r="Z366" s="220"/>
      <c r="AA366" s="220">
        <f>SUM(X366:Z366)</f>
        <v>0</v>
      </c>
      <c r="AB366" s="246"/>
    </row>
    <row r="367" spans="1:28" ht="17.100000000000001" customHeight="1" thickBot="1">
      <c r="A367" s="227"/>
      <c r="B367" s="27" t="s">
        <v>64</v>
      </c>
      <c r="C367" s="27">
        <v>95</v>
      </c>
      <c r="D367" s="14" t="s">
        <v>1488</v>
      </c>
      <c r="E367" s="229"/>
      <c r="F367" s="117" t="s">
        <v>1489</v>
      </c>
      <c r="G367" s="26">
        <v>41363</v>
      </c>
      <c r="H367" s="231"/>
      <c r="I367" s="221"/>
      <c r="J367" s="221"/>
      <c r="K367" s="221"/>
      <c r="L367" s="221"/>
      <c r="M367" s="221"/>
      <c r="N367" s="221"/>
      <c r="O367" s="225"/>
      <c r="P367" s="119" t="s">
        <v>1490</v>
      </c>
      <c r="Q367" s="16" t="s">
        <v>20</v>
      </c>
      <c r="R367" s="17" t="s">
        <v>1491</v>
      </c>
      <c r="S367" s="121" t="s">
        <v>1492</v>
      </c>
      <c r="T367" s="122"/>
      <c r="U367" s="22"/>
      <c r="V367" s="123"/>
      <c r="W367" s="122"/>
      <c r="X367" s="221"/>
      <c r="Y367" s="221"/>
      <c r="Z367" s="221"/>
      <c r="AA367" s="221"/>
      <c r="AB367" s="247"/>
    </row>
    <row r="368" spans="1:28" ht="17.100000000000001" customHeight="1" thickTop="1">
      <c r="A368" s="226" t="s">
        <v>5815</v>
      </c>
      <c r="B368" s="28">
        <v>44404</v>
      </c>
      <c r="C368" s="25">
        <v>858</v>
      </c>
      <c r="D368" s="13" t="s">
        <v>1167</v>
      </c>
      <c r="E368" s="228"/>
      <c r="F368" s="156" t="s">
        <v>1493</v>
      </c>
      <c r="G368" s="24" t="s">
        <v>1494</v>
      </c>
      <c r="H368" s="230">
        <v>4.5</v>
      </c>
      <c r="I368" s="220">
        <v>2305000</v>
      </c>
      <c r="J368" s="220">
        <v>230500</v>
      </c>
      <c r="K368" s="220">
        <v>26300</v>
      </c>
      <c r="L368" s="220">
        <v>20440</v>
      </c>
      <c r="M368" s="220">
        <v>13200</v>
      </c>
      <c r="N368" s="220">
        <f>SUM(I368:M368)</f>
        <v>2595440</v>
      </c>
      <c r="O368" s="224">
        <v>2100000</v>
      </c>
      <c r="P368" s="145" t="s">
        <v>1495</v>
      </c>
      <c r="Q368" s="15" t="s">
        <v>19</v>
      </c>
      <c r="R368" s="205"/>
      <c r="S368" s="189" t="s">
        <v>1496</v>
      </c>
      <c r="T368" s="114"/>
      <c r="U368" s="21" t="s">
        <v>1497</v>
      </c>
      <c r="V368" s="115"/>
      <c r="W368" s="116"/>
      <c r="X368" s="220"/>
      <c r="Y368" s="245">
        <f>X368*0.1</f>
        <v>0</v>
      </c>
      <c r="Z368" s="220"/>
      <c r="AA368" s="220">
        <f>SUM(X368:Z368)</f>
        <v>0</v>
      </c>
      <c r="AB368" s="246"/>
    </row>
    <row r="369" spans="1:28" ht="17.100000000000001" customHeight="1" thickBot="1">
      <c r="A369" s="227"/>
      <c r="B369" s="27" t="s">
        <v>130</v>
      </c>
      <c r="C369" s="27">
        <v>84016</v>
      </c>
      <c r="D369" s="14" t="s">
        <v>110</v>
      </c>
      <c r="E369" s="229"/>
      <c r="F369" s="117" t="s">
        <v>1498</v>
      </c>
      <c r="G369" s="26">
        <v>34812</v>
      </c>
      <c r="H369" s="231"/>
      <c r="I369" s="221"/>
      <c r="J369" s="221"/>
      <c r="K369" s="221"/>
      <c r="L369" s="221"/>
      <c r="M369" s="221"/>
      <c r="N369" s="221"/>
      <c r="O369" s="225"/>
      <c r="P369" s="119" t="s">
        <v>1499</v>
      </c>
      <c r="Q369" s="16" t="s">
        <v>20</v>
      </c>
      <c r="R369" s="17" t="s">
        <v>1500</v>
      </c>
      <c r="S369" s="121" t="s">
        <v>1501</v>
      </c>
      <c r="T369" s="122"/>
      <c r="U369" s="22" t="s">
        <v>901</v>
      </c>
      <c r="V369" s="123"/>
      <c r="W369" s="122"/>
      <c r="X369" s="221"/>
      <c r="Y369" s="221"/>
      <c r="Z369" s="221"/>
      <c r="AA369" s="221"/>
      <c r="AB369" s="247"/>
    </row>
    <row r="370" spans="1:28" ht="17.100000000000001" customHeight="1" thickTop="1">
      <c r="A370" s="226" t="s">
        <v>5816</v>
      </c>
      <c r="B370" s="28">
        <v>44408</v>
      </c>
      <c r="C370" s="25">
        <v>1066</v>
      </c>
      <c r="D370" s="13" t="s">
        <v>878</v>
      </c>
      <c r="E370" s="228"/>
      <c r="F370" s="156" t="s">
        <v>1502</v>
      </c>
      <c r="G370" s="24" t="s">
        <v>1503</v>
      </c>
      <c r="H370" s="230">
        <v>4</v>
      </c>
      <c r="I370" s="220">
        <v>1320000</v>
      </c>
      <c r="J370" s="220">
        <v>132000</v>
      </c>
      <c r="K370" s="220">
        <v>23000</v>
      </c>
      <c r="L370" s="220">
        <v>16260</v>
      </c>
      <c r="M370" s="220">
        <v>13200</v>
      </c>
      <c r="N370" s="220">
        <f>SUM(I370:M370)</f>
        <v>1504460</v>
      </c>
      <c r="O370" s="224">
        <v>1150000</v>
      </c>
      <c r="P370" s="145" t="s">
        <v>1504</v>
      </c>
      <c r="Q370" s="15" t="s">
        <v>19</v>
      </c>
      <c r="R370" s="205"/>
      <c r="S370" s="189" t="s">
        <v>758</v>
      </c>
      <c r="T370" s="114"/>
      <c r="U370" s="21" t="s">
        <v>1505</v>
      </c>
      <c r="V370" s="115"/>
      <c r="W370" s="116"/>
      <c r="X370" s="220"/>
      <c r="Y370" s="245">
        <f>X370*0.1</f>
        <v>0</v>
      </c>
      <c r="Z370" s="220"/>
      <c r="AA370" s="220">
        <f>SUM(X370:Z370)</f>
        <v>0</v>
      </c>
      <c r="AB370" s="246"/>
    </row>
    <row r="371" spans="1:28" ht="17.100000000000001" customHeight="1" thickBot="1">
      <c r="A371" s="227"/>
      <c r="B371" s="27" t="s">
        <v>45</v>
      </c>
      <c r="C371" s="27">
        <v>72001</v>
      </c>
      <c r="D371" s="14" t="s">
        <v>1506</v>
      </c>
      <c r="E371" s="229"/>
      <c r="F371" s="117" t="s">
        <v>1507</v>
      </c>
      <c r="G371" s="26">
        <v>46578</v>
      </c>
      <c r="H371" s="231"/>
      <c r="I371" s="221"/>
      <c r="J371" s="221"/>
      <c r="K371" s="221"/>
      <c r="L371" s="221"/>
      <c r="M371" s="221"/>
      <c r="N371" s="221"/>
      <c r="O371" s="225"/>
      <c r="P371" s="119" t="s">
        <v>1508</v>
      </c>
      <c r="Q371" s="16" t="s">
        <v>20</v>
      </c>
      <c r="R371" s="17" t="s">
        <v>1509</v>
      </c>
      <c r="S371" s="121" t="s">
        <v>1510</v>
      </c>
      <c r="T371" s="122"/>
      <c r="U371" s="22" t="s">
        <v>1511</v>
      </c>
      <c r="V371" s="123"/>
      <c r="W371" s="122"/>
      <c r="X371" s="221"/>
      <c r="Y371" s="221"/>
      <c r="Z371" s="221"/>
      <c r="AA371" s="221"/>
      <c r="AB371" s="247"/>
    </row>
    <row r="372" spans="1:28" ht="17.100000000000001" customHeight="1" thickTop="1">
      <c r="A372" s="226" t="s">
        <v>5817</v>
      </c>
      <c r="B372" s="28">
        <v>44408</v>
      </c>
      <c r="C372" s="25">
        <v>1309</v>
      </c>
      <c r="D372" s="13" t="s">
        <v>1512</v>
      </c>
      <c r="E372" s="228"/>
      <c r="F372" s="156" t="s">
        <v>179</v>
      </c>
      <c r="G372" s="24" t="s">
        <v>1513</v>
      </c>
      <c r="H372" s="230">
        <v>4</v>
      </c>
      <c r="I372" s="220">
        <v>995000</v>
      </c>
      <c r="J372" s="220">
        <v>99500</v>
      </c>
      <c r="K372" s="220">
        <v>26300</v>
      </c>
      <c r="L372" s="220">
        <v>16090</v>
      </c>
      <c r="M372" s="220">
        <v>13200</v>
      </c>
      <c r="N372" s="220">
        <f>SUM(I372:M372)</f>
        <v>1150090</v>
      </c>
      <c r="O372" s="224">
        <v>800000</v>
      </c>
      <c r="P372" s="145" t="s">
        <v>1514</v>
      </c>
      <c r="Q372" s="15" t="s">
        <v>19</v>
      </c>
      <c r="R372" s="205"/>
      <c r="S372" s="189" t="s">
        <v>758</v>
      </c>
      <c r="T372" s="114"/>
      <c r="U372" s="21" t="s">
        <v>1515</v>
      </c>
      <c r="V372" s="115"/>
      <c r="W372" s="116"/>
      <c r="X372" s="220"/>
      <c r="Y372" s="245">
        <f>X372*0.1</f>
        <v>0</v>
      </c>
      <c r="Z372" s="220"/>
      <c r="AA372" s="220">
        <f>SUM(X372:Z372)</f>
        <v>0</v>
      </c>
      <c r="AB372" s="246"/>
    </row>
    <row r="373" spans="1:28" ht="17.100000000000001" customHeight="1" thickBot="1">
      <c r="A373" s="227"/>
      <c r="B373" s="27" t="s">
        <v>734</v>
      </c>
      <c r="C373" s="27">
        <v>83029</v>
      </c>
      <c r="D373" s="14" t="s">
        <v>475</v>
      </c>
      <c r="E373" s="229"/>
      <c r="F373" s="117" t="s">
        <v>1516</v>
      </c>
      <c r="G373" s="26">
        <v>59770</v>
      </c>
      <c r="H373" s="231"/>
      <c r="I373" s="221"/>
      <c r="J373" s="221"/>
      <c r="K373" s="221"/>
      <c r="L373" s="221"/>
      <c r="M373" s="221"/>
      <c r="N373" s="221"/>
      <c r="O373" s="225"/>
      <c r="P373" s="119" t="s">
        <v>1517</v>
      </c>
      <c r="Q373" s="16" t="s">
        <v>20</v>
      </c>
      <c r="R373" s="17" t="s">
        <v>1500</v>
      </c>
      <c r="S373" s="121" t="s">
        <v>1280</v>
      </c>
      <c r="T373" s="122" t="s">
        <v>1518</v>
      </c>
      <c r="U373" s="22" t="s">
        <v>106</v>
      </c>
      <c r="V373" s="123"/>
      <c r="W373" s="122"/>
      <c r="X373" s="221"/>
      <c r="Y373" s="221"/>
      <c r="Z373" s="221"/>
      <c r="AA373" s="221"/>
      <c r="AB373" s="247"/>
    </row>
    <row r="374" spans="1:28" ht="17.100000000000001" customHeight="1" thickTop="1">
      <c r="A374" s="226" t="s">
        <v>5818</v>
      </c>
      <c r="B374" s="28">
        <v>44412</v>
      </c>
      <c r="C374" s="25">
        <v>2120</v>
      </c>
      <c r="D374" s="13" t="s">
        <v>314</v>
      </c>
      <c r="E374" s="228"/>
      <c r="F374" s="156" t="s">
        <v>1432</v>
      </c>
      <c r="G374" s="24" t="s">
        <v>1519</v>
      </c>
      <c r="H374" s="230">
        <v>4.5</v>
      </c>
      <c r="I374" s="220">
        <v>2161000</v>
      </c>
      <c r="J374" s="220">
        <v>216100</v>
      </c>
      <c r="K374" s="220">
        <v>23000</v>
      </c>
      <c r="L374" s="220">
        <v>16930</v>
      </c>
      <c r="M374" s="220">
        <v>13200</v>
      </c>
      <c r="N374" s="220">
        <f>SUM(I374:M374)</f>
        <v>2430230</v>
      </c>
      <c r="O374" s="224">
        <v>2200000</v>
      </c>
      <c r="P374" s="145" t="s">
        <v>1520</v>
      </c>
      <c r="Q374" s="15" t="s">
        <v>19</v>
      </c>
      <c r="R374" s="205"/>
      <c r="S374" s="189" t="s">
        <v>1072</v>
      </c>
      <c r="T374" s="114"/>
      <c r="U374" s="21" t="s">
        <v>1521</v>
      </c>
      <c r="V374" s="115"/>
      <c r="W374" s="116"/>
      <c r="X374" s="220"/>
      <c r="Y374" s="245">
        <f>X374*0.1</f>
        <v>0</v>
      </c>
      <c r="Z374" s="220"/>
      <c r="AA374" s="220">
        <f>SUM(X374:Z374)</f>
        <v>0</v>
      </c>
      <c r="AB374" s="246"/>
    </row>
    <row r="375" spans="1:28" ht="17.100000000000001" customHeight="1" thickBot="1">
      <c r="A375" s="227"/>
      <c r="B375" s="27" t="s">
        <v>577</v>
      </c>
      <c r="C375" s="27">
        <v>70028</v>
      </c>
      <c r="D375" s="14" t="s">
        <v>219</v>
      </c>
      <c r="E375" s="229"/>
      <c r="F375" s="117" t="s">
        <v>1522</v>
      </c>
      <c r="G375" s="26">
        <v>37349</v>
      </c>
      <c r="H375" s="231"/>
      <c r="I375" s="221"/>
      <c r="J375" s="221"/>
      <c r="K375" s="221"/>
      <c r="L375" s="221"/>
      <c r="M375" s="221"/>
      <c r="N375" s="221"/>
      <c r="O375" s="225"/>
      <c r="P375" s="119" t="s">
        <v>1523</v>
      </c>
      <c r="Q375" s="16" t="s">
        <v>20</v>
      </c>
      <c r="R375" s="17" t="s">
        <v>1524</v>
      </c>
      <c r="S375" s="121" t="s">
        <v>1276</v>
      </c>
      <c r="T375" s="122"/>
      <c r="U375" s="22"/>
      <c r="V375" s="123"/>
      <c r="W375" s="122"/>
      <c r="X375" s="221"/>
      <c r="Y375" s="221"/>
      <c r="Z375" s="221"/>
      <c r="AA375" s="221"/>
      <c r="AB375" s="247"/>
    </row>
    <row r="376" spans="1:28" ht="17.100000000000001" customHeight="1" thickTop="1">
      <c r="A376" s="226" t="s">
        <v>5819</v>
      </c>
      <c r="B376" s="28">
        <v>44412</v>
      </c>
      <c r="C376" s="25">
        <v>3199</v>
      </c>
      <c r="D376" s="13" t="s">
        <v>832</v>
      </c>
      <c r="E376" s="228"/>
      <c r="F376" s="156" t="s">
        <v>639</v>
      </c>
      <c r="G376" s="24" t="s">
        <v>1525</v>
      </c>
      <c r="H376" s="230">
        <v>4</v>
      </c>
      <c r="I376" s="220">
        <v>2410000</v>
      </c>
      <c r="J376" s="220">
        <v>241000</v>
      </c>
      <c r="K376" s="220">
        <v>23000</v>
      </c>
      <c r="L376" s="220">
        <v>17600</v>
      </c>
      <c r="M376" s="220">
        <v>18700</v>
      </c>
      <c r="N376" s="220">
        <f>SUM(I376:M376)</f>
        <v>2710300</v>
      </c>
      <c r="O376" s="224">
        <v>2200000</v>
      </c>
      <c r="P376" s="145" t="s">
        <v>1526</v>
      </c>
      <c r="Q376" s="15" t="s">
        <v>19</v>
      </c>
      <c r="R376" s="205"/>
      <c r="S376" s="189" t="s">
        <v>1527</v>
      </c>
      <c r="T376" s="114"/>
      <c r="U376" s="21"/>
      <c r="V376" s="115"/>
      <c r="W376" s="116"/>
      <c r="X376" s="220"/>
      <c r="Y376" s="245">
        <f>X376*0.1</f>
        <v>0</v>
      </c>
      <c r="Z376" s="220"/>
      <c r="AA376" s="220">
        <f>SUM(X376:Z376)</f>
        <v>0</v>
      </c>
      <c r="AB376" s="246"/>
    </row>
    <row r="377" spans="1:28" ht="17.100000000000001" customHeight="1" thickBot="1">
      <c r="A377" s="227"/>
      <c r="B377" s="27" t="s">
        <v>72</v>
      </c>
      <c r="C377" s="27">
        <v>27269</v>
      </c>
      <c r="D377" s="14" t="s">
        <v>263</v>
      </c>
      <c r="E377" s="229"/>
      <c r="F377" s="117" t="s">
        <v>1528</v>
      </c>
      <c r="G377" s="26">
        <v>39780</v>
      </c>
      <c r="H377" s="231"/>
      <c r="I377" s="221"/>
      <c r="J377" s="221"/>
      <c r="K377" s="221"/>
      <c r="L377" s="221"/>
      <c r="M377" s="221"/>
      <c r="N377" s="221"/>
      <c r="O377" s="225"/>
      <c r="P377" s="119" t="s">
        <v>1529</v>
      </c>
      <c r="Q377" s="16" t="s">
        <v>20</v>
      </c>
      <c r="R377" s="17" t="s">
        <v>1509</v>
      </c>
      <c r="S377" s="121" t="s">
        <v>1530</v>
      </c>
      <c r="T377" s="122"/>
      <c r="U377" s="22" t="s">
        <v>901</v>
      </c>
      <c r="V377" s="123"/>
      <c r="W377" s="122"/>
      <c r="X377" s="221"/>
      <c r="Y377" s="221"/>
      <c r="Z377" s="221"/>
      <c r="AA377" s="221"/>
      <c r="AB377" s="247"/>
    </row>
    <row r="378" spans="1:28" ht="17.100000000000001" customHeight="1" thickTop="1">
      <c r="A378" s="226" t="s">
        <v>5820</v>
      </c>
      <c r="B378" s="28">
        <v>44435</v>
      </c>
      <c r="C378" s="25">
        <v>1904</v>
      </c>
      <c r="D378" s="13" t="s">
        <v>1531</v>
      </c>
      <c r="E378" s="228" t="s">
        <v>164</v>
      </c>
      <c r="F378" s="109" t="s">
        <v>1532</v>
      </c>
      <c r="G378" s="24" t="s">
        <v>1533</v>
      </c>
      <c r="H378" s="230">
        <v>4</v>
      </c>
      <c r="I378" s="220">
        <v>7800000</v>
      </c>
      <c r="J378" s="220">
        <v>780000</v>
      </c>
      <c r="K378" s="220">
        <v>29700</v>
      </c>
      <c r="L378" s="220">
        <v>19780</v>
      </c>
      <c r="M378" s="220">
        <v>24200</v>
      </c>
      <c r="N378" s="220">
        <f>SUM(I378:M378)</f>
        <v>8653680</v>
      </c>
      <c r="O378" s="224"/>
      <c r="P378" s="111" t="s">
        <v>1534</v>
      </c>
      <c r="Q378" s="15" t="s">
        <v>19</v>
      </c>
      <c r="R378" s="205"/>
      <c r="S378" s="189" t="s">
        <v>25365</v>
      </c>
      <c r="T378" s="114"/>
      <c r="U378" s="21" t="s">
        <v>1535</v>
      </c>
      <c r="V378" s="115"/>
      <c r="W378" s="116"/>
      <c r="X378" s="220"/>
      <c r="Y378" s="245">
        <f>X378*0.1</f>
        <v>0</v>
      </c>
      <c r="Z378" s="220"/>
      <c r="AA378" s="220">
        <f>SUM(X378:Z378)</f>
        <v>0</v>
      </c>
      <c r="AB378" s="246"/>
    </row>
    <row r="379" spans="1:28" ht="17.100000000000001" customHeight="1" thickBot="1">
      <c r="A379" s="227"/>
      <c r="B379" s="27" t="s">
        <v>1536</v>
      </c>
      <c r="C379" s="27">
        <v>58173</v>
      </c>
      <c r="D379" s="14" t="s">
        <v>1537</v>
      </c>
      <c r="E379" s="229"/>
      <c r="F379" s="117" t="s">
        <v>1538</v>
      </c>
      <c r="G379" s="26">
        <v>17003</v>
      </c>
      <c r="H379" s="231"/>
      <c r="I379" s="221"/>
      <c r="J379" s="221"/>
      <c r="K379" s="221"/>
      <c r="L379" s="221"/>
      <c r="M379" s="221"/>
      <c r="N379" s="221"/>
      <c r="O379" s="225"/>
      <c r="P379" s="119" t="s">
        <v>1539</v>
      </c>
      <c r="Q379" s="16" t="s">
        <v>20</v>
      </c>
      <c r="R379" s="17" t="s">
        <v>1540</v>
      </c>
      <c r="S379" s="121" t="s">
        <v>1541</v>
      </c>
      <c r="T379" s="122"/>
      <c r="U379" s="22"/>
      <c r="V379" s="123"/>
      <c r="W379" s="122"/>
      <c r="X379" s="221"/>
      <c r="Y379" s="221"/>
      <c r="Z379" s="221"/>
      <c r="AA379" s="221"/>
      <c r="AB379" s="247"/>
    </row>
    <row r="380" spans="1:28" ht="17.100000000000001" customHeight="1" thickTop="1">
      <c r="A380" s="226" t="s">
        <v>5821</v>
      </c>
      <c r="B380" s="28">
        <v>44436</v>
      </c>
      <c r="C380" s="25">
        <v>1312</v>
      </c>
      <c r="D380" s="13" t="s">
        <v>1542</v>
      </c>
      <c r="E380" s="228"/>
      <c r="F380" s="109" t="s">
        <v>1543</v>
      </c>
      <c r="G380" s="24" t="s">
        <v>1544</v>
      </c>
      <c r="H380" s="230">
        <v>4</v>
      </c>
      <c r="I380" s="220">
        <v>3760000</v>
      </c>
      <c r="J380" s="220">
        <v>376000</v>
      </c>
      <c r="K380" s="220">
        <v>29700</v>
      </c>
      <c r="L380" s="220">
        <v>20170</v>
      </c>
      <c r="M380" s="220">
        <v>13200</v>
      </c>
      <c r="N380" s="220">
        <f>SUM(I380:M380)</f>
        <v>4199070</v>
      </c>
      <c r="O380" s="224"/>
      <c r="P380" s="111" t="s">
        <v>1545</v>
      </c>
      <c r="Q380" s="15" t="s">
        <v>19</v>
      </c>
      <c r="R380" s="205"/>
      <c r="S380" s="189" t="s">
        <v>25366</v>
      </c>
      <c r="T380" s="114"/>
      <c r="U380" s="21" t="s">
        <v>1546</v>
      </c>
      <c r="V380" s="115"/>
      <c r="W380" s="116"/>
      <c r="X380" s="220"/>
      <c r="Y380" s="245">
        <f>X380*0.1</f>
        <v>0</v>
      </c>
      <c r="Z380" s="220"/>
      <c r="AA380" s="220">
        <f>SUM(X380:Z380)</f>
        <v>0</v>
      </c>
      <c r="AB380" s="246"/>
    </row>
    <row r="381" spans="1:28" ht="17.100000000000001" customHeight="1" thickBot="1">
      <c r="A381" s="227"/>
      <c r="B381" s="27" t="s">
        <v>1547</v>
      </c>
      <c r="C381" s="27">
        <v>83116</v>
      </c>
      <c r="D381" s="14" t="s">
        <v>1548</v>
      </c>
      <c r="E381" s="229"/>
      <c r="F381" s="117" t="s">
        <v>1549</v>
      </c>
      <c r="G381" s="26">
        <v>52827</v>
      </c>
      <c r="H381" s="231"/>
      <c r="I381" s="221"/>
      <c r="J381" s="221"/>
      <c r="K381" s="221"/>
      <c r="L381" s="221"/>
      <c r="M381" s="221"/>
      <c r="N381" s="221"/>
      <c r="O381" s="225"/>
      <c r="P381" s="119" t="s">
        <v>1550</v>
      </c>
      <c r="Q381" s="16" t="s">
        <v>20</v>
      </c>
      <c r="R381" s="17" t="s">
        <v>1551</v>
      </c>
      <c r="S381" s="121" t="s">
        <v>1552</v>
      </c>
      <c r="T381" s="122"/>
      <c r="U381" s="22" t="s">
        <v>1148</v>
      </c>
      <c r="V381" s="123"/>
      <c r="W381" s="122"/>
      <c r="X381" s="221"/>
      <c r="Y381" s="221"/>
      <c r="Z381" s="221"/>
      <c r="AA381" s="221"/>
      <c r="AB381" s="247"/>
    </row>
    <row r="382" spans="1:28" ht="17.100000000000001" customHeight="1" thickTop="1">
      <c r="A382" s="226" t="s">
        <v>5822</v>
      </c>
      <c r="B382" s="28">
        <v>44450</v>
      </c>
      <c r="C382" s="25">
        <v>1071</v>
      </c>
      <c r="D382" s="13" t="s">
        <v>1553</v>
      </c>
      <c r="E382" s="228"/>
      <c r="F382" s="109" t="s">
        <v>1554</v>
      </c>
      <c r="G382" s="24" t="s">
        <v>1555</v>
      </c>
      <c r="H382" s="230">
        <v>4.5</v>
      </c>
      <c r="I382" s="220">
        <v>1755000</v>
      </c>
      <c r="J382" s="220">
        <v>175500</v>
      </c>
      <c r="K382" s="220">
        <v>19700</v>
      </c>
      <c r="L382" s="220">
        <v>18960</v>
      </c>
      <c r="M382" s="220">
        <v>13200</v>
      </c>
      <c r="N382" s="220">
        <f>SUM(I382:M382)</f>
        <v>1982360</v>
      </c>
      <c r="O382" s="224">
        <v>1600000</v>
      </c>
      <c r="P382" s="111" t="s">
        <v>1556</v>
      </c>
      <c r="Q382" s="15" t="s">
        <v>19</v>
      </c>
      <c r="R382" s="205"/>
      <c r="S382" s="189" t="s">
        <v>25367</v>
      </c>
      <c r="T382" s="114"/>
      <c r="U382" s="21" t="s">
        <v>1558</v>
      </c>
      <c r="V382" s="115"/>
      <c r="W382" s="116"/>
      <c r="X382" s="220"/>
      <c r="Y382" s="245">
        <f>X382*0.1</f>
        <v>0</v>
      </c>
      <c r="Z382" s="220"/>
      <c r="AA382" s="220">
        <f>SUM(X382:Z382)</f>
        <v>0</v>
      </c>
      <c r="AB382" s="246"/>
    </row>
    <row r="383" spans="1:28" ht="17.100000000000001" customHeight="1" thickBot="1">
      <c r="A383" s="227"/>
      <c r="B383" s="58" t="s">
        <v>1559</v>
      </c>
      <c r="C383" s="27">
        <v>82223</v>
      </c>
      <c r="D383" s="14" t="s">
        <v>1560</v>
      </c>
      <c r="E383" s="229"/>
      <c r="F383" s="117" t="s">
        <v>1561</v>
      </c>
      <c r="G383" s="26">
        <v>33502</v>
      </c>
      <c r="H383" s="231"/>
      <c r="I383" s="221"/>
      <c r="J383" s="221"/>
      <c r="K383" s="221"/>
      <c r="L383" s="221"/>
      <c r="M383" s="221"/>
      <c r="N383" s="221"/>
      <c r="O383" s="225"/>
      <c r="P383" s="119" t="s">
        <v>1562</v>
      </c>
      <c r="Q383" s="16" t="s">
        <v>20</v>
      </c>
      <c r="R383" s="17" t="s">
        <v>1563</v>
      </c>
      <c r="S383" s="121" t="s">
        <v>505</v>
      </c>
      <c r="T383" s="122"/>
      <c r="U383" s="22" t="s">
        <v>106</v>
      </c>
      <c r="V383" s="123"/>
      <c r="W383" s="122"/>
      <c r="X383" s="221"/>
      <c r="Y383" s="221"/>
      <c r="Z383" s="221"/>
      <c r="AA383" s="221"/>
      <c r="AB383" s="247"/>
    </row>
    <row r="384" spans="1:28" ht="17.100000000000001" customHeight="1" thickTop="1">
      <c r="A384" s="226" t="s">
        <v>5823</v>
      </c>
      <c r="B384" s="28">
        <v>44450</v>
      </c>
      <c r="C384" s="25">
        <v>1071</v>
      </c>
      <c r="D384" s="13" t="s">
        <v>1564</v>
      </c>
      <c r="E384" s="228"/>
      <c r="F384" s="109" t="s">
        <v>1565</v>
      </c>
      <c r="G384" s="24"/>
      <c r="H384" s="230">
        <v>4.5</v>
      </c>
      <c r="I384" s="220">
        <v>2235000</v>
      </c>
      <c r="J384" s="220">
        <v>223500</v>
      </c>
      <c r="K384" s="220">
        <v>0</v>
      </c>
      <c r="L384" s="220">
        <v>17800</v>
      </c>
      <c r="M384" s="220">
        <v>13200</v>
      </c>
      <c r="N384" s="220">
        <f>SUM(I384:M384)</f>
        <v>2489500</v>
      </c>
      <c r="O384" s="224">
        <v>1900000</v>
      </c>
      <c r="P384" s="111" t="s">
        <v>1566</v>
      </c>
      <c r="Q384" s="15" t="s">
        <v>19</v>
      </c>
      <c r="R384" s="205"/>
      <c r="S384" s="189" t="s">
        <v>1422</v>
      </c>
      <c r="T384" s="114"/>
      <c r="U384" s="21"/>
      <c r="V384" s="115"/>
      <c r="W384" s="116"/>
      <c r="X384" s="220"/>
      <c r="Y384" s="245">
        <f>X384*0.1</f>
        <v>0</v>
      </c>
      <c r="Z384" s="220"/>
      <c r="AA384" s="220">
        <f>SUM(X384:Z384)</f>
        <v>0</v>
      </c>
      <c r="AB384" s="246"/>
    </row>
    <row r="385" spans="1:28" ht="17.100000000000001" customHeight="1" thickBot="1">
      <c r="A385" s="227"/>
      <c r="B385" s="58" t="s">
        <v>1559</v>
      </c>
      <c r="C385" s="27">
        <v>85043</v>
      </c>
      <c r="D385" s="14" t="s">
        <v>1568</v>
      </c>
      <c r="E385" s="229"/>
      <c r="F385" s="117" t="s">
        <v>1569</v>
      </c>
      <c r="G385" s="26">
        <v>48407</v>
      </c>
      <c r="H385" s="231"/>
      <c r="I385" s="221"/>
      <c r="J385" s="221"/>
      <c r="K385" s="221"/>
      <c r="L385" s="221"/>
      <c r="M385" s="221"/>
      <c r="N385" s="221"/>
      <c r="O385" s="225"/>
      <c r="P385" s="119" t="s">
        <v>1570</v>
      </c>
      <c r="Q385" s="16" t="s">
        <v>20</v>
      </c>
      <c r="R385" s="17" t="s">
        <v>1563</v>
      </c>
      <c r="S385" s="121" t="s">
        <v>505</v>
      </c>
      <c r="T385" s="122"/>
      <c r="U385" s="22"/>
      <c r="V385" s="123"/>
      <c r="W385" s="122"/>
      <c r="X385" s="221"/>
      <c r="Y385" s="221"/>
      <c r="Z385" s="221"/>
      <c r="AA385" s="221"/>
      <c r="AB385" s="247"/>
    </row>
    <row r="386" spans="1:28" ht="17.100000000000001" customHeight="1" thickTop="1">
      <c r="A386" s="226" t="s">
        <v>5824</v>
      </c>
      <c r="B386" s="28">
        <v>44452</v>
      </c>
      <c r="C386" s="25">
        <v>1865</v>
      </c>
      <c r="D386" s="13" t="s">
        <v>894</v>
      </c>
      <c r="E386" s="228" t="s">
        <v>164</v>
      </c>
      <c r="F386" s="109" t="s">
        <v>1571</v>
      </c>
      <c r="G386" s="24"/>
      <c r="H386" s="230">
        <v>4</v>
      </c>
      <c r="I386" s="220">
        <v>2400000</v>
      </c>
      <c r="J386" s="220">
        <v>240000</v>
      </c>
      <c r="K386" s="220">
        <v>0</v>
      </c>
      <c r="L386" s="220">
        <v>26150</v>
      </c>
      <c r="M386" s="220">
        <v>11000</v>
      </c>
      <c r="N386" s="220">
        <f>SUM(I386:M386)</f>
        <v>2677150</v>
      </c>
      <c r="O386" s="224">
        <v>2200000</v>
      </c>
      <c r="P386" s="111" t="s">
        <v>1572</v>
      </c>
      <c r="Q386" s="15" t="s">
        <v>19</v>
      </c>
      <c r="R386" s="205"/>
      <c r="S386" s="189" t="s">
        <v>1072</v>
      </c>
      <c r="T386" s="114"/>
      <c r="U386" s="21" t="s">
        <v>1574</v>
      </c>
      <c r="V386" s="115"/>
      <c r="W386" s="116"/>
      <c r="X386" s="220"/>
      <c r="Y386" s="245">
        <f>X386*0.1</f>
        <v>0</v>
      </c>
      <c r="Z386" s="220"/>
      <c r="AA386" s="220">
        <f>SUM(X386:Z386)</f>
        <v>0</v>
      </c>
      <c r="AB386" s="246"/>
    </row>
    <row r="387" spans="1:28" ht="17.100000000000001" customHeight="1" thickBot="1">
      <c r="A387" s="227"/>
      <c r="B387" s="27" t="s">
        <v>82</v>
      </c>
      <c r="C387" s="27">
        <v>32015</v>
      </c>
      <c r="D387" s="14" t="s">
        <v>273</v>
      </c>
      <c r="E387" s="229"/>
      <c r="F387" s="117" t="s">
        <v>1575</v>
      </c>
      <c r="G387" s="26">
        <v>37047</v>
      </c>
      <c r="H387" s="231"/>
      <c r="I387" s="221"/>
      <c r="J387" s="221"/>
      <c r="K387" s="221"/>
      <c r="L387" s="221"/>
      <c r="M387" s="221"/>
      <c r="N387" s="221"/>
      <c r="O387" s="225"/>
      <c r="P387" s="119" t="s">
        <v>1576</v>
      </c>
      <c r="Q387" s="16" t="s">
        <v>20</v>
      </c>
      <c r="R387" s="17" t="s">
        <v>1563</v>
      </c>
      <c r="S387" s="121" t="s">
        <v>1577</v>
      </c>
      <c r="T387" s="122"/>
      <c r="U387" s="22"/>
      <c r="V387" s="123"/>
      <c r="W387" s="122"/>
      <c r="X387" s="221"/>
      <c r="Y387" s="221"/>
      <c r="Z387" s="221"/>
      <c r="AA387" s="221"/>
      <c r="AB387" s="247"/>
    </row>
    <row r="388" spans="1:28" ht="17.100000000000001" customHeight="1" thickTop="1">
      <c r="A388" s="226" t="s">
        <v>5825</v>
      </c>
      <c r="B388" s="28">
        <v>44453</v>
      </c>
      <c r="C388" s="25">
        <v>864</v>
      </c>
      <c r="D388" s="13" t="s">
        <v>1578</v>
      </c>
      <c r="E388" s="228"/>
      <c r="F388" s="109" t="s">
        <v>1579</v>
      </c>
      <c r="G388" s="24" t="s">
        <v>1580</v>
      </c>
      <c r="H388" s="230">
        <v>4.5</v>
      </c>
      <c r="I388" s="220">
        <v>2815000</v>
      </c>
      <c r="J388" s="220">
        <v>281500</v>
      </c>
      <c r="K388" s="220">
        <v>19700</v>
      </c>
      <c r="L388" s="220">
        <v>17600</v>
      </c>
      <c r="M388" s="220">
        <v>13200</v>
      </c>
      <c r="N388" s="220">
        <f>SUM(I388:M388)</f>
        <v>3147000</v>
      </c>
      <c r="O388" s="224">
        <v>2500000</v>
      </c>
      <c r="P388" s="111" t="s">
        <v>1581</v>
      </c>
      <c r="Q388" s="15" t="s">
        <v>19</v>
      </c>
      <c r="R388" s="205"/>
      <c r="S388" s="189" t="s">
        <v>1422</v>
      </c>
      <c r="T388" s="114"/>
      <c r="U388" s="21" t="s">
        <v>1582</v>
      </c>
      <c r="V388" s="115"/>
      <c r="W388" s="116"/>
      <c r="X388" s="220"/>
      <c r="Y388" s="245">
        <f>X388*0.1</f>
        <v>0</v>
      </c>
      <c r="Z388" s="220"/>
      <c r="AA388" s="220">
        <f>SUM(X388:Z388)</f>
        <v>0</v>
      </c>
      <c r="AB388" s="246"/>
    </row>
    <row r="389" spans="1:28" ht="17.100000000000001" customHeight="1" thickBot="1">
      <c r="A389" s="227"/>
      <c r="B389" s="27" t="s">
        <v>1583</v>
      </c>
      <c r="C389" s="27">
        <v>84014</v>
      </c>
      <c r="D389" s="14" t="s">
        <v>1584</v>
      </c>
      <c r="E389" s="229"/>
      <c r="F389" s="117" t="s">
        <v>1585</v>
      </c>
      <c r="G389" s="26">
        <v>10716</v>
      </c>
      <c r="H389" s="231"/>
      <c r="I389" s="221"/>
      <c r="J389" s="221"/>
      <c r="K389" s="221"/>
      <c r="L389" s="221"/>
      <c r="M389" s="221"/>
      <c r="N389" s="221"/>
      <c r="O389" s="225"/>
      <c r="P389" s="119" t="s">
        <v>1586</v>
      </c>
      <c r="Q389" s="16" t="s">
        <v>20</v>
      </c>
      <c r="R389" s="17" t="s">
        <v>1587</v>
      </c>
      <c r="S389" s="121" t="s">
        <v>1588</v>
      </c>
      <c r="T389" s="122"/>
      <c r="U389" s="22" t="s">
        <v>106</v>
      </c>
      <c r="V389" s="123"/>
      <c r="W389" s="122"/>
      <c r="X389" s="221"/>
      <c r="Y389" s="221"/>
      <c r="Z389" s="221"/>
      <c r="AA389" s="221"/>
      <c r="AB389" s="247"/>
    </row>
    <row r="390" spans="1:28" ht="17.100000000000001" customHeight="1" thickTop="1">
      <c r="A390" s="226" t="s">
        <v>5826</v>
      </c>
      <c r="B390" s="28">
        <v>44462</v>
      </c>
      <c r="C390" s="25">
        <v>1339</v>
      </c>
      <c r="D390" s="13" t="s">
        <v>1589</v>
      </c>
      <c r="E390" s="228"/>
      <c r="F390" s="109" t="s">
        <v>1590</v>
      </c>
      <c r="G390" s="24"/>
      <c r="H390" s="230">
        <v>4</v>
      </c>
      <c r="I390" s="220">
        <v>1320000</v>
      </c>
      <c r="J390" s="220">
        <v>132000</v>
      </c>
      <c r="K390" s="220">
        <v>0</v>
      </c>
      <c r="L390" s="220">
        <v>17250</v>
      </c>
      <c r="M390" s="220">
        <v>13200</v>
      </c>
      <c r="N390" s="220">
        <f>SUM(I390:M390)</f>
        <v>1482450</v>
      </c>
      <c r="O390" s="224">
        <v>1200000</v>
      </c>
      <c r="P390" s="111" t="s">
        <v>1591</v>
      </c>
      <c r="Q390" s="15" t="s">
        <v>19</v>
      </c>
      <c r="R390" s="205"/>
      <c r="S390" s="189"/>
      <c r="T390" s="114"/>
      <c r="U390" s="21"/>
      <c r="V390" s="115"/>
      <c r="W390" s="116"/>
      <c r="X390" s="220"/>
      <c r="Y390" s="245">
        <f>X390*0.1</f>
        <v>0</v>
      </c>
      <c r="Z390" s="220"/>
      <c r="AA390" s="220">
        <f>SUM(X390:Z390)</f>
        <v>0</v>
      </c>
      <c r="AB390" s="246"/>
    </row>
    <row r="391" spans="1:28" ht="17.100000000000001" customHeight="1" thickBot="1">
      <c r="A391" s="227"/>
      <c r="B391" s="27" t="s">
        <v>1592</v>
      </c>
      <c r="C391" s="27">
        <v>75207</v>
      </c>
      <c r="D391" s="14" t="s">
        <v>1593</v>
      </c>
      <c r="E391" s="229"/>
      <c r="F391" s="117" t="s">
        <v>1594</v>
      </c>
      <c r="G391" s="26">
        <v>36639</v>
      </c>
      <c r="H391" s="231"/>
      <c r="I391" s="221"/>
      <c r="J391" s="221"/>
      <c r="K391" s="221"/>
      <c r="L391" s="221"/>
      <c r="M391" s="221"/>
      <c r="N391" s="221"/>
      <c r="O391" s="225"/>
      <c r="P391" s="119" t="s">
        <v>1595</v>
      </c>
      <c r="Q391" s="16" t="s">
        <v>20</v>
      </c>
      <c r="R391" s="17" t="s">
        <v>1596</v>
      </c>
      <c r="S391" s="121" t="s">
        <v>1597</v>
      </c>
      <c r="T391" s="122"/>
      <c r="U391" s="22"/>
      <c r="V391" s="123"/>
      <c r="W391" s="122"/>
      <c r="X391" s="221"/>
      <c r="Y391" s="221"/>
      <c r="Z391" s="221"/>
      <c r="AA391" s="221"/>
      <c r="AB391" s="247"/>
    </row>
    <row r="392" spans="1:28" ht="17.100000000000001" customHeight="1" thickTop="1">
      <c r="A392" s="226" t="s">
        <v>5827</v>
      </c>
      <c r="B392" s="28">
        <v>44474</v>
      </c>
      <c r="C392" s="25">
        <v>867</v>
      </c>
      <c r="D392" s="13" t="s">
        <v>1598</v>
      </c>
      <c r="E392" s="228"/>
      <c r="F392" s="109" t="s">
        <v>1599</v>
      </c>
      <c r="G392" s="24"/>
      <c r="H392" s="230">
        <v>4.5</v>
      </c>
      <c r="I392" s="220">
        <v>1455000</v>
      </c>
      <c r="J392" s="220">
        <v>145500</v>
      </c>
      <c r="K392" s="220">
        <v>0</v>
      </c>
      <c r="L392" s="220">
        <v>18960</v>
      </c>
      <c r="M392" s="220">
        <v>13200</v>
      </c>
      <c r="N392" s="220">
        <f>SUM(I392:M392)</f>
        <v>1632660</v>
      </c>
      <c r="O392" s="224">
        <v>1300000</v>
      </c>
      <c r="P392" s="111" t="s">
        <v>1600</v>
      </c>
      <c r="Q392" s="15" t="s">
        <v>19</v>
      </c>
      <c r="R392" s="205"/>
      <c r="S392" s="189" t="s">
        <v>25368</v>
      </c>
      <c r="T392" s="114"/>
      <c r="U392" s="21"/>
      <c r="V392" s="115"/>
      <c r="W392" s="116"/>
      <c r="X392" s="220"/>
      <c r="Y392" s="245">
        <f>X392*0.1</f>
        <v>0</v>
      </c>
      <c r="Z392" s="220"/>
      <c r="AA392" s="220">
        <f>SUM(X392:Z392)</f>
        <v>0</v>
      </c>
      <c r="AB392" s="246"/>
    </row>
    <row r="393" spans="1:28" ht="17.100000000000001" customHeight="1" thickBot="1">
      <c r="A393" s="227"/>
      <c r="B393" s="27" t="s">
        <v>1583</v>
      </c>
      <c r="C393" s="27">
        <v>84002</v>
      </c>
      <c r="D393" s="14" t="s">
        <v>1602</v>
      </c>
      <c r="E393" s="229"/>
      <c r="F393" s="117" t="s">
        <v>1603</v>
      </c>
      <c r="G393" s="26">
        <v>39994</v>
      </c>
      <c r="H393" s="231"/>
      <c r="I393" s="221"/>
      <c r="J393" s="221"/>
      <c r="K393" s="221"/>
      <c r="L393" s="221"/>
      <c r="M393" s="221"/>
      <c r="N393" s="221"/>
      <c r="O393" s="225"/>
      <c r="P393" s="119" t="s">
        <v>1604</v>
      </c>
      <c r="Q393" s="16" t="s">
        <v>20</v>
      </c>
      <c r="R393" s="17" t="s">
        <v>1605</v>
      </c>
      <c r="S393" s="121" t="s">
        <v>1606</v>
      </c>
      <c r="T393" s="122"/>
      <c r="U393" s="22"/>
      <c r="V393" s="123"/>
      <c r="W393" s="122"/>
      <c r="X393" s="221"/>
      <c r="Y393" s="221"/>
      <c r="Z393" s="221"/>
      <c r="AA393" s="221"/>
      <c r="AB393" s="247"/>
    </row>
    <row r="394" spans="1:28" ht="17.100000000000001" customHeight="1" thickTop="1">
      <c r="A394" s="226" t="s">
        <v>5828</v>
      </c>
      <c r="B394" s="28">
        <v>44477</v>
      </c>
      <c r="C394" s="25">
        <v>1910</v>
      </c>
      <c r="D394" s="13" t="s">
        <v>1607</v>
      </c>
      <c r="E394" s="228"/>
      <c r="F394" s="109" t="s">
        <v>1608</v>
      </c>
      <c r="G394" s="24"/>
      <c r="H394" s="230">
        <v>4.5</v>
      </c>
      <c r="I394" s="220">
        <v>1495000</v>
      </c>
      <c r="J394" s="220">
        <v>149500</v>
      </c>
      <c r="K394" s="220">
        <v>0</v>
      </c>
      <c r="L394" s="220">
        <v>17250</v>
      </c>
      <c r="M394" s="220">
        <v>13200</v>
      </c>
      <c r="N394" s="220">
        <f>SUM(I394:M394)</f>
        <v>1674950</v>
      </c>
      <c r="O394" s="224">
        <v>1200000</v>
      </c>
      <c r="P394" s="111" t="s">
        <v>1609</v>
      </c>
      <c r="Q394" s="15" t="s">
        <v>19</v>
      </c>
      <c r="R394" s="205"/>
      <c r="S394" s="189"/>
      <c r="T394" s="155" t="s">
        <v>1610</v>
      </c>
      <c r="U394" s="21"/>
      <c r="V394" s="115"/>
      <c r="W394" s="116"/>
      <c r="X394" s="220"/>
      <c r="Y394" s="245">
        <f>X394*0.1</f>
        <v>0</v>
      </c>
      <c r="Z394" s="220"/>
      <c r="AA394" s="220">
        <f>SUM(X394:Z394)</f>
        <v>0</v>
      </c>
      <c r="AB394" s="246"/>
    </row>
    <row r="395" spans="1:28" ht="17.100000000000001" customHeight="1" thickBot="1">
      <c r="A395" s="227"/>
      <c r="B395" s="27" t="s">
        <v>1536</v>
      </c>
      <c r="C395" s="27">
        <v>58210</v>
      </c>
      <c r="D395" s="14" t="s">
        <v>1611</v>
      </c>
      <c r="E395" s="229"/>
      <c r="F395" s="117" t="s">
        <v>1612</v>
      </c>
      <c r="G395" s="26">
        <v>26896</v>
      </c>
      <c r="H395" s="231"/>
      <c r="I395" s="221"/>
      <c r="J395" s="221"/>
      <c r="K395" s="221"/>
      <c r="L395" s="221"/>
      <c r="M395" s="221"/>
      <c r="N395" s="221"/>
      <c r="O395" s="225"/>
      <c r="P395" s="119" t="s">
        <v>1613</v>
      </c>
      <c r="Q395" s="16" t="s">
        <v>20</v>
      </c>
      <c r="R395" s="17" t="s">
        <v>1614</v>
      </c>
      <c r="S395" s="121" t="s">
        <v>184</v>
      </c>
      <c r="T395" s="122"/>
      <c r="U395" s="22"/>
      <c r="V395" s="123"/>
      <c r="W395" s="122"/>
      <c r="X395" s="221"/>
      <c r="Y395" s="221"/>
      <c r="Z395" s="221"/>
      <c r="AA395" s="221"/>
      <c r="AB395" s="247"/>
    </row>
    <row r="396" spans="1:28" ht="17.100000000000001" customHeight="1" thickTop="1">
      <c r="A396" s="226" t="s">
        <v>5829</v>
      </c>
      <c r="B396" s="28">
        <v>44478</v>
      </c>
      <c r="C396" s="25">
        <v>1318</v>
      </c>
      <c r="D396" s="13" t="s">
        <v>1615</v>
      </c>
      <c r="E396" s="228"/>
      <c r="F396" s="109" t="s">
        <v>1616</v>
      </c>
      <c r="G396" s="24"/>
      <c r="H396" s="230">
        <v>4.5</v>
      </c>
      <c r="I396" s="220">
        <v>1300000</v>
      </c>
      <c r="J396" s="220">
        <v>130000</v>
      </c>
      <c r="K396" s="220">
        <v>0</v>
      </c>
      <c r="L396" s="220">
        <v>18300</v>
      </c>
      <c r="M396" s="220">
        <v>13200</v>
      </c>
      <c r="N396" s="220">
        <f>SUM(I396:M397)</f>
        <v>1461500</v>
      </c>
      <c r="O396" s="224">
        <v>1100000</v>
      </c>
      <c r="P396" s="111" t="s">
        <v>1617</v>
      </c>
      <c r="Q396" s="15" t="s">
        <v>19</v>
      </c>
      <c r="R396" s="205"/>
      <c r="S396" s="189" t="s">
        <v>25367</v>
      </c>
      <c r="T396" s="114"/>
      <c r="U396" s="21"/>
      <c r="V396" s="115"/>
      <c r="W396" s="116"/>
      <c r="X396" s="220"/>
      <c r="Y396" s="245">
        <f>X396*0.1</f>
        <v>0</v>
      </c>
      <c r="Z396" s="220"/>
      <c r="AA396" s="220">
        <f>SUM(X396:Z396)</f>
        <v>0</v>
      </c>
      <c r="AB396" s="246"/>
    </row>
    <row r="397" spans="1:28" ht="17.100000000000001" customHeight="1" thickBot="1">
      <c r="A397" s="227"/>
      <c r="B397" s="27" t="s">
        <v>1547</v>
      </c>
      <c r="C397" s="27">
        <v>83113</v>
      </c>
      <c r="D397" s="14" t="s">
        <v>1618</v>
      </c>
      <c r="E397" s="229"/>
      <c r="F397" s="117" t="s">
        <v>1619</v>
      </c>
      <c r="G397" s="26">
        <v>48713</v>
      </c>
      <c r="H397" s="231"/>
      <c r="I397" s="221"/>
      <c r="J397" s="221"/>
      <c r="K397" s="221"/>
      <c r="L397" s="221"/>
      <c r="M397" s="221"/>
      <c r="N397" s="221"/>
      <c r="O397" s="225"/>
      <c r="P397" s="119" t="s">
        <v>1620</v>
      </c>
      <c r="Q397" s="16" t="s">
        <v>20</v>
      </c>
      <c r="R397" s="17" t="s">
        <v>1614</v>
      </c>
      <c r="S397" s="121" t="s">
        <v>156</v>
      </c>
      <c r="T397" s="122"/>
      <c r="U397" s="22"/>
      <c r="V397" s="123"/>
      <c r="W397" s="122"/>
      <c r="X397" s="221"/>
      <c r="Y397" s="221"/>
      <c r="Z397" s="221"/>
      <c r="AA397" s="221"/>
      <c r="AB397" s="247"/>
    </row>
    <row r="398" spans="1:28" ht="17.100000000000001" customHeight="1" thickTop="1">
      <c r="A398" s="226" t="s">
        <v>5830</v>
      </c>
      <c r="B398" s="28">
        <v>44481</v>
      </c>
      <c r="C398" s="25">
        <v>868</v>
      </c>
      <c r="D398" s="13" t="s">
        <v>1621</v>
      </c>
      <c r="E398" s="228"/>
      <c r="F398" s="109" t="s">
        <v>1622</v>
      </c>
      <c r="G398" s="24" t="s">
        <v>1623</v>
      </c>
      <c r="H398" s="230">
        <v>4</v>
      </c>
      <c r="I398" s="220">
        <v>1710000</v>
      </c>
      <c r="J398" s="220">
        <v>171000</v>
      </c>
      <c r="K398" s="220">
        <v>31800</v>
      </c>
      <c r="L398" s="220">
        <v>15590</v>
      </c>
      <c r="M398" s="220">
        <v>13200</v>
      </c>
      <c r="N398" s="220">
        <f>SUM(I398:M399)</f>
        <v>1941590</v>
      </c>
      <c r="O398" s="224">
        <v>1500000</v>
      </c>
      <c r="P398" s="111" t="s">
        <v>1624</v>
      </c>
      <c r="Q398" s="15" t="s">
        <v>19</v>
      </c>
      <c r="R398" s="205"/>
      <c r="S398" s="189" t="s">
        <v>1271</v>
      </c>
      <c r="T398" s="114"/>
      <c r="U398" s="21" t="s">
        <v>1626</v>
      </c>
      <c r="V398" s="115"/>
      <c r="W398" s="116"/>
      <c r="X398" s="220"/>
      <c r="Y398" s="245">
        <f>X398*0.1</f>
        <v>0</v>
      </c>
      <c r="Z398" s="220"/>
      <c r="AA398" s="220">
        <f>SUM(X398:Z398)</f>
        <v>0</v>
      </c>
      <c r="AB398" s="246"/>
    </row>
    <row r="399" spans="1:28" ht="17.100000000000001" customHeight="1" thickBot="1">
      <c r="A399" s="227"/>
      <c r="B399" s="27" t="s">
        <v>1583</v>
      </c>
      <c r="C399" s="27">
        <v>84172</v>
      </c>
      <c r="D399" s="14" t="s">
        <v>1627</v>
      </c>
      <c r="E399" s="229"/>
      <c r="F399" s="117" t="s">
        <v>1628</v>
      </c>
      <c r="G399" s="26">
        <v>48000</v>
      </c>
      <c r="H399" s="231"/>
      <c r="I399" s="221"/>
      <c r="J399" s="221"/>
      <c r="K399" s="221"/>
      <c r="L399" s="221"/>
      <c r="M399" s="221"/>
      <c r="N399" s="221"/>
      <c r="O399" s="225"/>
      <c r="P399" s="119" t="s">
        <v>1629</v>
      </c>
      <c r="Q399" s="16" t="s">
        <v>20</v>
      </c>
      <c r="R399" s="17" t="s">
        <v>1630</v>
      </c>
      <c r="S399" s="121" t="s">
        <v>1631</v>
      </c>
      <c r="T399" s="122"/>
      <c r="U399" s="22" t="s">
        <v>922</v>
      </c>
      <c r="V399" s="123"/>
      <c r="W399" s="122"/>
      <c r="X399" s="221"/>
      <c r="Y399" s="221"/>
      <c r="Z399" s="221"/>
      <c r="AA399" s="221"/>
      <c r="AB399" s="247"/>
    </row>
    <row r="400" spans="1:28" ht="17.100000000000001" customHeight="1" thickTop="1">
      <c r="A400" s="226" t="s">
        <v>5831</v>
      </c>
      <c r="B400" s="28">
        <v>44481</v>
      </c>
      <c r="C400" s="25">
        <v>868</v>
      </c>
      <c r="D400" s="13" t="s">
        <v>1632</v>
      </c>
      <c r="E400" s="228"/>
      <c r="F400" s="109" t="s">
        <v>1633</v>
      </c>
      <c r="G400" s="24" t="s">
        <v>1634</v>
      </c>
      <c r="H400" s="230">
        <v>4.5</v>
      </c>
      <c r="I400" s="220">
        <v>4610000</v>
      </c>
      <c r="J400" s="220">
        <v>461000</v>
      </c>
      <c r="K400" s="220">
        <v>21200</v>
      </c>
      <c r="L400" s="220">
        <v>20990</v>
      </c>
      <c r="M400" s="220">
        <v>13200</v>
      </c>
      <c r="N400" s="220">
        <f>SUM(I400:M401)</f>
        <v>5126390</v>
      </c>
      <c r="O400" s="224">
        <v>4700000</v>
      </c>
      <c r="P400" s="111" t="s">
        <v>1635</v>
      </c>
      <c r="Q400" s="15" t="s">
        <v>19</v>
      </c>
      <c r="R400" s="205"/>
      <c r="S400" s="189" t="s">
        <v>25369</v>
      </c>
      <c r="T400" s="114"/>
      <c r="U400" s="21" t="s">
        <v>1636</v>
      </c>
      <c r="V400" s="115"/>
      <c r="W400" s="116"/>
      <c r="X400" s="220"/>
      <c r="Y400" s="245">
        <f>X400*0.1</f>
        <v>0</v>
      </c>
      <c r="Z400" s="220"/>
      <c r="AA400" s="220">
        <f>SUM(X400:Z400)</f>
        <v>0</v>
      </c>
      <c r="AB400" s="246"/>
    </row>
    <row r="401" spans="1:28" ht="17.100000000000001" customHeight="1" thickBot="1">
      <c r="A401" s="227"/>
      <c r="B401" s="27" t="s">
        <v>1583</v>
      </c>
      <c r="C401" s="27">
        <v>90003</v>
      </c>
      <c r="D401" s="14" t="s">
        <v>273</v>
      </c>
      <c r="E401" s="229"/>
      <c r="F401" s="117" t="s">
        <v>1637</v>
      </c>
      <c r="G401" s="26">
        <v>44907</v>
      </c>
      <c r="H401" s="231"/>
      <c r="I401" s="221"/>
      <c r="J401" s="221"/>
      <c r="K401" s="221"/>
      <c r="L401" s="221"/>
      <c r="M401" s="221"/>
      <c r="N401" s="221"/>
      <c r="O401" s="225"/>
      <c r="P401" s="119" t="s">
        <v>1638</v>
      </c>
      <c r="Q401" s="16" t="s">
        <v>20</v>
      </c>
      <c r="R401" s="17" t="s">
        <v>1639</v>
      </c>
      <c r="S401" s="121" t="s">
        <v>505</v>
      </c>
      <c r="T401" s="122"/>
      <c r="U401" s="22" t="s">
        <v>106</v>
      </c>
      <c r="V401" s="123"/>
      <c r="W401" s="122"/>
      <c r="X401" s="221"/>
      <c r="Y401" s="221"/>
      <c r="Z401" s="221"/>
      <c r="AA401" s="221"/>
      <c r="AB401" s="247"/>
    </row>
    <row r="402" spans="1:28" ht="17.100000000000001" customHeight="1" thickTop="1">
      <c r="A402" s="226" t="s">
        <v>5832</v>
      </c>
      <c r="B402" s="28">
        <v>44483</v>
      </c>
      <c r="C402" s="25">
        <v>1342</v>
      </c>
      <c r="D402" s="13" t="s">
        <v>1640</v>
      </c>
      <c r="E402" s="228" t="s">
        <v>164</v>
      </c>
      <c r="F402" s="109" t="s">
        <v>1641</v>
      </c>
      <c r="G402" s="24" t="s">
        <v>1642</v>
      </c>
      <c r="H402" s="230">
        <v>5</v>
      </c>
      <c r="I402" s="220">
        <v>4175000</v>
      </c>
      <c r="J402" s="220">
        <v>417500</v>
      </c>
      <c r="K402" s="220">
        <v>36600</v>
      </c>
      <c r="L402" s="220">
        <v>26520</v>
      </c>
      <c r="M402" s="220">
        <v>13200</v>
      </c>
      <c r="N402" s="220">
        <f>SUM(I402:M403)</f>
        <v>4668820</v>
      </c>
      <c r="O402" s="224"/>
      <c r="P402" s="111" t="s">
        <v>1643</v>
      </c>
      <c r="Q402" s="15" t="s">
        <v>19</v>
      </c>
      <c r="R402" s="205"/>
      <c r="S402" s="189" t="s">
        <v>1271</v>
      </c>
      <c r="T402" s="114" t="s">
        <v>1644</v>
      </c>
      <c r="U402" s="21" t="s">
        <v>1645</v>
      </c>
      <c r="V402" s="115"/>
      <c r="W402" s="116"/>
      <c r="X402" s="220"/>
      <c r="Y402" s="245">
        <f>X402*0.1</f>
        <v>0</v>
      </c>
      <c r="Z402" s="220"/>
      <c r="AA402" s="220">
        <f>SUM(X402:Z402)</f>
        <v>0</v>
      </c>
      <c r="AB402" s="246"/>
    </row>
    <row r="403" spans="1:28" ht="17.100000000000001" customHeight="1" thickBot="1">
      <c r="A403" s="227"/>
      <c r="B403" s="27" t="s">
        <v>1592</v>
      </c>
      <c r="C403" s="27">
        <v>75378</v>
      </c>
      <c r="D403" s="14" t="s">
        <v>273</v>
      </c>
      <c r="E403" s="229"/>
      <c r="F403" s="117" t="s">
        <v>1646</v>
      </c>
      <c r="G403" s="26">
        <v>43444</v>
      </c>
      <c r="H403" s="231"/>
      <c r="I403" s="221"/>
      <c r="J403" s="221"/>
      <c r="K403" s="221"/>
      <c r="L403" s="221"/>
      <c r="M403" s="221"/>
      <c r="N403" s="221"/>
      <c r="O403" s="225"/>
      <c r="P403" s="119" t="s">
        <v>1647</v>
      </c>
      <c r="Q403" s="16" t="s">
        <v>20</v>
      </c>
      <c r="R403" s="17" t="s">
        <v>1648</v>
      </c>
      <c r="S403" s="121" t="s">
        <v>1649</v>
      </c>
      <c r="T403" s="122"/>
      <c r="U403" s="22"/>
      <c r="V403" s="123"/>
      <c r="W403" s="122"/>
      <c r="X403" s="221"/>
      <c r="Y403" s="221"/>
      <c r="Z403" s="221"/>
      <c r="AA403" s="221"/>
      <c r="AB403" s="247"/>
    </row>
    <row r="404" spans="1:28" ht="17.100000000000001" customHeight="1" thickTop="1">
      <c r="A404" s="226" t="s">
        <v>5833</v>
      </c>
      <c r="B404" s="28">
        <v>44484</v>
      </c>
      <c r="C404" s="25">
        <v>1911</v>
      </c>
      <c r="D404" s="13" t="s">
        <v>1650</v>
      </c>
      <c r="E404" s="228"/>
      <c r="F404" s="109" t="s">
        <v>1651</v>
      </c>
      <c r="G404" s="24" t="s">
        <v>1555</v>
      </c>
      <c r="H404" s="230">
        <v>3.5</v>
      </c>
      <c r="I404" s="220">
        <v>1000000</v>
      </c>
      <c r="J404" s="220">
        <v>100000</v>
      </c>
      <c r="K404" s="220">
        <v>31800</v>
      </c>
      <c r="L404" s="220">
        <v>15490</v>
      </c>
      <c r="M404" s="220">
        <v>13200</v>
      </c>
      <c r="N404" s="220">
        <f>SUM(I404:M405)</f>
        <v>1160490</v>
      </c>
      <c r="O404" s="224"/>
      <c r="P404" s="111" t="s">
        <v>1652</v>
      </c>
      <c r="Q404" s="15" t="s">
        <v>19</v>
      </c>
      <c r="R404" s="205"/>
      <c r="S404" s="189"/>
      <c r="T404" s="114"/>
      <c r="U404" s="21" t="s">
        <v>1653</v>
      </c>
      <c r="V404" s="115"/>
      <c r="W404" s="116"/>
      <c r="X404" s="220"/>
      <c r="Y404" s="245">
        <f>X404*0.1</f>
        <v>0</v>
      </c>
      <c r="Z404" s="220"/>
      <c r="AA404" s="220">
        <f>SUM(X404:Z404)</f>
        <v>0</v>
      </c>
      <c r="AB404" s="246"/>
    </row>
    <row r="405" spans="1:28" ht="17.100000000000001" customHeight="1" thickBot="1">
      <c r="A405" s="227"/>
      <c r="B405" s="27" t="s">
        <v>1536</v>
      </c>
      <c r="C405" s="27">
        <v>20427</v>
      </c>
      <c r="D405" s="14" t="s">
        <v>1627</v>
      </c>
      <c r="E405" s="229"/>
      <c r="F405" s="117" t="s">
        <v>1654</v>
      </c>
      <c r="G405" s="26">
        <v>72076</v>
      </c>
      <c r="H405" s="231"/>
      <c r="I405" s="221"/>
      <c r="J405" s="221"/>
      <c r="K405" s="221"/>
      <c r="L405" s="221"/>
      <c r="M405" s="221"/>
      <c r="N405" s="221"/>
      <c r="O405" s="225"/>
      <c r="P405" s="119" t="s">
        <v>1655</v>
      </c>
      <c r="Q405" s="16" t="s">
        <v>20</v>
      </c>
      <c r="R405" s="17" t="s">
        <v>1656</v>
      </c>
      <c r="S405" s="121" t="s">
        <v>1657</v>
      </c>
      <c r="T405" s="122"/>
      <c r="U405" s="22" t="s">
        <v>50</v>
      </c>
      <c r="V405" s="123"/>
      <c r="W405" s="122"/>
      <c r="X405" s="221"/>
      <c r="Y405" s="221"/>
      <c r="Z405" s="221"/>
      <c r="AA405" s="221"/>
      <c r="AB405" s="247"/>
    </row>
    <row r="406" spans="1:28" ht="17.100000000000001" customHeight="1" thickTop="1">
      <c r="A406" s="226" t="s">
        <v>5834</v>
      </c>
      <c r="B406" s="28">
        <v>44491</v>
      </c>
      <c r="C406" s="25">
        <v>1912</v>
      </c>
      <c r="D406" s="13" t="s">
        <v>1658</v>
      </c>
      <c r="E406" s="228"/>
      <c r="F406" s="109" t="s">
        <v>1554</v>
      </c>
      <c r="G406" s="24" t="s">
        <v>1659</v>
      </c>
      <c r="H406" s="230">
        <v>4</v>
      </c>
      <c r="I406" s="220">
        <v>1670000</v>
      </c>
      <c r="J406" s="220">
        <v>167000</v>
      </c>
      <c r="K406" s="220">
        <v>16400</v>
      </c>
      <c r="L406" s="220">
        <v>18960</v>
      </c>
      <c r="M406" s="220">
        <v>13200</v>
      </c>
      <c r="N406" s="220">
        <f>SUM(I406:M407)</f>
        <v>1885560</v>
      </c>
      <c r="O406" s="224">
        <v>1500000</v>
      </c>
      <c r="P406" s="111" t="s">
        <v>1660</v>
      </c>
      <c r="Q406" s="15" t="s">
        <v>19</v>
      </c>
      <c r="R406" s="205"/>
      <c r="S406" s="189" t="s">
        <v>758</v>
      </c>
      <c r="T406" s="114"/>
      <c r="U406" s="21" t="s">
        <v>1662</v>
      </c>
      <c r="V406" s="115"/>
      <c r="W406" s="116"/>
      <c r="X406" s="220"/>
      <c r="Y406" s="245">
        <f>X406*0.1</f>
        <v>0</v>
      </c>
      <c r="Z406" s="220"/>
      <c r="AA406" s="220">
        <f>SUM(X406:Z406)</f>
        <v>0</v>
      </c>
      <c r="AB406" s="246"/>
    </row>
    <row r="407" spans="1:28" ht="17.100000000000001" customHeight="1" thickBot="1">
      <c r="A407" s="227"/>
      <c r="B407" s="27" t="s">
        <v>1536</v>
      </c>
      <c r="C407" s="27">
        <v>58588</v>
      </c>
      <c r="D407" s="14" t="s">
        <v>1602</v>
      </c>
      <c r="E407" s="229"/>
      <c r="F407" s="117" t="s">
        <v>1663</v>
      </c>
      <c r="G407" s="26">
        <v>41805</v>
      </c>
      <c r="H407" s="231"/>
      <c r="I407" s="221"/>
      <c r="J407" s="221"/>
      <c r="K407" s="221"/>
      <c r="L407" s="221"/>
      <c r="M407" s="221"/>
      <c r="N407" s="221"/>
      <c r="O407" s="225"/>
      <c r="P407" s="119" t="s">
        <v>1664</v>
      </c>
      <c r="Q407" s="16" t="s">
        <v>20</v>
      </c>
      <c r="R407" s="17" t="s">
        <v>1665</v>
      </c>
      <c r="S407" s="121" t="s">
        <v>1597</v>
      </c>
      <c r="T407" s="122"/>
      <c r="U407" s="22" t="s">
        <v>1290</v>
      </c>
      <c r="V407" s="123"/>
      <c r="W407" s="122"/>
      <c r="X407" s="221"/>
      <c r="Y407" s="221"/>
      <c r="Z407" s="221"/>
      <c r="AA407" s="221"/>
      <c r="AB407" s="247"/>
    </row>
    <row r="408" spans="1:28" ht="17.100000000000001" customHeight="1" thickTop="1">
      <c r="A408" s="226" t="s">
        <v>5835</v>
      </c>
      <c r="B408" s="28">
        <v>44498</v>
      </c>
      <c r="C408" s="25">
        <v>1913</v>
      </c>
      <c r="D408" s="13" t="s">
        <v>1666</v>
      </c>
      <c r="E408" s="228"/>
      <c r="F408" s="109" t="s">
        <v>1667</v>
      </c>
      <c r="G408" s="24" t="s">
        <v>1634</v>
      </c>
      <c r="H408" s="230">
        <v>5</v>
      </c>
      <c r="I408" s="220">
        <v>1770000</v>
      </c>
      <c r="J408" s="220">
        <v>177000</v>
      </c>
      <c r="K408" s="220">
        <v>16400</v>
      </c>
      <c r="L408" s="220">
        <v>19370</v>
      </c>
      <c r="M408" s="220">
        <v>13200</v>
      </c>
      <c r="N408" s="220">
        <f>SUM(I408:M409)</f>
        <v>1995970</v>
      </c>
      <c r="O408" s="224">
        <v>1500000</v>
      </c>
      <c r="P408" s="111" t="s">
        <v>1668</v>
      </c>
      <c r="Q408" s="15" t="s">
        <v>19</v>
      </c>
      <c r="R408" s="205"/>
      <c r="S408" s="189" t="s">
        <v>25370</v>
      </c>
      <c r="T408" s="114"/>
      <c r="U408" s="21" t="s">
        <v>1669</v>
      </c>
      <c r="V408" s="115"/>
      <c r="W408" s="116"/>
      <c r="X408" s="220"/>
      <c r="Y408" s="245">
        <f>X408*0.1</f>
        <v>0</v>
      </c>
      <c r="Z408" s="220"/>
      <c r="AA408" s="220">
        <f>SUM(X408:Z408)</f>
        <v>0</v>
      </c>
      <c r="AB408" s="246"/>
    </row>
    <row r="409" spans="1:28" ht="17.100000000000001" customHeight="1" thickBot="1">
      <c r="A409" s="227"/>
      <c r="B409" s="27" t="s">
        <v>1536</v>
      </c>
      <c r="C409" s="27">
        <v>58263</v>
      </c>
      <c r="D409" s="14" t="s">
        <v>1670</v>
      </c>
      <c r="E409" s="229"/>
      <c r="F409" s="117" t="s">
        <v>1671</v>
      </c>
      <c r="G409" s="26">
        <v>33245</v>
      </c>
      <c r="H409" s="231"/>
      <c r="I409" s="221"/>
      <c r="J409" s="221"/>
      <c r="K409" s="221"/>
      <c r="L409" s="221"/>
      <c r="M409" s="221"/>
      <c r="N409" s="221"/>
      <c r="O409" s="225"/>
      <c r="P409" s="119" t="s">
        <v>1672</v>
      </c>
      <c r="Q409" s="16" t="s">
        <v>20</v>
      </c>
      <c r="R409" s="17" t="s">
        <v>1673</v>
      </c>
      <c r="S409" s="121" t="s">
        <v>1674</v>
      </c>
      <c r="T409" s="122"/>
      <c r="U409" s="22" t="s">
        <v>1675</v>
      </c>
      <c r="V409" s="123"/>
      <c r="W409" s="122"/>
      <c r="X409" s="221"/>
      <c r="Y409" s="221"/>
      <c r="Z409" s="221"/>
      <c r="AA409" s="221"/>
      <c r="AB409" s="247"/>
    </row>
    <row r="410" spans="1:28" ht="17.100000000000001" customHeight="1" thickTop="1">
      <c r="A410" s="226" t="s">
        <v>5836</v>
      </c>
      <c r="B410" s="28">
        <v>44505</v>
      </c>
      <c r="C410" s="25">
        <v>1914</v>
      </c>
      <c r="D410" s="13" t="s">
        <v>1676</v>
      </c>
      <c r="E410" s="228"/>
      <c r="F410" s="109" t="s">
        <v>1677</v>
      </c>
      <c r="G410" s="24" t="s">
        <v>1678</v>
      </c>
      <c r="H410" s="230">
        <v>4</v>
      </c>
      <c r="I410" s="220">
        <v>700000</v>
      </c>
      <c r="J410" s="220">
        <v>70000</v>
      </c>
      <c r="K410" s="220">
        <v>13100</v>
      </c>
      <c r="L410" s="220">
        <v>19950</v>
      </c>
      <c r="M410" s="220">
        <v>13200</v>
      </c>
      <c r="N410" s="220">
        <f>SUM(I410:M411)</f>
        <v>816250</v>
      </c>
      <c r="O410" s="224">
        <v>400000</v>
      </c>
      <c r="P410" s="111" t="s">
        <v>1679</v>
      </c>
      <c r="Q410" s="15" t="s">
        <v>19</v>
      </c>
      <c r="R410" s="205"/>
      <c r="S410" s="189" t="s">
        <v>25371</v>
      </c>
      <c r="T410" s="114"/>
      <c r="U410" s="21" t="s">
        <v>1681</v>
      </c>
      <c r="V410" s="115"/>
      <c r="W410" s="116"/>
      <c r="X410" s="220"/>
      <c r="Y410" s="245">
        <f>X410*0.1</f>
        <v>0</v>
      </c>
      <c r="Z410" s="220"/>
      <c r="AA410" s="220">
        <f>SUM(X410:Z410)</f>
        <v>0</v>
      </c>
      <c r="AB410" s="246"/>
    </row>
    <row r="411" spans="1:28" ht="17.100000000000001" customHeight="1" thickBot="1">
      <c r="A411" s="227"/>
      <c r="B411" s="27" t="s">
        <v>1536</v>
      </c>
      <c r="C411" s="27">
        <v>20674</v>
      </c>
      <c r="D411" s="14" t="s">
        <v>1627</v>
      </c>
      <c r="E411" s="229"/>
      <c r="F411" s="117" t="s">
        <v>1682</v>
      </c>
      <c r="G411" s="26">
        <v>36064</v>
      </c>
      <c r="H411" s="231"/>
      <c r="I411" s="221"/>
      <c r="J411" s="221"/>
      <c r="K411" s="221"/>
      <c r="L411" s="221"/>
      <c r="M411" s="221"/>
      <c r="N411" s="221"/>
      <c r="O411" s="225"/>
      <c r="P411" s="119" t="s">
        <v>1683</v>
      </c>
      <c r="Q411" s="16" t="s">
        <v>20</v>
      </c>
      <c r="R411" s="17" t="s">
        <v>1684</v>
      </c>
      <c r="S411" s="121" t="s">
        <v>1606</v>
      </c>
      <c r="T411" s="122"/>
      <c r="U411" s="22" t="s">
        <v>1511</v>
      </c>
      <c r="V411" s="123"/>
      <c r="W411" s="122"/>
      <c r="X411" s="221"/>
      <c r="Y411" s="221"/>
      <c r="Z411" s="221"/>
      <c r="AA411" s="221"/>
      <c r="AB411" s="247"/>
    </row>
    <row r="412" spans="1:28" ht="17.100000000000001" customHeight="1" thickTop="1">
      <c r="A412" s="226" t="s">
        <v>5837</v>
      </c>
      <c r="B412" s="28">
        <v>44512</v>
      </c>
      <c r="C412" s="25">
        <v>1915</v>
      </c>
      <c r="D412" s="13" t="s">
        <v>1685</v>
      </c>
      <c r="E412" s="228"/>
      <c r="F412" s="109" t="s">
        <v>1686</v>
      </c>
      <c r="G412" s="24" t="s">
        <v>1687</v>
      </c>
      <c r="H412" s="230">
        <v>4.5</v>
      </c>
      <c r="I412" s="220">
        <v>1260000</v>
      </c>
      <c r="J412" s="220">
        <v>126000</v>
      </c>
      <c r="K412" s="220">
        <v>11500</v>
      </c>
      <c r="L412" s="220">
        <v>18570</v>
      </c>
      <c r="M412" s="220">
        <v>13200</v>
      </c>
      <c r="N412" s="220">
        <f>SUM(I412:M413)</f>
        <v>1429270</v>
      </c>
      <c r="O412" s="224">
        <v>1100000</v>
      </c>
      <c r="P412" s="111" t="s">
        <v>1688</v>
      </c>
      <c r="Q412" s="15" t="s">
        <v>19</v>
      </c>
      <c r="R412" s="205"/>
      <c r="S412" s="189" t="s">
        <v>1422</v>
      </c>
      <c r="T412" s="114"/>
      <c r="U412" s="21" t="s">
        <v>1689</v>
      </c>
      <c r="V412" s="115"/>
      <c r="W412" s="116"/>
      <c r="X412" s="220"/>
      <c r="Y412" s="245">
        <f>X412*0.1</f>
        <v>0</v>
      </c>
      <c r="Z412" s="220"/>
      <c r="AA412" s="220">
        <f>SUM(X412:Z412)</f>
        <v>0</v>
      </c>
      <c r="AB412" s="246"/>
    </row>
    <row r="413" spans="1:28" ht="17.100000000000001" customHeight="1" thickBot="1">
      <c r="A413" s="227"/>
      <c r="B413" s="27" t="s">
        <v>1536</v>
      </c>
      <c r="C413" s="27">
        <v>58247</v>
      </c>
      <c r="D413" s="14" t="s">
        <v>1690</v>
      </c>
      <c r="E413" s="229"/>
      <c r="F413" s="117" t="s">
        <v>1691</v>
      </c>
      <c r="G413" s="26">
        <v>45636</v>
      </c>
      <c r="H413" s="231"/>
      <c r="I413" s="221"/>
      <c r="J413" s="221"/>
      <c r="K413" s="221"/>
      <c r="L413" s="221"/>
      <c r="M413" s="221"/>
      <c r="N413" s="221"/>
      <c r="O413" s="225"/>
      <c r="P413" s="119" t="s">
        <v>1692</v>
      </c>
      <c r="Q413" s="16" t="s">
        <v>20</v>
      </c>
      <c r="R413" s="17" t="s">
        <v>1693</v>
      </c>
      <c r="S413" s="121" t="s">
        <v>1694</v>
      </c>
      <c r="T413" s="122"/>
      <c r="U413" s="22" t="s">
        <v>50</v>
      </c>
      <c r="V413" s="123"/>
      <c r="W413" s="122"/>
      <c r="X413" s="221"/>
      <c r="Y413" s="221"/>
      <c r="Z413" s="221"/>
      <c r="AA413" s="221"/>
      <c r="AB413" s="247"/>
    </row>
    <row r="414" spans="1:28" ht="17.100000000000001" customHeight="1" thickTop="1">
      <c r="A414" s="226" t="s">
        <v>5838</v>
      </c>
      <c r="B414" s="28">
        <v>44513</v>
      </c>
      <c r="C414" s="25">
        <v>803</v>
      </c>
      <c r="D414" s="13" t="s">
        <v>1542</v>
      </c>
      <c r="E414" s="228"/>
      <c r="F414" s="109" t="s">
        <v>1677</v>
      </c>
      <c r="G414" s="24"/>
      <c r="H414" s="230">
        <v>4.5</v>
      </c>
      <c r="I414" s="220">
        <v>563000</v>
      </c>
      <c r="J414" s="220">
        <v>56300</v>
      </c>
      <c r="K414" s="220">
        <v>0</v>
      </c>
      <c r="L414" s="220">
        <v>19950</v>
      </c>
      <c r="M414" s="220">
        <v>15950</v>
      </c>
      <c r="N414" s="220">
        <f>SUM(I414:M415)</f>
        <v>655200</v>
      </c>
      <c r="O414" s="224">
        <v>300000</v>
      </c>
      <c r="P414" s="111" t="s">
        <v>1695</v>
      </c>
      <c r="Q414" s="15" t="s">
        <v>19</v>
      </c>
      <c r="R414" s="205"/>
      <c r="S414" s="189" t="s">
        <v>1341</v>
      </c>
      <c r="T414" s="114"/>
      <c r="U414" s="21"/>
      <c r="V414" s="115"/>
      <c r="W414" s="116"/>
      <c r="X414" s="220"/>
      <c r="Y414" s="245">
        <f>X414*0.1</f>
        <v>0</v>
      </c>
      <c r="Z414" s="220"/>
      <c r="AA414" s="220">
        <f>SUM(X414:Z414)</f>
        <v>0</v>
      </c>
      <c r="AB414" s="246"/>
    </row>
    <row r="415" spans="1:28" ht="17.100000000000001" customHeight="1" thickBot="1">
      <c r="A415" s="227"/>
      <c r="B415" s="27" t="s">
        <v>1697</v>
      </c>
      <c r="C415" s="27">
        <v>5018</v>
      </c>
      <c r="D415" s="14" t="s">
        <v>1584</v>
      </c>
      <c r="E415" s="229"/>
      <c r="F415" s="117" t="s">
        <v>1698</v>
      </c>
      <c r="G415" s="26">
        <v>46468</v>
      </c>
      <c r="H415" s="231"/>
      <c r="I415" s="221"/>
      <c r="J415" s="221"/>
      <c r="K415" s="221"/>
      <c r="L415" s="221"/>
      <c r="M415" s="221"/>
      <c r="N415" s="221"/>
      <c r="O415" s="225"/>
      <c r="P415" s="119" t="s">
        <v>1699</v>
      </c>
      <c r="Q415" s="16" t="s">
        <v>20</v>
      </c>
      <c r="R415" s="17" t="s">
        <v>1693</v>
      </c>
      <c r="S415" s="121" t="s">
        <v>1700</v>
      </c>
      <c r="T415" s="122" t="s">
        <v>1701</v>
      </c>
      <c r="U415" s="22"/>
      <c r="V415" s="123"/>
      <c r="W415" s="122"/>
      <c r="X415" s="221"/>
      <c r="Y415" s="221"/>
      <c r="Z415" s="221"/>
      <c r="AA415" s="221"/>
      <c r="AB415" s="247"/>
    </row>
    <row r="416" spans="1:28" ht="17.100000000000001" customHeight="1" thickTop="1">
      <c r="A416" s="226" t="s">
        <v>5839</v>
      </c>
      <c r="B416" s="28">
        <v>44515</v>
      </c>
      <c r="C416" s="25"/>
      <c r="D416" s="13" t="s">
        <v>1702</v>
      </c>
      <c r="E416" s="228"/>
      <c r="F416" s="109" t="s">
        <v>1703</v>
      </c>
      <c r="G416" s="24" t="s">
        <v>1704</v>
      </c>
      <c r="H416" s="232" t="s">
        <v>1705</v>
      </c>
      <c r="I416" s="220">
        <v>450000</v>
      </c>
      <c r="J416" s="220">
        <v>45000</v>
      </c>
      <c r="K416" s="220">
        <v>0</v>
      </c>
      <c r="L416" s="220">
        <v>8680</v>
      </c>
      <c r="M416" s="220">
        <v>52106</v>
      </c>
      <c r="N416" s="220">
        <f>SUM(I416:M417)</f>
        <v>555786</v>
      </c>
      <c r="O416" s="224">
        <v>300000</v>
      </c>
      <c r="P416" s="111" t="s">
        <v>1706</v>
      </c>
      <c r="Q416" s="15" t="s">
        <v>19</v>
      </c>
      <c r="R416" s="205"/>
      <c r="S416" s="189" t="s">
        <v>25372</v>
      </c>
      <c r="T416" s="114" t="s">
        <v>1707</v>
      </c>
      <c r="U416" s="21"/>
      <c r="V416" s="115"/>
      <c r="W416" s="116"/>
      <c r="X416" s="220"/>
      <c r="Y416" s="245">
        <f>X416*0.1</f>
        <v>0</v>
      </c>
      <c r="Z416" s="220"/>
      <c r="AA416" s="220">
        <f>SUM(X416:Z416)</f>
        <v>0</v>
      </c>
      <c r="AB416" s="246"/>
    </row>
    <row r="417" spans="1:28" ht="17.100000000000001" customHeight="1" thickBot="1">
      <c r="A417" s="227"/>
      <c r="B417" s="27" t="s">
        <v>1708</v>
      </c>
      <c r="C417" s="27" t="s">
        <v>1709</v>
      </c>
      <c r="D417" s="14" t="s">
        <v>1710</v>
      </c>
      <c r="E417" s="229"/>
      <c r="F417" s="117" t="s">
        <v>1711</v>
      </c>
      <c r="G417" s="26">
        <v>35297</v>
      </c>
      <c r="H417" s="231"/>
      <c r="I417" s="221"/>
      <c r="J417" s="221"/>
      <c r="K417" s="221"/>
      <c r="L417" s="221"/>
      <c r="M417" s="221"/>
      <c r="N417" s="221"/>
      <c r="O417" s="225"/>
      <c r="P417" s="119" t="s">
        <v>1712</v>
      </c>
      <c r="Q417" s="16" t="s">
        <v>20</v>
      </c>
      <c r="R417" s="17" t="s">
        <v>1713</v>
      </c>
      <c r="S417" s="121" t="s">
        <v>1714</v>
      </c>
      <c r="T417" s="122"/>
      <c r="U417" s="22"/>
      <c r="V417" s="123"/>
      <c r="W417" s="122"/>
      <c r="X417" s="221"/>
      <c r="Y417" s="221"/>
      <c r="Z417" s="221"/>
      <c r="AA417" s="221"/>
      <c r="AB417" s="247"/>
    </row>
    <row r="418" spans="1:28" ht="17.100000000000001" customHeight="1" thickTop="1">
      <c r="A418" s="226" t="s">
        <v>5840</v>
      </c>
      <c r="B418" s="28">
        <v>44520</v>
      </c>
      <c r="C418" s="25">
        <v>1324</v>
      </c>
      <c r="D418" s="13" t="s">
        <v>1715</v>
      </c>
      <c r="E418" s="228"/>
      <c r="F418" s="109" t="s">
        <v>1716</v>
      </c>
      <c r="G418" s="24" t="s">
        <v>1634</v>
      </c>
      <c r="H418" s="230">
        <v>5</v>
      </c>
      <c r="I418" s="220">
        <v>2105000</v>
      </c>
      <c r="J418" s="220">
        <v>210500</v>
      </c>
      <c r="K418" s="220">
        <v>11500</v>
      </c>
      <c r="L418" s="220">
        <v>12370</v>
      </c>
      <c r="M418" s="220">
        <v>13200</v>
      </c>
      <c r="N418" s="220">
        <f>SUM(I418:M419)</f>
        <v>2352570</v>
      </c>
      <c r="O418" s="224">
        <v>2000000</v>
      </c>
      <c r="P418" s="111" t="s">
        <v>1717</v>
      </c>
      <c r="Q418" s="15" t="s">
        <v>19</v>
      </c>
      <c r="R418" s="205"/>
      <c r="S418" s="189" t="s">
        <v>1312</v>
      </c>
      <c r="T418" s="114"/>
      <c r="U418" s="21" t="s">
        <v>1718</v>
      </c>
      <c r="V418" s="115"/>
      <c r="W418" s="116"/>
      <c r="X418" s="220"/>
      <c r="Y418" s="245">
        <f>X418*0.1</f>
        <v>0</v>
      </c>
      <c r="Z418" s="220"/>
      <c r="AA418" s="220">
        <f>SUM(X418:Z418)</f>
        <v>0</v>
      </c>
      <c r="AB418" s="246"/>
    </row>
    <row r="419" spans="1:28" ht="17.100000000000001" customHeight="1" thickBot="1">
      <c r="A419" s="227"/>
      <c r="B419" s="27" t="s">
        <v>1547</v>
      </c>
      <c r="C419" s="27">
        <v>83106</v>
      </c>
      <c r="D419" s="14" t="s">
        <v>131</v>
      </c>
      <c r="E419" s="229"/>
      <c r="F419" s="117" t="s">
        <v>1719</v>
      </c>
      <c r="G419" s="26">
        <v>22678</v>
      </c>
      <c r="H419" s="231"/>
      <c r="I419" s="221"/>
      <c r="J419" s="221"/>
      <c r="K419" s="221"/>
      <c r="L419" s="221"/>
      <c r="M419" s="221"/>
      <c r="N419" s="221"/>
      <c r="O419" s="225"/>
      <c r="P419" s="119" t="s">
        <v>1720</v>
      </c>
      <c r="Q419" s="16" t="s">
        <v>20</v>
      </c>
      <c r="R419" s="17" t="s">
        <v>1721</v>
      </c>
      <c r="S419" s="121" t="s">
        <v>1722</v>
      </c>
      <c r="T419" s="122"/>
      <c r="U419" s="22" t="s">
        <v>1723</v>
      </c>
      <c r="V419" s="123"/>
      <c r="W419" s="122"/>
      <c r="X419" s="221"/>
      <c r="Y419" s="221"/>
      <c r="Z419" s="221"/>
      <c r="AA419" s="221"/>
      <c r="AB419" s="247"/>
    </row>
    <row r="420" spans="1:28" ht="17.100000000000001" customHeight="1" thickTop="1">
      <c r="A420" s="226" t="s">
        <v>5841</v>
      </c>
      <c r="B420" s="28">
        <v>44525</v>
      </c>
      <c r="C420" s="25">
        <v>1536</v>
      </c>
      <c r="D420" s="13" t="s">
        <v>1685</v>
      </c>
      <c r="E420" s="228"/>
      <c r="F420" s="109" t="s">
        <v>1724</v>
      </c>
      <c r="G420" s="24" t="s">
        <v>1687</v>
      </c>
      <c r="H420" s="230">
        <v>4.5</v>
      </c>
      <c r="I420" s="220">
        <v>2381000</v>
      </c>
      <c r="J420" s="220">
        <v>238100</v>
      </c>
      <c r="K420" s="220">
        <v>19300</v>
      </c>
      <c r="L420" s="220">
        <v>18110</v>
      </c>
      <c r="M420" s="220">
        <v>15400</v>
      </c>
      <c r="N420" s="220">
        <f>SUM(I420:M421)</f>
        <v>2671910</v>
      </c>
      <c r="O420" s="224">
        <v>1800000</v>
      </c>
      <c r="P420" s="111" t="s">
        <v>1725</v>
      </c>
      <c r="Q420" s="15" t="s">
        <v>19</v>
      </c>
      <c r="R420" s="205"/>
      <c r="S420" s="189" t="s">
        <v>25373</v>
      </c>
      <c r="T420" s="114"/>
      <c r="U420" s="21" t="s">
        <v>1726</v>
      </c>
      <c r="V420" s="115">
        <v>46368</v>
      </c>
      <c r="W420" s="116"/>
      <c r="X420" s="220">
        <v>2956640</v>
      </c>
      <c r="Y420" s="245">
        <v>0</v>
      </c>
      <c r="Z420" s="220">
        <v>0</v>
      </c>
      <c r="AA420" s="220">
        <f>SUM(X420:Z420)</f>
        <v>2956640</v>
      </c>
      <c r="AB420" s="246">
        <v>46039</v>
      </c>
    </row>
    <row r="421" spans="1:28" ht="17.100000000000001" customHeight="1" thickBot="1">
      <c r="A421" s="227"/>
      <c r="B421" s="27" t="s">
        <v>1727</v>
      </c>
      <c r="C421" s="27">
        <v>1005</v>
      </c>
      <c r="D421" s="14" t="s">
        <v>1710</v>
      </c>
      <c r="E421" s="229"/>
      <c r="F421" s="117" t="s">
        <v>1728</v>
      </c>
      <c r="G421" s="26">
        <v>22333</v>
      </c>
      <c r="H421" s="231"/>
      <c r="I421" s="221"/>
      <c r="J421" s="221"/>
      <c r="K421" s="221"/>
      <c r="L421" s="221"/>
      <c r="M421" s="221"/>
      <c r="N421" s="221"/>
      <c r="O421" s="225"/>
      <c r="P421" s="119" t="s">
        <v>1729</v>
      </c>
      <c r="Q421" s="16" t="s">
        <v>20</v>
      </c>
      <c r="R421" s="17" t="s">
        <v>1730</v>
      </c>
      <c r="S421" s="121" t="s">
        <v>1731</v>
      </c>
      <c r="T421" s="122"/>
      <c r="U421" s="22" t="s">
        <v>1732</v>
      </c>
      <c r="V421" s="123" t="s">
        <v>17051</v>
      </c>
      <c r="W421" s="122"/>
      <c r="X421" s="221"/>
      <c r="Y421" s="221"/>
      <c r="Z421" s="221"/>
      <c r="AA421" s="221"/>
      <c r="AB421" s="247"/>
    </row>
    <row r="422" spans="1:28" ht="17.100000000000001" customHeight="1" thickTop="1">
      <c r="A422" s="226" t="s">
        <v>5842</v>
      </c>
      <c r="B422" s="28">
        <v>44532</v>
      </c>
      <c r="C422" s="25">
        <v>1115</v>
      </c>
      <c r="D422" s="13" t="s">
        <v>1733</v>
      </c>
      <c r="E422" s="228"/>
      <c r="F422" s="109" t="s">
        <v>1141</v>
      </c>
      <c r="G422" s="24"/>
      <c r="H422" s="230">
        <v>4</v>
      </c>
      <c r="I422" s="220">
        <v>2105000</v>
      </c>
      <c r="J422" s="220">
        <v>210500</v>
      </c>
      <c r="K422" s="220">
        <v>0</v>
      </c>
      <c r="L422" s="220">
        <v>17600</v>
      </c>
      <c r="M422" s="220">
        <v>13200</v>
      </c>
      <c r="N422" s="220">
        <f>SUM(I422:M423)</f>
        <v>2346300</v>
      </c>
      <c r="O422" s="224">
        <v>1900000</v>
      </c>
      <c r="P422" s="111" t="s">
        <v>1734</v>
      </c>
      <c r="Q422" s="15" t="s">
        <v>19</v>
      </c>
      <c r="R422" s="205"/>
      <c r="S422" s="189" t="s">
        <v>25374</v>
      </c>
      <c r="T422" s="114"/>
      <c r="U422" s="21"/>
      <c r="V422" s="115"/>
      <c r="W422" s="116"/>
      <c r="X422" s="220"/>
      <c r="Y422" s="245">
        <f>X422*0.1</f>
        <v>0</v>
      </c>
      <c r="Z422" s="220"/>
      <c r="AA422" s="220">
        <f>SUM(X422:Z422)</f>
        <v>0</v>
      </c>
      <c r="AB422" s="246"/>
    </row>
    <row r="423" spans="1:28" ht="17.100000000000001" customHeight="1" thickBot="1">
      <c r="A423" s="227"/>
      <c r="B423" s="27" t="s">
        <v>1735</v>
      </c>
      <c r="C423" s="27">
        <v>332</v>
      </c>
      <c r="D423" s="14" t="s">
        <v>1736</v>
      </c>
      <c r="E423" s="229"/>
      <c r="F423" s="117" t="s">
        <v>1737</v>
      </c>
      <c r="G423" s="26">
        <v>46233</v>
      </c>
      <c r="H423" s="231"/>
      <c r="I423" s="221"/>
      <c r="J423" s="221"/>
      <c r="K423" s="221"/>
      <c r="L423" s="221"/>
      <c r="M423" s="221"/>
      <c r="N423" s="221"/>
      <c r="O423" s="225"/>
      <c r="P423" s="119" t="s">
        <v>1738</v>
      </c>
      <c r="Q423" s="16" t="s">
        <v>20</v>
      </c>
      <c r="R423" s="17" t="s">
        <v>1739</v>
      </c>
      <c r="S423" s="121" t="s">
        <v>505</v>
      </c>
      <c r="T423" s="122"/>
      <c r="U423" s="22"/>
      <c r="V423" s="123"/>
      <c r="W423" s="122"/>
      <c r="X423" s="221"/>
      <c r="Y423" s="221"/>
      <c r="Z423" s="221"/>
      <c r="AA423" s="221"/>
      <c r="AB423" s="247"/>
    </row>
    <row r="424" spans="1:28" ht="17.100000000000001" customHeight="1" thickTop="1">
      <c r="A424" s="226" t="s">
        <v>5843</v>
      </c>
      <c r="B424" s="28">
        <v>44534</v>
      </c>
      <c r="C424" s="25">
        <v>1083</v>
      </c>
      <c r="D424" s="13" t="s">
        <v>1740</v>
      </c>
      <c r="E424" s="228"/>
      <c r="F424" s="109" t="s">
        <v>1741</v>
      </c>
      <c r="G424" s="24"/>
      <c r="H424" s="230">
        <v>4.5</v>
      </c>
      <c r="I424" s="220">
        <v>2340000</v>
      </c>
      <c r="J424" s="220">
        <v>234000</v>
      </c>
      <c r="K424" s="220">
        <v>0</v>
      </c>
      <c r="L424" s="220">
        <v>16070</v>
      </c>
      <c r="M424" s="220">
        <v>13200</v>
      </c>
      <c r="N424" s="220">
        <f>SUM(I424:M425)</f>
        <v>2603270</v>
      </c>
      <c r="O424" s="224">
        <v>2200000</v>
      </c>
      <c r="P424" s="111" t="s">
        <v>1742</v>
      </c>
      <c r="Q424" s="15" t="s">
        <v>19</v>
      </c>
      <c r="R424" s="205"/>
      <c r="S424" s="189" t="s">
        <v>1271</v>
      </c>
      <c r="T424" s="114"/>
      <c r="U424" s="21"/>
      <c r="V424" s="115"/>
      <c r="W424" s="116"/>
      <c r="X424" s="220"/>
      <c r="Y424" s="245">
        <f>X424*0.1</f>
        <v>0</v>
      </c>
      <c r="Z424" s="220"/>
      <c r="AA424" s="220">
        <f>SUM(X424:Z424)</f>
        <v>0</v>
      </c>
      <c r="AB424" s="246"/>
    </row>
    <row r="425" spans="1:28" ht="17.100000000000001" customHeight="1" thickBot="1">
      <c r="A425" s="227"/>
      <c r="B425" s="27" t="s">
        <v>1559</v>
      </c>
      <c r="C425" s="27">
        <v>82068</v>
      </c>
      <c r="D425" s="14" t="s">
        <v>273</v>
      </c>
      <c r="E425" s="229"/>
      <c r="F425" s="117" t="s">
        <v>1743</v>
      </c>
      <c r="G425" s="26">
        <v>12099</v>
      </c>
      <c r="H425" s="231"/>
      <c r="I425" s="221"/>
      <c r="J425" s="221"/>
      <c r="K425" s="221"/>
      <c r="L425" s="221"/>
      <c r="M425" s="221"/>
      <c r="N425" s="221"/>
      <c r="O425" s="225"/>
      <c r="P425" s="119" t="s">
        <v>1744</v>
      </c>
      <c r="Q425" s="16" t="s">
        <v>20</v>
      </c>
      <c r="R425" s="17" t="s">
        <v>1745</v>
      </c>
      <c r="S425" s="121" t="s">
        <v>1731</v>
      </c>
      <c r="T425" s="122"/>
      <c r="U425" s="22"/>
      <c r="V425" s="123"/>
      <c r="W425" s="122"/>
      <c r="X425" s="221"/>
      <c r="Y425" s="221"/>
      <c r="Z425" s="221"/>
      <c r="AA425" s="221"/>
      <c r="AB425" s="247"/>
    </row>
    <row r="426" spans="1:28" ht="17.100000000000001" customHeight="1" thickTop="1">
      <c r="A426" s="226" t="s">
        <v>5844</v>
      </c>
      <c r="B426" s="28">
        <v>44536</v>
      </c>
      <c r="C426" s="25">
        <v>1877</v>
      </c>
      <c r="D426" s="13" t="s">
        <v>1746</v>
      </c>
      <c r="E426" s="228"/>
      <c r="F426" s="109" t="s">
        <v>1747</v>
      </c>
      <c r="G426" s="24" t="s">
        <v>1748</v>
      </c>
      <c r="H426" s="230">
        <v>3.5</v>
      </c>
      <c r="I426" s="220">
        <v>1510000</v>
      </c>
      <c r="J426" s="220">
        <v>151000</v>
      </c>
      <c r="K426" s="220">
        <v>9800</v>
      </c>
      <c r="L426" s="220">
        <v>22640</v>
      </c>
      <c r="M426" s="220">
        <v>11000</v>
      </c>
      <c r="N426" s="220">
        <f>SUM(I426:M427)</f>
        <v>1704440</v>
      </c>
      <c r="O426" s="224">
        <v>1200000</v>
      </c>
      <c r="P426" s="111" t="s">
        <v>1749</v>
      </c>
      <c r="Q426" s="15" t="s">
        <v>19</v>
      </c>
      <c r="R426" s="205"/>
      <c r="S426" s="189" t="s">
        <v>25375</v>
      </c>
      <c r="T426" s="114"/>
      <c r="U426" s="21"/>
      <c r="V426" s="115"/>
      <c r="W426" s="116"/>
      <c r="X426" s="220"/>
      <c r="Y426" s="245">
        <f>X426*0.1</f>
        <v>0</v>
      </c>
      <c r="Z426" s="220"/>
      <c r="AA426" s="220">
        <f>SUM(X426:Z426)</f>
        <v>0</v>
      </c>
      <c r="AB426" s="246"/>
    </row>
    <row r="427" spans="1:28" ht="17.100000000000001" customHeight="1" thickBot="1">
      <c r="A427" s="227"/>
      <c r="B427" s="27" t="s">
        <v>82</v>
      </c>
      <c r="C427" s="27">
        <v>36023</v>
      </c>
      <c r="D427" s="14" t="s">
        <v>1584</v>
      </c>
      <c r="E427" s="229"/>
      <c r="F427" s="117" t="s">
        <v>1750</v>
      </c>
      <c r="G427" s="26">
        <v>56753</v>
      </c>
      <c r="H427" s="231"/>
      <c r="I427" s="221"/>
      <c r="J427" s="221"/>
      <c r="K427" s="221"/>
      <c r="L427" s="221"/>
      <c r="M427" s="221"/>
      <c r="N427" s="221"/>
      <c r="O427" s="225"/>
      <c r="P427" s="119" t="s">
        <v>1751</v>
      </c>
      <c r="Q427" s="16" t="s">
        <v>20</v>
      </c>
      <c r="R427" s="17" t="s">
        <v>1752</v>
      </c>
      <c r="S427" s="121" t="s">
        <v>1753</v>
      </c>
      <c r="T427" s="122"/>
      <c r="U427" s="22" t="s">
        <v>50</v>
      </c>
      <c r="V427" s="123"/>
      <c r="W427" s="122"/>
      <c r="X427" s="221"/>
      <c r="Y427" s="221"/>
      <c r="Z427" s="221"/>
      <c r="AA427" s="221"/>
      <c r="AB427" s="247"/>
    </row>
    <row r="428" spans="1:28" ht="17.100000000000001" customHeight="1" thickTop="1">
      <c r="A428" s="226" t="s">
        <v>5845</v>
      </c>
      <c r="B428" s="28">
        <v>44539</v>
      </c>
      <c r="C428" s="25">
        <v>1116</v>
      </c>
      <c r="D428" s="13" t="s">
        <v>1754</v>
      </c>
      <c r="E428" s="228"/>
      <c r="F428" s="109" t="s">
        <v>1755</v>
      </c>
      <c r="G428" s="24"/>
      <c r="H428" s="230">
        <v>4.5</v>
      </c>
      <c r="I428" s="220">
        <v>2010000</v>
      </c>
      <c r="J428" s="220">
        <v>201000</v>
      </c>
      <c r="K428" s="220">
        <v>0</v>
      </c>
      <c r="L428" s="220">
        <v>12450</v>
      </c>
      <c r="M428" s="220">
        <v>24200</v>
      </c>
      <c r="N428" s="220">
        <f>SUM(I428:M429)</f>
        <v>2247650</v>
      </c>
      <c r="O428" s="224">
        <v>1500000</v>
      </c>
      <c r="P428" s="111" t="s">
        <v>1756</v>
      </c>
      <c r="Q428" s="15" t="s">
        <v>19</v>
      </c>
      <c r="R428" s="205"/>
      <c r="S428" s="189" t="s">
        <v>25376</v>
      </c>
      <c r="T428" s="114"/>
      <c r="U428" s="21"/>
      <c r="V428" s="115"/>
      <c r="W428" s="116"/>
      <c r="X428" s="220"/>
      <c r="Y428" s="245">
        <f>X428*0.1</f>
        <v>0</v>
      </c>
      <c r="Z428" s="220"/>
      <c r="AA428" s="220">
        <f>SUM(X428:Z428)</f>
        <v>0</v>
      </c>
      <c r="AB428" s="246"/>
    </row>
    <row r="429" spans="1:28" ht="17.100000000000001" customHeight="1" thickBot="1">
      <c r="A429" s="227"/>
      <c r="B429" s="27" t="s">
        <v>1735</v>
      </c>
      <c r="C429" s="27">
        <v>343</v>
      </c>
      <c r="D429" s="66" t="s">
        <v>1757</v>
      </c>
      <c r="E429" s="229"/>
      <c r="F429" s="117" t="s">
        <v>1758</v>
      </c>
      <c r="G429" s="26">
        <v>49773</v>
      </c>
      <c r="H429" s="231"/>
      <c r="I429" s="221"/>
      <c r="J429" s="221"/>
      <c r="K429" s="221"/>
      <c r="L429" s="221"/>
      <c r="M429" s="221"/>
      <c r="N429" s="221"/>
      <c r="O429" s="225"/>
      <c r="P429" s="119" t="s">
        <v>1759</v>
      </c>
      <c r="Q429" s="16" t="s">
        <v>20</v>
      </c>
      <c r="R429" s="17" t="s">
        <v>1745</v>
      </c>
      <c r="S429" s="121" t="s">
        <v>1760</v>
      </c>
      <c r="T429" s="122" t="s">
        <v>1761</v>
      </c>
      <c r="U429" s="22"/>
      <c r="V429" s="123"/>
      <c r="W429" s="122"/>
      <c r="X429" s="221"/>
      <c r="Y429" s="221"/>
      <c r="Z429" s="221"/>
      <c r="AA429" s="221"/>
      <c r="AB429" s="247"/>
    </row>
    <row r="430" spans="1:28" ht="17.100000000000001" customHeight="1" thickTop="1">
      <c r="A430" s="226" t="s">
        <v>5846</v>
      </c>
      <c r="B430" s="28">
        <v>44541</v>
      </c>
      <c r="C430" s="25">
        <v>1249</v>
      </c>
      <c r="D430" s="13" t="s">
        <v>1762</v>
      </c>
      <c r="E430" s="228"/>
      <c r="F430" s="109" t="s">
        <v>1763</v>
      </c>
      <c r="G430" s="24"/>
      <c r="H430" s="230">
        <v>4.5</v>
      </c>
      <c r="I430" s="220">
        <v>1832000</v>
      </c>
      <c r="J430" s="220">
        <v>183200</v>
      </c>
      <c r="K430" s="220">
        <v>0</v>
      </c>
      <c r="L430" s="220">
        <v>18960</v>
      </c>
      <c r="M430" s="220">
        <v>13200</v>
      </c>
      <c r="N430" s="220">
        <f>SUM(I430:M431)</f>
        <v>2047360</v>
      </c>
      <c r="O430" s="224">
        <v>1600000</v>
      </c>
      <c r="P430" s="111" t="s">
        <v>1764</v>
      </c>
      <c r="Q430" s="15" t="s">
        <v>19</v>
      </c>
      <c r="R430" s="205"/>
      <c r="S430" s="189"/>
      <c r="T430" s="114"/>
      <c r="U430" s="21"/>
      <c r="V430" s="115"/>
      <c r="W430" s="116"/>
      <c r="X430" s="220"/>
      <c r="Y430" s="245">
        <f>X430*0.1</f>
        <v>0</v>
      </c>
      <c r="Z430" s="220"/>
      <c r="AA430" s="220">
        <f>SUM(X430:Z430)</f>
        <v>0</v>
      </c>
      <c r="AB430" s="246"/>
    </row>
    <row r="431" spans="1:28" ht="17.100000000000001" customHeight="1" thickBot="1">
      <c r="A431" s="227"/>
      <c r="B431" s="27" t="s">
        <v>1765</v>
      </c>
      <c r="C431" s="27">
        <v>6052</v>
      </c>
      <c r="D431" s="14" t="s">
        <v>1766</v>
      </c>
      <c r="E431" s="229"/>
      <c r="F431" s="117" t="s">
        <v>1767</v>
      </c>
      <c r="G431" s="26">
        <v>47941</v>
      </c>
      <c r="H431" s="231"/>
      <c r="I431" s="221"/>
      <c r="J431" s="221"/>
      <c r="K431" s="221"/>
      <c r="L431" s="221"/>
      <c r="M431" s="221"/>
      <c r="N431" s="221"/>
      <c r="O431" s="225"/>
      <c r="P431" s="119" t="s">
        <v>1768</v>
      </c>
      <c r="Q431" s="16" t="s">
        <v>20</v>
      </c>
      <c r="R431" s="17" t="s">
        <v>1769</v>
      </c>
      <c r="S431" s="121" t="s">
        <v>1770</v>
      </c>
      <c r="T431" s="122"/>
      <c r="U431" s="22"/>
      <c r="V431" s="123"/>
      <c r="W431" s="122"/>
      <c r="X431" s="221"/>
      <c r="Y431" s="221"/>
      <c r="Z431" s="221"/>
      <c r="AA431" s="221"/>
      <c r="AB431" s="247"/>
    </row>
    <row r="432" spans="1:28" ht="17.100000000000001" customHeight="1" thickTop="1">
      <c r="A432" s="226" t="s">
        <v>5847</v>
      </c>
      <c r="B432" s="28">
        <v>44541</v>
      </c>
      <c r="C432" s="25">
        <v>1084</v>
      </c>
      <c r="D432" s="13" t="s">
        <v>1553</v>
      </c>
      <c r="E432" s="228"/>
      <c r="F432" s="109" t="s">
        <v>1771</v>
      </c>
      <c r="G432" s="24" t="s">
        <v>1772</v>
      </c>
      <c r="H432" s="230">
        <v>4.5</v>
      </c>
      <c r="I432" s="220">
        <v>950000</v>
      </c>
      <c r="J432" s="220">
        <v>95000</v>
      </c>
      <c r="K432" s="220">
        <v>9800</v>
      </c>
      <c r="L432" s="220">
        <v>20900</v>
      </c>
      <c r="M432" s="220">
        <v>13200</v>
      </c>
      <c r="N432" s="220">
        <f>SUM(I432:M433)</f>
        <v>1088900</v>
      </c>
      <c r="O432" s="224">
        <v>650000</v>
      </c>
      <c r="P432" s="111" t="s">
        <v>1773</v>
      </c>
      <c r="Q432" s="15" t="s">
        <v>19</v>
      </c>
      <c r="R432" s="205"/>
      <c r="S432" s="189" t="s">
        <v>25377</v>
      </c>
      <c r="T432" s="114"/>
      <c r="U432" s="21" t="s">
        <v>1774</v>
      </c>
      <c r="V432" s="115"/>
      <c r="W432" s="116"/>
      <c r="X432" s="220"/>
      <c r="Y432" s="245">
        <f>X432*0.1</f>
        <v>0</v>
      </c>
      <c r="Z432" s="220"/>
      <c r="AA432" s="220">
        <f>SUM(X432:Z432)</f>
        <v>0</v>
      </c>
      <c r="AB432" s="246"/>
    </row>
    <row r="433" spans="1:28" ht="17.100000000000001" customHeight="1" thickBot="1">
      <c r="A433" s="227"/>
      <c r="B433" s="27" t="s">
        <v>1559</v>
      </c>
      <c r="C433" s="27">
        <v>82120</v>
      </c>
      <c r="D433" s="14" t="s">
        <v>1627</v>
      </c>
      <c r="E433" s="229"/>
      <c r="F433" s="117" t="s">
        <v>1775</v>
      </c>
      <c r="G433" s="26">
        <v>10784</v>
      </c>
      <c r="H433" s="231"/>
      <c r="I433" s="221"/>
      <c r="J433" s="221"/>
      <c r="K433" s="221"/>
      <c r="L433" s="221"/>
      <c r="M433" s="221"/>
      <c r="N433" s="221"/>
      <c r="O433" s="225"/>
      <c r="P433" s="119" t="s">
        <v>1683</v>
      </c>
      <c r="Q433" s="16" t="s">
        <v>20</v>
      </c>
      <c r="R433" s="17" t="s">
        <v>1769</v>
      </c>
      <c r="S433" s="121" t="s">
        <v>1776</v>
      </c>
      <c r="T433" s="122"/>
      <c r="U433" s="22" t="s">
        <v>1777</v>
      </c>
      <c r="V433" s="123"/>
      <c r="W433" s="122"/>
      <c r="X433" s="221"/>
      <c r="Y433" s="221"/>
      <c r="Z433" s="221"/>
      <c r="AA433" s="221"/>
      <c r="AB433" s="247"/>
    </row>
    <row r="434" spans="1:28" ht="17.100000000000001" customHeight="1" thickTop="1">
      <c r="A434" s="226" t="s">
        <v>5848</v>
      </c>
      <c r="B434" s="28">
        <v>44541</v>
      </c>
      <c r="C434" s="25">
        <v>1084</v>
      </c>
      <c r="D434" s="13" t="s">
        <v>1778</v>
      </c>
      <c r="E434" s="228"/>
      <c r="F434" s="109" t="s">
        <v>1779</v>
      </c>
      <c r="G434" s="24" t="s">
        <v>1780</v>
      </c>
      <c r="H434" s="230">
        <v>4.5</v>
      </c>
      <c r="I434" s="220">
        <v>1010000</v>
      </c>
      <c r="J434" s="220">
        <v>101000</v>
      </c>
      <c r="K434" s="220">
        <v>9800</v>
      </c>
      <c r="L434" s="220">
        <v>15540</v>
      </c>
      <c r="M434" s="220">
        <v>13200</v>
      </c>
      <c r="N434" s="220">
        <f>SUM(I434:M435)</f>
        <v>1149540</v>
      </c>
      <c r="O434" s="224">
        <v>750000</v>
      </c>
      <c r="P434" s="111" t="s">
        <v>1781</v>
      </c>
      <c r="Q434" s="15" t="s">
        <v>19</v>
      </c>
      <c r="R434" s="205"/>
      <c r="S434" s="189" t="s">
        <v>1113</v>
      </c>
      <c r="T434" s="114" t="s">
        <v>1783</v>
      </c>
      <c r="U434" s="21" t="s">
        <v>1784</v>
      </c>
      <c r="V434" s="115"/>
      <c r="W434" s="116"/>
      <c r="X434" s="220"/>
      <c r="Y434" s="245">
        <f>X434*0.1</f>
        <v>0</v>
      </c>
      <c r="Z434" s="220"/>
      <c r="AA434" s="220">
        <f>SUM(X434:Z434)</f>
        <v>0</v>
      </c>
      <c r="AB434" s="246"/>
    </row>
    <row r="435" spans="1:28" ht="17.100000000000001" customHeight="1" thickBot="1">
      <c r="A435" s="227"/>
      <c r="B435" s="27" t="s">
        <v>1559</v>
      </c>
      <c r="C435" s="27">
        <v>82151</v>
      </c>
      <c r="D435" s="14" t="s">
        <v>1593</v>
      </c>
      <c r="E435" s="229"/>
      <c r="F435" s="117" t="s">
        <v>1785</v>
      </c>
      <c r="G435" s="26">
        <v>59340</v>
      </c>
      <c r="H435" s="231"/>
      <c r="I435" s="221"/>
      <c r="J435" s="221"/>
      <c r="K435" s="221"/>
      <c r="L435" s="221"/>
      <c r="M435" s="221"/>
      <c r="N435" s="221"/>
      <c r="O435" s="225"/>
      <c r="P435" s="119" t="s">
        <v>1786</v>
      </c>
      <c r="Q435" s="16" t="s">
        <v>20</v>
      </c>
      <c r="R435" s="17" t="s">
        <v>1769</v>
      </c>
      <c r="S435" s="121" t="s">
        <v>1787</v>
      </c>
      <c r="T435" s="122"/>
      <c r="U435" s="22" t="s">
        <v>1511</v>
      </c>
      <c r="V435" s="123"/>
      <c r="W435" s="122"/>
      <c r="X435" s="221"/>
      <c r="Y435" s="221"/>
      <c r="Z435" s="221"/>
      <c r="AA435" s="221"/>
      <c r="AB435" s="247"/>
    </row>
    <row r="436" spans="1:28" ht="17.100000000000001" customHeight="1" thickTop="1">
      <c r="A436" s="226" t="s">
        <v>5849</v>
      </c>
      <c r="B436" s="28">
        <v>44545</v>
      </c>
      <c r="C436" s="25">
        <v>1625</v>
      </c>
      <c r="D436" s="13" t="s">
        <v>1788</v>
      </c>
      <c r="E436" s="228"/>
      <c r="F436" s="109" t="s">
        <v>1789</v>
      </c>
      <c r="G436" s="24" t="s">
        <v>1772</v>
      </c>
      <c r="H436" s="230">
        <v>5</v>
      </c>
      <c r="I436" s="220">
        <v>3300000</v>
      </c>
      <c r="J436" s="220">
        <v>330000</v>
      </c>
      <c r="K436" s="220">
        <v>9800</v>
      </c>
      <c r="L436" s="220">
        <v>21330</v>
      </c>
      <c r="M436" s="220">
        <v>19800</v>
      </c>
      <c r="N436" s="220">
        <f>SUM(I436:M437)</f>
        <v>3680930</v>
      </c>
      <c r="O436" s="224">
        <v>2500000</v>
      </c>
      <c r="P436" s="111" t="s">
        <v>1790</v>
      </c>
      <c r="Q436" s="15" t="s">
        <v>19</v>
      </c>
      <c r="R436" s="205"/>
      <c r="S436" s="189" t="s">
        <v>1361</v>
      </c>
      <c r="T436" s="114"/>
      <c r="U436" s="21"/>
      <c r="V436" s="115"/>
      <c r="W436" s="116"/>
      <c r="X436" s="220"/>
      <c r="Y436" s="245">
        <f>X436*0.1</f>
        <v>0</v>
      </c>
      <c r="Z436" s="220"/>
      <c r="AA436" s="220">
        <f>SUM(X436:Z436)</f>
        <v>0</v>
      </c>
      <c r="AB436" s="246"/>
    </row>
    <row r="437" spans="1:28" ht="17.100000000000001" customHeight="1" thickBot="1">
      <c r="A437" s="227"/>
      <c r="B437" s="27" t="s">
        <v>1791</v>
      </c>
      <c r="C437" s="27">
        <v>36022</v>
      </c>
      <c r="D437" s="14" t="s">
        <v>1584</v>
      </c>
      <c r="E437" s="229"/>
      <c r="F437" s="117" t="s">
        <v>1792</v>
      </c>
      <c r="G437" s="26">
        <v>31070</v>
      </c>
      <c r="H437" s="231"/>
      <c r="I437" s="221"/>
      <c r="J437" s="221"/>
      <c r="K437" s="221"/>
      <c r="L437" s="221"/>
      <c r="M437" s="221"/>
      <c r="N437" s="221"/>
      <c r="O437" s="225"/>
      <c r="P437" s="119" t="s">
        <v>1793</v>
      </c>
      <c r="Q437" s="16" t="s">
        <v>20</v>
      </c>
      <c r="R437" s="17" t="s">
        <v>1794</v>
      </c>
      <c r="S437" s="121" t="s">
        <v>1731</v>
      </c>
      <c r="T437" s="122"/>
      <c r="U437" s="22" t="s">
        <v>50</v>
      </c>
      <c r="V437" s="123"/>
      <c r="W437" s="122"/>
      <c r="X437" s="221"/>
      <c r="Y437" s="221"/>
      <c r="Z437" s="221"/>
      <c r="AA437" s="221"/>
      <c r="AB437" s="247"/>
    </row>
    <row r="438" spans="1:28" ht="17.100000000000001" customHeight="1" thickTop="1">
      <c r="A438" s="226" t="s">
        <v>5850</v>
      </c>
      <c r="B438" s="28">
        <v>44569</v>
      </c>
      <c r="C438" s="25">
        <v>1087</v>
      </c>
      <c r="D438" s="13" t="s">
        <v>1598</v>
      </c>
      <c r="E438" s="228"/>
      <c r="F438" s="109" t="s">
        <v>1795</v>
      </c>
      <c r="G438" s="24"/>
      <c r="H438" s="230">
        <v>4.5</v>
      </c>
      <c r="I438" s="220">
        <v>2020000</v>
      </c>
      <c r="J438" s="220">
        <v>202000</v>
      </c>
      <c r="K438" s="220">
        <v>0</v>
      </c>
      <c r="L438" s="220">
        <v>17700</v>
      </c>
      <c r="M438" s="220">
        <v>13200</v>
      </c>
      <c r="N438" s="220">
        <f>SUM(I438:M439)</f>
        <v>2252900</v>
      </c>
      <c r="O438" s="224">
        <v>1800000</v>
      </c>
      <c r="P438" s="111" t="s">
        <v>1796</v>
      </c>
      <c r="Q438" s="15" t="s">
        <v>19</v>
      </c>
      <c r="R438" s="205"/>
      <c r="S438" s="189" t="s">
        <v>1271</v>
      </c>
      <c r="T438" s="114"/>
      <c r="U438" s="21"/>
      <c r="V438" s="115"/>
      <c r="W438" s="116"/>
      <c r="X438" s="220"/>
      <c r="Y438" s="245">
        <f>X438*0.1</f>
        <v>0</v>
      </c>
      <c r="Z438" s="220"/>
      <c r="AA438" s="220">
        <f>SUM(X438:Z438)</f>
        <v>0</v>
      </c>
      <c r="AB438" s="246"/>
    </row>
    <row r="439" spans="1:28" ht="17.100000000000001" customHeight="1" thickBot="1">
      <c r="A439" s="227"/>
      <c r="B439" s="27" t="s">
        <v>1559</v>
      </c>
      <c r="C439" s="27">
        <v>82084</v>
      </c>
      <c r="D439" s="14" t="s">
        <v>1797</v>
      </c>
      <c r="E439" s="229"/>
      <c r="F439" s="117" t="s">
        <v>1798</v>
      </c>
      <c r="G439" s="26">
        <v>42292</v>
      </c>
      <c r="H439" s="231"/>
      <c r="I439" s="221"/>
      <c r="J439" s="221"/>
      <c r="K439" s="221"/>
      <c r="L439" s="221"/>
      <c r="M439" s="221"/>
      <c r="N439" s="221"/>
      <c r="O439" s="225"/>
      <c r="P439" s="119" t="s">
        <v>1799</v>
      </c>
      <c r="Q439" s="16" t="s">
        <v>20</v>
      </c>
      <c r="R439" s="17" t="s">
        <v>1800</v>
      </c>
      <c r="S439" s="121" t="s">
        <v>1801</v>
      </c>
      <c r="T439" s="122"/>
      <c r="U439" s="22"/>
      <c r="V439" s="123"/>
      <c r="W439" s="122"/>
      <c r="X439" s="221"/>
      <c r="Y439" s="221"/>
      <c r="Z439" s="221"/>
      <c r="AA439" s="221"/>
      <c r="AB439" s="247"/>
    </row>
    <row r="440" spans="1:28" ht="17.100000000000001" customHeight="1" thickTop="1">
      <c r="A440" s="226" t="s">
        <v>5851</v>
      </c>
      <c r="B440" s="28">
        <v>44574</v>
      </c>
      <c r="C440" s="25">
        <v>1119</v>
      </c>
      <c r="D440" s="13" t="s">
        <v>1802</v>
      </c>
      <c r="E440" s="228"/>
      <c r="F440" s="109" t="s">
        <v>1803</v>
      </c>
      <c r="G440" s="24"/>
      <c r="H440" s="230">
        <v>4</v>
      </c>
      <c r="I440" s="220">
        <v>870000</v>
      </c>
      <c r="J440" s="220">
        <v>87000</v>
      </c>
      <c r="K440" s="220">
        <v>0</v>
      </c>
      <c r="L440" s="220">
        <v>16260</v>
      </c>
      <c r="M440" s="220">
        <v>13200</v>
      </c>
      <c r="N440" s="220">
        <f>SUM(I440:M441)</f>
        <v>986460</v>
      </c>
      <c r="O440" s="224">
        <v>700000</v>
      </c>
      <c r="P440" s="111" t="s">
        <v>1804</v>
      </c>
      <c r="Q440" s="15" t="s">
        <v>19</v>
      </c>
      <c r="R440" s="205"/>
      <c r="S440" s="189" t="s">
        <v>1271</v>
      </c>
      <c r="T440" s="114"/>
      <c r="U440" s="21"/>
      <c r="V440" s="115"/>
      <c r="W440" s="116"/>
      <c r="X440" s="220"/>
      <c r="Y440" s="245">
        <f>X440*0.1</f>
        <v>0</v>
      </c>
      <c r="Z440" s="220"/>
      <c r="AA440" s="220">
        <f>SUM(X440:Z440)</f>
        <v>0</v>
      </c>
      <c r="AB440" s="246"/>
    </row>
    <row r="441" spans="1:28" ht="17.100000000000001" customHeight="1" thickBot="1">
      <c r="A441" s="227"/>
      <c r="B441" s="27" t="s">
        <v>1735</v>
      </c>
      <c r="C441" s="27">
        <v>243</v>
      </c>
      <c r="D441" s="14" t="s">
        <v>1584</v>
      </c>
      <c r="E441" s="229"/>
      <c r="F441" s="117" t="s">
        <v>1805</v>
      </c>
      <c r="G441" s="26">
        <v>35492</v>
      </c>
      <c r="H441" s="231"/>
      <c r="I441" s="221"/>
      <c r="J441" s="221"/>
      <c r="K441" s="221"/>
      <c r="L441" s="221"/>
      <c r="M441" s="221"/>
      <c r="N441" s="221"/>
      <c r="O441" s="225"/>
      <c r="P441" s="119" t="s">
        <v>1806</v>
      </c>
      <c r="Q441" s="16" t="s">
        <v>20</v>
      </c>
      <c r="R441" s="17" t="s">
        <v>1807</v>
      </c>
      <c r="S441" s="121" t="s">
        <v>1625</v>
      </c>
      <c r="T441" s="122"/>
      <c r="U441" s="22"/>
      <c r="V441" s="123"/>
      <c r="W441" s="122"/>
      <c r="X441" s="221"/>
      <c r="Y441" s="221"/>
      <c r="Z441" s="221"/>
      <c r="AA441" s="221"/>
      <c r="AB441" s="247"/>
    </row>
    <row r="442" spans="1:28" ht="17.100000000000001" customHeight="1" thickTop="1">
      <c r="A442" s="226" t="s">
        <v>5852</v>
      </c>
      <c r="B442" s="28">
        <v>44575</v>
      </c>
      <c r="C442" s="25">
        <v>994</v>
      </c>
      <c r="D442" s="13" t="s">
        <v>1808</v>
      </c>
      <c r="E442" s="228"/>
      <c r="F442" s="109" t="s">
        <v>1809</v>
      </c>
      <c r="G442" s="24" t="s">
        <v>1810</v>
      </c>
      <c r="H442" s="230">
        <v>4.5</v>
      </c>
      <c r="I442" s="220">
        <v>1010000</v>
      </c>
      <c r="J442" s="220">
        <v>101000</v>
      </c>
      <c r="K442" s="220">
        <v>6500</v>
      </c>
      <c r="L442" s="220">
        <v>15440</v>
      </c>
      <c r="M442" s="220">
        <v>13200</v>
      </c>
      <c r="N442" s="220">
        <f>SUM(I442:M443)</f>
        <v>1146140</v>
      </c>
      <c r="O442" s="224">
        <v>500000</v>
      </c>
      <c r="P442" s="111" t="s">
        <v>1811</v>
      </c>
      <c r="Q442" s="15" t="s">
        <v>19</v>
      </c>
      <c r="R442" s="205"/>
      <c r="S442" s="189" t="s">
        <v>1271</v>
      </c>
      <c r="T442" s="114"/>
      <c r="U442" s="21" t="s">
        <v>1812</v>
      </c>
      <c r="V442" s="115"/>
      <c r="W442" s="116"/>
      <c r="X442" s="220"/>
      <c r="Y442" s="245">
        <f>X442*0.1</f>
        <v>0</v>
      </c>
      <c r="Z442" s="220"/>
      <c r="AA442" s="220">
        <f>SUM(X442:Z442)</f>
        <v>0</v>
      </c>
      <c r="AB442" s="246"/>
    </row>
    <row r="443" spans="1:28" ht="17.100000000000001" customHeight="1" thickBot="1">
      <c r="A443" s="227"/>
      <c r="B443" s="27" t="s">
        <v>1813</v>
      </c>
      <c r="C443" s="27">
        <v>88027</v>
      </c>
      <c r="D443" s="14" t="s">
        <v>898</v>
      </c>
      <c r="E443" s="229"/>
      <c r="F443" s="117" t="s">
        <v>1814</v>
      </c>
      <c r="G443" s="26">
        <v>42025</v>
      </c>
      <c r="H443" s="231"/>
      <c r="I443" s="221"/>
      <c r="J443" s="221"/>
      <c r="K443" s="221"/>
      <c r="L443" s="221"/>
      <c r="M443" s="221"/>
      <c r="N443" s="221"/>
      <c r="O443" s="225"/>
      <c r="P443" s="119" t="s">
        <v>1815</v>
      </c>
      <c r="Q443" s="16" t="s">
        <v>20</v>
      </c>
      <c r="R443" s="17" t="s">
        <v>1807</v>
      </c>
      <c r="S443" s="121" t="s">
        <v>1731</v>
      </c>
      <c r="T443" s="122"/>
      <c r="U443" s="22" t="s">
        <v>1290</v>
      </c>
      <c r="V443" s="123"/>
      <c r="W443" s="122"/>
      <c r="X443" s="221"/>
      <c r="Y443" s="221"/>
      <c r="Z443" s="221"/>
      <c r="AA443" s="221"/>
      <c r="AB443" s="247"/>
    </row>
    <row r="444" spans="1:28" ht="17.100000000000001" customHeight="1" thickTop="1">
      <c r="A444" s="226" t="s">
        <v>5853</v>
      </c>
      <c r="B444" s="28">
        <v>44583</v>
      </c>
      <c r="C444" s="25">
        <v>1089</v>
      </c>
      <c r="D444" s="13" t="s">
        <v>1816</v>
      </c>
      <c r="E444" s="228"/>
      <c r="F444" s="109" t="s">
        <v>1817</v>
      </c>
      <c r="G444" s="24"/>
      <c r="H444" s="230">
        <v>4</v>
      </c>
      <c r="I444" s="220">
        <v>1485000</v>
      </c>
      <c r="J444" s="220">
        <v>148500</v>
      </c>
      <c r="K444" s="220">
        <v>0</v>
      </c>
      <c r="L444" s="220">
        <v>17700</v>
      </c>
      <c r="M444" s="220">
        <v>13200</v>
      </c>
      <c r="N444" s="220">
        <f>SUM(I444:M445)</f>
        <v>1664400</v>
      </c>
      <c r="O444" s="224">
        <v>1200000</v>
      </c>
      <c r="P444" s="111" t="s">
        <v>1818</v>
      </c>
      <c r="Q444" s="15" t="s">
        <v>19</v>
      </c>
      <c r="R444" s="205"/>
      <c r="S444" s="189" t="s">
        <v>758</v>
      </c>
      <c r="T444" s="114"/>
      <c r="U444" s="21"/>
      <c r="V444" s="115"/>
      <c r="W444" s="116"/>
      <c r="X444" s="220"/>
      <c r="Y444" s="245">
        <f>X444*0.1</f>
        <v>0</v>
      </c>
      <c r="Z444" s="220"/>
      <c r="AA444" s="220">
        <f>SUM(X444:Z444)</f>
        <v>0</v>
      </c>
      <c r="AB444" s="246"/>
    </row>
    <row r="445" spans="1:28" ht="17.100000000000001" customHeight="1" thickBot="1">
      <c r="A445" s="227"/>
      <c r="B445" s="27" t="s">
        <v>1559</v>
      </c>
      <c r="C445" s="27">
        <v>82155</v>
      </c>
      <c r="D445" s="14" t="s">
        <v>1819</v>
      </c>
      <c r="E445" s="229"/>
      <c r="F445" s="117" t="s">
        <v>1820</v>
      </c>
      <c r="G445" s="26">
        <v>60312</v>
      </c>
      <c r="H445" s="231"/>
      <c r="I445" s="221"/>
      <c r="J445" s="221"/>
      <c r="K445" s="221"/>
      <c r="L445" s="221"/>
      <c r="M445" s="221"/>
      <c r="N445" s="221"/>
      <c r="O445" s="225"/>
      <c r="P445" s="119" t="s">
        <v>1821</v>
      </c>
      <c r="Q445" s="16" t="s">
        <v>20</v>
      </c>
      <c r="R445" s="17" t="s">
        <v>1822</v>
      </c>
      <c r="S445" s="121" t="s">
        <v>1823</v>
      </c>
      <c r="T445" s="122"/>
      <c r="U445" s="22"/>
      <c r="V445" s="123"/>
      <c r="W445" s="122"/>
      <c r="X445" s="221"/>
      <c r="Y445" s="221"/>
      <c r="Z445" s="221"/>
      <c r="AA445" s="221"/>
      <c r="AB445" s="247"/>
    </row>
    <row r="446" spans="1:28" ht="17.100000000000001" customHeight="1" thickTop="1">
      <c r="A446" s="226" t="s">
        <v>5854</v>
      </c>
      <c r="B446" s="28">
        <v>44592</v>
      </c>
      <c r="C446" s="25">
        <v>1883</v>
      </c>
      <c r="D446" s="13" t="s">
        <v>1824</v>
      </c>
      <c r="E446" s="228"/>
      <c r="F446" s="109" t="s">
        <v>1825</v>
      </c>
      <c r="G446" s="24"/>
      <c r="H446" s="230">
        <v>4</v>
      </c>
      <c r="I446" s="220">
        <v>1288000</v>
      </c>
      <c r="J446" s="220">
        <v>128800</v>
      </c>
      <c r="K446" s="220">
        <v>0</v>
      </c>
      <c r="L446" s="220">
        <v>19670</v>
      </c>
      <c r="M446" s="220">
        <v>11000</v>
      </c>
      <c r="N446" s="220">
        <f>SUM(I446:M447)</f>
        <v>1447470</v>
      </c>
      <c r="O446" s="224">
        <v>1200000</v>
      </c>
      <c r="P446" s="111" t="s">
        <v>1826</v>
      </c>
      <c r="Q446" s="15" t="s">
        <v>19</v>
      </c>
      <c r="R446" s="205"/>
      <c r="S446" s="189" t="s">
        <v>25378</v>
      </c>
      <c r="T446" s="114"/>
      <c r="U446" s="21"/>
      <c r="V446" s="115"/>
      <c r="W446" s="116"/>
      <c r="X446" s="220"/>
      <c r="Y446" s="245">
        <f>X446*0.1</f>
        <v>0</v>
      </c>
      <c r="Z446" s="220"/>
      <c r="AA446" s="220">
        <f>SUM(X446:Z446)</f>
        <v>0</v>
      </c>
      <c r="AB446" s="246"/>
    </row>
    <row r="447" spans="1:28" ht="17.100000000000001" customHeight="1" thickBot="1">
      <c r="A447" s="227"/>
      <c r="B447" s="27" t="s">
        <v>82</v>
      </c>
      <c r="C447" s="27">
        <v>34029</v>
      </c>
      <c r="D447" s="14" t="s">
        <v>898</v>
      </c>
      <c r="E447" s="229"/>
      <c r="F447" s="117" t="s">
        <v>1827</v>
      </c>
      <c r="G447" s="26">
        <v>52044</v>
      </c>
      <c r="H447" s="231"/>
      <c r="I447" s="221"/>
      <c r="J447" s="221"/>
      <c r="K447" s="221"/>
      <c r="L447" s="221"/>
      <c r="M447" s="221"/>
      <c r="N447" s="221"/>
      <c r="O447" s="225"/>
      <c r="P447" s="119" t="s">
        <v>1828</v>
      </c>
      <c r="Q447" s="16" t="s">
        <v>20</v>
      </c>
      <c r="R447" s="17" t="s">
        <v>1829</v>
      </c>
      <c r="S447" s="121" t="s">
        <v>156</v>
      </c>
      <c r="T447" s="122"/>
      <c r="U447" s="22"/>
      <c r="V447" s="123"/>
      <c r="W447" s="122"/>
      <c r="X447" s="221"/>
      <c r="Y447" s="221"/>
      <c r="Z447" s="221"/>
      <c r="AA447" s="221"/>
      <c r="AB447" s="247"/>
    </row>
    <row r="448" spans="1:28" ht="17.100000000000001" customHeight="1" thickTop="1">
      <c r="A448" s="226" t="s">
        <v>5855</v>
      </c>
      <c r="B448" s="28">
        <v>44595</v>
      </c>
      <c r="C448" s="25">
        <v>1356</v>
      </c>
      <c r="D448" s="13" t="s">
        <v>1762</v>
      </c>
      <c r="E448" s="228"/>
      <c r="F448" s="109" t="s">
        <v>1830</v>
      </c>
      <c r="G448" s="24" t="s">
        <v>1831</v>
      </c>
      <c r="H448" s="230">
        <v>4.5</v>
      </c>
      <c r="I448" s="220">
        <v>2035000</v>
      </c>
      <c r="J448" s="220">
        <v>203500</v>
      </c>
      <c r="K448" s="220">
        <v>3200</v>
      </c>
      <c r="L448" s="220">
        <v>18960</v>
      </c>
      <c r="M448" s="220">
        <v>13200</v>
      </c>
      <c r="N448" s="220">
        <f>SUM(I448:M449)</f>
        <v>2273860</v>
      </c>
      <c r="O448" s="224">
        <v>1700000</v>
      </c>
      <c r="P448" s="111" t="s">
        <v>1832</v>
      </c>
      <c r="Q448" s="15" t="s">
        <v>19</v>
      </c>
      <c r="R448" s="205"/>
      <c r="S448" s="189"/>
      <c r="T448" s="114"/>
      <c r="U448" s="21" t="s">
        <v>1833</v>
      </c>
      <c r="V448" s="115"/>
      <c r="W448" s="116"/>
      <c r="X448" s="220"/>
      <c r="Y448" s="245">
        <f>X448*0.1</f>
        <v>0</v>
      </c>
      <c r="Z448" s="220"/>
      <c r="AA448" s="220">
        <f>SUM(X448:Z448)</f>
        <v>0</v>
      </c>
      <c r="AB448" s="246"/>
    </row>
    <row r="449" spans="1:28" ht="17.100000000000001" customHeight="1" thickBot="1">
      <c r="A449" s="227"/>
      <c r="B449" s="27" t="s">
        <v>1592</v>
      </c>
      <c r="C449" s="27">
        <v>75733</v>
      </c>
      <c r="D449" s="14" t="s">
        <v>1834</v>
      </c>
      <c r="E449" s="229"/>
      <c r="F449" s="117" t="s">
        <v>1835</v>
      </c>
      <c r="G449" s="26">
        <v>38329</v>
      </c>
      <c r="H449" s="231"/>
      <c r="I449" s="221"/>
      <c r="J449" s="221"/>
      <c r="K449" s="221"/>
      <c r="L449" s="221"/>
      <c r="M449" s="221"/>
      <c r="N449" s="221"/>
      <c r="O449" s="225"/>
      <c r="P449" s="119" t="s">
        <v>1836</v>
      </c>
      <c r="Q449" s="16" t="s">
        <v>20</v>
      </c>
      <c r="R449" s="17" t="s">
        <v>1837</v>
      </c>
      <c r="S449" s="121" t="s">
        <v>1838</v>
      </c>
      <c r="T449" s="122"/>
      <c r="U449" s="22"/>
      <c r="V449" s="123"/>
      <c r="W449" s="122"/>
      <c r="X449" s="221"/>
      <c r="Y449" s="221"/>
      <c r="Z449" s="221"/>
      <c r="AA449" s="221"/>
      <c r="AB449" s="247"/>
    </row>
    <row r="450" spans="1:28" ht="17.100000000000001" customHeight="1" thickTop="1">
      <c r="A450" s="226" t="s">
        <v>5856</v>
      </c>
      <c r="B450" s="28">
        <v>44597</v>
      </c>
      <c r="C450" s="25">
        <v>1515</v>
      </c>
      <c r="D450" s="13" t="s">
        <v>1839</v>
      </c>
      <c r="E450" s="228"/>
      <c r="F450" s="109" t="s">
        <v>1840</v>
      </c>
      <c r="G450" s="24" t="s">
        <v>1810</v>
      </c>
      <c r="H450" s="230">
        <v>4.5</v>
      </c>
      <c r="I450" s="220">
        <v>2540000</v>
      </c>
      <c r="J450" s="220">
        <v>254000</v>
      </c>
      <c r="K450" s="220">
        <v>3200</v>
      </c>
      <c r="L450" s="220">
        <v>17990</v>
      </c>
      <c r="M450" s="220">
        <v>13200</v>
      </c>
      <c r="N450" s="220">
        <f>SUM(I450:M451)</f>
        <v>2828390</v>
      </c>
      <c r="O450" s="224">
        <v>2100000</v>
      </c>
      <c r="P450" s="111" t="s">
        <v>1841</v>
      </c>
      <c r="Q450" s="15" t="s">
        <v>19</v>
      </c>
      <c r="R450" s="205"/>
      <c r="S450" s="189" t="s">
        <v>1487</v>
      </c>
      <c r="T450" s="114"/>
      <c r="U450" s="21"/>
      <c r="V450" s="115"/>
      <c r="W450" s="116"/>
      <c r="X450" s="220"/>
      <c r="Y450" s="245">
        <f>X450*0.1</f>
        <v>0</v>
      </c>
      <c r="Z450" s="220"/>
      <c r="AA450" s="220">
        <f>SUM(X450:Z450)</f>
        <v>0</v>
      </c>
      <c r="AB450" s="246"/>
    </row>
    <row r="451" spans="1:28" ht="17.100000000000001" customHeight="1" thickBot="1">
      <c r="A451" s="227"/>
      <c r="B451" s="27" t="s">
        <v>1842</v>
      </c>
      <c r="C451" s="27">
        <v>441</v>
      </c>
      <c r="D451" s="14" t="s">
        <v>1584</v>
      </c>
      <c r="E451" s="229"/>
      <c r="F451" s="117" t="s">
        <v>1843</v>
      </c>
      <c r="G451" s="26">
        <v>30900</v>
      </c>
      <c r="H451" s="231"/>
      <c r="I451" s="221"/>
      <c r="J451" s="221"/>
      <c r="K451" s="221"/>
      <c r="L451" s="221"/>
      <c r="M451" s="221"/>
      <c r="N451" s="221"/>
      <c r="O451" s="225"/>
      <c r="P451" s="119" t="s">
        <v>1844</v>
      </c>
      <c r="Q451" s="16" t="s">
        <v>20</v>
      </c>
      <c r="R451" s="17" t="s">
        <v>1837</v>
      </c>
      <c r="S451" s="121" t="s">
        <v>1731</v>
      </c>
      <c r="T451" s="122"/>
      <c r="U451" s="22" t="s">
        <v>1845</v>
      </c>
      <c r="V451" s="123"/>
      <c r="W451" s="122"/>
      <c r="X451" s="221"/>
      <c r="Y451" s="221"/>
      <c r="Z451" s="221"/>
      <c r="AA451" s="221"/>
      <c r="AB451" s="247"/>
    </row>
    <row r="452" spans="1:28" ht="17.100000000000001" customHeight="1" thickTop="1">
      <c r="A452" s="226" t="s">
        <v>5857</v>
      </c>
      <c r="B452" s="28">
        <v>44601</v>
      </c>
      <c r="C452" s="25">
        <v>1631</v>
      </c>
      <c r="D452" s="13" t="s">
        <v>1846</v>
      </c>
      <c r="E452" s="228"/>
      <c r="F452" s="109" t="s">
        <v>1847</v>
      </c>
      <c r="G452" s="24"/>
      <c r="H452" s="230">
        <v>4.5</v>
      </c>
      <c r="I452" s="220">
        <v>1660000</v>
      </c>
      <c r="J452" s="220">
        <v>166000</v>
      </c>
      <c r="K452" s="220">
        <v>0</v>
      </c>
      <c r="L452" s="220">
        <v>15060</v>
      </c>
      <c r="M452" s="220">
        <v>15950</v>
      </c>
      <c r="N452" s="220">
        <f>SUM(I452:M453)</f>
        <v>1857010</v>
      </c>
      <c r="O452" s="224">
        <v>1600000</v>
      </c>
      <c r="P452" s="111" t="s">
        <v>1848</v>
      </c>
      <c r="Q452" s="15" t="s">
        <v>19</v>
      </c>
      <c r="R452" s="205"/>
      <c r="S452" s="189" t="s">
        <v>758</v>
      </c>
      <c r="T452" s="114"/>
      <c r="U452" s="21"/>
      <c r="V452" s="115"/>
      <c r="W452" s="116"/>
      <c r="X452" s="220"/>
      <c r="Y452" s="245">
        <f>X452*0.1</f>
        <v>0</v>
      </c>
      <c r="Z452" s="220"/>
      <c r="AA452" s="220">
        <f>SUM(X452:Z452)</f>
        <v>0</v>
      </c>
      <c r="AB452" s="246"/>
    </row>
    <row r="453" spans="1:28" ht="17.100000000000001" customHeight="1" thickBot="1">
      <c r="A453" s="227"/>
      <c r="B453" s="27" t="s">
        <v>1791</v>
      </c>
      <c r="C453" s="27">
        <v>30409</v>
      </c>
      <c r="D453" s="14" t="s">
        <v>1584</v>
      </c>
      <c r="E453" s="229"/>
      <c r="F453" s="117" t="s">
        <v>1849</v>
      </c>
      <c r="G453" s="26">
        <v>42564</v>
      </c>
      <c r="H453" s="231"/>
      <c r="I453" s="221"/>
      <c r="J453" s="221"/>
      <c r="K453" s="221"/>
      <c r="L453" s="221"/>
      <c r="M453" s="221"/>
      <c r="N453" s="221"/>
      <c r="O453" s="225"/>
      <c r="P453" s="119" t="s">
        <v>1850</v>
      </c>
      <c r="Q453" s="16" t="s">
        <v>20</v>
      </c>
      <c r="R453" s="17" t="s">
        <v>1851</v>
      </c>
      <c r="S453" s="121" t="s">
        <v>1852</v>
      </c>
      <c r="T453" s="122"/>
      <c r="U453" s="22"/>
      <c r="V453" s="123"/>
      <c r="W453" s="122"/>
      <c r="X453" s="221"/>
      <c r="Y453" s="221"/>
      <c r="Z453" s="221"/>
      <c r="AA453" s="221"/>
      <c r="AB453" s="247"/>
    </row>
    <row r="454" spans="1:28" ht="17.100000000000001" customHeight="1" thickTop="1">
      <c r="A454" s="226" t="s">
        <v>5858</v>
      </c>
      <c r="B454" s="28">
        <v>44602</v>
      </c>
      <c r="C454" s="25">
        <v>1357</v>
      </c>
      <c r="D454" s="13" t="s">
        <v>1853</v>
      </c>
      <c r="E454" s="228"/>
      <c r="F454" s="109" t="s">
        <v>1854</v>
      </c>
      <c r="G454" s="24" t="s">
        <v>1772</v>
      </c>
      <c r="H454" s="230">
        <v>4.5</v>
      </c>
      <c r="I454" s="220">
        <v>1590000</v>
      </c>
      <c r="J454" s="220">
        <v>159000</v>
      </c>
      <c r="K454" s="220">
        <v>3200</v>
      </c>
      <c r="L454" s="220">
        <v>17700</v>
      </c>
      <c r="M454" s="220">
        <v>13200</v>
      </c>
      <c r="N454" s="220">
        <f>SUM(I454:M455)</f>
        <v>1783100</v>
      </c>
      <c r="O454" s="224">
        <v>1200000</v>
      </c>
      <c r="P454" s="111" t="s">
        <v>1855</v>
      </c>
      <c r="Q454" s="15" t="s">
        <v>19</v>
      </c>
      <c r="R454" s="205"/>
      <c r="S454" s="189" t="s">
        <v>25379</v>
      </c>
      <c r="T454" s="114"/>
      <c r="U454" s="21"/>
      <c r="V454" s="115"/>
      <c r="W454" s="116"/>
      <c r="X454" s="220"/>
      <c r="Y454" s="245">
        <f>X454*0.1</f>
        <v>0</v>
      </c>
      <c r="Z454" s="220"/>
      <c r="AA454" s="220">
        <f>SUM(X454:Z454)</f>
        <v>0</v>
      </c>
      <c r="AB454" s="246"/>
    </row>
    <row r="455" spans="1:28" ht="17.100000000000001" customHeight="1" thickBot="1">
      <c r="A455" s="227"/>
      <c r="B455" s="27" t="s">
        <v>1592</v>
      </c>
      <c r="C455" s="27">
        <v>76175</v>
      </c>
      <c r="D455" s="14" t="s">
        <v>1857</v>
      </c>
      <c r="E455" s="229"/>
      <c r="F455" s="117" t="s">
        <v>1858</v>
      </c>
      <c r="G455" s="26">
        <v>12353</v>
      </c>
      <c r="H455" s="231"/>
      <c r="I455" s="221"/>
      <c r="J455" s="221"/>
      <c r="K455" s="221"/>
      <c r="L455" s="221"/>
      <c r="M455" s="221"/>
      <c r="N455" s="221"/>
      <c r="O455" s="225"/>
      <c r="P455" s="119" t="s">
        <v>1859</v>
      </c>
      <c r="Q455" s="16" t="s">
        <v>20</v>
      </c>
      <c r="R455" s="17" t="s">
        <v>1860</v>
      </c>
      <c r="S455" s="121" t="s">
        <v>1861</v>
      </c>
      <c r="T455" s="122"/>
      <c r="U455" s="22" t="s">
        <v>1845</v>
      </c>
      <c r="V455" s="123"/>
      <c r="W455" s="122"/>
      <c r="X455" s="221"/>
      <c r="Y455" s="221"/>
      <c r="Z455" s="221"/>
      <c r="AA455" s="221"/>
      <c r="AB455" s="247"/>
    </row>
    <row r="456" spans="1:28" ht="17.100000000000001" customHeight="1" thickTop="1">
      <c r="A456" s="226" t="s">
        <v>5859</v>
      </c>
      <c r="B456" s="28">
        <v>44610</v>
      </c>
      <c r="C456" s="25">
        <v>1928</v>
      </c>
      <c r="D456" s="13" t="s">
        <v>1862</v>
      </c>
      <c r="E456" s="228"/>
      <c r="F456" s="109" t="s">
        <v>1863</v>
      </c>
      <c r="G456" s="24" t="s">
        <v>1642</v>
      </c>
      <c r="H456" s="230">
        <v>4.5</v>
      </c>
      <c r="I456" s="220">
        <v>2705000</v>
      </c>
      <c r="J456" s="220">
        <v>270500</v>
      </c>
      <c r="K456" s="220">
        <v>7300</v>
      </c>
      <c r="L456" s="220">
        <v>19720</v>
      </c>
      <c r="M456" s="220">
        <v>13200</v>
      </c>
      <c r="N456" s="220">
        <f>SUM(I456:M457)</f>
        <v>3015720</v>
      </c>
      <c r="O456" s="224">
        <v>2600000</v>
      </c>
      <c r="P456" s="111" t="s">
        <v>1864</v>
      </c>
      <c r="Q456" s="15" t="s">
        <v>19</v>
      </c>
      <c r="R456" s="205"/>
      <c r="S456" s="189" t="s">
        <v>758</v>
      </c>
      <c r="T456" s="114"/>
      <c r="U456" s="21" t="s">
        <v>1865</v>
      </c>
      <c r="V456" s="115"/>
      <c r="W456" s="116"/>
      <c r="X456" s="220"/>
      <c r="Y456" s="245">
        <f>X456*0.1</f>
        <v>0</v>
      </c>
      <c r="Z456" s="220"/>
      <c r="AA456" s="220">
        <f>SUM(X456:Z456)</f>
        <v>0</v>
      </c>
      <c r="AB456" s="246"/>
    </row>
    <row r="457" spans="1:28" ht="17.100000000000001" customHeight="1" thickBot="1">
      <c r="A457" s="227"/>
      <c r="B457" s="27" t="s">
        <v>1536</v>
      </c>
      <c r="C457" s="27">
        <v>20736</v>
      </c>
      <c r="D457" s="14" t="s">
        <v>1866</v>
      </c>
      <c r="E457" s="229"/>
      <c r="F457" s="117" t="s">
        <v>1867</v>
      </c>
      <c r="G457" s="26">
        <v>52077</v>
      </c>
      <c r="H457" s="231"/>
      <c r="I457" s="221"/>
      <c r="J457" s="221"/>
      <c r="K457" s="221"/>
      <c r="L457" s="221"/>
      <c r="M457" s="221"/>
      <c r="N457" s="221"/>
      <c r="O457" s="225"/>
      <c r="P457" s="119" t="s">
        <v>1868</v>
      </c>
      <c r="Q457" s="16" t="s">
        <v>20</v>
      </c>
      <c r="R457" s="17" t="s">
        <v>1869</v>
      </c>
      <c r="S457" s="121" t="s">
        <v>1696</v>
      </c>
      <c r="T457" s="122"/>
      <c r="U457" s="22" t="s">
        <v>1870</v>
      </c>
      <c r="V457" s="123"/>
      <c r="W457" s="122"/>
      <c r="X457" s="221"/>
      <c r="Y457" s="221"/>
      <c r="Z457" s="221"/>
      <c r="AA457" s="221"/>
      <c r="AB457" s="247"/>
    </row>
    <row r="458" spans="1:28" ht="17.100000000000001" customHeight="1" thickTop="1">
      <c r="A458" s="226" t="s">
        <v>5860</v>
      </c>
      <c r="B458" s="28">
        <v>44610</v>
      </c>
      <c r="C458" s="25">
        <v>999</v>
      </c>
      <c r="D458" s="13" t="s">
        <v>1871</v>
      </c>
      <c r="E458" s="228"/>
      <c r="F458" s="109" t="s">
        <v>1872</v>
      </c>
      <c r="G458" s="24" t="s">
        <v>1748</v>
      </c>
      <c r="H458" s="230">
        <v>4</v>
      </c>
      <c r="I458" s="220">
        <v>3590000</v>
      </c>
      <c r="J458" s="220">
        <v>359000</v>
      </c>
      <c r="K458" s="220">
        <v>4200</v>
      </c>
      <c r="L458" s="220">
        <v>21110</v>
      </c>
      <c r="M458" s="220">
        <v>24200</v>
      </c>
      <c r="N458" s="220">
        <f>SUM(I458:M459)</f>
        <v>3998510</v>
      </c>
      <c r="O458" s="224">
        <v>3400000</v>
      </c>
      <c r="P458" s="111" t="s">
        <v>1873</v>
      </c>
      <c r="Q458" s="15" t="s">
        <v>19</v>
      </c>
      <c r="R458" s="205"/>
      <c r="S458" s="189" t="s">
        <v>25380</v>
      </c>
      <c r="T458" s="114"/>
      <c r="U458" s="21"/>
      <c r="V458" s="115"/>
      <c r="W458" s="116"/>
      <c r="X458" s="220"/>
      <c r="Y458" s="245">
        <f>X458*0.1</f>
        <v>0</v>
      </c>
      <c r="Z458" s="220"/>
      <c r="AA458" s="220">
        <f>SUM(X458:Z458)</f>
        <v>0</v>
      </c>
      <c r="AB458" s="246"/>
    </row>
    <row r="459" spans="1:28" ht="17.100000000000001" customHeight="1" thickBot="1">
      <c r="A459" s="227"/>
      <c r="B459" s="27" t="s">
        <v>1813</v>
      </c>
      <c r="C459" s="27">
        <v>84010</v>
      </c>
      <c r="D459" s="14" t="s">
        <v>273</v>
      </c>
      <c r="E459" s="229"/>
      <c r="F459" s="117" t="s">
        <v>1874</v>
      </c>
      <c r="G459" s="26">
        <v>39313</v>
      </c>
      <c r="H459" s="231"/>
      <c r="I459" s="221"/>
      <c r="J459" s="221"/>
      <c r="K459" s="221"/>
      <c r="L459" s="221"/>
      <c r="M459" s="221"/>
      <c r="N459" s="221"/>
      <c r="O459" s="225"/>
      <c r="P459" s="119" t="s">
        <v>1875</v>
      </c>
      <c r="Q459" s="16" t="s">
        <v>20</v>
      </c>
      <c r="R459" s="17" t="s">
        <v>1876</v>
      </c>
      <c r="S459" s="121" t="s">
        <v>1731</v>
      </c>
      <c r="T459" s="122"/>
      <c r="U459" s="22" t="s">
        <v>1877</v>
      </c>
      <c r="V459" s="123"/>
      <c r="W459" s="122"/>
      <c r="X459" s="221"/>
      <c r="Y459" s="221"/>
      <c r="Z459" s="221"/>
      <c r="AA459" s="221"/>
      <c r="AB459" s="247"/>
    </row>
    <row r="460" spans="1:28" ht="17.100000000000001" customHeight="1" thickTop="1">
      <c r="A460" s="226" t="s">
        <v>5861</v>
      </c>
      <c r="B460" s="28">
        <v>44616</v>
      </c>
      <c r="C460" s="25">
        <v>1359</v>
      </c>
      <c r="D460" s="13" t="s">
        <v>1878</v>
      </c>
      <c r="E460" s="228"/>
      <c r="F460" s="109" t="s">
        <v>1879</v>
      </c>
      <c r="G460" s="24"/>
      <c r="H460" s="230">
        <v>4.5</v>
      </c>
      <c r="I460" s="220">
        <v>1015000</v>
      </c>
      <c r="J460" s="220">
        <v>101500</v>
      </c>
      <c r="K460" s="220">
        <v>0</v>
      </c>
      <c r="L460" s="220">
        <v>24650</v>
      </c>
      <c r="M460" s="220">
        <v>13200</v>
      </c>
      <c r="N460" s="220">
        <f>SUM(I460:M461)</f>
        <v>1154350</v>
      </c>
      <c r="O460" s="224">
        <v>800000</v>
      </c>
      <c r="P460" s="111" t="s">
        <v>1880</v>
      </c>
      <c r="Q460" s="15" t="s">
        <v>19</v>
      </c>
      <c r="R460" s="205"/>
      <c r="S460" s="189" t="s">
        <v>25381</v>
      </c>
      <c r="T460" s="114"/>
      <c r="U460" s="21"/>
      <c r="V460" s="115"/>
      <c r="W460" s="116"/>
      <c r="X460" s="220"/>
      <c r="Y460" s="245">
        <f>X460*0.1</f>
        <v>0</v>
      </c>
      <c r="Z460" s="220"/>
      <c r="AA460" s="220">
        <f>SUM(X460:Z460)</f>
        <v>0</v>
      </c>
      <c r="AB460" s="246"/>
    </row>
    <row r="461" spans="1:28" ht="17.100000000000001" customHeight="1" thickBot="1">
      <c r="A461" s="227"/>
      <c r="B461" s="27" t="s">
        <v>1592</v>
      </c>
      <c r="C461" s="27">
        <v>78022</v>
      </c>
      <c r="D461" s="14" t="s">
        <v>1690</v>
      </c>
      <c r="E461" s="229"/>
      <c r="F461" s="117" t="s">
        <v>1881</v>
      </c>
      <c r="G461" s="26">
        <v>57978</v>
      </c>
      <c r="H461" s="231"/>
      <c r="I461" s="221"/>
      <c r="J461" s="221"/>
      <c r="K461" s="221"/>
      <c r="L461" s="221"/>
      <c r="M461" s="221"/>
      <c r="N461" s="221"/>
      <c r="O461" s="225"/>
      <c r="P461" s="119" t="s">
        <v>1882</v>
      </c>
      <c r="Q461" s="16" t="s">
        <v>20</v>
      </c>
      <c r="R461" s="17" t="s">
        <v>1883</v>
      </c>
      <c r="S461" s="121" t="s">
        <v>1884</v>
      </c>
      <c r="T461" s="122"/>
      <c r="U461" s="22"/>
      <c r="V461" s="123"/>
      <c r="W461" s="122"/>
      <c r="X461" s="221"/>
      <c r="Y461" s="221"/>
      <c r="Z461" s="221"/>
      <c r="AA461" s="221"/>
      <c r="AB461" s="247"/>
    </row>
    <row r="462" spans="1:28" ht="17.100000000000001" customHeight="1" thickTop="1">
      <c r="A462" s="226" t="s">
        <v>5862</v>
      </c>
      <c r="B462" s="28">
        <v>44639</v>
      </c>
      <c r="C462" s="25">
        <v>1097</v>
      </c>
      <c r="D462" s="13" t="s">
        <v>1885</v>
      </c>
      <c r="E462" s="228"/>
      <c r="F462" s="109" t="s">
        <v>1886</v>
      </c>
      <c r="G462" s="24" t="s">
        <v>1887</v>
      </c>
      <c r="H462" s="230">
        <v>4</v>
      </c>
      <c r="I462" s="220">
        <v>1280000</v>
      </c>
      <c r="J462" s="220">
        <v>128000</v>
      </c>
      <c r="K462" s="220">
        <v>87900</v>
      </c>
      <c r="L462" s="220">
        <v>19390</v>
      </c>
      <c r="M462" s="220">
        <v>13200</v>
      </c>
      <c r="N462" s="220">
        <f>SUM(I462:M463)</f>
        <v>1528490</v>
      </c>
      <c r="O462" s="224">
        <v>1200000</v>
      </c>
      <c r="P462" s="111" t="s">
        <v>1888</v>
      </c>
      <c r="Q462" s="15" t="s">
        <v>19</v>
      </c>
      <c r="R462" s="205"/>
      <c r="S462" s="189" t="s">
        <v>25372</v>
      </c>
      <c r="T462" s="114"/>
      <c r="U462" s="21"/>
      <c r="V462" s="115"/>
      <c r="W462" s="116"/>
      <c r="X462" s="220"/>
      <c r="Y462" s="245">
        <f>X462*0.1</f>
        <v>0</v>
      </c>
      <c r="Z462" s="220"/>
      <c r="AA462" s="220">
        <f>SUM(X462:Z462)</f>
        <v>0</v>
      </c>
      <c r="AB462" s="246"/>
    </row>
    <row r="463" spans="1:28" ht="17.100000000000001" customHeight="1" thickBot="1">
      <c r="A463" s="227"/>
      <c r="B463" s="27" t="s">
        <v>1559</v>
      </c>
      <c r="C463" s="27">
        <v>82147</v>
      </c>
      <c r="D463" s="14" t="s">
        <v>1548</v>
      </c>
      <c r="E463" s="229"/>
      <c r="F463" s="117" t="s">
        <v>1889</v>
      </c>
      <c r="G463" s="26">
        <v>57876</v>
      </c>
      <c r="H463" s="231"/>
      <c r="I463" s="221"/>
      <c r="J463" s="221"/>
      <c r="K463" s="221"/>
      <c r="L463" s="221"/>
      <c r="M463" s="221"/>
      <c r="N463" s="221"/>
      <c r="O463" s="225"/>
      <c r="P463" s="119" t="s">
        <v>1890</v>
      </c>
      <c r="Q463" s="16" t="s">
        <v>20</v>
      </c>
      <c r="R463" s="17" t="s">
        <v>1891</v>
      </c>
      <c r="S463" s="121" t="s">
        <v>169</v>
      </c>
      <c r="T463" s="122"/>
      <c r="U463" s="22" t="s">
        <v>1892</v>
      </c>
      <c r="V463" s="123"/>
      <c r="W463" s="122"/>
      <c r="X463" s="221"/>
      <c r="Y463" s="221"/>
      <c r="Z463" s="221"/>
      <c r="AA463" s="221"/>
      <c r="AB463" s="247"/>
    </row>
    <row r="464" spans="1:28" ht="17.100000000000001" customHeight="1" thickTop="1">
      <c r="A464" s="226" t="s">
        <v>5863</v>
      </c>
      <c r="B464" s="28">
        <v>44644</v>
      </c>
      <c r="C464" s="25">
        <v>1363</v>
      </c>
      <c r="D464" s="13" t="s">
        <v>1685</v>
      </c>
      <c r="E464" s="228"/>
      <c r="F464" s="109" t="s">
        <v>1893</v>
      </c>
      <c r="G464" s="24"/>
      <c r="H464" s="230">
        <v>4.5</v>
      </c>
      <c r="I464" s="220">
        <v>1865000</v>
      </c>
      <c r="J464" s="220">
        <v>186500</v>
      </c>
      <c r="K464" s="220">
        <v>0</v>
      </c>
      <c r="L464" s="220">
        <v>17700</v>
      </c>
      <c r="M464" s="220">
        <v>13200</v>
      </c>
      <c r="N464" s="220">
        <f>SUM(I464:M465)</f>
        <v>2082400</v>
      </c>
      <c r="O464" s="224"/>
      <c r="P464" s="111" t="s">
        <v>1894</v>
      </c>
      <c r="Q464" s="15" t="s">
        <v>19</v>
      </c>
      <c r="R464" s="205"/>
      <c r="S464" s="189" t="s">
        <v>25382</v>
      </c>
      <c r="T464" s="114"/>
      <c r="U464" s="21"/>
      <c r="V464" s="115"/>
      <c r="W464" s="116"/>
      <c r="X464" s="220"/>
      <c r="Y464" s="245">
        <f>X464*0.1</f>
        <v>0</v>
      </c>
      <c r="Z464" s="220"/>
      <c r="AA464" s="220">
        <f>SUM(X464:Z464)</f>
        <v>0</v>
      </c>
      <c r="AB464" s="246"/>
    </row>
    <row r="465" spans="1:28" ht="17.100000000000001" customHeight="1" thickBot="1">
      <c r="A465" s="227"/>
      <c r="B465" s="27" t="s">
        <v>1592</v>
      </c>
      <c r="C465" s="27">
        <v>78215</v>
      </c>
      <c r="D465" s="14" t="s">
        <v>1834</v>
      </c>
      <c r="E465" s="229"/>
      <c r="F465" s="117" t="s">
        <v>1895</v>
      </c>
      <c r="G465" s="26">
        <v>44279</v>
      </c>
      <c r="H465" s="231"/>
      <c r="I465" s="221"/>
      <c r="J465" s="221"/>
      <c r="K465" s="221"/>
      <c r="L465" s="221"/>
      <c r="M465" s="221"/>
      <c r="N465" s="221"/>
      <c r="O465" s="225"/>
      <c r="P465" s="119" t="s">
        <v>1896</v>
      </c>
      <c r="Q465" s="16" t="s">
        <v>20</v>
      </c>
      <c r="R465" s="17" t="s">
        <v>1897</v>
      </c>
      <c r="S465" s="121" t="s">
        <v>1898</v>
      </c>
      <c r="T465" s="122"/>
      <c r="U465" s="22"/>
      <c r="V465" s="123"/>
      <c r="W465" s="122"/>
      <c r="X465" s="221"/>
      <c r="Y465" s="221"/>
      <c r="Z465" s="221"/>
      <c r="AA465" s="221"/>
      <c r="AB465" s="247"/>
    </row>
    <row r="466" spans="1:28" ht="17.100000000000001" customHeight="1" thickTop="1">
      <c r="A466" s="226" t="s">
        <v>5864</v>
      </c>
      <c r="B466" s="28">
        <v>44645</v>
      </c>
      <c r="C466" s="25"/>
      <c r="D466" s="13" t="s">
        <v>1899</v>
      </c>
      <c r="E466" s="228" t="s">
        <v>164</v>
      </c>
      <c r="F466" s="109" t="s">
        <v>1900</v>
      </c>
      <c r="G466" s="24" t="s">
        <v>1901</v>
      </c>
      <c r="H466" s="230">
        <v>4</v>
      </c>
      <c r="I466" s="220">
        <v>1700000</v>
      </c>
      <c r="J466" s="220">
        <v>170000</v>
      </c>
      <c r="K466" s="220">
        <v>45000</v>
      </c>
      <c r="L466" s="220">
        <v>9160</v>
      </c>
      <c r="M466" s="220">
        <v>11000</v>
      </c>
      <c r="N466" s="220">
        <f>SUM(I466:M467)</f>
        <v>1935160</v>
      </c>
      <c r="O466" s="224"/>
      <c r="P466" s="111" t="s">
        <v>1902</v>
      </c>
      <c r="Q466" s="15" t="s">
        <v>19</v>
      </c>
      <c r="R466" s="205"/>
      <c r="S466" s="189"/>
      <c r="T466" s="114"/>
      <c r="U466" s="21" t="s">
        <v>1903</v>
      </c>
      <c r="V466" s="115"/>
      <c r="W466" s="116"/>
      <c r="X466" s="220"/>
      <c r="Y466" s="245">
        <f>X466*0.1</f>
        <v>0</v>
      </c>
      <c r="Z466" s="220"/>
      <c r="AA466" s="220">
        <f>SUM(X466:Z466)</f>
        <v>0</v>
      </c>
      <c r="AB466" s="246"/>
    </row>
    <row r="467" spans="1:28" ht="17.100000000000001" customHeight="1" thickBot="1">
      <c r="A467" s="227"/>
      <c r="B467" s="27" t="s">
        <v>1904</v>
      </c>
      <c r="C467" s="27" t="s">
        <v>1905</v>
      </c>
      <c r="D467" s="14" t="s">
        <v>1584</v>
      </c>
      <c r="E467" s="229"/>
      <c r="F467" s="117" t="s">
        <v>1906</v>
      </c>
      <c r="G467" s="26">
        <v>63000</v>
      </c>
      <c r="H467" s="231"/>
      <c r="I467" s="221"/>
      <c r="J467" s="221"/>
      <c r="K467" s="221"/>
      <c r="L467" s="221"/>
      <c r="M467" s="221"/>
      <c r="N467" s="221"/>
      <c r="O467" s="225"/>
      <c r="P467" s="119" t="s">
        <v>1907</v>
      </c>
      <c r="Q467" s="16" t="s">
        <v>20</v>
      </c>
      <c r="R467" s="17" t="s">
        <v>1555</v>
      </c>
      <c r="S467" s="121"/>
      <c r="T467" s="122"/>
      <c r="U467" s="22"/>
      <c r="V467" s="123"/>
      <c r="W467" s="122"/>
      <c r="X467" s="221"/>
      <c r="Y467" s="221"/>
      <c r="Z467" s="221"/>
      <c r="AA467" s="221"/>
      <c r="AB467" s="247"/>
    </row>
    <row r="468" spans="1:28" ht="17.100000000000001" customHeight="1" thickTop="1">
      <c r="A468" s="226" t="s">
        <v>5865</v>
      </c>
      <c r="B468" s="28">
        <v>44653</v>
      </c>
      <c r="C468" s="25">
        <v>1099</v>
      </c>
      <c r="D468" s="13" t="s">
        <v>1908</v>
      </c>
      <c r="E468" s="228"/>
      <c r="F468" s="109" t="s">
        <v>1854</v>
      </c>
      <c r="G468" s="24" t="s">
        <v>1909</v>
      </c>
      <c r="H468" s="230">
        <v>4.5</v>
      </c>
      <c r="I468" s="220">
        <v>1290000</v>
      </c>
      <c r="J468" s="220">
        <v>129000</v>
      </c>
      <c r="K468" s="220">
        <v>36200</v>
      </c>
      <c r="L468" s="220">
        <v>18960</v>
      </c>
      <c r="M468" s="220">
        <v>13200</v>
      </c>
      <c r="N468" s="220">
        <f>SUM(I468:M469)</f>
        <v>1487360</v>
      </c>
      <c r="O468" s="224"/>
      <c r="P468" s="111" t="s">
        <v>1910</v>
      </c>
      <c r="Q468" s="15" t="s">
        <v>19</v>
      </c>
      <c r="R468" s="205"/>
      <c r="S468" s="189" t="s">
        <v>25383</v>
      </c>
      <c r="T468" s="114"/>
      <c r="U468" s="21" t="s">
        <v>1911</v>
      </c>
      <c r="V468" s="115"/>
      <c r="W468" s="116"/>
      <c r="X468" s="220"/>
      <c r="Y468" s="245">
        <f>X468*0.1</f>
        <v>0</v>
      </c>
      <c r="Z468" s="220"/>
      <c r="AA468" s="220">
        <f>SUM(X468:Z468)</f>
        <v>0</v>
      </c>
      <c r="AB468" s="246"/>
    </row>
    <row r="469" spans="1:28" ht="17.100000000000001" customHeight="1" thickBot="1">
      <c r="A469" s="227"/>
      <c r="B469" s="27" t="s">
        <v>1559</v>
      </c>
      <c r="C469" s="27">
        <v>82148</v>
      </c>
      <c r="D469" s="14" t="s">
        <v>1912</v>
      </c>
      <c r="E469" s="229"/>
      <c r="F469" s="117" t="s">
        <v>1913</v>
      </c>
      <c r="G469" s="26">
        <v>31947</v>
      </c>
      <c r="H469" s="231"/>
      <c r="I469" s="221"/>
      <c r="J469" s="221"/>
      <c r="K469" s="221"/>
      <c r="L469" s="221"/>
      <c r="M469" s="221"/>
      <c r="N469" s="221"/>
      <c r="O469" s="225"/>
      <c r="P469" s="119" t="s">
        <v>1914</v>
      </c>
      <c r="Q469" s="16" t="s">
        <v>20</v>
      </c>
      <c r="R469" s="17" t="s">
        <v>1780</v>
      </c>
      <c r="S469" s="121" t="s">
        <v>1801</v>
      </c>
      <c r="T469" s="122"/>
      <c r="U469" s="22"/>
      <c r="V469" s="123"/>
      <c r="W469" s="122"/>
      <c r="X469" s="221"/>
      <c r="Y469" s="221"/>
      <c r="Z469" s="221"/>
      <c r="AA469" s="221"/>
      <c r="AB469" s="247"/>
    </row>
    <row r="470" spans="1:28" ht="17.100000000000001" customHeight="1" thickTop="1">
      <c r="A470" s="226" t="s">
        <v>5866</v>
      </c>
      <c r="B470" s="28">
        <v>44658</v>
      </c>
      <c r="C470" s="25">
        <v>1959</v>
      </c>
      <c r="D470" s="13" t="s">
        <v>1915</v>
      </c>
      <c r="E470" s="228"/>
      <c r="F470" s="109" t="s">
        <v>1916</v>
      </c>
      <c r="G470" s="24"/>
      <c r="H470" s="230">
        <v>4.5</v>
      </c>
      <c r="I470" s="220">
        <v>1184000</v>
      </c>
      <c r="J470" s="220">
        <v>118400</v>
      </c>
      <c r="K470" s="220">
        <v>0</v>
      </c>
      <c r="L470" s="220">
        <v>18960</v>
      </c>
      <c r="M470" s="220">
        <v>13750</v>
      </c>
      <c r="N470" s="220">
        <f>SUM(I470:M471)</f>
        <v>1335110</v>
      </c>
      <c r="O470" s="224"/>
      <c r="P470" s="111" t="s">
        <v>1917</v>
      </c>
      <c r="Q470" s="15" t="s">
        <v>19</v>
      </c>
      <c r="R470" s="205"/>
      <c r="S470" s="189"/>
      <c r="T470" s="114"/>
      <c r="U470" s="21"/>
      <c r="V470" s="115"/>
      <c r="W470" s="116"/>
      <c r="X470" s="220"/>
      <c r="Y470" s="245">
        <f>X470*0.1</f>
        <v>0</v>
      </c>
      <c r="Z470" s="220"/>
      <c r="AA470" s="220">
        <f>SUM(X470:Z470)</f>
        <v>0</v>
      </c>
      <c r="AB470" s="246"/>
    </row>
    <row r="471" spans="1:28" ht="17.100000000000001" customHeight="1" thickBot="1">
      <c r="A471" s="227"/>
      <c r="B471" s="27" t="s">
        <v>1918</v>
      </c>
      <c r="C471" s="27">
        <v>3164</v>
      </c>
      <c r="D471" s="14" t="s">
        <v>1919</v>
      </c>
      <c r="E471" s="229"/>
      <c r="F471" s="117" t="s">
        <v>1920</v>
      </c>
      <c r="G471" s="26">
        <v>43786</v>
      </c>
      <c r="H471" s="231"/>
      <c r="I471" s="221"/>
      <c r="J471" s="221"/>
      <c r="K471" s="221"/>
      <c r="L471" s="221"/>
      <c r="M471" s="221"/>
      <c r="N471" s="221"/>
      <c r="O471" s="225"/>
      <c r="P471" s="119" t="s">
        <v>1921</v>
      </c>
      <c r="Q471" s="16" t="s">
        <v>20</v>
      </c>
      <c r="R471" s="17" t="s">
        <v>1922</v>
      </c>
      <c r="S471" s="121" t="s">
        <v>1923</v>
      </c>
      <c r="T471" s="122"/>
      <c r="U471" s="22"/>
      <c r="V471" s="123"/>
      <c r="W471" s="122"/>
      <c r="X471" s="221"/>
      <c r="Y471" s="221"/>
      <c r="Z471" s="221"/>
      <c r="AA471" s="221"/>
      <c r="AB471" s="247"/>
    </row>
    <row r="472" spans="1:28" ht="17.100000000000001" customHeight="1" thickTop="1">
      <c r="A472" s="226" t="s">
        <v>5867</v>
      </c>
      <c r="B472" s="28">
        <v>44659</v>
      </c>
      <c r="C472" s="25">
        <v>89</v>
      </c>
      <c r="D472" s="13" t="s">
        <v>1924</v>
      </c>
      <c r="E472" s="228"/>
      <c r="F472" s="109" t="s">
        <v>1925</v>
      </c>
      <c r="G472" s="24"/>
      <c r="H472" s="230">
        <v>3</v>
      </c>
      <c r="I472" s="220">
        <v>453000</v>
      </c>
      <c r="J472" s="220">
        <v>45300</v>
      </c>
      <c r="K472" s="220">
        <v>0</v>
      </c>
      <c r="L472" s="220">
        <v>0</v>
      </c>
      <c r="M472" s="220">
        <v>19800</v>
      </c>
      <c r="N472" s="220">
        <f>SUM(I472:M473)</f>
        <v>518100</v>
      </c>
      <c r="O472" s="224"/>
      <c r="P472" s="111" t="s">
        <v>1926</v>
      </c>
      <c r="Q472" s="15" t="s">
        <v>19</v>
      </c>
      <c r="R472" s="205"/>
      <c r="S472" s="189"/>
      <c r="T472" s="114"/>
      <c r="U472" s="21"/>
      <c r="V472" s="115"/>
      <c r="W472" s="116"/>
      <c r="X472" s="220"/>
      <c r="Y472" s="245">
        <f>X472*0.1</f>
        <v>0</v>
      </c>
      <c r="Z472" s="220"/>
      <c r="AA472" s="220">
        <f>SUM(X472:Z472)</f>
        <v>0</v>
      </c>
      <c r="AB472" s="246"/>
    </row>
    <row r="473" spans="1:28" ht="17.100000000000001" customHeight="1" thickBot="1">
      <c r="A473" s="227"/>
      <c r="B473" s="27" t="s">
        <v>1927</v>
      </c>
      <c r="C473" s="27">
        <v>117</v>
      </c>
      <c r="D473" s="14" t="s">
        <v>1710</v>
      </c>
      <c r="E473" s="229"/>
      <c r="F473" s="117" t="s">
        <v>1928</v>
      </c>
      <c r="G473" s="26">
        <v>55128</v>
      </c>
      <c r="H473" s="231"/>
      <c r="I473" s="221"/>
      <c r="J473" s="221"/>
      <c r="K473" s="221"/>
      <c r="L473" s="221"/>
      <c r="M473" s="221"/>
      <c r="N473" s="221"/>
      <c r="O473" s="225"/>
      <c r="P473" s="119" t="s">
        <v>1929</v>
      </c>
      <c r="Q473" s="16" t="s">
        <v>20</v>
      </c>
      <c r="R473" s="17" t="s">
        <v>1930</v>
      </c>
      <c r="S473" s="121"/>
      <c r="T473" s="122"/>
      <c r="U473" s="22"/>
      <c r="V473" s="123"/>
      <c r="W473" s="122"/>
      <c r="X473" s="221"/>
      <c r="Y473" s="221"/>
      <c r="Z473" s="221"/>
      <c r="AA473" s="221"/>
      <c r="AB473" s="247"/>
    </row>
    <row r="474" spans="1:28" ht="17.100000000000001" customHeight="1" thickTop="1">
      <c r="A474" s="226" t="s">
        <v>5868</v>
      </c>
      <c r="B474" s="28">
        <v>44672</v>
      </c>
      <c r="C474" s="25">
        <v>1367</v>
      </c>
      <c r="D474" s="13" t="s">
        <v>1931</v>
      </c>
      <c r="E474" s="228"/>
      <c r="F474" s="109" t="s">
        <v>1854</v>
      </c>
      <c r="G474" s="24"/>
      <c r="H474" s="230">
        <v>4.5</v>
      </c>
      <c r="I474" s="220">
        <v>1980000</v>
      </c>
      <c r="J474" s="220">
        <v>198000</v>
      </c>
      <c r="K474" s="220">
        <v>0</v>
      </c>
      <c r="L474" s="220">
        <v>16240</v>
      </c>
      <c r="M474" s="220">
        <v>13200</v>
      </c>
      <c r="N474" s="220">
        <f>SUM(I474:M475)</f>
        <v>2207440</v>
      </c>
      <c r="O474" s="224"/>
      <c r="P474" s="111" t="s">
        <v>1932</v>
      </c>
      <c r="Q474" s="15" t="s">
        <v>19</v>
      </c>
      <c r="R474" s="205"/>
      <c r="S474" s="189" t="s">
        <v>1276</v>
      </c>
      <c r="T474" s="114"/>
      <c r="U474" s="21"/>
      <c r="V474" s="115"/>
      <c r="W474" s="116"/>
      <c r="X474" s="220"/>
      <c r="Y474" s="245">
        <f>X474*0.1</f>
        <v>0</v>
      </c>
      <c r="Z474" s="220"/>
      <c r="AA474" s="220">
        <f>SUM(X474:Z474)</f>
        <v>0</v>
      </c>
      <c r="AB474" s="246"/>
    </row>
    <row r="475" spans="1:28" ht="17.100000000000001" customHeight="1" thickBot="1">
      <c r="A475" s="227"/>
      <c r="B475" s="27" t="s">
        <v>1592</v>
      </c>
      <c r="C475" s="27">
        <v>75364</v>
      </c>
      <c r="D475" s="14" t="s">
        <v>131</v>
      </c>
      <c r="E475" s="229"/>
      <c r="F475" s="117" t="s">
        <v>1933</v>
      </c>
      <c r="G475" s="26">
        <v>33656</v>
      </c>
      <c r="H475" s="231"/>
      <c r="I475" s="221"/>
      <c r="J475" s="221"/>
      <c r="K475" s="221"/>
      <c r="L475" s="221"/>
      <c r="M475" s="221"/>
      <c r="N475" s="221"/>
      <c r="O475" s="225"/>
      <c r="P475" s="119" t="s">
        <v>1921</v>
      </c>
      <c r="Q475" s="16" t="s">
        <v>20</v>
      </c>
      <c r="R475" s="17" t="s">
        <v>1934</v>
      </c>
      <c r="S475" s="121" t="s">
        <v>1923</v>
      </c>
      <c r="T475" s="122"/>
      <c r="U475" s="22"/>
      <c r="V475" s="123"/>
      <c r="W475" s="122"/>
      <c r="X475" s="221"/>
      <c r="Y475" s="221"/>
      <c r="Z475" s="221"/>
      <c r="AA475" s="221"/>
      <c r="AB475" s="247"/>
    </row>
    <row r="476" spans="1:28" ht="17.100000000000001" customHeight="1" thickTop="1">
      <c r="A476" s="226" t="s">
        <v>5869</v>
      </c>
      <c r="B476" s="28">
        <v>44674</v>
      </c>
      <c r="C476" s="25">
        <v>1345</v>
      </c>
      <c r="D476" s="13" t="s">
        <v>1935</v>
      </c>
      <c r="E476" s="228"/>
      <c r="F476" s="109" t="s">
        <v>1141</v>
      </c>
      <c r="G476" s="24" t="s">
        <v>1780</v>
      </c>
      <c r="H476" s="230">
        <v>4.5</v>
      </c>
      <c r="I476" s="220">
        <v>1835000</v>
      </c>
      <c r="J476" s="220">
        <v>183500</v>
      </c>
      <c r="K476" s="220">
        <v>36200</v>
      </c>
      <c r="L476" s="220">
        <v>18960</v>
      </c>
      <c r="M476" s="220">
        <v>13200</v>
      </c>
      <c r="N476" s="220">
        <f>SUM(I476:M477)</f>
        <v>2086860</v>
      </c>
      <c r="O476" s="224"/>
      <c r="P476" s="111" t="s">
        <v>1936</v>
      </c>
      <c r="Q476" s="15" t="s">
        <v>19</v>
      </c>
      <c r="R476" s="205"/>
      <c r="S476" s="189" t="s">
        <v>25383</v>
      </c>
      <c r="T476" s="114"/>
      <c r="U476" s="21"/>
      <c r="V476" s="115"/>
      <c r="W476" s="116"/>
      <c r="X476" s="220"/>
      <c r="Y476" s="245">
        <f>X476*0.1</f>
        <v>0</v>
      </c>
      <c r="Z476" s="220"/>
      <c r="AA476" s="220">
        <f>SUM(X476:Z476)</f>
        <v>0</v>
      </c>
      <c r="AB476" s="246"/>
    </row>
    <row r="477" spans="1:28" ht="17.100000000000001" customHeight="1" thickBot="1">
      <c r="A477" s="227"/>
      <c r="B477" s="27" t="s">
        <v>1547</v>
      </c>
      <c r="C477" s="27">
        <v>60231</v>
      </c>
      <c r="D477" s="14" t="s">
        <v>1584</v>
      </c>
      <c r="E477" s="229"/>
      <c r="F477" s="117" t="s">
        <v>1937</v>
      </c>
      <c r="G477" s="26">
        <v>31278</v>
      </c>
      <c r="H477" s="231"/>
      <c r="I477" s="221"/>
      <c r="J477" s="221"/>
      <c r="K477" s="221"/>
      <c r="L477" s="221"/>
      <c r="M477" s="221"/>
      <c r="N477" s="221"/>
      <c r="O477" s="225"/>
      <c r="P477" s="119" t="s">
        <v>1938</v>
      </c>
      <c r="Q477" s="16" t="s">
        <v>20</v>
      </c>
      <c r="R477" s="17" t="s">
        <v>1939</v>
      </c>
      <c r="S477" s="121" t="s">
        <v>156</v>
      </c>
      <c r="T477" s="122"/>
      <c r="U477" s="22" t="s">
        <v>1940</v>
      </c>
      <c r="V477" s="123"/>
      <c r="W477" s="122"/>
      <c r="X477" s="221"/>
      <c r="Y477" s="221"/>
      <c r="Z477" s="221"/>
      <c r="AA477" s="221"/>
      <c r="AB477" s="247"/>
    </row>
    <row r="478" spans="1:28" ht="17.100000000000001" customHeight="1" thickTop="1">
      <c r="A478" s="226" t="s">
        <v>5870</v>
      </c>
      <c r="B478" s="28">
        <v>44681</v>
      </c>
      <c r="C478" s="25">
        <v>1527</v>
      </c>
      <c r="D478" s="13" t="s">
        <v>1754</v>
      </c>
      <c r="E478" s="228"/>
      <c r="F478" s="109" t="s">
        <v>1941</v>
      </c>
      <c r="G478" s="24" t="s">
        <v>1942</v>
      </c>
      <c r="H478" s="230">
        <v>4</v>
      </c>
      <c r="I478" s="220">
        <v>2000000</v>
      </c>
      <c r="J478" s="220">
        <v>200000</v>
      </c>
      <c r="K478" s="220">
        <v>36200</v>
      </c>
      <c r="L478" s="220">
        <v>20680</v>
      </c>
      <c r="M478" s="220">
        <v>13200</v>
      </c>
      <c r="N478" s="220">
        <f>SUM(I478:M479)</f>
        <v>2270080</v>
      </c>
      <c r="O478" s="224"/>
      <c r="P478" s="111" t="s">
        <v>1943</v>
      </c>
      <c r="Q478" s="15" t="s">
        <v>19</v>
      </c>
      <c r="R478" s="205"/>
      <c r="S478" s="189" t="s">
        <v>25384</v>
      </c>
      <c r="T478" s="114"/>
      <c r="U478" s="21" t="s">
        <v>1944</v>
      </c>
      <c r="V478" s="115"/>
      <c r="W478" s="116"/>
      <c r="X478" s="220"/>
      <c r="Y478" s="245">
        <f>X478*0.1</f>
        <v>0</v>
      </c>
      <c r="Z478" s="220"/>
      <c r="AA478" s="220">
        <f>SUM(X478:Z478)</f>
        <v>0</v>
      </c>
      <c r="AB478" s="246"/>
    </row>
    <row r="479" spans="1:28" ht="17.100000000000001" customHeight="1" thickBot="1">
      <c r="A479" s="227"/>
      <c r="B479" s="27" t="s">
        <v>1842</v>
      </c>
      <c r="C479" s="27">
        <v>311</v>
      </c>
      <c r="D479" s="14" t="s">
        <v>1866</v>
      </c>
      <c r="E479" s="229"/>
      <c r="F479" s="117" t="s">
        <v>1945</v>
      </c>
      <c r="G479" s="26">
        <v>24881</v>
      </c>
      <c r="H479" s="231"/>
      <c r="I479" s="221"/>
      <c r="J479" s="221"/>
      <c r="K479" s="221"/>
      <c r="L479" s="221"/>
      <c r="M479" s="221"/>
      <c r="N479" s="221"/>
      <c r="O479" s="225"/>
      <c r="P479" s="119" t="s">
        <v>1946</v>
      </c>
      <c r="Q479" s="16" t="s">
        <v>20</v>
      </c>
      <c r="R479" s="17" t="s">
        <v>1947</v>
      </c>
      <c r="S479" s="121" t="s">
        <v>1606</v>
      </c>
      <c r="T479" s="122"/>
      <c r="U479" s="22" t="s">
        <v>50</v>
      </c>
      <c r="V479" s="123"/>
      <c r="W479" s="122"/>
      <c r="X479" s="221"/>
      <c r="Y479" s="221"/>
      <c r="Z479" s="221"/>
      <c r="AA479" s="221"/>
      <c r="AB479" s="247"/>
    </row>
    <row r="480" spans="1:28" ht="17.100000000000001" customHeight="1" thickTop="1">
      <c r="A480" s="226" t="s">
        <v>5871</v>
      </c>
      <c r="B480" s="28">
        <v>44693</v>
      </c>
      <c r="C480" s="25">
        <v>1369</v>
      </c>
      <c r="D480" s="13" t="s">
        <v>1816</v>
      </c>
      <c r="E480" s="228"/>
      <c r="F480" s="109" t="s">
        <v>1948</v>
      </c>
      <c r="G480" s="24" t="s">
        <v>1887</v>
      </c>
      <c r="H480" s="230">
        <v>4.5</v>
      </c>
      <c r="I480" s="220">
        <v>1980000</v>
      </c>
      <c r="J480" s="220">
        <v>198000</v>
      </c>
      <c r="K480" s="220">
        <v>32900</v>
      </c>
      <c r="L480" s="220">
        <v>14750</v>
      </c>
      <c r="M480" s="220">
        <v>13200</v>
      </c>
      <c r="N480" s="220">
        <f>SUM(I480:M481)</f>
        <v>2238850</v>
      </c>
      <c r="O480" s="224"/>
      <c r="P480" s="111" t="s">
        <v>1949</v>
      </c>
      <c r="Q480" s="15" t="s">
        <v>19</v>
      </c>
      <c r="R480" s="205"/>
      <c r="S480" s="189" t="s">
        <v>1271</v>
      </c>
      <c r="T480" s="114"/>
      <c r="U480" s="21" t="s">
        <v>1950</v>
      </c>
      <c r="V480" s="115"/>
      <c r="W480" s="116"/>
      <c r="X480" s="220"/>
      <c r="Y480" s="245">
        <f>X480*0.1</f>
        <v>0</v>
      </c>
      <c r="Z480" s="220"/>
      <c r="AA480" s="220">
        <f>SUM(X480:Z480)</f>
        <v>0</v>
      </c>
      <c r="AB480" s="246"/>
    </row>
    <row r="481" spans="1:28" ht="17.100000000000001" customHeight="1" thickBot="1">
      <c r="A481" s="227"/>
      <c r="B481" s="27" t="s">
        <v>1592</v>
      </c>
      <c r="C481" s="27">
        <v>75009</v>
      </c>
      <c r="D481" s="14" t="s">
        <v>1537</v>
      </c>
      <c r="E481" s="229"/>
      <c r="F481" s="117" t="s">
        <v>1951</v>
      </c>
      <c r="G481" s="26">
        <v>53562</v>
      </c>
      <c r="H481" s="231"/>
      <c r="I481" s="221"/>
      <c r="J481" s="221"/>
      <c r="K481" s="221"/>
      <c r="L481" s="221"/>
      <c r="M481" s="221"/>
      <c r="N481" s="221"/>
      <c r="O481" s="225"/>
      <c r="P481" s="119" t="s">
        <v>1875</v>
      </c>
      <c r="Q481" s="16" t="s">
        <v>20</v>
      </c>
      <c r="R481" s="17" t="s">
        <v>1952</v>
      </c>
      <c r="S481" s="121" t="s">
        <v>1731</v>
      </c>
      <c r="T481" s="122"/>
      <c r="U481" s="22"/>
      <c r="V481" s="123"/>
      <c r="W481" s="122"/>
      <c r="X481" s="221"/>
      <c r="Y481" s="221"/>
      <c r="Z481" s="221"/>
      <c r="AA481" s="221"/>
      <c r="AB481" s="247"/>
    </row>
    <row r="482" spans="1:28" ht="17.100000000000001" customHeight="1" thickTop="1">
      <c r="A482" s="226" t="s">
        <v>5872</v>
      </c>
      <c r="B482" s="28">
        <v>44695</v>
      </c>
      <c r="C482" s="25">
        <v>1347</v>
      </c>
      <c r="D482" s="13" t="s">
        <v>1953</v>
      </c>
      <c r="E482" s="228" t="s">
        <v>1954</v>
      </c>
      <c r="F482" s="109" t="s">
        <v>1141</v>
      </c>
      <c r="G482" s="24"/>
      <c r="H482" s="230">
        <v>4</v>
      </c>
      <c r="I482" s="220">
        <v>2895000</v>
      </c>
      <c r="J482" s="220">
        <v>289500</v>
      </c>
      <c r="K482" s="220">
        <v>0</v>
      </c>
      <c r="L482" s="220">
        <v>17600</v>
      </c>
      <c r="M482" s="220">
        <v>13200</v>
      </c>
      <c r="N482" s="220">
        <f>SUM(I482:M483)</f>
        <v>3215300</v>
      </c>
      <c r="O482" s="224"/>
      <c r="P482" s="111" t="s">
        <v>1955</v>
      </c>
      <c r="Q482" s="15" t="s">
        <v>19</v>
      </c>
      <c r="R482" s="205"/>
      <c r="S482" s="189" t="s">
        <v>1398</v>
      </c>
      <c r="T482" s="114"/>
      <c r="U482" s="21"/>
      <c r="V482" s="115"/>
      <c r="W482" s="116"/>
      <c r="X482" s="220"/>
      <c r="Y482" s="245">
        <f>X482*0.1</f>
        <v>0</v>
      </c>
      <c r="Z482" s="220"/>
      <c r="AA482" s="220">
        <f>SUM(X482:Z482)</f>
        <v>0</v>
      </c>
      <c r="AB482" s="246"/>
    </row>
    <row r="483" spans="1:28" ht="17.100000000000001" customHeight="1" thickBot="1">
      <c r="A483" s="227"/>
      <c r="B483" s="27" t="s">
        <v>1547</v>
      </c>
      <c r="C483" s="27">
        <v>83214</v>
      </c>
      <c r="D483" s="66" t="s">
        <v>1956</v>
      </c>
      <c r="E483" s="229"/>
      <c r="F483" s="117" t="s">
        <v>1957</v>
      </c>
      <c r="G483" s="26">
        <v>12632</v>
      </c>
      <c r="H483" s="231"/>
      <c r="I483" s="221"/>
      <c r="J483" s="221"/>
      <c r="K483" s="221"/>
      <c r="L483" s="221"/>
      <c r="M483" s="221"/>
      <c r="N483" s="221"/>
      <c r="O483" s="225"/>
      <c r="P483" s="119" t="s">
        <v>1958</v>
      </c>
      <c r="Q483" s="16" t="s">
        <v>20</v>
      </c>
      <c r="R483" s="17" t="s">
        <v>1959</v>
      </c>
      <c r="S483" s="121" t="s">
        <v>1960</v>
      </c>
      <c r="T483" s="122"/>
      <c r="U483" s="22"/>
      <c r="V483" s="123"/>
      <c r="W483" s="122"/>
      <c r="X483" s="221"/>
      <c r="Y483" s="221"/>
      <c r="Z483" s="221"/>
      <c r="AA483" s="221"/>
      <c r="AB483" s="247"/>
    </row>
    <row r="484" spans="1:28" ht="17.100000000000001" customHeight="1" thickTop="1">
      <c r="A484" s="226" t="s">
        <v>5873</v>
      </c>
      <c r="B484" s="28">
        <v>44700</v>
      </c>
      <c r="C484" s="25">
        <v>1370</v>
      </c>
      <c r="D484" s="13" t="s">
        <v>1961</v>
      </c>
      <c r="E484" s="228" t="s">
        <v>164</v>
      </c>
      <c r="F484" s="109" t="s">
        <v>1962</v>
      </c>
      <c r="G484" s="24" t="s">
        <v>1963</v>
      </c>
      <c r="H484" s="230">
        <v>5</v>
      </c>
      <c r="I484" s="220">
        <v>9760000</v>
      </c>
      <c r="J484" s="220">
        <v>976000</v>
      </c>
      <c r="K484" s="220">
        <v>41600</v>
      </c>
      <c r="L484" s="220">
        <v>18090</v>
      </c>
      <c r="M484" s="220">
        <v>13200</v>
      </c>
      <c r="N484" s="220">
        <f>SUM(I484:M485)</f>
        <v>10808890</v>
      </c>
      <c r="O484" s="224"/>
      <c r="P484" s="111" t="s">
        <v>1964</v>
      </c>
      <c r="Q484" s="15" t="s">
        <v>19</v>
      </c>
      <c r="R484" s="205"/>
      <c r="S484" s="189" t="s">
        <v>25367</v>
      </c>
      <c r="T484" s="114"/>
      <c r="U484" s="21" t="s">
        <v>1965</v>
      </c>
      <c r="V484" s="115"/>
      <c r="W484" s="116"/>
      <c r="X484" s="220"/>
      <c r="Y484" s="245">
        <f>X484*0.1</f>
        <v>0</v>
      </c>
      <c r="Z484" s="220"/>
      <c r="AA484" s="220">
        <f>SUM(X484:Z484)</f>
        <v>0</v>
      </c>
      <c r="AB484" s="246"/>
    </row>
    <row r="485" spans="1:28" ht="17.100000000000001" customHeight="1" thickBot="1">
      <c r="A485" s="227"/>
      <c r="B485" s="27" t="s">
        <v>1592</v>
      </c>
      <c r="C485" s="27">
        <v>75668</v>
      </c>
      <c r="D485" s="14" t="s">
        <v>1584</v>
      </c>
      <c r="E485" s="229"/>
      <c r="F485" s="117" t="s">
        <v>1966</v>
      </c>
      <c r="G485" s="26">
        <v>9800</v>
      </c>
      <c r="H485" s="231"/>
      <c r="I485" s="221"/>
      <c r="J485" s="221"/>
      <c r="K485" s="221"/>
      <c r="L485" s="221"/>
      <c r="M485" s="221"/>
      <c r="N485" s="221"/>
      <c r="O485" s="225"/>
      <c r="P485" s="119" t="s">
        <v>1875</v>
      </c>
      <c r="Q485" s="16" t="s">
        <v>20</v>
      </c>
      <c r="R485" s="17" t="s">
        <v>1959</v>
      </c>
      <c r="S485" s="121" t="s">
        <v>1967</v>
      </c>
      <c r="T485" s="122"/>
      <c r="U485" s="22"/>
      <c r="V485" s="123"/>
      <c r="W485" s="122"/>
      <c r="X485" s="221"/>
      <c r="Y485" s="221"/>
      <c r="Z485" s="221"/>
      <c r="AA485" s="221"/>
      <c r="AB485" s="247"/>
    </row>
    <row r="486" spans="1:28" ht="17.100000000000001" customHeight="1" thickTop="1">
      <c r="A486" s="226" t="s">
        <v>5874</v>
      </c>
      <c r="B486" s="28">
        <v>44708</v>
      </c>
      <c r="C486" s="25">
        <v>1941</v>
      </c>
      <c r="D486" s="13" t="s">
        <v>1968</v>
      </c>
      <c r="E486" s="228"/>
      <c r="F486" s="109" t="s">
        <v>1969</v>
      </c>
      <c r="G486" s="24"/>
      <c r="H486" s="230">
        <v>4</v>
      </c>
      <c r="I486" s="220">
        <v>580000</v>
      </c>
      <c r="J486" s="220">
        <v>58000</v>
      </c>
      <c r="K486" s="220">
        <v>0</v>
      </c>
      <c r="L486" s="220">
        <v>15590</v>
      </c>
      <c r="M486" s="220">
        <v>13200</v>
      </c>
      <c r="N486" s="220">
        <f>SUM(I486:M487)</f>
        <v>666790</v>
      </c>
      <c r="O486" s="224"/>
      <c r="P486" s="111" t="s">
        <v>1970</v>
      </c>
      <c r="Q486" s="15" t="s">
        <v>19</v>
      </c>
      <c r="R486" s="205"/>
      <c r="S486" s="189" t="s">
        <v>758</v>
      </c>
      <c r="T486" s="114"/>
      <c r="U486" s="21"/>
      <c r="V486" s="115"/>
      <c r="W486" s="116"/>
      <c r="X486" s="220"/>
      <c r="Y486" s="245">
        <f>X486*0.1</f>
        <v>0</v>
      </c>
      <c r="Z486" s="220"/>
      <c r="AA486" s="220">
        <f>SUM(X486:Z486)</f>
        <v>0</v>
      </c>
      <c r="AB486" s="246"/>
    </row>
    <row r="487" spans="1:28" ht="17.100000000000001" customHeight="1" thickBot="1">
      <c r="A487" s="227"/>
      <c r="B487" s="27" t="s">
        <v>1536</v>
      </c>
      <c r="C487" s="27">
        <v>58169</v>
      </c>
      <c r="D487" s="14" t="s">
        <v>1866</v>
      </c>
      <c r="E487" s="229"/>
      <c r="F487" s="117" t="s">
        <v>1971</v>
      </c>
      <c r="G487" s="26">
        <v>65001</v>
      </c>
      <c r="H487" s="231"/>
      <c r="I487" s="221"/>
      <c r="J487" s="221"/>
      <c r="K487" s="221"/>
      <c r="L487" s="221"/>
      <c r="M487" s="221"/>
      <c r="N487" s="221"/>
      <c r="O487" s="225"/>
      <c r="P487" s="119" t="s">
        <v>1972</v>
      </c>
      <c r="Q487" s="16" t="s">
        <v>20</v>
      </c>
      <c r="R487" s="17" t="s">
        <v>1973</v>
      </c>
      <c r="S487" s="121" t="s">
        <v>1625</v>
      </c>
      <c r="T487" s="122"/>
      <c r="U487" s="22"/>
      <c r="V487" s="123"/>
      <c r="W487" s="122"/>
      <c r="X487" s="221"/>
      <c r="Y487" s="221"/>
      <c r="Z487" s="221"/>
      <c r="AA487" s="221"/>
      <c r="AB487" s="247"/>
    </row>
    <row r="488" spans="1:28" ht="17.100000000000001" customHeight="1" thickTop="1">
      <c r="A488" s="226" t="s">
        <v>5875</v>
      </c>
      <c r="B488" s="28">
        <v>44712</v>
      </c>
      <c r="C488" s="25">
        <v>899</v>
      </c>
      <c r="D488" s="13" t="s">
        <v>1974</v>
      </c>
      <c r="E488" s="228"/>
      <c r="F488" s="109" t="s">
        <v>1975</v>
      </c>
      <c r="G488" s="24" t="s">
        <v>1976</v>
      </c>
      <c r="H488" s="230">
        <v>4</v>
      </c>
      <c r="I488" s="220">
        <v>2450000</v>
      </c>
      <c r="J488" s="220">
        <v>245000</v>
      </c>
      <c r="K488" s="220">
        <v>84300</v>
      </c>
      <c r="L488" s="220">
        <v>21580</v>
      </c>
      <c r="M488" s="220">
        <v>13200</v>
      </c>
      <c r="N488" s="220">
        <f>SUM(I488:M489)</f>
        <v>2814080</v>
      </c>
      <c r="O488" s="224"/>
      <c r="P488" s="111" t="s">
        <v>1977</v>
      </c>
      <c r="Q488" s="15" t="s">
        <v>19</v>
      </c>
      <c r="R488" s="205"/>
      <c r="S488" s="189" t="s">
        <v>25385</v>
      </c>
      <c r="T488" s="114"/>
      <c r="U488" s="21" t="s">
        <v>1978</v>
      </c>
      <c r="V488" s="115">
        <v>46009</v>
      </c>
      <c r="W488" s="116"/>
      <c r="X488" s="220">
        <v>3458000</v>
      </c>
      <c r="Y488" s="245">
        <f>X488*0.1</f>
        <v>345800</v>
      </c>
      <c r="Z488" s="220">
        <v>21580</v>
      </c>
      <c r="AA488" s="220">
        <f>SUM(X488:Z488)</f>
        <v>3825380</v>
      </c>
      <c r="AB488" s="246"/>
    </row>
    <row r="489" spans="1:28" ht="17.100000000000001" customHeight="1" thickBot="1">
      <c r="A489" s="227"/>
      <c r="B489" s="27" t="s">
        <v>1583</v>
      </c>
      <c r="C489" s="27">
        <v>84191</v>
      </c>
      <c r="D489" s="14" t="s">
        <v>273</v>
      </c>
      <c r="E489" s="229"/>
      <c r="F489" s="117" t="s">
        <v>1979</v>
      </c>
      <c r="G489" s="26">
        <v>39648</v>
      </c>
      <c r="H489" s="231"/>
      <c r="I489" s="221"/>
      <c r="J489" s="221"/>
      <c r="K489" s="221"/>
      <c r="L489" s="221"/>
      <c r="M489" s="221"/>
      <c r="N489" s="221"/>
      <c r="O489" s="225"/>
      <c r="P489" s="119" t="s">
        <v>1980</v>
      </c>
      <c r="Q489" s="16" t="s">
        <v>20</v>
      </c>
      <c r="R489" s="17" t="s">
        <v>1963</v>
      </c>
      <c r="S489" s="121" t="s">
        <v>1981</v>
      </c>
      <c r="T489" s="122"/>
      <c r="U489" s="22" t="s">
        <v>106</v>
      </c>
      <c r="V489" s="123" t="s">
        <v>6682</v>
      </c>
      <c r="W489" s="122">
        <v>52071</v>
      </c>
      <c r="X489" s="221"/>
      <c r="Y489" s="221"/>
      <c r="Z489" s="221"/>
      <c r="AA489" s="221"/>
      <c r="AB489" s="247"/>
    </row>
    <row r="490" spans="1:28" ht="17.100000000000001" customHeight="1" thickTop="1">
      <c r="A490" s="226" t="s">
        <v>5876</v>
      </c>
      <c r="B490" s="28">
        <v>44715</v>
      </c>
      <c r="C490" s="25">
        <v>1942</v>
      </c>
      <c r="D490" s="13" t="s">
        <v>1564</v>
      </c>
      <c r="E490" s="228"/>
      <c r="F490" s="109" t="s">
        <v>1982</v>
      </c>
      <c r="G490" s="24" t="s">
        <v>1983</v>
      </c>
      <c r="H490" s="230">
        <v>4.5</v>
      </c>
      <c r="I490" s="220">
        <v>2255000</v>
      </c>
      <c r="J490" s="220">
        <v>225500</v>
      </c>
      <c r="K490" s="220">
        <v>29600</v>
      </c>
      <c r="L490" s="220">
        <v>21090</v>
      </c>
      <c r="M490" s="220">
        <v>13200</v>
      </c>
      <c r="N490" s="220">
        <f>SUM(I490:M491)</f>
        <v>2544390</v>
      </c>
      <c r="O490" s="224"/>
      <c r="P490" s="111" t="s">
        <v>1984</v>
      </c>
      <c r="Q490" s="15" t="s">
        <v>19</v>
      </c>
      <c r="R490" s="205"/>
      <c r="S490" s="189" t="s">
        <v>1113</v>
      </c>
      <c r="T490" s="114"/>
      <c r="U490" s="21" t="s">
        <v>1985</v>
      </c>
      <c r="V490" s="115"/>
      <c r="W490" s="116"/>
      <c r="X490" s="220"/>
      <c r="Y490" s="245">
        <f>X490*0.1</f>
        <v>0</v>
      </c>
      <c r="Z490" s="220"/>
      <c r="AA490" s="220">
        <f>SUM(X490:Z490)</f>
        <v>0</v>
      </c>
      <c r="AB490" s="246"/>
    </row>
    <row r="491" spans="1:28" ht="17.100000000000001" customHeight="1" thickBot="1">
      <c r="A491" s="227"/>
      <c r="B491" s="27" t="s">
        <v>1536</v>
      </c>
      <c r="C491" s="27">
        <v>58443</v>
      </c>
      <c r="D491" s="14" t="s">
        <v>1866</v>
      </c>
      <c r="E491" s="229"/>
      <c r="F491" s="117" t="s">
        <v>1986</v>
      </c>
      <c r="G491" s="26">
        <v>51266</v>
      </c>
      <c r="H491" s="231"/>
      <c r="I491" s="221"/>
      <c r="J491" s="221"/>
      <c r="K491" s="221"/>
      <c r="L491" s="221"/>
      <c r="M491" s="221"/>
      <c r="N491" s="221"/>
      <c r="O491" s="225"/>
      <c r="P491" s="119" t="s">
        <v>1987</v>
      </c>
      <c r="Q491" s="16" t="s">
        <v>20</v>
      </c>
      <c r="R491" s="17" t="s">
        <v>1988</v>
      </c>
      <c r="S491" s="121" t="s">
        <v>1989</v>
      </c>
      <c r="T491" s="122"/>
      <c r="U491" s="22" t="s">
        <v>106</v>
      </c>
      <c r="V491" s="123"/>
      <c r="W491" s="122"/>
      <c r="X491" s="221"/>
      <c r="Y491" s="221"/>
      <c r="Z491" s="221"/>
      <c r="AA491" s="221"/>
      <c r="AB491" s="247"/>
    </row>
    <row r="492" spans="1:28" ht="17.100000000000001" customHeight="1" thickTop="1">
      <c r="A492" s="226" t="s">
        <v>5877</v>
      </c>
      <c r="B492" s="28">
        <v>44722</v>
      </c>
      <c r="C492" s="25">
        <v>1943</v>
      </c>
      <c r="D492" s="13" t="s">
        <v>1853</v>
      </c>
      <c r="E492" s="228" t="s">
        <v>1954</v>
      </c>
      <c r="F492" s="109" t="s">
        <v>1990</v>
      </c>
      <c r="G492" s="24"/>
      <c r="H492" s="230">
        <v>4.5</v>
      </c>
      <c r="I492" s="220">
        <v>1200000</v>
      </c>
      <c r="J492" s="220">
        <v>120000</v>
      </c>
      <c r="K492" s="220">
        <v>0</v>
      </c>
      <c r="L492" s="220">
        <v>17490</v>
      </c>
      <c r="M492" s="220">
        <v>24200</v>
      </c>
      <c r="N492" s="220">
        <f>SUM(I492:M493)</f>
        <v>1361690</v>
      </c>
      <c r="O492" s="224"/>
      <c r="P492" s="111" t="s">
        <v>1991</v>
      </c>
      <c r="Q492" s="15" t="s">
        <v>19</v>
      </c>
      <c r="R492" s="205"/>
      <c r="S492" s="189" t="s">
        <v>758</v>
      </c>
      <c r="T492" s="114"/>
      <c r="U492" s="21"/>
      <c r="V492" s="115"/>
      <c r="W492" s="116"/>
      <c r="X492" s="220"/>
      <c r="Y492" s="245">
        <f>X492*0.1</f>
        <v>0</v>
      </c>
      <c r="Z492" s="220"/>
      <c r="AA492" s="220">
        <f>SUM(X492:Z492)</f>
        <v>0</v>
      </c>
      <c r="AB492" s="246"/>
    </row>
    <row r="493" spans="1:28" ht="17.100000000000001" customHeight="1" thickBot="1">
      <c r="A493" s="227"/>
      <c r="B493" s="27" t="s">
        <v>1536</v>
      </c>
      <c r="C493" s="27">
        <v>58068</v>
      </c>
      <c r="D493" s="14" t="s">
        <v>1819</v>
      </c>
      <c r="E493" s="229"/>
      <c r="F493" s="117" t="s">
        <v>1992</v>
      </c>
      <c r="G493" s="26">
        <v>54457</v>
      </c>
      <c r="H493" s="231"/>
      <c r="I493" s="221"/>
      <c r="J493" s="221"/>
      <c r="K493" s="221"/>
      <c r="L493" s="221"/>
      <c r="M493" s="221"/>
      <c r="N493" s="221"/>
      <c r="O493" s="225"/>
      <c r="P493" s="119" t="s">
        <v>1993</v>
      </c>
      <c r="Q493" s="16" t="s">
        <v>20</v>
      </c>
      <c r="R493" s="17" t="s">
        <v>1994</v>
      </c>
      <c r="S493" s="121" t="s">
        <v>1995</v>
      </c>
      <c r="T493" s="122"/>
      <c r="U493" s="22"/>
      <c r="V493" s="123"/>
      <c r="W493" s="122"/>
      <c r="X493" s="221"/>
      <c r="Y493" s="221"/>
      <c r="Z493" s="221"/>
      <c r="AA493" s="221"/>
      <c r="AB493" s="247"/>
    </row>
    <row r="494" spans="1:28" ht="17.100000000000001" customHeight="1" thickTop="1">
      <c r="A494" s="226" t="s">
        <v>5878</v>
      </c>
      <c r="B494" s="28">
        <v>44722</v>
      </c>
      <c r="C494" s="25">
        <v>1943</v>
      </c>
      <c r="D494" s="13" t="s">
        <v>1996</v>
      </c>
      <c r="E494" s="228"/>
      <c r="F494" s="109" t="s">
        <v>1608</v>
      </c>
      <c r="G494" s="24" t="s">
        <v>1997</v>
      </c>
      <c r="H494" s="230">
        <v>4</v>
      </c>
      <c r="I494" s="220">
        <v>1330000</v>
      </c>
      <c r="J494" s="220">
        <v>133000</v>
      </c>
      <c r="K494" s="220">
        <v>25800</v>
      </c>
      <c r="L494" s="220">
        <v>17250</v>
      </c>
      <c r="M494" s="220">
        <v>13200</v>
      </c>
      <c r="N494" s="220">
        <f>SUM(I494:M495)</f>
        <v>1519250</v>
      </c>
      <c r="O494" s="224"/>
      <c r="P494" s="111" t="s">
        <v>1998</v>
      </c>
      <c r="Q494" s="15" t="s">
        <v>19</v>
      </c>
      <c r="R494" s="205"/>
      <c r="S494" s="189" t="s">
        <v>25386</v>
      </c>
      <c r="T494" s="155" t="s">
        <v>1610</v>
      </c>
      <c r="U494" s="21" t="s">
        <v>1999</v>
      </c>
      <c r="V494" s="115"/>
      <c r="W494" s="116"/>
      <c r="X494" s="220"/>
      <c r="Y494" s="245">
        <f>X494*0.1</f>
        <v>0</v>
      </c>
      <c r="Z494" s="220"/>
      <c r="AA494" s="220">
        <f>SUM(X494:Z494)</f>
        <v>0</v>
      </c>
      <c r="AB494" s="246"/>
    </row>
    <row r="495" spans="1:28" ht="17.100000000000001" customHeight="1" thickBot="1">
      <c r="A495" s="227"/>
      <c r="B495" s="27" t="s">
        <v>1536</v>
      </c>
      <c r="C495" s="27">
        <v>58299</v>
      </c>
      <c r="D495" s="14" t="s">
        <v>1797</v>
      </c>
      <c r="E495" s="229"/>
      <c r="F495" s="117" t="s">
        <v>2000</v>
      </c>
      <c r="G495" s="26">
        <v>36133</v>
      </c>
      <c r="H495" s="231"/>
      <c r="I495" s="221"/>
      <c r="J495" s="221"/>
      <c r="K495" s="221"/>
      <c r="L495" s="221"/>
      <c r="M495" s="221"/>
      <c r="N495" s="221"/>
      <c r="O495" s="225"/>
      <c r="P495" s="119" t="s">
        <v>2001</v>
      </c>
      <c r="Q495" s="16" t="s">
        <v>20</v>
      </c>
      <c r="R495" s="17" t="s">
        <v>2002</v>
      </c>
      <c r="S495" s="121" t="s">
        <v>2003</v>
      </c>
      <c r="T495" s="122"/>
      <c r="U495" s="22" t="s">
        <v>1290</v>
      </c>
      <c r="V495" s="123"/>
      <c r="W495" s="122"/>
      <c r="X495" s="221"/>
      <c r="Y495" s="221"/>
      <c r="Z495" s="221"/>
      <c r="AA495" s="221"/>
      <c r="AB495" s="247"/>
    </row>
    <row r="496" spans="1:28" ht="17.100000000000001" customHeight="1" thickTop="1">
      <c r="A496" s="226" t="s">
        <v>5879</v>
      </c>
      <c r="B496" s="28">
        <v>44726</v>
      </c>
      <c r="C496" s="25">
        <v>901</v>
      </c>
      <c r="D496" s="13" t="s">
        <v>1788</v>
      </c>
      <c r="E496" s="228"/>
      <c r="F496" s="109" t="s">
        <v>2004</v>
      </c>
      <c r="G496" s="24"/>
      <c r="H496" s="230">
        <v>4</v>
      </c>
      <c r="I496" s="220">
        <v>3100000</v>
      </c>
      <c r="J496" s="220">
        <v>310000</v>
      </c>
      <c r="K496" s="220">
        <v>0</v>
      </c>
      <c r="L496" s="220">
        <v>22210</v>
      </c>
      <c r="M496" s="220">
        <v>13200</v>
      </c>
      <c r="N496" s="220">
        <f>SUM(I496:M497)</f>
        <v>3445410</v>
      </c>
      <c r="O496" s="224"/>
      <c r="P496" s="111" t="s">
        <v>2005</v>
      </c>
      <c r="Q496" s="15" t="s">
        <v>19</v>
      </c>
      <c r="R496" s="205"/>
      <c r="S496" s="189" t="s">
        <v>1361</v>
      </c>
      <c r="T496" s="114"/>
      <c r="U496" s="21"/>
      <c r="V496" s="115"/>
      <c r="W496" s="116"/>
      <c r="X496" s="220"/>
      <c r="Y496" s="245">
        <f>X496*0.1</f>
        <v>0</v>
      </c>
      <c r="Z496" s="220"/>
      <c r="AA496" s="220">
        <f>SUM(X496:Z496)</f>
        <v>0</v>
      </c>
      <c r="AB496" s="246"/>
    </row>
    <row r="497" spans="1:28" ht="17.100000000000001" customHeight="1" thickBot="1">
      <c r="A497" s="227"/>
      <c r="B497" s="27" t="s">
        <v>1583</v>
      </c>
      <c r="C497" s="27">
        <v>82053</v>
      </c>
      <c r="D497" s="14" t="s">
        <v>273</v>
      </c>
      <c r="E497" s="229"/>
      <c r="F497" s="117" t="s">
        <v>2006</v>
      </c>
      <c r="G497" s="26">
        <v>34192</v>
      </c>
      <c r="H497" s="231"/>
      <c r="I497" s="221"/>
      <c r="J497" s="221"/>
      <c r="K497" s="221"/>
      <c r="L497" s="221"/>
      <c r="M497" s="221"/>
      <c r="N497" s="221"/>
      <c r="O497" s="225"/>
      <c r="P497" s="119" t="s">
        <v>2007</v>
      </c>
      <c r="Q497" s="16" t="s">
        <v>20</v>
      </c>
      <c r="R497" s="17" t="s">
        <v>2008</v>
      </c>
      <c r="S497" s="121" t="s">
        <v>1989</v>
      </c>
      <c r="T497" s="122"/>
      <c r="U497" s="22"/>
      <c r="V497" s="123"/>
      <c r="W497" s="122"/>
      <c r="X497" s="221"/>
      <c r="Y497" s="221"/>
      <c r="Z497" s="221"/>
      <c r="AA497" s="221"/>
      <c r="AB497" s="247"/>
    </row>
    <row r="498" spans="1:28" ht="17.100000000000001" customHeight="1" thickTop="1">
      <c r="A498" s="226" t="s">
        <v>5880</v>
      </c>
      <c r="B498" s="28">
        <v>44742</v>
      </c>
      <c r="C498" s="25">
        <v>1836</v>
      </c>
      <c r="D498" s="13" t="s">
        <v>1824</v>
      </c>
      <c r="E498" s="228"/>
      <c r="F498" s="109" t="s">
        <v>2009</v>
      </c>
      <c r="G498" s="24" t="s">
        <v>2010</v>
      </c>
      <c r="H498" s="230">
        <v>3</v>
      </c>
      <c r="I498" s="220">
        <v>690000</v>
      </c>
      <c r="J498" s="220">
        <v>69000</v>
      </c>
      <c r="K498" s="220">
        <v>0</v>
      </c>
      <c r="L498" s="220">
        <v>9910</v>
      </c>
      <c r="M498" s="220">
        <v>19800</v>
      </c>
      <c r="N498" s="220">
        <f>SUM(I498:M499)</f>
        <v>788710</v>
      </c>
      <c r="O498" s="224"/>
      <c r="P498" s="111" t="s">
        <v>2011</v>
      </c>
      <c r="Q498" s="15" t="s">
        <v>19</v>
      </c>
      <c r="R498" s="205"/>
      <c r="S498" s="189" t="s">
        <v>1271</v>
      </c>
      <c r="T498" s="114"/>
      <c r="U498" s="21" t="s">
        <v>2012</v>
      </c>
      <c r="V498" s="115"/>
      <c r="W498" s="116"/>
      <c r="X498" s="220"/>
      <c r="Y498" s="245">
        <f>X498*0.1</f>
        <v>0</v>
      </c>
      <c r="Z498" s="220"/>
      <c r="AA498" s="220">
        <f>SUM(X498:Z498)</f>
        <v>0</v>
      </c>
      <c r="AB498" s="246"/>
    </row>
    <row r="499" spans="1:28" ht="17.100000000000001" customHeight="1" thickBot="1">
      <c r="A499" s="227"/>
      <c r="B499" s="27" t="s">
        <v>2013</v>
      </c>
      <c r="C499" s="27">
        <v>50292</v>
      </c>
      <c r="D499" s="14" t="s">
        <v>2014</v>
      </c>
      <c r="E499" s="229"/>
      <c r="F499" s="117" t="s">
        <v>2015</v>
      </c>
      <c r="G499" s="26">
        <v>57836</v>
      </c>
      <c r="H499" s="231"/>
      <c r="I499" s="221"/>
      <c r="J499" s="221"/>
      <c r="K499" s="221"/>
      <c r="L499" s="221"/>
      <c r="M499" s="221"/>
      <c r="N499" s="221"/>
      <c r="O499" s="225"/>
      <c r="P499" s="119" t="s">
        <v>2016</v>
      </c>
      <c r="Q499" s="16" t="s">
        <v>20</v>
      </c>
      <c r="R499" s="17" t="s">
        <v>2017</v>
      </c>
      <c r="S499" s="121" t="s">
        <v>2018</v>
      </c>
      <c r="T499" s="122"/>
      <c r="U499" s="22"/>
      <c r="V499" s="123"/>
      <c r="W499" s="122"/>
      <c r="X499" s="221"/>
      <c r="Y499" s="221"/>
      <c r="Z499" s="221"/>
      <c r="AA499" s="221"/>
      <c r="AB499" s="247"/>
    </row>
    <row r="500" spans="1:28" ht="17.100000000000001" customHeight="1" thickTop="1">
      <c r="A500" s="226" t="s">
        <v>5881</v>
      </c>
      <c r="B500" s="28">
        <v>44750</v>
      </c>
      <c r="C500" s="25">
        <v>1947</v>
      </c>
      <c r="D500" s="13" t="s">
        <v>1676</v>
      </c>
      <c r="E500" s="228"/>
      <c r="F500" s="109" t="s">
        <v>2004</v>
      </c>
      <c r="G500" s="24" t="s">
        <v>2019</v>
      </c>
      <c r="H500" s="230">
        <v>4.5</v>
      </c>
      <c r="I500" s="220">
        <v>3115000</v>
      </c>
      <c r="J500" s="220">
        <v>311500</v>
      </c>
      <c r="K500" s="220">
        <v>26300</v>
      </c>
      <c r="L500" s="220">
        <v>22210</v>
      </c>
      <c r="M500" s="220">
        <v>13200</v>
      </c>
      <c r="N500" s="220">
        <f>SUM(I500:M501)</f>
        <v>3488210</v>
      </c>
      <c r="O500" s="224"/>
      <c r="P500" s="111" t="s">
        <v>2020</v>
      </c>
      <c r="Q500" s="15" t="s">
        <v>19</v>
      </c>
      <c r="R500" s="205"/>
      <c r="S500" s="189" t="s">
        <v>758</v>
      </c>
      <c r="T500" s="114"/>
      <c r="U500" s="21" t="s">
        <v>2021</v>
      </c>
      <c r="V500" s="115"/>
      <c r="W500" s="116"/>
      <c r="X500" s="220"/>
      <c r="Y500" s="245">
        <f>X500*0.1</f>
        <v>0</v>
      </c>
      <c r="Z500" s="220"/>
      <c r="AA500" s="220">
        <f>SUM(X500:Z500)</f>
        <v>0</v>
      </c>
      <c r="AB500" s="246"/>
    </row>
    <row r="501" spans="1:28" ht="17.100000000000001" customHeight="1" thickBot="1">
      <c r="A501" s="227"/>
      <c r="B501" s="27" t="s">
        <v>1536</v>
      </c>
      <c r="C501" s="27">
        <v>58157</v>
      </c>
      <c r="D501" s="14" t="s">
        <v>1797</v>
      </c>
      <c r="E501" s="229"/>
      <c r="F501" s="117" t="s">
        <v>2022</v>
      </c>
      <c r="G501" s="26">
        <v>35165</v>
      </c>
      <c r="H501" s="231"/>
      <c r="I501" s="221"/>
      <c r="J501" s="221"/>
      <c r="K501" s="221"/>
      <c r="L501" s="221"/>
      <c r="M501" s="221"/>
      <c r="N501" s="221"/>
      <c r="O501" s="225"/>
      <c r="P501" s="119" t="s">
        <v>2023</v>
      </c>
      <c r="Q501" s="16" t="s">
        <v>20</v>
      </c>
      <c r="R501" s="17" t="s">
        <v>2024</v>
      </c>
      <c r="S501" s="121" t="s">
        <v>2025</v>
      </c>
      <c r="T501" s="122"/>
      <c r="U501" s="22" t="s">
        <v>1290</v>
      </c>
      <c r="V501" s="123"/>
      <c r="W501" s="122"/>
      <c r="X501" s="221"/>
      <c r="Y501" s="221"/>
      <c r="Z501" s="221"/>
      <c r="AA501" s="221"/>
      <c r="AB501" s="247"/>
    </row>
    <row r="502" spans="1:28" ht="17.100000000000001" customHeight="1" thickTop="1">
      <c r="A502" s="226" t="s">
        <v>5882</v>
      </c>
      <c r="B502" s="28">
        <v>44761</v>
      </c>
      <c r="C502" s="25">
        <v>803</v>
      </c>
      <c r="D502" s="13" t="s">
        <v>1531</v>
      </c>
      <c r="E502" s="228"/>
      <c r="F502" s="109" t="s">
        <v>2026</v>
      </c>
      <c r="G502" s="24"/>
      <c r="H502" s="232" t="s">
        <v>1705</v>
      </c>
      <c r="I502" s="220">
        <v>418000</v>
      </c>
      <c r="J502" s="220">
        <v>41800</v>
      </c>
      <c r="K502" s="220">
        <v>0</v>
      </c>
      <c r="L502" s="220">
        <v>7340</v>
      </c>
      <c r="M502" s="220">
        <v>20350</v>
      </c>
      <c r="N502" s="220">
        <f>SUM(I502:M503)</f>
        <v>487490</v>
      </c>
      <c r="O502" s="224"/>
      <c r="P502" s="111" t="s">
        <v>2027</v>
      </c>
      <c r="Q502" s="15" t="s">
        <v>19</v>
      </c>
      <c r="R502" s="205"/>
      <c r="S502" s="189" t="s">
        <v>25387</v>
      </c>
      <c r="T502" s="114"/>
      <c r="U502" s="21"/>
      <c r="V502" s="115"/>
      <c r="W502" s="116"/>
      <c r="X502" s="220"/>
      <c r="Y502" s="245">
        <f>X502*0.1</f>
        <v>0</v>
      </c>
      <c r="Z502" s="220"/>
      <c r="AA502" s="220">
        <f>SUM(X502:Z502)</f>
        <v>0</v>
      </c>
      <c r="AB502" s="246"/>
    </row>
    <row r="503" spans="1:28" ht="17.100000000000001" customHeight="1" thickBot="1">
      <c r="A503" s="227"/>
      <c r="B503" s="27" t="s">
        <v>2029</v>
      </c>
      <c r="C503" s="27">
        <v>76</v>
      </c>
      <c r="D503" s="14" t="s">
        <v>1593</v>
      </c>
      <c r="E503" s="229"/>
      <c r="F503" s="117" t="s">
        <v>2030</v>
      </c>
      <c r="G503" s="26">
        <v>43318</v>
      </c>
      <c r="H503" s="231"/>
      <c r="I503" s="221"/>
      <c r="J503" s="221"/>
      <c r="K503" s="221"/>
      <c r="L503" s="221"/>
      <c r="M503" s="221"/>
      <c r="N503" s="221"/>
      <c r="O503" s="225"/>
      <c r="P503" s="119" t="s">
        <v>2031</v>
      </c>
      <c r="Q503" s="16" t="s">
        <v>20</v>
      </c>
      <c r="R503" s="17" t="s">
        <v>2032</v>
      </c>
      <c r="S503" s="121" t="s">
        <v>1661</v>
      </c>
      <c r="T503" s="122"/>
      <c r="U503" s="22"/>
      <c r="V503" s="123"/>
      <c r="W503" s="122"/>
      <c r="X503" s="221"/>
      <c r="Y503" s="221"/>
      <c r="Z503" s="221"/>
      <c r="AA503" s="221"/>
      <c r="AB503" s="247"/>
    </row>
    <row r="504" spans="1:28" ht="17.100000000000001" customHeight="1" thickTop="1">
      <c r="A504" s="226" t="s">
        <v>5883</v>
      </c>
      <c r="B504" s="28">
        <v>44765</v>
      </c>
      <c r="C504" s="25">
        <v>1114</v>
      </c>
      <c r="D504" s="13" t="s">
        <v>2033</v>
      </c>
      <c r="E504" s="228"/>
      <c r="F504" s="109" t="s">
        <v>2034</v>
      </c>
      <c r="G504" s="24"/>
      <c r="H504" s="230">
        <v>4.5</v>
      </c>
      <c r="I504" s="220">
        <v>1145000</v>
      </c>
      <c r="J504" s="220">
        <v>114500</v>
      </c>
      <c r="K504" s="220">
        <v>0</v>
      </c>
      <c r="L504" s="220">
        <v>22120</v>
      </c>
      <c r="M504" s="220">
        <v>13200</v>
      </c>
      <c r="N504" s="220">
        <f>SUM(I504:M505)</f>
        <v>1294820</v>
      </c>
      <c r="O504" s="224"/>
      <c r="P504" s="111" t="s">
        <v>2035</v>
      </c>
      <c r="Q504" s="15" t="s">
        <v>19</v>
      </c>
      <c r="R504" s="205"/>
      <c r="S504" s="189" t="s">
        <v>1361</v>
      </c>
      <c r="T504" s="114"/>
      <c r="U504" s="21"/>
      <c r="V504" s="115"/>
      <c r="W504" s="116"/>
      <c r="X504" s="220"/>
      <c r="Y504" s="245">
        <f>X504*0.1</f>
        <v>0</v>
      </c>
      <c r="Z504" s="220"/>
      <c r="AA504" s="220">
        <f>SUM(X504:Z504)</f>
        <v>0</v>
      </c>
      <c r="AB504" s="246"/>
    </row>
    <row r="505" spans="1:28" ht="17.100000000000001" customHeight="1" thickBot="1">
      <c r="A505" s="227"/>
      <c r="B505" s="27" t="s">
        <v>1559</v>
      </c>
      <c r="C505" s="27">
        <v>82288</v>
      </c>
      <c r="D505" s="14" t="s">
        <v>1627</v>
      </c>
      <c r="E505" s="229"/>
      <c r="F505" s="117" t="s">
        <v>2036</v>
      </c>
      <c r="G505" s="26">
        <v>21372</v>
      </c>
      <c r="H505" s="231"/>
      <c r="I505" s="221"/>
      <c r="J505" s="221"/>
      <c r="K505" s="221"/>
      <c r="L505" s="221"/>
      <c r="M505" s="221"/>
      <c r="N505" s="221"/>
      <c r="O505" s="225"/>
      <c r="P505" s="119" t="s">
        <v>2037</v>
      </c>
      <c r="Q505" s="16" t="s">
        <v>20</v>
      </c>
      <c r="R505" s="17" t="s">
        <v>2038</v>
      </c>
      <c r="S505" s="121" t="s">
        <v>169</v>
      </c>
      <c r="T505" s="122"/>
      <c r="U505" s="22"/>
      <c r="V505" s="123"/>
      <c r="W505" s="122"/>
      <c r="X505" s="221"/>
      <c r="Y505" s="221"/>
      <c r="Z505" s="221"/>
      <c r="AA505" s="221"/>
      <c r="AB505" s="247"/>
    </row>
    <row r="506" spans="1:28" ht="17.100000000000001" customHeight="1" thickTop="1">
      <c r="A506" s="226" t="s">
        <v>5884</v>
      </c>
      <c r="B506" s="28">
        <v>44765</v>
      </c>
      <c r="C506" s="25">
        <v>1357</v>
      </c>
      <c r="D506" s="13" t="s">
        <v>1740</v>
      </c>
      <c r="E506" s="228"/>
      <c r="F506" s="109" t="s">
        <v>2039</v>
      </c>
      <c r="G506" s="24" t="s">
        <v>2040</v>
      </c>
      <c r="H506" s="230">
        <v>4.5</v>
      </c>
      <c r="I506" s="220">
        <v>2115000</v>
      </c>
      <c r="J506" s="220">
        <v>211500</v>
      </c>
      <c r="K506" s="220">
        <v>26300</v>
      </c>
      <c r="L506" s="220">
        <v>14750</v>
      </c>
      <c r="M506" s="220">
        <v>13200</v>
      </c>
      <c r="N506" s="220">
        <f>SUM(I506:M507)</f>
        <v>2380750</v>
      </c>
      <c r="O506" s="224"/>
      <c r="P506" s="111" t="s">
        <v>2041</v>
      </c>
      <c r="Q506" s="15" t="s">
        <v>19</v>
      </c>
      <c r="R506" s="205"/>
      <c r="S506" s="189" t="s">
        <v>1271</v>
      </c>
      <c r="T506" s="114" t="s">
        <v>2042</v>
      </c>
      <c r="U506" s="21" t="s">
        <v>2043</v>
      </c>
      <c r="V506" s="115">
        <v>45906</v>
      </c>
      <c r="W506" s="116"/>
      <c r="X506" s="220">
        <v>3170700</v>
      </c>
      <c r="Y506" s="245">
        <v>0</v>
      </c>
      <c r="Z506" s="220">
        <v>0</v>
      </c>
      <c r="AA506" s="220">
        <f>SUM(X506:Z506)</f>
        <v>3170700</v>
      </c>
      <c r="AB506" s="246">
        <v>45953</v>
      </c>
    </row>
    <row r="507" spans="1:28" ht="17.100000000000001" customHeight="1" thickBot="1">
      <c r="A507" s="227"/>
      <c r="B507" s="27" t="s">
        <v>1547</v>
      </c>
      <c r="C507" s="27">
        <v>83115</v>
      </c>
      <c r="D507" s="14" t="s">
        <v>273</v>
      </c>
      <c r="E507" s="229"/>
      <c r="F507" s="117" t="s">
        <v>2044</v>
      </c>
      <c r="G507" s="26">
        <v>58016</v>
      </c>
      <c r="H507" s="231"/>
      <c r="I507" s="221"/>
      <c r="J507" s="221"/>
      <c r="K507" s="221"/>
      <c r="L507" s="221"/>
      <c r="M507" s="221"/>
      <c r="N507" s="221"/>
      <c r="O507" s="225"/>
      <c r="P507" s="119" t="s">
        <v>2045</v>
      </c>
      <c r="Q507" s="16" t="s">
        <v>20</v>
      </c>
      <c r="R507" s="17" t="s">
        <v>2032</v>
      </c>
      <c r="S507" s="121" t="s">
        <v>2046</v>
      </c>
      <c r="T507" s="122"/>
      <c r="U507" s="22"/>
      <c r="V507" s="123" t="s">
        <v>13719</v>
      </c>
      <c r="W507" s="122"/>
      <c r="X507" s="221"/>
      <c r="Y507" s="221"/>
      <c r="Z507" s="221"/>
      <c r="AA507" s="221"/>
      <c r="AB507" s="247"/>
    </row>
    <row r="508" spans="1:28" ht="17.100000000000001" customHeight="1" thickTop="1">
      <c r="A508" s="226" t="s">
        <v>5885</v>
      </c>
      <c r="B508" s="28">
        <v>44767</v>
      </c>
      <c r="C508" s="25">
        <v>1907</v>
      </c>
      <c r="D508" s="13" t="s">
        <v>1953</v>
      </c>
      <c r="E508" s="228" t="s">
        <v>164</v>
      </c>
      <c r="F508" s="109" t="s">
        <v>2047</v>
      </c>
      <c r="G508" s="24"/>
      <c r="H508" s="230">
        <v>4.5</v>
      </c>
      <c r="I508" s="220">
        <v>6415000</v>
      </c>
      <c r="J508" s="220">
        <v>641500</v>
      </c>
      <c r="K508" s="220">
        <v>0</v>
      </c>
      <c r="L508" s="220">
        <v>29390</v>
      </c>
      <c r="M508" s="220">
        <v>17600</v>
      </c>
      <c r="N508" s="220">
        <f>SUM(I508:M509)</f>
        <v>7103490</v>
      </c>
      <c r="O508" s="224"/>
      <c r="P508" s="111" t="s">
        <v>2048</v>
      </c>
      <c r="Q508" s="15" t="s">
        <v>19</v>
      </c>
      <c r="R508" s="205"/>
      <c r="S508" s="189" t="s">
        <v>25388</v>
      </c>
      <c r="T508" s="114"/>
      <c r="U508" s="21" t="s">
        <v>2049</v>
      </c>
      <c r="V508" s="115"/>
      <c r="W508" s="116"/>
      <c r="X508" s="220"/>
      <c r="Y508" s="245">
        <f>X508*0.1</f>
        <v>0</v>
      </c>
      <c r="Z508" s="220"/>
      <c r="AA508" s="220">
        <f>SUM(X508:Z508)</f>
        <v>0</v>
      </c>
      <c r="AB508" s="246"/>
    </row>
    <row r="509" spans="1:28" ht="17.100000000000001" customHeight="1" thickBot="1">
      <c r="A509" s="227"/>
      <c r="B509" s="27" t="s">
        <v>82</v>
      </c>
      <c r="C509" s="27">
        <v>36021</v>
      </c>
      <c r="D509" s="14" t="s">
        <v>131</v>
      </c>
      <c r="E509" s="229"/>
      <c r="F509" s="117" t="s">
        <v>2050</v>
      </c>
      <c r="G509" s="26">
        <v>39744</v>
      </c>
      <c r="H509" s="231"/>
      <c r="I509" s="221"/>
      <c r="J509" s="221"/>
      <c r="K509" s="221"/>
      <c r="L509" s="221"/>
      <c r="M509" s="221"/>
      <c r="N509" s="221"/>
      <c r="O509" s="225"/>
      <c r="P509" s="119" t="s">
        <v>2051</v>
      </c>
      <c r="Q509" s="16" t="s">
        <v>20</v>
      </c>
      <c r="R509" s="17" t="s">
        <v>2052</v>
      </c>
      <c r="S509" s="121" t="s">
        <v>2053</v>
      </c>
      <c r="T509" s="122" t="s">
        <v>2054</v>
      </c>
      <c r="U509" s="22"/>
      <c r="V509" s="123"/>
      <c r="W509" s="122"/>
      <c r="X509" s="221"/>
      <c r="Y509" s="221"/>
      <c r="Z509" s="221"/>
      <c r="AA509" s="221"/>
      <c r="AB509" s="247"/>
    </row>
    <row r="510" spans="1:28" ht="17.100000000000001" customHeight="1" thickTop="1">
      <c r="A510" s="226" t="s">
        <v>5886</v>
      </c>
      <c r="B510" s="28">
        <v>44792</v>
      </c>
      <c r="C510" s="25">
        <v>1952</v>
      </c>
      <c r="D510" s="13" t="s">
        <v>2055</v>
      </c>
      <c r="E510" s="228"/>
      <c r="F510" s="109" t="s">
        <v>2056</v>
      </c>
      <c r="G510" s="24" t="s">
        <v>2057</v>
      </c>
      <c r="H510" s="230">
        <v>3.5</v>
      </c>
      <c r="I510" s="220">
        <v>635000</v>
      </c>
      <c r="J510" s="220">
        <v>63500</v>
      </c>
      <c r="K510" s="220">
        <v>51200</v>
      </c>
      <c r="L510" s="220">
        <v>23340</v>
      </c>
      <c r="M510" s="220">
        <v>13200</v>
      </c>
      <c r="N510" s="220">
        <f>SUM(I510:M511)</f>
        <v>786240</v>
      </c>
      <c r="O510" s="224"/>
      <c r="P510" s="111" t="s">
        <v>2058</v>
      </c>
      <c r="Q510" s="15" t="s">
        <v>19</v>
      </c>
      <c r="R510" s="205"/>
      <c r="S510" s="189" t="s">
        <v>1422</v>
      </c>
      <c r="T510" s="114"/>
      <c r="U510" s="21"/>
      <c r="V510" s="115"/>
      <c r="W510" s="116"/>
      <c r="X510" s="220"/>
      <c r="Y510" s="245">
        <f>X510*0.1</f>
        <v>0</v>
      </c>
      <c r="Z510" s="220"/>
      <c r="AA510" s="220">
        <f>SUM(X510:Z510)</f>
        <v>0</v>
      </c>
      <c r="AB510" s="246"/>
    </row>
    <row r="511" spans="1:28" ht="17.100000000000001" customHeight="1" thickBot="1">
      <c r="A511" s="227"/>
      <c r="B511" s="27" t="s">
        <v>1536</v>
      </c>
      <c r="C511" s="27">
        <v>58531</v>
      </c>
      <c r="D511" s="14" t="s">
        <v>2059</v>
      </c>
      <c r="E511" s="229"/>
      <c r="F511" s="117" t="s">
        <v>2060</v>
      </c>
      <c r="G511" s="26">
        <v>40931</v>
      </c>
      <c r="H511" s="231"/>
      <c r="I511" s="221"/>
      <c r="J511" s="221"/>
      <c r="K511" s="221"/>
      <c r="L511" s="221"/>
      <c r="M511" s="221"/>
      <c r="N511" s="221"/>
      <c r="O511" s="225"/>
      <c r="P511" s="119" t="s">
        <v>2061</v>
      </c>
      <c r="Q511" s="16" t="s">
        <v>20</v>
      </c>
      <c r="R511" s="17" t="s">
        <v>2062</v>
      </c>
      <c r="S511" s="121" t="s">
        <v>1606</v>
      </c>
      <c r="T511" s="122"/>
      <c r="U511" s="22" t="s">
        <v>2063</v>
      </c>
      <c r="V511" s="123"/>
      <c r="W511" s="122"/>
      <c r="X511" s="221"/>
      <c r="Y511" s="221"/>
      <c r="Z511" s="221"/>
      <c r="AA511" s="221"/>
      <c r="AB511" s="247"/>
    </row>
    <row r="512" spans="1:28" ht="17.100000000000001" customHeight="1" thickTop="1">
      <c r="A512" s="226" t="s">
        <v>5887</v>
      </c>
      <c r="B512" s="28">
        <v>44792</v>
      </c>
      <c r="C512" s="25"/>
      <c r="D512" s="13" t="s">
        <v>1632</v>
      </c>
      <c r="E512" s="228"/>
      <c r="F512" s="109" t="s">
        <v>2064</v>
      </c>
      <c r="G512" s="24" t="s">
        <v>2065</v>
      </c>
      <c r="H512" s="230">
        <v>4</v>
      </c>
      <c r="I512" s="220">
        <v>2530000</v>
      </c>
      <c r="J512" s="220">
        <v>253000</v>
      </c>
      <c r="K512" s="220">
        <v>19700</v>
      </c>
      <c r="L512" s="220">
        <v>17800</v>
      </c>
      <c r="M512" s="220">
        <v>124575</v>
      </c>
      <c r="N512" s="220">
        <f>SUM(I512:M513)</f>
        <v>2945075</v>
      </c>
      <c r="O512" s="224"/>
      <c r="P512" s="111" t="s">
        <v>2066</v>
      </c>
      <c r="Q512" s="15" t="s">
        <v>19</v>
      </c>
      <c r="R512" s="205"/>
      <c r="S512" s="189" t="s">
        <v>1361</v>
      </c>
      <c r="T512" s="114"/>
      <c r="U512" s="21"/>
      <c r="V512" s="115"/>
      <c r="W512" s="116"/>
      <c r="X512" s="220"/>
      <c r="Y512" s="245">
        <f>X512*0.1</f>
        <v>0</v>
      </c>
      <c r="Z512" s="220"/>
      <c r="AA512" s="220">
        <f>SUM(X512:Z512)</f>
        <v>0</v>
      </c>
      <c r="AB512" s="246"/>
    </row>
    <row r="513" spans="1:28" ht="17.100000000000001" customHeight="1" thickBot="1">
      <c r="A513" s="227"/>
      <c r="B513" s="27" t="s">
        <v>1708</v>
      </c>
      <c r="C513" s="27" t="s">
        <v>2067</v>
      </c>
      <c r="D513" s="14" t="s">
        <v>2068</v>
      </c>
      <c r="E513" s="229"/>
      <c r="F513" s="117" t="s">
        <v>2069</v>
      </c>
      <c r="G513" s="26">
        <v>32892</v>
      </c>
      <c r="H513" s="231"/>
      <c r="I513" s="221"/>
      <c r="J513" s="221"/>
      <c r="K513" s="221"/>
      <c r="L513" s="221"/>
      <c r="M513" s="221"/>
      <c r="N513" s="221"/>
      <c r="O513" s="225"/>
      <c r="P513" s="119" t="s">
        <v>2070</v>
      </c>
      <c r="Q513" s="16" t="s">
        <v>20</v>
      </c>
      <c r="R513" s="17" t="s">
        <v>2071</v>
      </c>
      <c r="S513" s="121" t="s">
        <v>169</v>
      </c>
      <c r="T513" s="122"/>
      <c r="U513" s="22" t="s">
        <v>2072</v>
      </c>
      <c r="V513" s="123"/>
      <c r="W513" s="122"/>
      <c r="X513" s="221"/>
      <c r="Y513" s="221"/>
      <c r="Z513" s="221"/>
      <c r="AA513" s="221"/>
      <c r="AB513" s="247"/>
    </row>
    <row r="514" spans="1:28" ht="17.100000000000001" customHeight="1" thickTop="1">
      <c r="A514" s="226" t="s">
        <v>5888</v>
      </c>
      <c r="B514" s="28">
        <v>44799</v>
      </c>
      <c r="C514" s="25">
        <v>1953</v>
      </c>
      <c r="D514" s="13" t="s">
        <v>2073</v>
      </c>
      <c r="E514" s="228"/>
      <c r="F514" s="109" t="s">
        <v>2074</v>
      </c>
      <c r="G514" s="24" t="s">
        <v>1976</v>
      </c>
      <c r="H514" s="230">
        <v>5</v>
      </c>
      <c r="I514" s="220">
        <v>3545000</v>
      </c>
      <c r="J514" s="220">
        <v>354500</v>
      </c>
      <c r="K514" s="220">
        <v>23000</v>
      </c>
      <c r="L514" s="220">
        <v>22570</v>
      </c>
      <c r="M514" s="220">
        <v>13200</v>
      </c>
      <c r="N514" s="220">
        <f>SUM(I514:M515)</f>
        <v>3958270</v>
      </c>
      <c r="O514" s="224"/>
      <c r="P514" s="111" t="s">
        <v>2075</v>
      </c>
      <c r="Q514" s="15" t="s">
        <v>19</v>
      </c>
      <c r="R514" s="205"/>
      <c r="S514" s="189" t="s">
        <v>1422</v>
      </c>
      <c r="T514" s="114"/>
      <c r="U514" s="21"/>
      <c r="V514" s="115"/>
      <c r="W514" s="116"/>
      <c r="X514" s="220"/>
      <c r="Y514" s="245">
        <f>X514*0.1</f>
        <v>0</v>
      </c>
      <c r="Z514" s="220"/>
      <c r="AA514" s="220">
        <f>SUM(X514:Z514)</f>
        <v>0</v>
      </c>
      <c r="AB514" s="246"/>
    </row>
    <row r="515" spans="1:28" ht="17.100000000000001" customHeight="1" thickBot="1">
      <c r="A515" s="227"/>
      <c r="B515" s="27" t="s">
        <v>1536</v>
      </c>
      <c r="C515" s="27">
        <v>58199</v>
      </c>
      <c r="D515" s="14" t="s">
        <v>2076</v>
      </c>
      <c r="E515" s="229"/>
      <c r="F515" s="117" t="s">
        <v>2077</v>
      </c>
      <c r="G515" s="26">
        <v>38366</v>
      </c>
      <c r="H515" s="231"/>
      <c r="I515" s="221"/>
      <c r="J515" s="221"/>
      <c r="K515" s="221"/>
      <c r="L515" s="221"/>
      <c r="M515" s="221"/>
      <c r="N515" s="221"/>
      <c r="O515" s="225"/>
      <c r="P515" s="119" t="s">
        <v>2070</v>
      </c>
      <c r="Q515" s="16" t="s">
        <v>20</v>
      </c>
      <c r="R515" s="17" t="s">
        <v>1551</v>
      </c>
      <c r="S515" s="121" t="s">
        <v>2078</v>
      </c>
      <c r="T515" s="122"/>
      <c r="U515" s="22" t="s">
        <v>2079</v>
      </c>
      <c r="V515" s="123"/>
      <c r="W515" s="122"/>
      <c r="X515" s="221"/>
      <c r="Y515" s="221"/>
      <c r="Z515" s="221"/>
      <c r="AA515" s="221"/>
      <c r="AB515" s="247"/>
    </row>
    <row r="516" spans="1:28" ht="17.100000000000001" customHeight="1" thickTop="1">
      <c r="A516" s="226" t="s">
        <v>5889</v>
      </c>
      <c r="B516" s="28">
        <v>44805</v>
      </c>
      <c r="C516" s="25">
        <v>1150</v>
      </c>
      <c r="D516" s="13" t="s">
        <v>1808</v>
      </c>
      <c r="E516" s="228"/>
      <c r="F516" s="109" t="s">
        <v>2080</v>
      </c>
      <c r="G516" s="24"/>
      <c r="H516" s="230">
        <v>4.5</v>
      </c>
      <c r="I516" s="220">
        <v>3345000</v>
      </c>
      <c r="J516" s="220">
        <v>334500</v>
      </c>
      <c r="K516" s="220">
        <v>0</v>
      </c>
      <c r="L516" s="220">
        <v>19620</v>
      </c>
      <c r="M516" s="220">
        <v>13200</v>
      </c>
      <c r="N516" s="220">
        <f>SUM(I516:M517)</f>
        <v>3712320</v>
      </c>
      <c r="O516" s="224"/>
      <c r="P516" s="111" t="s">
        <v>2081</v>
      </c>
      <c r="Q516" s="15" t="s">
        <v>19</v>
      </c>
      <c r="R516" s="205"/>
      <c r="S516" s="189" t="s">
        <v>25389</v>
      </c>
      <c r="T516" s="114"/>
      <c r="U516" s="21"/>
      <c r="V516" s="115"/>
      <c r="W516" s="116"/>
      <c r="X516" s="220"/>
      <c r="Y516" s="245">
        <f>X516*0.1</f>
        <v>0</v>
      </c>
      <c r="Z516" s="220"/>
      <c r="AA516" s="220">
        <f>SUM(X516:Z516)</f>
        <v>0</v>
      </c>
      <c r="AB516" s="246"/>
    </row>
    <row r="517" spans="1:28" ht="17.100000000000001" customHeight="1" thickBot="1">
      <c r="A517" s="227"/>
      <c r="B517" s="27" t="s">
        <v>1735</v>
      </c>
      <c r="C517" s="27">
        <v>63</v>
      </c>
      <c r="D517" s="14" t="s">
        <v>1584</v>
      </c>
      <c r="E517" s="229"/>
      <c r="F517" s="117" t="s">
        <v>2082</v>
      </c>
      <c r="G517" s="26">
        <v>46410</v>
      </c>
      <c r="H517" s="231"/>
      <c r="I517" s="221"/>
      <c r="J517" s="221"/>
      <c r="K517" s="221"/>
      <c r="L517" s="221"/>
      <c r="M517" s="221"/>
      <c r="N517" s="221"/>
      <c r="O517" s="225"/>
      <c r="P517" s="119" t="s">
        <v>2083</v>
      </c>
      <c r="Q517" s="16" t="s">
        <v>20</v>
      </c>
      <c r="R517" s="17" t="s">
        <v>2084</v>
      </c>
      <c r="S517" s="121" t="s">
        <v>1606</v>
      </c>
      <c r="T517" s="122"/>
      <c r="U517" s="22"/>
      <c r="V517" s="123"/>
      <c r="W517" s="122"/>
      <c r="X517" s="221"/>
      <c r="Y517" s="221"/>
      <c r="Z517" s="221"/>
      <c r="AA517" s="221"/>
      <c r="AB517" s="247"/>
    </row>
    <row r="518" spans="1:28" ht="17.100000000000001" customHeight="1" thickTop="1">
      <c r="A518" s="226" t="s">
        <v>5890</v>
      </c>
      <c r="B518" s="28">
        <v>44812</v>
      </c>
      <c r="C518" s="25">
        <v>1385</v>
      </c>
      <c r="D518" s="13" t="s">
        <v>2085</v>
      </c>
      <c r="E518" s="228"/>
      <c r="F518" s="109" t="s">
        <v>2086</v>
      </c>
      <c r="G518" s="24"/>
      <c r="H518" s="230">
        <v>4.5</v>
      </c>
      <c r="I518" s="220">
        <v>3800000</v>
      </c>
      <c r="J518" s="220">
        <v>380000</v>
      </c>
      <c r="K518" s="220">
        <v>0</v>
      </c>
      <c r="L518" s="220">
        <v>23420</v>
      </c>
      <c r="M518" s="220">
        <v>13200</v>
      </c>
      <c r="N518" s="220">
        <f>SUM(I518:M519)</f>
        <v>4216620</v>
      </c>
      <c r="O518" s="224"/>
      <c r="P518" s="111" t="s">
        <v>2087</v>
      </c>
      <c r="Q518" s="15" t="s">
        <v>19</v>
      </c>
      <c r="R518" s="205"/>
      <c r="S518" s="189" t="s">
        <v>1271</v>
      </c>
      <c r="T518" s="114"/>
      <c r="U518" s="21"/>
      <c r="V518" s="115"/>
      <c r="W518" s="116"/>
      <c r="X518" s="220"/>
      <c r="Y518" s="245">
        <f>X518*0.1</f>
        <v>0</v>
      </c>
      <c r="Z518" s="220"/>
      <c r="AA518" s="220">
        <f>SUM(X518:Z518)</f>
        <v>0</v>
      </c>
      <c r="AB518" s="246"/>
    </row>
    <row r="519" spans="1:28" ht="17.100000000000001" customHeight="1" thickBot="1">
      <c r="A519" s="227"/>
      <c r="B519" s="27" t="s">
        <v>1592</v>
      </c>
      <c r="C519" s="27">
        <v>75266</v>
      </c>
      <c r="D519" s="14" t="s">
        <v>2088</v>
      </c>
      <c r="E519" s="229"/>
      <c r="F519" s="117" t="s">
        <v>2089</v>
      </c>
      <c r="G519" s="26">
        <v>37311</v>
      </c>
      <c r="H519" s="231"/>
      <c r="I519" s="221"/>
      <c r="J519" s="221"/>
      <c r="K519" s="221"/>
      <c r="L519" s="221"/>
      <c r="M519" s="221"/>
      <c r="N519" s="221"/>
      <c r="O519" s="225"/>
      <c r="P519" s="119" t="s">
        <v>2090</v>
      </c>
      <c r="Q519" s="16" t="s">
        <v>20</v>
      </c>
      <c r="R519" s="17" t="s">
        <v>2091</v>
      </c>
      <c r="S519" s="121" t="s">
        <v>2092</v>
      </c>
      <c r="T519" s="122"/>
      <c r="U519" s="22"/>
      <c r="V519" s="123"/>
      <c r="W519" s="122"/>
      <c r="X519" s="221"/>
      <c r="Y519" s="221"/>
      <c r="Z519" s="221"/>
      <c r="AA519" s="221"/>
      <c r="AB519" s="247"/>
    </row>
    <row r="520" spans="1:28" ht="17.100000000000001" customHeight="1" thickTop="1">
      <c r="A520" s="226" t="s">
        <v>5891</v>
      </c>
      <c r="B520" s="28">
        <v>44813</v>
      </c>
      <c r="C520" s="25">
        <v>1955</v>
      </c>
      <c r="D520" s="13" t="s">
        <v>1702</v>
      </c>
      <c r="E520" s="228"/>
      <c r="F520" s="109" t="s">
        <v>2093</v>
      </c>
      <c r="G520" s="24" t="s">
        <v>2094</v>
      </c>
      <c r="H520" s="230">
        <v>4.5</v>
      </c>
      <c r="I520" s="220">
        <v>2305000</v>
      </c>
      <c r="J520" s="220">
        <v>230500</v>
      </c>
      <c r="K520" s="220">
        <v>19700</v>
      </c>
      <c r="L520" s="220">
        <v>20680</v>
      </c>
      <c r="M520" s="220">
        <v>13200</v>
      </c>
      <c r="N520" s="220">
        <f>SUM(I520:M521)</f>
        <v>2589080</v>
      </c>
      <c r="O520" s="224"/>
      <c r="P520" s="111" t="s">
        <v>2095</v>
      </c>
      <c r="Q520" s="15" t="s">
        <v>19</v>
      </c>
      <c r="R520" s="205"/>
      <c r="S520" s="189"/>
      <c r="T520" s="114"/>
      <c r="U520" s="21" t="s">
        <v>2096</v>
      </c>
      <c r="V520" s="115"/>
      <c r="W520" s="116"/>
      <c r="X520" s="220"/>
      <c r="Y520" s="245">
        <f>X520*0.1</f>
        <v>0</v>
      </c>
      <c r="Z520" s="220"/>
      <c r="AA520" s="220">
        <f>SUM(X520:Z520)</f>
        <v>0</v>
      </c>
      <c r="AB520" s="246"/>
    </row>
    <row r="521" spans="1:28" ht="17.100000000000001" customHeight="1" thickBot="1">
      <c r="A521" s="227"/>
      <c r="B521" s="27" t="s">
        <v>1536</v>
      </c>
      <c r="C521" s="27">
        <v>58270</v>
      </c>
      <c r="D521" s="14" t="s">
        <v>2097</v>
      </c>
      <c r="E521" s="229"/>
      <c r="F521" s="117" t="s">
        <v>2098</v>
      </c>
      <c r="G521" s="26">
        <v>40173</v>
      </c>
      <c r="H521" s="231"/>
      <c r="I521" s="221"/>
      <c r="J521" s="221"/>
      <c r="K521" s="221"/>
      <c r="L521" s="221"/>
      <c r="M521" s="221"/>
      <c r="N521" s="221"/>
      <c r="O521" s="225"/>
      <c r="P521" s="119" t="s">
        <v>1720</v>
      </c>
      <c r="Q521" s="16" t="s">
        <v>20</v>
      </c>
      <c r="R521" s="17" t="s">
        <v>2099</v>
      </c>
      <c r="S521" s="121" t="s">
        <v>2100</v>
      </c>
      <c r="T521" s="122"/>
      <c r="U521" s="22" t="s">
        <v>50</v>
      </c>
      <c r="V521" s="123"/>
      <c r="W521" s="122"/>
      <c r="X521" s="221"/>
      <c r="Y521" s="221"/>
      <c r="Z521" s="221"/>
      <c r="AA521" s="221"/>
      <c r="AB521" s="247"/>
    </row>
    <row r="522" spans="1:28" ht="17.100000000000001" customHeight="1" thickTop="1">
      <c r="A522" s="226" t="s">
        <v>5892</v>
      </c>
      <c r="B522" s="28">
        <v>44817</v>
      </c>
      <c r="C522" s="25">
        <v>1761</v>
      </c>
      <c r="D522" s="13" t="s">
        <v>1871</v>
      </c>
      <c r="E522" s="228"/>
      <c r="F522" s="109" t="s">
        <v>2101</v>
      </c>
      <c r="G522" s="24"/>
      <c r="H522" s="230">
        <v>4.5</v>
      </c>
      <c r="I522" s="220">
        <v>3094000</v>
      </c>
      <c r="J522" s="220">
        <v>309400</v>
      </c>
      <c r="K522" s="220">
        <v>0</v>
      </c>
      <c r="L522" s="220">
        <v>16880</v>
      </c>
      <c r="M522" s="220">
        <v>15950</v>
      </c>
      <c r="N522" s="220">
        <f>SUM(I522:M523)</f>
        <v>3436230</v>
      </c>
      <c r="O522" s="224"/>
      <c r="P522" s="111" t="s">
        <v>2102</v>
      </c>
      <c r="Q522" s="15" t="s">
        <v>19</v>
      </c>
      <c r="R522" s="205"/>
      <c r="S522" s="189" t="s">
        <v>758</v>
      </c>
      <c r="T522" s="114"/>
      <c r="U522" s="21"/>
      <c r="V522" s="115"/>
      <c r="W522" s="116"/>
      <c r="X522" s="220"/>
      <c r="Y522" s="245">
        <f>X522*0.1</f>
        <v>0</v>
      </c>
      <c r="Z522" s="220"/>
      <c r="AA522" s="220">
        <f>SUM(X522:Z522)</f>
        <v>0</v>
      </c>
      <c r="AB522" s="246"/>
    </row>
    <row r="523" spans="1:28" ht="17.100000000000001" customHeight="1" thickBot="1">
      <c r="A523" s="227"/>
      <c r="B523" s="27" t="s">
        <v>2103</v>
      </c>
      <c r="C523" s="27">
        <v>5014</v>
      </c>
      <c r="D523" s="14" t="s">
        <v>1710</v>
      </c>
      <c r="E523" s="229"/>
      <c r="F523" s="117" t="s">
        <v>2104</v>
      </c>
      <c r="G523" s="26">
        <v>36629</v>
      </c>
      <c r="H523" s="231"/>
      <c r="I523" s="221"/>
      <c r="J523" s="221"/>
      <c r="K523" s="221"/>
      <c r="L523" s="221"/>
      <c r="M523" s="221"/>
      <c r="N523" s="221"/>
      <c r="O523" s="225"/>
      <c r="P523" s="119" t="s">
        <v>2105</v>
      </c>
      <c r="Q523" s="16" t="s">
        <v>20</v>
      </c>
      <c r="R523" s="17" t="s">
        <v>1587</v>
      </c>
      <c r="S523" s="121" t="s">
        <v>2106</v>
      </c>
      <c r="T523" s="122"/>
      <c r="U523" s="22"/>
      <c r="V523" s="123"/>
      <c r="W523" s="122"/>
      <c r="X523" s="221"/>
      <c r="Y523" s="221"/>
      <c r="Z523" s="221"/>
      <c r="AA523" s="221"/>
      <c r="AB523" s="247"/>
    </row>
    <row r="524" spans="1:28" ht="17.100000000000001" customHeight="1" thickTop="1">
      <c r="A524" s="226" t="s">
        <v>5893</v>
      </c>
      <c r="B524" s="28">
        <v>44820</v>
      </c>
      <c r="C524" s="25"/>
      <c r="D524" s="13" t="s">
        <v>2107</v>
      </c>
      <c r="E524" s="228"/>
      <c r="F524" s="109" t="s">
        <v>2108</v>
      </c>
      <c r="G524" s="24" t="s">
        <v>1810</v>
      </c>
      <c r="H524" s="230">
        <v>4</v>
      </c>
      <c r="I524" s="220">
        <v>3090000</v>
      </c>
      <c r="J524" s="220">
        <v>309000</v>
      </c>
      <c r="K524" s="220">
        <v>19700</v>
      </c>
      <c r="L524" s="220">
        <v>22210</v>
      </c>
      <c r="M524" s="220">
        <v>139975</v>
      </c>
      <c r="N524" s="220">
        <f>SUM(I524:M525)</f>
        <v>3580885</v>
      </c>
      <c r="O524" s="224"/>
      <c r="P524" s="111" t="s">
        <v>2109</v>
      </c>
      <c r="Q524" s="15" t="s">
        <v>19</v>
      </c>
      <c r="R524" s="205"/>
      <c r="S524" s="189" t="s">
        <v>1361</v>
      </c>
      <c r="T524" s="114"/>
      <c r="U524" s="21"/>
      <c r="V524" s="115"/>
      <c r="W524" s="116"/>
      <c r="X524" s="220"/>
      <c r="Y524" s="245">
        <f>X524*0.1</f>
        <v>0</v>
      </c>
      <c r="Z524" s="220"/>
      <c r="AA524" s="220">
        <f>SUM(X524:Z524)</f>
        <v>0</v>
      </c>
      <c r="AB524" s="246"/>
    </row>
    <row r="525" spans="1:28" ht="17.100000000000001" customHeight="1" thickBot="1">
      <c r="A525" s="227"/>
      <c r="B525" s="27" t="s">
        <v>1708</v>
      </c>
      <c r="C525" s="27" t="s">
        <v>2110</v>
      </c>
      <c r="D525" s="14" t="s">
        <v>1866</v>
      </c>
      <c r="E525" s="229"/>
      <c r="F525" s="117" t="s">
        <v>2111</v>
      </c>
      <c r="G525" s="26">
        <v>38643</v>
      </c>
      <c r="H525" s="231"/>
      <c r="I525" s="221"/>
      <c r="J525" s="221"/>
      <c r="K525" s="221"/>
      <c r="L525" s="221"/>
      <c r="M525" s="221"/>
      <c r="N525" s="221"/>
      <c r="O525" s="225"/>
      <c r="P525" s="119" t="s">
        <v>2112</v>
      </c>
      <c r="Q525" s="16" t="s">
        <v>20</v>
      </c>
      <c r="R525" s="17" t="s">
        <v>1596</v>
      </c>
      <c r="S525" s="121" t="s">
        <v>1731</v>
      </c>
      <c r="T525" s="122"/>
      <c r="U525" s="22"/>
      <c r="V525" s="123"/>
      <c r="W525" s="122"/>
      <c r="X525" s="221"/>
      <c r="Y525" s="221"/>
      <c r="Z525" s="221"/>
      <c r="AA525" s="221"/>
      <c r="AB525" s="247"/>
    </row>
    <row r="526" spans="1:28" ht="17.100000000000001" customHeight="1" thickTop="1">
      <c r="A526" s="226" t="s">
        <v>5894</v>
      </c>
      <c r="B526" s="28">
        <v>44821</v>
      </c>
      <c r="C526" s="25">
        <v>1364</v>
      </c>
      <c r="D526" s="13" t="s">
        <v>2113</v>
      </c>
      <c r="E526" s="228"/>
      <c r="F526" s="109" t="s">
        <v>2114</v>
      </c>
      <c r="G526" s="24" t="s">
        <v>2094</v>
      </c>
      <c r="H526" s="230">
        <v>5</v>
      </c>
      <c r="I526" s="220">
        <v>7650000</v>
      </c>
      <c r="J526" s="220">
        <v>765000</v>
      </c>
      <c r="K526" s="220">
        <v>44000</v>
      </c>
      <c r="L526" s="220">
        <v>12740</v>
      </c>
      <c r="M526" s="220">
        <v>13200</v>
      </c>
      <c r="N526" s="220">
        <f>SUM(I526:M527)</f>
        <v>8484940</v>
      </c>
      <c r="O526" s="224"/>
      <c r="P526" s="111" t="s">
        <v>2115</v>
      </c>
      <c r="Q526" s="15" t="s">
        <v>19</v>
      </c>
      <c r="R526" s="205"/>
      <c r="S526" s="189" t="s">
        <v>25390</v>
      </c>
      <c r="T526" s="114"/>
      <c r="U526" s="21" t="s">
        <v>2117</v>
      </c>
      <c r="V526" s="115"/>
      <c r="W526" s="116"/>
      <c r="X526" s="220"/>
      <c r="Y526" s="245">
        <f>X526*0.1</f>
        <v>0</v>
      </c>
      <c r="Z526" s="220"/>
      <c r="AA526" s="220">
        <f>SUM(X526:Z526)</f>
        <v>0</v>
      </c>
      <c r="AB526" s="246"/>
    </row>
    <row r="527" spans="1:28" ht="17.100000000000001" customHeight="1" thickBot="1">
      <c r="A527" s="227"/>
      <c r="B527" s="27" t="s">
        <v>1547</v>
      </c>
      <c r="C527" s="27">
        <v>83022</v>
      </c>
      <c r="D527" s="14" t="s">
        <v>1866</v>
      </c>
      <c r="E527" s="229"/>
      <c r="F527" s="117" t="s">
        <v>2118</v>
      </c>
      <c r="G527" s="26">
        <v>12914</v>
      </c>
      <c r="H527" s="231"/>
      <c r="I527" s="221"/>
      <c r="J527" s="221"/>
      <c r="K527" s="221"/>
      <c r="L527" s="221"/>
      <c r="M527" s="221"/>
      <c r="N527" s="221"/>
      <c r="O527" s="225"/>
      <c r="P527" s="119" t="s">
        <v>2119</v>
      </c>
      <c r="Q527" s="16" t="s">
        <v>20</v>
      </c>
      <c r="R527" s="17" t="s">
        <v>2120</v>
      </c>
      <c r="S527" s="121" t="s">
        <v>2116</v>
      </c>
      <c r="T527" s="122"/>
      <c r="U527" s="22" t="s">
        <v>50</v>
      </c>
      <c r="V527" s="123"/>
      <c r="W527" s="122"/>
      <c r="X527" s="221"/>
      <c r="Y527" s="221"/>
      <c r="Z527" s="221"/>
      <c r="AA527" s="221"/>
      <c r="AB527" s="247"/>
    </row>
    <row r="528" spans="1:28" ht="17.100000000000001" customHeight="1" thickTop="1">
      <c r="A528" s="226" t="s">
        <v>5895</v>
      </c>
      <c r="B528" s="28">
        <v>44828</v>
      </c>
      <c r="C528" s="25">
        <v>1122</v>
      </c>
      <c r="D528" s="13" t="s">
        <v>2107</v>
      </c>
      <c r="E528" s="228"/>
      <c r="F528" s="109" t="s">
        <v>2121</v>
      </c>
      <c r="G528" s="24"/>
      <c r="H528" s="230">
        <v>4</v>
      </c>
      <c r="I528" s="220">
        <v>2925000</v>
      </c>
      <c r="J528" s="220">
        <v>292500</v>
      </c>
      <c r="K528" s="220">
        <v>0</v>
      </c>
      <c r="L528" s="220">
        <v>22280</v>
      </c>
      <c r="M528" s="220">
        <v>13200</v>
      </c>
      <c r="N528" s="220">
        <f>SUM(I528:M529)</f>
        <v>3252980</v>
      </c>
      <c r="O528" s="224"/>
      <c r="P528" s="111" t="s">
        <v>2122</v>
      </c>
      <c r="Q528" s="15" t="s">
        <v>19</v>
      </c>
      <c r="R528" s="205"/>
      <c r="S528" s="189" t="s">
        <v>1422</v>
      </c>
      <c r="T528" s="114"/>
      <c r="U528" s="21"/>
      <c r="V528" s="115"/>
      <c r="W528" s="116"/>
      <c r="X528" s="220"/>
      <c r="Y528" s="245">
        <f>X528*0.1</f>
        <v>0</v>
      </c>
      <c r="Z528" s="220"/>
      <c r="AA528" s="220">
        <f>SUM(X528:Z528)</f>
        <v>0</v>
      </c>
      <c r="AB528" s="246"/>
    </row>
    <row r="529" spans="1:28" ht="17.100000000000001" customHeight="1" thickBot="1">
      <c r="A529" s="227"/>
      <c r="B529" s="27" t="s">
        <v>1559</v>
      </c>
      <c r="C529" s="27">
        <v>82267</v>
      </c>
      <c r="D529" s="14" t="s">
        <v>131</v>
      </c>
      <c r="E529" s="229"/>
      <c r="F529" s="117" t="s">
        <v>2123</v>
      </c>
      <c r="G529" s="26">
        <v>31486</v>
      </c>
      <c r="H529" s="231"/>
      <c r="I529" s="221"/>
      <c r="J529" s="221"/>
      <c r="K529" s="221"/>
      <c r="L529" s="221"/>
      <c r="M529" s="221"/>
      <c r="N529" s="221"/>
      <c r="O529" s="225"/>
      <c r="P529" s="119" t="s">
        <v>439</v>
      </c>
      <c r="Q529" s="16" t="s">
        <v>20</v>
      </c>
      <c r="R529" s="17" t="s">
        <v>2124</v>
      </c>
      <c r="S529" s="121" t="s">
        <v>1606</v>
      </c>
      <c r="T529" s="122"/>
      <c r="U529" s="22"/>
      <c r="V529" s="123"/>
      <c r="W529" s="122"/>
      <c r="X529" s="221"/>
      <c r="Y529" s="221"/>
      <c r="Z529" s="221"/>
      <c r="AA529" s="221"/>
      <c r="AB529" s="247"/>
    </row>
    <row r="530" spans="1:28" ht="17.100000000000001" customHeight="1" thickTop="1">
      <c r="A530" s="226" t="s">
        <v>5896</v>
      </c>
      <c r="B530" s="28">
        <v>44833</v>
      </c>
      <c r="C530" s="25">
        <v>1388</v>
      </c>
      <c r="D530" s="13" t="s">
        <v>1839</v>
      </c>
      <c r="E530" s="228"/>
      <c r="F530" s="109" t="s">
        <v>1916</v>
      </c>
      <c r="G530" s="24"/>
      <c r="H530" s="230">
        <v>4.5</v>
      </c>
      <c r="I530" s="220">
        <v>1075000</v>
      </c>
      <c r="J530" s="220">
        <v>107500</v>
      </c>
      <c r="K530" s="220">
        <v>0</v>
      </c>
      <c r="L530" s="220">
        <v>17700</v>
      </c>
      <c r="M530" s="220">
        <v>13200</v>
      </c>
      <c r="N530" s="220">
        <f>SUM(I530:M531)</f>
        <v>1213400</v>
      </c>
      <c r="O530" s="224"/>
      <c r="P530" s="111" t="s">
        <v>2125</v>
      </c>
      <c r="Q530" s="15" t="s">
        <v>19</v>
      </c>
      <c r="R530" s="205"/>
      <c r="S530" s="189" t="s">
        <v>1276</v>
      </c>
      <c r="T530" s="114"/>
      <c r="U530" s="21"/>
      <c r="V530" s="115"/>
      <c r="W530" s="116"/>
      <c r="X530" s="220"/>
      <c r="Y530" s="245">
        <f>X530*0.1</f>
        <v>0</v>
      </c>
      <c r="Z530" s="220"/>
      <c r="AA530" s="220">
        <f>SUM(X530:Z530)</f>
        <v>0</v>
      </c>
      <c r="AB530" s="246"/>
    </row>
    <row r="531" spans="1:28" ht="17.100000000000001" customHeight="1" thickBot="1">
      <c r="A531" s="227"/>
      <c r="B531" s="27" t="s">
        <v>1592</v>
      </c>
      <c r="C531" s="27">
        <v>76280</v>
      </c>
      <c r="D531" s="14" t="s">
        <v>1912</v>
      </c>
      <c r="E531" s="229"/>
      <c r="F531" s="117" t="s">
        <v>2126</v>
      </c>
      <c r="G531" s="26">
        <v>49014</v>
      </c>
      <c r="H531" s="231"/>
      <c r="I531" s="221"/>
      <c r="J531" s="221"/>
      <c r="K531" s="221"/>
      <c r="L531" s="221"/>
      <c r="M531" s="221"/>
      <c r="N531" s="221"/>
      <c r="O531" s="225"/>
      <c r="P531" s="119" t="s">
        <v>2127</v>
      </c>
      <c r="Q531" s="16" t="s">
        <v>20</v>
      </c>
      <c r="R531" s="17" t="s">
        <v>2128</v>
      </c>
      <c r="S531" s="121" t="s">
        <v>1923</v>
      </c>
      <c r="T531" s="122"/>
      <c r="U531" s="22"/>
      <c r="V531" s="123"/>
      <c r="W531" s="122"/>
      <c r="X531" s="221"/>
      <c r="Y531" s="221"/>
      <c r="Z531" s="221"/>
      <c r="AA531" s="221"/>
      <c r="AB531" s="247"/>
    </row>
    <row r="532" spans="1:28" ht="17.100000000000001" customHeight="1" thickTop="1">
      <c r="A532" s="226" t="s">
        <v>5897</v>
      </c>
      <c r="B532" s="28">
        <v>44840</v>
      </c>
      <c r="C532" s="25">
        <v>1849</v>
      </c>
      <c r="D532" s="13" t="s">
        <v>2129</v>
      </c>
      <c r="E532" s="228"/>
      <c r="F532" s="109" t="s">
        <v>2130</v>
      </c>
      <c r="G532" s="24" t="s">
        <v>1976</v>
      </c>
      <c r="H532" s="230">
        <v>4</v>
      </c>
      <c r="I532" s="220">
        <v>612000</v>
      </c>
      <c r="J532" s="220">
        <v>61200</v>
      </c>
      <c r="K532" s="220">
        <v>0</v>
      </c>
      <c r="L532" s="220">
        <v>9790</v>
      </c>
      <c r="M532" s="220">
        <v>19800</v>
      </c>
      <c r="N532" s="220">
        <f>SUM(I532:M533)</f>
        <v>702790</v>
      </c>
      <c r="O532" s="224"/>
      <c r="P532" s="111" t="s">
        <v>2131</v>
      </c>
      <c r="Q532" s="15" t="s">
        <v>19</v>
      </c>
      <c r="R532" s="205"/>
      <c r="S532" s="189"/>
      <c r="T532" s="114"/>
      <c r="U532" s="21" t="s">
        <v>2132</v>
      </c>
      <c r="V532" s="115"/>
      <c r="W532" s="116"/>
      <c r="X532" s="220"/>
      <c r="Y532" s="245">
        <f>X532*0.1</f>
        <v>0</v>
      </c>
      <c r="Z532" s="220"/>
      <c r="AA532" s="220">
        <f>SUM(X532:Z532)</f>
        <v>0</v>
      </c>
      <c r="AB532" s="246"/>
    </row>
    <row r="533" spans="1:28" ht="17.100000000000001" customHeight="1" thickBot="1">
      <c r="A533" s="227"/>
      <c r="B533" s="27" t="s">
        <v>2133</v>
      </c>
      <c r="C533" s="27">
        <v>50352</v>
      </c>
      <c r="D533" s="14" t="s">
        <v>273</v>
      </c>
      <c r="E533" s="229"/>
      <c r="F533" s="117" t="s">
        <v>2134</v>
      </c>
      <c r="G533" s="26">
        <v>48287</v>
      </c>
      <c r="H533" s="231"/>
      <c r="I533" s="221"/>
      <c r="J533" s="221"/>
      <c r="K533" s="221"/>
      <c r="L533" s="221"/>
      <c r="M533" s="221"/>
      <c r="N533" s="221"/>
      <c r="O533" s="225"/>
      <c r="P533" s="119" t="s">
        <v>2135</v>
      </c>
      <c r="Q533" s="16" t="s">
        <v>20</v>
      </c>
      <c r="R533" s="17" t="s">
        <v>2136</v>
      </c>
      <c r="S533" s="121" t="s">
        <v>2137</v>
      </c>
      <c r="T533" s="122"/>
      <c r="U533" s="22"/>
      <c r="V533" s="123"/>
      <c r="W533" s="122"/>
      <c r="X533" s="221"/>
      <c r="Y533" s="221"/>
      <c r="Z533" s="221"/>
      <c r="AA533" s="221"/>
      <c r="AB533" s="247"/>
    </row>
    <row r="534" spans="1:28" ht="17.100000000000001" customHeight="1" thickTop="1">
      <c r="A534" s="226" t="s">
        <v>5898</v>
      </c>
      <c r="B534" s="28">
        <v>44847</v>
      </c>
      <c r="C534" s="25">
        <v>1390</v>
      </c>
      <c r="D534" s="13" t="s">
        <v>2138</v>
      </c>
      <c r="E534" s="228"/>
      <c r="F534" s="109" t="s">
        <v>2139</v>
      </c>
      <c r="G534" s="24" t="s">
        <v>1678</v>
      </c>
      <c r="H534" s="230">
        <v>3.5</v>
      </c>
      <c r="I534" s="220">
        <v>585000</v>
      </c>
      <c r="J534" s="220">
        <v>58500</v>
      </c>
      <c r="K534" s="220">
        <v>31800</v>
      </c>
      <c r="L534" s="220">
        <v>15530</v>
      </c>
      <c r="M534" s="220">
        <v>13200</v>
      </c>
      <c r="N534" s="220">
        <f>SUM(I534:M535)</f>
        <v>704030</v>
      </c>
      <c r="O534" s="224"/>
      <c r="P534" s="111" t="s">
        <v>2140</v>
      </c>
      <c r="Q534" s="15" t="s">
        <v>19</v>
      </c>
      <c r="R534" s="205"/>
      <c r="S534" s="189" t="s">
        <v>1361</v>
      </c>
      <c r="T534" s="114"/>
      <c r="U534" s="21"/>
      <c r="V534" s="115"/>
      <c r="W534" s="116"/>
      <c r="X534" s="220"/>
      <c r="Y534" s="245">
        <f>X534*0.1</f>
        <v>0</v>
      </c>
      <c r="Z534" s="220"/>
      <c r="AA534" s="220">
        <f>SUM(X534:Z534)</f>
        <v>0</v>
      </c>
      <c r="AB534" s="246"/>
    </row>
    <row r="535" spans="1:28" ht="17.100000000000001" customHeight="1" thickBot="1">
      <c r="A535" s="227"/>
      <c r="B535" s="27" t="s">
        <v>1592</v>
      </c>
      <c r="C535" s="27">
        <v>75445</v>
      </c>
      <c r="D535" s="14" t="s">
        <v>1627</v>
      </c>
      <c r="E535" s="229"/>
      <c r="F535" s="117" t="s">
        <v>2141</v>
      </c>
      <c r="G535" s="26">
        <v>51490</v>
      </c>
      <c r="H535" s="231"/>
      <c r="I535" s="221"/>
      <c r="J535" s="221"/>
      <c r="K535" s="221"/>
      <c r="L535" s="221"/>
      <c r="M535" s="221"/>
      <c r="N535" s="221"/>
      <c r="O535" s="225"/>
      <c r="P535" s="119" t="s">
        <v>2142</v>
      </c>
      <c r="Q535" s="16" t="s">
        <v>20</v>
      </c>
      <c r="R535" s="17" t="s">
        <v>2143</v>
      </c>
      <c r="S535" s="121" t="s">
        <v>2144</v>
      </c>
      <c r="T535" s="122"/>
      <c r="U535" s="22" t="s">
        <v>2145</v>
      </c>
      <c r="V535" s="123"/>
      <c r="W535" s="122"/>
      <c r="X535" s="221"/>
      <c r="Y535" s="221"/>
      <c r="Z535" s="221"/>
      <c r="AA535" s="221"/>
      <c r="AB535" s="247"/>
    </row>
    <row r="536" spans="1:28" ht="17.100000000000001" customHeight="1" thickTop="1">
      <c r="A536" s="226" t="s">
        <v>5899</v>
      </c>
      <c r="B536" s="28">
        <v>44847</v>
      </c>
      <c r="C536" s="25">
        <v>1156</v>
      </c>
      <c r="D536" s="13" t="s">
        <v>2107</v>
      </c>
      <c r="E536" s="228"/>
      <c r="F536" s="109" t="s">
        <v>2146</v>
      </c>
      <c r="G536" s="24"/>
      <c r="H536" s="230">
        <v>4.5</v>
      </c>
      <c r="I536" s="220">
        <v>2655000</v>
      </c>
      <c r="J536" s="220">
        <v>265500</v>
      </c>
      <c r="K536" s="220">
        <v>0</v>
      </c>
      <c r="L536" s="220">
        <v>19090</v>
      </c>
      <c r="M536" s="220">
        <v>13200</v>
      </c>
      <c r="N536" s="220">
        <f>SUM(I536:M537)</f>
        <v>2952790</v>
      </c>
      <c r="O536" s="224"/>
      <c r="P536" s="111" t="s">
        <v>2147</v>
      </c>
      <c r="Q536" s="15" t="s">
        <v>19</v>
      </c>
      <c r="R536" s="205"/>
      <c r="S536" s="189" t="s">
        <v>25391</v>
      </c>
      <c r="T536" s="114"/>
      <c r="U536" s="21"/>
      <c r="V536" s="115"/>
      <c r="W536" s="116"/>
      <c r="X536" s="220"/>
      <c r="Y536" s="245">
        <f>X536*0.1</f>
        <v>0</v>
      </c>
      <c r="Z536" s="220"/>
      <c r="AA536" s="220">
        <f>SUM(X536:Z536)</f>
        <v>0</v>
      </c>
      <c r="AB536" s="246"/>
    </row>
    <row r="537" spans="1:28" ht="17.100000000000001" customHeight="1" thickBot="1">
      <c r="A537" s="227"/>
      <c r="B537" s="27" t="s">
        <v>1735</v>
      </c>
      <c r="C537" s="27">
        <v>351</v>
      </c>
      <c r="D537" s="14" t="s">
        <v>1584</v>
      </c>
      <c r="E537" s="229"/>
      <c r="F537" s="117" t="s">
        <v>2148</v>
      </c>
      <c r="G537" s="26">
        <v>37052</v>
      </c>
      <c r="H537" s="231"/>
      <c r="I537" s="221"/>
      <c r="J537" s="221"/>
      <c r="K537" s="221"/>
      <c r="L537" s="221"/>
      <c r="M537" s="221"/>
      <c r="N537" s="221"/>
      <c r="O537" s="225"/>
      <c r="P537" s="119" t="s">
        <v>2149</v>
      </c>
      <c r="Q537" s="16" t="s">
        <v>20</v>
      </c>
      <c r="R537" s="17" t="s">
        <v>2143</v>
      </c>
      <c r="S537" s="121" t="s">
        <v>1606</v>
      </c>
      <c r="T537" s="122"/>
      <c r="U537" s="22"/>
      <c r="V537" s="123"/>
      <c r="W537" s="122"/>
      <c r="X537" s="221"/>
      <c r="Y537" s="221"/>
      <c r="Z537" s="221"/>
      <c r="AA537" s="221"/>
      <c r="AB537" s="247"/>
    </row>
    <row r="538" spans="1:28" ht="17.100000000000001" customHeight="1" thickTop="1">
      <c r="A538" s="226" t="s">
        <v>5900</v>
      </c>
      <c r="B538" s="28">
        <v>44862</v>
      </c>
      <c r="C538" s="25"/>
      <c r="D538" s="13" t="s">
        <v>2150</v>
      </c>
      <c r="E538" s="228"/>
      <c r="F538" s="109" t="s">
        <v>2151</v>
      </c>
      <c r="G538" s="24" t="s">
        <v>2040</v>
      </c>
      <c r="H538" s="230">
        <v>4.5</v>
      </c>
      <c r="I538" s="220">
        <v>5625000</v>
      </c>
      <c r="J538" s="220">
        <v>562500</v>
      </c>
      <c r="K538" s="220">
        <v>0</v>
      </c>
      <c r="L538" s="220">
        <v>17700</v>
      </c>
      <c r="M538" s="220">
        <v>49688</v>
      </c>
      <c r="N538" s="220">
        <f>SUM(I538:M539)</f>
        <v>6254888</v>
      </c>
      <c r="O538" s="224"/>
      <c r="P538" s="111" t="s">
        <v>2152</v>
      </c>
      <c r="Q538" s="15" t="s">
        <v>19</v>
      </c>
      <c r="R538" s="205"/>
      <c r="S538" s="189" t="s">
        <v>1361</v>
      </c>
      <c r="T538" s="114"/>
      <c r="U538" s="21"/>
      <c r="V538" s="115"/>
      <c r="W538" s="116"/>
      <c r="X538" s="220"/>
      <c r="Y538" s="245">
        <f>X538*0.1</f>
        <v>0</v>
      </c>
      <c r="Z538" s="220"/>
      <c r="AA538" s="220">
        <f>SUM(X538:Z538)</f>
        <v>0</v>
      </c>
      <c r="AB538" s="246"/>
    </row>
    <row r="539" spans="1:28" ht="17.100000000000001" customHeight="1" thickBot="1">
      <c r="A539" s="227"/>
      <c r="B539" s="27" t="s">
        <v>1708</v>
      </c>
      <c r="C539" s="27" t="s">
        <v>2153</v>
      </c>
      <c r="D539" s="14" t="s">
        <v>2154</v>
      </c>
      <c r="E539" s="229"/>
      <c r="F539" s="117" t="s">
        <v>2155</v>
      </c>
      <c r="G539" s="26">
        <v>44363</v>
      </c>
      <c r="H539" s="231"/>
      <c r="I539" s="221"/>
      <c r="J539" s="221"/>
      <c r="K539" s="221"/>
      <c r="L539" s="221"/>
      <c r="M539" s="221"/>
      <c r="N539" s="221"/>
      <c r="O539" s="225"/>
      <c r="P539" s="119" t="s">
        <v>2156</v>
      </c>
      <c r="Q539" s="16" t="s">
        <v>20</v>
      </c>
      <c r="R539" s="17" t="s">
        <v>2157</v>
      </c>
      <c r="S539" s="121" t="s">
        <v>1731</v>
      </c>
      <c r="T539" s="122"/>
      <c r="U539" s="22" t="s">
        <v>1290</v>
      </c>
      <c r="V539" s="123"/>
      <c r="W539" s="122"/>
      <c r="X539" s="221"/>
      <c r="Y539" s="221"/>
      <c r="Z539" s="221"/>
      <c r="AA539" s="221"/>
      <c r="AB539" s="247"/>
    </row>
    <row r="540" spans="1:28" ht="17.100000000000001" customHeight="1" thickTop="1">
      <c r="A540" s="226" t="s">
        <v>5901</v>
      </c>
      <c r="B540" s="28">
        <v>44869</v>
      </c>
      <c r="C540" s="25">
        <v>2077</v>
      </c>
      <c r="D540" s="13" t="s">
        <v>2158</v>
      </c>
      <c r="E540" s="228"/>
      <c r="F540" s="109" t="s">
        <v>2159</v>
      </c>
      <c r="G540" s="24" t="s">
        <v>1947</v>
      </c>
      <c r="H540" s="230">
        <v>4.5</v>
      </c>
      <c r="I540" s="220">
        <v>2156000</v>
      </c>
      <c r="J540" s="220">
        <v>215600</v>
      </c>
      <c r="K540" s="220">
        <v>10100</v>
      </c>
      <c r="L540" s="220">
        <v>16250</v>
      </c>
      <c r="M540" s="220">
        <v>13750</v>
      </c>
      <c r="N540" s="220">
        <f>SUM(I540:M541)</f>
        <v>2411700</v>
      </c>
      <c r="O540" s="224"/>
      <c r="P540" s="111" t="s">
        <v>2160</v>
      </c>
      <c r="Q540" s="15" t="s">
        <v>19</v>
      </c>
      <c r="R540" s="205"/>
      <c r="S540" s="189"/>
      <c r="T540" s="155" t="s">
        <v>1610</v>
      </c>
      <c r="U540" s="21" t="s">
        <v>2161</v>
      </c>
      <c r="V540" s="115"/>
      <c r="W540" s="116"/>
      <c r="X540" s="220"/>
      <c r="Y540" s="245">
        <f>X540*0.1</f>
        <v>0</v>
      </c>
      <c r="Z540" s="220"/>
      <c r="AA540" s="220">
        <f>SUM(X540:Z540)</f>
        <v>0</v>
      </c>
      <c r="AB540" s="246"/>
    </row>
    <row r="541" spans="1:28" ht="17.100000000000001" customHeight="1" thickBot="1">
      <c r="A541" s="227"/>
      <c r="B541" s="27" t="s">
        <v>2162</v>
      </c>
      <c r="C541" s="27">
        <v>4359</v>
      </c>
      <c r="D541" s="14" t="s">
        <v>1866</v>
      </c>
      <c r="E541" s="229"/>
      <c r="F541" s="117" t="s">
        <v>2163</v>
      </c>
      <c r="G541" s="26">
        <v>11781</v>
      </c>
      <c r="H541" s="231"/>
      <c r="I541" s="221"/>
      <c r="J541" s="221"/>
      <c r="K541" s="221"/>
      <c r="L541" s="221"/>
      <c r="M541" s="221"/>
      <c r="N541" s="221"/>
      <c r="O541" s="225"/>
      <c r="P541" s="119" t="s">
        <v>2164</v>
      </c>
      <c r="Q541" s="16" t="s">
        <v>20</v>
      </c>
      <c r="R541" s="17" t="s">
        <v>2165</v>
      </c>
      <c r="S541" s="121" t="s">
        <v>2166</v>
      </c>
      <c r="T541" s="122"/>
      <c r="U541" s="22" t="s">
        <v>50</v>
      </c>
      <c r="V541" s="123"/>
      <c r="W541" s="122"/>
      <c r="X541" s="221"/>
      <c r="Y541" s="221"/>
      <c r="Z541" s="221"/>
      <c r="AA541" s="221"/>
      <c r="AB541" s="247"/>
    </row>
    <row r="542" spans="1:28" ht="17.100000000000001" customHeight="1" thickTop="1">
      <c r="A542" s="226" t="s">
        <v>5902</v>
      </c>
      <c r="B542" s="28">
        <v>44875</v>
      </c>
      <c r="C542" s="25">
        <v>1854</v>
      </c>
      <c r="D542" s="13" t="s">
        <v>2167</v>
      </c>
      <c r="E542" s="228"/>
      <c r="F542" s="109" t="s">
        <v>1141</v>
      </c>
      <c r="G542" s="24" t="s">
        <v>2040</v>
      </c>
      <c r="H542" s="230">
        <v>4</v>
      </c>
      <c r="I542" s="220">
        <v>1807000</v>
      </c>
      <c r="J542" s="220">
        <v>180700</v>
      </c>
      <c r="K542" s="220">
        <v>13100</v>
      </c>
      <c r="L542" s="220">
        <v>16240</v>
      </c>
      <c r="M542" s="220">
        <v>22000</v>
      </c>
      <c r="N542" s="220">
        <f>SUM(I542:M543)</f>
        <v>2039040</v>
      </c>
      <c r="O542" s="224"/>
      <c r="P542" s="111" t="s">
        <v>2168</v>
      </c>
      <c r="Q542" s="15" t="s">
        <v>19</v>
      </c>
      <c r="R542" s="205"/>
      <c r="S542" s="189" t="s">
        <v>25392</v>
      </c>
      <c r="T542" s="114"/>
      <c r="U542" s="21" t="s">
        <v>2170</v>
      </c>
      <c r="V542" s="115"/>
      <c r="W542" s="116"/>
      <c r="X542" s="220"/>
      <c r="Y542" s="245">
        <f>X542*0.1</f>
        <v>0</v>
      </c>
      <c r="Z542" s="220"/>
      <c r="AA542" s="220">
        <f>SUM(X542:Z542)</f>
        <v>0</v>
      </c>
      <c r="AB542" s="246"/>
    </row>
    <row r="543" spans="1:28" ht="17.100000000000001" customHeight="1" thickBot="1">
      <c r="A543" s="227"/>
      <c r="B543" s="27" t="s">
        <v>2171</v>
      </c>
      <c r="C543" s="27">
        <v>30251</v>
      </c>
      <c r="D543" s="14" t="s">
        <v>2154</v>
      </c>
      <c r="E543" s="229"/>
      <c r="F543" s="117" t="s">
        <v>2172</v>
      </c>
      <c r="G543" s="26">
        <v>34251</v>
      </c>
      <c r="H543" s="231"/>
      <c r="I543" s="221"/>
      <c r="J543" s="221"/>
      <c r="K543" s="221"/>
      <c r="L543" s="221"/>
      <c r="M543" s="221"/>
      <c r="N543" s="221"/>
      <c r="O543" s="225"/>
      <c r="P543" s="119" t="s">
        <v>2173</v>
      </c>
      <c r="Q543" s="16" t="s">
        <v>20</v>
      </c>
      <c r="R543" s="17" t="s">
        <v>2174</v>
      </c>
      <c r="S543" s="121" t="s">
        <v>1606</v>
      </c>
      <c r="T543" s="122"/>
      <c r="U543" s="22"/>
      <c r="V543" s="123"/>
      <c r="W543" s="122"/>
      <c r="X543" s="221"/>
      <c r="Y543" s="221"/>
      <c r="Z543" s="221"/>
      <c r="AA543" s="221"/>
      <c r="AB543" s="247"/>
    </row>
    <row r="544" spans="1:28" ht="17.100000000000001" customHeight="1" thickTop="1">
      <c r="A544" s="226" t="s">
        <v>5903</v>
      </c>
      <c r="B544" s="28">
        <v>44877</v>
      </c>
      <c r="C544" s="25">
        <v>852</v>
      </c>
      <c r="D544" s="13" t="s">
        <v>1968</v>
      </c>
      <c r="E544" s="228"/>
      <c r="F544" s="109" t="s">
        <v>2175</v>
      </c>
      <c r="G544" s="24"/>
      <c r="H544" s="230">
        <v>3.5</v>
      </c>
      <c r="I544" s="220">
        <v>634000</v>
      </c>
      <c r="J544" s="220">
        <v>63400</v>
      </c>
      <c r="K544" s="220">
        <v>0</v>
      </c>
      <c r="L544" s="220">
        <v>15590</v>
      </c>
      <c r="M544" s="220">
        <v>17600</v>
      </c>
      <c r="N544" s="220">
        <f>SUM(I544:M545)</f>
        <v>730590</v>
      </c>
      <c r="O544" s="224"/>
      <c r="P544" s="111" t="s">
        <v>2176</v>
      </c>
      <c r="Q544" s="15" t="s">
        <v>19</v>
      </c>
      <c r="R544" s="205"/>
      <c r="S544" s="189"/>
      <c r="T544" s="114"/>
      <c r="U544" s="21"/>
      <c r="V544" s="115"/>
      <c r="W544" s="116"/>
      <c r="X544" s="220"/>
      <c r="Y544" s="245">
        <f>X544*0.1</f>
        <v>0</v>
      </c>
      <c r="Z544" s="220"/>
      <c r="AA544" s="220">
        <f>SUM(X544:Z544)</f>
        <v>0</v>
      </c>
      <c r="AB544" s="246"/>
    </row>
    <row r="545" spans="1:28" ht="17.100000000000001" customHeight="1" thickBot="1">
      <c r="A545" s="227"/>
      <c r="B545" s="27" t="s">
        <v>1697</v>
      </c>
      <c r="C545" s="27">
        <v>5039</v>
      </c>
      <c r="D545" s="14" t="s">
        <v>2177</v>
      </c>
      <c r="E545" s="229"/>
      <c r="F545" s="117" t="s">
        <v>2178</v>
      </c>
      <c r="G545" s="26">
        <v>62288</v>
      </c>
      <c r="H545" s="231"/>
      <c r="I545" s="221"/>
      <c r="J545" s="221"/>
      <c r="K545" s="221"/>
      <c r="L545" s="221"/>
      <c r="M545" s="221"/>
      <c r="N545" s="221"/>
      <c r="O545" s="225"/>
      <c r="P545" s="119" t="s">
        <v>2179</v>
      </c>
      <c r="Q545" s="16" t="s">
        <v>20</v>
      </c>
      <c r="R545" s="17" t="s">
        <v>2180</v>
      </c>
      <c r="S545" s="121"/>
      <c r="T545" s="122"/>
      <c r="U545" s="22"/>
      <c r="V545" s="123"/>
      <c r="W545" s="122"/>
      <c r="X545" s="221"/>
      <c r="Y545" s="221"/>
      <c r="Z545" s="221"/>
      <c r="AA545" s="221"/>
      <c r="AB545" s="247"/>
    </row>
    <row r="546" spans="1:28" ht="17.100000000000001" customHeight="1" thickTop="1">
      <c r="A546" s="226" t="s">
        <v>5904</v>
      </c>
      <c r="B546" s="28">
        <v>44882</v>
      </c>
      <c r="C546" s="25">
        <v>1161</v>
      </c>
      <c r="D546" s="13" t="s">
        <v>1531</v>
      </c>
      <c r="E546" s="228"/>
      <c r="F546" s="109" t="s">
        <v>2181</v>
      </c>
      <c r="G546" s="24" t="s">
        <v>2182</v>
      </c>
      <c r="H546" s="230">
        <v>4.5</v>
      </c>
      <c r="I546" s="220">
        <v>3470000</v>
      </c>
      <c r="J546" s="220">
        <v>347000</v>
      </c>
      <c r="K546" s="220">
        <v>17000</v>
      </c>
      <c r="L546" s="220">
        <v>25460</v>
      </c>
      <c r="M546" s="220">
        <v>13200</v>
      </c>
      <c r="N546" s="220">
        <f>SUM(I546:M547)</f>
        <v>3872660</v>
      </c>
      <c r="O546" s="224"/>
      <c r="P546" s="111" t="s">
        <v>2183</v>
      </c>
      <c r="Q546" s="15" t="s">
        <v>19</v>
      </c>
      <c r="R546" s="205"/>
      <c r="S546" s="189" t="s">
        <v>25374</v>
      </c>
      <c r="T546" s="114"/>
      <c r="U546" s="21" t="s">
        <v>2184</v>
      </c>
      <c r="V546" s="115"/>
      <c r="W546" s="116"/>
      <c r="X546" s="220"/>
      <c r="Y546" s="245">
        <f>X546*0.1</f>
        <v>0</v>
      </c>
      <c r="Z546" s="220"/>
      <c r="AA546" s="220">
        <f>SUM(X546:Z546)</f>
        <v>0</v>
      </c>
      <c r="AB546" s="246"/>
    </row>
    <row r="547" spans="1:28" ht="17.100000000000001" customHeight="1" thickBot="1">
      <c r="A547" s="227"/>
      <c r="B547" s="27" t="s">
        <v>1735</v>
      </c>
      <c r="C547" s="27">
        <v>545</v>
      </c>
      <c r="D547" s="14" t="s">
        <v>2185</v>
      </c>
      <c r="E547" s="229"/>
      <c r="F547" s="117" t="s">
        <v>2186</v>
      </c>
      <c r="G547" s="26">
        <v>52742</v>
      </c>
      <c r="H547" s="231"/>
      <c r="I547" s="221"/>
      <c r="J547" s="221"/>
      <c r="K547" s="221"/>
      <c r="L547" s="221"/>
      <c r="M547" s="221"/>
      <c r="N547" s="221"/>
      <c r="O547" s="225"/>
      <c r="P547" s="119" t="s">
        <v>2187</v>
      </c>
      <c r="Q547" s="16" t="s">
        <v>20</v>
      </c>
      <c r="R547" s="17" t="s">
        <v>2188</v>
      </c>
      <c r="S547" s="121" t="s">
        <v>1606</v>
      </c>
      <c r="T547" s="122"/>
      <c r="U547" s="22" t="s">
        <v>1732</v>
      </c>
      <c r="V547" s="123"/>
      <c r="W547" s="122"/>
      <c r="X547" s="221"/>
      <c r="Y547" s="221"/>
      <c r="Z547" s="221"/>
      <c r="AA547" s="221"/>
      <c r="AB547" s="247"/>
    </row>
    <row r="548" spans="1:28" ht="17.100000000000001" customHeight="1" thickTop="1">
      <c r="A548" s="226" t="s">
        <v>5905</v>
      </c>
      <c r="B548" s="28">
        <v>44883</v>
      </c>
      <c r="C548" s="25">
        <v>1965</v>
      </c>
      <c r="D548" s="13" t="s">
        <v>894</v>
      </c>
      <c r="E548" s="228"/>
      <c r="F548" s="109" t="s">
        <v>2189</v>
      </c>
      <c r="G548" s="24"/>
      <c r="H548" s="230">
        <v>4</v>
      </c>
      <c r="I548" s="220">
        <v>2775000</v>
      </c>
      <c r="J548" s="220">
        <v>277500</v>
      </c>
      <c r="K548" s="220">
        <v>0</v>
      </c>
      <c r="L548" s="220">
        <v>19620</v>
      </c>
      <c r="M548" s="220">
        <v>13200</v>
      </c>
      <c r="N548" s="220">
        <f>SUM(I548:M549)</f>
        <v>3085320</v>
      </c>
      <c r="O548" s="224"/>
      <c r="P548" s="111" t="s">
        <v>2190</v>
      </c>
      <c r="Q548" s="15" t="s">
        <v>19</v>
      </c>
      <c r="R548" s="205"/>
      <c r="S548" s="189" t="s">
        <v>25393</v>
      </c>
      <c r="T548" s="114"/>
      <c r="U548" s="21"/>
      <c r="V548" s="115"/>
      <c r="W548" s="116"/>
      <c r="X548" s="220"/>
      <c r="Y548" s="245">
        <f>X548*0.1</f>
        <v>0</v>
      </c>
      <c r="Z548" s="220"/>
      <c r="AA548" s="220">
        <f>SUM(X548:Z548)</f>
        <v>0</v>
      </c>
      <c r="AB548" s="246"/>
    </row>
    <row r="549" spans="1:28" ht="17.100000000000001" customHeight="1" thickBot="1">
      <c r="A549" s="227"/>
      <c r="B549" s="27" t="s">
        <v>1536</v>
      </c>
      <c r="C549" s="27">
        <v>58276</v>
      </c>
      <c r="D549" s="14" t="s">
        <v>1584</v>
      </c>
      <c r="E549" s="229"/>
      <c r="F549" s="117" t="s">
        <v>2191</v>
      </c>
      <c r="G549" s="26">
        <v>56530</v>
      </c>
      <c r="H549" s="231"/>
      <c r="I549" s="221"/>
      <c r="J549" s="221"/>
      <c r="K549" s="221"/>
      <c r="L549" s="221"/>
      <c r="M549" s="221"/>
      <c r="N549" s="221"/>
      <c r="O549" s="225"/>
      <c r="P549" s="119" t="s">
        <v>2192</v>
      </c>
      <c r="Q549" s="16" t="s">
        <v>20</v>
      </c>
      <c r="R549" s="17" t="s">
        <v>2193</v>
      </c>
      <c r="S549" s="121" t="s">
        <v>2025</v>
      </c>
      <c r="T549" s="122"/>
      <c r="U549" s="22"/>
      <c r="V549" s="123"/>
      <c r="W549" s="122"/>
      <c r="X549" s="221"/>
      <c r="Y549" s="221"/>
      <c r="Z549" s="221"/>
      <c r="AA549" s="221"/>
      <c r="AB549" s="247"/>
    </row>
    <row r="550" spans="1:28" ht="17.100000000000001" customHeight="1" thickTop="1">
      <c r="A550" s="226" t="s">
        <v>5906</v>
      </c>
      <c r="B550" s="28">
        <v>44883</v>
      </c>
      <c r="C550" s="25"/>
      <c r="D550" s="13" t="s">
        <v>1623</v>
      </c>
      <c r="E550" s="228"/>
      <c r="F550" s="109" t="s">
        <v>2194</v>
      </c>
      <c r="G550" s="24" t="s">
        <v>2195</v>
      </c>
      <c r="H550" s="230">
        <v>4.5</v>
      </c>
      <c r="I550" s="220">
        <v>9195000</v>
      </c>
      <c r="J550" s="220">
        <v>919500</v>
      </c>
      <c r="K550" s="220">
        <v>16600</v>
      </c>
      <c r="L550" s="220">
        <v>18090</v>
      </c>
      <c r="M550" s="220">
        <v>267863</v>
      </c>
      <c r="N550" s="220">
        <f>SUM(I550:M551)</f>
        <v>10417053</v>
      </c>
      <c r="O550" s="224"/>
      <c r="P550" s="111" t="s">
        <v>2196</v>
      </c>
      <c r="Q550" s="15" t="s">
        <v>19</v>
      </c>
      <c r="R550" s="205"/>
      <c r="S550" s="189" t="s">
        <v>1276</v>
      </c>
      <c r="T550" s="114"/>
      <c r="U550" s="21" t="s">
        <v>2197</v>
      </c>
      <c r="V550" s="115"/>
      <c r="W550" s="116"/>
      <c r="X550" s="220"/>
      <c r="Y550" s="245">
        <f>X550*0.1</f>
        <v>0</v>
      </c>
      <c r="Z550" s="220"/>
      <c r="AA550" s="220">
        <f>SUM(X550:Z550)</f>
        <v>0</v>
      </c>
      <c r="AB550" s="246"/>
    </row>
    <row r="551" spans="1:28" ht="17.100000000000001" customHeight="1" thickBot="1">
      <c r="A551" s="227"/>
      <c r="B551" s="27" t="s">
        <v>1708</v>
      </c>
      <c r="C551" s="27" t="s">
        <v>2198</v>
      </c>
      <c r="D551" s="14" t="s">
        <v>131</v>
      </c>
      <c r="E551" s="229"/>
      <c r="F551" s="117" t="s">
        <v>2199</v>
      </c>
      <c r="G551" s="26">
        <v>11181</v>
      </c>
      <c r="H551" s="231"/>
      <c r="I551" s="221"/>
      <c r="J551" s="221"/>
      <c r="K551" s="221"/>
      <c r="L551" s="221"/>
      <c r="M551" s="221"/>
      <c r="N551" s="221"/>
      <c r="O551" s="225"/>
      <c r="P551" s="119" t="s">
        <v>2200</v>
      </c>
      <c r="Q551" s="16" t="s">
        <v>20</v>
      </c>
      <c r="R551" s="17" t="s">
        <v>1752</v>
      </c>
      <c r="S551" s="121" t="s">
        <v>2201</v>
      </c>
      <c r="T551" s="122"/>
      <c r="U551" s="67" t="s">
        <v>2202</v>
      </c>
      <c r="V551" s="123"/>
      <c r="W551" s="122"/>
      <c r="X551" s="221"/>
      <c r="Y551" s="221"/>
      <c r="Z551" s="221"/>
      <c r="AA551" s="221"/>
      <c r="AB551" s="247"/>
    </row>
    <row r="552" spans="1:28" ht="17.100000000000001" customHeight="1" thickTop="1">
      <c r="A552" s="226" t="s">
        <v>5907</v>
      </c>
      <c r="B552" s="28">
        <v>44893</v>
      </c>
      <c r="C552" s="25">
        <v>1924</v>
      </c>
      <c r="D552" s="13" t="s">
        <v>2203</v>
      </c>
      <c r="E552" s="228"/>
      <c r="F552" s="109" t="s">
        <v>2204</v>
      </c>
      <c r="G552" s="24" t="s">
        <v>1678</v>
      </c>
      <c r="H552" s="230">
        <v>4</v>
      </c>
      <c r="I552" s="220">
        <v>2505000</v>
      </c>
      <c r="J552" s="220">
        <v>250500</v>
      </c>
      <c r="K552" s="220">
        <v>13100</v>
      </c>
      <c r="L552" s="220">
        <v>19090</v>
      </c>
      <c r="M552" s="220">
        <v>11000</v>
      </c>
      <c r="N552" s="220">
        <f>SUM(I552:M553)</f>
        <v>2798690</v>
      </c>
      <c r="O552" s="224"/>
      <c r="P552" s="111" t="s">
        <v>2205</v>
      </c>
      <c r="Q552" s="15" t="s">
        <v>19</v>
      </c>
      <c r="R552" s="205"/>
      <c r="S552" s="189" t="s">
        <v>25388</v>
      </c>
      <c r="T552" s="114"/>
      <c r="U552" s="21"/>
      <c r="V552" s="115"/>
      <c r="W552" s="116"/>
      <c r="X552" s="220"/>
      <c r="Y552" s="245">
        <f>X552*0.1</f>
        <v>0</v>
      </c>
      <c r="Z552" s="220"/>
      <c r="AA552" s="220">
        <f>SUM(X552:Z552)</f>
        <v>0</v>
      </c>
      <c r="AB552" s="246"/>
    </row>
    <row r="553" spans="1:28" ht="17.100000000000001" customHeight="1" thickBot="1">
      <c r="A553" s="227"/>
      <c r="B553" s="27" t="s">
        <v>82</v>
      </c>
      <c r="C553" s="27">
        <v>34027</v>
      </c>
      <c r="D553" s="14" t="s">
        <v>273</v>
      </c>
      <c r="E553" s="229"/>
      <c r="F553" s="117" t="s">
        <v>2206</v>
      </c>
      <c r="G553" s="26">
        <v>39330</v>
      </c>
      <c r="H553" s="231"/>
      <c r="I553" s="221"/>
      <c r="J553" s="221"/>
      <c r="K553" s="221"/>
      <c r="L553" s="221"/>
      <c r="M553" s="221"/>
      <c r="N553" s="221"/>
      <c r="O553" s="225"/>
      <c r="P553" s="119" t="s">
        <v>2207</v>
      </c>
      <c r="Q553" s="16" t="s">
        <v>20</v>
      </c>
      <c r="R553" s="17" t="s">
        <v>2208</v>
      </c>
      <c r="S553" s="121" t="s">
        <v>2209</v>
      </c>
      <c r="T553" s="122"/>
      <c r="U553" s="22" t="s">
        <v>2210</v>
      </c>
      <c r="V553" s="123"/>
      <c r="W553" s="122"/>
      <c r="X553" s="221"/>
      <c r="Y553" s="221"/>
      <c r="Z553" s="221"/>
      <c r="AA553" s="221"/>
      <c r="AB553" s="247"/>
    </row>
    <row r="554" spans="1:28" ht="17.100000000000001" customHeight="1" thickTop="1">
      <c r="A554" s="226" t="s">
        <v>5908</v>
      </c>
      <c r="B554" s="28">
        <v>44896</v>
      </c>
      <c r="C554" s="25">
        <v>1397</v>
      </c>
      <c r="D554" s="13" t="s">
        <v>1564</v>
      </c>
      <c r="E554" s="228"/>
      <c r="F554" s="109" t="s">
        <v>2211</v>
      </c>
      <c r="G554" s="24" t="s">
        <v>2212</v>
      </c>
      <c r="H554" s="230">
        <v>4</v>
      </c>
      <c r="I554" s="220">
        <v>3360000</v>
      </c>
      <c r="J554" s="220">
        <v>336000</v>
      </c>
      <c r="K554" s="220">
        <v>9800</v>
      </c>
      <c r="L554" s="220">
        <v>19630</v>
      </c>
      <c r="M554" s="220">
        <v>13200</v>
      </c>
      <c r="N554" s="220">
        <f>SUM(I554:M555)</f>
        <v>3738630</v>
      </c>
      <c r="O554" s="224"/>
      <c r="P554" s="111" t="s">
        <v>2213</v>
      </c>
      <c r="Q554" s="15" t="s">
        <v>19</v>
      </c>
      <c r="R554" s="205"/>
      <c r="S554" s="189" t="s">
        <v>1487</v>
      </c>
      <c r="T554" s="114"/>
      <c r="U554" s="21" t="s">
        <v>2214</v>
      </c>
      <c r="V554" s="115"/>
      <c r="W554" s="116"/>
      <c r="X554" s="220"/>
      <c r="Y554" s="245">
        <f>X554*0.1</f>
        <v>0</v>
      </c>
      <c r="Z554" s="220"/>
      <c r="AA554" s="220">
        <f>SUM(X554:Z554)</f>
        <v>0</v>
      </c>
      <c r="AB554" s="246"/>
    </row>
    <row r="555" spans="1:28" ht="17.100000000000001" customHeight="1" thickBot="1">
      <c r="A555" s="227"/>
      <c r="B555" s="27" t="s">
        <v>1592</v>
      </c>
      <c r="C555" s="27">
        <v>75695</v>
      </c>
      <c r="D555" s="14" t="s">
        <v>2154</v>
      </c>
      <c r="E555" s="229"/>
      <c r="F555" s="117" t="s">
        <v>2215</v>
      </c>
      <c r="G555" s="26">
        <v>37416</v>
      </c>
      <c r="H555" s="231"/>
      <c r="I555" s="221"/>
      <c r="J555" s="221"/>
      <c r="K555" s="221"/>
      <c r="L555" s="221"/>
      <c r="M555" s="221"/>
      <c r="N555" s="221"/>
      <c r="O555" s="225"/>
      <c r="P555" s="119" t="s">
        <v>1875</v>
      </c>
      <c r="Q555" s="16" t="s">
        <v>20</v>
      </c>
      <c r="R555" s="17" t="s">
        <v>2216</v>
      </c>
      <c r="S555" s="121" t="s">
        <v>1731</v>
      </c>
      <c r="T555" s="122"/>
      <c r="U555" s="22" t="s">
        <v>2217</v>
      </c>
      <c r="V555" s="123"/>
      <c r="W555" s="122"/>
      <c r="X555" s="221"/>
      <c r="Y555" s="221"/>
      <c r="Z555" s="221"/>
      <c r="AA555" s="221"/>
      <c r="AB555" s="247"/>
    </row>
    <row r="556" spans="1:28" ht="17.100000000000001" customHeight="1" thickTop="1">
      <c r="A556" s="226" t="s">
        <v>5909</v>
      </c>
      <c r="B556" s="28">
        <v>44897</v>
      </c>
      <c r="C556" s="25">
        <v>1967</v>
      </c>
      <c r="D556" s="13" t="s">
        <v>1837</v>
      </c>
      <c r="E556" s="228" t="s">
        <v>164</v>
      </c>
      <c r="F556" s="109" t="s">
        <v>2218</v>
      </c>
      <c r="G556" s="24" t="s">
        <v>2057</v>
      </c>
      <c r="H556" s="230">
        <v>4.5</v>
      </c>
      <c r="I556" s="220">
        <v>8350000</v>
      </c>
      <c r="J556" s="220">
        <v>835000</v>
      </c>
      <c r="K556" s="220">
        <v>12500</v>
      </c>
      <c r="L556" s="220">
        <v>23920</v>
      </c>
      <c r="M556" s="220">
        <v>24200</v>
      </c>
      <c r="N556" s="220">
        <f>SUM(I556:M557)</f>
        <v>9245620</v>
      </c>
      <c r="O556" s="224"/>
      <c r="P556" s="111" t="s">
        <v>2219</v>
      </c>
      <c r="Q556" s="15" t="s">
        <v>19</v>
      </c>
      <c r="R556" s="205"/>
      <c r="S556" s="189" t="s">
        <v>1276</v>
      </c>
      <c r="T556" s="114"/>
      <c r="U556" s="21" t="s">
        <v>2220</v>
      </c>
      <c r="V556" s="115">
        <v>46327</v>
      </c>
      <c r="W556" s="116"/>
      <c r="X556" s="220">
        <v>8690000</v>
      </c>
      <c r="Y556" s="245">
        <v>0</v>
      </c>
      <c r="Z556" s="220">
        <v>0</v>
      </c>
      <c r="AA556" s="220">
        <f>SUM(X556:Z556)</f>
        <v>8690000</v>
      </c>
      <c r="AB556" s="246">
        <v>46357</v>
      </c>
    </row>
    <row r="557" spans="1:28" ht="17.100000000000001" customHeight="1" thickBot="1">
      <c r="A557" s="227"/>
      <c r="B557" s="27" t="s">
        <v>1536</v>
      </c>
      <c r="C557" s="27">
        <v>35187</v>
      </c>
      <c r="D557" s="14" t="s">
        <v>273</v>
      </c>
      <c r="E557" s="229"/>
      <c r="F557" s="117" t="s">
        <v>2221</v>
      </c>
      <c r="G557" s="26">
        <v>17560</v>
      </c>
      <c r="H557" s="231"/>
      <c r="I557" s="221"/>
      <c r="J557" s="221"/>
      <c r="K557" s="221"/>
      <c r="L557" s="221"/>
      <c r="M557" s="221"/>
      <c r="N557" s="221"/>
      <c r="O557" s="225"/>
      <c r="P557" s="119" t="s">
        <v>2222</v>
      </c>
      <c r="Q557" s="16" t="s">
        <v>20</v>
      </c>
      <c r="R557" s="17" t="s">
        <v>2223</v>
      </c>
      <c r="S557" s="121" t="s">
        <v>2224</v>
      </c>
      <c r="T557" s="122"/>
      <c r="U557" s="22"/>
      <c r="V557" s="123" t="s">
        <v>15358</v>
      </c>
      <c r="W557" s="122"/>
      <c r="X557" s="221"/>
      <c r="Y557" s="221"/>
      <c r="Z557" s="221"/>
      <c r="AA557" s="221"/>
      <c r="AB557" s="247"/>
    </row>
    <row r="558" spans="1:28" ht="17.100000000000001" customHeight="1" thickTop="1">
      <c r="A558" s="226" t="s">
        <v>5910</v>
      </c>
      <c r="B558" s="28">
        <v>44897</v>
      </c>
      <c r="C558" s="25">
        <v>1967</v>
      </c>
      <c r="D558" s="13" t="s">
        <v>1754</v>
      </c>
      <c r="E558" s="228"/>
      <c r="F558" s="109" t="s">
        <v>2225</v>
      </c>
      <c r="G558" s="24" t="s">
        <v>2010</v>
      </c>
      <c r="H558" s="230">
        <v>4.5</v>
      </c>
      <c r="I558" s="220">
        <v>1075000</v>
      </c>
      <c r="J558" s="220">
        <v>107500</v>
      </c>
      <c r="K558" s="220">
        <v>8600</v>
      </c>
      <c r="L558" s="220">
        <v>14940</v>
      </c>
      <c r="M558" s="220">
        <v>13200</v>
      </c>
      <c r="N558" s="220">
        <f>SUM(I558:M559)</f>
        <v>1219240</v>
      </c>
      <c r="O558" s="224"/>
      <c r="P558" s="111" t="s">
        <v>2226</v>
      </c>
      <c r="Q558" s="15" t="s">
        <v>19</v>
      </c>
      <c r="R558" s="205"/>
      <c r="S558" s="189" t="s">
        <v>25394</v>
      </c>
      <c r="T558" s="114"/>
      <c r="U558" s="21"/>
      <c r="V558" s="115"/>
      <c r="W558" s="116"/>
      <c r="X558" s="220"/>
      <c r="Y558" s="245">
        <f>X558*0.1</f>
        <v>0</v>
      </c>
      <c r="Z558" s="220"/>
      <c r="AA558" s="220">
        <f>SUM(X558:Z558)</f>
        <v>0</v>
      </c>
      <c r="AB558" s="246"/>
    </row>
    <row r="559" spans="1:28" ht="17.100000000000001" customHeight="1" thickBot="1">
      <c r="A559" s="227"/>
      <c r="B559" s="27" t="s">
        <v>1536</v>
      </c>
      <c r="C559" s="27">
        <v>58151</v>
      </c>
      <c r="D559" s="14" t="s">
        <v>1866</v>
      </c>
      <c r="E559" s="229"/>
      <c r="F559" s="117" t="s">
        <v>2227</v>
      </c>
      <c r="G559" s="26">
        <v>54126</v>
      </c>
      <c r="H559" s="231"/>
      <c r="I559" s="221"/>
      <c r="J559" s="221"/>
      <c r="K559" s="221"/>
      <c r="L559" s="221"/>
      <c r="M559" s="221"/>
      <c r="N559" s="221"/>
      <c r="O559" s="225"/>
      <c r="P559" s="119" t="s">
        <v>2228</v>
      </c>
      <c r="Q559" s="16" t="s">
        <v>20</v>
      </c>
      <c r="R559" s="17" t="s">
        <v>2223</v>
      </c>
      <c r="S559" s="121" t="s">
        <v>2229</v>
      </c>
      <c r="T559" s="122"/>
      <c r="U559" s="22" t="s">
        <v>2210</v>
      </c>
      <c r="V559" s="123"/>
      <c r="W559" s="122"/>
      <c r="X559" s="221"/>
      <c r="Y559" s="221"/>
      <c r="Z559" s="221"/>
      <c r="AA559" s="221"/>
      <c r="AB559" s="247"/>
    </row>
    <row r="560" spans="1:28" ht="17.100000000000001" customHeight="1" thickTop="1">
      <c r="A560" s="226" t="s">
        <v>5911</v>
      </c>
      <c r="B560" s="28">
        <v>44901</v>
      </c>
      <c r="C560" s="25">
        <v>1773</v>
      </c>
      <c r="D560" s="13" t="s">
        <v>1754</v>
      </c>
      <c r="E560" s="228"/>
      <c r="F560" s="109" t="s">
        <v>2230</v>
      </c>
      <c r="G560" s="24" t="s">
        <v>1831</v>
      </c>
      <c r="H560" s="230">
        <v>4.5</v>
      </c>
      <c r="I560" s="220">
        <v>3534000</v>
      </c>
      <c r="J560" s="220">
        <v>353400</v>
      </c>
      <c r="K560" s="220">
        <v>12700</v>
      </c>
      <c r="L560" s="220">
        <v>18110</v>
      </c>
      <c r="M560" s="220">
        <v>15950</v>
      </c>
      <c r="N560" s="220">
        <f>SUM(I560:M561)</f>
        <v>3934160</v>
      </c>
      <c r="O560" s="224"/>
      <c r="P560" s="111" t="s">
        <v>2231</v>
      </c>
      <c r="Q560" s="15" t="s">
        <v>19</v>
      </c>
      <c r="R560" s="205"/>
      <c r="S560" s="189"/>
      <c r="T560" s="155" t="s">
        <v>1610</v>
      </c>
      <c r="U560" s="21" t="s">
        <v>2232</v>
      </c>
      <c r="V560" s="115"/>
      <c r="W560" s="116"/>
      <c r="X560" s="220"/>
      <c r="Y560" s="245">
        <f>X560*0.1</f>
        <v>0</v>
      </c>
      <c r="Z560" s="220"/>
      <c r="AA560" s="220">
        <f>SUM(X560:Z560)</f>
        <v>0</v>
      </c>
      <c r="AB560" s="246"/>
    </row>
    <row r="561" spans="1:28" ht="17.100000000000001" customHeight="1" thickBot="1">
      <c r="A561" s="227"/>
      <c r="B561" s="27" t="s">
        <v>2103</v>
      </c>
      <c r="C561" s="27">
        <v>5043</v>
      </c>
      <c r="D561" s="14" t="s">
        <v>2088</v>
      </c>
      <c r="E561" s="229"/>
      <c r="F561" s="117" t="s">
        <v>2233</v>
      </c>
      <c r="G561" s="26">
        <v>15525</v>
      </c>
      <c r="H561" s="231"/>
      <c r="I561" s="221"/>
      <c r="J561" s="221"/>
      <c r="K561" s="221"/>
      <c r="L561" s="221"/>
      <c r="M561" s="221"/>
      <c r="N561" s="221"/>
      <c r="O561" s="225"/>
      <c r="P561" s="119" t="s">
        <v>2234</v>
      </c>
      <c r="Q561" s="16" t="s">
        <v>20</v>
      </c>
      <c r="R561" s="17" t="s">
        <v>2235</v>
      </c>
      <c r="S561" s="121" t="s">
        <v>2236</v>
      </c>
      <c r="T561" s="122"/>
      <c r="U561" s="22" t="s">
        <v>2237</v>
      </c>
      <c r="V561" s="123"/>
      <c r="W561" s="122"/>
      <c r="X561" s="221"/>
      <c r="Y561" s="221"/>
      <c r="Z561" s="221"/>
      <c r="AA561" s="221"/>
      <c r="AB561" s="247"/>
    </row>
    <row r="562" spans="1:28" ht="17.100000000000001" customHeight="1" thickTop="1">
      <c r="A562" s="226" t="s">
        <v>5912</v>
      </c>
      <c r="B562" s="28">
        <v>44903</v>
      </c>
      <c r="C562" s="25">
        <v>1398</v>
      </c>
      <c r="D562" s="13" t="s">
        <v>853</v>
      </c>
      <c r="E562" s="228" t="s">
        <v>164</v>
      </c>
      <c r="F562" s="109" t="s">
        <v>2238</v>
      </c>
      <c r="G562" s="24" t="s">
        <v>2239</v>
      </c>
      <c r="H562" s="230">
        <v>5</v>
      </c>
      <c r="I562" s="220">
        <v>9260000</v>
      </c>
      <c r="J562" s="220">
        <v>926000</v>
      </c>
      <c r="K562" s="220">
        <v>12500</v>
      </c>
      <c r="L562" s="220">
        <v>18090</v>
      </c>
      <c r="M562" s="220">
        <v>13200</v>
      </c>
      <c r="N562" s="220">
        <f>SUM(I562:M563)</f>
        <v>10229790</v>
      </c>
      <c r="O562" s="224"/>
      <c r="P562" s="111" t="s">
        <v>2240</v>
      </c>
      <c r="Q562" s="15" t="s">
        <v>19</v>
      </c>
      <c r="R562" s="205"/>
      <c r="S562" s="189" t="s">
        <v>25395</v>
      </c>
      <c r="T562" s="114"/>
      <c r="U562" s="21" t="s">
        <v>2241</v>
      </c>
      <c r="V562" s="115"/>
      <c r="W562" s="116"/>
      <c r="X562" s="220"/>
      <c r="Y562" s="245">
        <f>X562*0.1</f>
        <v>0</v>
      </c>
      <c r="Z562" s="220"/>
      <c r="AA562" s="220">
        <f>SUM(X562:Z562)</f>
        <v>0</v>
      </c>
      <c r="AB562" s="246"/>
    </row>
    <row r="563" spans="1:28" ht="17.100000000000001" customHeight="1" thickBot="1">
      <c r="A563" s="227"/>
      <c r="B563" s="27" t="s">
        <v>1592</v>
      </c>
      <c r="C563" s="27">
        <v>75474</v>
      </c>
      <c r="D563" s="14" t="s">
        <v>273</v>
      </c>
      <c r="E563" s="229"/>
      <c r="F563" s="117" t="s">
        <v>2242</v>
      </c>
      <c r="G563" s="26">
        <v>8686</v>
      </c>
      <c r="H563" s="231"/>
      <c r="I563" s="221"/>
      <c r="J563" s="221"/>
      <c r="K563" s="221"/>
      <c r="L563" s="221"/>
      <c r="M563" s="221"/>
      <c r="N563" s="221"/>
      <c r="O563" s="225"/>
      <c r="P563" s="119" t="s">
        <v>2243</v>
      </c>
      <c r="Q563" s="16" t="s">
        <v>20</v>
      </c>
      <c r="R563" s="17" t="s">
        <v>2235</v>
      </c>
      <c r="S563" s="121" t="s">
        <v>2244</v>
      </c>
      <c r="T563" s="122"/>
      <c r="U563" s="22"/>
      <c r="V563" s="123"/>
      <c r="W563" s="122"/>
      <c r="X563" s="221"/>
      <c r="Y563" s="221"/>
      <c r="Z563" s="221"/>
      <c r="AA563" s="221"/>
      <c r="AB563" s="247"/>
    </row>
    <row r="564" spans="1:28" ht="17.100000000000001" customHeight="1" thickTop="1">
      <c r="A564" s="226" t="s">
        <v>5913</v>
      </c>
      <c r="B564" s="28">
        <v>44918</v>
      </c>
      <c r="C564" s="25">
        <v>1970</v>
      </c>
      <c r="D564" s="13" t="s">
        <v>853</v>
      </c>
      <c r="E564" s="228"/>
      <c r="F564" s="109" t="s">
        <v>2245</v>
      </c>
      <c r="G564" s="24" t="s">
        <v>2239</v>
      </c>
      <c r="H564" s="230">
        <v>4.5</v>
      </c>
      <c r="I564" s="220">
        <v>1900000</v>
      </c>
      <c r="J564" s="220">
        <v>190000</v>
      </c>
      <c r="K564" s="220">
        <v>7600</v>
      </c>
      <c r="L564" s="220">
        <v>16250</v>
      </c>
      <c r="M564" s="220">
        <v>24200</v>
      </c>
      <c r="N564" s="220">
        <f>SUM(I564:M565)</f>
        <v>2138050</v>
      </c>
      <c r="O564" s="224"/>
      <c r="P564" s="111" t="s">
        <v>2246</v>
      </c>
      <c r="Q564" s="15" t="s">
        <v>19</v>
      </c>
      <c r="R564" s="205"/>
      <c r="S564" s="189" t="s">
        <v>758</v>
      </c>
      <c r="T564" s="114"/>
      <c r="U564" s="21" t="s">
        <v>2247</v>
      </c>
      <c r="V564" s="115"/>
      <c r="W564" s="116"/>
      <c r="X564" s="220"/>
      <c r="Y564" s="245">
        <f>X564*0.1</f>
        <v>0</v>
      </c>
      <c r="Z564" s="220"/>
      <c r="AA564" s="220">
        <f>SUM(X564:Z564)</f>
        <v>0</v>
      </c>
      <c r="AB564" s="246"/>
    </row>
    <row r="565" spans="1:28" ht="17.100000000000001" customHeight="1" thickBot="1">
      <c r="A565" s="227"/>
      <c r="B565" s="27" t="s">
        <v>1536</v>
      </c>
      <c r="C565" s="27">
        <v>35170</v>
      </c>
      <c r="D565" s="14" t="s">
        <v>2248</v>
      </c>
      <c r="E565" s="229"/>
      <c r="F565" s="117" t="s">
        <v>2249</v>
      </c>
      <c r="G565" s="26">
        <v>22436</v>
      </c>
      <c r="H565" s="231"/>
      <c r="I565" s="221"/>
      <c r="J565" s="221"/>
      <c r="K565" s="221"/>
      <c r="L565" s="221"/>
      <c r="M565" s="221"/>
      <c r="N565" s="221"/>
      <c r="O565" s="225"/>
      <c r="P565" s="119" t="s">
        <v>1720</v>
      </c>
      <c r="Q565" s="16" t="s">
        <v>20</v>
      </c>
      <c r="R565" s="17" t="s">
        <v>2250</v>
      </c>
      <c r="S565" s="121" t="s">
        <v>1923</v>
      </c>
      <c r="T565" s="122"/>
      <c r="U565" s="22" t="s">
        <v>2251</v>
      </c>
      <c r="V565" s="123"/>
      <c r="W565" s="122"/>
      <c r="X565" s="221"/>
      <c r="Y565" s="221"/>
      <c r="Z565" s="221"/>
      <c r="AA565" s="221"/>
      <c r="AB565" s="247"/>
    </row>
    <row r="566" spans="1:28" ht="17.100000000000001" customHeight="1" thickTop="1">
      <c r="A566" s="226" t="s">
        <v>5914</v>
      </c>
      <c r="B566" s="28">
        <v>44919</v>
      </c>
      <c r="C566" s="25">
        <v>1670</v>
      </c>
      <c r="D566" s="13" t="s">
        <v>2150</v>
      </c>
      <c r="E566" s="228"/>
      <c r="F566" s="109" t="s">
        <v>2252</v>
      </c>
      <c r="G566" s="24"/>
      <c r="H566" s="230">
        <v>4.5</v>
      </c>
      <c r="I566" s="220">
        <v>1916000</v>
      </c>
      <c r="J566" s="220">
        <v>191600</v>
      </c>
      <c r="K566" s="220">
        <v>0</v>
      </c>
      <c r="L566" s="220">
        <v>20680</v>
      </c>
      <c r="M566" s="220">
        <v>13750</v>
      </c>
      <c r="N566" s="220">
        <f>SUM(I566:M567)</f>
        <v>2142030</v>
      </c>
      <c r="O566" s="224"/>
      <c r="P566" s="111" t="s">
        <v>2253</v>
      </c>
      <c r="Q566" s="15" t="s">
        <v>19</v>
      </c>
      <c r="R566" s="205"/>
      <c r="S566" s="189" t="s">
        <v>758</v>
      </c>
      <c r="T566" s="114"/>
      <c r="U566" s="21"/>
      <c r="V566" s="115"/>
      <c r="W566" s="116"/>
      <c r="X566" s="220"/>
      <c r="Y566" s="245">
        <f>X566*0.1</f>
        <v>0</v>
      </c>
      <c r="Z566" s="220"/>
      <c r="AA566" s="220">
        <f>SUM(X566:Z566)</f>
        <v>0</v>
      </c>
      <c r="AB566" s="246"/>
    </row>
    <row r="567" spans="1:28" ht="17.100000000000001" customHeight="1" thickBot="1">
      <c r="A567" s="227"/>
      <c r="B567" s="27" t="s">
        <v>2254</v>
      </c>
      <c r="C567" s="27">
        <v>6025</v>
      </c>
      <c r="D567" s="14" t="s">
        <v>2255</v>
      </c>
      <c r="E567" s="229"/>
      <c r="F567" s="117" t="s">
        <v>2256</v>
      </c>
      <c r="G567" s="26">
        <v>46175</v>
      </c>
      <c r="H567" s="231"/>
      <c r="I567" s="221"/>
      <c r="J567" s="221"/>
      <c r="K567" s="221"/>
      <c r="L567" s="221"/>
      <c r="M567" s="221"/>
      <c r="N567" s="221"/>
      <c r="O567" s="225"/>
      <c r="P567" s="119" t="s">
        <v>2257</v>
      </c>
      <c r="Q567" s="16" t="s">
        <v>20</v>
      </c>
      <c r="R567" s="17" t="s">
        <v>2250</v>
      </c>
      <c r="S567" s="121" t="s">
        <v>1661</v>
      </c>
      <c r="T567" s="122"/>
      <c r="U567" s="22"/>
      <c r="V567" s="123"/>
      <c r="W567" s="122"/>
      <c r="X567" s="221"/>
      <c r="Y567" s="221"/>
      <c r="Z567" s="221"/>
      <c r="AA567" s="221"/>
      <c r="AB567" s="247"/>
    </row>
    <row r="568" spans="1:28" ht="17.100000000000001" customHeight="1" thickTop="1">
      <c r="A568" s="226" t="s">
        <v>5915</v>
      </c>
      <c r="B568" s="28">
        <v>44935</v>
      </c>
      <c r="C568" s="25"/>
      <c r="D568" s="13" t="s">
        <v>2258</v>
      </c>
      <c r="E568" s="228"/>
      <c r="F568" s="109" t="s">
        <v>2259</v>
      </c>
      <c r="G568" s="24" t="s">
        <v>1678</v>
      </c>
      <c r="H568" s="230">
        <v>3.5</v>
      </c>
      <c r="I568" s="220">
        <v>3590000</v>
      </c>
      <c r="J568" s="220">
        <v>359000</v>
      </c>
      <c r="K568" s="220">
        <v>0</v>
      </c>
      <c r="L568" s="220">
        <v>15120</v>
      </c>
      <c r="M568" s="220">
        <v>162450</v>
      </c>
      <c r="N568" s="220">
        <f>SUM(I568:M569)</f>
        <v>4126570</v>
      </c>
      <c r="O568" s="224"/>
      <c r="P568" s="111" t="s">
        <v>2260</v>
      </c>
      <c r="Q568" s="15" t="s">
        <v>19</v>
      </c>
      <c r="R568" s="205"/>
      <c r="S568" s="189" t="s">
        <v>1072</v>
      </c>
      <c r="T568" s="114"/>
      <c r="U568" s="21"/>
      <c r="V568" s="115"/>
      <c r="W568" s="116"/>
      <c r="X568" s="220"/>
      <c r="Y568" s="245">
        <f>X568*0.1</f>
        <v>0</v>
      </c>
      <c r="Z568" s="220"/>
      <c r="AA568" s="220">
        <f>SUM(X568:Z568)</f>
        <v>0</v>
      </c>
      <c r="AB568" s="246"/>
    </row>
    <row r="569" spans="1:28" ht="17.100000000000001" customHeight="1" thickBot="1">
      <c r="A569" s="227"/>
      <c r="B569" s="27" t="s">
        <v>1708</v>
      </c>
      <c r="C569" s="27" t="s">
        <v>2261</v>
      </c>
      <c r="D569" s="14" t="s">
        <v>1797</v>
      </c>
      <c r="E569" s="229"/>
      <c r="F569" s="117" t="s">
        <v>2262</v>
      </c>
      <c r="G569" s="26">
        <v>54281</v>
      </c>
      <c r="H569" s="231"/>
      <c r="I569" s="221"/>
      <c r="J569" s="221"/>
      <c r="K569" s="221"/>
      <c r="L569" s="221"/>
      <c r="M569" s="221"/>
      <c r="N569" s="221"/>
      <c r="O569" s="225"/>
      <c r="P569" s="119" t="s">
        <v>2263</v>
      </c>
      <c r="Q569" s="16" t="s">
        <v>20</v>
      </c>
      <c r="R569" s="17" t="s">
        <v>2264</v>
      </c>
      <c r="S569" s="121" t="s">
        <v>2265</v>
      </c>
      <c r="T569" s="122"/>
      <c r="U569" s="22" t="s">
        <v>2266</v>
      </c>
      <c r="V569" s="123"/>
      <c r="W569" s="122"/>
      <c r="X569" s="221"/>
      <c r="Y569" s="221"/>
      <c r="Z569" s="221"/>
      <c r="AA569" s="221"/>
      <c r="AB569" s="247"/>
    </row>
    <row r="570" spans="1:28" ht="17.100000000000001" customHeight="1" thickTop="1">
      <c r="A570" s="226" t="s">
        <v>5916</v>
      </c>
      <c r="B570" s="28">
        <v>44936</v>
      </c>
      <c r="C570" s="25">
        <v>929</v>
      </c>
      <c r="D570" s="13" t="s">
        <v>2267</v>
      </c>
      <c r="E570" s="228"/>
      <c r="F570" s="109" t="s">
        <v>2268</v>
      </c>
      <c r="G570" s="24" t="s">
        <v>1983</v>
      </c>
      <c r="H570" s="230">
        <v>4.5</v>
      </c>
      <c r="I570" s="220">
        <v>2310000</v>
      </c>
      <c r="J570" s="220">
        <v>231000</v>
      </c>
      <c r="K570" s="220">
        <v>6500</v>
      </c>
      <c r="L570" s="220">
        <v>20440</v>
      </c>
      <c r="M570" s="220">
        <v>13200</v>
      </c>
      <c r="N570" s="220">
        <f>SUM(I570:M571)</f>
        <v>2581140</v>
      </c>
      <c r="O570" s="224"/>
      <c r="P570" s="111" t="s">
        <v>2269</v>
      </c>
      <c r="Q570" s="15" t="s">
        <v>19</v>
      </c>
      <c r="R570" s="205"/>
      <c r="S570" s="189" t="s">
        <v>1361</v>
      </c>
      <c r="T570" s="114"/>
      <c r="U570" s="21"/>
      <c r="V570" s="115"/>
      <c r="W570" s="116"/>
      <c r="X570" s="220"/>
      <c r="Y570" s="245">
        <f>X570*0.1</f>
        <v>0</v>
      </c>
      <c r="Z570" s="220"/>
      <c r="AA570" s="220">
        <f>SUM(X570:Z570)</f>
        <v>0</v>
      </c>
      <c r="AB570" s="246"/>
    </row>
    <row r="571" spans="1:28" ht="17.100000000000001" customHeight="1" thickBot="1">
      <c r="A571" s="227"/>
      <c r="B571" s="27" t="s">
        <v>1583</v>
      </c>
      <c r="C571" s="27">
        <v>82043</v>
      </c>
      <c r="D571" s="14" t="s">
        <v>2154</v>
      </c>
      <c r="E571" s="229"/>
      <c r="F571" s="117" t="s">
        <v>2270</v>
      </c>
      <c r="G571" s="26">
        <v>34277</v>
      </c>
      <c r="H571" s="231"/>
      <c r="I571" s="221"/>
      <c r="J571" s="221"/>
      <c r="K571" s="221"/>
      <c r="L571" s="221"/>
      <c r="M571" s="221"/>
      <c r="N571" s="221"/>
      <c r="O571" s="225"/>
      <c r="P571" s="119" t="s">
        <v>2271</v>
      </c>
      <c r="Q571" s="16" t="s">
        <v>20</v>
      </c>
      <c r="R571" s="17" t="s">
        <v>1800</v>
      </c>
      <c r="S571" s="121" t="s">
        <v>2272</v>
      </c>
      <c r="T571" s="122"/>
      <c r="U571" s="22" t="s">
        <v>2266</v>
      </c>
      <c r="V571" s="123"/>
      <c r="W571" s="122"/>
      <c r="X571" s="221"/>
      <c r="Y571" s="221"/>
      <c r="Z571" s="221"/>
      <c r="AA571" s="221"/>
      <c r="AB571" s="247"/>
    </row>
    <row r="572" spans="1:28" ht="17.100000000000001" customHeight="1" thickTop="1">
      <c r="A572" s="226" t="s">
        <v>5917</v>
      </c>
      <c r="B572" s="28">
        <v>44939</v>
      </c>
      <c r="C572" s="25">
        <v>1971</v>
      </c>
      <c r="D572" s="13" t="s">
        <v>1676</v>
      </c>
      <c r="E572" s="228"/>
      <c r="F572" s="109" t="s">
        <v>2093</v>
      </c>
      <c r="G572" s="24"/>
      <c r="H572" s="230">
        <v>4.5</v>
      </c>
      <c r="I572" s="220">
        <v>2100000</v>
      </c>
      <c r="J572" s="220">
        <v>210000</v>
      </c>
      <c r="K572" s="220">
        <v>0</v>
      </c>
      <c r="L572" s="220">
        <v>20680</v>
      </c>
      <c r="M572" s="220">
        <v>13200</v>
      </c>
      <c r="N572" s="220">
        <f>SUM(I572:M573)</f>
        <v>2343880</v>
      </c>
      <c r="O572" s="224"/>
      <c r="P572" s="111" t="s">
        <v>2273</v>
      </c>
      <c r="Q572" s="15" t="s">
        <v>19</v>
      </c>
      <c r="R572" s="205"/>
      <c r="S572" s="189" t="s">
        <v>758</v>
      </c>
      <c r="T572" s="114"/>
      <c r="U572" s="21"/>
      <c r="V572" s="115"/>
      <c r="W572" s="116"/>
      <c r="X572" s="220"/>
      <c r="Y572" s="245">
        <f>X572*0.1</f>
        <v>0</v>
      </c>
      <c r="Z572" s="220"/>
      <c r="AA572" s="220">
        <f>SUM(X572:Z572)</f>
        <v>0</v>
      </c>
      <c r="AB572" s="246"/>
    </row>
    <row r="573" spans="1:28" ht="17.100000000000001" customHeight="1" thickBot="1">
      <c r="A573" s="227"/>
      <c r="B573" s="27" t="s">
        <v>1536</v>
      </c>
      <c r="C573" s="27">
        <v>58389</v>
      </c>
      <c r="D573" s="14" t="s">
        <v>1584</v>
      </c>
      <c r="E573" s="229"/>
      <c r="F573" s="117" t="s">
        <v>2274</v>
      </c>
      <c r="G573" s="26">
        <v>45600</v>
      </c>
      <c r="H573" s="231"/>
      <c r="I573" s="221"/>
      <c r="J573" s="221"/>
      <c r="K573" s="221"/>
      <c r="L573" s="221"/>
      <c r="M573" s="221"/>
      <c r="N573" s="221"/>
      <c r="O573" s="225"/>
      <c r="P573" s="119" t="s">
        <v>2275</v>
      </c>
      <c r="Q573" s="16" t="s">
        <v>20</v>
      </c>
      <c r="R573" s="17" t="s">
        <v>2276</v>
      </c>
      <c r="S573" s="121" t="s">
        <v>2277</v>
      </c>
      <c r="T573" s="122"/>
      <c r="U573" s="22"/>
      <c r="V573" s="123"/>
      <c r="W573" s="122"/>
      <c r="X573" s="221"/>
      <c r="Y573" s="221"/>
      <c r="Z573" s="221"/>
      <c r="AA573" s="221"/>
      <c r="AB573" s="247"/>
    </row>
    <row r="574" spans="1:28" ht="17.100000000000001" customHeight="1" thickTop="1">
      <c r="A574" s="226" t="s">
        <v>5918</v>
      </c>
      <c r="B574" s="28">
        <v>44947</v>
      </c>
      <c r="C574" s="25">
        <v>1138</v>
      </c>
      <c r="D574" s="13" t="s">
        <v>1632</v>
      </c>
      <c r="E574" s="228"/>
      <c r="F574" s="109" t="s">
        <v>2278</v>
      </c>
      <c r="G574" s="24" t="s">
        <v>2057</v>
      </c>
      <c r="H574" s="230">
        <v>4.5</v>
      </c>
      <c r="I574" s="220">
        <v>1895000</v>
      </c>
      <c r="J574" s="220">
        <v>189500</v>
      </c>
      <c r="K574" s="220">
        <v>6500</v>
      </c>
      <c r="L574" s="220">
        <v>17700</v>
      </c>
      <c r="M574" s="220">
        <v>13200</v>
      </c>
      <c r="N574" s="220">
        <f>SUM(I574:M575)</f>
        <v>2121900</v>
      </c>
      <c r="O574" s="224"/>
      <c r="P574" s="111" t="s">
        <v>2279</v>
      </c>
      <c r="Q574" s="15" t="s">
        <v>19</v>
      </c>
      <c r="R574" s="205"/>
      <c r="S574" s="189"/>
      <c r="T574" s="114"/>
      <c r="U574" s="21" t="s">
        <v>2280</v>
      </c>
      <c r="V574" s="115"/>
      <c r="W574" s="116"/>
      <c r="X574" s="220"/>
      <c r="Y574" s="245">
        <f>X574*0.1</f>
        <v>0</v>
      </c>
      <c r="Z574" s="220"/>
      <c r="AA574" s="220">
        <f>SUM(X574:Z574)</f>
        <v>0</v>
      </c>
      <c r="AB574" s="246"/>
    </row>
    <row r="575" spans="1:28" ht="17.100000000000001" customHeight="1" thickBot="1">
      <c r="A575" s="227"/>
      <c r="B575" s="27" t="s">
        <v>1559</v>
      </c>
      <c r="C575" s="27">
        <v>82139</v>
      </c>
      <c r="D575" s="14" t="s">
        <v>1593</v>
      </c>
      <c r="E575" s="229"/>
      <c r="F575" s="117" t="s">
        <v>2281</v>
      </c>
      <c r="G575" s="26">
        <v>32287</v>
      </c>
      <c r="H575" s="231"/>
      <c r="I575" s="221"/>
      <c r="J575" s="221"/>
      <c r="K575" s="221"/>
      <c r="L575" s="221"/>
      <c r="M575" s="221"/>
      <c r="N575" s="221"/>
      <c r="O575" s="225"/>
      <c r="P575" s="119" t="s">
        <v>423</v>
      </c>
      <c r="Q575" s="16" t="s">
        <v>20</v>
      </c>
      <c r="R575" s="17" t="s">
        <v>2282</v>
      </c>
      <c r="S575" s="121" t="s">
        <v>169</v>
      </c>
      <c r="T575" s="122"/>
      <c r="U575" s="67" t="s">
        <v>50</v>
      </c>
      <c r="V575" s="123"/>
      <c r="W575" s="122"/>
      <c r="X575" s="221"/>
      <c r="Y575" s="221"/>
      <c r="Z575" s="221"/>
      <c r="AA575" s="221"/>
      <c r="AB575" s="247"/>
    </row>
    <row r="576" spans="1:28" ht="17.100000000000001" customHeight="1" thickTop="1">
      <c r="A576" s="226" t="s">
        <v>5919</v>
      </c>
      <c r="B576" s="28">
        <v>44953</v>
      </c>
      <c r="C576" s="25">
        <v>1973</v>
      </c>
      <c r="D576" s="13" t="s">
        <v>1598</v>
      </c>
      <c r="E576" s="228"/>
      <c r="F576" s="109" t="s">
        <v>2283</v>
      </c>
      <c r="G576" s="24" t="s">
        <v>1909</v>
      </c>
      <c r="H576" s="230">
        <v>4.5</v>
      </c>
      <c r="I576" s="220">
        <v>2085000</v>
      </c>
      <c r="J576" s="220">
        <v>208500</v>
      </c>
      <c r="K576" s="220">
        <v>6500</v>
      </c>
      <c r="L576" s="220">
        <v>20680</v>
      </c>
      <c r="M576" s="220">
        <v>13200</v>
      </c>
      <c r="N576" s="220">
        <f>SUM(I576:M577)</f>
        <v>2333880</v>
      </c>
      <c r="O576" s="224"/>
      <c r="P576" s="111" t="s">
        <v>2284</v>
      </c>
      <c r="Q576" s="15" t="s">
        <v>19</v>
      </c>
      <c r="R576" s="205"/>
      <c r="S576" s="189" t="s">
        <v>758</v>
      </c>
      <c r="T576" s="114"/>
      <c r="U576" s="21" t="s">
        <v>2285</v>
      </c>
      <c r="V576" s="115"/>
      <c r="W576" s="116"/>
      <c r="X576" s="220"/>
      <c r="Y576" s="245">
        <f>X576*0.1</f>
        <v>0</v>
      </c>
      <c r="Z576" s="220"/>
      <c r="AA576" s="220">
        <f>SUM(X576:Z576)</f>
        <v>0</v>
      </c>
      <c r="AB576" s="246"/>
    </row>
    <row r="577" spans="1:28" ht="17.100000000000001" customHeight="1" thickBot="1">
      <c r="A577" s="227"/>
      <c r="B577" s="27" t="s">
        <v>1536</v>
      </c>
      <c r="C577" s="27">
        <v>58347</v>
      </c>
      <c r="D577" s="14" t="s">
        <v>273</v>
      </c>
      <c r="E577" s="229"/>
      <c r="F577" s="117" t="s">
        <v>2286</v>
      </c>
      <c r="G577" s="26">
        <v>28252</v>
      </c>
      <c r="H577" s="231"/>
      <c r="I577" s="221"/>
      <c r="J577" s="221"/>
      <c r="K577" s="221"/>
      <c r="L577" s="221"/>
      <c r="M577" s="221"/>
      <c r="N577" s="221"/>
      <c r="O577" s="225"/>
      <c r="P577" s="119" t="s">
        <v>2287</v>
      </c>
      <c r="Q577" s="16" t="s">
        <v>20</v>
      </c>
      <c r="R577" s="17" t="s">
        <v>812</v>
      </c>
      <c r="S577" s="121" t="s">
        <v>1731</v>
      </c>
      <c r="T577" s="122"/>
      <c r="U577" s="22" t="s">
        <v>50</v>
      </c>
      <c r="V577" s="123"/>
      <c r="W577" s="122"/>
      <c r="X577" s="221"/>
      <c r="Y577" s="221"/>
      <c r="Z577" s="221"/>
      <c r="AA577" s="221"/>
      <c r="AB577" s="247"/>
    </row>
    <row r="578" spans="1:28" ht="17.100000000000001" customHeight="1" thickTop="1">
      <c r="A578" s="226" t="s">
        <v>5920</v>
      </c>
      <c r="B578" s="28">
        <v>44954</v>
      </c>
      <c r="C578" s="25">
        <v>1382</v>
      </c>
      <c r="D578" s="13" t="s">
        <v>2288</v>
      </c>
      <c r="E578" s="228"/>
      <c r="F578" s="109" t="s">
        <v>2289</v>
      </c>
      <c r="G578" s="24"/>
      <c r="H578" s="230">
        <v>4.5</v>
      </c>
      <c r="I578" s="220">
        <v>3400000</v>
      </c>
      <c r="J578" s="220">
        <v>340000</v>
      </c>
      <c r="K578" s="220">
        <v>0</v>
      </c>
      <c r="L578" s="220">
        <v>27730</v>
      </c>
      <c r="M578" s="220">
        <v>24200</v>
      </c>
      <c r="N578" s="220">
        <f>SUM(I578:M579)</f>
        <v>3791930</v>
      </c>
      <c r="O578" s="224"/>
      <c r="P578" s="111" t="s">
        <v>2290</v>
      </c>
      <c r="Q578" s="15" t="s">
        <v>19</v>
      </c>
      <c r="R578" s="205"/>
      <c r="S578" s="189" t="s">
        <v>758</v>
      </c>
      <c r="T578" s="114"/>
      <c r="U578" s="21"/>
      <c r="V578" s="115"/>
      <c r="W578" s="116"/>
      <c r="X578" s="220"/>
      <c r="Y578" s="245">
        <f>X578*0.1</f>
        <v>0</v>
      </c>
      <c r="Z578" s="220"/>
      <c r="AA578" s="220">
        <f>SUM(X578:Z578)</f>
        <v>0</v>
      </c>
      <c r="AB578" s="246"/>
    </row>
    <row r="579" spans="1:28" ht="17.100000000000001" customHeight="1" thickBot="1">
      <c r="A579" s="227"/>
      <c r="B579" s="27" t="s">
        <v>1547</v>
      </c>
      <c r="C579" s="27">
        <v>83030</v>
      </c>
      <c r="D579" s="14" t="s">
        <v>2291</v>
      </c>
      <c r="E579" s="229"/>
      <c r="F579" s="117" t="s">
        <v>2292</v>
      </c>
      <c r="G579" s="26">
        <v>49265</v>
      </c>
      <c r="H579" s="231"/>
      <c r="I579" s="221"/>
      <c r="J579" s="221"/>
      <c r="K579" s="221"/>
      <c r="L579" s="221"/>
      <c r="M579" s="221"/>
      <c r="N579" s="221"/>
      <c r="O579" s="225"/>
      <c r="P579" s="119" t="s">
        <v>2293</v>
      </c>
      <c r="Q579" s="16" t="s">
        <v>20</v>
      </c>
      <c r="R579" s="17" t="s">
        <v>812</v>
      </c>
      <c r="S579" s="121" t="s">
        <v>2294</v>
      </c>
      <c r="T579" s="122"/>
      <c r="U579" s="22"/>
      <c r="V579" s="123"/>
      <c r="W579" s="122"/>
      <c r="X579" s="221"/>
      <c r="Y579" s="221"/>
      <c r="Z579" s="221"/>
      <c r="AA579" s="221"/>
      <c r="AB579" s="247"/>
    </row>
    <row r="580" spans="1:28" ht="17.100000000000001" customHeight="1" thickTop="1">
      <c r="A580" s="226" t="s">
        <v>5921</v>
      </c>
      <c r="B580" s="28">
        <v>44956</v>
      </c>
      <c r="C580" s="25">
        <v>1931</v>
      </c>
      <c r="D580" s="13" t="s">
        <v>2295</v>
      </c>
      <c r="E580" s="228"/>
      <c r="F580" s="109" t="s">
        <v>2296</v>
      </c>
      <c r="G580" s="24" t="s">
        <v>2010</v>
      </c>
      <c r="H580" s="230">
        <v>4.5</v>
      </c>
      <c r="I580" s="220">
        <v>2615000</v>
      </c>
      <c r="J580" s="220">
        <v>261500</v>
      </c>
      <c r="K580" s="220">
        <v>6000</v>
      </c>
      <c r="L580" s="220">
        <v>17600</v>
      </c>
      <c r="M580" s="220">
        <v>11000</v>
      </c>
      <c r="N580" s="220">
        <f>SUM(I580:M581)</f>
        <v>2911100</v>
      </c>
      <c r="O580" s="224"/>
      <c r="P580" s="111" t="s">
        <v>2297</v>
      </c>
      <c r="Q580" s="15" t="s">
        <v>19</v>
      </c>
      <c r="R580" s="205"/>
      <c r="S580" s="189" t="s">
        <v>25388</v>
      </c>
      <c r="T580" s="114"/>
      <c r="U580" s="21"/>
      <c r="V580" s="115"/>
      <c r="W580" s="116"/>
      <c r="X580" s="220"/>
      <c r="Y580" s="245">
        <f>X580*0.1</f>
        <v>0</v>
      </c>
      <c r="Z580" s="220"/>
      <c r="AA580" s="220">
        <f>SUM(X580:Z580)</f>
        <v>0</v>
      </c>
      <c r="AB580" s="246"/>
    </row>
    <row r="581" spans="1:28" ht="17.100000000000001" customHeight="1" thickBot="1">
      <c r="A581" s="227"/>
      <c r="B581" s="27" t="s">
        <v>82</v>
      </c>
      <c r="C581" s="27">
        <v>34001</v>
      </c>
      <c r="D581" s="14" t="s">
        <v>131</v>
      </c>
      <c r="E581" s="229"/>
      <c r="F581" s="117" t="s">
        <v>2298</v>
      </c>
      <c r="G581" s="26">
        <v>15995</v>
      </c>
      <c r="H581" s="231"/>
      <c r="I581" s="221"/>
      <c r="J581" s="221"/>
      <c r="K581" s="221"/>
      <c r="L581" s="221"/>
      <c r="M581" s="221"/>
      <c r="N581" s="221"/>
      <c r="O581" s="225"/>
      <c r="P581" s="119" t="s">
        <v>291</v>
      </c>
      <c r="Q581" s="16" t="s">
        <v>20</v>
      </c>
      <c r="R581" s="17" t="s">
        <v>2295</v>
      </c>
      <c r="S581" s="121" t="s">
        <v>1606</v>
      </c>
      <c r="T581" s="122"/>
      <c r="U581" s="22" t="s">
        <v>2299</v>
      </c>
      <c r="V581" s="123"/>
      <c r="W581" s="122"/>
      <c r="X581" s="221"/>
      <c r="Y581" s="221"/>
      <c r="Z581" s="221"/>
      <c r="AA581" s="221"/>
      <c r="AB581" s="247"/>
    </row>
    <row r="582" spans="1:28" ht="17.100000000000001" customHeight="1" thickTop="1">
      <c r="A582" s="226" t="s">
        <v>5922</v>
      </c>
      <c r="B582" s="28">
        <v>44966</v>
      </c>
      <c r="C582" s="25">
        <v>1171</v>
      </c>
      <c r="D582" s="13" t="s">
        <v>1762</v>
      </c>
      <c r="E582" s="228"/>
      <c r="F582" s="109" t="s">
        <v>2300</v>
      </c>
      <c r="G582" s="24" t="s">
        <v>1831</v>
      </c>
      <c r="H582" s="230">
        <v>4.5</v>
      </c>
      <c r="I582" s="220">
        <v>1550000</v>
      </c>
      <c r="J582" s="220">
        <v>155000</v>
      </c>
      <c r="K582" s="220">
        <v>3200</v>
      </c>
      <c r="L582" s="220">
        <v>22240</v>
      </c>
      <c r="M582" s="220">
        <v>22000</v>
      </c>
      <c r="N582" s="220">
        <f>SUM(I582:M583)</f>
        <v>1752440</v>
      </c>
      <c r="O582" s="224"/>
      <c r="P582" s="111" t="s">
        <v>2301</v>
      </c>
      <c r="Q582" s="15" t="s">
        <v>19</v>
      </c>
      <c r="R582" s="205"/>
      <c r="S582" s="189" t="s">
        <v>1271</v>
      </c>
      <c r="T582" s="114"/>
      <c r="U582" s="21"/>
      <c r="V582" s="115"/>
      <c r="W582" s="116"/>
      <c r="X582" s="220"/>
      <c r="Y582" s="245">
        <f>X582*0.1</f>
        <v>0</v>
      </c>
      <c r="Z582" s="220"/>
      <c r="AA582" s="220">
        <f>SUM(X582:Z582)</f>
        <v>0</v>
      </c>
      <c r="AB582" s="246"/>
    </row>
    <row r="583" spans="1:28" ht="17.100000000000001" customHeight="1" thickBot="1">
      <c r="A583" s="227"/>
      <c r="B583" s="27" t="s">
        <v>1735</v>
      </c>
      <c r="C583" s="27">
        <v>249</v>
      </c>
      <c r="D583" s="14" t="s">
        <v>2302</v>
      </c>
      <c r="E583" s="229"/>
      <c r="F583" s="117" t="s">
        <v>2303</v>
      </c>
      <c r="G583" s="26">
        <v>46878</v>
      </c>
      <c r="H583" s="231"/>
      <c r="I583" s="221"/>
      <c r="J583" s="221"/>
      <c r="K583" s="221"/>
      <c r="L583" s="221"/>
      <c r="M583" s="221"/>
      <c r="N583" s="221"/>
      <c r="O583" s="225"/>
      <c r="P583" s="119" t="s">
        <v>2304</v>
      </c>
      <c r="Q583" s="16" t="s">
        <v>20</v>
      </c>
      <c r="R583" s="17" t="s">
        <v>2305</v>
      </c>
      <c r="S583" s="121" t="s">
        <v>1731</v>
      </c>
      <c r="T583" s="122"/>
      <c r="U583" s="22" t="s">
        <v>50</v>
      </c>
      <c r="V583" s="123"/>
      <c r="W583" s="122"/>
      <c r="X583" s="221"/>
      <c r="Y583" s="221"/>
      <c r="Z583" s="221"/>
      <c r="AA583" s="221"/>
      <c r="AB583" s="247"/>
    </row>
    <row r="584" spans="1:28" ht="17.100000000000001" customHeight="1" thickTop="1">
      <c r="A584" s="226" t="s">
        <v>5923</v>
      </c>
      <c r="B584" s="28">
        <v>44973</v>
      </c>
      <c r="C584" s="25">
        <v>1406</v>
      </c>
      <c r="D584" s="13" t="s">
        <v>2306</v>
      </c>
      <c r="E584" s="228"/>
      <c r="F584" s="109" t="s">
        <v>2307</v>
      </c>
      <c r="G584" s="24"/>
      <c r="H584" s="230">
        <v>4.5</v>
      </c>
      <c r="I584" s="220">
        <v>2945000</v>
      </c>
      <c r="J584" s="220">
        <v>294500</v>
      </c>
      <c r="K584" s="220">
        <v>0</v>
      </c>
      <c r="L584" s="220">
        <v>19120</v>
      </c>
      <c r="M584" s="220">
        <v>13200</v>
      </c>
      <c r="N584" s="220">
        <f>SUM(I584:M585)</f>
        <v>3271820</v>
      </c>
      <c r="O584" s="224"/>
      <c r="P584" s="111" t="s">
        <v>2308</v>
      </c>
      <c r="Q584" s="15" t="s">
        <v>19</v>
      </c>
      <c r="R584" s="208"/>
      <c r="S584" s="195" t="s">
        <v>25396</v>
      </c>
      <c r="T584" s="114"/>
      <c r="U584" s="21"/>
      <c r="V584" s="115">
        <v>46055</v>
      </c>
      <c r="W584" s="116"/>
      <c r="X584" s="220">
        <f>4500000+1200000</f>
        <v>5700000</v>
      </c>
      <c r="Y584" s="245">
        <v>0</v>
      </c>
      <c r="Z584" s="220">
        <v>0</v>
      </c>
      <c r="AA584" s="220">
        <f>SUM(X584:Z584)</f>
        <v>5700000</v>
      </c>
      <c r="AB584" s="246">
        <v>46106</v>
      </c>
    </row>
    <row r="585" spans="1:28" ht="17.100000000000001" customHeight="1" thickBot="1">
      <c r="A585" s="227"/>
      <c r="B585" s="27" t="s">
        <v>1592</v>
      </c>
      <c r="C585" s="27">
        <v>76121</v>
      </c>
      <c r="D585" s="14" t="s">
        <v>273</v>
      </c>
      <c r="E585" s="229"/>
      <c r="F585" s="117" t="s">
        <v>2309</v>
      </c>
      <c r="G585" s="26">
        <v>51154</v>
      </c>
      <c r="H585" s="231"/>
      <c r="I585" s="221"/>
      <c r="J585" s="221"/>
      <c r="K585" s="221"/>
      <c r="L585" s="221"/>
      <c r="M585" s="221"/>
      <c r="N585" s="221"/>
      <c r="O585" s="225"/>
      <c r="P585" s="119" t="s">
        <v>2310</v>
      </c>
      <c r="Q585" s="16" t="s">
        <v>20</v>
      </c>
      <c r="R585" s="17" t="s">
        <v>2311</v>
      </c>
      <c r="S585" s="121" t="s">
        <v>2312</v>
      </c>
      <c r="T585" s="122"/>
      <c r="U585" s="22"/>
      <c r="V585" s="123" t="s">
        <v>23944</v>
      </c>
      <c r="W585" s="122"/>
      <c r="X585" s="221"/>
      <c r="Y585" s="221"/>
      <c r="Z585" s="221"/>
      <c r="AA585" s="221"/>
      <c r="AB585" s="247"/>
    </row>
    <row r="586" spans="1:28" ht="17.100000000000001" customHeight="1" thickTop="1">
      <c r="A586" s="226" t="s">
        <v>5924</v>
      </c>
      <c r="B586" s="28">
        <v>44975</v>
      </c>
      <c r="C586" s="25">
        <v>1142</v>
      </c>
      <c r="D586" s="13" t="s">
        <v>2313</v>
      </c>
      <c r="E586" s="228"/>
      <c r="F586" s="109" t="s">
        <v>2314</v>
      </c>
      <c r="G586" s="24"/>
      <c r="H586" s="230">
        <v>4.5</v>
      </c>
      <c r="I586" s="220">
        <v>3460000</v>
      </c>
      <c r="J586" s="220">
        <v>346000</v>
      </c>
      <c r="K586" s="220">
        <v>0</v>
      </c>
      <c r="L586" s="220">
        <v>21930</v>
      </c>
      <c r="M586" s="220">
        <v>13200</v>
      </c>
      <c r="N586" s="220">
        <f>SUM(I586:M587)</f>
        <v>3841130</v>
      </c>
      <c r="O586" s="224"/>
      <c r="P586" s="111" t="s">
        <v>2315</v>
      </c>
      <c r="Q586" s="15" t="s">
        <v>19</v>
      </c>
      <c r="R586" s="205"/>
      <c r="S586" s="189" t="s">
        <v>25368</v>
      </c>
      <c r="T586" s="114"/>
      <c r="U586" s="21"/>
      <c r="V586" s="115"/>
      <c r="W586" s="116"/>
      <c r="X586" s="220"/>
      <c r="Y586" s="245">
        <f>X586*0.1</f>
        <v>0</v>
      </c>
      <c r="Z586" s="220"/>
      <c r="AA586" s="220">
        <f>SUM(X586:Z586)</f>
        <v>0</v>
      </c>
      <c r="AB586" s="246"/>
    </row>
    <row r="587" spans="1:28" ht="17.100000000000001" customHeight="1" thickBot="1">
      <c r="A587" s="227"/>
      <c r="B587" s="27" t="s">
        <v>1559</v>
      </c>
      <c r="C587" s="27">
        <v>82139</v>
      </c>
      <c r="D587" s="14" t="s">
        <v>2088</v>
      </c>
      <c r="E587" s="229"/>
      <c r="F587" s="117" t="s">
        <v>2316</v>
      </c>
      <c r="G587" s="26">
        <v>37505</v>
      </c>
      <c r="H587" s="231"/>
      <c r="I587" s="221"/>
      <c r="J587" s="221"/>
      <c r="K587" s="221"/>
      <c r="L587" s="221"/>
      <c r="M587" s="221"/>
      <c r="N587" s="221"/>
      <c r="O587" s="225"/>
      <c r="P587" s="119" t="s">
        <v>2317</v>
      </c>
      <c r="Q587" s="16" t="s">
        <v>20</v>
      </c>
      <c r="R587" s="17" t="s">
        <v>2318</v>
      </c>
      <c r="S587" s="121" t="s">
        <v>1731</v>
      </c>
      <c r="T587" s="122"/>
      <c r="U587" s="22"/>
      <c r="V587" s="123"/>
      <c r="W587" s="122"/>
      <c r="X587" s="221"/>
      <c r="Y587" s="221"/>
      <c r="Z587" s="221"/>
      <c r="AA587" s="221"/>
      <c r="AB587" s="247"/>
    </row>
    <row r="588" spans="1:28" ht="17.100000000000001" customHeight="1" thickTop="1">
      <c r="A588" s="226" t="s">
        <v>5925</v>
      </c>
      <c r="B588" s="28">
        <v>44981</v>
      </c>
      <c r="C588" s="25">
        <v>1048</v>
      </c>
      <c r="D588" s="13" t="s">
        <v>2113</v>
      </c>
      <c r="E588" s="228"/>
      <c r="F588" s="109" t="s">
        <v>2319</v>
      </c>
      <c r="G588" s="24" t="s">
        <v>2320</v>
      </c>
      <c r="H588" s="230">
        <v>4.5</v>
      </c>
      <c r="I588" s="220">
        <v>2195000</v>
      </c>
      <c r="J588" s="220">
        <v>219500</v>
      </c>
      <c r="K588" s="220">
        <v>3200</v>
      </c>
      <c r="L588" s="220">
        <v>21220</v>
      </c>
      <c r="M588" s="220">
        <v>13200</v>
      </c>
      <c r="N588" s="220">
        <f>SUM(I588:M589)</f>
        <v>2452120</v>
      </c>
      <c r="O588" s="224"/>
      <c r="P588" s="111" t="s">
        <v>2321</v>
      </c>
      <c r="Q588" s="15" t="s">
        <v>19</v>
      </c>
      <c r="R588" s="205"/>
      <c r="S588" s="189"/>
      <c r="T588" s="114"/>
      <c r="U588" s="21"/>
      <c r="V588" s="115"/>
      <c r="W588" s="116"/>
      <c r="X588" s="220"/>
      <c r="Y588" s="245">
        <f>X588*0.1</f>
        <v>0</v>
      </c>
      <c r="Z588" s="220"/>
      <c r="AA588" s="220">
        <f>SUM(X588:Z588)</f>
        <v>0</v>
      </c>
      <c r="AB588" s="246"/>
    </row>
    <row r="589" spans="1:28" ht="17.100000000000001" customHeight="1" thickBot="1">
      <c r="A589" s="227"/>
      <c r="B589" s="27" t="s">
        <v>1813</v>
      </c>
      <c r="C589" s="27">
        <v>88042</v>
      </c>
      <c r="D589" s="14" t="s">
        <v>131</v>
      </c>
      <c r="E589" s="229"/>
      <c r="F589" s="117" t="s">
        <v>2322</v>
      </c>
      <c r="G589" s="26">
        <v>36460</v>
      </c>
      <c r="H589" s="231"/>
      <c r="I589" s="221"/>
      <c r="J589" s="221"/>
      <c r="K589" s="221"/>
      <c r="L589" s="221"/>
      <c r="M589" s="221"/>
      <c r="N589" s="221"/>
      <c r="O589" s="225"/>
      <c r="P589" s="119" t="s">
        <v>2323</v>
      </c>
      <c r="Q589" s="16" t="s">
        <v>20</v>
      </c>
      <c r="R589" s="17" t="s">
        <v>2324</v>
      </c>
      <c r="S589" s="121" t="s">
        <v>2325</v>
      </c>
      <c r="T589" s="122"/>
      <c r="U589" s="22" t="s">
        <v>901</v>
      </c>
      <c r="V589" s="123"/>
      <c r="W589" s="122"/>
      <c r="X589" s="221"/>
      <c r="Y589" s="221"/>
      <c r="Z589" s="221"/>
      <c r="AA589" s="221"/>
      <c r="AB589" s="247"/>
    </row>
    <row r="590" spans="1:28" ht="17.100000000000001" customHeight="1" thickTop="1">
      <c r="A590" s="226" t="s">
        <v>5926</v>
      </c>
      <c r="B590" s="28">
        <v>44995</v>
      </c>
      <c r="C590" s="25"/>
      <c r="D590" s="13" t="s">
        <v>2326</v>
      </c>
      <c r="E590" s="228"/>
      <c r="F590" s="109" t="s">
        <v>2327</v>
      </c>
      <c r="G590" s="24" t="s">
        <v>2328</v>
      </c>
      <c r="H590" s="230">
        <v>4</v>
      </c>
      <c r="I590" s="220">
        <v>3015000</v>
      </c>
      <c r="J590" s="220">
        <v>301500</v>
      </c>
      <c r="K590" s="220">
        <v>0</v>
      </c>
      <c r="L590" s="220">
        <v>14840</v>
      </c>
      <c r="M590" s="220">
        <v>29137</v>
      </c>
      <c r="N590" s="220">
        <f>SUM(I590:M591)</f>
        <v>3360477</v>
      </c>
      <c r="O590" s="224"/>
      <c r="P590" s="111" t="s">
        <v>2329</v>
      </c>
      <c r="Q590" s="15" t="s">
        <v>19</v>
      </c>
      <c r="R590" s="205"/>
      <c r="S590" s="189" t="s">
        <v>1361</v>
      </c>
      <c r="T590" s="114"/>
      <c r="U590" s="21"/>
      <c r="V590" s="115"/>
      <c r="W590" s="116"/>
      <c r="X590" s="220"/>
      <c r="Y590" s="245">
        <f>X590*0.1</f>
        <v>0</v>
      </c>
      <c r="Z590" s="220"/>
      <c r="AA590" s="220">
        <f>SUM(X590:Z590)</f>
        <v>0</v>
      </c>
      <c r="AB590" s="246"/>
    </row>
    <row r="591" spans="1:28" ht="17.100000000000001" customHeight="1" thickBot="1">
      <c r="A591" s="227"/>
      <c r="B591" s="27" t="s">
        <v>2330</v>
      </c>
      <c r="C591" s="27" t="s">
        <v>2331</v>
      </c>
      <c r="D591" s="14" t="s">
        <v>131</v>
      </c>
      <c r="E591" s="229"/>
      <c r="F591" s="117" t="s">
        <v>2332</v>
      </c>
      <c r="G591" s="26">
        <v>41495</v>
      </c>
      <c r="H591" s="231"/>
      <c r="I591" s="221"/>
      <c r="J591" s="221"/>
      <c r="K591" s="221"/>
      <c r="L591" s="221"/>
      <c r="M591" s="221"/>
      <c r="N591" s="221"/>
      <c r="O591" s="225"/>
      <c r="P591" s="119" t="s">
        <v>2333</v>
      </c>
      <c r="Q591" s="16" t="s">
        <v>20</v>
      </c>
      <c r="R591" s="17" t="s">
        <v>2334</v>
      </c>
      <c r="S591" s="121" t="s">
        <v>2335</v>
      </c>
      <c r="T591" s="122"/>
      <c r="U591" s="22"/>
      <c r="V591" s="123"/>
      <c r="W591" s="122"/>
      <c r="X591" s="221"/>
      <c r="Y591" s="221"/>
      <c r="Z591" s="221"/>
      <c r="AA591" s="221"/>
      <c r="AB591" s="247"/>
    </row>
    <row r="592" spans="1:28" ht="17.100000000000001" customHeight="1" thickTop="1">
      <c r="A592" s="226" t="s">
        <v>5927</v>
      </c>
      <c r="B592" s="28">
        <v>44996</v>
      </c>
      <c r="C592" s="25">
        <v>1145</v>
      </c>
      <c r="D592" s="13" t="s">
        <v>2336</v>
      </c>
      <c r="E592" s="228"/>
      <c r="F592" s="109" t="s">
        <v>2337</v>
      </c>
      <c r="G592" s="24" t="s">
        <v>2182</v>
      </c>
      <c r="H592" s="230">
        <v>4.5</v>
      </c>
      <c r="I592" s="220">
        <v>2365000</v>
      </c>
      <c r="J592" s="220">
        <v>236500</v>
      </c>
      <c r="K592" s="220">
        <v>88000</v>
      </c>
      <c r="L592" s="220">
        <v>18730</v>
      </c>
      <c r="M592" s="220">
        <v>13200</v>
      </c>
      <c r="N592" s="220">
        <f>SUM(I592:M593)</f>
        <v>2721430</v>
      </c>
      <c r="O592" s="224"/>
      <c r="P592" s="111" t="s">
        <v>2338</v>
      </c>
      <c r="Q592" s="15" t="s">
        <v>19</v>
      </c>
      <c r="R592" s="205"/>
      <c r="S592" s="189"/>
      <c r="T592" s="114"/>
      <c r="U592" s="21"/>
      <c r="V592" s="115"/>
      <c r="W592" s="116"/>
      <c r="X592" s="220"/>
      <c r="Y592" s="245">
        <f>X592*0.1</f>
        <v>0</v>
      </c>
      <c r="Z592" s="220"/>
      <c r="AA592" s="220">
        <f>SUM(X592:Z592)</f>
        <v>0</v>
      </c>
      <c r="AB592" s="246"/>
    </row>
    <row r="593" spans="1:28" ht="17.100000000000001" customHeight="1" thickBot="1">
      <c r="A593" s="227"/>
      <c r="B593" s="27" t="s">
        <v>1559</v>
      </c>
      <c r="C593" s="27">
        <v>82571</v>
      </c>
      <c r="D593" s="14" t="s">
        <v>273</v>
      </c>
      <c r="E593" s="229"/>
      <c r="F593" s="117" t="s">
        <v>2339</v>
      </c>
      <c r="G593" s="26">
        <v>23270</v>
      </c>
      <c r="H593" s="231"/>
      <c r="I593" s="221"/>
      <c r="J593" s="221"/>
      <c r="K593" s="221"/>
      <c r="L593" s="221"/>
      <c r="M593" s="221"/>
      <c r="N593" s="221"/>
      <c r="O593" s="225"/>
      <c r="P593" s="119" t="s">
        <v>2340</v>
      </c>
      <c r="Q593" s="16" t="s">
        <v>20</v>
      </c>
      <c r="R593" s="17" t="s">
        <v>2341</v>
      </c>
      <c r="S593" s="121" t="s">
        <v>1680</v>
      </c>
      <c r="T593" s="122"/>
      <c r="U593" s="22" t="s">
        <v>901</v>
      </c>
      <c r="V593" s="123"/>
      <c r="W593" s="122"/>
      <c r="X593" s="221"/>
      <c r="Y593" s="221"/>
      <c r="Z593" s="221"/>
      <c r="AA593" s="221"/>
      <c r="AB593" s="247"/>
    </row>
    <row r="594" spans="1:28" ht="17.100000000000001" customHeight="1" thickTop="1">
      <c r="A594" s="226" t="s">
        <v>5928</v>
      </c>
      <c r="B594" s="28">
        <v>44999</v>
      </c>
      <c r="C594" s="25">
        <v>1085</v>
      </c>
      <c r="D594" s="13" t="s">
        <v>2167</v>
      </c>
      <c r="E594" s="228"/>
      <c r="F594" s="109" t="s">
        <v>2342</v>
      </c>
      <c r="G594" s="24"/>
      <c r="H594" s="230">
        <v>4.5</v>
      </c>
      <c r="I594" s="220">
        <v>2288000</v>
      </c>
      <c r="J594" s="220">
        <v>228800</v>
      </c>
      <c r="K594" s="220">
        <v>0</v>
      </c>
      <c r="L594" s="220">
        <v>19090</v>
      </c>
      <c r="M594" s="220">
        <v>15950</v>
      </c>
      <c r="N594" s="220">
        <f>SUM(I594:M595)</f>
        <v>2551840</v>
      </c>
      <c r="O594" s="224"/>
      <c r="P594" s="111" t="s">
        <v>2343</v>
      </c>
      <c r="Q594" s="15" t="s">
        <v>19</v>
      </c>
      <c r="R594" s="205"/>
      <c r="S594" s="189"/>
      <c r="T594" s="114"/>
      <c r="U594" s="21"/>
      <c r="V594" s="115"/>
      <c r="W594" s="116"/>
      <c r="X594" s="220"/>
      <c r="Y594" s="245">
        <f>X594*0.1</f>
        <v>0</v>
      </c>
      <c r="Z594" s="220"/>
      <c r="AA594" s="220">
        <f>SUM(X594:Z594)</f>
        <v>0</v>
      </c>
      <c r="AB594" s="246"/>
    </row>
    <row r="595" spans="1:28" ht="17.100000000000001" customHeight="1" thickBot="1">
      <c r="A595" s="227"/>
      <c r="B595" s="27" t="s">
        <v>2344</v>
      </c>
      <c r="C595" s="27">
        <v>30041</v>
      </c>
      <c r="D595" s="14" t="s">
        <v>1797</v>
      </c>
      <c r="E595" s="229"/>
      <c r="F595" s="117" t="s">
        <v>2345</v>
      </c>
      <c r="G595" s="26">
        <v>16771</v>
      </c>
      <c r="H595" s="231"/>
      <c r="I595" s="221"/>
      <c r="J595" s="221"/>
      <c r="K595" s="221"/>
      <c r="L595" s="221"/>
      <c r="M595" s="221"/>
      <c r="N595" s="221"/>
      <c r="O595" s="225"/>
      <c r="P595" s="119" t="s">
        <v>2346</v>
      </c>
      <c r="Q595" s="16" t="s">
        <v>20</v>
      </c>
      <c r="R595" s="17" t="s">
        <v>2347</v>
      </c>
      <c r="S595" s="121" t="s">
        <v>1625</v>
      </c>
      <c r="T595" s="122"/>
      <c r="U595" s="22"/>
      <c r="V595" s="123"/>
      <c r="W595" s="122"/>
      <c r="X595" s="221"/>
      <c r="Y595" s="221"/>
      <c r="Z595" s="221"/>
      <c r="AA595" s="221"/>
      <c r="AB595" s="247"/>
    </row>
    <row r="596" spans="1:28" ht="17.100000000000001" customHeight="1" thickTop="1">
      <c r="A596" s="226" t="s">
        <v>5929</v>
      </c>
      <c r="B596" s="28">
        <v>45003</v>
      </c>
      <c r="C596" s="25">
        <v>1146</v>
      </c>
      <c r="D596" s="13" t="s">
        <v>1632</v>
      </c>
      <c r="E596" s="228"/>
      <c r="F596" s="109" t="s">
        <v>2348</v>
      </c>
      <c r="G596" s="24" t="s">
        <v>1973</v>
      </c>
      <c r="H596" s="230">
        <v>4.5</v>
      </c>
      <c r="I596" s="220">
        <v>890000</v>
      </c>
      <c r="J596" s="220">
        <v>89000</v>
      </c>
      <c r="K596" s="220">
        <v>39500</v>
      </c>
      <c r="L596" s="220">
        <v>20860</v>
      </c>
      <c r="M596" s="220">
        <v>13200</v>
      </c>
      <c r="N596" s="220">
        <f>SUM(I596:M597)</f>
        <v>1052560</v>
      </c>
      <c r="O596" s="224"/>
      <c r="P596" s="111" t="s">
        <v>2349</v>
      </c>
      <c r="Q596" s="15" t="s">
        <v>19</v>
      </c>
      <c r="R596" s="205"/>
      <c r="S596" s="189" t="s">
        <v>25397</v>
      </c>
      <c r="T596" s="114"/>
      <c r="U596" s="21"/>
      <c r="V596" s="115"/>
      <c r="W596" s="116"/>
      <c r="X596" s="220"/>
      <c r="Y596" s="245">
        <f>X596*0.1</f>
        <v>0</v>
      </c>
      <c r="Z596" s="220"/>
      <c r="AA596" s="220">
        <f>SUM(X596:Z596)</f>
        <v>0</v>
      </c>
      <c r="AB596" s="246"/>
    </row>
    <row r="597" spans="1:28" ht="17.100000000000001" customHeight="1" thickBot="1">
      <c r="A597" s="227"/>
      <c r="B597" s="27" t="s">
        <v>1559</v>
      </c>
      <c r="C597" s="27">
        <v>80110</v>
      </c>
      <c r="D597" s="14" t="s">
        <v>1584</v>
      </c>
      <c r="E597" s="229"/>
      <c r="F597" s="117" t="s">
        <v>2351</v>
      </c>
      <c r="G597" s="26">
        <v>48769</v>
      </c>
      <c r="H597" s="231"/>
      <c r="I597" s="221"/>
      <c r="J597" s="221"/>
      <c r="K597" s="221"/>
      <c r="L597" s="221"/>
      <c r="M597" s="221"/>
      <c r="N597" s="221"/>
      <c r="O597" s="225"/>
      <c r="P597" s="119" t="s">
        <v>2352</v>
      </c>
      <c r="Q597" s="16" t="s">
        <v>20</v>
      </c>
      <c r="R597" s="17" t="s">
        <v>2353</v>
      </c>
      <c r="S597" s="121" t="s">
        <v>1722</v>
      </c>
      <c r="T597" s="122" t="s">
        <v>2354</v>
      </c>
      <c r="U597" s="22" t="s">
        <v>901</v>
      </c>
      <c r="V597" s="123"/>
      <c r="W597" s="122"/>
      <c r="X597" s="221"/>
      <c r="Y597" s="221"/>
      <c r="Z597" s="221"/>
      <c r="AA597" s="221"/>
      <c r="AB597" s="247"/>
    </row>
    <row r="598" spans="1:28" ht="17.100000000000001" customHeight="1" thickTop="1">
      <c r="A598" s="226" t="s">
        <v>5930</v>
      </c>
      <c r="B598" s="28">
        <v>45003</v>
      </c>
      <c r="C598" s="25">
        <v>1146</v>
      </c>
      <c r="D598" s="13" t="s">
        <v>2355</v>
      </c>
      <c r="E598" s="228"/>
      <c r="F598" s="109" t="s">
        <v>2356</v>
      </c>
      <c r="G598" s="24"/>
      <c r="H598" s="230">
        <v>4.5</v>
      </c>
      <c r="I598" s="220">
        <v>3110000</v>
      </c>
      <c r="J598" s="220">
        <v>311000</v>
      </c>
      <c r="K598" s="220">
        <v>0</v>
      </c>
      <c r="L598" s="220">
        <v>22880</v>
      </c>
      <c r="M598" s="220">
        <v>13200</v>
      </c>
      <c r="N598" s="220">
        <f>SUM(I598:M599)</f>
        <v>3457080</v>
      </c>
      <c r="O598" s="224"/>
      <c r="P598" s="111" t="s">
        <v>2357</v>
      </c>
      <c r="Q598" s="15" t="s">
        <v>19</v>
      </c>
      <c r="R598" s="205"/>
      <c r="S598" s="189"/>
      <c r="T598" s="114"/>
      <c r="U598" s="21"/>
      <c r="V598" s="115"/>
      <c r="W598" s="116"/>
      <c r="X598" s="220"/>
      <c r="Y598" s="245">
        <f>X598*0.1</f>
        <v>0</v>
      </c>
      <c r="Z598" s="220"/>
      <c r="AA598" s="220">
        <f>SUM(X598:Z598)</f>
        <v>0</v>
      </c>
      <c r="AB598" s="246"/>
    </row>
    <row r="599" spans="1:28" ht="17.100000000000001" customHeight="1" thickBot="1">
      <c r="A599" s="227"/>
      <c r="B599" s="27" t="s">
        <v>1559</v>
      </c>
      <c r="C599" s="27">
        <v>80126</v>
      </c>
      <c r="D599" s="14" t="s">
        <v>1584</v>
      </c>
      <c r="E599" s="229"/>
      <c r="F599" s="117" t="s">
        <v>2358</v>
      </c>
      <c r="G599" s="26">
        <v>41558</v>
      </c>
      <c r="H599" s="231"/>
      <c r="I599" s="221"/>
      <c r="J599" s="221"/>
      <c r="K599" s="221"/>
      <c r="L599" s="221"/>
      <c r="M599" s="221"/>
      <c r="N599" s="221"/>
      <c r="O599" s="225"/>
      <c r="P599" s="119" t="s">
        <v>2359</v>
      </c>
      <c r="Q599" s="16" t="s">
        <v>20</v>
      </c>
      <c r="R599" s="17" t="s">
        <v>2353</v>
      </c>
      <c r="S599" s="121" t="s">
        <v>2360</v>
      </c>
      <c r="T599" s="122"/>
      <c r="U599" s="22"/>
      <c r="V599" s="123"/>
      <c r="W599" s="122"/>
      <c r="X599" s="221"/>
      <c r="Y599" s="221"/>
      <c r="Z599" s="221"/>
      <c r="AA599" s="221"/>
      <c r="AB599" s="247"/>
    </row>
    <row r="600" spans="1:28" ht="17.100000000000001" customHeight="1" thickTop="1">
      <c r="A600" s="226" t="s">
        <v>5931</v>
      </c>
      <c r="B600" s="28">
        <v>45020</v>
      </c>
      <c r="C600" s="25"/>
      <c r="D600" s="13" t="s">
        <v>2113</v>
      </c>
      <c r="E600" s="228" t="s">
        <v>164</v>
      </c>
      <c r="F600" s="109" t="s">
        <v>2361</v>
      </c>
      <c r="G600" s="24" t="s">
        <v>2182</v>
      </c>
      <c r="H600" s="230">
        <v>4.5</v>
      </c>
      <c r="I600" s="220">
        <v>3500000</v>
      </c>
      <c r="J600" s="220">
        <v>350000</v>
      </c>
      <c r="K600" s="220">
        <v>46700</v>
      </c>
      <c r="L600" s="220">
        <v>23430</v>
      </c>
      <c r="M600" s="220">
        <v>11250</v>
      </c>
      <c r="N600" s="220">
        <f>SUM(I600:M601)</f>
        <v>3931380</v>
      </c>
      <c r="O600" s="224"/>
      <c r="P600" s="111" t="s">
        <v>2362</v>
      </c>
      <c r="Q600" s="15" t="s">
        <v>19</v>
      </c>
      <c r="R600" s="205"/>
      <c r="S600" s="189" t="s">
        <v>1072</v>
      </c>
      <c r="T600" s="114"/>
      <c r="U600" s="21"/>
      <c r="V600" s="115"/>
      <c r="W600" s="116"/>
      <c r="X600" s="220"/>
      <c r="Y600" s="245">
        <f>X600*0.1</f>
        <v>0</v>
      </c>
      <c r="Z600" s="220"/>
      <c r="AA600" s="220">
        <f>SUM(X600:Z600)</f>
        <v>0</v>
      </c>
      <c r="AB600" s="246"/>
    </row>
    <row r="601" spans="1:28" ht="17.100000000000001" customHeight="1" thickBot="1">
      <c r="A601" s="227"/>
      <c r="B601" s="27" t="s">
        <v>1708</v>
      </c>
      <c r="C601" s="27" t="s">
        <v>2363</v>
      </c>
      <c r="D601" s="14" t="s">
        <v>1584</v>
      </c>
      <c r="E601" s="229"/>
      <c r="F601" s="117" t="s">
        <v>2364</v>
      </c>
      <c r="G601" s="26">
        <v>40817</v>
      </c>
      <c r="H601" s="231"/>
      <c r="I601" s="221"/>
      <c r="J601" s="221"/>
      <c r="K601" s="221"/>
      <c r="L601" s="221"/>
      <c r="M601" s="221"/>
      <c r="N601" s="221"/>
      <c r="O601" s="225"/>
      <c r="P601" s="119" t="s">
        <v>2287</v>
      </c>
      <c r="Q601" s="16" t="s">
        <v>20</v>
      </c>
      <c r="R601" s="17" t="s">
        <v>2365</v>
      </c>
      <c r="S601" s="121" t="s">
        <v>2366</v>
      </c>
      <c r="T601" s="122"/>
      <c r="U601" s="22"/>
      <c r="V601" s="123"/>
      <c r="W601" s="122"/>
      <c r="X601" s="221"/>
      <c r="Y601" s="221"/>
      <c r="Z601" s="221"/>
      <c r="AA601" s="221"/>
      <c r="AB601" s="247"/>
    </row>
    <row r="602" spans="1:28" ht="17.100000000000001" customHeight="1" thickTop="1">
      <c r="A602" s="226" t="s">
        <v>5932</v>
      </c>
      <c r="B602" s="28">
        <v>45027</v>
      </c>
      <c r="C602" s="25">
        <v>942</v>
      </c>
      <c r="D602" s="13" t="s">
        <v>1702</v>
      </c>
      <c r="E602" s="228"/>
      <c r="F602" s="109" t="s">
        <v>2093</v>
      </c>
      <c r="G602" s="24" t="s">
        <v>1909</v>
      </c>
      <c r="H602" s="230">
        <v>4.5</v>
      </c>
      <c r="I602" s="220">
        <v>2050000</v>
      </c>
      <c r="J602" s="220">
        <v>205000</v>
      </c>
      <c r="K602" s="220">
        <v>36200</v>
      </c>
      <c r="L602" s="220">
        <v>21180</v>
      </c>
      <c r="M602" s="220">
        <v>24200</v>
      </c>
      <c r="N602" s="220">
        <f>SUM(I602:M603)</f>
        <v>2336580</v>
      </c>
      <c r="O602" s="224"/>
      <c r="P602" s="111" t="s">
        <v>2367</v>
      </c>
      <c r="Q602" s="15" t="s">
        <v>19</v>
      </c>
      <c r="R602" s="205"/>
      <c r="S602" s="189" t="s">
        <v>25398</v>
      </c>
      <c r="T602" s="114"/>
      <c r="U602" s="21"/>
      <c r="V602" s="115"/>
      <c r="W602" s="116"/>
      <c r="X602" s="220"/>
      <c r="Y602" s="245">
        <f>X602*0.1</f>
        <v>0</v>
      </c>
      <c r="Z602" s="220"/>
      <c r="AA602" s="220">
        <f>SUM(X602:Z602)</f>
        <v>0</v>
      </c>
      <c r="AB602" s="246"/>
    </row>
    <row r="603" spans="1:28" ht="17.100000000000001" customHeight="1" thickBot="1">
      <c r="A603" s="227"/>
      <c r="B603" s="27" t="s">
        <v>1583</v>
      </c>
      <c r="C603" s="27">
        <v>84136</v>
      </c>
      <c r="D603" s="14" t="s">
        <v>1584</v>
      </c>
      <c r="E603" s="229"/>
      <c r="F603" s="117" t="s">
        <v>2368</v>
      </c>
      <c r="G603" s="26">
        <v>31933</v>
      </c>
      <c r="H603" s="231"/>
      <c r="I603" s="221"/>
      <c r="J603" s="221"/>
      <c r="K603" s="221"/>
      <c r="L603" s="221"/>
      <c r="M603" s="221"/>
      <c r="N603" s="221"/>
      <c r="O603" s="225"/>
      <c r="P603" s="119" t="s">
        <v>2369</v>
      </c>
      <c r="Q603" s="16" t="s">
        <v>20</v>
      </c>
      <c r="R603" s="17" t="s">
        <v>2370</v>
      </c>
      <c r="S603" s="121" t="s">
        <v>1606</v>
      </c>
      <c r="T603" s="122"/>
      <c r="U603" s="22" t="s">
        <v>901</v>
      </c>
      <c r="V603" s="123"/>
      <c r="W603" s="122"/>
      <c r="X603" s="221"/>
      <c r="Y603" s="221"/>
      <c r="Z603" s="221"/>
      <c r="AA603" s="221"/>
      <c r="AB603" s="247"/>
    </row>
    <row r="604" spans="1:28" ht="17.100000000000001" customHeight="1" thickTop="1">
      <c r="A604" s="226" t="s">
        <v>5933</v>
      </c>
      <c r="B604" s="28">
        <v>45054</v>
      </c>
      <c r="C604" s="25"/>
      <c r="D604" s="13" t="s">
        <v>2371</v>
      </c>
      <c r="E604" s="228"/>
      <c r="F604" s="109" t="s">
        <v>2372</v>
      </c>
      <c r="G604" s="24" t="s">
        <v>1909</v>
      </c>
      <c r="H604" s="230">
        <v>4</v>
      </c>
      <c r="I604" s="220">
        <v>1470000</v>
      </c>
      <c r="J604" s="220">
        <v>147000</v>
      </c>
      <c r="K604" s="220">
        <v>32900</v>
      </c>
      <c r="L604" s="220">
        <v>19360</v>
      </c>
      <c r="M604" s="220">
        <v>40425</v>
      </c>
      <c r="N604" s="220">
        <f>SUM(I604:M605)</f>
        <v>1709685</v>
      </c>
      <c r="O604" s="224"/>
      <c r="P604" s="111" t="s">
        <v>2373</v>
      </c>
      <c r="Q604" s="15" t="s">
        <v>19</v>
      </c>
      <c r="R604" s="205"/>
      <c r="S604" s="189" t="s">
        <v>1361</v>
      </c>
      <c r="T604" s="114"/>
      <c r="U604" s="21"/>
      <c r="V604" s="115"/>
      <c r="W604" s="116"/>
      <c r="X604" s="220"/>
      <c r="Y604" s="245">
        <f>X604*0.1</f>
        <v>0</v>
      </c>
      <c r="Z604" s="220"/>
      <c r="AA604" s="220">
        <f>SUM(X604:Z604)</f>
        <v>0</v>
      </c>
      <c r="AB604" s="246"/>
    </row>
    <row r="605" spans="1:28" ht="17.100000000000001" customHeight="1" thickBot="1">
      <c r="A605" s="227"/>
      <c r="B605" s="27" t="s">
        <v>1708</v>
      </c>
      <c r="C605" s="27" t="s">
        <v>2374</v>
      </c>
      <c r="D605" s="14" t="s">
        <v>1584</v>
      </c>
      <c r="E605" s="229"/>
      <c r="F605" s="117" t="s">
        <v>2375</v>
      </c>
      <c r="G605" s="26">
        <v>52492</v>
      </c>
      <c r="H605" s="231"/>
      <c r="I605" s="221"/>
      <c r="J605" s="221"/>
      <c r="K605" s="221"/>
      <c r="L605" s="221"/>
      <c r="M605" s="221"/>
      <c r="N605" s="221"/>
      <c r="O605" s="225"/>
      <c r="P605" s="119" t="s">
        <v>2376</v>
      </c>
      <c r="Q605" s="16" t="s">
        <v>20</v>
      </c>
      <c r="R605" s="17" t="s">
        <v>2377</v>
      </c>
      <c r="S605" s="121" t="s">
        <v>169</v>
      </c>
      <c r="T605" s="122"/>
      <c r="U605" s="22"/>
      <c r="V605" s="123"/>
      <c r="W605" s="122"/>
      <c r="X605" s="221"/>
      <c r="Y605" s="221"/>
      <c r="Z605" s="221"/>
      <c r="AA605" s="221"/>
      <c r="AB605" s="247"/>
    </row>
    <row r="606" spans="1:28" ht="17.100000000000001" customHeight="1" thickTop="1">
      <c r="A606" s="226" t="s">
        <v>5934</v>
      </c>
      <c r="B606" s="28">
        <v>45057</v>
      </c>
      <c r="C606" s="25">
        <v>1087</v>
      </c>
      <c r="D606" s="13" t="s">
        <v>2033</v>
      </c>
      <c r="E606" s="228"/>
      <c r="F606" s="109" t="s">
        <v>2378</v>
      </c>
      <c r="G606" s="24" t="s">
        <v>2379</v>
      </c>
      <c r="H606" s="230">
        <v>3</v>
      </c>
      <c r="I606" s="220">
        <v>358000</v>
      </c>
      <c r="J606" s="220">
        <v>35800</v>
      </c>
      <c r="K606" s="220">
        <v>15000</v>
      </c>
      <c r="L606" s="220">
        <v>8860</v>
      </c>
      <c r="M606" s="220">
        <v>22000</v>
      </c>
      <c r="N606" s="220">
        <f>SUM(I606:M607)</f>
        <v>439660</v>
      </c>
      <c r="O606" s="224"/>
      <c r="P606" s="111" t="s">
        <v>2380</v>
      </c>
      <c r="Q606" s="15" t="s">
        <v>19</v>
      </c>
      <c r="R606" s="205"/>
      <c r="S606" s="189" t="s">
        <v>758</v>
      </c>
      <c r="T606" s="114"/>
      <c r="U606" s="21" t="s">
        <v>2381</v>
      </c>
      <c r="V606" s="115">
        <v>46102</v>
      </c>
      <c r="W606" s="116">
        <v>1293</v>
      </c>
      <c r="X606" s="220">
        <v>335000</v>
      </c>
      <c r="Y606" s="245">
        <f>X606*0.1</f>
        <v>33500</v>
      </c>
      <c r="Z606" s="220">
        <v>8860</v>
      </c>
      <c r="AA606" s="220">
        <f>SUM(X606:Z606)</f>
        <v>377360</v>
      </c>
      <c r="AB606" s="246">
        <v>46105</v>
      </c>
    </row>
    <row r="607" spans="1:28" ht="17.100000000000001" customHeight="1" thickBot="1">
      <c r="A607" s="227"/>
      <c r="B607" s="27" t="s">
        <v>2382</v>
      </c>
      <c r="C607" s="27">
        <v>5</v>
      </c>
      <c r="D607" s="14" t="s">
        <v>2014</v>
      </c>
      <c r="E607" s="229"/>
      <c r="F607" s="117" t="s">
        <v>2383</v>
      </c>
      <c r="G607" s="26">
        <v>48160</v>
      </c>
      <c r="H607" s="231"/>
      <c r="I607" s="221"/>
      <c r="J607" s="221"/>
      <c r="K607" s="221"/>
      <c r="L607" s="221"/>
      <c r="M607" s="221"/>
      <c r="N607" s="221"/>
      <c r="O607" s="225"/>
      <c r="P607" s="119" t="s">
        <v>2384</v>
      </c>
      <c r="Q607" s="16" t="s">
        <v>20</v>
      </c>
      <c r="R607" s="17" t="s">
        <v>2385</v>
      </c>
      <c r="S607" s="126" t="s">
        <v>4008</v>
      </c>
      <c r="T607" s="122"/>
      <c r="U607" s="22"/>
      <c r="V607" s="123" t="s">
        <v>2472</v>
      </c>
      <c r="W607" s="122">
        <v>65133</v>
      </c>
      <c r="X607" s="221"/>
      <c r="Y607" s="221"/>
      <c r="Z607" s="221"/>
      <c r="AA607" s="221"/>
      <c r="AB607" s="247"/>
    </row>
    <row r="608" spans="1:28" ht="17.100000000000001" customHeight="1" thickTop="1">
      <c r="A608" s="226" t="s">
        <v>5935</v>
      </c>
      <c r="B608" s="28">
        <v>45072</v>
      </c>
      <c r="C608" s="25">
        <v>1934</v>
      </c>
      <c r="D608" s="13" t="s">
        <v>2336</v>
      </c>
      <c r="E608" s="228"/>
      <c r="F608" s="109" t="s">
        <v>2386</v>
      </c>
      <c r="G608" s="24" t="s">
        <v>2387</v>
      </c>
      <c r="H608" s="230">
        <v>3.5</v>
      </c>
      <c r="I608" s="220">
        <v>2394000</v>
      </c>
      <c r="J608" s="220">
        <v>239400</v>
      </c>
      <c r="K608" s="220">
        <v>73300</v>
      </c>
      <c r="L608" s="220">
        <v>19120</v>
      </c>
      <c r="M608" s="220">
        <v>13750</v>
      </c>
      <c r="N608" s="220">
        <f>SUM(I608:M609)</f>
        <v>2739570</v>
      </c>
      <c r="O608" s="224"/>
      <c r="P608" s="111" t="s">
        <v>2388</v>
      </c>
      <c r="Q608" s="15" t="s">
        <v>19</v>
      </c>
      <c r="R608" s="205"/>
      <c r="S608" s="189" t="s">
        <v>25371</v>
      </c>
      <c r="T608" s="114"/>
      <c r="U608" s="21"/>
      <c r="V608" s="115"/>
      <c r="W608" s="116"/>
      <c r="X608" s="220"/>
      <c r="Y608" s="245">
        <f>X608*0.1</f>
        <v>0</v>
      </c>
      <c r="Z608" s="220"/>
      <c r="AA608" s="220">
        <f>SUM(X608:Z608)</f>
        <v>0</v>
      </c>
      <c r="AB608" s="246"/>
    </row>
    <row r="609" spans="1:28" ht="17.100000000000001" customHeight="1" thickBot="1">
      <c r="A609" s="227"/>
      <c r="B609" s="27" t="s">
        <v>2389</v>
      </c>
      <c r="C609" s="27">
        <v>3647</v>
      </c>
      <c r="D609" s="14" t="s">
        <v>1690</v>
      </c>
      <c r="E609" s="229"/>
      <c r="F609" s="117" t="s">
        <v>2390</v>
      </c>
      <c r="G609" s="26">
        <v>34528</v>
      </c>
      <c r="H609" s="231"/>
      <c r="I609" s="221"/>
      <c r="J609" s="221"/>
      <c r="K609" s="221"/>
      <c r="L609" s="221"/>
      <c r="M609" s="221"/>
      <c r="N609" s="221"/>
      <c r="O609" s="225"/>
      <c r="P609" s="119" t="s">
        <v>2391</v>
      </c>
      <c r="Q609" s="16" t="s">
        <v>20</v>
      </c>
      <c r="R609" s="17" t="s">
        <v>2392</v>
      </c>
      <c r="S609" s="121" t="s">
        <v>2393</v>
      </c>
      <c r="T609" s="122"/>
      <c r="U609" s="22" t="s">
        <v>901</v>
      </c>
      <c r="V609" s="123"/>
      <c r="W609" s="122"/>
      <c r="X609" s="221"/>
      <c r="Y609" s="221"/>
      <c r="Z609" s="221"/>
      <c r="AA609" s="221"/>
      <c r="AB609" s="247"/>
    </row>
    <row r="610" spans="1:28" ht="17.100000000000001" customHeight="1" thickTop="1">
      <c r="A610" s="226" t="s">
        <v>5936</v>
      </c>
      <c r="B610" s="28">
        <v>45072</v>
      </c>
      <c r="C610" s="25">
        <v>2103</v>
      </c>
      <c r="D610" s="13" t="s">
        <v>2371</v>
      </c>
      <c r="E610" s="228"/>
      <c r="F610" s="109" t="s">
        <v>2394</v>
      </c>
      <c r="G610" s="24"/>
      <c r="H610" s="230">
        <v>4</v>
      </c>
      <c r="I610" s="220">
        <v>1737000</v>
      </c>
      <c r="J610" s="220">
        <v>173700</v>
      </c>
      <c r="K610" s="220">
        <v>0</v>
      </c>
      <c r="L610" s="220">
        <v>18630</v>
      </c>
      <c r="M610" s="220">
        <v>13750</v>
      </c>
      <c r="N610" s="220">
        <f>SUM(I610:M611)</f>
        <v>1943080</v>
      </c>
      <c r="O610" s="224"/>
      <c r="P610" s="111" t="s">
        <v>2395</v>
      </c>
      <c r="Q610" s="15" t="s">
        <v>19</v>
      </c>
      <c r="R610" s="205"/>
      <c r="S610" s="189"/>
      <c r="T610" s="114"/>
      <c r="U610" s="21"/>
      <c r="V610" s="115"/>
      <c r="W610" s="116"/>
      <c r="X610" s="220"/>
      <c r="Y610" s="245">
        <f>X610*0.1</f>
        <v>0</v>
      </c>
      <c r="Z610" s="220"/>
      <c r="AA610" s="220">
        <f>SUM(X610:Z610)</f>
        <v>0</v>
      </c>
      <c r="AB610" s="246"/>
    </row>
    <row r="611" spans="1:28" ht="17.100000000000001" customHeight="1" thickBot="1">
      <c r="A611" s="227"/>
      <c r="B611" s="27" t="s">
        <v>2396</v>
      </c>
      <c r="C611" s="27">
        <v>4309</v>
      </c>
      <c r="D611" s="14" t="s">
        <v>131</v>
      </c>
      <c r="E611" s="229"/>
      <c r="F611" s="117" t="s">
        <v>2397</v>
      </c>
      <c r="G611" s="26">
        <v>50715</v>
      </c>
      <c r="H611" s="231"/>
      <c r="I611" s="221"/>
      <c r="J611" s="221"/>
      <c r="K611" s="221"/>
      <c r="L611" s="221"/>
      <c r="M611" s="221"/>
      <c r="N611" s="221"/>
      <c r="O611" s="225"/>
      <c r="P611" s="119" t="s">
        <v>2398</v>
      </c>
      <c r="Q611" s="16" t="s">
        <v>20</v>
      </c>
      <c r="R611" s="17" t="s">
        <v>1973</v>
      </c>
      <c r="S611" s="121" t="s">
        <v>2399</v>
      </c>
      <c r="T611" s="122"/>
      <c r="U611" s="22"/>
      <c r="V611" s="123"/>
      <c r="W611" s="122"/>
      <c r="X611" s="221"/>
      <c r="Y611" s="221"/>
      <c r="Z611" s="221"/>
      <c r="AA611" s="221"/>
      <c r="AB611" s="247"/>
    </row>
    <row r="612" spans="1:28" ht="17.100000000000001" customHeight="1" thickTop="1">
      <c r="A612" s="226" t="s">
        <v>5937</v>
      </c>
      <c r="B612" s="28">
        <v>45079</v>
      </c>
      <c r="C612" s="25">
        <v>2104</v>
      </c>
      <c r="D612" s="13" t="s">
        <v>1908</v>
      </c>
      <c r="E612" s="228"/>
      <c r="F612" s="109" t="s">
        <v>2400</v>
      </c>
      <c r="G612" s="24"/>
      <c r="H612" s="230">
        <v>4</v>
      </c>
      <c r="I612" s="220">
        <v>1813000</v>
      </c>
      <c r="J612" s="220">
        <v>181300</v>
      </c>
      <c r="K612" s="220">
        <v>0</v>
      </c>
      <c r="L612" s="220">
        <v>23470</v>
      </c>
      <c r="M612" s="220">
        <v>13750</v>
      </c>
      <c r="N612" s="220">
        <f>SUM(I612:M613)</f>
        <v>2031520</v>
      </c>
      <c r="O612" s="224"/>
      <c r="P612" s="111" t="s">
        <v>2401</v>
      </c>
      <c r="Q612" s="15" t="s">
        <v>19</v>
      </c>
      <c r="R612" s="205"/>
      <c r="S612" s="189"/>
      <c r="T612" s="114"/>
      <c r="U612" s="21"/>
      <c r="V612" s="115"/>
      <c r="W612" s="116"/>
      <c r="X612" s="220"/>
      <c r="Y612" s="245">
        <f>X612*0.1</f>
        <v>0</v>
      </c>
      <c r="Z612" s="220"/>
      <c r="AA612" s="220">
        <f>SUM(X612:Z612)</f>
        <v>0</v>
      </c>
      <c r="AB612" s="246"/>
    </row>
    <row r="613" spans="1:28" ht="17.100000000000001" customHeight="1" thickBot="1">
      <c r="A613" s="227"/>
      <c r="B613" s="27" t="s">
        <v>2402</v>
      </c>
      <c r="C613" s="27">
        <v>61</v>
      </c>
      <c r="D613" s="14" t="s">
        <v>1584</v>
      </c>
      <c r="E613" s="229"/>
      <c r="F613" s="117" t="s">
        <v>2403</v>
      </c>
      <c r="G613" s="26">
        <v>44113</v>
      </c>
      <c r="H613" s="231"/>
      <c r="I613" s="221"/>
      <c r="J613" s="221"/>
      <c r="K613" s="221"/>
      <c r="L613" s="221"/>
      <c r="M613" s="221"/>
      <c r="N613" s="221"/>
      <c r="O613" s="225"/>
      <c r="P613" s="119" t="s">
        <v>2404</v>
      </c>
      <c r="Q613" s="16" t="s">
        <v>20</v>
      </c>
      <c r="R613" s="17" t="s">
        <v>1988</v>
      </c>
      <c r="S613" s="121" t="s">
        <v>2405</v>
      </c>
      <c r="T613" s="122"/>
      <c r="U613" s="22"/>
      <c r="V613" s="123"/>
      <c r="W613" s="122"/>
      <c r="X613" s="221"/>
      <c r="Y613" s="221"/>
      <c r="Z613" s="221"/>
      <c r="AA613" s="221"/>
      <c r="AB613" s="247"/>
    </row>
    <row r="614" spans="1:28" ht="17.100000000000001" customHeight="1" thickTop="1">
      <c r="A614" s="226" t="s">
        <v>5938</v>
      </c>
      <c r="B614" s="28">
        <v>45076</v>
      </c>
      <c r="C614" s="25"/>
      <c r="D614" s="13" t="s">
        <v>2406</v>
      </c>
      <c r="E614" s="228"/>
      <c r="F614" s="109" t="s">
        <v>2407</v>
      </c>
      <c r="G614" s="24" t="s">
        <v>1831</v>
      </c>
      <c r="H614" s="230">
        <v>4.5</v>
      </c>
      <c r="I614" s="220">
        <v>2042381</v>
      </c>
      <c r="J614" s="220">
        <v>204239</v>
      </c>
      <c r="K614" s="220">
        <v>29600</v>
      </c>
      <c r="L614" s="220">
        <v>18980</v>
      </c>
      <c r="M614" s="220">
        <v>31166</v>
      </c>
      <c r="N614" s="220">
        <f>SUM(I614:M615)</f>
        <v>2326366</v>
      </c>
      <c r="O614" s="224"/>
      <c r="P614" s="111" t="s">
        <v>2408</v>
      </c>
      <c r="Q614" s="15" t="s">
        <v>19</v>
      </c>
      <c r="R614" s="205"/>
      <c r="S614" s="189" t="s">
        <v>1276</v>
      </c>
      <c r="T614" s="114"/>
      <c r="U614" s="21"/>
      <c r="V614" s="115"/>
      <c r="W614" s="116"/>
      <c r="X614" s="220"/>
      <c r="Y614" s="245">
        <f>X614*0.1</f>
        <v>0</v>
      </c>
      <c r="Z614" s="220"/>
      <c r="AA614" s="220">
        <f>SUM(X614:Z614)</f>
        <v>0</v>
      </c>
      <c r="AB614" s="246"/>
    </row>
    <row r="615" spans="1:28" ht="17.100000000000001" customHeight="1" thickBot="1">
      <c r="A615" s="227"/>
      <c r="B615" s="27" t="s">
        <v>1708</v>
      </c>
      <c r="C615" s="27" t="s">
        <v>2409</v>
      </c>
      <c r="D615" s="14" t="s">
        <v>1584</v>
      </c>
      <c r="E615" s="229"/>
      <c r="F615" s="117" t="s">
        <v>2410</v>
      </c>
      <c r="G615" s="26">
        <v>54690</v>
      </c>
      <c r="H615" s="231"/>
      <c r="I615" s="221"/>
      <c r="J615" s="221"/>
      <c r="K615" s="221"/>
      <c r="L615" s="221"/>
      <c r="M615" s="221"/>
      <c r="N615" s="221"/>
      <c r="O615" s="225"/>
      <c r="P615" s="119" t="s">
        <v>2411</v>
      </c>
      <c r="Q615" s="16" t="s">
        <v>20</v>
      </c>
      <c r="R615" s="17" t="s">
        <v>2412</v>
      </c>
      <c r="S615" s="121" t="s">
        <v>2413</v>
      </c>
      <c r="T615" s="122"/>
      <c r="U615" s="22"/>
      <c r="V615" s="123"/>
      <c r="W615" s="122"/>
      <c r="X615" s="221"/>
      <c r="Y615" s="221"/>
      <c r="Z615" s="221"/>
      <c r="AA615" s="221"/>
      <c r="AB615" s="247"/>
    </row>
    <row r="616" spans="1:28" ht="17.100000000000001" customHeight="1" thickTop="1">
      <c r="A616" s="226" t="s">
        <v>5939</v>
      </c>
      <c r="B616" s="28">
        <v>45098</v>
      </c>
      <c r="C616" s="25">
        <v>1237</v>
      </c>
      <c r="D616" s="13" t="s">
        <v>2414</v>
      </c>
      <c r="E616" s="228"/>
      <c r="F616" s="109" t="s">
        <v>2415</v>
      </c>
      <c r="G616" s="24" t="s">
        <v>2416</v>
      </c>
      <c r="H616" s="230">
        <v>3.5</v>
      </c>
      <c r="I616" s="220">
        <v>1050000</v>
      </c>
      <c r="J616" s="220">
        <v>105000</v>
      </c>
      <c r="K616" s="220">
        <v>65900</v>
      </c>
      <c r="L616" s="220">
        <v>19450</v>
      </c>
      <c r="M616" s="220">
        <v>18700</v>
      </c>
      <c r="N616" s="220">
        <f>SUM(I616:M617)</f>
        <v>1259050</v>
      </c>
      <c r="O616" s="224"/>
      <c r="P616" s="111" t="s">
        <v>2417</v>
      </c>
      <c r="Q616" s="15" t="s">
        <v>19</v>
      </c>
      <c r="R616" s="205"/>
      <c r="S616" s="189"/>
      <c r="T616" s="114"/>
      <c r="U616" s="21"/>
      <c r="V616" s="115"/>
      <c r="W616" s="116"/>
      <c r="X616" s="220"/>
      <c r="Y616" s="245">
        <f>X616*0.1</f>
        <v>0</v>
      </c>
      <c r="Z616" s="220"/>
      <c r="AA616" s="220">
        <f>SUM(X616:Z616)</f>
        <v>0</v>
      </c>
      <c r="AB616" s="246"/>
    </row>
    <row r="617" spans="1:28" ht="17.100000000000001" customHeight="1" thickBot="1">
      <c r="A617" s="227"/>
      <c r="B617" s="27" t="s">
        <v>2418</v>
      </c>
      <c r="C617" s="27">
        <v>74015</v>
      </c>
      <c r="D617" s="14" t="s">
        <v>273</v>
      </c>
      <c r="E617" s="229"/>
      <c r="F617" s="117" t="s">
        <v>2419</v>
      </c>
      <c r="G617" s="26">
        <v>32641</v>
      </c>
      <c r="H617" s="231"/>
      <c r="I617" s="221"/>
      <c r="J617" s="221"/>
      <c r="K617" s="221"/>
      <c r="L617" s="221"/>
      <c r="M617" s="221"/>
      <c r="N617" s="221"/>
      <c r="O617" s="225"/>
      <c r="P617" s="119" t="s">
        <v>2420</v>
      </c>
      <c r="Q617" s="16" t="s">
        <v>20</v>
      </c>
      <c r="R617" s="17" t="s">
        <v>2421</v>
      </c>
      <c r="S617" s="121" t="s">
        <v>2360</v>
      </c>
      <c r="T617" s="122"/>
      <c r="U617" s="22" t="s">
        <v>901</v>
      </c>
      <c r="V617" s="123"/>
      <c r="W617" s="122"/>
      <c r="X617" s="221"/>
      <c r="Y617" s="221"/>
      <c r="Z617" s="221"/>
      <c r="AA617" s="221"/>
      <c r="AB617" s="247"/>
    </row>
    <row r="618" spans="1:28" ht="17.100000000000001" customHeight="1" thickTop="1">
      <c r="A618" s="226" t="s">
        <v>5940</v>
      </c>
      <c r="B618" s="28">
        <v>45101</v>
      </c>
      <c r="C618" s="25">
        <v>1159</v>
      </c>
      <c r="D618" s="13" t="s">
        <v>2422</v>
      </c>
      <c r="E618" s="228"/>
      <c r="F618" s="109" t="s">
        <v>2423</v>
      </c>
      <c r="G618" s="24" t="s">
        <v>2379</v>
      </c>
      <c r="H618" s="230">
        <v>4.5</v>
      </c>
      <c r="I618" s="220">
        <v>2210000</v>
      </c>
      <c r="J618" s="220">
        <v>221000</v>
      </c>
      <c r="K618" s="220">
        <v>29600</v>
      </c>
      <c r="L618" s="220">
        <v>21330</v>
      </c>
      <c r="M618" s="220">
        <v>13200</v>
      </c>
      <c r="N618" s="220">
        <f>SUM(I618:M619)</f>
        <v>2495130</v>
      </c>
      <c r="O618" s="224"/>
      <c r="P618" s="111" t="s">
        <v>2424</v>
      </c>
      <c r="Q618" s="15" t="s">
        <v>19</v>
      </c>
      <c r="R618" s="205"/>
      <c r="S618" s="189" t="s">
        <v>1271</v>
      </c>
      <c r="T618" s="114"/>
      <c r="U618" s="21" t="s">
        <v>2425</v>
      </c>
      <c r="V618" s="115"/>
      <c r="W618" s="116"/>
      <c r="X618" s="220"/>
      <c r="Y618" s="245">
        <f>X618*0.1</f>
        <v>0</v>
      </c>
      <c r="Z618" s="220"/>
      <c r="AA618" s="220">
        <f>SUM(X618:Z618)</f>
        <v>0</v>
      </c>
      <c r="AB618" s="246"/>
    </row>
    <row r="619" spans="1:28" ht="17.100000000000001" customHeight="1" thickBot="1">
      <c r="A619" s="227"/>
      <c r="B619" s="27" t="s">
        <v>1559</v>
      </c>
      <c r="C619" s="27">
        <v>82345</v>
      </c>
      <c r="D619" s="14" t="s">
        <v>1584</v>
      </c>
      <c r="E619" s="229"/>
      <c r="F619" s="117" t="s">
        <v>2426</v>
      </c>
      <c r="G619" s="26">
        <v>44212</v>
      </c>
      <c r="H619" s="231"/>
      <c r="I619" s="221"/>
      <c r="J619" s="221"/>
      <c r="K619" s="221"/>
      <c r="L619" s="221"/>
      <c r="M619" s="221"/>
      <c r="N619" s="221"/>
      <c r="O619" s="225"/>
      <c r="P619" s="119" t="s">
        <v>2427</v>
      </c>
      <c r="Q619" s="16" t="s">
        <v>20</v>
      </c>
      <c r="R619" s="17" t="s">
        <v>2428</v>
      </c>
      <c r="S619" s="121" t="s">
        <v>1731</v>
      </c>
      <c r="T619" s="122"/>
      <c r="U619" s="22" t="s">
        <v>50</v>
      </c>
      <c r="V619" s="123"/>
      <c r="W619" s="122"/>
      <c r="X619" s="221"/>
      <c r="Y619" s="221"/>
      <c r="Z619" s="221"/>
      <c r="AA619" s="221"/>
      <c r="AB619" s="247"/>
    </row>
    <row r="620" spans="1:28" ht="17.100000000000001" customHeight="1" thickTop="1">
      <c r="A620" s="226" t="s">
        <v>5941</v>
      </c>
      <c r="B620" s="28">
        <v>45103</v>
      </c>
      <c r="C620" s="25">
        <v>1951</v>
      </c>
      <c r="D620" s="13" t="s">
        <v>2429</v>
      </c>
      <c r="E620" s="228"/>
      <c r="F620" s="109" t="s">
        <v>2430</v>
      </c>
      <c r="G620" s="24" t="s">
        <v>2239</v>
      </c>
      <c r="H620" s="230">
        <v>4.5</v>
      </c>
      <c r="I620" s="220">
        <v>2520000</v>
      </c>
      <c r="J620" s="220">
        <v>252000</v>
      </c>
      <c r="K620" s="220">
        <v>25800</v>
      </c>
      <c r="L620" s="220">
        <v>12620</v>
      </c>
      <c r="M620" s="220">
        <v>11000</v>
      </c>
      <c r="N620" s="220">
        <f>SUM(I620:M621)</f>
        <v>2821420</v>
      </c>
      <c r="O620" s="224"/>
      <c r="P620" s="111" t="s">
        <v>2431</v>
      </c>
      <c r="Q620" s="15" t="s">
        <v>19</v>
      </c>
      <c r="R620" s="205"/>
      <c r="S620" s="189" t="s">
        <v>1361</v>
      </c>
      <c r="T620" s="114"/>
      <c r="U620" s="21" t="s">
        <v>2432</v>
      </c>
      <c r="V620" s="115"/>
      <c r="W620" s="116"/>
      <c r="X620" s="220"/>
      <c r="Y620" s="245">
        <f>X620*0.1</f>
        <v>0</v>
      </c>
      <c r="Z620" s="220"/>
      <c r="AA620" s="220">
        <f>SUM(X620:Z620)</f>
        <v>0</v>
      </c>
      <c r="AB620" s="246"/>
    </row>
    <row r="621" spans="1:28" ht="17.100000000000001" customHeight="1" thickBot="1">
      <c r="A621" s="227"/>
      <c r="B621" s="27" t="s">
        <v>82</v>
      </c>
      <c r="C621" s="27">
        <v>32022</v>
      </c>
      <c r="D621" s="14" t="s">
        <v>2433</v>
      </c>
      <c r="E621" s="229"/>
      <c r="F621" s="117" t="s">
        <v>2434</v>
      </c>
      <c r="G621" s="26">
        <v>30969</v>
      </c>
      <c r="H621" s="231"/>
      <c r="I621" s="221"/>
      <c r="J621" s="221"/>
      <c r="K621" s="221"/>
      <c r="L621" s="221"/>
      <c r="M621" s="221"/>
      <c r="N621" s="221"/>
      <c r="O621" s="225"/>
      <c r="P621" s="119" t="s">
        <v>2435</v>
      </c>
      <c r="Q621" s="16" t="s">
        <v>20</v>
      </c>
      <c r="R621" s="17" t="s">
        <v>2436</v>
      </c>
      <c r="S621" s="121" t="s">
        <v>1731</v>
      </c>
      <c r="T621" s="122"/>
      <c r="U621" s="22" t="s">
        <v>1732</v>
      </c>
      <c r="V621" s="123"/>
      <c r="W621" s="122"/>
      <c r="X621" s="221"/>
      <c r="Y621" s="221"/>
      <c r="Z621" s="221"/>
      <c r="AA621" s="221"/>
      <c r="AB621" s="247"/>
    </row>
    <row r="622" spans="1:28" ht="17.100000000000001" customHeight="1" thickTop="1">
      <c r="A622" s="226" t="s">
        <v>5942</v>
      </c>
      <c r="B622" s="28">
        <v>45104</v>
      </c>
      <c r="C622" s="25">
        <v>1099</v>
      </c>
      <c r="D622" s="13" t="s">
        <v>2267</v>
      </c>
      <c r="E622" s="228"/>
      <c r="F622" s="109" t="s">
        <v>2437</v>
      </c>
      <c r="G622" s="24"/>
      <c r="H622" s="230">
        <v>4</v>
      </c>
      <c r="I622" s="220">
        <v>1880000</v>
      </c>
      <c r="J622" s="220">
        <v>188000</v>
      </c>
      <c r="K622" s="220">
        <v>0</v>
      </c>
      <c r="L622" s="220">
        <v>17380</v>
      </c>
      <c r="M622" s="220">
        <v>18150</v>
      </c>
      <c r="N622" s="220">
        <f>SUM(I622:M623)</f>
        <v>2103530</v>
      </c>
      <c r="O622" s="224"/>
      <c r="P622" s="111" t="s">
        <v>2438</v>
      </c>
      <c r="Q622" s="15" t="s">
        <v>19</v>
      </c>
      <c r="R622" s="205"/>
      <c r="S622" s="189"/>
      <c r="T622" s="114"/>
      <c r="U622" s="21"/>
      <c r="V622" s="115"/>
      <c r="W622" s="116"/>
      <c r="X622" s="220"/>
      <c r="Y622" s="245">
        <f>X622*0.1</f>
        <v>0</v>
      </c>
      <c r="Z622" s="220"/>
      <c r="AA622" s="220">
        <f>SUM(X622:Z622)</f>
        <v>0</v>
      </c>
      <c r="AB622" s="246"/>
    </row>
    <row r="623" spans="1:28" ht="17.100000000000001" customHeight="1" thickBot="1">
      <c r="A623" s="227"/>
      <c r="B623" s="27" t="s">
        <v>2344</v>
      </c>
      <c r="C623" s="27">
        <v>5049</v>
      </c>
      <c r="D623" s="14" t="s">
        <v>1584</v>
      </c>
      <c r="E623" s="229"/>
      <c r="F623" s="117" t="s">
        <v>2439</v>
      </c>
      <c r="G623" s="26">
        <v>21269</v>
      </c>
      <c r="H623" s="231"/>
      <c r="I623" s="221"/>
      <c r="J623" s="221"/>
      <c r="K623" s="221"/>
      <c r="L623" s="221"/>
      <c r="M623" s="221"/>
      <c r="N623" s="221"/>
      <c r="O623" s="225"/>
      <c r="P623" s="119" t="s">
        <v>2440</v>
      </c>
      <c r="Q623" s="16" t="s">
        <v>20</v>
      </c>
      <c r="R623" s="17" t="s">
        <v>2441</v>
      </c>
      <c r="S623" s="121" t="s">
        <v>2442</v>
      </c>
      <c r="T623" s="122"/>
      <c r="U623" s="22"/>
      <c r="V623" s="123"/>
      <c r="W623" s="122"/>
      <c r="X623" s="221"/>
      <c r="Y623" s="221"/>
      <c r="Z623" s="221"/>
      <c r="AA623" s="221"/>
      <c r="AB623" s="247"/>
    </row>
    <row r="624" spans="1:28" ht="17.100000000000001" customHeight="1" thickTop="1">
      <c r="A624" s="226" t="s">
        <v>5943</v>
      </c>
      <c r="B624" s="28">
        <v>45104</v>
      </c>
      <c r="C624" s="25">
        <v>849</v>
      </c>
      <c r="D624" s="13" t="s">
        <v>2313</v>
      </c>
      <c r="E624" s="228"/>
      <c r="F624" s="109" t="s">
        <v>2443</v>
      </c>
      <c r="G624" s="24"/>
      <c r="H624" s="230">
        <v>3</v>
      </c>
      <c r="I624" s="220">
        <v>458000</v>
      </c>
      <c r="J624" s="220">
        <v>45800</v>
      </c>
      <c r="K624" s="220">
        <v>0</v>
      </c>
      <c r="L624" s="220">
        <v>7510</v>
      </c>
      <c r="M624" s="220">
        <v>22000</v>
      </c>
      <c r="N624" s="220">
        <f>SUM(I624:M625)</f>
        <v>533310</v>
      </c>
      <c r="O624" s="224"/>
      <c r="P624" s="111" t="s">
        <v>2444</v>
      </c>
      <c r="Q624" s="15" t="s">
        <v>19</v>
      </c>
      <c r="R624" s="205"/>
      <c r="S624" s="189" t="s">
        <v>25387</v>
      </c>
      <c r="T624" s="114"/>
      <c r="U624" s="21"/>
      <c r="V624" s="115"/>
      <c r="W624" s="116"/>
      <c r="X624" s="220"/>
      <c r="Y624" s="245">
        <f>X624*0.1</f>
        <v>0</v>
      </c>
      <c r="Z624" s="220"/>
      <c r="AA624" s="220">
        <f>SUM(X624:Z624)</f>
        <v>0</v>
      </c>
      <c r="AB624" s="246"/>
    </row>
    <row r="625" spans="1:28" ht="17.100000000000001" customHeight="1" thickBot="1">
      <c r="A625" s="227"/>
      <c r="B625" s="27" t="s">
        <v>2029</v>
      </c>
      <c r="C625" s="27">
        <v>164</v>
      </c>
      <c r="D625" s="14" t="s">
        <v>1710</v>
      </c>
      <c r="E625" s="229"/>
      <c r="F625" s="117" t="s">
        <v>2445</v>
      </c>
      <c r="G625" s="26">
        <v>44399</v>
      </c>
      <c r="H625" s="231"/>
      <c r="I625" s="221"/>
      <c r="J625" s="221"/>
      <c r="K625" s="221"/>
      <c r="L625" s="221"/>
      <c r="M625" s="221"/>
      <c r="N625" s="221"/>
      <c r="O625" s="225"/>
      <c r="P625" s="119" t="s">
        <v>2446</v>
      </c>
      <c r="Q625" s="16" t="s">
        <v>20</v>
      </c>
      <c r="R625" s="17" t="s">
        <v>2428</v>
      </c>
      <c r="S625" s="121" t="s">
        <v>1661</v>
      </c>
      <c r="T625" s="122"/>
      <c r="U625" s="22"/>
      <c r="V625" s="123"/>
      <c r="W625" s="122"/>
      <c r="X625" s="221"/>
      <c r="Y625" s="221"/>
      <c r="Z625" s="221"/>
      <c r="AA625" s="221"/>
      <c r="AB625" s="247"/>
    </row>
    <row r="626" spans="1:28" ht="17.100000000000001" customHeight="1" thickTop="1">
      <c r="A626" s="226" t="s">
        <v>5944</v>
      </c>
      <c r="B626" s="28">
        <v>45114</v>
      </c>
      <c r="C626" s="25">
        <v>1995</v>
      </c>
      <c r="D626" s="13" t="s">
        <v>2158</v>
      </c>
      <c r="E626" s="228" t="s">
        <v>164</v>
      </c>
      <c r="F626" s="109" t="s">
        <v>2447</v>
      </c>
      <c r="G626" s="24" t="s">
        <v>1947</v>
      </c>
      <c r="H626" s="230">
        <v>4.5</v>
      </c>
      <c r="I626" s="220">
        <v>4880000</v>
      </c>
      <c r="J626" s="220">
        <v>488000</v>
      </c>
      <c r="K626" s="220">
        <v>33300</v>
      </c>
      <c r="L626" s="220">
        <v>25390</v>
      </c>
      <c r="M626" s="220">
        <v>13200</v>
      </c>
      <c r="N626" s="220">
        <f>SUM(I626:M627)</f>
        <v>5439890</v>
      </c>
      <c r="O626" s="224"/>
      <c r="P626" s="111" t="s">
        <v>2448</v>
      </c>
      <c r="Q626" s="15" t="s">
        <v>19</v>
      </c>
      <c r="R626" s="205"/>
      <c r="S626" s="189" t="s">
        <v>25399</v>
      </c>
      <c r="T626" s="114"/>
      <c r="U626" s="21" t="s">
        <v>2449</v>
      </c>
      <c r="V626" s="115"/>
      <c r="W626" s="116"/>
      <c r="X626" s="220"/>
      <c r="Y626" s="245">
        <f>X626*0.1</f>
        <v>0</v>
      </c>
      <c r="Z626" s="220"/>
      <c r="AA626" s="220">
        <f>SUM(X626:Z626)</f>
        <v>0</v>
      </c>
      <c r="AB626" s="246"/>
    </row>
    <row r="627" spans="1:28" ht="17.100000000000001" customHeight="1" thickBot="1">
      <c r="A627" s="227"/>
      <c r="B627" s="27" t="s">
        <v>1536</v>
      </c>
      <c r="C627" s="27">
        <v>58617</v>
      </c>
      <c r="D627" s="14" t="s">
        <v>1866</v>
      </c>
      <c r="E627" s="229"/>
      <c r="F627" s="117" t="s">
        <v>2450</v>
      </c>
      <c r="G627" s="26">
        <v>33741</v>
      </c>
      <c r="H627" s="231"/>
      <c r="I627" s="221"/>
      <c r="J627" s="221"/>
      <c r="K627" s="221"/>
      <c r="L627" s="221"/>
      <c r="M627" s="221"/>
      <c r="N627" s="221"/>
      <c r="O627" s="225"/>
      <c r="P627" s="119" t="s">
        <v>2451</v>
      </c>
      <c r="Q627" s="16" t="s">
        <v>20</v>
      </c>
      <c r="R627" s="17" t="s">
        <v>2452</v>
      </c>
      <c r="S627" s="121" t="s">
        <v>1625</v>
      </c>
      <c r="T627" s="122"/>
      <c r="U627" s="22"/>
      <c r="V627" s="123"/>
      <c r="W627" s="122"/>
      <c r="X627" s="221"/>
      <c r="Y627" s="221"/>
      <c r="Z627" s="221"/>
      <c r="AA627" s="221"/>
      <c r="AB627" s="247"/>
    </row>
    <row r="628" spans="1:28" ht="17.100000000000001" customHeight="1" thickTop="1">
      <c r="A628" s="226" t="s">
        <v>5945</v>
      </c>
      <c r="B628" s="28">
        <v>45114</v>
      </c>
      <c r="C628" s="25">
        <v>1651</v>
      </c>
      <c r="D628" s="13" t="s">
        <v>1953</v>
      </c>
      <c r="E628" s="228"/>
      <c r="F628" s="109" t="s">
        <v>2453</v>
      </c>
      <c r="G628" s="24" t="s">
        <v>2320</v>
      </c>
      <c r="H628" s="230">
        <v>4</v>
      </c>
      <c r="I628" s="220">
        <v>2596000</v>
      </c>
      <c r="J628" s="220">
        <v>259600</v>
      </c>
      <c r="K628" s="220">
        <v>26300</v>
      </c>
      <c r="L628" s="220">
        <v>21700</v>
      </c>
      <c r="M628" s="220">
        <v>14300</v>
      </c>
      <c r="N628" s="220">
        <f>SUM(I628:M629)</f>
        <v>2917900</v>
      </c>
      <c r="O628" s="224"/>
      <c r="P628" s="111" t="s">
        <v>2454</v>
      </c>
      <c r="Q628" s="15" t="s">
        <v>19</v>
      </c>
      <c r="R628" s="205"/>
      <c r="S628" s="189" t="s">
        <v>758</v>
      </c>
      <c r="T628" s="114"/>
      <c r="U628" s="21"/>
      <c r="V628" s="115"/>
      <c r="W628" s="116"/>
      <c r="X628" s="220"/>
      <c r="Y628" s="245">
        <f>X628*0.1</f>
        <v>0</v>
      </c>
      <c r="Z628" s="220"/>
      <c r="AA628" s="220">
        <f>SUM(X628:Z628)</f>
        <v>0</v>
      </c>
      <c r="AB628" s="246"/>
    </row>
    <row r="629" spans="1:28" ht="17.100000000000001" customHeight="1" thickBot="1">
      <c r="A629" s="227"/>
      <c r="B629" s="27" t="s">
        <v>2455</v>
      </c>
      <c r="C629" s="27">
        <v>40007</v>
      </c>
      <c r="D629" s="14" t="s">
        <v>1866</v>
      </c>
      <c r="E629" s="229"/>
      <c r="F629" s="117" t="s">
        <v>2456</v>
      </c>
      <c r="G629" s="26">
        <v>32135</v>
      </c>
      <c r="H629" s="231"/>
      <c r="I629" s="221"/>
      <c r="J629" s="221"/>
      <c r="K629" s="221"/>
      <c r="L629" s="221"/>
      <c r="M629" s="221"/>
      <c r="N629" s="221"/>
      <c r="O629" s="225"/>
      <c r="P629" s="119" t="s">
        <v>2287</v>
      </c>
      <c r="Q629" s="16" t="s">
        <v>20</v>
      </c>
      <c r="R629" s="17" t="s">
        <v>2457</v>
      </c>
      <c r="S629" s="121" t="s">
        <v>1661</v>
      </c>
      <c r="T629" s="122"/>
      <c r="U629" s="22" t="s">
        <v>901</v>
      </c>
      <c r="V629" s="123"/>
      <c r="W629" s="122"/>
      <c r="X629" s="221"/>
      <c r="Y629" s="221"/>
      <c r="Z629" s="221"/>
      <c r="AA629" s="221"/>
      <c r="AB629" s="247"/>
    </row>
    <row r="630" spans="1:28" ht="17.100000000000001" customHeight="1" thickTop="1">
      <c r="A630" s="226" t="s">
        <v>5946</v>
      </c>
      <c r="B630" s="28">
        <v>45118</v>
      </c>
      <c r="C630" s="25">
        <v>954</v>
      </c>
      <c r="D630" s="13" t="s">
        <v>1702</v>
      </c>
      <c r="E630" s="228"/>
      <c r="F630" s="109" t="s">
        <v>2458</v>
      </c>
      <c r="G630" s="24" t="s">
        <v>2459</v>
      </c>
      <c r="H630" s="230">
        <v>4.5</v>
      </c>
      <c r="I630" s="220">
        <v>3100000</v>
      </c>
      <c r="J630" s="220">
        <v>310000</v>
      </c>
      <c r="K630" s="220">
        <v>26300</v>
      </c>
      <c r="L630" s="220">
        <v>21590</v>
      </c>
      <c r="M630" s="220">
        <v>13200</v>
      </c>
      <c r="N630" s="220">
        <f>SUM(I630:M631)</f>
        <v>3471090</v>
      </c>
      <c r="O630" s="224"/>
      <c r="P630" s="111" t="s">
        <v>2460</v>
      </c>
      <c r="Q630" s="15" t="s">
        <v>19</v>
      </c>
      <c r="R630" s="205"/>
      <c r="S630" s="189"/>
      <c r="T630" s="114"/>
      <c r="U630" s="21"/>
      <c r="V630" s="115"/>
      <c r="W630" s="116"/>
      <c r="X630" s="220"/>
      <c r="Y630" s="245">
        <f>X630*0.1</f>
        <v>0</v>
      </c>
      <c r="Z630" s="220"/>
      <c r="AA630" s="220">
        <f>SUM(X630:Z630)</f>
        <v>0</v>
      </c>
      <c r="AB630" s="246"/>
    </row>
    <row r="631" spans="1:28" ht="17.100000000000001" customHeight="1" thickBot="1">
      <c r="A631" s="227"/>
      <c r="B631" s="27" t="s">
        <v>1583</v>
      </c>
      <c r="C631" s="27">
        <v>84107</v>
      </c>
      <c r="D631" s="14" t="s">
        <v>1866</v>
      </c>
      <c r="E631" s="229"/>
      <c r="F631" s="117" t="s">
        <v>2461</v>
      </c>
      <c r="G631" s="26">
        <v>38613</v>
      </c>
      <c r="H631" s="231"/>
      <c r="I631" s="221"/>
      <c r="J631" s="221"/>
      <c r="K631" s="221"/>
      <c r="L631" s="221"/>
      <c r="M631" s="221"/>
      <c r="N631" s="221"/>
      <c r="O631" s="225"/>
      <c r="P631" s="119" t="s">
        <v>2462</v>
      </c>
      <c r="Q631" s="16" t="s">
        <v>20</v>
      </c>
      <c r="R631" s="17" t="s">
        <v>2412</v>
      </c>
      <c r="S631" s="121" t="s">
        <v>1573</v>
      </c>
      <c r="T631" s="122"/>
      <c r="U631" s="22" t="s">
        <v>901</v>
      </c>
      <c r="V631" s="123"/>
      <c r="W631" s="122"/>
      <c r="X631" s="221"/>
      <c r="Y631" s="221"/>
      <c r="Z631" s="221"/>
      <c r="AA631" s="221"/>
      <c r="AB631" s="247"/>
    </row>
    <row r="632" spans="1:28" ht="17.100000000000001" customHeight="1" thickTop="1">
      <c r="A632" s="226" t="s">
        <v>5947</v>
      </c>
      <c r="B632" s="28">
        <v>45120</v>
      </c>
      <c r="C632" s="25">
        <v>1192</v>
      </c>
      <c r="D632" s="13" t="s">
        <v>2463</v>
      </c>
      <c r="E632" s="228"/>
      <c r="F632" s="109" t="s">
        <v>2464</v>
      </c>
      <c r="G632" s="24"/>
      <c r="H632" s="230">
        <v>4</v>
      </c>
      <c r="I632" s="220">
        <v>645000</v>
      </c>
      <c r="J632" s="220">
        <v>64500</v>
      </c>
      <c r="K632" s="220">
        <v>0</v>
      </c>
      <c r="L632" s="220">
        <v>17420</v>
      </c>
      <c r="M632" s="220">
        <v>13200</v>
      </c>
      <c r="N632" s="220">
        <f>SUM(I632:M633)</f>
        <v>740120</v>
      </c>
      <c r="O632" s="224"/>
      <c r="P632" s="111" t="s">
        <v>2465</v>
      </c>
      <c r="Q632" s="15" t="s">
        <v>19</v>
      </c>
      <c r="R632" s="205"/>
      <c r="S632" s="189" t="s">
        <v>25400</v>
      </c>
      <c r="T632" s="114"/>
      <c r="U632" s="21"/>
      <c r="V632" s="115"/>
      <c r="W632" s="116"/>
      <c r="X632" s="220"/>
      <c r="Y632" s="245">
        <f>X632*0.1</f>
        <v>0</v>
      </c>
      <c r="Z632" s="220"/>
      <c r="AA632" s="220">
        <f>SUM(X632:Z632)</f>
        <v>0</v>
      </c>
      <c r="AB632" s="246"/>
    </row>
    <row r="633" spans="1:28" ht="17.100000000000001" customHeight="1" thickBot="1">
      <c r="A633" s="227"/>
      <c r="B633" s="27" t="s">
        <v>1735</v>
      </c>
      <c r="C633" s="27">
        <v>808</v>
      </c>
      <c r="D633" s="14" t="s">
        <v>2154</v>
      </c>
      <c r="E633" s="229"/>
      <c r="F633" s="117" t="s">
        <v>2466</v>
      </c>
      <c r="G633" s="26">
        <v>11933</v>
      </c>
      <c r="H633" s="231"/>
      <c r="I633" s="221"/>
      <c r="J633" s="221"/>
      <c r="K633" s="221"/>
      <c r="L633" s="221"/>
      <c r="M633" s="221"/>
      <c r="N633" s="221"/>
      <c r="O633" s="225"/>
      <c r="P633" s="119" t="s">
        <v>1844</v>
      </c>
      <c r="Q633" s="16" t="s">
        <v>20</v>
      </c>
      <c r="R633" s="17" t="s">
        <v>2467</v>
      </c>
      <c r="S633" s="121" t="s">
        <v>2468</v>
      </c>
      <c r="T633" s="122"/>
      <c r="U633" s="22"/>
      <c r="V633" s="123"/>
      <c r="W633" s="122"/>
      <c r="X633" s="221"/>
      <c r="Y633" s="221"/>
      <c r="Z633" s="221"/>
      <c r="AA633" s="221"/>
      <c r="AB633" s="247"/>
    </row>
    <row r="634" spans="1:28" ht="17.100000000000001" customHeight="1" thickTop="1">
      <c r="A634" s="226" t="s">
        <v>5948</v>
      </c>
      <c r="B634" s="28">
        <v>45122</v>
      </c>
      <c r="C634" s="25">
        <v>1162</v>
      </c>
      <c r="D634" s="13" t="s">
        <v>1996</v>
      </c>
      <c r="E634" s="228"/>
      <c r="F634" s="109" t="s">
        <v>2469</v>
      </c>
      <c r="G634" s="24" t="s">
        <v>2470</v>
      </c>
      <c r="H634" s="230">
        <v>4</v>
      </c>
      <c r="I634" s="220">
        <v>1695000</v>
      </c>
      <c r="J634" s="220">
        <v>169500</v>
      </c>
      <c r="K634" s="220">
        <v>23000</v>
      </c>
      <c r="L634" s="220">
        <v>15060</v>
      </c>
      <c r="M634" s="220">
        <v>13200</v>
      </c>
      <c r="N634" s="220">
        <f>SUM(I634:M635)</f>
        <v>1915760</v>
      </c>
      <c r="O634" s="224"/>
      <c r="P634" s="111" t="s">
        <v>2471</v>
      </c>
      <c r="Q634" s="15" t="s">
        <v>19</v>
      </c>
      <c r="R634" s="205"/>
      <c r="S634" s="189" t="s">
        <v>25401</v>
      </c>
      <c r="T634" s="114"/>
      <c r="U634" s="21"/>
      <c r="V634" s="115"/>
      <c r="W634" s="116"/>
      <c r="X634" s="220"/>
      <c r="Y634" s="245">
        <f>X634*0.1</f>
        <v>0</v>
      </c>
      <c r="Z634" s="220"/>
      <c r="AA634" s="220">
        <f>SUM(X634:Z634)</f>
        <v>0</v>
      </c>
      <c r="AB634" s="246"/>
    </row>
    <row r="635" spans="1:28" ht="17.100000000000001" customHeight="1" thickBot="1">
      <c r="A635" s="227"/>
      <c r="B635" s="27" t="s">
        <v>2472</v>
      </c>
      <c r="C635" s="27">
        <v>82310</v>
      </c>
      <c r="D635" s="14" t="s">
        <v>273</v>
      </c>
      <c r="E635" s="229"/>
      <c r="F635" s="117" t="s">
        <v>2473</v>
      </c>
      <c r="G635" s="26">
        <v>17422</v>
      </c>
      <c r="H635" s="231"/>
      <c r="I635" s="221"/>
      <c r="J635" s="221"/>
      <c r="K635" s="221"/>
      <c r="L635" s="221"/>
      <c r="M635" s="221"/>
      <c r="N635" s="221"/>
      <c r="O635" s="225"/>
      <c r="P635" s="119" t="s">
        <v>2474</v>
      </c>
      <c r="Q635" s="16" t="s">
        <v>20</v>
      </c>
      <c r="R635" s="17" t="s">
        <v>2475</v>
      </c>
      <c r="S635" s="121" t="s">
        <v>1606</v>
      </c>
      <c r="T635" s="122"/>
      <c r="U635" s="22"/>
      <c r="V635" s="123"/>
      <c r="W635" s="122"/>
      <c r="X635" s="221"/>
      <c r="Y635" s="221"/>
      <c r="Z635" s="221"/>
      <c r="AA635" s="221"/>
      <c r="AB635" s="247"/>
    </row>
    <row r="636" spans="1:28" ht="17.100000000000001" customHeight="1" thickTop="1">
      <c r="A636" s="226" t="s">
        <v>5949</v>
      </c>
      <c r="B636" s="28">
        <v>45127</v>
      </c>
      <c r="C636" s="25">
        <v>1427</v>
      </c>
      <c r="D636" s="13" t="s">
        <v>2476</v>
      </c>
      <c r="E636" s="228"/>
      <c r="F636" s="109" t="s">
        <v>2477</v>
      </c>
      <c r="G636" s="24" t="s">
        <v>1831</v>
      </c>
      <c r="H636" s="230">
        <v>3.5</v>
      </c>
      <c r="I636" s="220">
        <v>2070000</v>
      </c>
      <c r="J636" s="220">
        <v>207000</v>
      </c>
      <c r="K636" s="220">
        <v>67400</v>
      </c>
      <c r="L636" s="220">
        <v>19720</v>
      </c>
      <c r="M636" s="220">
        <v>13200</v>
      </c>
      <c r="N636" s="220">
        <f>SUM(I636:M637)</f>
        <v>2377320</v>
      </c>
      <c r="O636" s="224"/>
      <c r="P636" s="111" t="s">
        <v>2478</v>
      </c>
      <c r="Q636" s="15" t="s">
        <v>19</v>
      </c>
      <c r="R636" s="205"/>
      <c r="S636" s="189"/>
      <c r="T636" s="114"/>
      <c r="U636" s="21"/>
      <c r="V636" s="115"/>
      <c r="W636" s="116"/>
      <c r="X636" s="220"/>
      <c r="Y636" s="245">
        <f>X636*0.1</f>
        <v>0</v>
      </c>
      <c r="Z636" s="220"/>
      <c r="AA636" s="220">
        <f>SUM(X636:Z636)</f>
        <v>0</v>
      </c>
      <c r="AB636" s="246"/>
    </row>
    <row r="637" spans="1:28" ht="17.100000000000001" customHeight="1" thickBot="1">
      <c r="A637" s="227"/>
      <c r="B637" s="27" t="s">
        <v>1592</v>
      </c>
      <c r="C637" s="27">
        <v>76029</v>
      </c>
      <c r="D637" s="14" t="s">
        <v>1690</v>
      </c>
      <c r="E637" s="229"/>
      <c r="F637" s="117" t="s">
        <v>2479</v>
      </c>
      <c r="G637" s="26">
        <v>58961</v>
      </c>
      <c r="H637" s="231"/>
      <c r="I637" s="221"/>
      <c r="J637" s="221"/>
      <c r="K637" s="221"/>
      <c r="L637" s="221"/>
      <c r="M637" s="221"/>
      <c r="N637" s="221"/>
      <c r="O637" s="225"/>
      <c r="P637" s="119" t="s">
        <v>2480</v>
      </c>
      <c r="Q637" s="16" t="s">
        <v>20</v>
      </c>
      <c r="R637" s="17" t="s">
        <v>2475</v>
      </c>
      <c r="S637" s="121" t="s">
        <v>2481</v>
      </c>
      <c r="T637" s="122"/>
      <c r="U637" s="22" t="s">
        <v>901</v>
      </c>
      <c r="V637" s="123"/>
      <c r="W637" s="122"/>
      <c r="X637" s="221"/>
      <c r="Y637" s="221"/>
      <c r="Z637" s="221"/>
      <c r="AA637" s="221"/>
      <c r="AB637" s="247"/>
    </row>
    <row r="638" spans="1:28" ht="17.100000000000001" customHeight="1" thickTop="1">
      <c r="A638" s="226" t="s">
        <v>5950</v>
      </c>
      <c r="B638" s="28">
        <v>45136</v>
      </c>
      <c r="C638" s="25">
        <v>1407</v>
      </c>
      <c r="D638" s="13" t="s">
        <v>1021</v>
      </c>
      <c r="E638" s="228"/>
      <c r="F638" s="109" t="s">
        <v>2482</v>
      </c>
      <c r="G638" s="24"/>
      <c r="H638" s="230">
        <v>4.5</v>
      </c>
      <c r="I638" s="220">
        <v>5075000</v>
      </c>
      <c r="J638" s="220">
        <v>507500</v>
      </c>
      <c r="K638" s="220">
        <v>0</v>
      </c>
      <c r="L638" s="220">
        <v>24830</v>
      </c>
      <c r="M638" s="220">
        <v>13200</v>
      </c>
      <c r="N638" s="220">
        <f>SUM(I638:M639)</f>
        <v>5620530</v>
      </c>
      <c r="O638" s="224"/>
      <c r="P638" s="111" t="s">
        <v>2483</v>
      </c>
      <c r="Q638" s="15" t="s">
        <v>19</v>
      </c>
      <c r="R638" s="205"/>
      <c r="S638" s="189" t="s">
        <v>25402</v>
      </c>
      <c r="T638" s="114"/>
      <c r="U638" s="21"/>
      <c r="V638" s="115"/>
      <c r="W638" s="116"/>
      <c r="X638" s="220"/>
      <c r="Y638" s="245">
        <f>X638*0.1</f>
        <v>0</v>
      </c>
      <c r="Z638" s="220"/>
      <c r="AA638" s="220">
        <f>SUM(X638:Z638)</f>
        <v>0</v>
      </c>
      <c r="AB638" s="246"/>
    </row>
    <row r="639" spans="1:28" ht="17.100000000000001" customHeight="1" thickBot="1">
      <c r="A639" s="227"/>
      <c r="B639" s="27" t="s">
        <v>1547</v>
      </c>
      <c r="C639" s="27">
        <v>13033</v>
      </c>
      <c r="D639" s="14" t="s">
        <v>273</v>
      </c>
      <c r="E639" s="229"/>
      <c r="F639" s="117" t="s">
        <v>2485</v>
      </c>
      <c r="G639" s="26">
        <v>43100</v>
      </c>
      <c r="H639" s="231"/>
      <c r="I639" s="221"/>
      <c r="J639" s="221"/>
      <c r="K639" s="221"/>
      <c r="L639" s="221"/>
      <c r="M639" s="221"/>
      <c r="N639" s="221"/>
      <c r="O639" s="225"/>
      <c r="P639" s="119" t="s">
        <v>2486</v>
      </c>
      <c r="Q639" s="16" t="s">
        <v>20</v>
      </c>
      <c r="R639" s="17" t="s">
        <v>2487</v>
      </c>
      <c r="S639" s="121" t="s">
        <v>2488</v>
      </c>
      <c r="T639" s="122"/>
      <c r="U639" s="22"/>
      <c r="V639" s="123"/>
      <c r="W639" s="122"/>
      <c r="X639" s="221"/>
      <c r="Y639" s="221"/>
      <c r="Z639" s="221"/>
      <c r="AA639" s="221"/>
      <c r="AB639" s="247"/>
    </row>
    <row r="640" spans="1:28" ht="17.100000000000001" customHeight="1" thickTop="1">
      <c r="A640" s="226" t="s">
        <v>5951</v>
      </c>
      <c r="B640" s="28">
        <v>45136</v>
      </c>
      <c r="C640" s="25">
        <v>1164</v>
      </c>
      <c r="D640" s="13" t="s">
        <v>2489</v>
      </c>
      <c r="E640" s="228"/>
      <c r="F640" s="109" t="s">
        <v>2490</v>
      </c>
      <c r="G640" s="24" t="s">
        <v>2491</v>
      </c>
      <c r="H640" s="230">
        <v>4.5</v>
      </c>
      <c r="I640" s="220">
        <v>2735000</v>
      </c>
      <c r="J640" s="220">
        <v>273500</v>
      </c>
      <c r="K640" s="220">
        <v>34000</v>
      </c>
      <c r="L640" s="220">
        <v>22760</v>
      </c>
      <c r="M640" s="220">
        <v>13200</v>
      </c>
      <c r="N640" s="220">
        <f>SUM(I640:M641)</f>
        <v>3078460</v>
      </c>
      <c r="O640" s="224"/>
      <c r="P640" s="111" t="s">
        <v>2492</v>
      </c>
      <c r="Q640" s="15" t="s">
        <v>19</v>
      </c>
      <c r="R640" s="205"/>
      <c r="S640" s="189" t="s">
        <v>758</v>
      </c>
      <c r="T640" s="114"/>
      <c r="U640" s="21"/>
      <c r="V640" s="115"/>
      <c r="W640" s="116"/>
      <c r="X640" s="220"/>
      <c r="Y640" s="245">
        <f>X640*0.1</f>
        <v>0</v>
      </c>
      <c r="Z640" s="220"/>
      <c r="AA640" s="220">
        <f>SUM(X640:Z640)</f>
        <v>0</v>
      </c>
      <c r="AB640" s="246"/>
    </row>
    <row r="641" spans="1:28" ht="17.100000000000001" customHeight="1" thickBot="1">
      <c r="A641" s="227"/>
      <c r="B641" s="27" t="s">
        <v>1559</v>
      </c>
      <c r="C641" s="27">
        <v>85072</v>
      </c>
      <c r="D641" s="14" t="s">
        <v>131</v>
      </c>
      <c r="E641" s="229"/>
      <c r="F641" s="117" t="s">
        <v>2493</v>
      </c>
      <c r="G641" s="26">
        <v>49275</v>
      </c>
      <c r="H641" s="231"/>
      <c r="I641" s="221"/>
      <c r="J641" s="221"/>
      <c r="K641" s="221"/>
      <c r="L641" s="221"/>
      <c r="M641" s="221"/>
      <c r="N641" s="221"/>
      <c r="O641" s="225"/>
      <c r="P641" s="119" t="s">
        <v>2287</v>
      </c>
      <c r="Q641" s="16" t="s">
        <v>20</v>
      </c>
      <c r="R641" s="17" t="s">
        <v>2494</v>
      </c>
      <c r="S641" s="121" t="s">
        <v>2025</v>
      </c>
      <c r="T641" s="122"/>
      <c r="U641" s="22" t="s">
        <v>901</v>
      </c>
      <c r="V641" s="123"/>
      <c r="W641" s="122"/>
      <c r="X641" s="221"/>
      <c r="Y641" s="221"/>
      <c r="Z641" s="221"/>
      <c r="AA641" s="221"/>
      <c r="AB641" s="247"/>
    </row>
    <row r="642" spans="1:28" ht="17.100000000000001" customHeight="1" thickTop="1">
      <c r="A642" s="226" t="s">
        <v>5952</v>
      </c>
      <c r="B642" s="28">
        <v>45145</v>
      </c>
      <c r="C642" s="25"/>
      <c r="D642" s="13" t="s">
        <v>2406</v>
      </c>
      <c r="E642" s="228"/>
      <c r="F642" s="109" t="s">
        <v>2278</v>
      </c>
      <c r="G642" s="24"/>
      <c r="H642" s="230">
        <v>4.5</v>
      </c>
      <c r="I642" s="220">
        <v>2107000</v>
      </c>
      <c r="J642" s="220">
        <v>210700</v>
      </c>
      <c r="K642" s="220">
        <v>0</v>
      </c>
      <c r="L642" s="220">
        <v>16240</v>
      </c>
      <c r="M642" s="220">
        <v>13200</v>
      </c>
      <c r="N642" s="220">
        <f>SUM(I642:M643)</f>
        <v>2347140</v>
      </c>
      <c r="O642" s="224"/>
      <c r="P642" s="111" t="s">
        <v>2495</v>
      </c>
      <c r="Q642" s="15" t="s">
        <v>19</v>
      </c>
      <c r="R642" s="205"/>
      <c r="S642" s="189"/>
      <c r="T642" s="114"/>
      <c r="U642" s="21"/>
      <c r="V642" s="115"/>
      <c r="W642" s="116"/>
      <c r="X642" s="220"/>
      <c r="Y642" s="245">
        <f>X642*0.1</f>
        <v>0</v>
      </c>
      <c r="Z642" s="220"/>
      <c r="AA642" s="220">
        <f>SUM(X642:Z642)</f>
        <v>0</v>
      </c>
      <c r="AB642" s="246"/>
    </row>
    <row r="643" spans="1:28" ht="17.100000000000001" customHeight="1" thickBot="1">
      <c r="A643" s="227"/>
      <c r="B643" s="27" t="s">
        <v>2496</v>
      </c>
      <c r="C643" s="27">
        <v>80270</v>
      </c>
      <c r="D643" s="14" t="s">
        <v>2497</v>
      </c>
      <c r="E643" s="229"/>
      <c r="F643" s="117" t="s">
        <v>2498</v>
      </c>
      <c r="G643" s="26">
        <v>41749</v>
      </c>
      <c r="H643" s="231"/>
      <c r="I643" s="221"/>
      <c r="J643" s="221"/>
      <c r="K643" s="221"/>
      <c r="L643" s="221"/>
      <c r="M643" s="221"/>
      <c r="N643" s="221"/>
      <c r="O643" s="225"/>
      <c r="P643" s="119" t="s">
        <v>2499</v>
      </c>
      <c r="Q643" s="16" t="s">
        <v>20</v>
      </c>
      <c r="R643" s="17" t="s">
        <v>2500</v>
      </c>
      <c r="S643" s="121" t="s">
        <v>2501</v>
      </c>
      <c r="T643" s="122"/>
      <c r="U643" s="22"/>
      <c r="V643" s="123"/>
      <c r="W643" s="122"/>
      <c r="X643" s="221"/>
      <c r="Y643" s="221"/>
      <c r="Z643" s="221"/>
      <c r="AA643" s="221"/>
      <c r="AB643" s="247"/>
    </row>
    <row r="644" spans="1:28" ht="17.100000000000001" customHeight="1" thickTop="1">
      <c r="A644" s="226" t="s">
        <v>5953</v>
      </c>
      <c r="B644" s="28">
        <v>45158</v>
      </c>
      <c r="C644" s="25"/>
      <c r="D644" s="13" t="s">
        <v>2502</v>
      </c>
      <c r="E644" s="228"/>
      <c r="F644" s="109" t="s">
        <v>1975</v>
      </c>
      <c r="G644" s="24" t="s">
        <v>2503</v>
      </c>
      <c r="H644" s="230">
        <v>4.5</v>
      </c>
      <c r="I644" s="220">
        <v>2650000</v>
      </c>
      <c r="J644" s="220">
        <v>265000</v>
      </c>
      <c r="K644" s="220">
        <v>59000</v>
      </c>
      <c r="L644" s="220">
        <v>22270</v>
      </c>
      <c r="M644" s="220">
        <v>200750</v>
      </c>
      <c r="N644" s="220">
        <f>SUM(I644:M645)</f>
        <v>3197020</v>
      </c>
      <c r="O644" s="224"/>
      <c r="P644" s="111" t="s">
        <v>2504</v>
      </c>
      <c r="Q644" s="15" t="s">
        <v>19</v>
      </c>
      <c r="R644" s="205"/>
      <c r="S644" s="189" t="s">
        <v>25403</v>
      </c>
      <c r="T644" s="114"/>
      <c r="U644" s="21"/>
      <c r="V644" s="115"/>
      <c r="W644" s="116"/>
      <c r="X644" s="220"/>
      <c r="Y644" s="245">
        <f>X644*0.1</f>
        <v>0</v>
      </c>
      <c r="Z644" s="220"/>
      <c r="AA644" s="220">
        <f>SUM(X644:Z644)</f>
        <v>0</v>
      </c>
      <c r="AB644" s="246"/>
    </row>
    <row r="645" spans="1:28" ht="17.100000000000001" customHeight="1" thickBot="1">
      <c r="A645" s="227"/>
      <c r="B645" s="27" t="s">
        <v>1708</v>
      </c>
      <c r="C645" s="27" t="s">
        <v>2505</v>
      </c>
      <c r="D645" s="14" t="s">
        <v>2154</v>
      </c>
      <c r="E645" s="229"/>
      <c r="F645" s="117" t="s">
        <v>2506</v>
      </c>
      <c r="G645" s="26">
        <v>16625</v>
      </c>
      <c r="H645" s="231"/>
      <c r="I645" s="221"/>
      <c r="J645" s="221"/>
      <c r="K645" s="221"/>
      <c r="L645" s="221"/>
      <c r="M645" s="221"/>
      <c r="N645" s="221"/>
      <c r="O645" s="225"/>
      <c r="P645" s="119" t="s">
        <v>2507</v>
      </c>
      <c r="Q645" s="16" t="s">
        <v>20</v>
      </c>
      <c r="R645" s="17" t="s">
        <v>2508</v>
      </c>
      <c r="S645" s="121" t="s">
        <v>2509</v>
      </c>
      <c r="T645" s="122" t="s">
        <v>2510</v>
      </c>
      <c r="U645" s="22"/>
      <c r="V645" s="123"/>
      <c r="W645" s="122"/>
      <c r="X645" s="221"/>
      <c r="Y645" s="221"/>
      <c r="Z645" s="221"/>
      <c r="AA645" s="221"/>
      <c r="AB645" s="247"/>
    </row>
    <row r="646" spans="1:28" ht="17.100000000000001" customHeight="1" thickTop="1">
      <c r="A646" s="226" t="s">
        <v>5954</v>
      </c>
      <c r="B646" s="28">
        <v>45159</v>
      </c>
      <c r="C646" s="25"/>
      <c r="D646" s="13" t="s">
        <v>2094</v>
      </c>
      <c r="E646" s="228"/>
      <c r="F646" s="109" t="s">
        <v>2511</v>
      </c>
      <c r="G646" s="24"/>
      <c r="H646" s="230"/>
      <c r="I646" s="220">
        <v>695000</v>
      </c>
      <c r="J646" s="220">
        <v>69500</v>
      </c>
      <c r="K646" s="220">
        <v>0</v>
      </c>
      <c r="L646" s="220">
        <v>6030</v>
      </c>
      <c r="M646" s="220">
        <v>93225</v>
      </c>
      <c r="N646" s="220">
        <f>SUM(I646:M647)</f>
        <v>863755</v>
      </c>
      <c r="O646" s="224"/>
      <c r="P646" s="111" t="s">
        <v>2512</v>
      </c>
      <c r="Q646" s="15" t="s">
        <v>19</v>
      </c>
      <c r="R646" s="205"/>
      <c r="S646" s="189"/>
      <c r="T646" s="114"/>
      <c r="U646" s="21"/>
      <c r="V646" s="115"/>
      <c r="W646" s="116"/>
      <c r="X646" s="220"/>
      <c r="Y646" s="245">
        <f>X646*0.1</f>
        <v>0</v>
      </c>
      <c r="Z646" s="220"/>
      <c r="AA646" s="220">
        <f>SUM(X646:Z646)</f>
        <v>0</v>
      </c>
      <c r="AB646" s="246"/>
    </row>
    <row r="647" spans="1:28" ht="17.100000000000001" customHeight="1" thickBot="1">
      <c r="A647" s="227"/>
      <c r="B647" s="27" t="s">
        <v>1708</v>
      </c>
      <c r="C647" s="27" t="s">
        <v>2513</v>
      </c>
      <c r="D647" s="14" t="s">
        <v>1548</v>
      </c>
      <c r="E647" s="229"/>
      <c r="F647" s="117" t="s">
        <v>2514</v>
      </c>
      <c r="G647" s="26">
        <v>128235</v>
      </c>
      <c r="H647" s="231"/>
      <c r="I647" s="221"/>
      <c r="J647" s="221"/>
      <c r="K647" s="221"/>
      <c r="L647" s="221"/>
      <c r="M647" s="221"/>
      <c r="N647" s="221"/>
      <c r="O647" s="225"/>
      <c r="P647" s="119" t="s">
        <v>2515</v>
      </c>
      <c r="Q647" s="16" t="s">
        <v>20</v>
      </c>
      <c r="R647" s="17" t="s">
        <v>2516</v>
      </c>
      <c r="S647" s="121" t="s">
        <v>2028</v>
      </c>
      <c r="T647" s="122"/>
      <c r="U647" s="22"/>
      <c r="V647" s="123"/>
      <c r="W647" s="122"/>
      <c r="X647" s="221"/>
      <c r="Y647" s="221"/>
      <c r="Z647" s="221"/>
      <c r="AA647" s="221"/>
      <c r="AB647" s="247"/>
    </row>
    <row r="648" spans="1:28" ht="17.100000000000001" customHeight="1" thickTop="1">
      <c r="A648" s="226" t="s">
        <v>5955</v>
      </c>
      <c r="B648" s="28">
        <v>45161</v>
      </c>
      <c r="C648" s="25">
        <v>1705</v>
      </c>
      <c r="D648" s="13" t="s">
        <v>2267</v>
      </c>
      <c r="E648" s="228"/>
      <c r="F648" s="109" t="s">
        <v>2517</v>
      </c>
      <c r="G648" s="24"/>
      <c r="H648" s="230">
        <v>5</v>
      </c>
      <c r="I648" s="220">
        <v>1695000</v>
      </c>
      <c r="J648" s="220">
        <v>169500</v>
      </c>
      <c r="K648" s="220">
        <v>0</v>
      </c>
      <c r="L648" s="220">
        <v>16240</v>
      </c>
      <c r="M648" s="220">
        <v>18150</v>
      </c>
      <c r="N648" s="220">
        <f>SUM(I648:M649)</f>
        <v>1898890</v>
      </c>
      <c r="O648" s="224"/>
      <c r="P648" s="111" t="s">
        <v>2518</v>
      </c>
      <c r="Q648" s="15" t="s">
        <v>19</v>
      </c>
      <c r="R648" s="205"/>
      <c r="S648" s="189"/>
      <c r="T648" s="114"/>
      <c r="U648" s="21"/>
      <c r="V648" s="115"/>
      <c r="W648" s="116"/>
      <c r="X648" s="220"/>
      <c r="Y648" s="245">
        <f>X648*0.1</f>
        <v>0</v>
      </c>
      <c r="Z648" s="220"/>
      <c r="AA648" s="220">
        <f>SUM(X648:Z648)</f>
        <v>0</v>
      </c>
      <c r="AB648" s="246"/>
    </row>
    <row r="649" spans="1:28" ht="17.100000000000001" customHeight="1" thickBot="1">
      <c r="A649" s="227"/>
      <c r="B649" s="27" t="s">
        <v>2519</v>
      </c>
      <c r="C649" s="27">
        <v>36465</v>
      </c>
      <c r="D649" s="14" t="s">
        <v>2520</v>
      </c>
      <c r="E649" s="229"/>
      <c r="F649" s="117" t="s">
        <v>2521</v>
      </c>
      <c r="G649" s="26">
        <v>25113</v>
      </c>
      <c r="H649" s="231"/>
      <c r="I649" s="221"/>
      <c r="J649" s="221"/>
      <c r="K649" s="221"/>
      <c r="L649" s="221"/>
      <c r="M649" s="221"/>
      <c r="N649" s="221"/>
      <c r="O649" s="225"/>
      <c r="P649" s="119" t="s">
        <v>1972</v>
      </c>
      <c r="Q649" s="16" t="s">
        <v>20</v>
      </c>
      <c r="R649" s="17" t="s">
        <v>2522</v>
      </c>
      <c r="S649" s="121" t="s">
        <v>1731</v>
      </c>
      <c r="T649" s="122"/>
      <c r="U649" s="22"/>
      <c r="V649" s="123"/>
      <c r="W649" s="122"/>
      <c r="X649" s="221"/>
      <c r="Y649" s="221"/>
      <c r="Z649" s="221"/>
      <c r="AA649" s="221"/>
      <c r="AB649" s="247"/>
    </row>
    <row r="650" spans="1:28" ht="17.100000000000001" customHeight="1" thickTop="1">
      <c r="A650" s="226" t="s">
        <v>5956</v>
      </c>
      <c r="B650" s="28">
        <v>45171</v>
      </c>
      <c r="C650" s="25" t="s">
        <v>2523</v>
      </c>
      <c r="D650" s="13" t="s">
        <v>2524</v>
      </c>
      <c r="E650" s="228"/>
      <c r="F650" s="109" t="s">
        <v>2525</v>
      </c>
      <c r="G650" s="24" t="s">
        <v>2526</v>
      </c>
      <c r="H650" s="230">
        <v>4.5</v>
      </c>
      <c r="I650" s="220">
        <v>4660000</v>
      </c>
      <c r="J650" s="220">
        <v>466000</v>
      </c>
      <c r="K650" s="220">
        <v>38200</v>
      </c>
      <c r="L650" s="220">
        <v>23320</v>
      </c>
      <c r="M650" s="220">
        <v>13200</v>
      </c>
      <c r="N650" s="220">
        <f>SUM(I650:M651)</f>
        <v>5200720</v>
      </c>
      <c r="O650" s="224"/>
      <c r="P650" s="111" t="s">
        <v>2527</v>
      </c>
      <c r="Q650" s="15" t="s">
        <v>19</v>
      </c>
      <c r="R650" s="205"/>
      <c r="S650" s="189" t="s">
        <v>25404</v>
      </c>
      <c r="T650" s="114"/>
      <c r="U650" s="21"/>
      <c r="V650" s="115"/>
      <c r="W650" s="116"/>
      <c r="X650" s="220"/>
      <c r="Y650" s="245">
        <f>X650*0.1</f>
        <v>0</v>
      </c>
      <c r="Z650" s="220"/>
      <c r="AA650" s="220">
        <f>SUM(X650:Z650)</f>
        <v>0</v>
      </c>
      <c r="AB650" s="246"/>
    </row>
    <row r="651" spans="1:28" ht="17.100000000000001" customHeight="1" thickBot="1">
      <c r="A651" s="227"/>
      <c r="B651" s="27" t="s">
        <v>1547</v>
      </c>
      <c r="C651" s="27">
        <v>83017</v>
      </c>
      <c r="D651" s="14" t="s">
        <v>1584</v>
      </c>
      <c r="E651" s="229"/>
      <c r="F651" s="117" t="s">
        <v>2528</v>
      </c>
      <c r="G651" s="26">
        <v>32540</v>
      </c>
      <c r="H651" s="231"/>
      <c r="I651" s="221"/>
      <c r="J651" s="221"/>
      <c r="K651" s="221"/>
      <c r="L651" s="221"/>
      <c r="M651" s="221"/>
      <c r="N651" s="221"/>
      <c r="O651" s="225"/>
      <c r="P651" s="119" t="s">
        <v>2529</v>
      </c>
      <c r="Q651" s="16" t="s">
        <v>20</v>
      </c>
      <c r="R651" s="17" t="s">
        <v>2530</v>
      </c>
      <c r="S651" s="121" t="s">
        <v>2531</v>
      </c>
      <c r="T651" s="122"/>
      <c r="U651" s="22"/>
      <c r="V651" s="123"/>
      <c r="W651" s="122"/>
      <c r="X651" s="221"/>
      <c r="Y651" s="221"/>
      <c r="Z651" s="221"/>
      <c r="AA651" s="221"/>
      <c r="AB651" s="247"/>
    </row>
    <row r="652" spans="1:28" ht="17.100000000000001" customHeight="1" thickTop="1">
      <c r="A652" s="226" t="s">
        <v>5957</v>
      </c>
      <c r="B652" s="28">
        <v>45176</v>
      </c>
      <c r="C652" s="25">
        <v>1433</v>
      </c>
      <c r="D652" s="13" t="s">
        <v>2033</v>
      </c>
      <c r="E652" s="228"/>
      <c r="F652" s="109" t="s">
        <v>2108</v>
      </c>
      <c r="G652" s="24" t="s">
        <v>2532</v>
      </c>
      <c r="H652" s="230">
        <v>4.5</v>
      </c>
      <c r="I652" s="220">
        <v>2050000</v>
      </c>
      <c r="J652" s="220">
        <v>205000</v>
      </c>
      <c r="K652" s="220">
        <v>19700</v>
      </c>
      <c r="L652" s="220">
        <v>21090</v>
      </c>
      <c r="M652" s="220">
        <v>13200</v>
      </c>
      <c r="N652" s="220">
        <f>SUM(I652:M653)</f>
        <v>2308990</v>
      </c>
      <c r="O652" s="224"/>
      <c r="P652" s="111" t="s">
        <v>2533</v>
      </c>
      <c r="Q652" s="15" t="s">
        <v>19</v>
      </c>
      <c r="R652" s="205"/>
      <c r="S652" s="189" t="s">
        <v>25367</v>
      </c>
      <c r="T652" s="114"/>
      <c r="U652" s="21"/>
      <c r="V652" s="115"/>
      <c r="W652" s="116"/>
      <c r="X652" s="220"/>
      <c r="Y652" s="245">
        <f>X652*0.1</f>
        <v>0</v>
      </c>
      <c r="Z652" s="220"/>
      <c r="AA652" s="220">
        <f>SUM(X652:Z652)</f>
        <v>0</v>
      </c>
      <c r="AB652" s="246"/>
    </row>
    <row r="653" spans="1:28" ht="17.100000000000001" customHeight="1" thickBot="1">
      <c r="A653" s="227"/>
      <c r="B653" s="27" t="s">
        <v>1592</v>
      </c>
      <c r="C653" s="27">
        <v>76031</v>
      </c>
      <c r="D653" s="14" t="s">
        <v>273</v>
      </c>
      <c r="E653" s="229"/>
      <c r="F653" s="117" t="s">
        <v>2534</v>
      </c>
      <c r="G653" s="26">
        <v>25240</v>
      </c>
      <c r="H653" s="231"/>
      <c r="I653" s="221"/>
      <c r="J653" s="221"/>
      <c r="K653" s="221"/>
      <c r="L653" s="221"/>
      <c r="M653" s="221"/>
      <c r="N653" s="221"/>
      <c r="O653" s="225"/>
      <c r="P653" s="119" t="s">
        <v>2535</v>
      </c>
      <c r="Q653" s="16" t="s">
        <v>20</v>
      </c>
      <c r="R653" s="17" t="s">
        <v>2536</v>
      </c>
      <c r="S653" s="121" t="s">
        <v>2537</v>
      </c>
      <c r="T653" s="122"/>
      <c r="U653" s="22" t="s">
        <v>901</v>
      </c>
      <c r="V653" s="123"/>
      <c r="W653" s="122"/>
      <c r="X653" s="221"/>
      <c r="Y653" s="221"/>
      <c r="Z653" s="221"/>
      <c r="AA653" s="221"/>
      <c r="AB653" s="247"/>
    </row>
    <row r="654" spans="1:28" ht="17.100000000000001" customHeight="1" thickTop="1">
      <c r="A654" s="226" t="s">
        <v>5958</v>
      </c>
      <c r="B654" s="28">
        <v>45176</v>
      </c>
      <c r="C654" s="25">
        <v>1433</v>
      </c>
      <c r="D654" s="13" t="s">
        <v>1702</v>
      </c>
      <c r="E654" s="228"/>
      <c r="F654" s="109" t="s">
        <v>2538</v>
      </c>
      <c r="G654" s="24" t="s">
        <v>2539</v>
      </c>
      <c r="H654" s="230">
        <v>4.5</v>
      </c>
      <c r="I654" s="220">
        <v>2390000</v>
      </c>
      <c r="J654" s="220">
        <v>239000</v>
      </c>
      <c r="K654" s="220">
        <v>19700</v>
      </c>
      <c r="L654" s="220">
        <v>21220</v>
      </c>
      <c r="M654" s="220">
        <v>24200</v>
      </c>
      <c r="N654" s="220">
        <f>SUM(I654:M655)</f>
        <v>2694120</v>
      </c>
      <c r="O654" s="224"/>
      <c r="P654" s="111" t="s">
        <v>2540</v>
      </c>
      <c r="Q654" s="15" t="s">
        <v>19</v>
      </c>
      <c r="R654" s="205"/>
      <c r="S654" s="189"/>
      <c r="T654" s="114"/>
      <c r="U654" s="21"/>
      <c r="V654" s="115"/>
      <c r="W654" s="116"/>
      <c r="X654" s="220"/>
      <c r="Y654" s="245">
        <f>X654*0.1</f>
        <v>0</v>
      </c>
      <c r="Z654" s="220"/>
      <c r="AA654" s="220">
        <f>SUM(X654:Z654)</f>
        <v>0</v>
      </c>
      <c r="AB654" s="246"/>
    </row>
    <row r="655" spans="1:28" ht="17.100000000000001" customHeight="1" thickBot="1">
      <c r="A655" s="227"/>
      <c r="B655" s="27" t="s">
        <v>1592</v>
      </c>
      <c r="C655" s="27">
        <v>76040</v>
      </c>
      <c r="D655" s="14" t="s">
        <v>131</v>
      </c>
      <c r="E655" s="229"/>
      <c r="F655" s="117" t="s">
        <v>2541</v>
      </c>
      <c r="G655" s="26">
        <v>21652</v>
      </c>
      <c r="H655" s="231"/>
      <c r="I655" s="221"/>
      <c r="J655" s="221"/>
      <c r="K655" s="221"/>
      <c r="L655" s="221"/>
      <c r="M655" s="221"/>
      <c r="N655" s="221"/>
      <c r="O655" s="225"/>
      <c r="P655" s="119" t="s">
        <v>2542</v>
      </c>
      <c r="Q655" s="16" t="s">
        <v>20</v>
      </c>
      <c r="R655" s="17" t="s">
        <v>2543</v>
      </c>
      <c r="S655" s="121" t="s">
        <v>1606</v>
      </c>
      <c r="T655" s="122"/>
      <c r="U655" s="22" t="s">
        <v>901</v>
      </c>
      <c r="V655" s="123"/>
      <c r="W655" s="122"/>
      <c r="X655" s="221"/>
      <c r="Y655" s="221"/>
      <c r="Z655" s="221"/>
      <c r="AA655" s="221"/>
      <c r="AB655" s="247"/>
    </row>
    <row r="656" spans="1:28" ht="17.100000000000001" customHeight="1" thickTop="1">
      <c r="A656" s="226" t="s">
        <v>5959</v>
      </c>
      <c r="B656" s="28">
        <v>45180</v>
      </c>
      <c r="C656" s="25">
        <v>1961</v>
      </c>
      <c r="D656" s="13" t="s">
        <v>2406</v>
      </c>
      <c r="E656" s="228"/>
      <c r="F656" s="109" t="s">
        <v>2544</v>
      </c>
      <c r="G656" s="24"/>
      <c r="H656" s="230">
        <v>4</v>
      </c>
      <c r="I656" s="220">
        <v>2555000</v>
      </c>
      <c r="J656" s="220">
        <v>255500</v>
      </c>
      <c r="K656" s="220">
        <v>0</v>
      </c>
      <c r="L656" s="220">
        <v>22490</v>
      </c>
      <c r="M656" s="220">
        <v>11000</v>
      </c>
      <c r="N656" s="220">
        <f>SUM(I656:M657)</f>
        <v>2843990</v>
      </c>
      <c r="O656" s="224"/>
      <c r="P656" s="111" t="s">
        <v>2545</v>
      </c>
      <c r="Q656" s="15" t="s">
        <v>19</v>
      </c>
      <c r="R656" s="205"/>
      <c r="S656" s="189" t="s">
        <v>25405</v>
      </c>
      <c r="T656" s="114"/>
      <c r="U656" s="21"/>
      <c r="V656" s="115"/>
      <c r="W656" s="116"/>
      <c r="X656" s="220"/>
      <c r="Y656" s="245">
        <f>X656*0.1</f>
        <v>0</v>
      </c>
      <c r="Z656" s="220"/>
      <c r="AA656" s="220">
        <f>SUM(X656:Z656)</f>
        <v>0</v>
      </c>
      <c r="AB656" s="246"/>
    </row>
    <row r="657" spans="1:28" ht="17.100000000000001" customHeight="1" thickBot="1">
      <c r="A657" s="227"/>
      <c r="B657" s="27" t="s">
        <v>82</v>
      </c>
      <c r="C657" s="27">
        <v>31005</v>
      </c>
      <c r="D657" s="14" t="s">
        <v>273</v>
      </c>
      <c r="E657" s="229"/>
      <c r="F657" s="117" t="s">
        <v>2546</v>
      </c>
      <c r="G657" s="26">
        <v>16449</v>
      </c>
      <c r="H657" s="231"/>
      <c r="I657" s="221"/>
      <c r="J657" s="221"/>
      <c r="K657" s="221"/>
      <c r="L657" s="221"/>
      <c r="M657" s="221"/>
      <c r="N657" s="221"/>
      <c r="O657" s="225"/>
      <c r="P657" s="119" t="s">
        <v>2398</v>
      </c>
      <c r="Q657" s="16" t="s">
        <v>20</v>
      </c>
      <c r="R657" s="17" t="s">
        <v>2120</v>
      </c>
      <c r="S657" s="121" t="s">
        <v>1731</v>
      </c>
      <c r="T657" s="122"/>
      <c r="U657" s="22"/>
      <c r="V657" s="123"/>
      <c r="W657" s="122"/>
      <c r="X657" s="221"/>
      <c r="Y657" s="221"/>
      <c r="Z657" s="221"/>
      <c r="AA657" s="221"/>
      <c r="AB657" s="247"/>
    </row>
    <row r="658" spans="1:28" ht="17.100000000000001" customHeight="1" thickTop="1">
      <c r="A658" s="226" t="s">
        <v>5960</v>
      </c>
      <c r="B658" s="28">
        <v>45184</v>
      </c>
      <c r="C658" s="25">
        <v>2004</v>
      </c>
      <c r="D658" s="13" t="s">
        <v>1704</v>
      </c>
      <c r="E658" s="228" t="s">
        <v>164</v>
      </c>
      <c r="F658" s="109" t="s">
        <v>2547</v>
      </c>
      <c r="G658" s="24" t="s">
        <v>2548</v>
      </c>
      <c r="H658" s="230">
        <v>5</v>
      </c>
      <c r="I658" s="220">
        <v>3540000</v>
      </c>
      <c r="J658" s="220">
        <v>354000</v>
      </c>
      <c r="K658" s="220">
        <v>18000</v>
      </c>
      <c r="L658" s="220">
        <v>18170</v>
      </c>
      <c r="M658" s="220">
        <v>13200</v>
      </c>
      <c r="N658" s="220">
        <f>SUM(I658:M659)</f>
        <v>3943370</v>
      </c>
      <c r="O658" s="224"/>
      <c r="P658" s="111" t="s">
        <v>2549</v>
      </c>
      <c r="Q658" s="15" t="s">
        <v>19</v>
      </c>
      <c r="R658" s="205"/>
      <c r="S658" s="189" t="s">
        <v>1422</v>
      </c>
      <c r="T658" s="114"/>
      <c r="U658" s="21" t="s">
        <v>2550</v>
      </c>
      <c r="V658" s="115"/>
      <c r="W658" s="116"/>
      <c r="X658" s="220"/>
      <c r="Y658" s="245">
        <f>X658*0.1</f>
        <v>0</v>
      </c>
      <c r="Z658" s="220"/>
      <c r="AA658" s="220">
        <f>SUM(X658:Z658)</f>
        <v>0</v>
      </c>
      <c r="AB658" s="246"/>
    </row>
    <row r="659" spans="1:28" ht="17.100000000000001" customHeight="1" thickBot="1">
      <c r="A659" s="227"/>
      <c r="B659" s="27" t="s">
        <v>1536</v>
      </c>
      <c r="C659" s="27">
        <v>58461</v>
      </c>
      <c r="D659" s="14" t="s">
        <v>1797</v>
      </c>
      <c r="E659" s="229"/>
      <c r="F659" s="117" t="s">
        <v>2551</v>
      </c>
      <c r="G659" s="26">
        <v>20403</v>
      </c>
      <c r="H659" s="231"/>
      <c r="I659" s="221"/>
      <c r="J659" s="221"/>
      <c r="K659" s="221"/>
      <c r="L659" s="221"/>
      <c r="M659" s="221"/>
      <c r="N659" s="221"/>
      <c r="O659" s="225"/>
      <c r="P659" s="119" t="s">
        <v>1972</v>
      </c>
      <c r="Q659" s="16" t="s">
        <v>20</v>
      </c>
      <c r="R659" s="17" t="s">
        <v>2120</v>
      </c>
      <c r="S659" s="121" t="s">
        <v>1606</v>
      </c>
      <c r="T659" s="122"/>
      <c r="U659" s="22"/>
      <c r="V659" s="123"/>
      <c r="W659" s="122"/>
      <c r="X659" s="221"/>
      <c r="Y659" s="221"/>
      <c r="Z659" s="221"/>
      <c r="AA659" s="221"/>
      <c r="AB659" s="247"/>
    </row>
    <row r="660" spans="1:28" ht="17.100000000000001" customHeight="1" thickTop="1">
      <c r="A660" s="226" t="s">
        <v>5961</v>
      </c>
      <c r="B660" s="28">
        <v>45185</v>
      </c>
      <c r="C660" s="25">
        <v>1170</v>
      </c>
      <c r="D660" s="13" t="s">
        <v>1837</v>
      </c>
      <c r="E660" s="228"/>
      <c r="F660" s="109" t="s">
        <v>2547</v>
      </c>
      <c r="G660" s="24" t="s">
        <v>2057</v>
      </c>
      <c r="H660" s="230">
        <v>3.5</v>
      </c>
      <c r="I660" s="220">
        <v>2140000</v>
      </c>
      <c r="J660" s="220">
        <v>214000</v>
      </c>
      <c r="K660" s="220">
        <v>18000</v>
      </c>
      <c r="L660" s="220">
        <v>18170</v>
      </c>
      <c r="M660" s="220">
        <v>13200</v>
      </c>
      <c r="N660" s="220">
        <f>SUM(I660:M661)</f>
        <v>2403370</v>
      </c>
      <c r="O660" s="224"/>
      <c r="P660" s="111" t="s">
        <v>2552</v>
      </c>
      <c r="Q660" s="15" t="s">
        <v>19</v>
      </c>
      <c r="R660" s="205"/>
      <c r="S660" s="189" t="s">
        <v>25392</v>
      </c>
      <c r="T660" s="114"/>
      <c r="U660" s="21"/>
      <c r="V660" s="115"/>
      <c r="W660" s="116"/>
      <c r="X660" s="220"/>
      <c r="Y660" s="245">
        <f>X660*0.1</f>
        <v>0</v>
      </c>
      <c r="Z660" s="220"/>
      <c r="AA660" s="220">
        <f>SUM(X660:Z660)</f>
        <v>0</v>
      </c>
      <c r="AB660" s="246"/>
    </row>
    <row r="661" spans="1:28" ht="17.100000000000001" customHeight="1" thickBot="1">
      <c r="A661" s="227"/>
      <c r="B661" s="27" t="s">
        <v>2472</v>
      </c>
      <c r="C661" s="27">
        <v>82415</v>
      </c>
      <c r="D661" s="14" t="s">
        <v>273</v>
      </c>
      <c r="E661" s="229"/>
      <c r="F661" s="117" t="s">
        <v>2553</v>
      </c>
      <c r="G661" s="26">
        <v>43750</v>
      </c>
      <c r="H661" s="231"/>
      <c r="I661" s="221"/>
      <c r="J661" s="221"/>
      <c r="K661" s="221"/>
      <c r="L661" s="221"/>
      <c r="M661" s="221"/>
      <c r="N661" s="221"/>
      <c r="O661" s="225"/>
      <c r="P661" s="119" t="s">
        <v>2554</v>
      </c>
      <c r="Q661" s="16" t="s">
        <v>20</v>
      </c>
      <c r="R661" s="17" t="s">
        <v>2555</v>
      </c>
      <c r="S661" s="121" t="s">
        <v>1606</v>
      </c>
      <c r="T661" s="122"/>
      <c r="U661" s="67" t="s">
        <v>901</v>
      </c>
      <c r="V661" s="123"/>
      <c r="W661" s="122"/>
      <c r="X661" s="221"/>
      <c r="Y661" s="221"/>
      <c r="Z661" s="221"/>
      <c r="AA661" s="221"/>
      <c r="AB661" s="247"/>
    </row>
    <row r="662" spans="1:28" ht="17.100000000000001" customHeight="1" thickTop="1">
      <c r="A662" s="226" t="s">
        <v>5962</v>
      </c>
      <c r="B662" s="28">
        <v>45199</v>
      </c>
      <c r="C662" s="25">
        <v>1172</v>
      </c>
      <c r="D662" s="13" t="s">
        <v>1553</v>
      </c>
      <c r="E662" s="228"/>
      <c r="F662" s="109" t="s">
        <v>2556</v>
      </c>
      <c r="G662" s="24" t="s">
        <v>2239</v>
      </c>
      <c r="H662" s="230">
        <v>4.5</v>
      </c>
      <c r="I662" s="220">
        <v>875000</v>
      </c>
      <c r="J662" s="220">
        <f>I662*0.1</f>
        <v>87500</v>
      </c>
      <c r="K662" s="220">
        <v>0</v>
      </c>
      <c r="L662" s="220">
        <v>9080</v>
      </c>
      <c r="M662" s="220">
        <v>12100</v>
      </c>
      <c r="N662" s="220">
        <f>SUM(I662:M663)</f>
        <v>983680</v>
      </c>
      <c r="O662" s="224"/>
      <c r="P662" s="111" t="s">
        <v>2557</v>
      </c>
      <c r="Q662" s="15" t="s">
        <v>19</v>
      </c>
      <c r="R662" s="205"/>
      <c r="S662" s="189" t="s">
        <v>1113</v>
      </c>
      <c r="T662" s="114" t="s">
        <v>2558</v>
      </c>
      <c r="U662" s="21"/>
      <c r="V662" s="115"/>
      <c r="W662" s="116"/>
      <c r="X662" s="220"/>
      <c r="Y662" s="245">
        <f>X662*0.1</f>
        <v>0</v>
      </c>
      <c r="Z662" s="220"/>
      <c r="AA662" s="220">
        <f>SUM(X662:Z662)</f>
        <v>0</v>
      </c>
      <c r="AB662" s="246"/>
    </row>
    <row r="663" spans="1:28" ht="17.100000000000001" customHeight="1" thickBot="1">
      <c r="A663" s="227"/>
      <c r="B663" s="27" t="s">
        <v>2472</v>
      </c>
      <c r="C663" s="27">
        <v>65082</v>
      </c>
      <c r="D663" s="14" t="s">
        <v>2559</v>
      </c>
      <c r="E663" s="229"/>
      <c r="F663" s="117" t="s">
        <v>2560</v>
      </c>
      <c r="G663" s="26">
        <v>55444</v>
      </c>
      <c r="H663" s="231"/>
      <c r="I663" s="221"/>
      <c r="J663" s="221"/>
      <c r="K663" s="221"/>
      <c r="L663" s="221"/>
      <c r="M663" s="221"/>
      <c r="N663" s="221"/>
      <c r="O663" s="225"/>
      <c r="P663" s="119" t="s">
        <v>2561</v>
      </c>
      <c r="Q663" s="16" t="s">
        <v>20</v>
      </c>
      <c r="R663" s="17" t="s">
        <v>2562</v>
      </c>
      <c r="S663" s="121" t="s">
        <v>2563</v>
      </c>
      <c r="T663" s="122"/>
      <c r="U663" s="22"/>
      <c r="V663" s="123"/>
      <c r="W663" s="122"/>
      <c r="X663" s="221"/>
      <c r="Y663" s="221"/>
      <c r="Z663" s="221"/>
      <c r="AA663" s="221"/>
      <c r="AB663" s="247"/>
    </row>
    <row r="664" spans="1:28" ht="17.100000000000001" customHeight="1" thickTop="1">
      <c r="A664" s="226" t="s">
        <v>5963</v>
      </c>
      <c r="B664" s="28">
        <v>45199</v>
      </c>
      <c r="C664" s="25">
        <v>1172</v>
      </c>
      <c r="D664" s="13" t="s">
        <v>2564</v>
      </c>
      <c r="E664" s="228"/>
      <c r="F664" s="109" t="s">
        <v>2565</v>
      </c>
      <c r="G664" s="24" t="s">
        <v>2379</v>
      </c>
      <c r="H664" s="230">
        <v>4.5</v>
      </c>
      <c r="I664" s="220">
        <v>1810000</v>
      </c>
      <c r="J664" s="220">
        <f>I664*0.1</f>
        <v>181000</v>
      </c>
      <c r="K664" s="220">
        <v>18000</v>
      </c>
      <c r="L664" s="220">
        <v>21020</v>
      </c>
      <c r="M664" s="220">
        <v>13200</v>
      </c>
      <c r="N664" s="220">
        <f>SUM(I664:M665)</f>
        <v>2043220</v>
      </c>
      <c r="O664" s="224"/>
      <c r="P664" s="111" t="s">
        <v>2566</v>
      </c>
      <c r="Q664" s="15" t="s">
        <v>19</v>
      </c>
      <c r="R664" s="205"/>
      <c r="S664" s="189" t="s">
        <v>25406</v>
      </c>
      <c r="T664" s="114"/>
      <c r="U664" s="21"/>
      <c r="V664" s="115"/>
      <c r="W664" s="116"/>
      <c r="X664" s="220"/>
      <c r="Y664" s="245">
        <f>X664*0.1</f>
        <v>0</v>
      </c>
      <c r="Z664" s="220"/>
      <c r="AA664" s="220">
        <f>SUM(X664:Z664)</f>
        <v>0</v>
      </c>
      <c r="AB664" s="246"/>
    </row>
    <row r="665" spans="1:28" ht="17.100000000000001" customHeight="1" thickBot="1">
      <c r="A665" s="227"/>
      <c r="B665" s="27" t="s">
        <v>2472</v>
      </c>
      <c r="C665" s="27">
        <v>85077</v>
      </c>
      <c r="D665" s="14" t="s">
        <v>273</v>
      </c>
      <c r="E665" s="229"/>
      <c r="F665" s="117" t="s">
        <v>2567</v>
      </c>
      <c r="G665" s="26">
        <v>34932</v>
      </c>
      <c r="H665" s="231"/>
      <c r="I665" s="221"/>
      <c r="J665" s="221"/>
      <c r="K665" s="221"/>
      <c r="L665" s="221"/>
      <c r="M665" s="221"/>
      <c r="N665" s="221"/>
      <c r="O665" s="225"/>
      <c r="P665" s="119" t="s">
        <v>2568</v>
      </c>
      <c r="Q665" s="16" t="s">
        <v>20</v>
      </c>
      <c r="R665" s="17" t="s">
        <v>2562</v>
      </c>
      <c r="S665" s="121" t="s">
        <v>1606</v>
      </c>
      <c r="T665" s="122"/>
      <c r="U665" s="22" t="s">
        <v>901</v>
      </c>
      <c r="V665" s="123"/>
      <c r="W665" s="122"/>
      <c r="X665" s="221"/>
      <c r="Y665" s="221"/>
      <c r="Z665" s="221"/>
      <c r="AA665" s="221"/>
      <c r="AB665" s="247"/>
    </row>
    <row r="666" spans="1:28" ht="17.100000000000001" customHeight="1" thickTop="1">
      <c r="A666" s="226" t="s">
        <v>5964</v>
      </c>
      <c r="B666" s="28">
        <v>45204</v>
      </c>
      <c r="C666" s="25">
        <v>1437</v>
      </c>
      <c r="D666" s="13" t="s">
        <v>1915</v>
      </c>
      <c r="E666" s="228"/>
      <c r="F666" s="109" t="s">
        <v>2361</v>
      </c>
      <c r="G666" s="24"/>
      <c r="H666" s="230">
        <v>4</v>
      </c>
      <c r="I666" s="220">
        <v>2590000</v>
      </c>
      <c r="J666" s="220">
        <v>259000</v>
      </c>
      <c r="K666" s="220">
        <v>0</v>
      </c>
      <c r="L666" s="220">
        <v>22760</v>
      </c>
      <c r="M666" s="220">
        <v>13200</v>
      </c>
      <c r="N666" s="220">
        <f>SUM(I666:M667)</f>
        <v>2884960</v>
      </c>
      <c r="O666" s="224"/>
      <c r="P666" s="111" t="s">
        <v>2569</v>
      </c>
      <c r="Q666" s="15" t="s">
        <v>19</v>
      </c>
      <c r="R666" s="205"/>
      <c r="S666" s="189" t="s">
        <v>1271</v>
      </c>
      <c r="T666" s="114"/>
      <c r="U666" s="21"/>
      <c r="V666" s="115"/>
      <c r="W666" s="116"/>
      <c r="X666" s="220"/>
      <c r="Y666" s="245">
        <f>X666*0.1</f>
        <v>0</v>
      </c>
      <c r="Z666" s="220"/>
      <c r="AA666" s="220">
        <f>SUM(X666:Z666)</f>
        <v>0</v>
      </c>
      <c r="AB666" s="246"/>
    </row>
    <row r="667" spans="1:28" ht="17.100000000000001" customHeight="1" thickBot="1">
      <c r="A667" s="227"/>
      <c r="B667" s="27" t="s">
        <v>1592</v>
      </c>
      <c r="C667" s="27">
        <v>75721</v>
      </c>
      <c r="D667" s="14" t="s">
        <v>1797</v>
      </c>
      <c r="E667" s="229"/>
      <c r="F667" s="117" t="s">
        <v>2570</v>
      </c>
      <c r="G667" s="26">
        <v>46927</v>
      </c>
      <c r="H667" s="231"/>
      <c r="I667" s="221"/>
      <c r="J667" s="221"/>
      <c r="K667" s="221"/>
      <c r="L667" s="221"/>
      <c r="M667" s="221"/>
      <c r="N667" s="221"/>
      <c r="O667" s="225"/>
      <c r="P667" s="119" t="s">
        <v>2571</v>
      </c>
      <c r="Q667" s="16" t="s">
        <v>20</v>
      </c>
      <c r="R667" s="17" t="s">
        <v>2562</v>
      </c>
      <c r="S667" s="121" t="s">
        <v>2572</v>
      </c>
      <c r="T667" s="122"/>
      <c r="U667" s="22"/>
      <c r="V667" s="123"/>
      <c r="W667" s="122"/>
      <c r="X667" s="221"/>
      <c r="Y667" s="221"/>
      <c r="Z667" s="221"/>
      <c r="AA667" s="221"/>
      <c r="AB667" s="247"/>
    </row>
    <row r="668" spans="1:28" ht="17.100000000000001" customHeight="1" thickTop="1">
      <c r="A668" s="226" t="s">
        <v>5965</v>
      </c>
      <c r="B668" s="28">
        <v>45230</v>
      </c>
      <c r="C668" s="25">
        <v>969</v>
      </c>
      <c r="D668" s="13" t="s">
        <v>2573</v>
      </c>
      <c r="E668" s="228"/>
      <c r="F668" s="109" t="s">
        <v>2574</v>
      </c>
      <c r="G668" s="24" t="s">
        <v>2575</v>
      </c>
      <c r="H668" s="230">
        <v>4.5</v>
      </c>
      <c r="I668" s="220">
        <v>1460000</v>
      </c>
      <c r="J668" s="220">
        <v>146000</v>
      </c>
      <c r="K668" s="220">
        <v>13970</v>
      </c>
      <c r="L668" s="220">
        <v>16240</v>
      </c>
      <c r="M668" s="220">
        <v>24200</v>
      </c>
      <c r="N668" s="220">
        <f>SUM(I668:M669)</f>
        <v>1660410</v>
      </c>
      <c r="O668" s="224"/>
      <c r="P668" s="111" t="s">
        <v>2576</v>
      </c>
      <c r="Q668" s="15" t="s">
        <v>19</v>
      </c>
      <c r="R668" s="205"/>
      <c r="S668" s="189" t="s">
        <v>1113</v>
      </c>
      <c r="T668" s="114"/>
      <c r="U668" s="21" t="s">
        <v>2577</v>
      </c>
      <c r="V668" s="115"/>
      <c r="W668" s="116"/>
      <c r="X668" s="220"/>
      <c r="Y668" s="245">
        <f>X668*0.1</f>
        <v>0</v>
      </c>
      <c r="Z668" s="220"/>
      <c r="AA668" s="220">
        <f>SUM(X668:Z668)</f>
        <v>0</v>
      </c>
      <c r="AB668" s="246"/>
    </row>
    <row r="669" spans="1:28" ht="17.100000000000001" customHeight="1" thickBot="1">
      <c r="A669" s="227"/>
      <c r="B669" s="27" t="s">
        <v>1583</v>
      </c>
      <c r="C669" s="27">
        <v>84076</v>
      </c>
      <c r="D669" s="14" t="s">
        <v>1797</v>
      </c>
      <c r="E669" s="229"/>
      <c r="F669" s="117" t="s">
        <v>2578</v>
      </c>
      <c r="G669" s="26">
        <v>39209</v>
      </c>
      <c r="H669" s="231"/>
      <c r="I669" s="221"/>
      <c r="J669" s="221"/>
      <c r="K669" s="221"/>
      <c r="L669" s="221"/>
      <c r="M669" s="221"/>
      <c r="N669" s="221"/>
      <c r="O669" s="225"/>
      <c r="P669" s="119" t="s">
        <v>2579</v>
      </c>
      <c r="Q669" s="16" t="s">
        <v>20</v>
      </c>
      <c r="R669" s="17" t="s">
        <v>2580</v>
      </c>
      <c r="S669" s="121" t="s">
        <v>169</v>
      </c>
      <c r="T669" s="122"/>
      <c r="U669" s="22"/>
      <c r="V669" s="123"/>
      <c r="W669" s="122"/>
      <c r="X669" s="221"/>
      <c r="Y669" s="221"/>
      <c r="Z669" s="221"/>
      <c r="AA669" s="221"/>
      <c r="AB669" s="247"/>
    </row>
    <row r="670" spans="1:28" ht="17.100000000000001" customHeight="1" thickTop="1">
      <c r="A670" s="226" t="s">
        <v>5966</v>
      </c>
      <c r="B670" s="28">
        <v>45241</v>
      </c>
      <c r="C670" s="25">
        <v>1178</v>
      </c>
      <c r="D670" s="13" t="s">
        <v>2564</v>
      </c>
      <c r="E670" s="228" t="s">
        <v>164</v>
      </c>
      <c r="F670" s="109" t="s">
        <v>2278</v>
      </c>
      <c r="G670" s="24" t="s">
        <v>2581</v>
      </c>
      <c r="H670" s="230">
        <v>4.5</v>
      </c>
      <c r="I670" s="220">
        <v>2510000</v>
      </c>
      <c r="J670" s="220">
        <v>251000</v>
      </c>
      <c r="K670" s="220">
        <v>13200</v>
      </c>
      <c r="L670" s="220">
        <v>16240</v>
      </c>
      <c r="M670" s="220">
        <v>23100</v>
      </c>
      <c r="N670" s="220">
        <f>SUM(I670:M671)</f>
        <v>2813540</v>
      </c>
      <c r="O670" s="224"/>
      <c r="P670" s="111" t="s">
        <v>2582</v>
      </c>
      <c r="Q670" s="15" t="s">
        <v>19</v>
      </c>
      <c r="R670" s="205"/>
      <c r="S670" s="189" t="s">
        <v>25407</v>
      </c>
      <c r="T670" s="114"/>
      <c r="U670" s="21" t="s">
        <v>2583</v>
      </c>
      <c r="V670" s="115"/>
      <c r="W670" s="116"/>
      <c r="X670" s="220"/>
      <c r="Y670" s="245">
        <f>X670*0.1</f>
        <v>0</v>
      </c>
      <c r="Z670" s="220"/>
      <c r="AA670" s="220">
        <f>SUM(X670:Z670)</f>
        <v>0</v>
      </c>
      <c r="AB670" s="246"/>
    </row>
    <row r="671" spans="1:28" ht="17.100000000000001" customHeight="1" thickBot="1">
      <c r="A671" s="227"/>
      <c r="B671" s="27" t="s">
        <v>2472</v>
      </c>
      <c r="C671" s="27">
        <v>82297</v>
      </c>
      <c r="D671" s="14" t="s">
        <v>273</v>
      </c>
      <c r="E671" s="229"/>
      <c r="F671" s="117" t="s">
        <v>2584</v>
      </c>
      <c r="G671" s="26">
        <v>19275</v>
      </c>
      <c r="H671" s="231"/>
      <c r="I671" s="221"/>
      <c r="J671" s="221"/>
      <c r="K671" s="221"/>
      <c r="L671" s="221"/>
      <c r="M671" s="221"/>
      <c r="N671" s="221"/>
      <c r="O671" s="225"/>
      <c r="P671" s="119" t="s">
        <v>2585</v>
      </c>
      <c r="Q671" s="16" t="s">
        <v>20</v>
      </c>
      <c r="R671" s="17" t="s">
        <v>2586</v>
      </c>
      <c r="S671" s="121" t="s">
        <v>2587</v>
      </c>
      <c r="T671" s="122"/>
      <c r="U671" s="22"/>
      <c r="V671" s="123"/>
      <c r="W671" s="122"/>
      <c r="X671" s="221"/>
      <c r="Y671" s="221"/>
      <c r="Z671" s="221"/>
      <c r="AA671" s="221"/>
      <c r="AB671" s="247"/>
    </row>
    <row r="672" spans="1:28" ht="17.100000000000001" customHeight="1" thickTop="1">
      <c r="A672" s="226" t="s">
        <v>5967</v>
      </c>
      <c r="B672" s="28">
        <v>45261</v>
      </c>
      <c r="C672" s="25"/>
      <c r="D672" s="13" t="s">
        <v>2588</v>
      </c>
      <c r="E672" s="228"/>
      <c r="F672" s="109" t="s">
        <v>2589</v>
      </c>
      <c r="G672" s="24" t="s">
        <v>2392</v>
      </c>
      <c r="H672" s="230"/>
      <c r="I672" s="220">
        <v>4000000</v>
      </c>
      <c r="J672" s="220"/>
      <c r="K672" s="220"/>
      <c r="L672" s="220"/>
      <c r="M672" s="220"/>
      <c r="N672" s="220">
        <f>SUM(I672:M673)</f>
        <v>4000000</v>
      </c>
      <c r="O672" s="224"/>
      <c r="P672" s="111" t="s">
        <v>2590</v>
      </c>
      <c r="Q672" s="15" t="s">
        <v>19</v>
      </c>
      <c r="R672" s="205"/>
      <c r="S672" s="189"/>
      <c r="T672" s="114"/>
      <c r="U672" s="21"/>
      <c r="V672" s="115"/>
      <c r="W672" s="116"/>
      <c r="X672" s="220"/>
      <c r="Y672" s="245">
        <f>X672*0.1</f>
        <v>0</v>
      </c>
      <c r="Z672" s="220"/>
      <c r="AA672" s="220">
        <f>SUM(X672:Z672)</f>
        <v>0</v>
      </c>
      <c r="AB672" s="246"/>
    </row>
    <row r="673" spans="1:28" ht="17.100000000000001" customHeight="1" thickBot="1">
      <c r="A673" s="227"/>
      <c r="B673" s="27" t="s">
        <v>2591</v>
      </c>
      <c r="C673" s="27"/>
      <c r="D673" s="14" t="s">
        <v>1866</v>
      </c>
      <c r="E673" s="229"/>
      <c r="F673" s="117" t="s">
        <v>2592</v>
      </c>
      <c r="G673" s="26">
        <v>25117</v>
      </c>
      <c r="H673" s="231"/>
      <c r="I673" s="221"/>
      <c r="J673" s="221"/>
      <c r="K673" s="221"/>
      <c r="L673" s="221"/>
      <c r="M673" s="221"/>
      <c r="N673" s="221"/>
      <c r="O673" s="225"/>
      <c r="P673" s="119" t="s">
        <v>2593</v>
      </c>
      <c r="Q673" s="16" t="s">
        <v>20</v>
      </c>
      <c r="R673" s="17" t="s">
        <v>2208</v>
      </c>
      <c r="S673" s="121" t="s">
        <v>1731</v>
      </c>
      <c r="T673" s="122"/>
      <c r="U673" s="22" t="s">
        <v>50</v>
      </c>
      <c r="V673" s="123"/>
      <c r="W673" s="122"/>
      <c r="X673" s="221"/>
      <c r="Y673" s="221"/>
      <c r="Z673" s="221"/>
      <c r="AA673" s="221"/>
      <c r="AB673" s="247"/>
    </row>
    <row r="674" spans="1:28" ht="17.100000000000001" customHeight="1" thickTop="1">
      <c r="A674" s="226" t="s">
        <v>5968</v>
      </c>
      <c r="B674" s="28">
        <v>45310</v>
      </c>
      <c r="C674" s="25">
        <v>1304</v>
      </c>
      <c r="D674" s="13" t="s">
        <v>2150</v>
      </c>
      <c r="E674" s="228" t="s">
        <v>2594</v>
      </c>
      <c r="F674" s="109" t="s">
        <v>2595</v>
      </c>
      <c r="G674" s="24"/>
      <c r="H674" s="230">
        <v>4</v>
      </c>
      <c r="I674" s="220">
        <v>541000</v>
      </c>
      <c r="J674" s="220">
        <v>54100</v>
      </c>
      <c r="K674" s="220">
        <v>0</v>
      </c>
      <c r="L674" s="220">
        <v>8460</v>
      </c>
      <c r="M674" s="220">
        <v>13200</v>
      </c>
      <c r="N674" s="220">
        <f>SUM(I674:M675)</f>
        <v>616760</v>
      </c>
      <c r="O674" s="224"/>
      <c r="P674" s="111" t="s">
        <v>2596</v>
      </c>
      <c r="Q674" s="15" t="s">
        <v>19</v>
      </c>
      <c r="R674" s="205"/>
      <c r="S674" s="189"/>
      <c r="T674" s="114"/>
      <c r="U674" s="21"/>
      <c r="V674" s="115"/>
      <c r="W674" s="116"/>
      <c r="X674" s="220"/>
      <c r="Y674" s="245">
        <f>X674*0.1</f>
        <v>0</v>
      </c>
      <c r="Z674" s="220"/>
      <c r="AA674" s="220">
        <f>SUM(X674:Z674)</f>
        <v>0</v>
      </c>
      <c r="AB674" s="246"/>
    </row>
    <row r="675" spans="1:28" ht="17.100000000000001" customHeight="1" thickBot="1">
      <c r="A675" s="227"/>
      <c r="B675" s="27" t="s">
        <v>2597</v>
      </c>
      <c r="C675" s="27">
        <v>3037</v>
      </c>
      <c r="D675" s="14" t="s">
        <v>2154</v>
      </c>
      <c r="E675" s="229"/>
      <c r="F675" s="117" t="s">
        <v>2598</v>
      </c>
      <c r="G675" s="26">
        <v>33316</v>
      </c>
      <c r="H675" s="231"/>
      <c r="I675" s="221"/>
      <c r="J675" s="221"/>
      <c r="K675" s="221"/>
      <c r="L675" s="221"/>
      <c r="M675" s="221"/>
      <c r="N675" s="221"/>
      <c r="O675" s="225"/>
      <c r="P675" s="119" t="s">
        <v>2599</v>
      </c>
      <c r="Q675" s="16" t="s">
        <v>20</v>
      </c>
      <c r="R675" s="17" t="s">
        <v>2600</v>
      </c>
      <c r="S675" s="121" t="s">
        <v>2360</v>
      </c>
      <c r="T675" s="122"/>
      <c r="U675" s="22"/>
      <c r="V675" s="123"/>
      <c r="W675" s="122"/>
      <c r="X675" s="221"/>
      <c r="Y675" s="221"/>
      <c r="Z675" s="221"/>
      <c r="AA675" s="221"/>
      <c r="AB675" s="247"/>
    </row>
    <row r="676" spans="1:28" ht="17.100000000000001" customHeight="1" thickTop="1">
      <c r="A676" s="226" t="s">
        <v>5969</v>
      </c>
      <c r="B676" s="28">
        <v>45310</v>
      </c>
      <c r="C676" s="25">
        <v>2020</v>
      </c>
      <c r="D676" s="13" t="s">
        <v>2601</v>
      </c>
      <c r="E676" s="228"/>
      <c r="F676" s="109" t="s">
        <v>2602</v>
      </c>
      <c r="G676" s="24" t="s">
        <v>2239</v>
      </c>
      <c r="H676" s="230">
        <v>4.5</v>
      </c>
      <c r="I676" s="220">
        <v>445000</v>
      </c>
      <c r="J676" s="220">
        <v>44500</v>
      </c>
      <c r="K676" s="220">
        <v>8250</v>
      </c>
      <c r="L676" s="220">
        <v>18500</v>
      </c>
      <c r="M676" s="220">
        <v>13200</v>
      </c>
      <c r="N676" s="220">
        <f>SUM(I676:M677)</f>
        <v>529450</v>
      </c>
      <c r="O676" s="224"/>
      <c r="P676" s="111" t="s">
        <v>2603</v>
      </c>
      <c r="Q676" s="15" t="s">
        <v>19</v>
      </c>
      <c r="R676" s="205"/>
      <c r="S676" s="189"/>
      <c r="T676" s="114"/>
      <c r="U676" s="21"/>
      <c r="V676" s="115"/>
      <c r="W676" s="116"/>
      <c r="X676" s="220"/>
      <c r="Y676" s="245">
        <f>X676*0.1</f>
        <v>0</v>
      </c>
      <c r="Z676" s="220"/>
      <c r="AA676" s="220">
        <f>SUM(X676:Z676)</f>
        <v>0</v>
      </c>
      <c r="AB676" s="246"/>
    </row>
    <row r="677" spans="1:28" ht="17.100000000000001" customHeight="1" thickBot="1">
      <c r="A677" s="227"/>
      <c r="B677" s="27" t="s">
        <v>1536</v>
      </c>
      <c r="C677" s="27">
        <v>58320</v>
      </c>
      <c r="D677" s="14" t="s">
        <v>273</v>
      </c>
      <c r="E677" s="229"/>
      <c r="F677" s="117" t="s">
        <v>2604</v>
      </c>
      <c r="G677" s="26">
        <v>57747</v>
      </c>
      <c r="H677" s="231"/>
      <c r="I677" s="221"/>
      <c r="J677" s="221"/>
      <c r="K677" s="221"/>
      <c r="L677" s="221"/>
      <c r="M677" s="221"/>
      <c r="N677" s="221"/>
      <c r="O677" s="225"/>
      <c r="P677" s="119" t="s">
        <v>2605</v>
      </c>
      <c r="Q677" s="16" t="s">
        <v>20</v>
      </c>
      <c r="R677" s="17" t="s">
        <v>2600</v>
      </c>
      <c r="S677" s="121" t="s">
        <v>1731</v>
      </c>
      <c r="T677" s="122"/>
      <c r="U677" s="22" t="s">
        <v>901</v>
      </c>
      <c r="V677" s="123"/>
      <c r="W677" s="122"/>
      <c r="X677" s="221"/>
      <c r="Y677" s="221"/>
      <c r="Z677" s="221"/>
      <c r="AA677" s="221"/>
      <c r="AB677" s="247"/>
    </row>
    <row r="678" spans="1:28" ht="17.100000000000001" customHeight="1" thickTop="1">
      <c r="A678" s="226" t="s">
        <v>5970</v>
      </c>
      <c r="B678" s="28">
        <v>45317</v>
      </c>
      <c r="C678" s="25">
        <v>2021</v>
      </c>
      <c r="D678" s="13" t="s">
        <v>2336</v>
      </c>
      <c r="E678" s="228"/>
      <c r="F678" s="109" t="s">
        <v>2606</v>
      </c>
      <c r="G678" s="24" t="s">
        <v>2607</v>
      </c>
      <c r="H678" s="230">
        <v>4</v>
      </c>
      <c r="I678" s="220">
        <v>1600000</v>
      </c>
      <c r="J678" s="220">
        <v>160000</v>
      </c>
      <c r="K678" s="220">
        <v>16060</v>
      </c>
      <c r="L678" s="220">
        <v>19720</v>
      </c>
      <c r="M678" s="220">
        <v>13200</v>
      </c>
      <c r="N678" s="220">
        <f>SUM(I678:M679)</f>
        <v>1808980</v>
      </c>
      <c r="O678" s="224"/>
      <c r="P678" s="111" t="s">
        <v>2608</v>
      </c>
      <c r="Q678" s="15" t="s">
        <v>19</v>
      </c>
      <c r="R678" s="205"/>
      <c r="S678" s="189" t="s">
        <v>25372</v>
      </c>
      <c r="T678" s="114"/>
      <c r="U678" s="21"/>
      <c r="V678" s="115">
        <v>46349</v>
      </c>
      <c r="W678" s="116"/>
      <c r="X678" s="220">
        <v>3960000</v>
      </c>
      <c r="Y678" s="245">
        <v>0</v>
      </c>
      <c r="Z678" s="220">
        <v>0</v>
      </c>
      <c r="AA678" s="220">
        <f>SUM(X678:Z678)</f>
        <v>3960000</v>
      </c>
      <c r="AB678" s="246">
        <v>46031</v>
      </c>
    </row>
    <row r="679" spans="1:28" ht="17.100000000000001" customHeight="1" thickBot="1">
      <c r="A679" s="227"/>
      <c r="B679" s="27" t="s">
        <v>1536</v>
      </c>
      <c r="C679" s="27">
        <v>58152</v>
      </c>
      <c r="D679" s="14" t="s">
        <v>2059</v>
      </c>
      <c r="E679" s="229"/>
      <c r="F679" s="117" t="s">
        <v>2609</v>
      </c>
      <c r="G679" s="26">
        <v>53146</v>
      </c>
      <c r="H679" s="231"/>
      <c r="I679" s="221"/>
      <c r="J679" s="221"/>
      <c r="K679" s="221"/>
      <c r="L679" s="221"/>
      <c r="M679" s="221"/>
      <c r="N679" s="221"/>
      <c r="O679" s="225"/>
      <c r="P679" s="119" t="s">
        <v>2323</v>
      </c>
      <c r="Q679" s="16" t="s">
        <v>20</v>
      </c>
      <c r="R679" s="17" t="s">
        <v>2610</v>
      </c>
      <c r="S679" s="121" t="s">
        <v>2611</v>
      </c>
      <c r="T679" s="122"/>
      <c r="U679" s="22" t="s">
        <v>901</v>
      </c>
      <c r="V679" s="123" t="s">
        <v>17050</v>
      </c>
      <c r="W679" s="122"/>
      <c r="X679" s="221"/>
      <c r="Y679" s="221"/>
      <c r="Z679" s="221"/>
      <c r="AA679" s="221"/>
      <c r="AB679" s="247"/>
    </row>
    <row r="680" spans="1:28" ht="17.100000000000001" customHeight="1" thickTop="1">
      <c r="A680" s="226" t="s">
        <v>5971</v>
      </c>
      <c r="B680" s="28">
        <v>45324</v>
      </c>
      <c r="C680" s="25">
        <v>2022</v>
      </c>
      <c r="D680" s="13" t="s">
        <v>2264</v>
      </c>
      <c r="E680" s="228"/>
      <c r="F680" s="109" t="s">
        <v>2612</v>
      </c>
      <c r="G680" s="24"/>
      <c r="H680" s="230">
        <v>5</v>
      </c>
      <c r="I680" s="220">
        <v>2490000</v>
      </c>
      <c r="J680" s="220">
        <f>I680*0.1</f>
        <v>249000</v>
      </c>
      <c r="K680" s="220">
        <v>0</v>
      </c>
      <c r="L680" s="220">
        <v>17600</v>
      </c>
      <c r="M680" s="220">
        <v>13200</v>
      </c>
      <c r="N680" s="220">
        <f>SUM(I680:M681)</f>
        <v>2769800</v>
      </c>
      <c r="O680" s="224"/>
      <c r="P680" s="111" t="s">
        <v>2613</v>
      </c>
      <c r="Q680" s="15" t="s">
        <v>19</v>
      </c>
      <c r="R680" s="205"/>
      <c r="S680" s="189"/>
      <c r="T680" s="114"/>
      <c r="U680" s="21"/>
      <c r="V680" s="115"/>
      <c r="W680" s="116"/>
      <c r="X680" s="220"/>
      <c r="Y680" s="245">
        <f>X680*0.1</f>
        <v>0</v>
      </c>
      <c r="Z680" s="220"/>
      <c r="AA680" s="220">
        <f>SUM(X680:Z680)</f>
        <v>0</v>
      </c>
      <c r="AB680" s="246"/>
    </row>
    <row r="681" spans="1:28" ht="17.100000000000001" customHeight="1" thickBot="1">
      <c r="A681" s="227"/>
      <c r="B681" s="27" t="s">
        <v>1536</v>
      </c>
      <c r="C681" s="27">
        <v>58582</v>
      </c>
      <c r="D681" s="14" t="s">
        <v>1690</v>
      </c>
      <c r="E681" s="229"/>
      <c r="F681" s="117" t="s">
        <v>2614</v>
      </c>
      <c r="G681" s="26">
        <v>30096</v>
      </c>
      <c r="H681" s="231"/>
      <c r="I681" s="221"/>
      <c r="J681" s="221"/>
      <c r="K681" s="221"/>
      <c r="L681" s="221"/>
      <c r="M681" s="221"/>
      <c r="N681" s="221"/>
      <c r="O681" s="225"/>
      <c r="P681" s="119" t="s">
        <v>2615</v>
      </c>
      <c r="Q681" s="16" t="s">
        <v>20</v>
      </c>
      <c r="R681" s="17" t="s">
        <v>2158</v>
      </c>
      <c r="S681" s="121"/>
      <c r="T681" s="154" t="s">
        <v>2616</v>
      </c>
      <c r="U681" s="22"/>
      <c r="V681" s="123"/>
      <c r="W681" s="122"/>
      <c r="X681" s="221"/>
      <c r="Y681" s="221"/>
      <c r="Z681" s="221"/>
      <c r="AA681" s="221"/>
      <c r="AB681" s="247"/>
    </row>
    <row r="682" spans="1:28" ht="17.100000000000001" customHeight="1" thickTop="1">
      <c r="A682" s="226" t="s">
        <v>5972</v>
      </c>
      <c r="B682" s="28">
        <v>45334</v>
      </c>
      <c r="C682" s="25">
        <v>1982</v>
      </c>
      <c r="D682" s="13" t="s">
        <v>2617</v>
      </c>
      <c r="E682" s="228"/>
      <c r="F682" s="109" t="s">
        <v>2618</v>
      </c>
      <c r="G682" s="24" t="s">
        <v>2619</v>
      </c>
      <c r="H682" s="230">
        <v>4</v>
      </c>
      <c r="I682" s="220">
        <v>1825000</v>
      </c>
      <c r="J682" s="220">
        <f>I682*0.1</f>
        <v>182500</v>
      </c>
      <c r="K682" s="220">
        <v>8030</v>
      </c>
      <c r="L682" s="220">
        <v>19120</v>
      </c>
      <c r="M682" s="220">
        <v>11000</v>
      </c>
      <c r="N682" s="220">
        <f>SUM(I682:M683)</f>
        <v>2045650</v>
      </c>
      <c r="O682" s="224"/>
      <c r="P682" s="111" t="s">
        <v>2620</v>
      </c>
      <c r="Q682" s="15" t="s">
        <v>19</v>
      </c>
      <c r="R682" s="205"/>
      <c r="S682" s="189" t="s">
        <v>1361</v>
      </c>
      <c r="T682" s="114"/>
      <c r="U682" s="21"/>
      <c r="V682" s="115"/>
      <c r="W682" s="116"/>
      <c r="X682" s="220"/>
      <c r="Y682" s="245">
        <f>X682*0.1</f>
        <v>0</v>
      </c>
      <c r="Z682" s="220"/>
      <c r="AA682" s="220">
        <f>SUM(X682:Z682)</f>
        <v>0</v>
      </c>
      <c r="AB682" s="246"/>
    </row>
    <row r="683" spans="1:28" ht="17.100000000000001" customHeight="1" thickBot="1">
      <c r="A683" s="227"/>
      <c r="B683" s="27" t="s">
        <v>82</v>
      </c>
      <c r="C683" s="27">
        <v>33526</v>
      </c>
      <c r="D683" s="14" t="s">
        <v>273</v>
      </c>
      <c r="E683" s="229"/>
      <c r="F683" s="117" t="s">
        <v>2621</v>
      </c>
      <c r="G683" s="26">
        <v>48616</v>
      </c>
      <c r="H683" s="231"/>
      <c r="I683" s="221"/>
      <c r="J683" s="221"/>
      <c r="K683" s="221"/>
      <c r="L683" s="221"/>
      <c r="M683" s="221"/>
      <c r="N683" s="221"/>
      <c r="O683" s="225"/>
      <c r="P683" s="119" t="s">
        <v>2622</v>
      </c>
      <c r="Q683" s="16" t="s">
        <v>20</v>
      </c>
      <c r="R683" s="17" t="s">
        <v>2305</v>
      </c>
      <c r="S683" s="121" t="s">
        <v>2623</v>
      </c>
      <c r="T683" s="122"/>
      <c r="U683" s="22" t="s">
        <v>901</v>
      </c>
      <c r="V683" s="123"/>
      <c r="W683" s="122"/>
      <c r="X683" s="221"/>
      <c r="Y683" s="221"/>
      <c r="Z683" s="221"/>
      <c r="AA683" s="221"/>
      <c r="AB683" s="247"/>
    </row>
    <row r="684" spans="1:28" ht="17.100000000000001" customHeight="1" thickTop="1">
      <c r="A684" s="226" t="s">
        <v>5973</v>
      </c>
      <c r="B684" s="28">
        <v>45350</v>
      </c>
      <c r="C684" s="25">
        <v>1271</v>
      </c>
      <c r="D684" s="13" t="s">
        <v>2295</v>
      </c>
      <c r="E684" s="228" t="s">
        <v>164</v>
      </c>
      <c r="F684" s="109" t="s">
        <v>2624</v>
      </c>
      <c r="G684" s="24" t="s">
        <v>2470</v>
      </c>
      <c r="H684" s="230">
        <v>4.5</v>
      </c>
      <c r="I684" s="220">
        <v>3300000</v>
      </c>
      <c r="J684" s="220">
        <f>I684*0.1</f>
        <v>330000</v>
      </c>
      <c r="K684" s="220">
        <v>3300</v>
      </c>
      <c r="L684" s="220">
        <v>18270</v>
      </c>
      <c r="M684" s="220">
        <v>29700</v>
      </c>
      <c r="N684" s="220">
        <f>SUM(I684:M685)</f>
        <v>3681270</v>
      </c>
      <c r="O684" s="224"/>
      <c r="P684" s="111" t="s">
        <v>2625</v>
      </c>
      <c r="Q684" s="15" t="s">
        <v>19</v>
      </c>
      <c r="R684" s="205"/>
      <c r="S684" s="189" t="s">
        <v>1361</v>
      </c>
      <c r="T684" s="114"/>
      <c r="U684" s="21" t="s">
        <v>2626</v>
      </c>
      <c r="V684" s="115"/>
      <c r="W684" s="116"/>
      <c r="X684" s="220"/>
      <c r="Y684" s="245">
        <f>X684*0.1</f>
        <v>0</v>
      </c>
      <c r="Z684" s="220"/>
      <c r="AA684" s="220">
        <f>SUM(X684:Z684)</f>
        <v>0</v>
      </c>
      <c r="AB684" s="246"/>
    </row>
    <row r="685" spans="1:28" ht="17.100000000000001" customHeight="1" thickBot="1">
      <c r="A685" s="227"/>
      <c r="B685" s="27" t="s">
        <v>2418</v>
      </c>
      <c r="C685" s="27">
        <v>8017</v>
      </c>
      <c r="D685" s="14" t="s">
        <v>1584</v>
      </c>
      <c r="E685" s="229"/>
      <c r="F685" s="117" t="s">
        <v>2627</v>
      </c>
      <c r="G685" s="26">
        <v>35706</v>
      </c>
      <c r="H685" s="231"/>
      <c r="I685" s="221"/>
      <c r="J685" s="221"/>
      <c r="K685" s="221"/>
      <c r="L685" s="221"/>
      <c r="M685" s="221"/>
      <c r="N685" s="221"/>
      <c r="O685" s="225"/>
      <c r="P685" s="119" t="s">
        <v>2628</v>
      </c>
      <c r="Q685" s="16" t="s">
        <v>20</v>
      </c>
      <c r="R685" s="17" t="s">
        <v>2324</v>
      </c>
      <c r="S685" s="121" t="s">
        <v>2629</v>
      </c>
      <c r="T685" s="122"/>
      <c r="U685" s="22"/>
      <c r="V685" s="123"/>
      <c r="W685" s="122"/>
      <c r="X685" s="221"/>
      <c r="Y685" s="221"/>
      <c r="Z685" s="221"/>
      <c r="AA685" s="221"/>
      <c r="AB685" s="247"/>
    </row>
    <row r="686" spans="1:28" ht="17.100000000000001" customHeight="1" thickTop="1">
      <c r="A686" s="226" t="s">
        <v>5974</v>
      </c>
      <c r="B686" s="28">
        <v>45353</v>
      </c>
      <c r="C686" s="25">
        <v>1435</v>
      </c>
      <c r="D686" s="13" t="s">
        <v>1640</v>
      </c>
      <c r="E686" s="228"/>
      <c r="F686" s="109" t="s">
        <v>1599</v>
      </c>
      <c r="G686" s="24" t="s">
        <v>2630</v>
      </c>
      <c r="H686" s="230">
        <v>4.5</v>
      </c>
      <c r="I686" s="220">
        <v>535000</v>
      </c>
      <c r="J686" s="220">
        <f>I686*0.1</f>
        <v>53500</v>
      </c>
      <c r="K686" s="220">
        <v>34500</v>
      </c>
      <c r="L686" s="220">
        <v>17700</v>
      </c>
      <c r="M686" s="220">
        <v>13200</v>
      </c>
      <c r="N686" s="220">
        <f>SUM(I686:M687)</f>
        <v>653900</v>
      </c>
      <c r="O686" s="224"/>
      <c r="P686" s="111" t="s">
        <v>2631</v>
      </c>
      <c r="Q686" s="15" t="s">
        <v>19</v>
      </c>
      <c r="R686" s="205"/>
      <c r="S686" s="189" t="s">
        <v>25408</v>
      </c>
      <c r="T686" s="114" t="s">
        <v>2633</v>
      </c>
      <c r="U686" s="21" t="s">
        <v>2634</v>
      </c>
      <c r="V686" s="115"/>
      <c r="W686" s="116"/>
      <c r="X686" s="220"/>
      <c r="Y686" s="245">
        <f>X686*0.1</f>
        <v>0</v>
      </c>
      <c r="Z686" s="220"/>
      <c r="AA686" s="220">
        <v>0</v>
      </c>
      <c r="AB686" s="246"/>
    </row>
    <row r="687" spans="1:28" ht="17.100000000000001" customHeight="1" thickBot="1">
      <c r="A687" s="227"/>
      <c r="B687" s="27" t="s">
        <v>1547</v>
      </c>
      <c r="C687" s="27">
        <v>60006</v>
      </c>
      <c r="D687" s="14" t="s">
        <v>1548</v>
      </c>
      <c r="E687" s="229"/>
      <c r="F687" s="117" t="s">
        <v>2635</v>
      </c>
      <c r="G687" s="26">
        <v>53070</v>
      </c>
      <c r="H687" s="231"/>
      <c r="I687" s="221"/>
      <c r="J687" s="221"/>
      <c r="K687" s="221"/>
      <c r="L687" s="221"/>
      <c r="M687" s="221"/>
      <c r="N687" s="221"/>
      <c r="O687" s="225"/>
      <c r="P687" s="119" t="s">
        <v>2636</v>
      </c>
      <c r="Q687" s="16" t="s">
        <v>20</v>
      </c>
      <c r="R687" s="17" t="s">
        <v>2637</v>
      </c>
      <c r="S687" s="121" t="s">
        <v>2632</v>
      </c>
      <c r="T687" s="122" t="s">
        <v>2638</v>
      </c>
      <c r="U687" s="22"/>
      <c r="V687" s="123"/>
      <c r="W687" s="122"/>
      <c r="X687" s="221"/>
      <c r="Y687" s="221"/>
      <c r="Z687" s="221"/>
      <c r="AA687" s="221"/>
      <c r="AB687" s="247"/>
    </row>
    <row r="688" spans="1:28" ht="17.100000000000001" customHeight="1" thickTop="1">
      <c r="A688" s="226" t="s">
        <v>5975</v>
      </c>
      <c r="B688" s="28">
        <v>45356</v>
      </c>
      <c r="C688" s="25">
        <v>986</v>
      </c>
      <c r="D688" s="13" t="s">
        <v>2288</v>
      </c>
      <c r="E688" s="228"/>
      <c r="F688" s="109" t="s">
        <v>2639</v>
      </c>
      <c r="G688" s="24" t="s">
        <v>2640</v>
      </c>
      <c r="H688" s="230">
        <v>4.5</v>
      </c>
      <c r="I688" s="220">
        <v>1510000</v>
      </c>
      <c r="J688" s="220">
        <f>I688*0.1</f>
        <v>151000</v>
      </c>
      <c r="K688" s="220">
        <v>34500</v>
      </c>
      <c r="L688" s="220">
        <v>18570</v>
      </c>
      <c r="M688" s="220">
        <v>13200</v>
      </c>
      <c r="N688" s="220">
        <f>SUM(I688:M689)</f>
        <v>1727270</v>
      </c>
      <c r="O688" s="224"/>
      <c r="P688" s="111" t="s">
        <v>2641</v>
      </c>
      <c r="Q688" s="15" t="s">
        <v>19</v>
      </c>
      <c r="R688" s="205"/>
      <c r="S688" s="189" t="s">
        <v>25409</v>
      </c>
      <c r="T688" s="114"/>
      <c r="U688" s="21"/>
      <c r="V688" s="115"/>
      <c r="W688" s="116"/>
      <c r="X688" s="220"/>
      <c r="Y688" s="245">
        <f>X688*0.1</f>
        <v>0</v>
      </c>
      <c r="Z688" s="220"/>
      <c r="AA688" s="220">
        <f>SUM(X688:Z688)</f>
        <v>0</v>
      </c>
      <c r="AB688" s="246"/>
    </row>
    <row r="689" spans="1:28" ht="17.100000000000001" customHeight="1" thickBot="1">
      <c r="A689" s="227"/>
      <c r="B689" s="27" t="s">
        <v>1583</v>
      </c>
      <c r="C689" s="27">
        <v>84116</v>
      </c>
      <c r="D689" s="14" t="s">
        <v>131</v>
      </c>
      <c r="E689" s="229"/>
      <c r="F689" s="117" t="s">
        <v>2642</v>
      </c>
      <c r="G689" s="26">
        <v>34167</v>
      </c>
      <c r="H689" s="231"/>
      <c r="I689" s="221"/>
      <c r="J689" s="221"/>
      <c r="K689" s="221"/>
      <c r="L689" s="221"/>
      <c r="M689" s="221"/>
      <c r="N689" s="221"/>
      <c r="O689" s="225"/>
      <c r="P689" s="119" t="s">
        <v>2643</v>
      </c>
      <c r="Q689" s="16" t="s">
        <v>20</v>
      </c>
      <c r="R689" s="17" t="s">
        <v>2644</v>
      </c>
      <c r="S689" s="121" t="s">
        <v>1731</v>
      </c>
      <c r="T689" s="122"/>
      <c r="U689" s="22" t="s">
        <v>901</v>
      </c>
      <c r="V689" s="123"/>
      <c r="W689" s="122"/>
      <c r="X689" s="221"/>
      <c r="Y689" s="221"/>
      <c r="Z689" s="221"/>
      <c r="AA689" s="221"/>
      <c r="AB689" s="247"/>
    </row>
    <row r="690" spans="1:28" ht="17.100000000000001" customHeight="1" thickTop="1">
      <c r="A690" s="226" t="s">
        <v>5976</v>
      </c>
      <c r="B690" s="28">
        <v>45360</v>
      </c>
      <c r="C690" s="25">
        <v>1193</v>
      </c>
      <c r="D690" s="13" t="s">
        <v>1953</v>
      </c>
      <c r="E690" s="228"/>
      <c r="F690" s="109" t="s">
        <v>2645</v>
      </c>
      <c r="G690" s="24"/>
      <c r="H690" s="230">
        <v>4.5</v>
      </c>
      <c r="I690" s="220">
        <v>2365000</v>
      </c>
      <c r="J690" s="220">
        <f>I690*0.1</f>
        <v>236500</v>
      </c>
      <c r="K690" s="220">
        <v>0</v>
      </c>
      <c r="L690" s="220">
        <v>16240</v>
      </c>
      <c r="M690" s="220">
        <v>13200</v>
      </c>
      <c r="N690" s="220">
        <f>SUM(I690:M691)</f>
        <v>2630940</v>
      </c>
      <c r="O690" s="224"/>
      <c r="P690" s="111" t="s">
        <v>2646</v>
      </c>
      <c r="Q690" s="15" t="s">
        <v>19</v>
      </c>
      <c r="R690" s="205"/>
      <c r="S690" s="189" t="s">
        <v>25410</v>
      </c>
      <c r="T690" s="114"/>
      <c r="U690" s="21"/>
      <c r="V690" s="115"/>
      <c r="W690" s="116"/>
      <c r="X690" s="220"/>
      <c r="Y690" s="245">
        <f>X690*0.1</f>
        <v>0</v>
      </c>
      <c r="Z690" s="220"/>
      <c r="AA690" s="220">
        <f>SUM(X690:Z690)</f>
        <v>0</v>
      </c>
      <c r="AB690" s="246"/>
    </row>
    <row r="691" spans="1:28" ht="17.100000000000001" customHeight="1" thickBot="1">
      <c r="A691" s="227"/>
      <c r="B691" s="27" t="s">
        <v>2472</v>
      </c>
      <c r="C691" s="27">
        <v>82086</v>
      </c>
      <c r="D691" s="14" t="s">
        <v>273</v>
      </c>
      <c r="E691" s="229"/>
      <c r="F691" s="117" t="s">
        <v>2648</v>
      </c>
      <c r="G691" s="26">
        <v>37125</v>
      </c>
      <c r="H691" s="231"/>
      <c r="I691" s="221"/>
      <c r="J691" s="221"/>
      <c r="K691" s="221"/>
      <c r="L691" s="221"/>
      <c r="M691" s="221"/>
      <c r="N691" s="221"/>
      <c r="O691" s="225"/>
      <c r="P691" s="119" t="s">
        <v>2649</v>
      </c>
      <c r="Q691" s="16" t="s">
        <v>20</v>
      </c>
      <c r="R691" s="17" t="s">
        <v>2650</v>
      </c>
      <c r="S691" s="121" t="s">
        <v>1606</v>
      </c>
      <c r="T691" s="122"/>
      <c r="U691" s="22"/>
      <c r="V691" s="123"/>
      <c r="W691" s="122"/>
      <c r="X691" s="221"/>
      <c r="Y691" s="221"/>
      <c r="Z691" s="221"/>
      <c r="AA691" s="221"/>
      <c r="AB691" s="247"/>
    </row>
    <row r="692" spans="1:28" ht="17.100000000000001" customHeight="1" thickTop="1">
      <c r="A692" s="226" t="s">
        <v>5977</v>
      </c>
      <c r="B692" s="28">
        <v>45363</v>
      </c>
      <c r="C692" s="25">
        <v>833</v>
      </c>
      <c r="D692" s="13" t="s">
        <v>1935</v>
      </c>
      <c r="E692" s="228"/>
      <c r="F692" s="109" t="s">
        <v>2651</v>
      </c>
      <c r="G692" s="24" t="s">
        <v>2652</v>
      </c>
      <c r="H692" s="230">
        <v>4.5</v>
      </c>
      <c r="I692" s="220">
        <v>4301000</v>
      </c>
      <c r="J692" s="220">
        <f>I692*0.1</f>
        <v>430100</v>
      </c>
      <c r="K692" s="220">
        <v>51000</v>
      </c>
      <c r="L692" s="220">
        <v>20990</v>
      </c>
      <c r="M692" s="220">
        <v>14850</v>
      </c>
      <c r="N692" s="220">
        <f>SUM(I692:M693)</f>
        <v>4817940</v>
      </c>
      <c r="O692" s="224"/>
      <c r="P692" s="111" t="s">
        <v>2653</v>
      </c>
      <c r="Q692" s="15" t="s">
        <v>19</v>
      </c>
      <c r="R692" s="205"/>
      <c r="S692" s="189" t="s">
        <v>1361</v>
      </c>
      <c r="T692" s="114"/>
      <c r="U692" s="21"/>
      <c r="V692" s="115"/>
      <c r="W692" s="116"/>
      <c r="X692" s="220"/>
      <c r="Y692" s="245">
        <f>X692*0.1</f>
        <v>0</v>
      </c>
      <c r="Z692" s="220"/>
      <c r="AA692" s="220">
        <f>SUM(X692:Z692)</f>
        <v>0</v>
      </c>
      <c r="AB692" s="246"/>
    </row>
    <row r="693" spans="1:28" ht="17.100000000000001" customHeight="1" thickBot="1">
      <c r="A693" s="227"/>
      <c r="B693" s="27" t="s">
        <v>2654</v>
      </c>
      <c r="C693" s="27">
        <v>5023</v>
      </c>
      <c r="D693" s="14" t="s">
        <v>1548</v>
      </c>
      <c r="E693" s="229"/>
      <c r="F693" s="117" t="s">
        <v>2655</v>
      </c>
      <c r="G693" s="26">
        <v>31461</v>
      </c>
      <c r="H693" s="231"/>
      <c r="I693" s="221"/>
      <c r="J693" s="221"/>
      <c r="K693" s="221"/>
      <c r="L693" s="221"/>
      <c r="M693" s="221"/>
      <c r="N693" s="221"/>
      <c r="O693" s="225"/>
      <c r="P693" s="119" t="s">
        <v>2656</v>
      </c>
      <c r="Q693" s="16" t="s">
        <v>20</v>
      </c>
      <c r="R693" s="17" t="s">
        <v>2657</v>
      </c>
      <c r="S693" s="121" t="s">
        <v>1731</v>
      </c>
      <c r="T693" s="122"/>
      <c r="U693" s="22" t="s">
        <v>901</v>
      </c>
      <c r="V693" s="123"/>
      <c r="W693" s="122"/>
      <c r="X693" s="221"/>
      <c r="Y693" s="221"/>
      <c r="Z693" s="221"/>
      <c r="AA693" s="221"/>
      <c r="AB693" s="247"/>
    </row>
    <row r="694" spans="1:28" ht="17.100000000000001" customHeight="1" thickTop="1">
      <c r="A694" s="226" t="s">
        <v>5978</v>
      </c>
      <c r="B694" s="28">
        <v>45367</v>
      </c>
      <c r="C694" s="25">
        <v>1194</v>
      </c>
      <c r="D694" s="13" t="s">
        <v>2610</v>
      </c>
      <c r="E694" s="228"/>
      <c r="F694" s="109" t="s">
        <v>2658</v>
      </c>
      <c r="G694" s="24" t="s">
        <v>2659</v>
      </c>
      <c r="H694" s="230">
        <v>4.5</v>
      </c>
      <c r="I694" s="220">
        <v>2600000</v>
      </c>
      <c r="J694" s="220">
        <f>I694*0.1</f>
        <v>260000</v>
      </c>
      <c r="K694" s="220">
        <v>30500</v>
      </c>
      <c r="L694" s="220">
        <v>11740</v>
      </c>
      <c r="M694" s="220">
        <v>13200</v>
      </c>
      <c r="N694" s="220">
        <f>SUM(I694:M695)</f>
        <v>2915440</v>
      </c>
      <c r="O694" s="224"/>
      <c r="P694" s="111" t="s">
        <v>2660</v>
      </c>
      <c r="Q694" s="15" t="s">
        <v>19</v>
      </c>
      <c r="R694" s="205"/>
      <c r="S694" s="189" t="s">
        <v>1271</v>
      </c>
      <c r="T694" s="114"/>
      <c r="U694" s="21"/>
      <c r="V694" s="115"/>
      <c r="W694" s="116"/>
      <c r="X694" s="220"/>
      <c r="Y694" s="245">
        <f>X694*0.1</f>
        <v>0</v>
      </c>
      <c r="Z694" s="220"/>
      <c r="AA694" s="220">
        <f>SUM(X694:Z694)</f>
        <v>0</v>
      </c>
      <c r="AB694" s="246"/>
    </row>
    <row r="695" spans="1:28" ht="17.100000000000001" customHeight="1" thickBot="1">
      <c r="A695" s="227"/>
      <c r="B695" s="27" t="s">
        <v>2472</v>
      </c>
      <c r="C695" s="27">
        <v>82260</v>
      </c>
      <c r="D695" s="14" t="s">
        <v>131</v>
      </c>
      <c r="E695" s="229"/>
      <c r="F695" s="117" t="s">
        <v>2661</v>
      </c>
      <c r="G695" s="26">
        <v>29023</v>
      </c>
      <c r="H695" s="231"/>
      <c r="I695" s="221"/>
      <c r="J695" s="221"/>
      <c r="K695" s="221"/>
      <c r="L695" s="221"/>
      <c r="M695" s="221"/>
      <c r="N695" s="221"/>
      <c r="O695" s="225"/>
      <c r="P695" s="119" t="s">
        <v>1683</v>
      </c>
      <c r="Q695" s="16" t="s">
        <v>20</v>
      </c>
      <c r="R695" s="17" t="s">
        <v>2662</v>
      </c>
      <c r="S695" s="121" t="s">
        <v>1625</v>
      </c>
      <c r="T695" s="122"/>
      <c r="U695" s="22" t="s">
        <v>901</v>
      </c>
      <c r="V695" s="123"/>
      <c r="W695" s="122"/>
      <c r="X695" s="221"/>
      <c r="Y695" s="221"/>
      <c r="Z695" s="221"/>
      <c r="AA695" s="221"/>
      <c r="AB695" s="247"/>
    </row>
    <row r="696" spans="1:28" ht="17.100000000000001" customHeight="1" thickTop="1">
      <c r="A696" s="226" t="s">
        <v>5979</v>
      </c>
      <c r="B696" s="28">
        <v>45374</v>
      </c>
      <c r="C696" s="25">
        <v>1195</v>
      </c>
      <c r="D696" s="13" t="s">
        <v>1589</v>
      </c>
      <c r="E696" s="228"/>
      <c r="F696" s="109" t="s">
        <v>2663</v>
      </c>
      <c r="G696" s="24" t="s">
        <v>2457</v>
      </c>
      <c r="H696" s="230">
        <v>4</v>
      </c>
      <c r="I696" s="220">
        <v>1850000</v>
      </c>
      <c r="J696" s="220">
        <f>I696*0.1</f>
        <v>185000</v>
      </c>
      <c r="K696" s="220">
        <v>39500</v>
      </c>
      <c r="L696" s="220">
        <v>21580</v>
      </c>
      <c r="M696" s="220">
        <v>22000</v>
      </c>
      <c r="N696" s="220">
        <f>SUM(I696:M697)</f>
        <v>2118080</v>
      </c>
      <c r="O696" s="224"/>
      <c r="P696" s="111" t="s">
        <v>2664</v>
      </c>
      <c r="Q696" s="15" t="s">
        <v>19</v>
      </c>
      <c r="R696" s="205"/>
      <c r="S696" s="189" t="s">
        <v>1271</v>
      </c>
      <c r="T696" s="114"/>
      <c r="U696" s="21" t="s">
        <v>2665</v>
      </c>
      <c r="V696" s="115"/>
      <c r="W696" s="116"/>
      <c r="X696" s="220"/>
      <c r="Y696" s="245">
        <f>X696*0.1</f>
        <v>0</v>
      </c>
      <c r="Z696" s="220"/>
      <c r="AA696" s="220">
        <f>SUM(X696:Z696)</f>
        <v>0</v>
      </c>
      <c r="AB696" s="246"/>
    </row>
    <row r="697" spans="1:28" ht="17.100000000000001" customHeight="1" thickBot="1">
      <c r="A697" s="227"/>
      <c r="B697" s="27" t="s">
        <v>2472</v>
      </c>
      <c r="C697" s="27">
        <v>20055</v>
      </c>
      <c r="D697" s="14" t="s">
        <v>1584</v>
      </c>
      <c r="E697" s="229"/>
      <c r="F697" s="117" t="s">
        <v>2666</v>
      </c>
      <c r="G697" s="26">
        <v>38040</v>
      </c>
      <c r="H697" s="231"/>
      <c r="I697" s="221"/>
      <c r="J697" s="221"/>
      <c r="K697" s="221"/>
      <c r="L697" s="221"/>
      <c r="M697" s="221"/>
      <c r="N697" s="221"/>
      <c r="O697" s="225"/>
      <c r="P697" s="119" t="s">
        <v>2568</v>
      </c>
      <c r="Q697" s="16" t="s">
        <v>20</v>
      </c>
      <c r="R697" s="17" t="s">
        <v>1634</v>
      </c>
      <c r="S697" s="121" t="s">
        <v>1731</v>
      </c>
      <c r="T697" s="122"/>
      <c r="U697" s="22"/>
      <c r="V697" s="123"/>
      <c r="W697" s="122"/>
      <c r="X697" s="221"/>
      <c r="Y697" s="221"/>
      <c r="Z697" s="221"/>
      <c r="AA697" s="221"/>
      <c r="AB697" s="247"/>
    </row>
    <row r="698" spans="1:28" ht="17.100000000000001" customHeight="1" thickTop="1">
      <c r="A698" s="226" t="s">
        <v>5980</v>
      </c>
      <c r="B698" s="28">
        <v>45386</v>
      </c>
      <c r="C698" s="25">
        <v>1227</v>
      </c>
      <c r="D698" s="13" t="s">
        <v>1816</v>
      </c>
      <c r="E698" s="228"/>
      <c r="F698" s="109" t="s">
        <v>2667</v>
      </c>
      <c r="G698" s="24"/>
      <c r="H698" s="230">
        <v>4.5</v>
      </c>
      <c r="I698" s="220">
        <v>2135000</v>
      </c>
      <c r="J698" s="220">
        <f>I698*0.1</f>
        <v>213500</v>
      </c>
      <c r="K698" s="220">
        <v>0</v>
      </c>
      <c r="L698" s="220">
        <v>18110</v>
      </c>
      <c r="M698" s="220">
        <v>13200</v>
      </c>
      <c r="N698" s="220">
        <f>SUM(I698:M699)</f>
        <v>2379810</v>
      </c>
      <c r="O698" s="224"/>
      <c r="P698" s="111" t="s">
        <v>2668</v>
      </c>
      <c r="Q698" s="15" t="s">
        <v>19</v>
      </c>
      <c r="R698" s="205"/>
      <c r="S698" s="189" t="s">
        <v>25411</v>
      </c>
      <c r="T698" s="114"/>
      <c r="U698" s="21"/>
      <c r="V698" s="115"/>
      <c r="W698" s="116"/>
      <c r="X698" s="220"/>
      <c r="Y698" s="245">
        <f>X698*0.1</f>
        <v>0</v>
      </c>
      <c r="Z698" s="220"/>
      <c r="AA698" s="220">
        <f>SUM(X698:Z698)</f>
        <v>0</v>
      </c>
      <c r="AB698" s="246"/>
    </row>
    <row r="699" spans="1:28" ht="17.100000000000001" customHeight="1" thickBot="1">
      <c r="A699" s="227"/>
      <c r="B699" s="27" t="s">
        <v>1735</v>
      </c>
      <c r="C699" s="27">
        <v>352</v>
      </c>
      <c r="D699" s="14" t="s">
        <v>1568</v>
      </c>
      <c r="E699" s="229"/>
      <c r="F699" s="117" t="s">
        <v>2669</v>
      </c>
      <c r="G699" s="26">
        <v>41078</v>
      </c>
      <c r="H699" s="231"/>
      <c r="I699" s="221"/>
      <c r="J699" s="221"/>
      <c r="K699" s="221"/>
      <c r="L699" s="221"/>
      <c r="M699" s="221"/>
      <c r="N699" s="221"/>
      <c r="O699" s="225"/>
      <c r="P699" s="119" t="s">
        <v>2670</v>
      </c>
      <c r="Q699" s="16" t="s">
        <v>20</v>
      </c>
      <c r="R699" s="17" t="s">
        <v>1810</v>
      </c>
      <c r="S699" s="121" t="s">
        <v>2671</v>
      </c>
      <c r="T699" s="122"/>
      <c r="U699" s="22"/>
      <c r="V699" s="123"/>
      <c r="W699" s="122"/>
      <c r="X699" s="221"/>
      <c r="Y699" s="221"/>
      <c r="Z699" s="221"/>
      <c r="AA699" s="221"/>
      <c r="AB699" s="247"/>
    </row>
    <row r="700" spans="1:28" ht="17.100000000000001" customHeight="1" thickTop="1">
      <c r="A700" s="226" t="s">
        <v>5981</v>
      </c>
      <c r="B700" s="28">
        <v>45388</v>
      </c>
      <c r="C700" s="25"/>
      <c r="D700" s="13" t="s">
        <v>2672</v>
      </c>
      <c r="E700" s="228"/>
      <c r="F700" s="109" t="s">
        <v>2673</v>
      </c>
      <c r="G700" s="24" t="s">
        <v>1810</v>
      </c>
      <c r="H700" s="230"/>
      <c r="I700" s="220">
        <v>2000000</v>
      </c>
      <c r="J700" s="220">
        <v>0</v>
      </c>
      <c r="K700" s="220"/>
      <c r="L700" s="220"/>
      <c r="M700" s="220"/>
      <c r="N700" s="220">
        <f>SUM(I700:M701)</f>
        <v>2000000</v>
      </c>
      <c r="O700" s="224"/>
      <c r="P700" s="111" t="s">
        <v>2674</v>
      </c>
      <c r="Q700" s="15" t="s">
        <v>19</v>
      </c>
      <c r="R700" s="205"/>
      <c r="S700" s="189"/>
      <c r="T700" s="114"/>
      <c r="U700" s="21"/>
      <c r="V700" s="115"/>
      <c r="W700" s="116"/>
      <c r="X700" s="220"/>
      <c r="Y700" s="245">
        <f>X700*0.1</f>
        <v>0</v>
      </c>
      <c r="Z700" s="220"/>
      <c r="AA700" s="220">
        <f>SUM(X700:Z700)</f>
        <v>0</v>
      </c>
      <c r="AB700" s="246"/>
    </row>
    <row r="701" spans="1:28" ht="17.100000000000001" customHeight="1" thickBot="1">
      <c r="A701" s="227"/>
      <c r="B701" s="27" t="s">
        <v>2675</v>
      </c>
      <c r="C701" s="27"/>
      <c r="D701" s="14" t="s">
        <v>1584</v>
      </c>
      <c r="E701" s="229"/>
      <c r="F701" s="117" t="s">
        <v>2676</v>
      </c>
      <c r="G701" s="26"/>
      <c r="H701" s="231"/>
      <c r="I701" s="221"/>
      <c r="J701" s="221"/>
      <c r="K701" s="221"/>
      <c r="L701" s="221"/>
      <c r="M701" s="221"/>
      <c r="N701" s="221"/>
      <c r="O701" s="225"/>
      <c r="P701" s="119" t="s">
        <v>2677</v>
      </c>
      <c r="Q701" s="16" t="s">
        <v>20</v>
      </c>
      <c r="R701" s="17" t="s">
        <v>1772</v>
      </c>
      <c r="S701" s="121" t="s">
        <v>1923</v>
      </c>
      <c r="T701" s="122"/>
      <c r="U701" s="22"/>
      <c r="V701" s="123"/>
      <c r="W701" s="122"/>
      <c r="X701" s="221"/>
      <c r="Y701" s="221"/>
      <c r="Z701" s="221"/>
      <c r="AA701" s="221"/>
      <c r="AB701" s="247"/>
    </row>
    <row r="702" spans="1:28" ht="17.100000000000001" customHeight="1" thickTop="1">
      <c r="A702" s="226" t="s">
        <v>5982</v>
      </c>
      <c r="B702" s="28">
        <v>45421</v>
      </c>
      <c r="C702" s="25">
        <v>1927</v>
      </c>
      <c r="D702" s="13" t="s">
        <v>812</v>
      </c>
      <c r="E702" s="228"/>
      <c r="F702" s="109" t="s">
        <v>2678</v>
      </c>
      <c r="G702" s="24"/>
      <c r="H702" s="230">
        <v>4.5</v>
      </c>
      <c r="I702" s="220">
        <v>1712000</v>
      </c>
      <c r="J702" s="220">
        <f>I702*0.1</f>
        <v>171200</v>
      </c>
      <c r="K702" s="220">
        <v>0</v>
      </c>
      <c r="L702" s="220">
        <v>16240</v>
      </c>
      <c r="M702" s="220">
        <v>22000</v>
      </c>
      <c r="N702" s="220">
        <f>SUM(I702:M703)</f>
        <v>1921440</v>
      </c>
      <c r="O702" s="224"/>
      <c r="P702" s="111" t="s">
        <v>2679</v>
      </c>
      <c r="Q702" s="15" t="s">
        <v>19</v>
      </c>
      <c r="R702" s="205"/>
      <c r="S702" s="189" t="s">
        <v>25412</v>
      </c>
      <c r="T702" s="114"/>
      <c r="U702" s="21"/>
      <c r="V702" s="115"/>
      <c r="W702" s="116"/>
      <c r="X702" s="220"/>
      <c r="Y702" s="245">
        <f>X702*0.1</f>
        <v>0</v>
      </c>
      <c r="Z702" s="220"/>
      <c r="AA702" s="220">
        <f>SUM(X702:Z702)</f>
        <v>0</v>
      </c>
      <c r="AB702" s="246"/>
    </row>
    <row r="703" spans="1:28" ht="17.100000000000001" customHeight="1" thickBot="1">
      <c r="A703" s="227"/>
      <c r="B703" s="27" t="s">
        <v>2680</v>
      </c>
      <c r="C703" s="27">
        <v>30313</v>
      </c>
      <c r="D703" s="14" t="s">
        <v>1584</v>
      </c>
      <c r="E703" s="229"/>
      <c r="F703" s="117" t="s">
        <v>2681</v>
      </c>
      <c r="G703" s="26">
        <v>45423</v>
      </c>
      <c r="H703" s="231"/>
      <c r="I703" s="221"/>
      <c r="J703" s="221"/>
      <c r="K703" s="221"/>
      <c r="L703" s="221"/>
      <c r="M703" s="221"/>
      <c r="N703" s="221"/>
      <c r="O703" s="225"/>
      <c r="P703" s="119" t="s">
        <v>2682</v>
      </c>
      <c r="Q703" s="16" t="s">
        <v>20</v>
      </c>
      <c r="R703" s="17" t="s">
        <v>2683</v>
      </c>
      <c r="S703" s="121" t="s">
        <v>2684</v>
      </c>
      <c r="T703" s="122"/>
      <c r="U703" s="22"/>
      <c r="V703" s="123"/>
      <c r="W703" s="122"/>
      <c r="X703" s="221"/>
      <c r="Y703" s="221"/>
      <c r="Z703" s="221"/>
      <c r="AA703" s="221"/>
      <c r="AB703" s="247"/>
    </row>
    <row r="704" spans="1:28" ht="17.100000000000001" customHeight="1" thickTop="1">
      <c r="A704" s="226" t="s">
        <v>5983</v>
      </c>
      <c r="B704" s="28">
        <v>45422</v>
      </c>
      <c r="C704" s="25">
        <v>2035</v>
      </c>
      <c r="D704" s="13" t="s">
        <v>1871</v>
      </c>
      <c r="E704" s="228"/>
      <c r="F704" s="109" t="s">
        <v>2685</v>
      </c>
      <c r="G704" s="24" t="s">
        <v>2686</v>
      </c>
      <c r="H704" s="230">
        <v>4.5</v>
      </c>
      <c r="I704" s="220">
        <v>1350000</v>
      </c>
      <c r="J704" s="220">
        <f>I704*0.1</f>
        <v>135000</v>
      </c>
      <c r="K704" s="220">
        <v>36190</v>
      </c>
      <c r="L704" s="220">
        <v>19090</v>
      </c>
      <c r="M704" s="220">
        <v>24200</v>
      </c>
      <c r="N704" s="220">
        <f>SUM(I704:M705)</f>
        <v>1564480</v>
      </c>
      <c r="O704" s="224"/>
      <c r="P704" s="111" t="s">
        <v>2687</v>
      </c>
      <c r="Q704" s="15" t="s">
        <v>19</v>
      </c>
      <c r="R704" s="205"/>
      <c r="S704" s="189"/>
      <c r="T704" s="114"/>
      <c r="U704" s="21"/>
      <c r="V704" s="115"/>
      <c r="W704" s="116"/>
      <c r="X704" s="220"/>
      <c r="Y704" s="245">
        <f>X704*0.1</f>
        <v>0</v>
      </c>
      <c r="Z704" s="220"/>
      <c r="AA704" s="220">
        <f>SUM(X704:Z704)</f>
        <v>0</v>
      </c>
      <c r="AB704" s="246"/>
    </row>
    <row r="705" spans="1:28" ht="17.100000000000001" customHeight="1" thickBot="1">
      <c r="A705" s="227"/>
      <c r="B705" s="27" t="s">
        <v>1536</v>
      </c>
      <c r="C705" s="27">
        <v>58633</v>
      </c>
      <c r="D705" s="14" t="s">
        <v>898</v>
      </c>
      <c r="E705" s="229"/>
      <c r="F705" s="117" t="s">
        <v>2688</v>
      </c>
      <c r="G705" s="26">
        <v>41096</v>
      </c>
      <c r="H705" s="231"/>
      <c r="I705" s="221"/>
      <c r="J705" s="221"/>
      <c r="K705" s="221"/>
      <c r="L705" s="221"/>
      <c r="M705" s="221"/>
      <c r="N705" s="221"/>
      <c r="O705" s="225"/>
      <c r="P705" s="119" t="s">
        <v>1972</v>
      </c>
      <c r="Q705" s="16" t="s">
        <v>20</v>
      </c>
      <c r="R705" s="17" t="s">
        <v>2683</v>
      </c>
      <c r="S705" s="121" t="s">
        <v>2689</v>
      </c>
      <c r="T705" s="122"/>
      <c r="U705" s="67" t="s">
        <v>922</v>
      </c>
      <c r="V705" s="123"/>
      <c r="W705" s="122"/>
      <c r="X705" s="221"/>
      <c r="Y705" s="221"/>
      <c r="Z705" s="221"/>
      <c r="AA705" s="221"/>
      <c r="AB705" s="247"/>
    </row>
    <row r="706" spans="1:28" ht="17.100000000000001" customHeight="1" thickTop="1">
      <c r="A706" s="226" t="s">
        <v>5984</v>
      </c>
      <c r="B706" s="28">
        <v>45426</v>
      </c>
      <c r="C706" s="25">
        <v>841</v>
      </c>
      <c r="D706" s="13" t="s">
        <v>2690</v>
      </c>
      <c r="E706" s="228"/>
      <c r="F706" s="109" t="s">
        <v>2678</v>
      </c>
      <c r="G706" s="24"/>
      <c r="H706" s="230">
        <v>4</v>
      </c>
      <c r="I706" s="220">
        <v>2212000</v>
      </c>
      <c r="J706" s="220">
        <f>I706*0.1</f>
        <v>221200</v>
      </c>
      <c r="K706" s="220">
        <v>0</v>
      </c>
      <c r="L706" s="220">
        <v>16240</v>
      </c>
      <c r="M706" s="220">
        <v>14850</v>
      </c>
      <c r="N706" s="220">
        <f>SUM(I706:M707)</f>
        <v>2464290</v>
      </c>
      <c r="O706" s="224"/>
      <c r="P706" s="111" t="s">
        <v>2691</v>
      </c>
      <c r="Q706" s="15" t="s">
        <v>19</v>
      </c>
      <c r="R706" s="205"/>
      <c r="S706" s="189" t="s">
        <v>758</v>
      </c>
      <c r="T706" s="114"/>
      <c r="U706" s="21"/>
      <c r="V706" s="115"/>
      <c r="W706" s="116"/>
      <c r="X706" s="220"/>
      <c r="Y706" s="245">
        <f>X706*0.1</f>
        <v>0</v>
      </c>
      <c r="Z706" s="220"/>
      <c r="AA706" s="220">
        <f>SUM(X706:Z706)</f>
        <v>0</v>
      </c>
      <c r="AB706" s="246"/>
    </row>
    <row r="707" spans="1:28" ht="17.100000000000001" customHeight="1" thickBot="1">
      <c r="A707" s="227"/>
      <c r="B707" s="27" t="s">
        <v>2654</v>
      </c>
      <c r="C707" s="27">
        <v>5061</v>
      </c>
      <c r="D707" s="14" t="s">
        <v>1627</v>
      </c>
      <c r="E707" s="229"/>
      <c r="F707" s="117" t="s">
        <v>2692</v>
      </c>
      <c r="G707" s="26">
        <v>40634</v>
      </c>
      <c r="H707" s="231"/>
      <c r="I707" s="221"/>
      <c r="J707" s="221"/>
      <c r="K707" s="221"/>
      <c r="L707" s="221"/>
      <c r="M707" s="221"/>
      <c r="N707" s="221"/>
      <c r="O707" s="225"/>
      <c r="P707" s="119" t="s">
        <v>2693</v>
      </c>
      <c r="Q707" s="16" t="s">
        <v>20</v>
      </c>
      <c r="R707" s="17" t="s">
        <v>2694</v>
      </c>
      <c r="S707" s="121" t="s">
        <v>2695</v>
      </c>
      <c r="T707" s="122"/>
      <c r="U707" s="22"/>
      <c r="V707" s="123"/>
      <c r="W707" s="122"/>
      <c r="X707" s="221"/>
      <c r="Y707" s="221"/>
      <c r="Z707" s="221"/>
      <c r="AA707" s="221"/>
      <c r="AB707" s="247"/>
    </row>
    <row r="708" spans="1:28" ht="17.100000000000001" customHeight="1" thickTop="1">
      <c r="A708" s="226" t="s">
        <v>5985</v>
      </c>
      <c r="B708" s="28">
        <v>45427</v>
      </c>
      <c r="C708" s="25">
        <v>1740</v>
      </c>
      <c r="D708" s="13" t="s">
        <v>2313</v>
      </c>
      <c r="E708" s="228"/>
      <c r="F708" s="109" t="s">
        <v>1599</v>
      </c>
      <c r="G708" s="24" t="s">
        <v>2696</v>
      </c>
      <c r="H708" s="230">
        <v>4.5</v>
      </c>
      <c r="I708" s="220">
        <v>1355000</v>
      </c>
      <c r="J708" s="220">
        <f>I708*0.1</f>
        <v>135500</v>
      </c>
      <c r="K708" s="220">
        <v>31570</v>
      </c>
      <c r="L708" s="220">
        <v>17600</v>
      </c>
      <c r="M708" s="220">
        <v>18150</v>
      </c>
      <c r="N708" s="220">
        <f>SUM(I708:M709)</f>
        <v>1557820</v>
      </c>
      <c r="O708" s="224"/>
      <c r="P708" s="111" t="s">
        <v>2697</v>
      </c>
      <c r="Q708" s="15" t="s">
        <v>19</v>
      </c>
      <c r="R708" s="205"/>
      <c r="S708" s="189" t="s">
        <v>25413</v>
      </c>
      <c r="T708" s="114"/>
      <c r="U708" s="21" t="s">
        <v>2699</v>
      </c>
      <c r="V708" s="115"/>
      <c r="W708" s="116"/>
      <c r="X708" s="220"/>
      <c r="Y708" s="245">
        <f>X708*0.1</f>
        <v>0</v>
      </c>
      <c r="Z708" s="220"/>
      <c r="AA708" s="220">
        <f>SUM(X708:Z708)</f>
        <v>0</v>
      </c>
      <c r="AB708" s="246"/>
    </row>
    <row r="709" spans="1:28" ht="17.100000000000001" customHeight="1" thickBot="1">
      <c r="A709" s="227"/>
      <c r="B709" s="27" t="s">
        <v>1791</v>
      </c>
      <c r="C709" s="27">
        <v>38095</v>
      </c>
      <c r="D709" s="14" t="s">
        <v>898</v>
      </c>
      <c r="E709" s="229"/>
      <c r="F709" s="117" t="s">
        <v>2700</v>
      </c>
      <c r="G709" s="26">
        <v>38468</v>
      </c>
      <c r="H709" s="231"/>
      <c r="I709" s="221"/>
      <c r="J709" s="221"/>
      <c r="K709" s="221"/>
      <c r="L709" s="221"/>
      <c r="M709" s="221"/>
      <c r="N709" s="221"/>
      <c r="O709" s="225"/>
      <c r="P709" s="119" t="s">
        <v>2701</v>
      </c>
      <c r="Q709" s="16" t="s">
        <v>20</v>
      </c>
      <c r="R709" s="17" t="s">
        <v>2702</v>
      </c>
      <c r="S709" s="121" t="s">
        <v>2703</v>
      </c>
      <c r="T709" s="122" t="s">
        <v>2704</v>
      </c>
      <c r="U709" s="22"/>
      <c r="V709" s="123"/>
      <c r="W709" s="122"/>
      <c r="X709" s="221"/>
      <c r="Y709" s="221"/>
      <c r="Z709" s="221"/>
      <c r="AA709" s="221"/>
      <c r="AB709" s="247"/>
    </row>
    <row r="710" spans="1:28" ht="17.100000000000001" customHeight="1" thickTop="1">
      <c r="A710" s="226" t="s">
        <v>5986</v>
      </c>
      <c r="B710" s="28">
        <v>45428</v>
      </c>
      <c r="C710" s="25"/>
      <c r="D710" s="13" t="s">
        <v>2705</v>
      </c>
      <c r="E710" s="228"/>
      <c r="F710" s="109" t="s">
        <v>2706</v>
      </c>
      <c r="G710" s="24"/>
      <c r="H710" s="230"/>
      <c r="I710" s="220">
        <v>50000</v>
      </c>
      <c r="J710" s="220">
        <v>0</v>
      </c>
      <c r="K710" s="220"/>
      <c r="L710" s="220"/>
      <c r="M710" s="220"/>
      <c r="N710" s="220">
        <f>SUM(I710:M711)</f>
        <v>50000</v>
      </c>
      <c r="O710" s="224"/>
      <c r="P710" s="111" t="s">
        <v>2707</v>
      </c>
      <c r="Q710" s="15" t="s">
        <v>19</v>
      </c>
      <c r="R710" s="205"/>
      <c r="S710" s="189"/>
      <c r="T710" s="114"/>
      <c r="U710" s="21"/>
      <c r="V710" s="115"/>
      <c r="W710" s="116"/>
      <c r="X710" s="220"/>
      <c r="Y710" s="245">
        <f>X710*0.1</f>
        <v>0</v>
      </c>
      <c r="Z710" s="220"/>
      <c r="AA710" s="220">
        <f>SUM(X710:Z710)</f>
        <v>0</v>
      </c>
      <c r="AB710" s="246"/>
    </row>
    <row r="711" spans="1:28" ht="17.100000000000001" customHeight="1" thickBot="1">
      <c r="A711" s="227"/>
      <c r="B711" s="27" t="s">
        <v>2708</v>
      </c>
      <c r="C711" s="27"/>
      <c r="D711" s="14"/>
      <c r="E711" s="229"/>
      <c r="F711" s="117" t="s">
        <v>2709</v>
      </c>
      <c r="G711" s="26"/>
      <c r="H711" s="231"/>
      <c r="I711" s="221"/>
      <c r="J711" s="221"/>
      <c r="K711" s="221"/>
      <c r="L711" s="221"/>
      <c r="M711" s="221"/>
      <c r="N711" s="221"/>
      <c r="O711" s="225"/>
      <c r="P711" s="119" t="s">
        <v>2710</v>
      </c>
      <c r="Q711" s="16" t="s">
        <v>20</v>
      </c>
      <c r="R711" s="17" t="s">
        <v>2683</v>
      </c>
      <c r="S711" s="121" t="s">
        <v>2711</v>
      </c>
      <c r="T711" s="122"/>
      <c r="U711" s="22" t="s">
        <v>901</v>
      </c>
      <c r="V711" s="123"/>
      <c r="W711" s="122"/>
      <c r="X711" s="221"/>
      <c r="Y711" s="221"/>
      <c r="Z711" s="221"/>
      <c r="AA711" s="221"/>
      <c r="AB711" s="247"/>
    </row>
    <row r="712" spans="1:28" ht="17.100000000000001" customHeight="1" thickTop="1">
      <c r="A712" s="226" t="s">
        <v>5987</v>
      </c>
      <c r="B712" s="28">
        <v>45444</v>
      </c>
      <c r="C712" s="25">
        <v>1204</v>
      </c>
      <c r="D712" s="13" t="s">
        <v>2712</v>
      </c>
      <c r="E712" s="228"/>
      <c r="F712" s="109" t="s">
        <v>1795</v>
      </c>
      <c r="G712" s="24"/>
      <c r="H712" s="230">
        <v>4</v>
      </c>
      <c r="I712" s="220">
        <v>2610000</v>
      </c>
      <c r="J712" s="220">
        <f>I712*0.1</f>
        <v>261000</v>
      </c>
      <c r="K712" s="220">
        <v>0</v>
      </c>
      <c r="L712" s="220">
        <v>16240</v>
      </c>
      <c r="M712" s="220">
        <v>13200</v>
      </c>
      <c r="N712" s="220">
        <f>SUM(I712:M713)</f>
        <v>2900440</v>
      </c>
      <c r="O712" s="224"/>
      <c r="P712" s="111" t="s">
        <v>2713</v>
      </c>
      <c r="Q712" s="15" t="s">
        <v>19</v>
      </c>
      <c r="R712" s="205"/>
      <c r="S712" s="189" t="s">
        <v>1361</v>
      </c>
      <c r="T712" s="114"/>
      <c r="U712" s="21"/>
      <c r="V712" s="115"/>
      <c r="W712" s="116"/>
      <c r="X712" s="220"/>
      <c r="Y712" s="245">
        <f>X712*0.1</f>
        <v>0</v>
      </c>
      <c r="Z712" s="220"/>
      <c r="AA712" s="220">
        <f>SUM(X712:Z712)</f>
        <v>0</v>
      </c>
      <c r="AB712" s="246"/>
    </row>
    <row r="713" spans="1:28" ht="17.100000000000001" customHeight="1" thickBot="1">
      <c r="A713" s="227"/>
      <c r="B713" s="27" t="s">
        <v>2472</v>
      </c>
      <c r="C713" s="27">
        <v>82018</v>
      </c>
      <c r="D713" s="14" t="s">
        <v>273</v>
      </c>
      <c r="E713" s="229"/>
      <c r="F713" s="117" t="s">
        <v>2714</v>
      </c>
      <c r="G713" s="26">
        <v>28690</v>
      </c>
      <c r="H713" s="231"/>
      <c r="I713" s="221"/>
      <c r="J713" s="221"/>
      <c r="K713" s="221"/>
      <c r="L713" s="221"/>
      <c r="M713" s="221"/>
      <c r="N713" s="221"/>
      <c r="O713" s="225"/>
      <c r="P713" s="119" t="s">
        <v>2715</v>
      </c>
      <c r="Q713" s="16" t="s">
        <v>20</v>
      </c>
      <c r="R713" s="17" t="s">
        <v>2716</v>
      </c>
      <c r="S713" s="121" t="s">
        <v>1606</v>
      </c>
      <c r="T713" s="122"/>
      <c r="U713" s="22"/>
      <c r="V713" s="123"/>
      <c r="W713" s="122"/>
      <c r="X713" s="221"/>
      <c r="Y713" s="221"/>
      <c r="Z713" s="221"/>
      <c r="AA713" s="221"/>
      <c r="AB713" s="247"/>
    </row>
    <row r="714" spans="1:28" ht="17.100000000000001" customHeight="1" thickTop="1">
      <c r="A714" s="226" t="s">
        <v>5988</v>
      </c>
      <c r="B714" s="28">
        <v>45444</v>
      </c>
      <c r="C714" s="25">
        <v>1204</v>
      </c>
      <c r="D714" s="13" t="s">
        <v>1685</v>
      </c>
      <c r="E714" s="228"/>
      <c r="F714" s="109" t="s">
        <v>2283</v>
      </c>
      <c r="G714" s="24" t="s">
        <v>2428</v>
      </c>
      <c r="H714" s="230">
        <v>4.5</v>
      </c>
      <c r="I714" s="220">
        <v>1475000</v>
      </c>
      <c r="J714" s="220">
        <f>I714*0.1</f>
        <v>147500</v>
      </c>
      <c r="K714" s="220">
        <v>32560</v>
      </c>
      <c r="L714" s="220">
        <v>20680</v>
      </c>
      <c r="M714" s="220">
        <v>13200</v>
      </c>
      <c r="N714" s="220">
        <f>SUM(I714:M715)</f>
        <v>1688940</v>
      </c>
      <c r="O714" s="224"/>
      <c r="P714" s="111" t="s">
        <v>2717</v>
      </c>
      <c r="Q714" s="15" t="s">
        <v>19</v>
      </c>
      <c r="R714" s="205"/>
      <c r="S714" s="189" t="s">
        <v>1361</v>
      </c>
      <c r="T714" s="114"/>
      <c r="U714" s="21" t="s">
        <v>2718</v>
      </c>
      <c r="V714" s="115"/>
      <c r="W714" s="116"/>
      <c r="X714" s="220"/>
      <c r="Y714" s="245">
        <f>X714*0.1</f>
        <v>0</v>
      </c>
      <c r="Z714" s="220"/>
      <c r="AA714" s="220">
        <f>SUM(X714:Z714)</f>
        <v>0</v>
      </c>
      <c r="AB714" s="246"/>
    </row>
    <row r="715" spans="1:28" ht="17.100000000000001" customHeight="1" thickBot="1">
      <c r="A715" s="227"/>
      <c r="B715" s="27" t="s">
        <v>2472</v>
      </c>
      <c r="C715" s="27">
        <v>82201</v>
      </c>
      <c r="D715" s="14" t="s">
        <v>1584</v>
      </c>
      <c r="E715" s="229"/>
      <c r="F715" s="117" t="s">
        <v>2719</v>
      </c>
      <c r="G715" s="26">
        <v>26660</v>
      </c>
      <c r="H715" s="231"/>
      <c r="I715" s="221"/>
      <c r="J715" s="221"/>
      <c r="K715" s="221"/>
      <c r="L715" s="221"/>
      <c r="M715" s="221"/>
      <c r="N715" s="221"/>
      <c r="O715" s="225"/>
      <c r="P715" s="119" t="s">
        <v>2720</v>
      </c>
      <c r="Q715" s="16" t="s">
        <v>20</v>
      </c>
      <c r="R715" s="17" t="s">
        <v>2716</v>
      </c>
      <c r="S715" s="121" t="s">
        <v>169</v>
      </c>
      <c r="T715" s="122"/>
      <c r="U715" s="22"/>
      <c r="V715" s="123"/>
      <c r="W715" s="122"/>
      <c r="X715" s="221"/>
      <c r="Y715" s="221"/>
      <c r="Z715" s="221"/>
      <c r="AA715" s="221"/>
      <c r="AB715" s="247"/>
    </row>
    <row r="716" spans="1:28" ht="17.100000000000001" customHeight="1" thickTop="1">
      <c r="A716" s="226" t="s">
        <v>5989</v>
      </c>
      <c r="B716" s="28">
        <v>45444</v>
      </c>
      <c r="C716" s="25">
        <v>1204</v>
      </c>
      <c r="D716" s="13" t="s">
        <v>1702</v>
      </c>
      <c r="E716" s="228"/>
      <c r="F716" s="109" t="s">
        <v>2721</v>
      </c>
      <c r="G716" s="24"/>
      <c r="H716" s="230">
        <v>4.5</v>
      </c>
      <c r="I716" s="220">
        <v>1520000</v>
      </c>
      <c r="J716" s="220">
        <f>I716*0.1</f>
        <v>152000</v>
      </c>
      <c r="K716" s="220">
        <v>0</v>
      </c>
      <c r="L716" s="220">
        <v>19440</v>
      </c>
      <c r="M716" s="220">
        <v>24200</v>
      </c>
      <c r="N716" s="220">
        <f>SUM(I716:M717)</f>
        <v>1715640</v>
      </c>
      <c r="O716" s="224"/>
      <c r="P716" s="111" t="s">
        <v>2722</v>
      </c>
      <c r="Q716" s="15" t="s">
        <v>19</v>
      </c>
      <c r="R716" s="205"/>
      <c r="S716" s="189" t="s">
        <v>25368</v>
      </c>
      <c r="T716" s="114"/>
      <c r="U716" s="21"/>
      <c r="V716" s="115">
        <v>46056</v>
      </c>
      <c r="W716" s="116"/>
      <c r="X716" s="220">
        <v>2300000</v>
      </c>
      <c r="Y716" s="245">
        <v>0</v>
      </c>
      <c r="Z716" s="220">
        <v>0</v>
      </c>
      <c r="AA716" s="220">
        <f>SUM(X716:Z716)</f>
        <v>2300000</v>
      </c>
      <c r="AB716" s="246">
        <v>46091</v>
      </c>
    </row>
    <row r="717" spans="1:28" ht="17.100000000000001" customHeight="1" thickBot="1">
      <c r="A717" s="227"/>
      <c r="B717" s="27" t="s">
        <v>2472</v>
      </c>
      <c r="C717" s="27">
        <v>85060</v>
      </c>
      <c r="D717" s="14" t="s">
        <v>273</v>
      </c>
      <c r="E717" s="229"/>
      <c r="F717" s="117" t="s">
        <v>2723</v>
      </c>
      <c r="G717" s="26">
        <v>49023</v>
      </c>
      <c r="H717" s="231"/>
      <c r="I717" s="221"/>
      <c r="J717" s="221"/>
      <c r="K717" s="221"/>
      <c r="L717" s="221"/>
      <c r="M717" s="221"/>
      <c r="N717" s="221"/>
      <c r="O717" s="225"/>
      <c r="P717" s="119" t="s">
        <v>2724</v>
      </c>
      <c r="Q717" s="16" t="s">
        <v>20</v>
      </c>
      <c r="R717" s="17" t="s">
        <v>2716</v>
      </c>
      <c r="S717" s="121" t="s">
        <v>1731</v>
      </c>
      <c r="T717" s="122"/>
      <c r="U717" s="22"/>
      <c r="V717" s="123" t="s">
        <v>23942</v>
      </c>
      <c r="W717" s="122"/>
      <c r="X717" s="221"/>
      <c r="Y717" s="221"/>
      <c r="Z717" s="221"/>
      <c r="AA717" s="221"/>
      <c r="AB717" s="247"/>
    </row>
    <row r="718" spans="1:28" ht="17.100000000000001" customHeight="1" thickTop="1">
      <c r="A718" s="226" t="s">
        <v>5990</v>
      </c>
      <c r="B718" s="28">
        <v>45446</v>
      </c>
      <c r="C718" s="25"/>
      <c r="D718" s="13" t="s">
        <v>2644</v>
      </c>
      <c r="E718" s="228"/>
      <c r="F718" s="109" t="s">
        <v>2725</v>
      </c>
      <c r="G718" s="24"/>
      <c r="H718" s="230">
        <v>3.5</v>
      </c>
      <c r="I718" s="220">
        <v>1052000</v>
      </c>
      <c r="J718" s="220">
        <f>I718*0.1</f>
        <v>105200</v>
      </c>
      <c r="K718" s="220">
        <v>0</v>
      </c>
      <c r="L718" s="220">
        <v>8550</v>
      </c>
      <c r="M718" s="220">
        <v>14850</v>
      </c>
      <c r="N718" s="220">
        <f>SUM(I718:M719)</f>
        <v>1180600</v>
      </c>
      <c r="O718" s="224"/>
      <c r="P718" s="111" t="s">
        <v>2726</v>
      </c>
      <c r="Q718" s="15" t="s">
        <v>19</v>
      </c>
      <c r="R718" s="205"/>
      <c r="S718" s="189" t="s">
        <v>758</v>
      </c>
      <c r="T718" s="114"/>
      <c r="U718" s="21"/>
      <c r="V718" s="115">
        <v>46144</v>
      </c>
      <c r="W718" s="116">
        <v>1299</v>
      </c>
      <c r="X718" s="220">
        <v>1000000</v>
      </c>
      <c r="Y718" s="245">
        <f>X718*0.1</f>
        <v>100000</v>
      </c>
      <c r="Z718" s="220">
        <v>8550</v>
      </c>
      <c r="AA718" s="220">
        <f>SUM(X718:Z718)</f>
        <v>1108550</v>
      </c>
      <c r="AB718" s="246">
        <v>46161</v>
      </c>
    </row>
    <row r="719" spans="1:28" ht="17.100000000000001" customHeight="1" thickBot="1">
      <c r="A719" s="227"/>
      <c r="B719" s="27" t="s">
        <v>2727</v>
      </c>
      <c r="C719" s="27">
        <v>80345</v>
      </c>
      <c r="D719" s="14" t="s">
        <v>1710</v>
      </c>
      <c r="E719" s="229"/>
      <c r="F719" s="117" t="s">
        <v>2728</v>
      </c>
      <c r="G719" s="26">
        <v>46279</v>
      </c>
      <c r="H719" s="231"/>
      <c r="I719" s="221"/>
      <c r="J719" s="221"/>
      <c r="K719" s="221"/>
      <c r="L719" s="221"/>
      <c r="M719" s="221"/>
      <c r="N719" s="221"/>
      <c r="O719" s="225"/>
      <c r="P719" s="119" t="s">
        <v>2729</v>
      </c>
      <c r="Q719" s="16" t="s">
        <v>20</v>
      </c>
      <c r="R719" s="17" t="s">
        <v>1988</v>
      </c>
      <c r="S719" s="121" t="s">
        <v>2730</v>
      </c>
      <c r="T719" s="122"/>
      <c r="U719" s="22"/>
      <c r="V719" s="123" t="s">
        <v>6641</v>
      </c>
      <c r="W719" s="122">
        <v>60049</v>
      </c>
      <c r="X719" s="221"/>
      <c r="Y719" s="221"/>
      <c r="Z719" s="221"/>
      <c r="AA719" s="221"/>
      <c r="AB719" s="247"/>
    </row>
    <row r="720" spans="1:28" ht="17.100000000000001" customHeight="1" thickTop="1">
      <c r="A720" s="226" t="s">
        <v>5991</v>
      </c>
      <c r="B720" s="28">
        <v>45446</v>
      </c>
      <c r="C720" s="25">
        <v>1997</v>
      </c>
      <c r="D720" s="13" t="s">
        <v>1871</v>
      </c>
      <c r="E720" s="228"/>
      <c r="F720" s="109" t="s">
        <v>2731</v>
      </c>
      <c r="G720" s="24" t="s">
        <v>2732</v>
      </c>
      <c r="H720" s="230">
        <v>3.5</v>
      </c>
      <c r="I720" s="220">
        <v>864000</v>
      </c>
      <c r="J720" s="220">
        <f>I720*0.1</f>
        <v>86400</v>
      </c>
      <c r="K720" s="220">
        <v>0</v>
      </c>
      <c r="L720" s="220">
        <v>6540</v>
      </c>
      <c r="M720" s="220">
        <v>8800</v>
      </c>
      <c r="N720" s="220">
        <f>SUM(I720:M721)</f>
        <v>965740</v>
      </c>
      <c r="O720" s="224"/>
      <c r="P720" s="111" t="s">
        <v>2733</v>
      </c>
      <c r="Q720" s="15" t="s">
        <v>19</v>
      </c>
      <c r="R720" s="205"/>
      <c r="S720" s="189" t="s">
        <v>1406</v>
      </c>
      <c r="T720" s="114"/>
      <c r="U720" s="21" t="s">
        <v>2735</v>
      </c>
      <c r="V720" s="115"/>
      <c r="W720" s="116"/>
      <c r="X720" s="220"/>
      <c r="Y720" s="245">
        <f>X720*0.1</f>
        <v>0</v>
      </c>
      <c r="Z720" s="220"/>
      <c r="AA720" s="220">
        <f>SUM(X720:Z720)</f>
        <v>0</v>
      </c>
      <c r="AB720" s="246"/>
    </row>
    <row r="721" spans="1:28" ht="17.100000000000001" customHeight="1" thickBot="1">
      <c r="A721" s="227"/>
      <c r="B721" s="27" t="s">
        <v>82</v>
      </c>
      <c r="C721" s="27">
        <v>24012</v>
      </c>
      <c r="D721" s="14" t="s">
        <v>1584</v>
      </c>
      <c r="E721" s="229"/>
      <c r="F721" s="117" t="s">
        <v>2736</v>
      </c>
      <c r="G721" s="26">
        <v>8035</v>
      </c>
      <c r="H721" s="231"/>
      <c r="I721" s="221"/>
      <c r="J721" s="221"/>
      <c r="K721" s="221"/>
      <c r="L721" s="221"/>
      <c r="M721" s="221"/>
      <c r="N721" s="221"/>
      <c r="O721" s="225"/>
      <c r="P721" s="119" t="s">
        <v>2737</v>
      </c>
      <c r="Q721" s="16" t="s">
        <v>20</v>
      </c>
      <c r="R721" s="17" t="s">
        <v>2320</v>
      </c>
      <c r="S721" s="121" t="s">
        <v>2734</v>
      </c>
      <c r="T721" s="122"/>
      <c r="U721" s="22"/>
      <c r="V721" s="123"/>
      <c r="W721" s="122"/>
      <c r="X721" s="221"/>
      <c r="Y721" s="221"/>
      <c r="Z721" s="221"/>
      <c r="AA721" s="221"/>
      <c r="AB721" s="247"/>
    </row>
    <row r="722" spans="1:28" ht="17.100000000000001" customHeight="1" thickTop="1">
      <c r="A722" s="226" t="s">
        <v>5992</v>
      </c>
      <c r="B722" s="28">
        <v>45451</v>
      </c>
      <c r="C722" s="25">
        <v>1205</v>
      </c>
      <c r="D722" s="13" t="s">
        <v>1704</v>
      </c>
      <c r="E722" s="228"/>
      <c r="F722" s="109" t="s">
        <v>1579</v>
      </c>
      <c r="G722" s="24"/>
      <c r="H722" s="230">
        <v>4.5</v>
      </c>
      <c r="I722" s="220">
        <v>2370000</v>
      </c>
      <c r="J722" s="220">
        <f>I722*0.1</f>
        <v>237000</v>
      </c>
      <c r="K722" s="220">
        <v>0</v>
      </c>
      <c r="L722" s="220">
        <v>16240</v>
      </c>
      <c r="M722" s="220">
        <v>13200</v>
      </c>
      <c r="N722" s="220">
        <f>SUM(I722:M723)</f>
        <v>2636440</v>
      </c>
      <c r="O722" s="224"/>
      <c r="P722" s="111" t="s">
        <v>2738</v>
      </c>
      <c r="Q722" s="15" t="s">
        <v>19</v>
      </c>
      <c r="R722" s="205"/>
      <c r="S722" s="189" t="s">
        <v>1271</v>
      </c>
      <c r="T722" s="114"/>
      <c r="U722" s="21"/>
      <c r="V722" s="115"/>
      <c r="W722" s="116"/>
      <c r="X722" s="220"/>
      <c r="Y722" s="245">
        <f>X722*0.1</f>
        <v>0</v>
      </c>
      <c r="Z722" s="220"/>
      <c r="AA722" s="220">
        <f>SUM(X722:Z722)</f>
        <v>0</v>
      </c>
      <c r="AB722" s="246"/>
    </row>
    <row r="723" spans="1:28" ht="17.100000000000001" customHeight="1" thickBot="1">
      <c r="A723" s="227"/>
      <c r="B723" s="27" t="s">
        <v>2472</v>
      </c>
      <c r="C723" s="27">
        <v>85001</v>
      </c>
      <c r="D723" s="14" t="s">
        <v>1584</v>
      </c>
      <c r="E723" s="229"/>
      <c r="F723" s="117" t="s">
        <v>2739</v>
      </c>
      <c r="G723" s="26">
        <v>18963</v>
      </c>
      <c r="H723" s="231"/>
      <c r="I723" s="221"/>
      <c r="J723" s="221"/>
      <c r="K723" s="221"/>
      <c r="L723" s="221"/>
      <c r="M723" s="221"/>
      <c r="N723" s="221"/>
      <c r="O723" s="225"/>
      <c r="P723" s="119" t="s">
        <v>2740</v>
      </c>
      <c r="Q723" s="16" t="s">
        <v>20</v>
      </c>
      <c r="R723" s="17" t="s">
        <v>2741</v>
      </c>
      <c r="S723" s="121" t="s">
        <v>2742</v>
      </c>
      <c r="T723" s="122"/>
      <c r="U723" s="22"/>
      <c r="V723" s="123"/>
      <c r="W723" s="122"/>
      <c r="X723" s="221"/>
      <c r="Y723" s="221"/>
      <c r="Z723" s="221"/>
      <c r="AA723" s="221"/>
      <c r="AB723" s="247"/>
    </row>
    <row r="724" spans="1:28" ht="17.100000000000001" customHeight="1" thickTop="1">
      <c r="A724" s="226" t="s">
        <v>5993</v>
      </c>
      <c r="B724" s="28">
        <v>45455</v>
      </c>
      <c r="C724" s="25">
        <v>922</v>
      </c>
      <c r="D724" s="13" t="s">
        <v>1634</v>
      </c>
      <c r="E724" s="228"/>
      <c r="F724" s="109" t="s">
        <v>2743</v>
      </c>
      <c r="G724" s="24" t="s">
        <v>2744</v>
      </c>
      <c r="H724" s="230">
        <v>4</v>
      </c>
      <c r="I724" s="220">
        <v>1220000</v>
      </c>
      <c r="J724" s="220">
        <f>I724*0.1</f>
        <v>122000</v>
      </c>
      <c r="K724" s="220">
        <v>0</v>
      </c>
      <c r="L724" s="220">
        <v>8550</v>
      </c>
      <c r="M724" s="220">
        <v>12100</v>
      </c>
      <c r="N724" s="220">
        <f>SUM(I724:M725)</f>
        <v>1362650</v>
      </c>
      <c r="O724" s="224"/>
      <c r="P724" s="111" t="s">
        <v>2745</v>
      </c>
      <c r="Q724" s="15" t="s">
        <v>19</v>
      </c>
      <c r="R724" s="205"/>
      <c r="S724" s="189"/>
      <c r="T724" s="114"/>
      <c r="U724" s="21" t="s">
        <v>2746</v>
      </c>
      <c r="V724" s="115"/>
      <c r="W724" s="116"/>
      <c r="X724" s="220"/>
      <c r="Y724" s="245">
        <f>X724*0.1</f>
        <v>0</v>
      </c>
      <c r="Z724" s="220"/>
      <c r="AA724" s="220">
        <f>SUM(X724:Z724)</f>
        <v>0</v>
      </c>
      <c r="AB724" s="246"/>
    </row>
    <row r="725" spans="1:28" ht="17.100000000000001" customHeight="1" thickBot="1">
      <c r="A725" s="227"/>
      <c r="B725" s="27" t="s">
        <v>2747</v>
      </c>
      <c r="C725" s="27">
        <v>4032</v>
      </c>
      <c r="D725" s="14" t="s">
        <v>273</v>
      </c>
      <c r="E725" s="229"/>
      <c r="F725" s="117" t="s">
        <v>2748</v>
      </c>
      <c r="G725" s="26">
        <v>49833</v>
      </c>
      <c r="H725" s="231"/>
      <c r="I725" s="221"/>
      <c r="J725" s="221"/>
      <c r="K725" s="221"/>
      <c r="L725" s="221"/>
      <c r="M725" s="221"/>
      <c r="N725" s="221"/>
      <c r="O725" s="225"/>
      <c r="P725" s="119" t="s">
        <v>2749</v>
      </c>
      <c r="Q725" s="16" t="s">
        <v>20</v>
      </c>
      <c r="R725" s="17" t="s">
        <v>2008</v>
      </c>
      <c r="S725" s="121" t="s">
        <v>2750</v>
      </c>
      <c r="T725" s="122" t="s">
        <v>2751</v>
      </c>
      <c r="U725" s="22"/>
      <c r="V725" s="123"/>
      <c r="W725" s="122"/>
      <c r="X725" s="221"/>
      <c r="Y725" s="221"/>
      <c r="Z725" s="221"/>
      <c r="AA725" s="221"/>
      <c r="AB725" s="247"/>
    </row>
    <row r="726" spans="1:28" ht="17.100000000000001" customHeight="1" thickTop="1">
      <c r="A726" s="226" t="s">
        <v>5994</v>
      </c>
      <c r="B726" s="28">
        <v>45455</v>
      </c>
      <c r="C726" s="25">
        <v>1744</v>
      </c>
      <c r="D726" s="13" t="s">
        <v>1837</v>
      </c>
      <c r="E726" s="228"/>
      <c r="F726" s="109" t="s">
        <v>1141</v>
      </c>
      <c r="G726" s="24"/>
      <c r="H726" s="230">
        <v>4.5</v>
      </c>
      <c r="I726" s="220">
        <v>2105000</v>
      </c>
      <c r="J726" s="220">
        <f>I726*0.1</f>
        <v>210500</v>
      </c>
      <c r="K726" s="220">
        <v>0</v>
      </c>
      <c r="L726" s="220">
        <v>16240</v>
      </c>
      <c r="M726" s="220">
        <v>18150</v>
      </c>
      <c r="N726" s="220">
        <f>SUM(I726:M727)</f>
        <v>2349890</v>
      </c>
      <c r="O726" s="224"/>
      <c r="P726" s="111" t="s">
        <v>2752</v>
      </c>
      <c r="Q726" s="15" t="s">
        <v>19</v>
      </c>
      <c r="R726" s="205"/>
      <c r="S726" s="189"/>
      <c r="T726" s="114"/>
      <c r="U726" s="21"/>
      <c r="V726" s="115"/>
      <c r="W726" s="116"/>
      <c r="X726" s="220"/>
      <c r="Y726" s="245">
        <f>X726*0.1</f>
        <v>0</v>
      </c>
      <c r="Z726" s="220"/>
      <c r="AA726" s="220">
        <f>SUM(X726:Z726)</f>
        <v>0</v>
      </c>
      <c r="AB726" s="246"/>
    </row>
    <row r="727" spans="1:28" ht="17.100000000000001" customHeight="1" thickBot="1">
      <c r="A727" s="227"/>
      <c r="B727" s="27" t="s">
        <v>1791</v>
      </c>
      <c r="C727" s="27">
        <v>90086</v>
      </c>
      <c r="D727" s="14" t="s">
        <v>2753</v>
      </c>
      <c r="E727" s="229"/>
      <c r="F727" s="117" t="s">
        <v>2754</v>
      </c>
      <c r="G727" s="26">
        <v>23506</v>
      </c>
      <c r="H727" s="231"/>
      <c r="I727" s="221"/>
      <c r="J727" s="221"/>
      <c r="K727" s="221"/>
      <c r="L727" s="221"/>
      <c r="M727" s="221"/>
      <c r="N727" s="221"/>
      <c r="O727" s="225"/>
      <c r="P727" s="119" t="s">
        <v>2755</v>
      </c>
      <c r="Q727" s="16" t="s">
        <v>20</v>
      </c>
      <c r="R727" s="17" t="s">
        <v>2002</v>
      </c>
      <c r="S727" s="121" t="s">
        <v>1731</v>
      </c>
      <c r="T727" s="122"/>
      <c r="U727" s="22"/>
      <c r="V727" s="123"/>
      <c r="W727" s="122"/>
      <c r="X727" s="221"/>
      <c r="Y727" s="221"/>
      <c r="Z727" s="221"/>
      <c r="AA727" s="221"/>
      <c r="AB727" s="247"/>
    </row>
    <row r="728" spans="1:28" ht="17.100000000000001" customHeight="1" thickTop="1">
      <c r="A728" s="226" t="s">
        <v>5995</v>
      </c>
      <c r="B728" s="28">
        <v>45456</v>
      </c>
      <c r="C728" s="25">
        <v>1471</v>
      </c>
      <c r="D728" s="13" t="s">
        <v>1788</v>
      </c>
      <c r="E728" s="228"/>
      <c r="F728" s="109" t="s">
        <v>2756</v>
      </c>
      <c r="G728" s="24"/>
      <c r="H728" s="230">
        <v>4</v>
      </c>
      <c r="I728" s="220">
        <v>2035000</v>
      </c>
      <c r="J728" s="220">
        <f>I728*0.1</f>
        <v>203500</v>
      </c>
      <c r="K728" s="220">
        <v>0</v>
      </c>
      <c r="L728" s="220">
        <v>19090</v>
      </c>
      <c r="M728" s="220">
        <v>13200</v>
      </c>
      <c r="N728" s="220">
        <f>SUM(I728:M729)</f>
        <v>2270790</v>
      </c>
      <c r="O728" s="224"/>
      <c r="P728" s="111" t="s">
        <v>2757</v>
      </c>
      <c r="Q728" s="15" t="s">
        <v>19</v>
      </c>
      <c r="R728" s="205"/>
      <c r="S728" s="189" t="s">
        <v>1312</v>
      </c>
      <c r="T728" s="114"/>
      <c r="U728" s="21"/>
      <c r="V728" s="115">
        <v>46304</v>
      </c>
      <c r="W728" s="116"/>
      <c r="X728" s="220">
        <v>2910000</v>
      </c>
      <c r="Y728" s="245">
        <v>0</v>
      </c>
      <c r="Z728" s="220">
        <v>0</v>
      </c>
      <c r="AA728" s="220">
        <f>SUM(X728:Z728)</f>
        <v>2910000</v>
      </c>
      <c r="AB728" s="246">
        <v>46357</v>
      </c>
    </row>
    <row r="729" spans="1:28" ht="17.100000000000001" customHeight="1" thickBot="1">
      <c r="A729" s="227"/>
      <c r="B729" s="27" t="s">
        <v>1592</v>
      </c>
      <c r="C729" s="27">
        <v>75917</v>
      </c>
      <c r="D729" s="14" t="s">
        <v>1627</v>
      </c>
      <c r="E729" s="229"/>
      <c r="F729" s="117" t="s">
        <v>2758</v>
      </c>
      <c r="G729" s="26">
        <v>41190</v>
      </c>
      <c r="H729" s="231"/>
      <c r="I729" s="221"/>
      <c r="J729" s="221"/>
      <c r="K729" s="221"/>
      <c r="L729" s="221"/>
      <c r="M729" s="221"/>
      <c r="N729" s="221"/>
      <c r="O729" s="225"/>
      <c r="P729" s="119" t="s">
        <v>2759</v>
      </c>
      <c r="Q729" s="16" t="s">
        <v>20</v>
      </c>
      <c r="R729" s="17" t="s">
        <v>2008</v>
      </c>
      <c r="S729" s="121" t="s">
        <v>2760</v>
      </c>
      <c r="T729" s="122"/>
      <c r="U729" s="22"/>
      <c r="V729" s="123" t="s">
        <v>15357</v>
      </c>
      <c r="W729" s="122"/>
      <c r="X729" s="221"/>
      <c r="Y729" s="221"/>
      <c r="Z729" s="221"/>
      <c r="AA729" s="221"/>
      <c r="AB729" s="247"/>
    </row>
    <row r="730" spans="1:28" ht="17.100000000000001" customHeight="1" thickTop="1">
      <c r="A730" s="226" t="s">
        <v>5996</v>
      </c>
      <c r="B730" s="28">
        <v>45458</v>
      </c>
      <c r="C730" s="25">
        <v>1206</v>
      </c>
      <c r="D730" s="13" t="s">
        <v>1589</v>
      </c>
      <c r="E730" s="228"/>
      <c r="F730" s="109" t="s">
        <v>2658</v>
      </c>
      <c r="G730" s="24" t="s">
        <v>2761</v>
      </c>
      <c r="H730" s="230">
        <v>4.5</v>
      </c>
      <c r="I730" s="220">
        <v>2090000</v>
      </c>
      <c r="J730" s="220">
        <f>I730*0.1</f>
        <v>209000</v>
      </c>
      <c r="K730" s="220">
        <v>28380</v>
      </c>
      <c r="L730" s="220">
        <v>11740</v>
      </c>
      <c r="M730" s="220">
        <v>13200</v>
      </c>
      <c r="N730" s="220">
        <f>SUM(I730:M731)</f>
        <v>2352320</v>
      </c>
      <c r="O730" s="224"/>
      <c r="P730" s="111" t="s">
        <v>2762</v>
      </c>
      <c r="Q730" s="15" t="s">
        <v>19</v>
      </c>
      <c r="R730" s="205"/>
      <c r="S730" s="189" t="s">
        <v>25414</v>
      </c>
      <c r="T730" s="114"/>
      <c r="U730" s="21" t="s">
        <v>2763</v>
      </c>
      <c r="V730" s="115"/>
      <c r="W730" s="116"/>
      <c r="X730" s="220"/>
      <c r="Y730" s="245">
        <f>X730*0.1</f>
        <v>0</v>
      </c>
      <c r="Z730" s="220"/>
      <c r="AA730" s="220">
        <f>SUM(X730:Z730)</f>
        <v>0</v>
      </c>
      <c r="AB730" s="246"/>
    </row>
    <row r="731" spans="1:28" ht="17.100000000000001" customHeight="1" thickBot="1">
      <c r="A731" s="227"/>
      <c r="B731" s="27" t="s">
        <v>2472</v>
      </c>
      <c r="C731" s="27">
        <v>85019</v>
      </c>
      <c r="D731" s="14" t="s">
        <v>131</v>
      </c>
      <c r="E731" s="229"/>
      <c r="F731" s="117" t="s">
        <v>2764</v>
      </c>
      <c r="G731" s="26">
        <v>33145</v>
      </c>
      <c r="H731" s="231"/>
      <c r="I731" s="221"/>
      <c r="J731" s="221"/>
      <c r="K731" s="221"/>
      <c r="L731" s="221"/>
      <c r="M731" s="221"/>
      <c r="N731" s="221"/>
      <c r="O731" s="225"/>
      <c r="P731" s="119" t="s">
        <v>2765</v>
      </c>
      <c r="Q731" s="16" t="s">
        <v>20</v>
      </c>
      <c r="R731" s="17" t="s">
        <v>2741</v>
      </c>
      <c r="S731" s="121" t="s">
        <v>1625</v>
      </c>
      <c r="T731" s="122"/>
      <c r="U731" s="22"/>
      <c r="V731" s="123"/>
      <c r="W731" s="122"/>
      <c r="X731" s="221"/>
      <c r="Y731" s="221"/>
      <c r="Z731" s="221"/>
      <c r="AA731" s="221"/>
      <c r="AB731" s="247"/>
    </row>
    <row r="732" spans="1:28" ht="17.100000000000001" customHeight="1" thickTop="1">
      <c r="A732" s="226" t="s">
        <v>5997</v>
      </c>
      <c r="B732" s="28">
        <v>45460</v>
      </c>
      <c r="C732" s="25">
        <v>1999</v>
      </c>
      <c r="D732" s="13" t="s">
        <v>2766</v>
      </c>
      <c r="E732" s="228"/>
      <c r="F732" s="109" t="s">
        <v>2767</v>
      </c>
      <c r="G732" s="24"/>
      <c r="H732" s="230">
        <v>4</v>
      </c>
      <c r="I732" s="220">
        <v>3405000</v>
      </c>
      <c r="J732" s="220">
        <f>I732*0.1</f>
        <v>340500</v>
      </c>
      <c r="K732" s="220">
        <v>0</v>
      </c>
      <c r="L732" s="220">
        <v>16040</v>
      </c>
      <c r="M732" s="220">
        <v>12100</v>
      </c>
      <c r="N732" s="220">
        <f>SUM(I732:M733)</f>
        <v>3773640</v>
      </c>
      <c r="O732" s="224"/>
      <c r="P732" s="111" t="s">
        <v>2768</v>
      </c>
      <c r="Q732" s="15" t="s">
        <v>19</v>
      </c>
      <c r="R732" s="205"/>
      <c r="S732" s="189" t="s">
        <v>1361</v>
      </c>
      <c r="T732" s="114"/>
      <c r="U732" s="21"/>
      <c r="V732" s="115"/>
      <c r="W732" s="116"/>
      <c r="X732" s="220"/>
      <c r="Y732" s="245">
        <f>X732*0.1</f>
        <v>0</v>
      </c>
      <c r="Z732" s="220"/>
      <c r="AA732" s="220">
        <f>SUM(X732:Z732)</f>
        <v>0</v>
      </c>
      <c r="AB732" s="246"/>
    </row>
    <row r="733" spans="1:28" ht="17.100000000000001" customHeight="1" thickBot="1">
      <c r="A733" s="227"/>
      <c r="B733" s="27" t="s">
        <v>82</v>
      </c>
      <c r="C733" s="27">
        <v>33526</v>
      </c>
      <c r="D733" s="14" t="s">
        <v>1568</v>
      </c>
      <c r="E733" s="229"/>
      <c r="F733" s="117" t="s">
        <v>2769</v>
      </c>
      <c r="G733" s="26">
        <v>57978</v>
      </c>
      <c r="H733" s="231"/>
      <c r="I733" s="221"/>
      <c r="J733" s="221"/>
      <c r="K733" s="221"/>
      <c r="L733" s="221"/>
      <c r="M733" s="221"/>
      <c r="N733" s="221"/>
      <c r="O733" s="225"/>
      <c r="P733" s="119" t="s">
        <v>2622</v>
      </c>
      <c r="Q733" s="16" t="s">
        <v>20</v>
      </c>
      <c r="R733" s="17" t="s">
        <v>2770</v>
      </c>
      <c r="S733" s="121" t="s">
        <v>1731</v>
      </c>
      <c r="T733" s="122" t="s">
        <v>2771</v>
      </c>
      <c r="U733" s="22"/>
      <c r="V733" s="123"/>
      <c r="W733" s="122"/>
      <c r="X733" s="221"/>
      <c r="Y733" s="221"/>
      <c r="Z733" s="221"/>
      <c r="AA733" s="221"/>
      <c r="AB733" s="247"/>
    </row>
    <row r="734" spans="1:28" ht="17.100000000000001" customHeight="1" thickTop="1">
      <c r="A734" s="226" t="s">
        <v>5998</v>
      </c>
      <c r="B734" s="28">
        <v>45465</v>
      </c>
      <c r="C734" s="25">
        <v>1372</v>
      </c>
      <c r="D734" s="13" t="s">
        <v>1996</v>
      </c>
      <c r="E734" s="228"/>
      <c r="F734" s="109" t="s">
        <v>2772</v>
      </c>
      <c r="G734" s="24"/>
      <c r="H734" s="230">
        <v>4</v>
      </c>
      <c r="I734" s="220">
        <v>1400000</v>
      </c>
      <c r="J734" s="220">
        <f>I734*0.1</f>
        <v>140000</v>
      </c>
      <c r="K734" s="220">
        <v>0</v>
      </c>
      <c r="L734" s="220">
        <v>19440</v>
      </c>
      <c r="M734" s="220">
        <v>24200</v>
      </c>
      <c r="N734" s="220">
        <f>SUM(I734:M735)</f>
        <v>1583640</v>
      </c>
      <c r="O734" s="224"/>
      <c r="P734" s="111" t="s">
        <v>2773</v>
      </c>
      <c r="Q734" s="15" t="s">
        <v>19</v>
      </c>
      <c r="R734" s="205"/>
      <c r="S734" s="189" t="s">
        <v>758</v>
      </c>
      <c r="T734" s="114"/>
      <c r="U734" s="21"/>
      <c r="V734" s="115"/>
      <c r="W734" s="116"/>
      <c r="X734" s="220"/>
      <c r="Y734" s="245">
        <f>X734*0.1</f>
        <v>0</v>
      </c>
      <c r="Z734" s="220"/>
      <c r="AA734" s="220">
        <f>SUM(X734:Z734)</f>
        <v>0</v>
      </c>
      <c r="AB734" s="246"/>
    </row>
    <row r="735" spans="1:28" ht="17.100000000000001" customHeight="1" thickBot="1">
      <c r="A735" s="227"/>
      <c r="B735" s="27" t="s">
        <v>1765</v>
      </c>
      <c r="C735" s="27">
        <v>7051</v>
      </c>
      <c r="D735" s="14" t="s">
        <v>273</v>
      </c>
      <c r="E735" s="229"/>
      <c r="F735" s="117" t="s">
        <v>2774</v>
      </c>
      <c r="G735" s="26">
        <v>51513</v>
      </c>
      <c r="H735" s="231"/>
      <c r="I735" s="221"/>
      <c r="J735" s="221"/>
      <c r="K735" s="221"/>
      <c r="L735" s="221"/>
      <c r="M735" s="221"/>
      <c r="N735" s="221"/>
      <c r="O735" s="225"/>
      <c r="P735" s="119" t="s">
        <v>2775</v>
      </c>
      <c r="Q735" s="16" t="s">
        <v>20</v>
      </c>
      <c r="R735" s="17" t="s">
        <v>2776</v>
      </c>
      <c r="S735" s="121" t="s">
        <v>2777</v>
      </c>
      <c r="T735" s="122"/>
      <c r="U735" s="22"/>
      <c r="V735" s="123"/>
      <c r="W735" s="122"/>
      <c r="X735" s="221"/>
      <c r="Y735" s="221"/>
      <c r="Z735" s="221"/>
      <c r="AA735" s="221"/>
      <c r="AB735" s="247"/>
    </row>
    <row r="736" spans="1:28" ht="17.100000000000001" customHeight="1" thickTop="1">
      <c r="A736" s="226" t="s">
        <v>5999</v>
      </c>
      <c r="B736" s="28">
        <v>45468</v>
      </c>
      <c r="C736" s="25">
        <v>1001</v>
      </c>
      <c r="D736" s="13" t="s">
        <v>1715</v>
      </c>
      <c r="E736" s="228"/>
      <c r="F736" s="109" t="s">
        <v>1854</v>
      </c>
      <c r="G736" s="24" t="s">
        <v>2778</v>
      </c>
      <c r="H736" s="230">
        <v>4.5</v>
      </c>
      <c r="I736" s="220">
        <v>2240000</v>
      </c>
      <c r="J736" s="220">
        <f>I736*0.1</f>
        <v>224000</v>
      </c>
      <c r="K736" s="220">
        <v>32560</v>
      </c>
      <c r="L736" s="220">
        <v>17600</v>
      </c>
      <c r="M736" s="220">
        <v>13200</v>
      </c>
      <c r="N736" s="220">
        <f>SUM(I736:M737)</f>
        <v>2527360</v>
      </c>
      <c r="O736" s="224"/>
      <c r="P736" s="111" t="s">
        <v>2779</v>
      </c>
      <c r="Q736" s="15" t="s">
        <v>19</v>
      </c>
      <c r="R736" s="205"/>
      <c r="S736" s="189" t="s">
        <v>25371</v>
      </c>
      <c r="T736" s="114"/>
      <c r="U736" s="21" t="s">
        <v>2780</v>
      </c>
      <c r="V736" s="115"/>
      <c r="W736" s="116"/>
      <c r="X736" s="220"/>
      <c r="Y736" s="245">
        <f>X736*0.1</f>
        <v>0</v>
      </c>
      <c r="Z736" s="220"/>
      <c r="AA736" s="220">
        <f>SUM(X736:Z736)</f>
        <v>0</v>
      </c>
      <c r="AB736" s="246"/>
    </row>
    <row r="737" spans="1:28" ht="17.100000000000001" customHeight="1" thickBot="1">
      <c r="A737" s="227"/>
      <c r="B737" s="27" t="s">
        <v>1583</v>
      </c>
      <c r="C737" s="27">
        <v>82023</v>
      </c>
      <c r="D737" s="14" t="s">
        <v>1797</v>
      </c>
      <c r="E737" s="229"/>
      <c r="F737" s="117" t="s">
        <v>2781</v>
      </c>
      <c r="G737" s="26">
        <v>13019</v>
      </c>
      <c r="H737" s="231"/>
      <c r="I737" s="221"/>
      <c r="J737" s="221"/>
      <c r="K737" s="221"/>
      <c r="L737" s="221"/>
      <c r="M737" s="221"/>
      <c r="N737" s="221"/>
      <c r="O737" s="225"/>
      <c r="P737" s="119" t="s">
        <v>2782</v>
      </c>
      <c r="Q737" s="16" t="s">
        <v>20</v>
      </c>
      <c r="R737" s="17" t="s">
        <v>2783</v>
      </c>
      <c r="S737" s="121" t="s">
        <v>2784</v>
      </c>
      <c r="T737" s="122"/>
      <c r="U737" s="22"/>
      <c r="V737" s="123"/>
      <c r="W737" s="122"/>
      <c r="X737" s="221"/>
      <c r="Y737" s="221"/>
      <c r="Z737" s="221"/>
      <c r="AA737" s="221"/>
      <c r="AB737" s="247"/>
    </row>
    <row r="738" spans="1:28" ht="17.100000000000001" customHeight="1" thickTop="1">
      <c r="A738" s="226" t="s">
        <v>6000</v>
      </c>
      <c r="B738" s="28">
        <v>45469</v>
      </c>
      <c r="C738" s="25">
        <v>1165</v>
      </c>
      <c r="D738" s="13" t="s">
        <v>1685</v>
      </c>
      <c r="E738" s="228"/>
      <c r="F738" s="109" t="s">
        <v>2785</v>
      </c>
      <c r="G738" s="24"/>
      <c r="H738" s="230">
        <v>4.5</v>
      </c>
      <c r="I738" s="220">
        <v>2352000</v>
      </c>
      <c r="J738" s="220">
        <f>I738*0.1</f>
        <v>235200</v>
      </c>
      <c r="K738" s="220">
        <v>0</v>
      </c>
      <c r="L738" s="220">
        <v>13210</v>
      </c>
      <c r="M738" s="220">
        <v>22000</v>
      </c>
      <c r="N738" s="220">
        <f>SUM(I738:M739)</f>
        <v>2622410</v>
      </c>
      <c r="O738" s="224"/>
      <c r="P738" s="111" t="s">
        <v>2786</v>
      </c>
      <c r="Q738" s="15" t="s">
        <v>19</v>
      </c>
      <c r="R738" s="205"/>
      <c r="S738" s="189"/>
      <c r="T738" s="114"/>
      <c r="U738" s="21"/>
      <c r="V738" s="115"/>
      <c r="W738" s="116"/>
      <c r="X738" s="220"/>
      <c r="Y738" s="245">
        <f>X738*0.1</f>
        <v>0</v>
      </c>
      <c r="Z738" s="220"/>
      <c r="AA738" s="220">
        <f>SUM(X738:Z738)</f>
        <v>0</v>
      </c>
      <c r="AB738" s="246"/>
    </row>
    <row r="739" spans="1:28" ht="17.100000000000001" customHeight="1" thickBot="1">
      <c r="A739" s="227"/>
      <c r="B739" s="27" t="s">
        <v>2787</v>
      </c>
      <c r="C739" s="27">
        <v>224</v>
      </c>
      <c r="D739" s="14" t="s">
        <v>2788</v>
      </c>
      <c r="E739" s="229"/>
      <c r="F739" s="117" t="s">
        <v>2789</v>
      </c>
      <c r="G739" s="26">
        <v>15961</v>
      </c>
      <c r="H739" s="231"/>
      <c r="I739" s="221"/>
      <c r="J739" s="221"/>
      <c r="K739" s="221"/>
      <c r="L739" s="221"/>
      <c r="M739" s="221"/>
      <c r="N739" s="221"/>
      <c r="O739" s="225"/>
      <c r="P739" s="119" t="s">
        <v>2446</v>
      </c>
      <c r="Q739" s="16" t="s">
        <v>20</v>
      </c>
      <c r="R739" s="17" t="s">
        <v>2790</v>
      </c>
      <c r="S739" s="121" t="s">
        <v>1606</v>
      </c>
      <c r="T739" s="122"/>
      <c r="U739" s="22"/>
      <c r="V739" s="123"/>
      <c r="W739" s="122"/>
      <c r="X739" s="221"/>
      <c r="Y739" s="221"/>
      <c r="Z739" s="221"/>
      <c r="AA739" s="221"/>
      <c r="AB739" s="247"/>
    </row>
    <row r="740" spans="1:28" ht="17.100000000000001" customHeight="1" thickTop="1">
      <c r="A740" s="226" t="s">
        <v>6001</v>
      </c>
      <c r="B740" s="28">
        <v>45470</v>
      </c>
      <c r="C740" s="25">
        <v>1473</v>
      </c>
      <c r="D740" s="13" t="s">
        <v>2288</v>
      </c>
      <c r="E740" s="228"/>
      <c r="F740" s="109" t="s">
        <v>2791</v>
      </c>
      <c r="G740" s="24" t="s">
        <v>2792</v>
      </c>
      <c r="H740" s="230">
        <v>4.5</v>
      </c>
      <c r="I740" s="220">
        <v>2535000</v>
      </c>
      <c r="J740" s="220">
        <f>I740*0.1</f>
        <v>253500</v>
      </c>
      <c r="K740" s="220">
        <v>42020</v>
      </c>
      <c r="L740" s="220">
        <v>18130</v>
      </c>
      <c r="M740" s="220">
        <v>13200</v>
      </c>
      <c r="N740" s="220">
        <f>SUM(I740:M741)</f>
        <v>2861850</v>
      </c>
      <c r="O740" s="224"/>
      <c r="P740" s="111" t="s">
        <v>2793</v>
      </c>
      <c r="Q740" s="15" t="s">
        <v>19</v>
      </c>
      <c r="R740" s="205"/>
      <c r="S740" s="189"/>
      <c r="T740" s="114"/>
      <c r="U740" s="21" t="s">
        <v>2794</v>
      </c>
      <c r="V740" s="115">
        <v>46054</v>
      </c>
      <c r="W740" s="116"/>
      <c r="X740" s="220">
        <v>3800000</v>
      </c>
      <c r="Y740" s="245">
        <v>0</v>
      </c>
      <c r="Z740" s="220">
        <v>0</v>
      </c>
      <c r="AA740" s="220">
        <f>SUM(X740:Z740)</f>
        <v>3800000</v>
      </c>
      <c r="AB740" s="246">
        <v>46082</v>
      </c>
    </row>
    <row r="741" spans="1:28" ht="17.100000000000001" customHeight="1" thickBot="1">
      <c r="A741" s="227"/>
      <c r="B741" s="27" t="s">
        <v>1592</v>
      </c>
      <c r="C741" s="27">
        <v>75948</v>
      </c>
      <c r="D741" s="14" t="s">
        <v>2559</v>
      </c>
      <c r="E741" s="229"/>
      <c r="F741" s="117" t="s">
        <v>2795</v>
      </c>
      <c r="G741" s="26">
        <v>49448</v>
      </c>
      <c r="H741" s="231"/>
      <c r="I741" s="221"/>
      <c r="J741" s="221"/>
      <c r="K741" s="221"/>
      <c r="L741" s="221"/>
      <c r="M741" s="221"/>
      <c r="N741" s="221"/>
      <c r="O741" s="225"/>
      <c r="P741" s="119" t="s">
        <v>2796</v>
      </c>
      <c r="Q741" s="16" t="s">
        <v>20</v>
      </c>
      <c r="R741" s="17" t="s">
        <v>2790</v>
      </c>
      <c r="S741" s="121" t="s">
        <v>1731</v>
      </c>
      <c r="T741" s="122"/>
      <c r="U741" s="22"/>
      <c r="V741" s="123" t="s">
        <v>23939</v>
      </c>
      <c r="W741" s="122"/>
      <c r="X741" s="221"/>
      <c r="Y741" s="221"/>
      <c r="Z741" s="221"/>
      <c r="AA741" s="221"/>
      <c r="AB741" s="247"/>
    </row>
    <row r="742" spans="1:28" ht="17.100000000000001" customHeight="1" thickTop="1">
      <c r="A742" s="226" t="s">
        <v>6002</v>
      </c>
      <c r="B742" s="28">
        <v>45479</v>
      </c>
      <c r="C742" s="25"/>
      <c r="D742" s="13" t="s">
        <v>2295</v>
      </c>
      <c r="E742" s="228"/>
      <c r="F742" s="109" t="s">
        <v>2797</v>
      </c>
      <c r="G742" s="24" t="s">
        <v>2470</v>
      </c>
      <c r="H742" s="230">
        <v>4</v>
      </c>
      <c r="I742" s="220">
        <f>5599000/1.1</f>
        <v>5090000</v>
      </c>
      <c r="J742" s="220">
        <f>I742*0.1</f>
        <v>509000</v>
      </c>
      <c r="K742" s="220">
        <v>33300</v>
      </c>
      <c r="L742" s="220">
        <v>12580</v>
      </c>
      <c r="M742" s="220">
        <v>194975</v>
      </c>
      <c r="N742" s="220">
        <f>SUM(I742:M743)</f>
        <v>5839855</v>
      </c>
      <c r="O742" s="224"/>
      <c r="P742" s="110" t="s">
        <v>2798</v>
      </c>
      <c r="Q742" s="15" t="s">
        <v>19</v>
      </c>
      <c r="R742" s="205"/>
      <c r="S742" s="189" t="s">
        <v>1361</v>
      </c>
      <c r="T742" s="114"/>
      <c r="U742" s="21" t="s">
        <v>2799</v>
      </c>
      <c r="V742" s="115"/>
      <c r="W742" s="116"/>
      <c r="X742" s="220"/>
      <c r="Y742" s="245">
        <f>X742*0.1</f>
        <v>0</v>
      </c>
      <c r="Z742" s="220"/>
      <c r="AA742" s="220">
        <f>SUM(X742:Z742)</f>
        <v>0</v>
      </c>
      <c r="AB742" s="222"/>
    </row>
    <row r="743" spans="1:28" ht="17.100000000000001" customHeight="1" thickBot="1">
      <c r="A743" s="227"/>
      <c r="B743" s="27" t="s">
        <v>1708</v>
      </c>
      <c r="C743" s="27" t="s">
        <v>2800</v>
      </c>
      <c r="D743" s="14" t="s">
        <v>2801</v>
      </c>
      <c r="E743" s="229"/>
      <c r="F743" s="117" t="s">
        <v>2802</v>
      </c>
      <c r="G743" s="26">
        <v>46044</v>
      </c>
      <c r="H743" s="231"/>
      <c r="I743" s="221"/>
      <c r="J743" s="221"/>
      <c r="K743" s="221"/>
      <c r="L743" s="221"/>
      <c r="M743" s="221"/>
      <c r="N743" s="221"/>
      <c r="O743" s="225"/>
      <c r="P743" s="118" t="s">
        <v>1647</v>
      </c>
      <c r="Q743" s="16" t="s">
        <v>20</v>
      </c>
      <c r="R743" s="17" t="s">
        <v>2803</v>
      </c>
      <c r="S743" s="121" t="s">
        <v>2360</v>
      </c>
      <c r="T743" s="122"/>
      <c r="U743" s="22" t="s">
        <v>901</v>
      </c>
      <c r="V743" s="123"/>
      <c r="W743" s="122"/>
      <c r="X743" s="221"/>
      <c r="Y743" s="221"/>
      <c r="Z743" s="221"/>
      <c r="AA743" s="221"/>
      <c r="AB743" s="223"/>
    </row>
    <row r="744" spans="1:28" ht="17.100000000000001" customHeight="1" thickTop="1">
      <c r="A744" s="226" t="s">
        <v>6003</v>
      </c>
      <c r="B744" s="28">
        <v>45482</v>
      </c>
      <c r="C744" s="25">
        <v>1150</v>
      </c>
      <c r="D744" s="13" t="s">
        <v>2804</v>
      </c>
      <c r="E744" s="228"/>
      <c r="F744" s="109" t="s">
        <v>2805</v>
      </c>
      <c r="G744" s="24" t="s">
        <v>2806</v>
      </c>
      <c r="H744" s="230">
        <v>4.5</v>
      </c>
      <c r="I744" s="220">
        <v>2250000</v>
      </c>
      <c r="J744" s="220">
        <f>I744*0.1</f>
        <v>225000</v>
      </c>
      <c r="K744" s="220">
        <v>25300</v>
      </c>
      <c r="L744" s="220">
        <v>11740</v>
      </c>
      <c r="M744" s="220">
        <v>14850</v>
      </c>
      <c r="N744" s="220">
        <f>SUM(I744:M745)</f>
        <v>2526890</v>
      </c>
      <c r="O744" s="224"/>
      <c r="P744" s="110" t="s">
        <v>2807</v>
      </c>
      <c r="Q744" s="15" t="s">
        <v>19</v>
      </c>
      <c r="R744" s="205"/>
      <c r="S744" s="189" t="s">
        <v>758</v>
      </c>
      <c r="T744" s="114"/>
      <c r="U744" s="21" t="s">
        <v>2808</v>
      </c>
      <c r="V744" s="115"/>
      <c r="W744" s="116"/>
      <c r="X744" s="220"/>
      <c r="Y744" s="245">
        <f>X744*0.1</f>
        <v>0</v>
      </c>
      <c r="Z744" s="220"/>
      <c r="AA744" s="220">
        <f>SUM(X744:Z744)</f>
        <v>0</v>
      </c>
      <c r="AB744" s="222"/>
    </row>
    <row r="745" spans="1:28" ht="17.100000000000001" customHeight="1" thickBot="1">
      <c r="A745" s="227"/>
      <c r="B745" s="27" t="s">
        <v>2344</v>
      </c>
      <c r="C745" s="27">
        <v>5054</v>
      </c>
      <c r="D745" s="14" t="s">
        <v>2788</v>
      </c>
      <c r="E745" s="229"/>
      <c r="F745" s="117" t="s">
        <v>2809</v>
      </c>
      <c r="G745" s="26">
        <v>41887</v>
      </c>
      <c r="H745" s="231"/>
      <c r="I745" s="221"/>
      <c r="J745" s="221"/>
      <c r="K745" s="221"/>
      <c r="L745" s="221"/>
      <c r="M745" s="221"/>
      <c r="N745" s="221"/>
      <c r="O745" s="225"/>
      <c r="P745" s="118" t="s">
        <v>1647</v>
      </c>
      <c r="Q745" s="16" t="s">
        <v>20</v>
      </c>
      <c r="R745" s="17" t="s">
        <v>2810</v>
      </c>
      <c r="S745" s="121" t="s">
        <v>1661</v>
      </c>
      <c r="T745" s="122"/>
      <c r="U745" s="22"/>
      <c r="V745" s="123"/>
      <c r="W745" s="122"/>
      <c r="X745" s="221"/>
      <c r="Y745" s="221"/>
      <c r="Z745" s="221"/>
      <c r="AA745" s="221"/>
      <c r="AB745" s="223"/>
    </row>
    <row r="746" spans="1:28" ht="17.100000000000001" customHeight="1" thickTop="1">
      <c r="A746" s="226" t="s">
        <v>6004</v>
      </c>
      <c r="B746" s="28">
        <v>45484</v>
      </c>
      <c r="C746" s="25">
        <v>1240</v>
      </c>
      <c r="D746" s="13" t="s">
        <v>2811</v>
      </c>
      <c r="E746" s="228"/>
      <c r="F746" s="109" t="s">
        <v>2812</v>
      </c>
      <c r="G746" s="24" t="s">
        <v>2813</v>
      </c>
      <c r="H746" s="230">
        <v>4</v>
      </c>
      <c r="I746" s="220">
        <v>1795000</v>
      </c>
      <c r="J746" s="220">
        <f>I746*0.1</f>
        <v>179500</v>
      </c>
      <c r="K746" s="220">
        <v>25300</v>
      </c>
      <c r="L746" s="220">
        <v>16240</v>
      </c>
      <c r="M746" s="220">
        <v>13200</v>
      </c>
      <c r="N746" s="220">
        <f>SUM(I746:M747)</f>
        <v>2029240</v>
      </c>
      <c r="O746" s="224"/>
      <c r="P746" s="110" t="s">
        <v>2814</v>
      </c>
      <c r="Q746" s="15" t="s">
        <v>19</v>
      </c>
      <c r="R746" s="205"/>
      <c r="S746" s="189" t="s">
        <v>1312</v>
      </c>
      <c r="T746" s="114"/>
      <c r="U746" s="21" t="s">
        <v>2815</v>
      </c>
      <c r="V746" s="115"/>
      <c r="W746" s="116"/>
      <c r="X746" s="220"/>
      <c r="Y746" s="245">
        <f>X746*0.1</f>
        <v>0</v>
      </c>
      <c r="Z746" s="220"/>
      <c r="AA746" s="220">
        <f>SUM(X746:Z746)</f>
        <v>0</v>
      </c>
      <c r="AB746" s="222"/>
    </row>
    <row r="747" spans="1:28" ht="17.100000000000001" customHeight="1" thickBot="1">
      <c r="A747" s="227"/>
      <c r="B747" s="27" t="s">
        <v>1735</v>
      </c>
      <c r="C747" s="27">
        <v>371</v>
      </c>
      <c r="D747" s="14" t="s">
        <v>54</v>
      </c>
      <c r="E747" s="229"/>
      <c r="F747" s="117" t="s">
        <v>2816</v>
      </c>
      <c r="G747" s="26">
        <v>9575</v>
      </c>
      <c r="H747" s="231"/>
      <c r="I747" s="221"/>
      <c r="J747" s="221"/>
      <c r="K747" s="221"/>
      <c r="L747" s="221"/>
      <c r="M747" s="221"/>
      <c r="N747" s="221"/>
      <c r="O747" s="225"/>
      <c r="P747" s="118" t="s">
        <v>2817</v>
      </c>
      <c r="Q747" s="16" t="s">
        <v>20</v>
      </c>
      <c r="R747" s="17" t="s">
        <v>2818</v>
      </c>
      <c r="S747" s="121" t="s">
        <v>1606</v>
      </c>
      <c r="T747" s="122"/>
      <c r="U747" s="22"/>
      <c r="V747" s="123"/>
      <c r="W747" s="122"/>
      <c r="X747" s="221"/>
      <c r="Y747" s="221"/>
      <c r="Z747" s="221"/>
      <c r="AA747" s="221"/>
      <c r="AB747" s="223"/>
    </row>
    <row r="748" spans="1:28" ht="17.100000000000001" customHeight="1" thickTop="1">
      <c r="A748" s="226" t="s">
        <v>6005</v>
      </c>
      <c r="B748" s="28">
        <v>45486</v>
      </c>
      <c r="C748" s="25">
        <v>1453</v>
      </c>
      <c r="D748" s="13" t="s">
        <v>1740</v>
      </c>
      <c r="E748" s="228"/>
      <c r="F748" s="109" t="s">
        <v>2819</v>
      </c>
      <c r="G748" s="24" t="s">
        <v>2820</v>
      </c>
      <c r="H748" s="230">
        <v>4.5</v>
      </c>
      <c r="I748" s="220">
        <v>3370000</v>
      </c>
      <c r="J748" s="220">
        <f>I748*0.1</f>
        <v>337000</v>
      </c>
      <c r="K748" s="220">
        <v>64460</v>
      </c>
      <c r="L748" s="220">
        <v>29850</v>
      </c>
      <c r="M748" s="220">
        <v>13200</v>
      </c>
      <c r="N748" s="220">
        <f>SUM(I748:M749)</f>
        <v>3814510</v>
      </c>
      <c r="O748" s="224"/>
      <c r="P748" s="110" t="s">
        <v>2821</v>
      </c>
      <c r="Q748" s="15" t="s">
        <v>19</v>
      </c>
      <c r="R748" s="205"/>
      <c r="S748" s="189" t="s">
        <v>25367</v>
      </c>
      <c r="T748" s="114"/>
      <c r="U748" s="21" t="s">
        <v>2822</v>
      </c>
      <c r="V748" s="115"/>
      <c r="W748" s="116"/>
      <c r="X748" s="220"/>
      <c r="Y748" s="245">
        <f>X748*0.1</f>
        <v>0</v>
      </c>
      <c r="Z748" s="220"/>
      <c r="AA748" s="220">
        <f>SUM(X748:Z748)</f>
        <v>0</v>
      </c>
      <c r="AB748" s="222"/>
    </row>
    <row r="749" spans="1:28" ht="17.100000000000001" customHeight="1" thickBot="1">
      <c r="A749" s="227"/>
      <c r="B749" s="27" t="s">
        <v>1547</v>
      </c>
      <c r="C749" s="27">
        <v>83178</v>
      </c>
      <c r="D749" s="14" t="s">
        <v>273</v>
      </c>
      <c r="E749" s="229"/>
      <c r="F749" s="117" t="s">
        <v>2823</v>
      </c>
      <c r="G749" s="26">
        <v>53232</v>
      </c>
      <c r="H749" s="231"/>
      <c r="I749" s="221"/>
      <c r="J749" s="221"/>
      <c r="K749" s="221"/>
      <c r="L749" s="221"/>
      <c r="M749" s="221"/>
      <c r="N749" s="221"/>
      <c r="O749" s="225"/>
      <c r="P749" s="118" t="s">
        <v>2824</v>
      </c>
      <c r="Q749" s="16" t="s">
        <v>20</v>
      </c>
      <c r="R749" s="17" t="s">
        <v>2825</v>
      </c>
      <c r="S749" s="121" t="s">
        <v>2826</v>
      </c>
      <c r="T749" s="122"/>
      <c r="U749" s="22"/>
      <c r="V749" s="123"/>
      <c r="W749" s="122"/>
      <c r="X749" s="221"/>
      <c r="Y749" s="221"/>
      <c r="Z749" s="221"/>
      <c r="AA749" s="221"/>
      <c r="AB749" s="223"/>
    </row>
    <row r="750" spans="1:28" ht="17.100000000000001" customHeight="1" thickTop="1">
      <c r="A750" s="226" t="s">
        <v>6006</v>
      </c>
      <c r="B750" s="28">
        <v>45486</v>
      </c>
      <c r="C750" s="25">
        <v>1210</v>
      </c>
      <c r="D750" s="13" t="s">
        <v>2690</v>
      </c>
      <c r="E750" s="228"/>
      <c r="F750" s="109" t="s">
        <v>2658</v>
      </c>
      <c r="G750" s="24" t="s">
        <v>2827</v>
      </c>
      <c r="H750" s="230">
        <v>4.5</v>
      </c>
      <c r="I750" s="220">
        <v>2430000</v>
      </c>
      <c r="J750" s="220">
        <f>I750*0.1</f>
        <v>243000</v>
      </c>
      <c r="K750" s="220">
        <v>22330</v>
      </c>
      <c r="L750" s="220">
        <v>11740</v>
      </c>
      <c r="M750" s="220">
        <v>13200</v>
      </c>
      <c r="N750" s="220">
        <f>SUM(I750:M751)</f>
        <v>2720270</v>
      </c>
      <c r="O750" s="224"/>
      <c r="P750" s="110" t="s">
        <v>2828</v>
      </c>
      <c r="Q750" s="15" t="s">
        <v>19</v>
      </c>
      <c r="R750" s="205"/>
      <c r="S750" s="189" t="s">
        <v>1276</v>
      </c>
      <c r="T750" s="114"/>
      <c r="U750" s="21"/>
      <c r="V750" s="115"/>
      <c r="W750" s="116"/>
      <c r="X750" s="220"/>
      <c r="Y750" s="245">
        <f>X750*0.1</f>
        <v>0</v>
      </c>
      <c r="Z750" s="220"/>
      <c r="AA750" s="220">
        <f>SUM(X750:Z750)</f>
        <v>0</v>
      </c>
      <c r="AB750" s="222"/>
    </row>
    <row r="751" spans="1:28" ht="17.100000000000001" customHeight="1" thickBot="1">
      <c r="A751" s="227"/>
      <c r="B751" s="27" t="s">
        <v>2472</v>
      </c>
      <c r="C751" s="27">
        <v>82123</v>
      </c>
      <c r="D751" s="14" t="s">
        <v>273</v>
      </c>
      <c r="E751" s="229"/>
      <c r="F751" s="117" t="s">
        <v>2829</v>
      </c>
      <c r="G751" s="26">
        <v>17861</v>
      </c>
      <c r="H751" s="231"/>
      <c r="I751" s="221"/>
      <c r="J751" s="221"/>
      <c r="K751" s="221"/>
      <c r="L751" s="221"/>
      <c r="M751" s="221"/>
      <c r="N751" s="221"/>
      <c r="O751" s="225"/>
      <c r="P751" s="118" t="s">
        <v>2287</v>
      </c>
      <c r="Q751" s="16" t="s">
        <v>20</v>
      </c>
      <c r="R751" s="17" t="s">
        <v>2830</v>
      </c>
      <c r="S751" s="121" t="s">
        <v>1923</v>
      </c>
      <c r="T751" s="122"/>
      <c r="U751" s="22" t="s">
        <v>901</v>
      </c>
      <c r="V751" s="123"/>
      <c r="W751" s="122"/>
      <c r="X751" s="221"/>
      <c r="Y751" s="221"/>
      <c r="Z751" s="221"/>
      <c r="AA751" s="221"/>
      <c r="AB751" s="223"/>
    </row>
    <row r="752" spans="1:28" ht="17.100000000000001" customHeight="1" thickTop="1">
      <c r="A752" s="226" t="s">
        <v>6007</v>
      </c>
      <c r="B752" s="28">
        <v>45490</v>
      </c>
      <c r="C752" s="25">
        <v>927</v>
      </c>
      <c r="D752" s="13" t="s">
        <v>1810</v>
      </c>
      <c r="E752" s="228"/>
      <c r="F752" s="109" t="s">
        <v>1854</v>
      </c>
      <c r="G752" s="24" t="s">
        <v>2831</v>
      </c>
      <c r="H752" s="230">
        <v>5</v>
      </c>
      <c r="I752" s="220">
        <v>3080000</v>
      </c>
      <c r="J752" s="220">
        <f>I752*0.1</f>
        <v>308000</v>
      </c>
      <c r="K752" s="220">
        <v>26400</v>
      </c>
      <c r="L752" s="220">
        <v>17600</v>
      </c>
      <c r="M752" s="220">
        <v>12100</v>
      </c>
      <c r="N752" s="220">
        <f>SUM(I752:M753)</f>
        <v>3444100</v>
      </c>
      <c r="O752" s="224"/>
      <c r="P752" s="110" t="s">
        <v>2832</v>
      </c>
      <c r="Q752" s="15" t="s">
        <v>19</v>
      </c>
      <c r="R752" s="205"/>
      <c r="S752" s="189" t="s">
        <v>25368</v>
      </c>
      <c r="T752" s="114"/>
      <c r="U752" s="21" t="s">
        <v>2833</v>
      </c>
      <c r="V752" s="115"/>
      <c r="W752" s="116"/>
      <c r="X752" s="220"/>
      <c r="Y752" s="245">
        <f>X752*0.1</f>
        <v>0</v>
      </c>
      <c r="Z752" s="220"/>
      <c r="AA752" s="220">
        <f>SUM(X752:Z752)</f>
        <v>0</v>
      </c>
      <c r="AB752" s="222"/>
    </row>
    <row r="753" spans="1:28" ht="17.100000000000001" customHeight="1" thickBot="1">
      <c r="A753" s="227"/>
      <c r="B753" s="27" t="s">
        <v>2747</v>
      </c>
      <c r="C753" s="27">
        <v>1092</v>
      </c>
      <c r="D753" s="14" t="s">
        <v>273</v>
      </c>
      <c r="E753" s="229"/>
      <c r="F753" s="117" t="s">
        <v>2834</v>
      </c>
      <c r="G753" s="26">
        <v>20716</v>
      </c>
      <c r="H753" s="231"/>
      <c r="I753" s="221"/>
      <c r="J753" s="221"/>
      <c r="K753" s="221"/>
      <c r="L753" s="221"/>
      <c r="M753" s="221"/>
      <c r="N753" s="221"/>
      <c r="O753" s="225"/>
      <c r="P753" s="118" t="s">
        <v>2835</v>
      </c>
      <c r="Q753" s="16" t="s">
        <v>20</v>
      </c>
      <c r="R753" s="17" t="s">
        <v>2836</v>
      </c>
      <c r="S753" s="121" t="s">
        <v>1731</v>
      </c>
      <c r="T753" s="122"/>
      <c r="U753" s="22"/>
      <c r="V753" s="123"/>
      <c r="W753" s="122"/>
      <c r="X753" s="221"/>
      <c r="Y753" s="221"/>
      <c r="Z753" s="221"/>
      <c r="AA753" s="221"/>
      <c r="AB753" s="223"/>
    </row>
    <row r="754" spans="1:28" ht="17.100000000000001" customHeight="1" thickTop="1">
      <c r="A754" s="226" t="s">
        <v>6008</v>
      </c>
      <c r="B754" s="28">
        <v>45491</v>
      </c>
      <c r="C754" s="25">
        <v>1241</v>
      </c>
      <c r="D754" s="13" t="s">
        <v>1953</v>
      </c>
      <c r="E754" s="228"/>
      <c r="F754" s="109" t="s">
        <v>1579</v>
      </c>
      <c r="G754" s="24"/>
      <c r="H754" s="230">
        <v>4</v>
      </c>
      <c r="I754" s="220">
        <v>2140000</v>
      </c>
      <c r="J754" s="220">
        <f>I754*0.1</f>
        <v>214000</v>
      </c>
      <c r="K754" s="220">
        <v>0</v>
      </c>
      <c r="L754" s="220">
        <v>19090</v>
      </c>
      <c r="M754" s="220">
        <v>13200</v>
      </c>
      <c r="N754" s="220">
        <f>SUM(I754:M755)</f>
        <v>2386290</v>
      </c>
      <c r="O754" s="224"/>
      <c r="P754" s="110" t="s">
        <v>2837</v>
      </c>
      <c r="Q754" s="15" t="s">
        <v>19</v>
      </c>
      <c r="R754" s="205"/>
      <c r="S754" s="189" t="s">
        <v>1271</v>
      </c>
      <c r="T754" s="114"/>
      <c r="U754" s="21"/>
      <c r="V754" s="115"/>
      <c r="W754" s="116"/>
      <c r="X754" s="220"/>
      <c r="Y754" s="245">
        <f>X754*0.1</f>
        <v>0</v>
      </c>
      <c r="Z754" s="220"/>
      <c r="AA754" s="220">
        <f>SUM(X754:Z754)</f>
        <v>0</v>
      </c>
      <c r="AB754" s="222"/>
    </row>
    <row r="755" spans="1:28" ht="17.100000000000001" customHeight="1" thickBot="1">
      <c r="A755" s="227"/>
      <c r="B755" s="27" t="s">
        <v>1735</v>
      </c>
      <c r="C755" s="27">
        <v>6</v>
      </c>
      <c r="D755" s="14" t="s">
        <v>2291</v>
      </c>
      <c r="E755" s="229"/>
      <c r="F755" s="117" t="s">
        <v>2838</v>
      </c>
      <c r="G755" s="26">
        <v>45364</v>
      </c>
      <c r="H755" s="231"/>
      <c r="I755" s="221"/>
      <c r="J755" s="221"/>
      <c r="K755" s="221"/>
      <c r="L755" s="221"/>
      <c r="M755" s="221"/>
      <c r="N755" s="221"/>
      <c r="O755" s="225"/>
      <c r="P755" s="118" t="s">
        <v>2839</v>
      </c>
      <c r="Q755" s="16" t="s">
        <v>20</v>
      </c>
      <c r="R755" s="17" t="s">
        <v>2836</v>
      </c>
      <c r="S755" s="121" t="s">
        <v>1731</v>
      </c>
      <c r="T755" s="122"/>
      <c r="U755" s="22"/>
      <c r="V755" s="123"/>
      <c r="W755" s="122"/>
      <c r="X755" s="221"/>
      <c r="Y755" s="221"/>
      <c r="Z755" s="221"/>
      <c r="AA755" s="221"/>
      <c r="AB755" s="223"/>
    </row>
    <row r="756" spans="1:28" ht="17.100000000000001" customHeight="1" thickTop="1">
      <c r="A756" s="226" t="s">
        <v>6009</v>
      </c>
      <c r="B756" s="28">
        <v>45499</v>
      </c>
      <c r="C756" s="25">
        <v>2046</v>
      </c>
      <c r="D756" s="13" t="s">
        <v>2129</v>
      </c>
      <c r="E756" s="228"/>
      <c r="F756" s="109" t="s">
        <v>2840</v>
      </c>
      <c r="G756" s="24"/>
      <c r="H756" s="230">
        <v>4.5</v>
      </c>
      <c r="I756" s="220">
        <v>768000</v>
      </c>
      <c r="J756" s="220">
        <f>I756*0.1</f>
        <v>76800</v>
      </c>
      <c r="K756" s="220">
        <v>0</v>
      </c>
      <c r="L756" s="220">
        <v>13910</v>
      </c>
      <c r="M756" s="220">
        <v>13200</v>
      </c>
      <c r="N756" s="220">
        <f>SUM(I756:M757)</f>
        <v>871910</v>
      </c>
      <c r="O756" s="224"/>
      <c r="P756" s="110" t="s">
        <v>2841</v>
      </c>
      <c r="Q756" s="15" t="s">
        <v>19</v>
      </c>
      <c r="R756" s="205"/>
      <c r="S756" s="189"/>
      <c r="T756" s="114"/>
      <c r="U756" s="21"/>
      <c r="V756" s="115">
        <v>45953</v>
      </c>
      <c r="W756" s="116">
        <v>1303</v>
      </c>
      <c r="X756" s="220">
        <v>390000</v>
      </c>
      <c r="Y756" s="245">
        <f>X756*0.1</f>
        <v>39000</v>
      </c>
      <c r="Z756" s="220">
        <v>13910</v>
      </c>
      <c r="AA756" s="220">
        <f>SUM(X756:Z756)</f>
        <v>442910</v>
      </c>
      <c r="AB756" s="222">
        <v>45954</v>
      </c>
    </row>
    <row r="757" spans="1:28" ht="17.100000000000001" customHeight="1" thickBot="1">
      <c r="A757" s="227"/>
      <c r="B757" s="27" t="s">
        <v>1536</v>
      </c>
      <c r="C757" s="27">
        <v>37277</v>
      </c>
      <c r="D757" s="14" t="s">
        <v>273</v>
      </c>
      <c r="E757" s="229"/>
      <c r="F757" s="117" t="s">
        <v>2842</v>
      </c>
      <c r="G757" s="26">
        <v>25264</v>
      </c>
      <c r="H757" s="231"/>
      <c r="I757" s="221"/>
      <c r="J757" s="221"/>
      <c r="K757" s="221"/>
      <c r="L757" s="221"/>
      <c r="M757" s="221"/>
      <c r="N757" s="221"/>
      <c r="O757" s="225"/>
      <c r="P757" s="118" t="s">
        <v>2843</v>
      </c>
      <c r="Q757" s="16" t="s">
        <v>20</v>
      </c>
      <c r="R757" s="17" t="s">
        <v>2813</v>
      </c>
      <c r="S757" s="121" t="s">
        <v>2844</v>
      </c>
      <c r="T757" s="122"/>
      <c r="U757" s="22"/>
      <c r="V757" s="123" t="s">
        <v>8954</v>
      </c>
      <c r="W757" s="122" t="s">
        <v>8955</v>
      </c>
      <c r="X757" s="221"/>
      <c r="Y757" s="221"/>
      <c r="Z757" s="221"/>
      <c r="AA757" s="221"/>
      <c r="AB757" s="223"/>
    </row>
    <row r="758" spans="1:28" ht="17.100000000000001" customHeight="1" thickTop="1">
      <c r="A758" s="226" t="s">
        <v>6010</v>
      </c>
      <c r="B758" s="28">
        <v>45505</v>
      </c>
      <c r="C758" s="25"/>
      <c r="D758" s="13" t="s">
        <v>2845</v>
      </c>
      <c r="E758" s="228"/>
      <c r="F758" s="109" t="s">
        <v>2846</v>
      </c>
      <c r="G758" s="24" t="s">
        <v>2652</v>
      </c>
      <c r="H758" s="230"/>
      <c r="I758" s="220">
        <v>2400000</v>
      </c>
      <c r="J758" s="220">
        <v>0</v>
      </c>
      <c r="K758" s="220">
        <v>0</v>
      </c>
      <c r="L758" s="220">
        <v>0</v>
      </c>
      <c r="M758" s="220">
        <v>0</v>
      </c>
      <c r="N758" s="220">
        <f>SUM(I758:M759)</f>
        <v>2400000</v>
      </c>
      <c r="O758" s="224"/>
      <c r="P758" s="110" t="s">
        <v>2847</v>
      </c>
      <c r="Q758" s="15" t="s">
        <v>19</v>
      </c>
      <c r="R758" s="205"/>
      <c r="S758" s="189"/>
      <c r="T758" s="114"/>
      <c r="U758" s="21"/>
      <c r="V758" s="115"/>
      <c r="W758" s="116"/>
      <c r="X758" s="220"/>
      <c r="Y758" s="245">
        <f>X758*0.1</f>
        <v>0</v>
      </c>
      <c r="Z758" s="220"/>
      <c r="AA758" s="220">
        <f>SUM(X758:Z758)</f>
        <v>0</v>
      </c>
      <c r="AB758" s="222"/>
    </row>
    <row r="759" spans="1:28" ht="17.100000000000001" customHeight="1" thickBot="1">
      <c r="A759" s="227"/>
      <c r="B759" s="27" t="s">
        <v>2848</v>
      </c>
      <c r="C759" s="27"/>
      <c r="D759" s="14"/>
      <c r="E759" s="229"/>
      <c r="F759" s="117" t="s">
        <v>2849</v>
      </c>
      <c r="G759" s="26">
        <v>53300</v>
      </c>
      <c r="H759" s="231"/>
      <c r="I759" s="221"/>
      <c r="J759" s="221"/>
      <c r="K759" s="221"/>
      <c r="L759" s="221"/>
      <c r="M759" s="221"/>
      <c r="N759" s="221"/>
      <c r="O759" s="225"/>
      <c r="P759" s="118" t="s">
        <v>2850</v>
      </c>
      <c r="Q759" s="16" t="s">
        <v>20</v>
      </c>
      <c r="R759" s="17" t="s">
        <v>2813</v>
      </c>
      <c r="S759" s="121" t="s">
        <v>2851</v>
      </c>
      <c r="T759" s="122"/>
      <c r="U759" s="22" t="s">
        <v>2852</v>
      </c>
      <c r="V759" s="123"/>
      <c r="W759" s="122"/>
      <c r="X759" s="221"/>
      <c r="Y759" s="221"/>
      <c r="Z759" s="221"/>
      <c r="AA759" s="221"/>
      <c r="AB759" s="223"/>
    </row>
    <row r="760" spans="1:28" ht="17.100000000000001" customHeight="1" thickTop="1">
      <c r="A760" s="226" t="s">
        <v>6011</v>
      </c>
      <c r="B760" s="28">
        <v>45505</v>
      </c>
      <c r="C760" s="25">
        <v>1478</v>
      </c>
      <c r="D760" s="13" t="s">
        <v>2107</v>
      </c>
      <c r="E760" s="228"/>
      <c r="F760" s="109" t="s">
        <v>2853</v>
      </c>
      <c r="G760" s="24" t="s">
        <v>2854</v>
      </c>
      <c r="H760" s="230">
        <v>4.5</v>
      </c>
      <c r="I760" s="220">
        <v>1380000</v>
      </c>
      <c r="J760" s="220">
        <f>I760*0.1</f>
        <v>138000</v>
      </c>
      <c r="K760" s="220">
        <v>0</v>
      </c>
      <c r="L760" s="220">
        <v>20130</v>
      </c>
      <c r="M760" s="220">
        <v>13200</v>
      </c>
      <c r="N760" s="220">
        <f>SUM(I760:M761)</f>
        <v>1551330</v>
      </c>
      <c r="O760" s="224"/>
      <c r="P760" s="110" t="s">
        <v>2855</v>
      </c>
      <c r="Q760" s="15" t="s">
        <v>19</v>
      </c>
      <c r="R760" s="205"/>
      <c r="S760" s="189" t="s">
        <v>1271</v>
      </c>
      <c r="T760" s="114"/>
      <c r="U760" s="21"/>
      <c r="V760" s="115"/>
      <c r="W760" s="116"/>
      <c r="X760" s="220"/>
      <c r="Y760" s="245">
        <f>X760*0.1</f>
        <v>0</v>
      </c>
      <c r="Z760" s="220"/>
      <c r="AA760" s="220">
        <f>SUM(X760:Z760)</f>
        <v>0</v>
      </c>
      <c r="AB760" s="222"/>
    </row>
    <row r="761" spans="1:28" ht="17.100000000000001" customHeight="1" thickBot="1">
      <c r="A761" s="227"/>
      <c r="B761" s="27" t="s">
        <v>1592</v>
      </c>
      <c r="C761" s="27">
        <v>75939</v>
      </c>
      <c r="D761" s="14" t="s">
        <v>1710</v>
      </c>
      <c r="E761" s="229"/>
      <c r="F761" s="117" t="s">
        <v>2856</v>
      </c>
      <c r="G761" s="26">
        <v>51934</v>
      </c>
      <c r="H761" s="231"/>
      <c r="I761" s="221"/>
      <c r="J761" s="221"/>
      <c r="K761" s="221"/>
      <c r="L761" s="221"/>
      <c r="M761" s="221"/>
      <c r="N761" s="221"/>
      <c r="O761" s="225"/>
      <c r="P761" s="118" t="s">
        <v>2857</v>
      </c>
      <c r="Q761" s="16" t="s">
        <v>20</v>
      </c>
      <c r="R761" s="17" t="s">
        <v>2494</v>
      </c>
      <c r="S761" s="121" t="s">
        <v>1731</v>
      </c>
      <c r="T761" s="122"/>
      <c r="U761" s="22"/>
      <c r="V761" s="123"/>
      <c r="W761" s="122"/>
      <c r="X761" s="221"/>
      <c r="Y761" s="221"/>
      <c r="Z761" s="221"/>
      <c r="AA761" s="221"/>
      <c r="AB761" s="223"/>
    </row>
    <row r="762" spans="1:28" ht="17.100000000000001" customHeight="1" thickTop="1">
      <c r="A762" s="226" t="s">
        <v>6012</v>
      </c>
      <c r="B762" s="28">
        <v>45506</v>
      </c>
      <c r="C762" s="25">
        <v>2047</v>
      </c>
      <c r="D762" s="13" t="s">
        <v>2858</v>
      </c>
      <c r="E762" s="228"/>
      <c r="F762" s="109" t="s">
        <v>2859</v>
      </c>
      <c r="G762" s="24" t="s">
        <v>2860</v>
      </c>
      <c r="H762" s="230">
        <v>4.5</v>
      </c>
      <c r="I762" s="220">
        <v>1165000</v>
      </c>
      <c r="J762" s="220">
        <f>I762*0.1</f>
        <v>116500</v>
      </c>
      <c r="K762" s="220">
        <v>0</v>
      </c>
      <c r="L762" s="220">
        <v>9070</v>
      </c>
      <c r="M762" s="220">
        <v>13200</v>
      </c>
      <c r="N762" s="220">
        <f>SUM(I762:M763)</f>
        <v>1303770</v>
      </c>
      <c r="O762" s="224"/>
      <c r="P762" s="110" t="s">
        <v>2861</v>
      </c>
      <c r="Q762" s="15" t="s">
        <v>19</v>
      </c>
      <c r="R762" s="205"/>
      <c r="S762" s="189" t="s">
        <v>1271</v>
      </c>
      <c r="T762" s="114"/>
      <c r="U762" s="21" t="s">
        <v>2862</v>
      </c>
      <c r="V762" s="115">
        <v>46102</v>
      </c>
      <c r="W762" s="116">
        <v>1293</v>
      </c>
      <c r="X762" s="220">
        <v>975000</v>
      </c>
      <c r="Y762" s="245">
        <f>X762*0.1</f>
        <v>97500</v>
      </c>
      <c r="Z762" s="220">
        <v>9070</v>
      </c>
      <c r="AA762" s="220">
        <f>SUM(X762:Z762)</f>
        <v>1081570</v>
      </c>
      <c r="AB762" s="222">
        <v>46105</v>
      </c>
    </row>
    <row r="763" spans="1:28" ht="17.100000000000001" customHeight="1" thickBot="1">
      <c r="A763" s="227"/>
      <c r="B763" s="27" t="s">
        <v>1536</v>
      </c>
      <c r="C763" s="27">
        <v>55149</v>
      </c>
      <c r="D763" s="14" t="s">
        <v>273</v>
      </c>
      <c r="E763" s="229"/>
      <c r="F763" s="117" t="s">
        <v>2863</v>
      </c>
      <c r="G763" s="26">
        <v>24410</v>
      </c>
      <c r="H763" s="231"/>
      <c r="I763" s="221"/>
      <c r="J763" s="221"/>
      <c r="K763" s="221"/>
      <c r="L763" s="221"/>
      <c r="M763" s="221"/>
      <c r="N763" s="221"/>
      <c r="O763" s="225"/>
      <c r="P763" s="118" t="s">
        <v>2864</v>
      </c>
      <c r="Q763" s="16" t="s">
        <v>20</v>
      </c>
      <c r="R763" s="17" t="s">
        <v>2494</v>
      </c>
      <c r="S763" s="121" t="s">
        <v>2865</v>
      </c>
      <c r="T763" s="122"/>
      <c r="U763" s="22"/>
      <c r="V763" s="123" t="s">
        <v>2472</v>
      </c>
      <c r="W763" s="122">
        <v>60215</v>
      </c>
      <c r="X763" s="221"/>
      <c r="Y763" s="221"/>
      <c r="Z763" s="221"/>
      <c r="AA763" s="221"/>
      <c r="AB763" s="223"/>
    </row>
    <row r="764" spans="1:28" ht="17.100000000000001" customHeight="1" thickTop="1">
      <c r="A764" s="226" t="s">
        <v>6013</v>
      </c>
      <c r="B764" s="28">
        <v>45507</v>
      </c>
      <c r="C764" s="25">
        <v>1456</v>
      </c>
      <c r="D764" s="13" t="s">
        <v>2866</v>
      </c>
      <c r="E764" s="228"/>
      <c r="F764" s="109" t="s">
        <v>2867</v>
      </c>
      <c r="G764" s="24"/>
      <c r="H764" s="230">
        <v>4.5</v>
      </c>
      <c r="I764" s="220">
        <v>2025000</v>
      </c>
      <c r="J764" s="220">
        <f>I764*0.1</f>
        <v>202500</v>
      </c>
      <c r="K764" s="220">
        <v>0</v>
      </c>
      <c r="L764" s="220">
        <v>21370</v>
      </c>
      <c r="M764" s="220">
        <v>13200</v>
      </c>
      <c r="N764" s="220">
        <f>SUM(I764:M765)</f>
        <v>2262070</v>
      </c>
      <c r="O764" s="224"/>
      <c r="P764" s="110" t="s">
        <v>2868</v>
      </c>
      <c r="Q764" s="15" t="s">
        <v>19</v>
      </c>
      <c r="R764" s="205"/>
      <c r="S764" s="189" t="s">
        <v>25371</v>
      </c>
      <c r="T764" s="114"/>
      <c r="U764" s="21"/>
      <c r="V764" s="115"/>
      <c r="W764" s="116"/>
      <c r="X764" s="220"/>
      <c r="Y764" s="245">
        <f>X764*0.1</f>
        <v>0</v>
      </c>
      <c r="Z764" s="220"/>
      <c r="AA764" s="220">
        <f>SUM(X764:Z764)</f>
        <v>0</v>
      </c>
      <c r="AB764" s="222"/>
    </row>
    <row r="765" spans="1:28" ht="17.100000000000001" customHeight="1" thickBot="1">
      <c r="A765" s="227"/>
      <c r="B765" s="27" t="s">
        <v>1547</v>
      </c>
      <c r="C765" s="27">
        <v>83170</v>
      </c>
      <c r="D765" s="14" t="s">
        <v>131</v>
      </c>
      <c r="E765" s="229"/>
      <c r="F765" s="117" t="s">
        <v>2869</v>
      </c>
      <c r="G765" s="26">
        <v>29354</v>
      </c>
      <c r="H765" s="231"/>
      <c r="I765" s="221"/>
      <c r="J765" s="221"/>
      <c r="K765" s="221"/>
      <c r="L765" s="221"/>
      <c r="M765" s="221"/>
      <c r="N765" s="221"/>
      <c r="O765" s="225"/>
      <c r="P765" s="118" t="s">
        <v>2870</v>
      </c>
      <c r="Q765" s="16" t="s">
        <v>20</v>
      </c>
      <c r="R765" s="17" t="s">
        <v>2871</v>
      </c>
      <c r="S765" s="121" t="s">
        <v>2872</v>
      </c>
      <c r="T765" s="122"/>
      <c r="U765" s="22"/>
      <c r="V765" s="123"/>
      <c r="W765" s="122"/>
      <c r="X765" s="221"/>
      <c r="Y765" s="221"/>
      <c r="Z765" s="221"/>
      <c r="AA765" s="221"/>
      <c r="AB765" s="223"/>
    </row>
    <row r="766" spans="1:28" ht="17.100000000000001" customHeight="1" thickTop="1">
      <c r="A766" s="226" t="s">
        <v>6014</v>
      </c>
      <c r="B766" s="28">
        <v>45507</v>
      </c>
      <c r="C766" s="25">
        <v>1213</v>
      </c>
      <c r="D766" s="13" t="s">
        <v>2167</v>
      </c>
      <c r="E766" s="228"/>
      <c r="F766" s="109" t="s">
        <v>2873</v>
      </c>
      <c r="G766" s="24"/>
      <c r="H766" s="230">
        <v>4</v>
      </c>
      <c r="I766" s="220">
        <v>2055000</v>
      </c>
      <c r="J766" s="220">
        <f>I766*0.1</f>
        <v>205500</v>
      </c>
      <c r="K766" s="220">
        <v>0</v>
      </c>
      <c r="L766" s="220">
        <v>19090</v>
      </c>
      <c r="M766" s="220">
        <v>13200</v>
      </c>
      <c r="N766" s="220">
        <f>SUM(I766:M767)</f>
        <v>2292790</v>
      </c>
      <c r="O766" s="224"/>
      <c r="P766" s="110" t="s">
        <v>2874</v>
      </c>
      <c r="Q766" s="15" t="s">
        <v>19</v>
      </c>
      <c r="R766" s="205"/>
      <c r="S766" s="189"/>
      <c r="T766" s="114"/>
      <c r="U766" s="21"/>
      <c r="V766" s="115"/>
      <c r="W766" s="116"/>
      <c r="X766" s="220"/>
      <c r="Y766" s="245">
        <f>X766*0.1</f>
        <v>0</v>
      </c>
      <c r="Z766" s="220"/>
      <c r="AA766" s="220">
        <f>SUM(X766:Z766)</f>
        <v>0</v>
      </c>
      <c r="AB766" s="222"/>
    </row>
    <row r="767" spans="1:28" ht="17.100000000000001" customHeight="1" thickBot="1">
      <c r="A767" s="227"/>
      <c r="B767" s="27" t="s">
        <v>2472</v>
      </c>
      <c r="C767" s="27">
        <v>82089</v>
      </c>
      <c r="D767" s="14" t="s">
        <v>273</v>
      </c>
      <c r="E767" s="229"/>
      <c r="F767" s="117" t="s">
        <v>2875</v>
      </c>
      <c r="G767" s="26">
        <v>48292</v>
      </c>
      <c r="H767" s="231"/>
      <c r="I767" s="221"/>
      <c r="J767" s="221"/>
      <c r="K767" s="221"/>
      <c r="L767" s="221"/>
      <c r="M767" s="221"/>
      <c r="N767" s="221"/>
      <c r="O767" s="225"/>
      <c r="P767" s="118" t="s">
        <v>2404</v>
      </c>
      <c r="Q767" s="16" t="s">
        <v>20</v>
      </c>
      <c r="R767" s="17" t="s">
        <v>2871</v>
      </c>
      <c r="S767" s="121" t="s">
        <v>2784</v>
      </c>
      <c r="T767" s="122"/>
      <c r="U767" s="22"/>
      <c r="V767" s="123"/>
      <c r="W767" s="122"/>
      <c r="X767" s="221"/>
      <c r="Y767" s="221"/>
      <c r="Z767" s="221"/>
      <c r="AA767" s="221"/>
      <c r="AB767" s="223"/>
    </row>
    <row r="768" spans="1:28" ht="17.100000000000001" customHeight="1" thickTop="1">
      <c r="A768" s="226" t="s">
        <v>6015</v>
      </c>
      <c r="B768" s="28">
        <v>45507</v>
      </c>
      <c r="C768" s="25">
        <v>1213</v>
      </c>
      <c r="D768" s="13" t="s">
        <v>2866</v>
      </c>
      <c r="E768" s="228"/>
      <c r="F768" s="109" t="s">
        <v>2612</v>
      </c>
      <c r="G768" s="24"/>
      <c r="H768" s="230">
        <v>4.5</v>
      </c>
      <c r="I768" s="220">
        <v>1945000</v>
      </c>
      <c r="J768" s="220">
        <f>I768*0.1</f>
        <v>194500</v>
      </c>
      <c r="K768" s="220">
        <v>0</v>
      </c>
      <c r="L768" s="220">
        <v>16240</v>
      </c>
      <c r="M768" s="220">
        <v>13200</v>
      </c>
      <c r="N768" s="220">
        <f>SUM(I768:M769)</f>
        <v>2168940</v>
      </c>
      <c r="O768" s="224"/>
      <c r="P768" s="110" t="s">
        <v>2876</v>
      </c>
      <c r="Q768" s="15" t="s">
        <v>19</v>
      </c>
      <c r="R768" s="205"/>
      <c r="S768" s="189" t="s">
        <v>1271</v>
      </c>
      <c r="T768" s="114"/>
      <c r="U768" s="21"/>
      <c r="V768" s="115"/>
      <c r="W768" s="116"/>
      <c r="X768" s="220"/>
      <c r="Y768" s="245">
        <f>X768*0.1</f>
        <v>0</v>
      </c>
      <c r="Z768" s="220"/>
      <c r="AA768" s="220">
        <f>SUM(X768:Z768)</f>
        <v>0</v>
      </c>
      <c r="AB768" s="222"/>
    </row>
    <row r="769" spans="1:28" ht="17.100000000000001" customHeight="1" thickBot="1">
      <c r="A769" s="227"/>
      <c r="B769" s="27" t="s">
        <v>2472</v>
      </c>
      <c r="C769" s="27">
        <v>82355</v>
      </c>
      <c r="D769" s="14" t="s">
        <v>131</v>
      </c>
      <c r="E769" s="229"/>
      <c r="F769" s="117" t="s">
        <v>2877</v>
      </c>
      <c r="G769" s="26">
        <v>41471</v>
      </c>
      <c r="H769" s="231"/>
      <c r="I769" s="221"/>
      <c r="J769" s="221"/>
      <c r="K769" s="221"/>
      <c r="L769" s="221"/>
      <c r="M769" s="221"/>
      <c r="N769" s="221"/>
      <c r="O769" s="225"/>
      <c r="P769" s="118" t="s">
        <v>439</v>
      </c>
      <c r="Q769" s="16" t="s">
        <v>20</v>
      </c>
      <c r="R769" s="17" t="s">
        <v>2878</v>
      </c>
      <c r="S769" s="121" t="s">
        <v>2879</v>
      </c>
      <c r="T769" s="122"/>
      <c r="U769" s="22"/>
      <c r="V769" s="123"/>
      <c r="W769" s="122"/>
      <c r="X769" s="221"/>
      <c r="Y769" s="221"/>
      <c r="Z769" s="221"/>
      <c r="AA769" s="221"/>
      <c r="AB769" s="223"/>
    </row>
    <row r="770" spans="1:28" ht="17.100000000000001" customHeight="1" thickTop="1">
      <c r="A770" s="226" t="s">
        <v>6016</v>
      </c>
      <c r="B770" s="28">
        <v>45510</v>
      </c>
      <c r="C770" s="25">
        <v>889</v>
      </c>
      <c r="D770" s="13" t="s">
        <v>1899</v>
      </c>
      <c r="E770" s="228"/>
      <c r="F770" s="109" t="s">
        <v>2772</v>
      </c>
      <c r="G770" s="24" t="s">
        <v>2880</v>
      </c>
      <c r="H770" s="230">
        <v>4.5</v>
      </c>
      <c r="I770" s="220">
        <v>1508000</v>
      </c>
      <c r="J770" s="220">
        <f>I770*0.1</f>
        <v>150800</v>
      </c>
      <c r="K770" s="220">
        <v>25300</v>
      </c>
      <c r="L770" s="220">
        <v>19440</v>
      </c>
      <c r="M770" s="220">
        <v>14850</v>
      </c>
      <c r="N770" s="220">
        <f>SUM(I770:M771)</f>
        <v>1718390</v>
      </c>
      <c r="O770" s="224"/>
      <c r="P770" s="110" t="s">
        <v>2881</v>
      </c>
      <c r="Q770" s="15" t="s">
        <v>19</v>
      </c>
      <c r="R770" s="205"/>
      <c r="S770" s="189" t="s">
        <v>25415</v>
      </c>
      <c r="T770" s="114"/>
      <c r="U770" s="21"/>
      <c r="V770" s="115"/>
      <c r="W770" s="116"/>
      <c r="X770" s="220"/>
      <c r="Y770" s="245">
        <f>X770*0.1</f>
        <v>0</v>
      </c>
      <c r="Z770" s="220"/>
      <c r="AA770" s="220">
        <f>SUM(X770:Z770)</f>
        <v>0</v>
      </c>
      <c r="AB770" s="222"/>
    </row>
    <row r="771" spans="1:28" ht="17.100000000000001" customHeight="1" thickBot="1">
      <c r="A771" s="227"/>
      <c r="B771" s="27" t="s">
        <v>2882</v>
      </c>
      <c r="C771" s="27">
        <v>5001</v>
      </c>
      <c r="D771" s="14" t="s">
        <v>131</v>
      </c>
      <c r="E771" s="229"/>
      <c r="F771" s="117" t="s">
        <v>2883</v>
      </c>
      <c r="G771" s="26">
        <v>33704</v>
      </c>
      <c r="H771" s="231"/>
      <c r="I771" s="221"/>
      <c r="J771" s="221"/>
      <c r="K771" s="221"/>
      <c r="L771" s="221"/>
      <c r="M771" s="221"/>
      <c r="N771" s="221"/>
      <c r="O771" s="225"/>
      <c r="P771" s="118" t="s">
        <v>2884</v>
      </c>
      <c r="Q771" s="16" t="s">
        <v>20</v>
      </c>
      <c r="R771" s="17" t="s">
        <v>2871</v>
      </c>
      <c r="S771" s="121" t="s">
        <v>2885</v>
      </c>
      <c r="T771" s="122"/>
      <c r="U771" s="67" t="s">
        <v>901</v>
      </c>
      <c r="V771" s="123"/>
      <c r="W771" s="122"/>
      <c r="X771" s="221"/>
      <c r="Y771" s="221"/>
      <c r="Z771" s="221"/>
      <c r="AA771" s="221"/>
      <c r="AB771" s="223"/>
    </row>
    <row r="772" spans="1:28" ht="17.100000000000001" customHeight="1" thickTop="1">
      <c r="A772" s="226" t="s">
        <v>6017</v>
      </c>
      <c r="B772" s="28">
        <v>45513</v>
      </c>
      <c r="C772" s="25">
        <v>2048</v>
      </c>
      <c r="D772" s="13" t="s">
        <v>2690</v>
      </c>
      <c r="E772" s="228"/>
      <c r="F772" s="109" t="s">
        <v>2886</v>
      </c>
      <c r="G772" s="24" t="s">
        <v>2887</v>
      </c>
      <c r="H772" s="230">
        <v>4.5</v>
      </c>
      <c r="I772" s="220">
        <v>3525000</v>
      </c>
      <c r="J772" s="220">
        <f>I772*0.1</f>
        <v>352500</v>
      </c>
      <c r="K772" s="220">
        <v>23100</v>
      </c>
      <c r="L772" s="220">
        <v>16240</v>
      </c>
      <c r="M772" s="220">
        <v>13200</v>
      </c>
      <c r="N772" s="220">
        <f>SUM(I772:M773)</f>
        <v>3930040</v>
      </c>
      <c r="O772" s="224"/>
      <c r="P772" s="110" t="s">
        <v>2888</v>
      </c>
      <c r="Q772" s="15" t="s">
        <v>19</v>
      </c>
      <c r="R772" s="205"/>
      <c r="S772" s="189" t="s">
        <v>1271</v>
      </c>
      <c r="T772" s="114"/>
      <c r="U772" s="21"/>
      <c r="V772" s="115"/>
      <c r="W772" s="116"/>
      <c r="X772" s="220"/>
      <c r="Y772" s="245">
        <f>X772*0.1</f>
        <v>0</v>
      </c>
      <c r="Z772" s="220"/>
      <c r="AA772" s="220">
        <f>SUM(X772:Z772)</f>
        <v>0</v>
      </c>
      <c r="AB772" s="222"/>
    </row>
    <row r="773" spans="1:28" ht="17.100000000000001" customHeight="1" thickBot="1">
      <c r="A773" s="227"/>
      <c r="B773" s="27" t="s">
        <v>1536</v>
      </c>
      <c r="C773" s="27">
        <v>35051</v>
      </c>
      <c r="D773" s="14" t="s">
        <v>1584</v>
      </c>
      <c r="E773" s="229"/>
      <c r="F773" s="117" t="s">
        <v>2889</v>
      </c>
      <c r="G773" s="26">
        <v>25015</v>
      </c>
      <c r="H773" s="231"/>
      <c r="I773" s="221"/>
      <c r="J773" s="221"/>
      <c r="K773" s="221"/>
      <c r="L773" s="221"/>
      <c r="M773" s="221"/>
      <c r="N773" s="221"/>
      <c r="O773" s="225"/>
      <c r="P773" s="118" t="s">
        <v>2890</v>
      </c>
      <c r="Q773" s="16" t="s">
        <v>20</v>
      </c>
      <c r="R773" s="17" t="s">
        <v>2891</v>
      </c>
      <c r="S773" s="121" t="s">
        <v>1731</v>
      </c>
      <c r="T773" s="122"/>
      <c r="U773" s="67" t="s">
        <v>901</v>
      </c>
      <c r="V773" s="123"/>
      <c r="W773" s="122"/>
      <c r="X773" s="221"/>
      <c r="Y773" s="221"/>
      <c r="Z773" s="221"/>
      <c r="AA773" s="221"/>
      <c r="AB773" s="223"/>
    </row>
    <row r="774" spans="1:28" ht="17.100000000000001" customHeight="1" thickTop="1">
      <c r="A774" s="226" t="s">
        <v>6018</v>
      </c>
      <c r="B774" s="28">
        <v>45514</v>
      </c>
      <c r="C774" s="25">
        <v>1457</v>
      </c>
      <c r="D774" s="13" t="s">
        <v>2892</v>
      </c>
      <c r="E774" s="228"/>
      <c r="F774" s="109" t="s">
        <v>2893</v>
      </c>
      <c r="G774" s="24" t="s">
        <v>2894</v>
      </c>
      <c r="H774" s="230">
        <v>4.5</v>
      </c>
      <c r="I774" s="220">
        <v>1570000</v>
      </c>
      <c r="J774" s="220">
        <f>I774*0.1</f>
        <v>157000</v>
      </c>
      <c r="K774" s="220">
        <v>25300</v>
      </c>
      <c r="L774" s="220">
        <v>22240</v>
      </c>
      <c r="M774" s="220">
        <v>13200</v>
      </c>
      <c r="N774" s="220">
        <f>SUM(I774:M775)</f>
        <v>1787740</v>
      </c>
      <c r="O774" s="224"/>
      <c r="P774" s="110" t="s">
        <v>2895</v>
      </c>
      <c r="Q774" s="15" t="s">
        <v>19</v>
      </c>
      <c r="R774" s="205"/>
      <c r="S774" s="189"/>
      <c r="T774" s="114"/>
      <c r="U774" s="21" t="s">
        <v>2896</v>
      </c>
      <c r="V774" s="115">
        <v>46377</v>
      </c>
      <c r="W774" s="116"/>
      <c r="X774" s="220">
        <v>2450000</v>
      </c>
      <c r="Y774" s="245">
        <v>0</v>
      </c>
      <c r="Z774" s="220">
        <v>0</v>
      </c>
      <c r="AA774" s="220">
        <f>SUM(X774:Z774)</f>
        <v>2450000</v>
      </c>
      <c r="AB774" s="222">
        <v>46056</v>
      </c>
    </row>
    <row r="775" spans="1:28" ht="17.100000000000001" customHeight="1" thickBot="1">
      <c r="A775" s="227"/>
      <c r="B775" s="27" t="s">
        <v>1547</v>
      </c>
      <c r="C775" s="27">
        <v>83160</v>
      </c>
      <c r="D775" s="14" t="s">
        <v>1584</v>
      </c>
      <c r="E775" s="229"/>
      <c r="F775" s="117" t="s">
        <v>2897</v>
      </c>
      <c r="G775" s="26">
        <v>56002</v>
      </c>
      <c r="H775" s="231"/>
      <c r="I775" s="221"/>
      <c r="J775" s="221"/>
      <c r="K775" s="221"/>
      <c r="L775" s="221"/>
      <c r="M775" s="221"/>
      <c r="N775" s="221"/>
      <c r="O775" s="225"/>
      <c r="P775" s="118" t="s">
        <v>2898</v>
      </c>
      <c r="Q775" s="16" t="s">
        <v>20</v>
      </c>
      <c r="R775" s="17" t="s">
        <v>2500</v>
      </c>
      <c r="S775" s="121" t="s">
        <v>2899</v>
      </c>
      <c r="T775" s="122"/>
      <c r="U775" s="22"/>
      <c r="V775" s="123" t="s">
        <v>21083</v>
      </c>
      <c r="W775" s="122"/>
      <c r="X775" s="221"/>
      <c r="Y775" s="221"/>
      <c r="Z775" s="221"/>
      <c r="AA775" s="221"/>
      <c r="AB775" s="223"/>
    </row>
    <row r="776" spans="1:28" ht="17.100000000000001" customHeight="1" thickTop="1">
      <c r="A776" s="226" t="s">
        <v>6019</v>
      </c>
      <c r="B776" s="28">
        <v>45523</v>
      </c>
      <c r="C776" s="25"/>
      <c r="D776" s="13" t="s">
        <v>2900</v>
      </c>
      <c r="E776" s="228"/>
      <c r="F776" s="109" t="s">
        <v>2901</v>
      </c>
      <c r="G776" s="24" t="s">
        <v>2887</v>
      </c>
      <c r="H776" s="230">
        <v>4.5</v>
      </c>
      <c r="I776" s="220">
        <f>3762000/1.1</f>
        <v>3419999.9999999995</v>
      </c>
      <c r="J776" s="220">
        <f>I776*0.1</f>
        <v>342000</v>
      </c>
      <c r="K776" s="220">
        <v>25300</v>
      </c>
      <c r="L776" s="220">
        <v>16550</v>
      </c>
      <c r="M776" s="220">
        <v>149050</v>
      </c>
      <c r="N776" s="220">
        <f>SUM(I776:M777)</f>
        <v>3952899.9999999995</v>
      </c>
      <c r="O776" s="224"/>
      <c r="P776" s="110" t="s">
        <v>2902</v>
      </c>
      <c r="Q776" s="15" t="s">
        <v>19</v>
      </c>
      <c r="R776" s="205"/>
      <c r="S776" s="189" t="s">
        <v>1276</v>
      </c>
      <c r="T776" s="114"/>
      <c r="U776" s="21" t="s">
        <v>2903</v>
      </c>
      <c r="V776" s="115">
        <v>45955</v>
      </c>
      <c r="W776" s="116">
        <v>1273</v>
      </c>
      <c r="X776" s="220">
        <v>3000000</v>
      </c>
      <c r="Y776" s="245">
        <f>X776*0.1</f>
        <v>300000</v>
      </c>
      <c r="Z776" s="220">
        <v>16550</v>
      </c>
      <c r="AA776" s="220">
        <f>SUM(X776:Z776)</f>
        <v>3316550</v>
      </c>
      <c r="AB776" s="222">
        <v>45965</v>
      </c>
    </row>
    <row r="777" spans="1:28" ht="17.100000000000001" customHeight="1" thickBot="1">
      <c r="A777" s="227"/>
      <c r="B777" s="27" t="s">
        <v>1708</v>
      </c>
      <c r="C777" s="27" t="s">
        <v>2904</v>
      </c>
      <c r="D777" s="14" t="s">
        <v>2559</v>
      </c>
      <c r="E777" s="229"/>
      <c r="F777" s="117" t="s">
        <v>2905</v>
      </c>
      <c r="G777" s="26">
        <v>50825</v>
      </c>
      <c r="H777" s="231"/>
      <c r="I777" s="221"/>
      <c r="J777" s="221"/>
      <c r="K777" s="221"/>
      <c r="L777" s="221"/>
      <c r="M777" s="221"/>
      <c r="N777" s="221"/>
      <c r="O777" s="225"/>
      <c r="P777" s="118" t="s">
        <v>2906</v>
      </c>
      <c r="Q777" s="16" t="s">
        <v>20</v>
      </c>
      <c r="R777" s="17" t="s">
        <v>2907</v>
      </c>
      <c r="S777" s="121" t="s">
        <v>1606</v>
      </c>
      <c r="T777" s="122"/>
      <c r="U777" s="22"/>
      <c r="V777" s="123" t="s">
        <v>6641</v>
      </c>
      <c r="W777" s="122">
        <v>13177</v>
      </c>
      <c r="X777" s="221"/>
      <c r="Y777" s="221"/>
      <c r="Z777" s="221"/>
      <c r="AA777" s="221"/>
      <c r="AB777" s="223"/>
    </row>
    <row r="778" spans="1:28" ht="17.100000000000001" customHeight="1" thickTop="1">
      <c r="A778" s="226" t="s">
        <v>6020</v>
      </c>
      <c r="B778" s="28">
        <v>45525</v>
      </c>
      <c r="C778" s="25">
        <v>1294</v>
      </c>
      <c r="D778" s="13" t="s">
        <v>2406</v>
      </c>
      <c r="E778" s="228"/>
      <c r="F778" s="109" t="s">
        <v>2908</v>
      </c>
      <c r="G778" s="24"/>
      <c r="H778" s="230">
        <v>4.5</v>
      </c>
      <c r="I778" s="220">
        <v>2102000</v>
      </c>
      <c r="J778" s="220">
        <f>I778*0.1</f>
        <v>210200</v>
      </c>
      <c r="K778" s="220">
        <v>0</v>
      </c>
      <c r="L778" s="220">
        <v>19440</v>
      </c>
      <c r="M778" s="220">
        <v>22000</v>
      </c>
      <c r="N778" s="220">
        <f>SUM(I778:M779)</f>
        <v>2353640</v>
      </c>
      <c r="O778" s="224"/>
      <c r="P778" s="110" t="s">
        <v>2909</v>
      </c>
      <c r="Q778" s="15" t="s">
        <v>19</v>
      </c>
      <c r="R778" s="205"/>
      <c r="S778" s="189" t="s">
        <v>25416</v>
      </c>
      <c r="T778" s="114"/>
      <c r="U778" s="21"/>
      <c r="V778" s="115"/>
      <c r="W778" s="116"/>
      <c r="X778" s="220"/>
      <c r="Y778" s="245">
        <f>X778*0.1</f>
        <v>0</v>
      </c>
      <c r="Z778" s="220"/>
      <c r="AA778" s="220">
        <f>SUM(X778:Z778)</f>
        <v>0</v>
      </c>
      <c r="AB778" s="222"/>
    </row>
    <row r="779" spans="1:28" ht="17.100000000000001" customHeight="1" thickBot="1">
      <c r="A779" s="227"/>
      <c r="B779" s="27" t="s">
        <v>2418</v>
      </c>
      <c r="C779" s="27">
        <v>8029</v>
      </c>
      <c r="D779" s="14" t="s">
        <v>131</v>
      </c>
      <c r="E779" s="229"/>
      <c r="F779" s="117" t="s">
        <v>2910</v>
      </c>
      <c r="G779" s="26">
        <v>48872</v>
      </c>
      <c r="H779" s="231"/>
      <c r="I779" s="221"/>
      <c r="J779" s="221"/>
      <c r="K779" s="221"/>
      <c r="L779" s="221"/>
      <c r="M779" s="221"/>
      <c r="N779" s="221"/>
      <c r="O779" s="225"/>
      <c r="P779" s="118" t="s">
        <v>2911</v>
      </c>
      <c r="Q779" s="16" t="s">
        <v>20</v>
      </c>
      <c r="R779" s="17" t="s">
        <v>2912</v>
      </c>
      <c r="S779" s="121" t="s">
        <v>2703</v>
      </c>
      <c r="T779" s="122"/>
      <c r="U779" s="22"/>
      <c r="V779" s="123"/>
      <c r="W779" s="122"/>
      <c r="X779" s="221"/>
      <c r="Y779" s="221"/>
      <c r="Z779" s="221"/>
      <c r="AA779" s="221"/>
      <c r="AB779" s="223"/>
    </row>
    <row r="780" spans="1:28" ht="17.100000000000001" customHeight="1" thickTop="1">
      <c r="A780" s="226" t="s">
        <v>6021</v>
      </c>
      <c r="B780" s="28">
        <v>45528</v>
      </c>
      <c r="C780" s="25">
        <v>1215</v>
      </c>
      <c r="D780" s="13" t="s">
        <v>2913</v>
      </c>
      <c r="E780" s="228"/>
      <c r="F780" s="109" t="s">
        <v>2914</v>
      </c>
      <c r="G780" s="24" t="s">
        <v>2470</v>
      </c>
      <c r="H780" s="230">
        <v>4.5</v>
      </c>
      <c r="I780" s="220">
        <v>2105000</v>
      </c>
      <c r="J780" s="220">
        <f>I780*0.1</f>
        <v>210500</v>
      </c>
      <c r="K780" s="220">
        <v>19470</v>
      </c>
      <c r="L780" s="220">
        <v>17600</v>
      </c>
      <c r="M780" s="220">
        <v>13200</v>
      </c>
      <c r="N780" s="220">
        <f>SUM(I780:M781)</f>
        <v>2365770</v>
      </c>
      <c r="O780" s="224"/>
      <c r="P780" s="110" t="s">
        <v>2915</v>
      </c>
      <c r="Q780" s="15" t="s">
        <v>19</v>
      </c>
      <c r="R780" s="205"/>
      <c r="S780" s="189" t="s">
        <v>1312</v>
      </c>
      <c r="T780" s="114"/>
      <c r="U780" s="21" t="s">
        <v>2916</v>
      </c>
      <c r="V780" s="115"/>
      <c r="W780" s="116"/>
      <c r="X780" s="220"/>
      <c r="Y780" s="245">
        <f>X780*0.1</f>
        <v>0</v>
      </c>
      <c r="Z780" s="220"/>
      <c r="AA780" s="220">
        <f>SUM(X780:Z780)</f>
        <v>0</v>
      </c>
      <c r="AB780" s="222"/>
    </row>
    <row r="781" spans="1:28" ht="17.100000000000001" customHeight="1" thickBot="1">
      <c r="A781" s="227"/>
      <c r="B781" s="27" t="s">
        <v>2472</v>
      </c>
      <c r="C781" s="27">
        <v>82734</v>
      </c>
      <c r="D781" s="14" t="s">
        <v>1584</v>
      </c>
      <c r="E781" s="229"/>
      <c r="F781" s="117" t="s">
        <v>2917</v>
      </c>
      <c r="G781" s="26">
        <v>41227</v>
      </c>
      <c r="H781" s="231"/>
      <c r="I781" s="221"/>
      <c r="J781" s="221"/>
      <c r="K781" s="221"/>
      <c r="L781" s="221"/>
      <c r="M781" s="221"/>
      <c r="N781" s="221"/>
      <c r="O781" s="225"/>
      <c r="P781" s="118" t="s">
        <v>2918</v>
      </c>
      <c r="Q781" s="16" t="s">
        <v>20</v>
      </c>
      <c r="R781" s="17" t="s">
        <v>2919</v>
      </c>
      <c r="S781" s="121" t="s">
        <v>1606</v>
      </c>
      <c r="T781" s="122"/>
      <c r="U781" s="22"/>
      <c r="V781" s="123"/>
      <c r="W781" s="122"/>
      <c r="X781" s="221"/>
      <c r="Y781" s="221"/>
      <c r="Z781" s="221"/>
      <c r="AA781" s="221"/>
      <c r="AB781" s="223"/>
    </row>
    <row r="782" spans="1:28" ht="17.100000000000001" customHeight="1" thickTop="1">
      <c r="A782" s="226" t="s">
        <v>6022</v>
      </c>
      <c r="B782" s="28">
        <v>45534</v>
      </c>
      <c r="C782" s="25">
        <v>2050</v>
      </c>
      <c r="D782" s="13" t="s">
        <v>2920</v>
      </c>
      <c r="E782" s="228"/>
      <c r="F782" s="109" t="s">
        <v>2921</v>
      </c>
      <c r="G782" s="24" t="s">
        <v>2894</v>
      </c>
      <c r="H782" s="230">
        <v>4</v>
      </c>
      <c r="I782" s="220">
        <v>3295000</v>
      </c>
      <c r="J782" s="220">
        <f>I782*0.1</f>
        <v>329500</v>
      </c>
      <c r="K782" s="220">
        <v>23100</v>
      </c>
      <c r="L782" s="220">
        <v>19560</v>
      </c>
      <c r="M782" s="220">
        <v>13200</v>
      </c>
      <c r="N782" s="220">
        <f>SUM(I782:M783)</f>
        <v>3680360</v>
      </c>
      <c r="O782" s="224"/>
      <c r="P782" s="110" t="s">
        <v>2922</v>
      </c>
      <c r="Q782" s="15" t="s">
        <v>19</v>
      </c>
      <c r="R782" s="205"/>
      <c r="S782" s="189" t="s">
        <v>1271</v>
      </c>
      <c r="T782" s="114"/>
      <c r="U782" s="21" t="s">
        <v>2923</v>
      </c>
      <c r="V782" s="115"/>
      <c r="W782" s="116"/>
      <c r="X782" s="220"/>
      <c r="Y782" s="245">
        <f>X782*0.1</f>
        <v>0</v>
      </c>
      <c r="Z782" s="220"/>
      <c r="AA782" s="220">
        <f>SUM(X782:Z782)</f>
        <v>0</v>
      </c>
      <c r="AB782" s="222"/>
    </row>
    <row r="783" spans="1:28" ht="17.100000000000001" customHeight="1" thickBot="1">
      <c r="A783" s="227"/>
      <c r="B783" s="27" t="s">
        <v>1536</v>
      </c>
      <c r="C783" s="27">
        <v>35191</v>
      </c>
      <c r="D783" s="14" t="s">
        <v>1690</v>
      </c>
      <c r="E783" s="229"/>
      <c r="F783" s="117" t="s">
        <v>2924</v>
      </c>
      <c r="G783" s="26">
        <v>39474</v>
      </c>
      <c r="H783" s="231"/>
      <c r="I783" s="221"/>
      <c r="J783" s="221"/>
      <c r="K783" s="221"/>
      <c r="L783" s="221"/>
      <c r="M783" s="221"/>
      <c r="N783" s="221"/>
      <c r="O783" s="225"/>
      <c r="P783" s="118" t="s">
        <v>2925</v>
      </c>
      <c r="Q783" s="16" t="s">
        <v>20</v>
      </c>
      <c r="R783" s="17" t="s">
        <v>2926</v>
      </c>
      <c r="S783" s="121" t="s">
        <v>1731</v>
      </c>
      <c r="T783" s="122"/>
      <c r="U783" s="22"/>
      <c r="V783" s="123"/>
      <c r="W783" s="122"/>
      <c r="X783" s="221"/>
      <c r="Y783" s="221"/>
      <c r="Z783" s="221"/>
      <c r="AA783" s="221"/>
      <c r="AB783" s="223"/>
    </row>
    <row r="784" spans="1:28" ht="17.100000000000001" customHeight="1" thickTop="1">
      <c r="A784" s="226" t="s">
        <v>6023</v>
      </c>
      <c r="B784" s="28">
        <v>45534</v>
      </c>
      <c r="C784" s="25">
        <v>2050</v>
      </c>
      <c r="D784" s="13" t="s">
        <v>2573</v>
      </c>
      <c r="E784" s="228"/>
      <c r="F784" s="109" t="s">
        <v>1579</v>
      </c>
      <c r="G784" s="24" t="s">
        <v>2927</v>
      </c>
      <c r="H784" s="230">
        <v>4.5</v>
      </c>
      <c r="I784" s="220">
        <v>2005000</v>
      </c>
      <c r="J784" s="220">
        <f>I784*0.1</f>
        <v>200500</v>
      </c>
      <c r="K784" s="220">
        <v>23100</v>
      </c>
      <c r="L784" s="220">
        <v>16240</v>
      </c>
      <c r="M784" s="220">
        <v>13200</v>
      </c>
      <c r="N784" s="220">
        <f>SUM(I784:M785)</f>
        <v>2258040</v>
      </c>
      <c r="O784" s="224"/>
      <c r="P784" s="110" t="s">
        <v>2928</v>
      </c>
      <c r="Q784" s="15" t="s">
        <v>19</v>
      </c>
      <c r="R784" s="205"/>
      <c r="S784" s="189" t="s">
        <v>1361</v>
      </c>
      <c r="T784" s="114"/>
      <c r="U784" s="21"/>
      <c r="V784" s="115"/>
      <c r="W784" s="116"/>
      <c r="X784" s="220"/>
      <c r="Y784" s="245">
        <f>X784*0.1</f>
        <v>0</v>
      </c>
      <c r="Z784" s="220"/>
      <c r="AA784" s="220">
        <f>SUM(X784:Z784)</f>
        <v>0</v>
      </c>
      <c r="AB784" s="222"/>
    </row>
    <row r="785" spans="1:28" ht="17.100000000000001" customHeight="1" thickBot="1">
      <c r="A785" s="227"/>
      <c r="B785" s="27" t="s">
        <v>1536</v>
      </c>
      <c r="C785" s="27">
        <v>58482</v>
      </c>
      <c r="D785" s="14" t="s">
        <v>131</v>
      </c>
      <c r="E785" s="229"/>
      <c r="F785" s="117" t="s">
        <v>2929</v>
      </c>
      <c r="G785" s="26">
        <v>41734</v>
      </c>
      <c r="H785" s="231"/>
      <c r="I785" s="221"/>
      <c r="J785" s="221"/>
      <c r="K785" s="221"/>
      <c r="L785" s="221"/>
      <c r="M785" s="221"/>
      <c r="N785" s="221"/>
      <c r="O785" s="225"/>
      <c r="P785" s="118" t="s">
        <v>2918</v>
      </c>
      <c r="Q785" s="16" t="s">
        <v>20</v>
      </c>
      <c r="R785" s="17" t="s">
        <v>2926</v>
      </c>
      <c r="S785" s="121" t="s">
        <v>2930</v>
      </c>
      <c r="T785" s="122"/>
      <c r="U785" s="67" t="s">
        <v>50</v>
      </c>
      <c r="V785" s="123"/>
      <c r="W785" s="122"/>
      <c r="X785" s="221"/>
      <c r="Y785" s="221"/>
      <c r="Z785" s="221"/>
      <c r="AA785" s="221"/>
      <c r="AB785" s="223"/>
    </row>
    <row r="786" spans="1:28" ht="17.100000000000001" customHeight="1" thickTop="1">
      <c r="A786" s="226" t="s">
        <v>6024</v>
      </c>
      <c r="B786" s="28">
        <v>45540</v>
      </c>
      <c r="C786" s="25">
        <v>1943</v>
      </c>
      <c r="D786" s="13" t="s">
        <v>2931</v>
      </c>
      <c r="E786" s="228"/>
      <c r="F786" s="109" t="s">
        <v>2932</v>
      </c>
      <c r="G786" s="24" t="s">
        <v>2379</v>
      </c>
      <c r="H786" s="230">
        <v>3.5</v>
      </c>
      <c r="I786" s="220">
        <v>884000</v>
      </c>
      <c r="J786" s="220">
        <f>I786*0.1</f>
        <v>88400</v>
      </c>
      <c r="K786" s="220">
        <v>0</v>
      </c>
      <c r="L786" s="220">
        <v>8540</v>
      </c>
      <c r="M786" s="220">
        <v>22000</v>
      </c>
      <c r="N786" s="220">
        <f>SUM(I786:M787)</f>
        <v>1002940</v>
      </c>
      <c r="O786" s="224"/>
      <c r="P786" s="110" t="s">
        <v>2933</v>
      </c>
      <c r="Q786" s="15" t="s">
        <v>19</v>
      </c>
      <c r="R786" s="205"/>
      <c r="S786" s="189" t="s">
        <v>1072</v>
      </c>
      <c r="T786" s="114"/>
      <c r="U786" s="21" t="s">
        <v>2934</v>
      </c>
      <c r="V786" s="115">
        <v>45969</v>
      </c>
      <c r="W786" s="116">
        <v>1275</v>
      </c>
      <c r="X786" s="220">
        <v>755000</v>
      </c>
      <c r="Y786" s="245">
        <f>X786*0.1</f>
        <v>75500</v>
      </c>
      <c r="Z786" s="220">
        <v>8540</v>
      </c>
      <c r="AA786" s="220">
        <f>SUM(X786:Z786)</f>
        <v>839040</v>
      </c>
      <c r="AB786" s="222">
        <v>45972</v>
      </c>
    </row>
    <row r="787" spans="1:28" ht="17.100000000000001" customHeight="1" thickBot="1">
      <c r="A787" s="227"/>
      <c r="B787" s="27" t="s">
        <v>2680</v>
      </c>
      <c r="C787" s="27">
        <v>50208</v>
      </c>
      <c r="D787" s="14" t="s">
        <v>1568</v>
      </c>
      <c r="E787" s="229"/>
      <c r="F787" s="117" t="s">
        <v>2935</v>
      </c>
      <c r="G787" s="26">
        <v>54620</v>
      </c>
      <c r="H787" s="231"/>
      <c r="I787" s="221"/>
      <c r="J787" s="221"/>
      <c r="K787" s="221"/>
      <c r="L787" s="221"/>
      <c r="M787" s="221"/>
      <c r="N787" s="221"/>
      <c r="O787" s="225"/>
      <c r="P787" s="118" t="s">
        <v>2870</v>
      </c>
      <c r="Q787" s="16" t="s">
        <v>20</v>
      </c>
      <c r="R787" s="17" t="s">
        <v>2099</v>
      </c>
      <c r="S787" s="121" t="s">
        <v>1573</v>
      </c>
      <c r="T787" s="122" t="s">
        <v>2936</v>
      </c>
      <c r="U787" s="22"/>
      <c r="V787" s="123" t="s">
        <v>2472</v>
      </c>
      <c r="W787" s="122">
        <v>60051</v>
      </c>
      <c r="X787" s="221"/>
      <c r="Y787" s="221"/>
      <c r="Z787" s="221"/>
      <c r="AA787" s="221"/>
      <c r="AB787" s="223"/>
    </row>
    <row r="788" spans="1:28" ht="17.100000000000001" customHeight="1" thickTop="1">
      <c r="A788" s="226" t="s">
        <v>6025</v>
      </c>
      <c r="B788" s="28">
        <v>45540</v>
      </c>
      <c r="C788" s="25">
        <v>2075</v>
      </c>
      <c r="D788" s="13" t="s">
        <v>1883</v>
      </c>
      <c r="E788" s="228"/>
      <c r="F788" s="109" t="s">
        <v>2937</v>
      </c>
      <c r="G788" s="24" t="s">
        <v>2938</v>
      </c>
      <c r="H788" s="230">
        <v>4</v>
      </c>
      <c r="I788" s="220">
        <v>862000</v>
      </c>
      <c r="J788" s="220">
        <f>I788*0.1</f>
        <v>86200</v>
      </c>
      <c r="K788" s="220">
        <v>0</v>
      </c>
      <c r="L788" s="220">
        <v>7510</v>
      </c>
      <c r="M788" s="220">
        <v>13750</v>
      </c>
      <c r="N788" s="220">
        <f>SUM(I788:M789)</f>
        <v>969460</v>
      </c>
      <c r="O788" s="224"/>
      <c r="P788" s="110" t="s">
        <v>2939</v>
      </c>
      <c r="Q788" s="15" t="s">
        <v>19</v>
      </c>
      <c r="R788" s="205"/>
      <c r="S788" s="189" t="s">
        <v>25417</v>
      </c>
      <c r="T788" s="114"/>
      <c r="U788" s="21" t="s">
        <v>2940</v>
      </c>
      <c r="V788" s="115"/>
      <c r="W788" s="116"/>
      <c r="X788" s="220"/>
      <c r="Y788" s="245">
        <f>X788*0.1</f>
        <v>0</v>
      </c>
      <c r="Z788" s="220"/>
      <c r="AA788" s="220">
        <f>SUM(X788:Z788)</f>
        <v>0</v>
      </c>
      <c r="AB788" s="222"/>
    </row>
    <row r="789" spans="1:28" ht="17.100000000000001" customHeight="1" thickBot="1">
      <c r="A789" s="227"/>
      <c r="B789" s="27" t="s">
        <v>1918</v>
      </c>
      <c r="C789" s="27">
        <v>2515</v>
      </c>
      <c r="D789" s="14" t="s">
        <v>273</v>
      </c>
      <c r="E789" s="229"/>
      <c r="F789" s="117" t="s">
        <v>2941</v>
      </c>
      <c r="G789" s="26">
        <v>41207</v>
      </c>
      <c r="H789" s="231"/>
      <c r="I789" s="221"/>
      <c r="J789" s="221"/>
      <c r="K789" s="221"/>
      <c r="L789" s="221"/>
      <c r="M789" s="221"/>
      <c r="N789" s="221"/>
      <c r="O789" s="225"/>
      <c r="P789" s="118" t="s">
        <v>2942</v>
      </c>
      <c r="Q789" s="16" t="s">
        <v>20</v>
      </c>
      <c r="R789" s="17" t="s">
        <v>2543</v>
      </c>
      <c r="S789" s="121" t="s">
        <v>2611</v>
      </c>
      <c r="T789" s="122"/>
      <c r="U789" s="22"/>
      <c r="V789" s="123"/>
      <c r="W789" s="122"/>
      <c r="X789" s="221"/>
      <c r="Y789" s="221"/>
      <c r="Z789" s="221"/>
      <c r="AA789" s="221"/>
      <c r="AB789" s="223"/>
    </row>
    <row r="790" spans="1:28" ht="17.100000000000001" customHeight="1" thickTop="1">
      <c r="A790" s="226" t="s">
        <v>6026</v>
      </c>
      <c r="B790" s="28">
        <v>45540</v>
      </c>
      <c r="C790" s="25">
        <v>2075</v>
      </c>
      <c r="D790" s="13" t="s">
        <v>1754</v>
      </c>
      <c r="E790" s="228"/>
      <c r="F790" s="109" t="s">
        <v>2943</v>
      </c>
      <c r="G790" s="24"/>
      <c r="H790" s="230">
        <v>4</v>
      </c>
      <c r="I790" s="220">
        <v>777000</v>
      </c>
      <c r="J790" s="220">
        <f>I790*0.1</f>
        <v>77700</v>
      </c>
      <c r="K790" s="220">
        <v>0</v>
      </c>
      <c r="L790" s="220">
        <v>8400</v>
      </c>
      <c r="M790" s="220">
        <v>13750</v>
      </c>
      <c r="N790" s="220">
        <f>SUM(I790:M791)</f>
        <v>876850</v>
      </c>
      <c r="O790" s="224"/>
      <c r="P790" s="110" t="s">
        <v>2944</v>
      </c>
      <c r="Q790" s="15" t="s">
        <v>2945</v>
      </c>
      <c r="R790" s="205"/>
      <c r="S790" s="189"/>
      <c r="T790" s="114"/>
      <c r="U790" s="21"/>
      <c r="V790" s="115">
        <v>45932</v>
      </c>
      <c r="W790" s="116"/>
      <c r="X790" s="220">
        <v>810000</v>
      </c>
      <c r="Y790" s="245">
        <f>X790*0.1</f>
        <v>81000</v>
      </c>
      <c r="Z790" s="220">
        <v>8400</v>
      </c>
      <c r="AA790" s="220">
        <f>SUM(X790:Z790)</f>
        <v>899400</v>
      </c>
      <c r="AB790" s="222"/>
    </row>
    <row r="791" spans="1:28" ht="17.100000000000001" customHeight="1" thickBot="1">
      <c r="A791" s="227"/>
      <c r="B791" s="27" t="s">
        <v>1918</v>
      </c>
      <c r="C791" s="27">
        <v>2534</v>
      </c>
      <c r="D791" s="14" t="s">
        <v>1568</v>
      </c>
      <c r="E791" s="229"/>
      <c r="F791" s="117" t="s">
        <v>2946</v>
      </c>
      <c r="G791" s="26">
        <v>34566</v>
      </c>
      <c r="H791" s="231"/>
      <c r="I791" s="221"/>
      <c r="J791" s="221"/>
      <c r="K791" s="221"/>
      <c r="L791" s="221"/>
      <c r="M791" s="221"/>
      <c r="N791" s="221"/>
      <c r="O791" s="225"/>
      <c r="P791" s="118" t="s">
        <v>2947</v>
      </c>
      <c r="Q791" s="16" t="s">
        <v>20</v>
      </c>
      <c r="R791" s="17" t="s">
        <v>2543</v>
      </c>
      <c r="S791" s="121"/>
      <c r="T791" s="122"/>
      <c r="U791" s="22"/>
      <c r="V791" s="123" t="s">
        <v>6682</v>
      </c>
      <c r="W791" s="122">
        <v>35915</v>
      </c>
      <c r="X791" s="221"/>
      <c r="Y791" s="221"/>
      <c r="Z791" s="221"/>
      <c r="AA791" s="221"/>
      <c r="AB791" s="223"/>
    </row>
    <row r="792" spans="1:28" ht="17.100000000000001" customHeight="1" thickTop="1">
      <c r="A792" s="226" t="s">
        <v>6027</v>
      </c>
      <c r="B792" s="28">
        <v>45544</v>
      </c>
      <c r="C792" s="25">
        <v>2010</v>
      </c>
      <c r="D792" s="13" t="s">
        <v>2107</v>
      </c>
      <c r="E792" s="228"/>
      <c r="F792" s="109" t="s">
        <v>2948</v>
      </c>
      <c r="G792" s="24"/>
      <c r="H792" s="230">
        <v>3.5</v>
      </c>
      <c r="I792" s="220">
        <v>1990000</v>
      </c>
      <c r="J792" s="220">
        <f>I792*0.1</f>
        <v>199000</v>
      </c>
      <c r="K792" s="220">
        <v>0</v>
      </c>
      <c r="L792" s="220">
        <v>14740</v>
      </c>
      <c r="M792" s="220">
        <v>11000</v>
      </c>
      <c r="N792" s="220">
        <f>SUM(I792:M793)</f>
        <v>2214740</v>
      </c>
      <c r="O792" s="224"/>
      <c r="P792" s="110" t="s">
        <v>2949</v>
      </c>
      <c r="Q792" s="15" t="s">
        <v>19</v>
      </c>
      <c r="R792" s="205"/>
      <c r="S792" s="189" t="s">
        <v>25372</v>
      </c>
      <c r="T792" s="114"/>
      <c r="U792" s="21"/>
      <c r="V792" s="115">
        <v>45899</v>
      </c>
      <c r="W792" s="116"/>
      <c r="X792" s="220">
        <v>2700000</v>
      </c>
      <c r="Y792" s="245">
        <v>0</v>
      </c>
      <c r="Z792" s="220">
        <v>0</v>
      </c>
      <c r="AA792" s="220">
        <f>SUM(X792:Z792)</f>
        <v>2700000</v>
      </c>
      <c r="AB792" s="222">
        <v>45937</v>
      </c>
    </row>
    <row r="793" spans="1:28" ht="17.100000000000001" customHeight="1" thickBot="1">
      <c r="A793" s="227"/>
      <c r="B793" s="27" t="s">
        <v>82</v>
      </c>
      <c r="C793" s="27">
        <v>33504</v>
      </c>
      <c r="D793" s="14" t="s">
        <v>131</v>
      </c>
      <c r="E793" s="229"/>
      <c r="F793" s="117" t="s">
        <v>2950</v>
      </c>
      <c r="G793" s="26">
        <v>43182</v>
      </c>
      <c r="H793" s="231"/>
      <c r="I793" s="221"/>
      <c r="J793" s="221"/>
      <c r="K793" s="221"/>
      <c r="L793" s="221"/>
      <c r="M793" s="221"/>
      <c r="N793" s="221"/>
      <c r="O793" s="225"/>
      <c r="P793" s="118" t="s">
        <v>2622</v>
      </c>
      <c r="Q793" s="16" t="s">
        <v>20</v>
      </c>
      <c r="R793" s="17" t="s">
        <v>2951</v>
      </c>
      <c r="S793" s="121" t="s">
        <v>169</v>
      </c>
      <c r="T793" s="122"/>
      <c r="U793" s="22"/>
      <c r="V793" s="123" t="s">
        <v>13717</v>
      </c>
      <c r="W793" s="122"/>
      <c r="X793" s="221"/>
      <c r="Y793" s="221"/>
      <c r="Z793" s="221"/>
      <c r="AA793" s="221"/>
      <c r="AB793" s="223"/>
    </row>
    <row r="794" spans="1:28" ht="17.100000000000001" customHeight="1" thickTop="1">
      <c r="A794" s="226" t="s">
        <v>6028</v>
      </c>
      <c r="B794" s="28">
        <v>45545</v>
      </c>
      <c r="C794" s="25">
        <v>857</v>
      </c>
      <c r="D794" s="13" t="s">
        <v>2158</v>
      </c>
      <c r="E794" s="228"/>
      <c r="F794" s="109" t="s">
        <v>2952</v>
      </c>
      <c r="G794" s="24" t="s">
        <v>2953</v>
      </c>
      <c r="H794" s="230">
        <v>4</v>
      </c>
      <c r="I794" s="220">
        <v>1519000</v>
      </c>
      <c r="J794" s="220">
        <f>I794*0.1</f>
        <v>151900</v>
      </c>
      <c r="K794" s="220">
        <v>16720</v>
      </c>
      <c r="L794" s="220">
        <v>16240</v>
      </c>
      <c r="M794" s="220">
        <v>14850</v>
      </c>
      <c r="N794" s="220">
        <f>SUM(I794:M795)</f>
        <v>1718710</v>
      </c>
      <c r="O794" s="224"/>
      <c r="P794" s="110" t="s">
        <v>2954</v>
      </c>
      <c r="Q794" s="15" t="s">
        <v>19</v>
      </c>
      <c r="R794" s="205"/>
      <c r="S794" s="189" t="s">
        <v>758</v>
      </c>
      <c r="T794" s="114"/>
      <c r="U794" s="21" t="s">
        <v>2955</v>
      </c>
      <c r="V794" s="115"/>
      <c r="W794" s="116"/>
      <c r="X794" s="220"/>
      <c r="Y794" s="245">
        <f>X794*0.1</f>
        <v>0</v>
      </c>
      <c r="Z794" s="220"/>
      <c r="AA794" s="220">
        <f>SUM(X794:Z794)</f>
        <v>0</v>
      </c>
      <c r="AB794" s="222"/>
    </row>
    <row r="795" spans="1:28" ht="17.100000000000001" customHeight="1" thickBot="1">
      <c r="A795" s="227"/>
      <c r="B795" s="27" t="s">
        <v>2654</v>
      </c>
      <c r="C795" s="27">
        <v>5001</v>
      </c>
      <c r="D795" s="14" t="s">
        <v>898</v>
      </c>
      <c r="E795" s="229"/>
      <c r="F795" s="117" t="s">
        <v>2956</v>
      </c>
      <c r="G795" s="26">
        <v>39653</v>
      </c>
      <c r="H795" s="231"/>
      <c r="I795" s="221"/>
      <c r="J795" s="221"/>
      <c r="K795" s="221"/>
      <c r="L795" s="221"/>
      <c r="M795" s="221"/>
      <c r="N795" s="221"/>
      <c r="O795" s="225"/>
      <c r="P795" s="118" t="s">
        <v>2957</v>
      </c>
      <c r="Q795" s="16" t="s">
        <v>20</v>
      </c>
      <c r="R795" s="17" t="s">
        <v>2099</v>
      </c>
      <c r="S795" s="121" t="s">
        <v>1731</v>
      </c>
      <c r="T795" s="122"/>
      <c r="U795" s="22"/>
      <c r="V795" s="123"/>
      <c r="W795" s="122"/>
      <c r="X795" s="221"/>
      <c r="Y795" s="221"/>
      <c r="Z795" s="221"/>
      <c r="AA795" s="221"/>
      <c r="AB795" s="223"/>
    </row>
    <row r="796" spans="1:28" ht="17.100000000000001" customHeight="1" thickTop="1">
      <c r="A796" s="226" t="s">
        <v>6029</v>
      </c>
      <c r="B796" s="28">
        <v>45548</v>
      </c>
      <c r="C796" s="25">
        <v>2052</v>
      </c>
      <c r="D796" s="13" t="s">
        <v>1634</v>
      </c>
      <c r="E796" s="228"/>
      <c r="F796" s="109" t="s">
        <v>2958</v>
      </c>
      <c r="G796" s="24" t="s">
        <v>2959</v>
      </c>
      <c r="H796" s="230">
        <v>4</v>
      </c>
      <c r="I796" s="220">
        <v>900000</v>
      </c>
      <c r="J796" s="220">
        <f>I796*0.1</f>
        <v>90000</v>
      </c>
      <c r="K796" s="220">
        <v>0</v>
      </c>
      <c r="L796" s="220">
        <v>8010</v>
      </c>
      <c r="M796" s="220">
        <v>23100</v>
      </c>
      <c r="N796" s="220">
        <f>SUM(I796:M797)</f>
        <v>1021110</v>
      </c>
      <c r="O796" s="224"/>
      <c r="P796" s="110" t="s">
        <v>2960</v>
      </c>
      <c r="Q796" s="15" t="s">
        <v>19</v>
      </c>
      <c r="R796" s="205"/>
      <c r="S796" s="189"/>
      <c r="T796" s="114"/>
      <c r="U796" s="21" t="s">
        <v>2961</v>
      </c>
      <c r="V796" s="115"/>
      <c r="W796" s="116"/>
      <c r="X796" s="220"/>
      <c r="Y796" s="245">
        <f>X796*0.1</f>
        <v>0</v>
      </c>
      <c r="Z796" s="220"/>
      <c r="AA796" s="220">
        <f>SUM(X796:Z796)</f>
        <v>0</v>
      </c>
      <c r="AB796" s="222"/>
    </row>
    <row r="797" spans="1:28" ht="17.100000000000001" customHeight="1" thickBot="1">
      <c r="A797" s="227"/>
      <c r="B797" s="27" t="s">
        <v>1536</v>
      </c>
      <c r="C797" s="27">
        <v>55777</v>
      </c>
      <c r="D797" s="14" t="s">
        <v>1710</v>
      </c>
      <c r="E797" s="229"/>
      <c r="F797" s="117" t="s">
        <v>2962</v>
      </c>
      <c r="G797" s="26">
        <v>34812</v>
      </c>
      <c r="H797" s="231"/>
      <c r="I797" s="221"/>
      <c r="J797" s="221"/>
      <c r="K797" s="221"/>
      <c r="L797" s="221"/>
      <c r="M797" s="221"/>
      <c r="N797" s="221"/>
      <c r="O797" s="225"/>
      <c r="P797" s="118" t="s">
        <v>2963</v>
      </c>
      <c r="Q797" s="16" t="s">
        <v>20</v>
      </c>
      <c r="R797" s="17" t="s">
        <v>2120</v>
      </c>
      <c r="S797" s="121"/>
      <c r="T797" s="122"/>
      <c r="U797" s="22"/>
      <c r="V797" s="123"/>
      <c r="W797" s="122"/>
      <c r="X797" s="221"/>
      <c r="Y797" s="221"/>
      <c r="Z797" s="221"/>
      <c r="AA797" s="221"/>
      <c r="AB797" s="223"/>
    </row>
    <row r="798" spans="1:28" ht="17.100000000000001" customHeight="1" thickTop="1">
      <c r="A798" s="226" t="s">
        <v>6030</v>
      </c>
      <c r="B798" s="28">
        <v>45551</v>
      </c>
      <c r="C798" s="25"/>
      <c r="D798" s="13" t="s">
        <v>2964</v>
      </c>
      <c r="E798" s="228"/>
      <c r="F798" s="109" t="s">
        <v>2965</v>
      </c>
      <c r="G798" s="24"/>
      <c r="H798" s="230">
        <v>3.5</v>
      </c>
      <c r="I798" s="220">
        <v>1265000</v>
      </c>
      <c r="J798" s="220">
        <f>I798*0.1</f>
        <v>126500</v>
      </c>
      <c r="K798" s="220">
        <v>0</v>
      </c>
      <c r="L798" s="220">
        <v>8550</v>
      </c>
      <c r="M798" s="220">
        <v>14850</v>
      </c>
      <c r="N798" s="220">
        <f>SUM(I798:M799)</f>
        <v>1414900</v>
      </c>
      <c r="O798" s="224"/>
      <c r="P798" s="110" t="s">
        <v>2966</v>
      </c>
      <c r="Q798" s="15" t="s">
        <v>19</v>
      </c>
      <c r="R798" s="205"/>
      <c r="S798" s="189" t="s">
        <v>758</v>
      </c>
      <c r="T798" s="114"/>
      <c r="U798" s="21"/>
      <c r="V798" s="115">
        <v>45938</v>
      </c>
      <c r="W798" s="116"/>
      <c r="X798" s="220">
        <v>1270000</v>
      </c>
      <c r="Y798" s="245">
        <f>X798*0.1</f>
        <v>127000</v>
      </c>
      <c r="Z798" s="220">
        <v>8550</v>
      </c>
      <c r="AA798" s="220">
        <f>SUM(X798:Z798)</f>
        <v>1405550</v>
      </c>
      <c r="AB798" s="222"/>
    </row>
    <row r="799" spans="1:28" ht="17.100000000000001" customHeight="1" thickBot="1">
      <c r="A799" s="227"/>
      <c r="B799" s="27" t="s">
        <v>2727</v>
      </c>
      <c r="C799" s="27">
        <v>80150</v>
      </c>
      <c r="D799" s="14" t="s">
        <v>273</v>
      </c>
      <c r="E799" s="229"/>
      <c r="F799" s="117" t="s">
        <v>2967</v>
      </c>
      <c r="G799" s="26">
        <v>39205</v>
      </c>
      <c r="H799" s="231"/>
      <c r="I799" s="221"/>
      <c r="J799" s="221"/>
      <c r="K799" s="221"/>
      <c r="L799" s="221"/>
      <c r="M799" s="221"/>
      <c r="N799" s="221"/>
      <c r="O799" s="225"/>
      <c r="P799" s="118" t="s">
        <v>2968</v>
      </c>
      <c r="Q799" s="16" t="s">
        <v>20</v>
      </c>
      <c r="R799" s="17" t="s">
        <v>2120</v>
      </c>
      <c r="S799" s="121" t="s">
        <v>2969</v>
      </c>
      <c r="T799" s="122"/>
      <c r="U799" s="22"/>
      <c r="V799" s="123" t="s">
        <v>6682</v>
      </c>
      <c r="W799" s="122">
        <v>35921</v>
      </c>
      <c r="X799" s="221"/>
      <c r="Y799" s="221"/>
      <c r="Z799" s="221"/>
      <c r="AA799" s="221"/>
      <c r="AB799" s="223"/>
    </row>
    <row r="800" spans="1:28" ht="17.100000000000001" customHeight="1" thickTop="1">
      <c r="A800" s="226" t="s">
        <v>6031</v>
      </c>
      <c r="B800" s="28">
        <v>45552</v>
      </c>
      <c r="C800" s="25"/>
      <c r="D800" s="13" t="s">
        <v>2057</v>
      </c>
      <c r="E800" s="228" t="s">
        <v>164</v>
      </c>
      <c r="F800" s="109" t="s">
        <v>2970</v>
      </c>
      <c r="G800" s="24"/>
      <c r="H800" s="230"/>
      <c r="I800" s="220">
        <v>6000000</v>
      </c>
      <c r="J800" s="220">
        <v>0</v>
      </c>
      <c r="K800" s="220">
        <v>0</v>
      </c>
      <c r="L800" s="220">
        <v>0</v>
      </c>
      <c r="M800" s="220">
        <v>0</v>
      </c>
      <c r="N800" s="220">
        <f>SUM(I800:M801)</f>
        <v>6000000</v>
      </c>
      <c r="O800" s="224"/>
      <c r="P800" s="110" t="s">
        <v>2971</v>
      </c>
      <c r="Q800" s="15" t="s">
        <v>19</v>
      </c>
      <c r="R800" s="205"/>
      <c r="S800" s="189"/>
      <c r="T800" s="114"/>
      <c r="U800" s="21" t="s">
        <v>2972</v>
      </c>
      <c r="V800" s="115"/>
      <c r="W800" s="116"/>
      <c r="X800" s="220"/>
      <c r="Y800" s="245">
        <f>X800*0.1</f>
        <v>0</v>
      </c>
      <c r="Z800" s="220"/>
      <c r="AA800" s="220">
        <f>SUM(X800:Z800)</f>
        <v>0</v>
      </c>
      <c r="AB800" s="222"/>
    </row>
    <row r="801" spans="1:28" ht="17.100000000000001" customHeight="1" thickBot="1">
      <c r="A801" s="227"/>
      <c r="B801" s="27" t="s">
        <v>2973</v>
      </c>
      <c r="C801" s="27"/>
      <c r="D801" s="14" t="s">
        <v>2177</v>
      </c>
      <c r="E801" s="229"/>
      <c r="F801" s="117" t="s">
        <v>2974</v>
      </c>
      <c r="G801" s="26"/>
      <c r="H801" s="231"/>
      <c r="I801" s="221"/>
      <c r="J801" s="221"/>
      <c r="K801" s="221"/>
      <c r="L801" s="221"/>
      <c r="M801" s="221"/>
      <c r="N801" s="221"/>
      <c r="O801" s="225"/>
      <c r="P801" s="118" t="s">
        <v>2975</v>
      </c>
      <c r="Q801" s="16" t="s">
        <v>20</v>
      </c>
      <c r="R801" s="17" t="s">
        <v>2976</v>
      </c>
      <c r="S801" s="121" t="s">
        <v>169</v>
      </c>
      <c r="T801" s="122"/>
      <c r="U801" s="22"/>
      <c r="V801" s="123"/>
      <c r="W801" s="122"/>
      <c r="X801" s="221"/>
      <c r="Y801" s="221"/>
      <c r="Z801" s="221"/>
      <c r="AA801" s="221"/>
      <c r="AB801" s="223"/>
    </row>
    <row r="802" spans="1:28" ht="17.100000000000001" customHeight="1" thickTop="1">
      <c r="A802" s="226" t="s">
        <v>6032</v>
      </c>
      <c r="B802" s="28">
        <v>45556</v>
      </c>
      <c r="C802" s="25">
        <v>1219</v>
      </c>
      <c r="D802" s="13" t="s">
        <v>1589</v>
      </c>
      <c r="E802" s="228"/>
      <c r="F802" s="109" t="s">
        <v>2886</v>
      </c>
      <c r="G802" s="24" t="s">
        <v>2977</v>
      </c>
      <c r="H802" s="230">
        <v>4.5</v>
      </c>
      <c r="I802" s="220">
        <v>2300000</v>
      </c>
      <c r="J802" s="220">
        <f>I802*0.1</f>
        <v>230000</v>
      </c>
      <c r="K802" s="220">
        <v>21670</v>
      </c>
      <c r="L802" s="220">
        <v>16240</v>
      </c>
      <c r="M802" s="220">
        <v>13200</v>
      </c>
      <c r="N802" s="220">
        <f>SUM(I802:M803)</f>
        <v>2581110</v>
      </c>
      <c r="O802" s="224"/>
      <c r="P802" s="110" t="s">
        <v>2978</v>
      </c>
      <c r="Q802" s="15" t="s">
        <v>19</v>
      </c>
      <c r="R802" s="205"/>
      <c r="S802" s="189" t="s">
        <v>1312</v>
      </c>
      <c r="T802" s="114"/>
      <c r="U802" s="21" t="s">
        <v>2979</v>
      </c>
      <c r="V802" s="115"/>
      <c r="W802" s="116"/>
      <c r="X802" s="220"/>
      <c r="Y802" s="245">
        <f>X802*0.1</f>
        <v>0</v>
      </c>
      <c r="Z802" s="220"/>
      <c r="AA802" s="220">
        <f>SUM(X802:Z802)</f>
        <v>0</v>
      </c>
      <c r="AB802" s="222"/>
    </row>
    <row r="803" spans="1:28" ht="17.100000000000001" customHeight="1" thickBot="1">
      <c r="A803" s="227"/>
      <c r="B803" s="27" t="s">
        <v>2472</v>
      </c>
      <c r="C803" s="27">
        <v>82444</v>
      </c>
      <c r="D803" s="14" t="s">
        <v>1568</v>
      </c>
      <c r="E803" s="229"/>
      <c r="F803" s="117" t="s">
        <v>2980</v>
      </c>
      <c r="G803" s="26">
        <v>20416</v>
      </c>
      <c r="H803" s="231"/>
      <c r="I803" s="221"/>
      <c r="J803" s="221"/>
      <c r="K803" s="221"/>
      <c r="L803" s="221"/>
      <c r="M803" s="221"/>
      <c r="N803" s="221"/>
      <c r="O803" s="225"/>
      <c r="P803" s="118" t="s">
        <v>2981</v>
      </c>
      <c r="Q803" s="16" t="s">
        <v>20</v>
      </c>
      <c r="R803" s="17" t="s">
        <v>2982</v>
      </c>
      <c r="S803" s="121" t="s">
        <v>2053</v>
      </c>
      <c r="T803" s="122"/>
      <c r="U803" s="22"/>
      <c r="V803" s="123"/>
      <c r="W803" s="122"/>
      <c r="X803" s="221"/>
      <c r="Y803" s="221"/>
      <c r="Z803" s="221"/>
      <c r="AA803" s="221"/>
      <c r="AB803" s="223"/>
    </row>
    <row r="804" spans="1:28" ht="17.100000000000001" customHeight="1" thickTop="1">
      <c r="A804" s="226" t="s">
        <v>6033</v>
      </c>
      <c r="B804" s="28">
        <v>45563</v>
      </c>
      <c r="C804" s="25">
        <v>1385</v>
      </c>
      <c r="D804" s="13" t="s">
        <v>812</v>
      </c>
      <c r="E804" s="228"/>
      <c r="F804" s="109" t="s">
        <v>2278</v>
      </c>
      <c r="G804" s="24" t="s">
        <v>2983</v>
      </c>
      <c r="H804" s="230">
        <v>5</v>
      </c>
      <c r="I804" s="220">
        <v>3120000</v>
      </c>
      <c r="J804" s="220">
        <f>I804*0.1</f>
        <v>312000</v>
      </c>
      <c r="K804" s="220">
        <v>19800</v>
      </c>
      <c r="L804" s="220">
        <v>16240</v>
      </c>
      <c r="M804" s="220">
        <v>13200</v>
      </c>
      <c r="N804" s="220">
        <f>SUM(I804:M805)</f>
        <v>3481240</v>
      </c>
      <c r="O804" s="224"/>
      <c r="P804" s="110" t="s">
        <v>2984</v>
      </c>
      <c r="Q804" s="15" t="s">
        <v>19</v>
      </c>
      <c r="R804" s="205"/>
      <c r="S804" s="189" t="s">
        <v>758</v>
      </c>
      <c r="T804" s="114"/>
      <c r="U804" s="21"/>
      <c r="V804" s="115"/>
      <c r="W804" s="116"/>
      <c r="X804" s="220"/>
      <c r="Y804" s="245">
        <f>X804*0.1</f>
        <v>0</v>
      </c>
      <c r="Z804" s="220"/>
      <c r="AA804" s="220">
        <f>SUM(X804:Z804)</f>
        <v>0</v>
      </c>
      <c r="AB804" s="222"/>
    </row>
    <row r="805" spans="1:28" ht="17.100000000000001" customHeight="1" thickBot="1">
      <c r="A805" s="227"/>
      <c r="B805" s="27" t="s">
        <v>1765</v>
      </c>
      <c r="C805" s="27">
        <v>7143</v>
      </c>
      <c r="D805" s="14" t="s">
        <v>131</v>
      </c>
      <c r="E805" s="229"/>
      <c r="F805" s="117" t="s">
        <v>2985</v>
      </c>
      <c r="G805" s="26">
        <v>27998</v>
      </c>
      <c r="H805" s="231"/>
      <c r="I805" s="221"/>
      <c r="J805" s="221"/>
      <c r="K805" s="221"/>
      <c r="L805" s="221"/>
      <c r="M805" s="221"/>
      <c r="N805" s="221"/>
      <c r="O805" s="225"/>
      <c r="P805" s="118" t="s">
        <v>2918</v>
      </c>
      <c r="Q805" s="16" t="s">
        <v>20</v>
      </c>
      <c r="R805" s="17" t="s">
        <v>2136</v>
      </c>
      <c r="S805" s="121" t="s">
        <v>1606</v>
      </c>
      <c r="T805" s="122"/>
      <c r="U805" s="67" t="s">
        <v>922</v>
      </c>
      <c r="V805" s="123"/>
      <c r="W805" s="122"/>
      <c r="X805" s="221"/>
      <c r="Y805" s="221"/>
      <c r="Z805" s="221"/>
      <c r="AA805" s="221"/>
      <c r="AB805" s="223"/>
    </row>
    <row r="806" spans="1:28" ht="17.100000000000001" customHeight="1" thickTop="1">
      <c r="A806" s="226" t="s">
        <v>6034</v>
      </c>
      <c r="B806" s="68">
        <v>41620</v>
      </c>
      <c r="C806" s="69"/>
      <c r="D806" s="70" t="s">
        <v>2986</v>
      </c>
      <c r="E806" s="270"/>
      <c r="F806" s="142" t="s">
        <v>2987</v>
      </c>
      <c r="G806" s="71"/>
      <c r="H806" s="272"/>
      <c r="I806" s="273">
        <v>800000</v>
      </c>
      <c r="J806" s="245"/>
      <c r="K806" s="245"/>
      <c r="L806" s="245">
        <v>2030</v>
      </c>
      <c r="M806" s="245"/>
      <c r="N806" s="274">
        <f>SUM(I806:M807)</f>
        <v>802030</v>
      </c>
      <c r="O806" s="256">
        <v>50000</v>
      </c>
      <c r="P806" s="150" t="s">
        <v>2988</v>
      </c>
      <c r="Q806" s="33" t="s">
        <v>19</v>
      </c>
      <c r="R806" s="72"/>
      <c r="S806" s="196"/>
      <c r="T806" s="151"/>
      <c r="U806" s="34"/>
      <c r="V806" s="152"/>
      <c r="W806" s="153"/>
      <c r="X806" s="257"/>
      <c r="Y806" s="257"/>
      <c r="Z806" s="257"/>
      <c r="AA806" s="259">
        <f>SUM(X806:Z807)</f>
        <v>0</v>
      </c>
      <c r="AB806" s="261"/>
    </row>
    <row r="807" spans="1:28" ht="17.100000000000001" customHeight="1" thickBot="1">
      <c r="A807" s="227"/>
      <c r="B807" s="73" t="s">
        <v>2989</v>
      </c>
      <c r="C807" s="74"/>
      <c r="D807" s="73"/>
      <c r="E807" s="271"/>
      <c r="F807" s="137" t="s">
        <v>2990</v>
      </c>
      <c r="G807" s="75"/>
      <c r="H807" s="231"/>
      <c r="I807" s="250"/>
      <c r="J807" s="221"/>
      <c r="K807" s="221"/>
      <c r="L807" s="221"/>
      <c r="M807" s="221"/>
      <c r="N807" s="275"/>
      <c r="O807" s="225"/>
      <c r="P807" s="73" t="s">
        <v>2991</v>
      </c>
      <c r="Q807" s="16" t="s">
        <v>20</v>
      </c>
      <c r="R807" s="76"/>
      <c r="S807" s="197"/>
      <c r="T807" s="140"/>
      <c r="U807" s="38" t="s">
        <v>50</v>
      </c>
      <c r="V807" s="149"/>
      <c r="W807" s="122"/>
      <c r="X807" s="258"/>
      <c r="Y807" s="258"/>
      <c r="Z807" s="258"/>
      <c r="AA807" s="260"/>
      <c r="AB807" s="262"/>
    </row>
    <row r="808" spans="1:28" ht="17.100000000000001" customHeight="1" thickTop="1">
      <c r="A808" s="226" t="s">
        <v>6035</v>
      </c>
      <c r="B808" s="54">
        <v>42582</v>
      </c>
      <c r="C808" s="77"/>
      <c r="D808" s="56" t="s">
        <v>2992</v>
      </c>
      <c r="E808" s="263"/>
      <c r="F808" s="142" t="s">
        <v>2993</v>
      </c>
      <c r="G808" s="57"/>
      <c r="H808" s="230"/>
      <c r="I808" s="249">
        <v>400000</v>
      </c>
      <c r="J808" s="220"/>
      <c r="K808" s="220"/>
      <c r="L808" s="220">
        <v>2030</v>
      </c>
      <c r="M808" s="220"/>
      <c r="N808" s="265">
        <f>SUM(I808:M809)</f>
        <v>402030</v>
      </c>
      <c r="O808" s="224">
        <v>50000</v>
      </c>
      <c r="P808" s="143" t="s">
        <v>2994</v>
      </c>
      <c r="Q808" s="15" t="s">
        <v>19</v>
      </c>
      <c r="R808" s="78"/>
      <c r="S808" s="198"/>
      <c r="T808" s="147"/>
      <c r="U808" s="21"/>
      <c r="V808" s="144"/>
      <c r="W808" s="116"/>
      <c r="X808" s="267"/>
      <c r="Y808" s="267"/>
      <c r="Z808" s="267"/>
      <c r="AA808" s="268">
        <f>SUM(X808:Z809)</f>
        <v>0</v>
      </c>
      <c r="AB808" s="246"/>
    </row>
    <row r="809" spans="1:28" ht="17.100000000000001" customHeight="1" thickBot="1">
      <c r="A809" s="227"/>
      <c r="B809" s="58" t="s">
        <v>2995</v>
      </c>
      <c r="C809" s="79"/>
      <c r="D809" s="58"/>
      <c r="E809" s="264"/>
      <c r="F809" s="137" t="s">
        <v>2996</v>
      </c>
      <c r="G809" s="59"/>
      <c r="H809" s="231"/>
      <c r="I809" s="250"/>
      <c r="J809" s="221"/>
      <c r="K809" s="221"/>
      <c r="L809" s="221"/>
      <c r="M809" s="221"/>
      <c r="N809" s="266"/>
      <c r="O809" s="225"/>
      <c r="P809" s="58" t="s">
        <v>2997</v>
      </c>
      <c r="Q809" s="16" t="s">
        <v>20</v>
      </c>
      <c r="R809" s="80"/>
      <c r="S809" s="199"/>
      <c r="T809" s="140"/>
      <c r="U809" s="22" t="s">
        <v>50</v>
      </c>
      <c r="V809" s="138"/>
      <c r="W809" s="122"/>
      <c r="X809" s="258"/>
      <c r="Y809" s="258"/>
      <c r="Z809" s="258"/>
      <c r="AA809" s="269"/>
      <c r="AB809" s="247"/>
    </row>
    <row r="810" spans="1:28" ht="17.100000000000001" customHeight="1" thickTop="1">
      <c r="A810" s="226" t="s">
        <v>6036</v>
      </c>
      <c r="B810" s="54">
        <v>42637</v>
      </c>
      <c r="C810" s="77"/>
      <c r="D810" s="56" t="s">
        <v>2998</v>
      </c>
      <c r="E810" s="263"/>
      <c r="F810" s="142" t="s">
        <v>2999</v>
      </c>
      <c r="G810" s="57"/>
      <c r="H810" s="230"/>
      <c r="I810" s="249">
        <v>200000</v>
      </c>
      <c r="J810" s="220"/>
      <c r="K810" s="220"/>
      <c r="L810" s="220">
        <v>2030</v>
      </c>
      <c r="M810" s="220"/>
      <c r="N810" s="265">
        <f>SUM(I810:M811)</f>
        <v>202030</v>
      </c>
      <c r="O810" s="224">
        <v>20000</v>
      </c>
      <c r="P810" s="143" t="s">
        <v>3000</v>
      </c>
      <c r="Q810" s="15" t="s">
        <v>19</v>
      </c>
      <c r="R810" s="78"/>
      <c r="S810" s="200"/>
      <c r="T810" s="147"/>
      <c r="U810" s="21"/>
      <c r="V810" s="144"/>
      <c r="W810" s="116"/>
      <c r="X810" s="267"/>
      <c r="Y810" s="267"/>
      <c r="Z810" s="267"/>
      <c r="AA810" s="268">
        <f>SUM(X810:Z811)</f>
        <v>0</v>
      </c>
      <c r="AB810" s="246"/>
    </row>
    <row r="811" spans="1:28" ht="17.100000000000001" customHeight="1" thickBot="1">
      <c r="A811" s="227"/>
      <c r="B811" s="58" t="s">
        <v>3001</v>
      </c>
      <c r="C811" s="79"/>
      <c r="D811" s="58"/>
      <c r="E811" s="264"/>
      <c r="F811" s="137" t="s">
        <v>3002</v>
      </c>
      <c r="G811" s="59"/>
      <c r="H811" s="231"/>
      <c r="I811" s="250"/>
      <c r="J811" s="221"/>
      <c r="K811" s="221"/>
      <c r="L811" s="221"/>
      <c r="M811" s="221"/>
      <c r="N811" s="266"/>
      <c r="O811" s="225"/>
      <c r="P811" s="58" t="s">
        <v>3003</v>
      </c>
      <c r="Q811" s="16" t="s">
        <v>20</v>
      </c>
      <c r="R811" s="80"/>
      <c r="S811" s="197"/>
      <c r="T811" s="140"/>
      <c r="U811" s="22" t="s">
        <v>50</v>
      </c>
      <c r="V811" s="138"/>
      <c r="W811" s="122"/>
      <c r="X811" s="258"/>
      <c r="Y811" s="258"/>
      <c r="Z811" s="258"/>
      <c r="AA811" s="269"/>
      <c r="AB811" s="247"/>
    </row>
    <row r="812" spans="1:28" ht="17.100000000000001" customHeight="1" thickTop="1">
      <c r="A812" s="226" t="s">
        <v>6037</v>
      </c>
      <c r="B812" s="54">
        <v>42988</v>
      </c>
      <c r="C812" s="77"/>
      <c r="D812" s="56" t="s">
        <v>3004</v>
      </c>
      <c r="E812" s="263"/>
      <c r="F812" s="142" t="s">
        <v>3005</v>
      </c>
      <c r="G812" s="57" t="s">
        <v>1261</v>
      </c>
      <c r="H812" s="230"/>
      <c r="I812" s="249">
        <v>150000</v>
      </c>
      <c r="J812" s="220"/>
      <c r="K812" s="220"/>
      <c r="L812" s="220"/>
      <c r="M812" s="220"/>
      <c r="N812" s="265">
        <f>SUM(I812:M813)</f>
        <v>150000</v>
      </c>
      <c r="O812" s="224">
        <v>30000</v>
      </c>
      <c r="P812" s="143" t="s">
        <v>3006</v>
      </c>
      <c r="Q812" s="15" t="s">
        <v>19</v>
      </c>
      <c r="R812" s="78"/>
      <c r="S812" s="198"/>
      <c r="T812" s="147"/>
      <c r="U812" s="21"/>
      <c r="V812" s="144"/>
      <c r="W812" s="116"/>
      <c r="X812" s="267"/>
      <c r="Y812" s="267"/>
      <c r="Z812" s="267"/>
      <c r="AA812" s="268">
        <f>SUM(X812:Z813)</f>
        <v>0</v>
      </c>
      <c r="AB812" s="246"/>
    </row>
    <row r="813" spans="1:28" ht="17.100000000000001" customHeight="1" thickBot="1">
      <c r="A813" s="227"/>
      <c r="B813" s="58" t="s">
        <v>3007</v>
      </c>
      <c r="C813" s="79"/>
      <c r="D813" s="58"/>
      <c r="E813" s="264"/>
      <c r="F813" s="137" t="s">
        <v>3008</v>
      </c>
      <c r="G813" s="59"/>
      <c r="H813" s="231"/>
      <c r="I813" s="250"/>
      <c r="J813" s="221"/>
      <c r="K813" s="221"/>
      <c r="L813" s="221"/>
      <c r="M813" s="221"/>
      <c r="N813" s="266"/>
      <c r="O813" s="225"/>
      <c r="P813" s="58" t="s">
        <v>3009</v>
      </c>
      <c r="Q813" s="16" t="s">
        <v>20</v>
      </c>
      <c r="R813" s="80"/>
      <c r="S813" s="199"/>
      <c r="T813" s="140"/>
      <c r="U813" s="22" t="s">
        <v>50</v>
      </c>
      <c r="V813" s="138"/>
      <c r="W813" s="122"/>
      <c r="X813" s="258"/>
      <c r="Y813" s="258"/>
      <c r="Z813" s="258"/>
      <c r="AA813" s="269"/>
      <c r="AB813" s="247"/>
    </row>
    <row r="814" spans="1:28" ht="17.100000000000001" customHeight="1" thickTop="1">
      <c r="A814" s="226" t="s">
        <v>6038</v>
      </c>
      <c r="B814" s="54">
        <v>42989</v>
      </c>
      <c r="C814" s="77"/>
      <c r="D814" s="56" t="s">
        <v>363</v>
      </c>
      <c r="E814" s="263"/>
      <c r="F814" s="142" t="s">
        <v>3010</v>
      </c>
      <c r="G814" s="57" t="s">
        <v>400</v>
      </c>
      <c r="H814" s="230"/>
      <c r="I814" s="249">
        <v>1250000</v>
      </c>
      <c r="J814" s="220"/>
      <c r="K814" s="220">
        <v>18590</v>
      </c>
      <c r="L814" s="220"/>
      <c r="M814" s="220"/>
      <c r="N814" s="265">
        <f>SUM(I814:M815)</f>
        <v>1268590</v>
      </c>
      <c r="O814" s="224">
        <v>500000</v>
      </c>
      <c r="P814" s="143" t="s">
        <v>3011</v>
      </c>
      <c r="Q814" s="15" t="s">
        <v>19</v>
      </c>
      <c r="R814" s="78"/>
      <c r="S814" s="201"/>
      <c r="T814" s="147"/>
      <c r="U814" s="21"/>
      <c r="V814" s="144"/>
      <c r="W814" s="116"/>
      <c r="X814" s="267"/>
      <c r="Y814" s="267"/>
      <c r="Z814" s="267"/>
      <c r="AA814" s="268">
        <f>SUM(X814:Z815)</f>
        <v>0</v>
      </c>
      <c r="AB814" s="246"/>
    </row>
    <row r="815" spans="1:28" ht="17.100000000000001" customHeight="1" thickBot="1">
      <c r="A815" s="227"/>
      <c r="B815" s="58" t="s">
        <v>3012</v>
      </c>
      <c r="C815" s="79"/>
      <c r="D815" s="58" t="s">
        <v>289</v>
      </c>
      <c r="E815" s="264"/>
      <c r="F815" s="137" t="s">
        <v>3013</v>
      </c>
      <c r="G815" s="59">
        <v>48000</v>
      </c>
      <c r="H815" s="231"/>
      <c r="I815" s="250"/>
      <c r="J815" s="221"/>
      <c r="K815" s="221"/>
      <c r="L815" s="221"/>
      <c r="M815" s="221"/>
      <c r="N815" s="266"/>
      <c r="O815" s="225"/>
      <c r="P815" s="58" t="s">
        <v>3014</v>
      </c>
      <c r="Q815" s="16" t="s">
        <v>20</v>
      </c>
      <c r="R815" s="80"/>
      <c r="S815" s="201"/>
      <c r="T815" s="140"/>
      <c r="U815" s="22"/>
      <c r="V815" s="138"/>
      <c r="W815" s="122"/>
      <c r="X815" s="258"/>
      <c r="Y815" s="258"/>
      <c r="Z815" s="258"/>
      <c r="AA815" s="269"/>
      <c r="AB815" s="247"/>
    </row>
    <row r="816" spans="1:28" ht="17.100000000000001" customHeight="1" thickTop="1">
      <c r="A816" s="226" t="s">
        <v>6039</v>
      </c>
      <c r="B816" s="54">
        <v>43195</v>
      </c>
      <c r="C816" s="77"/>
      <c r="D816" s="56" t="s">
        <v>3015</v>
      </c>
      <c r="E816" s="263"/>
      <c r="F816" s="142" t="s">
        <v>3016</v>
      </c>
      <c r="G816" s="57" t="s">
        <v>593</v>
      </c>
      <c r="H816" s="230"/>
      <c r="I816" s="249">
        <v>1900000</v>
      </c>
      <c r="J816" s="220"/>
      <c r="K816" s="220"/>
      <c r="L816" s="220"/>
      <c r="M816" s="220"/>
      <c r="N816" s="265">
        <f>SUM(I816:M817)</f>
        <v>1900000</v>
      </c>
      <c r="O816" s="224">
        <v>900000</v>
      </c>
      <c r="P816" s="143" t="s">
        <v>3017</v>
      </c>
      <c r="Q816" s="15" t="s">
        <v>19</v>
      </c>
      <c r="R816" s="78"/>
      <c r="S816" s="200"/>
      <c r="T816" s="147" t="s">
        <v>3018</v>
      </c>
      <c r="U816" s="21"/>
      <c r="V816" s="144"/>
      <c r="W816" s="116"/>
      <c r="X816" s="267"/>
      <c r="Y816" s="267"/>
      <c r="Z816" s="267"/>
      <c r="AA816" s="268">
        <f>SUM(X816:Z817)</f>
        <v>0</v>
      </c>
      <c r="AB816" s="246"/>
    </row>
    <row r="817" spans="1:28" ht="17.100000000000001" customHeight="1" thickBot="1">
      <c r="A817" s="227"/>
      <c r="B817" s="58" t="s">
        <v>3012</v>
      </c>
      <c r="C817" s="79"/>
      <c r="D817" s="58"/>
      <c r="E817" s="264"/>
      <c r="F817" s="137" t="s">
        <v>3019</v>
      </c>
      <c r="G817" s="59"/>
      <c r="H817" s="231"/>
      <c r="I817" s="250"/>
      <c r="J817" s="221"/>
      <c r="K817" s="221"/>
      <c r="L817" s="221"/>
      <c r="M817" s="221"/>
      <c r="N817" s="266"/>
      <c r="O817" s="225"/>
      <c r="P817" s="58" t="s">
        <v>3020</v>
      </c>
      <c r="Q817" s="16" t="s">
        <v>20</v>
      </c>
      <c r="R817" s="80"/>
      <c r="S817" s="197"/>
      <c r="T817" s="140"/>
      <c r="U817" s="22"/>
      <c r="V817" s="138"/>
      <c r="W817" s="122"/>
      <c r="X817" s="258"/>
      <c r="Y817" s="258"/>
      <c r="Z817" s="258"/>
      <c r="AA817" s="269"/>
      <c r="AB817" s="247"/>
    </row>
    <row r="818" spans="1:28" ht="17.100000000000001" customHeight="1" thickTop="1">
      <c r="A818" s="226" t="s">
        <v>6040</v>
      </c>
      <c r="B818" s="54">
        <v>43284</v>
      </c>
      <c r="C818" s="77"/>
      <c r="D818" s="56" t="s">
        <v>3021</v>
      </c>
      <c r="E818" s="263"/>
      <c r="F818" s="142" t="s">
        <v>278</v>
      </c>
      <c r="G818" s="57" t="s">
        <v>896</v>
      </c>
      <c r="H818" s="230"/>
      <c r="I818" s="249">
        <v>2250000</v>
      </c>
      <c r="J818" s="220">
        <v>23000</v>
      </c>
      <c r="K818" s="220">
        <v>17700</v>
      </c>
      <c r="L818" s="220"/>
      <c r="M818" s="220"/>
      <c r="N818" s="265">
        <f>SUM(I818:M819)</f>
        <v>2290700</v>
      </c>
      <c r="O818" s="224">
        <v>1300000</v>
      </c>
      <c r="P818" s="143" t="s">
        <v>3022</v>
      </c>
      <c r="Q818" s="15" t="s">
        <v>19</v>
      </c>
      <c r="R818" s="78"/>
      <c r="S818" s="198"/>
      <c r="T818" s="147" t="s">
        <v>3023</v>
      </c>
      <c r="U818" s="21"/>
      <c r="V818" s="144"/>
      <c r="W818" s="116"/>
      <c r="X818" s="267"/>
      <c r="Y818" s="267"/>
      <c r="Z818" s="267"/>
      <c r="AA818" s="268">
        <f>SUM(X818:Z819)</f>
        <v>0</v>
      </c>
      <c r="AB818" s="246"/>
    </row>
    <row r="819" spans="1:28" ht="17.100000000000001" customHeight="1" thickBot="1">
      <c r="A819" s="227"/>
      <c r="B819" s="58" t="s">
        <v>3024</v>
      </c>
      <c r="C819" s="79"/>
      <c r="D819" s="58" t="s">
        <v>110</v>
      </c>
      <c r="E819" s="264"/>
      <c r="F819" s="137" t="s">
        <v>3025</v>
      </c>
      <c r="G819" s="59">
        <v>100</v>
      </c>
      <c r="H819" s="231"/>
      <c r="I819" s="250"/>
      <c r="J819" s="221"/>
      <c r="K819" s="221"/>
      <c r="L819" s="221"/>
      <c r="M819" s="221"/>
      <c r="N819" s="266"/>
      <c r="O819" s="225"/>
      <c r="P819" s="58" t="s">
        <v>3026</v>
      </c>
      <c r="Q819" s="16" t="s">
        <v>20</v>
      </c>
      <c r="R819" s="80"/>
      <c r="S819" s="199"/>
      <c r="T819" s="140"/>
      <c r="U819" s="22"/>
      <c r="V819" s="138"/>
      <c r="W819" s="122"/>
      <c r="X819" s="258"/>
      <c r="Y819" s="258"/>
      <c r="Z819" s="258"/>
      <c r="AA819" s="269"/>
      <c r="AB819" s="247"/>
    </row>
    <row r="820" spans="1:28" ht="17.100000000000001" customHeight="1" thickTop="1">
      <c r="A820" s="226" t="s">
        <v>6041</v>
      </c>
      <c r="B820" s="54">
        <v>43473</v>
      </c>
      <c r="C820" s="77"/>
      <c r="D820" s="56" t="s">
        <v>3027</v>
      </c>
      <c r="E820" s="263"/>
      <c r="F820" s="142" t="s">
        <v>278</v>
      </c>
      <c r="G820" s="57" t="s">
        <v>923</v>
      </c>
      <c r="H820" s="230"/>
      <c r="I820" s="249">
        <v>100000</v>
      </c>
      <c r="J820" s="220"/>
      <c r="K820" s="220"/>
      <c r="L820" s="220"/>
      <c r="M820" s="220"/>
      <c r="N820" s="265">
        <f>SUM(I820:M821)</f>
        <v>100000</v>
      </c>
      <c r="O820" s="224">
        <v>20000</v>
      </c>
      <c r="P820" s="143" t="s">
        <v>3028</v>
      </c>
      <c r="Q820" s="15" t="s">
        <v>19</v>
      </c>
      <c r="R820" s="78"/>
      <c r="S820" s="198"/>
      <c r="T820" s="147"/>
      <c r="U820" s="21"/>
      <c r="V820" s="144"/>
      <c r="W820" s="116"/>
      <c r="X820" s="267"/>
      <c r="Y820" s="267"/>
      <c r="Z820" s="267"/>
      <c r="AA820" s="268">
        <f>SUM(X820:Z821)</f>
        <v>0</v>
      </c>
      <c r="AB820" s="246"/>
    </row>
    <row r="821" spans="1:28" ht="17.100000000000001" customHeight="1" thickBot="1">
      <c r="A821" s="227"/>
      <c r="B821" s="64" t="s">
        <v>3029</v>
      </c>
      <c r="C821" s="79"/>
      <c r="D821" s="58"/>
      <c r="E821" s="264"/>
      <c r="F821" s="137" t="s">
        <v>3030</v>
      </c>
      <c r="G821" s="59"/>
      <c r="H821" s="231"/>
      <c r="I821" s="250"/>
      <c r="J821" s="221"/>
      <c r="K821" s="221"/>
      <c r="L821" s="221"/>
      <c r="M821" s="221"/>
      <c r="N821" s="266"/>
      <c r="O821" s="225"/>
      <c r="P821" s="58" t="s">
        <v>3031</v>
      </c>
      <c r="Q821" s="16" t="s">
        <v>20</v>
      </c>
      <c r="R821" s="80"/>
      <c r="S821" s="201"/>
      <c r="T821" s="140"/>
      <c r="U821" s="22" t="s">
        <v>50</v>
      </c>
      <c r="V821" s="138"/>
      <c r="W821" s="122"/>
      <c r="X821" s="258"/>
      <c r="Y821" s="258"/>
      <c r="Z821" s="258"/>
      <c r="AA821" s="269"/>
      <c r="AB821" s="247"/>
    </row>
    <row r="822" spans="1:28" ht="17.100000000000001" customHeight="1" thickTop="1">
      <c r="A822" s="226" t="s">
        <v>6042</v>
      </c>
      <c r="B822" s="54">
        <v>43484</v>
      </c>
      <c r="C822" s="77"/>
      <c r="D822" s="56" t="s">
        <v>3027</v>
      </c>
      <c r="E822" s="263"/>
      <c r="F822" s="142" t="s">
        <v>278</v>
      </c>
      <c r="G822" s="57" t="s">
        <v>3032</v>
      </c>
      <c r="H822" s="230"/>
      <c r="I822" s="249">
        <v>0</v>
      </c>
      <c r="J822" s="220"/>
      <c r="K822" s="220"/>
      <c r="L822" s="220"/>
      <c r="M822" s="220"/>
      <c r="N822" s="265">
        <f>SUM(I822:M823)</f>
        <v>0</v>
      </c>
      <c r="O822" s="224">
        <v>0</v>
      </c>
      <c r="P822" s="143" t="s">
        <v>3033</v>
      </c>
      <c r="Q822" s="15" t="s">
        <v>19</v>
      </c>
      <c r="R822" s="78"/>
      <c r="S822" s="198"/>
      <c r="T822" s="147"/>
      <c r="U822" s="21"/>
      <c r="V822" s="144"/>
      <c r="W822" s="116"/>
      <c r="X822" s="267"/>
      <c r="Y822" s="267"/>
      <c r="Z822" s="267"/>
      <c r="AA822" s="268">
        <f>SUM(X822:Z823)</f>
        <v>0</v>
      </c>
      <c r="AB822" s="246"/>
    </row>
    <row r="823" spans="1:28" ht="17.100000000000001" customHeight="1" thickBot="1">
      <c r="A823" s="227"/>
      <c r="B823" s="64" t="s">
        <v>3034</v>
      </c>
      <c r="C823" s="79"/>
      <c r="D823" s="58"/>
      <c r="E823" s="264"/>
      <c r="F823" s="137" t="s">
        <v>3035</v>
      </c>
      <c r="G823" s="59"/>
      <c r="H823" s="231"/>
      <c r="I823" s="250"/>
      <c r="J823" s="221"/>
      <c r="K823" s="221"/>
      <c r="L823" s="221"/>
      <c r="M823" s="221"/>
      <c r="N823" s="266"/>
      <c r="O823" s="225"/>
      <c r="P823" s="58" t="s">
        <v>3036</v>
      </c>
      <c r="Q823" s="16" t="s">
        <v>20</v>
      </c>
      <c r="R823" s="80"/>
      <c r="S823" s="201"/>
      <c r="T823" s="140"/>
      <c r="U823" s="22" t="s">
        <v>922</v>
      </c>
      <c r="V823" s="138"/>
      <c r="W823" s="122"/>
      <c r="X823" s="258"/>
      <c r="Y823" s="258"/>
      <c r="Z823" s="258"/>
      <c r="AA823" s="269"/>
      <c r="AB823" s="247"/>
    </row>
    <row r="824" spans="1:28" ht="17.100000000000001" customHeight="1" thickTop="1">
      <c r="A824" s="226" t="s">
        <v>6043</v>
      </c>
      <c r="B824" s="54">
        <v>43616</v>
      </c>
      <c r="C824" s="77"/>
      <c r="D824" s="56" t="s">
        <v>3037</v>
      </c>
      <c r="E824" s="263"/>
      <c r="F824" s="142" t="s">
        <v>3038</v>
      </c>
      <c r="G824" s="57"/>
      <c r="H824" s="230"/>
      <c r="I824" s="249">
        <v>1870000</v>
      </c>
      <c r="J824" s="220"/>
      <c r="K824" s="220">
        <v>21650</v>
      </c>
      <c r="L824" s="220"/>
      <c r="M824" s="220"/>
      <c r="N824" s="220">
        <f>SUM(I824:M825)</f>
        <v>1891650</v>
      </c>
      <c r="O824" s="224">
        <v>1200000</v>
      </c>
      <c r="P824" s="147" t="s">
        <v>3039</v>
      </c>
      <c r="Q824" s="15" t="s">
        <v>19</v>
      </c>
      <c r="R824" s="78"/>
      <c r="S824" s="198"/>
      <c r="T824" s="147" t="s">
        <v>3040</v>
      </c>
      <c r="U824" s="21"/>
      <c r="V824" s="148"/>
      <c r="W824" s="116"/>
      <c r="X824" s="267"/>
      <c r="Y824" s="267"/>
      <c r="Z824" s="267"/>
      <c r="AA824" s="267">
        <f>SUM(X824:Z825)</f>
        <v>0</v>
      </c>
      <c r="AB824" s="246"/>
    </row>
    <row r="825" spans="1:28" ht="17.100000000000001" customHeight="1" thickBot="1">
      <c r="A825" s="227"/>
      <c r="B825" s="64" t="s">
        <v>3041</v>
      </c>
      <c r="C825" s="81"/>
      <c r="D825" s="58" t="s">
        <v>373</v>
      </c>
      <c r="E825" s="264"/>
      <c r="F825" s="137" t="s">
        <v>3042</v>
      </c>
      <c r="G825" s="59"/>
      <c r="H825" s="231"/>
      <c r="I825" s="250"/>
      <c r="J825" s="221"/>
      <c r="K825" s="221"/>
      <c r="L825" s="221"/>
      <c r="M825" s="221"/>
      <c r="N825" s="221"/>
      <c r="O825" s="256"/>
      <c r="P825" s="140" t="s">
        <v>3043</v>
      </c>
      <c r="Q825" s="16" t="s">
        <v>20</v>
      </c>
      <c r="R825" s="80"/>
      <c r="S825" s="201"/>
      <c r="T825" s="140"/>
      <c r="U825" s="22"/>
      <c r="V825" s="141"/>
      <c r="W825" s="122"/>
      <c r="X825" s="258"/>
      <c r="Y825" s="258"/>
      <c r="Z825" s="258"/>
      <c r="AA825" s="258"/>
      <c r="AB825" s="247"/>
    </row>
    <row r="826" spans="1:28" ht="17.100000000000001" customHeight="1" thickTop="1">
      <c r="A826" s="226" t="s">
        <v>6044</v>
      </c>
      <c r="B826" s="54">
        <v>43745</v>
      </c>
      <c r="C826" s="77"/>
      <c r="D826" s="56" t="s">
        <v>3044</v>
      </c>
      <c r="E826" s="263"/>
      <c r="F826" s="142" t="s">
        <v>3045</v>
      </c>
      <c r="G826" s="57"/>
      <c r="H826" s="230"/>
      <c r="I826" s="249">
        <v>2070000</v>
      </c>
      <c r="J826" s="220">
        <v>16400</v>
      </c>
      <c r="K826" s="220">
        <v>17700</v>
      </c>
      <c r="L826" s="220"/>
      <c r="M826" s="220"/>
      <c r="N826" s="265">
        <f>SUM(I826:M827)</f>
        <v>2104100</v>
      </c>
      <c r="O826" s="224">
        <v>1200000</v>
      </c>
      <c r="P826" s="143" t="s">
        <v>3046</v>
      </c>
      <c r="Q826" s="15" t="s">
        <v>19</v>
      </c>
      <c r="R826" s="78"/>
      <c r="S826" s="198"/>
      <c r="T826" s="147" t="s">
        <v>3047</v>
      </c>
      <c r="U826" s="21"/>
      <c r="V826" s="144"/>
      <c r="W826" s="116"/>
      <c r="X826" s="267"/>
      <c r="Y826" s="267"/>
      <c r="Z826" s="267"/>
      <c r="AA826" s="268">
        <f>SUM(X826:Z827)</f>
        <v>0</v>
      </c>
      <c r="AB826" s="246"/>
    </row>
    <row r="827" spans="1:28" ht="17.100000000000001" customHeight="1" thickBot="1">
      <c r="A827" s="227"/>
      <c r="B827" s="64" t="s">
        <v>3041</v>
      </c>
      <c r="C827" s="79"/>
      <c r="D827" s="58" t="s">
        <v>3048</v>
      </c>
      <c r="E827" s="264"/>
      <c r="F827" s="137" t="s">
        <v>3049</v>
      </c>
      <c r="G827" s="59">
        <v>43452</v>
      </c>
      <c r="H827" s="231"/>
      <c r="I827" s="250"/>
      <c r="J827" s="221"/>
      <c r="K827" s="221"/>
      <c r="L827" s="221"/>
      <c r="M827" s="221"/>
      <c r="N827" s="266"/>
      <c r="O827" s="225"/>
      <c r="P827" s="58" t="s">
        <v>3050</v>
      </c>
      <c r="Q827" s="16" t="s">
        <v>20</v>
      </c>
      <c r="R827" s="80"/>
      <c r="S827" s="201"/>
      <c r="T827" s="140"/>
      <c r="U827" s="22"/>
      <c r="V827" s="138"/>
      <c r="W827" s="122"/>
      <c r="X827" s="258"/>
      <c r="Y827" s="258"/>
      <c r="Z827" s="258"/>
      <c r="AA827" s="269"/>
      <c r="AB827" s="247"/>
    </row>
    <row r="828" spans="1:28" ht="17.100000000000001" customHeight="1" thickTop="1">
      <c r="A828" s="226" t="s">
        <v>6045</v>
      </c>
      <c r="B828" s="54">
        <v>43763</v>
      </c>
      <c r="C828" s="77"/>
      <c r="D828" s="56" t="s">
        <v>3027</v>
      </c>
      <c r="E828" s="263"/>
      <c r="F828" s="142" t="s">
        <v>3051</v>
      </c>
      <c r="G828" s="57" t="s">
        <v>602</v>
      </c>
      <c r="H828" s="230"/>
      <c r="I828" s="249">
        <v>120000</v>
      </c>
      <c r="J828" s="220">
        <v>13100</v>
      </c>
      <c r="K828" s="220">
        <v>16890</v>
      </c>
      <c r="L828" s="220"/>
      <c r="M828" s="220"/>
      <c r="N828" s="265">
        <f>SUM(I828:M829)</f>
        <v>149990</v>
      </c>
      <c r="O828" s="224">
        <v>20000</v>
      </c>
      <c r="P828" s="143" t="s">
        <v>3052</v>
      </c>
      <c r="Q828" s="15" t="s">
        <v>19</v>
      </c>
      <c r="R828" s="78"/>
      <c r="S828" s="198"/>
      <c r="T828" s="114" t="s">
        <v>3053</v>
      </c>
      <c r="U828" s="21"/>
      <c r="V828" s="144"/>
      <c r="W828" s="116"/>
      <c r="X828" s="267"/>
      <c r="Y828" s="267"/>
      <c r="Z828" s="267"/>
      <c r="AA828" s="268">
        <f>SUM(X828:Z829)</f>
        <v>0</v>
      </c>
      <c r="AB828" s="246"/>
    </row>
    <row r="829" spans="1:28" ht="17.100000000000001" customHeight="1" thickBot="1">
      <c r="A829" s="227"/>
      <c r="B829" s="64" t="s">
        <v>3041</v>
      </c>
      <c r="C829" s="79"/>
      <c r="D829" s="58" t="s">
        <v>3054</v>
      </c>
      <c r="E829" s="264"/>
      <c r="F829" s="137" t="s">
        <v>3055</v>
      </c>
      <c r="G829" s="59">
        <v>133268</v>
      </c>
      <c r="H829" s="231"/>
      <c r="I829" s="250"/>
      <c r="J829" s="221"/>
      <c r="K829" s="221"/>
      <c r="L829" s="221"/>
      <c r="M829" s="221"/>
      <c r="N829" s="266"/>
      <c r="O829" s="225"/>
      <c r="P829" s="58" t="s">
        <v>3056</v>
      </c>
      <c r="Q829" s="16" t="s">
        <v>20</v>
      </c>
      <c r="R829" s="80"/>
      <c r="S829" s="201"/>
      <c r="T829" s="122" t="s">
        <v>3057</v>
      </c>
      <c r="U829" s="22"/>
      <c r="V829" s="138"/>
      <c r="W829" s="122"/>
      <c r="X829" s="258"/>
      <c r="Y829" s="258"/>
      <c r="Z829" s="258"/>
      <c r="AA829" s="269"/>
      <c r="AB829" s="247"/>
    </row>
    <row r="830" spans="1:28" ht="17.100000000000001" customHeight="1" thickTop="1">
      <c r="A830" s="226" t="s">
        <v>6046</v>
      </c>
      <c r="B830" s="54">
        <v>43837</v>
      </c>
      <c r="C830" s="77"/>
      <c r="D830" s="56" t="s">
        <v>376</v>
      </c>
      <c r="E830" s="263"/>
      <c r="F830" s="142" t="s">
        <v>3058</v>
      </c>
      <c r="G830" s="57"/>
      <c r="H830" s="230"/>
      <c r="I830" s="249">
        <v>1300000</v>
      </c>
      <c r="J830" s="220"/>
      <c r="K830" s="220">
        <v>16360</v>
      </c>
      <c r="L830" s="220"/>
      <c r="M830" s="220"/>
      <c r="N830" s="220">
        <f>SUM(I830:M831)</f>
        <v>1316360</v>
      </c>
      <c r="O830" s="224">
        <v>300000</v>
      </c>
      <c r="P830" s="147" t="s">
        <v>3059</v>
      </c>
      <c r="Q830" s="15" t="s">
        <v>19</v>
      </c>
      <c r="R830" s="78"/>
      <c r="S830" s="198"/>
      <c r="T830" s="147" t="s">
        <v>3060</v>
      </c>
      <c r="U830" s="21"/>
      <c r="V830" s="148"/>
      <c r="W830" s="116"/>
      <c r="X830" s="267"/>
      <c r="Y830" s="267"/>
      <c r="Z830" s="267"/>
      <c r="AA830" s="267">
        <f>SUM(X830:Z831)</f>
        <v>0</v>
      </c>
      <c r="AB830" s="246"/>
    </row>
    <row r="831" spans="1:28" ht="17.100000000000001" customHeight="1" thickBot="1">
      <c r="A831" s="227"/>
      <c r="B831" s="64" t="s">
        <v>3061</v>
      </c>
      <c r="C831" s="81"/>
      <c r="D831" s="58" t="s">
        <v>445</v>
      </c>
      <c r="E831" s="264"/>
      <c r="F831" s="137" t="s">
        <v>3062</v>
      </c>
      <c r="G831" s="59">
        <v>40000</v>
      </c>
      <c r="H831" s="231"/>
      <c r="I831" s="250"/>
      <c r="J831" s="221"/>
      <c r="K831" s="221"/>
      <c r="L831" s="221"/>
      <c r="M831" s="221"/>
      <c r="N831" s="221"/>
      <c r="O831" s="225"/>
      <c r="P831" s="140" t="s">
        <v>3063</v>
      </c>
      <c r="Q831" s="16" t="s">
        <v>20</v>
      </c>
      <c r="R831" s="80"/>
      <c r="S831" s="201"/>
      <c r="T831" s="140"/>
      <c r="U831" s="22"/>
      <c r="V831" s="141"/>
      <c r="W831" s="122"/>
      <c r="X831" s="258"/>
      <c r="Y831" s="258"/>
      <c r="Z831" s="258"/>
      <c r="AA831" s="258"/>
      <c r="AB831" s="247"/>
    </row>
    <row r="832" spans="1:28" ht="17.100000000000001" customHeight="1" thickTop="1">
      <c r="A832" s="226" t="s">
        <v>6047</v>
      </c>
      <c r="B832" s="54">
        <v>44065</v>
      </c>
      <c r="C832" s="77"/>
      <c r="D832" s="56" t="s">
        <v>3015</v>
      </c>
      <c r="E832" s="263"/>
      <c r="F832" s="142" t="s">
        <v>179</v>
      </c>
      <c r="G832" s="57" t="s">
        <v>3064</v>
      </c>
      <c r="H832" s="230"/>
      <c r="I832" s="249">
        <v>1720000</v>
      </c>
      <c r="J832" s="220">
        <v>23000</v>
      </c>
      <c r="K832" s="220">
        <v>18960</v>
      </c>
      <c r="L832" s="220"/>
      <c r="M832" s="220"/>
      <c r="N832" s="220">
        <f>SUM(I832:M833)</f>
        <v>1761960</v>
      </c>
      <c r="O832" s="224">
        <v>1400000</v>
      </c>
      <c r="P832" s="147" t="s">
        <v>3065</v>
      </c>
      <c r="Q832" s="15" t="s">
        <v>19</v>
      </c>
      <c r="R832" s="78"/>
      <c r="S832" s="198"/>
      <c r="T832" s="147" t="s">
        <v>3066</v>
      </c>
      <c r="U832" s="21"/>
      <c r="V832" s="148"/>
      <c r="W832" s="116"/>
      <c r="X832" s="267"/>
      <c r="Y832" s="267"/>
      <c r="Z832" s="267"/>
      <c r="AA832" s="267">
        <f>SUM(X832:Z833)</f>
        <v>0</v>
      </c>
      <c r="AB832" s="246"/>
    </row>
    <row r="833" spans="1:28" ht="17.100000000000001" customHeight="1" thickBot="1">
      <c r="A833" s="227"/>
      <c r="B833" s="64" t="s">
        <v>3041</v>
      </c>
      <c r="C833" s="81"/>
      <c r="D833" s="58" t="s">
        <v>3067</v>
      </c>
      <c r="E833" s="264"/>
      <c r="F833" s="137" t="s">
        <v>3068</v>
      </c>
      <c r="G833" s="59">
        <v>33335</v>
      </c>
      <c r="H833" s="231"/>
      <c r="I833" s="250"/>
      <c r="J833" s="221"/>
      <c r="K833" s="221"/>
      <c r="L833" s="221"/>
      <c r="M833" s="221"/>
      <c r="N833" s="221"/>
      <c r="O833" s="225"/>
      <c r="P833" s="140" t="s">
        <v>3069</v>
      </c>
      <c r="Q833" s="16" t="s">
        <v>20</v>
      </c>
      <c r="R833" s="80"/>
      <c r="S833" s="201"/>
      <c r="T833" s="140"/>
      <c r="U833" s="22"/>
      <c r="V833" s="141"/>
      <c r="W833" s="122"/>
      <c r="X833" s="258"/>
      <c r="Y833" s="258"/>
      <c r="Z833" s="258"/>
      <c r="AA833" s="258"/>
      <c r="AB833" s="247"/>
    </row>
    <row r="834" spans="1:28" ht="17.100000000000001" customHeight="1" thickTop="1">
      <c r="A834" s="226" t="s">
        <v>6048</v>
      </c>
      <c r="B834" s="54">
        <v>44126</v>
      </c>
      <c r="C834" s="77"/>
      <c r="D834" s="56" t="s">
        <v>3015</v>
      </c>
      <c r="E834" s="263"/>
      <c r="F834" s="142" t="s">
        <v>3051</v>
      </c>
      <c r="G834" s="57" t="s">
        <v>3064</v>
      </c>
      <c r="H834" s="230"/>
      <c r="I834" s="249">
        <v>2120000</v>
      </c>
      <c r="J834" s="220">
        <v>14300</v>
      </c>
      <c r="K834" s="220">
        <v>19440</v>
      </c>
      <c r="L834" s="220"/>
      <c r="M834" s="220"/>
      <c r="N834" s="220">
        <f>SUM(I834:M835)</f>
        <v>2153740</v>
      </c>
      <c r="O834" s="224">
        <v>1400000</v>
      </c>
      <c r="P834" s="147" t="s">
        <v>3070</v>
      </c>
      <c r="Q834" s="15" t="s">
        <v>19</v>
      </c>
      <c r="R834" s="78"/>
      <c r="S834" s="198"/>
      <c r="T834" s="147" t="s">
        <v>3066</v>
      </c>
      <c r="U834" s="21"/>
      <c r="V834" s="148"/>
      <c r="W834" s="116"/>
      <c r="X834" s="267"/>
      <c r="Y834" s="267"/>
      <c r="Z834" s="267"/>
      <c r="AA834" s="267">
        <f>SUM(X834:Z835)</f>
        <v>0</v>
      </c>
      <c r="AB834" s="246"/>
    </row>
    <row r="835" spans="1:28" ht="17.100000000000001" customHeight="1" thickBot="1">
      <c r="A835" s="227"/>
      <c r="B835" s="64" t="s">
        <v>3041</v>
      </c>
      <c r="C835" s="81"/>
      <c r="D835" s="58" t="s">
        <v>3072</v>
      </c>
      <c r="E835" s="264"/>
      <c r="F835" s="137" t="s">
        <v>3073</v>
      </c>
      <c r="G835" s="59">
        <v>32899</v>
      </c>
      <c r="H835" s="231"/>
      <c r="I835" s="250"/>
      <c r="J835" s="221"/>
      <c r="K835" s="221"/>
      <c r="L835" s="221"/>
      <c r="M835" s="221"/>
      <c r="N835" s="221"/>
      <c r="O835" s="225"/>
      <c r="P835" s="140" t="s">
        <v>3074</v>
      </c>
      <c r="Q835" s="16" t="s">
        <v>20</v>
      </c>
      <c r="R835" s="80"/>
      <c r="S835" s="201"/>
      <c r="T835" s="140"/>
      <c r="U835" s="22"/>
      <c r="V835" s="141"/>
      <c r="W835" s="122"/>
      <c r="X835" s="258"/>
      <c r="Y835" s="258"/>
      <c r="Z835" s="258"/>
      <c r="AA835" s="258"/>
      <c r="AB835" s="247"/>
    </row>
    <row r="836" spans="1:28" ht="17.100000000000001" customHeight="1" thickTop="1">
      <c r="A836" s="226" t="s">
        <v>6049</v>
      </c>
      <c r="B836" s="54">
        <v>44140</v>
      </c>
      <c r="C836" s="77"/>
      <c r="D836" s="56" t="s">
        <v>3037</v>
      </c>
      <c r="E836" s="263"/>
      <c r="F836" s="142" t="s">
        <v>278</v>
      </c>
      <c r="G836" s="57" t="s">
        <v>741</v>
      </c>
      <c r="H836" s="230"/>
      <c r="I836" s="249">
        <v>2030000</v>
      </c>
      <c r="J836" s="220">
        <v>13100</v>
      </c>
      <c r="K836" s="220">
        <v>18960</v>
      </c>
      <c r="L836" s="220"/>
      <c r="M836" s="220"/>
      <c r="N836" s="220">
        <f>SUM(I836:M837)</f>
        <v>2062060</v>
      </c>
      <c r="O836" s="224">
        <v>1500000</v>
      </c>
      <c r="P836" s="147" t="s">
        <v>3075</v>
      </c>
      <c r="Q836" s="15" t="s">
        <v>19</v>
      </c>
      <c r="R836" s="78"/>
      <c r="S836" s="198"/>
      <c r="T836" s="147" t="s">
        <v>3076</v>
      </c>
      <c r="U836" s="21"/>
      <c r="V836" s="148"/>
      <c r="W836" s="116"/>
      <c r="X836" s="267"/>
      <c r="Y836" s="267"/>
      <c r="Z836" s="267"/>
      <c r="AA836" s="267">
        <f>SUM(X836:Z837)</f>
        <v>0</v>
      </c>
      <c r="AB836" s="246"/>
    </row>
    <row r="837" spans="1:28" ht="17.100000000000001" customHeight="1" thickBot="1">
      <c r="A837" s="227"/>
      <c r="B837" s="64" t="s">
        <v>3041</v>
      </c>
      <c r="C837" s="81"/>
      <c r="D837" s="58" t="s">
        <v>3077</v>
      </c>
      <c r="E837" s="264"/>
      <c r="F837" s="137" t="s">
        <v>3078</v>
      </c>
      <c r="G837" s="59">
        <v>36020</v>
      </c>
      <c r="H837" s="231"/>
      <c r="I837" s="250"/>
      <c r="J837" s="221"/>
      <c r="K837" s="221"/>
      <c r="L837" s="221"/>
      <c r="M837" s="221"/>
      <c r="N837" s="221"/>
      <c r="O837" s="225"/>
      <c r="P837" s="140" t="s">
        <v>3079</v>
      </c>
      <c r="Q837" s="16" t="s">
        <v>20</v>
      </c>
      <c r="R837" s="80"/>
      <c r="S837" s="201"/>
      <c r="T837" s="140"/>
      <c r="U837" s="22"/>
      <c r="V837" s="141"/>
      <c r="W837" s="122"/>
      <c r="X837" s="258"/>
      <c r="Y837" s="258"/>
      <c r="Z837" s="258"/>
      <c r="AA837" s="258"/>
      <c r="AB837" s="247"/>
    </row>
    <row r="838" spans="1:28" ht="17.100000000000001" customHeight="1" thickTop="1">
      <c r="A838" s="226" t="s">
        <v>6050</v>
      </c>
      <c r="B838" s="54">
        <v>44156</v>
      </c>
      <c r="C838" s="77"/>
      <c r="D838" s="56" t="s">
        <v>3021</v>
      </c>
      <c r="E838" s="263"/>
      <c r="F838" s="142" t="s">
        <v>3080</v>
      </c>
      <c r="G838" s="57" t="s">
        <v>3081</v>
      </c>
      <c r="H838" s="230"/>
      <c r="I838" s="249">
        <v>2000000</v>
      </c>
      <c r="J838" s="220">
        <v>11500</v>
      </c>
      <c r="K838" s="220">
        <v>19440</v>
      </c>
      <c r="L838" s="220"/>
      <c r="M838" s="220"/>
      <c r="N838" s="220">
        <f>SUM(I838:M839)</f>
        <v>2030940</v>
      </c>
      <c r="O838" s="224">
        <v>1600000</v>
      </c>
      <c r="P838" s="147" t="s">
        <v>3082</v>
      </c>
      <c r="Q838" s="15" t="s">
        <v>19</v>
      </c>
      <c r="R838" s="78"/>
      <c r="S838" s="198"/>
      <c r="T838" s="147" t="s">
        <v>3083</v>
      </c>
      <c r="U838" s="21" t="s">
        <v>3084</v>
      </c>
      <c r="V838" s="148"/>
      <c r="W838" s="116"/>
      <c r="X838" s="267"/>
      <c r="Y838" s="267"/>
      <c r="Z838" s="267"/>
      <c r="AA838" s="267">
        <f>SUM(X838:Z839)</f>
        <v>0</v>
      </c>
      <c r="AB838" s="246"/>
    </row>
    <row r="839" spans="1:28" ht="17.100000000000001" customHeight="1" thickBot="1">
      <c r="A839" s="227"/>
      <c r="B839" s="14" t="s">
        <v>3085</v>
      </c>
      <c r="C839" s="81"/>
      <c r="D839" s="58" t="s">
        <v>3086</v>
      </c>
      <c r="E839" s="264"/>
      <c r="F839" s="137" t="s">
        <v>3087</v>
      </c>
      <c r="G839" s="59"/>
      <c r="H839" s="231"/>
      <c r="I839" s="250"/>
      <c r="J839" s="221"/>
      <c r="K839" s="221"/>
      <c r="L839" s="221"/>
      <c r="M839" s="221"/>
      <c r="N839" s="221"/>
      <c r="O839" s="225"/>
      <c r="P839" s="140" t="s">
        <v>3088</v>
      </c>
      <c r="Q839" s="16" t="s">
        <v>20</v>
      </c>
      <c r="R839" s="80"/>
      <c r="S839" s="201"/>
      <c r="T839" s="140"/>
      <c r="U839" s="22" t="s">
        <v>901</v>
      </c>
      <c r="V839" s="141"/>
      <c r="W839" s="122"/>
      <c r="X839" s="258"/>
      <c r="Y839" s="258"/>
      <c r="Z839" s="258"/>
      <c r="AA839" s="258"/>
      <c r="AB839" s="247"/>
    </row>
    <row r="840" spans="1:28" ht="17.100000000000001" customHeight="1" thickTop="1">
      <c r="A840" s="226" t="s">
        <v>6051</v>
      </c>
      <c r="B840" s="54">
        <v>44233</v>
      </c>
      <c r="C840" s="77"/>
      <c r="D840" s="56" t="s">
        <v>3027</v>
      </c>
      <c r="E840" s="263"/>
      <c r="F840" s="142" t="s">
        <v>3080</v>
      </c>
      <c r="G840" s="57" t="s">
        <v>3081</v>
      </c>
      <c r="H840" s="230"/>
      <c r="I840" s="249">
        <v>30000</v>
      </c>
      <c r="J840" s="220"/>
      <c r="K840" s="220"/>
      <c r="L840" s="220"/>
      <c r="M840" s="220"/>
      <c r="N840" s="220">
        <f>SUM(I840:M841)</f>
        <v>30000</v>
      </c>
      <c r="O840" s="224">
        <v>30000</v>
      </c>
      <c r="P840" s="147" t="s">
        <v>3089</v>
      </c>
      <c r="Q840" s="15" t="s">
        <v>19</v>
      </c>
      <c r="R840" s="78"/>
      <c r="S840" s="198"/>
      <c r="T840" s="147"/>
      <c r="U840" s="21"/>
      <c r="V840" s="148"/>
      <c r="W840" s="116"/>
      <c r="X840" s="267"/>
      <c r="Y840" s="267"/>
      <c r="Z840" s="267"/>
      <c r="AA840" s="267">
        <f>SUM(X840:Z841)</f>
        <v>0</v>
      </c>
      <c r="AB840" s="246"/>
    </row>
    <row r="841" spans="1:28" ht="17.100000000000001" customHeight="1" thickBot="1">
      <c r="A841" s="227"/>
      <c r="B841" s="64" t="s">
        <v>3090</v>
      </c>
      <c r="C841" s="81"/>
      <c r="D841" s="58" t="s">
        <v>3091</v>
      </c>
      <c r="E841" s="264"/>
      <c r="F841" s="137" t="s">
        <v>3092</v>
      </c>
      <c r="G841" s="59"/>
      <c r="H841" s="231"/>
      <c r="I841" s="250"/>
      <c r="J841" s="221"/>
      <c r="K841" s="221"/>
      <c r="L841" s="221"/>
      <c r="M841" s="221"/>
      <c r="N841" s="221"/>
      <c r="O841" s="225"/>
      <c r="P841" s="140" t="s">
        <v>3093</v>
      </c>
      <c r="Q841" s="16" t="s">
        <v>20</v>
      </c>
      <c r="R841" s="80"/>
      <c r="S841" s="201"/>
      <c r="T841" s="140"/>
      <c r="U841" s="22" t="s">
        <v>50</v>
      </c>
      <c r="V841" s="141"/>
      <c r="W841" s="122"/>
      <c r="X841" s="258"/>
      <c r="Y841" s="258"/>
      <c r="Z841" s="258"/>
      <c r="AA841" s="258"/>
      <c r="AB841" s="247"/>
    </row>
    <row r="842" spans="1:28" ht="17.100000000000001" customHeight="1" thickTop="1">
      <c r="A842" s="226" t="s">
        <v>6052</v>
      </c>
      <c r="B842" s="54">
        <v>44309</v>
      </c>
      <c r="C842" s="77"/>
      <c r="D842" s="56" t="s">
        <v>801</v>
      </c>
      <c r="E842" s="263"/>
      <c r="F842" s="142" t="s">
        <v>278</v>
      </c>
      <c r="G842" s="57" t="s">
        <v>1013</v>
      </c>
      <c r="H842" s="230"/>
      <c r="I842" s="249">
        <v>1200000</v>
      </c>
      <c r="J842" s="220"/>
      <c r="K842" s="220"/>
      <c r="L842" s="220"/>
      <c r="M842" s="220"/>
      <c r="N842" s="220">
        <f>SUM(I842:M843)</f>
        <v>1200000</v>
      </c>
      <c r="O842" s="224">
        <v>800000</v>
      </c>
      <c r="P842" s="147" t="s">
        <v>3094</v>
      </c>
      <c r="Q842" s="15" t="s">
        <v>19</v>
      </c>
      <c r="R842" s="78"/>
      <c r="S842" s="198"/>
      <c r="T842" s="147"/>
      <c r="U842" s="21"/>
      <c r="V842" s="148"/>
      <c r="W842" s="116"/>
      <c r="X842" s="267"/>
      <c r="Y842" s="267"/>
      <c r="Z842" s="267"/>
      <c r="AA842" s="267">
        <f>SUM(X842:Z843)</f>
        <v>0</v>
      </c>
      <c r="AB842" s="246"/>
    </row>
    <row r="843" spans="1:28" ht="17.100000000000001" customHeight="1" thickBot="1">
      <c r="A843" s="227"/>
      <c r="B843" s="64" t="s">
        <v>3095</v>
      </c>
      <c r="C843" s="81"/>
      <c r="D843" s="58" t="s">
        <v>3096</v>
      </c>
      <c r="E843" s="264"/>
      <c r="F843" s="137" t="s">
        <v>3097</v>
      </c>
      <c r="G843" s="59"/>
      <c r="H843" s="231"/>
      <c r="I843" s="250"/>
      <c r="J843" s="221"/>
      <c r="K843" s="221"/>
      <c r="L843" s="221"/>
      <c r="M843" s="221"/>
      <c r="N843" s="221"/>
      <c r="O843" s="225"/>
      <c r="P843" s="140" t="s">
        <v>3098</v>
      </c>
      <c r="Q843" s="16" t="s">
        <v>20</v>
      </c>
      <c r="R843" s="80"/>
      <c r="S843" s="201"/>
      <c r="T843" s="140"/>
      <c r="U843" s="22" t="s">
        <v>922</v>
      </c>
      <c r="V843" s="141"/>
      <c r="W843" s="122"/>
      <c r="X843" s="258"/>
      <c r="Y843" s="258"/>
      <c r="Z843" s="258"/>
      <c r="AA843" s="258"/>
      <c r="AB843" s="247"/>
    </row>
    <row r="844" spans="1:28" ht="17.100000000000001" customHeight="1" thickTop="1">
      <c r="A844" s="226" t="s">
        <v>6053</v>
      </c>
      <c r="B844" s="54">
        <v>44354</v>
      </c>
      <c r="C844" s="77"/>
      <c r="D844" s="56" t="s">
        <v>3099</v>
      </c>
      <c r="E844" s="276" t="s">
        <v>164</v>
      </c>
      <c r="F844" s="142" t="s">
        <v>3100</v>
      </c>
      <c r="G844" s="57" t="s">
        <v>1480</v>
      </c>
      <c r="H844" s="230"/>
      <c r="I844" s="249">
        <v>3200000</v>
      </c>
      <c r="J844" s="220"/>
      <c r="K844" s="220"/>
      <c r="L844" s="220"/>
      <c r="M844" s="220"/>
      <c r="N844" s="220">
        <f>SUM(I844:M845)</f>
        <v>3200000</v>
      </c>
      <c r="O844" s="224"/>
      <c r="P844" s="147" t="s">
        <v>3101</v>
      </c>
      <c r="Q844" s="15" t="s">
        <v>19</v>
      </c>
      <c r="R844" s="78"/>
      <c r="S844" s="198"/>
      <c r="T844" s="147" t="s">
        <v>3102</v>
      </c>
      <c r="U844" s="21" t="s">
        <v>3103</v>
      </c>
      <c r="V844" s="148"/>
      <c r="W844" s="116"/>
      <c r="X844" s="267"/>
      <c r="Y844" s="267"/>
      <c r="Z844" s="267"/>
      <c r="AA844" s="267">
        <f>SUM(X844:Z845)</f>
        <v>0</v>
      </c>
      <c r="AB844" s="246"/>
    </row>
    <row r="845" spans="1:28" ht="17.100000000000001" customHeight="1" thickBot="1">
      <c r="A845" s="227"/>
      <c r="B845" s="64" t="s">
        <v>3041</v>
      </c>
      <c r="C845" s="81"/>
      <c r="D845" s="58" t="s">
        <v>445</v>
      </c>
      <c r="E845" s="264"/>
      <c r="F845" s="137" t="s">
        <v>3104</v>
      </c>
      <c r="G845" s="59"/>
      <c r="H845" s="231"/>
      <c r="I845" s="250"/>
      <c r="J845" s="221"/>
      <c r="K845" s="221"/>
      <c r="L845" s="221"/>
      <c r="M845" s="221"/>
      <c r="N845" s="221"/>
      <c r="O845" s="225"/>
      <c r="P845" s="140" t="s">
        <v>3105</v>
      </c>
      <c r="Q845" s="16" t="s">
        <v>20</v>
      </c>
      <c r="R845" s="80"/>
      <c r="S845" s="201"/>
      <c r="T845" s="140"/>
      <c r="U845" s="22"/>
      <c r="V845" s="141"/>
      <c r="W845" s="122"/>
      <c r="X845" s="258"/>
      <c r="Y845" s="258"/>
      <c r="Z845" s="258"/>
      <c r="AA845" s="258"/>
      <c r="AB845" s="247"/>
    </row>
    <row r="846" spans="1:28" ht="17.100000000000001" customHeight="1" thickTop="1">
      <c r="A846" s="226" t="s">
        <v>6054</v>
      </c>
      <c r="B846" s="54">
        <v>44404</v>
      </c>
      <c r="C846" s="77"/>
      <c r="D846" s="56" t="s">
        <v>3037</v>
      </c>
      <c r="E846" s="263"/>
      <c r="F846" s="142" t="s">
        <v>3106</v>
      </c>
      <c r="G846" s="57"/>
      <c r="H846" s="230"/>
      <c r="I846" s="249">
        <v>1800000</v>
      </c>
      <c r="J846" s="220"/>
      <c r="K846" s="220"/>
      <c r="L846" s="220"/>
      <c r="M846" s="220"/>
      <c r="N846" s="220">
        <f>SUM(I846:M847)</f>
        <v>1800000</v>
      </c>
      <c r="O846" s="224">
        <v>1600000</v>
      </c>
      <c r="P846" s="147" t="s">
        <v>3107</v>
      </c>
      <c r="Q846" s="15" t="s">
        <v>19</v>
      </c>
      <c r="R846" s="78"/>
      <c r="S846" s="198"/>
      <c r="T846" s="147"/>
      <c r="U846" s="21"/>
      <c r="V846" s="148"/>
      <c r="W846" s="116"/>
      <c r="X846" s="267"/>
      <c r="Y846" s="267"/>
      <c r="Z846" s="267"/>
      <c r="AA846" s="267">
        <f>SUM(X846:Z847)</f>
        <v>0</v>
      </c>
      <c r="AB846" s="246"/>
    </row>
    <row r="847" spans="1:28" ht="17.100000000000001" customHeight="1" thickBot="1">
      <c r="A847" s="227"/>
      <c r="B847" s="64" t="s">
        <v>3001</v>
      </c>
      <c r="C847" s="81"/>
      <c r="D847" s="27" t="s">
        <v>1834</v>
      </c>
      <c r="E847" s="264"/>
      <c r="F847" s="137" t="s">
        <v>3108</v>
      </c>
      <c r="G847" s="59"/>
      <c r="H847" s="231"/>
      <c r="I847" s="250"/>
      <c r="J847" s="221"/>
      <c r="K847" s="221"/>
      <c r="L847" s="221"/>
      <c r="M847" s="221"/>
      <c r="N847" s="221"/>
      <c r="O847" s="225"/>
      <c r="P847" s="140" t="s">
        <v>3109</v>
      </c>
      <c r="Q847" s="16" t="s">
        <v>20</v>
      </c>
      <c r="R847" s="80"/>
      <c r="S847" s="201"/>
      <c r="T847" s="140"/>
      <c r="U847" s="22" t="s">
        <v>1050</v>
      </c>
      <c r="V847" s="141"/>
      <c r="W847" s="122"/>
      <c r="X847" s="258"/>
      <c r="Y847" s="258"/>
      <c r="Z847" s="258"/>
      <c r="AA847" s="258"/>
      <c r="AB847" s="247"/>
    </row>
    <row r="848" spans="1:28" ht="17.100000000000001" customHeight="1" thickTop="1">
      <c r="A848" s="226" t="s">
        <v>6055</v>
      </c>
      <c r="B848" s="54">
        <v>44446</v>
      </c>
      <c r="C848" s="77"/>
      <c r="D848" s="30" t="s">
        <v>2588</v>
      </c>
      <c r="E848" s="263"/>
      <c r="F848" s="142" t="s">
        <v>3110</v>
      </c>
      <c r="G848" s="57"/>
      <c r="H848" s="230"/>
      <c r="I848" s="249">
        <v>1580000</v>
      </c>
      <c r="J848" s="220"/>
      <c r="K848" s="220">
        <v>19440</v>
      </c>
      <c r="L848" s="220"/>
      <c r="M848" s="220"/>
      <c r="N848" s="220">
        <f>SUM(I848:M849)</f>
        <v>1599440</v>
      </c>
      <c r="O848" s="224">
        <v>1450000</v>
      </c>
      <c r="P848" s="114" t="s">
        <v>3111</v>
      </c>
      <c r="Q848" s="15" t="s">
        <v>19</v>
      </c>
      <c r="R848" s="78"/>
      <c r="S848" s="198"/>
      <c r="T848" s="147" t="s">
        <v>3102</v>
      </c>
      <c r="U848" s="21"/>
      <c r="V848" s="148"/>
      <c r="W848" s="116"/>
      <c r="X848" s="267"/>
      <c r="Y848" s="267"/>
      <c r="Z848" s="267"/>
      <c r="AA848" s="267">
        <f>SUM(X848:Z849)</f>
        <v>0</v>
      </c>
      <c r="AB848" s="246"/>
    </row>
    <row r="849" spans="1:28" ht="17.100000000000001" customHeight="1" thickBot="1">
      <c r="A849" s="227"/>
      <c r="B849" s="14" t="s">
        <v>3085</v>
      </c>
      <c r="C849" s="81"/>
      <c r="D849" s="27" t="s">
        <v>3112</v>
      </c>
      <c r="E849" s="264"/>
      <c r="F849" s="137" t="s">
        <v>3113</v>
      </c>
      <c r="G849" s="59">
        <v>43427</v>
      </c>
      <c r="H849" s="231"/>
      <c r="I849" s="250"/>
      <c r="J849" s="221"/>
      <c r="K849" s="221"/>
      <c r="L849" s="221"/>
      <c r="M849" s="221"/>
      <c r="N849" s="221"/>
      <c r="O849" s="225"/>
      <c r="P849" s="122" t="s">
        <v>3114</v>
      </c>
      <c r="Q849" s="16" t="s">
        <v>20</v>
      </c>
      <c r="R849" s="80"/>
      <c r="S849" s="201"/>
      <c r="T849" s="140"/>
      <c r="U849" s="22" t="s">
        <v>106</v>
      </c>
      <c r="V849" s="141"/>
      <c r="W849" s="122"/>
      <c r="X849" s="258"/>
      <c r="Y849" s="258"/>
      <c r="Z849" s="258"/>
      <c r="AA849" s="258"/>
      <c r="AB849" s="247"/>
    </row>
    <row r="850" spans="1:28" ht="17.100000000000001" customHeight="1" thickTop="1">
      <c r="A850" s="226" t="s">
        <v>6056</v>
      </c>
      <c r="B850" s="54">
        <v>44425</v>
      </c>
      <c r="C850" s="77"/>
      <c r="D850" s="30" t="s">
        <v>3115</v>
      </c>
      <c r="E850" s="276" t="s">
        <v>164</v>
      </c>
      <c r="F850" s="142" t="s">
        <v>3116</v>
      </c>
      <c r="G850" s="52" t="s">
        <v>2094</v>
      </c>
      <c r="H850" s="230"/>
      <c r="I850" s="249">
        <v>4712650</v>
      </c>
      <c r="J850" s="220">
        <v>27770</v>
      </c>
      <c r="K850" s="220"/>
      <c r="L850" s="220"/>
      <c r="M850" s="220"/>
      <c r="N850" s="220">
        <f>SUM(I850:M851)</f>
        <v>4740420</v>
      </c>
      <c r="O850" s="224"/>
      <c r="P850" s="114" t="s">
        <v>3117</v>
      </c>
      <c r="Q850" s="15" t="s">
        <v>19</v>
      </c>
      <c r="R850" s="78"/>
      <c r="S850" s="198"/>
      <c r="T850" s="147"/>
      <c r="U850" s="21" t="s">
        <v>3118</v>
      </c>
      <c r="V850" s="148"/>
      <c r="W850" s="116"/>
      <c r="X850" s="267"/>
      <c r="Y850" s="267"/>
      <c r="Z850" s="267"/>
      <c r="AA850" s="267">
        <f>SUM(X850:Z851)</f>
        <v>0</v>
      </c>
      <c r="AB850" s="246"/>
    </row>
    <row r="851" spans="1:28" ht="17.100000000000001" customHeight="1" thickBot="1">
      <c r="A851" s="227"/>
      <c r="B851" s="14" t="s">
        <v>3119</v>
      </c>
      <c r="C851" s="81"/>
      <c r="D851" s="27" t="s">
        <v>3120</v>
      </c>
      <c r="E851" s="264"/>
      <c r="F851" s="137" t="s">
        <v>3121</v>
      </c>
      <c r="G851" s="59"/>
      <c r="H851" s="231"/>
      <c r="I851" s="250"/>
      <c r="J851" s="221"/>
      <c r="K851" s="221"/>
      <c r="L851" s="221"/>
      <c r="M851" s="221"/>
      <c r="N851" s="221"/>
      <c r="O851" s="225"/>
      <c r="P851" s="122" t="s">
        <v>3122</v>
      </c>
      <c r="Q851" s="16" t="s">
        <v>20</v>
      </c>
      <c r="R851" s="80"/>
      <c r="S851" s="199"/>
      <c r="T851" s="140"/>
      <c r="U851" s="22"/>
      <c r="V851" s="141"/>
      <c r="W851" s="122"/>
      <c r="X851" s="258"/>
      <c r="Y851" s="258"/>
      <c r="Z851" s="258"/>
      <c r="AA851" s="258"/>
      <c r="AB851" s="247"/>
    </row>
    <row r="852" spans="1:28" ht="17.100000000000001" customHeight="1" thickTop="1">
      <c r="A852" s="226" t="s">
        <v>6057</v>
      </c>
      <c r="B852" s="54">
        <v>44470</v>
      </c>
      <c r="C852" s="77"/>
      <c r="D852" s="30" t="s">
        <v>2588</v>
      </c>
      <c r="E852" s="263"/>
      <c r="F852" s="142" t="s">
        <v>1990</v>
      </c>
      <c r="G852" s="52" t="s">
        <v>2964</v>
      </c>
      <c r="H852" s="230"/>
      <c r="I852" s="249">
        <v>1770000</v>
      </c>
      <c r="J852" s="220"/>
      <c r="K852" s="220">
        <v>17490</v>
      </c>
      <c r="L852" s="220"/>
      <c r="M852" s="220"/>
      <c r="N852" s="220">
        <f>SUM(I852:M853)</f>
        <v>1787490</v>
      </c>
      <c r="O852" s="224"/>
      <c r="P852" s="114" t="s">
        <v>3123</v>
      </c>
      <c r="Q852" s="15" t="s">
        <v>19</v>
      </c>
      <c r="R852" s="78"/>
      <c r="S852" s="198"/>
      <c r="T852" s="147"/>
      <c r="U852" s="21" t="s">
        <v>3124</v>
      </c>
      <c r="V852" s="148"/>
      <c r="W852" s="116" t="s">
        <v>3125</v>
      </c>
      <c r="X852" s="267"/>
      <c r="Y852" s="267"/>
      <c r="Z852" s="267"/>
      <c r="AA852" s="267">
        <f>SUM(X852:Z853)</f>
        <v>0</v>
      </c>
      <c r="AB852" s="246"/>
    </row>
    <row r="853" spans="1:28" ht="17.100000000000001" customHeight="1" thickBot="1">
      <c r="A853" s="227"/>
      <c r="B853" s="14" t="s">
        <v>3126</v>
      </c>
      <c r="C853" s="81"/>
      <c r="D853" s="82" t="s">
        <v>3127</v>
      </c>
      <c r="E853" s="264"/>
      <c r="F853" s="137" t="s">
        <v>3128</v>
      </c>
      <c r="G853" s="59">
        <v>43049</v>
      </c>
      <c r="H853" s="231"/>
      <c r="I853" s="250"/>
      <c r="J853" s="221"/>
      <c r="K853" s="221"/>
      <c r="L853" s="221"/>
      <c r="M853" s="221"/>
      <c r="N853" s="221"/>
      <c r="O853" s="225"/>
      <c r="P853" s="122" t="s">
        <v>3129</v>
      </c>
      <c r="Q853" s="16" t="s">
        <v>20</v>
      </c>
      <c r="R853" s="80"/>
      <c r="S853" s="199"/>
      <c r="T853" s="140"/>
      <c r="U853" s="22"/>
      <c r="V853" s="141"/>
      <c r="W853" s="122"/>
      <c r="X853" s="258"/>
      <c r="Y853" s="258"/>
      <c r="Z853" s="258"/>
      <c r="AA853" s="258"/>
      <c r="AB853" s="247"/>
    </row>
    <row r="854" spans="1:28" ht="17.100000000000001" customHeight="1" thickTop="1">
      <c r="A854" s="226" t="s">
        <v>6058</v>
      </c>
      <c r="B854" s="54">
        <v>44481</v>
      </c>
      <c r="C854" s="77"/>
      <c r="D854" s="30" t="s">
        <v>3130</v>
      </c>
      <c r="E854" s="263"/>
      <c r="F854" s="142" t="s">
        <v>3131</v>
      </c>
      <c r="G854" s="52" t="s">
        <v>2913</v>
      </c>
      <c r="H854" s="230"/>
      <c r="I854" s="249">
        <v>0</v>
      </c>
      <c r="J854" s="220"/>
      <c r="K854" s="220"/>
      <c r="L854" s="220"/>
      <c r="M854" s="220"/>
      <c r="N854" s="220">
        <f>SUM(I854:M855)</f>
        <v>0</v>
      </c>
      <c r="O854" s="224">
        <v>0</v>
      </c>
      <c r="P854" s="114" t="s">
        <v>3132</v>
      </c>
      <c r="Q854" s="15" t="s">
        <v>19</v>
      </c>
      <c r="R854" s="78"/>
      <c r="S854" s="198"/>
      <c r="T854" s="147"/>
      <c r="U854" s="21"/>
      <c r="V854" s="148"/>
      <c r="W854" s="116"/>
      <c r="X854" s="267"/>
      <c r="Y854" s="267"/>
      <c r="Z854" s="267"/>
      <c r="AA854" s="267">
        <f>SUM(X854:Z855)</f>
        <v>0</v>
      </c>
      <c r="AB854" s="246"/>
    </row>
    <row r="855" spans="1:28" ht="17.100000000000001" customHeight="1" thickBot="1">
      <c r="A855" s="227"/>
      <c r="B855" s="14" t="s">
        <v>3133</v>
      </c>
      <c r="C855" s="81"/>
      <c r="D855" s="58"/>
      <c r="E855" s="264"/>
      <c r="F855" s="137" t="s">
        <v>3134</v>
      </c>
      <c r="G855" s="59"/>
      <c r="H855" s="231"/>
      <c r="I855" s="250"/>
      <c r="J855" s="221"/>
      <c r="K855" s="221"/>
      <c r="L855" s="221"/>
      <c r="M855" s="221"/>
      <c r="N855" s="221"/>
      <c r="O855" s="225"/>
      <c r="P855" s="122" t="s">
        <v>3135</v>
      </c>
      <c r="Q855" s="16" t="s">
        <v>20</v>
      </c>
      <c r="R855" s="80"/>
      <c r="S855" s="199"/>
      <c r="T855" s="140"/>
      <c r="U855" s="22" t="s">
        <v>106</v>
      </c>
      <c r="V855" s="141"/>
      <c r="W855" s="122"/>
      <c r="X855" s="258"/>
      <c r="Y855" s="258"/>
      <c r="Z855" s="258"/>
      <c r="AA855" s="258"/>
      <c r="AB855" s="247"/>
    </row>
    <row r="856" spans="1:28" ht="17.100000000000001" customHeight="1" thickTop="1">
      <c r="A856" s="226" t="s">
        <v>6059</v>
      </c>
      <c r="B856" s="54">
        <v>44602</v>
      </c>
      <c r="C856" s="77"/>
      <c r="D856" s="30" t="s">
        <v>3136</v>
      </c>
      <c r="E856" s="263"/>
      <c r="F856" s="142" t="s">
        <v>2952</v>
      </c>
      <c r="G856" s="52" t="s">
        <v>1634</v>
      </c>
      <c r="H856" s="230"/>
      <c r="I856" s="249">
        <v>2060000</v>
      </c>
      <c r="J856" s="220"/>
      <c r="K856" s="220">
        <v>16240</v>
      </c>
      <c r="L856" s="220"/>
      <c r="M856" s="220"/>
      <c r="N856" s="220">
        <f>SUM(I856:M857)</f>
        <v>2076240</v>
      </c>
      <c r="O856" s="224">
        <v>1700000</v>
      </c>
      <c r="P856" s="114" t="s">
        <v>3137</v>
      </c>
      <c r="Q856" s="15" t="s">
        <v>19</v>
      </c>
      <c r="R856" s="78"/>
      <c r="S856" s="198"/>
      <c r="T856" s="147"/>
      <c r="U856" s="21"/>
      <c r="V856" s="148"/>
      <c r="W856" s="116"/>
      <c r="X856" s="267"/>
      <c r="Y856" s="267"/>
      <c r="Z856" s="267"/>
      <c r="AA856" s="267">
        <f>SUM(X856:Z857)</f>
        <v>0</v>
      </c>
      <c r="AB856" s="246"/>
    </row>
    <row r="857" spans="1:28" ht="17.100000000000001" customHeight="1" thickBot="1">
      <c r="A857" s="227"/>
      <c r="B857" s="14" t="s">
        <v>3085</v>
      </c>
      <c r="C857" s="81"/>
      <c r="D857" s="82" t="s">
        <v>3138</v>
      </c>
      <c r="E857" s="264"/>
      <c r="F857" s="137" t="s">
        <v>3139</v>
      </c>
      <c r="G857" s="59">
        <v>14850</v>
      </c>
      <c r="H857" s="231"/>
      <c r="I857" s="250"/>
      <c r="J857" s="221"/>
      <c r="K857" s="221"/>
      <c r="L857" s="221"/>
      <c r="M857" s="221"/>
      <c r="N857" s="221"/>
      <c r="O857" s="225"/>
      <c r="P857" s="122" t="s">
        <v>3140</v>
      </c>
      <c r="Q857" s="16" t="s">
        <v>20</v>
      </c>
      <c r="R857" s="80"/>
      <c r="S857" s="199"/>
      <c r="T857" s="140"/>
      <c r="U857" s="22" t="s">
        <v>3141</v>
      </c>
      <c r="V857" s="141"/>
      <c r="W857" s="122"/>
      <c r="X857" s="258"/>
      <c r="Y857" s="258"/>
      <c r="Z857" s="258"/>
      <c r="AA857" s="258"/>
      <c r="AB857" s="247"/>
    </row>
    <row r="858" spans="1:28" ht="17.100000000000001" customHeight="1" thickTop="1">
      <c r="A858" s="226" t="s">
        <v>6060</v>
      </c>
      <c r="B858" s="54">
        <v>44680</v>
      </c>
      <c r="C858" s="77"/>
      <c r="D858" s="30" t="s">
        <v>3142</v>
      </c>
      <c r="E858" s="263"/>
      <c r="F858" s="142" t="s">
        <v>3143</v>
      </c>
      <c r="G858" s="57"/>
      <c r="H858" s="230"/>
      <c r="I858" s="249">
        <v>0</v>
      </c>
      <c r="J858" s="220"/>
      <c r="K858" s="220"/>
      <c r="L858" s="220"/>
      <c r="M858" s="220"/>
      <c r="N858" s="220">
        <f>SUM(I858:M859)</f>
        <v>0</v>
      </c>
      <c r="O858" s="224">
        <v>0</v>
      </c>
      <c r="P858" s="114" t="s">
        <v>3144</v>
      </c>
      <c r="Q858" s="15" t="s">
        <v>19</v>
      </c>
      <c r="R858" s="78"/>
      <c r="S858" s="198"/>
      <c r="T858" s="114" t="s">
        <v>3145</v>
      </c>
      <c r="U858" s="21"/>
      <c r="V858" s="148"/>
      <c r="W858" s="116"/>
      <c r="X858" s="267"/>
      <c r="Y858" s="267"/>
      <c r="Z858" s="267"/>
      <c r="AA858" s="267">
        <f>SUM(X858:Z859)</f>
        <v>0</v>
      </c>
      <c r="AB858" s="246"/>
    </row>
    <row r="859" spans="1:28" ht="17.100000000000001" customHeight="1" thickBot="1">
      <c r="A859" s="227"/>
      <c r="B859" s="14" t="s">
        <v>3146</v>
      </c>
      <c r="C859" s="81"/>
      <c r="D859" s="27" t="s">
        <v>3147</v>
      </c>
      <c r="E859" s="264"/>
      <c r="F859" s="137" t="s">
        <v>3148</v>
      </c>
      <c r="G859" s="59"/>
      <c r="H859" s="231"/>
      <c r="I859" s="250"/>
      <c r="J859" s="221"/>
      <c r="K859" s="221"/>
      <c r="L859" s="221"/>
      <c r="M859" s="221"/>
      <c r="N859" s="221"/>
      <c r="O859" s="225"/>
      <c r="P859" s="122" t="s">
        <v>3149</v>
      </c>
      <c r="Q859" s="16" t="s">
        <v>20</v>
      </c>
      <c r="R859" s="80"/>
      <c r="S859" s="199"/>
      <c r="T859" s="140"/>
      <c r="U859" s="22" t="s">
        <v>106</v>
      </c>
      <c r="V859" s="141"/>
      <c r="W859" s="122"/>
      <c r="X859" s="258"/>
      <c r="Y859" s="258"/>
      <c r="Z859" s="258"/>
      <c r="AA859" s="258"/>
      <c r="AB859" s="247"/>
    </row>
    <row r="860" spans="1:28" ht="17.100000000000001" customHeight="1" thickTop="1">
      <c r="A860" s="226" t="s">
        <v>6061</v>
      </c>
      <c r="B860" s="54">
        <v>44712</v>
      </c>
      <c r="C860" s="77"/>
      <c r="D860" s="30" t="s">
        <v>3150</v>
      </c>
      <c r="E860" s="263"/>
      <c r="F860" s="142" t="s">
        <v>2685</v>
      </c>
      <c r="G860" s="52" t="s">
        <v>1887</v>
      </c>
      <c r="H860" s="230"/>
      <c r="I860" s="249">
        <v>2250000</v>
      </c>
      <c r="J860" s="220">
        <v>-7500</v>
      </c>
      <c r="K860" s="220">
        <v>19090</v>
      </c>
      <c r="L860" s="220"/>
      <c r="M860" s="220"/>
      <c r="N860" s="220">
        <f>SUM(I860:M861)</f>
        <v>2261590</v>
      </c>
      <c r="O860" s="224"/>
      <c r="P860" s="114" t="s">
        <v>3151</v>
      </c>
      <c r="Q860" s="15" t="s">
        <v>19</v>
      </c>
      <c r="R860" s="78"/>
      <c r="S860" s="198"/>
      <c r="T860" s="114" t="s">
        <v>3102</v>
      </c>
      <c r="U860" s="21" t="s">
        <v>3152</v>
      </c>
      <c r="V860" s="148"/>
      <c r="W860" s="116"/>
      <c r="X860" s="267"/>
      <c r="Y860" s="267"/>
      <c r="Z860" s="267"/>
      <c r="AA860" s="267">
        <f>SUM(X860:Z861)</f>
        <v>0</v>
      </c>
      <c r="AB860" s="246"/>
    </row>
    <row r="861" spans="1:28" ht="17.100000000000001" customHeight="1" thickBot="1">
      <c r="A861" s="227"/>
      <c r="B861" s="14" t="s">
        <v>3085</v>
      </c>
      <c r="C861" s="81"/>
      <c r="D861" s="27" t="s">
        <v>3153</v>
      </c>
      <c r="E861" s="264"/>
      <c r="F861" s="137" t="s">
        <v>3154</v>
      </c>
      <c r="G861" s="59">
        <v>37195</v>
      </c>
      <c r="H861" s="231"/>
      <c r="I861" s="250"/>
      <c r="J861" s="221"/>
      <c r="K861" s="221"/>
      <c r="L861" s="221"/>
      <c r="M861" s="221"/>
      <c r="N861" s="221"/>
      <c r="O861" s="225"/>
      <c r="P861" s="122" t="s">
        <v>3155</v>
      </c>
      <c r="Q861" s="16" t="s">
        <v>20</v>
      </c>
      <c r="R861" s="80"/>
      <c r="S861" s="199"/>
      <c r="T861" s="140"/>
      <c r="U861" s="22"/>
      <c r="V861" s="141"/>
      <c r="W861" s="122"/>
      <c r="X861" s="258"/>
      <c r="Y861" s="258"/>
      <c r="Z861" s="258"/>
      <c r="AA861" s="258"/>
      <c r="AB861" s="247"/>
    </row>
    <row r="862" spans="1:28" ht="17.100000000000001" customHeight="1" thickTop="1">
      <c r="A862" s="226" t="s">
        <v>6062</v>
      </c>
      <c r="B862" s="54">
        <v>44742</v>
      </c>
      <c r="C862" s="77"/>
      <c r="D862" s="30" t="s">
        <v>3156</v>
      </c>
      <c r="E862" s="263"/>
      <c r="F862" s="142" t="s">
        <v>3157</v>
      </c>
      <c r="G862" s="52" t="s">
        <v>1810</v>
      </c>
      <c r="H862" s="230"/>
      <c r="I862" s="249">
        <v>1650000</v>
      </c>
      <c r="J862" s="220">
        <v>23000</v>
      </c>
      <c r="K862" s="220">
        <v>17250</v>
      </c>
      <c r="L862" s="220"/>
      <c r="M862" s="220"/>
      <c r="N862" s="220">
        <f>SUM(I862:M863)</f>
        <v>1690250</v>
      </c>
      <c r="O862" s="224"/>
      <c r="P862" s="114" t="s">
        <v>3158</v>
      </c>
      <c r="Q862" s="15" t="s">
        <v>19</v>
      </c>
      <c r="R862" s="78"/>
      <c r="S862" s="198"/>
      <c r="T862" s="114" t="s">
        <v>3102</v>
      </c>
      <c r="U862" s="21"/>
      <c r="V862" s="148"/>
      <c r="W862" s="116"/>
      <c r="X862" s="267"/>
      <c r="Y862" s="267"/>
      <c r="Z862" s="267"/>
      <c r="AA862" s="267">
        <f>SUM(X862:Z863)</f>
        <v>0</v>
      </c>
      <c r="AB862" s="246"/>
    </row>
    <row r="863" spans="1:28" ht="17.100000000000001" customHeight="1" thickBot="1">
      <c r="A863" s="227"/>
      <c r="B863" s="14" t="s">
        <v>3085</v>
      </c>
      <c r="C863" s="81"/>
      <c r="D863" s="27" t="s">
        <v>2753</v>
      </c>
      <c r="E863" s="264"/>
      <c r="F863" s="137" t="s">
        <v>3159</v>
      </c>
      <c r="G863" s="59">
        <v>28918</v>
      </c>
      <c r="H863" s="231"/>
      <c r="I863" s="250"/>
      <c r="J863" s="221"/>
      <c r="K863" s="221"/>
      <c r="L863" s="221"/>
      <c r="M863" s="221"/>
      <c r="N863" s="221"/>
      <c r="O863" s="225"/>
      <c r="P863" s="122" t="s">
        <v>3160</v>
      </c>
      <c r="Q863" s="16" t="s">
        <v>20</v>
      </c>
      <c r="R863" s="80"/>
      <c r="S863" s="199"/>
      <c r="T863" s="140"/>
      <c r="U863" s="22" t="s">
        <v>3161</v>
      </c>
      <c r="V863" s="141"/>
      <c r="W863" s="122"/>
      <c r="X863" s="258"/>
      <c r="Y863" s="258"/>
      <c r="Z863" s="258"/>
      <c r="AA863" s="258"/>
      <c r="AB863" s="247"/>
    </row>
    <row r="864" spans="1:28" ht="17.100000000000001" customHeight="1" thickTop="1">
      <c r="A864" s="226" t="s">
        <v>6063</v>
      </c>
      <c r="B864" s="54">
        <v>44826</v>
      </c>
      <c r="C864" s="77"/>
      <c r="D864" s="30" t="s">
        <v>3150</v>
      </c>
      <c r="E864" s="263"/>
      <c r="F864" s="142" t="s">
        <v>2685</v>
      </c>
      <c r="G864" s="52" t="s">
        <v>1976</v>
      </c>
      <c r="H864" s="230"/>
      <c r="I864" s="249">
        <v>2470000</v>
      </c>
      <c r="J864" s="220">
        <v>16400</v>
      </c>
      <c r="K864" s="220">
        <v>19090</v>
      </c>
      <c r="L864" s="220"/>
      <c r="M864" s="220"/>
      <c r="N864" s="220">
        <f>SUM(I864:M865)</f>
        <v>2505490</v>
      </c>
      <c r="O864" s="224"/>
      <c r="P864" s="114" t="s">
        <v>3162</v>
      </c>
      <c r="Q864" s="15" t="s">
        <v>19</v>
      </c>
      <c r="R864" s="78"/>
      <c r="S864" s="198"/>
      <c r="T864" s="114" t="s">
        <v>3163</v>
      </c>
      <c r="U864" s="21"/>
      <c r="V864" s="148"/>
      <c r="W864" s="116"/>
      <c r="X864" s="267"/>
      <c r="Y864" s="267"/>
      <c r="Z864" s="267"/>
      <c r="AA864" s="267">
        <f>SUM(X864:Z865)</f>
        <v>0</v>
      </c>
      <c r="AB864" s="246"/>
    </row>
    <row r="865" spans="1:28" ht="17.100000000000001" customHeight="1" thickBot="1">
      <c r="A865" s="227"/>
      <c r="B865" s="14" t="s">
        <v>3164</v>
      </c>
      <c r="C865" s="81"/>
      <c r="D865" s="27" t="s">
        <v>3165</v>
      </c>
      <c r="E865" s="264"/>
      <c r="F865" s="137" t="s">
        <v>3166</v>
      </c>
      <c r="G865" s="59">
        <v>42708</v>
      </c>
      <c r="H865" s="231"/>
      <c r="I865" s="250"/>
      <c r="J865" s="221"/>
      <c r="K865" s="221"/>
      <c r="L865" s="221"/>
      <c r="M865" s="221"/>
      <c r="N865" s="221"/>
      <c r="O865" s="225"/>
      <c r="P865" s="122" t="s">
        <v>3167</v>
      </c>
      <c r="Q865" s="16" t="s">
        <v>20</v>
      </c>
      <c r="R865" s="80"/>
      <c r="S865" s="199"/>
      <c r="T865" s="140"/>
      <c r="U865" s="22" t="s">
        <v>2072</v>
      </c>
      <c r="V865" s="141"/>
      <c r="W865" s="122"/>
      <c r="X865" s="258"/>
      <c r="Y865" s="258"/>
      <c r="Z865" s="258"/>
      <c r="AA865" s="258"/>
      <c r="AB865" s="247"/>
    </row>
    <row r="866" spans="1:28" ht="17.100000000000001" customHeight="1" thickTop="1">
      <c r="A866" s="226" t="s">
        <v>6064</v>
      </c>
      <c r="B866" s="54">
        <v>44866</v>
      </c>
      <c r="C866" s="77"/>
      <c r="D866" s="30" t="s">
        <v>2588</v>
      </c>
      <c r="E866" s="263"/>
      <c r="F866" s="142" t="s">
        <v>3168</v>
      </c>
      <c r="G866" s="52" t="s">
        <v>1831</v>
      </c>
      <c r="H866" s="230"/>
      <c r="I866" s="249">
        <v>1180000</v>
      </c>
      <c r="J866" s="220">
        <v>13100</v>
      </c>
      <c r="K866" s="220">
        <v>17490</v>
      </c>
      <c r="L866" s="220"/>
      <c r="M866" s="220"/>
      <c r="N866" s="220">
        <f>SUM(I866:M867)</f>
        <v>1210590</v>
      </c>
      <c r="O866" s="224"/>
      <c r="P866" s="114" t="s">
        <v>3169</v>
      </c>
      <c r="Q866" s="15" t="s">
        <v>19</v>
      </c>
      <c r="R866" s="78"/>
      <c r="S866" s="198"/>
      <c r="T866" s="114" t="s">
        <v>3163</v>
      </c>
      <c r="U866" s="21"/>
      <c r="V866" s="148"/>
      <c r="W866" s="116"/>
      <c r="X866" s="267"/>
      <c r="Y866" s="267"/>
      <c r="Z866" s="267"/>
      <c r="AA866" s="267">
        <f>SUM(X866:Z867)</f>
        <v>0</v>
      </c>
      <c r="AB866" s="246"/>
    </row>
    <row r="867" spans="1:28" ht="17.100000000000001" customHeight="1" thickBot="1">
      <c r="A867" s="227"/>
      <c r="B867" s="14" t="s">
        <v>3170</v>
      </c>
      <c r="C867" s="81"/>
      <c r="D867" s="27" t="s">
        <v>3171</v>
      </c>
      <c r="E867" s="264"/>
      <c r="F867" s="137" t="s">
        <v>3172</v>
      </c>
      <c r="G867" s="59">
        <v>63426</v>
      </c>
      <c r="H867" s="231"/>
      <c r="I867" s="250"/>
      <c r="J867" s="221"/>
      <c r="K867" s="221"/>
      <c r="L867" s="221"/>
      <c r="M867" s="221"/>
      <c r="N867" s="221"/>
      <c r="O867" s="225"/>
      <c r="P867" s="122" t="s">
        <v>3173</v>
      </c>
      <c r="Q867" s="16" t="s">
        <v>20</v>
      </c>
      <c r="R867" s="80"/>
      <c r="S867" s="199"/>
      <c r="T867" s="140"/>
      <c r="U867" s="22"/>
      <c r="V867" s="141"/>
      <c r="W867" s="122"/>
      <c r="X867" s="258"/>
      <c r="Y867" s="258"/>
      <c r="Z867" s="258"/>
      <c r="AA867" s="258"/>
      <c r="AB867" s="247"/>
    </row>
    <row r="868" spans="1:28" ht="17.100000000000001" customHeight="1" thickTop="1">
      <c r="A868" s="226" t="s">
        <v>6065</v>
      </c>
      <c r="B868" s="54">
        <v>44866</v>
      </c>
      <c r="C868" s="77"/>
      <c r="D868" s="30" t="s">
        <v>3174</v>
      </c>
      <c r="E868" s="263"/>
      <c r="F868" s="142" t="s">
        <v>2589</v>
      </c>
      <c r="G868" s="52" t="s">
        <v>2065</v>
      </c>
      <c r="H868" s="230"/>
      <c r="I868" s="249">
        <v>3920000</v>
      </c>
      <c r="J868" s="220"/>
      <c r="K868" s="220">
        <v>16930</v>
      </c>
      <c r="L868" s="220"/>
      <c r="M868" s="220"/>
      <c r="N868" s="220">
        <f>SUM(I868:M869)</f>
        <v>3936930</v>
      </c>
      <c r="O868" s="224"/>
      <c r="P868" s="114" t="s">
        <v>3175</v>
      </c>
      <c r="Q868" s="15" t="s">
        <v>19</v>
      </c>
      <c r="R868" s="78"/>
      <c r="S868" s="198"/>
      <c r="T868" s="114" t="s">
        <v>3163</v>
      </c>
      <c r="U868" s="21"/>
      <c r="V868" s="148"/>
      <c r="W868" s="116"/>
      <c r="X868" s="267"/>
      <c r="Y868" s="267"/>
      <c r="Z868" s="267"/>
      <c r="AA868" s="267">
        <f>SUM(X868:Z869)</f>
        <v>0</v>
      </c>
      <c r="AB868" s="246"/>
    </row>
    <row r="869" spans="1:28" ht="17.100000000000001" customHeight="1" thickBot="1">
      <c r="A869" s="227"/>
      <c r="B869" s="14" t="s">
        <v>3085</v>
      </c>
      <c r="C869" s="81"/>
      <c r="D869" s="27" t="s">
        <v>131</v>
      </c>
      <c r="E869" s="264"/>
      <c r="F869" s="137" t="s">
        <v>3176</v>
      </c>
      <c r="G869" s="59">
        <v>47903</v>
      </c>
      <c r="H869" s="231"/>
      <c r="I869" s="250"/>
      <c r="J869" s="221"/>
      <c r="K869" s="221"/>
      <c r="L869" s="221"/>
      <c r="M869" s="221"/>
      <c r="N869" s="221"/>
      <c r="O869" s="225"/>
      <c r="P869" s="122" t="s">
        <v>3177</v>
      </c>
      <c r="Q869" s="16" t="s">
        <v>20</v>
      </c>
      <c r="R869" s="80"/>
      <c r="S869" s="199"/>
      <c r="T869" s="140"/>
      <c r="U869" s="22"/>
      <c r="V869" s="141"/>
      <c r="W869" s="122"/>
      <c r="X869" s="258"/>
      <c r="Y869" s="258"/>
      <c r="Z869" s="258"/>
      <c r="AA869" s="258"/>
      <c r="AB869" s="247"/>
    </row>
    <row r="870" spans="1:28" ht="17.100000000000001" customHeight="1" thickTop="1">
      <c r="A870" s="226" t="s">
        <v>6066</v>
      </c>
      <c r="B870" s="54">
        <v>44879</v>
      </c>
      <c r="C870" s="77"/>
      <c r="D870" s="30" t="s">
        <v>3178</v>
      </c>
      <c r="E870" s="263"/>
      <c r="F870" s="142" t="s">
        <v>2685</v>
      </c>
      <c r="G870" s="52" t="s">
        <v>1687</v>
      </c>
      <c r="H870" s="230"/>
      <c r="I870" s="249">
        <v>2810000</v>
      </c>
      <c r="J870" s="220">
        <v>9800</v>
      </c>
      <c r="K870" s="220">
        <v>19090</v>
      </c>
      <c r="L870" s="220"/>
      <c r="M870" s="220"/>
      <c r="N870" s="220">
        <f>SUM(I870:M871)</f>
        <v>2838890</v>
      </c>
      <c r="O870" s="224"/>
      <c r="P870" s="114" t="s">
        <v>3179</v>
      </c>
      <c r="Q870" s="15" t="s">
        <v>19</v>
      </c>
      <c r="R870" s="78"/>
      <c r="S870" s="198"/>
      <c r="T870" s="114" t="s">
        <v>3163</v>
      </c>
      <c r="U870" s="21" t="s">
        <v>3180</v>
      </c>
      <c r="V870" s="148"/>
      <c r="W870" s="116"/>
      <c r="X870" s="267"/>
      <c r="Y870" s="267"/>
      <c r="Z870" s="267"/>
      <c r="AA870" s="267">
        <f>SUM(X870:Z871)</f>
        <v>0</v>
      </c>
      <c r="AB870" s="246"/>
    </row>
    <row r="871" spans="1:28" ht="17.100000000000001" customHeight="1" thickBot="1">
      <c r="A871" s="227"/>
      <c r="B871" s="14" t="s">
        <v>3170</v>
      </c>
      <c r="C871" s="81"/>
      <c r="D871" s="83" t="s">
        <v>3181</v>
      </c>
      <c r="E871" s="264"/>
      <c r="F871" s="137" t="s">
        <v>3182</v>
      </c>
      <c r="G871" s="59">
        <v>17658</v>
      </c>
      <c r="H871" s="231"/>
      <c r="I871" s="250"/>
      <c r="J871" s="221"/>
      <c r="K871" s="221"/>
      <c r="L871" s="221"/>
      <c r="M871" s="221"/>
      <c r="N871" s="221"/>
      <c r="O871" s="225"/>
      <c r="P871" s="122" t="s">
        <v>3183</v>
      </c>
      <c r="Q871" s="16" t="s">
        <v>20</v>
      </c>
      <c r="R871" s="80"/>
      <c r="S871" s="199"/>
      <c r="T871" s="140"/>
      <c r="U871" s="22"/>
      <c r="V871" s="141"/>
      <c r="W871" s="122"/>
      <c r="X871" s="258"/>
      <c r="Y871" s="258"/>
      <c r="Z871" s="258"/>
      <c r="AA871" s="258"/>
      <c r="AB871" s="247"/>
    </row>
    <row r="872" spans="1:28" ht="17.100000000000001" customHeight="1" thickTop="1">
      <c r="A872" s="226" t="s">
        <v>6067</v>
      </c>
      <c r="B872" s="54">
        <v>44896</v>
      </c>
      <c r="C872" s="77"/>
      <c r="D872" s="30" t="s">
        <v>3178</v>
      </c>
      <c r="E872" s="263"/>
      <c r="F872" s="142" t="s">
        <v>2278</v>
      </c>
      <c r="G872" s="52" t="s">
        <v>1976</v>
      </c>
      <c r="H872" s="230"/>
      <c r="I872" s="249">
        <v>820000</v>
      </c>
      <c r="J872" s="220"/>
      <c r="K872" s="220"/>
      <c r="L872" s="220"/>
      <c r="M872" s="220"/>
      <c r="N872" s="220">
        <f>SUM(I872:M873)</f>
        <v>820000</v>
      </c>
      <c r="O872" s="224"/>
      <c r="P872" s="114" t="s">
        <v>3184</v>
      </c>
      <c r="Q872" s="15" t="s">
        <v>19</v>
      </c>
      <c r="R872" s="78"/>
      <c r="S872" s="198"/>
      <c r="T872" s="147"/>
      <c r="U872" s="21"/>
      <c r="V872" s="148"/>
      <c r="W872" s="116"/>
      <c r="X872" s="267"/>
      <c r="Y872" s="267"/>
      <c r="Z872" s="267"/>
      <c r="AA872" s="267">
        <f>SUM(X872:Z873)</f>
        <v>0</v>
      </c>
      <c r="AB872" s="246"/>
    </row>
    <row r="873" spans="1:28" ht="17.100000000000001" customHeight="1" thickBot="1">
      <c r="A873" s="227"/>
      <c r="B873" s="14" t="s">
        <v>3185</v>
      </c>
      <c r="C873" s="81"/>
      <c r="D873" s="27" t="s">
        <v>2068</v>
      </c>
      <c r="E873" s="264"/>
      <c r="F873" s="137" t="s">
        <v>3186</v>
      </c>
      <c r="G873" s="59"/>
      <c r="H873" s="231"/>
      <c r="I873" s="250"/>
      <c r="J873" s="221"/>
      <c r="K873" s="221"/>
      <c r="L873" s="221"/>
      <c r="M873" s="221"/>
      <c r="N873" s="221"/>
      <c r="O873" s="225"/>
      <c r="P873" s="122" t="s">
        <v>3187</v>
      </c>
      <c r="Q873" s="16" t="s">
        <v>20</v>
      </c>
      <c r="R873" s="80"/>
      <c r="S873" s="199"/>
      <c r="T873" s="140"/>
      <c r="U873" s="22" t="s">
        <v>2210</v>
      </c>
      <c r="V873" s="141"/>
      <c r="W873" s="122"/>
      <c r="X873" s="258"/>
      <c r="Y873" s="258"/>
      <c r="Z873" s="258"/>
      <c r="AA873" s="258"/>
      <c r="AB873" s="247"/>
    </row>
    <row r="874" spans="1:28" ht="17.100000000000001" customHeight="1" thickTop="1">
      <c r="A874" s="226" t="s">
        <v>6068</v>
      </c>
      <c r="B874" s="54">
        <v>44896</v>
      </c>
      <c r="C874" s="77"/>
      <c r="D874" s="30" t="s">
        <v>3188</v>
      </c>
      <c r="E874" s="263"/>
      <c r="F874" s="142" t="s">
        <v>3189</v>
      </c>
      <c r="G874" s="52" t="s">
        <v>1687</v>
      </c>
      <c r="H874" s="230"/>
      <c r="I874" s="249">
        <v>2000000</v>
      </c>
      <c r="J874" s="220"/>
      <c r="K874" s="220"/>
      <c r="L874" s="220"/>
      <c r="M874" s="220"/>
      <c r="N874" s="220">
        <f>SUM(I874:M875)</f>
        <v>2000000</v>
      </c>
      <c r="O874" s="224"/>
      <c r="P874" s="114" t="s">
        <v>3190</v>
      </c>
      <c r="Q874" s="15" t="s">
        <v>19</v>
      </c>
      <c r="R874" s="78"/>
      <c r="S874" s="198"/>
      <c r="T874" s="147"/>
      <c r="U874" s="21"/>
      <c r="V874" s="148"/>
      <c r="W874" s="116"/>
      <c r="X874" s="267"/>
      <c r="Y874" s="267"/>
      <c r="Z874" s="267"/>
      <c r="AA874" s="267">
        <f>SUM(X874:Z875)</f>
        <v>0</v>
      </c>
      <c r="AB874" s="246"/>
    </row>
    <row r="875" spans="1:28" ht="17.100000000000001" customHeight="1" thickBot="1">
      <c r="A875" s="227"/>
      <c r="B875" s="14" t="s">
        <v>3191</v>
      </c>
      <c r="C875" s="81"/>
      <c r="D875" s="58"/>
      <c r="E875" s="264"/>
      <c r="F875" s="137" t="s">
        <v>3192</v>
      </c>
      <c r="G875" s="59"/>
      <c r="H875" s="231"/>
      <c r="I875" s="250"/>
      <c r="J875" s="221"/>
      <c r="K875" s="221"/>
      <c r="L875" s="221"/>
      <c r="M875" s="221"/>
      <c r="N875" s="221"/>
      <c r="O875" s="225"/>
      <c r="P875" s="122" t="s">
        <v>3193</v>
      </c>
      <c r="Q875" s="16" t="s">
        <v>20</v>
      </c>
      <c r="R875" s="80"/>
      <c r="S875" s="199"/>
      <c r="T875" s="140"/>
      <c r="U875" s="22" t="s">
        <v>2299</v>
      </c>
      <c r="V875" s="141"/>
      <c r="W875" s="122"/>
      <c r="X875" s="258"/>
      <c r="Y875" s="258"/>
      <c r="Z875" s="258"/>
      <c r="AA875" s="258"/>
      <c r="AB875" s="247"/>
    </row>
    <row r="876" spans="1:28" ht="17.100000000000001" customHeight="1" thickTop="1">
      <c r="A876" s="226" t="s">
        <v>6069</v>
      </c>
      <c r="B876" s="54">
        <v>44918</v>
      </c>
      <c r="C876" s="77"/>
      <c r="D876" s="30" t="s">
        <v>3194</v>
      </c>
      <c r="E876" s="276" t="s">
        <v>164</v>
      </c>
      <c r="F876" s="142" t="s">
        <v>3195</v>
      </c>
      <c r="G876" s="52" t="s">
        <v>2953</v>
      </c>
      <c r="H876" s="230"/>
      <c r="I876" s="249">
        <v>1700000</v>
      </c>
      <c r="J876" s="220"/>
      <c r="K876" s="220"/>
      <c r="L876" s="220"/>
      <c r="M876" s="220"/>
      <c r="N876" s="220">
        <f>SUM(I876:M877)</f>
        <v>1700000</v>
      </c>
      <c r="O876" s="224"/>
      <c r="P876" s="114" t="s">
        <v>3196</v>
      </c>
      <c r="Q876" s="15" t="s">
        <v>19</v>
      </c>
      <c r="R876" s="78"/>
      <c r="S876" s="198"/>
      <c r="T876" s="147"/>
      <c r="U876" s="21"/>
      <c r="V876" s="148"/>
      <c r="W876" s="116"/>
      <c r="X876" s="267"/>
      <c r="Y876" s="267"/>
      <c r="Z876" s="267"/>
      <c r="AA876" s="267">
        <f>SUM(X876:Z877)</f>
        <v>0</v>
      </c>
      <c r="AB876" s="246"/>
    </row>
    <row r="877" spans="1:28" ht="17.100000000000001" customHeight="1" thickBot="1">
      <c r="A877" s="227"/>
      <c r="B877" s="14" t="s">
        <v>3197</v>
      </c>
      <c r="C877" s="81"/>
      <c r="D877" s="27" t="s">
        <v>1866</v>
      </c>
      <c r="E877" s="264"/>
      <c r="F877" s="137" t="s">
        <v>3198</v>
      </c>
      <c r="G877" s="59"/>
      <c r="H877" s="231"/>
      <c r="I877" s="250"/>
      <c r="J877" s="221"/>
      <c r="K877" s="221"/>
      <c r="L877" s="221"/>
      <c r="M877" s="221"/>
      <c r="N877" s="221"/>
      <c r="O877" s="225"/>
      <c r="P877" s="122" t="s">
        <v>3199</v>
      </c>
      <c r="Q877" s="16" t="s">
        <v>20</v>
      </c>
      <c r="R877" s="80"/>
      <c r="S877" s="199"/>
      <c r="T877" s="140"/>
      <c r="U877" s="22"/>
      <c r="V877" s="141"/>
      <c r="W877" s="122"/>
      <c r="X877" s="258"/>
      <c r="Y877" s="258"/>
      <c r="Z877" s="258"/>
      <c r="AA877" s="258"/>
      <c r="AB877" s="247"/>
    </row>
    <row r="878" spans="1:28" ht="17.100000000000001" customHeight="1" thickTop="1">
      <c r="A878" s="226" t="s">
        <v>6070</v>
      </c>
      <c r="B878" s="54">
        <v>44925</v>
      </c>
      <c r="C878" s="77"/>
      <c r="D878" s="30" t="s">
        <v>3174</v>
      </c>
      <c r="E878" s="263"/>
      <c r="F878" s="142" t="s">
        <v>3200</v>
      </c>
      <c r="G878" s="52" t="s">
        <v>2065</v>
      </c>
      <c r="H878" s="230"/>
      <c r="I878" s="249">
        <v>5000000</v>
      </c>
      <c r="J878" s="220"/>
      <c r="K878" s="220"/>
      <c r="L878" s="220"/>
      <c r="M878" s="220"/>
      <c r="N878" s="220">
        <f>SUM(I878:M879)</f>
        <v>5000000</v>
      </c>
      <c r="O878" s="224"/>
      <c r="P878" s="114" t="s">
        <v>3201</v>
      </c>
      <c r="Q878" s="15" t="s">
        <v>19</v>
      </c>
      <c r="R878" s="78"/>
      <c r="S878" s="198"/>
      <c r="T878" s="147"/>
      <c r="U878" s="21"/>
      <c r="V878" s="148"/>
      <c r="W878" s="116"/>
      <c r="X878" s="267"/>
      <c r="Y878" s="267"/>
      <c r="Z878" s="267"/>
      <c r="AA878" s="267">
        <f>SUM(X878:Z879)</f>
        <v>0</v>
      </c>
      <c r="AB878" s="246"/>
    </row>
    <row r="879" spans="1:28" ht="17.100000000000001" customHeight="1" thickBot="1">
      <c r="A879" s="227"/>
      <c r="B879" s="14" t="s">
        <v>3202</v>
      </c>
      <c r="C879" s="81"/>
      <c r="D879" s="27" t="s">
        <v>1584</v>
      </c>
      <c r="E879" s="264"/>
      <c r="F879" s="137" t="s">
        <v>3203</v>
      </c>
      <c r="G879" s="59"/>
      <c r="H879" s="231"/>
      <c r="I879" s="250"/>
      <c r="J879" s="221"/>
      <c r="K879" s="221"/>
      <c r="L879" s="221"/>
      <c r="M879" s="221"/>
      <c r="N879" s="221"/>
      <c r="O879" s="225"/>
      <c r="P879" s="122" t="s">
        <v>3204</v>
      </c>
      <c r="Q879" s="16" t="s">
        <v>20</v>
      </c>
      <c r="R879" s="80"/>
      <c r="S879" s="199"/>
      <c r="T879" s="140"/>
      <c r="U879" s="22" t="s">
        <v>1511</v>
      </c>
      <c r="V879" s="141"/>
      <c r="W879" s="122"/>
      <c r="X879" s="258"/>
      <c r="Y879" s="258"/>
      <c r="Z879" s="258"/>
      <c r="AA879" s="258"/>
      <c r="AB879" s="247"/>
    </row>
    <row r="880" spans="1:28" ht="17.100000000000001" customHeight="1" thickTop="1">
      <c r="A880" s="226" t="s">
        <v>6071</v>
      </c>
      <c r="B880" s="54">
        <v>45004</v>
      </c>
      <c r="C880" s="77"/>
      <c r="D880" s="30" t="s">
        <v>3174</v>
      </c>
      <c r="E880" s="263"/>
      <c r="F880" s="142" t="s">
        <v>3205</v>
      </c>
      <c r="G880" s="52" t="s">
        <v>1973</v>
      </c>
      <c r="H880" s="230"/>
      <c r="I880" s="249">
        <v>3200000</v>
      </c>
      <c r="J880" s="220"/>
      <c r="K880" s="220"/>
      <c r="L880" s="220"/>
      <c r="M880" s="220"/>
      <c r="N880" s="220">
        <f>SUM(I880:M881)</f>
        <v>3200000</v>
      </c>
      <c r="O880" s="224"/>
      <c r="P880" s="114" t="s">
        <v>3206</v>
      </c>
      <c r="Q880" s="15" t="s">
        <v>19</v>
      </c>
      <c r="R880" s="78"/>
      <c r="S880" s="198"/>
      <c r="T880" s="147"/>
      <c r="U880" s="21"/>
      <c r="V880" s="148"/>
      <c r="W880" s="116"/>
      <c r="X880" s="267"/>
      <c r="Y880" s="267"/>
      <c r="Z880" s="267"/>
      <c r="AA880" s="267">
        <f>SUM(X880:Z881)</f>
        <v>0</v>
      </c>
      <c r="AB880" s="246"/>
    </row>
    <row r="881" spans="1:28" ht="17.100000000000001" customHeight="1" thickBot="1">
      <c r="A881" s="227"/>
      <c r="B881" s="14" t="s">
        <v>3207</v>
      </c>
      <c r="C881" s="81"/>
      <c r="D881" s="27" t="s">
        <v>1584</v>
      </c>
      <c r="E881" s="264"/>
      <c r="F881" s="137" t="s">
        <v>3208</v>
      </c>
      <c r="G881" s="59"/>
      <c r="H881" s="231"/>
      <c r="I881" s="250"/>
      <c r="J881" s="221"/>
      <c r="K881" s="221"/>
      <c r="L881" s="221"/>
      <c r="M881" s="221"/>
      <c r="N881" s="221"/>
      <c r="O881" s="225"/>
      <c r="P881" s="122" t="s">
        <v>3209</v>
      </c>
      <c r="Q881" s="16" t="s">
        <v>20</v>
      </c>
      <c r="R881" s="80"/>
      <c r="S881" s="199"/>
      <c r="T881" s="140"/>
      <c r="U881" s="22" t="s">
        <v>1732</v>
      </c>
      <c r="V881" s="141"/>
      <c r="W881" s="122"/>
      <c r="X881" s="258"/>
      <c r="Y881" s="258"/>
      <c r="Z881" s="258"/>
      <c r="AA881" s="258"/>
      <c r="AB881" s="247"/>
    </row>
    <row r="882" spans="1:28" ht="17.100000000000001" customHeight="1" thickTop="1">
      <c r="A882" s="226" t="s">
        <v>6072</v>
      </c>
      <c r="B882" s="54">
        <v>45147</v>
      </c>
      <c r="C882" s="77"/>
      <c r="D882" s="30" t="s">
        <v>3210</v>
      </c>
      <c r="E882" s="263"/>
      <c r="F882" s="142" t="s">
        <v>3211</v>
      </c>
      <c r="G882" s="52" t="s">
        <v>2652</v>
      </c>
      <c r="H882" s="230"/>
      <c r="I882" s="249">
        <v>2500000</v>
      </c>
      <c r="J882" s="220"/>
      <c r="K882" s="220"/>
      <c r="L882" s="220"/>
      <c r="M882" s="220"/>
      <c r="N882" s="220">
        <f>SUM(I882:M883)</f>
        <v>2500000</v>
      </c>
      <c r="O882" s="224"/>
      <c r="P882" s="114" t="s">
        <v>3212</v>
      </c>
      <c r="Q882" s="15" t="s">
        <v>19</v>
      </c>
      <c r="R882" s="78"/>
      <c r="S882" s="198"/>
      <c r="T882" s="147"/>
      <c r="U882" s="21"/>
      <c r="V882" s="148"/>
      <c r="W882" s="116"/>
      <c r="X882" s="267"/>
      <c r="Y882" s="267"/>
      <c r="Z882" s="267"/>
      <c r="AA882" s="267">
        <f>SUM(X882:Z883)</f>
        <v>0</v>
      </c>
      <c r="AB882" s="246"/>
    </row>
    <row r="883" spans="1:28" ht="17.100000000000001" customHeight="1" thickBot="1">
      <c r="A883" s="227"/>
      <c r="B883" s="14" t="s">
        <v>3213</v>
      </c>
      <c r="C883" s="81"/>
      <c r="D883" s="58"/>
      <c r="E883" s="264"/>
      <c r="F883" s="137" t="s">
        <v>3214</v>
      </c>
      <c r="G883" s="59"/>
      <c r="H883" s="231"/>
      <c r="I883" s="250"/>
      <c r="J883" s="221"/>
      <c r="K883" s="221"/>
      <c r="L883" s="221"/>
      <c r="M883" s="221"/>
      <c r="N883" s="221"/>
      <c r="O883" s="225"/>
      <c r="P883" s="122" t="s">
        <v>3215</v>
      </c>
      <c r="Q883" s="16" t="s">
        <v>20</v>
      </c>
      <c r="R883" s="80"/>
      <c r="S883" s="199"/>
      <c r="T883" s="140"/>
      <c r="U883" s="22" t="s">
        <v>3216</v>
      </c>
      <c r="V883" s="141"/>
      <c r="W883" s="122"/>
      <c r="X883" s="258"/>
      <c r="Y883" s="258"/>
      <c r="Z883" s="258"/>
      <c r="AA883" s="258"/>
      <c r="AB883" s="247"/>
    </row>
    <row r="884" spans="1:28" ht="17.100000000000001" customHeight="1" thickTop="1">
      <c r="A884" s="226" t="s">
        <v>6073</v>
      </c>
      <c r="B884" s="54">
        <v>43220</v>
      </c>
      <c r="C884" s="77"/>
      <c r="D884" s="56" t="s">
        <v>3044</v>
      </c>
      <c r="E884" s="276"/>
      <c r="F884" s="142" t="s">
        <v>3217</v>
      </c>
      <c r="G884" s="57" t="s">
        <v>1261</v>
      </c>
      <c r="H884" s="230"/>
      <c r="I884" s="249">
        <v>1112790</v>
      </c>
      <c r="J884" s="220"/>
      <c r="K884" s="220"/>
      <c r="L884" s="220"/>
      <c r="M884" s="220"/>
      <c r="N884" s="265">
        <f>SUM(I884:M885)</f>
        <v>1112790</v>
      </c>
      <c r="O884" s="224"/>
      <c r="P884" s="143" t="s">
        <v>3218</v>
      </c>
      <c r="Q884" s="15" t="s">
        <v>19</v>
      </c>
      <c r="R884" s="78"/>
      <c r="S884" s="139"/>
      <c r="T884" s="114" t="s">
        <v>3219</v>
      </c>
      <c r="U884" s="21"/>
      <c r="V884" s="144"/>
      <c r="W884" s="116"/>
      <c r="X884" s="267"/>
      <c r="Y884" s="267"/>
      <c r="Z884" s="267"/>
      <c r="AA884" s="268">
        <f>SUM(X884:Z885)</f>
        <v>0</v>
      </c>
      <c r="AB884" s="277"/>
    </row>
    <row r="885" spans="1:28" ht="17.100000000000001" customHeight="1" thickBot="1">
      <c r="A885" s="227"/>
      <c r="B885" s="58" t="s">
        <v>3220</v>
      </c>
      <c r="C885" s="79"/>
      <c r="D885" s="27" t="s">
        <v>3221</v>
      </c>
      <c r="E885" s="264"/>
      <c r="F885" s="137" t="s">
        <v>3222</v>
      </c>
      <c r="G885" s="59">
        <v>42386</v>
      </c>
      <c r="H885" s="231"/>
      <c r="I885" s="250"/>
      <c r="J885" s="221"/>
      <c r="K885" s="221"/>
      <c r="L885" s="221"/>
      <c r="M885" s="221"/>
      <c r="N885" s="266"/>
      <c r="O885" s="225"/>
      <c r="P885" s="58" t="s">
        <v>3223</v>
      </c>
      <c r="Q885" s="16" t="s">
        <v>20</v>
      </c>
      <c r="R885" s="80"/>
      <c r="S885" s="121" t="s">
        <v>3224</v>
      </c>
      <c r="T885" s="122" t="s">
        <v>3225</v>
      </c>
      <c r="U885" s="22"/>
      <c r="V885" s="138"/>
      <c r="W885" s="122"/>
      <c r="X885" s="258"/>
      <c r="Y885" s="258"/>
      <c r="Z885" s="258"/>
      <c r="AA885" s="269"/>
      <c r="AB885" s="278"/>
    </row>
    <row r="886" spans="1:28" ht="17.100000000000001" customHeight="1" thickTop="1">
      <c r="A886" s="226" t="s">
        <v>6074</v>
      </c>
      <c r="B886" s="28">
        <v>45568</v>
      </c>
      <c r="C886" s="25">
        <v>2079</v>
      </c>
      <c r="D886" s="13" t="s">
        <v>2422</v>
      </c>
      <c r="E886" s="228"/>
      <c r="F886" s="109" t="s">
        <v>3226</v>
      </c>
      <c r="G886" s="24" t="s">
        <v>2379</v>
      </c>
      <c r="H886" s="230">
        <v>4</v>
      </c>
      <c r="I886" s="220">
        <v>777000</v>
      </c>
      <c r="J886" s="220">
        <f>I886*0.1</f>
        <v>77700</v>
      </c>
      <c r="K886" s="220">
        <v>0</v>
      </c>
      <c r="L886" s="220">
        <v>8680</v>
      </c>
      <c r="M886" s="220">
        <v>13750</v>
      </c>
      <c r="N886" s="220">
        <f>SUM(I886:M887)</f>
        <v>877130</v>
      </c>
      <c r="O886" s="224"/>
      <c r="P886" s="110" t="s">
        <v>3227</v>
      </c>
      <c r="Q886" s="15" t="s">
        <v>19</v>
      </c>
      <c r="R886" s="205"/>
      <c r="S886" s="189" t="s">
        <v>25413</v>
      </c>
      <c r="T886" s="114"/>
      <c r="U886" s="21"/>
      <c r="V886" s="115"/>
      <c r="W886" s="116"/>
      <c r="X886" s="220"/>
      <c r="Y886" s="245">
        <f>X886*0.1</f>
        <v>0</v>
      </c>
      <c r="Z886" s="220"/>
      <c r="AA886" s="220">
        <f>SUM(X886:Z886)</f>
        <v>0</v>
      </c>
      <c r="AB886" s="222"/>
    </row>
    <row r="887" spans="1:28" ht="17.100000000000001" customHeight="1" thickBot="1">
      <c r="A887" s="227"/>
      <c r="B887" s="27" t="s">
        <v>3228</v>
      </c>
      <c r="C887" s="27">
        <v>2592</v>
      </c>
      <c r="D887" s="14" t="s">
        <v>2014</v>
      </c>
      <c r="E887" s="229"/>
      <c r="F887" s="117" t="s">
        <v>3229</v>
      </c>
      <c r="G887" s="26">
        <v>53030</v>
      </c>
      <c r="H887" s="231"/>
      <c r="I887" s="221"/>
      <c r="J887" s="221"/>
      <c r="K887" s="221"/>
      <c r="L887" s="221"/>
      <c r="M887" s="221"/>
      <c r="N887" s="221"/>
      <c r="O887" s="225"/>
      <c r="P887" s="118" t="s">
        <v>3230</v>
      </c>
      <c r="Q887" s="16" t="s">
        <v>20</v>
      </c>
      <c r="R887" s="17" t="s">
        <v>2562</v>
      </c>
      <c r="S887" s="121" t="s">
        <v>3231</v>
      </c>
      <c r="T887" s="122" t="s">
        <v>2936</v>
      </c>
      <c r="U887" s="22"/>
      <c r="V887" s="123"/>
      <c r="W887" s="122"/>
      <c r="X887" s="221"/>
      <c r="Y887" s="221"/>
      <c r="Z887" s="221"/>
      <c r="AA887" s="221"/>
      <c r="AB887" s="223"/>
    </row>
    <row r="888" spans="1:28" ht="17.100000000000001" customHeight="1" thickTop="1">
      <c r="A888" s="226" t="s">
        <v>6075</v>
      </c>
      <c r="B888" s="28">
        <v>45569</v>
      </c>
      <c r="C888" s="25">
        <v>2055</v>
      </c>
      <c r="D888" s="13" t="s">
        <v>2313</v>
      </c>
      <c r="E888" s="228" t="s">
        <v>164</v>
      </c>
      <c r="F888" s="109" t="s">
        <v>3232</v>
      </c>
      <c r="G888" s="24" t="s">
        <v>2696</v>
      </c>
      <c r="H888" s="230">
        <v>4.5</v>
      </c>
      <c r="I888" s="220">
        <v>3230000</v>
      </c>
      <c r="J888" s="220">
        <f>I888*0.1</f>
        <v>323000</v>
      </c>
      <c r="K888" s="220">
        <v>23320</v>
      </c>
      <c r="L888" s="220">
        <v>22420</v>
      </c>
      <c r="M888" s="220">
        <v>13200</v>
      </c>
      <c r="N888" s="220">
        <f>SUM(I888:M889)</f>
        <v>3611940</v>
      </c>
      <c r="O888" s="224"/>
      <c r="P888" s="110" t="s">
        <v>3233</v>
      </c>
      <c r="Q888" s="15" t="s">
        <v>19</v>
      </c>
      <c r="R888" s="205"/>
      <c r="S888" s="189" t="s">
        <v>758</v>
      </c>
      <c r="T888" s="114"/>
      <c r="U888" s="21" t="s">
        <v>3234</v>
      </c>
      <c r="V888" s="115">
        <v>46046</v>
      </c>
      <c r="W888" s="116">
        <v>1285</v>
      </c>
      <c r="X888" s="220">
        <v>2700000</v>
      </c>
      <c r="Y888" s="245">
        <f>X888*0.1</f>
        <v>270000</v>
      </c>
      <c r="Z888" s="220">
        <v>22420</v>
      </c>
      <c r="AA888" s="220">
        <f>SUM(X888:Z888)</f>
        <v>2992420</v>
      </c>
      <c r="AB888" s="222">
        <v>46049</v>
      </c>
    </row>
    <row r="889" spans="1:28" ht="17.100000000000001" customHeight="1" thickBot="1">
      <c r="A889" s="227"/>
      <c r="B889" s="27" t="s">
        <v>1536</v>
      </c>
      <c r="C889" s="27">
        <v>58206</v>
      </c>
      <c r="D889" s="14" t="s">
        <v>273</v>
      </c>
      <c r="E889" s="229"/>
      <c r="F889" s="117" t="s">
        <v>3235</v>
      </c>
      <c r="G889" s="26">
        <v>54774</v>
      </c>
      <c r="H889" s="231"/>
      <c r="I889" s="221"/>
      <c r="J889" s="221"/>
      <c r="K889" s="221"/>
      <c r="L889" s="221"/>
      <c r="M889" s="221"/>
      <c r="N889" s="221"/>
      <c r="O889" s="225"/>
      <c r="P889" s="118" t="s">
        <v>2287</v>
      </c>
      <c r="Q889" s="16" t="s">
        <v>20</v>
      </c>
      <c r="R889" s="17" t="s">
        <v>3236</v>
      </c>
      <c r="S889" s="121" t="s">
        <v>1731</v>
      </c>
      <c r="T889" s="122"/>
      <c r="U889" s="22"/>
      <c r="V889" s="123" t="s">
        <v>7160</v>
      </c>
      <c r="W889" s="122">
        <v>82231</v>
      </c>
      <c r="X889" s="221"/>
      <c r="Y889" s="221"/>
      <c r="Z889" s="221"/>
      <c r="AA889" s="221"/>
      <c r="AB889" s="223"/>
    </row>
    <row r="890" spans="1:28" ht="17.100000000000001" customHeight="1" thickTop="1">
      <c r="A890" s="226" t="s">
        <v>6076</v>
      </c>
      <c r="B890" s="28">
        <v>45569</v>
      </c>
      <c r="C890" s="25">
        <v>1126</v>
      </c>
      <c r="D890" s="13" t="s">
        <v>1778</v>
      </c>
      <c r="E890" s="228"/>
      <c r="F890" s="109" t="s">
        <v>3237</v>
      </c>
      <c r="G890" s="24" t="s">
        <v>3238</v>
      </c>
      <c r="H890" s="230">
        <v>4</v>
      </c>
      <c r="I890" s="220">
        <v>1265000</v>
      </c>
      <c r="J890" s="220">
        <f>I890*0.1</f>
        <v>126500</v>
      </c>
      <c r="K890" s="220">
        <v>18040</v>
      </c>
      <c r="L890" s="220">
        <v>17990</v>
      </c>
      <c r="M890" s="220">
        <v>13200</v>
      </c>
      <c r="N890" s="220">
        <f>SUM(I890:M891)</f>
        <v>1440730</v>
      </c>
      <c r="O890" s="224"/>
      <c r="P890" s="110" t="s">
        <v>3239</v>
      </c>
      <c r="Q890" s="15" t="s">
        <v>19</v>
      </c>
      <c r="R890" s="205"/>
      <c r="S890" s="189"/>
      <c r="T890" s="114"/>
      <c r="U890" s="21"/>
      <c r="V890" s="115"/>
      <c r="W890" s="116"/>
      <c r="X890" s="220"/>
      <c r="Y890" s="245">
        <f>X890*0.1</f>
        <v>0</v>
      </c>
      <c r="Z890" s="220"/>
      <c r="AA890" s="220">
        <f>SUM(X890:Z890)</f>
        <v>0</v>
      </c>
      <c r="AB890" s="222"/>
    </row>
    <row r="891" spans="1:28" ht="17.100000000000001" customHeight="1" thickBot="1">
      <c r="A891" s="227"/>
      <c r="B891" s="27" t="s">
        <v>1813</v>
      </c>
      <c r="C891" s="27">
        <v>88089</v>
      </c>
      <c r="D891" s="14" t="s">
        <v>1584</v>
      </c>
      <c r="E891" s="229"/>
      <c r="F891" s="117" t="s">
        <v>3240</v>
      </c>
      <c r="G891" s="26">
        <v>46597</v>
      </c>
      <c r="H891" s="231"/>
      <c r="I891" s="221"/>
      <c r="J891" s="221"/>
      <c r="K891" s="221"/>
      <c r="L891" s="221"/>
      <c r="M891" s="221"/>
      <c r="N891" s="221"/>
      <c r="O891" s="225"/>
      <c r="P891" s="118" t="s">
        <v>3241</v>
      </c>
      <c r="Q891" s="16" t="s">
        <v>20</v>
      </c>
      <c r="R891" s="17" t="s">
        <v>3242</v>
      </c>
      <c r="S891" s="121" t="s">
        <v>2236</v>
      </c>
      <c r="T891" s="122"/>
      <c r="U891" s="67" t="s">
        <v>922</v>
      </c>
      <c r="V891" s="123"/>
      <c r="W891" s="122"/>
      <c r="X891" s="221"/>
      <c r="Y891" s="221"/>
      <c r="Z891" s="221"/>
      <c r="AA891" s="221"/>
      <c r="AB891" s="223"/>
    </row>
    <row r="892" spans="1:28" ht="17.100000000000001" customHeight="1" thickTop="1">
      <c r="A892" s="226" t="s">
        <v>6077</v>
      </c>
      <c r="B892" s="28">
        <v>45572</v>
      </c>
      <c r="C892" s="25"/>
      <c r="D892" s="13" t="s">
        <v>3243</v>
      </c>
      <c r="E892" s="228"/>
      <c r="F892" s="109" t="s">
        <v>3244</v>
      </c>
      <c r="G892" s="24"/>
      <c r="H892" s="232" t="s">
        <v>1705</v>
      </c>
      <c r="I892" s="220">
        <v>1234000</v>
      </c>
      <c r="J892" s="220">
        <f>I892*0.1</f>
        <v>123400</v>
      </c>
      <c r="K892" s="220">
        <v>0</v>
      </c>
      <c r="L892" s="220">
        <v>17190</v>
      </c>
      <c r="M892" s="220">
        <v>15950</v>
      </c>
      <c r="N892" s="220">
        <f>SUM(I892:M893)</f>
        <v>1390540</v>
      </c>
      <c r="O892" s="224"/>
      <c r="P892" s="110" t="s">
        <v>3245</v>
      </c>
      <c r="Q892" s="15" t="s">
        <v>19</v>
      </c>
      <c r="R892" s="205"/>
      <c r="S892" s="189"/>
      <c r="T892" s="114"/>
      <c r="U892" s="21"/>
      <c r="V892" s="115">
        <v>46128</v>
      </c>
      <c r="W892" s="116">
        <v>1327</v>
      </c>
      <c r="X892" s="220">
        <v>1095000</v>
      </c>
      <c r="Y892" s="245">
        <f>X892*0.1</f>
        <v>109500</v>
      </c>
      <c r="Z892" s="220">
        <v>17190</v>
      </c>
      <c r="AA892" s="220">
        <f>SUM(X892:Z892)</f>
        <v>1221690</v>
      </c>
      <c r="AB892" s="222">
        <v>46129</v>
      </c>
    </row>
    <row r="893" spans="1:28" ht="17.100000000000001" customHeight="1" thickBot="1">
      <c r="A893" s="227"/>
      <c r="B893" s="27" t="s">
        <v>2496</v>
      </c>
      <c r="C893" s="27">
        <v>80319</v>
      </c>
      <c r="D893" s="14" t="s">
        <v>1584</v>
      </c>
      <c r="E893" s="229"/>
      <c r="F893" s="117" t="s">
        <v>3246</v>
      </c>
      <c r="G893" s="26">
        <v>48565</v>
      </c>
      <c r="H893" s="231"/>
      <c r="I893" s="221"/>
      <c r="J893" s="221"/>
      <c r="K893" s="221"/>
      <c r="L893" s="221"/>
      <c r="M893" s="221"/>
      <c r="N893" s="221"/>
      <c r="O893" s="225"/>
      <c r="P893" s="118" t="s">
        <v>3247</v>
      </c>
      <c r="Q893" s="16" t="s">
        <v>20</v>
      </c>
      <c r="R893" s="17" t="s">
        <v>1639</v>
      </c>
      <c r="S893" s="121" t="s">
        <v>3248</v>
      </c>
      <c r="T893" s="122"/>
      <c r="U893" s="22"/>
      <c r="V893" s="123" t="s">
        <v>22671</v>
      </c>
      <c r="W893" s="122">
        <v>542</v>
      </c>
      <c r="X893" s="221"/>
      <c r="Y893" s="221"/>
      <c r="Z893" s="221"/>
      <c r="AA893" s="221"/>
      <c r="AB893" s="223"/>
    </row>
    <row r="894" spans="1:28" ht="17.100000000000001" customHeight="1" thickTop="1">
      <c r="A894" s="226" t="s">
        <v>6078</v>
      </c>
      <c r="B894" s="28">
        <v>45572</v>
      </c>
      <c r="C894" s="25"/>
      <c r="D894" s="13" t="s">
        <v>1589</v>
      </c>
      <c r="E894" s="228"/>
      <c r="F894" s="109" t="s">
        <v>3249</v>
      </c>
      <c r="G894" s="24" t="s">
        <v>3250</v>
      </c>
      <c r="H894" s="230">
        <v>4.5</v>
      </c>
      <c r="I894" s="220">
        <v>1964000</v>
      </c>
      <c r="J894" s="220">
        <f>I894*0.1</f>
        <v>196400</v>
      </c>
      <c r="K894" s="220">
        <v>15730</v>
      </c>
      <c r="L894" s="220">
        <v>17600</v>
      </c>
      <c r="M894" s="220">
        <v>15950</v>
      </c>
      <c r="N894" s="220">
        <f>SUM(I894:M895)</f>
        <v>2209680</v>
      </c>
      <c r="O894" s="224"/>
      <c r="P894" s="110" t="s">
        <v>3251</v>
      </c>
      <c r="Q894" s="15" t="s">
        <v>19</v>
      </c>
      <c r="R894" s="205"/>
      <c r="S894" s="189"/>
      <c r="T894" s="114"/>
      <c r="U894" s="21" t="s">
        <v>3252</v>
      </c>
      <c r="V894" s="115"/>
      <c r="W894" s="116"/>
      <c r="X894" s="220"/>
      <c r="Y894" s="245">
        <f>X894*0.1</f>
        <v>0</v>
      </c>
      <c r="Z894" s="220"/>
      <c r="AA894" s="220">
        <f>SUM(X894:Z894)</f>
        <v>0</v>
      </c>
      <c r="AB894" s="222"/>
    </row>
    <row r="895" spans="1:28" ht="17.100000000000001" customHeight="1" thickBot="1">
      <c r="A895" s="227"/>
      <c r="B895" s="27" t="s">
        <v>3253</v>
      </c>
      <c r="C895" s="27">
        <v>60123</v>
      </c>
      <c r="D895" s="14" t="s">
        <v>2177</v>
      </c>
      <c r="E895" s="229"/>
      <c r="F895" s="117" t="s">
        <v>3254</v>
      </c>
      <c r="G895" s="26">
        <v>19077</v>
      </c>
      <c r="H895" s="231"/>
      <c r="I895" s="221"/>
      <c r="J895" s="221"/>
      <c r="K895" s="221"/>
      <c r="L895" s="221"/>
      <c r="M895" s="221"/>
      <c r="N895" s="221"/>
      <c r="O895" s="225"/>
      <c r="P895" s="118" t="s">
        <v>2898</v>
      </c>
      <c r="Q895" s="16" t="s">
        <v>20</v>
      </c>
      <c r="R895" s="17" t="s">
        <v>3255</v>
      </c>
      <c r="S895" s="121" t="s">
        <v>3256</v>
      </c>
      <c r="T895" s="122"/>
      <c r="U895" s="22"/>
      <c r="V895" s="123"/>
      <c r="W895" s="122"/>
      <c r="X895" s="221"/>
      <c r="Y895" s="221"/>
      <c r="Z895" s="221"/>
      <c r="AA895" s="221"/>
      <c r="AB895" s="223"/>
    </row>
    <row r="896" spans="1:28" ht="17.100000000000001" customHeight="1" thickTop="1">
      <c r="A896" s="226" t="s">
        <v>6079</v>
      </c>
      <c r="B896" s="28">
        <v>45572</v>
      </c>
      <c r="C896" s="25"/>
      <c r="D896" s="13" t="s">
        <v>3257</v>
      </c>
      <c r="E896" s="228"/>
      <c r="F896" s="109" t="s">
        <v>3258</v>
      </c>
      <c r="G896" s="24"/>
      <c r="H896" s="230"/>
      <c r="I896" s="220">
        <v>11000000</v>
      </c>
      <c r="J896" s="220">
        <v>0</v>
      </c>
      <c r="K896" s="220">
        <v>0</v>
      </c>
      <c r="L896" s="220">
        <v>0</v>
      </c>
      <c r="M896" s="220">
        <v>0</v>
      </c>
      <c r="N896" s="220">
        <f>SUM(I896:M897)</f>
        <v>11000000</v>
      </c>
      <c r="O896" s="224"/>
      <c r="P896" s="110" t="s">
        <v>3259</v>
      </c>
      <c r="Q896" s="15" t="s">
        <v>19</v>
      </c>
      <c r="R896" s="205"/>
      <c r="S896" s="189"/>
      <c r="T896" s="114"/>
      <c r="U896" s="21" t="s">
        <v>3260</v>
      </c>
      <c r="V896" s="115">
        <v>46081</v>
      </c>
      <c r="W896" s="116"/>
      <c r="X896" s="220">
        <v>12020700</v>
      </c>
      <c r="Y896" s="245">
        <v>0</v>
      </c>
      <c r="Z896" s="220">
        <v>0</v>
      </c>
      <c r="AA896" s="220">
        <f>SUM(X896:Z896)</f>
        <v>12020700</v>
      </c>
      <c r="AB896" s="222">
        <v>46084</v>
      </c>
    </row>
    <row r="897" spans="1:28" ht="17.100000000000001" customHeight="1" thickBot="1">
      <c r="A897" s="227"/>
      <c r="B897" s="27" t="s">
        <v>3261</v>
      </c>
      <c r="C897" s="27"/>
      <c r="D897" s="14" t="s">
        <v>1866</v>
      </c>
      <c r="E897" s="229"/>
      <c r="F897" s="117" t="s">
        <v>3262</v>
      </c>
      <c r="G897" s="26"/>
      <c r="H897" s="231"/>
      <c r="I897" s="221"/>
      <c r="J897" s="221"/>
      <c r="K897" s="221"/>
      <c r="L897" s="221"/>
      <c r="M897" s="221"/>
      <c r="N897" s="221"/>
      <c r="O897" s="225"/>
      <c r="P897" s="118" t="s">
        <v>3263</v>
      </c>
      <c r="Q897" s="16" t="s">
        <v>20</v>
      </c>
      <c r="R897" s="17" t="s">
        <v>3264</v>
      </c>
      <c r="S897" s="121" t="s">
        <v>1649</v>
      </c>
      <c r="T897" s="122"/>
      <c r="U897" s="22"/>
      <c r="V897" s="136" t="s">
        <v>23941</v>
      </c>
      <c r="W897" s="122"/>
      <c r="X897" s="221"/>
      <c r="Y897" s="221"/>
      <c r="Z897" s="221"/>
      <c r="AA897" s="221"/>
      <c r="AB897" s="223"/>
    </row>
    <row r="898" spans="1:28" ht="17.100000000000001" customHeight="1" thickTop="1">
      <c r="A898" s="226" t="s">
        <v>6080</v>
      </c>
      <c r="B898" s="28">
        <v>45575</v>
      </c>
      <c r="C898" s="25">
        <v>1487</v>
      </c>
      <c r="D898" s="13" t="s">
        <v>2167</v>
      </c>
      <c r="E898" s="228"/>
      <c r="F898" s="109" t="s">
        <v>2612</v>
      </c>
      <c r="G898" s="24" t="s">
        <v>3265</v>
      </c>
      <c r="H898" s="230">
        <v>4.5</v>
      </c>
      <c r="I898" s="220">
        <v>1650000</v>
      </c>
      <c r="J898" s="220">
        <f>I898*0.1</f>
        <v>165000</v>
      </c>
      <c r="K898" s="220">
        <v>18040</v>
      </c>
      <c r="L898" s="220">
        <v>17600</v>
      </c>
      <c r="M898" s="220">
        <v>24200</v>
      </c>
      <c r="N898" s="220">
        <f>SUM(I898:M899)</f>
        <v>1874840</v>
      </c>
      <c r="O898" s="224"/>
      <c r="P898" s="110" t="s">
        <v>3266</v>
      </c>
      <c r="Q898" s="15" t="s">
        <v>19</v>
      </c>
      <c r="R898" s="205"/>
      <c r="S898" s="189"/>
      <c r="T898" s="114"/>
      <c r="U898" s="21" t="s">
        <v>3267</v>
      </c>
      <c r="V898" s="115"/>
      <c r="W898" s="116"/>
      <c r="X898" s="220"/>
      <c r="Y898" s="245">
        <f>X898*0.1</f>
        <v>0</v>
      </c>
      <c r="Z898" s="220"/>
      <c r="AA898" s="220">
        <f>SUM(X898:Z898)</f>
        <v>0</v>
      </c>
      <c r="AB898" s="222"/>
    </row>
    <row r="899" spans="1:28" ht="17.100000000000001" customHeight="1" thickBot="1">
      <c r="A899" s="227"/>
      <c r="B899" s="27" t="s">
        <v>1592</v>
      </c>
      <c r="C899" s="27">
        <v>76245</v>
      </c>
      <c r="D899" s="14" t="s">
        <v>1568</v>
      </c>
      <c r="E899" s="229"/>
      <c r="F899" s="117" t="s">
        <v>3268</v>
      </c>
      <c r="G899" s="26">
        <v>46225</v>
      </c>
      <c r="H899" s="231"/>
      <c r="I899" s="221"/>
      <c r="J899" s="221"/>
      <c r="K899" s="221"/>
      <c r="L899" s="221"/>
      <c r="M899" s="221"/>
      <c r="N899" s="221"/>
      <c r="O899" s="225"/>
      <c r="P899" s="118" t="s">
        <v>2870</v>
      </c>
      <c r="Q899" s="16" t="s">
        <v>20</v>
      </c>
      <c r="R899" s="17" t="s">
        <v>1639</v>
      </c>
      <c r="S899" s="121" t="s">
        <v>1731</v>
      </c>
      <c r="T899" s="122"/>
      <c r="U899" s="22"/>
      <c r="V899" s="123"/>
      <c r="W899" s="122"/>
      <c r="X899" s="221"/>
      <c r="Y899" s="221"/>
      <c r="Z899" s="221"/>
      <c r="AA899" s="221"/>
      <c r="AB899" s="223"/>
    </row>
    <row r="900" spans="1:28" ht="17.100000000000001" customHeight="1" thickTop="1">
      <c r="A900" s="226" t="s">
        <v>6081</v>
      </c>
      <c r="B900" s="28">
        <v>45575</v>
      </c>
      <c r="C900" s="25">
        <v>1948</v>
      </c>
      <c r="D900" s="13" t="s">
        <v>3269</v>
      </c>
      <c r="E900" s="228"/>
      <c r="F900" s="109" t="s">
        <v>3270</v>
      </c>
      <c r="G900" s="24" t="s">
        <v>3271</v>
      </c>
      <c r="H900" s="230">
        <v>4</v>
      </c>
      <c r="I900" s="220">
        <v>1161000</v>
      </c>
      <c r="J900" s="220">
        <f>I900*0.1</f>
        <v>116100</v>
      </c>
      <c r="K900" s="220">
        <v>0</v>
      </c>
      <c r="L900" s="220">
        <v>8110</v>
      </c>
      <c r="M900" s="220">
        <v>22000</v>
      </c>
      <c r="N900" s="220">
        <f>SUM(I900:M901)</f>
        <v>1307210</v>
      </c>
      <c r="O900" s="224"/>
      <c r="P900" s="110" t="s">
        <v>3272</v>
      </c>
      <c r="Q900" s="15" t="s">
        <v>19</v>
      </c>
      <c r="R900" s="205"/>
      <c r="S900" s="189" t="s">
        <v>25417</v>
      </c>
      <c r="T900" s="114"/>
      <c r="U900" s="21" t="s">
        <v>3273</v>
      </c>
      <c r="V900" s="115">
        <v>45987</v>
      </c>
      <c r="W900" s="116">
        <v>994</v>
      </c>
      <c r="X900" s="220">
        <v>1035000</v>
      </c>
      <c r="Y900" s="245">
        <f>X900*0.1</f>
        <v>103500</v>
      </c>
      <c r="Z900" s="220">
        <v>8110</v>
      </c>
      <c r="AA900" s="220">
        <f>SUM(X900:Z900)</f>
        <v>1146610</v>
      </c>
      <c r="AB900" s="222">
        <v>45992</v>
      </c>
    </row>
    <row r="901" spans="1:28" ht="17.100000000000001" customHeight="1" thickBot="1">
      <c r="A901" s="227"/>
      <c r="B901" s="27" t="s">
        <v>2680</v>
      </c>
      <c r="C901" s="27">
        <v>50051</v>
      </c>
      <c r="D901" s="14" t="s">
        <v>3274</v>
      </c>
      <c r="E901" s="229"/>
      <c r="F901" s="117" t="s">
        <v>3275</v>
      </c>
      <c r="G901" s="26">
        <v>42580</v>
      </c>
      <c r="H901" s="231"/>
      <c r="I901" s="221"/>
      <c r="J901" s="221"/>
      <c r="K901" s="221"/>
      <c r="L901" s="221"/>
      <c r="M901" s="221"/>
      <c r="N901" s="221"/>
      <c r="O901" s="225"/>
      <c r="P901" s="118" t="s">
        <v>3276</v>
      </c>
      <c r="Q901" s="16" t="s">
        <v>20</v>
      </c>
      <c r="R901" s="17" t="s">
        <v>1639</v>
      </c>
      <c r="S901" s="121" t="s">
        <v>2360</v>
      </c>
      <c r="T901" s="122" t="s">
        <v>3277</v>
      </c>
      <c r="U901" s="22"/>
      <c r="V901" s="123" t="s">
        <v>11555</v>
      </c>
      <c r="W901" s="122">
        <v>2075</v>
      </c>
      <c r="X901" s="221"/>
      <c r="Y901" s="221"/>
      <c r="Z901" s="221"/>
      <c r="AA901" s="221"/>
      <c r="AB901" s="223"/>
    </row>
    <row r="902" spans="1:28" ht="17.100000000000001" customHeight="1" thickTop="1">
      <c r="A902" s="226" t="s">
        <v>6082</v>
      </c>
      <c r="B902" s="28">
        <v>45583</v>
      </c>
      <c r="C902" s="25">
        <v>1341</v>
      </c>
      <c r="D902" s="13" t="s">
        <v>2900</v>
      </c>
      <c r="E902" s="228"/>
      <c r="F902" s="109" t="s">
        <v>3278</v>
      </c>
      <c r="G902" s="24"/>
      <c r="H902" s="230">
        <v>4</v>
      </c>
      <c r="I902" s="220">
        <v>1084000</v>
      </c>
      <c r="J902" s="220">
        <f>I902*0.1</f>
        <v>108400</v>
      </c>
      <c r="K902" s="220">
        <v>0</v>
      </c>
      <c r="L902" s="220">
        <v>8140</v>
      </c>
      <c r="M902" s="220">
        <v>13200</v>
      </c>
      <c r="N902" s="220">
        <f>SUM(I902:M903)</f>
        <v>1213740</v>
      </c>
      <c r="O902" s="224"/>
      <c r="P902" s="110" t="s">
        <v>3279</v>
      </c>
      <c r="Q902" s="15" t="s">
        <v>19</v>
      </c>
      <c r="R902" s="205"/>
      <c r="S902" s="189" t="s">
        <v>1312</v>
      </c>
      <c r="T902" s="114"/>
      <c r="U902" s="21"/>
      <c r="V902" s="115">
        <v>45934</v>
      </c>
      <c r="W902" s="116">
        <v>1270</v>
      </c>
      <c r="X902" s="220">
        <v>965000</v>
      </c>
      <c r="Y902" s="245">
        <v>96500</v>
      </c>
      <c r="Z902" s="220">
        <v>8140</v>
      </c>
      <c r="AA902" s="220">
        <f>SUM(X902:Z902)</f>
        <v>1069640</v>
      </c>
      <c r="AB902" s="222">
        <v>45937</v>
      </c>
    </row>
    <row r="903" spans="1:28" ht="17.100000000000001" customHeight="1" thickBot="1">
      <c r="A903" s="227"/>
      <c r="B903" s="27" t="s">
        <v>2597</v>
      </c>
      <c r="C903" s="27">
        <v>3311</v>
      </c>
      <c r="D903" s="14" t="s">
        <v>2559</v>
      </c>
      <c r="E903" s="229"/>
      <c r="F903" s="117" t="s">
        <v>3280</v>
      </c>
      <c r="G903" s="26">
        <v>45645</v>
      </c>
      <c r="H903" s="231"/>
      <c r="I903" s="221"/>
      <c r="J903" s="221"/>
      <c r="K903" s="221"/>
      <c r="L903" s="221"/>
      <c r="M903" s="221"/>
      <c r="N903" s="221"/>
      <c r="O903" s="225"/>
      <c r="P903" s="118" t="s">
        <v>3281</v>
      </c>
      <c r="Q903" s="16" t="s">
        <v>20</v>
      </c>
      <c r="R903" s="17" t="s">
        <v>3282</v>
      </c>
      <c r="S903" s="121" t="s">
        <v>1606</v>
      </c>
      <c r="T903" s="122"/>
      <c r="U903" s="22"/>
      <c r="V903" s="123" t="s">
        <v>7160</v>
      </c>
      <c r="W903" s="122">
        <v>55032</v>
      </c>
      <c r="X903" s="221"/>
      <c r="Y903" s="221"/>
      <c r="Z903" s="221"/>
      <c r="AA903" s="221"/>
      <c r="AB903" s="223"/>
    </row>
    <row r="904" spans="1:28" ht="17.100000000000001" customHeight="1" thickTop="1">
      <c r="A904" s="226" t="s">
        <v>6083</v>
      </c>
      <c r="B904" s="28">
        <v>45584</v>
      </c>
      <c r="C904" s="25">
        <v>1223</v>
      </c>
      <c r="D904" s="13" t="s">
        <v>2150</v>
      </c>
      <c r="E904" s="228"/>
      <c r="F904" s="109" t="s">
        <v>3283</v>
      </c>
      <c r="G904" s="24" t="s">
        <v>3284</v>
      </c>
      <c r="H904" s="230">
        <v>4</v>
      </c>
      <c r="I904" s="220">
        <v>1125000</v>
      </c>
      <c r="J904" s="220">
        <f>I904*0.1</f>
        <v>112500</v>
      </c>
      <c r="K904" s="220">
        <v>18040</v>
      </c>
      <c r="L904" s="220">
        <v>22640</v>
      </c>
      <c r="M904" s="220">
        <v>13200</v>
      </c>
      <c r="N904" s="220">
        <f>SUM(I904:M905)</f>
        <v>1291380</v>
      </c>
      <c r="O904" s="224"/>
      <c r="P904" s="110" t="s">
        <v>3285</v>
      </c>
      <c r="Q904" s="15" t="s">
        <v>19</v>
      </c>
      <c r="R904" s="205"/>
      <c r="S904" s="189" t="s">
        <v>1271</v>
      </c>
      <c r="T904" s="114"/>
      <c r="U904" s="21"/>
      <c r="V904" s="115"/>
      <c r="W904" s="116"/>
      <c r="X904" s="220"/>
      <c r="Y904" s="245">
        <f>X904*0.1</f>
        <v>0</v>
      </c>
      <c r="Z904" s="220"/>
      <c r="AA904" s="220">
        <f>SUM(X904:Z904)</f>
        <v>0</v>
      </c>
      <c r="AB904" s="222"/>
    </row>
    <row r="905" spans="1:28" ht="17.100000000000001" customHeight="1" thickBot="1">
      <c r="A905" s="227"/>
      <c r="B905" s="27" t="s">
        <v>2472</v>
      </c>
      <c r="C905" s="27">
        <v>82362</v>
      </c>
      <c r="D905" s="14" t="s">
        <v>2177</v>
      </c>
      <c r="E905" s="229"/>
      <c r="F905" s="117" t="s">
        <v>3286</v>
      </c>
      <c r="G905" s="26">
        <v>44049</v>
      </c>
      <c r="H905" s="231"/>
      <c r="I905" s="221"/>
      <c r="J905" s="221"/>
      <c r="K905" s="221"/>
      <c r="L905" s="221"/>
      <c r="M905" s="221"/>
      <c r="N905" s="221"/>
      <c r="O905" s="225"/>
      <c r="P905" s="118" t="s">
        <v>3287</v>
      </c>
      <c r="Q905" s="16" t="s">
        <v>20</v>
      </c>
      <c r="R905" s="17" t="s">
        <v>3288</v>
      </c>
      <c r="S905" s="121" t="s">
        <v>3289</v>
      </c>
      <c r="T905" s="122"/>
      <c r="U905" s="67" t="s">
        <v>901</v>
      </c>
      <c r="V905" s="123"/>
      <c r="W905" s="122"/>
      <c r="X905" s="221"/>
      <c r="Y905" s="221"/>
      <c r="Z905" s="221"/>
      <c r="AA905" s="221"/>
      <c r="AB905" s="223"/>
    </row>
    <row r="906" spans="1:28" ht="17.100000000000001" customHeight="1" thickTop="1">
      <c r="A906" s="226" t="s">
        <v>6084</v>
      </c>
      <c r="B906" s="28">
        <v>45585</v>
      </c>
      <c r="C906" s="25"/>
      <c r="D906" s="13" t="s">
        <v>3290</v>
      </c>
      <c r="E906" s="228"/>
      <c r="F906" s="109" t="s">
        <v>3291</v>
      </c>
      <c r="G906" s="24" t="s">
        <v>2195</v>
      </c>
      <c r="H906" s="230"/>
      <c r="I906" s="220">
        <v>3150000</v>
      </c>
      <c r="J906" s="220">
        <v>0</v>
      </c>
      <c r="K906" s="220">
        <v>0</v>
      </c>
      <c r="L906" s="220">
        <v>0</v>
      </c>
      <c r="M906" s="220">
        <v>0</v>
      </c>
      <c r="N906" s="220">
        <f>SUM(I906:M907)</f>
        <v>3150000</v>
      </c>
      <c r="O906" s="224"/>
      <c r="P906" s="110" t="s">
        <v>3292</v>
      </c>
      <c r="Q906" s="15" t="s">
        <v>19</v>
      </c>
      <c r="R906" s="205"/>
      <c r="S906" s="189"/>
      <c r="T906" s="114"/>
      <c r="U906" s="21"/>
      <c r="V906" s="115"/>
      <c r="W906" s="116"/>
      <c r="X906" s="220"/>
      <c r="Y906" s="245">
        <f>X906*0.1</f>
        <v>0</v>
      </c>
      <c r="Z906" s="220"/>
      <c r="AA906" s="220">
        <f>SUM(X906:Z906)</f>
        <v>0</v>
      </c>
      <c r="AB906" s="222"/>
    </row>
    <row r="907" spans="1:28" ht="17.100000000000001" customHeight="1" thickBot="1">
      <c r="A907" s="227"/>
      <c r="B907" s="27" t="s">
        <v>3293</v>
      </c>
      <c r="C907" s="27"/>
      <c r="D907" s="14" t="s">
        <v>1584</v>
      </c>
      <c r="E907" s="229"/>
      <c r="F907" s="117" t="s">
        <v>3294</v>
      </c>
      <c r="G907" s="26">
        <v>30922</v>
      </c>
      <c r="H907" s="231"/>
      <c r="I907" s="221"/>
      <c r="J907" s="221"/>
      <c r="K907" s="221"/>
      <c r="L907" s="221"/>
      <c r="M907" s="221"/>
      <c r="N907" s="221"/>
      <c r="O907" s="225"/>
      <c r="P907" s="118" t="s">
        <v>2918</v>
      </c>
      <c r="Q907" s="16" t="s">
        <v>20</v>
      </c>
      <c r="R907" s="17" t="s">
        <v>3295</v>
      </c>
      <c r="S907" s="121" t="s">
        <v>1731</v>
      </c>
      <c r="T907" s="122"/>
      <c r="U907" s="67" t="s">
        <v>901</v>
      </c>
      <c r="V907" s="123"/>
      <c r="W907" s="122"/>
      <c r="X907" s="221"/>
      <c r="Y907" s="221"/>
      <c r="Z907" s="221"/>
      <c r="AA907" s="221"/>
      <c r="AB907" s="223"/>
    </row>
    <row r="908" spans="1:28" ht="17.100000000000001" customHeight="1" thickTop="1">
      <c r="A908" s="226" t="s">
        <v>6085</v>
      </c>
      <c r="B908" s="28">
        <v>45586</v>
      </c>
      <c r="C908" s="25">
        <v>2016</v>
      </c>
      <c r="D908" s="13" t="s">
        <v>2129</v>
      </c>
      <c r="E908" s="228" t="s">
        <v>164</v>
      </c>
      <c r="F908" s="109" t="s">
        <v>3296</v>
      </c>
      <c r="G908" s="24" t="s">
        <v>3297</v>
      </c>
      <c r="H908" s="230">
        <v>3.5</v>
      </c>
      <c r="I908" s="220">
        <v>1190000</v>
      </c>
      <c r="J908" s="220">
        <f>I908*0.1</f>
        <v>119000</v>
      </c>
      <c r="K908" s="220">
        <f>6600+660</f>
        <v>7260</v>
      </c>
      <c r="L908" s="220">
        <v>10430</v>
      </c>
      <c r="M908" s="220">
        <v>9900</v>
      </c>
      <c r="N908" s="220">
        <f>SUM(I908:M909)</f>
        <v>1336590</v>
      </c>
      <c r="O908" s="224"/>
      <c r="P908" s="110" t="s">
        <v>3298</v>
      </c>
      <c r="Q908" s="15" t="s">
        <v>19</v>
      </c>
      <c r="R908" s="205"/>
      <c r="S908" s="189" t="s">
        <v>1361</v>
      </c>
      <c r="T908" s="114"/>
      <c r="U908" s="21" t="s">
        <v>3299</v>
      </c>
      <c r="V908" s="115">
        <v>45976</v>
      </c>
      <c r="W908" s="116">
        <v>1276</v>
      </c>
      <c r="X908" s="220">
        <v>1465000</v>
      </c>
      <c r="Y908" s="245">
        <f>X908*0.1</f>
        <v>146500</v>
      </c>
      <c r="Z908" s="220">
        <v>10430</v>
      </c>
      <c r="AA908" s="220">
        <f>SUM(X908:Z908)</f>
        <v>1621930</v>
      </c>
      <c r="AB908" s="222">
        <v>45979</v>
      </c>
    </row>
    <row r="909" spans="1:28" ht="17.100000000000001" customHeight="1" thickBot="1">
      <c r="A909" s="227"/>
      <c r="B909" s="27" t="s">
        <v>82</v>
      </c>
      <c r="C909" s="27">
        <v>14154</v>
      </c>
      <c r="D909" s="14" t="s">
        <v>273</v>
      </c>
      <c r="E909" s="229"/>
      <c r="F909" s="117" t="s">
        <v>3300</v>
      </c>
      <c r="G909" s="26">
        <v>113261</v>
      </c>
      <c r="H909" s="231"/>
      <c r="I909" s="221"/>
      <c r="J909" s="221"/>
      <c r="K909" s="221"/>
      <c r="L909" s="221"/>
      <c r="M909" s="221"/>
      <c r="N909" s="221"/>
      <c r="O909" s="225"/>
      <c r="P909" s="118" t="s">
        <v>3301</v>
      </c>
      <c r="Q909" s="16" t="s">
        <v>20</v>
      </c>
      <c r="R909" s="17" t="s">
        <v>3288</v>
      </c>
      <c r="S909" s="121" t="s">
        <v>3302</v>
      </c>
      <c r="T909" s="122"/>
      <c r="U909" s="22"/>
      <c r="V909" s="123" t="s">
        <v>10781</v>
      </c>
      <c r="W909" s="122">
        <v>40082</v>
      </c>
      <c r="X909" s="221"/>
      <c r="Y909" s="221"/>
      <c r="Z909" s="221"/>
      <c r="AA909" s="221"/>
      <c r="AB909" s="223"/>
    </row>
    <row r="910" spans="1:28" ht="17.100000000000001" customHeight="1" thickTop="1">
      <c r="A910" s="226" t="s">
        <v>6086</v>
      </c>
      <c r="B910" s="28">
        <v>45586</v>
      </c>
      <c r="C910" s="25">
        <v>2016</v>
      </c>
      <c r="D910" s="13" t="s">
        <v>1788</v>
      </c>
      <c r="E910" s="228"/>
      <c r="F910" s="109" t="s">
        <v>3303</v>
      </c>
      <c r="G910" s="24"/>
      <c r="H910" s="230">
        <v>4.5</v>
      </c>
      <c r="I910" s="220">
        <v>2350000</v>
      </c>
      <c r="J910" s="220">
        <v>235000</v>
      </c>
      <c r="K910" s="220">
        <v>0</v>
      </c>
      <c r="L910" s="220">
        <v>22280</v>
      </c>
      <c r="M910" s="220">
        <v>11000</v>
      </c>
      <c r="N910" s="220">
        <f>SUM(I910:M911)</f>
        <v>2618280</v>
      </c>
      <c r="O910" s="224"/>
      <c r="P910" s="110" t="s">
        <v>3304</v>
      </c>
      <c r="Q910" s="15" t="s">
        <v>19</v>
      </c>
      <c r="R910" s="205"/>
      <c r="S910" s="189"/>
      <c r="T910" s="114"/>
      <c r="U910" s="21"/>
      <c r="V910" s="115"/>
      <c r="W910" s="116"/>
      <c r="X910" s="220"/>
      <c r="Y910" s="245">
        <f>X910*0.1</f>
        <v>0</v>
      </c>
      <c r="Z910" s="220"/>
      <c r="AA910" s="220">
        <f>SUM(X910:Z910)</f>
        <v>0</v>
      </c>
      <c r="AB910" s="222"/>
    </row>
    <row r="911" spans="1:28" ht="17.100000000000001" customHeight="1" thickBot="1">
      <c r="A911" s="227"/>
      <c r="B911" s="27" t="s">
        <v>82</v>
      </c>
      <c r="C911" s="27">
        <v>32032</v>
      </c>
      <c r="D911" s="14" t="s">
        <v>1584</v>
      </c>
      <c r="E911" s="229"/>
      <c r="F911" s="117" t="s">
        <v>3305</v>
      </c>
      <c r="G911" s="26">
        <v>48204</v>
      </c>
      <c r="H911" s="231"/>
      <c r="I911" s="221"/>
      <c r="J911" s="221"/>
      <c r="K911" s="221"/>
      <c r="L911" s="221"/>
      <c r="M911" s="221"/>
      <c r="N911" s="221"/>
      <c r="O911" s="225"/>
      <c r="P911" s="118" t="s">
        <v>2670</v>
      </c>
      <c r="Q911" s="16" t="s">
        <v>20</v>
      </c>
      <c r="R911" s="17" t="s">
        <v>3306</v>
      </c>
      <c r="S911" s="121" t="s">
        <v>1923</v>
      </c>
      <c r="T911" s="122"/>
      <c r="U911" s="22"/>
      <c r="V911" s="123"/>
      <c r="W911" s="122"/>
      <c r="X911" s="221"/>
      <c r="Y911" s="221"/>
      <c r="Z911" s="221"/>
      <c r="AA911" s="221"/>
      <c r="AB911" s="223"/>
    </row>
    <row r="912" spans="1:28" ht="17.100000000000001" customHeight="1" thickTop="1">
      <c r="A912" s="226" t="s">
        <v>6087</v>
      </c>
      <c r="B912" s="28">
        <v>45587</v>
      </c>
      <c r="C912" s="25">
        <v>1865</v>
      </c>
      <c r="D912" s="13" t="s">
        <v>2313</v>
      </c>
      <c r="E912" s="228"/>
      <c r="F912" s="109" t="s">
        <v>3307</v>
      </c>
      <c r="G912" s="24"/>
      <c r="H912" s="230">
        <v>4.5</v>
      </c>
      <c r="I912" s="220">
        <v>1820000</v>
      </c>
      <c r="J912" s="220">
        <f>I912*0.1</f>
        <v>182000</v>
      </c>
      <c r="K912" s="220">
        <v>0</v>
      </c>
      <c r="L912" s="220">
        <v>19090</v>
      </c>
      <c r="M912" s="220">
        <v>14850</v>
      </c>
      <c r="N912" s="220">
        <f>SUM(I912:M913)</f>
        <v>2035940</v>
      </c>
      <c r="O912" s="224"/>
      <c r="P912" s="110" t="s">
        <v>3308</v>
      </c>
      <c r="Q912" s="15" t="s">
        <v>19</v>
      </c>
      <c r="R912" s="205"/>
      <c r="S912" s="189"/>
      <c r="T912" s="114"/>
      <c r="U912" s="21"/>
      <c r="V912" s="115"/>
      <c r="W912" s="116"/>
      <c r="X912" s="220"/>
      <c r="Y912" s="245">
        <f>X912*0.1</f>
        <v>0</v>
      </c>
      <c r="Z912" s="220"/>
      <c r="AA912" s="220">
        <f>SUM(X912:Z912)</f>
        <v>0</v>
      </c>
      <c r="AB912" s="222"/>
    </row>
    <row r="913" spans="1:28" ht="17.100000000000001" customHeight="1" thickBot="1">
      <c r="A913" s="227"/>
      <c r="B913" s="27" t="s">
        <v>2103</v>
      </c>
      <c r="C913" s="27">
        <v>5029</v>
      </c>
      <c r="D913" s="14" t="s">
        <v>898</v>
      </c>
      <c r="E913" s="229"/>
      <c r="F913" s="117" t="s">
        <v>3309</v>
      </c>
      <c r="G913" s="26">
        <v>33685</v>
      </c>
      <c r="H913" s="231"/>
      <c r="I913" s="221"/>
      <c r="J913" s="221"/>
      <c r="K913" s="221"/>
      <c r="L913" s="221"/>
      <c r="M913" s="221"/>
      <c r="N913" s="221"/>
      <c r="O913" s="225"/>
      <c r="P913" s="118" t="s">
        <v>3310</v>
      </c>
      <c r="Q913" s="16" t="s">
        <v>20</v>
      </c>
      <c r="R913" s="17" t="s">
        <v>3306</v>
      </c>
      <c r="S913" s="121" t="s">
        <v>3311</v>
      </c>
      <c r="T913" s="122"/>
      <c r="U913" s="22"/>
      <c r="V913" s="123"/>
      <c r="W913" s="122"/>
      <c r="X913" s="221"/>
      <c r="Y913" s="221"/>
      <c r="Z913" s="221"/>
      <c r="AA913" s="221"/>
      <c r="AB913" s="223"/>
    </row>
    <row r="914" spans="1:28" ht="17.100000000000001" customHeight="1" thickTop="1">
      <c r="A914" s="226" t="s">
        <v>6088</v>
      </c>
      <c r="B914" s="28">
        <v>45587</v>
      </c>
      <c r="C914" s="25">
        <v>743</v>
      </c>
      <c r="D914" s="13" t="s">
        <v>2107</v>
      </c>
      <c r="E914" s="228"/>
      <c r="F914" s="109" t="s">
        <v>3312</v>
      </c>
      <c r="G914" s="24"/>
      <c r="H914" s="230">
        <v>4</v>
      </c>
      <c r="I914" s="220">
        <v>1757000</v>
      </c>
      <c r="J914" s="220">
        <f>I914*0.1</f>
        <v>175700</v>
      </c>
      <c r="K914" s="220">
        <v>0</v>
      </c>
      <c r="L914" s="220">
        <v>13210</v>
      </c>
      <c r="M914" s="220">
        <v>14850</v>
      </c>
      <c r="N914" s="220">
        <f>SUM(I914:M915)</f>
        <v>1960760</v>
      </c>
      <c r="O914" s="224"/>
      <c r="P914" s="110" t="s">
        <v>3313</v>
      </c>
      <c r="Q914" s="15" t="s">
        <v>19</v>
      </c>
      <c r="R914" s="205"/>
      <c r="S914" s="189"/>
      <c r="T914" s="114"/>
      <c r="U914" s="21"/>
      <c r="V914" s="115">
        <v>46285</v>
      </c>
      <c r="W914" s="116"/>
      <c r="X914" s="220">
        <v>2900000</v>
      </c>
      <c r="Y914" s="245">
        <v>0</v>
      </c>
      <c r="Z914" s="220">
        <v>0</v>
      </c>
      <c r="AA914" s="220">
        <f>SUM(X914:Z914)</f>
        <v>2900000</v>
      </c>
      <c r="AB914" s="222">
        <v>46341</v>
      </c>
    </row>
    <row r="915" spans="1:28" ht="17.100000000000001" customHeight="1" thickBot="1">
      <c r="A915" s="227"/>
      <c r="B915" s="27" t="s">
        <v>3314</v>
      </c>
      <c r="C915" s="27">
        <v>5002</v>
      </c>
      <c r="D915" s="14" t="s">
        <v>273</v>
      </c>
      <c r="E915" s="229"/>
      <c r="F915" s="117" t="s">
        <v>3315</v>
      </c>
      <c r="G915" s="26">
        <v>59399</v>
      </c>
      <c r="H915" s="231"/>
      <c r="I915" s="221"/>
      <c r="J915" s="221"/>
      <c r="K915" s="221"/>
      <c r="L915" s="221"/>
      <c r="M915" s="221"/>
      <c r="N915" s="221"/>
      <c r="O915" s="225"/>
      <c r="P915" s="118" t="s">
        <v>3316</v>
      </c>
      <c r="Q915" s="16" t="s">
        <v>20</v>
      </c>
      <c r="R915" s="17" t="s">
        <v>3288</v>
      </c>
      <c r="S915" s="121"/>
      <c r="T915" s="122"/>
      <c r="U915" s="22"/>
      <c r="V915" s="123" t="s">
        <v>15091</v>
      </c>
      <c r="W915" s="122"/>
      <c r="X915" s="221"/>
      <c r="Y915" s="221"/>
      <c r="Z915" s="221"/>
      <c r="AA915" s="221"/>
      <c r="AB915" s="223"/>
    </row>
    <row r="916" spans="1:28" ht="17.100000000000001" customHeight="1" thickTop="1">
      <c r="A916" s="226" t="s">
        <v>6089</v>
      </c>
      <c r="B916" s="28">
        <v>45590</v>
      </c>
      <c r="C916" s="25">
        <v>2058</v>
      </c>
      <c r="D916" s="13" t="s">
        <v>1589</v>
      </c>
      <c r="E916" s="228"/>
      <c r="F916" s="109" t="s">
        <v>2612</v>
      </c>
      <c r="G916" s="24" t="s">
        <v>2457</v>
      </c>
      <c r="H916" s="230">
        <v>4.5</v>
      </c>
      <c r="I916" s="220">
        <v>1790000</v>
      </c>
      <c r="J916" s="220">
        <f>I916*0.1</f>
        <v>179000</v>
      </c>
      <c r="K916" s="220">
        <v>18040</v>
      </c>
      <c r="L916" s="220">
        <v>17600</v>
      </c>
      <c r="M916" s="220">
        <v>24200</v>
      </c>
      <c r="N916" s="220">
        <f>SUM(I916:M917)</f>
        <v>2028840</v>
      </c>
      <c r="O916" s="224"/>
      <c r="P916" s="110" t="s">
        <v>3317</v>
      </c>
      <c r="Q916" s="15" t="s">
        <v>19</v>
      </c>
      <c r="R916" s="205"/>
      <c r="S916" s="189" t="s">
        <v>25418</v>
      </c>
      <c r="T916" s="114"/>
      <c r="U916" s="21" t="s">
        <v>3318</v>
      </c>
      <c r="V916" s="115"/>
      <c r="W916" s="116"/>
      <c r="X916" s="220"/>
      <c r="Y916" s="245">
        <f>X916*0.1</f>
        <v>0</v>
      </c>
      <c r="Z916" s="220"/>
      <c r="AA916" s="220">
        <f>SUM(X916:Z916)</f>
        <v>0</v>
      </c>
      <c r="AB916" s="222"/>
    </row>
    <row r="917" spans="1:28" ht="17.100000000000001" customHeight="1" thickBot="1">
      <c r="A917" s="227"/>
      <c r="B917" s="27" t="s">
        <v>1536</v>
      </c>
      <c r="C917" s="27">
        <v>58686</v>
      </c>
      <c r="D917" s="14" t="s">
        <v>898</v>
      </c>
      <c r="E917" s="229"/>
      <c r="F917" s="117" t="s">
        <v>3319</v>
      </c>
      <c r="G917" s="26">
        <v>36230</v>
      </c>
      <c r="H917" s="231"/>
      <c r="I917" s="221"/>
      <c r="J917" s="221"/>
      <c r="K917" s="221"/>
      <c r="L917" s="221"/>
      <c r="M917" s="221"/>
      <c r="N917" s="221"/>
      <c r="O917" s="225"/>
      <c r="P917" s="118" t="s">
        <v>3320</v>
      </c>
      <c r="Q917" s="16" t="s">
        <v>20</v>
      </c>
      <c r="R917" s="17" t="s">
        <v>3282</v>
      </c>
      <c r="S917" s="121" t="s">
        <v>1731</v>
      </c>
      <c r="T917" s="122"/>
      <c r="U917" s="22"/>
      <c r="V917" s="123"/>
      <c r="W917" s="122"/>
      <c r="X917" s="221"/>
      <c r="Y917" s="221"/>
      <c r="Z917" s="221"/>
      <c r="AA917" s="221"/>
      <c r="AB917" s="223"/>
    </row>
    <row r="918" spans="1:28" ht="17.100000000000001" customHeight="1" thickTop="1">
      <c r="A918" s="226" t="s">
        <v>6090</v>
      </c>
      <c r="B918" s="28">
        <v>45590</v>
      </c>
      <c r="C918" s="25">
        <v>1129</v>
      </c>
      <c r="D918" s="13" t="s">
        <v>1996</v>
      </c>
      <c r="E918" s="228"/>
      <c r="F918" s="109" t="s">
        <v>1579</v>
      </c>
      <c r="G918" s="24" t="s">
        <v>3321</v>
      </c>
      <c r="H918" s="230">
        <v>4.5</v>
      </c>
      <c r="I918" s="220">
        <v>1815000</v>
      </c>
      <c r="J918" s="220">
        <f>I918*0.1</f>
        <v>181500</v>
      </c>
      <c r="K918" s="220">
        <v>18040</v>
      </c>
      <c r="L918" s="220">
        <v>18960</v>
      </c>
      <c r="M918" s="220">
        <v>13200</v>
      </c>
      <c r="N918" s="220">
        <f>SUM(I918:M919)</f>
        <v>2046700</v>
      </c>
      <c r="O918" s="224"/>
      <c r="P918" s="110" t="s">
        <v>3322</v>
      </c>
      <c r="Q918" s="15" t="s">
        <v>19</v>
      </c>
      <c r="R918" s="205"/>
      <c r="S918" s="189" t="s">
        <v>25367</v>
      </c>
      <c r="T918" s="114"/>
      <c r="U918" s="21"/>
      <c r="V918" s="115">
        <v>46341</v>
      </c>
      <c r="W918" s="116"/>
      <c r="X918" s="220">
        <v>2200000</v>
      </c>
      <c r="Y918" s="245">
        <v>0</v>
      </c>
      <c r="Z918" s="220">
        <v>0</v>
      </c>
      <c r="AA918" s="220">
        <f>SUM(X918:Z918)</f>
        <v>2200000</v>
      </c>
      <c r="AB918" s="222">
        <v>46356</v>
      </c>
    </row>
    <row r="919" spans="1:28" ht="17.100000000000001" customHeight="1" thickBot="1">
      <c r="A919" s="227"/>
      <c r="B919" s="27" t="s">
        <v>1813</v>
      </c>
      <c r="C919" s="27">
        <v>88110</v>
      </c>
      <c r="D919" s="14" t="s">
        <v>131</v>
      </c>
      <c r="E919" s="229"/>
      <c r="F919" s="117" t="s">
        <v>3323</v>
      </c>
      <c r="G919" s="26">
        <v>42499</v>
      </c>
      <c r="H919" s="231"/>
      <c r="I919" s="221"/>
      <c r="J919" s="221"/>
      <c r="K919" s="221"/>
      <c r="L919" s="221"/>
      <c r="M919" s="221"/>
      <c r="N919" s="221"/>
      <c r="O919" s="225"/>
      <c r="P919" s="118" t="s">
        <v>3324</v>
      </c>
      <c r="Q919" s="16" t="s">
        <v>20</v>
      </c>
      <c r="R919" s="17" t="s">
        <v>3325</v>
      </c>
      <c r="S919" s="121" t="s">
        <v>3326</v>
      </c>
      <c r="T919" s="122"/>
      <c r="U919" s="67" t="s">
        <v>901</v>
      </c>
      <c r="V919" s="123" t="s">
        <v>15098</v>
      </c>
      <c r="W919" s="122"/>
      <c r="X919" s="221"/>
      <c r="Y919" s="221"/>
      <c r="Z919" s="221"/>
      <c r="AA919" s="221"/>
      <c r="AB919" s="223"/>
    </row>
    <row r="920" spans="1:28" ht="17.100000000000001" customHeight="1" thickTop="1">
      <c r="A920" s="226" t="s">
        <v>6091</v>
      </c>
      <c r="B920" s="28">
        <v>45591</v>
      </c>
      <c r="C920" s="25">
        <v>1467</v>
      </c>
      <c r="D920" s="13" t="s">
        <v>3327</v>
      </c>
      <c r="E920" s="228"/>
      <c r="F920" s="109" t="s">
        <v>3328</v>
      </c>
      <c r="G920" s="24"/>
      <c r="H920" s="230">
        <v>4</v>
      </c>
      <c r="I920" s="220">
        <v>1340000</v>
      </c>
      <c r="J920" s="220">
        <f>I920*0.1</f>
        <v>134000</v>
      </c>
      <c r="K920" s="220">
        <v>0</v>
      </c>
      <c r="L920" s="220">
        <v>19440</v>
      </c>
      <c r="M920" s="220">
        <v>13200</v>
      </c>
      <c r="N920" s="220">
        <f>SUM(I920:M921)</f>
        <v>1506640</v>
      </c>
      <c r="O920" s="224"/>
      <c r="P920" s="110" t="s">
        <v>3329</v>
      </c>
      <c r="Q920" s="15" t="s">
        <v>19</v>
      </c>
      <c r="R920" s="205"/>
      <c r="S920" s="189"/>
      <c r="T920" s="114"/>
      <c r="U920" s="21"/>
      <c r="V920" s="115"/>
      <c r="W920" s="116"/>
      <c r="X920" s="220"/>
      <c r="Y920" s="245">
        <f>X920*0.1</f>
        <v>0</v>
      </c>
      <c r="Z920" s="220"/>
      <c r="AA920" s="220">
        <f>SUM(X920:Z920)</f>
        <v>0</v>
      </c>
      <c r="AB920" s="222"/>
    </row>
    <row r="921" spans="1:28" ht="17.100000000000001" customHeight="1" thickBot="1">
      <c r="A921" s="227"/>
      <c r="B921" s="27" t="s">
        <v>1547</v>
      </c>
      <c r="C921" s="27">
        <v>83200</v>
      </c>
      <c r="D921" s="14" t="s">
        <v>1627</v>
      </c>
      <c r="E921" s="229"/>
      <c r="F921" s="117" t="s">
        <v>3330</v>
      </c>
      <c r="G921" s="26">
        <v>52925</v>
      </c>
      <c r="H921" s="231"/>
      <c r="I921" s="221"/>
      <c r="J921" s="221"/>
      <c r="K921" s="221"/>
      <c r="L921" s="221"/>
      <c r="M921" s="221"/>
      <c r="N921" s="221"/>
      <c r="O921" s="225"/>
      <c r="P921" s="118" t="s">
        <v>1972</v>
      </c>
      <c r="Q921" s="16" t="s">
        <v>20</v>
      </c>
      <c r="R921" s="17" t="s">
        <v>3282</v>
      </c>
      <c r="S921" s="121" t="s">
        <v>3331</v>
      </c>
      <c r="T921" s="122"/>
      <c r="U921" s="22"/>
      <c r="V921" s="123"/>
      <c r="W921" s="122"/>
      <c r="X921" s="221"/>
      <c r="Y921" s="221"/>
      <c r="Z921" s="221"/>
      <c r="AA921" s="221"/>
      <c r="AB921" s="223"/>
    </row>
    <row r="922" spans="1:28" ht="17.100000000000001" customHeight="1" thickTop="1">
      <c r="A922" s="226" t="s">
        <v>6092</v>
      </c>
      <c r="B922" s="28">
        <v>45594</v>
      </c>
      <c r="C922" s="25">
        <v>1866</v>
      </c>
      <c r="D922" s="13" t="s">
        <v>3332</v>
      </c>
      <c r="E922" s="228"/>
      <c r="F922" s="109" t="s">
        <v>3333</v>
      </c>
      <c r="G922" s="24"/>
      <c r="H922" s="230">
        <v>4.5</v>
      </c>
      <c r="I922" s="220">
        <v>2478000</v>
      </c>
      <c r="J922" s="220">
        <f>I922*0.1</f>
        <v>247800</v>
      </c>
      <c r="K922" s="220">
        <v>0</v>
      </c>
      <c r="L922" s="220">
        <v>17930</v>
      </c>
      <c r="M922" s="220">
        <v>14850</v>
      </c>
      <c r="N922" s="220">
        <f>SUM(I922:M923)</f>
        <v>2758580</v>
      </c>
      <c r="O922" s="224"/>
      <c r="P922" s="110" t="s">
        <v>3334</v>
      </c>
      <c r="Q922" s="15" t="s">
        <v>19</v>
      </c>
      <c r="R922" s="205"/>
      <c r="S922" s="189" t="s">
        <v>1361</v>
      </c>
      <c r="T922" s="114"/>
      <c r="U922" s="21"/>
      <c r="V922" s="115"/>
      <c r="W922" s="116"/>
      <c r="X922" s="220"/>
      <c r="Y922" s="245">
        <f>X922*0.1</f>
        <v>0</v>
      </c>
      <c r="Z922" s="220"/>
      <c r="AA922" s="220">
        <f>SUM(X922:Z922)</f>
        <v>0</v>
      </c>
      <c r="AB922" s="222"/>
    </row>
    <row r="923" spans="1:28" ht="17.100000000000001" customHeight="1" thickBot="1">
      <c r="A923" s="227"/>
      <c r="B923" s="27" t="s">
        <v>2103</v>
      </c>
      <c r="C923" s="27">
        <v>32045</v>
      </c>
      <c r="D923" s="14" t="s">
        <v>1568</v>
      </c>
      <c r="E923" s="229"/>
      <c r="F923" s="117" t="s">
        <v>3335</v>
      </c>
      <c r="G923" s="26">
        <v>33291</v>
      </c>
      <c r="H923" s="231"/>
      <c r="I923" s="221"/>
      <c r="J923" s="221"/>
      <c r="K923" s="221"/>
      <c r="L923" s="221"/>
      <c r="M923" s="221"/>
      <c r="N923" s="221"/>
      <c r="O923" s="225"/>
      <c r="P923" s="118" t="s">
        <v>3336</v>
      </c>
      <c r="Q923" s="16" t="s">
        <v>20</v>
      </c>
      <c r="R923" s="17" t="s">
        <v>3337</v>
      </c>
      <c r="S923" s="121" t="s">
        <v>3338</v>
      </c>
      <c r="T923" s="122"/>
      <c r="U923" s="22"/>
      <c r="V923" s="123"/>
      <c r="W923" s="122"/>
      <c r="X923" s="221"/>
      <c r="Y923" s="221"/>
      <c r="Z923" s="221"/>
      <c r="AA923" s="221"/>
      <c r="AB923" s="223"/>
    </row>
    <row r="924" spans="1:28" ht="17.100000000000001" customHeight="1" thickTop="1">
      <c r="A924" s="226" t="s">
        <v>6093</v>
      </c>
      <c r="B924" s="28">
        <v>45596</v>
      </c>
      <c r="C924" s="25">
        <v>1255</v>
      </c>
      <c r="D924" s="13" t="s">
        <v>1702</v>
      </c>
      <c r="E924" s="228"/>
      <c r="F924" s="109" t="s">
        <v>3339</v>
      </c>
      <c r="G924" s="24" t="s">
        <v>2487</v>
      </c>
      <c r="H924" s="230">
        <v>3.5</v>
      </c>
      <c r="I924" s="220">
        <v>765000</v>
      </c>
      <c r="J924" s="220">
        <f>I924*0.1</f>
        <v>76500</v>
      </c>
      <c r="K924" s="220">
        <v>18040</v>
      </c>
      <c r="L924" s="220">
        <v>20680</v>
      </c>
      <c r="M924" s="220">
        <v>13200</v>
      </c>
      <c r="N924" s="220">
        <f>SUM(I924:M925)</f>
        <v>893420</v>
      </c>
      <c r="O924" s="224"/>
      <c r="P924" s="110" t="s">
        <v>3340</v>
      </c>
      <c r="Q924" s="15" t="s">
        <v>19</v>
      </c>
      <c r="R924" s="205"/>
      <c r="S924" s="189" t="s">
        <v>1271</v>
      </c>
      <c r="T924" s="114"/>
      <c r="U924" s="21"/>
      <c r="V924" s="115"/>
      <c r="W924" s="116"/>
      <c r="X924" s="220"/>
      <c r="Y924" s="245">
        <f>X924*0.1</f>
        <v>0</v>
      </c>
      <c r="Z924" s="220"/>
      <c r="AA924" s="220">
        <f>SUM(X924:Z924)</f>
        <v>0</v>
      </c>
      <c r="AB924" s="222"/>
    </row>
    <row r="925" spans="1:28" ht="17.100000000000001" customHeight="1" thickBot="1">
      <c r="A925" s="227"/>
      <c r="B925" s="27" t="s">
        <v>1735</v>
      </c>
      <c r="C925" s="27">
        <v>92</v>
      </c>
      <c r="D925" s="14" t="s">
        <v>2177</v>
      </c>
      <c r="E925" s="229"/>
      <c r="F925" s="117" t="s">
        <v>3342</v>
      </c>
      <c r="G925" s="26">
        <v>40515</v>
      </c>
      <c r="H925" s="231"/>
      <c r="I925" s="221"/>
      <c r="J925" s="221"/>
      <c r="K925" s="221"/>
      <c r="L925" s="221"/>
      <c r="M925" s="221"/>
      <c r="N925" s="221"/>
      <c r="O925" s="225"/>
      <c r="P925" s="118" t="s">
        <v>1844</v>
      </c>
      <c r="Q925" s="16" t="s">
        <v>20</v>
      </c>
      <c r="R925" s="17" t="s">
        <v>3343</v>
      </c>
      <c r="S925" s="121" t="s">
        <v>1731</v>
      </c>
      <c r="T925" s="122"/>
      <c r="U925" s="67" t="s">
        <v>901</v>
      </c>
      <c r="V925" s="123"/>
      <c r="W925" s="122"/>
      <c r="X925" s="221"/>
      <c r="Y925" s="221"/>
      <c r="Z925" s="221"/>
      <c r="AA925" s="221"/>
      <c r="AB925" s="223"/>
    </row>
    <row r="926" spans="1:28" ht="17.100000000000001" customHeight="1" thickTop="1">
      <c r="A926" s="226" t="s">
        <v>6094</v>
      </c>
      <c r="B926" s="28">
        <v>45597</v>
      </c>
      <c r="C926" s="25">
        <v>2059</v>
      </c>
      <c r="D926" s="13" t="s">
        <v>1632</v>
      </c>
      <c r="E926" s="228"/>
      <c r="F926" s="109" t="s">
        <v>3344</v>
      </c>
      <c r="G926" s="24" t="s">
        <v>3345</v>
      </c>
      <c r="H926" s="230">
        <v>4</v>
      </c>
      <c r="I926" s="220">
        <v>2030000</v>
      </c>
      <c r="J926" s="220">
        <f>I926*0.1</f>
        <v>203000</v>
      </c>
      <c r="K926" s="220">
        <f>13100+1310</f>
        <v>14410</v>
      </c>
      <c r="L926" s="220">
        <v>13210</v>
      </c>
      <c r="M926" s="220">
        <v>13200</v>
      </c>
      <c r="N926" s="220">
        <f>SUM(I926:M927)</f>
        <v>2273820</v>
      </c>
      <c r="O926" s="224"/>
      <c r="P926" s="110" t="s">
        <v>3346</v>
      </c>
      <c r="Q926" s="15" t="s">
        <v>19</v>
      </c>
      <c r="R926" s="205"/>
      <c r="S926" s="189" t="s">
        <v>25419</v>
      </c>
      <c r="T926" s="114"/>
      <c r="U926" s="21" t="s">
        <v>3347</v>
      </c>
      <c r="V926" s="115"/>
      <c r="W926" s="116"/>
      <c r="X926" s="220"/>
      <c r="Y926" s="245">
        <f>X926*0.1</f>
        <v>0</v>
      </c>
      <c r="Z926" s="220"/>
      <c r="AA926" s="220">
        <f>SUM(X926:Z926)</f>
        <v>0</v>
      </c>
      <c r="AB926" s="222"/>
    </row>
    <row r="927" spans="1:28" ht="17.100000000000001" customHeight="1" thickBot="1">
      <c r="A927" s="227"/>
      <c r="B927" s="27" t="s">
        <v>1536</v>
      </c>
      <c r="C927" s="27">
        <v>58286</v>
      </c>
      <c r="D927" s="14" t="s">
        <v>1584</v>
      </c>
      <c r="E927" s="229"/>
      <c r="F927" s="117" t="s">
        <v>3348</v>
      </c>
      <c r="G927" s="26">
        <v>44386</v>
      </c>
      <c r="H927" s="231"/>
      <c r="I927" s="221"/>
      <c r="J927" s="221"/>
      <c r="K927" s="221"/>
      <c r="L927" s="221"/>
      <c r="M927" s="221"/>
      <c r="N927" s="221"/>
      <c r="O927" s="225"/>
      <c r="P927" s="118" t="s">
        <v>3349</v>
      </c>
      <c r="Q927" s="16" t="s">
        <v>20</v>
      </c>
      <c r="R927" s="17" t="s">
        <v>3343</v>
      </c>
      <c r="S927" s="121" t="s">
        <v>3350</v>
      </c>
      <c r="T927" s="122"/>
      <c r="U927" s="22"/>
      <c r="V927" s="123"/>
      <c r="W927" s="122"/>
      <c r="X927" s="221"/>
      <c r="Y927" s="221"/>
      <c r="Z927" s="221"/>
      <c r="AA927" s="221"/>
      <c r="AB927" s="223"/>
    </row>
    <row r="928" spans="1:28" ht="17.100000000000001" customHeight="1" thickTop="1">
      <c r="A928" s="226" t="s">
        <v>6095</v>
      </c>
      <c r="B928" s="28">
        <v>45611</v>
      </c>
      <c r="C928" s="25">
        <v>2061</v>
      </c>
      <c r="D928" s="13" t="s">
        <v>1816</v>
      </c>
      <c r="E928" s="228"/>
      <c r="F928" s="109" t="s">
        <v>3351</v>
      </c>
      <c r="G928" s="24" t="s">
        <v>2487</v>
      </c>
      <c r="H928" s="230">
        <v>4</v>
      </c>
      <c r="I928" s="220">
        <v>1400000</v>
      </c>
      <c r="J928" s="220">
        <f>I928*0.1</f>
        <v>140000</v>
      </c>
      <c r="K928" s="220">
        <v>14410</v>
      </c>
      <c r="L928" s="220">
        <v>13210</v>
      </c>
      <c r="M928" s="220">
        <v>13200</v>
      </c>
      <c r="N928" s="220">
        <f>SUM(I928:M929)</f>
        <v>1580820</v>
      </c>
      <c r="O928" s="224"/>
      <c r="P928" s="110" t="s">
        <v>3352</v>
      </c>
      <c r="Q928" s="15" t="s">
        <v>19</v>
      </c>
      <c r="R928" s="205"/>
      <c r="S928" s="189" t="s">
        <v>1271</v>
      </c>
      <c r="T928" s="114"/>
      <c r="U928" s="21" t="s">
        <v>3353</v>
      </c>
      <c r="V928" s="115"/>
      <c r="W928" s="116"/>
      <c r="X928" s="220"/>
      <c r="Y928" s="245">
        <f>X928*0.1</f>
        <v>0</v>
      </c>
      <c r="Z928" s="220"/>
      <c r="AA928" s="220">
        <f>SUM(X928:Z928)</f>
        <v>0</v>
      </c>
      <c r="AB928" s="222"/>
    </row>
    <row r="929" spans="1:28" ht="17.100000000000001" customHeight="1" thickBot="1">
      <c r="A929" s="227"/>
      <c r="B929" s="27" t="s">
        <v>1536</v>
      </c>
      <c r="C929" s="27">
        <v>58466</v>
      </c>
      <c r="D929" s="14" t="s">
        <v>1584</v>
      </c>
      <c r="E929" s="229"/>
      <c r="F929" s="117" t="s">
        <v>3354</v>
      </c>
      <c r="G929" s="26">
        <v>57791</v>
      </c>
      <c r="H929" s="231"/>
      <c r="I929" s="221"/>
      <c r="J929" s="221"/>
      <c r="K929" s="221"/>
      <c r="L929" s="221"/>
      <c r="M929" s="221"/>
      <c r="N929" s="221"/>
      <c r="O929" s="225"/>
      <c r="P929" s="118" t="s">
        <v>3355</v>
      </c>
      <c r="Q929" s="16" t="s">
        <v>20</v>
      </c>
      <c r="R929" s="17" t="s">
        <v>2586</v>
      </c>
      <c r="S929" s="121" t="s">
        <v>1731</v>
      </c>
      <c r="T929" s="122"/>
      <c r="U929" s="22"/>
      <c r="V929" s="123"/>
      <c r="W929" s="122"/>
      <c r="X929" s="221"/>
      <c r="Y929" s="221"/>
      <c r="Z929" s="221"/>
      <c r="AA929" s="221"/>
      <c r="AB929" s="223"/>
    </row>
    <row r="930" spans="1:28" ht="17.100000000000001" customHeight="1" thickTop="1">
      <c r="A930" s="226" t="s">
        <v>6096</v>
      </c>
      <c r="B930" s="28">
        <v>45611</v>
      </c>
      <c r="C930" s="25">
        <v>1132</v>
      </c>
      <c r="D930" s="13" t="s">
        <v>2712</v>
      </c>
      <c r="E930" s="228"/>
      <c r="F930" s="109" t="s">
        <v>1579</v>
      </c>
      <c r="G930" s="24" t="s">
        <v>2457</v>
      </c>
      <c r="H930" s="230">
        <v>4.5</v>
      </c>
      <c r="I930" s="220">
        <v>2150000</v>
      </c>
      <c r="J930" s="220">
        <f>I930*0.1</f>
        <v>215000</v>
      </c>
      <c r="K930" s="220">
        <v>13200</v>
      </c>
      <c r="L930" s="220">
        <v>17600</v>
      </c>
      <c r="M930" s="220">
        <v>24200</v>
      </c>
      <c r="N930" s="220">
        <f>SUM(I930:M931)</f>
        <v>2420000</v>
      </c>
      <c r="O930" s="224"/>
      <c r="P930" s="110" t="s">
        <v>3356</v>
      </c>
      <c r="Q930" s="15" t="s">
        <v>19</v>
      </c>
      <c r="R930" s="205"/>
      <c r="S930" s="189" t="s">
        <v>1306</v>
      </c>
      <c r="T930" s="114"/>
      <c r="U930" s="21" t="s">
        <v>3358</v>
      </c>
      <c r="V930" s="115"/>
      <c r="W930" s="116"/>
      <c r="X930" s="220"/>
      <c r="Y930" s="245">
        <f>X930*0.1</f>
        <v>0</v>
      </c>
      <c r="Z930" s="220"/>
      <c r="AA930" s="220">
        <f>SUM(X930:Z930)</f>
        <v>0</v>
      </c>
      <c r="AB930" s="222"/>
    </row>
    <row r="931" spans="1:28" ht="17.100000000000001" customHeight="1" thickBot="1">
      <c r="A931" s="227"/>
      <c r="B931" s="27" t="s">
        <v>1813</v>
      </c>
      <c r="C931" s="27">
        <v>80054</v>
      </c>
      <c r="D931" s="14" t="s">
        <v>131</v>
      </c>
      <c r="E931" s="229"/>
      <c r="F931" s="117" t="s">
        <v>3359</v>
      </c>
      <c r="G931" s="26">
        <v>22270</v>
      </c>
      <c r="H931" s="231"/>
      <c r="I931" s="221"/>
      <c r="J931" s="221"/>
      <c r="K931" s="221"/>
      <c r="L931" s="221"/>
      <c r="M931" s="221"/>
      <c r="N931" s="221"/>
      <c r="O931" s="225"/>
      <c r="P931" s="118" t="s">
        <v>1586</v>
      </c>
      <c r="Q931" s="16" t="s">
        <v>20</v>
      </c>
      <c r="R931" s="17" t="s">
        <v>2586</v>
      </c>
      <c r="S931" s="121" t="s">
        <v>3360</v>
      </c>
      <c r="T931" s="122"/>
      <c r="U931" s="22"/>
      <c r="V931" s="123"/>
      <c r="W931" s="122"/>
      <c r="X931" s="221"/>
      <c r="Y931" s="221"/>
      <c r="Z931" s="221"/>
      <c r="AA931" s="221"/>
      <c r="AB931" s="223"/>
    </row>
    <row r="932" spans="1:28" ht="17.100000000000001" customHeight="1" thickTop="1">
      <c r="A932" s="226" t="s">
        <v>6097</v>
      </c>
      <c r="B932" s="28">
        <v>45612</v>
      </c>
      <c r="C932" s="25">
        <v>1470</v>
      </c>
      <c r="D932" s="13" t="s">
        <v>2107</v>
      </c>
      <c r="E932" s="228"/>
      <c r="F932" s="109" t="s">
        <v>3361</v>
      </c>
      <c r="G932" s="24"/>
      <c r="H932" s="230">
        <v>4.5</v>
      </c>
      <c r="I932" s="220">
        <v>2390000</v>
      </c>
      <c r="J932" s="220">
        <f>I932*0.1</f>
        <v>239000</v>
      </c>
      <c r="K932" s="220">
        <v>0</v>
      </c>
      <c r="L932" s="220">
        <v>21300</v>
      </c>
      <c r="M932" s="220">
        <v>24200</v>
      </c>
      <c r="N932" s="220">
        <f>SUM(I932:M933)</f>
        <v>2674500</v>
      </c>
      <c r="O932" s="224"/>
      <c r="P932" s="110" t="s">
        <v>3362</v>
      </c>
      <c r="Q932" s="15" t="s">
        <v>19</v>
      </c>
      <c r="R932" s="205"/>
      <c r="S932" s="189" t="s">
        <v>1271</v>
      </c>
      <c r="T932" s="114"/>
      <c r="U932" s="21"/>
      <c r="V932" s="115"/>
      <c r="W932" s="116"/>
      <c r="X932" s="220"/>
      <c r="Y932" s="245">
        <f>X932*0.1</f>
        <v>0</v>
      </c>
      <c r="Z932" s="220"/>
      <c r="AA932" s="220">
        <f>SUM(X932:Z932)</f>
        <v>0</v>
      </c>
      <c r="AB932" s="222"/>
    </row>
    <row r="933" spans="1:28" ht="17.100000000000001" customHeight="1" thickBot="1">
      <c r="A933" s="227"/>
      <c r="B933" s="27" t="s">
        <v>1547</v>
      </c>
      <c r="C933" s="27">
        <v>83043</v>
      </c>
      <c r="D933" s="14" t="s">
        <v>1584</v>
      </c>
      <c r="E933" s="229"/>
      <c r="F933" s="117" t="s">
        <v>3363</v>
      </c>
      <c r="G933" s="26">
        <v>39755</v>
      </c>
      <c r="H933" s="231"/>
      <c r="I933" s="221"/>
      <c r="J933" s="221"/>
      <c r="K933" s="221"/>
      <c r="L933" s="221"/>
      <c r="M933" s="221"/>
      <c r="N933" s="221"/>
      <c r="O933" s="225"/>
      <c r="P933" s="118" t="s">
        <v>3364</v>
      </c>
      <c r="Q933" s="16" t="s">
        <v>20</v>
      </c>
      <c r="R933" s="17" t="s">
        <v>2586</v>
      </c>
      <c r="S933" s="121" t="s">
        <v>1731</v>
      </c>
      <c r="T933" s="122"/>
      <c r="U933" s="22"/>
      <c r="V933" s="123"/>
      <c r="W933" s="122"/>
      <c r="X933" s="221"/>
      <c r="Y933" s="221"/>
      <c r="Z933" s="221"/>
      <c r="AA933" s="221"/>
      <c r="AB933" s="223"/>
    </row>
    <row r="934" spans="1:28" ht="17.100000000000001" customHeight="1" thickTop="1">
      <c r="A934" s="226" t="s">
        <v>6098</v>
      </c>
      <c r="B934" s="28">
        <v>45623</v>
      </c>
      <c r="C934" s="25">
        <v>2283</v>
      </c>
      <c r="D934" s="13" t="s">
        <v>3243</v>
      </c>
      <c r="E934" s="228"/>
      <c r="F934" s="109" t="s">
        <v>2612</v>
      </c>
      <c r="G934" s="24" t="s">
        <v>3365</v>
      </c>
      <c r="H934" s="230">
        <v>4.5</v>
      </c>
      <c r="I934" s="220">
        <v>1245000</v>
      </c>
      <c r="J934" s="220">
        <f>I934*0.1</f>
        <v>124500</v>
      </c>
      <c r="K934" s="220">
        <v>14410</v>
      </c>
      <c r="L934" s="220">
        <v>17700</v>
      </c>
      <c r="M934" s="220">
        <v>13200</v>
      </c>
      <c r="N934" s="220">
        <f>SUM(I934:M935)</f>
        <v>1414810</v>
      </c>
      <c r="O934" s="224"/>
      <c r="P934" s="110" t="s">
        <v>3366</v>
      </c>
      <c r="Q934" s="15" t="s">
        <v>19</v>
      </c>
      <c r="R934" s="205"/>
      <c r="S934" s="189"/>
      <c r="T934" s="114"/>
      <c r="U934" s="21"/>
      <c r="V934" s="115">
        <v>46296</v>
      </c>
      <c r="W934" s="116"/>
      <c r="X934" s="220">
        <v>1760000</v>
      </c>
      <c r="Y934" s="245">
        <v>0</v>
      </c>
      <c r="Z934" s="220">
        <v>0</v>
      </c>
      <c r="AA934" s="220">
        <f>SUM(X934:Z934)</f>
        <v>1760000</v>
      </c>
      <c r="AB934" s="222">
        <v>46370</v>
      </c>
    </row>
    <row r="935" spans="1:28" ht="17.100000000000001" customHeight="1" thickBot="1">
      <c r="A935" s="227"/>
      <c r="B935" s="27" t="s">
        <v>3367</v>
      </c>
      <c r="C935" s="27">
        <v>50096</v>
      </c>
      <c r="D935" s="14" t="s">
        <v>131</v>
      </c>
      <c r="E935" s="229"/>
      <c r="F935" s="117" t="s">
        <v>3368</v>
      </c>
      <c r="G935" s="26">
        <v>23064</v>
      </c>
      <c r="H935" s="231"/>
      <c r="I935" s="221"/>
      <c r="J935" s="221"/>
      <c r="K935" s="221"/>
      <c r="L935" s="221"/>
      <c r="M935" s="221"/>
      <c r="N935" s="221"/>
      <c r="O935" s="225"/>
      <c r="P935" s="118" t="s">
        <v>3369</v>
      </c>
      <c r="Q935" s="16" t="s">
        <v>20</v>
      </c>
      <c r="R935" s="17" t="s">
        <v>3370</v>
      </c>
      <c r="S935" s="121" t="s">
        <v>1731</v>
      </c>
      <c r="T935" s="122"/>
      <c r="U935" s="22" t="s">
        <v>901</v>
      </c>
      <c r="V935" s="123" t="s">
        <v>15360</v>
      </c>
      <c r="W935" s="122"/>
      <c r="X935" s="221"/>
      <c r="Y935" s="221"/>
      <c r="Z935" s="221"/>
      <c r="AA935" s="221"/>
      <c r="AB935" s="223"/>
    </row>
    <row r="936" spans="1:28" ht="17.100000000000001" customHeight="1" thickTop="1">
      <c r="A936" s="226" t="s">
        <v>6099</v>
      </c>
      <c r="B936" s="28">
        <v>45624</v>
      </c>
      <c r="C936" s="25">
        <v>1955</v>
      </c>
      <c r="D936" s="13" t="s">
        <v>1685</v>
      </c>
      <c r="E936" s="228"/>
      <c r="F936" s="109" t="s">
        <v>2612</v>
      </c>
      <c r="G936" s="24" t="s">
        <v>3271</v>
      </c>
      <c r="H936" s="230">
        <v>4</v>
      </c>
      <c r="I936" s="220">
        <v>1259000</v>
      </c>
      <c r="J936" s="220">
        <f>I936*0.1</f>
        <v>125900</v>
      </c>
      <c r="K936" s="220">
        <f>13100+1310</f>
        <v>14410</v>
      </c>
      <c r="L936" s="220">
        <v>18960</v>
      </c>
      <c r="M936" s="220">
        <v>22000</v>
      </c>
      <c r="N936" s="220">
        <f>SUM(I936:M937)</f>
        <v>1440270</v>
      </c>
      <c r="O936" s="224"/>
      <c r="P936" s="110" t="s">
        <v>3371</v>
      </c>
      <c r="Q936" s="15" t="s">
        <v>19</v>
      </c>
      <c r="R936" s="205"/>
      <c r="S936" s="189" t="s">
        <v>1271</v>
      </c>
      <c r="T936" s="114"/>
      <c r="U936" s="21"/>
      <c r="V936" s="115">
        <v>46058</v>
      </c>
      <c r="W936" s="116"/>
      <c r="X936" s="220">
        <v>1948718</v>
      </c>
      <c r="Y936" s="245">
        <v>0</v>
      </c>
      <c r="Z936" s="220">
        <v>0</v>
      </c>
      <c r="AA936" s="220">
        <f>SUM(X936:Z936)</f>
        <v>1948718</v>
      </c>
      <c r="AB936" s="222">
        <v>46105</v>
      </c>
    </row>
    <row r="937" spans="1:28" ht="17.100000000000001" customHeight="1" thickBot="1">
      <c r="A937" s="227"/>
      <c r="B937" s="27" t="s">
        <v>2680</v>
      </c>
      <c r="C937" s="27">
        <v>10036</v>
      </c>
      <c r="D937" s="14" t="s">
        <v>898</v>
      </c>
      <c r="E937" s="229"/>
      <c r="F937" s="117" t="s">
        <v>3372</v>
      </c>
      <c r="G937" s="26">
        <v>39634</v>
      </c>
      <c r="H937" s="231"/>
      <c r="I937" s="221"/>
      <c r="J937" s="221"/>
      <c r="K937" s="221"/>
      <c r="L937" s="221"/>
      <c r="M937" s="221"/>
      <c r="N937" s="221"/>
      <c r="O937" s="225"/>
      <c r="P937" s="118" t="s">
        <v>3373</v>
      </c>
      <c r="Q937" s="16" t="s">
        <v>20</v>
      </c>
      <c r="R937" s="17" t="s">
        <v>2223</v>
      </c>
      <c r="S937" s="121" t="s">
        <v>1731</v>
      </c>
      <c r="T937" s="122"/>
      <c r="U937" s="22" t="s">
        <v>50</v>
      </c>
      <c r="V937" s="123" t="s">
        <v>23943</v>
      </c>
      <c r="W937" s="122"/>
      <c r="X937" s="221"/>
      <c r="Y937" s="221"/>
      <c r="Z937" s="221"/>
      <c r="AA937" s="221"/>
      <c r="AB937" s="223"/>
    </row>
    <row r="938" spans="1:28" ht="17.100000000000001" customHeight="1" thickTop="1">
      <c r="A938" s="226" t="s">
        <v>6100</v>
      </c>
      <c r="B938" s="28">
        <v>45626</v>
      </c>
      <c r="C938" s="25">
        <v>1229</v>
      </c>
      <c r="D938" s="13" t="s">
        <v>3374</v>
      </c>
      <c r="E938" s="228" t="s">
        <v>2594</v>
      </c>
      <c r="F938" s="109" t="s">
        <v>3375</v>
      </c>
      <c r="G938" s="24" t="s">
        <v>3321</v>
      </c>
      <c r="H938" s="230">
        <v>4</v>
      </c>
      <c r="I938" s="220">
        <v>720000</v>
      </c>
      <c r="J938" s="220">
        <f>I938*0.1</f>
        <v>72000</v>
      </c>
      <c r="K938" s="220">
        <v>0</v>
      </c>
      <c r="L938" s="220">
        <v>9170</v>
      </c>
      <c r="M938" s="220">
        <v>12100</v>
      </c>
      <c r="N938" s="220">
        <f>SUM(I938:M939)</f>
        <v>813270</v>
      </c>
      <c r="O938" s="224"/>
      <c r="P938" s="110" t="s">
        <v>3376</v>
      </c>
      <c r="Q938" s="15" t="s">
        <v>19</v>
      </c>
      <c r="R938" s="205"/>
      <c r="S938" s="189" t="s">
        <v>1276</v>
      </c>
      <c r="T938" s="114"/>
      <c r="U938" s="21" t="s">
        <v>3377</v>
      </c>
      <c r="V938" s="115">
        <v>46144</v>
      </c>
      <c r="W938" s="116">
        <v>1299</v>
      </c>
      <c r="X938" s="220">
        <v>690000</v>
      </c>
      <c r="Y938" s="245">
        <f>X938*0.1</f>
        <v>69000</v>
      </c>
      <c r="Z938" s="220">
        <v>9170</v>
      </c>
      <c r="AA938" s="220">
        <f>SUM(X938:Z938)</f>
        <v>768170</v>
      </c>
      <c r="AB938" s="222">
        <v>46154</v>
      </c>
    </row>
    <row r="939" spans="1:28" ht="17.100000000000001" customHeight="1" thickBot="1">
      <c r="A939" s="227"/>
      <c r="B939" s="27" t="s">
        <v>2472</v>
      </c>
      <c r="C939" s="27">
        <v>65179</v>
      </c>
      <c r="D939" s="14" t="s">
        <v>1710</v>
      </c>
      <c r="E939" s="229"/>
      <c r="F939" s="117" t="s">
        <v>3378</v>
      </c>
      <c r="G939" s="26">
        <v>74894</v>
      </c>
      <c r="H939" s="231"/>
      <c r="I939" s="221"/>
      <c r="J939" s="221"/>
      <c r="K939" s="221"/>
      <c r="L939" s="221"/>
      <c r="M939" s="221"/>
      <c r="N939" s="221"/>
      <c r="O939" s="225"/>
      <c r="P939" s="118" t="s">
        <v>3379</v>
      </c>
      <c r="Q939" s="16" t="s">
        <v>20</v>
      </c>
      <c r="R939" s="17" t="s">
        <v>1739</v>
      </c>
      <c r="S939" s="121" t="s">
        <v>1722</v>
      </c>
      <c r="T939" s="122"/>
      <c r="U939" s="22"/>
      <c r="V939" s="123" t="s">
        <v>24346</v>
      </c>
      <c r="W939" s="122">
        <v>60101</v>
      </c>
      <c r="X939" s="221"/>
      <c r="Y939" s="221"/>
      <c r="Z939" s="221"/>
      <c r="AA939" s="221"/>
      <c r="AB939" s="223"/>
    </row>
    <row r="940" spans="1:28" ht="17.100000000000001" customHeight="1" thickTop="1">
      <c r="A940" s="226" t="s">
        <v>6101</v>
      </c>
      <c r="B940" s="28">
        <v>45626</v>
      </c>
      <c r="C940" s="25">
        <v>1394</v>
      </c>
      <c r="D940" s="13" t="s">
        <v>2900</v>
      </c>
      <c r="E940" s="228"/>
      <c r="F940" s="109" t="s">
        <v>3380</v>
      </c>
      <c r="G940" s="24"/>
      <c r="H940" s="230">
        <v>4.5</v>
      </c>
      <c r="I940" s="220">
        <v>2325000</v>
      </c>
      <c r="J940" s="220">
        <f>I940*0.1</f>
        <v>232500</v>
      </c>
      <c r="K940" s="220">
        <v>0</v>
      </c>
      <c r="L940" s="220">
        <v>16240</v>
      </c>
      <c r="M940" s="220">
        <v>13200</v>
      </c>
      <c r="N940" s="220">
        <f>SUM(I940:M941)</f>
        <v>2586940</v>
      </c>
      <c r="O940" s="224"/>
      <c r="P940" s="110" t="s">
        <v>3381</v>
      </c>
      <c r="Q940" s="15" t="s">
        <v>19</v>
      </c>
      <c r="R940" s="205"/>
      <c r="S940" s="189" t="s">
        <v>758</v>
      </c>
      <c r="T940" s="114"/>
      <c r="U940" s="21"/>
      <c r="V940" s="115"/>
      <c r="W940" s="116"/>
      <c r="X940" s="220"/>
      <c r="Y940" s="245">
        <f>X940*0.1</f>
        <v>0</v>
      </c>
      <c r="Z940" s="220"/>
      <c r="AA940" s="220">
        <f>SUM(X940:Z940)</f>
        <v>0</v>
      </c>
      <c r="AB940" s="222"/>
    </row>
    <row r="941" spans="1:28" ht="17.100000000000001" customHeight="1" thickBot="1">
      <c r="A941" s="227"/>
      <c r="B941" s="27" t="s">
        <v>1765</v>
      </c>
      <c r="C941" s="27">
        <v>7182</v>
      </c>
      <c r="D941" s="14" t="s">
        <v>273</v>
      </c>
      <c r="E941" s="229"/>
      <c r="F941" s="117" t="s">
        <v>3382</v>
      </c>
      <c r="G941" s="26">
        <v>25321</v>
      </c>
      <c r="H941" s="231"/>
      <c r="I941" s="221"/>
      <c r="J941" s="221"/>
      <c r="K941" s="221"/>
      <c r="L941" s="221"/>
      <c r="M941" s="221"/>
      <c r="N941" s="221"/>
      <c r="O941" s="225"/>
      <c r="P941" s="118" t="s">
        <v>3383</v>
      </c>
      <c r="Q941" s="16" t="s">
        <v>20</v>
      </c>
      <c r="R941" s="17" t="s">
        <v>3384</v>
      </c>
      <c r="S941" s="121" t="s">
        <v>1606</v>
      </c>
      <c r="T941" s="122"/>
      <c r="U941" s="22"/>
      <c r="V941" s="123"/>
      <c r="W941" s="122"/>
      <c r="X941" s="221"/>
      <c r="Y941" s="221"/>
      <c r="Z941" s="221"/>
      <c r="AA941" s="221"/>
      <c r="AB941" s="223"/>
    </row>
    <row r="942" spans="1:28" ht="17.100000000000001" customHeight="1" thickTop="1">
      <c r="A942" s="226" t="s">
        <v>6102</v>
      </c>
      <c r="B942" s="28">
        <v>45632</v>
      </c>
      <c r="C942" s="25">
        <v>2064</v>
      </c>
      <c r="D942" s="13" t="s">
        <v>3385</v>
      </c>
      <c r="E942" s="228"/>
      <c r="F942" s="135" t="s">
        <v>3386</v>
      </c>
      <c r="G942" s="24" t="s">
        <v>2487</v>
      </c>
      <c r="H942" s="230">
        <v>3.5</v>
      </c>
      <c r="I942" s="220">
        <v>950000</v>
      </c>
      <c r="J942" s="220">
        <f>I942*0.1</f>
        <v>95000</v>
      </c>
      <c r="K942" s="220">
        <v>18260</v>
      </c>
      <c r="L942" s="220">
        <v>21180</v>
      </c>
      <c r="M942" s="220">
        <v>24200</v>
      </c>
      <c r="N942" s="220">
        <f>SUM(I942:M943)</f>
        <v>1108640</v>
      </c>
      <c r="O942" s="224"/>
      <c r="P942" s="110" t="s">
        <v>3387</v>
      </c>
      <c r="Q942" s="15" t="s">
        <v>19</v>
      </c>
      <c r="R942" s="205"/>
      <c r="S942" s="189"/>
      <c r="T942" s="114"/>
      <c r="U942" s="21"/>
      <c r="V942" s="115"/>
      <c r="W942" s="116"/>
      <c r="X942" s="220"/>
      <c r="Y942" s="245">
        <f>X942*0.1</f>
        <v>0</v>
      </c>
      <c r="Z942" s="220"/>
      <c r="AA942" s="220">
        <f>SUM(X942:Z942)</f>
        <v>0</v>
      </c>
      <c r="AB942" s="222"/>
    </row>
    <row r="943" spans="1:28" ht="17.100000000000001" customHeight="1" thickBot="1">
      <c r="A943" s="227"/>
      <c r="B943" s="27" t="s">
        <v>1536</v>
      </c>
      <c r="C943" s="27">
        <v>35182</v>
      </c>
      <c r="D943" s="14" t="s">
        <v>3388</v>
      </c>
      <c r="E943" s="229"/>
      <c r="F943" s="117" t="s">
        <v>3389</v>
      </c>
      <c r="G943" s="26">
        <v>43400</v>
      </c>
      <c r="H943" s="231"/>
      <c r="I943" s="221"/>
      <c r="J943" s="221"/>
      <c r="K943" s="221"/>
      <c r="L943" s="221"/>
      <c r="M943" s="221"/>
      <c r="N943" s="221"/>
      <c r="O943" s="225"/>
      <c r="P943" s="118" t="s">
        <v>2870</v>
      </c>
      <c r="Q943" s="16" t="s">
        <v>20</v>
      </c>
      <c r="R943" s="17" t="s">
        <v>3390</v>
      </c>
      <c r="S943" s="121" t="s">
        <v>3391</v>
      </c>
      <c r="T943" s="122"/>
      <c r="U943" s="22" t="s">
        <v>901</v>
      </c>
      <c r="V943" s="123"/>
      <c r="W943" s="122"/>
      <c r="X943" s="221"/>
      <c r="Y943" s="221"/>
      <c r="Z943" s="221"/>
      <c r="AA943" s="221"/>
      <c r="AB943" s="223"/>
    </row>
    <row r="944" spans="1:28" ht="17.100000000000001" customHeight="1" thickTop="1">
      <c r="A944" s="226" t="s">
        <v>6103</v>
      </c>
      <c r="B944" s="28">
        <v>45633</v>
      </c>
      <c r="C944" s="25">
        <v>1230</v>
      </c>
      <c r="D944" s="13" t="s">
        <v>1899</v>
      </c>
      <c r="E944" s="228"/>
      <c r="F944" s="109" t="s">
        <v>3392</v>
      </c>
      <c r="G944" s="24"/>
      <c r="H944" s="230">
        <v>4.5</v>
      </c>
      <c r="I944" s="220">
        <v>1635000</v>
      </c>
      <c r="J944" s="220">
        <f>I944*0.1</f>
        <v>163500</v>
      </c>
      <c r="K944" s="220">
        <v>0</v>
      </c>
      <c r="L944" s="220">
        <v>21300</v>
      </c>
      <c r="M944" s="220">
        <v>13200</v>
      </c>
      <c r="N944" s="220">
        <f>SUM(I944:M945)</f>
        <v>1833000</v>
      </c>
      <c r="O944" s="224"/>
      <c r="P944" s="110" t="s">
        <v>3393</v>
      </c>
      <c r="Q944" s="15" t="s">
        <v>19</v>
      </c>
      <c r="R944" s="205"/>
      <c r="S944" s="189" t="s">
        <v>1271</v>
      </c>
      <c r="T944" s="114"/>
      <c r="U944" s="21"/>
      <c r="V944" s="115"/>
      <c r="W944" s="116"/>
      <c r="X944" s="220"/>
      <c r="Y944" s="245">
        <f>X944*0.1</f>
        <v>0</v>
      </c>
      <c r="Z944" s="220"/>
      <c r="AA944" s="220">
        <f>SUM(X944:Z944)</f>
        <v>0</v>
      </c>
      <c r="AB944" s="222"/>
    </row>
    <row r="945" spans="1:28" ht="17.100000000000001" customHeight="1" thickBot="1">
      <c r="A945" s="227"/>
      <c r="B945" s="27" t="s">
        <v>2472</v>
      </c>
      <c r="C945" s="27">
        <v>82320</v>
      </c>
      <c r="D945" s="14" t="s">
        <v>131</v>
      </c>
      <c r="E945" s="229"/>
      <c r="F945" s="117" t="s">
        <v>3394</v>
      </c>
      <c r="G945" s="26">
        <v>40040</v>
      </c>
      <c r="H945" s="231"/>
      <c r="I945" s="221"/>
      <c r="J945" s="221"/>
      <c r="K945" s="221"/>
      <c r="L945" s="221"/>
      <c r="M945" s="221"/>
      <c r="N945" s="221"/>
      <c r="O945" s="225"/>
      <c r="P945" s="118" t="s">
        <v>3395</v>
      </c>
      <c r="Q945" s="16" t="s">
        <v>20</v>
      </c>
      <c r="R945" s="17" t="s">
        <v>2235</v>
      </c>
      <c r="S945" s="121" t="s">
        <v>1731</v>
      </c>
      <c r="T945" s="122"/>
      <c r="U945" s="22"/>
      <c r="V945" s="123"/>
      <c r="W945" s="122"/>
      <c r="X945" s="221"/>
      <c r="Y945" s="221"/>
      <c r="Z945" s="221"/>
      <c r="AA945" s="221"/>
      <c r="AB945" s="223"/>
    </row>
    <row r="946" spans="1:28" ht="17.100000000000001" customHeight="1" thickTop="1">
      <c r="A946" s="226" t="s">
        <v>6104</v>
      </c>
      <c r="B946" s="28">
        <v>45637</v>
      </c>
      <c r="C946" s="25">
        <v>1769</v>
      </c>
      <c r="D946" s="13" t="s">
        <v>1715</v>
      </c>
      <c r="E946" s="228"/>
      <c r="F946" s="109" t="s">
        <v>2278</v>
      </c>
      <c r="G946" s="24" t="s">
        <v>3396</v>
      </c>
      <c r="H946" s="230">
        <v>5</v>
      </c>
      <c r="I946" s="220">
        <v>2155000</v>
      </c>
      <c r="J946" s="220">
        <f>I946*0.1</f>
        <v>215500</v>
      </c>
      <c r="K946" s="220">
        <f>9800+980</f>
        <v>10780</v>
      </c>
      <c r="L946" s="220">
        <v>16240</v>
      </c>
      <c r="M946" s="220">
        <v>18150</v>
      </c>
      <c r="N946" s="220">
        <f>SUM(I946:M947)</f>
        <v>2415670</v>
      </c>
      <c r="O946" s="224"/>
      <c r="P946" s="110" t="s">
        <v>3397</v>
      </c>
      <c r="Q946" s="15" t="s">
        <v>19</v>
      </c>
      <c r="R946" s="205"/>
      <c r="S946" s="189" t="s">
        <v>25413</v>
      </c>
      <c r="T946" s="114"/>
      <c r="U946" s="21" t="s">
        <v>3398</v>
      </c>
      <c r="V946" s="115"/>
      <c r="W946" s="116"/>
      <c r="X946" s="220"/>
      <c r="Y946" s="245">
        <f>X946*0.1</f>
        <v>0</v>
      </c>
      <c r="Z946" s="220"/>
      <c r="AA946" s="220">
        <f>SUM(X946:Z946)</f>
        <v>0</v>
      </c>
      <c r="AB946" s="222"/>
    </row>
    <row r="947" spans="1:28" ht="17.100000000000001" customHeight="1" thickBot="1">
      <c r="A947" s="227"/>
      <c r="B947" s="27" t="s">
        <v>2519</v>
      </c>
      <c r="C947" s="27">
        <v>38073</v>
      </c>
      <c r="D947" s="14" t="s">
        <v>1568</v>
      </c>
      <c r="E947" s="229"/>
      <c r="F947" s="117" t="s">
        <v>3399</v>
      </c>
      <c r="G947" s="26">
        <v>39007</v>
      </c>
      <c r="H947" s="231"/>
      <c r="I947" s="221"/>
      <c r="J947" s="221"/>
      <c r="K947" s="221"/>
      <c r="L947" s="221"/>
      <c r="M947" s="221"/>
      <c r="N947" s="221"/>
      <c r="O947" s="225"/>
      <c r="P947" s="118" t="s">
        <v>3400</v>
      </c>
      <c r="Q947" s="16" t="s">
        <v>20</v>
      </c>
      <c r="R947" s="17" t="s">
        <v>3401</v>
      </c>
      <c r="S947" s="121" t="s">
        <v>2623</v>
      </c>
      <c r="T947" s="122"/>
      <c r="U947" s="22"/>
      <c r="V947" s="123"/>
      <c r="W947" s="122"/>
      <c r="X947" s="221"/>
      <c r="Y947" s="221"/>
      <c r="Z947" s="221"/>
      <c r="AA947" s="221"/>
      <c r="AB947" s="223"/>
    </row>
    <row r="948" spans="1:28" ht="17.100000000000001" customHeight="1" thickTop="1">
      <c r="A948" s="226" t="s">
        <v>6105</v>
      </c>
      <c r="B948" s="28">
        <v>45638</v>
      </c>
      <c r="C948" s="25">
        <v>1261</v>
      </c>
      <c r="D948" s="13" t="s">
        <v>2107</v>
      </c>
      <c r="E948" s="228"/>
      <c r="F948" s="109" t="s">
        <v>3402</v>
      </c>
      <c r="G948" s="24"/>
      <c r="H948" s="230">
        <v>4</v>
      </c>
      <c r="I948" s="220">
        <v>1390000</v>
      </c>
      <c r="J948" s="220">
        <f>I948*0.1</f>
        <v>139000</v>
      </c>
      <c r="K948" s="220">
        <v>0</v>
      </c>
      <c r="L948" s="220">
        <v>22640</v>
      </c>
      <c r="M948" s="220">
        <v>13200</v>
      </c>
      <c r="N948" s="220">
        <f>SUM(I948:M949)</f>
        <v>1564840</v>
      </c>
      <c r="O948" s="224"/>
      <c r="P948" s="110" t="s">
        <v>3403</v>
      </c>
      <c r="Q948" s="15" t="s">
        <v>19</v>
      </c>
      <c r="R948" s="205"/>
      <c r="S948" s="189"/>
      <c r="T948" s="114"/>
      <c r="U948" s="21"/>
      <c r="V948" s="115"/>
      <c r="W948" s="116"/>
      <c r="X948" s="220"/>
      <c r="Y948" s="245">
        <f>X948*0.1</f>
        <v>0</v>
      </c>
      <c r="Z948" s="220"/>
      <c r="AA948" s="220">
        <f>SUM(X948:Z948)</f>
        <v>0</v>
      </c>
      <c r="AB948" s="222"/>
    </row>
    <row r="949" spans="1:28" ht="17.100000000000001" customHeight="1" thickBot="1">
      <c r="A949" s="227"/>
      <c r="B949" s="27" t="s">
        <v>1735</v>
      </c>
      <c r="C949" s="27">
        <v>143</v>
      </c>
      <c r="D949" s="14" t="s">
        <v>2559</v>
      </c>
      <c r="E949" s="229"/>
      <c r="F949" s="117" t="s">
        <v>3404</v>
      </c>
      <c r="G949" s="26">
        <v>47031</v>
      </c>
      <c r="H949" s="231"/>
      <c r="I949" s="221"/>
      <c r="J949" s="221"/>
      <c r="K949" s="221"/>
      <c r="L949" s="221"/>
      <c r="M949" s="221"/>
      <c r="N949" s="221"/>
      <c r="O949" s="225"/>
      <c r="P949" s="118" t="s">
        <v>3405</v>
      </c>
      <c r="Q949" s="16" t="s">
        <v>20</v>
      </c>
      <c r="R949" s="17" t="s">
        <v>3401</v>
      </c>
      <c r="S949" s="121"/>
      <c r="T949" s="122"/>
      <c r="U949" s="22"/>
      <c r="V949" s="123"/>
      <c r="W949" s="122"/>
      <c r="X949" s="221"/>
      <c r="Y949" s="221"/>
      <c r="Z949" s="221"/>
      <c r="AA949" s="221"/>
      <c r="AB949" s="223"/>
    </row>
    <row r="950" spans="1:28" ht="17.100000000000001" customHeight="1" thickTop="1">
      <c r="A950" s="226" t="s">
        <v>6106</v>
      </c>
      <c r="B950" s="28">
        <v>45638</v>
      </c>
      <c r="C950" s="25">
        <v>2089</v>
      </c>
      <c r="D950" s="13" t="s">
        <v>3406</v>
      </c>
      <c r="E950" s="228" t="s">
        <v>164</v>
      </c>
      <c r="F950" s="109" t="s">
        <v>3407</v>
      </c>
      <c r="G950" s="24" t="s">
        <v>3408</v>
      </c>
      <c r="H950" s="230">
        <v>4.5</v>
      </c>
      <c r="I950" s="220">
        <v>2283000</v>
      </c>
      <c r="J950" s="220">
        <f>I950*0.1</f>
        <v>228300</v>
      </c>
      <c r="K950" s="220">
        <v>7600</v>
      </c>
      <c r="L950" s="220">
        <v>16720</v>
      </c>
      <c r="M950" s="220">
        <v>13200</v>
      </c>
      <c r="N950" s="220">
        <f>SUM(I950:M951)</f>
        <v>2548820</v>
      </c>
      <c r="O950" s="224"/>
      <c r="P950" s="110" t="s">
        <v>3409</v>
      </c>
      <c r="Q950" s="15" t="s">
        <v>19</v>
      </c>
      <c r="R950" s="205"/>
      <c r="S950" s="189" t="s">
        <v>758</v>
      </c>
      <c r="T950" s="114"/>
      <c r="U950" s="21" t="s">
        <v>3410</v>
      </c>
      <c r="V950" s="115"/>
      <c r="W950" s="116"/>
      <c r="X950" s="220"/>
      <c r="Y950" s="245">
        <f>X950*0.1</f>
        <v>0</v>
      </c>
      <c r="Z950" s="220"/>
      <c r="AA950" s="220">
        <f>SUM(X950:Z950)</f>
        <v>0</v>
      </c>
      <c r="AB950" s="222"/>
    </row>
    <row r="951" spans="1:28" ht="17.100000000000001" customHeight="1" thickBot="1">
      <c r="A951" s="227"/>
      <c r="B951" s="27" t="s">
        <v>3411</v>
      </c>
      <c r="C951" s="27">
        <v>3022</v>
      </c>
      <c r="D951" s="14" t="s">
        <v>2177</v>
      </c>
      <c r="E951" s="229"/>
      <c r="F951" s="117" t="s">
        <v>3412</v>
      </c>
      <c r="G951" s="26">
        <v>23205</v>
      </c>
      <c r="H951" s="231"/>
      <c r="I951" s="221"/>
      <c r="J951" s="221"/>
      <c r="K951" s="221"/>
      <c r="L951" s="221"/>
      <c r="M951" s="221"/>
      <c r="N951" s="221"/>
      <c r="O951" s="225"/>
      <c r="P951" s="118" t="s">
        <v>3413</v>
      </c>
      <c r="Q951" s="16" t="s">
        <v>20</v>
      </c>
      <c r="R951" s="17" t="s">
        <v>3401</v>
      </c>
      <c r="S951" s="121" t="s">
        <v>169</v>
      </c>
      <c r="T951" s="122"/>
      <c r="U951" s="22"/>
      <c r="V951" s="123"/>
      <c r="W951" s="122"/>
      <c r="X951" s="221"/>
      <c r="Y951" s="221"/>
      <c r="Z951" s="221"/>
      <c r="AA951" s="221"/>
      <c r="AB951" s="223"/>
    </row>
    <row r="952" spans="1:28" ht="17.100000000000001" customHeight="1" thickTop="1">
      <c r="A952" s="226" t="s">
        <v>6107</v>
      </c>
      <c r="B952" s="28">
        <v>45639</v>
      </c>
      <c r="C952" s="25">
        <v>2065</v>
      </c>
      <c r="D952" s="13" t="s">
        <v>3414</v>
      </c>
      <c r="E952" s="228"/>
      <c r="F952" s="109" t="s">
        <v>3415</v>
      </c>
      <c r="G952" s="24" t="s">
        <v>3416</v>
      </c>
      <c r="H952" s="230">
        <v>4</v>
      </c>
      <c r="I952" s="220">
        <v>2240000</v>
      </c>
      <c r="J952" s="220">
        <f>I952*0.1</f>
        <v>224000</v>
      </c>
      <c r="K952" s="220">
        <f>25300+2530</f>
        <v>27830</v>
      </c>
      <c r="L952" s="220">
        <v>22270</v>
      </c>
      <c r="M952" s="220">
        <v>13200</v>
      </c>
      <c r="N952" s="220">
        <f>SUM(I952:M953)</f>
        <v>2527300</v>
      </c>
      <c r="O952" s="224"/>
      <c r="P952" s="110" t="s">
        <v>3417</v>
      </c>
      <c r="Q952" s="15" t="s">
        <v>19</v>
      </c>
      <c r="R952" s="205"/>
      <c r="S952" s="189" t="s">
        <v>25420</v>
      </c>
      <c r="T952" s="114"/>
      <c r="U952" s="21"/>
      <c r="V952" s="115"/>
      <c r="W952" s="116"/>
      <c r="X952" s="220"/>
      <c r="Y952" s="245">
        <f>X952*0.1</f>
        <v>0</v>
      </c>
      <c r="Z952" s="220"/>
      <c r="AA952" s="220">
        <f>SUM(X952:Z952)</f>
        <v>0</v>
      </c>
      <c r="AB952" s="222"/>
    </row>
    <row r="953" spans="1:28" ht="17.100000000000001" customHeight="1" thickBot="1">
      <c r="A953" s="227"/>
      <c r="B953" s="27" t="s">
        <v>1536</v>
      </c>
      <c r="C953" s="27">
        <v>35138</v>
      </c>
      <c r="D953" s="14" t="s">
        <v>273</v>
      </c>
      <c r="E953" s="229"/>
      <c r="F953" s="117" t="s">
        <v>3418</v>
      </c>
      <c r="G953" s="26">
        <v>53501</v>
      </c>
      <c r="H953" s="231"/>
      <c r="I953" s="221"/>
      <c r="J953" s="221"/>
      <c r="K953" s="221"/>
      <c r="L953" s="221"/>
      <c r="M953" s="221"/>
      <c r="N953" s="221"/>
      <c r="O953" s="225"/>
      <c r="P953" s="118" t="s">
        <v>3419</v>
      </c>
      <c r="Q953" s="16" t="s">
        <v>20</v>
      </c>
      <c r="R953" s="17" t="s">
        <v>3420</v>
      </c>
      <c r="S953" s="121" t="s">
        <v>3421</v>
      </c>
      <c r="T953" s="122"/>
      <c r="U953" s="22"/>
      <c r="V953" s="123"/>
      <c r="W953" s="122"/>
      <c r="X953" s="221"/>
      <c r="Y953" s="221"/>
      <c r="Z953" s="221"/>
      <c r="AA953" s="221"/>
      <c r="AB953" s="223"/>
    </row>
    <row r="954" spans="1:28" ht="17.100000000000001" customHeight="1" thickTop="1">
      <c r="A954" s="226" t="s">
        <v>6108</v>
      </c>
      <c r="B954" s="28">
        <v>45644</v>
      </c>
      <c r="C954" s="25">
        <v>2286</v>
      </c>
      <c r="D954" s="13" t="s">
        <v>3422</v>
      </c>
      <c r="E954" s="228"/>
      <c r="F954" s="109" t="s">
        <v>3423</v>
      </c>
      <c r="G954" s="24" t="s">
        <v>2806</v>
      </c>
      <c r="H954" s="230">
        <v>4.5</v>
      </c>
      <c r="I954" s="220">
        <v>1380000</v>
      </c>
      <c r="J954" s="220">
        <f>I954*0.1</f>
        <v>138000</v>
      </c>
      <c r="K954" s="220">
        <v>10780</v>
      </c>
      <c r="L954" s="220">
        <v>20170</v>
      </c>
      <c r="M954" s="220">
        <v>17600</v>
      </c>
      <c r="N954" s="220">
        <f>SUM(I954:M955)</f>
        <v>1566550</v>
      </c>
      <c r="O954" s="224"/>
      <c r="P954" s="110" t="s">
        <v>3424</v>
      </c>
      <c r="Q954" s="15" t="s">
        <v>19</v>
      </c>
      <c r="R954" s="205"/>
      <c r="S954" s="189" t="s">
        <v>1271</v>
      </c>
      <c r="T954" s="114"/>
      <c r="U954" s="21" t="s">
        <v>3425</v>
      </c>
      <c r="V954" s="115"/>
      <c r="W954" s="116"/>
      <c r="X954" s="220"/>
      <c r="Y954" s="245">
        <f>X954*0.1</f>
        <v>0</v>
      </c>
      <c r="Z954" s="220"/>
      <c r="AA954" s="220">
        <f>SUM(X954:Z954)</f>
        <v>0</v>
      </c>
      <c r="AB954" s="222"/>
    </row>
    <row r="955" spans="1:28" ht="17.100000000000001" customHeight="1" thickBot="1">
      <c r="A955" s="227"/>
      <c r="B955" s="27" t="s">
        <v>3367</v>
      </c>
      <c r="C955" s="27">
        <v>50256</v>
      </c>
      <c r="D955" s="14" t="s">
        <v>898</v>
      </c>
      <c r="E955" s="229"/>
      <c r="F955" s="117" t="s">
        <v>3426</v>
      </c>
      <c r="G955" s="26">
        <v>39180</v>
      </c>
      <c r="H955" s="231"/>
      <c r="I955" s="221"/>
      <c r="J955" s="221"/>
      <c r="K955" s="221"/>
      <c r="L955" s="221"/>
      <c r="M955" s="221"/>
      <c r="N955" s="221"/>
      <c r="O955" s="225"/>
      <c r="P955" s="118" t="s">
        <v>2287</v>
      </c>
      <c r="Q955" s="16" t="s">
        <v>20</v>
      </c>
      <c r="R955" s="17" t="s">
        <v>1794</v>
      </c>
      <c r="S955" s="121" t="s">
        <v>1731</v>
      </c>
      <c r="T955" s="122"/>
      <c r="U955" s="22" t="s">
        <v>3427</v>
      </c>
      <c r="V955" s="123"/>
      <c r="W955" s="122"/>
      <c r="X955" s="221"/>
      <c r="Y955" s="221"/>
      <c r="Z955" s="221"/>
      <c r="AA955" s="221"/>
      <c r="AB955" s="223"/>
    </row>
    <row r="956" spans="1:28" ht="17.100000000000001" customHeight="1" thickTop="1">
      <c r="A956" s="226" t="s">
        <v>6109</v>
      </c>
      <c r="B956" s="28">
        <v>45647</v>
      </c>
      <c r="C956" s="25">
        <v>1475</v>
      </c>
      <c r="D956" s="13" t="s">
        <v>2406</v>
      </c>
      <c r="E956" s="228"/>
      <c r="F956" s="109" t="s">
        <v>2886</v>
      </c>
      <c r="G956" s="24"/>
      <c r="H956" s="230">
        <v>4.5</v>
      </c>
      <c r="I956" s="220">
        <v>1864000</v>
      </c>
      <c r="J956" s="220">
        <f>I956*0.1</f>
        <v>186400</v>
      </c>
      <c r="K956" s="220">
        <v>0</v>
      </c>
      <c r="L956" s="220">
        <v>16240</v>
      </c>
      <c r="M956" s="220">
        <v>13200</v>
      </c>
      <c r="N956" s="220">
        <f>SUM(I956:M957)</f>
        <v>2079840</v>
      </c>
      <c r="O956" s="224"/>
      <c r="P956" s="110" t="s">
        <v>3428</v>
      </c>
      <c r="Q956" s="15" t="s">
        <v>19</v>
      </c>
      <c r="R956" s="205"/>
      <c r="S956" s="189" t="s">
        <v>696</v>
      </c>
      <c r="T956" s="114"/>
      <c r="U956" s="21"/>
      <c r="V956" s="115"/>
      <c r="W956" s="116"/>
      <c r="X956" s="220"/>
      <c r="Y956" s="245">
        <f>X956*0.1</f>
        <v>0</v>
      </c>
      <c r="Z956" s="220"/>
      <c r="AA956" s="220">
        <f>SUM(X956:Z956)</f>
        <v>0</v>
      </c>
      <c r="AB956" s="222"/>
    </row>
    <row r="957" spans="1:28" ht="17.100000000000001" customHeight="1" thickBot="1">
      <c r="A957" s="227"/>
      <c r="B957" s="27" t="s">
        <v>1547</v>
      </c>
      <c r="C957" s="27">
        <v>83073</v>
      </c>
      <c r="D957" s="14" t="s">
        <v>2520</v>
      </c>
      <c r="E957" s="229"/>
      <c r="F957" s="117" t="s">
        <v>3430</v>
      </c>
      <c r="G957" s="26">
        <v>52528</v>
      </c>
      <c r="H957" s="231"/>
      <c r="I957" s="221"/>
      <c r="J957" s="221"/>
      <c r="K957" s="221"/>
      <c r="L957" s="221"/>
      <c r="M957" s="221"/>
      <c r="N957" s="221"/>
      <c r="O957" s="225"/>
      <c r="P957" s="118" t="s">
        <v>3431</v>
      </c>
      <c r="Q957" s="16" t="s">
        <v>20</v>
      </c>
      <c r="R957" s="17" t="s">
        <v>3432</v>
      </c>
      <c r="S957" s="121" t="s">
        <v>3433</v>
      </c>
      <c r="T957" s="122"/>
      <c r="U957" s="22"/>
      <c r="V957" s="123"/>
      <c r="W957" s="122"/>
      <c r="X957" s="221"/>
      <c r="Y957" s="221"/>
      <c r="Z957" s="221"/>
      <c r="AA957" s="221"/>
      <c r="AB957" s="223"/>
    </row>
    <row r="958" spans="1:28" ht="17.100000000000001" customHeight="1" thickTop="1">
      <c r="A958" s="226" t="s">
        <v>6110</v>
      </c>
      <c r="B958" s="28">
        <v>45647</v>
      </c>
      <c r="C958" s="25">
        <v>1232</v>
      </c>
      <c r="D958" s="13" t="s">
        <v>1853</v>
      </c>
      <c r="E958" s="228"/>
      <c r="F958" s="109" t="s">
        <v>2612</v>
      </c>
      <c r="G958" s="24" t="s">
        <v>3434</v>
      </c>
      <c r="H958" s="230">
        <v>4.5</v>
      </c>
      <c r="I958" s="220">
        <v>1245000</v>
      </c>
      <c r="J958" s="220">
        <f>I958*0.1</f>
        <v>124500</v>
      </c>
      <c r="K958" s="220">
        <v>10780</v>
      </c>
      <c r="L958" s="220">
        <v>17700</v>
      </c>
      <c r="M958" s="220">
        <v>13200</v>
      </c>
      <c r="N958" s="220">
        <f>SUM(I958:M959)</f>
        <v>1411180</v>
      </c>
      <c r="O958" s="224"/>
      <c r="P958" s="110" t="s">
        <v>3435</v>
      </c>
      <c r="Q958" s="15" t="s">
        <v>19</v>
      </c>
      <c r="R958" s="205"/>
      <c r="S958" s="189" t="s">
        <v>1271</v>
      </c>
      <c r="T958" s="114"/>
      <c r="U958" s="21" t="s">
        <v>3436</v>
      </c>
      <c r="V958" s="115">
        <v>46075</v>
      </c>
      <c r="W958" s="116"/>
      <c r="X958" s="220">
        <v>2562000</v>
      </c>
      <c r="Y958" s="245">
        <v>0</v>
      </c>
      <c r="Z958" s="220">
        <v>0</v>
      </c>
      <c r="AA958" s="220">
        <f>SUM(X958:Z958)</f>
        <v>2562000</v>
      </c>
      <c r="AB958" s="222">
        <v>46110</v>
      </c>
    </row>
    <row r="959" spans="1:28" ht="17.100000000000001" customHeight="1" thickBot="1">
      <c r="A959" s="227"/>
      <c r="B959" s="27" t="s">
        <v>2472</v>
      </c>
      <c r="C959" s="27">
        <v>82079</v>
      </c>
      <c r="D959" s="14" t="s">
        <v>131</v>
      </c>
      <c r="E959" s="229"/>
      <c r="F959" s="117" t="s">
        <v>3437</v>
      </c>
      <c r="G959" s="26">
        <v>42712</v>
      </c>
      <c r="H959" s="231"/>
      <c r="I959" s="221"/>
      <c r="J959" s="221"/>
      <c r="K959" s="221"/>
      <c r="L959" s="221"/>
      <c r="M959" s="221"/>
      <c r="N959" s="221"/>
      <c r="O959" s="225"/>
      <c r="P959" s="118" t="s">
        <v>3438</v>
      </c>
      <c r="Q959" s="16" t="s">
        <v>20</v>
      </c>
      <c r="R959" s="17" t="s">
        <v>3432</v>
      </c>
      <c r="S959" s="121" t="s">
        <v>1731</v>
      </c>
      <c r="T959" s="122"/>
      <c r="U959" s="22"/>
      <c r="V959" s="123" t="s">
        <v>23946</v>
      </c>
      <c r="W959" s="122"/>
      <c r="X959" s="221"/>
      <c r="Y959" s="221"/>
      <c r="Z959" s="221"/>
      <c r="AA959" s="221"/>
      <c r="AB959" s="223"/>
    </row>
    <row r="960" spans="1:28" ht="17.100000000000001" customHeight="1" thickTop="1">
      <c r="A960" s="226" t="s">
        <v>6111</v>
      </c>
      <c r="B960" s="28">
        <v>45649</v>
      </c>
      <c r="C960" s="25">
        <v>2025</v>
      </c>
      <c r="D960" s="13" t="s">
        <v>1715</v>
      </c>
      <c r="E960" s="228"/>
      <c r="F960" s="109" t="s">
        <v>3439</v>
      </c>
      <c r="G960" s="24" t="s">
        <v>3345</v>
      </c>
      <c r="H960" s="230">
        <v>4</v>
      </c>
      <c r="I960" s="220">
        <v>2200000</v>
      </c>
      <c r="J960" s="220">
        <f>I960*0.1</f>
        <v>220000</v>
      </c>
      <c r="K960" s="220">
        <f>9800+980</f>
        <v>10780</v>
      </c>
      <c r="L960" s="220">
        <v>19090</v>
      </c>
      <c r="M960" s="220">
        <v>11000</v>
      </c>
      <c r="N960" s="220">
        <f>SUM(I960:M961)</f>
        <v>2460870</v>
      </c>
      <c r="O960" s="224"/>
      <c r="P960" s="110" t="s">
        <v>3440</v>
      </c>
      <c r="Q960" s="15" t="s">
        <v>19</v>
      </c>
      <c r="R960" s="205"/>
      <c r="S960" s="189"/>
      <c r="T960" s="134"/>
      <c r="U960" s="21" t="s">
        <v>3441</v>
      </c>
      <c r="V960" s="115"/>
      <c r="W960" s="116"/>
      <c r="X960" s="220"/>
      <c r="Y960" s="245">
        <f>X960*0.1</f>
        <v>0</v>
      </c>
      <c r="Z960" s="220"/>
      <c r="AA960" s="220">
        <f>SUM(X960:Z960)</f>
        <v>0</v>
      </c>
      <c r="AB960" s="222"/>
    </row>
    <row r="961" spans="1:28" ht="17.100000000000001" customHeight="1" thickBot="1">
      <c r="A961" s="227"/>
      <c r="B961" s="27" t="s">
        <v>82</v>
      </c>
      <c r="C961" s="27">
        <v>34503</v>
      </c>
      <c r="D961" s="14" t="s">
        <v>2177</v>
      </c>
      <c r="E961" s="229"/>
      <c r="F961" s="117" t="s">
        <v>3442</v>
      </c>
      <c r="G961" s="26">
        <v>10929</v>
      </c>
      <c r="H961" s="231"/>
      <c r="I961" s="221"/>
      <c r="J961" s="221"/>
      <c r="K961" s="221"/>
      <c r="L961" s="221"/>
      <c r="M961" s="221"/>
      <c r="N961" s="221"/>
      <c r="O961" s="225"/>
      <c r="P961" s="118" t="s">
        <v>3443</v>
      </c>
      <c r="Q961" s="16" t="s">
        <v>20</v>
      </c>
      <c r="R961" s="17" t="s">
        <v>2866</v>
      </c>
      <c r="S961" s="121" t="s">
        <v>3444</v>
      </c>
      <c r="T961" s="122" t="s">
        <v>3445</v>
      </c>
      <c r="U961" s="22"/>
      <c r="V961" s="123"/>
      <c r="W961" s="122"/>
      <c r="X961" s="221"/>
      <c r="Y961" s="221"/>
      <c r="Z961" s="221"/>
      <c r="AA961" s="221"/>
      <c r="AB961" s="223"/>
    </row>
    <row r="962" spans="1:28" ht="17.100000000000001" customHeight="1" thickTop="1">
      <c r="A962" s="226" t="s">
        <v>6112</v>
      </c>
      <c r="B962" s="28">
        <v>45670</v>
      </c>
      <c r="C962" s="25"/>
      <c r="D962" s="13" t="s">
        <v>1846</v>
      </c>
      <c r="E962" s="228"/>
      <c r="F962" s="109" t="s">
        <v>2952</v>
      </c>
      <c r="G962" s="24" t="s">
        <v>3446</v>
      </c>
      <c r="H962" s="230">
        <v>3.5</v>
      </c>
      <c r="I962" s="220">
        <v>730000</v>
      </c>
      <c r="J962" s="220">
        <f>I962*0.1</f>
        <v>73000</v>
      </c>
      <c r="K962" s="220">
        <v>6270</v>
      </c>
      <c r="L962" s="220">
        <v>18960</v>
      </c>
      <c r="M962" s="220">
        <v>14850</v>
      </c>
      <c r="N962" s="220">
        <f>SUM(I962:M963)</f>
        <v>843080</v>
      </c>
      <c r="O962" s="224"/>
      <c r="P962" s="110" t="s">
        <v>3447</v>
      </c>
      <c r="Q962" s="15" t="s">
        <v>19</v>
      </c>
      <c r="R962" s="205"/>
      <c r="S962" s="189"/>
      <c r="T962" s="114"/>
      <c r="U962" s="21" t="s">
        <v>3448</v>
      </c>
      <c r="V962" s="115"/>
      <c r="W962" s="116"/>
      <c r="X962" s="220"/>
      <c r="Y962" s="245">
        <f>X962*0.1</f>
        <v>0</v>
      </c>
      <c r="Z962" s="220"/>
      <c r="AA962" s="220">
        <f>SUM(X962:Z962)</f>
        <v>0</v>
      </c>
      <c r="AB962" s="222"/>
    </row>
    <row r="963" spans="1:28" ht="17.100000000000001" customHeight="1" thickBot="1">
      <c r="A963" s="227"/>
      <c r="B963" s="27" t="s">
        <v>2727</v>
      </c>
      <c r="C963" s="27">
        <v>70402</v>
      </c>
      <c r="D963" s="14" t="s">
        <v>898</v>
      </c>
      <c r="E963" s="229"/>
      <c r="F963" s="117" t="s">
        <v>3449</v>
      </c>
      <c r="G963" s="26">
        <v>48887</v>
      </c>
      <c r="H963" s="231"/>
      <c r="I963" s="221"/>
      <c r="J963" s="221"/>
      <c r="K963" s="221"/>
      <c r="L963" s="221"/>
      <c r="M963" s="221"/>
      <c r="N963" s="221"/>
      <c r="O963" s="225"/>
      <c r="P963" s="118" t="s">
        <v>3450</v>
      </c>
      <c r="Q963" s="16" t="s">
        <v>20</v>
      </c>
      <c r="R963" s="17" t="s">
        <v>2276</v>
      </c>
      <c r="S963" s="121" t="s">
        <v>3451</v>
      </c>
      <c r="T963" s="122"/>
      <c r="U963" s="22"/>
      <c r="V963" s="123"/>
      <c r="W963" s="122"/>
      <c r="X963" s="221"/>
      <c r="Y963" s="221"/>
      <c r="Z963" s="221"/>
      <c r="AA963" s="221"/>
      <c r="AB963" s="223"/>
    </row>
    <row r="964" spans="1:28" ht="17.100000000000001" customHeight="1" thickTop="1">
      <c r="A964" s="226" t="s">
        <v>6113</v>
      </c>
      <c r="B964" s="28">
        <v>45671</v>
      </c>
      <c r="C964" s="25">
        <v>1028</v>
      </c>
      <c r="D964" s="13" t="s">
        <v>2690</v>
      </c>
      <c r="E964" s="228"/>
      <c r="F964" s="109" t="s">
        <v>3452</v>
      </c>
      <c r="G964" s="24" t="s">
        <v>3453</v>
      </c>
      <c r="H964" s="230">
        <v>4.5</v>
      </c>
      <c r="I964" s="220">
        <v>2565000</v>
      </c>
      <c r="J964" s="220">
        <f>I964*0.1</f>
        <v>256500</v>
      </c>
      <c r="K964" s="220">
        <f>6000+600</f>
        <v>6600</v>
      </c>
      <c r="L964" s="220">
        <v>17800</v>
      </c>
      <c r="M964" s="220">
        <v>13200</v>
      </c>
      <c r="N964" s="220">
        <f>SUM(I964:M965)</f>
        <v>2859100</v>
      </c>
      <c r="O964" s="224"/>
      <c r="P964" s="110" t="s">
        <v>3454</v>
      </c>
      <c r="Q964" s="15" t="s">
        <v>19</v>
      </c>
      <c r="R964" s="205"/>
      <c r="S964" s="189" t="s">
        <v>25368</v>
      </c>
      <c r="T964" s="114"/>
      <c r="U964" s="21" t="s">
        <v>3455</v>
      </c>
      <c r="V964" s="115">
        <v>46377</v>
      </c>
      <c r="W964" s="116"/>
      <c r="X964" s="220">
        <v>3431300</v>
      </c>
      <c r="Y964" s="245">
        <v>0</v>
      </c>
      <c r="Z964" s="220">
        <v>0</v>
      </c>
      <c r="AA964" s="220">
        <f>SUM(X964:Z964)</f>
        <v>3431300</v>
      </c>
      <c r="AB964" s="222">
        <v>46046</v>
      </c>
    </row>
    <row r="965" spans="1:28" ht="17.100000000000001" customHeight="1" thickBot="1">
      <c r="A965" s="227"/>
      <c r="B965" s="27" t="s">
        <v>1583</v>
      </c>
      <c r="C965" s="27">
        <v>82068</v>
      </c>
      <c r="D965" s="14" t="s">
        <v>1584</v>
      </c>
      <c r="E965" s="229"/>
      <c r="F965" s="117" t="s">
        <v>3456</v>
      </c>
      <c r="G965" s="26">
        <v>26224</v>
      </c>
      <c r="H965" s="231"/>
      <c r="I965" s="221"/>
      <c r="J965" s="221"/>
      <c r="K965" s="221"/>
      <c r="L965" s="221"/>
      <c r="M965" s="221"/>
      <c r="N965" s="221"/>
      <c r="O965" s="225"/>
      <c r="P965" s="118" t="s">
        <v>3457</v>
      </c>
      <c r="Q965" s="16" t="s">
        <v>20</v>
      </c>
      <c r="R965" s="17" t="s">
        <v>3458</v>
      </c>
      <c r="S965" s="121" t="s">
        <v>1731</v>
      </c>
      <c r="T965" s="122"/>
      <c r="U965" s="22"/>
      <c r="V965" s="123" t="s">
        <v>17052</v>
      </c>
      <c r="W965" s="122"/>
      <c r="X965" s="221"/>
      <c r="Y965" s="221"/>
      <c r="Z965" s="221"/>
      <c r="AA965" s="221"/>
      <c r="AB965" s="223"/>
    </row>
    <row r="966" spans="1:28" ht="17.100000000000001" customHeight="1" thickTop="1">
      <c r="A966" s="226" t="s">
        <v>6114</v>
      </c>
      <c r="B966" s="28">
        <v>45671</v>
      </c>
      <c r="C966" s="25">
        <v>1028</v>
      </c>
      <c r="D966" s="13" t="s">
        <v>1640</v>
      </c>
      <c r="E966" s="228"/>
      <c r="F966" s="109" t="s">
        <v>3459</v>
      </c>
      <c r="G966" s="24" t="s">
        <v>2810</v>
      </c>
      <c r="H966" s="230">
        <v>4</v>
      </c>
      <c r="I966" s="220">
        <v>1900000</v>
      </c>
      <c r="J966" s="220">
        <f>I966*0.1</f>
        <v>190000</v>
      </c>
      <c r="K966" s="220">
        <f>6500+650</f>
        <v>7150</v>
      </c>
      <c r="L966" s="220">
        <v>13210</v>
      </c>
      <c r="M966" s="220">
        <v>24200</v>
      </c>
      <c r="N966" s="220">
        <f>SUM(I966:M967)</f>
        <v>2134560</v>
      </c>
      <c r="O966" s="224"/>
      <c r="P966" s="110" t="s">
        <v>3460</v>
      </c>
      <c r="Q966" s="15" t="s">
        <v>19</v>
      </c>
      <c r="R966" s="205"/>
      <c r="S966" s="189" t="s">
        <v>25421</v>
      </c>
      <c r="T966" s="114"/>
      <c r="U966" s="21" t="s">
        <v>3462</v>
      </c>
      <c r="V966" s="115"/>
      <c r="W966" s="116"/>
      <c r="X966" s="220"/>
      <c r="Y966" s="245">
        <f>X966*0.1</f>
        <v>0</v>
      </c>
      <c r="Z966" s="220"/>
      <c r="AA966" s="220">
        <f>SUM(X966:Z966)</f>
        <v>0</v>
      </c>
      <c r="AB966" s="222"/>
    </row>
    <row r="967" spans="1:28" ht="17.100000000000001" customHeight="1" thickBot="1">
      <c r="A967" s="227"/>
      <c r="B967" s="27" t="s">
        <v>1583</v>
      </c>
      <c r="C967" s="27">
        <v>90160</v>
      </c>
      <c r="D967" s="14" t="s">
        <v>131</v>
      </c>
      <c r="E967" s="229"/>
      <c r="F967" s="117" t="s">
        <v>3463</v>
      </c>
      <c r="G967" s="26">
        <v>42295</v>
      </c>
      <c r="H967" s="231"/>
      <c r="I967" s="221"/>
      <c r="J967" s="221"/>
      <c r="K967" s="221"/>
      <c r="L967" s="221"/>
      <c r="M967" s="221"/>
      <c r="N967" s="221"/>
      <c r="O967" s="225"/>
      <c r="P967" s="118" t="s">
        <v>1844</v>
      </c>
      <c r="Q967" s="16" t="s">
        <v>20</v>
      </c>
      <c r="R967" s="17" t="s">
        <v>1807</v>
      </c>
      <c r="S967" s="121" t="s">
        <v>1731</v>
      </c>
      <c r="T967" s="122"/>
      <c r="U967" s="22"/>
      <c r="V967" s="123"/>
      <c r="W967" s="122"/>
      <c r="X967" s="221"/>
      <c r="Y967" s="221"/>
      <c r="Z967" s="221"/>
      <c r="AA967" s="221"/>
      <c r="AB967" s="223"/>
    </row>
    <row r="968" spans="1:28" ht="17.100000000000001" customHeight="1" thickTop="1">
      <c r="A968" s="226" t="s">
        <v>6115</v>
      </c>
      <c r="B968" s="28">
        <v>45681</v>
      </c>
      <c r="C968" s="25"/>
      <c r="D968" s="13" t="s">
        <v>2295</v>
      </c>
      <c r="E968" s="228"/>
      <c r="F968" s="109" t="s">
        <v>2901</v>
      </c>
      <c r="G968" s="24" t="s">
        <v>3464</v>
      </c>
      <c r="H968" s="230">
        <v>4</v>
      </c>
      <c r="I968" s="220">
        <f>3982000/1.1</f>
        <v>3619999.9999999995</v>
      </c>
      <c r="J968" s="220">
        <f>I968*0.1</f>
        <v>362000</v>
      </c>
      <c r="K968" s="220">
        <v>3600</v>
      </c>
      <c r="L968" s="220">
        <v>14900</v>
      </c>
      <c r="M968" s="220">
        <v>154550</v>
      </c>
      <c r="N968" s="220">
        <f>SUM(I968:M969)</f>
        <v>4155049.9999999995</v>
      </c>
      <c r="O968" s="224"/>
      <c r="P968" s="110" t="s">
        <v>3465</v>
      </c>
      <c r="Q968" s="15" t="s">
        <v>19</v>
      </c>
      <c r="R968" s="205"/>
      <c r="S968" s="189" t="s">
        <v>758</v>
      </c>
      <c r="T968" s="114"/>
      <c r="U968" s="21" t="s">
        <v>3466</v>
      </c>
      <c r="V968" s="115"/>
      <c r="W968" s="116"/>
      <c r="X968" s="220"/>
      <c r="Y968" s="245">
        <f>X968*0.1</f>
        <v>0</v>
      </c>
      <c r="Z968" s="220"/>
      <c r="AA968" s="220">
        <f>SUM(X968:Z968)</f>
        <v>0</v>
      </c>
      <c r="AB968" s="222"/>
    </row>
    <row r="969" spans="1:28" ht="17.100000000000001" customHeight="1" thickBot="1">
      <c r="A969" s="227"/>
      <c r="B969" s="27" t="s">
        <v>1708</v>
      </c>
      <c r="C969" s="27" t="s">
        <v>3467</v>
      </c>
      <c r="D969" s="14" t="s">
        <v>273</v>
      </c>
      <c r="E969" s="229"/>
      <c r="F969" s="117" t="s">
        <v>3468</v>
      </c>
      <c r="G969" s="26">
        <v>35326</v>
      </c>
      <c r="H969" s="231"/>
      <c r="I969" s="221"/>
      <c r="J969" s="221"/>
      <c r="K969" s="221"/>
      <c r="L969" s="221"/>
      <c r="M969" s="221"/>
      <c r="N969" s="221"/>
      <c r="O969" s="225"/>
      <c r="P969" s="118" t="s">
        <v>3469</v>
      </c>
      <c r="Q969" s="16" t="s">
        <v>20</v>
      </c>
      <c r="R969" s="17" t="s">
        <v>1860</v>
      </c>
      <c r="S969" s="121" t="s">
        <v>24886</v>
      </c>
      <c r="T969" s="122"/>
      <c r="U969" s="22"/>
      <c r="V969" s="123"/>
      <c r="W969" s="122"/>
      <c r="X969" s="221"/>
      <c r="Y969" s="221"/>
      <c r="Z969" s="221"/>
      <c r="AA969" s="221"/>
      <c r="AB969" s="223"/>
    </row>
    <row r="970" spans="1:28" ht="17.100000000000001" customHeight="1" thickTop="1">
      <c r="A970" s="226" t="s">
        <v>6116</v>
      </c>
      <c r="B970" s="28">
        <v>45681</v>
      </c>
      <c r="C970" s="25">
        <v>1354</v>
      </c>
      <c r="D970" s="13" t="s">
        <v>2422</v>
      </c>
      <c r="E970" s="228"/>
      <c r="F970" s="109" t="s">
        <v>3470</v>
      </c>
      <c r="G970" s="24"/>
      <c r="H970" s="230">
        <v>4</v>
      </c>
      <c r="I970" s="220">
        <v>1240000</v>
      </c>
      <c r="J970" s="220">
        <f>I970*0.1</f>
        <v>124000</v>
      </c>
      <c r="K970" s="220">
        <v>0</v>
      </c>
      <c r="L970" s="220">
        <v>22240</v>
      </c>
      <c r="M970" s="220">
        <v>19800</v>
      </c>
      <c r="N970" s="220">
        <f>SUM(I970:M971)</f>
        <v>1406040</v>
      </c>
      <c r="O970" s="224"/>
      <c r="P970" s="110" t="s">
        <v>3471</v>
      </c>
      <c r="Q970" s="15" t="s">
        <v>19</v>
      </c>
      <c r="R970" s="205"/>
      <c r="S970" s="189"/>
      <c r="T970" s="114"/>
      <c r="U970" s="21"/>
      <c r="V970" s="115"/>
      <c r="W970" s="116"/>
      <c r="X970" s="220"/>
      <c r="Y970" s="245">
        <f>X970*0.1</f>
        <v>0</v>
      </c>
      <c r="Z970" s="220"/>
      <c r="AA970" s="220">
        <f>SUM(X970:Z970)</f>
        <v>0</v>
      </c>
      <c r="AB970" s="222"/>
    </row>
    <row r="971" spans="1:28" ht="17.100000000000001" customHeight="1" thickBot="1">
      <c r="A971" s="227"/>
      <c r="B971" s="27" t="s">
        <v>2597</v>
      </c>
      <c r="C971" s="27">
        <v>7062</v>
      </c>
      <c r="D971" s="14" t="s">
        <v>1568</v>
      </c>
      <c r="E971" s="229"/>
      <c r="F971" s="117" t="s">
        <v>3472</v>
      </c>
      <c r="G971" s="26">
        <v>37824</v>
      </c>
      <c r="H971" s="231"/>
      <c r="I971" s="221"/>
      <c r="J971" s="221"/>
      <c r="K971" s="221"/>
      <c r="L971" s="221"/>
      <c r="M971" s="221"/>
      <c r="N971" s="221"/>
      <c r="O971" s="225"/>
      <c r="P971" s="118" t="s">
        <v>3473</v>
      </c>
      <c r="Q971" s="16" t="s">
        <v>20</v>
      </c>
      <c r="R971" s="17" t="s">
        <v>3474</v>
      </c>
      <c r="S971" s="121" t="s">
        <v>3475</v>
      </c>
      <c r="T971" s="122"/>
      <c r="U971" s="22"/>
      <c r="V971" s="123"/>
      <c r="W971" s="122"/>
      <c r="X971" s="221"/>
      <c r="Y971" s="221"/>
      <c r="Z971" s="221"/>
      <c r="AA971" s="221"/>
      <c r="AB971" s="223"/>
    </row>
    <row r="972" spans="1:28" ht="17.100000000000001" customHeight="1" thickTop="1">
      <c r="A972" s="226" t="s">
        <v>6117</v>
      </c>
      <c r="B972" s="28">
        <v>45682</v>
      </c>
      <c r="C972" s="25">
        <v>1236</v>
      </c>
      <c r="D972" s="13" t="s">
        <v>2065</v>
      </c>
      <c r="E972" s="228"/>
      <c r="F972" s="109" t="s">
        <v>3476</v>
      </c>
      <c r="G972" s="24"/>
      <c r="H972" s="230">
        <v>4</v>
      </c>
      <c r="I972" s="220">
        <v>1060000</v>
      </c>
      <c r="J972" s="220">
        <f>I972*0.1</f>
        <v>106000</v>
      </c>
      <c r="K972" s="220">
        <v>0</v>
      </c>
      <c r="L972" s="220">
        <v>8790</v>
      </c>
      <c r="M972" s="220">
        <v>12100</v>
      </c>
      <c r="N972" s="220">
        <f>SUM(I972:M973)</f>
        <v>1186890</v>
      </c>
      <c r="O972" s="224"/>
      <c r="P972" s="110" t="s">
        <v>3477</v>
      </c>
      <c r="Q972" s="15" t="s">
        <v>19</v>
      </c>
      <c r="R972" s="205"/>
      <c r="S972" s="189" t="s">
        <v>758</v>
      </c>
      <c r="T972" s="114"/>
      <c r="U972" s="21"/>
      <c r="V972" s="115">
        <v>46043</v>
      </c>
      <c r="W972" s="116"/>
      <c r="X972" s="220">
        <v>1280000</v>
      </c>
      <c r="Y972" s="245">
        <f>X972*0.1</f>
        <v>128000</v>
      </c>
      <c r="Z972" s="220">
        <v>8790</v>
      </c>
      <c r="AA972" s="220">
        <f>SUM(X972:Z972)</f>
        <v>1416790</v>
      </c>
      <c r="AB972" s="222"/>
    </row>
    <row r="973" spans="1:28" ht="17.100000000000001" customHeight="1" thickBot="1">
      <c r="A973" s="227"/>
      <c r="B973" s="27" t="s">
        <v>2472</v>
      </c>
      <c r="C973" s="27">
        <v>65515</v>
      </c>
      <c r="D973" s="14" t="s">
        <v>2559</v>
      </c>
      <c r="E973" s="229"/>
      <c r="F973" s="117" t="s">
        <v>3478</v>
      </c>
      <c r="G973" s="26">
        <v>42607</v>
      </c>
      <c r="H973" s="231"/>
      <c r="I973" s="221"/>
      <c r="J973" s="221"/>
      <c r="K973" s="221"/>
      <c r="L973" s="221"/>
      <c r="M973" s="221"/>
      <c r="N973" s="221"/>
      <c r="O973" s="225"/>
      <c r="P973" s="118" t="s">
        <v>3479</v>
      </c>
      <c r="Q973" s="16" t="s">
        <v>20</v>
      </c>
      <c r="R973" s="17" t="s">
        <v>2295</v>
      </c>
      <c r="S973" s="121" t="s">
        <v>1661</v>
      </c>
      <c r="T973" s="122"/>
      <c r="U973" s="22"/>
      <c r="V973" s="123" t="s">
        <v>6682</v>
      </c>
      <c r="W973" s="122">
        <v>52744</v>
      </c>
      <c r="X973" s="221"/>
      <c r="Y973" s="221"/>
      <c r="Z973" s="221"/>
      <c r="AA973" s="221"/>
      <c r="AB973" s="223"/>
    </row>
    <row r="974" spans="1:28" ht="17.100000000000001" customHeight="1" thickTop="1">
      <c r="A974" s="233" t="s">
        <v>6118</v>
      </c>
      <c r="B974" s="28">
        <v>45684</v>
      </c>
      <c r="C974" s="25"/>
      <c r="D974" s="13" t="s">
        <v>3480</v>
      </c>
      <c r="E974" s="228"/>
      <c r="F974" s="109" t="s">
        <v>3481</v>
      </c>
      <c r="G974" s="24" t="s">
        <v>3482</v>
      </c>
      <c r="H974" s="232" t="s">
        <v>1705</v>
      </c>
      <c r="I974" s="220">
        <f>1188000/1.1</f>
        <v>1080000</v>
      </c>
      <c r="J974" s="220">
        <f>I974*0.1</f>
        <v>108000</v>
      </c>
      <c r="K974" s="220">
        <v>0</v>
      </c>
      <c r="L974" s="220">
        <v>12340</v>
      </c>
      <c r="M974" s="220">
        <v>84700</v>
      </c>
      <c r="N974" s="220">
        <f>SUM(I974:M975)</f>
        <v>1285040</v>
      </c>
      <c r="O974" s="224"/>
      <c r="P974" s="110" t="s">
        <v>3483</v>
      </c>
      <c r="Q974" s="15" t="s">
        <v>19</v>
      </c>
      <c r="R974" s="205"/>
      <c r="S974" s="189" t="s">
        <v>25386</v>
      </c>
      <c r="T974" s="114"/>
      <c r="U974" s="21" t="s">
        <v>3484</v>
      </c>
      <c r="V974" s="115">
        <v>46032</v>
      </c>
      <c r="W974" s="116">
        <v>1283</v>
      </c>
      <c r="X974" s="220">
        <v>1450000</v>
      </c>
      <c r="Y974" s="245">
        <v>145000</v>
      </c>
      <c r="Z974" s="220">
        <v>12340</v>
      </c>
      <c r="AA974" s="220">
        <f>SUM(X974:Z974)</f>
        <v>1607340</v>
      </c>
      <c r="AB974" s="222">
        <v>46036</v>
      </c>
    </row>
    <row r="975" spans="1:28" ht="17.100000000000001" customHeight="1" thickBot="1">
      <c r="A975" s="234"/>
      <c r="B975" s="27" t="s">
        <v>1708</v>
      </c>
      <c r="C975" s="27" t="s">
        <v>3485</v>
      </c>
      <c r="D975" s="14" t="s">
        <v>273</v>
      </c>
      <c r="E975" s="229"/>
      <c r="F975" s="117" t="s">
        <v>3486</v>
      </c>
      <c r="G975" s="26">
        <v>58346</v>
      </c>
      <c r="H975" s="231"/>
      <c r="I975" s="221"/>
      <c r="J975" s="221"/>
      <c r="K975" s="221"/>
      <c r="L975" s="221"/>
      <c r="M975" s="221"/>
      <c r="N975" s="221"/>
      <c r="O975" s="225"/>
      <c r="P975" s="118" t="s">
        <v>3487</v>
      </c>
      <c r="Q975" s="16" t="s">
        <v>20</v>
      </c>
      <c r="R975" s="17" t="s">
        <v>2964</v>
      </c>
      <c r="S975" s="121" t="s">
        <v>14322</v>
      </c>
      <c r="T975" s="122"/>
      <c r="U975" s="22"/>
      <c r="V975" s="123" t="s">
        <v>2472</v>
      </c>
      <c r="W975" s="122">
        <v>33124</v>
      </c>
      <c r="X975" s="221"/>
      <c r="Y975" s="221"/>
      <c r="Z975" s="221"/>
      <c r="AA975" s="221"/>
      <c r="AB975" s="223"/>
    </row>
    <row r="976" spans="1:28" ht="17.100000000000001" customHeight="1" thickTop="1">
      <c r="A976" s="226" t="s">
        <v>6119</v>
      </c>
      <c r="B976" s="28">
        <v>45687</v>
      </c>
      <c r="C976" s="25">
        <v>2095</v>
      </c>
      <c r="D976" s="13" t="s">
        <v>3488</v>
      </c>
      <c r="E976" s="228"/>
      <c r="F976" s="109" t="s">
        <v>2859</v>
      </c>
      <c r="G976" s="24" t="s">
        <v>3489</v>
      </c>
      <c r="H976" s="232" t="s">
        <v>1705</v>
      </c>
      <c r="I976" s="220">
        <v>492000</v>
      </c>
      <c r="J976" s="220">
        <f>I976*0.1</f>
        <v>49200</v>
      </c>
      <c r="K976" s="220">
        <v>0</v>
      </c>
      <c r="L976" s="220">
        <v>9170</v>
      </c>
      <c r="M976" s="220">
        <v>13750</v>
      </c>
      <c r="N976" s="220">
        <f>SUM(I976:M977)</f>
        <v>564120</v>
      </c>
      <c r="O976" s="224"/>
      <c r="P976" s="110" t="s">
        <v>3490</v>
      </c>
      <c r="Q976" s="15" t="s">
        <v>19</v>
      </c>
      <c r="R976" s="205"/>
      <c r="S976" s="189"/>
      <c r="T976" s="114"/>
      <c r="U976" s="21" t="s">
        <v>3491</v>
      </c>
      <c r="V976" s="115">
        <v>46063</v>
      </c>
      <c r="W976" s="116"/>
      <c r="X976" s="220">
        <v>500000</v>
      </c>
      <c r="Y976" s="245">
        <f>X976*0.1</f>
        <v>50000</v>
      </c>
      <c r="Z976" s="220">
        <v>9170</v>
      </c>
      <c r="AA976" s="220">
        <f>SUM(X976:Z976)</f>
        <v>559170</v>
      </c>
      <c r="AB976" s="222"/>
    </row>
    <row r="977" spans="1:28" ht="17.100000000000001" customHeight="1" thickBot="1">
      <c r="A977" s="227"/>
      <c r="B977" s="27" t="s">
        <v>1918</v>
      </c>
      <c r="C977" s="27">
        <v>152</v>
      </c>
      <c r="D977" s="14" t="s">
        <v>1710</v>
      </c>
      <c r="E977" s="229"/>
      <c r="F977" s="117" t="s">
        <v>3492</v>
      </c>
      <c r="G977" s="26">
        <v>57897</v>
      </c>
      <c r="H977" s="231"/>
      <c r="I977" s="221"/>
      <c r="J977" s="221"/>
      <c r="K977" s="221"/>
      <c r="L977" s="221"/>
      <c r="M977" s="221"/>
      <c r="N977" s="221"/>
      <c r="O977" s="225"/>
      <c r="P977" s="118" t="s">
        <v>3493</v>
      </c>
      <c r="Q977" s="16" t="s">
        <v>20</v>
      </c>
      <c r="R977" s="17" t="s">
        <v>3494</v>
      </c>
      <c r="S977" s="121"/>
      <c r="T977" s="122"/>
      <c r="U977" s="22"/>
      <c r="V977" s="123" t="s">
        <v>6682</v>
      </c>
      <c r="W977" s="122">
        <v>50637</v>
      </c>
      <c r="X977" s="221"/>
      <c r="Y977" s="221"/>
      <c r="Z977" s="221"/>
      <c r="AA977" s="221"/>
      <c r="AB977" s="223"/>
    </row>
    <row r="978" spans="1:28" ht="17.100000000000001" customHeight="1" thickTop="1">
      <c r="A978" s="226" t="s">
        <v>6120</v>
      </c>
      <c r="B978" s="28">
        <v>45689</v>
      </c>
      <c r="C978" s="25">
        <v>1237</v>
      </c>
      <c r="D978" s="13" t="s">
        <v>1053</v>
      </c>
      <c r="E978" s="228"/>
      <c r="F978" s="109" t="s">
        <v>3495</v>
      </c>
      <c r="G978" s="24"/>
      <c r="H978" s="230">
        <v>4.5</v>
      </c>
      <c r="I978" s="220">
        <v>3160000</v>
      </c>
      <c r="J978" s="220">
        <f>I978*0.1</f>
        <v>316000</v>
      </c>
      <c r="K978" s="220">
        <v>0</v>
      </c>
      <c r="L978" s="220">
        <v>18170</v>
      </c>
      <c r="M978" s="220">
        <v>13200</v>
      </c>
      <c r="N978" s="220">
        <f>SUM(I978:M979)</f>
        <v>3507370</v>
      </c>
      <c r="O978" s="224"/>
      <c r="P978" s="110" t="s">
        <v>3496</v>
      </c>
      <c r="Q978" s="15" t="s">
        <v>19</v>
      </c>
      <c r="R978" s="205"/>
      <c r="S978" s="189" t="s">
        <v>1312</v>
      </c>
      <c r="T978" s="114"/>
      <c r="U978" s="21"/>
      <c r="V978" s="115"/>
      <c r="W978" s="116"/>
      <c r="X978" s="220"/>
      <c r="Y978" s="245">
        <f>X978*0.1</f>
        <v>0</v>
      </c>
      <c r="Z978" s="220"/>
      <c r="AA978" s="220">
        <f>SUM(X978:Z978)</f>
        <v>0</v>
      </c>
      <c r="AB978" s="222"/>
    </row>
    <row r="979" spans="1:28" ht="17.100000000000001" customHeight="1" thickBot="1">
      <c r="A979" s="227"/>
      <c r="B979" s="27" t="s">
        <v>2472</v>
      </c>
      <c r="C979" s="27">
        <v>82120</v>
      </c>
      <c r="D979" s="14" t="s">
        <v>2177</v>
      </c>
      <c r="E979" s="229"/>
      <c r="F979" s="117" t="s">
        <v>3497</v>
      </c>
      <c r="G979" s="26">
        <v>24299</v>
      </c>
      <c r="H979" s="231"/>
      <c r="I979" s="221"/>
      <c r="J979" s="221"/>
      <c r="K979" s="221"/>
      <c r="L979" s="221"/>
      <c r="M979" s="221"/>
      <c r="N979" s="221"/>
      <c r="O979" s="225"/>
      <c r="P979" s="118" t="s">
        <v>3498</v>
      </c>
      <c r="Q979" s="16" t="s">
        <v>20</v>
      </c>
      <c r="R979" s="17" t="s">
        <v>1837</v>
      </c>
      <c r="S979" s="121" t="s">
        <v>1606</v>
      </c>
      <c r="T979" s="122"/>
      <c r="U979" s="22"/>
      <c r="V979" s="123"/>
      <c r="W979" s="122"/>
      <c r="X979" s="221"/>
      <c r="Y979" s="221"/>
      <c r="Z979" s="221"/>
      <c r="AA979" s="221"/>
      <c r="AB979" s="223"/>
    </row>
    <row r="980" spans="1:28" ht="17.100000000000001" customHeight="1" thickTop="1">
      <c r="A980" s="226" t="s">
        <v>6121</v>
      </c>
      <c r="B980" s="28">
        <v>45692</v>
      </c>
      <c r="C980" s="25">
        <v>757</v>
      </c>
      <c r="D980" s="13" t="s">
        <v>2564</v>
      </c>
      <c r="E980" s="228"/>
      <c r="F980" s="109" t="s">
        <v>2678</v>
      </c>
      <c r="G980" s="24"/>
      <c r="H980" s="230">
        <v>4</v>
      </c>
      <c r="I980" s="220">
        <v>1720000</v>
      </c>
      <c r="J980" s="220">
        <f>I980*0.1</f>
        <v>172000</v>
      </c>
      <c r="K980" s="220">
        <v>0</v>
      </c>
      <c r="L980" s="220">
        <v>16240</v>
      </c>
      <c r="M980" s="220">
        <v>14850</v>
      </c>
      <c r="N980" s="220">
        <f>SUM(I980:M981)</f>
        <v>1923090</v>
      </c>
      <c r="O980" s="224"/>
      <c r="P980" s="110" t="s">
        <v>3499</v>
      </c>
      <c r="Q980" s="15" t="s">
        <v>19</v>
      </c>
      <c r="R980" s="205"/>
      <c r="S980" s="189"/>
      <c r="T980" s="114"/>
      <c r="U980" s="21"/>
      <c r="V980" s="115">
        <v>45962</v>
      </c>
      <c r="W980" s="116">
        <v>1274</v>
      </c>
      <c r="X980" s="220">
        <v>1650000</v>
      </c>
      <c r="Y980" s="245">
        <f>X980*0.1</f>
        <v>165000</v>
      </c>
      <c r="Z980" s="220">
        <v>16240</v>
      </c>
      <c r="AA980" s="220">
        <f>SUM(X980:Z980)</f>
        <v>1831240</v>
      </c>
      <c r="AB980" s="222">
        <v>45965</v>
      </c>
    </row>
    <row r="981" spans="1:28" ht="17.100000000000001" customHeight="1" thickBot="1">
      <c r="A981" s="227"/>
      <c r="B981" s="27" t="s">
        <v>3314</v>
      </c>
      <c r="C981" s="27">
        <v>5011</v>
      </c>
      <c r="D981" s="14" t="s">
        <v>2177</v>
      </c>
      <c r="E981" s="229"/>
      <c r="F981" s="117" t="s">
        <v>3500</v>
      </c>
      <c r="G981" s="26">
        <v>61155</v>
      </c>
      <c r="H981" s="231"/>
      <c r="I981" s="221"/>
      <c r="J981" s="221"/>
      <c r="K981" s="221"/>
      <c r="L981" s="221"/>
      <c r="M981" s="221"/>
      <c r="N981" s="221"/>
      <c r="O981" s="225"/>
      <c r="P981" s="118" t="s">
        <v>3501</v>
      </c>
      <c r="Q981" s="16" t="s">
        <v>20</v>
      </c>
      <c r="R981" s="17" t="s">
        <v>1837</v>
      </c>
      <c r="S981" s="121" t="s">
        <v>3502</v>
      </c>
      <c r="T981" s="122"/>
      <c r="U981" s="22"/>
      <c r="V981" s="123" t="s">
        <v>2472</v>
      </c>
      <c r="W981" s="122">
        <v>80062</v>
      </c>
      <c r="X981" s="221"/>
      <c r="Y981" s="221"/>
      <c r="Z981" s="221"/>
      <c r="AA981" s="221"/>
      <c r="AB981" s="223"/>
    </row>
    <row r="982" spans="1:28" ht="17.100000000000001" customHeight="1" thickTop="1">
      <c r="A982" s="226" t="s">
        <v>6122</v>
      </c>
      <c r="B982" s="28">
        <v>45692</v>
      </c>
      <c r="C982" s="25">
        <v>877</v>
      </c>
      <c r="D982" s="13" t="s">
        <v>2866</v>
      </c>
      <c r="E982" s="228"/>
      <c r="F982" s="109" t="s">
        <v>3110</v>
      </c>
      <c r="G982" s="24" t="s">
        <v>2038</v>
      </c>
      <c r="H982" s="230">
        <v>4</v>
      </c>
      <c r="I982" s="220">
        <v>2014000</v>
      </c>
      <c r="J982" s="220">
        <f>I982*0.1</f>
        <v>201400</v>
      </c>
      <c r="K982" s="220">
        <v>3520</v>
      </c>
      <c r="L982" s="220">
        <v>19440</v>
      </c>
      <c r="M982" s="220">
        <v>18150</v>
      </c>
      <c r="N982" s="220">
        <f>SUM(I982:M983)</f>
        <v>2256510</v>
      </c>
      <c r="O982" s="224"/>
      <c r="P982" s="110" t="s">
        <v>3503</v>
      </c>
      <c r="Q982" s="15" t="s">
        <v>19</v>
      </c>
      <c r="R982" s="205"/>
      <c r="S982" s="189"/>
      <c r="T982" s="114"/>
      <c r="U982" s="21" t="s">
        <v>3504</v>
      </c>
      <c r="V982" s="115">
        <v>46300</v>
      </c>
      <c r="W982" s="116"/>
      <c r="X982" s="220">
        <v>3244000</v>
      </c>
      <c r="Y982" s="245">
        <v>0</v>
      </c>
      <c r="Z982" s="220">
        <v>0</v>
      </c>
      <c r="AA982" s="220">
        <f>SUM(X982:Z982)</f>
        <v>3244000</v>
      </c>
      <c r="AB982" s="222">
        <v>46334</v>
      </c>
    </row>
    <row r="983" spans="1:28" ht="17.100000000000001" customHeight="1" thickBot="1">
      <c r="A983" s="227"/>
      <c r="B983" s="27" t="s">
        <v>2654</v>
      </c>
      <c r="C983" s="27">
        <v>5007</v>
      </c>
      <c r="D983" s="14" t="s">
        <v>131</v>
      </c>
      <c r="E983" s="229"/>
      <c r="F983" s="117" t="s">
        <v>3505</v>
      </c>
      <c r="G983" s="26">
        <v>13173</v>
      </c>
      <c r="H983" s="231"/>
      <c r="I983" s="221"/>
      <c r="J983" s="221"/>
      <c r="K983" s="221"/>
      <c r="L983" s="221"/>
      <c r="M983" s="221"/>
      <c r="N983" s="221"/>
      <c r="O983" s="225"/>
      <c r="P983" s="118" t="s">
        <v>3506</v>
      </c>
      <c r="Q983" s="16" t="s">
        <v>20</v>
      </c>
      <c r="R983" s="17" t="s">
        <v>1837</v>
      </c>
      <c r="S983" s="121" t="s">
        <v>3256</v>
      </c>
      <c r="T983" s="122"/>
      <c r="U983" s="22"/>
      <c r="V983" s="123" t="s">
        <v>10268</v>
      </c>
      <c r="W983" s="122"/>
      <c r="X983" s="221"/>
      <c r="Y983" s="221"/>
      <c r="Z983" s="221"/>
      <c r="AA983" s="221"/>
      <c r="AB983" s="223"/>
    </row>
    <row r="984" spans="1:28" ht="17.100000000000001" customHeight="1" thickTop="1">
      <c r="A984" s="226" t="s">
        <v>6123</v>
      </c>
      <c r="B984" s="28">
        <v>45692</v>
      </c>
      <c r="C984" s="25">
        <v>1178</v>
      </c>
      <c r="D984" s="13" t="s">
        <v>2073</v>
      </c>
      <c r="E984" s="228"/>
      <c r="F984" s="109" t="s">
        <v>3402</v>
      </c>
      <c r="G984" s="24"/>
      <c r="H984" s="230">
        <v>4</v>
      </c>
      <c r="I984" s="220">
        <v>1799000</v>
      </c>
      <c r="J984" s="220">
        <f>I984*0.1</f>
        <v>179900</v>
      </c>
      <c r="K984" s="220">
        <v>0</v>
      </c>
      <c r="L984" s="220">
        <v>21140</v>
      </c>
      <c r="M984" s="220">
        <v>14850</v>
      </c>
      <c r="N984" s="220">
        <f>SUM(I984:M985)</f>
        <v>2014890</v>
      </c>
      <c r="O984" s="224"/>
      <c r="P984" s="110" t="s">
        <v>3507</v>
      </c>
      <c r="Q984" s="15" t="s">
        <v>19</v>
      </c>
      <c r="R984" s="205"/>
      <c r="S984" s="189"/>
      <c r="T984" s="114"/>
      <c r="U984" s="21"/>
      <c r="V984" s="115">
        <v>45927</v>
      </c>
      <c r="W984" s="116"/>
      <c r="X984" s="220">
        <v>3260000</v>
      </c>
      <c r="Y984" s="245">
        <v>0</v>
      </c>
      <c r="Z984" s="220">
        <v>0</v>
      </c>
      <c r="AA984" s="220">
        <f>SUM(X984:Z984)</f>
        <v>3260000</v>
      </c>
      <c r="AB984" s="222">
        <v>45953</v>
      </c>
    </row>
    <row r="985" spans="1:28" ht="17.100000000000001" customHeight="1" thickBot="1">
      <c r="A985" s="227"/>
      <c r="B985" s="27" t="s">
        <v>2344</v>
      </c>
      <c r="C985" s="27">
        <v>5039</v>
      </c>
      <c r="D985" s="14" t="s">
        <v>1568</v>
      </c>
      <c r="E985" s="229"/>
      <c r="F985" s="117" t="s">
        <v>3508</v>
      </c>
      <c r="G985" s="26">
        <v>29654</v>
      </c>
      <c r="H985" s="231"/>
      <c r="I985" s="221"/>
      <c r="J985" s="221"/>
      <c r="K985" s="221"/>
      <c r="L985" s="221"/>
      <c r="M985" s="221"/>
      <c r="N985" s="221"/>
      <c r="O985" s="225"/>
      <c r="P985" s="118" t="s">
        <v>3509</v>
      </c>
      <c r="Q985" s="16" t="s">
        <v>20</v>
      </c>
      <c r="R985" s="17" t="s">
        <v>1837</v>
      </c>
      <c r="S985" s="121" t="s">
        <v>169</v>
      </c>
      <c r="T985" s="122"/>
      <c r="U985" s="22"/>
      <c r="V985" s="123" t="s">
        <v>13720</v>
      </c>
      <c r="W985" s="122"/>
      <c r="X985" s="221"/>
      <c r="Y985" s="221"/>
      <c r="Z985" s="221"/>
      <c r="AA985" s="221"/>
      <c r="AB985" s="223"/>
    </row>
    <row r="986" spans="1:28" ht="17.100000000000001" customHeight="1" thickTop="1">
      <c r="A986" s="226" t="s">
        <v>6124</v>
      </c>
      <c r="B986" s="28">
        <v>45694</v>
      </c>
      <c r="C986" s="25">
        <v>1503</v>
      </c>
      <c r="D986" s="13" t="s">
        <v>3510</v>
      </c>
      <c r="E986" s="228"/>
      <c r="F986" s="109" t="s">
        <v>3511</v>
      </c>
      <c r="G986" s="24"/>
      <c r="H986" s="230">
        <v>4</v>
      </c>
      <c r="I986" s="220">
        <v>1790000</v>
      </c>
      <c r="J986" s="220">
        <f>I986*0.1</f>
        <v>179000</v>
      </c>
      <c r="K986" s="220">
        <v>0</v>
      </c>
      <c r="L986" s="220">
        <v>19540</v>
      </c>
      <c r="M986" s="220">
        <v>13200</v>
      </c>
      <c r="N986" s="220">
        <f>SUM(I986:M987)</f>
        <v>2001740</v>
      </c>
      <c r="O986" s="224"/>
      <c r="P986" s="110" t="s">
        <v>3512</v>
      </c>
      <c r="Q986" s="15" t="s">
        <v>19</v>
      </c>
      <c r="R986" s="205"/>
      <c r="S986" s="189" t="s">
        <v>1113</v>
      </c>
      <c r="T986" s="114"/>
      <c r="U986" s="21"/>
      <c r="V986" s="115"/>
      <c r="W986" s="116"/>
      <c r="X986" s="220"/>
      <c r="Y986" s="245">
        <f>X986*0.1</f>
        <v>0</v>
      </c>
      <c r="Z986" s="220"/>
      <c r="AA986" s="220">
        <f>SUM(X986:Z986)</f>
        <v>0</v>
      </c>
      <c r="AB986" s="222"/>
    </row>
    <row r="987" spans="1:28" ht="17.100000000000001" customHeight="1" thickBot="1">
      <c r="A987" s="227"/>
      <c r="B987" s="27" t="s">
        <v>1592</v>
      </c>
      <c r="C987" s="27">
        <v>75573</v>
      </c>
      <c r="D987" s="14" t="s">
        <v>273</v>
      </c>
      <c r="E987" s="229"/>
      <c r="F987" s="117" t="s">
        <v>3513</v>
      </c>
      <c r="G987" s="26">
        <v>41132</v>
      </c>
      <c r="H987" s="231"/>
      <c r="I987" s="221"/>
      <c r="J987" s="221"/>
      <c r="K987" s="221"/>
      <c r="L987" s="221"/>
      <c r="M987" s="221"/>
      <c r="N987" s="221"/>
      <c r="O987" s="225"/>
      <c r="P987" s="118" t="s">
        <v>3514</v>
      </c>
      <c r="Q987" s="16" t="s">
        <v>20</v>
      </c>
      <c r="R987" s="17" t="s">
        <v>1837</v>
      </c>
      <c r="S987" s="121" t="s">
        <v>3515</v>
      </c>
      <c r="T987" s="122"/>
      <c r="U987" s="22"/>
      <c r="V987" s="123"/>
      <c r="W987" s="122"/>
      <c r="X987" s="221"/>
      <c r="Y987" s="221"/>
      <c r="Z987" s="221"/>
      <c r="AA987" s="221"/>
      <c r="AB987" s="223"/>
    </row>
    <row r="988" spans="1:28" ht="17.100000000000001" customHeight="1" thickTop="1">
      <c r="A988" s="226" t="s">
        <v>6125</v>
      </c>
      <c r="B988" s="28">
        <v>45696</v>
      </c>
      <c r="C988" s="25">
        <v>249</v>
      </c>
      <c r="D988" s="13" t="s">
        <v>2167</v>
      </c>
      <c r="E988" s="228"/>
      <c r="F988" s="109" t="s">
        <v>3516</v>
      </c>
      <c r="G988" s="24"/>
      <c r="H988" s="230">
        <v>4</v>
      </c>
      <c r="I988" s="220">
        <v>782000</v>
      </c>
      <c r="J988" s="220">
        <f>I988*0.1</f>
        <v>78200</v>
      </c>
      <c r="K988" s="220">
        <v>0</v>
      </c>
      <c r="L988" s="220">
        <v>20170</v>
      </c>
      <c r="M988" s="220">
        <v>14850</v>
      </c>
      <c r="N988" s="220">
        <f>SUM(I988:M989)</f>
        <v>895220</v>
      </c>
      <c r="O988" s="224"/>
      <c r="P988" s="110" t="s">
        <v>3517</v>
      </c>
      <c r="Q988" s="15" t="s">
        <v>19</v>
      </c>
      <c r="R988" s="205"/>
      <c r="S988" s="189" t="s">
        <v>1361</v>
      </c>
      <c r="T988" s="114"/>
      <c r="U988" s="21"/>
      <c r="V988" s="115">
        <v>46002</v>
      </c>
      <c r="W988" s="116">
        <v>1310</v>
      </c>
      <c r="X988" s="220">
        <v>890000</v>
      </c>
      <c r="Y988" s="245">
        <f>X988*0.1</f>
        <v>89000</v>
      </c>
      <c r="Z988" s="220">
        <v>20170</v>
      </c>
      <c r="AA988" s="220">
        <f>SUM(X988:Z988)</f>
        <v>999170</v>
      </c>
      <c r="AB988" s="222">
        <v>46003</v>
      </c>
    </row>
    <row r="989" spans="1:28" ht="17.100000000000001" customHeight="1" thickBot="1">
      <c r="A989" s="227"/>
      <c r="B989" s="27" t="s">
        <v>3518</v>
      </c>
      <c r="C989" s="27">
        <v>5027</v>
      </c>
      <c r="D989" s="14" t="s">
        <v>898</v>
      </c>
      <c r="E989" s="229"/>
      <c r="F989" s="117" t="s">
        <v>3519</v>
      </c>
      <c r="G989" s="26">
        <v>51741</v>
      </c>
      <c r="H989" s="231"/>
      <c r="I989" s="221"/>
      <c r="J989" s="221"/>
      <c r="K989" s="221"/>
      <c r="L989" s="221"/>
      <c r="M989" s="221"/>
      <c r="N989" s="221"/>
      <c r="O989" s="225"/>
      <c r="P989" s="118" t="s">
        <v>3520</v>
      </c>
      <c r="Q989" s="16" t="s">
        <v>20</v>
      </c>
      <c r="R989" s="17" t="s">
        <v>3521</v>
      </c>
      <c r="S989" s="121" t="s">
        <v>3522</v>
      </c>
      <c r="T989" s="122"/>
      <c r="U989" s="22"/>
      <c r="V989" s="123" t="s">
        <v>1735</v>
      </c>
      <c r="W989" s="122">
        <v>21</v>
      </c>
      <c r="X989" s="221"/>
      <c r="Y989" s="221"/>
      <c r="Z989" s="221"/>
      <c r="AA989" s="221"/>
      <c r="AB989" s="223"/>
    </row>
    <row r="990" spans="1:28" ht="17.100000000000001" customHeight="1" thickTop="1">
      <c r="A990" s="226" t="s">
        <v>6126</v>
      </c>
      <c r="B990" s="28">
        <v>45698</v>
      </c>
      <c r="C990" s="25">
        <v>2031</v>
      </c>
      <c r="D990" s="13" t="s">
        <v>1676</v>
      </c>
      <c r="E990" s="228"/>
      <c r="F990" s="109" t="s">
        <v>3523</v>
      </c>
      <c r="G990" s="24"/>
      <c r="H990" s="230">
        <v>4.5</v>
      </c>
      <c r="I990" s="220">
        <v>924000</v>
      </c>
      <c r="J990" s="220">
        <f>I990*0.1</f>
        <v>92400</v>
      </c>
      <c r="K990" s="220">
        <v>0</v>
      </c>
      <c r="L990" s="220">
        <v>15640</v>
      </c>
      <c r="M990" s="220">
        <v>11000</v>
      </c>
      <c r="N990" s="220">
        <f>SUM(I990:M991)</f>
        <v>1043040</v>
      </c>
      <c r="O990" s="224"/>
      <c r="P990" s="110" t="s">
        <v>3524</v>
      </c>
      <c r="Q990" s="15" t="s">
        <v>19</v>
      </c>
      <c r="R990" s="205"/>
      <c r="S990" s="189" t="s">
        <v>25422</v>
      </c>
      <c r="T990" s="114"/>
      <c r="U990" s="21"/>
      <c r="V990" s="115">
        <v>45960</v>
      </c>
      <c r="W990" s="116">
        <v>1304</v>
      </c>
      <c r="X990" s="220">
        <v>875000</v>
      </c>
      <c r="Y990" s="245">
        <f>X990*0.1</f>
        <v>87500</v>
      </c>
      <c r="Z990" s="220">
        <v>15640</v>
      </c>
      <c r="AA990" s="220">
        <f>SUM(X990:Z990)</f>
        <v>978140</v>
      </c>
      <c r="AB990" s="222">
        <v>45961</v>
      </c>
    </row>
    <row r="991" spans="1:28" ht="17.100000000000001" customHeight="1" thickBot="1">
      <c r="A991" s="227"/>
      <c r="B991" s="27" t="s">
        <v>82</v>
      </c>
      <c r="C991" s="27">
        <v>33515</v>
      </c>
      <c r="D991" s="14" t="s">
        <v>1710</v>
      </c>
      <c r="E991" s="229"/>
      <c r="F991" s="117" t="s">
        <v>3525</v>
      </c>
      <c r="G991" s="26">
        <v>43522</v>
      </c>
      <c r="H991" s="231"/>
      <c r="I991" s="221"/>
      <c r="J991" s="221"/>
      <c r="K991" s="221"/>
      <c r="L991" s="221"/>
      <c r="M991" s="221"/>
      <c r="N991" s="221"/>
      <c r="O991" s="225"/>
      <c r="P991" s="118" t="s">
        <v>2622</v>
      </c>
      <c r="Q991" s="16" t="s">
        <v>20</v>
      </c>
      <c r="R991" s="17" t="s">
        <v>3526</v>
      </c>
      <c r="S991" s="121" t="s">
        <v>1731</v>
      </c>
      <c r="T991" s="122"/>
      <c r="U991" s="22"/>
      <c r="V991" s="123" t="s">
        <v>1735</v>
      </c>
      <c r="W991" s="122">
        <v>25</v>
      </c>
      <c r="X991" s="221"/>
      <c r="Y991" s="221"/>
      <c r="Z991" s="221"/>
      <c r="AA991" s="221"/>
      <c r="AB991" s="223"/>
    </row>
    <row r="992" spans="1:28" ht="17.100000000000001" customHeight="1" thickTop="1">
      <c r="A992" s="226" t="s">
        <v>6127</v>
      </c>
      <c r="B992" s="28">
        <v>45701</v>
      </c>
      <c r="C992" s="25">
        <v>1269</v>
      </c>
      <c r="D992" s="13" t="s">
        <v>1931</v>
      </c>
      <c r="E992" s="228"/>
      <c r="F992" s="109" t="s">
        <v>3527</v>
      </c>
      <c r="G992" s="24" t="s">
        <v>3528</v>
      </c>
      <c r="H992" s="230">
        <v>4.5</v>
      </c>
      <c r="I992" s="220">
        <v>1960000</v>
      </c>
      <c r="J992" s="220">
        <f>I992*0.1</f>
        <v>196000</v>
      </c>
      <c r="K992" s="220">
        <v>4070</v>
      </c>
      <c r="L992" s="220">
        <v>18240</v>
      </c>
      <c r="M992" s="220">
        <v>13200</v>
      </c>
      <c r="N992" s="220">
        <f>SUM(I992:M993)</f>
        <v>2191510</v>
      </c>
      <c r="O992" s="224"/>
      <c r="P992" s="110" t="s">
        <v>3529</v>
      </c>
      <c r="Q992" s="15" t="s">
        <v>19</v>
      </c>
      <c r="R992" s="205"/>
      <c r="S992" s="189" t="s">
        <v>25367</v>
      </c>
      <c r="T992" s="114"/>
      <c r="U992" s="21" t="s">
        <v>3530</v>
      </c>
      <c r="V992" s="115">
        <v>46002</v>
      </c>
      <c r="W992" s="116">
        <v>1310</v>
      </c>
      <c r="X992" s="220">
        <v>1890000</v>
      </c>
      <c r="Y992" s="245">
        <f>X992*0.1</f>
        <v>189000</v>
      </c>
      <c r="Z992" s="220">
        <v>18240</v>
      </c>
      <c r="AA992" s="220">
        <f>SUM(X992:Z992)</f>
        <v>2097240</v>
      </c>
      <c r="AB992" s="222">
        <v>46003</v>
      </c>
    </row>
    <row r="993" spans="1:28" ht="17.100000000000001" customHeight="1" thickBot="1">
      <c r="A993" s="227"/>
      <c r="B993" s="27" t="s">
        <v>1735</v>
      </c>
      <c r="C993" s="27">
        <v>107</v>
      </c>
      <c r="D993" s="14" t="s">
        <v>898</v>
      </c>
      <c r="E993" s="229"/>
      <c r="F993" s="117" t="s">
        <v>3531</v>
      </c>
      <c r="G993" s="26">
        <v>44289</v>
      </c>
      <c r="H993" s="231"/>
      <c r="I993" s="221"/>
      <c r="J993" s="221"/>
      <c r="K993" s="221"/>
      <c r="L993" s="221"/>
      <c r="M993" s="221"/>
      <c r="N993" s="221"/>
      <c r="O993" s="225"/>
      <c r="P993" s="118" t="s">
        <v>1844</v>
      </c>
      <c r="Q993" s="16" t="s">
        <v>20</v>
      </c>
      <c r="R993" s="17" t="s">
        <v>1860</v>
      </c>
      <c r="S993" s="121" t="s">
        <v>3532</v>
      </c>
      <c r="T993" s="122"/>
      <c r="U993" s="22"/>
      <c r="V993" s="123" t="s">
        <v>8954</v>
      </c>
      <c r="W993" s="122" t="s">
        <v>12746</v>
      </c>
      <c r="X993" s="221"/>
      <c r="Y993" s="221"/>
      <c r="Z993" s="221"/>
      <c r="AA993" s="221"/>
      <c r="AB993" s="223"/>
    </row>
    <row r="994" spans="1:28" ht="17.100000000000001" customHeight="1" thickTop="1">
      <c r="A994" s="226" t="s">
        <v>6128</v>
      </c>
      <c r="B994" s="28">
        <v>45702</v>
      </c>
      <c r="C994" s="25">
        <v>2073</v>
      </c>
      <c r="D994" s="13" t="s">
        <v>2158</v>
      </c>
      <c r="E994" s="228"/>
      <c r="F994" s="109" t="s">
        <v>3533</v>
      </c>
      <c r="G994" s="24" t="s">
        <v>3534</v>
      </c>
      <c r="H994" s="230">
        <v>4</v>
      </c>
      <c r="I994" s="220">
        <v>845000</v>
      </c>
      <c r="J994" s="220">
        <f>I994*0.1</f>
        <v>84500</v>
      </c>
      <c r="K994" s="220">
        <v>0</v>
      </c>
      <c r="L994" s="220">
        <v>5340</v>
      </c>
      <c r="M994" s="220">
        <v>13200</v>
      </c>
      <c r="N994" s="220">
        <f>SUM(I994:M995)</f>
        <v>948040</v>
      </c>
      <c r="O994" s="224"/>
      <c r="P994" s="110" t="s">
        <v>3535</v>
      </c>
      <c r="Q994" s="15" t="s">
        <v>19</v>
      </c>
      <c r="R994" s="205"/>
      <c r="S994" s="189" t="s">
        <v>1312</v>
      </c>
      <c r="T994" s="114"/>
      <c r="U994" s="21" t="s">
        <v>3536</v>
      </c>
      <c r="V994" s="115"/>
      <c r="W994" s="116"/>
      <c r="X994" s="220"/>
      <c r="Y994" s="245">
        <f>X994*0.1</f>
        <v>0</v>
      </c>
      <c r="Z994" s="220"/>
      <c r="AA994" s="220">
        <f>SUM(X994:Z994)</f>
        <v>0</v>
      </c>
      <c r="AB994" s="222"/>
    </row>
    <row r="995" spans="1:28" ht="17.100000000000001" customHeight="1" thickBot="1">
      <c r="A995" s="227"/>
      <c r="B995" s="27" t="s">
        <v>1536</v>
      </c>
      <c r="C995" s="27">
        <v>55488</v>
      </c>
      <c r="D995" s="14" t="s">
        <v>1568</v>
      </c>
      <c r="E995" s="229"/>
      <c r="F995" s="117" t="s">
        <v>3537</v>
      </c>
      <c r="G995" s="26">
        <v>59766</v>
      </c>
      <c r="H995" s="231"/>
      <c r="I995" s="221"/>
      <c r="J995" s="221"/>
      <c r="K995" s="221"/>
      <c r="L995" s="221"/>
      <c r="M995" s="221"/>
      <c r="N995" s="221"/>
      <c r="O995" s="225"/>
      <c r="P995" s="118" t="s">
        <v>3355</v>
      </c>
      <c r="Q995" s="16" t="s">
        <v>20</v>
      </c>
      <c r="R995" s="17" t="s">
        <v>1876</v>
      </c>
      <c r="S995" s="121" t="s">
        <v>3538</v>
      </c>
      <c r="T995" s="122" t="s">
        <v>3539</v>
      </c>
      <c r="U995" s="22"/>
      <c r="V995" s="123"/>
      <c r="W995" s="122"/>
      <c r="X995" s="221"/>
      <c r="Y995" s="221"/>
      <c r="Z995" s="221"/>
      <c r="AA995" s="221"/>
      <c r="AB995" s="223"/>
    </row>
    <row r="996" spans="1:28" ht="17.100000000000001" customHeight="1" thickTop="1">
      <c r="A996" s="226" t="s">
        <v>6129</v>
      </c>
      <c r="B996" s="28">
        <v>45706</v>
      </c>
      <c r="C996" s="25">
        <v>1229</v>
      </c>
      <c r="D996" s="13" t="s">
        <v>2811</v>
      </c>
      <c r="E996" s="228"/>
      <c r="F996" s="109" t="s">
        <v>3540</v>
      </c>
      <c r="G996" s="24" t="s">
        <v>2813</v>
      </c>
      <c r="H996" s="230">
        <v>4.5</v>
      </c>
      <c r="I996" s="220">
        <v>1351000</v>
      </c>
      <c r="J996" s="220">
        <f>I996*0.1</f>
        <v>135100</v>
      </c>
      <c r="K996" s="220">
        <v>3520</v>
      </c>
      <c r="L996" s="220">
        <v>20170</v>
      </c>
      <c r="M996" s="220">
        <v>18150</v>
      </c>
      <c r="N996" s="220">
        <f>SUM(I996:M997)</f>
        <v>1527940</v>
      </c>
      <c r="O996" s="224"/>
      <c r="P996" s="110" t="s">
        <v>3541</v>
      </c>
      <c r="Q996" s="15" t="s">
        <v>19</v>
      </c>
      <c r="R996" s="205"/>
      <c r="S996" s="189"/>
      <c r="T996" s="114"/>
      <c r="U996" s="21" t="s">
        <v>3542</v>
      </c>
      <c r="V996" s="115">
        <v>45941</v>
      </c>
      <c r="W996" s="116">
        <v>1271</v>
      </c>
      <c r="X996" s="220">
        <v>1195000</v>
      </c>
      <c r="Y996" s="245">
        <f>X996*0.1</f>
        <v>119500</v>
      </c>
      <c r="Z996" s="220">
        <v>20170</v>
      </c>
      <c r="AA996" s="220">
        <f>SUM(X996:Z996)</f>
        <v>1334670</v>
      </c>
      <c r="AB996" s="222">
        <v>45944</v>
      </c>
    </row>
    <row r="997" spans="1:28" ht="17.100000000000001" customHeight="1" thickBot="1">
      <c r="A997" s="227"/>
      <c r="B997" s="27" t="s">
        <v>3543</v>
      </c>
      <c r="C997" s="27">
        <v>38022</v>
      </c>
      <c r="D997" s="14" t="s">
        <v>273</v>
      </c>
      <c r="E997" s="229"/>
      <c r="F997" s="117" t="s">
        <v>3544</v>
      </c>
      <c r="G997" s="26">
        <v>53736</v>
      </c>
      <c r="H997" s="231"/>
      <c r="I997" s="221"/>
      <c r="J997" s="221"/>
      <c r="K997" s="221"/>
      <c r="L997" s="221"/>
      <c r="M997" s="221"/>
      <c r="N997" s="221"/>
      <c r="O997" s="225"/>
      <c r="P997" s="118" t="s">
        <v>3545</v>
      </c>
      <c r="Q997" s="16" t="s">
        <v>20</v>
      </c>
      <c r="R997" s="17" t="s">
        <v>3546</v>
      </c>
      <c r="S997" s="121" t="s">
        <v>3547</v>
      </c>
      <c r="T997" s="122"/>
      <c r="U997" s="22"/>
      <c r="V997" s="123" t="s">
        <v>2472</v>
      </c>
      <c r="W997" s="122">
        <v>82013</v>
      </c>
      <c r="X997" s="221"/>
      <c r="Y997" s="221"/>
      <c r="Z997" s="221"/>
      <c r="AA997" s="221"/>
      <c r="AB997" s="223"/>
    </row>
    <row r="998" spans="1:28" ht="17.100000000000001" customHeight="1" thickTop="1">
      <c r="A998" s="226" t="s">
        <v>6130</v>
      </c>
      <c r="B998" s="28">
        <v>45708</v>
      </c>
      <c r="C998" s="25">
        <v>2185</v>
      </c>
      <c r="D998" s="13" t="s">
        <v>3422</v>
      </c>
      <c r="E998" s="228"/>
      <c r="F998" s="109" t="s">
        <v>2952</v>
      </c>
      <c r="G998" s="24"/>
      <c r="H998" s="230">
        <v>4</v>
      </c>
      <c r="I998" s="220">
        <v>1321000</v>
      </c>
      <c r="J998" s="220">
        <f>I998*0.1</f>
        <v>132100</v>
      </c>
      <c r="K998" s="220">
        <v>0</v>
      </c>
      <c r="L998" s="220">
        <v>17600</v>
      </c>
      <c r="M998" s="220">
        <v>14850</v>
      </c>
      <c r="N998" s="220">
        <f>SUM(I998:M999)</f>
        <v>1485550</v>
      </c>
      <c r="O998" s="224"/>
      <c r="P998" s="110" t="s">
        <v>3548</v>
      </c>
      <c r="Q998" s="15" t="s">
        <v>19</v>
      </c>
      <c r="R998" s="205"/>
      <c r="S998" s="189" t="s">
        <v>1072</v>
      </c>
      <c r="T998" s="114"/>
      <c r="U998" s="21"/>
      <c r="V998" s="115">
        <v>46366</v>
      </c>
      <c r="W998" s="116"/>
      <c r="X998" s="220">
        <v>2270000</v>
      </c>
      <c r="Y998" s="245">
        <v>0</v>
      </c>
      <c r="Z998" s="220">
        <v>0</v>
      </c>
      <c r="AA998" s="220">
        <f>SUM(X998:Z998)</f>
        <v>2270000</v>
      </c>
      <c r="AB998" s="222">
        <v>46385</v>
      </c>
    </row>
    <row r="999" spans="1:28" ht="17.100000000000001" customHeight="1" thickBot="1">
      <c r="A999" s="227"/>
      <c r="B999" s="27" t="s">
        <v>3549</v>
      </c>
      <c r="C999" s="27">
        <v>7012</v>
      </c>
      <c r="D999" s="14" t="s">
        <v>1584</v>
      </c>
      <c r="E999" s="229"/>
      <c r="F999" s="117" t="s">
        <v>3550</v>
      </c>
      <c r="G999" s="26">
        <v>41356</v>
      </c>
      <c r="H999" s="231"/>
      <c r="I999" s="221"/>
      <c r="J999" s="221"/>
      <c r="K999" s="221"/>
      <c r="L999" s="221"/>
      <c r="M999" s="221"/>
      <c r="N999" s="221"/>
      <c r="O999" s="225"/>
      <c r="P999" s="118" t="s">
        <v>3551</v>
      </c>
      <c r="Q999" s="16" t="s">
        <v>20</v>
      </c>
      <c r="R999" s="17" t="s">
        <v>2311</v>
      </c>
      <c r="S999" s="121" t="s">
        <v>3552</v>
      </c>
      <c r="T999" s="122"/>
      <c r="U999" s="22"/>
      <c r="V999" s="123" t="s">
        <v>15363</v>
      </c>
      <c r="W999" s="122"/>
      <c r="X999" s="221"/>
      <c r="Y999" s="221"/>
      <c r="Z999" s="221"/>
      <c r="AA999" s="221"/>
      <c r="AB999" s="223"/>
    </row>
    <row r="1000" spans="1:28" ht="17.100000000000001" customHeight="1" thickTop="1">
      <c r="A1000" s="226" t="s">
        <v>6131</v>
      </c>
      <c r="B1000" s="28">
        <v>45708</v>
      </c>
      <c r="C1000" s="25">
        <v>2098</v>
      </c>
      <c r="D1000" s="13" t="s">
        <v>3553</v>
      </c>
      <c r="E1000" s="228"/>
      <c r="F1000" s="109" t="s">
        <v>3554</v>
      </c>
      <c r="G1000" s="24" t="s">
        <v>3482</v>
      </c>
      <c r="H1000" s="230">
        <v>4</v>
      </c>
      <c r="I1000" s="220">
        <v>774000</v>
      </c>
      <c r="J1000" s="220">
        <f>I1000*0.1</f>
        <v>77400</v>
      </c>
      <c r="K1000" s="220">
        <v>0</v>
      </c>
      <c r="L1000" s="220">
        <v>8860</v>
      </c>
      <c r="M1000" s="220">
        <v>13750</v>
      </c>
      <c r="N1000" s="220">
        <f>SUM(I1000:M1001)</f>
        <v>874010</v>
      </c>
      <c r="O1000" s="224"/>
      <c r="P1000" s="110" t="s">
        <v>3555</v>
      </c>
      <c r="Q1000" s="15" t="s">
        <v>19</v>
      </c>
      <c r="R1000" s="205"/>
      <c r="S1000" s="189"/>
      <c r="T1000" s="114"/>
      <c r="U1000" s="21" t="s">
        <v>3556</v>
      </c>
      <c r="V1000" s="115">
        <v>46011</v>
      </c>
      <c r="W1000" s="116">
        <v>1281</v>
      </c>
      <c r="X1000" s="220">
        <v>750000</v>
      </c>
      <c r="Y1000" s="245">
        <f>X1000*0.1</f>
        <v>75000</v>
      </c>
      <c r="Z1000" s="220">
        <v>8860</v>
      </c>
      <c r="AA1000" s="220">
        <f>SUM(X1000:Z1000)</f>
        <v>833860</v>
      </c>
      <c r="AB1000" s="222">
        <v>46014</v>
      </c>
    </row>
    <row r="1001" spans="1:28" ht="17.100000000000001" customHeight="1" thickBot="1">
      <c r="A1001" s="227"/>
      <c r="B1001" s="27" t="s">
        <v>1918</v>
      </c>
      <c r="C1001" s="27">
        <v>2525</v>
      </c>
      <c r="D1001" s="14" t="s">
        <v>2559</v>
      </c>
      <c r="E1001" s="229"/>
      <c r="F1001" s="117" t="s">
        <v>3557</v>
      </c>
      <c r="G1001" s="26">
        <v>54610</v>
      </c>
      <c r="H1001" s="231"/>
      <c r="I1001" s="221"/>
      <c r="J1001" s="221"/>
      <c r="K1001" s="221"/>
      <c r="L1001" s="221"/>
      <c r="M1001" s="221"/>
      <c r="N1001" s="221"/>
      <c r="O1001" s="225"/>
      <c r="P1001" s="118" t="s">
        <v>3558</v>
      </c>
      <c r="Q1001" s="16" t="s">
        <v>20</v>
      </c>
      <c r="R1001" s="17" t="s">
        <v>3559</v>
      </c>
      <c r="S1001" s="121"/>
      <c r="T1001" s="122"/>
      <c r="U1001" s="22"/>
      <c r="V1001" s="123" t="s">
        <v>2472</v>
      </c>
      <c r="W1001" s="122">
        <v>60152</v>
      </c>
      <c r="X1001" s="221"/>
      <c r="Y1001" s="221"/>
      <c r="Z1001" s="221"/>
      <c r="AA1001" s="221"/>
      <c r="AB1001" s="223"/>
    </row>
    <row r="1002" spans="1:28" ht="17.100000000000001" customHeight="1" thickTop="1">
      <c r="A1002" s="226" t="s">
        <v>6132</v>
      </c>
      <c r="B1002" s="28">
        <v>45708</v>
      </c>
      <c r="C1002" s="25">
        <v>2098</v>
      </c>
      <c r="D1002" s="13" t="s">
        <v>1702</v>
      </c>
      <c r="E1002" s="228"/>
      <c r="F1002" s="109" t="s">
        <v>3560</v>
      </c>
      <c r="G1002" s="24" t="s">
        <v>3561</v>
      </c>
      <c r="H1002" s="230">
        <v>3.5</v>
      </c>
      <c r="I1002" s="220">
        <v>545000</v>
      </c>
      <c r="J1002" s="220">
        <f>I1002*0.1</f>
        <v>54500</v>
      </c>
      <c r="K1002" s="220">
        <v>0</v>
      </c>
      <c r="L1002" s="220">
        <v>9320</v>
      </c>
      <c r="M1002" s="220">
        <v>13750</v>
      </c>
      <c r="N1002" s="220">
        <f>SUM(I1002:M1003)</f>
        <v>622570</v>
      </c>
      <c r="O1002" s="224"/>
      <c r="P1002" s="110" t="s">
        <v>3562</v>
      </c>
      <c r="Q1002" s="15" t="s">
        <v>19</v>
      </c>
      <c r="R1002" s="205"/>
      <c r="S1002" s="189" t="s">
        <v>25423</v>
      </c>
      <c r="T1002" s="114"/>
      <c r="U1002" s="21" t="s">
        <v>3563</v>
      </c>
      <c r="V1002" s="115">
        <v>45934</v>
      </c>
      <c r="W1002" s="116">
        <v>1270</v>
      </c>
      <c r="X1002" s="220">
        <v>590000</v>
      </c>
      <c r="Y1002" s="245">
        <f>X1002*0.1</f>
        <v>59000</v>
      </c>
      <c r="Z1002" s="220">
        <v>9320</v>
      </c>
      <c r="AA1002" s="220">
        <f>SUM(X1002:Z1002)</f>
        <v>658320</v>
      </c>
      <c r="AB1002" s="222">
        <v>45937</v>
      </c>
    </row>
    <row r="1003" spans="1:28" ht="17.100000000000001" customHeight="1" thickBot="1">
      <c r="A1003" s="227"/>
      <c r="B1003" s="27" t="s">
        <v>1918</v>
      </c>
      <c r="C1003" s="27">
        <v>2564</v>
      </c>
      <c r="D1003" s="14" t="s">
        <v>2014</v>
      </c>
      <c r="E1003" s="229"/>
      <c r="F1003" s="117" t="s">
        <v>3564</v>
      </c>
      <c r="G1003" s="26">
        <v>57163</v>
      </c>
      <c r="H1003" s="231"/>
      <c r="I1003" s="221"/>
      <c r="J1003" s="221"/>
      <c r="K1003" s="221"/>
      <c r="L1003" s="221"/>
      <c r="M1003" s="221"/>
      <c r="N1003" s="221"/>
      <c r="O1003" s="225"/>
      <c r="P1003" s="118" t="s">
        <v>3565</v>
      </c>
      <c r="Q1003" s="16" t="s">
        <v>20</v>
      </c>
      <c r="R1003" s="17" t="s">
        <v>3559</v>
      </c>
      <c r="S1003" s="121" t="s">
        <v>3566</v>
      </c>
      <c r="T1003" s="122" t="s">
        <v>3539</v>
      </c>
      <c r="U1003" s="22"/>
      <c r="V1003" s="123" t="s">
        <v>7160</v>
      </c>
      <c r="W1003" s="122">
        <v>60170</v>
      </c>
      <c r="X1003" s="221"/>
      <c r="Y1003" s="221"/>
      <c r="Z1003" s="221"/>
      <c r="AA1003" s="221"/>
      <c r="AB1003" s="223"/>
    </row>
    <row r="1004" spans="1:28" ht="17.100000000000001" customHeight="1" thickTop="1">
      <c r="A1004" s="226" t="s">
        <v>6133</v>
      </c>
      <c r="B1004" s="28">
        <v>45715</v>
      </c>
      <c r="C1004" s="25">
        <v>1506</v>
      </c>
      <c r="D1004" s="13" t="s">
        <v>2150</v>
      </c>
      <c r="E1004" s="228"/>
      <c r="F1004" s="109" t="s">
        <v>3567</v>
      </c>
      <c r="G1004" s="24"/>
      <c r="H1004" s="230">
        <v>4</v>
      </c>
      <c r="I1004" s="220">
        <v>1340000</v>
      </c>
      <c r="J1004" s="220">
        <f>I1004*0.1</f>
        <v>134000</v>
      </c>
      <c r="K1004" s="220">
        <v>0</v>
      </c>
      <c r="L1004" s="220">
        <v>21300</v>
      </c>
      <c r="M1004" s="220">
        <v>13200</v>
      </c>
      <c r="N1004" s="220">
        <f>SUM(I1004:M1005)</f>
        <v>1508500</v>
      </c>
      <c r="O1004" s="224"/>
      <c r="P1004" s="110" t="s">
        <v>3568</v>
      </c>
      <c r="Q1004" s="15" t="s">
        <v>19</v>
      </c>
      <c r="R1004" s="205"/>
      <c r="S1004" s="189" t="s">
        <v>25424</v>
      </c>
      <c r="T1004" s="114"/>
      <c r="U1004" s="21"/>
      <c r="V1004" s="115"/>
      <c r="W1004" s="116"/>
      <c r="X1004" s="220"/>
      <c r="Y1004" s="220">
        <f>X1004*0.1</f>
        <v>0</v>
      </c>
      <c r="Z1004" s="220"/>
      <c r="AA1004" s="220">
        <f>SUM(X1004:Z1004)</f>
        <v>0</v>
      </c>
      <c r="AB1004" s="222"/>
    </row>
    <row r="1005" spans="1:28" ht="17.100000000000001" customHeight="1" thickBot="1">
      <c r="A1005" s="227"/>
      <c r="B1005" s="27" t="s">
        <v>1592</v>
      </c>
      <c r="C1005" s="27">
        <v>79076</v>
      </c>
      <c r="D1005" s="14" t="s">
        <v>131</v>
      </c>
      <c r="E1005" s="229"/>
      <c r="F1005" s="117" t="s">
        <v>3569</v>
      </c>
      <c r="G1005" s="26">
        <v>39393</v>
      </c>
      <c r="H1005" s="231"/>
      <c r="I1005" s="221"/>
      <c r="J1005" s="221"/>
      <c r="K1005" s="221"/>
      <c r="L1005" s="221"/>
      <c r="M1005" s="221"/>
      <c r="N1005" s="221"/>
      <c r="O1005" s="225"/>
      <c r="P1005" s="118" t="s">
        <v>3355</v>
      </c>
      <c r="Q1005" s="16" t="s">
        <v>20</v>
      </c>
      <c r="R1005" s="17" t="s">
        <v>2920</v>
      </c>
      <c r="S1005" s="121" t="s">
        <v>1731</v>
      </c>
      <c r="T1005" s="122"/>
      <c r="U1005" s="22"/>
      <c r="V1005" s="123"/>
      <c r="W1005" s="122"/>
      <c r="X1005" s="221"/>
      <c r="Y1005" s="221"/>
      <c r="Z1005" s="221"/>
      <c r="AA1005" s="221"/>
      <c r="AB1005" s="223"/>
    </row>
    <row r="1006" spans="1:28" ht="17.100000000000001" customHeight="1" thickTop="1">
      <c r="A1006" s="226" t="s">
        <v>6134</v>
      </c>
      <c r="B1006" s="28">
        <v>45715</v>
      </c>
      <c r="C1006" s="25">
        <v>2099</v>
      </c>
      <c r="D1006" s="13" t="s">
        <v>163</v>
      </c>
      <c r="E1006" s="228"/>
      <c r="F1006" s="109" t="s">
        <v>3570</v>
      </c>
      <c r="G1006" s="24" t="s">
        <v>3571</v>
      </c>
      <c r="H1006" s="230">
        <v>4</v>
      </c>
      <c r="I1006" s="220">
        <v>547000</v>
      </c>
      <c r="J1006" s="220">
        <f>I1006*0.1</f>
        <v>54700</v>
      </c>
      <c r="K1006" s="220">
        <v>0</v>
      </c>
      <c r="L1006" s="220">
        <v>8540</v>
      </c>
      <c r="M1006" s="220">
        <v>13750</v>
      </c>
      <c r="N1006" s="220">
        <f>SUM(I1006:M1007)</f>
        <v>623990</v>
      </c>
      <c r="O1006" s="224"/>
      <c r="P1006" s="110" t="s">
        <v>3572</v>
      </c>
      <c r="Q1006" s="15" t="s">
        <v>19</v>
      </c>
      <c r="R1006" s="205"/>
      <c r="S1006" s="189" t="s">
        <v>1271</v>
      </c>
      <c r="T1006" s="114"/>
      <c r="U1006" s="21" t="s">
        <v>3573</v>
      </c>
      <c r="V1006" s="115">
        <v>45941</v>
      </c>
      <c r="W1006" s="116">
        <v>1271</v>
      </c>
      <c r="X1006" s="220">
        <v>550000</v>
      </c>
      <c r="Y1006" s="245">
        <f>X1006*0.1</f>
        <v>55000</v>
      </c>
      <c r="Z1006" s="220">
        <v>8540</v>
      </c>
      <c r="AA1006" s="220">
        <f>SUM(X1006:Z1006)</f>
        <v>613540</v>
      </c>
      <c r="AB1006" s="222">
        <v>45950</v>
      </c>
    </row>
    <row r="1007" spans="1:28" ht="17.100000000000001" customHeight="1" thickBot="1">
      <c r="A1007" s="227"/>
      <c r="B1007" s="27" t="s">
        <v>1918</v>
      </c>
      <c r="C1007" s="27">
        <v>2084</v>
      </c>
      <c r="D1007" s="14" t="s">
        <v>2559</v>
      </c>
      <c r="E1007" s="229"/>
      <c r="F1007" s="117" t="s">
        <v>3574</v>
      </c>
      <c r="G1007" s="26">
        <v>67321</v>
      </c>
      <c r="H1007" s="231"/>
      <c r="I1007" s="221"/>
      <c r="J1007" s="221"/>
      <c r="K1007" s="221"/>
      <c r="L1007" s="221"/>
      <c r="M1007" s="221"/>
      <c r="N1007" s="221"/>
      <c r="O1007" s="225"/>
      <c r="P1007" s="118" t="s">
        <v>3575</v>
      </c>
      <c r="Q1007" s="16" t="s">
        <v>20</v>
      </c>
      <c r="R1007" s="17" t="s">
        <v>2920</v>
      </c>
      <c r="S1007" s="121" t="s">
        <v>3576</v>
      </c>
      <c r="T1007" s="122"/>
      <c r="U1007" s="22"/>
      <c r="V1007" s="123" t="s">
        <v>6642</v>
      </c>
      <c r="W1007" s="122">
        <v>60100</v>
      </c>
      <c r="X1007" s="221"/>
      <c r="Y1007" s="221"/>
      <c r="Z1007" s="221"/>
      <c r="AA1007" s="221"/>
      <c r="AB1007" s="223"/>
    </row>
    <row r="1008" spans="1:28" ht="17.100000000000001" customHeight="1" thickTop="1">
      <c r="A1008" s="226" t="s">
        <v>6135</v>
      </c>
      <c r="B1008" s="28">
        <v>45716</v>
      </c>
      <c r="C1008" s="25">
        <v>1146</v>
      </c>
      <c r="D1008" s="13" t="s">
        <v>2811</v>
      </c>
      <c r="E1008" s="228"/>
      <c r="F1008" s="109" t="s">
        <v>3577</v>
      </c>
      <c r="G1008" s="24"/>
      <c r="H1008" s="230">
        <v>5</v>
      </c>
      <c r="I1008" s="220">
        <v>2010000</v>
      </c>
      <c r="J1008" s="220">
        <f>I1008*0.1</f>
        <v>201000</v>
      </c>
      <c r="K1008" s="220">
        <v>0</v>
      </c>
      <c r="L1008" s="220">
        <v>16240</v>
      </c>
      <c r="M1008" s="220">
        <v>13200</v>
      </c>
      <c r="N1008" s="220">
        <f>SUM(I1008:M1009)</f>
        <v>2240440</v>
      </c>
      <c r="O1008" s="224"/>
      <c r="P1008" s="110" t="s">
        <v>3578</v>
      </c>
      <c r="Q1008" s="15" t="s">
        <v>19</v>
      </c>
      <c r="R1008" s="205"/>
      <c r="S1008" s="189" t="s">
        <v>25425</v>
      </c>
      <c r="T1008" s="114"/>
      <c r="U1008" s="21"/>
      <c r="V1008" s="115">
        <v>45914</v>
      </c>
      <c r="W1008" s="116"/>
      <c r="X1008" s="220">
        <v>2870000</v>
      </c>
      <c r="Y1008" s="245">
        <v>0</v>
      </c>
      <c r="Z1008" s="220">
        <v>0</v>
      </c>
      <c r="AA1008" s="220">
        <f>SUM(X1008:Z1008)</f>
        <v>2870000</v>
      </c>
      <c r="AB1008" s="222">
        <v>45943</v>
      </c>
    </row>
    <row r="1009" spans="1:28" ht="17.100000000000001" customHeight="1" thickBot="1">
      <c r="A1009" s="227"/>
      <c r="B1009" s="27" t="s">
        <v>1813</v>
      </c>
      <c r="C1009" s="27">
        <v>88044</v>
      </c>
      <c r="D1009" s="14" t="s">
        <v>1568</v>
      </c>
      <c r="E1009" s="229"/>
      <c r="F1009" s="117" t="s">
        <v>3579</v>
      </c>
      <c r="G1009" s="26">
        <v>32650</v>
      </c>
      <c r="H1009" s="231"/>
      <c r="I1009" s="221"/>
      <c r="J1009" s="221"/>
      <c r="K1009" s="221"/>
      <c r="L1009" s="221"/>
      <c r="M1009" s="221"/>
      <c r="N1009" s="221"/>
      <c r="O1009" s="225"/>
      <c r="P1009" s="118" t="s">
        <v>3580</v>
      </c>
      <c r="Q1009" s="16" t="s">
        <v>20</v>
      </c>
      <c r="R1009" s="17" t="s">
        <v>2920</v>
      </c>
      <c r="S1009" s="121" t="s">
        <v>3581</v>
      </c>
      <c r="T1009" s="122"/>
      <c r="U1009" s="22"/>
      <c r="V1009" s="123" t="s">
        <v>8098</v>
      </c>
      <c r="W1009" s="122"/>
      <c r="X1009" s="221"/>
      <c r="Y1009" s="221"/>
      <c r="Z1009" s="221"/>
      <c r="AA1009" s="221"/>
      <c r="AB1009" s="223"/>
    </row>
    <row r="1010" spans="1:28" ht="17.100000000000001" customHeight="1" thickTop="1">
      <c r="A1010" s="226" t="s">
        <v>6136</v>
      </c>
      <c r="B1010" s="28">
        <v>45716</v>
      </c>
      <c r="C1010" s="25">
        <v>2075</v>
      </c>
      <c r="D1010" s="13" t="s">
        <v>1908</v>
      </c>
      <c r="E1010" s="228"/>
      <c r="F1010" s="109" t="s">
        <v>3344</v>
      </c>
      <c r="G1010" s="24" t="s">
        <v>3582</v>
      </c>
      <c r="H1010" s="230">
        <v>4.5</v>
      </c>
      <c r="I1010" s="220">
        <v>1920000</v>
      </c>
      <c r="J1010" s="220">
        <f>I1010*0.1</f>
        <v>192000</v>
      </c>
      <c r="K1010" s="220">
        <f>3200+320</f>
        <v>3520</v>
      </c>
      <c r="L1010" s="220">
        <v>13210</v>
      </c>
      <c r="M1010" s="220">
        <v>13200</v>
      </c>
      <c r="N1010" s="220">
        <f>SUM(I1010:M1011)</f>
        <v>2141930</v>
      </c>
      <c r="O1010" s="224"/>
      <c r="P1010" s="110" t="s">
        <v>3583</v>
      </c>
      <c r="Q1010" s="15" t="s">
        <v>19</v>
      </c>
      <c r="R1010" s="205"/>
      <c r="S1010" s="189" t="s">
        <v>1422</v>
      </c>
      <c r="T1010" s="114"/>
      <c r="U1010" s="21" t="s">
        <v>3584</v>
      </c>
      <c r="V1010" s="115"/>
      <c r="W1010" s="116"/>
      <c r="X1010" s="220"/>
      <c r="Y1010" s="245">
        <f>X1010*0.1</f>
        <v>0</v>
      </c>
      <c r="Z1010" s="220"/>
      <c r="AA1010" s="220">
        <f>SUM(X1010:Z1010)</f>
        <v>0</v>
      </c>
      <c r="AB1010" s="222"/>
    </row>
    <row r="1011" spans="1:28" ht="17.100000000000001" customHeight="1" thickBot="1">
      <c r="A1011" s="227"/>
      <c r="B1011" s="27" t="s">
        <v>1536</v>
      </c>
      <c r="C1011" s="27">
        <v>35427</v>
      </c>
      <c r="D1011" s="14" t="s">
        <v>898</v>
      </c>
      <c r="E1011" s="229"/>
      <c r="F1011" s="117" t="s">
        <v>3585</v>
      </c>
      <c r="G1011" s="26">
        <v>30596</v>
      </c>
      <c r="H1011" s="231"/>
      <c r="I1011" s="221"/>
      <c r="J1011" s="221"/>
      <c r="K1011" s="221"/>
      <c r="L1011" s="221"/>
      <c r="M1011" s="221"/>
      <c r="N1011" s="221"/>
      <c r="O1011" s="225"/>
      <c r="P1011" s="118" t="s">
        <v>3586</v>
      </c>
      <c r="Q1011" s="16" t="s">
        <v>20</v>
      </c>
      <c r="R1011" s="17" t="s">
        <v>2637</v>
      </c>
      <c r="S1011" s="121" t="s">
        <v>3587</v>
      </c>
      <c r="T1011" s="122" t="s">
        <v>3588</v>
      </c>
      <c r="U1011" s="22"/>
      <c r="V1011" s="123"/>
      <c r="W1011" s="122"/>
      <c r="X1011" s="221"/>
      <c r="Y1011" s="221"/>
      <c r="Z1011" s="221"/>
      <c r="AA1011" s="221"/>
      <c r="AB1011" s="223"/>
    </row>
    <row r="1012" spans="1:28" ht="17.100000000000001" customHeight="1" thickTop="1">
      <c r="A1012" s="226" t="s">
        <v>6137</v>
      </c>
      <c r="B1012" s="28">
        <v>45724</v>
      </c>
      <c r="C1012" s="25">
        <v>964</v>
      </c>
      <c r="D1012" s="13" t="s">
        <v>2295</v>
      </c>
      <c r="E1012" s="228"/>
      <c r="F1012" s="109" t="s">
        <v>2278</v>
      </c>
      <c r="G1012" s="24"/>
      <c r="H1012" s="230">
        <v>4.5</v>
      </c>
      <c r="I1012" s="220">
        <v>1949000</v>
      </c>
      <c r="J1012" s="220">
        <f>I1012*0.1</f>
        <v>194900</v>
      </c>
      <c r="K1012" s="220">
        <v>0</v>
      </c>
      <c r="L1012" s="220">
        <v>16240</v>
      </c>
      <c r="M1012" s="220">
        <v>14850</v>
      </c>
      <c r="N1012" s="220">
        <f>SUM(I1012:M1013)</f>
        <v>2174990</v>
      </c>
      <c r="O1012" s="224"/>
      <c r="P1012" s="110" t="s">
        <v>3589</v>
      </c>
      <c r="Q1012" s="15" t="s">
        <v>19</v>
      </c>
      <c r="R1012" s="205"/>
      <c r="S1012" s="189" t="s">
        <v>25426</v>
      </c>
      <c r="T1012" s="114"/>
      <c r="U1012" s="21"/>
      <c r="V1012" s="115">
        <v>45990</v>
      </c>
      <c r="W1012" s="116">
        <v>1278</v>
      </c>
      <c r="X1012" s="220">
        <v>3060000</v>
      </c>
      <c r="Y1012" s="245">
        <f>X1012*0.1</f>
        <v>306000</v>
      </c>
      <c r="Z1012" s="220">
        <v>16240</v>
      </c>
      <c r="AA1012" s="220">
        <f>SUM(X1012:Z1012)</f>
        <v>3382240</v>
      </c>
      <c r="AB1012" s="222">
        <v>45994</v>
      </c>
    </row>
    <row r="1013" spans="1:28" ht="17.100000000000001" customHeight="1" thickBot="1">
      <c r="A1013" s="227"/>
      <c r="B1013" s="27" t="s">
        <v>1697</v>
      </c>
      <c r="C1013" s="27">
        <v>5015</v>
      </c>
      <c r="D1013" s="14" t="s">
        <v>898</v>
      </c>
      <c r="E1013" s="229"/>
      <c r="F1013" s="117" t="s">
        <v>3590</v>
      </c>
      <c r="G1013" s="26">
        <v>45218</v>
      </c>
      <c r="H1013" s="231"/>
      <c r="I1013" s="221"/>
      <c r="J1013" s="221"/>
      <c r="K1013" s="221"/>
      <c r="L1013" s="221"/>
      <c r="M1013" s="221"/>
      <c r="N1013" s="221"/>
      <c r="O1013" s="225"/>
      <c r="P1013" s="118" t="s">
        <v>3591</v>
      </c>
      <c r="Q1013" s="16" t="s">
        <v>20</v>
      </c>
      <c r="R1013" s="17" t="s">
        <v>3592</v>
      </c>
      <c r="S1013" s="121" t="s">
        <v>2784</v>
      </c>
      <c r="T1013" s="122"/>
      <c r="U1013" s="22"/>
      <c r="V1013" s="123" t="s">
        <v>2472</v>
      </c>
      <c r="W1013" s="122">
        <v>82127</v>
      </c>
      <c r="X1013" s="221"/>
      <c r="Y1013" s="221"/>
      <c r="Z1013" s="221"/>
      <c r="AA1013" s="221"/>
      <c r="AB1013" s="223"/>
    </row>
    <row r="1014" spans="1:28" ht="17.100000000000001" customHeight="1" thickTop="1">
      <c r="A1014" s="226" t="s">
        <v>6138</v>
      </c>
      <c r="B1014" s="28">
        <v>45725</v>
      </c>
      <c r="C1014" s="25"/>
      <c r="D1014" s="13" t="s">
        <v>3593</v>
      </c>
      <c r="E1014" s="228"/>
      <c r="F1014" s="109" t="s">
        <v>3594</v>
      </c>
      <c r="G1014" s="24" t="s">
        <v>2810</v>
      </c>
      <c r="H1014" s="230"/>
      <c r="I1014" s="220">
        <v>0</v>
      </c>
      <c r="J1014" s="220">
        <f>I1014*0.1</f>
        <v>0</v>
      </c>
      <c r="K1014" s="220">
        <v>0</v>
      </c>
      <c r="L1014" s="220">
        <v>0</v>
      </c>
      <c r="M1014" s="220">
        <v>0</v>
      </c>
      <c r="N1014" s="220">
        <f>SUM(I1014:M1015)</f>
        <v>0</v>
      </c>
      <c r="O1014" s="224"/>
      <c r="P1014" s="110" t="s">
        <v>3595</v>
      </c>
      <c r="Q1014" s="15" t="s">
        <v>19</v>
      </c>
      <c r="R1014" s="205"/>
      <c r="S1014" s="189"/>
      <c r="T1014" s="114"/>
      <c r="U1014" s="21"/>
      <c r="V1014" s="115"/>
      <c r="W1014" s="116"/>
      <c r="X1014" s="220"/>
      <c r="Y1014" s="245">
        <f>X1014*0.1</f>
        <v>0</v>
      </c>
      <c r="Z1014" s="220"/>
      <c r="AA1014" s="220">
        <f>SUM(X1014:Z1014)</f>
        <v>0</v>
      </c>
      <c r="AB1014" s="222"/>
    </row>
    <row r="1015" spans="1:28" ht="17.100000000000001" customHeight="1" thickBot="1">
      <c r="A1015" s="227"/>
      <c r="B1015" s="27" t="s">
        <v>3596</v>
      </c>
      <c r="C1015" s="27"/>
      <c r="D1015" s="14"/>
      <c r="E1015" s="229"/>
      <c r="F1015" s="117" t="s">
        <v>3597</v>
      </c>
      <c r="G1015" s="26"/>
      <c r="H1015" s="231"/>
      <c r="I1015" s="221"/>
      <c r="J1015" s="221"/>
      <c r="K1015" s="221"/>
      <c r="L1015" s="221"/>
      <c r="M1015" s="221"/>
      <c r="N1015" s="221"/>
      <c r="O1015" s="225"/>
      <c r="P1015" s="118" t="s">
        <v>3598</v>
      </c>
      <c r="Q1015" s="16" t="s">
        <v>20</v>
      </c>
      <c r="R1015" s="17" t="s">
        <v>2964</v>
      </c>
      <c r="S1015" s="121" t="s">
        <v>3599</v>
      </c>
      <c r="T1015" s="122"/>
      <c r="U1015" s="22" t="s">
        <v>901</v>
      </c>
      <c r="V1015" s="123"/>
      <c r="W1015" s="122"/>
      <c r="X1015" s="221"/>
      <c r="Y1015" s="221"/>
      <c r="Z1015" s="221"/>
      <c r="AA1015" s="221"/>
      <c r="AB1015" s="223"/>
    </row>
    <row r="1016" spans="1:28" ht="17.100000000000001" customHeight="1" thickTop="1">
      <c r="A1016" s="226" t="s">
        <v>6139</v>
      </c>
      <c r="B1016" s="28">
        <v>45727</v>
      </c>
      <c r="C1016" s="25">
        <v>1036</v>
      </c>
      <c r="D1016" s="13" t="s">
        <v>1915</v>
      </c>
      <c r="E1016" s="228"/>
      <c r="F1016" s="109" t="s">
        <v>3600</v>
      </c>
      <c r="G1016" s="24" t="s">
        <v>3601</v>
      </c>
      <c r="H1016" s="230">
        <v>4.5</v>
      </c>
      <c r="I1016" s="220">
        <v>2090000</v>
      </c>
      <c r="J1016" s="220">
        <f>I1016*0.1</f>
        <v>209000</v>
      </c>
      <c r="K1016" s="220">
        <v>39500</v>
      </c>
      <c r="L1016" s="220">
        <v>15240</v>
      </c>
      <c r="M1016" s="220">
        <v>13200</v>
      </c>
      <c r="N1016" s="220">
        <f>SUM(I1016:M1017)</f>
        <v>2366940</v>
      </c>
      <c r="O1016" s="224"/>
      <c r="P1016" s="110" t="s">
        <v>3602</v>
      </c>
      <c r="Q1016" s="15" t="s">
        <v>19</v>
      </c>
      <c r="R1016" s="205"/>
      <c r="S1016" s="189" t="s">
        <v>25421</v>
      </c>
      <c r="T1016" s="114"/>
      <c r="U1016" s="21"/>
      <c r="V1016" s="115"/>
      <c r="W1016" s="116"/>
      <c r="X1016" s="220"/>
      <c r="Y1016" s="245">
        <f>X1016*0.1</f>
        <v>0</v>
      </c>
      <c r="Z1016" s="220"/>
      <c r="AA1016" s="220">
        <f>SUM(X1016:Z1016)</f>
        <v>0</v>
      </c>
      <c r="AB1016" s="222"/>
    </row>
    <row r="1017" spans="1:28" ht="17.100000000000001" customHeight="1" thickBot="1">
      <c r="A1017" s="227"/>
      <c r="B1017" s="27" t="s">
        <v>1583</v>
      </c>
      <c r="C1017" s="27">
        <v>90096</v>
      </c>
      <c r="D1017" s="14" t="s">
        <v>131</v>
      </c>
      <c r="E1017" s="229"/>
      <c r="F1017" s="117" t="s">
        <v>3603</v>
      </c>
      <c r="G1017" s="26">
        <v>48655</v>
      </c>
      <c r="H1017" s="231"/>
      <c r="I1017" s="221"/>
      <c r="J1017" s="221"/>
      <c r="K1017" s="221"/>
      <c r="L1017" s="221"/>
      <c r="M1017" s="221"/>
      <c r="N1017" s="221"/>
      <c r="O1017" s="225"/>
      <c r="P1017" s="118" t="s">
        <v>3604</v>
      </c>
      <c r="Q1017" s="16" t="s">
        <v>20</v>
      </c>
      <c r="R1017" s="17" t="s">
        <v>3605</v>
      </c>
      <c r="S1017" s="121" t="s">
        <v>2872</v>
      </c>
      <c r="T1017" s="122"/>
      <c r="U1017" s="22" t="s">
        <v>901</v>
      </c>
      <c r="V1017" s="123"/>
      <c r="W1017" s="122"/>
      <c r="X1017" s="221"/>
      <c r="Y1017" s="221"/>
      <c r="Z1017" s="221"/>
      <c r="AA1017" s="221"/>
      <c r="AB1017" s="223"/>
    </row>
    <row r="1018" spans="1:28" ht="17.100000000000001" customHeight="1" thickTop="1">
      <c r="A1018" s="226" t="s">
        <v>6140</v>
      </c>
      <c r="B1018" s="28">
        <v>45730</v>
      </c>
      <c r="C1018" s="25">
        <v>1361</v>
      </c>
      <c r="D1018" s="13" t="s">
        <v>2900</v>
      </c>
      <c r="E1018" s="228"/>
      <c r="F1018" s="109" t="s">
        <v>3606</v>
      </c>
      <c r="G1018" s="24" t="s">
        <v>3607</v>
      </c>
      <c r="H1018" s="230">
        <v>4</v>
      </c>
      <c r="I1018" s="220">
        <v>884000</v>
      </c>
      <c r="J1018" s="220">
        <f>I1018*0.1</f>
        <v>88400</v>
      </c>
      <c r="K1018" s="220">
        <v>25000</v>
      </c>
      <c r="L1018" s="220">
        <v>9750</v>
      </c>
      <c r="M1018" s="220">
        <v>13200</v>
      </c>
      <c r="N1018" s="220">
        <f>SUM(I1018:M1019)</f>
        <v>1020350</v>
      </c>
      <c r="O1018" s="224"/>
      <c r="P1018" s="110" t="s">
        <v>3608</v>
      </c>
      <c r="Q1018" s="15" t="s">
        <v>19</v>
      </c>
      <c r="R1018" s="205"/>
      <c r="S1018" s="189" t="s">
        <v>1312</v>
      </c>
      <c r="T1018" s="114"/>
      <c r="U1018" s="21" t="s">
        <v>3609</v>
      </c>
      <c r="V1018" s="115">
        <v>45934</v>
      </c>
      <c r="W1018" s="116">
        <v>1270</v>
      </c>
      <c r="X1018" s="220">
        <v>1110000</v>
      </c>
      <c r="Y1018" s="245">
        <f>X1018*0.1</f>
        <v>111000</v>
      </c>
      <c r="Z1018" s="220">
        <v>9750</v>
      </c>
      <c r="AA1018" s="220">
        <f>SUM(X1018:Z1018)</f>
        <v>1230750</v>
      </c>
      <c r="AB1018" s="222">
        <v>45937</v>
      </c>
    </row>
    <row r="1019" spans="1:28" ht="17.100000000000001" customHeight="1" thickBot="1">
      <c r="A1019" s="227"/>
      <c r="B1019" s="27" t="s">
        <v>2597</v>
      </c>
      <c r="C1019" s="27">
        <v>3297</v>
      </c>
      <c r="D1019" s="14" t="s">
        <v>273</v>
      </c>
      <c r="E1019" s="229"/>
      <c r="F1019" s="117" t="s">
        <v>3610</v>
      </c>
      <c r="G1019" s="26">
        <v>81323</v>
      </c>
      <c r="H1019" s="231"/>
      <c r="I1019" s="221"/>
      <c r="J1019" s="221"/>
      <c r="K1019" s="221"/>
      <c r="L1019" s="221"/>
      <c r="M1019" s="221"/>
      <c r="N1019" s="221"/>
      <c r="O1019" s="225"/>
      <c r="P1019" s="118" t="s">
        <v>3611</v>
      </c>
      <c r="Q1019" s="16" t="s">
        <v>20</v>
      </c>
      <c r="R1019" s="17" t="s">
        <v>1891</v>
      </c>
      <c r="S1019" s="121" t="s">
        <v>1606</v>
      </c>
      <c r="T1019" s="122"/>
      <c r="U1019" s="22"/>
      <c r="V1019" s="123" t="s">
        <v>7160</v>
      </c>
      <c r="W1019" s="122">
        <v>37099</v>
      </c>
      <c r="X1019" s="221"/>
      <c r="Y1019" s="221"/>
      <c r="Z1019" s="221"/>
      <c r="AA1019" s="221"/>
      <c r="AB1019" s="223"/>
    </row>
    <row r="1020" spans="1:28" ht="17.100000000000001" customHeight="1" thickTop="1">
      <c r="A1020" s="226" t="s">
        <v>6141</v>
      </c>
      <c r="B1020" s="28">
        <v>45733</v>
      </c>
      <c r="C1020" s="25"/>
      <c r="D1020" s="13" t="s">
        <v>1632</v>
      </c>
      <c r="E1020" s="228"/>
      <c r="F1020" s="109" t="s">
        <v>3612</v>
      </c>
      <c r="G1020" s="24" t="s">
        <v>3613</v>
      </c>
      <c r="H1020" s="230">
        <v>4</v>
      </c>
      <c r="I1020" s="220">
        <f>3558500/1.1</f>
        <v>3234999.9999999995</v>
      </c>
      <c r="J1020" s="220">
        <f>I1020*0.1</f>
        <v>323500</v>
      </c>
      <c r="K1020" s="220">
        <v>0</v>
      </c>
      <c r="L1020" s="220">
        <v>14980</v>
      </c>
      <c r="M1020" s="220">
        <v>143963</v>
      </c>
      <c r="N1020" s="220">
        <f>SUM(I1020:M1021)</f>
        <v>3717442.9999999995</v>
      </c>
      <c r="O1020" s="224"/>
      <c r="P1020" s="110" t="s">
        <v>3614</v>
      </c>
      <c r="Q1020" s="15" t="s">
        <v>19</v>
      </c>
      <c r="R1020" s="205"/>
      <c r="S1020" s="189" t="s">
        <v>25372</v>
      </c>
      <c r="T1020" s="114"/>
      <c r="U1020" s="21" t="s">
        <v>3615</v>
      </c>
      <c r="V1020" s="115">
        <v>45990</v>
      </c>
      <c r="W1020" s="116">
        <v>1278</v>
      </c>
      <c r="X1020" s="220">
        <v>3030000</v>
      </c>
      <c r="Y1020" s="245">
        <f>X1020*0.1</f>
        <v>303000</v>
      </c>
      <c r="Z1020" s="220">
        <v>14980</v>
      </c>
      <c r="AA1020" s="220">
        <f>SUM(X1020:Z1020)</f>
        <v>3347980</v>
      </c>
      <c r="AB1020" s="222">
        <v>45994</v>
      </c>
    </row>
    <row r="1021" spans="1:28" ht="17.100000000000001" customHeight="1" thickBot="1">
      <c r="A1021" s="227"/>
      <c r="B1021" s="27" t="s">
        <v>1708</v>
      </c>
      <c r="C1021" s="27" t="s">
        <v>3616</v>
      </c>
      <c r="D1021" s="14" t="s">
        <v>2559</v>
      </c>
      <c r="E1021" s="229"/>
      <c r="F1021" s="117" t="s">
        <v>3617</v>
      </c>
      <c r="G1021" s="26">
        <v>78589</v>
      </c>
      <c r="H1021" s="231"/>
      <c r="I1021" s="221"/>
      <c r="J1021" s="221"/>
      <c r="K1021" s="221"/>
      <c r="L1021" s="221"/>
      <c r="M1021" s="221"/>
      <c r="N1021" s="221"/>
      <c r="O1021" s="225"/>
      <c r="P1021" s="118" t="s">
        <v>3618</v>
      </c>
      <c r="Q1021" s="16" t="s">
        <v>20</v>
      </c>
      <c r="R1021" s="17" t="s">
        <v>2370</v>
      </c>
      <c r="S1021" s="121" t="s">
        <v>11758</v>
      </c>
      <c r="T1021" s="122"/>
      <c r="U1021" s="22"/>
      <c r="V1021" s="123" t="s">
        <v>2472</v>
      </c>
      <c r="W1021" s="122">
        <v>31024</v>
      </c>
      <c r="X1021" s="221"/>
      <c r="Y1021" s="221"/>
      <c r="Z1021" s="221"/>
      <c r="AA1021" s="221"/>
      <c r="AB1021" s="223"/>
    </row>
    <row r="1022" spans="1:28" ht="17.100000000000001" customHeight="1" thickTop="1">
      <c r="A1022" s="226" t="s">
        <v>6142</v>
      </c>
      <c r="B1022" s="28">
        <v>45745</v>
      </c>
      <c r="C1022" s="25"/>
      <c r="D1022" s="13" t="s">
        <v>3619</v>
      </c>
      <c r="E1022" s="228"/>
      <c r="F1022" s="109" t="s">
        <v>3620</v>
      </c>
      <c r="G1022" s="24" t="s">
        <v>3453</v>
      </c>
      <c r="H1022" s="230"/>
      <c r="I1022" s="220">
        <v>167500</v>
      </c>
      <c r="J1022" s="220">
        <v>0</v>
      </c>
      <c r="K1022" s="220">
        <v>0</v>
      </c>
      <c r="L1022" s="220">
        <v>0</v>
      </c>
      <c r="M1022" s="220">
        <v>0</v>
      </c>
      <c r="N1022" s="220">
        <f>SUM(I1022:M1023)</f>
        <v>167500</v>
      </c>
      <c r="O1022" s="224"/>
      <c r="P1022" s="110" t="s">
        <v>3621</v>
      </c>
      <c r="Q1022" s="15" t="s">
        <v>19</v>
      </c>
      <c r="R1022" s="205"/>
      <c r="S1022" s="189"/>
      <c r="T1022" s="114"/>
      <c r="U1022" s="21"/>
      <c r="V1022" s="115"/>
      <c r="W1022" s="116"/>
      <c r="X1022" s="220"/>
      <c r="Y1022" s="245">
        <f>X1022*0.1</f>
        <v>0</v>
      </c>
      <c r="Z1022" s="220"/>
      <c r="AA1022" s="220">
        <f>SUM(X1022:Z1022)</f>
        <v>0</v>
      </c>
      <c r="AB1022" s="222"/>
    </row>
    <row r="1023" spans="1:28" ht="17.100000000000001" customHeight="1" thickBot="1">
      <c r="A1023" s="227"/>
      <c r="B1023" s="27" t="s">
        <v>3622</v>
      </c>
      <c r="C1023" s="27"/>
      <c r="D1023" s="14"/>
      <c r="E1023" s="229"/>
      <c r="F1023" s="117" t="s">
        <v>3623</v>
      </c>
      <c r="G1023" s="26">
        <v>87801</v>
      </c>
      <c r="H1023" s="231"/>
      <c r="I1023" s="221"/>
      <c r="J1023" s="221"/>
      <c r="K1023" s="221"/>
      <c r="L1023" s="221"/>
      <c r="M1023" s="221"/>
      <c r="N1023" s="221"/>
      <c r="O1023" s="225"/>
      <c r="P1023" s="118" t="s">
        <v>3624</v>
      </c>
      <c r="Q1023" s="16" t="s">
        <v>20</v>
      </c>
      <c r="R1023" s="17" t="s">
        <v>2662</v>
      </c>
      <c r="S1023" s="121"/>
      <c r="T1023" s="122"/>
      <c r="U1023" s="84" t="s">
        <v>901</v>
      </c>
      <c r="V1023" s="123"/>
      <c r="W1023" s="122"/>
      <c r="X1023" s="221"/>
      <c r="Y1023" s="221"/>
      <c r="Z1023" s="221"/>
      <c r="AA1023" s="221"/>
      <c r="AB1023" s="223"/>
    </row>
    <row r="1024" spans="1:28" ht="17.100000000000001" customHeight="1" thickTop="1">
      <c r="A1024" s="226" t="s">
        <v>6143</v>
      </c>
      <c r="B1024" s="28">
        <v>45751</v>
      </c>
      <c r="C1024" s="25">
        <v>1364</v>
      </c>
      <c r="D1024" s="13" t="s">
        <v>2564</v>
      </c>
      <c r="E1024" s="228"/>
      <c r="F1024" s="109" t="s">
        <v>3625</v>
      </c>
      <c r="G1024" s="24"/>
      <c r="H1024" s="230">
        <v>4</v>
      </c>
      <c r="I1024" s="220">
        <v>1382000</v>
      </c>
      <c r="J1024" s="220">
        <f>I1024*0.1</f>
        <v>138200</v>
      </c>
      <c r="K1024" s="220">
        <v>0</v>
      </c>
      <c r="L1024" s="220">
        <v>19180</v>
      </c>
      <c r="M1024" s="220">
        <v>13200</v>
      </c>
      <c r="N1024" s="220">
        <f>SUM(I1024:M1025)</f>
        <v>1552580</v>
      </c>
      <c r="O1024" s="224"/>
      <c r="P1024" s="110" t="s">
        <v>3626</v>
      </c>
      <c r="Q1024" s="15" t="s">
        <v>19</v>
      </c>
      <c r="R1024" s="205"/>
      <c r="S1024" s="189" t="s">
        <v>25372</v>
      </c>
      <c r="T1024" s="114"/>
      <c r="U1024" s="21"/>
      <c r="V1024" s="115">
        <v>45955</v>
      </c>
      <c r="W1024" s="116">
        <v>1273</v>
      </c>
      <c r="X1024" s="220">
        <v>1400000</v>
      </c>
      <c r="Y1024" s="245">
        <f>X1024*0.1</f>
        <v>140000</v>
      </c>
      <c r="Z1024" s="220">
        <v>19180</v>
      </c>
      <c r="AA1024" s="220">
        <f>SUM(X1024:Z1024)</f>
        <v>1559180</v>
      </c>
      <c r="AB1024" s="222">
        <v>45958</v>
      </c>
    </row>
    <row r="1025" spans="1:28" ht="17.100000000000001" customHeight="1" thickBot="1">
      <c r="A1025" s="227"/>
      <c r="B1025" s="27" t="s">
        <v>2597</v>
      </c>
      <c r="C1025" s="27">
        <v>7029</v>
      </c>
      <c r="D1025" s="14" t="s">
        <v>1548</v>
      </c>
      <c r="E1025" s="229"/>
      <c r="F1025" s="117" t="s">
        <v>3627</v>
      </c>
      <c r="G1025" s="26">
        <v>89522</v>
      </c>
      <c r="H1025" s="231"/>
      <c r="I1025" s="221"/>
      <c r="J1025" s="221"/>
      <c r="K1025" s="221"/>
      <c r="L1025" s="221"/>
      <c r="M1025" s="221"/>
      <c r="N1025" s="221"/>
      <c r="O1025" s="225"/>
      <c r="P1025" s="118" t="s">
        <v>3628</v>
      </c>
      <c r="Q1025" s="16" t="s">
        <v>20</v>
      </c>
      <c r="R1025" s="17" t="s">
        <v>1780</v>
      </c>
      <c r="S1025" s="121" t="s">
        <v>1606</v>
      </c>
      <c r="T1025" s="127"/>
      <c r="U1025" s="22"/>
      <c r="V1025" s="123" t="s">
        <v>2472</v>
      </c>
      <c r="W1025" s="122">
        <v>80050</v>
      </c>
      <c r="X1025" s="221"/>
      <c r="Y1025" s="221"/>
      <c r="Z1025" s="221"/>
      <c r="AA1025" s="221"/>
      <c r="AB1025" s="223"/>
    </row>
    <row r="1026" spans="1:28" ht="17.100000000000001" customHeight="1" thickTop="1">
      <c r="A1026" s="226" t="s">
        <v>6144</v>
      </c>
      <c r="B1026" s="28">
        <v>45752</v>
      </c>
      <c r="C1026" s="25">
        <v>1489</v>
      </c>
      <c r="D1026" s="13" t="s">
        <v>1816</v>
      </c>
      <c r="E1026" s="228"/>
      <c r="F1026" s="109" t="s">
        <v>3629</v>
      </c>
      <c r="G1026" s="24" t="s">
        <v>3630</v>
      </c>
      <c r="H1026" s="230">
        <v>4.5</v>
      </c>
      <c r="I1026" s="220">
        <v>2225000</v>
      </c>
      <c r="J1026" s="220">
        <f>I1026*0.1</f>
        <v>222500</v>
      </c>
      <c r="K1026" s="220">
        <f>36200+3620</f>
        <v>39820</v>
      </c>
      <c r="L1026" s="220">
        <v>13210</v>
      </c>
      <c r="M1026" s="220">
        <v>16500</v>
      </c>
      <c r="N1026" s="220">
        <f>SUM(I1026:M1027)</f>
        <v>2517030</v>
      </c>
      <c r="O1026" s="224"/>
      <c r="P1026" s="110" t="s">
        <v>3631</v>
      </c>
      <c r="Q1026" s="15" t="s">
        <v>19</v>
      </c>
      <c r="R1026" s="205"/>
      <c r="S1026" s="189" t="s">
        <v>1271</v>
      </c>
      <c r="T1026" s="114"/>
      <c r="U1026" s="21"/>
      <c r="V1026" s="115">
        <v>46304</v>
      </c>
      <c r="W1026" s="116"/>
      <c r="X1026" s="220">
        <v>3509000</v>
      </c>
      <c r="Y1026" s="245">
        <v>0</v>
      </c>
      <c r="Z1026" s="220">
        <v>0</v>
      </c>
      <c r="AA1026" s="220">
        <f>SUM(X1026:Z1026)</f>
        <v>3509000</v>
      </c>
      <c r="AB1026" s="222">
        <v>46340</v>
      </c>
    </row>
    <row r="1027" spans="1:28" ht="17.100000000000001" customHeight="1" thickBot="1">
      <c r="A1027" s="227"/>
      <c r="B1027" s="27" t="s">
        <v>1547</v>
      </c>
      <c r="C1027" s="27">
        <v>50149</v>
      </c>
      <c r="D1027" s="14" t="s">
        <v>2788</v>
      </c>
      <c r="E1027" s="229"/>
      <c r="F1027" s="117" t="s">
        <v>3632</v>
      </c>
      <c r="G1027" s="26">
        <v>17575</v>
      </c>
      <c r="H1027" s="231"/>
      <c r="I1027" s="221"/>
      <c r="J1027" s="221"/>
      <c r="K1027" s="221"/>
      <c r="L1027" s="221"/>
      <c r="M1027" s="221"/>
      <c r="N1027" s="221"/>
      <c r="O1027" s="225"/>
      <c r="P1027" s="118" t="s">
        <v>3633</v>
      </c>
      <c r="Q1027" s="16" t="s">
        <v>20</v>
      </c>
      <c r="R1027" s="17" t="s">
        <v>1780</v>
      </c>
      <c r="S1027" s="121" t="s">
        <v>1731</v>
      </c>
      <c r="T1027" s="122"/>
      <c r="U1027" s="22"/>
      <c r="V1027" s="123" t="s">
        <v>15090</v>
      </c>
      <c r="W1027" s="122"/>
      <c r="X1027" s="221"/>
      <c r="Y1027" s="221"/>
      <c r="Z1027" s="221"/>
      <c r="AA1027" s="221"/>
      <c r="AB1027" s="223"/>
    </row>
    <row r="1028" spans="1:28" ht="17.100000000000001" customHeight="1" thickTop="1">
      <c r="A1028" s="226" t="s">
        <v>6145</v>
      </c>
      <c r="B1028" s="28">
        <v>45752</v>
      </c>
      <c r="C1028" s="25"/>
      <c r="D1028" s="13" t="s">
        <v>3634</v>
      </c>
      <c r="E1028" s="228"/>
      <c r="F1028" s="109" t="s">
        <v>3635</v>
      </c>
      <c r="G1028" s="24" t="s">
        <v>2790</v>
      </c>
      <c r="H1028" s="230"/>
      <c r="I1028" s="220">
        <v>2300000</v>
      </c>
      <c r="J1028" s="220">
        <v>0</v>
      </c>
      <c r="K1028" s="220">
        <v>0</v>
      </c>
      <c r="L1028" s="220">
        <v>0</v>
      </c>
      <c r="M1028" s="220">
        <v>0</v>
      </c>
      <c r="N1028" s="220">
        <f>SUM(I1028:M1029)</f>
        <v>2300000</v>
      </c>
      <c r="O1028" s="224"/>
      <c r="P1028" s="110" t="s">
        <v>3636</v>
      </c>
      <c r="Q1028" s="15" t="s">
        <v>19</v>
      </c>
      <c r="R1028" s="205"/>
      <c r="S1028" s="189"/>
      <c r="T1028" s="114"/>
      <c r="U1028" s="21"/>
      <c r="V1028" s="115"/>
      <c r="W1028" s="116"/>
      <c r="X1028" s="220"/>
      <c r="Y1028" s="245">
        <f>X1028*0.1</f>
        <v>0</v>
      </c>
      <c r="Z1028" s="220"/>
      <c r="AA1028" s="220">
        <f>SUM(X1028:Z1028)</f>
        <v>0</v>
      </c>
      <c r="AB1028" s="222"/>
    </row>
    <row r="1029" spans="1:28" ht="17.100000000000001" customHeight="1" thickBot="1">
      <c r="A1029" s="227"/>
      <c r="B1029" s="27" t="s">
        <v>3637</v>
      </c>
      <c r="C1029" s="27"/>
      <c r="D1029" s="14"/>
      <c r="E1029" s="229"/>
      <c r="F1029" s="117" t="s">
        <v>3638</v>
      </c>
      <c r="G1029" s="26">
        <v>52000</v>
      </c>
      <c r="H1029" s="231"/>
      <c r="I1029" s="221"/>
      <c r="J1029" s="221"/>
      <c r="K1029" s="221"/>
      <c r="L1029" s="221"/>
      <c r="M1029" s="221"/>
      <c r="N1029" s="221"/>
      <c r="O1029" s="225"/>
      <c r="P1029" s="118" t="s">
        <v>3639</v>
      </c>
      <c r="Q1029" s="16" t="s">
        <v>20</v>
      </c>
      <c r="R1029" s="17" t="s">
        <v>1555</v>
      </c>
      <c r="S1029" s="121" t="s">
        <v>1649</v>
      </c>
      <c r="T1029" s="122"/>
      <c r="U1029" s="22"/>
      <c r="V1029" s="123"/>
      <c r="W1029" s="122"/>
      <c r="X1029" s="221"/>
      <c r="Y1029" s="221"/>
      <c r="Z1029" s="221"/>
      <c r="AA1029" s="221"/>
      <c r="AB1029" s="223"/>
    </row>
    <row r="1030" spans="1:28" ht="17.100000000000001" customHeight="1" thickTop="1">
      <c r="A1030" s="226" t="s">
        <v>6146</v>
      </c>
      <c r="B1030" s="28">
        <v>45755</v>
      </c>
      <c r="C1030" s="25">
        <v>1040</v>
      </c>
      <c r="D1030" s="13" t="s">
        <v>2313</v>
      </c>
      <c r="E1030" s="228"/>
      <c r="F1030" s="109" t="s">
        <v>3640</v>
      </c>
      <c r="G1030" s="24"/>
      <c r="H1030" s="230">
        <v>4</v>
      </c>
      <c r="I1030" s="220">
        <v>1220000</v>
      </c>
      <c r="J1030" s="220">
        <f>I1030*0.1</f>
        <v>122000</v>
      </c>
      <c r="K1030" s="220">
        <v>0</v>
      </c>
      <c r="L1030" s="220">
        <v>10890</v>
      </c>
      <c r="M1030" s="220">
        <v>16500</v>
      </c>
      <c r="N1030" s="220">
        <f>SUM(I1030:M1031)</f>
        <v>1369390</v>
      </c>
      <c r="O1030" s="224"/>
      <c r="P1030" s="110" t="s">
        <v>3641</v>
      </c>
      <c r="Q1030" s="15" t="s">
        <v>19</v>
      </c>
      <c r="R1030" s="205"/>
      <c r="S1030" s="189" t="s">
        <v>1271</v>
      </c>
      <c r="T1030" s="114"/>
      <c r="U1030" s="21"/>
      <c r="V1030" s="115"/>
      <c r="W1030" s="116"/>
      <c r="X1030" s="220"/>
      <c r="Y1030" s="245">
        <f>X1030*0.1</f>
        <v>0</v>
      </c>
      <c r="Z1030" s="220"/>
      <c r="AA1030" s="220">
        <f>SUM(X1030:Z1030)</f>
        <v>0</v>
      </c>
      <c r="AB1030" s="222"/>
    </row>
    <row r="1031" spans="1:28" ht="17.100000000000001" customHeight="1" thickBot="1">
      <c r="A1031" s="227"/>
      <c r="B1031" s="27" t="s">
        <v>1583</v>
      </c>
      <c r="C1031" s="27">
        <v>84101</v>
      </c>
      <c r="D1031" s="14" t="s">
        <v>898</v>
      </c>
      <c r="E1031" s="229"/>
      <c r="F1031" s="117" t="s">
        <v>3642</v>
      </c>
      <c r="G1031" s="26">
        <v>36165</v>
      </c>
      <c r="H1031" s="231"/>
      <c r="I1031" s="221"/>
      <c r="J1031" s="221"/>
      <c r="K1031" s="221"/>
      <c r="L1031" s="221"/>
      <c r="M1031" s="221"/>
      <c r="N1031" s="221"/>
      <c r="O1031" s="225"/>
      <c r="P1031" s="118" t="s">
        <v>3643</v>
      </c>
      <c r="Q1031" s="16" t="s">
        <v>20</v>
      </c>
      <c r="R1031" s="17" t="s">
        <v>2065</v>
      </c>
      <c r="S1031" s="121" t="s">
        <v>1731</v>
      </c>
      <c r="T1031" s="122"/>
      <c r="U1031" s="22"/>
      <c r="V1031" s="123"/>
      <c r="W1031" s="122"/>
      <c r="X1031" s="221"/>
      <c r="Y1031" s="221"/>
      <c r="Z1031" s="221"/>
      <c r="AA1031" s="221"/>
      <c r="AB1031" s="223"/>
    </row>
    <row r="1032" spans="1:28" ht="17.100000000000001" customHeight="1" thickTop="1">
      <c r="A1032" s="226" t="s">
        <v>6147</v>
      </c>
      <c r="B1032" s="28">
        <v>45759</v>
      </c>
      <c r="C1032" s="25">
        <v>1247</v>
      </c>
      <c r="D1032" s="13" t="s">
        <v>3644</v>
      </c>
      <c r="E1032" s="228"/>
      <c r="F1032" s="109" t="s">
        <v>3645</v>
      </c>
      <c r="G1032" s="24" t="s">
        <v>3646</v>
      </c>
      <c r="H1032" s="230">
        <v>3.5</v>
      </c>
      <c r="I1032" s="220">
        <v>505000</v>
      </c>
      <c r="J1032" s="220">
        <f>I1032*0.1</f>
        <v>50500</v>
      </c>
      <c r="K1032" s="220">
        <v>77000</v>
      </c>
      <c r="L1032" s="220">
        <v>15590</v>
      </c>
      <c r="M1032" s="220">
        <v>16500</v>
      </c>
      <c r="N1032" s="220">
        <f>SUM(I1032:M1033)</f>
        <v>664590</v>
      </c>
      <c r="O1032" s="224"/>
      <c r="P1032" s="110" t="s">
        <v>3647</v>
      </c>
      <c r="Q1032" s="15" t="s">
        <v>19</v>
      </c>
      <c r="R1032" s="205"/>
      <c r="S1032" s="189"/>
      <c r="T1032" s="114"/>
      <c r="U1032" s="21"/>
      <c r="V1032" s="115">
        <v>46357</v>
      </c>
      <c r="W1032" s="116"/>
      <c r="X1032" s="220">
        <v>2400000</v>
      </c>
      <c r="Y1032" s="245">
        <v>0</v>
      </c>
      <c r="Z1032" s="220">
        <v>0</v>
      </c>
      <c r="AA1032" s="220">
        <f>SUM(X1032:Z1032)</f>
        <v>2400000</v>
      </c>
      <c r="AB1032" s="222">
        <v>46074</v>
      </c>
    </row>
    <row r="1033" spans="1:28" ht="17.100000000000001" customHeight="1" thickBot="1">
      <c r="A1033" s="227"/>
      <c r="B1033" s="27" t="s">
        <v>2472</v>
      </c>
      <c r="C1033" s="27">
        <v>82229</v>
      </c>
      <c r="D1033" s="14" t="s">
        <v>1584</v>
      </c>
      <c r="E1033" s="229"/>
      <c r="F1033" s="117" t="s">
        <v>3648</v>
      </c>
      <c r="G1033" s="26">
        <v>59923</v>
      </c>
      <c r="H1033" s="231"/>
      <c r="I1033" s="221"/>
      <c r="J1033" s="221"/>
      <c r="K1033" s="221"/>
      <c r="L1033" s="221"/>
      <c r="M1033" s="221"/>
      <c r="N1033" s="221"/>
      <c r="O1033" s="225"/>
      <c r="P1033" s="118" t="s">
        <v>3649</v>
      </c>
      <c r="Q1033" s="16" t="s">
        <v>20</v>
      </c>
      <c r="R1033" s="17" t="s">
        <v>3650</v>
      </c>
      <c r="S1033" s="121" t="s">
        <v>3651</v>
      </c>
      <c r="T1033" s="122"/>
      <c r="U1033" s="22"/>
      <c r="V1033" s="123" t="s">
        <v>21087</v>
      </c>
      <c r="W1033" s="122"/>
      <c r="X1033" s="221"/>
      <c r="Y1033" s="221"/>
      <c r="Z1033" s="221"/>
      <c r="AA1033" s="221"/>
      <c r="AB1033" s="223"/>
    </row>
    <row r="1034" spans="1:28" ht="17.100000000000001" customHeight="1" thickTop="1">
      <c r="A1034" s="226" t="s">
        <v>6148</v>
      </c>
      <c r="B1034" s="28">
        <v>45764</v>
      </c>
      <c r="C1034" s="25">
        <v>1513</v>
      </c>
      <c r="D1034" s="13" t="s">
        <v>1853</v>
      </c>
      <c r="E1034" s="228"/>
      <c r="F1034" s="109" t="s">
        <v>3652</v>
      </c>
      <c r="G1034" s="24" t="s">
        <v>3653</v>
      </c>
      <c r="H1034" s="230">
        <v>4</v>
      </c>
      <c r="I1034" s="220">
        <v>2070000</v>
      </c>
      <c r="J1034" s="220">
        <f>I1034*0.1</f>
        <v>207000</v>
      </c>
      <c r="K1034" s="220">
        <v>39820</v>
      </c>
      <c r="L1034" s="220">
        <v>13210</v>
      </c>
      <c r="M1034" s="220">
        <v>16500</v>
      </c>
      <c r="N1034" s="220">
        <f>SUM(I1034:M1035)</f>
        <v>2346530</v>
      </c>
      <c r="O1034" s="224"/>
      <c r="P1034" s="110" t="s">
        <v>3654</v>
      </c>
      <c r="Q1034" s="15" t="s">
        <v>19</v>
      </c>
      <c r="R1034" s="205"/>
      <c r="S1034" s="189" t="s">
        <v>1422</v>
      </c>
      <c r="T1034" s="114"/>
      <c r="U1034" s="21" t="s">
        <v>3655</v>
      </c>
      <c r="V1034" s="115"/>
      <c r="W1034" s="116"/>
      <c r="X1034" s="220"/>
      <c r="Y1034" s="245">
        <f>X1034*0.1</f>
        <v>0</v>
      </c>
      <c r="Z1034" s="220"/>
      <c r="AA1034" s="220">
        <f>SUM(X1034:Z1034)</f>
        <v>0</v>
      </c>
      <c r="AB1034" s="222"/>
    </row>
    <row r="1035" spans="1:28" ht="17.100000000000001" customHeight="1" thickBot="1">
      <c r="A1035" s="227"/>
      <c r="B1035" s="27" t="s">
        <v>1592</v>
      </c>
      <c r="C1035" s="27">
        <v>75592</v>
      </c>
      <c r="D1035" s="14" t="s">
        <v>2788</v>
      </c>
      <c r="E1035" s="229"/>
      <c r="F1035" s="117" t="s">
        <v>3656</v>
      </c>
      <c r="G1035" s="26">
        <v>25000</v>
      </c>
      <c r="H1035" s="231"/>
      <c r="I1035" s="221"/>
      <c r="J1035" s="221"/>
      <c r="K1035" s="221"/>
      <c r="L1035" s="221"/>
      <c r="M1035" s="221"/>
      <c r="N1035" s="221"/>
      <c r="O1035" s="225"/>
      <c r="P1035" s="118" t="s">
        <v>3657</v>
      </c>
      <c r="Q1035" s="16" t="s">
        <v>20</v>
      </c>
      <c r="R1035" s="17" t="s">
        <v>3658</v>
      </c>
      <c r="S1035" s="121" t="s">
        <v>1606</v>
      </c>
      <c r="T1035" s="122"/>
      <c r="U1035" s="22"/>
      <c r="V1035" s="123"/>
      <c r="W1035" s="122"/>
      <c r="X1035" s="221"/>
      <c r="Y1035" s="221"/>
      <c r="Z1035" s="221"/>
      <c r="AA1035" s="221"/>
      <c r="AB1035" s="223"/>
    </row>
    <row r="1036" spans="1:28" ht="17.100000000000001" customHeight="1" thickTop="1">
      <c r="A1036" s="226" t="s">
        <v>6149</v>
      </c>
      <c r="B1036" s="28">
        <v>45768</v>
      </c>
      <c r="C1036" s="25"/>
      <c r="D1036" s="13" t="s">
        <v>1021</v>
      </c>
      <c r="E1036" s="228"/>
      <c r="F1036" s="109" t="s">
        <v>3659</v>
      </c>
      <c r="G1036" s="24" t="s">
        <v>3660</v>
      </c>
      <c r="H1036" s="230">
        <v>3</v>
      </c>
      <c r="I1036" s="220">
        <v>406000</v>
      </c>
      <c r="J1036" s="220">
        <f>I1036*0.1</f>
        <v>40600</v>
      </c>
      <c r="K1036" s="220">
        <v>0</v>
      </c>
      <c r="L1036" s="220">
        <v>8460</v>
      </c>
      <c r="M1036" s="220">
        <v>15950</v>
      </c>
      <c r="N1036" s="220">
        <f>SUM(I1036:M1037)</f>
        <v>471010</v>
      </c>
      <c r="O1036" s="224"/>
      <c r="P1036" s="110" t="s">
        <v>3661</v>
      </c>
      <c r="Q1036" s="15" t="s">
        <v>19</v>
      </c>
      <c r="R1036" s="205"/>
      <c r="S1036" s="189" t="s">
        <v>1361</v>
      </c>
      <c r="T1036" s="114"/>
      <c r="U1036" s="21" t="s">
        <v>3662</v>
      </c>
      <c r="V1036" s="115">
        <v>45934</v>
      </c>
      <c r="W1036" s="116">
        <v>1270</v>
      </c>
      <c r="X1036" s="220">
        <v>410000</v>
      </c>
      <c r="Y1036" s="245">
        <f>X1036*0.1</f>
        <v>41000</v>
      </c>
      <c r="Z1036" s="220">
        <v>8460</v>
      </c>
      <c r="AA1036" s="220">
        <f>SUM(X1036:Z1036)</f>
        <v>459460</v>
      </c>
      <c r="AB1036" s="222">
        <v>45937</v>
      </c>
    </row>
    <row r="1037" spans="1:28" ht="17.100000000000001" customHeight="1" thickBot="1">
      <c r="A1037" s="227"/>
      <c r="B1037" s="27" t="s">
        <v>3663</v>
      </c>
      <c r="C1037" s="27">
        <v>55046</v>
      </c>
      <c r="D1037" s="14" t="s">
        <v>273</v>
      </c>
      <c r="E1037" s="229"/>
      <c r="F1037" s="117" t="s">
        <v>3664</v>
      </c>
      <c r="G1037" s="26">
        <v>56246</v>
      </c>
      <c r="H1037" s="231"/>
      <c r="I1037" s="221"/>
      <c r="J1037" s="221"/>
      <c r="K1037" s="221"/>
      <c r="L1037" s="221"/>
      <c r="M1037" s="221"/>
      <c r="N1037" s="221"/>
      <c r="O1037" s="225"/>
      <c r="P1037" s="118" t="s">
        <v>3665</v>
      </c>
      <c r="Q1037" s="16" t="s">
        <v>20</v>
      </c>
      <c r="R1037" s="17" t="s">
        <v>2365</v>
      </c>
      <c r="S1037" s="121" t="s">
        <v>169</v>
      </c>
      <c r="T1037" s="122" t="s">
        <v>3666</v>
      </c>
      <c r="U1037" s="22"/>
      <c r="V1037" s="123" t="s">
        <v>7160</v>
      </c>
      <c r="W1037" s="122">
        <v>60197</v>
      </c>
      <c r="X1037" s="221"/>
      <c r="Y1037" s="221"/>
      <c r="Z1037" s="221"/>
      <c r="AA1037" s="221"/>
      <c r="AB1037" s="223"/>
    </row>
    <row r="1038" spans="1:28" ht="17.100000000000001" customHeight="1" thickTop="1">
      <c r="A1038" s="226" t="s">
        <v>6150</v>
      </c>
      <c r="B1038" s="28">
        <v>45776</v>
      </c>
      <c r="C1038" s="25">
        <v>1891</v>
      </c>
      <c r="D1038" s="13" t="s">
        <v>3422</v>
      </c>
      <c r="E1038" s="228"/>
      <c r="F1038" s="109" t="s">
        <v>3667</v>
      </c>
      <c r="G1038" s="24"/>
      <c r="H1038" s="230">
        <v>4.5</v>
      </c>
      <c r="I1038" s="220">
        <v>2430000</v>
      </c>
      <c r="J1038" s="220">
        <f>I1038*0.1</f>
        <v>243000</v>
      </c>
      <c r="K1038" s="220">
        <v>0</v>
      </c>
      <c r="L1038" s="220">
        <v>18130</v>
      </c>
      <c r="M1038" s="220">
        <v>14850</v>
      </c>
      <c r="N1038" s="220">
        <f>SUM(I1038:M1039)</f>
        <v>2705980</v>
      </c>
      <c r="O1038" s="224"/>
      <c r="P1038" s="110" t="s">
        <v>3668</v>
      </c>
      <c r="Q1038" s="15" t="s">
        <v>19</v>
      </c>
      <c r="R1038" s="205"/>
      <c r="S1038" s="189" t="s">
        <v>1072</v>
      </c>
      <c r="T1038" s="114"/>
      <c r="U1038" s="21"/>
      <c r="V1038" s="115"/>
      <c r="W1038" s="116"/>
      <c r="X1038" s="220"/>
      <c r="Y1038" s="245">
        <f>X1038*0.1</f>
        <v>0</v>
      </c>
      <c r="Z1038" s="220"/>
      <c r="AA1038" s="220">
        <f>SUM(X1038:Z1038)</f>
        <v>0</v>
      </c>
      <c r="AB1038" s="222"/>
    </row>
    <row r="1039" spans="1:28" ht="17.100000000000001" customHeight="1" thickBot="1">
      <c r="A1039" s="227"/>
      <c r="B1039" s="27" t="s">
        <v>2103</v>
      </c>
      <c r="C1039" s="27">
        <v>32047</v>
      </c>
      <c r="D1039" s="14" t="s">
        <v>131</v>
      </c>
      <c r="E1039" s="229"/>
      <c r="F1039" s="117" t="s">
        <v>3669</v>
      </c>
      <c r="G1039" s="26">
        <v>34222</v>
      </c>
      <c r="H1039" s="231"/>
      <c r="I1039" s="221"/>
      <c r="J1039" s="221"/>
      <c r="K1039" s="221"/>
      <c r="L1039" s="221"/>
      <c r="M1039" s="221"/>
      <c r="N1039" s="221"/>
      <c r="O1039" s="225"/>
      <c r="P1039" s="118" t="s">
        <v>3670</v>
      </c>
      <c r="Q1039" s="16" t="s">
        <v>20</v>
      </c>
      <c r="R1039" s="17" t="s">
        <v>1947</v>
      </c>
      <c r="S1039" s="121" t="s">
        <v>1731</v>
      </c>
      <c r="T1039" s="122"/>
      <c r="U1039" s="22"/>
      <c r="V1039" s="123"/>
      <c r="W1039" s="122"/>
      <c r="X1039" s="221"/>
      <c r="Y1039" s="221"/>
      <c r="Z1039" s="221"/>
      <c r="AA1039" s="221"/>
      <c r="AB1039" s="223"/>
    </row>
    <row r="1040" spans="1:28" ht="17.100000000000001" customHeight="1" thickTop="1">
      <c r="A1040" s="226" t="s">
        <v>6151</v>
      </c>
      <c r="B1040" s="28">
        <v>45776</v>
      </c>
      <c r="C1040" s="25"/>
      <c r="D1040" s="13" t="s">
        <v>3671</v>
      </c>
      <c r="E1040" s="228" t="s">
        <v>164</v>
      </c>
      <c r="F1040" s="109" t="s">
        <v>2278</v>
      </c>
      <c r="G1040" s="24" t="s">
        <v>3672</v>
      </c>
      <c r="H1040" s="230"/>
      <c r="I1040" s="220">
        <v>5811510</v>
      </c>
      <c r="J1040" s="220">
        <v>0</v>
      </c>
      <c r="K1040" s="220"/>
      <c r="L1040" s="220"/>
      <c r="M1040" s="220"/>
      <c r="N1040" s="220">
        <f>SUM(I1040:M1041)</f>
        <v>5811510</v>
      </c>
      <c r="O1040" s="224"/>
      <c r="P1040" s="110"/>
      <c r="Q1040" s="15" t="s">
        <v>19</v>
      </c>
      <c r="R1040" s="205"/>
      <c r="S1040" s="189"/>
      <c r="T1040" s="114"/>
      <c r="U1040" s="21" t="s">
        <v>24466</v>
      </c>
      <c r="V1040" s="115"/>
      <c r="W1040" s="116"/>
      <c r="X1040" s="220"/>
      <c r="Y1040" s="245">
        <f>X1040*0.1</f>
        <v>0</v>
      </c>
      <c r="Z1040" s="220"/>
      <c r="AA1040" s="220">
        <f>SUM(X1040:Z1040)</f>
        <v>0</v>
      </c>
      <c r="AB1040" s="222"/>
    </row>
    <row r="1041" spans="1:28" ht="17.100000000000001" customHeight="1" thickBot="1">
      <c r="A1041" s="227"/>
      <c r="B1041" s="27" t="s">
        <v>3673</v>
      </c>
      <c r="C1041" s="27"/>
      <c r="D1041" s="14" t="s">
        <v>131</v>
      </c>
      <c r="E1041" s="229"/>
      <c r="F1041" s="117" t="s">
        <v>3674</v>
      </c>
      <c r="G1041" s="26"/>
      <c r="H1041" s="231"/>
      <c r="I1041" s="221"/>
      <c r="J1041" s="221"/>
      <c r="K1041" s="221"/>
      <c r="L1041" s="221"/>
      <c r="M1041" s="221"/>
      <c r="N1041" s="221"/>
      <c r="O1041" s="225"/>
      <c r="P1041" s="118" t="s">
        <v>3675</v>
      </c>
      <c r="Q1041" s="16" t="s">
        <v>20</v>
      </c>
      <c r="R1041" s="17" t="s">
        <v>1934</v>
      </c>
      <c r="S1041" s="121"/>
      <c r="T1041" s="122"/>
      <c r="U1041" s="22"/>
      <c r="V1041" s="123"/>
      <c r="W1041" s="122"/>
      <c r="X1041" s="221"/>
      <c r="Y1041" s="221"/>
      <c r="Z1041" s="221"/>
      <c r="AA1041" s="221"/>
      <c r="AB1041" s="223"/>
    </row>
    <row r="1042" spans="1:28" ht="17.100000000000001" customHeight="1" thickTop="1">
      <c r="A1042" s="226" t="s">
        <v>6152</v>
      </c>
      <c r="B1042" s="28">
        <v>45786</v>
      </c>
      <c r="C1042" s="25">
        <v>2084</v>
      </c>
      <c r="D1042" s="13" t="s">
        <v>1640</v>
      </c>
      <c r="E1042" s="228"/>
      <c r="F1042" s="109" t="s">
        <v>3676</v>
      </c>
      <c r="G1042" s="24" t="s">
        <v>2810</v>
      </c>
      <c r="H1042" s="230">
        <v>4.5</v>
      </c>
      <c r="I1042" s="220">
        <v>3850000</v>
      </c>
      <c r="J1042" s="220">
        <f>I1042*0.1</f>
        <v>385000</v>
      </c>
      <c r="K1042" s="220">
        <f>42500+4250</f>
        <v>46750</v>
      </c>
      <c r="L1042" s="220">
        <v>20860</v>
      </c>
      <c r="M1042" s="220">
        <v>16500</v>
      </c>
      <c r="N1042" s="220">
        <f>SUM(I1042:M1043)</f>
        <v>4319110</v>
      </c>
      <c r="O1042" s="224"/>
      <c r="P1042" s="110" t="s">
        <v>3677</v>
      </c>
      <c r="Q1042" s="15" t="s">
        <v>19</v>
      </c>
      <c r="R1042" s="205"/>
      <c r="S1042" s="189" t="s">
        <v>25427</v>
      </c>
      <c r="T1042" s="114"/>
      <c r="U1042" s="21"/>
      <c r="V1042" s="115">
        <v>46056</v>
      </c>
      <c r="W1042" s="116"/>
      <c r="X1042" s="220">
        <v>5250000</v>
      </c>
      <c r="Y1042" s="245">
        <v>0</v>
      </c>
      <c r="Z1042" s="220">
        <v>0</v>
      </c>
      <c r="AA1042" s="220">
        <f>SUM(X1042:Z1042)</f>
        <v>5250000</v>
      </c>
      <c r="AB1042" s="222">
        <v>46091</v>
      </c>
    </row>
    <row r="1043" spans="1:28" ht="17.100000000000001" customHeight="1" thickBot="1">
      <c r="A1043" s="227"/>
      <c r="B1043" s="27" t="s">
        <v>1536</v>
      </c>
      <c r="C1043" s="27">
        <v>58155</v>
      </c>
      <c r="D1043" s="14" t="s">
        <v>1568</v>
      </c>
      <c r="E1043" s="229"/>
      <c r="F1043" s="117" t="s">
        <v>3678</v>
      </c>
      <c r="G1043" s="26">
        <v>46095</v>
      </c>
      <c r="H1043" s="231"/>
      <c r="I1043" s="221"/>
      <c r="J1043" s="221"/>
      <c r="K1043" s="221"/>
      <c r="L1043" s="221"/>
      <c r="M1043" s="221"/>
      <c r="N1043" s="221"/>
      <c r="O1043" s="225"/>
      <c r="P1043" s="118" t="s">
        <v>3679</v>
      </c>
      <c r="Q1043" s="16" t="s">
        <v>20</v>
      </c>
      <c r="R1043" s="17" t="s">
        <v>3680</v>
      </c>
      <c r="S1043" s="121" t="s">
        <v>3681</v>
      </c>
      <c r="T1043" s="122"/>
      <c r="U1043" s="22"/>
      <c r="V1043" s="123" t="s">
        <v>19376</v>
      </c>
      <c r="W1043" s="122"/>
      <c r="X1043" s="221"/>
      <c r="Y1043" s="221"/>
      <c r="Z1043" s="221"/>
      <c r="AA1043" s="221"/>
      <c r="AB1043" s="223"/>
    </row>
    <row r="1044" spans="1:28" ht="17.100000000000001" customHeight="1" thickTop="1">
      <c r="A1044" s="226" t="s">
        <v>6153</v>
      </c>
      <c r="B1044" s="28">
        <v>45787</v>
      </c>
      <c r="C1044" s="25">
        <v>1672</v>
      </c>
      <c r="D1044" s="13" t="s">
        <v>1598</v>
      </c>
      <c r="E1044" s="228"/>
      <c r="F1044" s="109" t="s">
        <v>3682</v>
      </c>
      <c r="G1044" s="24" t="s">
        <v>3683</v>
      </c>
      <c r="H1044" s="230">
        <v>4.5</v>
      </c>
      <c r="I1044" s="220">
        <v>2095000</v>
      </c>
      <c r="J1044" s="220">
        <f>I1044*0.1</f>
        <v>209500</v>
      </c>
      <c r="K1044" s="220">
        <v>60940</v>
      </c>
      <c r="L1044" s="220">
        <v>17770</v>
      </c>
      <c r="M1044" s="220">
        <v>14300</v>
      </c>
      <c r="N1044" s="220">
        <f>SUM(I1044:M1045)</f>
        <v>2397510</v>
      </c>
      <c r="O1044" s="224"/>
      <c r="P1044" s="110" t="s">
        <v>3684</v>
      </c>
      <c r="Q1044" s="15" t="s">
        <v>19</v>
      </c>
      <c r="R1044" s="205"/>
      <c r="S1044" s="189" t="s">
        <v>1271</v>
      </c>
      <c r="T1044" s="114"/>
      <c r="U1044" s="21"/>
      <c r="V1044" s="115"/>
      <c r="W1044" s="116"/>
      <c r="X1044" s="220"/>
      <c r="Y1044" s="245">
        <f>X1044*0.1</f>
        <v>0</v>
      </c>
      <c r="Z1044" s="220"/>
      <c r="AA1044" s="220">
        <f>SUM(X1044:Z1044)</f>
        <v>0</v>
      </c>
      <c r="AB1044" s="222"/>
    </row>
    <row r="1045" spans="1:28" ht="17.100000000000001" customHeight="1" thickBot="1">
      <c r="A1045" s="227"/>
      <c r="B1045" s="27" t="s">
        <v>1842</v>
      </c>
      <c r="C1045" s="27">
        <v>619</v>
      </c>
      <c r="D1045" s="14" t="s">
        <v>2753</v>
      </c>
      <c r="E1045" s="229"/>
      <c r="F1045" s="117" t="s">
        <v>3685</v>
      </c>
      <c r="G1045" s="26">
        <v>48875</v>
      </c>
      <c r="H1045" s="231"/>
      <c r="I1045" s="221"/>
      <c r="J1045" s="221"/>
      <c r="K1045" s="221"/>
      <c r="L1045" s="221"/>
      <c r="M1045" s="221"/>
      <c r="N1045" s="221"/>
      <c r="O1045" s="225"/>
      <c r="P1045" s="118" t="s">
        <v>2287</v>
      </c>
      <c r="Q1045" s="16" t="s">
        <v>20</v>
      </c>
      <c r="R1045" s="17" t="s">
        <v>3680</v>
      </c>
      <c r="S1045" s="121" t="s">
        <v>3686</v>
      </c>
      <c r="T1045" s="122"/>
      <c r="U1045" s="22"/>
      <c r="V1045" s="123"/>
      <c r="W1045" s="122"/>
      <c r="X1045" s="221"/>
      <c r="Y1045" s="221"/>
      <c r="Z1045" s="221"/>
      <c r="AA1045" s="221"/>
      <c r="AB1045" s="223"/>
    </row>
    <row r="1046" spans="1:28" ht="17.100000000000001" customHeight="1" thickTop="1">
      <c r="A1046" s="226" t="s">
        <v>6154</v>
      </c>
      <c r="B1046" s="28">
        <v>45793</v>
      </c>
      <c r="C1046" s="25">
        <v>2085</v>
      </c>
      <c r="D1046" s="13" t="s">
        <v>3687</v>
      </c>
      <c r="E1046" s="228"/>
      <c r="F1046" s="109" t="s">
        <v>3688</v>
      </c>
      <c r="G1046" s="24"/>
      <c r="H1046" s="230">
        <v>4.5</v>
      </c>
      <c r="I1046" s="220">
        <v>3810000</v>
      </c>
      <c r="J1046" s="220">
        <f>I1046*0.1</f>
        <v>381000</v>
      </c>
      <c r="K1046" s="220">
        <v>0</v>
      </c>
      <c r="L1046" s="220">
        <v>20990</v>
      </c>
      <c r="M1046" s="220">
        <v>16500</v>
      </c>
      <c r="N1046" s="220">
        <f>SUM(I1046:M1047)</f>
        <v>4228490</v>
      </c>
      <c r="O1046" s="224"/>
      <c r="P1046" s="110" t="s">
        <v>3689</v>
      </c>
      <c r="Q1046" s="15" t="s">
        <v>19</v>
      </c>
      <c r="R1046" s="205"/>
      <c r="S1046" s="189" t="s">
        <v>1361</v>
      </c>
      <c r="T1046" s="114"/>
      <c r="U1046" s="21"/>
      <c r="V1046" s="115">
        <v>46311</v>
      </c>
      <c r="W1046" s="116"/>
      <c r="X1046" s="220">
        <v>5480000</v>
      </c>
      <c r="Y1046" s="245">
        <v>0</v>
      </c>
      <c r="Z1046" s="220">
        <v>0</v>
      </c>
      <c r="AA1046" s="220">
        <f>SUM(X1046:Z1046)</f>
        <v>5480000</v>
      </c>
      <c r="AB1046" s="222">
        <v>46350</v>
      </c>
    </row>
    <row r="1047" spans="1:28" ht="17.100000000000001" customHeight="1" thickBot="1">
      <c r="A1047" s="227"/>
      <c r="B1047" s="27" t="s">
        <v>1536</v>
      </c>
      <c r="C1047" s="27">
        <v>58353</v>
      </c>
      <c r="D1047" s="14" t="s">
        <v>2788</v>
      </c>
      <c r="E1047" s="229"/>
      <c r="F1047" s="117" t="s">
        <v>3690</v>
      </c>
      <c r="G1047" s="26">
        <v>25590</v>
      </c>
      <c r="H1047" s="231"/>
      <c r="I1047" s="221"/>
      <c r="J1047" s="221"/>
      <c r="K1047" s="221"/>
      <c r="L1047" s="221"/>
      <c r="M1047" s="221"/>
      <c r="N1047" s="221"/>
      <c r="O1047" s="225"/>
      <c r="P1047" s="118" t="s">
        <v>3691</v>
      </c>
      <c r="Q1047" s="16" t="s">
        <v>20</v>
      </c>
      <c r="R1047" s="17" t="s">
        <v>1959</v>
      </c>
      <c r="S1047" s="121" t="s">
        <v>2025</v>
      </c>
      <c r="T1047" s="122"/>
      <c r="U1047" s="22"/>
      <c r="V1047" s="123" t="s">
        <v>15096</v>
      </c>
      <c r="W1047" s="122"/>
      <c r="X1047" s="221"/>
      <c r="Y1047" s="221"/>
      <c r="Z1047" s="221"/>
      <c r="AA1047" s="221"/>
      <c r="AB1047" s="223"/>
    </row>
    <row r="1048" spans="1:28" ht="17.100000000000001" customHeight="1" thickTop="1">
      <c r="A1048" s="226" t="s">
        <v>6155</v>
      </c>
      <c r="B1048" s="28">
        <v>45794</v>
      </c>
      <c r="C1048" s="25">
        <v>1494</v>
      </c>
      <c r="D1048" s="13" t="s">
        <v>1685</v>
      </c>
      <c r="E1048" s="228"/>
      <c r="F1048" s="109" t="s">
        <v>3692</v>
      </c>
      <c r="G1048" s="24"/>
      <c r="H1048" s="230">
        <v>4.5</v>
      </c>
      <c r="I1048" s="220">
        <v>1620000</v>
      </c>
      <c r="J1048" s="220">
        <f>I1048*0.1</f>
        <v>162000</v>
      </c>
      <c r="K1048" s="220">
        <v>0</v>
      </c>
      <c r="L1048" s="220">
        <v>17430</v>
      </c>
      <c r="M1048" s="220">
        <v>16500</v>
      </c>
      <c r="N1048" s="220">
        <f>SUM(I1048:M1049)</f>
        <v>1815930</v>
      </c>
      <c r="O1048" s="224"/>
      <c r="P1048" s="110" t="s">
        <v>3693</v>
      </c>
      <c r="Q1048" s="15" t="s">
        <v>19</v>
      </c>
      <c r="R1048" s="205"/>
      <c r="S1048" s="189" t="s">
        <v>1271</v>
      </c>
      <c r="T1048" s="114"/>
      <c r="U1048" s="21"/>
      <c r="V1048" s="115"/>
      <c r="W1048" s="116"/>
      <c r="X1048" s="220"/>
      <c r="Y1048" s="245">
        <f>X1048*0.1</f>
        <v>0</v>
      </c>
      <c r="Z1048" s="220"/>
      <c r="AA1048" s="220">
        <f>SUM(X1048:Z1048)</f>
        <v>0</v>
      </c>
      <c r="AB1048" s="222"/>
    </row>
    <row r="1049" spans="1:28" ht="17.100000000000001" customHeight="1" thickBot="1">
      <c r="A1049" s="227"/>
      <c r="B1049" s="27" t="s">
        <v>1547</v>
      </c>
      <c r="C1049" s="27">
        <v>83057</v>
      </c>
      <c r="D1049" s="14" t="s">
        <v>273</v>
      </c>
      <c r="E1049" s="229"/>
      <c r="F1049" s="117" t="s">
        <v>3694</v>
      </c>
      <c r="G1049" s="26">
        <v>49827</v>
      </c>
      <c r="H1049" s="231"/>
      <c r="I1049" s="221"/>
      <c r="J1049" s="221"/>
      <c r="K1049" s="221"/>
      <c r="L1049" s="221"/>
      <c r="M1049" s="221"/>
      <c r="N1049" s="221"/>
      <c r="O1049" s="225"/>
      <c r="P1049" s="118" t="s">
        <v>3695</v>
      </c>
      <c r="Q1049" s="16" t="s">
        <v>20</v>
      </c>
      <c r="R1049" s="17" t="s">
        <v>3696</v>
      </c>
      <c r="S1049" s="121" t="s">
        <v>1731</v>
      </c>
      <c r="T1049" s="122"/>
      <c r="U1049" s="22"/>
      <c r="V1049" s="123"/>
      <c r="W1049" s="122"/>
      <c r="X1049" s="221"/>
      <c r="Y1049" s="221"/>
      <c r="Z1049" s="221"/>
      <c r="AA1049" s="221"/>
      <c r="AB1049" s="223"/>
    </row>
    <row r="1050" spans="1:28" ht="17.100000000000001" customHeight="1" thickTop="1">
      <c r="A1050" s="226" t="s">
        <v>6156</v>
      </c>
      <c r="B1050" s="28">
        <v>45797</v>
      </c>
      <c r="C1050" s="25">
        <v>1045</v>
      </c>
      <c r="D1050" s="13" t="s">
        <v>2463</v>
      </c>
      <c r="E1050" s="228"/>
      <c r="F1050" s="109" t="s">
        <v>3697</v>
      </c>
      <c r="G1050" s="24" t="s">
        <v>3698</v>
      </c>
      <c r="H1050" s="230">
        <v>4.5</v>
      </c>
      <c r="I1050" s="220">
        <v>2900000</v>
      </c>
      <c r="J1050" s="220">
        <f>I1050*0.1</f>
        <v>290000</v>
      </c>
      <c r="K1050" s="220">
        <v>0</v>
      </c>
      <c r="L1050" s="220">
        <v>23280</v>
      </c>
      <c r="M1050" s="220">
        <v>16500</v>
      </c>
      <c r="N1050" s="220">
        <f>SUM(I1050:M1051)</f>
        <v>3229780</v>
      </c>
      <c r="O1050" s="224"/>
      <c r="P1050" s="110" t="s">
        <v>3699</v>
      </c>
      <c r="Q1050" s="15" t="s">
        <v>19</v>
      </c>
      <c r="R1050" s="205"/>
      <c r="S1050" s="189" t="s">
        <v>1312</v>
      </c>
      <c r="T1050" s="114"/>
      <c r="U1050" s="21"/>
      <c r="V1050" s="115">
        <v>46308</v>
      </c>
      <c r="W1050" s="116"/>
      <c r="X1050" s="220">
        <v>4800000</v>
      </c>
      <c r="Y1050" s="245">
        <v>0</v>
      </c>
      <c r="Z1050" s="220">
        <v>0</v>
      </c>
      <c r="AA1050" s="220">
        <f>SUM(X1050:Z1050)</f>
        <v>4800000</v>
      </c>
      <c r="AB1050" s="222">
        <v>46348</v>
      </c>
    </row>
    <row r="1051" spans="1:28" ht="17.100000000000001" customHeight="1" thickBot="1">
      <c r="A1051" s="227"/>
      <c r="B1051" s="27" t="s">
        <v>1583</v>
      </c>
      <c r="C1051" s="27">
        <v>84027</v>
      </c>
      <c r="D1051" s="14" t="s">
        <v>273</v>
      </c>
      <c r="E1051" s="229"/>
      <c r="F1051" s="117" t="s">
        <v>3700</v>
      </c>
      <c r="G1051" s="26">
        <v>32323</v>
      </c>
      <c r="H1051" s="231"/>
      <c r="I1051" s="221"/>
      <c r="J1051" s="221"/>
      <c r="K1051" s="221"/>
      <c r="L1051" s="221"/>
      <c r="M1051" s="221"/>
      <c r="N1051" s="221"/>
      <c r="O1051" s="225"/>
      <c r="P1051" s="118" t="s">
        <v>3701</v>
      </c>
      <c r="Q1051" s="16" t="s">
        <v>20</v>
      </c>
      <c r="R1051" s="17" t="s">
        <v>3702</v>
      </c>
      <c r="S1051" s="121" t="s">
        <v>3703</v>
      </c>
      <c r="T1051" s="122"/>
      <c r="U1051" s="22"/>
      <c r="V1051" s="123" t="s">
        <v>15093</v>
      </c>
      <c r="W1051" s="122"/>
      <c r="X1051" s="221"/>
      <c r="Y1051" s="221"/>
      <c r="Z1051" s="221"/>
      <c r="AA1051" s="221"/>
      <c r="AB1051" s="223"/>
    </row>
    <row r="1052" spans="1:28" ht="17.100000000000001" customHeight="1" thickTop="1">
      <c r="A1052" s="226" t="s">
        <v>6157</v>
      </c>
      <c r="B1052" s="28">
        <v>45800</v>
      </c>
      <c r="C1052" s="25"/>
      <c r="D1052" s="13" t="s">
        <v>3414</v>
      </c>
      <c r="E1052" s="228"/>
      <c r="F1052" s="109" t="s">
        <v>3704</v>
      </c>
      <c r="G1052" s="24" t="s">
        <v>3705</v>
      </c>
      <c r="H1052" s="230">
        <v>4</v>
      </c>
      <c r="I1052" s="220">
        <f>1688500/1.1</f>
        <v>1534999.9999999998</v>
      </c>
      <c r="J1052" s="220">
        <f>I1052*0.1</f>
        <v>153499.99999999997</v>
      </c>
      <c r="K1052" s="220">
        <v>38700</v>
      </c>
      <c r="L1052" s="220">
        <v>15110</v>
      </c>
      <c r="M1052" s="220">
        <v>139425</v>
      </c>
      <c r="N1052" s="220">
        <f>SUM(I1052:M1053)</f>
        <v>1881734.9999999998</v>
      </c>
      <c r="O1052" s="224"/>
      <c r="P1052" s="110" t="s">
        <v>3706</v>
      </c>
      <c r="Q1052" s="15" t="s">
        <v>19</v>
      </c>
      <c r="R1052" s="205"/>
      <c r="S1052" s="189" t="s">
        <v>1361</v>
      </c>
      <c r="T1052" s="114"/>
      <c r="U1052" s="21" t="s">
        <v>3707</v>
      </c>
      <c r="V1052" s="115">
        <v>46136</v>
      </c>
      <c r="W1052" s="116"/>
      <c r="X1052" s="220">
        <v>1400000</v>
      </c>
      <c r="Y1052" s="245">
        <f>X1052*0.1</f>
        <v>140000</v>
      </c>
      <c r="Z1052" s="220">
        <v>15110</v>
      </c>
      <c r="AA1052" s="220">
        <f>SUM(X1052:Z1052)</f>
        <v>1555110</v>
      </c>
      <c r="AB1052" s="222"/>
    </row>
    <row r="1053" spans="1:28" ht="17.100000000000001" customHeight="1" thickBot="1">
      <c r="A1053" s="227"/>
      <c r="B1053" s="27" t="s">
        <v>1708</v>
      </c>
      <c r="C1053" s="27" t="s">
        <v>3708</v>
      </c>
      <c r="D1053" s="14" t="s">
        <v>898</v>
      </c>
      <c r="E1053" s="229"/>
      <c r="F1053" s="117" t="s">
        <v>3709</v>
      </c>
      <c r="G1053" s="26">
        <v>30217</v>
      </c>
      <c r="H1053" s="231"/>
      <c r="I1053" s="221"/>
      <c r="J1053" s="221"/>
      <c r="K1053" s="221"/>
      <c r="L1053" s="221"/>
      <c r="M1053" s="221"/>
      <c r="N1053" s="221"/>
      <c r="O1053" s="225"/>
      <c r="P1053" s="118" t="s">
        <v>3710</v>
      </c>
      <c r="Q1053" s="16" t="s">
        <v>20</v>
      </c>
      <c r="R1053" s="17" t="s">
        <v>2239</v>
      </c>
      <c r="S1053" s="121" t="s">
        <v>169</v>
      </c>
      <c r="T1053" s="122"/>
      <c r="U1053" s="22"/>
      <c r="V1053" s="123" t="s">
        <v>6682</v>
      </c>
      <c r="W1053" s="122">
        <v>51591</v>
      </c>
      <c r="X1053" s="221"/>
      <c r="Y1053" s="221"/>
      <c r="Z1053" s="221"/>
      <c r="AA1053" s="221"/>
      <c r="AB1053" s="223"/>
    </row>
    <row r="1054" spans="1:28" ht="17.100000000000001" customHeight="1" thickTop="1">
      <c r="A1054" s="226" t="s">
        <v>6158</v>
      </c>
      <c r="B1054" s="28">
        <v>45803</v>
      </c>
      <c r="C1054" s="25"/>
      <c r="D1054" s="13" t="s">
        <v>3711</v>
      </c>
      <c r="E1054" s="228"/>
      <c r="F1054" s="109" t="s">
        <v>3712</v>
      </c>
      <c r="G1054" s="24" t="s">
        <v>2487</v>
      </c>
      <c r="H1054" s="230"/>
      <c r="I1054" s="220">
        <v>0</v>
      </c>
      <c r="J1054" s="220">
        <f>I1054*0.1</f>
        <v>0</v>
      </c>
      <c r="K1054" s="220">
        <v>0</v>
      </c>
      <c r="L1054" s="220">
        <v>0</v>
      </c>
      <c r="M1054" s="220">
        <v>0</v>
      </c>
      <c r="N1054" s="220">
        <f>SUM(I1054:M1055)</f>
        <v>0</v>
      </c>
      <c r="O1054" s="224"/>
      <c r="P1054" s="110" t="s">
        <v>3713</v>
      </c>
      <c r="Q1054" s="15" t="s">
        <v>19</v>
      </c>
      <c r="R1054" s="205"/>
      <c r="S1054" s="189"/>
      <c r="T1054" s="114"/>
      <c r="U1054" s="21"/>
      <c r="V1054" s="115"/>
      <c r="W1054" s="116"/>
      <c r="X1054" s="220"/>
      <c r="Y1054" s="245">
        <f>X1054*0.1</f>
        <v>0</v>
      </c>
      <c r="Z1054" s="220"/>
      <c r="AA1054" s="220">
        <f>SUM(X1054:Z1054)</f>
        <v>0</v>
      </c>
      <c r="AB1054" s="222"/>
    </row>
    <row r="1055" spans="1:28" ht="17.100000000000001" customHeight="1" thickBot="1">
      <c r="A1055" s="227"/>
      <c r="B1055" s="27" t="s">
        <v>3714</v>
      </c>
      <c r="C1055" s="27"/>
      <c r="D1055" s="14"/>
      <c r="E1055" s="229"/>
      <c r="F1055" s="117" t="s">
        <v>3715</v>
      </c>
      <c r="G1055" s="26">
        <v>158256</v>
      </c>
      <c r="H1055" s="231"/>
      <c r="I1055" s="221"/>
      <c r="J1055" s="221"/>
      <c r="K1055" s="221"/>
      <c r="L1055" s="221"/>
      <c r="M1055" s="221"/>
      <c r="N1055" s="221"/>
      <c r="O1055" s="225"/>
      <c r="P1055" s="118" t="s">
        <v>3716</v>
      </c>
      <c r="Q1055" s="16" t="s">
        <v>20</v>
      </c>
      <c r="R1055" s="17" t="s">
        <v>3717</v>
      </c>
      <c r="S1055" s="121" t="s">
        <v>169</v>
      </c>
      <c r="T1055" s="122"/>
      <c r="U1055" s="22"/>
      <c r="V1055" s="123"/>
      <c r="W1055" s="122"/>
      <c r="X1055" s="221"/>
      <c r="Y1055" s="221"/>
      <c r="Z1055" s="221"/>
      <c r="AA1055" s="221"/>
      <c r="AB1055" s="223"/>
    </row>
    <row r="1056" spans="1:28" ht="17.100000000000001" customHeight="1" thickTop="1">
      <c r="A1056" s="226" t="s">
        <v>6159</v>
      </c>
      <c r="B1056" s="28">
        <v>45804</v>
      </c>
      <c r="C1056" s="25">
        <v>1046</v>
      </c>
      <c r="D1056" s="13" t="s">
        <v>1931</v>
      </c>
      <c r="E1056" s="228"/>
      <c r="F1056" s="109" t="s">
        <v>3718</v>
      </c>
      <c r="G1056" s="24" t="s">
        <v>3719</v>
      </c>
      <c r="H1056" s="230">
        <v>4.5</v>
      </c>
      <c r="I1056" s="220">
        <v>1950000</v>
      </c>
      <c r="J1056" s="220">
        <f>I1056*0.1</f>
        <v>195000</v>
      </c>
      <c r="K1056" s="220">
        <f>28700+2870</f>
        <v>31570</v>
      </c>
      <c r="L1056" s="220">
        <v>11740</v>
      </c>
      <c r="M1056" s="220">
        <v>27500</v>
      </c>
      <c r="N1056" s="220">
        <f>SUM(I1056:M1057)</f>
        <v>2215810</v>
      </c>
      <c r="O1056" s="224"/>
      <c r="P1056" s="110" t="s">
        <v>3720</v>
      </c>
      <c r="Q1056" s="15" t="s">
        <v>19</v>
      </c>
      <c r="R1056" s="205"/>
      <c r="S1056" s="189" t="s">
        <v>25367</v>
      </c>
      <c r="T1056" s="114"/>
      <c r="U1056" s="21" t="s">
        <v>3721</v>
      </c>
      <c r="V1056" s="115"/>
      <c r="W1056" s="116"/>
      <c r="X1056" s="220"/>
      <c r="Y1056" s="220">
        <f>X1056*0.1</f>
        <v>0</v>
      </c>
      <c r="Z1056" s="220"/>
      <c r="AA1056" s="220">
        <f>SUM(X1056:Z1056)</f>
        <v>0</v>
      </c>
      <c r="AB1056" s="222"/>
    </row>
    <row r="1057" spans="1:28" ht="17.100000000000001" customHeight="1" thickBot="1">
      <c r="A1057" s="227"/>
      <c r="B1057" s="27" t="s">
        <v>1583</v>
      </c>
      <c r="C1057" s="27">
        <v>84136</v>
      </c>
      <c r="D1057" s="14" t="s">
        <v>2088</v>
      </c>
      <c r="E1057" s="229"/>
      <c r="F1057" s="117" t="s">
        <v>3722</v>
      </c>
      <c r="G1057" s="26">
        <v>32873</v>
      </c>
      <c r="H1057" s="231"/>
      <c r="I1057" s="221"/>
      <c r="J1057" s="221"/>
      <c r="K1057" s="221"/>
      <c r="L1057" s="221"/>
      <c r="M1057" s="221"/>
      <c r="N1057" s="221"/>
      <c r="O1057" s="225"/>
      <c r="P1057" s="118" t="s">
        <v>2643</v>
      </c>
      <c r="Q1057" s="16" t="s">
        <v>20</v>
      </c>
      <c r="R1057" s="17" t="s">
        <v>3723</v>
      </c>
      <c r="S1057" s="121" t="s">
        <v>2025</v>
      </c>
      <c r="T1057" s="122"/>
      <c r="U1057" s="22"/>
      <c r="V1057" s="123"/>
      <c r="W1057" s="122"/>
      <c r="X1057" s="221"/>
      <c r="Y1057" s="221"/>
      <c r="Z1057" s="221"/>
      <c r="AA1057" s="221"/>
      <c r="AB1057" s="223"/>
    </row>
    <row r="1058" spans="1:28" ht="17.100000000000001" customHeight="1" thickTop="1">
      <c r="A1058" s="226" t="s">
        <v>6160</v>
      </c>
      <c r="B1058" s="28">
        <v>45806</v>
      </c>
      <c r="C1058" s="25">
        <v>1518</v>
      </c>
      <c r="D1058" s="13" t="s">
        <v>1996</v>
      </c>
      <c r="E1058" s="228"/>
      <c r="F1058" s="109" t="s">
        <v>3724</v>
      </c>
      <c r="G1058" s="24" t="s">
        <v>2428</v>
      </c>
      <c r="H1058" s="230">
        <v>4.5</v>
      </c>
      <c r="I1058" s="220">
        <v>2400000</v>
      </c>
      <c r="J1058" s="220">
        <f>I1058*0.1</f>
        <v>240000</v>
      </c>
      <c r="K1058" s="220">
        <v>0</v>
      </c>
      <c r="L1058" s="220">
        <v>21930</v>
      </c>
      <c r="M1058" s="220">
        <v>27500</v>
      </c>
      <c r="N1058" s="220">
        <f>SUM(I1058:M1059)</f>
        <v>2689430</v>
      </c>
      <c r="O1058" s="224"/>
      <c r="P1058" s="110" t="s">
        <v>3725</v>
      </c>
      <c r="Q1058" s="15" t="s">
        <v>19</v>
      </c>
      <c r="R1058" s="205"/>
      <c r="S1058" s="189" t="s">
        <v>1271</v>
      </c>
      <c r="T1058" s="114"/>
      <c r="U1058" s="21"/>
      <c r="V1058" s="115"/>
      <c r="W1058" s="116"/>
      <c r="X1058" s="220"/>
      <c r="Y1058" s="220">
        <f>X1058*0.1</f>
        <v>0</v>
      </c>
      <c r="Z1058" s="220"/>
      <c r="AA1058" s="220">
        <f>SUM(X1058:Z1058)</f>
        <v>0</v>
      </c>
      <c r="AB1058" s="222"/>
    </row>
    <row r="1059" spans="1:28" ht="17.100000000000001" customHeight="1" thickBot="1">
      <c r="A1059" s="227"/>
      <c r="B1059" s="27" t="s">
        <v>1592</v>
      </c>
      <c r="C1059" s="27">
        <v>75981</v>
      </c>
      <c r="D1059" s="14" t="s">
        <v>2559</v>
      </c>
      <c r="E1059" s="229"/>
      <c r="F1059" s="117" t="s">
        <v>3726</v>
      </c>
      <c r="G1059" s="26">
        <v>36024</v>
      </c>
      <c r="H1059" s="231"/>
      <c r="I1059" s="221"/>
      <c r="J1059" s="221"/>
      <c r="K1059" s="221"/>
      <c r="L1059" s="221"/>
      <c r="M1059" s="221"/>
      <c r="N1059" s="221"/>
      <c r="O1059" s="225"/>
      <c r="P1059" s="118" t="s">
        <v>3727</v>
      </c>
      <c r="Q1059" s="16" t="s">
        <v>20</v>
      </c>
      <c r="R1059" s="17" t="s">
        <v>2182</v>
      </c>
      <c r="S1059" s="121" t="s">
        <v>1731</v>
      </c>
      <c r="T1059" s="122"/>
      <c r="U1059" s="22"/>
      <c r="V1059" s="123"/>
      <c r="W1059" s="122"/>
      <c r="X1059" s="221"/>
      <c r="Y1059" s="221"/>
      <c r="Z1059" s="221"/>
      <c r="AA1059" s="221"/>
      <c r="AB1059" s="223"/>
    </row>
    <row r="1060" spans="1:28" ht="17.100000000000001" customHeight="1" thickTop="1">
      <c r="A1060" s="226" t="s">
        <v>6161</v>
      </c>
      <c r="B1060" s="28">
        <v>45806</v>
      </c>
      <c r="C1060" s="25">
        <v>1935</v>
      </c>
      <c r="D1060" s="13" t="s">
        <v>2150</v>
      </c>
      <c r="E1060" s="228"/>
      <c r="F1060" s="109" t="s">
        <v>3728</v>
      </c>
      <c r="G1060" s="24"/>
      <c r="H1060" s="230">
        <v>4</v>
      </c>
      <c r="I1060" s="220">
        <v>616000</v>
      </c>
      <c r="J1060" s="220">
        <v>0</v>
      </c>
      <c r="K1060" s="220">
        <v>0</v>
      </c>
      <c r="L1060" s="220">
        <v>9290</v>
      </c>
      <c r="M1060" s="220">
        <v>14850</v>
      </c>
      <c r="N1060" s="220">
        <f>SUM(I1060:M1061)</f>
        <v>640140</v>
      </c>
      <c r="O1060" s="224"/>
      <c r="P1060" s="110" t="s">
        <v>3729</v>
      </c>
      <c r="Q1060" s="15" t="s">
        <v>19</v>
      </c>
      <c r="R1060" s="205"/>
      <c r="S1060" s="189"/>
      <c r="T1060" s="114" t="s">
        <v>9836</v>
      </c>
      <c r="U1060" s="21"/>
      <c r="V1060" s="115">
        <v>45962</v>
      </c>
      <c r="W1060" s="116">
        <v>1274</v>
      </c>
      <c r="X1060" s="220">
        <v>650000</v>
      </c>
      <c r="Y1060" s="220">
        <v>0</v>
      </c>
      <c r="Z1060" s="220">
        <v>9290</v>
      </c>
      <c r="AA1060" s="220">
        <f>SUM(X1060:Z1060)</f>
        <v>659290</v>
      </c>
      <c r="AB1060" s="222">
        <v>45965</v>
      </c>
    </row>
    <row r="1061" spans="1:28" ht="17.100000000000001" customHeight="1" thickBot="1">
      <c r="A1061" s="227"/>
      <c r="B1061" s="27" t="s">
        <v>3730</v>
      </c>
      <c r="C1061" s="27">
        <v>9007</v>
      </c>
      <c r="D1061" s="14" t="s">
        <v>3731</v>
      </c>
      <c r="E1061" s="229"/>
      <c r="F1061" s="117" t="s">
        <v>3732</v>
      </c>
      <c r="G1061" s="26">
        <v>26430</v>
      </c>
      <c r="H1061" s="231"/>
      <c r="I1061" s="221"/>
      <c r="J1061" s="221"/>
      <c r="K1061" s="221"/>
      <c r="L1061" s="221"/>
      <c r="M1061" s="221"/>
      <c r="N1061" s="221"/>
      <c r="O1061" s="225"/>
      <c r="P1061" s="118" t="s">
        <v>3733</v>
      </c>
      <c r="Q1061" s="16" t="s">
        <v>20</v>
      </c>
      <c r="R1061" s="17" t="s">
        <v>2392</v>
      </c>
      <c r="S1061" s="121" t="s">
        <v>3734</v>
      </c>
      <c r="T1061" s="122"/>
      <c r="U1061" s="22"/>
      <c r="V1061" s="123" t="s">
        <v>2472</v>
      </c>
      <c r="W1061" s="122">
        <v>60239</v>
      </c>
      <c r="X1061" s="221"/>
      <c r="Y1061" s="221"/>
      <c r="Z1061" s="221"/>
      <c r="AA1061" s="221"/>
      <c r="AB1061" s="223"/>
    </row>
    <row r="1062" spans="1:28" ht="17.100000000000001" customHeight="1" thickTop="1">
      <c r="A1062" s="226" t="s">
        <v>6162</v>
      </c>
      <c r="B1062" s="28">
        <v>45807</v>
      </c>
      <c r="C1062" s="25">
        <v>2087</v>
      </c>
      <c r="D1062" s="13" t="s">
        <v>1640</v>
      </c>
      <c r="E1062" s="228"/>
      <c r="F1062" s="109" t="s">
        <v>3312</v>
      </c>
      <c r="G1062" s="24"/>
      <c r="H1062" s="230">
        <v>4.5</v>
      </c>
      <c r="I1062" s="220">
        <v>1500000</v>
      </c>
      <c r="J1062" s="220">
        <f>I1062*0.1</f>
        <v>150000</v>
      </c>
      <c r="K1062" s="220">
        <v>0</v>
      </c>
      <c r="L1062" s="220">
        <v>13210</v>
      </c>
      <c r="M1062" s="220">
        <v>16500</v>
      </c>
      <c r="N1062" s="220">
        <f>SUM(I1062:M1063)</f>
        <v>1679710</v>
      </c>
      <c r="O1062" s="224"/>
      <c r="P1062" s="110" t="s">
        <v>3735</v>
      </c>
      <c r="Q1062" s="15" t="s">
        <v>19</v>
      </c>
      <c r="R1062" s="205"/>
      <c r="S1062" s="189" t="s">
        <v>758</v>
      </c>
      <c r="T1062" s="114"/>
      <c r="U1062" s="21"/>
      <c r="V1062" s="115"/>
      <c r="W1062" s="116"/>
      <c r="X1062" s="220"/>
      <c r="Y1062" s="220">
        <f>X1062*0.1</f>
        <v>0</v>
      </c>
      <c r="Z1062" s="220"/>
      <c r="AA1062" s="220">
        <f>SUM(X1062:Z1062)</f>
        <v>0</v>
      </c>
      <c r="AB1062" s="222"/>
    </row>
    <row r="1063" spans="1:28" ht="17.100000000000001" customHeight="1" thickBot="1">
      <c r="A1063" s="227"/>
      <c r="B1063" s="27" t="s">
        <v>1536</v>
      </c>
      <c r="C1063" s="27">
        <v>58416</v>
      </c>
      <c r="D1063" s="14" t="s">
        <v>273</v>
      </c>
      <c r="E1063" s="229"/>
      <c r="F1063" s="117" t="s">
        <v>3736</v>
      </c>
      <c r="G1063" s="26">
        <v>49100</v>
      </c>
      <c r="H1063" s="231"/>
      <c r="I1063" s="221"/>
      <c r="J1063" s="221"/>
      <c r="K1063" s="221"/>
      <c r="L1063" s="221"/>
      <c r="M1063" s="221"/>
      <c r="N1063" s="221"/>
      <c r="O1063" s="225"/>
      <c r="P1063" s="118" t="s">
        <v>3737</v>
      </c>
      <c r="Q1063" s="16" t="s">
        <v>20</v>
      </c>
      <c r="R1063" s="17" t="s">
        <v>2239</v>
      </c>
      <c r="S1063" s="121" t="s">
        <v>3738</v>
      </c>
      <c r="T1063" s="122"/>
      <c r="U1063" s="22"/>
      <c r="V1063" s="123"/>
      <c r="W1063" s="122"/>
      <c r="X1063" s="221"/>
      <c r="Y1063" s="221"/>
      <c r="Z1063" s="221"/>
      <c r="AA1063" s="221"/>
      <c r="AB1063" s="223"/>
    </row>
    <row r="1064" spans="1:28" ht="17.100000000000001" customHeight="1" thickTop="1">
      <c r="A1064" s="226" t="s">
        <v>6163</v>
      </c>
      <c r="B1064" s="28">
        <v>45808</v>
      </c>
      <c r="C1064" s="25">
        <v>1253</v>
      </c>
      <c r="D1064" s="13" t="s">
        <v>3739</v>
      </c>
      <c r="E1064" s="228"/>
      <c r="F1064" s="109" t="s">
        <v>3740</v>
      </c>
      <c r="G1064" s="24"/>
      <c r="H1064" s="230">
        <v>4</v>
      </c>
      <c r="I1064" s="220">
        <v>1805000</v>
      </c>
      <c r="J1064" s="220">
        <f>I1064*0.1</f>
        <v>180500</v>
      </c>
      <c r="K1064" s="220">
        <v>0</v>
      </c>
      <c r="L1064" s="220">
        <v>22240</v>
      </c>
      <c r="M1064" s="220">
        <v>16500</v>
      </c>
      <c r="N1064" s="220">
        <f>SUM(I1064:M1065)</f>
        <v>2024240</v>
      </c>
      <c r="O1064" s="224"/>
      <c r="P1064" s="110" t="s">
        <v>3741</v>
      </c>
      <c r="Q1064" s="15" t="s">
        <v>19</v>
      </c>
      <c r="R1064" s="205"/>
      <c r="S1064" s="189"/>
      <c r="T1064" s="114"/>
      <c r="U1064" s="21"/>
      <c r="V1064" s="115"/>
      <c r="W1064" s="116"/>
      <c r="X1064" s="220"/>
      <c r="Y1064" s="220">
        <f>X1064*0.1</f>
        <v>0</v>
      </c>
      <c r="Z1064" s="220"/>
      <c r="AA1064" s="220">
        <f>SUM(X1064:Z1064)</f>
        <v>0</v>
      </c>
      <c r="AB1064" s="222"/>
    </row>
    <row r="1065" spans="1:28" ht="17.100000000000001" customHeight="1" thickBot="1">
      <c r="A1065" s="227"/>
      <c r="B1065" s="27" t="s">
        <v>2472</v>
      </c>
      <c r="C1065" s="27">
        <v>82065</v>
      </c>
      <c r="D1065" s="14" t="s">
        <v>2753</v>
      </c>
      <c r="E1065" s="229"/>
      <c r="F1065" s="117" t="s">
        <v>3742</v>
      </c>
      <c r="G1065" s="26">
        <v>34959</v>
      </c>
      <c r="H1065" s="231"/>
      <c r="I1065" s="221"/>
      <c r="J1065" s="221"/>
      <c r="K1065" s="221"/>
      <c r="L1065" s="221"/>
      <c r="M1065" s="221"/>
      <c r="N1065" s="221"/>
      <c r="O1065" s="225"/>
      <c r="P1065" s="118" t="s">
        <v>3355</v>
      </c>
      <c r="Q1065" s="16" t="s">
        <v>20</v>
      </c>
      <c r="R1065" s="17" t="s">
        <v>2195</v>
      </c>
      <c r="S1065" s="121" t="s">
        <v>1606</v>
      </c>
      <c r="T1065" s="122"/>
      <c r="U1065" s="22"/>
      <c r="V1065" s="123"/>
      <c r="W1065" s="122"/>
      <c r="X1065" s="221"/>
      <c r="Y1065" s="221"/>
      <c r="Z1065" s="221"/>
      <c r="AA1065" s="221"/>
      <c r="AB1065" s="223"/>
    </row>
    <row r="1066" spans="1:28" ht="17.100000000000001" customHeight="1" thickTop="1">
      <c r="A1066" s="226" t="s">
        <v>6164</v>
      </c>
      <c r="B1066" s="28">
        <v>45810</v>
      </c>
      <c r="C1066" s="25"/>
      <c r="D1066" s="13" t="s">
        <v>1824</v>
      </c>
      <c r="E1066" s="228"/>
      <c r="F1066" s="109" t="s">
        <v>3743</v>
      </c>
      <c r="G1066" s="24" t="s">
        <v>3744</v>
      </c>
      <c r="H1066" s="230">
        <v>3.5</v>
      </c>
      <c r="I1066" s="220">
        <f>225500/1.1</f>
        <v>204999.99999999997</v>
      </c>
      <c r="J1066" s="220">
        <f>I1066*0.1</f>
        <v>20500</v>
      </c>
      <c r="K1066" s="220">
        <v>0</v>
      </c>
      <c r="L1066" s="220">
        <v>8140</v>
      </c>
      <c r="M1066" s="220">
        <v>37922</v>
      </c>
      <c r="N1066" s="220">
        <f>SUM(I1066:M1067)</f>
        <v>271562</v>
      </c>
      <c r="O1066" s="224"/>
      <c r="P1066" s="110" t="s">
        <v>9861</v>
      </c>
      <c r="Q1066" s="15" t="s">
        <v>19</v>
      </c>
      <c r="R1066" s="205"/>
      <c r="S1066" s="189" t="s">
        <v>25428</v>
      </c>
      <c r="T1066" s="114"/>
      <c r="U1066" s="21"/>
      <c r="V1066" s="115">
        <v>45979</v>
      </c>
      <c r="W1066" s="116">
        <v>1918</v>
      </c>
      <c r="X1066" s="220">
        <v>379000</v>
      </c>
      <c r="Y1066" s="220">
        <f>X1066*0.1</f>
        <v>37900</v>
      </c>
      <c r="Z1066" s="220">
        <v>8140</v>
      </c>
      <c r="AA1066" s="220">
        <f>SUM(X1066:Z1066)</f>
        <v>425040</v>
      </c>
      <c r="AB1066" s="222">
        <v>45986</v>
      </c>
    </row>
    <row r="1067" spans="1:28" ht="17.100000000000001" customHeight="1" thickBot="1">
      <c r="A1067" s="227"/>
      <c r="B1067" s="27" t="s">
        <v>1708</v>
      </c>
      <c r="C1067" s="27" t="s">
        <v>3745</v>
      </c>
      <c r="D1067" s="14" t="s">
        <v>3746</v>
      </c>
      <c r="E1067" s="229"/>
      <c r="F1067" s="117" t="s">
        <v>9860</v>
      </c>
      <c r="G1067" s="26">
        <v>41313</v>
      </c>
      <c r="H1067" s="231"/>
      <c r="I1067" s="221"/>
      <c r="J1067" s="221"/>
      <c r="K1067" s="221"/>
      <c r="L1067" s="221"/>
      <c r="M1067" s="221"/>
      <c r="N1067" s="221"/>
      <c r="O1067" s="225"/>
      <c r="P1067" s="118" t="s">
        <v>9862</v>
      </c>
      <c r="Q1067" s="16" t="s">
        <v>20</v>
      </c>
      <c r="R1067" s="17" t="s">
        <v>1673</v>
      </c>
      <c r="S1067" s="121" t="s">
        <v>1606</v>
      </c>
      <c r="T1067" s="122"/>
      <c r="U1067" s="22"/>
      <c r="V1067" s="123" t="s">
        <v>2103</v>
      </c>
      <c r="W1067" s="122">
        <v>3129</v>
      </c>
      <c r="X1067" s="221"/>
      <c r="Y1067" s="221"/>
      <c r="Z1067" s="221"/>
      <c r="AA1067" s="221"/>
      <c r="AB1067" s="223"/>
    </row>
    <row r="1068" spans="1:28" ht="17.100000000000001" customHeight="1" thickTop="1">
      <c r="A1068" s="226" t="s">
        <v>6165</v>
      </c>
      <c r="B1068" s="28">
        <v>45813</v>
      </c>
      <c r="C1068" s="25"/>
      <c r="D1068" s="13" t="s">
        <v>2150</v>
      </c>
      <c r="E1068" s="228"/>
      <c r="F1068" s="109" t="s">
        <v>3747</v>
      </c>
      <c r="G1068" s="24" t="s">
        <v>3748</v>
      </c>
      <c r="H1068" s="230"/>
      <c r="I1068" s="220">
        <v>3200000</v>
      </c>
      <c r="J1068" s="220">
        <v>0</v>
      </c>
      <c r="K1068" s="220"/>
      <c r="L1068" s="220"/>
      <c r="M1068" s="220"/>
      <c r="N1068" s="220">
        <f>SUM(I1068:M1069)</f>
        <v>3200000</v>
      </c>
      <c r="O1068" s="224"/>
      <c r="P1068" s="110" t="s">
        <v>3749</v>
      </c>
      <c r="Q1068" s="15" t="s">
        <v>19</v>
      </c>
      <c r="R1068" s="205"/>
      <c r="S1068" s="189"/>
      <c r="T1068" s="114"/>
      <c r="U1068" s="21" t="s">
        <v>3750</v>
      </c>
      <c r="V1068" s="115"/>
      <c r="W1068" s="116"/>
      <c r="X1068" s="220"/>
      <c r="Y1068" s="220">
        <f>X1068*0.1</f>
        <v>0</v>
      </c>
      <c r="Z1068" s="220"/>
      <c r="AA1068" s="220">
        <f>SUM(X1068:Z1068)</f>
        <v>0</v>
      </c>
      <c r="AB1068" s="222"/>
    </row>
    <row r="1069" spans="1:28" ht="17.100000000000001" customHeight="1" thickBot="1">
      <c r="A1069" s="227"/>
      <c r="B1069" s="27" t="s">
        <v>3751</v>
      </c>
      <c r="C1069" s="27"/>
      <c r="D1069" s="14"/>
      <c r="E1069" s="229"/>
      <c r="F1069" s="117" t="s">
        <v>3752</v>
      </c>
      <c r="G1069" s="26">
        <v>54735</v>
      </c>
      <c r="H1069" s="231"/>
      <c r="I1069" s="221"/>
      <c r="J1069" s="221"/>
      <c r="K1069" s="221"/>
      <c r="L1069" s="221"/>
      <c r="M1069" s="221"/>
      <c r="N1069" s="221"/>
      <c r="O1069" s="225"/>
      <c r="P1069" s="118" t="s">
        <v>3753</v>
      </c>
      <c r="Q1069" s="16" t="s">
        <v>20</v>
      </c>
      <c r="R1069" s="17" t="s">
        <v>2239</v>
      </c>
      <c r="S1069" s="121" t="s">
        <v>3754</v>
      </c>
      <c r="T1069" s="122"/>
      <c r="U1069" s="22"/>
      <c r="V1069" s="123"/>
      <c r="W1069" s="122"/>
      <c r="X1069" s="221"/>
      <c r="Y1069" s="221"/>
      <c r="Z1069" s="221"/>
      <c r="AA1069" s="221"/>
      <c r="AB1069" s="223"/>
    </row>
    <row r="1070" spans="1:28" ht="17.100000000000001" customHeight="1" thickTop="1">
      <c r="A1070" s="226" t="s">
        <v>6166</v>
      </c>
      <c r="B1070" s="28">
        <v>45813</v>
      </c>
      <c r="C1070" s="25">
        <v>1284</v>
      </c>
      <c r="D1070" s="13" t="s">
        <v>3327</v>
      </c>
      <c r="E1070" s="228"/>
      <c r="F1070" s="109" t="s">
        <v>3755</v>
      </c>
      <c r="G1070" s="24" t="s">
        <v>3756</v>
      </c>
      <c r="H1070" s="230">
        <v>4.5</v>
      </c>
      <c r="I1070" s="220">
        <v>700000</v>
      </c>
      <c r="J1070" s="220">
        <f>I1070*0.1</f>
        <v>70000</v>
      </c>
      <c r="K1070" s="220">
        <v>28380</v>
      </c>
      <c r="L1070" s="220">
        <v>21980</v>
      </c>
      <c r="M1070" s="220">
        <v>23100</v>
      </c>
      <c r="N1070" s="220">
        <f>SUM(I1070:M1071)</f>
        <v>843460</v>
      </c>
      <c r="O1070" s="224"/>
      <c r="P1070" s="110" t="s">
        <v>3757</v>
      </c>
      <c r="Q1070" s="15" t="s">
        <v>19</v>
      </c>
      <c r="R1070" s="205"/>
      <c r="S1070" s="189" t="s">
        <v>25429</v>
      </c>
      <c r="T1070" s="129" t="s">
        <v>3759</v>
      </c>
      <c r="U1070" s="21"/>
      <c r="V1070" s="115">
        <v>45934</v>
      </c>
      <c r="W1070" s="116">
        <v>1270</v>
      </c>
      <c r="X1070" s="220">
        <v>765000</v>
      </c>
      <c r="Y1070" s="220">
        <f>X1070*0.1</f>
        <v>76500</v>
      </c>
      <c r="Z1070" s="220">
        <v>21980</v>
      </c>
      <c r="AA1070" s="220">
        <f>SUM(X1070:Z1070)</f>
        <v>863480</v>
      </c>
      <c r="AB1070" s="222">
        <v>45938</v>
      </c>
    </row>
    <row r="1071" spans="1:28" ht="17.100000000000001" customHeight="1" thickBot="1">
      <c r="A1071" s="227"/>
      <c r="B1071" s="27" t="s">
        <v>1735</v>
      </c>
      <c r="C1071" s="27">
        <v>3</v>
      </c>
      <c r="D1071" s="14" t="s">
        <v>1584</v>
      </c>
      <c r="E1071" s="229"/>
      <c r="F1071" s="117" t="s">
        <v>3760</v>
      </c>
      <c r="G1071" s="26">
        <v>52417</v>
      </c>
      <c r="H1071" s="231"/>
      <c r="I1071" s="221"/>
      <c r="J1071" s="221"/>
      <c r="K1071" s="221"/>
      <c r="L1071" s="221"/>
      <c r="M1071" s="221"/>
      <c r="N1071" s="221"/>
      <c r="O1071" s="225"/>
      <c r="P1071" s="118" t="s">
        <v>3761</v>
      </c>
      <c r="Q1071" s="16" t="s">
        <v>20</v>
      </c>
      <c r="R1071" s="17" t="s">
        <v>2379</v>
      </c>
      <c r="S1071" s="121" t="s">
        <v>7004</v>
      </c>
      <c r="T1071" s="127" t="s">
        <v>7005</v>
      </c>
      <c r="U1071" s="22" t="s">
        <v>3427</v>
      </c>
      <c r="V1071" s="123" t="s">
        <v>7160</v>
      </c>
      <c r="W1071" s="122">
        <v>80054</v>
      </c>
      <c r="X1071" s="221"/>
      <c r="Y1071" s="221"/>
      <c r="Z1071" s="221"/>
      <c r="AA1071" s="221"/>
      <c r="AB1071" s="223"/>
    </row>
    <row r="1072" spans="1:28" ht="17.100000000000001" customHeight="1" thickTop="1">
      <c r="A1072" s="226" t="s">
        <v>6167</v>
      </c>
      <c r="B1072" s="28">
        <v>45813</v>
      </c>
      <c r="C1072" s="25">
        <v>1519</v>
      </c>
      <c r="D1072" s="13" t="s">
        <v>1733</v>
      </c>
      <c r="E1072" s="228"/>
      <c r="F1072" s="109" t="s">
        <v>3762</v>
      </c>
      <c r="G1072" s="24" t="s">
        <v>3763</v>
      </c>
      <c r="H1072" s="230">
        <v>4.5</v>
      </c>
      <c r="I1072" s="220">
        <v>2300000</v>
      </c>
      <c r="J1072" s="220">
        <f>I1072*0.1</f>
        <v>230000</v>
      </c>
      <c r="K1072" s="220">
        <v>28380</v>
      </c>
      <c r="L1072" s="220">
        <v>11740</v>
      </c>
      <c r="M1072" s="220">
        <v>16500</v>
      </c>
      <c r="N1072" s="220">
        <f>SUM(I1072:M1073)</f>
        <v>2586620</v>
      </c>
      <c r="O1072" s="224"/>
      <c r="P1072" s="110" t="s">
        <v>3764</v>
      </c>
      <c r="Q1072" s="15" t="s">
        <v>19</v>
      </c>
      <c r="R1072" s="205"/>
      <c r="S1072" s="189" t="s">
        <v>455</v>
      </c>
      <c r="T1072" s="114"/>
      <c r="U1072" s="21"/>
      <c r="V1072" s="115">
        <v>46284</v>
      </c>
      <c r="W1072" s="116"/>
      <c r="X1072" s="220">
        <v>3327200</v>
      </c>
      <c r="Y1072" s="220">
        <v>0</v>
      </c>
      <c r="Z1072" s="220">
        <v>0</v>
      </c>
      <c r="AA1072" s="220">
        <f>SUM(X1072:Z1072)</f>
        <v>3327200</v>
      </c>
      <c r="AB1072" s="222">
        <v>46334</v>
      </c>
    </row>
    <row r="1073" spans="1:28" ht="17.100000000000001" customHeight="1" thickBot="1">
      <c r="A1073" s="227"/>
      <c r="B1073" s="27" t="s">
        <v>1592</v>
      </c>
      <c r="C1073" s="27">
        <v>76138</v>
      </c>
      <c r="D1073" s="14" t="s">
        <v>131</v>
      </c>
      <c r="E1073" s="229"/>
      <c r="F1073" s="117" t="s">
        <v>3766</v>
      </c>
      <c r="G1073" s="26">
        <v>25864</v>
      </c>
      <c r="H1073" s="231"/>
      <c r="I1073" s="221"/>
      <c r="J1073" s="221"/>
      <c r="K1073" s="221"/>
      <c r="L1073" s="221"/>
      <c r="M1073" s="221"/>
      <c r="N1073" s="221"/>
      <c r="O1073" s="225"/>
      <c r="P1073" s="118" t="s">
        <v>3767</v>
      </c>
      <c r="Q1073" s="16" t="s">
        <v>20</v>
      </c>
      <c r="R1073" s="17" t="s">
        <v>2195</v>
      </c>
      <c r="S1073" s="121" t="s">
        <v>3768</v>
      </c>
      <c r="T1073" s="122"/>
      <c r="U1073" s="22" t="s">
        <v>3427</v>
      </c>
      <c r="V1073" s="123" t="s">
        <v>15088</v>
      </c>
      <c r="W1073" s="122"/>
      <c r="X1073" s="221"/>
      <c r="Y1073" s="221"/>
      <c r="Z1073" s="221"/>
      <c r="AA1073" s="221"/>
      <c r="AB1073" s="223"/>
    </row>
    <row r="1074" spans="1:28" ht="17.100000000000001" customHeight="1" thickTop="1">
      <c r="A1074" s="226" t="s">
        <v>6168</v>
      </c>
      <c r="B1074" s="28">
        <v>45814</v>
      </c>
      <c r="C1074" s="25">
        <v>2088</v>
      </c>
      <c r="D1074" s="13" t="s">
        <v>3769</v>
      </c>
      <c r="E1074" s="228"/>
      <c r="F1074" s="109" t="s">
        <v>3762</v>
      </c>
      <c r="G1074" s="24"/>
      <c r="H1074" s="230">
        <v>4</v>
      </c>
      <c r="I1074" s="220">
        <v>2155000</v>
      </c>
      <c r="J1074" s="220">
        <f>I1074*0.1</f>
        <v>215500</v>
      </c>
      <c r="K1074" s="220">
        <v>0</v>
      </c>
      <c r="L1074" s="220">
        <v>11740</v>
      </c>
      <c r="M1074" s="220">
        <v>16500</v>
      </c>
      <c r="N1074" s="220">
        <f>SUM(I1074:M1075)</f>
        <v>2398740</v>
      </c>
      <c r="O1074" s="224"/>
      <c r="P1074" s="110" t="s">
        <v>3770</v>
      </c>
      <c r="Q1074" s="15" t="s">
        <v>19</v>
      </c>
      <c r="R1074" s="205"/>
      <c r="S1074" s="189" t="s">
        <v>25429</v>
      </c>
      <c r="T1074" s="114"/>
      <c r="U1074" s="21"/>
      <c r="V1074" s="115"/>
      <c r="W1074" s="116"/>
      <c r="X1074" s="220"/>
      <c r="Y1074" s="220">
        <f>X1074*0.1</f>
        <v>0</v>
      </c>
      <c r="Z1074" s="220"/>
      <c r="AA1074" s="220">
        <f>SUM(X1074:Z1074)</f>
        <v>0</v>
      </c>
      <c r="AB1074" s="222"/>
    </row>
    <row r="1075" spans="1:28" ht="17.100000000000001" customHeight="1" thickBot="1">
      <c r="A1075" s="227"/>
      <c r="B1075" s="27" t="s">
        <v>1536</v>
      </c>
      <c r="C1075" s="27">
        <v>35062</v>
      </c>
      <c r="D1075" s="14" t="s">
        <v>1690</v>
      </c>
      <c r="E1075" s="229"/>
      <c r="F1075" s="117" t="s">
        <v>3771</v>
      </c>
      <c r="G1075" s="26">
        <v>33443</v>
      </c>
      <c r="H1075" s="231"/>
      <c r="I1075" s="221"/>
      <c r="J1075" s="221"/>
      <c r="K1075" s="221"/>
      <c r="L1075" s="221"/>
      <c r="M1075" s="221"/>
      <c r="N1075" s="221"/>
      <c r="O1075" s="225"/>
      <c r="P1075" s="118" t="s">
        <v>3772</v>
      </c>
      <c r="Q1075" s="16" t="s">
        <v>20</v>
      </c>
      <c r="R1075" s="17" t="s">
        <v>2379</v>
      </c>
      <c r="S1075" s="121" t="s">
        <v>3758</v>
      </c>
      <c r="T1075" s="122"/>
      <c r="U1075" s="22"/>
      <c r="V1075" s="123"/>
      <c r="W1075" s="122"/>
      <c r="X1075" s="221"/>
      <c r="Y1075" s="221"/>
      <c r="Z1075" s="221"/>
      <c r="AA1075" s="221"/>
      <c r="AB1075" s="223"/>
    </row>
    <row r="1076" spans="1:28" ht="17.100000000000001" customHeight="1" thickTop="1">
      <c r="A1076" s="226" t="s">
        <v>6169</v>
      </c>
      <c r="B1076" s="28">
        <v>45815</v>
      </c>
      <c r="C1076" s="25">
        <v>1254</v>
      </c>
      <c r="D1076" s="13" t="s">
        <v>3773</v>
      </c>
      <c r="E1076" s="228"/>
      <c r="F1076" s="109" t="s">
        <v>3774</v>
      </c>
      <c r="G1076" s="24" t="s">
        <v>3775</v>
      </c>
      <c r="H1076" s="230">
        <v>4</v>
      </c>
      <c r="I1076" s="220">
        <v>400000</v>
      </c>
      <c r="J1076" s="220">
        <f>I1076*0.1</f>
        <v>40000</v>
      </c>
      <c r="K1076" s="220">
        <v>0</v>
      </c>
      <c r="L1076" s="220">
        <v>9790</v>
      </c>
      <c r="M1076" s="220">
        <v>13200</v>
      </c>
      <c r="N1076" s="220">
        <f>SUM(I1076:M1077)</f>
        <v>462990</v>
      </c>
      <c r="O1076" s="224"/>
      <c r="P1076" s="110" t="s">
        <v>3776</v>
      </c>
      <c r="Q1076" s="15" t="s">
        <v>19</v>
      </c>
      <c r="R1076" s="205"/>
      <c r="S1076" s="189" t="s">
        <v>758</v>
      </c>
      <c r="T1076" s="129" t="s">
        <v>3777</v>
      </c>
      <c r="U1076" s="21" t="s">
        <v>3778</v>
      </c>
      <c r="V1076" s="115">
        <v>46011</v>
      </c>
      <c r="W1076" s="116">
        <v>1281</v>
      </c>
      <c r="X1076" s="220">
        <v>410000</v>
      </c>
      <c r="Y1076" s="220">
        <f>X1076*0.1</f>
        <v>41000</v>
      </c>
      <c r="Z1076" s="220">
        <v>9790</v>
      </c>
      <c r="AA1076" s="220">
        <f>SUM(X1076:Z1076)</f>
        <v>460790</v>
      </c>
      <c r="AB1076" s="222">
        <v>46014</v>
      </c>
    </row>
    <row r="1077" spans="1:28" ht="17.100000000000001" customHeight="1" thickBot="1">
      <c r="A1077" s="227"/>
      <c r="B1077" s="27" t="s">
        <v>2472</v>
      </c>
      <c r="C1077" s="27">
        <v>65339</v>
      </c>
      <c r="D1077" s="14" t="s">
        <v>1710</v>
      </c>
      <c r="E1077" s="229"/>
      <c r="F1077" s="117" t="s">
        <v>3779</v>
      </c>
      <c r="G1077" s="26">
        <v>45345</v>
      </c>
      <c r="H1077" s="231"/>
      <c r="I1077" s="221"/>
      <c r="J1077" s="221"/>
      <c r="K1077" s="221"/>
      <c r="L1077" s="221"/>
      <c r="M1077" s="221"/>
      <c r="N1077" s="221"/>
      <c r="O1077" s="225"/>
      <c r="P1077" s="118" t="s">
        <v>3780</v>
      </c>
      <c r="Q1077" s="16" t="s">
        <v>20</v>
      </c>
      <c r="R1077" s="17" t="s">
        <v>1994</v>
      </c>
      <c r="S1077" s="121" t="s">
        <v>3781</v>
      </c>
      <c r="T1077" s="122" t="s">
        <v>3782</v>
      </c>
      <c r="U1077" s="22"/>
      <c r="V1077" s="123" t="s">
        <v>2472</v>
      </c>
      <c r="W1077" s="122">
        <v>60191</v>
      </c>
      <c r="X1077" s="221"/>
      <c r="Y1077" s="221"/>
      <c r="Z1077" s="221"/>
      <c r="AA1077" s="221"/>
      <c r="AB1077" s="223"/>
    </row>
    <row r="1078" spans="1:28" ht="17.100000000000001" customHeight="1" thickTop="1">
      <c r="A1078" s="226" t="s">
        <v>6170</v>
      </c>
      <c r="B1078" s="28">
        <v>45817</v>
      </c>
      <c r="C1078" s="25"/>
      <c r="D1078" s="13" t="s">
        <v>3243</v>
      </c>
      <c r="E1078" s="228"/>
      <c r="F1078" s="109" t="s">
        <v>3783</v>
      </c>
      <c r="G1078" s="24" t="s">
        <v>3784</v>
      </c>
      <c r="H1078" s="230">
        <v>2</v>
      </c>
      <c r="I1078" s="220">
        <v>256000</v>
      </c>
      <c r="J1078" s="220">
        <f>I1078*0.1</f>
        <v>25600</v>
      </c>
      <c r="K1078" s="220">
        <v>13000</v>
      </c>
      <c r="L1078" s="220">
        <v>9790</v>
      </c>
      <c r="M1078" s="220">
        <v>15950</v>
      </c>
      <c r="N1078" s="220">
        <f>SUM(I1078:M1079)</f>
        <v>320340</v>
      </c>
      <c r="O1078" s="224"/>
      <c r="P1078" s="110" t="s">
        <v>3785</v>
      </c>
      <c r="Q1078" s="15" t="s">
        <v>19</v>
      </c>
      <c r="R1078" s="205"/>
      <c r="S1078" s="189"/>
      <c r="T1078" s="114"/>
      <c r="U1078" s="21" t="s">
        <v>3786</v>
      </c>
      <c r="V1078" s="115"/>
      <c r="W1078" s="116"/>
      <c r="X1078" s="220"/>
      <c r="Y1078" s="220">
        <f>X1078*0.1</f>
        <v>0</v>
      </c>
      <c r="Z1078" s="220"/>
      <c r="AA1078" s="220">
        <f>SUM(X1078:Z1078)</f>
        <v>0</v>
      </c>
      <c r="AB1078" s="222"/>
    </row>
    <row r="1079" spans="1:28" ht="17.100000000000001" customHeight="1" thickBot="1">
      <c r="A1079" s="227"/>
      <c r="B1079" s="27" t="s">
        <v>3787</v>
      </c>
      <c r="C1079" s="27">
        <v>70209</v>
      </c>
      <c r="D1079" s="14" t="s">
        <v>1710</v>
      </c>
      <c r="E1079" s="229"/>
      <c r="F1079" s="117" t="s">
        <v>3788</v>
      </c>
      <c r="G1079" s="26">
        <v>58602</v>
      </c>
      <c r="H1079" s="231"/>
      <c r="I1079" s="221"/>
      <c r="J1079" s="221"/>
      <c r="K1079" s="221"/>
      <c r="L1079" s="221"/>
      <c r="M1079" s="221"/>
      <c r="N1079" s="221"/>
      <c r="O1079" s="225"/>
      <c r="P1079" s="118" t="s">
        <v>3789</v>
      </c>
      <c r="Q1079" s="16" t="s">
        <v>20</v>
      </c>
      <c r="R1079" s="17" t="s">
        <v>1994</v>
      </c>
      <c r="S1079" s="121"/>
      <c r="T1079" s="122" t="s">
        <v>3782</v>
      </c>
      <c r="U1079" s="22"/>
      <c r="V1079" s="123"/>
      <c r="W1079" s="122"/>
      <c r="X1079" s="221"/>
      <c r="Y1079" s="221"/>
      <c r="Z1079" s="221"/>
      <c r="AA1079" s="221"/>
      <c r="AB1079" s="223"/>
    </row>
    <row r="1080" spans="1:28" ht="17.100000000000001" customHeight="1" thickTop="1">
      <c r="A1080" s="226" t="s">
        <v>6171</v>
      </c>
      <c r="B1080" s="28">
        <v>45820</v>
      </c>
      <c r="C1080" s="25">
        <v>2113</v>
      </c>
      <c r="D1080" s="13" t="s">
        <v>1740</v>
      </c>
      <c r="E1080" s="228"/>
      <c r="F1080" s="109" t="s">
        <v>3790</v>
      </c>
      <c r="G1080" s="24"/>
      <c r="H1080" s="230">
        <v>4</v>
      </c>
      <c r="I1080" s="220">
        <v>403000</v>
      </c>
      <c r="J1080" s="220">
        <f>I1080*0.1</f>
        <v>40300</v>
      </c>
      <c r="K1080" s="220">
        <v>0</v>
      </c>
      <c r="L1080" s="220">
        <v>9070</v>
      </c>
      <c r="M1080" s="220">
        <v>13750</v>
      </c>
      <c r="N1080" s="220">
        <f>SUM(I1080:M1081)</f>
        <v>466120</v>
      </c>
      <c r="O1080" s="224"/>
      <c r="P1080" s="110" t="s">
        <v>3791</v>
      </c>
      <c r="Q1080" s="15" t="s">
        <v>19</v>
      </c>
      <c r="R1080" s="205"/>
      <c r="S1080" s="189"/>
      <c r="T1080" s="114"/>
      <c r="U1080" s="21"/>
      <c r="V1080" s="115">
        <v>45997</v>
      </c>
      <c r="W1080" s="116">
        <v>1279</v>
      </c>
      <c r="X1080" s="220">
        <v>410000</v>
      </c>
      <c r="Y1080" s="220">
        <f>X1080*0.1</f>
        <v>41000</v>
      </c>
      <c r="Z1080" s="220">
        <v>9070</v>
      </c>
      <c r="AA1080" s="220">
        <f>SUM(X1080:Z1080)</f>
        <v>460070</v>
      </c>
      <c r="AB1080" s="222">
        <v>46000</v>
      </c>
    </row>
    <row r="1081" spans="1:28" ht="17.100000000000001" customHeight="1" thickBot="1">
      <c r="A1081" s="227"/>
      <c r="B1081" s="27" t="s">
        <v>1918</v>
      </c>
      <c r="C1081" s="27">
        <v>35072</v>
      </c>
      <c r="D1081" s="14" t="s">
        <v>3792</v>
      </c>
      <c r="E1081" s="229"/>
      <c r="F1081" s="117" t="s">
        <v>3793</v>
      </c>
      <c r="G1081" s="26">
        <v>47194</v>
      </c>
      <c r="H1081" s="231"/>
      <c r="I1081" s="221"/>
      <c r="J1081" s="221"/>
      <c r="K1081" s="221"/>
      <c r="L1081" s="221"/>
      <c r="M1081" s="221"/>
      <c r="N1081" s="221"/>
      <c r="O1081" s="225"/>
      <c r="P1081" s="118" t="s">
        <v>3794</v>
      </c>
      <c r="Q1081" s="16" t="s">
        <v>20</v>
      </c>
      <c r="R1081" s="17" t="s">
        <v>3795</v>
      </c>
      <c r="S1081" s="121" t="s">
        <v>3796</v>
      </c>
      <c r="T1081" s="122"/>
      <c r="U1081" s="22"/>
      <c r="V1081" s="123" t="s">
        <v>2472</v>
      </c>
      <c r="W1081" s="122">
        <v>60121</v>
      </c>
      <c r="X1081" s="221"/>
      <c r="Y1081" s="221"/>
      <c r="Z1081" s="221"/>
      <c r="AA1081" s="221"/>
      <c r="AB1081" s="223"/>
    </row>
    <row r="1082" spans="1:28" ht="17.100000000000001" customHeight="1" thickTop="1">
      <c r="A1082" s="226" t="s">
        <v>6172</v>
      </c>
      <c r="B1082" s="28">
        <v>45822</v>
      </c>
      <c r="C1082" s="25">
        <v>1255</v>
      </c>
      <c r="D1082" s="13" t="s">
        <v>1746</v>
      </c>
      <c r="E1082" s="228"/>
      <c r="F1082" s="109" t="s">
        <v>3797</v>
      </c>
      <c r="G1082" s="24" t="s">
        <v>3798</v>
      </c>
      <c r="H1082" s="230">
        <v>4.5</v>
      </c>
      <c r="I1082" s="220">
        <v>700000</v>
      </c>
      <c r="J1082" s="220">
        <f>I1082*0.1</f>
        <v>70000</v>
      </c>
      <c r="K1082" s="220">
        <f>29600+2960</f>
        <v>32560</v>
      </c>
      <c r="L1082" s="220">
        <v>17490</v>
      </c>
      <c r="M1082" s="220">
        <v>16500</v>
      </c>
      <c r="N1082" s="220">
        <f>SUM(I1082:M1083)</f>
        <v>836550</v>
      </c>
      <c r="O1082" s="224"/>
      <c r="P1082" s="110" t="s">
        <v>3799</v>
      </c>
      <c r="Q1082" s="15" t="s">
        <v>19</v>
      </c>
      <c r="R1082" s="205"/>
      <c r="S1082" s="189" t="s">
        <v>25430</v>
      </c>
      <c r="T1082" s="114"/>
      <c r="U1082" s="21" t="s">
        <v>3800</v>
      </c>
      <c r="V1082" s="115">
        <v>46011</v>
      </c>
      <c r="W1082" s="116">
        <v>1281</v>
      </c>
      <c r="X1082" s="220">
        <v>750000</v>
      </c>
      <c r="Y1082" s="220">
        <f>X1082*0.1</f>
        <v>75000</v>
      </c>
      <c r="Z1082" s="220">
        <v>17490</v>
      </c>
      <c r="AA1082" s="220">
        <f>SUM(X1082:Z1082)</f>
        <v>842490</v>
      </c>
      <c r="AB1082" s="222">
        <v>46014</v>
      </c>
    </row>
    <row r="1083" spans="1:28" ht="17.100000000000001" customHeight="1" thickBot="1">
      <c r="A1083" s="227"/>
      <c r="B1083" s="27" t="s">
        <v>2472</v>
      </c>
      <c r="C1083" s="27">
        <v>81089</v>
      </c>
      <c r="D1083" s="14" t="s">
        <v>1568</v>
      </c>
      <c r="E1083" s="229"/>
      <c r="F1083" s="117" t="s">
        <v>3801</v>
      </c>
      <c r="G1083" s="26">
        <v>58420</v>
      </c>
      <c r="H1083" s="231"/>
      <c r="I1083" s="221"/>
      <c r="J1083" s="221"/>
      <c r="K1083" s="221"/>
      <c r="L1083" s="221"/>
      <c r="M1083" s="221"/>
      <c r="N1083" s="221"/>
      <c r="O1083" s="225"/>
      <c r="P1083" s="118" t="s">
        <v>3802</v>
      </c>
      <c r="Q1083" s="16" t="s">
        <v>20</v>
      </c>
      <c r="R1083" s="17" t="s">
        <v>3803</v>
      </c>
      <c r="S1083" s="121" t="s">
        <v>3804</v>
      </c>
      <c r="T1083" s="128"/>
      <c r="U1083" s="22"/>
      <c r="V1083" s="123" t="s">
        <v>2472</v>
      </c>
      <c r="W1083" s="122">
        <v>80073</v>
      </c>
      <c r="X1083" s="221"/>
      <c r="Y1083" s="221"/>
      <c r="Z1083" s="221"/>
      <c r="AA1083" s="221"/>
      <c r="AB1083" s="223"/>
    </row>
    <row r="1084" spans="1:28" ht="17.100000000000001" customHeight="1" thickTop="1">
      <c r="A1084" s="226" t="s">
        <v>6173</v>
      </c>
      <c r="B1084" s="28">
        <v>45821</v>
      </c>
      <c r="C1084" s="25"/>
      <c r="D1084" s="13" t="s">
        <v>2267</v>
      </c>
      <c r="E1084" s="228"/>
      <c r="F1084" s="109" t="s">
        <v>1975</v>
      </c>
      <c r="G1084" s="24" t="s">
        <v>3805</v>
      </c>
      <c r="H1084" s="230"/>
      <c r="I1084" s="220">
        <v>5900000</v>
      </c>
      <c r="J1084" s="220">
        <v>0</v>
      </c>
      <c r="K1084" s="220">
        <v>0</v>
      </c>
      <c r="L1084" s="220">
        <v>0</v>
      </c>
      <c r="M1084" s="220">
        <v>0</v>
      </c>
      <c r="N1084" s="220">
        <f>SUM(I1084:M1085)</f>
        <v>5900000</v>
      </c>
      <c r="O1084" s="224"/>
      <c r="P1084" s="110" t="s">
        <v>3806</v>
      </c>
      <c r="Q1084" s="15" t="s">
        <v>19</v>
      </c>
      <c r="R1084" s="205"/>
      <c r="S1084" s="189"/>
      <c r="T1084" s="114"/>
      <c r="U1084" s="21"/>
      <c r="V1084" s="115"/>
      <c r="W1084" s="116"/>
      <c r="X1084" s="220"/>
      <c r="Y1084" s="220">
        <f>X1084*0.1</f>
        <v>0</v>
      </c>
      <c r="Z1084" s="220"/>
      <c r="AA1084" s="220">
        <f>SUM(X1084:Z1084)</f>
        <v>0</v>
      </c>
      <c r="AB1084" s="222"/>
    </row>
    <row r="1085" spans="1:28" ht="17.100000000000001" customHeight="1" thickBot="1">
      <c r="A1085" s="227"/>
      <c r="B1085" s="27" t="s">
        <v>3807</v>
      </c>
      <c r="C1085" s="27"/>
      <c r="D1085" s="14" t="s">
        <v>273</v>
      </c>
      <c r="E1085" s="229"/>
      <c r="F1085" s="117" t="s">
        <v>3808</v>
      </c>
      <c r="G1085" s="26">
        <v>43800</v>
      </c>
      <c r="H1085" s="231"/>
      <c r="I1085" s="221"/>
      <c r="J1085" s="221"/>
      <c r="K1085" s="221"/>
      <c r="L1085" s="221"/>
      <c r="M1085" s="221"/>
      <c r="N1085" s="221"/>
      <c r="O1085" s="225"/>
      <c r="P1085" s="118" t="s">
        <v>3204</v>
      </c>
      <c r="Q1085" s="16" t="s">
        <v>20</v>
      </c>
      <c r="R1085" s="17" t="s">
        <v>2716</v>
      </c>
      <c r="S1085" s="121" t="s">
        <v>3809</v>
      </c>
      <c r="T1085" s="122"/>
      <c r="U1085" s="22"/>
      <c r="V1085" s="123"/>
      <c r="W1085" s="122"/>
      <c r="X1085" s="221"/>
      <c r="Y1085" s="221"/>
      <c r="Z1085" s="221"/>
      <c r="AA1085" s="221"/>
      <c r="AB1085" s="223"/>
    </row>
    <row r="1086" spans="1:28" ht="17.100000000000001" customHeight="1" thickTop="1">
      <c r="A1086" s="226" t="s">
        <v>6174</v>
      </c>
      <c r="B1086" s="28">
        <v>45822</v>
      </c>
      <c r="C1086" s="25"/>
      <c r="D1086" s="13" t="s">
        <v>1883</v>
      </c>
      <c r="E1086" s="228"/>
      <c r="F1086" s="109" t="s">
        <v>2278</v>
      </c>
      <c r="G1086" s="24" t="s">
        <v>3810</v>
      </c>
      <c r="H1086" s="230"/>
      <c r="I1086" s="220">
        <v>3000000</v>
      </c>
      <c r="J1086" s="220">
        <v>0</v>
      </c>
      <c r="K1086" s="220">
        <v>26300</v>
      </c>
      <c r="L1086" s="220">
        <v>0</v>
      </c>
      <c r="M1086" s="220">
        <v>0</v>
      </c>
      <c r="N1086" s="220">
        <f>SUM(I1086:M1087)</f>
        <v>3026300</v>
      </c>
      <c r="O1086" s="224"/>
      <c r="P1086" s="110" t="s">
        <v>3811</v>
      </c>
      <c r="Q1086" s="15" t="s">
        <v>19</v>
      </c>
      <c r="R1086" s="205"/>
      <c r="S1086" s="189"/>
      <c r="T1086" s="114"/>
      <c r="U1086" s="21" t="s">
        <v>3812</v>
      </c>
      <c r="V1086" s="115">
        <v>46269</v>
      </c>
      <c r="W1086" s="116"/>
      <c r="X1086" s="220">
        <v>3832500</v>
      </c>
      <c r="Y1086" s="220">
        <v>0</v>
      </c>
      <c r="Z1086" s="220">
        <v>0</v>
      </c>
      <c r="AA1086" s="220">
        <f>SUM(X1086:Z1086)</f>
        <v>3832500</v>
      </c>
      <c r="AB1086" s="222">
        <v>46335</v>
      </c>
    </row>
    <row r="1087" spans="1:28" ht="17.100000000000001" customHeight="1" thickBot="1">
      <c r="A1087" s="227"/>
      <c r="B1087" s="27" t="s">
        <v>3813</v>
      </c>
      <c r="C1087" s="27"/>
      <c r="D1087" s="14"/>
      <c r="E1087" s="229"/>
      <c r="F1087" s="117" t="s">
        <v>3814</v>
      </c>
      <c r="G1087" s="26"/>
      <c r="H1087" s="231"/>
      <c r="I1087" s="221"/>
      <c r="J1087" s="221"/>
      <c r="K1087" s="221"/>
      <c r="L1087" s="221"/>
      <c r="M1087" s="221"/>
      <c r="N1087" s="221"/>
      <c r="O1087" s="225"/>
      <c r="P1087" s="118" t="s">
        <v>3815</v>
      </c>
      <c r="Q1087" s="16" t="s">
        <v>20</v>
      </c>
      <c r="R1087" s="17" t="s">
        <v>3816</v>
      </c>
      <c r="S1087" s="121" t="s">
        <v>2405</v>
      </c>
      <c r="T1087" s="122"/>
      <c r="U1087" s="22"/>
      <c r="V1087" s="123" t="s">
        <v>15089</v>
      </c>
      <c r="W1087" s="122"/>
      <c r="X1087" s="221"/>
      <c r="Y1087" s="221"/>
      <c r="Z1087" s="221"/>
      <c r="AA1087" s="221"/>
      <c r="AB1087" s="223"/>
    </row>
    <row r="1088" spans="1:28" ht="17.100000000000001" customHeight="1" thickTop="1">
      <c r="A1088" s="226" t="s">
        <v>6175</v>
      </c>
      <c r="B1088" s="28">
        <v>45825</v>
      </c>
      <c r="C1088" s="25">
        <v>1049</v>
      </c>
      <c r="D1088" s="13" t="s">
        <v>1676</v>
      </c>
      <c r="E1088" s="228"/>
      <c r="F1088" s="109" t="s">
        <v>3817</v>
      </c>
      <c r="G1088" s="24"/>
      <c r="H1088" s="230">
        <v>4.5</v>
      </c>
      <c r="I1088" s="220">
        <v>900000</v>
      </c>
      <c r="J1088" s="220">
        <f>I1088*0.1</f>
        <v>90000</v>
      </c>
      <c r="K1088" s="220">
        <v>0</v>
      </c>
      <c r="L1088" s="220">
        <v>22640</v>
      </c>
      <c r="M1088" s="220">
        <v>16500</v>
      </c>
      <c r="N1088" s="220">
        <f>SUM(I1088:M1089)</f>
        <v>1029140</v>
      </c>
      <c r="O1088" s="224"/>
      <c r="P1088" s="110" t="s">
        <v>3818</v>
      </c>
      <c r="Q1088" s="15" t="s">
        <v>19</v>
      </c>
      <c r="R1088" s="205"/>
      <c r="S1088" s="189" t="s">
        <v>25429</v>
      </c>
      <c r="T1088" s="114"/>
      <c r="U1088" s="21"/>
      <c r="V1088" s="115"/>
      <c r="W1088" s="116"/>
      <c r="X1088" s="220"/>
      <c r="Y1088" s="220">
        <f>X1088*0.1</f>
        <v>0</v>
      </c>
      <c r="Z1088" s="220"/>
      <c r="AA1088" s="220">
        <f>SUM(X1088:Z1088)</f>
        <v>0</v>
      </c>
      <c r="AB1088" s="222"/>
    </row>
    <row r="1089" spans="1:28" ht="17.100000000000001" customHeight="1" thickBot="1">
      <c r="A1089" s="227"/>
      <c r="B1089" s="27" t="s">
        <v>1583</v>
      </c>
      <c r="C1089" s="27">
        <v>82105</v>
      </c>
      <c r="D1089" s="14" t="s">
        <v>1584</v>
      </c>
      <c r="E1089" s="229"/>
      <c r="F1089" s="117" t="s">
        <v>3819</v>
      </c>
      <c r="G1089" s="26">
        <v>42459</v>
      </c>
      <c r="H1089" s="231"/>
      <c r="I1089" s="221"/>
      <c r="J1089" s="221"/>
      <c r="K1089" s="221"/>
      <c r="L1089" s="221"/>
      <c r="M1089" s="221"/>
      <c r="N1089" s="221"/>
      <c r="O1089" s="225"/>
      <c r="P1089" s="118" t="s">
        <v>3820</v>
      </c>
      <c r="Q1089" s="16" t="s">
        <v>20</v>
      </c>
      <c r="R1089" s="17" t="s">
        <v>2770</v>
      </c>
      <c r="S1089" s="121" t="s">
        <v>3071</v>
      </c>
      <c r="T1089" s="122" t="s">
        <v>3821</v>
      </c>
      <c r="U1089" s="22"/>
      <c r="V1089" s="123"/>
      <c r="W1089" s="122"/>
      <c r="X1089" s="221"/>
      <c r="Y1089" s="221"/>
      <c r="Z1089" s="221"/>
      <c r="AA1089" s="221"/>
      <c r="AB1089" s="223"/>
    </row>
    <row r="1090" spans="1:28" ht="17.100000000000001" customHeight="1" thickTop="1">
      <c r="A1090" s="226" t="s">
        <v>6176</v>
      </c>
      <c r="B1090" s="28">
        <v>45827</v>
      </c>
      <c r="C1090" s="25">
        <v>1938</v>
      </c>
      <c r="D1090" s="13" t="s">
        <v>1578</v>
      </c>
      <c r="E1090" s="228"/>
      <c r="F1090" s="109" t="s">
        <v>3822</v>
      </c>
      <c r="G1090" s="24"/>
      <c r="H1090" s="230">
        <v>5</v>
      </c>
      <c r="I1090" s="220">
        <v>772000</v>
      </c>
      <c r="J1090" s="220">
        <f>I1090*0.1</f>
        <v>77200</v>
      </c>
      <c r="K1090" s="220">
        <v>0</v>
      </c>
      <c r="L1090" s="220">
        <v>8400</v>
      </c>
      <c r="M1090" s="220">
        <v>14850</v>
      </c>
      <c r="N1090" s="220">
        <f>SUM(I1090:M1091)</f>
        <v>872450</v>
      </c>
      <c r="O1090" s="224"/>
      <c r="P1090" s="110" t="s">
        <v>3823</v>
      </c>
      <c r="Q1090" s="15" t="s">
        <v>19</v>
      </c>
      <c r="R1090" s="205"/>
      <c r="S1090" s="189" t="s">
        <v>25431</v>
      </c>
      <c r="T1090" s="114"/>
      <c r="U1090" s="21"/>
      <c r="V1090" s="115">
        <v>45927</v>
      </c>
      <c r="W1090" s="116">
        <v>1269</v>
      </c>
      <c r="X1090" s="220">
        <v>875000</v>
      </c>
      <c r="Y1090" s="220">
        <f>X1090*0.1</f>
        <v>87500</v>
      </c>
      <c r="Z1090" s="220">
        <v>8400</v>
      </c>
      <c r="AA1090" s="220">
        <f>SUM(X1090:Z1090)</f>
        <v>970900</v>
      </c>
      <c r="AB1090" s="222">
        <v>45937</v>
      </c>
    </row>
    <row r="1091" spans="1:28" ht="17.100000000000001" customHeight="1" thickBot="1">
      <c r="A1091" s="227"/>
      <c r="B1091" s="27" t="s">
        <v>3730</v>
      </c>
      <c r="C1091" s="27">
        <v>3542</v>
      </c>
      <c r="D1091" s="14" t="s">
        <v>1548</v>
      </c>
      <c r="E1091" s="229"/>
      <c r="F1091" s="117" t="s">
        <v>3825</v>
      </c>
      <c r="G1091" s="26">
        <v>23440</v>
      </c>
      <c r="H1091" s="231"/>
      <c r="I1091" s="221"/>
      <c r="J1091" s="221"/>
      <c r="K1091" s="221"/>
      <c r="L1091" s="221"/>
      <c r="M1091" s="221"/>
      <c r="N1091" s="221"/>
      <c r="O1091" s="225"/>
      <c r="P1091" s="118" t="s">
        <v>3826</v>
      </c>
      <c r="Q1091" s="16" t="s">
        <v>20</v>
      </c>
      <c r="R1091" s="17" t="s">
        <v>3827</v>
      </c>
      <c r="S1091" s="121" t="s">
        <v>3828</v>
      </c>
      <c r="T1091" s="122"/>
      <c r="U1091" s="22"/>
      <c r="V1091" s="123" t="s">
        <v>6641</v>
      </c>
      <c r="W1091" s="122">
        <v>60420</v>
      </c>
      <c r="X1091" s="221"/>
      <c r="Y1091" s="221"/>
      <c r="Z1091" s="221"/>
      <c r="AA1091" s="221"/>
      <c r="AB1091" s="223"/>
    </row>
    <row r="1092" spans="1:28" ht="17.100000000000001" customHeight="1" thickTop="1">
      <c r="A1092" s="226" t="s">
        <v>6177</v>
      </c>
      <c r="B1092" s="28">
        <v>45827</v>
      </c>
      <c r="C1092" s="25">
        <v>1982</v>
      </c>
      <c r="D1092" s="13" t="s">
        <v>1553</v>
      </c>
      <c r="E1092" s="228"/>
      <c r="F1092" s="109" t="s">
        <v>3829</v>
      </c>
      <c r="G1092" s="24" t="s">
        <v>3830</v>
      </c>
      <c r="H1092" s="230">
        <v>3.5</v>
      </c>
      <c r="I1092" s="220">
        <v>1050000</v>
      </c>
      <c r="J1092" s="220">
        <f>I1092*0.1</f>
        <v>105000</v>
      </c>
      <c r="K1092" s="220">
        <v>0</v>
      </c>
      <c r="L1092" s="220">
        <v>9010</v>
      </c>
      <c r="M1092" s="220">
        <v>22000</v>
      </c>
      <c r="N1092" s="220">
        <f>SUM(I1092:M1093)</f>
        <v>1186010</v>
      </c>
      <c r="O1092" s="224"/>
      <c r="P1092" s="110" t="s">
        <v>3831</v>
      </c>
      <c r="Q1092" s="15" t="s">
        <v>19</v>
      </c>
      <c r="R1092" s="205"/>
      <c r="S1092" s="189" t="s">
        <v>25432</v>
      </c>
      <c r="T1092" s="114"/>
      <c r="U1092" s="21" t="s">
        <v>3833</v>
      </c>
      <c r="V1092" s="115">
        <v>45938</v>
      </c>
      <c r="W1092" s="116">
        <v>987</v>
      </c>
      <c r="X1092" s="220">
        <v>1120000</v>
      </c>
      <c r="Y1092" s="220">
        <f>X1092*0.1</f>
        <v>112000</v>
      </c>
      <c r="Z1092" s="220">
        <v>9010</v>
      </c>
      <c r="AA1092" s="220">
        <f>SUM(X1092:Z1092)</f>
        <v>1241010</v>
      </c>
      <c r="AB1092" s="222">
        <v>45944</v>
      </c>
    </row>
    <row r="1093" spans="1:28" ht="17.100000000000001" customHeight="1" thickBot="1">
      <c r="A1093" s="227"/>
      <c r="B1093" s="27" t="s">
        <v>2171</v>
      </c>
      <c r="C1093" s="27">
        <v>50181</v>
      </c>
      <c r="D1093" s="14" t="s">
        <v>1797</v>
      </c>
      <c r="E1093" s="229"/>
      <c r="F1093" s="117" t="s">
        <v>3834</v>
      </c>
      <c r="G1093" s="26">
        <v>63591</v>
      </c>
      <c r="H1093" s="231"/>
      <c r="I1093" s="221"/>
      <c r="J1093" s="221"/>
      <c r="K1093" s="221"/>
      <c r="L1093" s="221"/>
      <c r="M1093" s="221"/>
      <c r="N1093" s="221"/>
      <c r="O1093" s="225"/>
      <c r="P1093" s="118" t="s">
        <v>3835</v>
      </c>
      <c r="Q1093" s="16" t="s">
        <v>20</v>
      </c>
      <c r="R1093" s="17" t="s">
        <v>3827</v>
      </c>
      <c r="S1093" s="121" t="s">
        <v>3832</v>
      </c>
      <c r="T1093" s="122" t="s">
        <v>3836</v>
      </c>
      <c r="U1093" s="22"/>
      <c r="V1093" s="123" t="s">
        <v>2747</v>
      </c>
      <c r="W1093" s="122">
        <v>2020</v>
      </c>
      <c r="X1093" s="221"/>
      <c r="Y1093" s="221"/>
      <c r="Z1093" s="221"/>
      <c r="AA1093" s="221"/>
      <c r="AB1093" s="223"/>
    </row>
    <row r="1094" spans="1:28" ht="17.100000000000001" customHeight="1" thickTop="1">
      <c r="A1094" s="226" t="s">
        <v>6178</v>
      </c>
      <c r="B1094" s="28">
        <v>45828</v>
      </c>
      <c r="C1094" s="25"/>
      <c r="D1094" s="13" t="s">
        <v>2010</v>
      </c>
      <c r="E1094" s="228"/>
      <c r="F1094" s="109" t="s">
        <v>3837</v>
      </c>
      <c r="G1094" s="24"/>
      <c r="H1094" s="232" t="s">
        <v>3838</v>
      </c>
      <c r="I1094" s="220">
        <f>346500/1.1</f>
        <v>315000</v>
      </c>
      <c r="J1094" s="220">
        <f>I1094*0.1</f>
        <v>31500</v>
      </c>
      <c r="K1094" s="220">
        <v>0</v>
      </c>
      <c r="L1094" s="220">
        <v>0</v>
      </c>
      <c r="M1094" s="220">
        <v>44291</v>
      </c>
      <c r="N1094" s="220">
        <f>SUM(I1094:M1095)</f>
        <v>390791</v>
      </c>
      <c r="O1094" s="224"/>
      <c r="P1094" s="110" t="s">
        <v>3839</v>
      </c>
      <c r="Q1094" s="15" t="s">
        <v>19</v>
      </c>
      <c r="R1094" s="205"/>
      <c r="S1094" s="189"/>
      <c r="T1094" s="114"/>
      <c r="U1094" s="85" t="s">
        <v>3840</v>
      </c>
      <c r="V1094" s="115">
        <v>46050</v>
      </c>
      <c r="W1094" s="116">
        <v>1002</v>
      </c>
      <c r="X1094" s="220">
        <v>325000</v>
      </c>
      <c r="Y1094" s="220">
        <f>X1094*0.1</f>
        <v>32500</v>
      </c>
      <c r="Z1094" s="220">
        <v>0</v>
      </c>
      <c r="AA1094" s="220">
        <f>SUM(X1094:Z1094)</f>
        <v>357500</v>
      </c>
      <c r="AB1094" s="222"/>
    </row>
    <row r="1095" spans="1:28" ht="17.100000000000001" customHeight="1" thickBot="1">
      <c r="A1095" s="227"/>
      <c r="B1095" s="27" t="s">
        <v>1708</v>
      </c>
      <c r="C1095" s="27" t="s">
        <v>3841</v>
      </c>
      <c r="D1095" s="14" t="s">
        <v>2177</v>
      </c>
      <c r="E1095" s="229"/>
      <c r="F1095" s="117" t="s">
        <v>3842</v>
      </c>
      <c r="G1095" s="26">
        <v>1015</v>
      </c>
      <c r="H1095" s="231"/>
      <c r="I1095" s="221"/>
      <c r="J1095" s="221"/>
      <c r="K1095" s="221"/>
      <c r="L1095" s="221"/>
      <c r="M1095" s="221"/>
      <c r="N1095" s="221"/>
      <c r="O1095" s="225"/>
      <c r="P1095" s="118" t="s">
        <v>3843</v>
      </c>
      <c r="Q1095" s="16" t="s">
        <v>20</v>
      </c>
      <c r="R1095" s="17" t="s">
        <v>2470</v>
      </c>
      <c r="S1095" s="121" t="s">
        <v>1680</v>
      </c>
      <c r="T1095" s="122"/>
      <c r="U1095" s="22"/>
      <c r="V1095" s="123" t="s">
        <v>2747</v>
      </c>
      <c r="W1095" s="122">
        <v>89017</v>
      </c>
      <c r="X1095" s="221"/>
      <c r="Y1095" s="221"/>
      <c r="Z1095" s="221"/>
      <c r="AA1095" s="221"/>
      <c r="AB1095" s="223"/>
    </row>
    <row r="1096" spans="1:28" ht="17.100000000000001" customHeight="1" thickTop="1">
      <c r="A1096" s="226" t="s">
        <v>6179</v>
      </c>
      <c r="B1096" s="28">
        <v>45828</v>
      </c>
      <c r="C1096" s="25">
        <v>1374</v>
      </c>
      <c r="D1096" s="13" t="s">
        <v>2712</v>
      </c>
      <c r="E1096" s="228"/>
      <c r="F1096" s="109" t="s">
        <v>3844</v>
      </c>
      <c r="G1096" s="24" t="s">
        <v>3845</v>
      </c>
      <c r="H1096" s="232" t="s">
        <v>1705</v>
      </c>
      <c r="I1096" s="220">
        <v>300000</v>
      </c>
      <c r="J1096" s="220">
        <f>I1096*0.1</f>
        <v>30000</v>
      </c>
      <c r="K1096" s="220">
        <v>0</v>
      </c>
      <c r="L1096" s="220">
        <v>7950</v>
      </c>
      <c r="M1096" s="220">
        <v>13200</v>
      </c>
      <c r="N1096" s="220">
        <f>SUM(I1096:M1097)</f>
        <v>351150</v>
      </c>
      <c r="O1096" s="224"/>
      <c r="P1096" s="110" t="s">
        <v>3846</v>
      </c>
      <c r="Q1096" s="15" t="s">
        <v>19</v>
      </c>
      <c r="R1096" s="205"/>
      <c r="S1096" s="189"/>
      <c r="T1096" s="114"/>
      <c r="U1096" s="21"/>
      <c r="V1096" s="115">
        <v>46074</v>
      </c>
      <c r="W1096" s="116">
        <v>1289</v>
      </c>
      <c r="X1096" s="220">
        <v>290000</v>
      </c>
      <c r="Y1096" s="220">
        <f>X1096*0.1</f>
        <v>29000</v>
      </c>
      <c r="Z1096" s="220">
        <v>7950</v>
      </c>
      <c r="AA1096" s="220">
        <f>SUM(X1096:Z1096)</f>
        <v>326950</v>
      </c>
      <c r="AB1096" s="222">
        <v>46077</v>
      </c>
    </row>
    <row r="1097" spans="1:28" ht="17.100000000000001" customHeight="1" thickBot="1">
      <c r="A1097" s="227"/>
      <c r="B1097" s="27" t="s">
        <v>2597</v>
      </c>
      <c r="C1097" s="27">
        <v>2033</v>
      </c>
      <c r="D1097" s="14" t="s">
        <v>898</v>
      </c>
      <c r="E1097" s="229"/>
      <c r="F1097" s="117" t="s">
        <v>3847</v>
      </c>
      <c r="G1097" s="26">
        <v>57298</v>
      </c>
      <c r="H1097" s="231"/>
      <c r="I1097" s="221"/>
      <c r="J1097" s="221"/>
      <c r="K1097" s="221"/>
      <c r="L1097" s="221"/>
      <c r="M1097" s="221"/>
      <c r="N1097" s="221"/>
      <c r="O1097" s="225"/>
      <c r="P1097" s="118" t="s">
        <v>3848</v>
      </c>
      <c r="Q1097" s="16" t="s">
        <v>20</v>
      </c>
      <c r="R1097" s="17" t="s">
        <v>3827</v>
      </c>
      <c r="S1097" s="121" t="s">
        <v>3849</v>
      </c>
      <c r="T1097" s="122"/>
      <c r="U1097" s="22" t="s">
        <v>50</v>
      </c>
      <c r="V1097" s="123" t="s">
        <v>2472</v>
      </c>
      <c r="W1097" s="122">
        <v>60099</v>
      </c>
      <c r="X1097" s="221"/>
      <c r="Y1097" s="221"/>
      <c r="Z1097" s="221"/>
      <c r="AA1097" s="221"/>
      <c r="AB1097" s="223"/>
    </row>
    <row r="1098" spans="1:28" ht="17.100000000000001" customHeight="1" thickTop="1">
      <c r="A1098" s="233" t="s">
        <v>6180</v>
      </c>
      <c r="B1098" s="28">
        <v>45828</v>
      </c>
      <c r="C1098" s="25">
        <v>1374</v>
      </c>
      <c r="D1098" s="13" t="s">
        <v>3850</v>
      </c>
      <c r="E1098" s="228"/>
      <c r="F1098" s="109" t="s">
        <v>3851</v>
      </c>
      <c r="G1098" s="24" t="s">
        <v>3852</v>
      </c>
      <c r="H1098" s="230">
        <v>4</v>
      </c>
      <c r="I1098" s="220">
        <v>354000</v>
      </c>
      <c r="J1098" s="220">
        <f>I1098*0.1</f>
        <v>35400</v>
      </c>
      <c r="K1098" s="220">
        <v>0</v>
      </c>
      <c r="L1098" s="220">
        <v>8670</v>
      </c>
      <c r="M1098" s="220">
        <v>13200</v>
      </c>
      <c r="N1098" s="220">
        <f>SUM(I1098:M1099)</f>
        <v>411270</v>
      </c>
      <c r="O1098" s="224"/>
      <c r="P1098" s="110" t="s">
        <v>3853</v>
      </c>
      <c r="Q1098" s="15" t="s">
        <v>19</v>
      </c>
      <c r="R1098" s="205"/>
      <c r="S1098" s="189" t="s">
        <v>1361</v>
      </c>
      <c r="T1098" s="114"/>
      <c r="U1098" s="21" t="s">
        <v>3854</v>
      </c>
      <c r="V1098" s="115">
        <v>46032</v>
      </c>
      <c r="W1098" s="116">
        <v>1283</v>
      </c>
      <c r="X1098" s="220">
        <v>390000</v>
      </c>
      <c r="Y1098" s="220">
        <f>X1098*0.1</f>
        <v>39000</v>
      </c>
      <c r="Z1098" s="220">
        <v>8670</v>
      </c>
      <c r="AA1098" s="220">
        <f>SUM(X1098:Z1098)</f>
        <v>437670</v>
      </c>
      <c r="AB1098" s="222">
        <v>46036</v>
      </c>
    </row>
    <row r="1099" spans="1:28" ht="17.100000000000001" customHeight="1" thickBot="1">
      <c r="A1099" s="234"/>
      <c r="B1099" s="27" t="s">
        <v>2597</v>
      </c>
      <c r="C1099" s="27">
        <v>3202</v>
      </c>
      <c r="D1099" s="14" t="s">
        <v>1568</v>
      </c>
      <c r="E1099" s="229"/>
      <c r="F1099" s="117" t="s">
        <v>3855</v>
      </c>
      <c r="G1099" s="26">
        <v>45100</v>
      </c>
      <c r="H1099" s="231"/>
      <c r="I1099" s="221"/>
      <c r="J1099" s="221"/>
      <c r="K1099" s="221"/>
      <c r="L1099" s="221"/>
      <c r="M1099" s="221"/>
      <c r="N1099" s="221"/>
      <c r="O1099" s="225"/>
      <c r="P1099" s="118" t="s">
        <v>3856</v>
      </c>
      <c r="Q1099" s="16" t="s">
        <v>20</v>
      </c>
      <c r="R1099" s="17" t="s">
        <v>2776</v>
      </c>
      <c r="S1099" s="121" t="s">
        <v>1625</v>
      </c>
      <c r="T1099" s="122" t="s">
        <v>3666</v>
      </c>
      <c r="U1099" s="22"/>
      <c r="V1099" s="123" t="s">
        <v>2472</v>
      </c>
      <c r="W1099" s="122">
        <v>60307</v>
      </c>
      <c r="X1099" s="221"/>
      <c r="Y1099" s="221"/>
      <c r="Z1099" s="221"/>
      <c r="AA1099" s="221"/>
      <c r="AB1099" s="223"/>
    </row>
    <row r="1100" spans="1:28" ht="17.100000000000001" customHeight="1" thickTop="1">
      <c r="A1100" s="226" t="s">
        <v>6181</v>
      </c>
      <c r="B1100" s="28">
        <v>45829</v>
      </c>
      <c r="C1100" s="25">
        <v>1256</v>
      </c>
      <c r="D1100" s="13" t="s">
        <v>3857</v>
      </c>
      <c r="E1100" s="228"/>
      <c r="F1100" s="109" t="s">
        <v>3858</v>
      </c>
      <c r="G1100" s="24" t="s">
        <v>3859</v>
      </c>
      <c r="H1100" s="230">
        <v>4.5</v>
      </c>
      <c r="I1100" s="220">
        <v>1700000</v>
      </c>
      <c r="J1100" s="220">
        <f>I1100*0.1</f>
        <v>170000</v>
      </c>
      <c r="K1100" s="220">
        <v>32560</v>
      </c>
      <c r="L1100" s="220">
        <v>16240</v>
      </c>
      <c r="M1100" s="220">
        <v>23100</v>
      </c>
      <c r="N1100" s="220">
        <f>SUM(I1100:M1101)</f>
        <v>1941900</v>
      </c>
      <c r="O1100" s="224"/>
      <c r="P1100" s="110" t="s">
        <v>3860</v>
      </c>
      <c r="Q1100" s="15" t="s">
        <v>19</v>
      </c>
      <c r="R1100" s="205"/>
      <c r="S1100" s="189" t="s">
        <v>25433</v>
      </c>
      <c r="T1100" s="114"/>
      <c r="U1100" s="21" t="s">
        <v>3862</v>
      </c>
      <c r="V1100" s="115">
        <v>46301</v>
      </c>
      <c r="W1100" s="116"/>
      <c r="X1100" s="220">
        <v>2866000</v>
      </c>
      <c r="Y1100" s="220">
        <v>0</v>
      </c>
      <c r="Z1100" s="220">
        <v>0</v>
      </c>
      <c r="AA1100" s="220">
        <f>SUM(X1100:Z1100)</f>
        <v>2866000</v>
      </c>
      <c r="AB1100" s="222">
        <v>46351</v>
      </c>
    </row>
    <row r="1101" spans="1:28" ht="17.100000000000001" customHeight="1" thickBot="1">
      <c r="A1101" s="227"/>
      <c r="B1101" s="27" t="s">
        <v>2472</v>
      </c>
      <c r="C1101" s="27">
        <v>82565</v>
      </c>
      <c r="D1101" s="14" t="s">
        <v>273</v>
      </c>
      <c r="E1101" s="229"/>
      <c r="F1101" s="117" t="s">
        <v>3863</v>
      </c>
      <c r="G1101" s="26">
        <v>47906</v>
      </c>
      <c r="H1101" s="231"/>
      <c r="I1101" s="221"/>
      <c r="J1101" s="221"/>
      <c r="K1101" s="221"/>
      <c r="L1101" s="221"/>
      <c r="M1101" s="221"/>
      <c r="N1101" s="221"/>
      <c r="O1101" s="225"/>
      <c r="P1101" s="118" t="s">
        <v>3864</v>
      </c>
      <c r="Q1101" s="16" t="s">
        <v>20</v>
      </c>
      <c r="R1101" s="17" t="s">
        <v>3865</v>
      </c>
      <c r="S1101" s="121" t="s">
        <v>1731</v>
      </c>
      <c r="T1101" s="122"/>
      <c r="U1101" s="22"/>
      <c r="V1101" s="123" t="s">
        <v>15097</v>
      </c>
      <c r="W1101" s="122"/>
      <c r="X1101" s="221"/>
      <c r="Y1101" s="221"/>
      <c r="Z1101" s="221"/>
      <c r="AA1101" s="221"/>
      <c r="AB1101" s="223"/>
    </row>
    <row r="1102" spans="1:28" ht="17.100000000000001" customHeight="1" thickTop="1">
      <c r="A1102" s="226" t="s">
        <v>6182</v>
      </c>
      <c r="B1102" s="28">
        <v>45831</v>
      </c>
      <c r="C1102" s="25"/>
      <c r="D1102" s="13" t="s">
        <v>2766</v>
      </c>
      <c r="E1102" s="228"/>
      <c r="F1102" s="109" t="s">
        <v>3866</v>
      </c>
      <c r="G1102" s="24" t="s">
        <v>3867</v>
      </c>
      <c r="H1102" s="230"/>
      <c r="I1102" s="220">
        <v>23000000</v>
      </c>
      <c r="J1102" s="220">
        <v>0</v>
      </c>
      <c r="K1102" s="220">
        <v>0</v>
      </c>
      <c r="L1102" s="220">
        <v>0</v>
      </c>
      <c r="M1102" s="220">
        <v>0</v>
      </c>
      <c r="N1102" s="220">
        <f>SUM(I1102:M1103)</f>
        <v>23000000</v>
      </c>
      <c r="O1102" s="224"/>
      <c r="P1102" s="110" t="s">
        <v>3868</v>
      </c>
      <c r="Q1102" s="15" t="s">
        <v>19</v>
      </c>
      <c r="R1102" s="205"/>
      <c r="S1102" s="189"/>
      <c r="T1102" s="114"/>
      <c r="U1102" s="21" t="s">
        <v>3869</v>
      </c>
      <c r="V1102" s="115"/>
      <c r="W1102" s="116"/>
      <c r="X1102" s="220"/>
      <c r="Y1102" s="220">
        <f>X1102*0.1</f>
        <v>0</v>
      </c>
      <c r="Z1102" s="220"/>
      <c r="AA1102" s="220">
        <f>SUM(X1102:Z1102)</f>
        <v>0</v>
      </c>
      <c r="AB1102" s="222"/>
    </row>
    <row r="1103" spans="1:28" ht="17.100000000000001" customHeight="1" thickBot="1">
      <c r="A1103" s="227"/>
      <c r="B1103" s="27" t="s">
        <v>3870</v>
      </c>
      <c r="C1103" s="27"/>
      <c r="D1103" s="14"/>
      <c r="E1103" s="229"/>
      <c r="F1103" s="117" t="s">
        <v>3871</v>
      </c>
      <c r="G1103" s="26"/>
      <c r="H1103" s="231"/>
      <c r="I1103" s="221"/>
      <c r="J1103" s="221"/>
      <c r="K1103" s="221"/>
      <c r="L1103" s="221"/>
      <c r="M1103" s="221"/>
      <c r="N1103" s="221"/>
      <c r="O1103" s="225"/>
      <c r="P1103" s="118" t="s">
        <v>3872</v>
      </c>
      <c r="Q1103" s="16" t="s">
        <v>20</v>
      </c>
      <c r="R1103" s="17" t="s">
        <v>2421</v>
      </c>
      <c r="S1103" s="121"/>
      <c r="T1103" s="122"/>
      <c r="U1103" s="22"/>
      <c r="V1103" s="123"/>
      <c r="W1103" s="122"/>
      <c r="X1103" s="221"/>
      <c r="Y1103" s="221"/>
      <c r="Z1103" s="221"/>
      <c r="AA1103" s="221"/>
      <c r="AB1103" s="223"/>
    </row>
    <row r="1104" spans="1:28" ht="17.100000000000001" customHeight="1" thickTop="1">
      <c r="A1104" s="226" t="s">
        <v>6183</v>
      </c>
      <c r="B1104" s="28">
        <v>45831</v>
      </c>
      <c r="C1104" s="25"/>
      <c r="D1104" s="13" t="s">
        <v>3873</v>
      </c>
      <c r="E1104" s="228"/>
      <c r="F1104" s="109" t="s">
        <v>3874</v>
      </c>
      <c r="G1104" s="24" t="s">
        <v>3875</v>
      </c>
      <c r="H1104" s="232" t="s">
        <v>1705</v>
      </c>
      <c r="I1104" s="220">
        <f>698500/1.1</f>
        <v>635000</v>
      </c>
      <c r="J1104" s="220">
        <f>I1104*0.1</f>
        <v>63500</v>
      </c>
      <c r="K1104" s="220">
        <v>0</v>
      </c>
      <c r="L1104" s="220">
        <v>8570</v>
      </c>
      <c r="M1104" s="220">
        <v>89925</v>
      </c>
      <c r="N1104" s="220">
        <f>SUM(I1104:M1105)</f>
        <v>796995</v>
      </c>
      <c r="O1104" s="224"/>
      <c r="P1104" s="110" t="s">
        <v>3876</v>
      </c>
      <c r="Q1104" s="15" t="s">
        <v>19</v>
      </c>
      <c r="R1104" s="205"/>
      <c r="S1104" s="189" t="s">
        <v>25434</v>
      </c>
      <c r="T1104" s="114"/>
      <c r="U1104" s="21" t="s">
        <v>3877</v>
      </c>
      <c r="V1104" s="115">
        <v>45938</v>
      </c>
      <c r="W1104" s="116">
        <v>987</v>
      </c>
      <c r="X1104" s="220">
        <v>850000</v>
      </c>
      <c r="Y1104" s="220">
        <f>X1104*0.1</f>
        <v>85000</v>
      </c>
      <c r="Z1104" s="220">
        <v>8570</v>
      </c>
      <c r="AA1104" s="220">
        <f>SUM(X1104:Z1104)</f>
        <v>943570</v>
      </c>
      <c r="AB1104" s="222">
        <v>45944</v>
      </c>
    </row>
    <row r="1105" spans="1:28" ht="17.100000000000001" customHeight="1" thickBot="1">
      <c r="A1105" s="227"/>
      <c r="B1105" s="27" t="s">
        <v>1708</v>
      </c>
      <c r="C1105" s="27" t="s">
        <v>3878</v>
      </c>
      <c r="D1105" s="14" t="s">
        <v>1568</v>
      </c>
      <c r="E1105" s="229"/>
      <c r="F1105" s="117" t="s">
        <v>3879</v>
      </c>
      <c r="G1105" s="26">
        <v>79074</v>
      </c>
      <c r="H1105" s="231"/>
      <c r="I1105" s="221"/>
      <c r="J1105" s="221"/>
      <c r="K1105" s="221"/>
      <c r="L1105" s="221"/>
      <c r="M1105" s="221"/>
      <c r="N1105" s="221"/>
      <c r="O1105" s="225"/>
      <c r="P1105" s="118" t="s">
        <v>3880</v>
      </c>
      <c r="Q1105" s="16" t="s">
        <v>20</v>
      </c>
      <c r="R1105" s="17" t="s">
        <v>2441</v>
      </c>
      <c r="S1105" s="121" t="s">
        <v>2711</v>
      </c>
      <c r="T1105" s="122"/>
      <c r="U1105" s="22"/>
      <c r="V1105" s="123" t="s">
        <v>2747</v>
      </c>
      <c r="W1105" s="122">
        <v>2017</v>
      </c>
      <c r="X1105" s="221"/>
      <c r="Y1105" s="221"/>
      <c r="Z1105" s="221"/>
      <c r="AA1105" s="221"/>
      <c r="AB1105" s="223"/>
    </row>
    <row r="1106" spans="1:28" ht="17.100000000000001" customHeight="1" thickTop="1">
      <c r="A1106" s="226" t="s">
        <v>6184</v>
      </c>
      <c r="B1106" s="28">
        <v>45832</v>
      </c>
      <c r="C1106" s="25">
        <v>946</v>
      </c>
      <c r="D1106" s="13" t="s">
        <v>1578</v>
      </c>
      <c r="E1106" s="228"/>
      <c r="F1106" s="109" t="s">
        <v>3881</v>
      </c>
      <c r="G1106" s="24"/>
      <c r="H1106" s="230">
        <v>3.5</v>
      </c>
      <c r="I1106" s="220">
        <v>1089000</v>
      </c>
      <c r="J1106" s="220">
        <f>I1106*0.1</f>
        <v>108900</v>
      </c>
      <c r="K1106" s="220">
        <v>0</v>
      </c>
      <c r="L1106" s="220">
        <v>5870</v>
      </c>
      <c r="M1106" s="220">
        <v>22000</v>
      </c>
      <c r="N1106" s="220">
        <f>SUM(I1106:M1107)</f>
        <v>1225770</v>
      </c>
      <c r="O1106" s="224"/>
      <c r="P1106" s="110" t="s">
        <v>3882</v>
      </c>
      <c r="Q1106" s="15" t="s">
        <v>19</v>
      </c>
      <c r="R1106" s="205"/>
      <c r="S1106" s="189" t="s">
        <v>25435</v>
      </c>
      <c r="T1106" s="114"/>
      <c r="U1106" s="21"/>
      <c r="V1106" s="115">
        <v>45934</v>
      </c>
      <c r="W1106" s="116">
        <v>1270</v>
      </c>
      <c r="X1106" s="220">
        <v>1085000</v>
      </c>
      <c r="Y1106" s="220">
        <f>X1106*0.1</f>
        <v>108500</v>
      </c>
      <c r="Z1106" s="220">
        <v>5870</v>
      </c>
      <c r="AA1106" s="220">
        <f>SUM(X1106:Z1106)</f>
        <v>1199370</v>
      </c>
      <c r="AB1106" s="222">
        <v>45937</v>
      </c>
    </row>
    <row r="1107" spans="1:28" ht="17.100000000000001" customHeight="1" thickBot="1">
      <c r="A1107" s="227"/>
      <c r="B1107" s="27" t="s">
        <v>2029</v>
      </c>
      <c r="C1107" s="27">
        <v>163</v>
      </c>
      <c r="D1107" s="14" t="s">
        <v>1584</v>
      </c>
      <c r="E1107" s="229"/>
      <c r="F1107" s="117" t="s">
        <v>3883</v>
      </c>
      <c r="G1107" s="26">
        <v>41225</v>
      </c>
      <c r="H1107" s="231"/>
      <c r="I1107" s="221"/>
      <c r="J1107" s="221"/>
      <c r="K1107" s="221"/>
      <c r="L1107" s="221"/>
      <c r="M1107" s="221"/>
      <c r="N1107" s="221"/>
      <c r="O1107" s="225"/>
      <c r="P1107" s="118" t="s">
        <v>3884</v>
      </c>
      <c r="Q1107" s="16" t="s">
        <v>20</v>
      </c>
      <c r="R1107" s="17" t="s">
        <v>2491</v>
      </c>
      <c r="S1107" s="121"/>
      <c r="T1107" s="122"/>
      <c r="U1107" s="22"/>
      <c r="V1107" s="123" t="s">
        <v>7160</v>
      </c>
      <c r="W1107" s="122">
        <v>60206</v>
      </c>
      <c r="X1107" s="221"/>
      <c r="Y1107" s="221"/>
      <c r="Z1107" s="221"/>
      <c r="AA1107" s="221"/>
      <c r="AB1107" s="223"/>
    </row>
    <row r="1108" spans="1:28" ht="17.100000000000001" customHeight="1" thickTop="1">
      <c r="A1108" s="226" t="s">
        <v>6185</v>
      </c>
      <c r="B1108" s="28">
        <v>45833</v>
      </c>
      <c r="C1108" s="25">
        <v>1794</v>
      </c>
      <c r="D1108" s="13" t="s">
        <v>2267</v>
      </c>
      <c r="E1108" s="228"/>
      <c r="F1108" s="109" t="s">
        <v>3157</v>
      </c>
      <c r="G1108" s="24"/>
      <c r="H1108" s="230">
        <v>4.5</v>
      </c>
      <c r="I1108" s="220">
        <v>865000</v>
      </c>
      <c r="J1108" s="220">
        <f>I1108*0.1</f>
        <v>86500</v>
      </c>
      <c r="K1108" s="220">
        <v>0</v>
      </c>
      <c r="L1108" s="220">
        <v>17250</v>
      </c>
      <c r="M1108" s="220">
        <v>18150</v>
      </c>
      <c r="N1108" s="220">
        <f>SUM(I1108:M1109)</f>
        <v>986900</v>
      </c>
      <c r="O1108" s="224"/>
      <c r="P1108" s="110" t="s">
        <v>3885</v>
      </c>
      <c r="Q1108" s="15" t="s">
        <v>19</v>
      </c>
      <c r="R1108" s="205"/>
      <c r="S1108" s="189" t="s">
        <v>25436</v>
      </c>
      <c r="T1108" s="114"/>
      <c r="U1108" s="21"/>
      <c r="V1108" s="115">
        <v>46067</v>
      </c>
      <c r="W1108" s="116">
        <v>1288</v>
      </c>
      <c r="X1108" s="220">
        <v>920000</v>
      </c>
      <c r="Y1108" s="220">
        <f>X1108*0.1</f>
        <v>92000</v>
      </c>
      <c r="Z1108" s="220">
        <v>17250</v>
      </c>
      <c r="AA1108" s="220">
        <f>SUM(X1108:Z1108)</f>
        <v>1029250</v>
      </c>
      <c r="AB1108" s="222">
        <v>46071</v>
      </c>
    </row>
    <row r="1109" spans="1:28" ht="17.100000000000001" customHeight="1" thickBot="1">
      <c r="A1109" s="227"/>
      <c r="B1109" s="27" t="s">
        <v>2519</v>
      </c>
      <c r="C1109" s="27">
        <v>38084</v>
      </c>
      <c r="D1109" s="14" t="s">
        <v>1584</v>
      </c>
      <c r="E1109" s="229"/>
      <c r="F1109" s="117" t="s">
        <v>3886</v>
      </c>
      <c r="G1109" s="26">
        <v>24561</v>
      </c>
      <c r="H1109" s="231"/>
      <c r="I1109" s="221"/>
      <c r="J1109" s="221"/>
      <c r="K1109" s="221"/>
      <c r="L1109" s="221"/>
      <c r="M1109" s="221"/>
      <c r="N1109" s="221"/>
      <c r="O1109" s="225"/>
      <c r="P1109" s="118" t="s">
        <v>3887</v>
      </c>
      <c r="Q1109" s="16" t="s">
        <v>20</v>
      </c>
      <c r="R1109" s="17" t="s">
        <v>3865</v>
      </c>
      <c r="S1109" s="121" t="s">
        <v>1606</v>
      </c>
      <c r="T1109" s="122"/>
      <c r="U1109" s="22"/>
      <c r="V1109" s="123" t="s">
        <v>6641</v>
      </c>
      <c r="W1109" s="122">
        <v>80211</v>
      </c>
      <c r="X1109" s="221"/>
      <c r="Y1109" s="221"/>
      <c r="Z1109" s="221"/>
      <c r="AA1109" s="221"/>
      <c r="AB1109" s="223"/>
    </row>
    <row r="1110" spans="1:28" ht="17.100000000000001" customHeight="1" thickTop="1">
      <c r="A1110" s="226" t="s">
        <v>6186</v>
      </c>
      <c r="B1110" s="28">
        <v>45835</v>
      </c>
      <c r="C1110" s="25">
        <v>247</v>
      </c>
      <c r="D1110" s="13" t="s">
        <v>3385</v>
      </c>
      <c r="E1110" s="228"/>
      <c r="F1110" s="109" t="s">
        <v>3888</v>
      </c>
      <c r="G1110" s="24"/>
      <c r="H1110" s="230">
        <v>4</v>
      </c>
      <c r="I1110" s="220">
        <v>207000</v>
      </c>
      <c r="J1110" s="220">
        <f>I1110*0.1</f>
        <v>20700</v>
      </c>
      <c r="K1110" s="220">
        <v>0</v>
      </c>
      <c r="L1110" s="220">
        <v>9880</v>
      </c>
      <c r="M1110" s="220">
        <v>22000</v>
      </c>
      <c r="N1110" s="220">
        <f>SUM(I1110:M1111)</f>
        <v>259580</v>
      </c>
      <c r="O1110" s="224"/>
      <c r="P1110" s="110" t="s">
        <v>3889</v>
      </c>
      <c r="Q1110" s="15" t="s">
        <v>19</v>
      </c>
      <c r="R1110" s="205"/>
      <c r="S1110" s="189"/>
      <c r="T1110" s="114"/>
      <c r="U1110" s="21"/>
      <c r="V1110" s="115">
        <v>45941</v>
      </c>
      <c r="W1110" s="116">
        <v>1271</v>
      </c>
      <c r="X1110" s="220">
        <v>285000</v>
      </c>
      <c r="Y1110" s="220">
        <f>X1110*0.1</f>
        <v>28500</v>
      </c>
      <c r="Z1110" s="220">
        <v>9880</v>
      </c>
      <c r="AA1110" s="220">
        <f>SUM(X1110:Z1110)</f>
        <v>323380</v>
      </c>
      <c r="AB1110" s="222">
        <v>45945</v>
      </c>
    </row>
    <row r="1111" spans="1:28" ht="17.100000000000001" customHeight="1" thickBot="1">
      <c r="A1111" s="227"/>
      <c r="B1111" s="27" t="s">
        <v>3890</v>
      </c>
      <c r="C1111" s="27">
        <v>43</v>
      </c>
      <c r="D1111" s="14" t="s">
        <v>273</v>
      </c>
      <c r="E1111" s="229"/>
      <c r="F1111" s="117" t="s">
        <v>3891</v>
      </c>
      <c r="G1111" s="26">
        <v>64620</v>
      </c>
      <c r="H1111" s="231"/>
      <c r="I1111" s="221"/>
      <c r="J1111" s="221"/>
      <c r="K1111" s="221"/>
      <c r="L1111" s="221"/>
      <c r="M1111" s="221"/>
      <c r="N1111" s="221"/>
      <c r="O1111" s="225"/>
      <c r="P1111" s="118" t="s">
        <v>3892</v>
      </c>
      <c r="Q1111" s="16" t="s">
        <v>20</v>
      </c>
      <c r="R1111" s="17" t="s">
        <v>2470</v>
      </c>
      <c r="S1111" s="121" t="s">
        <v>3566</v>
      </c>
      <c r="T1111" s="122"/>
      <c r="U1111" s="22"/>
      <c r="V1111" s="123" t="s">
        <v>2472</v>
      </c>
      <c r="W1111" s="122">
        <v>60254</v>
      </c>
      <c r="X1111" s="221"/>
      <c r="Y1111" s="221"/>
      <c r="Z1111" s="221"/>
      <c r="AA1111" s="221"/>
      <c r="AB1111" s="223"/>
    </row>
    <row r="1112" spans="1:28" ht="17.100000000000001" customHeight="1" thickTop="1">
      <c r="A1112" s="226" t="s">
        <v>6187</v>
      </c>
      <c r="B1112" s="28">
        <v>45835</v>
      </c>
      <c r="C1112" s="25">
        <v>2204</v>
      </c>
      <c r="D1112" s="13" t="s">
        <v>1908</v>
      </c>
      <c r="E1112" s="228"/>
      <c r="F1112" s="109" t="s">
        <v>3893</v>
      </c>
      <c r="G1112" s="24" t="s">
        <v>3582</v>
      </c>
      <c r="H1112" s="230">
        <v>4</v>
      </c>
      <c r="I1112" s="220">
        <v>1237000</v>
      </c>
      <c r="J1112" s="220">
        <f>I1112*0.1</f>
        <v>123700</v>
      </c>
      <c r="K1112" s="220">
        <v>38200</v>
      </c>
      <c r="L1112" s="220">
        <v>17770</v>
      </c>
      <c r="M1112" s="220">
        <v>13750</v>
      </c>
      <c r="N1112" s="220">
        <f>SUM(I1112:M1113)</f>
        <v>1430420</v>
      </c>
      <c r="O1112" s="224"/>
      <c r="P1112" s="110" t="s">
        <v>3894</v>
      </c>
      <c r="Q1112" s="15" t="s">
        <v>19</v>
      </c>
      <c r="R1112" s="205"/>
      <c r="S1112" s="189" t="s">
        <v>455</v>
      </c>
      <c r="T1112" s="114"/>
      <c r="U1112" s="21"/>
      <c r="V1112" s="115"/>
      <c r="W1112" s="116"/>
      <c r="X1112" s="220"/>
      <c r="Y1112" s="220">
        <f>X1112*0.1</f>
        <v>0</v>
      </c>
      <c r="Z1112" s="220"/>
      <c r="AA1112" s="220">
        <f>SUM(X1112:Z1112)</f>
        <v>0</v>
      </c>
      <c r="AB1112" s="222"/>
    </row>
    <row r="1113" spans="1:28" ht="17.100000000000001" customHeight="1" thickBot="1">
      <c r="A1113" s="227"/>
      <c r="B1113" s="27" t="s">
        <v>2402</v>
      </c>
      <c r="C1113" s="27">
        <v>35</v>
      </c>
      <c r="D1113" s="14" t="s">
        <v>273</v>
      </c>
      <c r="E1113" s="229"/>
      <c r="F1113" s="117" t="s">
        <v>3895</v>
      </c>
      <c r="G1113" s="26">
        <v>49813</v>
      </c>
      <c r="H1113" s="231"/>
      <c r="I1113" s="221"/>
      <c r="J1113" s="221"/>
      <c r="K1113" s="221"/>
      <c r="L1113" s="221"/>
      <c r="M1113" s="221"/>
      <c r="N1113" s="221"/>
      <c r="O1113" s="225"/>
      <c r="P1113" s="118" t="s">
        <v>3896</v>
      </c>
      <c r="Q1113" s="16" t="s">
        <v>20</v>
      </c>
      <c r="R1113" s="17" t="s">
        <v>2790</v>
      </c>
      <c r="S1113" s="121" t="s">
        <v>2325</v>
      </c>
      <c r="T1113" s="122"/>
      <c r="U1113" s="22" t="s">
        <v>3427</v>
      </c>
      <c r="V1113" s="123"/>
      <c r="W1113" s="122"/>
      <c r="X1113" s="221"/>
      <c r="Y1113" s="221"/>
      <c r="Z1113" s="221"/>
      <c r="AA1113" s="221"/>
      <c r="AB1113" s="223"/>
    </row>
    <row r="1114" spans="1:28" ht="17.100000000000001" customHeight="1" thickTop="1">
      <c r="A1114" s="226" t="s">
        <v>6188</v>
      </c>
      <c r="B1114" s="28">
        <v>45841</v>
      </c>
      <c r="C1114" s="25">
        <v>1523</v>
      </c>
      <c r="D1114" s="13" t="s">
        <v>812</v>
      </c>
      <c r="E1114" s="228"/>
      <c r="F1114" s="109" t="s">
        <v>3897</v>
      </c>
      <c r="G1114" s="24" t="s">
        <v>1551</v>
      </c>
      <c r="H1114" s="230">
        <v>4.5</v>
      </c>
      <c r="I1114" s="220">
        <v>2270000</v>
      </c>
      <c r="J1114" s="220">
        <f>I1114*0.1</f>
        <v>227000</v>
      </c>
      <c r="K1114" s="220">
        <f>24000+2400</f>
        <v>26400</v>
      </c>
      <c r="L1114" s="220">
        <v>21580</v>
      </c>
      <c r="M1114" s="220">
        <v>16500</v>
      </c>
      <c r="N1114" s="220">
        <f>SUM(I1114:M1115)</f>
        <v>2561480</v>
      </c>
      <c r="O1114" s="224"/>
      <c r="P1114" s="110" t="s">
        <v>3898</v>
      </c>
      <c r="Q1114" s="15" t="s">
        <v>19</v>
      </c>
      <c r="R1114" s="205"/>
      <c r="S1114" s="189" t="s">
        <v>1271</v>
      </c>
      <c r="T1114" s="114"/>
      <c r="U1114" s="21" t="s">
        <v>3899</v>
      </c>
      <c r="V1114" s="115"/>
      <c r="W1114" s="116"/>
      <c r="X1114" s="220"/>
      <c r="Y1114" s="220">
        <f>X1114*0.1</f>
        <v>0</v>
      </c>
      <c r="Z1114" s="220"/>
      <c r="AA1114" s="220">
        <f>SUM(X1114:Z1114)</f>
        <v>0</v>
      </c>
      <c r="AB1114" s="222"/>
    </row>
    <row r="1115" spans="1:28" ht="17.100000000000001" customHeight="1" thickBot="1">
      <c r="A1115" s="227"/>
      <c r="B1115" s="27" t="s">
        <v>1592</v>
      </c>
      <c r="C1115" s="27">
        <v>75721</v>
      </c>
      <c r="D1115" s="14" t="s">
        <v>273</v>
      </c>
      <c r="E1115" s="229"/>
      <c r="F1115" s="117" t="s">
        <v>3900</v>
      </c>
      <c r="G1115" s="26">
        <v>29280</v>
      </c>
      <c r="H1115" s="231"/>
      <c r="I1115" s="221"/>
      <c r="J1115" s="221"/>
      <c r="K1115" s="221"/>
      <c r="L1115" s="221"/>
      <c r="M1115" s="221"/>
      <c r="N1115" s="221"/>
      <c r="O1115" s="225"/>
      <c r="P1115" s="118" t="s">
        <v>3901</v>
      </c>
      <c r="Q1115" s="16" t="s">
        <v>20</v>
      </c>
      <c r="R1115" s="17" t="s">
        <v>2953</v>
      </c>
      <c r="S1115" s="121" t="s">
        <v>1731</v>
      </c>
      <c r="T1115" s="122"/>
      <c r="U1115" s="22"/>
      <c r="V1115" s="123"/>
      <c r="W1115" s="122"/>
      <c r="X1115" s="221"/>
      <c r="Y1115" s="221"/>
      <c r="Z1115" s="221"/>
      <c r="AA1115" s="221"/>
      <c r="AB1115" s="223"/>
    </row>
    <row r="1116" spans="1:28" ht="17.100000000000001" customHeight="1" thickTop="1">
      <c r="A1116" s="226" t="s">
        <v>6189</v>
      </c>
      <c r="B1116" s="28">
        <v>45843</v>
      </c>
      <c r="C1116" s="25">
        <v>1258</v>
      </c>
      <c r="D1116" s="13" t="s">
        <v>1702</v>
      </c>
      <c r="E1116" s="228"/>
      <c r="F1116" s="109" t="s">
        <v>3392</v>
      </c>
      <c r="G1116" s="24" t="s">
        <v>3902</v>
      </c>
      <c r="H1116" s="230">
        <v>4.5</v>
      </c>
      <c r="I1116" s="220">
        <v>1310000</v>
      </c>
      <c r="J1116" s="220">
        <f>I1116*0.1</f>
        <v>131000</v>
      </c>
      <c r="K1116" s="220">
        <f>34000+3400</f>
        <v>37400</v>
      </c>
      <c r="L1116" s="220">
        <v>21300</v>
      </c>
      <c r="M1116" s="220">
        <v>16500</v>
      </c>
      <c r="N1116" s="220">
        <f>SUM(I1116:M1117)</f>
        <v>1516200</v>
      </c>
      <c r="O1116" s="224"/>
      <c r="P1116" s="110" t="s">
        <v>3903</v>
      </c>
      <c r="Q1116" s="15" t="s">
        <v>19</v>
      </c>
      <c r="R1116" s="205"/>
      <c r="S1116" s="189" t="s">
        <v>758</v>
      </c>
      <c r="T1116" s="114"/>
      <c r="U1116" s="21"/>
      <c r="V1116" s="115"/>
      <c r="W1116" s="116"/>
      <c r="X1116" s="220"/>
      <c r="Y1116" s="220">
        <f>X1116*0.1</f>
        <v>0</v>
      </c>
      <c r="Z1116" s="220"/>
      <c r="AA1116" s="220">
        <f>SUM(X1116:Z1116)</f>
        <v>0</v>
      </c>
      <c r="AB1116" s="222"/>
    </row>
    <row r="1117" spans="1:28" ht="17.100000000000001" customHeight="1" thickBot="1">
      <c r="A1117" s="227"/>
      <c r="B1117" s="27" t="s">
        <v>2472</v>
      </c>
      <c r="C1117" s="27">
        <v>82003</v>
      </c>
      <c r="D1117" s="14" t="s">
        <v>1568</v>
      </c>
      <c r="E1117" s="229"/>
      <c r="F1117" s="117" t="s">
        <v>3904</v>
      </c>
      <c r="G1117" s="26">
        <v>37141</v>
      </c>
      <c r="H1117" s="231"/>
      <c r="I1117" s="221"/>
      <c r="J1117" s="221"/>
      <c r="K1117" s="221"/>
      <c r="L1117" s="221"/>
      <c r="M1117" s="221"/>
      <c r="N1117" s="221"/>
      <c r="O1117" s="225"/>
      <c r="P1117" s="118" t="s">
        <v>3355</v>
      </c>
      <c r="Q1117" s="16" t="s">
        <v>20</v>
      </c>
      <c r="R1117" s="17" t="s">
        <v>2810</v>
      </c>
      <c r="S1117" s="121" t="s">
        <v>3905</v>
      </c>
      <c r="T1117" s="122"/>
      <c r="U1117" s="22" t="s">
        <v>106</v>
      </c>
      <c r="V1117" s="123"/>
      <c r="W1117" s="122"/>
      <c r="X1117" s="221"/>
      <c r="Y1117" s="221"/>
      <c r="Z1117" s="221"/>
      <c r="AA1117" s="221"/>
      <c r="AB1117" s="223"/>
    </row>
    <row r="1118" spans="1:28" ht="17.100000000000001" customHeight="1" thickTop="1">
      <c r="A1118" s="226" t="s">
        <v>6190</v>
      </c>
      <c r="B1118" s="28">
        <v>45845</v>
      </c>
      <c r="C1118" s="25"/>
      <c r="D1118" s="13" t="s">
        <v>2920</v>
      </c>
      <c r="E1118" s="228"/>
      <c r="F1118" s="109" t="s">
        <v>3906</v>
      </c>
      <c r="G1118" s="24" t="s">
        <v>3907</v>
      </c>
      <c r="H1118" s="232" t="s">
        <v>1705</v>
      </c>
      <c r="I1118" s="220">
        <f>1595000/1.1</f>
        <v>1449999.9999999998</v>
      </c>
      <c r="J1118" s="220">
        <f>I1118*0.1</f>
        <v>144999.99999999997</v>
      </c>
      <c r="K1118" s="220">
        <v>21000</v>
      </c>
      <c r="L1118" s="220">
        <v>12470</v>
      </c>
      <c r="M1118" s="220">
        <v>94875</v>
      </c>
      <c r="N1118" s="220">
        <f>SUM(I1118:M1119)</f>
        <v>1723344.9999999998</v>
      </c>
      <c r="O1118" s="224"/>
      <c r="P1118" s="110" t="s">
        <v>3908</v>
      </c>
      <c r="Q1118" s="15" t="s">
        <v>19</v>
      </c>
      <c r="R1118" s="205"/>
      <c r="S1118" s="189" t="s">
        <v>1276</v>
      </c>
      <c r="T1118" s="114" t="s">
        <v>3909</v>
      </c>
      <c r="U1118" s="21" t="s">
        <v>7418</v>
      </c>
      <c r="V1118" s="115">
        <v>45948</v>
      </c>
      <c r="W1118" s="116">
        <v>1272</v>
      </c>
      <c r="X1118" s="220">
        <v>1645000</v>
      </c>
      <c r="Y1118" s="220">
        <f>X1118*0.1</f>
        <v>164500</v>
      </c>
      <c r="Z1118" s="220">
        <v>12470</v>
      </c>
      <c r="AA1118" s="220">
        <f>SUM(X1118:Z1118)</f>
        <v>1821970</v>
      </c>
      <c r="AB1118" s="222">
        <v>45951</v>
      </c>
    </row>
    <row r="1119" spans="1:28" ht="17.100000000000001" customHeight="1" thickBot="1">
      <c r="A1119" s="227"/>
      <c r="B1119" s="27" t="s">
        <v>1708</v>
      </c>
      <c r="C1119" s="27" t="s">
        <v>3910</v>
      </c>
      <c r="D1119" s="14" t="s">
        <v>1584</v>
      </c>
      <c r="E1119" s="229"/>
      <c r="F1119" s="117" t="s">
        <v>3911</v>
      </c>
      <c r="G1119" s="26">
        <v>42927</v>
      </c>
      <c r="H1119" s="231"/>
      <c r="I1119" s="221"/>
      <c r="J1119" s="221"/>
      <c r="K1119" s="221"/>
      <c r="L1119" s="221"/>
      <c r="M1119" s="221"/>
      <c r="N1119" s="221"/>
      <c r="O1119" s="225"/>
      <c r="P1119" s="118" t="s">
        <v>3912</v>
      </c>
      <c r="Q1119" s="16" t="s">
        <v>20</v>
      </c>
      <c r="R1119" s="17" t="s">
        <v>3913</v>
      </c>
      <c r="S1119" s="121" t="s">
        <v>3914</v>
      </c>
      <c r="T1119" s="122" t="s">
        <v>3915</v>
      </c>
      <c r="U1119" s="22"/>
      <c r="V1119" s="123" t="s">
        <v>2472</v>
      </c>
      <c r="W1119" s="122">
        <v>50143</v>
      </c>
      <c r="X1119" s="221"/>
      <c r="Y1119" s="221"/>
      <c r="Z1119" s="221"/>
      <c r="AA1119" s="221"/>
      <c r="AB1119" s="223"/>
    </row>
    <row r="1120" spans="1:28" ht="17.100000000000001" customHeight="1" thickTop="1">
      <c r="A1120" s="226" t="s">
        <v>6191</v>
      </c>
      <c r="B1120" s="28">
        <v>45848</v>
      </c>
      <c r="C1120" s="25">
        <v>2117</v>
      </c>
      <c r="D1120" s="13" t="s">
        <v>2295</v>
      </c>
      <c r="E1120" s="228"/>
      <c r="F1120" s="109" t="s">
        <v>3916</v>
      </c>
      <c r="G1120" s="24"/>
      <c r="H1120" s="230">
        <v>4</v>
      </c>
      <c r="I1120" s="220">
        <v>520000</v>
      </c>
      <c r="J1120" s="220">
        <f>I1120*0.1</f>
        <v>52000</v>
      </c>
      <c r="K1120" s="220">
        <v>0</v>
      </c>
      <c r="L1120" s="220">
        <v>0</v>
      </c>
      <c r="M1120" s="220">
        <v>13750</v>
      </c>
      <c r="N1120" s="220">
        <f>SUM(I1120:M1121)</f>
        <v>585750</v>
      </c>
      <c r="O1120" s="224"/>
      <c r="P1120" s="110" t="s">
        <v>3917</v>
      </c>
      <c r="Q1120" s="15" t="s">
        <v>19</v>
      </c>
      <c r="R1120" s="205"/>
      <c r="S1120" s="189" t="s">
        <v>1113</v>
      </c>
      <c r="T1120" s="114"/>
      <c r="U1120" s="21"/>
      <c r="V1120" s="115">
        <v>45941</v>
      </c>
      <c r="W1120" s="116">
        <v>1271</v>
      </c>
      <c r="X1120" s="220">
        <v>510000</v>
      </c>
      <c r="Y1120" s="220">
        <f>X1120*0.1</f>
        <v>51000</v>
      </c>
      <c r="Z1120" s="220">
        <v>7510</v>
      </c>
      <c r="AA1120" s="220">
        <f>SUM(X1120:Z1120)</f>
        <v>568510</v>
      </c>
      <c r="AB1120" s="222">
        <v>45945</v>
      </c>
    </row>
    <row r="1121" spans="1:28" ht="17.100000000000001" customHeight="1" thickBot="1">
      <c r="A1121" s="227"/>
      <c r="B1121" s="27" t="s">
        <v>3228</v>
      </c>
      <c r="C1121" s="27">
        <v>2031</v>
      </c>
      <c r="D1121" s="14" t="s">
        <v>1584</v>
      </c>
      <c r="E1121" s="229"/>
      <c r="F1121" s="117" t="s">
        <v>3918</v>
      </c>
      <c r="G1121" s="26">
        <v>53557</v>
      </c>
      <c r="H1121" s="231"/>
      <c r="I1121" s="221"/>
      <c r="J1121" s="221"/>
      <c r="K1121" s="221"/>
      <c r="L1121" s="221"/>
      <c r="M1121" s="221"/>
      <c r="N1121" s="221"/>
      <c r="O1121" s="225"/>
      <c r="P1121" s="118" t="s">
        <v>3919</v>
      </c>
      <c r="Q1121" s="16" t="s">
        <v>20</v>
      </c>
      <c r="R1121" s="17" t="s">
        <v>3920</v>
      </c>
      <c r="S1121" s="121" t="s">
        <v>3921</v>
      </c>
      <c r="T1121" s="122"/>
      <c r="U1121" s="22"/>
      <c r="V1121" s="123" t="s">
        <v>2472</v>
      </c>
      <c r="W1121" s="122">
        <v>60266</v>
      </c>
      <c r="X1121" s="221"/>
      <c r="Y1121" s="221"/>
      <c r="Z1121" s="221"/>
      <c r="AA1121" s="221"/>
      <c r="AB1121" s="223"/>
    </row>
    <row r="1122" spans="1:28" ht="17.100000000000001" customHeight="1" thickTop="1">
      <c r="A1122" s="226" t="s">
        <v>6192</v>
      </c>
      <c r="B1122" s="28">
        <v>45849</v>
      </c>
      <c r="C1122" s="25">
        <v>2093</v>
      </c>
      <c r="D1122" s="13" t="s">
        <v>2920</v>
      </c>
      <c r="E1122" s="228"/>
      <c r="F1122" s="109" t="s">
        <v>3922</v>
      </c>
      <c r="G1122" s="24" t="s">
        <v>3923</v>
      </c>
      <c r="H1122" s="230">
        <v>4.5</v>
      </c>
      <c r="I1122" s="220">
        <v>1120000</v>
      </c>
      <c r="J1122" s="220">
        <f>I1122*0.1</f>
        <v>112000</v>
      </c>
      <c r="K1122" s="220">
        <f>20300+2030</f>
        <v>22330</v>
      </c>
      <c r="L1122" s="220">
        <v>12270</v>
      </c>
      <c r="M1122" s="220">
        <v>16500</v>
      </c>
      <c r="N1122" s="220">
        <f>SUM(I1122:M1123)</f>
        <v>1283100</v>
      </c>
      <c r="O1122" s="224"/>
      <c r="P1122" s="110" t="s">
        <v>3924</v>
      </c>
      <c r="Q1122" s="15" t="s">
        <v>19</v>
      </c>
      <c r="R1122" s="205"/>
      <c r="S1122" s="189" t="s">
        <v>1271</v>
      </c>
      <c r="T1122" s="114" t="s">
        <v>3925</v>
      </c>
      <c r="U1122" s="21" t="s">
        <v>3926</v>
      </c>
      <c r="V1122" s="115">
        <v>45927</v>
      </c>
      <c r="W1122" s="116">
        <v>1269</v>
      </c>
      <c r="X1122" s="220">
        <v>1200000</v>
      </c>
      <c r="Y1122" s="220">
        <f>X1122*0.1</f>
        <v>120000</v>
      </c>
      <c r="Z1122" s="220">
        <v>12270</v>
      </c>
      <c r="AA1122" s="220">
        <f>SUM(X1122:Z1122)</f>
        <v>1332270</v>
      </c>
      <c r="AB1122" s="222">
        <v>45937</v>
      </c>
    </row>
    <row r="1123" spans="1:28" ht="17.100000000000001" customHeight="1" thickBot="1">
      <c r="A1123" s="227"/>
      <c r="B1123" s="27" t="s">
        <v>1536</v>
      </c>
      <c r="C1123" s="27">
        <v>58233</v>
      </c>
      <c r="D1123" s="14" t="s">
        <v>1548</v>
      </c>
      <c r="E1123" s="229"/>
      <c r="F1123" s="117" t="s">
        <v>3927</v>
      </c>
      <c r="G1123" s="26">
        <v>31188</v>
      </c>
      <c r="H1123" s="231"/>
      <c r="I1123" s="221"/>
      <c r="J1123" s="221"/>
      <c r="K1123" s="221"/>
      <c r="L1123" s="221"/>
      <c r="M1123" s="221"/>
      <c r="N1123" s="221"/>
      <c r="O1123" s="225"/>
      <c r="P1123" s="118" t="s">
        <v>1972</v>
      </c>
      <c r="Q1123" s="16" t="s">
        <v>20</v>
      </c>
      <c r="R1123" s="17" t="s">
        <v>3928</v>
      </c>
      <c r="S1123" s="121" t="s">
        <v>3929</v>
      </c>
      <c r="T1123" s="122"/>
      <c r="U1123" s="22"/>
      <c r="V1123" s="123" t="s">
        <v>6642</v>
      </c>
      <c r="W1123" s="122">
        <v>80060</v>
      </c>
      <c r="X1123" s="221"/>
      <c r="Y1123" s="221"/>
      <c r="Z1123" s="221"/>
      <c r="AA1123" s="221"/>
      <c r="AB1123" s="223"/>
    </row>
    <row r="1124" spans="1:28" ht="17.100000000000001" customHeight="1" thickTop="1">
      <c r="A1124" s="226" t="s">
        <v>6193</v>
      </c>
      <c r="B1124" s="28">
        <v>45849</v>
      </c>
      <c r="C1124" s="25"/>
      <c r="D1124" s="13" t="s">
        <v>1846</v>
      </c>
      <c r="E1124" s="228"/>
      <c r="F1124" s="109" t="s">
        <v>3930</v>
      </c>
      <c r="G1124" s="24" t="s">
        <v>3931</v>
      </c>
      <c r="H1124" s="230">
        <v>4.5</v>
      </c>
      <c r="I1124" s="220">
        <f>687500/1.1</f>
        <v>625000</v>
      </c>
      <c r="J1124" s="220">
        <f>I1124*0.1</f>
        <v>62500</v>
      </c>
      <c r="K1124" s="220">
        <v>0</v>
      </c>
      <c r="L1124" s="220">
        <v>8230</v>
      </c>
      <c r="M1124" s="220">
        <v>62237</v>
      </c>
      <c r="N1124" s="220">
        <f>SUM(I1124:M1125)</f>
        <v>757967</v>
      </c>
      <c r="O1124" s="224"/>
      <c r="P1124" s="110" t="s">
        <v>3932</v>
      </c>
      <c r="Q1124" s="15" t="s">
        <v>19</v>
      </c>
      <c r="R1124" s="205"/>
      <c r="S1124" s="189" t="s">
        <v>1072</v>
      </c>
      <c r="T1124" s="114"/>
      <c r="U1124" s="21" t="s">
        <v>6837</v>
      </c>
      <c r="V1124" s="115">
        <v>45937</v>
      </c>
      <c r="W1124" s="116">
        <v>1912</v>
      </c>
      <c r="X1124" s="220">
        <v>746000</v>
      </c>
      <c r="Y1124" s="220">
        <f>X1124*0.1</f>
        <v>74600</v>
      </c>
      <c r="Z1124" s="220">
        <v>8230</v>
      </c>
      <c r="AA1124" s="220">
        <f>SUM(X1124:Z1124)</f>
        <v>828830</v>
      </c>
      <c r="AB1124" s="222"/>
    </row>
    <row r="1125" spans="1:28" ht="17.100000000000001" customHeight="1" thickBot="1">
      <c r="A1125" s="227"/>
      <c r="B1125" s="27" t="s">
        <v>1708</v>
      </c>
      <c r="C1125" s="27" t="s">
        <v>3933</v>
      </c>
      <c r="D1125" s="14" t="s">
        <v>273</v>
      </c>
      <c r="E1125" s="229"/>
      <c r="F1125" s="117" t="s">
        <v>3934</v>
      </c>
      <c r="G1125" s="26">
        <v>55865</v>
      </c>
      <c r="H1125" s="231"/>
      <c r="I1125" s="221"/>
      <c r="J1125" s="221"/>
      <c r="K1125" s="221"/>
      <c r="L1125" s="221"/>
      <c r="M1125" s="221"/>
      <c r="N1125" s="221"/>
      <c r="O1125" s="225"/>
      <c r="P1125" s="118" t="s">
        <v>3935</v>
      </c>
      <c r="Q1125" s="16" t="s">
        <v>20</v>
      </c>
      <c r="R1125" s="17" t="s">
        <v>3936</v>
      </c>
      <c r="S1125" s="121" t="s">
        <v>1731</v>
      </c>
      <c r="T1125" s="122"/>
      <c r="U1125" s="22"/>
      <c r="V1125" s="123" t="s">
        <v>2103</v>
      </c>
      <c r="W1125" s="122">
        <v>3261</v>
      </c>
      <c r="X1125" s="221"/>
      <c r="Y1125" s="221"/>
      <c r="Z1125" s="221"/>
      <c r="AA1125" s="221"/>
      <c r="AB1125" s="223"/>
    </row>
    <row r="1126" spans="1:28" ht="17.100000000000001" customHeight="1" thickTop="1">
      <c r="A1126" s="226" t="s">
        <v>6194</v>
      </c>
      <c r="B1126" s="28">
        <v>45850</v>
      </c>
      <c r="C1126" s="25">
        <v>1424</v>
      </c>
      <c r="D1126" s="13" t="s">
        <v>3937</v>
      </c>
      <c r="E1126" s="228"/>
      <c r="F1126" s="109" t="s">
        <v>2544</v>
      </c>
      <c r="G1126" s="24" t="s">
        <v>3345</v>
      </c>
      <c r="H1126" s="230">
        <v>4.5</v>
      </c>
      <c r="I1126" s="220">
        <v>1815000</v>
      </c>
      <c r="J1126" s="220">
        <f>I1126*0.1</f>
        <v>181500</v>
      </c>
      <c r="K1126" s="220">
        <f>26300+2630</f>
        <v>28930</v>
      </c>
      <c r="L1126" s="220">
        <v>22210</v>
      </c>
      <c r="M1126" s="220">
        <v>16500</v>
      </c>
      <c r="N1126" s="220">
        <f>SUM(I1126:M1127)</f>
        <v>2064140</v>
      </c>
      <c r="O1126" s="224"/>
      <c r="P1126" s="110" t="s">
        <v>3938</v>
      </c>
      <c r="Q1126" s="15" t="s">
        <v>19</v>
      </c>
      <c r="R1126" s="205"/>
      <c r="S1126" s="189" t="s">
        <v>25367</v>
      </c>
      <c r="T1126" s="114"/>
      <c r="U1126" s="21"/>
      <c r="V1126" s="115">
        <v>46350</v>
      </c>
      <c r="W1126" s="116"/>
      <c r="X1126" s="220">
        <v>3130000</v>
      </c>
      <c r="Y1126" s="220">
        <v>0</v>
      </c>
      <c r="Z1126" s="220">
        <v>0</v>
      </c>
      <c r="AA1126" s="220">
        <f>SUM(X1126:Z1126)</f>
        <v>3130000</v>
      </c>
      <c r="AB1126" s="222">
        <v>46377</v>
      </c>
    </row>
    <row r="1127" spans="1:28" ht="17.100000000000001" customHeight="1" thickBot="1">
      <c r="A1127" s="227"/>
      <c r="B1127" s="27" t="s">
        <v>1765</v>
      </c>
      <c r="C1127" s="27">
        <v>5028</v>
      </c>
      <c r="D1127" s="14" t="s">
        <v>273</v>
      </c>
      <c r="E1127" s="229"/>
      <c r="F1127" s="117" t="s">
        <v>3939</v>
      </c>
      <c r="G1127" s="26">
        <v>44743</v>
      </c>
      <c r="H1127" s="231"/>
      <c r="I1127" s="221"/>
      <c r="J1127" s="221"/>
      <c r="K1127" s="221"/>
      <c r="L1127" s="221"/>
      <c r="M1127" s="221"/>
      <c r="N1127" s="221"/>
      <c r="O1127" s="225"/>
      <c r="P1127" s="118" t="s">
        <v>3940</v>
      </c>
      <c r="Q1127" s="16" t="s">
        <v>20</v>
      </c>
      <c r="R1127" s="17" t="s">
        <v>3920</v>
      </c>
      <c r="S1127" s="121" t="s">
        <v>1731</v>
      </c>
      <c r="T1127" s="122"/>
      <c r="U1127" s="22" t="s">
        <v>106</v>
      </c>
      <c r="V1127" s="123" t="s">
        <v>13697</v>
      </c>
      <c r="W1127" s="122"/>
      <c r="X1127" s="221"/>
      <c r="Y1127" s="221"/>
      <c r="Z1127" s="221"/>
      <c r="AA1127" s="221"/>
      <c r="AB1127" s="223"/>
    </row>
    <row r="1128" spans="1:28" ht="17.100000000000001" customHeight="1" thickTop="1">
      <c r="A1128" s="226" t="s">
        <v>6195</v>
      </c>
      <c r="B1128" s="28">
        <v>45852</v>
      </c>
      <c r="C1128" s="25">
        <v>2052</v>
      </c>
      <c r="D1128" s="13" t="s">
        <v>812</v>
      </c>
      <c r="E1128" s="228"/>
      <c r="F1128" s="109" t="s">
        <v>3941</v>
      </c>
      <c r="G1128" s="24" t="s">
        <v>3942</v>
      </c>
      <c r="H1128" s="230">
        <v>4</v>
      </c>
      <c r="I1128" s="220">
        <v>3335000</v>
      </c>
      <c r="J1128" s="220">
        <f>I1128*0.1</f>
        <v>333500</v>
      </c>
      <c r="K1128" s="220">
        <f>24000+2400</f>
        <v>26400</v>
      </c>
      <c r="L1128" s="220">
        <v>14760</v>
      </c>
      <c r="M1128" s="220">
        <v>12100</v>
      </c>
      <c r="N1128" s="220">
        <f>SUM(I1128:M1129)</f>
        <v>3721760</v>
      </c>
      <c r="O1128" s="224"/>
      <c r="P1128" s="110" t="s">
        <v>3943</v>
      </c>
      <c r="Q1128" s="15" t="s">
        <v>19</v>
      </c>
      <c r="R1128" s="205"/>
      <c r="S1128" s="189" t="s">
        <v>25437</v>
      </c>
      <c r="T1128" s="114"/>
      <c r="U1128" s="21" t="s">
        <v>3944</v>
      </c>
      <c r="V1128" s="115">
        <v>46336</v>
      </c>
      <c r="W1128" s="116"/>
      <c r="X1128" s="220">
        <v>4650000</v>
      </c>
      <c r="Y1128" s="220">
        <v>0</v>
      </c>
      <c r="Z1128" s="220">
        <v>0</v>
      </c>
      <c r="AA1128" s="220">
        <f>SUM(X1128:Z1128)</f>
        <v>4650000</v>
      </c>
      <c r="AB1128" s="222">
        <v>46363</v>
      </c>
    </row>
    <row r="1129" spans="1:28" ht="17.100000000000001" customHeight="1" thickBot="1">
      <c r="A1129" s="227"/>
      <c r="B1129" s="27" t="s">
        <v>82</v>
      </c>
      <c r="C1129" s="27">
        <v>36013</v>
      </c>
      <c r="D1129" s="14" t="s">
        <v>131</v>
      </c>
      <c r="E1129" s="229"/>
      <c r="F1129" s="117" t="s">
        <v>3945</v>
      </c>
      <c r="G1129" s="26">
        <v>39398</v>
      </c>
      <c r="H1129" s="231"/>
      <c r="I1129" s="221"/>
      <c r="J1129" s="221"/>
      <c r="K1129" s="221"/>
      <c r="L1129" s="221"/>
      <c r="M1129" s="221"/>
      <c r="N1129" s="221"/>
      <c r="O1129" s="225"/>
      <c r="P1129" s="118" t="s">
        <v>3946</v>
      </c>
      <c r="Q1129" s="16" t="s">
        <v>20</v>
      </c>
      <c r="R1129" s="17" t="s">
        <v>2818</v>
      </c>
      <c r="S1129" s="121" t="s">
        <v>3947</v>
      </c>
      <c r="T1129" s="122"/>
      <c r="U1129" s="22"/>
      <c r="V1129" s="123" t="s">
        <v>15359</v>
      </c>
      <c r="W1129" s="122"/>
      <c r="X1129" s="221"/>
      <c r="Y1129" s="221"/>
      <c r="Z1129" s="221"/>
      <c r="AA1129" s="221"/>
      <c r="AB1129" s="223"/>
    </row>
    <row r="1130" spans="1:28" ht="17.100000000000001" customHeight="1" thickTop="1">
      <c r="A1130" s="226" t="s">
        <v>6196</v>
      </c>
      <c r="B1130" s="28">
        <v>45853</v>
      </c>
      <c r="C1130" s="25"/>
      <c r="D1130" s="13"/>
      <c r="E1130" s="228" t="s">
        <v>164</v>
      </c>
      <c r="F1130" s="109" t="s">
        <v>3948</v>
      </c>
      <c r="G1130" s="24"/>
      <c r="H1130" s="230"/>
      <c r="I1130" s="220">
        <v>4977970</v>
      </c>
      <c r="J1130" s="220">
        <v>0</v>
      </c>
      <c r="K1130" s="220">
        <v>0</v>
      </c>
      <c r="L1130" s="220">
        <v>0</v>
      </c>
      <c r="M1130" s="220">
        <v>0</v>
      </c>
      <c r="N1130" s="220">
        <f>SUM(I1130:M1131)</f>
        <v>4977970</v>
      </c>
      <c r="O1130" s="224"/>
      <c r="P1130" s="110"/>
      <c r="Q1130" s="15" t="s">
        <v>19</v>
      </c>
      <c r="R1130" s="205"/>
      <c r="S1130" s="189"/>
      <c r="T1130" s="114"/>
      <c r="U1130" s="21"/>
      <c r="V1130" s="115"/>
      <c r="W1130" s="116"/>
      <c r="X1130" s="220"/>
      <c r="Y1130" s="220">
        <f>X1130*0.1</f>
        <v>0</v>
      </c>
      <c r="Z1130" s="220"/>
      <c r="AA1130" s="220">
        <f>SUM(X1130:Z1130)</f>
        <v>0</v>
      </c>
      <c r="AB1130" s="222"/>
    </row>
    <row r="1131" spans="1:28" ht="17.100000000000001" customHeight="1" thickBot="1">
      <c r="A1131" s="227"/>
      <c r="B1131" s="27" t="s">
        <v>3949</v>
      </c>
      <c r="C1131" s="27"/>
      <c r="D1131" s="14"/>
      <c r="E1131" s="229"/>
      <c r="F1131" s="117" t="s">
        <v>3950</v>
      </c>
      <c r="G1131" s="26"/>
      <c r="H1131" s="231"/>
      <c r="I1131" s="221"/>
      <c r="J1131" s="221"/>
      <c r="K1131" s="221"/>
      <c r="L1131" s="221"/>
      <c r="M1131" s="221"/>
      <c r="N1131" s="221"/>
      <c r="O1131" s="225"/>
      <c r="P1131" s="118" t="s">
        <v>3951</v>
      </c>
      <c r="Q1131" s="16" t="s">
        <v>20</v>
      </c>
      <c r="R1131" s="17" t="s">
        <v>3952</v>
      </c>
      <c r="S1131" s="121"/>
      <c r="T1131" s="122"/>
      <c r="U1131" s="22"/>
      <c r="V1131" s="123"/>
      <c r="W1131" s="122"/>
      <c r="X1131" s="221"/>
      <c r="Y1131" s="221"/>
      <c r="Z1131" s="221"/>
      <c r="AA1131" s="221"/>
      <c r="AB1131" s="223"/>
    </row>
    <row r="1132" spans="1:28" ht="17.100000000000001" customHeight="1" thickTop="1">
      <c r="A1132" s="226" t="s">
        <v>6197</v>
      </c>
      <c r="B1132" s="28">
        <v>45853</v>
      </c>
      <c r="C1132" s="25">
        <v>1901</v>
      </c>
      <c r="D1132" s="13" t="s">
        <v>1915</v>
      </c>
      <c r="E1132" s="228"/>
      <c r="F1132" s="109" t="s">
        <v>3953</v>
      </c>
      <c r="G1132" s="24"/>
      <c r="H1132" s="230">
        <v>4</v>
      </c>
      <c r="I1132" s="220">
        <v>712000</v>
      </c>
      <c r="J1132" s="220">
        <f>I1132*0.1</f>
        <v>71200</v>
      </c>
      <c r="K1132" s="220">
        <v>0</v>
      </c>
      <c r="L1132" s="220">
        <v>9790</v>
      </c>
      <c r="M1132" s="220">
        <v>15950</v>
      </c>
      <c r="N1132" s="220">
        <f>SUM(I1132:M1133)</f>
        <v>808940</v>
      </c>
      <c r="O1132" s="224"/>
      <c r="P1132" s="110" t="s">
        <v>3954</v>
      </c>
      <c r="Q1132" s="15" t="s">
        <v>19</v>
      </c>
      <c r="R1132" s="205"/>
      <c r="S1132" s="189"/>
      <c r="T1132" s="114"/>
      <c r="U1132" s="21"/>
      <c r="V1132" s="115">
        <v>45941</v>
      </c>
      <c r="W1132" s="116">
        <v>1271</v>
      </c>
      <c r="X1132" s="220">
        <v>745000</v>
      </c>
      <c r="Y1132" s="220">
        <f>X1132*0.1</f>
        <v>74500</v>
      </c>
      <c r="Z1132" s="220">
        <v>9790</v>
      </c>
      <c r="AA1132" s="220">
        <f>SUM(X1132:Z1132)</f>
        <v>829290</v>
      </c>
      <c r="AB1132" s="222">
        <v>45944</v>
      </c>
    </row>
    <row r="1133" spans="1:28" ht="17.100000000000001" customHeight="1" thickBot="1">
      <c r="A1133" s="227"/>
      <c r="B1133" s="27" t="s">
        <v>2103</v>
      </c>
      <c r="C1133" s="27">
        <v>3340</v>
      </c>
      <c r="D1133" s="14" t="s">
        <v>3955</v>
      </c>
      <c r="E1133" s="229"/>
      <c r="F1133" s="117" t="s">
        <v>3956</v>
      </c>
      <c r="G1133" s="26">
        <v>42721</v>
      </c>
      <c r="H1133" s="231"/>
      <c r="I1133" s="221"/>
      <c r="J1133" s="221"/>
      <c r="K1133" s="221"/>
      <c r="L1133" s="221"/>
      <c r="M1133" s="221"/>
      <c r="N1133" s="221"/>
      <c r="O1133" s="225"/>
      <c r="P1133" s="118" t="s">
        <v>3957</v>
      </c>
      <c r="Q1133" s="16" t="s">
        <v>20</v>
      </c>
      <c r="R1133" s="17" t="s">
        <v>3928</v>
      </c>
      <c r="S1133" s="121"/>
      <c r="T1133" s="122"/>
      <c r="U1133" s="22"/>
      <c r="V1133" s="123" t="s">
        <v>2472</v>
      </c>
      <c r="W1133" s="122">
        <v>60111</v>
      </c>
      <c r="X1133" s="221"/>
      <c r="Y1133" s="221"/>
      <c r="Z1133" s="221"/>
      <c r="AA1133" s="221"/>
      <c r="AB1133" s="223"/>
    </row>
    <row r="1134" spans="1:28" ht="17.100000000000001" customHeight="1" thickTop="1">
      <c r="A1134" s="226" t="s">
        <v>6198</v>
      </c>
      <c r="B1134" s="28">
        <v>45853</v>
      </c>
      <c r="C1134" s="25">
        <v>899</v>
      </c>
      <c r="D1134" s="13" t="s">
        <v>2920</v>
      </c>
      <c r="E1134" s="228"/>
      <c r="F1134" s="109" t="s">
        <v>3958</v>
      </c>
      <c r="G1134" s="24"/>
      <c r="H1134" s="230">
        <v>4</v>
      </c>
      <c r="I1134" s="220">
        <v>1007000</v>
      </c>
      <c r="J1134" s="220">
        <f>I1134*0.1</f>
        <v>100700</v>
      </c>
      <c r="K1134" s="220">
        <v>0</v>
      </c>
      <c r="L1134" s="220">
        <v>6830</v>
      </c>
      <c r="M1134" s="220">
        <v>15950</v>
      </c>
      <c r="N1134" s="220">
        <f>SUM(I1134:M1135)</f>
        <v>1130480</v>
      </c>
      <c r="O1134" s="224"/>
      <c r="P1134" s="110" t="s">
        <v>3959</v>
      </c>
      <c r="Q1134" s="15" t="s">
        <v>19</v>
      </c>
      <c r="R1134" s="205"/>
      <c r="S1134" s="189" t="s">
        <v>25438</v>
      </c>
      <c r="T1134" s="114"/>
      <c r="U1134" s="21"/>
      <c r="V1134" s="115">
        <v>45941</v>
      </c>
      <c r="W1134" s="116">
        <v>1271</v>
      </c>
      <c r="X1134" s="220">
        <v>1035000</v>
      </c>
      <c r="Y1134" s="220">
        <f>X1134*0.1</f>
        <v>103500</v>
      </c>
      <c r="Z1134" s="220">
        <v>6830</v>
      </c>
      <c r="AA1134" s="220">
        <f>SUM(X1134:Z1134)</f>
        <v>1145330</v>
      </c>
      <c r="AB1134" s="222">
        <v>45944</v>
      </c>
    </row>
    <row r="1135" spans="1:28" ht="17.100000000000001" customHeight="1" thickBot="1">
      <c r="A1135" s="227"/>
      <c r="B1135" s="27" t="s">
        <v>2654</v>
      </c>
      <c r="C1135" s="27">
        <v>3122</v>
      </c>
      <c r="D1135" s="14" t="s">
        <v>1627</v>
      </c>
      <c r="E1135" s="229"/>
      <c r="F1135" s="117" t="s">
        <v>3960</v>
      </c>
      <c r="G1135" s="26">
        <v>45901</v>
      </c>
      <c r="H1135" s="231"/>
      <c r="I1135" s="221"/>
      <c r="J1135" s="221"/>
      <c r="K1135" s="221"/>
      <c r="L1135" s="221"/>
      <c r="M1135" s="221"/>
      <c r="N1135" s="221"/>
      <c r="O1135" s="225"/>
      <c r="P1135" s="118" t="s">
        <v>3961</v>
      </c>
      <c r="Q1135" s="16" t="s">
        <v>20</v>
      </c>
      <c r="R1135" s="17" t="s">
        <v>3928</v>
      </c>
      <c r="S1135" s="121" t="s">
        <v>3581</v>
      </c>
      <c r="T1135" s="122"/>
      <c r="U1135" s="22"/>
      <c r="V1135" s="123" t="s">
        <v>2472</v>
      </c>
      <c r="W1135" s="122">
        <v>60108</v>
      </c>
      <c r="X1135" s="221"/>
      <c r="Y1135" s="221"/>
      <c r="Z1135" s="221"/>
      <c r="AA1135" s="221"/>
      <c r="AB1135" s="223"/>
    </row>
    <row r="1136" spans="1:28" ht="17.100000000000001" customHeight="1" thickTop="1">
      <c r="A1136" s="226" t="s">
        <v>6199</v>
      </c>
      <c r="B1136" s="28">
        <v>45854</v>
      </c>
      <c r="C1136" s="25">
        <v>976</v>
      </c>
      <c r="D1136" s="13" t="s">
        <v>1607</v>
      </c>
      <c r="E1136" s="228"/>
      <c r="F1136" s="109" t="s">
        <v>3962</v>
      </c>
      <c r="G1136" s="24"/>
      <c r="H1136" s="230">
        <v>4.5</v>
      </c>
      <c r="I1136" s="220">
        <v>530000</v>
      </c>
      <c r="J1136" s="220">
        <v>0</v>
      </c>
      <c r="K1136" s="220">
        <v>0</v>
      </c>
      <c r="L1136" s="220">
        <v>9210</v>
      </c>
      <c r="M1136" s="220">
        <v>12100</v>
      </c>
      <c r="N1136" s="220">
        <f>SUM(I1136:M1137)</f>
        <v>551310</v>
      </c>
      <c r="O1136" s="224"/>
      <c r="P1136" s="110" t="s">
        <v>3963</v>
      </c>
      <c r="Q1136" s="15" t="s">
        <v>19</v>
      </c>
      <c r="R1136" s="205"/>
      <c r="S1136" s="189"/>
      <c r="T1136" s="114" t="s">
        <v>9837</v>
      </c>
      <c r="U1136" s="21"/>
      <c r="V1136" s="115">
        <v>45959</v>
      </c>
      <c r="W1136" s="116">
        <v>990</v>
      </c>
      <c r="X1136" s="220">
        <v>550000</v>
      </c>
      <c r="Y1136" s="220">
        <f>X1136*0.1</f>
        <v>55000</v>
      </c>
      <c r="Z1136" s="220">
        <v>9210</v>
      </c>
      <c r="AA1136" s="220">
        <f>SUM(X1136:Z1136)</f>
        <v>614210</v>
      </c>
      <c r="AB1136" s="222">
        <v>45967</v>
      </c>
    </row>
    <row r="1137" spans="1:28" ht="17.100000000000001" customHeight="1" thickBot="1">
      <c r="A1137" s="227"/>
      <c r="B1137" s="27" t="s">
        <v>2747</v>
      </c>
      <c r="C1137" s="27">
        <v>1110</v>
      </c>
      <c r="D1137" s="14" t="s">
        <v>1710</v>
      </c>
      <c r="E1137" s="229"/>
      <c r="F1137" s="117" t="s">
        <v>3964</v>
      </c>
      <c r="G1137" s="26">
        <v>26064</v>
      </c>
      <c r="H1137" s="231"/>
      <c r="I1137" s="221"/>
      <c r="J1137" s="221"/>
      <c r="K1137" s="221"/>
      <c r="L1137" s="221"/>
      <c r="M1137" s="221"/>
      <c r="N1137" s="221"/>
      <c r="O1137" s="225"/>
      <c r="P1137" s="118" t="s">
        <v>3965</v>
      </c>
      <c r="Q1137" s="16" t="s">
        <v>20</v>
      </c>
      <c r="R1137" s="17" t="s">
        <v>3936</v>
      </c>
      <c r="S1137" s="121" t="s">
        <v>3331</v>
      </c>
      <c r="T1137" s="122"/>
      <c r="U1137" s="22"/>
      <c r="V1137" s="123" t="s">
        <v>7161</v>
      </c>
      <c r="W1137" s="122">
        <v>6104</v>
      </c>
      <c r="X1137" s="221"/>
      <c r="Y1137" s="221"/>
      <c r="Z1137" s="221"/>
      <c r="AA1137" s="221"/>
      <c r="AB1137" s="223"/>
    </row>
    <row r="1138" spans="1:28" ht="17.100000000000001" customHeight="1" thickTop="1">
      <c r="A1138" s="226" t="s">
        <v>6200</v>
      </c>
      <c r="B1138" s="28">
        <v>45855</v>
      </c>
      <c r="C1138" s="25">
        <v>1986</v>
      </c>
      <c r="D1138" s="13" t="s">
        <v>3966</v>
      </c>
      <c r="E1138" s="228"/>
      <c r="F1138" s="109" t="s">
        <v>3967</v>
      </c>
      <c r="G1138" s="24" t="s">
        <v>3968</v>
      </c>
      <c r="H1138" s="230">
        <v>4</v>
      </c>
      <c r="I1138" s="220">
        <v>180000</v>
      </c>
      <c r="J1138" s="220">
        <f>I1138*0.1</f>
        <v>18000</v>
      </c>
      <c r="K1138" s="220">
        <v>0</v>
      </c>
      <c r="L1138" s="220">
        <v>8670</v>
      </c>
      <c r="M1138" s="220">
        <v>22000</v>
      </c>
      <c r="N1138" s="220">
        <f>SUM(I1138:M1139)</f>
        <v>228670</v>
      </c>
      <c r="O1138" s="224"/>
      <c r="P1138" s="110" t="s">
        <v>3969</v>
      </c>
      <c r="Q1138" s="15" t="s">
        <v>19</v>
      </c>
      <c r="R1138" s="205"/>
      <c r="S1138" s="189"/>
      <c r="T1138" s="114"/>
      <c r="U1138" s="21" t="s">
        <v>3970</v>
      </c>
      <c r="V1138" s="115">
        <v>46102</v>
      </c>
      <c r="W1138" s="116">
        <v>1293</v>
      </c>
      <c r="X1138" s="220">
        <v>97000</v>
      </c>
      <c r="Y1138" s="220">
        <f>X1138*0.1</f>
        <v>9700</v>
      </c>
      <c r="Z1138" s="220">
        <v>8670</v>
      </c>
      <c r="AA1138" s="220">
        <f>SUM(X1138:Z1138)</f>
        <v>115370</v>
      </c>
      <c r="AB1138" s="222">
        <v>46105</v>
      </c>
    </row>
    <row r="1139" spans="1:28" ht="17.100000000000001" customHeight="1" thickBot="1">
      <c r="A1139" s="227"/>
      <c r="B1139" s="27" t="s">
        <v>2171</v>
      </c>
      <c r="C1139" s="27">
        <v>50237</v>
      </c>
      <c r="D1139" s="14" t="s">
        <v>54</v>
      </c>
      <c r="E1139" s="229"/>
      <c r="F1139" s="117" t="s">
        <v>3971</v>
      </c>
      <c r="G1139" s="26">
        <v>56031</v>
      </c>
      <c r="H1139" s="231"/>
      <c r="I1139" s="221"/>
      <c r="J1139" s="221"/>
      <c r="K1139" s="221"/>
      <c r="L1139" s="221"/>
      <c r="M1139" s="221"/>
      <c r="N1139" s="221"/>
      <c r="O1139" s="225"/>
      <c r="P1139" s="118" t="s">
        <v>3972</v>
      </c>
      <c r="Q1139" s="16" t="s">
        <v>20</v>
      </c>
      <c r="R1139" s="17" t="s">
        <v>3936</v>
      </c>
      <c r="S1139" s="121" t="s">
        <v>3566</v>
      </c>
      <c r="T1139" s="122" t="s">
        <v>3666</v>
      </c>
      <c r="U1139" s="22"/>
      <c r="V1139" s="123" t="s">
        <v>2472</v>
      </c>
      <c r="W1139" s="122">
        <v>90417</v>
      </c>
      <c r="X1139" s="221"/>
      <c r="Y1139" s="221"/>
      <c r="Z1139" s="221"/>
      <c r="AA1139" s="221"/>
      <c r="AB1139" s="223"/>
    </row>
    <row r="1140" spans="1:28" ht="17.100000000000001" customHeight="1" thickTop="1">
      <c r="A1140" s="226" t="s">
        <v>6201</v>
      </c>
      <c r="B1140" s="28">
        <v>45855</v>
      </c>
      <c r="C1140" s="25">
        <v>1942</v>
      </c>
      <c r="D1140" s="13" t="s">
        <v>3494</v>
      </c>
      <c r="E1140" s="228"/>
      <c r="F1140" s="109" t="s">
        <v>3973</v>
      </c>
      <c r="G1140" s="24"/>
      <c r="H1140" s="230">
        <v>4.5</v>
      </c>
      <c r="I1140" s="220">
        <v>1151000</v>
      </c>
      <c r="J1140" s="220">
        <f>I1140*0.1</f>
        <v>115100</v>
      </c>
      <c r="K1140" s="220">
        <v>0</v>
      </c>
      <c r="L1140" s="220">
        <v>9810</v>
      </c>
      <c r="M1140" s="220">
        <v>17050</v>
      </c>
      <c r="N1140" s="220">
        <f>SUM(I1140:M1141)</f>
        <v>1292960</v>
      </c>
      <c r="O1140" s="224"/>
      <c r="P1140" s="110" t="s">
        <v>3974</v>
      </c>
      <c r="Q1140" s="15" t="s">
        <v>19</v>
      </c>
      <c r="R1140" s="205"/>
      <c r="S1140" s="189"/>
      <c r="T1140" s="114"/>
      <c r="U1140" s="21"/>
      <c r="V1140" s="115">
        <v>45934</v>
      </c>
      <c r="W1140" s="116">
        <v>1270</v>
      </c>
      <c r="X1140" s="220">
        <v>1200000</v>
      </c>
      <c r="Y1140" s="220">
        <f>X1140*0.1</f>
        <v>120000</v>
      </c>
      <c r="Z1140" s="220">
        <v>9810</v>
      </c>
      <c r="AA1140" s="220">
        <f>SUM(X1140:Z1140)</f>
        <v>1329810</v>
      </c>
      <c r="AB1140" s="222">
        <v>45937</v>
      </c>
    </row>
    <row r="1141" spans="1:28" ht="17.100000000000001" customHeight="1" thickBot="1">
      <c r="A1141" s="227"/>
      <c r="B1141" s="27" t="s">
        <v>3730</v>
      </c>
      <c r="C1141" s="27">
        <v>2042</v>
      </c>
      <c r="D1141" s="14" t="s">
        <v>1710</v>
      </c>
      <c r="E1141" s="229"/>
      <c r="F1141" s="117" t="s">
        <v>3975</v>
      </c>
      <c r="G1141" s="26">
        <v>51536</v>
      </c>
      <c r="H1141" s="231"/>
      <c r="I1141" s="221"/>
      <c r="J1141" s="221"/>
      <c r="K1141" s="221"/>
      <c r="L1141" s="221"/>
      <c r="M1141" s="221"/>
      <c r="N1141" s="221"/>
      <c r="O1141" s="225"/>
      <c r="P1141" s="118" t="s">
        <v>3976</v>
      </c>
      <c r="Q1141" s="16" t="s">
        <v>20</v>
      </c>
      <c r="R1141" s="17" t="s">
        <v>3936</v>
      </c>
      <c r="S1141" s="121" t="s">
        <v>3977</v>
      </c>
      <c r="T1141" s="122"/>
      <c r="U1141" s="22"/>
      <c r="V1141" s="123" t="s">
        <v>7160</v>
      </c>
      <c r="W1141" s="122">
        <v>55105</v>
      </c>
      <c r="X1141" s="221"/>
      <c r="Y1141" s="221"/>
      <c r="Z1141" s="221"/>
      <c r="AA1141" s="221"/>
      <c r="AB1141" s="223"/>
    </row>
    <row r="1142" spans="1:28" ht="17.100000000000001" customHeight="1" thickTop="1">
      <c r="A1142" s="226" t="s">
        <v>6202</v>
      </c>
      <c r="B1142" s="28">
        <v>45856</v>
      </c>
      <c r="C1142" s="25">
        <v>1378</v>
      </c>
      <c r="D1142" s="13" t="s">
        <v>2644</v>
      </c>
      <c r="E1142" s="228"/>
      <c r="F1142" s="109" t="s">
        <v>3978</v>
      </c>
      <c r="G1142" s="24" t="s">
        <v>3979</v>
      </c>
      <c r="H1142" s="230">
        <v>4</v>
      </c>
      <c r="I1142" s="220">
        <v>810000</v>
      </c>
      <c r="J1142" s="220">
        <f>I1142*0.1</f>
        <v>81000</v>
      </c>
      <c r="K1142" s="220">
        <f>20300+2030</f>
        <v>22330</v>
      </c>
      <c r="L1142" s="220">
        <v>8550</v>
      </c>
      <c r="M1142" s="220">
        <v>13200</v>
      </c>
      <c r="N1142" s="220">
        <f>SUM(I1142:M1143)</f>
        <v>935080</v>
      </c>
      <c r="O1142" s="224"/>
      <c r="P1142" s="110" t="s">
        <v>3980</v>
      </c>
      <c r="Q1142" s="15" t="s">
        <v>19</v>
      </c>
      <c r="R1142" s="205"/>
      <c r="S1142" s="189" t="s">
        <v>25397</v>
      </c>
      <c r="T1142" s="114"/>
      <c r="U1142" s="21" t="s">
        <v>3981</v>
      </c>
      <c r="V1142" s="115">
        <v>46074</v>
      </c>
      <c r="W1142" s="116">
        <v>1289</v>
      </c>
      <c r="X1142" s="220">
        <v>945000</v>
      </c>
      <c r="Y1142" s="220">
        <f>X1142*0.1</f>
        <v>94500</v>
      </c>
      <c r="Z1142" s="220">
        <v>8550</v>
      </c>
      <c r="AA1142" s="220">
        <f>SUM(X1142:Z1142)</f>
        <v>1048050</v>
      </c>
      <c r="AB1142" s="222">
        <v>46077</v>
      </c>
    </row>
    <row r="1143" spans="1:28" ht="17.100000000000001" customHeight="1" thickBot="1">
      <c r="A1143" s="227"/>
      <c r="B1143" s="27" t="s">
        <v>2597</v>
      </c>
      <c r="C1143" s="27">
        <v>3028</v>
      </c>
      <c r="D1143" s="14" t="s">
        <v>273</v>
      </c>
      <c r="E1143" s="229"/>
      <c r="F1143" s="117" t="s">
        <v>3982</v>
      </c>
      <c r="G1143" s="26">
        <v>100900</v>
      </c>
      <c r="H1143" s="231"/>
      <c r="I1143" s="221"/>
      <c r="J1143" s="221"/>
      <c r="K1143" s="221"/>
      <c r="L1143" s="221"/>
      <c r="M1143" s="221"/>
      <c r="N1143" s="221"/>
      <c r="O1143" s="225"/>
      <c r="P1143" s="118" t="s">
        <v>3983</v>
      </c>
      <c r="Q1143" s="16" t="s">
        <v>20</v>
      </c>
      <c r="R1143" s="17" t="s">
        <v>3936</v>
      </c>
      <c r="S1143" s="121" t="s">
        <v>1731</v>
      </c>
      <c r="T1143" s="122"/>
      <c r="U1143" s="22"/>
      <c r="V1143" s="123" t="s">
        <v>2472</v>
      </c>
      <c r="W1143" s="122">
        <v>35678</v>
      </c>
      <c r="X1143" s="221"/>
      <c r="Y1143" s="221"/>
      <c r="Z1143" s="221"/>
      <c r="AA1143" s="221"/>
      <c r="AB1143" s="223"/>
    </row>
    <row r="1144" spans="1:28" ht="17.100000000000001" customHeight="1" thickTop="1">
      <c r="A1144" s="226" t="s">
        <v>6203</v>
      </c>
      <c r="B1144" s="28">
        <v>45856</v>
      </c>
      <c r="C1144" s="25">
        <v>1378</v>
      </c>
      <c r="D1144" s="13" t="s">
        <v>2150</v>
      </c>
      <c r="E1144" s="228"/>
      <c r="F1144" s="109" t="s">
        <v>1854</v>
      </c>
      <c r="G1144" s="24"/>
      <c r="H1144" s="230">
        <v>4.5</v>
      </c>
      <c r="I1144" s="220">
        <v>797000</v>
      </c>
      <c r="J1144" s="220">
        <f>I1144*0.1</f>
        <v>79700</v>
      </c>
      <c r="K1144" s="220">
        <v>0</v>
      </c>
      <c r="L1144" s="220">
        <v>17700</v>
      </c>
      <c r="M1144" s="220">
        <v>13200</v>
      </c>
      <c r="N1144" s="220">
        <f>SUM(I1144:M1145)</f>
        <v>907600</v>
      </c>
      <c r="O1144" s="224"/>
      <c r="P1144" s="110" t="s">
        <v>3984</v>
      </c>
      <c r="Q1144" s="15" t="s">
        <v>19</v>
      </c>
      <c r="R1144" s="205"/>
      <c r="S1144" s="189" t="s">
        <v>1361</v>
      </c>
      <c r="T1144" s="114"/>
      <c r="U1144" s="21"/>
      <c r="V1144" s="115">
        <v>45955</v>
      </c>
      <c r="W1144" s="116">
        <v>1273</v>
      </c>
      <c r="X1144" s="220">
        <v>820000</v>
      </c>
      <c r="Y1144" s="220">
        <f>X1144*0.1</f>
        <v>82000</v>
      </c>
      <c r="Z1144" s="220">
        <v>17700</v>
      </c>
      <c r="AA1144" s="220">
        <f>SUM(X1144:Z1144)</f>
        <v>919700</v>
      </c>
      <c r="AB1144" s="222">
        <v>45965</v>
      </c>
    </row>
    <row r="1145" spans="1:28" ht="17.100000000000001" customHeight="1" thickBot="1">
      <c r="A1145" s="227"/>
      <c r="B1145" s="27" t="s">
        <v>2597</v>
      </c>
      <c r="C1145" s="27">
        <v>3050</v>
      </c>
      <c r="D1145" s="14" t="s">
        <v>131</v>
      </c>
      <c r="E1145" s="229"/>
      <c r="F1145" s="117" t="s">
        <v>3985</v>
      </c>
      <c r="G1145" s="26">
        <v>55675</v>
      </c>
      <c r="H1145" s="231"/>
      <c r="I1145" s="221"/>
      <c r="J1145" s="221"/>
      <c r="K1145" s="221"/>
      <c r="L1145" s="221"/>
      <c r="M1145" s="221"/>
      <c r="N1145" s="221"/>
      <c r="O1145" s="225"/>
      <c r="P1145" s="118" t="s">
        <v>2359</v>
      </c>
      <c r="Q1145" s="16" t="s">
        <v>20</v>
      </c>
      <c r="R1145" s="17" t="s">
        <v>3936</v>
      </c>
      <c r="S1145" s="121" t="s">
        <v>3552</v>
      </c>
      <c r="T1145" s="122"/>
      <c r="U1145" s="22"/>
      <c r="V1145" s="123" t="s">
        <v>6641</v>
      </c>
      <c r="W1145" s="122">
        <v>80049</v>
      </c>
      <c r="X1145" s="221"/>
      <c r="Y1145" s="221"/>
      <c r="Z1145" s="221"/>
      <c r="AA1145" s="221"/>
      <c r="AB1145" s="223"/>
    </row>
    <row r="1146" spans="1:28" ht="17.100000000000001" customHeight="1" thickTop="1">
      <c r="A1146" s="226" t="s">
        <v>6204</v>
      </c>
      <c r="B1146" s="28">
        <v>45859</v>
      </c>
      <c r="C1146" s="25">
        <v>2053</v>
      </c>
      <c r="D1146" s="13" t="s">
        <v>1632</v>
      </c>
      <c r="E1146" s="228"/>
      <c r="F1146" s="109" t="s">
        <v>3986</v>
      </c>
      <c r="G1146" s="24" t="s">
        <v>2487</v>
      </c>
      <c r="H1146" s="230">
        <v>4</v>
      </c>
      <c r="I1146" s="220">
        <v>528000</v>
      </c>
      <c r="J1146" s="220">
        <f>I1146*0.1</f>
        <v>52800</v>
      </c>
      <c r="K1146" s="220">
        <f>26300+2630</f>
        <v>28930</v>
      </c>
      <c r="L1146" s="220">
        <v>17700</v>
      </c>
      <c r="M1146" s="220">
        <v>11000</v>
      </c>
      <c r="N1146" s="220">
        <f>SUM(I1146:M1147)</f>
        <v>638430</v>
      </c>
      <c r="O1146" s="224"/>
      <c r="P1146" s="110" t="s">
        <v>3987</v>
      </c>
      <c r="Q1146" s="15" t="s">
        <v>19</v>
      </c>
      <c r="R1146" s="205"/>
      <c r="S1146" s="189"/>
      <c r="T1146" s="114"/>
      <c r="U1146" s="21"/>
      <c r="V1146" s="115">
        <v>45938</v>
      </c>
      <c r="W1146" s="116"/>
      <c r="X1146" s="220">
        <v>700000</v>
      </c>
      <c r="Y1146" s="220">
        <f>X1146*0.1</f>
        <v>70000</v>
      </c>
      <c r="Z1146" s="220">
        <v>17700</v>
      </c>
      <c r="AA1146" s="220">
        <f>SUM(X1146:Z1146)</f>
        <v>787700</v>
      </c>
      <c r="AB1146" s="222"/>
    </row>
    <row r="1147" spans="1:28" ht="17.100000000000001" customHeight="1" thickBot="1">
      <c r="A1147" s="227"/>
      <c r="B1147" s="27" t="s">
        <v>82</v>
      </c>
      <c r="C1147" s="27">
        <v>34510</v>
      </c>
      <c r="D1147" s="14" t="s">
        <v>273</v>
      </c>
      <c r="E1147" s="229"/>
      <c r="F1147" s="117" t="s">
        <v>3988</v>
      </c>
      <c r="G1147" s="26">
        <v>89220</v>
      </c>
      <c r="H1147" s="231"/>
      <c r="I1147" s="221"/>
      <c r="J1147" s="221"/>
      <c r="K1147" s="221"/>
      <c r="L1147" s="221"/>
      <c r="M1147" s="221"/>
      <c r="N1147" s="221"/>
      <c r="O1147" s="225"/>
      <c r="P1147" s="118" t="s">
        <v>3989</v>
      </c>
      <c r="Q1147" s="16" t="s">
        <v>20</v>
      </c>
      <c r="R1147" s="17" t="s">
        <v>3990</v>
      </c>
      <c r="S1147" s="121" t="s">
        <v>169</v>
      </c>
      <c r="T1147" s="122"/>
      <c r="U1147" s="22"/>
      <c r="V1147" s="123" t="s">
        <v>6682</v>
      </c>
      <c r="W1147" s="122">
        <v>36749</v>
      </c>
      <c r="X1147" s="221"/>
      <c r="Y1147" s="221"/>
      <c r="Z1147" s="221"/>
      <c r="AA1147" s="221"/>
      <c r="AB1147" s="223"/>
    </row>
    <row r="1148" spans="1:28" ht="17.100000000000001" customHeight="1" thickTop="1">
      <c r="A1148" s="226" t="s">
        <v>6205</v>
      </c>
      <c r="B1148" s="28">
        <v>45859</v>
      </c>
      <c r="C1148" s="25"/>
      <c r="D1148" s="13" t="s">
        <v>1634</v>
      </c>
      <c r="E1148" s="228"/>
      <c r="F1148" s="109" t="s">
        <v>3991</v>
      </c>
      <c r="G1148" s="24" t="s">
        <v>3992</v>
      </c>
      <c r="H1148" s="230">
        <v>4.5</v>
      </c>
      <c r="I1148" s="220">
        <f>1347500/1.1</f>
        <v>1225000</v>
      </c>
      <c r="J1148" s="220">
        <f>I1148*0.1</f>
        <v>122500</v>
      </c>
      <c r="K1148" s="220">
        <v>0</v>
      </c>
      <c r="L1148" s="220">
        <v>8550</v>
      </c>
      <c r="M1148" s="220">
        <v>88688</v>
      </c>
      <c r="N1148" s="220">
        <f>SUM(I1148:M1149)</f>
        <v>1444738</v>
      </c>
      <c r="O1148" s="224"/>
      <c r="P1148" s="110" t="s">
        <v>3993</v>
      </c>
      <c r="Q1148" s="15" t="s">
        <v>19</v>
      </c>
      <c r="R1148" s="205"/>
      <c r="S1148" s="189" t="s">
        <v>1276</v>
      </c>
      <c r="T1148" s="114"/>
      <c r="U1148" s="21"/>
      <c r="V1148" s="115">
        <v>45958</v>
      </c>
      <c r="W1148" s="116">
        <v>1915</v>
      </c>
      <c r="X1148" s="220">
        <v>1358000</v>
      </c>
      <c r="Y1148" s="220">
        <f>X1148*0.1</f>
        <v>135800</v>
      </c>
      <c r="Z1148" s="220">
        <v>8550</v>
      </c>
      <c r="AA1148" s="220">
        <f>SUM(X1148:Z1148)</f>
        <v>1502350</v>
      </c>
      <c r="AB1148" s="222">
        <v>45965</v>
      </c>
    </row>
    <row r="1149" spans="1:28" ht="17.100000000000001" customHeight="1" thickBot="1">
      <c r="A1149" s="227"/>
      <c r="B1149" s="27" t="s">
        <v>1708</v>
      </c>
      <c r="C1149" s="27" t="s">
        <v>3994</v>
      </c>
      <c r="D1149" s="14" t="s">
        <v>273</v>
      </c>
      <c r="E1149" s="229"/>
      <c r="F1149" s="117" t="s">
        <v>3995</v>
      </c>
      <c r="G1149" s="26">
        <v>51109</v>
      </c>
      <c r="H1149" s="231"/>
      <c r="I1149" s="221"/>
      <c r="J1149" s="221"/>
      <c r="K1149" s="221"/>
      <c r="L1149" s="221"/>
      <c r="M1149" s="221"/>
      <c r="N1149" s="221"/>
      <c r="O1149" s="225"/>
      <c r="P1149" s="118" t="s">
        <v>3996</v>
      </c>
      <c r="Q1149" s="16" t="s">
        <v>20</v>
      </c>
      <c r="R1149" s="17" t="s">
        <v>3997</v>
      </c>
      <c r="S1149" s="121" t="s">
        <v>1606</v>
      </c>
      <c r="T1149" s="122"/>
      <c r="U1149" s="22"/>
      <c r="V1149" s="123" t="s">
        <v>2103</v>
      </c>
      <c r="W1149" s="122">
        <v>3261</v>
      </c>
      <c r="X1149" s="221"/>
      <c r="Y1149" s="221"/>
      <c r="Z1149" s="221"/>
      <c r="AA1149" s="221"/>
      <c r="AB1149" s="223"/>
    </row>
    <row r="1150" spans="1:28" ht="17.100000000000001" customHeight="1" thickTop="1">
      <c r="A1150" s="226" t="s">
        <v>6206</v>
      </c>
      <c r="B1150" s="28">
        <v>45859</v>
      </c>
      <c r="C1150" s="25"/>
      <c r="D1150" s="13" t="s">
        <v>1988</v>
      </c>
      <c r="E1150" s="228"/>
      <c r="F1150" s="109" t="s">
        <v>3998</v>
      </c>
      <c r="G1150" s="24" t="s">
        <v>3999</v>
      </c>
      <c r="H1150" s="230">
        <v>4</v>
      </c>
      <c r="I1150" s="220">
        <f>1424500/1.1</f>
        <v>1295000</v>
      </c>
      <c r="J1150" s="220">
        <f>I1150*0.1</f>
        <v>129500</v>
      </c>
      <c r="K1150" s="220">
        <v>0</v>
      </c>
      <c r="L1150" s="220">
        <v>8570</v>
      </c>
      <c r="M1150" s="220">
        <v>90613</v>
      </c>
      <c r="N1150" s="220">
        <f>SUM(I1150:M1151)</f>
        <v>1523683</v>
      </c>
      <c r="O1150" s="224"/>
      <c r="P1150" s="110" t="s">
        <v>4000</v>
      </c>
      <c r="Q1150" s="15" t="s">
        <v>19</v>
      </c>
      <c r="R1150" s="205"/>
      <c r="S1150" s="189" t="s">
        <v>1276</v>
      </c>
      <c r="T1150" s="114"/>
      <c r="U1150" s="21" t="s">
        <v>7220</v>
      </c>
      <c r="V1150" s="115">
        <v>45934</v>
      </c>
      <c r="W1150" s="116">
        <v>1270</v>
      </c>
      <c r="X1150" s="220">
        <v>1310000</v>
      </c>
      <c r="Y1150" s="220">
        <f>X1150*0.1</f>
        <v>131000</v>
      </c>
      <c r="Z1150" s="220">
        <v>8570</v>
      </c>
      <c r="AA1150" s="220">
        <f>SUM(X1150:Z1150)</f>
        <v>1449570</v>
      </c>
      <c r="AB1150" s="222">
        <v>45939</v>
      </c>
    </row>
    <row r="1151" spans="1:28" ht="17.100000000000001" customHeight="1" thickBot="1">
      <c r="A1151" s="227"/>
      <c r="B1151" s="27" t="s">
        <v>1708</v>
      </c>
      <c r="C1151" s="27" t="s">
        <v>4001</v>
      </c>
      <c r="D1151" s="14" t="s">
        <v>273</v>
      </c>
      <c r="E1151" s="229"/>
      <c r="F1151" s="117" t="s">
        <v>4002</v>
      </c>
      <c r="G1151" s="26">
        <v>6257</v>
      </c>
      <c r="H1151" s="231"/>
      <c r="I1151" s="221"/>
      <c r="J1151" s="221"/>
      <c r="K1151" s="221"/>
      <c r="L1151" s="221"/>
      <c r="M1151" s="221"/>
      <c r="N1151" s="221"/>
      <c r="O1151" s="225"/>
      <c r="P1151" s="118" t="s">
        <v>4003</v>
      </c>
      <c r="Q1151" s="16" t="s">
        <v>20</v>
      </c>
      <c r="R1151" s="17" t="s">
        <v>2919</v>
      </c>
      <c r="S1151" s="121" t="s">
        <v>2312</v>
      </c>
      <c r="T1151" s="122"/>
      <c r="U1151" s="22"/>
      <c r="V1151" s="123" t="s">
        <v>7160</v>
      </c>
      <c r="W1151" s="122">
        <v>60259</v>
      </c>
      <c r="X1151" s="221"/>
      <c r="Y1151" s="221"/>
      <c r="Z1151" s="221"/>
      <c r="AA1151" s="221"/>
      <c r="AB1151" s="223"/>
    </row>
    <row r="1152" spans="1:28" ht="17.100000000000001" customHeight="1" thickTop="1">
      <c r="A1152" s="226" t="s">
        <v>6207</v>
      </c>
      <c r="B1152" s="28">
        <v>45860</v>
      </c>
      <c r="C1152" s="25">
        <v>900</v>
      </c>
      <c r="D1152" s="13" t="s">
        <v>1640</v>
      </c>
      <c r="E1152" s="228"/>
      <c r="F1152" s="109" t="s">
        <v>3790</v>
      </c>
      <c r="G1152" s="24" t="s">
        <v>2810</v>
      </c>
      <c r="H1152" s="230">
        <v>4</v>
      </c>
      <c r="I1152" s="220">
        <v>358000</v>
      </c>
      <c r="J1152" s="220">
        <f>I1152*0.1</f>
        <v>35800</v>
      </c>
      <c r="K1152" s="220">
        <v>0</v>
      </c>
      <c r="L1152" s="220">
        <v>9070</v>
      </c>
      <c r="M1152" s="220">
        <v>15950</v>
      </c>
      <c r="N1152" s="220">
        <f>SUM(I1152:M1153)</f>
        <v>418820</v>
      </c>
      <c r="O1152" s="224"/>
      <c r="P1152" s="110" t="s">
        <v>4004</v>
      </c>
      <c r="Q1152" s="15" t="s">
        <v>19</v>
      </c>
      <c r="R1152" s="205"/>
      <c r="S1152" s="189"/>
      <c r="T1152" s="114"/>
      <c r="U1152" s="21" t="s">
        <v>4005</v>
      </c>
      <c r="V1152" s="115">
        <v>45948</v>
      </c>
      <c r="W1152" s="116">
        <v>1272</v>
      </c>
      <c r="X1152" s="220">
        <v>365000</v>
      </c>
      <c r="Y1152" s="220">
        <f>X1152*0.1</f>
        <v>36500</v>
      </c>
      <c r="Z1152" s="220">
        <v>9070</v>
      </c>
      <c r="AA1152" s="220">
        <f>SUM(X1152:Z1152)</f>
        <v>410570</v>
      </c>
      <c r="AB1152" s="222">
        <v>45951</v>
      </c>
    </row>
    <row r="1153" spans="1:28" ht="17.100000000000001" customHeight="1" thickBot="1">
      <c r="A1153" s="227"/>
      <c r="B1153" s="27" t="s">
        <v>2654</v>
      </c>
      <c r="C1153" s="27">
        <v>3026</v>
      </c>
      <c r="D1153" s="14" t="s">
        <v>3792</v>
      </c>
      <c r="E1153" s="229"/>
      <c r="F1153" s="117" t="s">
        <v>4006</v>
      </c>
      <c r="G1153" s="26">
        <v>48080</v>
      </c>
      <c r="H1153" s="231"/>
      <c r="I1153" s="221"/>
      <c r="J1153" s="221"/>
      <c r="K1153" s="221"/>
      <c r="L1153" s="221"/>
      <c r="M1153" s="221"/>
      <c r="N1153" s="221"/>
      <c r="O1153" s="225"/>
      <c r="P1153" s="118" t="s">
        <v>4007</v>
      </c>
      <c r="Q1153" s="16" t="s">
        <v>20</v>
      </c>
      <c r="R1153" s="17" t="s">
        <v>2052</v>
      </c>
      <c r="S1153" s="121" t="s">
        <v>4008</v>
      </c>
      <c r="T1153" s="122" t="s">
        <v>3666</v>
      </c>
      <c r="U1153" s="22"/>
      <c r="V1153" s="123" t="s">
        <v>2472</v>
      </c>
      <c r="W1153" s="122">
        <v>60091</v>
      </c>
      <c r="X1153" s="221"/>
      <c r="Y1153" s="221"/>
      <c r="Z1153" s="221"/>
      <c r="AA1153" s="221"/>
      <c r="AB1153" s="223"/>
    </row>
    <row r="1154" spans="1:28" ht="17.100000000000001" customHeight="1" thickTop="1">
      <c r="A1154" s="226" t="s">
        <v>6208</v>
      </c>
      <c r="B1154" s="28">
        <v>45860</v>
      </c>
      <c r="C1154" s="25">
        <v>1015</v>
      </c>
      <c r="D1154" s="13" t="s">
        <v>3269</v>
      </c>
      <c r="E1154" s="228"/>
      <c r="F1154" s="109" t="s">
        <v>4009</v>
      </c>
      <c r="G1154" s="24"/>
      <c r="H1154" s="230">
        <v>4.5</v>
      </c>
      <c r="I1154" s="220">
        <v>850000</v>
      </c>
      <c r="J1154" s="220">
        <f>I1154*0.1</f>
        <v>85000</v>
      </c>
      <c r="K1154" s="220">
        <v>0</v>
      </c>
      <c r="L1154" s="220">
        <v>16240</v>
      </c>
      <c r="M1154" s="220">
        <v>18150</v>
      </c>
      <c r="N1154" s="220">
        <f>SUM(I1154:M1155)</f>
        <v>969390</v>
      </c>
      <c r="O1154" s="224"/>
      <c r="P1154" s="110" t="s">
        <v>4010</v>
      </c>
      <c r="Q1154" s="15" t="s">
        <v>19</v>
      </c>
      <c r="R1154" s="205"/>
      <c r="S1154" s="189" t="s">
        <v>25439</v>
      </c>
      <c r="T1154" s="114"/>
      <c r="U1154" s="21"/>
      <c r="V1154" s="115">
        <v>45945</v>
      </c>
      <c r="W1154" s="116">
        <v>988</v>
      </c>
      <c r="X1154" s="220">
        <v>950000</v>
      </c>
      <c r="Y1154" s="220">
        <f>X1154*0.1</f>
        <v>95000</v>
      </c>
      <c r="Z1154" s="220">
        <v>16240</v>
      </c>
      <c r="AA1154" s="220">
        <f>SUM(X1154:Z1154)</f>
        <v>1061240</v>
      </c>
      <c r="AB1154" s="222">
        <v>45950</v>
      </c>
    </row>
    <row r="1155" spans="1:28" ht="17.100000000000001" customHeight="1" thickBot="1">
      <c r="A1155" s="227"/>
      <c r="B1155" s="27" t="s">
        <v>4011</v>
      </c>
      <c r="C1155" s="27">
        <v>30134</v>
      </c>
      <c r="D1155" s="14" t="s">
        <v>898</v>
      </c>
      <c r="E1155" s="229"/>
      <c r="F1155" s="117" t="s">
        <v>4012</v>
      </c>
      <c r="G1155" s="26">
        <v>37217</v>
      </c>
      <c r="H1155" s="231"/>
      <c r="I1155" s="221"/>
      <c r="J1155" s="221"/>
      <c r="K1155" s="221"/>
      <c r="L1155" s="221"/>
      <c r="M1155" s="221"/>
      <c r="N1155" s="221"/>
      <c r="O1155" s="225"/>
      <c r="P1155" s="118" t="s">
        <v>2870</v>
      </c>
      <c r="Q1155" s="16" t="s">
        <v>20</v>
      </c>
      <c r="R1155" s="17" t="s">
        <v>2475</v>
      </c>
      <c r="S1155" s="121" t="s">
        <v>1606</v>
      </c>
      <c r="T1155" s="122"/>
      <c r="U1155" s="22"/>
      <c r="V1155" s="123" t="s">
        <v>2747</v>
      </c>
      <c r="W1155" s="122">
        <v>6028</v>
      </c>
      <c r="X1155" s="221"/>
      <c r="Y1155" s="221"/>
      <c r="Z1155" s="221"/>
      <c r="AA1155" s="221"/>
      <c r="AB1155" s="223"/>
    </row>
    <row r="1156" spans="1:28" ht="17.100000000000001" customHeight="1" thickTop="1">
      <c r="A1156" s="226" t="s">
        <v>6209</v>
      </c>
      <c r="B1156" s="28">
        <v>45860</v>
      </c>
      <c r="C1156" s="25">
        <v>950</v>
      </c>
      <c r="D1156" s="13" t="s">
        <v>2422</v>
      </c>
      <c r="E1156" s="228"/>
      <c r="F1156" s="109" t="s">
        <v>4013</v>
      </c>
      <c r="G1156" s="24"/>
      <c r="H1156" s="230">
        <v>4</v>
      </c>
      <c r="I1156" s="220">
        <v>628000</v>
      </c>
      <c r="J1156" s="220">
        <v>0</v>
      </c>
      <c r="K1156" s="220">
        <v>0</v>
      </c>
      <c r="L1156" s="220">
        <v>9200</v>
      </c>
      <c r="M1156" s="220">
        <v>22000</v>
      </c>
      <c r="N1156" s="220">
        <f>SUM(I1156:M1157)</f>
        <v>659200</v>
      </c>
      <c r="O1156" s="224"/>
      <c r="P1156" s="110" t="s">
        <v>4014</v>
      </c>
      <c r="Q1156" s="15" t="s">
        <v>19</v>
      </c>
      <c r="R1156" s="205"/>
      <c r="S1156" s="189" t="s">
        <v>25387</v>
      </c>
      <c r="T1156" s="114"/>
      <c r="U1156" s="21"/>
      <c r="V1156" s="115">
        <v>45990</v>
      </c>
      <c r="W1156" s="116">
        <v>1278</v>
      </c>
      <c r="X1156" s="220">
        <v>645000</v>
      </c>
      <c r="Y1156" s="220">
        <f>X1156*0.1</f>
        <v>64500</v>
      </c>
      <c r="Z1156" s="220">
        <v>9200</v>
      </c>
      <c r="AA1156" s="220">
        <f>SUM(X1156:Z1156)</f>
        <v>718700</v>
      </c>
      <c r="AB1156" s="222">
        <v>45994</v>
      </c>
    </row>
    <row r="1157" spans="1:28" ht="17.100000000000001" customHeight="1" thickBot="1">
      <c r="A1157" s="227"/>
      <c r="B1157" s="27" t="s">
        <v>2029</v>
      </c>
      <c r="C1157" s="27">
        <v>298</v>
      </c>
      <c r="D1157" s="14" t="s">
        <v>1710</v>
      </c>
      <c r="E1157" s="229"/>
      <c r="F1157" s="117" t="s">
        <v>4015</v>
      </c>
      <c r="G1157" s="26">
        <v>43075</v>
      </c>
      <c r="H1157" s="231"/>
      <c r="I1157" s="221"/>
      <c r="J1157" s="221"/>
      <c r="K1157" s="221"/>
      <c r="L1157" s="221"/>
      <c r="M1157" s="221"/>
      <c r="N1157" s="221"/>
      <c r="O1157" s="225"/>
      <c r="P1157" s="118" t="s">
        <v>2031</v>
      </c>
      <c r="Q1157" s="16" t="s">
        <v>20</v>
      </c>
      <c r="R1157" s="17" t="s">
        <v>3345</v>
      </c>
      <c r="S1157" s="121" t="s">
        <v>4016</v>
      </c>
      <c r="T1157" s="122"/>
      <c r="U1157" s="22"/>
      <c r="V1157" s="123" t="s">
        <v>2472</v>
      </c>
      <c r="W1157" s="122">
        <v>60201</v>
      </c>
      <c r="X1157" s="221"/>
      <c r="Y1157" s="221"/>
      <c r="Z1157" s="221"/>
      <c r="AA1157" s="221"/>
      <c r="AB1157" s="223"/>
    </row>
    <row r="1158" spans="1:28" ht="17.100000000000001" customHeight="1" thickTop="1">
      <c r="A1158" s="226" t="s">
        <v>6210</v>
      </c>
      <c r="B1158" s="28">
        <v>45861</v>
      </c>
      <c r="C1158" s="25">
        <v>1798</v>
      </c>
      <c r="D1158" s="13" t="s">
        <v>1915</v>
      </c>
      <c r="E1158" s="228"/>
      <c r="F1158" s="109" t="s">
        <v>3953</v>
      </c>
      <c r="G1158" s="24"/>
      <c r="H1158" s="230">
        <v>4.5</v>
      </c>
      <c r="I1158" s="220">
        <v>652000</v>
      </c>
      <c r="J1158" s="220">
        <f>I1158*0.1</f>
        <v>65200</v>
      </c>
      <c r="K1158" s="220">
        <v>0</v>
      </c>
      <c r="L1158" s="220">
        <v>9790</v>
      </c>
      <c r="M1158" s="220">
        <v>18150</v>
      </c>
      <c r="N1158" s="220">
        <f>SUM(I1158:M1159)</f>
        <v>745140</v>
      </c>
      <c r="O1158" s="224"/>
      <c r="P1158" s="110" t="s">
        <v>4017</v>
      </c>
      <c r="Q1158" s="15" t="s">
        <v>19</v>
      </c>
      <c r="R1158" s="205"/>
      <c r="S1158" s="189" t="s">
        <v>25440</v>
      </c>
      <c r="T1158" s="114"/>
      <c r="U1158" s="21"/>
      <c r="V1158" s="115">
        <v>45952</v>
      </c>
      <c r="W1158" s="116">
        <v>989</v>
      </c>
      <c r="X1158" s="220">
        <v>710000</v>
      </c>
      <c r="Y1158" s="220">
        <f>X1158*0.1</f>
        <v>71000</v>
      </c>
      <c r="Z1158" s="220">
        <v>9790</v>
      </c>
      <c r="AA1158" s="220">
        <f>SUM(X1158:Z1158)</f>
        <v>790790</v>
      </c>
      <c r="AB1158" s="222">
        <v>45957</v>
      </c>
    </row>
    <row r="1159" spans="1:28" ht="17.100000000000001" customHeight="1" thickBot="1">
      <c r="A1159" s="227"/>
      <c r="B1159" s="27" t="s">
        <v>2519</v>
      </c>
      <c r="C1159" s="27">
        <v>3283</v>
      </c>
      <c r="D1159" s="14" t="s">
        <v>3955</v>
      </c>
      <c r="E1159" s="229"/>
      <c r="F1159" s="117" t="s">
        <v>4018</v>
      </c>
      <c r="G1159" s="26">
        <v>70350</v>
      </c>
      <c r="H1159" s="231"/>
      <c r="I1159" s="221"/>
      <c r="J1159" s="221"/>
      <c r="K1159" s="221"/>
      <c r="L1159" s="221"/>
      <c r="M1159" s="221"/>
      <c r="N1159" s="221"/>
      <c r="O1159" s="225"/>
      <c r="P1159" s="118" t="s">
        <v>4019</v>
      </c>
      <c r="Q1159" s="16" t="s">
        <v>20</v>
      </c>
      <c r="R1159" s="17" t="s">
        <v>3990</v>
      </c>
      <c r="S1159" s="121" t="s">
        <v>4020</v>
      </c>
      <c r="T1159" s="122"/>
      <c r="U1159" s="22"/>
      <c r="V1159" s="123" t="s">
        <v>2747</v>
      </c>
      <c r="W1159" s="122">
        <v>2007</v>
      </c>
      <c r="X1159" s="221"/>
      <c r="Y1159" s="221"/>
      <c r="Z1159" s="221"/>
      <c r="AA1159" s="221"/>
      <c r="AB1159" s="223"/>
    </row>
    <row r="1160" spans="1:28" ht="17.100000000000001" customHeight="1" thickTop="1">
      <c r="A1160" s="226" t="s">
        <v>6211</v>
      </c>
      <c r="B1160" s="28">
        <v>45864</v>
      </c>
      <c r="C1160" s="25">
        <v>1261</v>
      </c>
      <c r="D1160" s="13" t="s">
        <v>2892</v>
      </c>
      <c r="E1160" s="228"/>
      <c r="F1160" s="109" t="s">
        <v>4021</v>
      </c>
      <c r="G1160" s="24" t="s">
        <v>4022</v>
      </c>
      <c r="H1160" s="230">
        <v>4.5</v>
      </c>
      <c r="I1160" s="220">
        <v>2015000</v>
      </c>
      <c r="J1160" s="220">
        <f>I1160*0.1</f>
        <v>201500</v>
      </c>
      <c r="K1160" s="220">
        <f>26300+2630</f>
        <v>28930</v>
      </c>
      <c r="L1160" s="220">
        <v>22910</v>
      </c>
      <c r="M1160" s="220">
        <v>16500</v>
      </c>
      <c r="N1160" s="220">
        <f>SUM(I1160:M1161)</f>
        <v>2284840</v>
      </c>
      <c r="O1160" s="224"/>
      <c r="P1160" s="110" t="s">
        <v>4023</v>
      </c>
      <c r="Q1160" s="15" t="s">
        <v>19</v>
      </c>
      <c r="R1160" s="205"/>
      <c r="S1160" s="189" t="s">
        <v>1422</v>
      </c>
      <c r="T1160" s="114"/>
      <c r="U1160" s="21"/>
      <c r="V1160" s="115"/>
      <c r="W1160" s="116"/>
      <c r="X1160" s="220"/>
      <c r="Y1160" s="220">
        <f>X1160*0.1</f>
        <v>0</v>
      </c>
      <c r="Z1160" s="220"/>
      <c r="AA1160" s="220">
        <f>SUM(X1160:Z1160)</f>
        <v>0</v>
      </c>
      <c r="AB1160" s="222"/>
    </row>
    <row r="1161" spans="1:28" ht="17.100000000000001" customHeight="1" thickBot="1">
      <c r="A1161" s="227"/>
      <c r="B1161" s="27" t="s">
        <v>2472</v>
      </c>
      <c r="C1161" s="27">
        <v>80306</v>
      </c>
      <c r="D1161" s="14" t="s">
        <v>1584</v>
      </c>
      <c r="E1161" s="229"/>
      <c r="F1161" s="117" t="s">
        <v>4024</v>
      </c>
      <c r="G1161" s="26">
        <v>51605</v>
      </c>
      <c r="H1161" s="231"/>
      <c r="I1161" s="221"/>
      <c r="J1161" s="221"/>
      <c r="K1161" s="221"/>
      <c r="L1161" s="221"/>
      <c r="M1161" s="221"/>
      <c r="N1161" s="221"/>
      <c r="O1161" s="225"/>
      <c r="P1161" s="118" t="s">
        <v>1844</v>
      </c>
      <c r="Q1161" s="16" t="s">
        <v>20</v>
      </c>
      <c r="R1161" s="17" t="s">
        <v>2894</v>
      </c>
      <c r="S1161" s="121" t="s">
        <v>1606</v>
      </c>
      <c r="T1161" s="122"/>
      <c r="U1161" s="22" t="s">
        <v>50</v>
      </c>
      <c r="V1161" s="123"/>
      <c r="W1161" s="122"/>
      <c r="X1161" s="221"/>
      <c r="Y1161" s="221"/>
      <c r="Z1161" s="221"/>
      <c r="AA1161" s="221"/>
      <c r="AB1161" s="223"/>
    </row>
    <row r="1162" spans="1:28" ht="17.100000000000001" customHeight="1" thickTop="1">
      <c r="A1162" s="226" t="s">
        <v>6212</v>
      </c>
      <c r="B1162" s="28">
        <v>45866</v>
      </c>
      <c r="C1162" s="25">
        <v>1172</v>
      </c>
      <c r="D1162" s="13" t="s">
        <v>2422</v>
      </c>
      <c r="E1162" s="228"/>
      <c r="F1162" s="109" t="s">
        <v>1854</v>
      </c>
      <c r="G1162" s="24" t="s">
        <v>4025</v>
      </c>
      <c r="H1162" s="230">
        <v>4</v>
      </c>
      <c r="I1162" s="220">
        <v>865000</v>
      </c>
      <c r="J1162" s="220">
        <f>I1162*0.1</f>
        <v>86500</v>
      </c>
      <c r="K1162" s="220">
        <f>26300+2630</f>
        <v>28930</v>
      </c>
      <c r="L1162" s="220">
        <v>17700</v>
      </c>
      <c r="M1162" s="220">
        <v>15950</v>
      </c>
      <c r="N1162" s="220">
        <f>SUM(I1162:M1163)</f>
        <v>1014080</v>
      </c>
      <c r="O1162" s="224"/>
      <c r="P1162" s="110" t="s">
        <v>4026</v>
      </c>
      <c r="Q1162" s="15" t="s">
        <v>19</v>
      </c>
      <c r="R1162" s="205"/>
      <c r="S1162" s="189" t="s">
        <v>758</v>
      </c>
      <c r="T1162" s="114"/>
      <c r="U1162" s="21" t="s">
        <v>4027</v>
      </c>
      <c r="V1162" s="115">
        <v>45941</v>
      </c>
      <c r="W1162" s="116">
        <v>1271</v>
      </c>
      <c r="X1162" s="220">
        <v>970000</v>
      </c>
      <c r="Y1162" s="220">
        <f>X1162*0.1</f>
        <v>97000</v>
      </c>
      <c r="Z1162" s="220">
        <v>17700</v>
      </c>
      <c r="AA1162" s="220">
        <f>SUM(X1162:Z1162)</f>
        <v>1084700</v>
      </c>
      <c r="AB1162" s="222">
        <v>45944</v>
      </c>
    </row>
    <row r="1163" spans="1:28" ht="17.100000000000001" customHeight="1" thickBot="1">
      <c r="A1163" s="227"/>
      <c r="B1163" s="27" t="s">
        <v>4028</v>
      </c>
      <c r="C1163" s="27">
        <v>10018</v>
      </c>
      <c r="D1163" s="14" t="s">
        <v>1568</v>
      </c>
      <c r="E1163" s="229"/>
      <c r="F1163" s="117" t="s">
        <v>4029</v>
      </c>
      <c r="G1163" s="26">
        <v>42949</v>
      </c>
      <c r="H1163" s="231"/>
      <c r="I1163" s="221"/>
      <c r="J1163" s="221"/>
      <c r="K1163" s="221"/>
      <c r="L1163" s="221"/>
      <c r="M1163" s="221"/>
      <c r="N1163" s="221"/>
      <c r="O1163" s="225"/>
      <c r="P1163" s="118" t="s">
        <v>4030</v>
      </c>
      <c r="Q1163" s="16" t="s">
        <v>20</v>
      </c>
      <c r="R1163" s="17" t="s">
        <v>2813</v>
      </c>
      <c r="S1163" s="121" t="s">
        <v>4031</v>
      </c>
      <c r="T1163" s="122"/>
      <c r="U1163" s="22"/>
      <c r="V1163" s="123" t="s">
        <v>2472</v>
      </c>
      <c r="W1163" s="122">
        <v>80024</v>
      </c>
      <c r="X1163" s="221"/>
      <c r="Y1163" s="221"/>
      <c r="Z1163" s="221"/>
      <c r="AA1163" s="221"/>
      <c r="AB1163" s="223"/>
    </row>
    <row r="1164" spans="1:28" ht="17.100000000000001" customHeight="1" thickTop="1">
      <c r="A1164" s="226" t="s">
        <v>6213</v>
      </c>
      <c r="B1164" s="28">
        <v>45867</v>
      </c>
      <c r="C1164" s="25">
        <v>1055</v>
      </c>
      <c r="D1164" s="13" t="s">
        <v>1915</v>
      </c>
      <c r="E1164" s="228"/>
      <c r="F1164" s="109" t="s">
        <v>4032</v>
      </c>
      <c r="G1164" s="24"/>
      <c r="H1164" s="230">
        <v>4.5</v>
      </c>
      <c r="I1164" s="220">
        <v>1075000</v>
      </c>
      <c r="J1164" s="220">
        <f>I1164*0.1</f>
        <v>107500</v>
      </c>
      <c r="K1164" s="220">
        <v>0</v>
      </c>
      <c r="L1164" s="220">
        <v>19330</v>
      </c>
      <c r="M1164" s="220">
        <v>16500</v>
      </c>
      <c r="N1164" s="220">
        <f>SUM(I1164:M1165)</f>
        <v>1218330</v>
      </c>
      <c r="O1164" s="224"/>
      <c r="P1164" s="110" t="s">
        <v>4033</v>
      </c>
      <c r="Q1164" s="15" t="s">
        <v>19</v>
      </c>
      <c r="R1164" s="205"/>
      <c r="S1164" s="189" t="s">
        <v>1361</v>
      </c>
      <c r="T1164" s="114"/>
      <c r="U1164" s="21"/>
      <c r="V1164" s="115"/>
      <c r="W1164" s="116"/>
      <c r="X1164" s="220"/>
      <c r="Y1164" s="220">
        <f>X1164*0.1</f>
        <v>0</v>
      </c>
      <c r="Z1164" s="220"/>
      <c r="AA1164" s="220">
        <f>SUM(X1164:Z1164)</f>
        <v>0</v>
      </c>
      <c r="AB1164" s="222"/>
    </row>
    <row r="1165" spans="1:28" ht="17.100000000000001" customHeight="1" thickBot="1">
      <c r="A1165" s="227"/>
      <c r="B1165" s="27" t="s">
        <v>1583</v>
      </c>
      <c r="C1165" s="27">
        <v>84288</v>
      </c>
      <c r="D1165" s="14" t="s">
        <v>273</v>
      </c>
      <c r="E1165" s="229"/>
      <c r="F1165" s="117" t="s">
        <v>4034</v>
      </c>
      <c r="G1165" s="26">
        <v>36397</v>
      </c>
      <c r="H1165" s="231"/>
      <c r="I1165" s="221"/>
      <c r="J1165" s="221"/>
      <c r="K1165" s="221"/>
      <c r="L1165" s="221"/>
      <c r="M1165" s="221"/>
      <c r="N1165" s="221"/>
      <c r="O1165" s="225"/>
      <c r="P1165" s="118" t="s">
        <v>1972</v>
      </c>
      <c r="Q1165" s="16" t="s">
        <v>20</v>
      </c>
      <c r="R1165" s="17" t="s">
        <v>3859</v>
      </c>
      <c r="S1165" s="121" t="s">
        <v>4035</v>
      </c>
      <c r="T1165" s="122"/>
      <c r="U1165" s="22"/>
      <c r="V1165" s="123"/>
      <c r="W1165" s="122"/>
      <c r="X1165" s="221"/>
      <c r="Y1165" s="221"/>
      <c r="Z1165" s="221"/>
      <c r="AA1165" s="221"/>
      <c r="AB1165" s="223"/>
    </row>
    <row r="1166" spans="1:28" ht="17.100000000000001" customHeight="1" thickTop="1">
      <c r="A1166" s="226" t="s">
        <v>6214</v>
      </c>
      <c r="B1166" s="28">
        <v>45869</v>
      </c>
      <c r="C1166" s="25">
        <v>1988</v>
      </c>
      <c r="D1166" s="13" t="s">
        <v>4036</v>
      </c>
      <c r="E1166" s="228"/>
      <c r="F1166" s="109" t="s">
        <v>4037</v>
      </c>
      <c r="G1166" s="24" t="s">
        <v>4038</v>
      </c>
      <c r="H1166" s="230">
        <v>3.5</v>
      </c>
      <c r="I1166" s="220">
        <v>562000</v>
      </c>
      <c r="J1166" s="220">
        <f>I1166*0.1</f>
        <v>56200</v>
      </c>
      <c r="K1166" s="220">
        <v>0</v>
      </c>
      <c r="L1166" s="220">
        <v>10070</v>
      </c>
      <c r="M1166" s="220">
        <v>22000</v>
      </c>
      <c r="N1166" s="220">
        <f>SUM(I1166:M1167)</f>
        <v>650270</v>
      </c>
      <c r="O1166" s="224"/>
      <c r="P1166" s="110" t="s">
        <v>4039</v>
      </c>
      <c r="Q1166" s="15" t="s">
        <v>19</v>
      </c>
      <c r="R1166" s="205"/>
      <c r="S1166" s="189" t="s">
        <v>1271</v>
      </c>
      <c r="T1166" s="114"/>
      <c r="U1166" s="21" t="s">
        <v>4040</v>
      </c>
      <c r="V1166" s="115">
        <v>45955</v>
      </c>
      <c r="W1166" s="116">
        <v>1273</v>
      </c>
      <c r="X1166" s="220">
        <v>585000</v>
      </c>
      <c r="Y1166" s="220">
        <f>X1166*0.1</f>
        <v>58500</v>
      </c>
      <c r="Z1166" s="220">
        <v>10070</v>
      </c>
      <c r="AA1166" s="220">
        <f>SUM(X1166:Z1166)</f>
        <v>653570</v>
      </c>
      <c r="AB1166" s="222">
        <v>45958</v>
      </c>
    </row>
    <row r="1167" spans="1:28" ht="17.100000000000001" customHeight="1" thickBot="1">
      <c r="A1167" s="227"/>
      <c r="B1167" s="27" t="s">
        <v>2171</v>
      </c>
      <c r="C1167" s="27">
        <v>50204</v>
      </c>
      <c r="D1167" s="14" t="s">
        <v>1710</v>
      </c>
      <c r="E1167" s="229"/>
      <c r="F1167" s="117" t="s">
        <v>4041</v>
      </c>
      <c r="G1167" s="26">
        <v>50640</v>
      </c>
      <c r="H1167" s="231"/>
      <c r="I1167" s="221"/>
      <c r="J1167" s="221"/>
      <c r="K1167" s="221"/>
      <c r="L1167" s="221"/>
      <c r="M1167" s="221"/>
      <c r="N1167" s="221"/>
      <c r="O1167" s="225"/>
      <c r="P1167" s="118" t="s">
        <v>2870</v>
      </c>
      <c r="Q1167" s="16" t="s">
        <v>20</v>
      </c>
      <c r="R1167" s="17" t="s">
        <v>2038</v>
      </c>
      <c r="S1167" s="121" t="s">
        <v>1731</v>
      </c>
      <c r="T1167" s="122" t="s">
        <v>3666</v>
      </c>
      <c r="U1167" s="22"/>
      <c r="V1167" s="123" t="s">
        <v>2472</v>
      </c>
      <c r="W1167" s="122">
        <v>60215</v>
      </c>
      <c r="X1167" s="221"/>
      <c r="Y1167" s="221"/>
      <c r="Z1167" s="221"/>
      <c r="AA1167" s="221"/>
      <c r="AB1167" s="223"/>
    </row>
    <row r="1168" spans="1:28" ht="17.100000000000001" customHeight="1" thickTop="1">
      <c r="A1168" s="226" t="s">
        <v>6215</v>
      </c>
      <c r="B1168" s="28">
        <v>45869</v>
      </c>
      <c r="C1168" s="25">
        <v>1988</v>
      </c>
      <c r="D1168" s="13" t="s">
        <v>2336</v>
      </c>
      <c r="E1168" s="228"/>
      <c r="F1168" s="109" t="s">
        <v>4042</v>
      </c>
      <c r="G1168" s="24"/>
      <c r="H1168" s="230">
        <v>4</v>
      </c>
      <c r="I1168" s="220">
        <v>120000</v>
      </c>
      <c r="J1168" s="220">
        <f>I1168*0.1</f>
        <v>12000</v>
      </c>
      <c r="K1168" s="220">
        <v>0</v>
      </c>
      <c r="L1168" s="220">
        <v>9880</v>
      </c>
      <c r="M1168" s="220">
        <v>22000</v>
      </c>
      <c r="N1168" s="220">
        <f>SUM(I1168:M1169)</f>
        <v>163880</v>
      </c>
      <c r="O1168" s="224"/>
      <c r="P1168" s="110" t="s">
        <v>4043</v>
      </c>
      <c r="Q1168" s="15" t="s">
        <v>19</v>
      </c>
      <c r="R1168" s="205"/>
      <c r="S1168" s="189"/>
      <c r="T1168" s="114"/>
      <c r="U1168" s="21"/>
      <c r="V1168" s="115">
        <v>46046</v>
      </c>
      <c r="W1168" s="116">
        <v>1285</v>
      </c>
      <c r="X1168" s="220">
        <v>110000</v>
      </c>
      <c r="Y1168" s="220">
        <f>X1168*0.1</f>
        <v>11000</v>
      </c>
      <c r="Z1168" s="220">
        <v>9880</v>
      </c>
      <c r="AA1168" s="220">
        <f>SUM(X1168:Z1168)</f>
        <v>130880</v>
      </c>
      <c r="AB1168" s="222">
        <v>46049</v>
      </c>
    </row>
    <row r="1169" spans="1:28" ht="17.100000000000001" customHeight="1" thickBot="1">
      <c r="A1169" s="227"/>
      <c r="B1169" s="27" t="s">
        <v>2171</v>
      </c>
      <c r="C1169" s="27">
        <v>90174</v>
      </c>
      <c r="D1169" s="14" t="s">
        <v>131</v>
      </c>
      <c r="E1169" s="229"/>
      <c r="F1169" s="117" t="s">
        <v>4044</v>
      </c>
      <c r="G1169" s="26">
        <v>48374</v>
      </c>
      <c r="H1169" s="231"/>
      <c r="I1169" s="221"/>
      <c r="J1169" s="221"/>
      <c r="K1169" s="221"/>
      <c r="L1169" s="221"/>
      <c r="M1169" s="221"/>
      <c r="N1169" s="221"/>
      <c r="O1169" s="225"/>
      <c r="P1169" s="118" t="s">
        <v>4045</v>
      </c>
      <c r="Q1169" s="16" t="s">
        <v>20</v>
      </c>
      <c r="R1169" s="17" t="s">
        <v>2038</v>
      </c>
      <c r="S1169" s="121"/>
      <c r="T1169" s="122"/>
      <c r="U1169" s="22"/>
      <c r="V1169" s="123" t="s">
        <v>2472</v>
      </c>
      <c r="W1169" s="122">
        <v>60092</v>
      </c>
      <c r="X1169" s="221"/>
      <c r="Y1169" s="221"/>
      <c r="Z1169" s="221"/>
      <c r="AA1169" s="221"/>
      <c r="AB1169" s="223"/>
    </row>
    <row r="1170" spans="1:28" ht="17.100000000000001" customHeight="1" thickTop="1">
      <c r="A1170" s="226" t="s">
        <v>6216</v>
      </c>
      <c r="B1170" s="28">
        <v>45869</v>
      </c>
      <c r="C1170" s="25">
        <v>1527</v>
      </c>
      <c r="D1170" s="13" t="s">
        <v>1531</v>
      </c>
      <c r="E1170" s="228"/>
      <c r="F1170" s="109" t="s">
        <v>4046</v>
      </c>
      <c r="G1170" s="24" t="s">
        <v>4047</v>
      </c>
      <c r="H1170" s="230">
        <v>4.5</v>
      </c>
      <c r="I1170" s="220">
        <v>3400000</v>
      </c>
      <c r="J1170" s="220">
        <f>I1170*0.1</f>
        <v>340000</v>
      </c>
      <c r="K1170" s="220">
        <f>34000+3400</f>
        <v>37400</v>
      </c>
      <c r="L1170" s="220">
        <v>23490</v>
      </c>
      <c r="M1170" s="220">
        <v>27500</v>
      </c>
      <c r="N1170" s="220">
        <f>SUM(I1170:M1171)</f>
        <v>3828390</v>
      </c>
      <c r="O1170" s="224"/>
      <c r="P1170" s="110" t="s">
        <v>4048</v>
      </c>
      <c r="Q1170" s="15" t="s">
        <v>19</v>
      </c>
      <c r="R1170" s="205"/>
      <c r="S1170" s="189" t="s">
        <v>1271</v>
      </c>
      <c r="T1170" s="114"/>
      <c r="U1170" s="21"/>
      <c r="V1170" s="115">
        <v>46370</v>
      </c>
      <c r="W1170" s="116"/>
      <c r="X1170" s="220">
        <v>5490000</v>
      </c>
      <c r="Y1170" s="220">
        <v>0</v>
      </c>
      <c r="Z1170" s="220">
        <v>0</v>
      </c>
      <c r="AA1170" s="220">
        <f>SUM(X1170:Z1170)</f>
        <v>5490000</v>
      </c>
      <c r="AB1170" s="222">
        <v>46040</v>
      </c>
    </row>
    <row r="1171" spans="1:28" ht="17.100000000000001" customHeight="1" thickBot="1">
      <c r="A1171" s="227"/>
      <c r="B1171" s="27" t="s">
        <v>1592</v>
      </c>
      <c r="C1171" s="27">
        <v>75221</v>
      </c>
      <c r="D1171" s="14" t="s">
        <v>1627</v>
      </c>
      <c r="E1171" s="229"/>
      <c r="F1171" s="117" t="s">
        <v>4049</v>
      </c>
      <c r="G1171" s="26">
        <v>45685</v>
      </c>
      <c r="H1171" s="231"/>
      <c r="I1171" s="221"/>
      <c r="J1171" s="221"/>
      <c r="K1171" s="221"/>
      <c r="L1171" s="221"/>
      <c r="M1171" s="221"/>
      <c r="N1171" s="221"/>
      <c r="O1171" s="225"/>
      <c r="P1171" s="118" t="s">
        <v>1972</v>
      </c>
      <c r="Q1171" s="16" t="s">
        <v>20</v>
      </c>
      <c r="R1171" s="17" t="s">
        <v>2038</v>
      </c>
      <c r="S1171" s="121" t="s">
        <v>1731</v>
      </c>
      <c r="T1171" s="122"/>
      <c r="U1171" s="22" t="s">
        <v>901</v>
      </c>
      <c r="V1171" s="123" t="s">
        <v>13702</v>
      </c>
      <c r="W1171" s="122"/>
      <c r="X1171" s="221"/>
      <c r="Y1171" s="221"/>
      <c r="Z1171" s="221"/>
      <c r="AA1171" s="221"/>
      <c r="AB1171" s="223"/>
    </row>
    <row r="1172" spans="1:28" ht="17.100000000000001" customHeight="1" thickTop="1">
      <c r="A1172" s="226" t="s">
        <v>6217</v>
      </c>
      <c r="B1172" s="28">
        <v>45869</v>
      </c>
      <c r="C1172" s="25">
        <v>1527</v>
      </c>
      <c r="D1172" s="13" t="s">
        <v>4050</v>
      </c>
      <c r="E1172" s="228"/>
      <c r="F1172" s="109" t="s">
        <v>4051</v>
      </c>
      <c r="G1172" s="24" t="s">
        <v>4052</v>
      </c>
      <c r="H1172" s="230">
        <v>4.5</v>
      </c>
      <c r="I1172" s="220">
        <v>2270000</v>
      </c>
      <c r="J1172" s="220">
        <f>I1172*0.1</f>
        <v>227000</v>
      </c>
      <c r="K1172" s="220">
        <f>26300+2630</f>
        <v>28930</v>
      </c>
      <c r="L1172" s="220">
        <v>21100</v>
      </c>
      <c r="M1172" s="220">
        <v>16500</v>
      </c>
      <c r="N1172" s="220">
        <f>SUM(I1172:M1173)</f>
        <v>2563530</v>
      </c>
      <c r="O1172" s="224"/>
      <c r="P1172" s="110" t="s">
        <v>4053</v>
      </c>
      <c r="Q1172" s="15" t="s">
        <v>19</v>
      </c>
      <c r="R1172" s="205"/>
      <c r="S1172" s="189" t="s">
        <v>1422</v>
      </c>
      <c r="T1172" s="114"/>
      <c r="U1172" s="21" t="s">
        <v>4054</v>
      </c>
      <c r="V1172" s="115">
        <v>45915</v>
      </c>
      <c r="W1172" s="116"/>
      <c r="X1172" s="220">
        <v>3590000</v>
      </c>
      <c r="Y1172" s="220">
        <v>0</v>
      </c>
      <c r="Z1172" s="220">
        <v>0</v>
      </c>
      <c r="AA1172" s="220">
        <f>SUM(X1172:Z1172)</f>
        <v>3590000</v>
      </c>
      <c r="AB1172" s="222">
        <v>45956</v>
      </c>
    </row>
    <row r="1173" spans="1:28" ht="17.100000000000001" customHeight="1" thickBot="1">
      <c r="A1173" s="227"/>
      <c r="B1173" s="27" t="s">
        <v>1592</v>
      </c>
      <c r="C1173" s="27">
        <v>76026</v>
      </c>
      <c r="D1173" s="14" t="s">
        <v>2559</v>
      </c>
      <c r="E1173" s="229"/>
      <c r="F1173" s="117" t="s">
        <v>4055</v>
      </c>
      <c r="G1173" s="26">
        <v>13360</v>
      </c>
      <c r="H1173" s="231"/>
      <c r="I1173" s="221"/>
      <c r="J1173" s="221"/>
      <c r="K1173" s="221"/>
      <c r="L1173" s="221"/>
      <c r="M1173" s="221"/>
      <c r="N1173" s="221"/>
      <c r="O1173" s="225"/>
      <c r="P1173" s="118" t="s">
        <v>4056</v>
      </c>
      <c r="Q1173" s="16" t="s">
        <v>20</v>
      </c>
      <c r="R1173" s="17" t="s">
        <v>2038</v>
      </c>
      <c r="S1173" s="121" t="s">
        <v>1606</v>
      </c>
      <c r="T1173" s="122"/>
      <c r="U1173" s="22"/>
      <c r="V1173" s="123" t="s">
        <v>13721</v>
      </c>
      <c r="W1173" s="122"/>
      <c r="X1173" s="221"/>
      <c r="Y1173" s="221"/>
      <c r="Z1173" s="221"/>
      <c r="AA1173" s="221"/>
      <c r="AB1173" s="223"/>
    </row>
    <row r="1174" spans="1:28" ht="17.100000000000001" customHeight="1" thickTop="1">
      <c r="A1174" s="226" t="s">
        <v>6218</v>
      </c>
      <c r="B1174" s="28">
        <v>45869</v>
      </c>
      <c r="C1174" s="25">
        <v>2120</v>
      </c>
      <c r="D1174" s="13" t="s">
        <v>1615</v>
      </c>
      <c r="E1174" s="228"/>
      <c r="F1174" s="109" t="s">
        <v>4057</v>
      </c>
      <c r="G1174" s="24" t="s">
        <v>4058</v>
      </c>
      <c r="H1174" s="230">
        <v>4</v>
      </c>
      <c r="I1174" s="220">
        <v>324000</v>
      </c>
      <c r="J1174" s="220">
        <f>I1174*0.1</f>
        <v>32400</v>
      </c>
      <c r="K1174" s="220">
        <v>0</v>
      </c>
      <c r="L1174" s="220">
        <v>7750</v>
      </c>
      <c r="M1174" s="220">
        <v>13750</v>
      </c>
      <c r="N1174" s="220">
        <f>SUM(I1174:M1175)</f>
        <v>377900</v>
      </c>
      <c r="O1174" s="224"/>
      <c r="P1174" s="110" t="s">
        <v>4059</v>
      </c>
      <c r="Q1174" s="15" t="s">
        <v>19</v>
      </c>
      <c r="R1174" s="205"/>
      <c r="S1174" s="189" t="s">
        <v>25441</v>
      </c>
      <c r="T1174" s="114"/>
      <c r="U1174" s="21"/>
      <c r="V1174" s="115">
        <v>46011</v>
      </c>
      <c r="W1174" s="116">
        <v>1281</v>
      </c>
      <c r="X1174" s="220">
        <v>330000</v>
      </c>
      <c r="Y1174" s="220">
        <f>X1174*0.1</f>
        <v>33000</v>
      </c>
      <c r="Z1174" s="220">
        <v>7750</v>
      </c>
      <c r="AA1174" s="220">
        <f>SUM(X1174:Z1174)</f>
        <v>370750</v>
      </c>
      <c r="AB1174" s="222">
        <v>46014</v>
      </c>
    </row>
    <row r="1175" spans="1:28" ht="17.100000000000001" customHeight="1" thickBot="1">
      <c r="A1175" s="227"/>
      <c r="B1175" s="27" t="s">
        <v>3228</v>
      </c>
      <c r="C1175" s="27">
        <v>2133</v>
      </c>
      <c r="D1175" s="14" t="s">
        <v>3792</v>
      </c>
      <c r="E1175" s="229"/>
      <c r="F1175" s="117" t="s">
        <v>4060</v>
      </c>
      <c r="G1175" s="26">
        <v>46533</v>
      </c>
      <c r="H1175" s="231"/>
      <c r="I1175" s="221"/>
      <c r="J1175" s="221"/>
      <c r="K1175" s="221"/>
      <c r="L1175" s="221"/>
      <c r="M1175" s="221"/>
      <c r="N1175" s="221"/>
      <c r="O1175" s="225"/>
      <c r="P1175" s="118" t="s">
        <v>4061</v>
      </c>
      <c r="Q1175" s="16" t="s">
        <v>20</v>
      </c>
      <c r="R1175" s="17" t="s">
        <v>2038</v>
      </c>
      <c r="S1175" s="121" t="s">
        <v>4062</v>
      </c>
      <c r="T1175" s="122"/>
      <c r="U1175" s="22"/>
      <c r="V1175" s="123" t="s">
        <v>2472</v>
      </c>
      <c r="W1175" s="122">
        <v>60196</v>
      </c>
      <c r="X1175" s="221"/>
      <c r="Y1175" s="221"/>
      <c r="Z1175" s="221"/>
      <c r="AA1175" s="221"/>
      <c r="AB1175" s="223"/>
    </row>
    <row r="1176" spans="1:28" ht="17.100000000000001" customHeight="1" thickTop="1">
      <c r="A1176" s="226" t="s">
        <v>6219</v>
      </c>
      <c r="B1176" s="28">
        <v>45869</v>
      </c>
      <c r="C1176" s="25">
        <v>2120</v>
      </c>
      <c r="D1176" s="13" t="s">
        <v>4063</v>
      </c>
      <c r="E1176" s="228"/>
      <c r="F1176" s="109" t="s">
        <v>4064</v>
      </c>
      <c r="G1176" s="24"/>
      <c r="H1176" s="230">
        <v>4</v>
      </c>
      <c r="I1176" s="220">
        <v>1206000</v>
      </c>
      <c r="J1176" s="220">
        <f>I1176*0.1</f>
        <v>120600</v>
      </c>
      <c r="K1176" s="220">
        <v>0</v>
      </c>
      <c r="L1176" s="220">
        <v>6830</v>
      </c>
      <c r="M1176" s="220">
        <v>13750</v>
      </c>
      <c r="N1176" s="220">
        <f>SUM(I1176:M1177)</f>
        <v>1347180</v>
      </c>
      <c r="O1176" s="224"/>
      <c r="P1176" s="110" t="s">
        <v>4065</v>
      </c>
      <c r="Q1176" s="15" t="s">
        <v>19</v>
      </c>
      <c r="R1176" s="205"/>
      <c r="S1176" s="189" t="s">
        <v>529</v>
      </c>
      <c r="T1176" s="114"/>
      <c r="U1176" s="21"/>
      <c r="V1176" s="115">
        <v>45931</v>
      </c>
      <c r="W1176" s="116">
        <v>986</v>
      </c>
      <c r="X1176" s="220">
        <v>1280000</v>
      </c>
      <c r="Y1176" s="220">
        <f>X1176*0.1</f>
        <v>128000</v>
      </c>
      <c r="Z1176" s="220">
        <v>6830</v>
      </c>
      <c r="AA1176" s="220">
        <f>SUM(X1176:Z1176)</f>
        <v>1414830</v>
      </c>
      <c r="AB1176" s="222">
        <v>45937</v>
      </c>
    </row>
    <row r="1177" spans="1:28" ht="17.100000000000001" customHeight="1" thickBot="1">
      <c r="A1177" s="227"/>
      <c r="B1177" s="27" t="s">
        <v>3228</v>
      </c>
      <c r="C1177" s="27">
        <v>2553</v>
      </c>
      <c r="D1177" s="14" t="s">
        <v>3792</v>
      </c>
      <c r="E1177" s="229"/>
      <c r="F1177" s="117" t="s">
        <v>4066</v>
      </c>
      <c r="G1177" s="26">
        <v>37773</v>
      </c>
      <c r="H1177" s="231"/>
      <c r="I1177" s="221"/>
      <c r="J1177" s="221"/>
      <c r="K1177" s="221"/>
      <c r="L1177" s="221"/>
      <c r="M1177" s="221"/>
      <c r="N1177" s="221"/>
      <c r="O1177" s="225"/>
      <c r="P1177" s="118" t="s">
        <v>2404</v>
      </c>
      <c r="Q1177" s="16" t="s">
        <v>20</v>
      </c>
      <c r="R1177" s="17" t="s">
        <v>2038</v>
      </c>
      <c r="S1177" s="121" t="s">
        <v>4067</v>
      </c>
      <c r="T1177" s="122"/>
      <c r="U1177" s="22"/>
      <c r="V1177" s="123" t="s">
        <v>2747</v>
      </c>
      <c r="W1177" s="122">
        <v>2026</v>
      </c>
      <c r="X1177" s="221"/>
      <c r="Y1177" s="221"/>
      <c r="Z1177" s="221"/>
      <c r="AA1177" s="221"/>
      <c r="AB1177" s="223"/>
    </row>
    <row r="1178" spans="1:28" ht="17.100000000000001" customHeight="1" thickTop="1">
      <c r="A1178" s="226" t="s">
        <v>6220</v>
      </c>
      <c r="B1178" s="28">
        <v>45869</v>
      </c>
      <c r="C1178" s="25">
        <v>2120</v>
      </c>
      <c r="D1178" s="13" t="s">
        <v>2866</v>
      </c>
      <c r="E1178" s="228"/>
      <c r="F1178" s="109" t="s">
        <v>4068</v>
      </c>
      <c r="G1178" s="24"/>
      <c r="H1178" s="230">
        <v>4</v>
      </c>
      <c r="I1178" s="220">
        <v>1132000</v>
      </c>
      <c r="J1178" s="220">
        <f>I1178*0.1</f>
        <v>113200</v>
      </c>
      <c r="K1178" s="220">
        <v>0</v>
      </c>
      <c r="L1178" s="220">
        <v>8110</v>
      </c>
      <c r="M1178" s="220">
        <v>13750</v>
      </c>
      <c r="N1178" s="220">
        <f>SUM(I1178:M1179)</f>
        <v>1267060</v>
      </c>
      <c r="O1178" s="224"/>
      <c r="P1178" s="110" t="s">
        <v>4069</v>
      </c>
      <c r="Q1178" s="15" t="s">
        <v>19</v>
      </c>
      <c r="R1178" s="205"/>
      <c r="S1178" s="189"/>
      <c r="T1178" s="114"/>
      <c r="U1178" s="21"/>
      <c r="V1178" s="115">
        <v>45938</v>
      </c>
      <c r="W1178" s="116">
        <v>987</v>
      </c>
      <c r="X1178" s="220">
        <v>1210000</v>
      </c>
      <c r="Y1178" s="220">
        <f>X1178*0.1</f>
        <v>121000</v>
      </c>
      <c r="Z1178" s="220">
        <v>8110</v>
      </c>
      <c r="AA1178" s="220">
        <f>SUM(X1178:Z1178)</f>
        <v>1339110</v>
      </c>
      <c r="AB1178" s="222">
        <v>45944</v>
      </c>
    </row>
    <row r="1179" spans="1:28" ht="17.100000000000001" customHeight="1" thickBot="1">
      <c r="A1179" s="227"/>
      <c r="B1179" s="27" t="s">
        <v>3228</v>
      </c>
      <c r="C1179" s="27">
        <v>2579</v>
      </c>
      <c r="D1179" s="14" t="s">
        <v>2559</v>
      </c>
      <c r="E1179" s="229"/>
      <c r="F1179" s="117" t="s">
        <v>4070</v>
      </c>
      <c r="G1179" s="26">
        <v>31930</v>
      </c>
      <c r="H1179" s="231"/>
      <c r="I1179" s="221"/>
      <c r="J1179" s="221"/>
      <c r="K1179" s="221"/>
      <c r="L1179" s="221"/>
      <c r="M1179" s="221"/>
      <c r="N1179" s="221"/>
      <c r="O1179" s="225"/>
      <c r="P1179" s="118" t="s">
        <v>2404</v>
      </c>
      <c r="Q1179" s="16" t="s">
        <v>20</v>
      </c>
      <c r="R1179" s="17" t="s">
        <v>2038</v>
      </c>
      <c r="S1179" s="121" t="s">
        <v>4071</v>
      </c>
      <c r="T1179" s="122"/>
      <c r="U1179" s="22"/>
      <c r="V1179" s="123" t="s">
        <v>2747</v>
      </c>
      <c r="W1179" s="122">
        <v>2016</v>
      </c>
      <c r="X1179" s="221"/>
      <c r="Y1179" s="221"/>
      <c r="Z1179" s="221"/>
      <c r="AA1179" s="221"/>
      <c r="AB1179" s="223"/>
    </row>
    <row r="1180" spans="1:28" ht="17.100000000000001" customHeight="1" thickTop="1">
      <c r="A1180" s="226" t="s">
        <v>6221</v>
      </c>
      <c r="B1180" s="28">
        <v>45870</v>
      </c>
      <c r="C1180" s="25"/>
      <c r="D1180" s="13" t="s">
        <v>2288</v>
      </c>
      <c r="E1180" s="228"/>
      <c r="F1180" s="109" t="s">
        <v>4072</v>
      </c>
      <c r="G1180" s="24" t="s">
        <v>4073</v>
      </c>
      <c r="H1180" s="232" t="s">
        <v>1705</v>
      </c>
      <c r="I1180" s="220">
        <f>594000/1.1</f>
        <v>540000</v>
      </c>
      <c r="J1180" s="220">
        <f>I1180*0.1</f>
        <v>54000</v>
      </c>
      <c r="K1180" s="220">
        <v>0</v>
      </c>
      <c r="L1180" s="220">
        <v>8110</v>
      </c>
      <c r="M1180" s="220">
        <v>57317</v>
      </c>
      <c r="N1180" s="220">
        <f>SUM(I1180:M1181)</f>
        <v>659427</v>
      </c>
      <c r="O1180" s="224"/>
      <c r="P1180" s="110" t="s">
        <v>4074</v>
      </c>
      <c r="Q1180" s="15" t="s">
        <v>19</v>
      </c>
      <c r="R1180" s="205"/>
      <c r="S1180" s="189" t="s">
        <v>25387</v>
      </c>
      <c r="T1180" s="114"/>
      <c r="U1180" s="21" t="s">
        <v>8165</v>
      </c>
      <c r="V1180" s="115">
        <v>45997</v>
      </c>
      <c r="W1180" s="116">
        <v>1279</v>
      </c>
      <c r="X1180" s="220">
        <v>550000</v>
      </c>
      <c r="Y1180" s="220">
        <f>X1180*0.1</f>
        <v>55000</v>
      </c>
      <c r="Z1180" s="220">
        <v>8110</v>
      </c>
      <c r="AA1180" s="220">
        <f>SUM(X1180:Z1180)</f>
        <v>613110</v>
      </c>
      <c r="AB1180" s="222">
        <v>46000</v>
      </c>
    </row>
    <row r="1181" spans="1:28" ht="17.100000000000001" customHeight="1" thickBot="1">
      <c r="A1181" s="227"/>
      <c r="B1181" s="27" t="s">
        <v>1708</v>
      </c>
      <c r="C1181" s="27" t="s">
        <v>4075</v>
      </c>
      <c r="D1181" s="14" t="s">
        <v>3792</v>
      </c>
      <c r="E1181" s="229"/>
      <c r="F1181" s="117" t="s">
        <v>4076</v>
      </c>
      <c r="G1181" s="26">
        <v>57994</v>
      </c>
      <c r="H1181" s="231"/>
      <c r="I1181" s="221"/>
      <c r="J1181" s="221"/>
      <c r="K1181" s="221"/>
      <c r="L1181" s="221"/>
      <c r="M1181" s="221"/>
      <c r="N1181" s="221"/>
      <c r="O1181" s="225"/>
      <c r="P1181" s="118" t="s">
        <v>4077</v>
      </c>
      <c r="Q1181" s="16" t="s">
        <v>20</v>
      </c>
      <c r="R1181" s="17" t="s">
        <v>2084</v>
      </c>
      <c r="S1181" s="121" t="s">
        <v>3071</v>
      </c>
      <c r="T1181" s="122"/>
      <c r="U1181" s="22"/>
      <c r="V1181" s="123" t="s">
        <v>2472</v>
      </c>
      <c r="W1181" s="122">
        <v>60232</v>
      </c>
      <c r="X1181" s="221"/>
      <c r="Y1181" s="221"/>
      <c r="Z1181" s="221"/>
      <c r="AA1181" s="221"/>
      <c r="AB1181" s="223"/>
    </row>
    <row r="1182" spans="1:28" ht="17.100000000000001" customHeight="1" thickTop="1">
      <c r="A1182" s="226" t="s">
        <v>6222</v>
      </c>
      <c r="B1182" s="28">
        <v>45870</v>
      </c>
      <c r="C1182" s="25"/>
      <c r="D1182" s="13" t="s">
        <v>2429</v>
      </c>
      <c r="E1182" s="228"/>
      <c r="F1182" s="109" t="s">
        <v>4078</v>
      </c>
      <c r="G1182" s="24" t="s">
        <v>4079</v>
      </c>
      <c r="H1182" s="230">
        <v>4.5</v>
      </c>
      <c r="I1182" s="220">
        <f>2634500/1.1</f>
        <v>2395000</v>
      </c>
      <c r="J1182" s="220">
        <f>I1182*0.1</f>
        <v>239500</v>
      </c>
      <c r="K1182" s="220">
        <v>22500</v>
      </c>
      <c r="L1182" s="220">
        <v>16550</v>
      </c>
      <c r="M1182" s="220">
        <v>120863</v>
      </c>
      <c r="N1182" s="220">
        <f>SUM(I1182:M1183)</f>
        <v>2794413</v>
      </c>
      <c r="O1182" s="224"/>
      <c r="P1182" s="110" t="s">
        <v>6660</v>
      </c>
      <c r="Q1182" s="15" t="s">
        <v>19</v>
      </c>
      <c r="R1182" s="205"/>
      <c r="S1182" s="189" t="s">
        <v>1361</v>
      </c>
      <c r="T1182" s="114"/>
      <c r="U1182" s="21"/>
      <c r="V1182" s="115">
        <v>45934</v>
      </c>
      <c r="W1182" s="116">
        <v>1270</v>
      </c>
      <c r="X1182" s="220">
        <v>2660000</v>
      </c>
      <c r="Y1182" s="220">
        <f>X1182*0.1</f>
        <v>266000</v>
      </c>
      <c r="Z1182" s="220">
        <v>16550</v>
      </c>
      <c r="AA1182" s="220">
        <f>SUM(X1182:Z1182)</f>
        <v>2942550</v>
      </c>
      <c r="AB1182" s="222">
        <v>45937</v>
      </c>
    </row>
    <row r="1183" spans="1:28" ht="17.100000000000001" customHeight="1" thickBot="1">
      <c r="A1183" s="227"/>
      <c r="B1183" s="27" t="s">
        <v>1708</v>
      </c>
      <c r="C1183" s="27" t="s">
        <v>4080</v>
      </c>
      <c r="D1183" s="14" t="s">
        <v>273</v>
      </c>
      <c r="E1183" s="229"/>
      <c r="F1183" s="117" t="s">
        <v>4081</v>
      </c>
      <c r="G1183" s="26">
        <v>48370</v>
      </c>
      <c r="H1183" s="231"/>
      <c r="I1183" s="221"/>
      <c r="J1183" s="221"/>
      <c r="K1183" s="221"/>
      <c r="L1183" s="221"/>
      <c r="M1183" s="221"/>
      <c r="N1183" s="221"/>
      <c r="O1183" s="225"/>
      <c r="P1183" s="118" t="s">
        <v>6661</v>
      </c>
      <c r="Q1183" s="16" t="s">
        <v>20</v>
      </c>
      <c r="R1183" s="17" t="s">
        <v>1596</v>
      </c>
      <c r="S1183" s="121" t="s">
        <v>7714</v>
      </c>
      <c r="T1183" s="122"/>
      <c r="U1183" s="22"/>
      <c r="V1183" s="123" t="s">
        <v>7160</v>
      </c>
      <c r="W1183" s="122">
        <v>37651</v>
      </c>
      <c r="X1183" s="221"/>
      <c r="Y1183" s="221"/>
      <c r="Z1183" s="221"/>
      <c r="AA1183" s="221"/>
      <c r="AB1183" s="223"/>
    </row>
    <row r="1184" spans="1:28" ht="17.100000000000001" customHeight="1" thickTop="1">
      <c r="A1184" s="226" t="s">
        <v>6223</v>
      </c>
      <c r="B1184" s="28">
        <v>45871</v>
      </c>
      <c r="C1184" s="25">
        <v>1262</v>
      </c>
      <c r="D1184" s="13" t="s">
        <v>1810</v>
      </c>
      <c r="E1184" s="228"/>
      <c r="F1184" s="109" t="s">
        <v>4082</v>
      </c>
      <c r="G1184" s="24"/>
      <c r="H1184" s="230">
        <v>4.5</v>
      </c>
      <c r="I1184" s="220">
        <v>1050000</v>
      </c>
      <c r="J1184" s="220">
        <v>0</v>
      </c>
      <c r="K1184" s="220">
        <v>0</v>
      </c>
      <c r="L1184" s="220">
        <v>7150</v>
      </c>
      <c r="M1184" s="220">
        <v>13200</v>
      </c>
      <c r="N1184" s="220">
        <f>SUM(I1184:M1185)</f>
        <v>1070350</v>
      </c>
      <c r="O1184" s="224"/>
      <c r="P1184" s="110" t="s">
        <v>4083</v>
      </c>
      <c r="Q1184" s="15" t="s">
        <v>19</v>
      </c>
      <c r="R1184" s="205"/>
      <c r="S1184" s="189" t="s">
        <v>25372</v>
      </c>
      <c r="T1184" s="114"/>
      <c r="U1184" s="21"/>
      <c r="V1184" s="115">
        <v>45997</v>
      </c>
      <c r="W1184" s="116">
        <v>1279</v>
      </c>
      <c r="X1184" s="220">
        <v>1165000</v>
      </c>
      <c r="Y1184" s="220">
        <f>X1184*0.1</f>
        <v>116500</v>
      </c>
      <c r="Z1184" s="220">
        <v>7150</v>
      </c>
      <c r="AA1184" s="220">
        <f>SUM(X1184:Z1184)</f>
        <v>1288650</v>
      </c>
      <c r="AB1184" s="222">
        <v>46000</v>
      </c>
    </row>
    <row r="1185" spans="1:28" ht="17.100000000000001" customHeight="1" thickBot="1">
      <c r="A1185" s="227"/>
      <c r="B1185" s="27" t="s">
        <v>2472</v>
      </c>
      <c r="C1185" s="27">
        <v>65303</v>
      </c>
      <c r="D1185" s="14" t="s">
        <v>2788</v>
      </c>
      <c r="E1185" s="229"/>
      <c r="F1185" s="117" t="s">
        <v>4084</v>
      </c>
      <c r="G1185" s="26">
        <v>30809</v>
      </c>
      <c r="H1185" s="231"/>
      <c r="I1185" s="221"/>
      <c r="J1185" s="221"/>
      <c r="K1185" s="221"/>
      <c r="L1185" s="221"/>
      <c r="M1185" s="221"/>
      <c r="N1185" s="221"/>
      <c r="O1185" s="225"/>
      <c r="P1185" s="118" t="s">
        <v>3355</v>
      </c>
      <c r="Q1185" s="16" t="s">
        <v>20</v>
      </c>
      <c r="R1185" s="17" t="s">
        <v>2871</v>
      </c>
      <c r="S1185" s="121" t="s">
        <v>4085</v>
      </c>
      <c r="T1185" s="122"/>
      <c r="U1185" s="22"/>
      <c r="V1185" s="123" t="s">
        <v>2472</v>
      </c>
      <c r="W1185" s="122">
        <v>60140</v>
      </c>
      <c r="X1185" s="221"/>
      <c r="Y1185" s="221"/>
      <c r="Z1185" s="221"/>
      <c r="AA1185" s="221"/>
      <c r="AB1185" s="223"/>
    </row>
    <row r="1186" spans="1:28" ht="17.100000000000001" customHeight="1" thickTop="1">
      <c r="A1186" s="226" t="s">
        <v>6224</v>
      </c>
      <c r="B1186" s="28">
        <v>45873</v>
      </c>
      <c r="C1186" s="25">
        <v>2055</v>
      </c>
      <c r="D1186" s="13" t="s">
        <v>2264</v>
      </c>
      <c r="E1186" s="228"/>
      <c r="F1186" s="109" t="s">
        <v>4086</v>
      </c>
      <c r="G1186" s="24" t="s">
        <v>2810</v>
      </c>
      <c r="H1186" s="230">
        <v>4</v>
      </c>
      <c r="I1186" s="220">
        <v>2100000</v>
      </c>
      <c r="J1186" s="220">
        <f>I1186*0.1</f>
        <v>210000</v>
      </c>
      <c r="K1186" s="220">
        <f>21000+2100</f>
        <v>23100</v>
      </c>
      <c r="L1186" s="220">
        <v>17800</v>
      </c>
      <c r="M1186" s="220">
        <v>11000</v>
      </c>
      <c r="N1186" s="220">
        <f>SUM(I1186:M1187)</f>
        <v>2361900</v>
      </c>
      <c r="O1186" s="224"/>
      <c r="P1186" s="110" t="s">
        <v>4087</v>
      </c>
      <c r="Q1186" s="15" t="s">
        <v>19</v>
      </c>
      <c r="R1186" s="205"/>
      <c r="S1186" s="189"/>
      <c r="T1186" s="114"/>
      <c r="U1186" s="21"/>
      <c r="V1186" s="115">
        <v>45914</v>
      </c>
      <c r="W1186" s="116"/>
      <c r="X1186" s="220">
        <v>3386820</v>
      </c>
      <c r="Y1186" s="220">
        <v>0</v>
      </c>
      <c r="Z1186" s="220">
        <v>0</v>
      </c>
      <c r="AA1186" s="220">
        <f>SUM(X1186:Z1186)</f>
        <v>3386820</v>
      </c>
      <c r="AB1186" s="222">
        <v>45946</v>
      </c>
    </row>
    <row r="1187" spans="1:28" ht="17.100000000000001" customHeight="1" thickBot="1">
      <c r="A1187" s="227"/>
      <c r="B1187" s="27" t="s">
        <v>82</v>
      </c>
      <c r="C1187" s="27">
        <v>34524</v>
      </c>
      <c r="D1187" s="14" t="s">
        <v>273</v>
      </c>
      <c r="E1187" s="229"/>
      <c r="F1187" s="117" t="s">
        <v>4088</v>
      </c>
      <c r="G1187" s="26">
        <v>26815</v>
      </c>
      <c r="H1187" s="231"/>
      <c r="I1187" s="221"/>
      <c r="J1187" s="221"/>
      <c r="K1187" s="221"/>
      <c r="L1187" s="221"/>
      <c r="M1187" s="221"/>
      <c r="N1187" s="221"/>
      <c r="O1187" s="225"/>
      <c r="P1187" s="118" t="s">
        <v>3989</v>
      </c>
      <c r="Q1187" s="16" t="s">
        <v>20</v>
      </c>
      <c r="R1187" s="17" t="s">
        <v>2803</v>
      </c>
      <c r="S1187" s="121" t="s">
        <v>1731</v>
      </c>
      <c r="T1187" s="122"/>
      <c r="U1187" s="22" t="s">
        <v>901</v>
      </c>
      <c r="V1187" s="123" t="s">
        <v>8309</v>
      </c>
      <c r="W1187" s="122"/>
      <c r="X1187" s="221"/>
      <c r="Y1187" s="221"/>
      <c r="Z1187" s="221"/>
      <c r="AA1187" s="221"/>
      <c r="AB1187" s="223"/>
    </row>
    <row r="1188" spans="1:28" ht="17.100000000000001" customHeight="1" thickTop="1">
      <c r="A1188" s="226" t="s">
        <v>6225</v>
      </c>
      <c r="B1188" s="28">
        <v>45873</v>
      </c>
      <c r="C1188" s="25">
        <v>1173</v>
      </c>
      <c r="D1188" s="13" t="s">
        <v>2336</v>
      </c>
      <c r="E1188" s="228"/>
      <c r="F1188" s="109" t="s">
        <v>4089</v>
      </c>
      <c r="G1188" s="24" t="s">
        <v>3859</v>
      </c>
      <c r="H1188" s="230">
        <v>3.5</v>
      </c>
      <c r="I1188" s="220">
        <v>210000</v>
      </c>
      <c r="J1188" s="220">
        <f>I1188*0.1</f>
        <v>21000</v>
      </c>
      <c r="K1188" s="220">
        <v>0</v>
      </c>
      <c r="L1188" s="220">
        <v>9790</v>
      </c>
      <c r="M1188" s="220">
        <v>15950</v>
      </c>
      <c r="N1188" s="220">
        <f>SUM(I1188:M1189)</f>
        <v>256740</v>
      </c>
      <c r="O1188" s="224"/>
      <c r="P1188" s="110" t="s">
        <v>4090</v>
      </c>
      <c r="Q1188" s="15" t="s">
        <v>19</v>
      </c>
      <c r="R1188" s="205"/>
      <c r="S1188" s="189"/>
      <c r="T1188" s="114"/>
      <c r="U1188" s="21" t="s">
        <v>4091</v>
      </c>
      <c r="V1188" s="115">
        <v>45976</v>
      </c>
      <c r="W1188" s="116">
        <v>1276</v>
      </c>
      <c r="X1188" s="220">
        <v>250000</v>
      </c>
      <c r="Y1188" s="220">
        <f>X1188*0.1</f>
        <v>25000</v>
      </c>
      <c r="Z1188" s="220">
        <v>9790</v>
      </c>
      <c r="AA1188" s="220">
        <f>SUM(X1188:Z1188)</f>
        <v>284790</v>
      </c>
      <c r="AB1188" s="222">
        <v>45979</v>
      </c>
    </row>
    <row r="1189" spans="1:28" ht="17.100000000000001" customHeight="1" thickBot="1">
      <c r="A1189" s="227"/>
      <c r="B1189" s="27" t="s">
        <v>4092</v>
      </c>
      <c r="C1189" s="27">
        <v>55016</v>
      </c>
      <c r="D1189" s="14" t="s">
        <v>3792</v>
      </c>
      <c r="E1189" s="229"/>
      <c r="F1189" s="117" t="s">
        <v>4093</v>
      </c>
      <c r="G1189" s="26">
        <v>50526</v>
      </c>
      <c r="H1189" s="231"/>
      <c r="I1189" s="221"/>
      <c r="J1189" s="221"/>
      <c r="K1189" s="221"/>
      <c r="L1189" s="221"/>
      <c r="M1189" s="221"/>
      <c r="N1189" s="221"/>
      <c r="O1189" s="225"/>
      <c r="P1189" s="118" t="s">
        <v>4094</v>
      </c>
      <c r="Q1189" s="16" t="s">
        <v>20</v>
      </c>
      <c r="R1189" s="17" t="s">
        <v>2803</v>
      </c>
      <c r="S1189" s="121"/>
      <c r="T1189" s="122"/>
      <c r="U1189" s="22"/>
      <c r="V1189" s="123" t="s">
        <v>10781</v>
      </c>
      <c r="W1189" s="122">
        <v>63116</v>
      </c>
      <c r="X1189" s="221"/>
      <c r="Y1189" s="221"/>
      <c r="Z1189" s="221"/>
      <c r="AA1189" s="221"/>
      <c r="AB1189" s="223"/>
    </row>
    <row r="1190" spans="1:28" ht="17.100000000000001" customHeight="1" thickTop="1">
      <c r="A1190" s="226" t="s">
        <v>6226</v>
      </c>
      <c r="B1190" s="28">
        <v>45873</v>
      </c>
      <c r="C1190" s="25">
        <v>1173</v>
      </c>
      <c r="D1190" s="13" t="s">
        <v>1762</v>
      </c>
      <c r="E1190" s="228"/>
      <c r="F1190" s="109" t="s">
        <v>4095</v>
      </c>
      <c r="G1190" s="24" t="s">
        <v>2810</v>
      </c>
      <c r="H1190" s="230">
        <v>4</v>
      </c>
      <c r="I1190" s="220">
        <v>752000</v>
      </c>
      <c r="J1190" s="220">
        <f>I1190*0.1</f>
        <v>75200</v>
      </c>
      <c r="K1190" s="220">
        <v>0</v>
      </c>
      <c r="L1190" s="220">
        <v>9790</v>
      </c>
      <c r="M1190" s="220">
        <v>15950</v>
      </c>
      <c r="N1190" s="220">
        <f>SUM(I1190:M1191)</f>
        <v>852940</v>
      </c>
      <c r="O1190" s="224"/>
      <c r="P1190" s="110" t="s">
        <v>4096</v>
      </c>
      <c r="Q1190" s="15" t="s">
        <v>19</v>
      </c>
      <c r="R1190" s="205"/>
      <c r="S1190" s="189"/>
      <c r="T1190" s="114"/>
      <c r="U1190" s="21" t="s">
        <v>4097</v>
      </c>
      <c r="V1190" s="115">
        <v>45997</v>
      </c>
      <c r="W1190" s="116">
        <v>1279</v>
      </c>
      <c r="X1190" s="220">
        <v>760000</v>
      </c>
      <c r="Y1190" s="220">
        <f>X1190*0.1</f>
        <v>76000</v>
      </c>
      <c r="Z1190" s="220">
        <v>9790</v>
      </c>
      <c r="AA1190" s="220">
        <f>SUM(X1190:Z1190)</f>
        <v>845790</v>
      </c>
      <c r="AB1190" s="222">
        <v>46002</v>
      </c>
    </row>
    <row r="1191" spans="1:28" ht="17.100000000000001" customHeight="1" thickBot="1">
      <c r="A1191" s="227"/>
      <c r="B1191" s="27" t="s">
        <v>4092</v>
      </c>
      <c r="C1191" s="27">
        <v>55028</v>
      </c>
      <c r="D1191" s="14" t="s">
        <v>2014</v>
      </c>
      <c r="E1191" s="229"/>
      <c r="F1191" s="117" t="s">
        <v>4098</v>
      </c>
      <c r="G1191" s="26">
        <v>47494</v>
      </c>
      <c r="H1191" s="231"/>
      <c r="I1191" s="221"/>
      <c r="J1191" s="221"/>
      <c r="K1191" s="221"/>
      <c r="L1191" s="221"/>
      <c r="M1191" s="221"/>
      <c r="N1191" s="221"/>
      <c r="O1191" s="225"/>
      <c r="P1191" s="118" t="s">
        <v>4099</v>
      </c>
      <c r="Q1191" s="16" t="s">
        <v>20</v>
      </c>
      <c r="R1191" s="17" t="s">
        <v>2803</v>
      </c>
      <c r="S1191" s="121" t="s">
        <v>4100</v>
      </c>
      <c r="T1191" s="122"/>
      <c r="U1191" s="22"/>
      <c r="V1191" s="123" t="s">
        <v>2472</v>
      </c>
      <c r="W1191" s="122">
        <v>60109</v>
      </c>
      <c r="X1191" s="221"/>
      <c r="Y1191" s="221"/>
      <c r="Z1191" s="221"/>
      <c r="AA1191" s="221"/>
      <c r="AB1191" s="223"/>
    </row>
    <row r="1192" spans="1:28" ht="17.100000000000001" customHeight="1" thickTop="1">
      <c r="A1192" s="233" t="s">
        <v>6227</v>
      </c>
      <c r="B1192" s="28">
        <v>45873</v>
      </c>
      <c r="C1192" s="25"/>
      <c r="D1192" s="13" t="s">
        <v>4104</v>
      </c>
      <c r="E1192" s="228"/>
      <c r="F1192" s="109" t="s">
        <v>4105</v>
      </c>
      <c r="G1192" s="24" t="s">
        <v>4106</v>
      </c>
      <c r="H1192" s="230">
        <v>3.5</v>
      </c>
      <c r="I1192" s="220">
        <f>297000/1.1</f>
        <v>270000</v>
      </c>
      <c r="J1192" s="220">
        <f>I1192*0.1</f>
        <v>27000</v>
      </c>
      <c r="K1192" s="220">
        <v>22500</v>
      </c>
      <c r="L1192" s="220">
        <v>16260</v>
      </c>
      <c r="M1192" s="220">
        <v>41685</v>
      </c>
      <c r="N1192" s="220">
        <f>SUM(I1192:M1193)</f>
        <v>377445</v>
      </c>
      <c r="O1192" s="224"/>
      <c r="P1192" s="110" t="s">
        <v>4107</v>
      </c>
      <c r="Q1192" s="15" t="s">
        <v>19</v>
      </c>
      <c r="R1192" s="205"/>
      <c r="S1192" s="189" t="s">
        <v>1276</v>
      </c>
      <c r="T1192" s="114" t="s">
        <v>6644</v>
      </c>
      <c r="U1192" s="21"/>
      <c r="V1192" s="115"/>
      <c r="W1192" s="116"/>
      <c r="X1192" s="220"/>
      <c r="Y1192" s="220">
        <f>X1192*0.1</f>
        <v>0</v>
      </c>
      <c r="Z1192" s="220"/>
      <c r="AA1192" s="220">
        <f>SUM(X1192:Z1192)</f>
        <v>0</v>
      </c>
      <c r="AB1192" s="222"/>
    </row>
    <row r="1193" spans="1:28" ht="17.100000000000001" customHeight="1" thickBot="1">
      <c r="A1193" s="234"/>
      <c r="B1193" s="27" t="s">
        <v>1708</v>
      </c>
      <c r="C1193" s="27" t="s">
        <v>4108</v>
      </c>
      <c r="D1193" s="14" t="s">
        <v>2559</v>
      </c>
      <c r="E1193" s="229"/>
      <c r="F1193" s="117" t="s">
        <v>4109</v>
      </c>
      <c r="G1193" s="26">
        <v>144448</v>
      </c>
      <c r="H1193" s="231"/>
      <c r="I1193" s="221"/>
      <c r="J1193" s="221"/>
      <c r="K1193" s="221"/>
      <c r="L1193" s="221"/>
      <c r="M1193" s="221"/>
      <c r="N1193" s="221"/>
      <c r="O1193" s="225"/>
      <c r="P1193" s="118" t="s">
        <v>4110</v>
      </c>
      <c r="Q1193" s="16" t="s">
        <v>20</v>
      </c>
      <c r="R1193" s="17" t="s">
        <v>4111</v>
      </c>
      <c r="S1193" s="121" t="s">
        <v>3765</v>
      </c>
      <c r="T1193" s="122" t="s">
        <v>8100</v>
      </c>
      <c r="U1193" s="22"/>
      <c r="V1193" s="123"/>
      <c r="W1193" s="122"/>
      <c r="X1193" s="221"/>
      <c r="Y1193" s="221"/>
      <c r="Z1193" s="221"/>
      <c r="AA1193" s="221"/>
      <c r="AB1193" s="223"/>
    </row>
    <row r="1194" spans="1:28" ht="17.100000000000001" customHeight="1" thickTop="1">
      <c r="A1194" s="226" t="s">
        <v>6228</v>
      </c>
      <c r="B1194" s="28">
        <v>45875</v>
      </c>
      <c r="C1194" s="25">
        <v>1292</v>
      </c>
      <c r="D1194" s="13" t="s">
        <v>1829</v>
      </c>
      <c r="E1194" s="228"/>
      <c r="F1194" s="109" t="s">
        <v>4112</v>
      </c>
      <c r="G1194" s="24"/>
      <c r="H1194" s="230">
        <v>4</v>
      </c>
      <c r="I1194" s="220">
        <v>2360000</v>
      </c>
      <c r="J1194" s="220">
        <f>I1194*0.1</f>
        <v>236000</v>
      </c>
      <c r="K1194" s="220">
        <v>0</v>
      </c>
      <c r="L1194" s="220">
        <v>16240</v>
      </c>
      <c r="M1194" s="220">
        <v>22000</v>
      </c>
      <c r="N1194" s="220">
        <f>SUM(I1194:M1195)</f>
        <v>2634240</v>
      </c>
      <c r="O1194" s="224"/>
      <c r="P1194" s="110" t="s">
        <v>4113</v>
      </c>
      <c r="Q1194" s="15" t="s">
        <v>19</v>
      </c>
      <c r="R1194" s="205"/>
      <c r="S1194" s="189" t="s">
        <v>758</v>
      </c>
      <c r="T1194" s="114"/>
      <c r="U1194" s="21"/>
      <c r="V1194" s="115"/>
      <c r="W1194" s="116"/>
      <c r="X1194" s="220"/>
      <c r="Y1194" s="220">
        <f>X1194*0.1</f>
        <v>0</v>
      </c>
      <c r="Z1194" s="220"/>
      <c r="AA1194" s="220">
        <f>SUM(X1194:Z1194)</f>
        <v>0</v>
      </c>
      <c r="AB1194" s="222"/>
    </row>
    <row r="1195" spans="1:28" ht="17.100000000000001" customHeight="1" thickBot="1">
      <c r="A1195" s="227"/>
      <c r="B1195" s="27" t="s">
        <v>4114</v>
      </c>
      <c r="C1195" s="27">
        <v>20146</v>
      </c>
      <c r="D1195" s="14" t="s">
        <v>131</v>
      </c>
      <c r="E1195" s="229"/>
      <c r="F1195" s="117" t="s">
        <v>4115</v>
      </c>
      <c r="G1195" s="26">
        <v>32163</v>
      </c>
      <c r="H1195" s="231"/>
      <c r="I1195" s="221"/>
      <c r="J1195" s="221"/>
      <c r="K1195" s="221"/>
      <c r="L1195" s="221"/>
      <c r="M1195" s="221"/>
      <c r="N1195" s="221"/>
      <c r="O1195" s="225"/>
      <c r="P1195" s="118" t="s">
        <v>4116</v>
      </c>
      <c r="Q1195" s="16" t="s">
        <v>20</v>
      </c>
      <c r="R1195" s="17" t="s">
        <v>2871</v>
      </c>
      <c r="S1195" s="121" t="s">
        <v>1606</v>
      </c>
      <c r="T1195" s="122"/>
      <c r="U1195" s="22"/>
      <c r="V1195" s="123"/>
      <c r="W1195" s="122"/>
      <c r="X1195" s="221"/>
      <c r="Y1195" s="221"/>
      <c r="Z1195" s="221"/>
      <c r="AA1195" s="221"/>
      <c r="AB1195" s="223"/>
    </row>
    <row r="1196" spans="1:28" ht="17.100000000000001" customHeight="1" thickTop="1">
      <c r="A1196" s="226" t="s">
        <v>6229</v>
      </c>
      <c r="B1196" s="28">
        <v>45875</v>
      </c>
      <c r="C1196" s="25">
        <v>2317</v>
      </c>
      <c r="D1196" s="13" t="s">
        <v>1678</v>
      </c>
      <c r="E1196" s="228"/>
      <c r="F1196" s="109" t="s">
        <v>4117</v>
      </c>
      <c r="G1196" s="24" t="s">
        <v>3613</v>
      </c>
      <c r="H1196" s="230">
        <v>4.5</v>
      </c>
      <c r="I1196" s="220">
        <v>1270000</v>
      </c>
      <c r="J1196" s="220">
        <f>I1196*0.1</f>
        <v>127000</v>
      </c>
      <c r="K1196" s="220">
        <f>17700+1770</f>
        <v>19470</v>
      </c>
      <c r="L1196" s="220">
        <v>12270</v>
      </c>
      <c r="M1196" s="220">
        <v>16500</v>
      </c>
      <c r="N1196" s="220">
        <f>SUM(I1196:M1197)</f>
        <v>1445240</v>
      </c>
      <c r="O1196" s="224"/>
      <c r="P1196" s="110" t="s">
        <v>4118</v>
      </c>
      <c r="Q1196" s="15" t="s">
        <v>19</v>
      </c>
      <c r="R1196" s="205"/>
      <c r="S1196" s="189" t="s">
        <v>25413</v>
      </c>
      <c r="T1196" s="114"/>
      <c r="U1196" s="21"/>
      <c r="V1196" s="115">
        <v>45948</v>
      </c>
      <c r="W1196" s="116">
        <v>1272</v>
      </c>
      <c r="X1196" s="220">
        <v>1400000</v>
      </c>
      <c r="Y1196" s="220">
        <f>X1196*0.1</f>
        <v>140000</v>
      </c>
      <c r="Z1196" s="220">
        <v>12270</v>
      </c>
      <c r="AA1196" s="220">
        <f>SUM(X1196:Z1196)</f>
        <v>1552270</v>
      </c>
      <c r="AB1196" s="222">
        <v>45951</v>
      </c>
    </row>
    <row r="1197" spans="1:28" ht="17.100000000000001" customHeight="1" thickBot="1">
      <c r="A1197" s="227"/>
      <c r="B1197" s="27" t="s">
        <v>3367</v>
      </c>
      <c r="C1197" s="27">
        <v>60095</v>
      </c>
      <c r="D1197" s="14" t="s">
        <v>898</v>
      </c>
      <c r="E1197" s="229"/>
      <c r="F1197" s="117" t="s">
        <v>4119</v>
      </c>
      <c r="G1197" s="26">
        <v>21895</v>
      </c>
      <c r="H1197" s="231"/>
      <c r="I1197" s="221"/>
      <c r="J1197" s="221"/>
      <c r="K1197" s="221"/>
      <c r="L1197" s="221"/>
      <c r="M1197" s="221"/>
      <c r="N1197" s="221"/>
      <c r="O1197" s="225"/>
      <c r="P1197" s="118" t="s">
        <v>2287</v>
      </c>
      <c r="Q1197" s="16" t="s">
        <v>20</v>
      </c>
      <c r="R1197" s="17" t="s">
        <v>4120</v>
      </c>
      <c r="S1197" s="121" t="s">
        <v>1606</v>
      </c>
      <c r="T1197" s="122"/>
      <c r="U1197" s="22" t="s">
        <v>4121</v>
      </c>
      <c r="V1197" s="123" t="s">
        <v>2472</v>
      </c>
      <c r="W1197" s="122">
        <v>80040</v>
      </c>
      <c r="X1197" s="221"/>
      <c r="Y1197" s="221"/>
      <c r="Z1197" s="221"/>
      <c r="AA1197" s="221"/>
      <c r="AB1197" s="223"/>
    </row>
    <row r="1198" spans="1:28" ht="17.100000000000001" customHeight="1" thickTop="1">
      <c r="A1198" s="226" t="s">
        <v>6230</v>
      </c>
      <c r="B1198" s="28">
        <v>45875</v>
      </c>
      <c r="C1198" s="25">
        <v>1800</v>
      </c>
      <c r="D1198" s="13" t="s">
        <v>1632</v>
      </c>
      <c r="E1198" s="228"/>
      <c r="F1198" s="109" t="s">
        <v>4122</v>
      </c>
      <c r="G1198" s="24"/>
      <c r="H1198" s="230">
        <v>4.5</v>
      </c>
      <c r="I1198" s="220">
        <v>1180000</v>
      </c>
      <c r="J1198" s="220">
        <f>I1198*0.1</f>
        <v>118000</v>
      </c>
      <c r="K1198" s="220">
        <v>0</v>
      </c>
      <c r="L1198" s="220">
        <v>12450</v>
      </c>
      <c r="M1198" s="220">
        <v>18150</v>
      </c>
      <c r="N1198" s="220">
        <f>SUM(I1198:M1199)</f>
        <v>1328600</v>
      </c>
      <c r="O1198" s="224"/>
      <c r="P1198" s="110" t="s">
        <v>4123</v>
      </c>
      <c r="Q1198" s="15" t="s">
        <v>19</v>
      </c>
      <c r="R1198" s="205"/>
      <c r="S1198" s="189" t="s">
        <v>25442</v>
      </c>
      <c r="T1198" s="114" t="s">
        <v>4124</v>
      </c>
      <c r="U1198" s="21"/>
      <c r="V1198" s="115">
        <v>45948</v>
      </c>
      <c r="W1198" s="116">
        <v>1272</v>
      </c>
      <c r="X1198" s="220">
        <v>1220000</v>
      </c>
      <c r="Y1198" s="220">
        <f>X1198*0.1</f>
        <v>122000</v>
      </c>
      <c r="Z1198" s="220">
        <v>12450</v>
      </c>
      <c r="AA1198" s="220">
        <f>SUM(X1198:Z1198)</f>
        <v>1354450</v>
      </c>
      <c r="AB1198" s="222">
        <v>45951</v>
      </c>
    </row>
    <row r="1199" spans="1:28" ht="17.100000000000001" customHeight="1" thickBot="1">
      <c r="A1199" s="227"/>
      <c r="B1199" s="27" t="s">
        <v>2519</v>
      </c>
      <c r="C1199" s="27">
        <v>38132</v>
      </c>
      <c r="D1199" s="14" t="s">
        <v>1584</v>
      </c>
      <c r="E1199" s="229"/>
      <c r="F1199" s="117" t="s">
        <v>4125</v>
      </c>
      <c r="G1199" s="26">
        <v>42826</v>
      </c>
      <c r="H1199" s="231"/>
      <c r="I1199" s="221"/>
      <c r="J1199" s="221"/>
      <c r="K1199" s="221"/>
      <c r="L1199" s="221"/>
      <c r="M1199" s="221"/>
      <c r="N1199" s="221"/>
      <c r="O1199" s="225"/>
      <c r="P1199" s="118" t="s">
        <v>4126</v>
      </c>
      <c r="Q1199" s="16" t="s">
        <v>20</v>
      </c>
      <c r="R1199" s="17" t="s">
        <v>2803</v>
      </c>
      <c r="S1199" s="121" t="s">
        <v>4127</v>
      </c>
      <c r="T1199" s="122" t="s">
        <v>4128</v>
      </c>
      <c r="U1199" s="22"/>
      <c r="V1199" s="123" t="s">
        <v>2472</v>
      </c>
      <c r="W1199" s="122">
        <v>80046</v>
      </c>
      <c r="X1199" s="221"/>
      <c r="Y1199" s="221"/>
      <c r="Z1199" s="221"/>
      <c r="AA1199" s="221"/>
      <c r="AB1199" s="223"/>
    </row>
    <row r="1200" spans="1:28" ht="17.100000000000001" customHeight="1" thickTop="1">
      <c r="A1200" s="226" t="s">
        <v>6231</v>
      </c>
      <c r="B1200" s="28">
        <v>45876</v>
      </c>
      <c r="C1200" s="25">
        <v>1989</v>
      </c>
      <c r="D1200" s="13" t="s">
        <v>3271</v>
      </c>
      <c r="E1200" s="228"/>
      <c r="F1200" s="109" t="s">
        <v>4129</v>
      </c>
      <c r="G1200" s="24" t="s">
        <v>3264</v>
      </c>
      <c r="H1200" s="232" t="s">
        <v>4130</v>
      </c>
      <c r="I1200" s="220">
        <v>1379000</v>
      </c>
      <c r="J1200" s="220">
        <f>I1200*0.1</f>
        <v>137900</v>
      </c>
      <c r="K1200" s="220">
        <v>0</v>
      </c>
      <c r="L1200" s="220">
        <v>7200</v>
      </c>
      <c r="M1200" s="220">
        <v>22000</v>
      </c>
      <c r="N1200" s="220">
        <f>SUM(I1200:M1201)</f>
        <v>1546100</v>
      </c>
      <c r="O1200" s="224"/>
      <c r="P1200" s="110" t="s">
        <v>4131</v>
      </c>
      <c r="Q1200" s="15" t="s">
        <v>19</v>
      </c>
      <c r="R1200" s="205"/>
      <c r="S1200" s="189" t="s">
        <v>25397</v>
      </c>
      <c r="T1200" s="114"/>
      <c r="U1200" s="21" t="s">
        <v>4132</v>
      </c>
      <c r="V1200" s="115">
        <v>46046</v>
      </c>
      <c r="W1200" s="116">
        <v>1285</v>
      </c>
      <c r="X1200" s="220">
        <v>1210000</v>
      </c>
      <c r="Y1200" s="220">
        <f>X1200*0.1</f>
        <v>121000</v>
      </c>
      <c r="Z1200" s="220">
        <v>7200</v>
      </c>
      <c r="AA1200" s="220">
        <f>SUM(X1200:Z1200)</f>
        <v>1338200</v>
      </c>
      <c r="AB1200" s="222">
        <v>46049</v>
      </c>
    </row>
    <row r="1201" spans="1:28" ht="17.100000000000001" customHeight="1" thickBot="1">
      <c r="A1201" s="227"/>
      <c r="B1201" s="27" t="s">
        <v>2171</v>
      </c>
      <c r="C1201" s="27">
        <v>50180</v>
      </c>
      <c r="D1201" s="14" t="s">
        <v>1568</v>
      </c>
      <c r="E1201" s="229"/>
      <c r="F1201" s="117" t="s">
        <v>4133</v>
      </c>
      <c r="G1201" s="26">
        <v>5</v>
      </c>
      <c r="H1201" s="231"/>
      <c r="I1201" s="221"/>
      <c r="J1201" s="221"/>
      <c r="K1201" s="221"/>
      <c r="L1201" s="221"/>
      <c r="M1201" s="221"/>
      <c r="N1201" s="221"/>
      <c r="O1201" s="225"/>
      <c r="P1201" s="118" t="s">
        <v>4134</v>
      </c>
      <c r="Q1201" s="16" t="s">
        <v>20</v>
      </c>
      <c r="R1201" s="17" t="s">
        <v>4103</v>
      </c>
      <c r="S1201" s="121" t="s">
        <v>1731</v>
      </c>
      <c r="T1201" s="122"/>
      <c r="U1201" s="22"/>
      <c r="V1201" s="123" t="s">
        <v>2472</v>
      </c>
      <c r="W1201" s="122">
        <v>60065</v>
      </c>
      <c r="X1201" s="221"/>
      <c r="Y1201" s="221"/>
      <c r="Z1201" s="221"/>
      <c r="AA1201" s="221"/>
      <c r="AB1201" s="223"/>
    </row>
    <row r="1202" spans="1:28" ht="17.100000000000001" customHeight="1" thickTop="1">
      <c r="A1202" s="226" t="s">
        <v>6232</v>
      </c>
      <c r="B1202" s="28">
        <v>45876</v>
      </c>
      <c r="C1202" s="25">
        <v>1945</v>
      </c>
      <c r="D1202" s="13" t="s">
        <v>2267</v>
      </c>
      <c r="E1202" s="228"/>
      <c r="F1202" s="109" t="s">
        <v>1854</v>
      </c>
      <c r="G1202" s="24"/>
      <c r="H1202" s="230">
        <v>4</v>
      </c>
      <c r="I1202" s="220">
        <v>1756000</v>
      </c>
      <c r="J1202" s="220">
        <f>I1202*0.1</f>
        <v>175600</v>
      </c>
      <c r="K1202" s="220">
        <v>0</v>
      </c>
      <c r="L1202" s="220">
        <v>16240</v>
      </c>
      <c r="M1202" s="220">
        <v>15950</v>
      </c>
      <c r="N1202" s="220">
        <f>SUM(I1202:M1203)</f>
        <v>1963790</v>
      </c>
      <c r="O1202" s="224"/>
      <c r="P1202" s="110" t="s">
        <v>4135</v>
      </c>
      <c r="Q1202" s="15" t="s">
        <v>19</v>
      </c>
      <c r="R1202" s="205"/>
      <c r="S1202" s="189" t="s">
        <v>758</v>
      </c>
      <c r="T1202" s="114"/>
      <c r="U1202" s="21"/>
      <c r="V1202" s="115"/>
      <c r="W1202" s="116"/>
      <c r="X1202" s="220"/>
      <c r="Y1202" s="220">
        <f>X1202*0.1</f>
        <v>0</v>
      </c>
      <c r="Z1202" s="220"/>
      <c r="AA1202" s="220">
        <f>SUM(X1202:Z1202)</f>
        <v>0</v>
      </c>
      <c r="AB1202" s="222"/>
    </row>
    <row r="1203" spans="1:28" ht="17.100000000000001" customHeight="1" thickBot="1">
      <c r="A1203" s="227"/>
      <c r="B1203" s="27" t="s">
        <v>3730</v>
      </c>
      <c r="C1203" s="27">
        <v>80019</v>
      </c>
      <c r="D1203" s="14" t="s">
        <v>1584</v>
      </c>
      <c r="E1203" s="229"/>
      <c r="F1203" s="117" t="s">
        <v>4136</v>
      </c>
      <c r="G1203" s="26">
        <v>48557</v>
      </c>
      <c r="H1203" s="231"/>
      <c r="I1203" s="221"/>
      <c r="J1203" s="221"/>
      <c r="K1203" s="221"/>
      <c r="L1203" s="221"/>
      <c r="M1203" s="221"/>
      <c r="N1203" s="221"/>
      <c r="O1203" s="225"/>
      <c r="P1203" s="118" t="s">
        <v>4137</v>
      </c>
      <c r="Q1203" s="16" t="s">
        <v>20</v>
      </c>
      <c r="R1203" s="17" t="s">
        <v>2803</v>
      </c>
      <c r="S1203" s="121" t="s">
        <v>4138</v>
      </c>
      <c r="T1203" s="122"/>
      <c r="U1203" s="22"/>
      <c r="V1203" s="123"/>
      <c r="W1203" s="122"/>
      <c r="X1203" s="221"/>
      <c r="Y1203" s="221"/>
      <c r="Z1203" s="221"/>
      <c r="AA1203" s="221"/>
      <c r="AB1203" s="223"/>
    </row>
    <row r="1204" spans="1:28" ht="17.100000000000001" customHeight="1" thickTop="1">
      <c r="A1204" s="226" t="s">
        <v>6233</v>
      </c>
      <c r="B1204" s="28">
        <v>45876</v>
      </c>
      <c r="C1204" s="25">
        <v>1528</v>
      </c>
      <c r="D1204" s="13" t="s">
        <v>1953</v>
      </c>
      <c r="E1204" s="228"/>
      <c r="F1204" s="109" t="s">
        <v>4051</v>
      </c>
      <c r="G1204" s="24" t="s">
        <v>4139</v>
      </c>
      <c r="H1204" s="230">
        <v>4.5</v>
      </c>
      <c r="I1204" s="220">
        <v>1510000</v>
      </c>
      <c r="J1204" s="220">
        <f>I1204*0.1</f>
        <v>151000</v>
      </c>
      <c r="K1204" s="220">
        <f>23000+2300</f>
        <v>25300</v>
      </c>
      <c r="L1204" s="220">
        <v>21020</v>
      </c>
      <c r="M1204" s="220">
        <v>16500</v>
      </c>
      <c r="N1204" s="220">
        <f>SUM(I1204:M1205)</f>
        <v>1723820</v>
      </c>
      <c r="O1204" s="224"/>
      <c r="P1204" s="110" t="s">
        <v>4140</v>
      </c>
      <c r="Q1204" s="15" t="s">
        <v>19</v>
      </c>
      <c r="R1204" s="205"/>
      <c r="S1204" s="189" t="s">
        <v>1361</v>
      </c>
      <c r="T1204" s="114"/>
      <c r="U1204" s="21"/>
      <c r="V1204" s="115">
        <v>46362</v>
      </c>
      <c r="W1204" s="116"/>
      <c r="X1204" s="220">
        <v>2550000</v>
      </c>
      <c r="Y1204" s="220">
        <v>0</v>
      </c>
      <c r="Z1204" s="220">
        <v>0</v>
      </c>
      <c r="AA1204" s="220">
        <f>SUM(X1204:Z1204)</f>
        <v>2550000</v>
      </c>
      <c r="AB1204" s="222">
        <v>46382</v>
      </c>
    </row>
    <row r="1205" spans="1:28" ht="17.100000000000001" customHeight="1" thickBot="1">
      <c r="A1205" s="227"/>
      <c r="B1205" s="27" t="s">
        <v>1592</v>
      </c>
      <c r="C1205" s="27">
        <v>78152</v>
      </c>
      <c r="D1205" s="14" t="s">
        <v>1584</v>
      </c>
      <c r="E1205" s="229"/>
      <c r="F1205" s="117" t="s">
        <v>4141</v>
      </c>
      <c r="G1205" s="26">
        <v>40240</v>
      </c>
      <c r="H1205" s="231"/>
      <c r="I1205" s="221"/>
      <c r="J1205" s="221"/>
      <c r="K1205" s="221"/>
      <c r="L1205" s="221"/>
      <c r="M1205" s="221"/>
      <c r="N1205" s="221"/>
      <c r="O1205" s="225"/>
      <c r="P1205" s="118" t="s">
        <v>1972</v>
      </c>
      <c r="Q1205" s="16" t="s">
        <v>20</v>
      </c>
      <c r="R1205" s="17" t="s">
        <v>2803</v>
      </c>
      <c r="S1205" s="121" t="s">
        <v>169</v>
      </c>
      <c r="T1205" s="122"/>
      <c r="U1205" s="22" t="s">
        <v>3427</v>
      </c>
      <c r="V1205" s="123" t="s">
        <v>15362</v>
      </c>
      <c r="W1205" s="122"/>
      <c r="X1205" s="221"/>
      <c r="Y1205" s="221"/>
      <c r="Z1205" s="221"/>
      <c r="AA1205" s="221"/>
      <c r="AB1205" s="223"/>
    </row>
    <row r="1206" spans="1:28" ht="17.100000000000001" customHeight="1" thickTop="1">
      <c r="A1206" s="226" t="s">
        <v>6234</v>
      </c>
      <c r="B1206" s="28">
        <v>45876</v>
      </c>
      <c r="C1206" s="25">
        <v>1293</v>
      </c>
      <c r="D1206" s="13" t="s">
        <v>2264</v>
      </c>
      <c r="E1206" s="228"/>
      <c r="F1206" s="109" t="s">
        <v>4142</v>
      </c>
      <c r="G1206" s="24" t="s">
        <v>2810</v>
      </c>
      <c r="H1206" s="230">
        <v>5</v>
      </c>
      <c r="I1206" s="220">
        <v>3220000</v>
      </c>
      <c r="J1206" s="220">
        <f>I1206*0.1</f>
        <v>322000</v>
      </c>
      <c r="K1206" s="220">
        <f>21000+2100</f>
        <v>23100</v>
      </c>
      <c r="L1206" s="220">
        <v>18310</v>
      </c>
      <c r="M1206" s="220">
        <v>14300</v>
      </c>
      <c r="N1206" s="220">
        <v>3597710</v>
      </c>
      <c r="O1206" s="224"/>
      <c r="P1206" s="110" t="s">
        <v>4143</v>
      </c>
      <c r="Q1206" s="15" t="s">
        <v>19</v>
      </c>
      <c r="R1206" s="205"/>
      <c r="S1206" s="189" t="s">
        <v>1271</v>
      </c>
      <c r="T1206" s="114"/>
      <c r="U1206" s="21"/>
      <c r="V1206" s="115">
        <v>45931</v>
      </c>
      <c r="W1206" s="116">
        <v>986</v>
      </c>
      <c r="X1206" s="220">
        <v>3320000</v>
      </c>
      <c r="Y1206" s="220">
        <f>X1206*0.1</f>
        <v>332000</v>
      </c>
      <c r="Z1206" s="220">
        <v>18310</v>
      </c>
      <c r="AA1206" s="220">
        <f>SUM(X1206:Z1206)</f>
        <v>3670310</v>
      </c>
      <c r="AB1206" s="222">
        <v>45937</v>
      </c>
    </row>
    <row r="1207" spans="1:28" ht="17.100000000000001" customHeight="1" thickBot="1">
      <c r="A1207" s="227"/>
      <c r="B1207" s="27" t="s">
        <v>1735</v>
      </c>
      <c r="C1207" s="27">
        <v>124</v>
      </c>
      <c r="D1207" s="14" t="s">
        <v>2559</v>
      </c>
      <c r="E1207" s="229"/>
      <c r="F1207" s="117" t="s">
        <v>4144</v>
      </c>
      <c r="G1207" s="26">
        <v>16479</v>
      </c>
      <c r="H1207" s="231"/>
      <c r="I1207" s="221"/>
      <c r="J1207" s="221"/>
      <c r="K1207" s="221"/>
      <c r="L1207" s="221"/>
      <c r="M1207" s="221"/>
      <c r="N1207" s="221"/>
      <c r="O1207" s="225"/>
      <c r="P1207" s="118" t="s">
        <v>1844</v>
      </c>
      <c r="Q1207" s="16" t="s">
        <v>20</v>
      </c>
      <c r="R1207" s="17" t="s">
        <v>4103</v>
      </c>
      <c r="S1207" s="121" t="s">
        <v>1731</v>
      </c>
      <c r="T1207" s="122"/>
      <c r="U1207" s="22" t="s">
        <v>4121</v>
      </c>
      <c r="V1207" s="123" t="s">
        <v>2747</v>
      </c>
      <c r="W1207" s="122">
        <v>6027</v>
      </c>
      <c r="X1207" s="221"/>
      <c r="Y1207" s="221"/>
      <c r="Z1207" s="221"/>
      <c r="AA1207" s="221"/>
      <c r="AB1207" s="223"/>
    </row>
    <row r="1208" spans="1:28" ht="17.100000000000001" customHeight="1" thickTop="1">
      <c r="A1208" s="233" t="s">
        <v>6235</v>
      </c>
      <c r="B1208" s="28">
        <v>45876</v>
      </c>
      <c r="C1208" s="25">
        <v>2121</v>
      </c>
      <c r="D1208" s="13" t="s">
        <v>1021</v>
      </c>
      <c r="E1208" s="228"/>
      <c r="F1208" s="109" t="s">
        <v>4145</v>
      </c>
      <c r="G1208" s="24" t="s">
        <v>4146</v>
      </c>
      <c r="H1208" s="230">
        <v>4</v>
      </c>
      <c r="I1208" s="220">
        <v>305000</v>
      </c>
      <c r="J1208" s="220">
        <f>I1208*0.1</f>
        <v>30500</v>
      </c>
      <c r="K1208" s="220">
        <v>0</v>
      </c>
      <c r="L1208" s="220">
        <v>8460</v>
      </c>
      <c r="M1208" s="220">
        <v>13750</v>
      </c>
      <c r="N1208" s="220">
        <f>SUM(I1208:M1209)</f>
        <v>357710</v>
      </c>
      <c r="O1208" s="224"/>
      <c r="P1208" s="110" t="s">
        <v>4147</v>
      </c>
      <c r="Q1208" s="15" t="s">
        <v>19</v>
      </c>
      <c r="R1208" s="205"/>
      <c r="S1208" s="189"/>
      <c r="T1208" s="114"/>
      <c r="U1208" s="21" t="s">
        <v>4148</v>
      </c>
      <c r="V1208" s="115">
        <v>46032</v>
      </c>
      <c r="W1208" s="116">
        <v>1283</v>
      </c>
      <c r="X1208" s="220">
        <v>310000</v>
      </c>
      <c r="Y1208" s="220">
        <f>X1208*0.1</f>
        <v>31000</v>
      </c>
      <c r="Z1208" s="220">
        <v>8460</v>
      </c>
      <c r="AA1208" s="220">
        <f>SUM(X1208:Z1208)</f>
        <v>349460</v>
      </c>
      <c r="AB1208" s="222">
        <v>46036</v>
      </c>
    </row>
    <row r="1209" spans="1:28" ht="17.100000000000001" customHeight="1" thickBot="1">
      <c r="A1209" s="234"/>
      <c r="B1209" s="27" t="s">
        <v>3228</v>
      </c>
      <c r="C1209" s="27">
        <v>52</v>
      </c>
      <c r="D1209" s="14" t="s">
        <v>2559</v>
      </c>
      <c r="E1209" s="229"/>
      <c r="F1209" s="117" t="s">
        <v>4149</v>
      </c>
      <c r="G1209" s="26">
        <v>58017</v>
      </c>
      <c r="H1209" s="231"/>
      <c r="I1209" s="221"/>
      <c r="J1209" s="221"/>
      <c r="K1209" s="221"/>
      <c r="L1209" s="221"/>
      <c r="M1209" s="221"/>
      <c r="N1209" s="221"/>
      <c r="O1209" s="225"/>
      <c r="P1209" s="118" t="s">
        <v>4150</v>
      </c>
      <c r="Q1209" s="16" t="s">
        <v>20</v>
      </c>
      <c r="R1209" s="17" t="s">
        <v>4103</v>
      </c>
      <c r="S1209" s="121" t="s">
        <v>1625</v>
      </c>
      <c r="T1209" s="122"/>
      <c r="U1209" s="22"/>
      <c r="V1209" s="123" t="s">
        <v>2472</v>
      </c>
      <c r="W1209" s="122">
        <v>60193</v>
      </c>
      <c r="X1209" s="221"/>
      <c r="Y1209" s="221"/>
      <c r="Z1209" s="221"/>
      <c r="AA1209" s="221"/>
      <c r="AB1209" s="223"/>
    </row>
    <row r="1210" spans="1:28" ht="17.100000000000001" customHeight="1" thickTop="1">
      <c r="A1210" s="226" t="s">
        <v>6236</v>
      </c>
      <c r="B1210" s="28">
        <v>45876</v>
      </c>
      <c r="C1210" s="25">
        <v>2121</v>
      </c>
      <c r="D1210" s="13" t="s">
        <v>4151</v>
      </c>
      <c r="E1210" s="228"/>
      <c r="F1210" s="109" t="s">
        <v>4152</v>
      </c>
      <c r="G1210" s="24"/>
      <c r="H1210" s="230">
        <v>3.5</v>
      </c>
      <c r="I1210" s="220">
        <v>194000</v>
      </c>
      <c r="J1210" s="220">
        <f>I1210*0.1</f>
        <v>19400</v>
      </c>
      <c r="K1210" s="220">
        <v>0</v>
      </c>
      <c r="L1210" s="220">
        <v>7470</v>
      </c>
      <c r="M1210" s="220">
        <v>13750</v>
      </c>
      <c r="N1210" s="220">
        <f>SUM(I1210:M1211)</f>
        <v>234620</v>
      </c>
      <c r="O1210" s="224"/>
      <c r="P1210" s="110" t="s">
        <v>4153</v>
      </c>
      <c r="Q1210" s="15" t="s">
        <v>19</v>
      </c>
      <c r="R1210" s="205"/>
      <c r="S1210" s="189"/>
      <c r="T1210" s="114"/>
      <c r="U1210" s="21"/>
      <c r="V1210" s="115">
        <v>45934</v>
      </c>
      <c r="W1210" s="116">
        <v>1270</v>
      </c>
      <c r="X1210" s="220">
        <v>270000</v>
      </c>
      <c r="Y1210" s="220">
        <f>X1210*0.1</f>
        <v>27000</v>
      </c>
      <c r="Z1210" s="220">
        <v>7470</v>
      </c>
      <c r="AA1210" s="220">
        <f>SUM(X1210:Z1210)</f>
        <v>304470</v>
      </c>
      <c r="AB1210" s="222">
        <v>45938</v>
      </c>
    </row>
    <row r="1211" spans="1:28" ht="17.100000000000001" customHeight="1" thickBot="1">
      <c r="A1211" s="227"/>
      <c r="B1211" s="27" t="s">
        <v>3228</v>
      </c>
      <c r="C1211" s="27">
        <v>2059</v>
      </c>
      <c r="D1211" s="14" t="s">
        <v>1710</v>
      </c>
      <c r="E1211" s="229"/>
      <c r="F1211" s="117" t="s">
        <v>4154</v>
      </c>
      <c r="G1211" s="26">
        <v>42344</v>
      </c>
      <c r="H1211" s="231"/>
      <c r="I1211" s="221"/>
      <c r="J1211" s="221"/>
      <c r="K1211" s="221"/>
      <c r="L1211" s="221"/>
      <c r="M1211" s="221"/>
      <c r="N1211" s="221"/>
      <c r="O1211" s="225"/>
      <c r="P1211" s="118" t="s">
        <v>4155</v>
      </c>
      <c r="Q1211" s="16" t="s">
        <v>20</v>
      </c>
      <c r="R1211" s="17" t="s">
        <v>4103</v>
      </c>
      <c r="S1211" s="121" t="s">
        <v>4156</v>
      </c>
      <c r="T1211" s="122"/>
      <c r="U1211" s="22"/>
      <c r="V1211" s="123" t="s">
        <v>6642</v>
      </c>
      <c r="W1211" s="122">
        <v>60156</v>
      </c>
      <c r="X1211" s="221"/>
      <c r="Y1211" s="221"/>
      <c r="Z1211" s="221"/>
      <c r="AA1211" s="221"/>
      <c r="AB1211" s="223"/>
    </row>
    <row r="1212" spans="1:28" ht="17.100000000000001" customHeight="1" thickTop="1">
      <c r="A1212" s="226" t="s">
        <v>6237</v>
      </c>
      <c r="B1212" s="28">
        <v>45877</v>
      </c>
      <c r="C1212" s="25">
        <v>1381</v>
      </c>
      <c r="D1212" s="13" t="s">
        <v>2811</v>
      </c>
      <c r="E1212" s="228"/>
      <c r="F1212" s="109" t="s">
        <v>4157</v>
      </c>
      <c r="G1212" s="24" t="s">
        <v>4158</v>
      </c>
      <c r="H1212" s="230">
        <v>4</v>
      </c>
      <c r="I1212" s="220">
        <v>855000</v>
      </c>
      <c r="J1212" s="220">
        <f>I1212*0.1</f>
        <v>85500</v>
      </c>
      <c r="K1212" s="220">
        <f>20100+2010</f>
        <v>22110</v>
      </c>
      <c r="L1212" s="220">
        <v>8160</v>
      </c>
      <c r="M1212" s="220">
        <v>13200</v>
      </c>
      <c r="N1212" s="220">
        <f>SUM(I1212:M1213)</f>
        <v>983970</v>
      </c>
      <c r="O1212" s="224"/>
      <c r="P1212" s="110" t="s">
        <v>4159</v>
      </c>
      <c r="Q1212" s="15" t="s">
        <v>19</v>
      </c>
      <c r="R1212" s="205"/>
      <c r="S1212" s="189"/>
      <c r="T1212" s="114"/>
      <c r="U1212" s="21"/>
      <c r="V1212" s="115">
        <v>45934</v>
      </c>
      <c r="W1212" s="116">
        <v>1270</v>
      </c>
      <c r="X1212" s="220">
        <v>850000</v>
      </c>
      <c r="Y1212" s="220">
        <f>X1212*0.1</f>
        <v>85000</v>
      </c>
      <c r="Z1212" s="220">
        <v>8160</v>
      </c>
      <c r="AA1212" s="220">
        <f>SUM(X1212:Z1212)</f>
        <v>943160</v>
      </c>
      <c r="AB1212" s="222">
        <v>45937</v>
      </c>
    </row>
    <row r="1213" spans="1:28" ht="17.100000000000001" customHeight="1" thickBot="1">
      <c r="A1213" s="227"/>
      <c r="B1213" s="27" t="s">
        <v>2597</v>
      </c>
      <c r="C1213" s="27">
        <v>3007</v>
      </c>
      <c r="D1213" s="14" t="s">
        <v>2559</v>
      </c>
      <c r="E1213" s="229"/>
      <c r="F1213" s="117" t="s">
        <v>4160</v>
      </c>
      <c r="G1213" s="26">
        <v>39097</v>
      </c>
      <c r="H1213" s="231"/>
      <c r="I1213" s="221"/>
      <c r="J1213" s="221"/>
      <c r="K1213" s="221"/>
      <c r="L1213" s="221"/>
      <c r="M1213" s="221"/>
      <c r="N1213" s="221"/>
      <c r="O1213" s="225"/>
      <c r="P1213" s="118" t="s">
        <v>4161</v>
      </c>
      <c r="Q1213" s="16" t="s">
        <v>20</v>
      </c>
      <c r="R1213" s="17" t="s">
        <v>4103</v>
      </c>
      <c r="S1213" s="121" t="s">
        <v>4162</v>
      </c>
      <c r="T1213" s="122"/>
      <c r="U1213" s="22"/>
      <c r="V1213" s="123" t="s">
        <v>7160</v>
      </c>
      <c r="W1213" s="122">
        <v>55078</v>
      </c>
      <c r="X1213" s="221"/>
      <c r="Y1213" s="221"/>
      <c r="Z1213" s="221"/>
      <c r="AA1213" s="221"/>
      <c r="AB1213" s="223"/>
    </row>
    <row r="1214" spans="1:28" ht="17.100000000000001" customHeight="1" thickTop="1">
      <c r="A1214" s="226" t="s">
        <v>6238</v>
      </c>
      <c r="B1214" s="28">
        <v>45877</v>
      </c>
      <c r="C1214" s="25">
        <v>1381</v>
      </c>
      <c r="D1214" s="13" t="s">
        <v>3422</v>
      </c>
      <c r="E1214" s="228"/>
      <c r="F1214" s="109" t="s">
        <v>2009</v>
      </c>
      <c r="G1214" s="24" t="s">
        <v>4163</v>
      </c>
      <c r="H1214" s="230">
        <v>4.5</v>
      </c>
      <c r="I1214" s="220">
        <v>1081000</v>
      </c>
      <c r="J1214" s="220">
        <f>I1214*0.1</f>
        <v>108100</v>
      </c>
      <c r="K1214" s="220">
        <v>0</v>
      </c>
      <c r="L1214" s="220">
        <v>9080</v>
      </c>
      <c r="M1214" s="220">
        <v>13200</v>
      </c>
      <c r="N1214" s="220">
        <f>SUM(I1214:M1215)</f>
        <v>1211380</v>
      </c>
      <c r="O1214" s="224"/>
      <c r="P1214" s="110" t="s">
        <v>4164</v>
      </c>
      <c r="Q1214" s="15" t="s">
        <v>19</v>
      </c>
      <c r="R1214" s="205"/>
      <c r="S1214" s="189"/>
      <c r="T1214" s="114"/>
      <c r="U1214" s="21" t="s">
        <v>4165</v>
      </c>
      <c r="V1214" s="115">
        <v>45959</v>
      </c>
      <c r="W1214" s="116">
        <v>990</v>
      </c>
      <c r="X1214" s="220">
        <v>1180000</v>
      </c>
      <c r="Y1214" s="220">
        <f>X1214*0.1</f>
        <v>118000</v>
      </c>
      <c r="Z1214" s="220">
        <v>9080</v>
      </c>
      <c r="AA1214" s="220">
        <f>SUM(X1214:Z1214)</f>
        <v>1307080</v>
      </c>
      <c r="AB1214" s="222">
        <v>45965</v>
      </c>
    </row>
    <row r="1215" spans="1:28" ht="17.100000000000001" customHeight="1" thickBot="1">
      <c r="A1215" s="227"/>
      <c r="B1215" s="27" t="s">
        <v>2597</v>
      </c>
      <c r="C1215" s="27">
        <v>3040</v>
      </c>
      <c r="D1215" s="14" t="s">
        <v>2014</v>
      </c>
      <c r="E1215" s="229"/>
      <c r="F1215" s="117" t="s">
        <v>4166</v>
      </c>
      <c r="G1215" s="26">
        <v>37490</v>
      </c>
      <c r="H1215" s="231"/>
      <c r="I1215" s="221"/>
      <c r="J1215" s="221"/>
      <c r="K1215" s="221"/>
      <c r="L1215" s="221"/>
      <c r="M1215" s="221"/>
      <c r="N1215" s="221"/>
      <c r="O1215" s="225"/>
      <c r="P1215" s="118" t="s">
        <v>4167</v>
      </c>
      <c r="Q1215" s="16" t="s">
        <v>20</v>
      </c>
      <c r="R1215" s="17" t="s">
        <v>4103</v>
      </c>
      <c r="S1215" s="121"/>
      <c r="T1215" s="122"/>
      <c r="U1215" s="22"/>
      <c r="V1215" s="123" t="s">
        <v>2747</v>
      </c>
      <c r="W1215" s="122">
        <v>2071</v>
      </c>
      <c r="X1215" s="221"/>
      <c r="Y1215" s="221"/>
      <c r="Z1215" s="221"/>
      <c r="AA1215" s="221"/>
      <c r="AB1215" s="223"/>
    </row>
    <row r="1216" spans="1:28" ht="17.100000000000001" customHeight="1" thickTop="1">
      <c r="A1216" s="226" t="s">
        <v>6239</v>
      </c>
      <c r="B1216" s="28">
        <v>45878</v>
      </c>
      <c r="C1216" s="25"/>
      <c r="D1216" s="13" t="s">
        <v>1021</v>
      </c>
      <c r="E1216" s="228"/>
      <c r="F1216" s="109" t="s">
        <v>4168</v>
      </c>
      <c r="G1216" s="24" t="s">
        <v>3968</v>
      </c>
      <c r="H1216" s="230"/>
      <c r="I1216" s="220">
        <v>50000</v>
      </c>
      <c r="J1216" s="220">
        <v>0</v>
      </c>
      <c r="K1216" s="220">
        <v>0</v>
      </c>
      <c r="L1216" s="220">
        <v>0</v>
      </c>
      <c r="M1216" s="220">
        <v>0</v>
      </c>
      <c r="N1216" s="220">
        <f>SUM(I1216:M1217)</f>
        <v>50000</v>
      </c>
      <c r="O1216" s="224"/>
      <c r="P1216" s="110" t="s">
        <v>4169</v>
      </c>
      <c r="Q1216" s="15" t="s">
        <v>19</v>
      </c>
      <c r="R1216" s="205"/>
      <c r="S1216" s="189"/>
      <c r="T1216" s="114"/>
      <c r="U1216" s="21"/>
      <c r="V1216" s="115">
        <v>45945</v>
      </c>
      <c r="W1216" s="116">
        <v>988</v>
      </c>
      <c r="X1216" s="220">
        <v>178000</v>
      </c>
      <c r="Y1216" s="220">
        <f>X1216*0.1</f>
        <v>17800</v>
      </c>
      <c r="Z1216" s="220">
        <v>21300</v>
      </c>
      <c r="AA1216" s="220">
        <f>SUM(X1216:Z1216)</f>
        <v>217100</v>
      </c>
      <c r="AB1216" s="222">
        <v>45950</v>
      </c>
    </row>
    <row r="1217" spans="1:28" ht="17.100000000000001" customHeight="1" thickBot="1">
      <c r="A1217" s="227"/>
      <c r="B1217" s="27" t="s">
        <v>4170</v>
      </c>
      <c r="C1217" s="27"/>
      <c r="D1217" s="14"/>
      <c r="E1217" s="229"/>
      <c r="F1217" s="117" t="s">
        <v>4171</v>
      </c>
      <c r="G1217" s="26"/>
      <c r="H1217" s="231"/>
      <c r="I1217" s="221"/>
      <c r="J1217" s="221"/>
      <c r="K1217" s="221"/>
      <c r="L1217" s="221"/>
      <c r="M1217" s="221"/>
      <c r="N1217" s="221"/>
      <c r="O1217" s="225"/>
      <c r="P1217" s="118" t="s">
        <v>4172</v>
      </c>
      <c r="Q1217" s="16" t="s">
        <v>20</v>
      </c>
      <c r="R1217" s="17" t="s">
        <v>4120</v>
      </c>
      <c r="S1217" s="121" t="s">
        <v>1731</v>
      </c>
      <c r="T1217" s="122"/>
      <c r="U1217" s="22"/>
      <c r="V1217" s="123" t="s">
        <v>2747</v>
      </c>
      <c r="W1217" s="122">
        <v>10030</v>
      </c>
      <c r="X1217" s="221"/>
      <c r="Y1217" s="221"/>
      <c r="Z1217" s="221"/>
      <c r="AA1217" s="221"/>
      <c r="AB1217" s="223"/>
    </row>
    <row r="1218" spans="1:28" ht="17.100000000000001" customHeight="1" thickTop="1">
      <c r="A1218" s="226" t="s">
        <v>6240</v>
      </c>
      <c r="B1218" s="28">
        <v>45878</v>
      </c>
      <c r="C1218" s="25"/>
      <c r="D1218" s="13" t="s">
        <v>1542</v>
      </c>
      <c r="E1218" s="228"/>
      <c r="F1218" s="109" t="s">
        <v>1916</v>
      </c>
      <c r="G1218" s="24" t="s">
        <v>4173</v>
      </c>
      <c r="H1218" s="230"/>
      <c r="I1218" s="220">
        <v>250000</v>
      </c>
      <c r="J1218" s="220">
        <v>0</v>
      </c>
      <c r="K1218" s="220"/>
      <c r="L1218" s="220"/>
      <c r="M1218" s="220"/>
      <c r="N1218" s="220">
        <f>SUM(I1218:M1219)</f>
        <v>250000</v>
      </c>
      <c r="O1218" s="224"/>
      <c r="P1218" s="110" t="s">
        <v>4174</v>
      </c>
      <c r="Q1218" s="15" t="s">
        <v>19</v>
      </c>
      <c r="R1218" s="205"/>
      <c r="S1218" s="189"/>
      <c r="T1218" s="114"/>
      <c r="U1218" s="21"/>
      <c r="V1218" s="115"/>
      <c r="W1218" s="116"/>
      <c r="X1218" s="220"/>
      <c r="Y1218" s="220">
        <f>X1218*0.1</f>
        <v>0</v>
      </c>
      <c r="Z1218" s="220"/>
      <c r="AA1218" s="220">
        <f>SUM(X1218:Z1218)</f>
        <v>0</v>
      </c>
      <c r="AB1218" s="222"/>
    </row>
    <row r="1219" spans="1:28" ht="17.100000000000001" customHeight="1" thickBot="1">
      <c r="A1219" s="227"/>
      <c r="B1219" s="27" t="s">
        <v>4175</v>
      </c>
      <c r="C1219" s="27"/>
      <c r="D1219" s="14"/>
      <c r="E1219" s="229"/>
      <c r="F1219" s="117" t="s">
        <v>4176</v>
      </c>
      <c r="G1219" s="26"/>
      <c r="H1219" s="231"/>
      <c r="I1219" s="221"/>
      <c r="J1219" s="221"/>
      <c r="K1219" s="221"/>
      <c r="L1219" s="221"/>
      <c r="M1219" s="221"/>
      <c r="N1219" s="221"/>
      <c r="O1219" s="225"/>
      <c r="P1219" s="118" t="s">
        <v>4177</v>
      </c>
      <c r="Q1219" s="16" t="s">
        <v>20</v>
      </c>
      <c r="R1219" s="17" t="s">
        <v>4120</v>
      </c>
      <c r="S1219" s="121"/>
      <c r="T1219" s="122"/>
      <c r="U1219" s="22"/>
      <c r="V1219" s="123"/>
      <c r="W1219" s="122"/>
      <c r="X1219" s="221"/>
      <c r="Y1219" s="221"/>
      <c r="Z1219" s="221"/>
      <c r="AA1219" s="221"/>
      <c r="AB1219" s="223"/>
    </row>
    <row r="1220" spans="1:28" ht="17.100000000000001" customHeight="1" thickTop="1">
      <c r="A1220" s="226" t="s">
        <v>6241</v>
      </c>
      <c r="B1220" s="28">
        <v>45880</v>
      </c>
      <c r="C1220" s="25">
        <v>1174</v>
      </c>
      <c r="D1220" s="13" t="s">
        <v>1676</v>
      </c>
      <c r="E1220" s="228"/>
      <c r="F1220" s="109" t="s">
        <v>4178</v>
      </c>
      <c r="G1220" s="24" t="s">
        <v>1551</v>
      </c>
      <c r="H1220" s="230">
        <v>4</v>
      </c>
      <c r="I1220" s="220">
        <v>599000</v>
      </c>
      <c r="J1220" s="220">
        <f>I1220*0.1</f>
        <v>59900</v>
      </c>
      <c r="K1220" s="220">
        <v>13000</v>
      </c>
      <c r="L1220" s="220">
        <v>9790</v>
      </c>
      <c r="M1220" s="220">
        <v>15950</v>
      </c>
      <c r="N1220" s="220">
        <f>SUM(I1220:M1221)</f>
        <v>697640</v>
      </c>
      <c r="O1220" s="224"/>
      <c r="P1220" s="110" t="s">
        <v>4179</v>
      </c>
      <c r="Q1220" s="15" t="s">
        <v>19</v>
      </c>
      <c r="R1220" s="205"/>
      <c r="S1220" s="189"/>
      <c r="T1220" s="114"/>
      <c r="U1220" s="21" t="s">
        <v>4180</v>
      </c>
      <c r="V1220" s="115">
        <v>45997</v>
      </c>
      <c r="W1220" s="116">
        <v>1279</v>
      </c>
      <c r="X1220" s="220">
        <v>575000</v>
      </c>
      <c r="Y1220" s="220">
        <f>X1220*0.1</f>
        <v>57500</v>
      </c>
      <c r="Z1220" s="220">
        <v>9790</v>
      </c>
      <c r="AA1220" s="220">
        <f>SUM(X1220:Z1220)</f>
        <v>642290</v>
      </c>
      <c r="AB1220" s="222">
        <v>46000</v>
      </c>
    </row>
    <row r="1221" spans="1:28" ht="17.100000000000001" customHeight="1" thickBot="1">
      <c r="A1221" s="227"/>
      <c r="B1221" s="27" t="s">
        <v>3663</v>
      </c>
      <c r="C1221" s="27">
        <v>50026</v>
      </c>
      <c r="D1221" s="14" t="s">
        <v>3792</v>
      </c>
      <c r="E1221" s="229"/>
      <c r="F1221" s="117" t="s">
        <v>4181</v>
      </c>
      <c r="G1221" s="26">
        <v>58151</v>
      </c>
      <c r="H1221" s="231"/>
      <c r="I1221" s="221"/>
      <c r="J1221" s="221"/>
      <c r="K1221" s="221"/>
      <c r="L1221" s="221"/>
      <c r="M1221" s="221"/>
      <c r="N1221" s="221"/>
      <c r="O1221" s="225"/>
      <c r="P1221" s="118" t="s">
        <v>4094</v>
      </c>
      <c r="Q1221" s="16" t="s">
        <v>20</v>
      </c>
      <c r="R1221" s="17" t="s">
        <v>4182</v>
      </c>
      <c r="S1221" s="121"/>
      <c r="T1221" s="122"/>
      <c r="U1221" s="22"/>
      <c r="V1221" s="123" t="s">
        <v>2472</v>
      </c>
      <c r="W1221" s="122">
        <v>60007</v>
      </c>
      <c r="X1221" s="221"/>
      <c r="Y1221" s="221"/>
      <c r="Z1221" s="221"/>
      <c r="AA1221" s="221"/>
      <c r="AB1221" s="223"/>
    </row>
    <row r="1222" spans="1:28" ht="17.100000000000001" customHeight="1" thickTop="1">
      <c r="A1222" s="226" t="s">
        <v>6242</v>
      </c>
      <c r="B1222" s="28">
        <v>45887</v>
      </c>
      <c r="C1222" s="25">
        <v>2056</v>
      </c>
      <c r="D1222" s="13" t="s">
        <v>3269</v>
      </c>
      <c r="E1222" s="228"/>
      <c r="F1222" s="109" t="s">
        <v>4183</v>
      </c>
      <c r="G1222" s="24"/>
      <c r="H1222" s="230">
        <v>3.5</v>
      </c>
      <c r="I1222" s="220">
        <v>1080000</v>
      </c>
      <c r="J1222" s="220">
        <v>0</v>
      </c>
      <c r="K1222" s="220">
        <v>0</v>
      </c>
      <c r="L1222" s="220">
        <v>7150</v>
      </c>
      <c r="M1222" s="220">
        <v>20900</v>
      </c>
      <c r="N1222" s="220">
        <f>SUM(I1222:M1223)</f>
        <v>1108050</v>
      </c>
      <c r="O1222" s="224"/>
      <c r="P1222" s="110" t="s">
        <v>4184</v>
      </c>
      <c r="Q1222" s="15" t="s">
        <v>19</v>
      </c>
      <c r="R1222" s="205"/>
      <c r="S1222" s="189"/>
      <c r="T1222" s="114"/>
      <c r="U1222" s="21"/>
      <c r="V1222" s="115">
        <v>46165</v>
      </c>
      <c r="W1222" s="116">
        <v>1301</v>
      </c>
      <c r="X1222" s="220">
        <v>1120000</v>
      </c>
      <c r="Y1222" s="220">
        <f>X1222*0.1</f>
        <v>112000</v>
      </c>
      <c r="Z1222" s="220">
        <v>7150</v>
      </c>
      <c r="AA1222" s="220">
        <f>SUM(X1222:Z1222)</f>
        <v>1239150</v>
      </c>
      <c r="AB1222" s="222">
        <v>46168</v>
      </c>
    </row>
    <row r="1223" spans="1:28" ht="17.100000000000001" customHeight="1" thickBot="1">
      <c r="A1223" s="227"/>
      <c r="B1223" s="27" t="s">
        <v>82</v>
      </c>
      <c r="C1223" s="27">
        <v>25084</v>
      </c>
      <c r="D1223" s="14" t="s">
        <v>1627</v>
      </c>
      <c r="E1223" s="229"/>
      <c r="F1223" s="117" t="s">
        <v>4185</v>
      </c>
      <c r="G1223" s="26">
        <v>27045</v>
      </c>
      <c r="H1223" s="231"/>
      <c r="I1223" s="221"/>
      <c r="J1223" s="221"/>
      <c r="K1223" s="221"/>
      <c r="L1223" s="221"/>
      <c r="M1223" s="221"/>
      <c r="N1223" s="221"/>
      <c r="O1223" s="225"/>
      <c r="P1223" s="118" t="s">
        <v>2031</v>
      </c>
      <c r="Q1223" s="16" t="s">
        <v>20</v>
      </c>
      <c r="R1223" s="17" t="s">
        <v>2062</v>
      </c>
      <c r="S1223" s="121" t="s">
        <v>4186</v>
      </c>
      <c r="T1223" s="122"/>
      <c r="U1223" s="22"/>
      <c r="V1223" s="123" t="s">
        <v>2472</v>
      </c>
      <c r="W1223" s="122">
        <v>60091</v>
      </c>
      <c r="X1223" s="221"/>
      <c r="Y1223" s="221"/>
      <c r="Z1223" s="221"/>
      <c r="AA1223" s="221"/>
      <c r="AB1223" s="223"/>
    </row>
    <row r="1224" spans="1:28" ht="17.100000000000001" customHeight="1" thickTop="1">
      <c r="A1224" s="226" t="s">
        <v>6243</v>
      </c>
      <c r="B1224" s="28">
        <v>45887</v>
      </c>
      <c r="C1224" s="25">
        <v>2056</v>
      </c>
      <c r="D1224" s="13" t="s">
        <v>2406</v>
      </c>
      <c r="E1224" s="228"/>
      <c r="F1224" s="109" t="s">
        <v>4187</v>
      </c>
      <c r="G1224" s="24" t="s">
        <v>2810</v>
      </c>
      <c r="H1224" s="230">
        <v>4</v>
      </c>
      <c r="I1224" s="220">
        <v>1955000</v>
      </c>
      <c r="J1224" s="220">
        <f>I1224*0.1</f>
        <v>195500</v>
      </c>
      <c r="K1224" s="220">
        <v>25300</v>
      </c>
      <c r="L1224" s="220">
        <v>18130</v>
      </c>
      <c r="M1224" s="220">
        <v>11000</v>
      </c>
      <c r="N1224" s="220">
        <f>SUM(I1224:M1225)</f>
        <v>2204930</v>
      </c>
      <c r="O1224" s="224"/>
      <c r="P1224" s="110" t="s">
        <v>4188</v>
      </c>
      <c r="Q1224" s="15" t="s">
        <v>19</v>
      </c>
      <c r="R1224" s="205"/>
      <c r="S1224" s="189" t="s">
        <v>25443</v>
      </c>
      <c r="T1224" s="114"/>
      <c r="U1224" s="21"/>
      <c r="V1224" s="115"/>
      <c r="W1224" s="116"/>
      <c r="X1224" s="220"/>
      <c r="Y1224" s="220">
        <f>X1224*0.1</f>
        <v>0</v>
      </c>
      <c r="Z1224" s="220"/>
      <c r="AA1224" s="220">
        <f>SUM(X1224:Z1224)</f>
        <v>0</v>
      </c>
      <c r="AB1224" s="222"/>
    </row>
    <row r="1225" spans="1:28" ht="17.100000000000001" customHeight="1" thickBot="1">
      <c r="A1225" s="227"/>
      <c r="B1225" s="27" t="s">
        <v>82</v>
      </c>
      <c r="C1225" s="27">
        <v>36019</v>
      </c>
      <c r="D1225" s="14" t="s">
        <v>898</v>
      </c>
      <c r="E1225" s="229"/>
      <c r="F1225" s="117" t="s">
        <v>4189</v>
      </c>
      <c r="G1225" s="26">
        <v>34779</v>
      </c>
      <c r="H1225" s="231"/>
      <c r="I1225" s="221"/>
      <c r="J1225" s="221"/>
      <c r="K1225" s="221"/>
      <c r="L1225" s="221"/>
      <c r="M1225" s="221"/>
      <c r="N1225" s="221"/>
      <c r="O1225" s="225"/>
      <c r="P1225" s="118" t="s">
        <v>4190</v>
      </c>
      <c r="Q1225" s="16" t="s">
        <v>20</v>
      </c>
      <c r="R1225" s="17" t="s">
        <v>4182</v>
      </c>
      <c r="S1225" s="121" t="s">
        <v>4191</v>
      </c>
      <c r="T1225" s="122"/>
      <c r="U1225" s="22"/>
      <c r="V1225" s="123"/>
      <c r="W1225" s="122"/>
      <c r="X1225" s="221"/>
      <c r="Y1225" s="221"/>
      <c r="Z1225" s="221"/>
      <c r="AA1225" s="221"/>
      <c r="AB1225" s="223"/>
    </row>
    <row r="1226" spans="1:28" ht="17.100000000000001" customHeight="1" thickTop="1">
      <c r="A1226" s="226" t="s">
        <v>6244</v>
      </c>
      <c r="B1226" s="28">
        <v>45887</v>
      </c>
      <c r="C1226" s="25"/>
      <c r="D1226" s="13" t="s">
        <v>2644</v>
      </c>
      <c r="E1226" s="228"/>
      <c r="F1226" s="109" t="s">
        <v>4192</v>
      </c>
      <c r="G1226" s="24" t="s">
        <v>4193</v>
      </c>
      <c r="H1226" s="230">
        <v>4.5</v>
      </c>
      <c r="I1226" s="220">
        <f>2343000/1.1</f>
        <v>2130000</v>
      </c>
      <c r="J1226" s="220">
        <f>I1226*0.1</f>
        <v>213000</v>
      </c>
      <c r="K1226" s="220">
        <v>15200</v>
      </c>
      <c r="L1226" s="220">
        <v>11740</v>
      </c>
      <c r="M1226" s="220">
        <v>113575</v>
      </c>
      <c r="N1226" s="220">
        <f>SUM(I1226:M1227)</f>
        <v>2483515</v>
      </c>
      <c r="O1226" s="224"/>
      <c r="P1226" s="110" t="s">
        <v>7007</v>
      </c>
      <c r="Q1226" s="15" t="s">
        <v>19</v>
      </c>
      <c r="R1226" s="205"/>
      <c r="S1226" s="189" t="s">
        <v>1312</v>
      </c>
      <c r="T1226" s="114"/>
      <c r="U1226" s="21"/>
      <c r="V1226" s="115">
        <v>45934</v>
      </c>
      <c r="W1226" s="116">
        <v>1270</v>
      </c>
      <c r="X1226" s="220">
        <v>2740000</v>
      </c>
      <c r="Y1226" s="220">
        <f>X1226*0.1</f>
        <v>274000</v>
      </c>
      <c r="Z1226" s="220">
        <v>11740</v>
      </c>
      <c r="AA1226" s="220">
        <f>SUM(X1226:Z1226)</f>
        <v>3025740</v>
      </c>
      <c r="AB1226" s="222">
        <v>45938</v>
      </c>
    </row>
    <row r="1227" spans="1:28" ht="17.100000000000001" customHeight="1" thickBot="1">
      <c r="A1227" s="227"/>
      <c r="B1227" s="27" t="s">
        <v>1708</v>
      </c>
      <c r="C1227" s="27" t="s">
        <v>4194</v>
      </c>
      <c r="D1227" s="14" t="s">
        <v>273</v>
      </c>
      <c r="E1227" s="229"/>
      <c r="F1227" s="117" t="s">
        <v>4195</v>
      </c>
      <c r="G1227" s="26">
        <v>58929</v>
      </c>
      <c r="H1227" s="231"/>
      <c r="I1227" s="221"/>
      <c r="J1227" s="221"/>
      <c r="K1227" s="221"/>
      <c r="L1227" s="221"/>
      <c r="M1227" s="221"/>
      <c r="N1227" s="221"/>
      <c r="O1227" s="225"/>
      <c r="P1227" s="118" t="s">
        <v>7008</v>
      </c>
      <c r="Q1227" s="16" t="s">
        <v>20</v>
      </c>
      <c r="R1227" s="17" t="s">
        <v>2128</v>
      </c>
      <c r="S1227" s="121" t="s">
        <v>7711</v>
      </c>
      <c r="T1227" s="122"/>
      <c r="U1227" s="22"/>
      <c r="V1227" s="123" t="s">
        <v>7160</v>
      </c>
      <c r="W1227" s="122">
        <v>37658</v>
      </c>
      <c r="X1227" s="221"/>
      <c r="Y1227" s="221"/>
      <c r="Z1227" s="221"/>
      <c r="AA1227" s="221"/>
      <c r="AB1227" s="223"/>
    </row>
    <row r="1228" spans="1:28" ht="17.100000000000001" customHeight="1" thickTop="1">
      <c r="A1228" s="226" t="s">
        <v>6245</v>
      </c>
      <c r="B1228" s="28">
        <v>45887</v>
      </c>
      <c r="C1228" s="25"/>
      <c r="D1228" s="13" t="s">
        <v>1816</v>
      </c>
      <c r="E1228" s="228"/>
      <c r="F1228" s="109" t="s">
        <v>4196</v>
      </c>
      <c r="G1228" s="24" t="s">
        <v>3756</v>
      </c>
      <c r="H1228" s="230">
        <v>4</v>
      </c>
      <c r="I1228" s="220">
        <f>495000/1.1</f>
        <v>449999.99999999994</v>
      </c>
      <c r="J1228" s="220">
        <f>I1228*0.1</f>
        <v>45000</v>
      </c>
      <c r="K1228" s="220">
        <v>0</v>
      </c>
      <c r="L1228" s="220">
        <v>8680</v>
      </c>
      <c r="M1228" s="220">
        <v>52106</v>
      </c>
      <c r="N1228" s="220">
        <f>SUM(I1228:M1229)</f>
        <v>555786</v>
      </c>
      <c r="O1228" s="224"/>
      <c r="P1228" s="110" t="s">
        <v>7935</v>
      </c>
      <c r="Q1228" s="15" t="s">
        <v>19</v>
      </c>
      <c r="R1228" s="205"/>
      <c r="S1228" s="189" t="s">
        <v>1276</v>
      </c>
      <c r="T1228" s="114"/>
      <c r="U1228" s="21"/>
      <c r="V1228" s="115">
        <v>45951</v>
      </c>
      <c r="W1228" s="116">
        <v>1914</v>
      </c>
      <c r="X1228" s="220">
        <v>595000</v>
      </c>
      <c r="Y1228" s="220">
        <f>X1228*0.1</f>
        <v>59500</v>
      </c>
      <c r="Z1228" s="220">
        <v>8680</v>
      </c>
      <c r="AA1228" s="220">
        <f>SUM(X1228:Z1228)</f>
        <v>663180</v>
      </c>
      <c r="AB1228" s="222">
        <v>45957</v>
      </c>
    </row>
    <row r="1229" spans="1:28" ht="17.100000000000001" customHeight="1" thickBot="1">
      <c r="A1229" s="227"/>
      <c r="B1229" s="27" t="s">
        <v>1708</v>
      </c>
      <c r="C1229" s="27" t="s">
        <v>4197</v>
      </c>
      <c r="D1229" s="14" t="s">
        <v>2559</v>
      </c>
      <c r="E1229" s="229"/>
      <c r="F1229" s="117" t="s">
        <v>4198</v>
      </c>
      <c r="G1229" s="26">
        <v>39685</v>
      </c>
      <c r="H1229" s="231"/>
      <c r="I1229" s="221"/>
      <c r="J1229" s="221"/>
      <c r="K1229" s="221"/>
      <c r="L1229" s="221"/>
      <c r="M1229" s="221"/>
      <c r="N1229" s="221"/>
      <c r="O1229" s="225"/>
      <c r="P1229" s="118" t="s">
        <v>7936</v>
      </c>
      <c r="Q1229" s="16" t="s">
        <v>20</v>
      </c>
      <c r="R1229" s="17" t="s">
        <v>7909</v>
      </c>
      <c r="S1229" s="121" t="s">
        <v>3765</v>
      </c>
      <c r="T1229" s="122"/>
      <c r="U1229" s="22"/>
      <c r="V1229" s="123" t="s">
        <v>2103</v>
      </c>
      <c r="W1229" s="122">
        <v>3293</v>
      </c>
      <c r="X1229" s="221"/>
      <c r="Y1229" s="221"/>
      <c r="Z1229" s="221"/>
      <c r="AA1229" s="221"/>
      <c r="AB1229" s="223"/>
    </row>
    <row r="1230" spans="1:28" ht="17.100000000000001" customHeight="1" thickTop="1">
      <c r="A1230" s="233" t="s">
        <v>6246</v>
      </c>
      <c r="B1230" s="28">
        <v>45889</v>
      </c>
      <c r="C1230" s="25">
        <v>1293</v>
      </c>
      <c r="D1230" s="13" t="s">
        <v>4199</v>
      </c>
      <c r="E1230" s="228"/>
      <c r="F1230" s="109" t="s">
        <v>4200</v>
      </c>
      <c r="G1230" s="24" t="s">
        <v>4038</v>
      </c>
      <c r="H1230" s="230">
        <v>4</v>
      </c>
      <c r="I1230" s="220">
        <v>411000</v>
      </c>
      <c r="J1230" s="220">
        <f>I1230*0.1</f>
        <v>41100</v>
      </c>
      <c r="K1230" s="220">
        <v>0</v>
      </c>
      <c r="L1230" s="220">
        <v>8570</v>
      </c>
      <c r="M1230" s="220">
        <v>22000</v>
      </c>
      <c r="N1230" s="220">
        <f>SUM(I1230:M1231)</f>
        <v>482670</v>
      </c>
      <c r="O1230" s="224"/>
      <c r="P1230" s="110" t="s">
        <v>4201</v>
      </c>
      <c r="Q1230" s="15" t="s">
        <v>19</v>
      </c>
      <c r="R1230" s="205"/>
      <c r="S1230" s="189" t="s">
        <v>758</v>
      </c>
      <c r="T1230" s="114"/>
      <c r="U1230" s="21" t="s">
        <v>4202</v>
      </c>
      <c r="V1230" s="115">
        <v>46039</v>
      </c>
      <c r="W1230" s="116">
        <v>1284</v>
      </c>
      <c r="X1230" s="220">
        <v>435000</v>
      </c>
      <c r="Y1230" s="220">
        <f>X1230*0.1</f>
        <v>43500</v>
      </c>
      <c r="Z1230" s="220">
        <v>8570</v>
      </c>
      <c r="AA1230" s="220">
        <f>SUM(X1230:Z1230)</f>
        <v>487070</v>
      </c>
      <c r="AB1230" s="222">
        <v>46042</v>
      </c>
    </row>
    <row r="1231" spans="1:28" ht="17.100000000000001" customHeight="1" thickBot="1">
      <c r="A1231" s="234"/>
      <c r="B1231" s="27" t="s">
        <v>4114</v>
      </c>
      <c r="C1231" s="27">
        <v>70174</v>
      </c>
      <c r="D1231" s="14" t="s">
        <v>1710</v>
      </c>
      <c r="E1231" s="229"/>
      <c r="F1231" s="117" t="s">
        <v>4203</v>
      </c>
      <c r="G1231" s="26">
        <v>57378</v>
      </c>
      <c r="H1231" s="231"/>
      <c r="I1231" s="221"/>
      <c r="J1231" s="221"/>
      <c r="K1231" s="221"/>
      <c r="L1231" s="221"/>
      <c r="M1231" s="221"/>
      <c r="N1231" s="221"/>
      <c r="O1231" s="225"/>
      <c r="P1231" s="118" t="s">
        <v>4204</v>
      </c>
      <c r="Q1231" s="16" t="s">
        <v>20</v>
      </c>
      <c r="R1231" s="17" t="s">
        <v>3997</v>
      </c>
      <c r="S1231" s="126" t="s">
        <v>4205</v>
      </c>
      <c r="T1231" s="122"/>
      <c r="U1231" s="22"/>
      <c r="V1231" s="123" t="s">
        <v>2472</v>
      </c>
      <c r="W1231" s="122">
        <v>60325</v>
      </c>
      <c r="X1231" s="221"/>
      <c r="Y1231" s="221"/>
      <c r="Z1231" s="221"/>
      <c r="AA1231" s="221"/>
      <c r="AB1231" s="223"/>
    </row>
    <row r="1232" spans="1:28" ht="17.100000000000001" customHeight="1" thickTop="1">
      <c r="A1232" s="226" t="s">
        <v>6247</v>
      </c>
      <c r="B1232" s="28">
        <v>45889</v>
      </c>
      <c r="C1232" s="25"/>
      <c r="D1232" s="13" t="s">
        <v>2866</v>
      </c>
      <c r="E1232" s="228"/>
      <c r="F1232" s="109" t="s">
        <v>4206</v>
      </c>
      <c r="G1232" s="24" t="s">
        <v>4207</v>
      </c>
      <c r="H1232" s="230">
        <v>4</v>
      </c>
      <c r="I1232" s="220">
        <f>825000/1.1</f>
        <v>749999.99999999988</v>
      </c>
      <c r="J1232" s="220">
        <f>I1232*0.1</f>
        <v>74999.999999999985</v>
      </c>
      <c r="K1232" s="220">
        <v>0</v>
      </c>
      <c r="L1232" s="220">
        <v>8110</v>
      </c>
      <c r="M1232" s="220">
        <v>69474</v>
      </c>
      <c r="N1232" s="220">
        <f>SUM(I1232:M1233)</f>
        <v>902583.99999999988</v>
      </c>
      <c r="O1232" s="224"/>
      <c r="P1232" s="110" t="s">
        <v>4208</v>
      </c>
      <c r="Q1232" s="15" t="s">
        <v>19</v>
      </c>
      <c r="R1232" s="205"/>
      <c r="S1232" s="189" t="s">
        <v>1361</v>
      </c>
      <c r="T1232" s="114"/>
      <c r="U1232" s="21" t="s">
        <v>7219</v>
      </c>
      <c r="V1232" s="115">
        <v>45934</v>
      </c>
      <c r="W1232" s="116">
        <v>1270</v>
      </c>
      <c r="X1232" s="220">
        <v>865000</v>
      </c>
      <c r="Y1232" s="220">
        <f>X1232*0.1</f>
        <v>86500</v>
      </c>
      <c r="Z1232" s="220">
        <v>8110</v>
      </c>
      <c r="AA1232" s="220">
        <f>SUM(X1232:Z1232)</f>
        <v>959610</v>
      </c>
      <c r="AB1232" s="222">
        <v>45939</v>
      </c>
    </row>
    <row r="1233" spans="1:28" ht="17.100000000000001" customHeight="1" thickBot="1">
      <c r="A1233" s="227"/>
      <c r="B1233" s="27" t="s">
        <v>1708</v>
      </c>
      <c r="C1233" s="27" t="s">
        <v>4209</v>
      </c>
      <c r="D1233" s="14" t="s">
        <v>273</v>
      </c>
      <c r="E1233" s="229"/>
      <c r="F1233" s="117" t="s">
        <v>4210</v>
      </c>
      <c r="G1233" s="26">
        <v>38024</v>
      </c>
      <c r="H1233" s="231"/>
      <c r="I1233" s="221"/>
      <c r="J1233" s="221"/>
      <c r="K1233" s="221"/>
      <c r="L1233" s="221"/>
      <c r="M1233" s="221"/>
      <c r="N1233" s="221"/>
      <c r="O1233" s="225"/>
      <c r="P1233" s="118" t="s">
        <v>4211</v>
      </c>
      <c r="Q1233" s="16" t="s">
        <v>20</v>
      </c>
      <c r="R1233" s="17" t="s">
        <v>4212</v>
      </c>
      <c r="S1233" s="121" t="s">
        <v>169</v>
      </c>
      <c r="T1233" s="122"/>
      <c r="U1233" s="22"/>
      <c r="V1233" s="123" t="s">
        <v>7160</v>
      </c>
      <c r="W1233" s="122">
        <v>60458</v>
      </c>
      <c r="X1233" s="221"/>
      <c r="Y1233" s="221"/>
      <c r="Z1233" s="221"/>
      <c r="AA1233" s="221"/>
      <c r="AB1233" s="223"/>
    </row>
    <row r="1234" spans="1:28" ht="17.100000000000001" customHeight="1" thickTop="1">
      <c r="A1234" s="226" t="s">
        <v>6248</v>
      </c>
      <c r="B1234" s="28">
        <v>45890</v>
      </c>
      <c r="C1234" s="25">
        <v>1990</v>
      </c>
      <c r="D1234" s="13" t="s">
        <v>4213</v>
      </c>
      <c r="E1234" s="228"/>
      <c r="F1234" s="109" t="s">
        <v>4214</v>
      </c>
      <c r="G1234" s="24" t="s">
        <v>4120</v>
      </c>
      <c r="H1234" s="230">
        <v>4</v>
      </c>
      <c r="I1234" s="220">
        <v>1592000</v>
      </c>
      <c r="J1234" s="220">
        <f>I1234*0.1</f>
        <v>159200</v>
      </c>
      <c r="K1234" s="220">
        <v>0</v>
      </c>
      <c r="L1234" s="220">
        <v>8630</v>
      </c>
      <c r="M1234" s="220">
        <v>22000</v>
      </c>
      <c r="N1234" s="220">
        <f>SUM(I1234:M1235)</f>
        <v>1781830</v>
      </c>
      <c r="O1234" s="224"/>
      <c r="P1234" s="110" t="s">
        <v>4215</v>
      </c>
      <c r="Q1234" s="15" t="s">
        <v>19</v>
      </c>
      <c r="R1234" s="205"/>
      <c r="S1234" s="189" t="s">
        <v>1113</v>
      </c>
      <c r="T1234" s="114"/>
      <c r="U1234" s="21" t="s">
        <v>4216</v>
      </c>
      <c r="V1234" s="115">
        <v>45934</v>
      </c>
      <c r="W1234" s="116">
        <v>1270</v>
      </c>
      <c r="X1234" s="220">
        <v>1650000</v>
      </c>
      <c r="Y1234" s="220">
        <f>X1234*0.1</f>
        <v>165000</v>
      </c>
      <c r="Z1234" s="220">
        <v>8630</v>
      </c>
      <c r="AA1234" s="220">
        <f>SUM(X1234:Z1234)</f>
        <v>1823630</v>
      </c>
      <c r="AB1234" s="222">
        <v>45944</v>
      </c>
    </row>
    <row r="1235" spans="1:28" ht="17.100000000000001" customHeight="1" thickBot="1">
      <c r="A1235" s="227"/>
      <c r="B1235" s="27" t="s">
        <v>4217</v>
      </c>
      <c r="C1235" s="27">
        <v>50145</v>
      </c>
      <c r="D1235" s="14" t="s">
        <v>273</v>
      </c>
      <c r="E1235" s="229"/>
      <c r="F1235" s="117" t="s">
        <v>4218</v>
      </c>
      <c r="G1235" s="26">
        <v>7961</v>
      </c>
      <c r="H1235" s="231"/>
      <c r="I1235" s="221"/>
      <c r="J1235" s="221"/>
      <c r="K1235" s="221"/>
      <c r="L1235" s="221"/>
      <c r="M1235" s="221"/>
      <c r="N1235" s="221"/>
      <c r="O1235" s="225"/>
      <c r="P1235" s="118" t="s">
        <v>2287</v>
      </c>
      <c r="Q1235" s="16" t="s">
        <v>20</v>
      </c>
      <c r="R1235" s="17" t="s">
        <v>3997</v>
      </c>
      <c r="S1235" s="121" t="s">
        <v>1601</v>
      </c>
      <c r="T1235" s="122"/>
      <c r="U1235" s="22"/>
      <c r="V1235" s="123" t="s">
        <v>6641</v>
      </c>
      <c r="W1235" s="122">
        <v>60369</v>
      </c>
      <c r="X1235" s="221"/>
      <c r="Y1235" s="221"/>
      <c r="Z1235" s="221"/>
      <c r="AA1235" s="221"/>
      <c r="AB1235" s="223"/>
    </row>
    <row r="1236" spans="1:28" ht="17.100000000000001" customHeight="1" thickTop="1">
      <c r="A1236" s="226" t="s">
        <v>6249</v>
      </c>
      <c r="B1236" s="28">
        <v>45890</v>
      </c>
      <c r="C1236" s="25">
        <v>1529</v>
      </c>
      <c r="D1236" s="13" t="s">
        <v>1578</v>
      </c>
      <c r="E1236" s="228"/>
      <c r="F1236" s="109" t="s">
        <v>4219</v>
      </c>
      <c r="G1236" s="24"/>
      <c r="H1236" s="230">
        <v>4</v>
      </c>
      <c r="I1236" s="220">
        <v>1110000</v>
      </c>
      <c r="J1236" s="220">
        <f>I1236*0.1</f>
        <v>111000</v>
      </c>
      <c r="K1236" s="220">
        <v>0</v>
      </c>
      <c r="L1236" s="220">
        <v>22500</v>
      </c>
      <c r="M1236" s="220">
        <v>16500</v>
      </c>
      <c r="N1236" s="220">
        <f>SUM(I1236:M1237)</f>
        <v>1260000</v>
      </c>
      <c r="O1236" s="224"/>
      <c r="P1236" s="110" t="s">
        <v>4220</v>
      </c>
      <c r="Q1236" s="15" t="s">
        <v>19</v>
      </c>
      <c r="R1236" s="205"/>
      <c r="S1236" s="189"/>
      <c r="T1236" s="114"/>
      <c r="U1236" s="21"/>
      <c r="V1236" s="115">
        <v>45899</v>
      </c>
      <c r="W1236" s="116"/>
      <c r="X1236" s="220">
        <v>2680000</v>
      </c>
      <c r="Y1236" s="220">
        <v>0</v>
      </c>
      <c r="Z1236" s="220">
        <v>0</v>
      </c>
      <c r="AA1236" s="220">
        <f>SUM(X1236:Z1236)</f>
        <v>2680000</v>
      </c>
      <c r="AB1236" s="222">
        <v>45957</v>
      </c>
    </row>
    <row r="1237" spans="1:28" ht="17.100000000000001" customHeight="1" thickBot="1">
      <c r="A1237" s="227"/>
      <c r="B1237" s="27" t="s">
        <v>1592</v>
      </c>
      <c r="C1237" s="27">
        <v>79151</v>
      </c>
      <c r="D1237" s="14" t="s">
        <v>131</v>
      </c>
      <c r="E1237" s="229"/>
      <c r="F1237" s="117" t="s">
        <v>4221</v>
      </c>
      <c r="G1237" s="26">
        <v>52139</v>
      </c>
      <c r="H1237" s="231"/>
      <c r="I1237" s="221"/>
      <c r="J1237" s="221"/>
      <c r="K1237" s="221"/>
      <c r="L1237" s="221"/>
      <c r="M1237" s="221"/>
      <c r="N1237" s="221"/>
      <c r="O1237" s="225"/>
      <c r="P1237" s="118" t="s">
        <v>4222</v>
      </c>
      <c r="Q1237" s="16" t="s">
        <v>20</v>
      </c>
      <c r="R1237" s="17" t="s">
        <v>4182</v>
      </c>
      <c r="S1237" s="121"/>
      <c r="T1237" s="122"/>
      <c r="U1237" s="22"/>
      <c r="V1237" s="123" t="s">
        <v>13723</v>
      </c>
      <c r="W1237" s="122"/>
      <c r="X1237" s="221"/>
      <c r="Y1237" s="221"/>
      <c r="Z1237" s="221"/>
      <c r="AA1237" s="221"/>
      <c r="AB1237" s="223"/>
    </row>
    <row r="1238" spans="1:28" ht="17.100000000000001" customHeight="1" thickTop="1">
      <c r="A1238" s="226" t="s">
        <v>6250</v>
      </c>
      <c r="B1238" s="28">
        <v>45890</v>
      </c>
      <c r="C1238" s="25">
        <v>2122</v>
      </c>
      <c r="D1238" s="13" t="s">
        <v>1901</v>
      </c>
      <c r="E1238" s="228"/>
      <c r="F1238" s="109" t="s">
        <v>4223</v>
      </c>
      <c r="G1238" s="24"/>
      <c r="H1238" s="230">
        <v>4</v>
      </c>
      <c r="I1238" s="220">
        <v>1301000</v>
      </c>
      <c r="J1238" s="220">
        <f>I1238*0.1</f>
        <v>130100</v>
      </c>
      <c r="K1238" s="220">
        <v>0</v>
      </c>
      <c r="L1238" s="220">
        <v>8550</v>
      </c>
      <c r="M1238" s="220">
        <v>13750</v>
      </c>
      <c r="N1238" s="220">
        <f>SUM(I1238:M1239)</f>
        <v>1453400</v>
      </c>
      <c r="O1238" s="224"/>
      <c r="P1238" s="110" t="s">
        <v>4224</v>
      </c>
      <c r="Q1238" s="15" t="s">
        <v>19</v>
      </c>
      <c r="R1238" s="205"/>
      <c r="S1238" s="189"/>
      <c r="T1238" s="114"/>
      <c r="U1238" s="21"/>
      <c r="V1238" s="115">
        <v>46050</v>
      </c>
      <c r="W1238" s="116">
        <v>1002</v>
      </c>
      <c r="X1238" s="220">
        <v>1290000</v>
      </c>
      <c r="Y1238" s="220">
        <f>X1238*0.1</f>
        <v>129000</v>
      </c>
      <c r="Z1238" s="220">
        <v>8550</v>
      </c>
      <c r="AA1238" s="220">
        <f>SUM(X1238:Z1238)</f>
        <v>1427550</v>
      </c>
      <c r="AB1238" s="222">
        <v>46055</v>
      </c>
    </row>
    <row r="1239" spans="1:28" ht="17.100000000000001" customHeight="1" thickBot="1">
      <c r="A1239" s="227"/>
      <c r="B1239" s="27" t="s">
        <v>3228</v>
      </c>
      <c r="C1239" s="27">
        <v>2624</v>
      </c>
      <c r="D1239" s="14" t="s">
        <v>273</v>
      </c>
      <c r="E1239" s="229"/>
      <c r="F1239" s="117" t="s">
        <v>4225</v>
      </c>
      <c r="G1239" s="26">
        <v>36499</v>
      </c>
      <c r="H1239" s="231"/>
      <c r="I1239" s="221"/>
      <c r="J1239" s="221"/>
      <c r="K1239" s="221"/>
      <c r="L1239" s="221"/>
      <c r="M1239" s="221"/>
      <c r="N1239" s="221"/>
      <c r="O1239" s="225"/>
      <c r="P1239" s="118" t="s">
        <v>4226</v>
      </c>
      <c r="Q1239" s="16" t="s">
        <v>20</v>
      </c>
      <c r="R1239" s="17" t="s">
        <v>3997</v>
      </c>
      <c r="S1239" s="121" t="s">
        <v>169</v>
      </c>
      <c r="T1239" s="122"/>
      <c r="U1239" s="22"/>
      <c r="V1239" s="123" t="s">
        <v>8877</v>
      </c>
      <c r="W1239" s="122">
        <v>5120</v>
      </c>
      <c r="X1239" s="221"/>
      <c r="Y1239" s="221"/>
      <c r="Z1239" s="221"/>
      <c r="AA1239" s="221"/>
      <c r="AB1239" s="223"/>
    </row>
    <row r="1240" spans="1:28" ht="17.100000000000001" customHeight="1" thickTop="1">
      <c r="A1240" s="226" t="s">
        <v>6251</v>
      </c>
      <c r="B1240" s="28">
        <v>45890</v>
      </c>
      <c r="C1240" s="25">
        <v>1718</v>
      </c>
      <c r="D1240" s="13" t="s">
        <v>1542</v>
      </c>
      <c r="E1240" s="228"/>
      <c r="F1240" s="109" t="s">
        <v>4227</v>
      </c>
      <c r="G1240" s="24" t="s">
        <v>2894</v>
      </c>
      <c r="H1240" s="230">
        <v>4</v>
      </c>
      <c r="I1240" s="220">
        <v>537000</v>
      </c>
      <c r="J1240" s="220">
        <f>I1240*0.1</f>
        <v>53700</v>
      </c>
      <c r="K1240" s="220">
        <v>10800</v>
      </c>
      <c r="L1240" s="220">
        <v>8780</v>
      </c>
      <c r="M1240" s="220">
        <v>15400</v>
      </c>
      <c r="N1240" s="220">
        <f>SUM(I1240:M1241)</f>
        <v>625680</v>
      </c>
      <c r="O1240" s="224"/>
      <c r="P1240" s="110" t="s">
        <v>4228</v>
      </c>
      <c r="Q1240" s="15" t="s">
        <v>19</v>
      </c>
      <c r="R1240" s="205"/>
      <c r="S1240" s="189"/>
      <c r="T1240" s="114"/>
      <c r="U1240" s="21" t="s">
        <v>4229</v>
      </c>
      <c r="V1240" s="115">
        <v>45955</v>
      </c>
      <c r="W1240" s="116">
        <v>1273</v>
      </c>
      <c r="X1240" s="220">
        <v>610000</v>
      </c>
      <c r="Y1240" s="220">
        <f>X1240*0.1</f>
        <v>61000</v>
      </c>
      <c r="Z1240" s="220">
        <v>8780</v>
      </c>
      <c r="AA1240" s="220">
        <f>SUM(X1240:Z1240)</f>
        <v>679780</v>
      </c>
      <c r="AB1240" s="222">
        <v>45958</v>
      </c>
    </row>
    <row r="1241" spans="1:28" ht="17.100000000000001" customHeight="1" thickBot="1">
      <c r="A1241" s="227"/>
      <c r="B1241" s="27" t="s">
        <v>4230</v>
      </c>
      <c r="C1241" s="27">
        <v>3038</v>
      </c>
      <c r="D1241" s="14" t="s">
        <v>2014</v>
      </c>
      <c r="E1241" s="229"/>
      <c r="F1241" s="117" t="s">
        <v>4231</v>
      </c>
      <c r="G1241" s="26">
        <v>53434</v>
      </c>
      <c r="H1241" s="231"/>
      <c r="I1241" s="221"/>
      <c r="J1241" s="221"/>
      <c r="K1241" s="221"/>
      <c r="L1241" s="221"/>
      <c r="M1241" s="221"/>
      <c r="N1241" s="221"/>
      <c r="O1241" s="225"/>
      <c r="P1241" s="118" t="s">
        <v>4232</v>
      </c>
      <c r="Q1241" s="16" t="s">
        <v>20</v>
      </c>
      <c r="R1241" s="17" t="s">
        <v>3997</v>
      </c>
      <c r="S1241" s="121" t="s">
        <v>4233</v>
      </c>
      <c r="T1241" s="122"/>
      <c r="U1241" s="22"/>
      <c r="V1241" s="123" t="s">
        <v>2472</v>
      </c>
      <c r="W1241" s="122">
        <v>60184</v>
      </c>
      <c r="X1241" s="221"/>
      <c r="Y1241" s="221"/>
      <c r="Z1241" s="221"/>
      <c r="AA1241" s="221"/>
      <c r="AB1241" s="223"/>
    </row>
    <row r="1242" spans="1:28" ht="17.100000000000001" customHeight="1" thickTop="1">
      <c r="A1242" s="226" t="s">
        <v>6252</v>
      </c>
      <c r="B1242" s="28">
        <v>45891</v>
      </c>
      <c r="C1242" s="25">
        <v>2098</v>
      </c>
      <c r="D1242" s="13" t="s">
        <v>1901</v>
      </c>
      <c r="E1242" s="228"/>
      <c r="F1242" s="109" t="s">
        <v>4234</v>
      </c>
      <c r="G1242" s="24"/>
      <c r="H1242" s="230">
        <v>4</v>
      </c>
      <c r="I1242" s="220">
        <v>1180000</v>
      </c>
      <c r="J1242" s="220">
        <f>I1242*0.1</f>
        <v>118000</v>
      </c>
      <c r="K1242" s="220">
        <v>0</v>
      </c>
      <c r="L1242" s="220">
        <v>9140</v>
      </c>
      <c r="M1242" s="220">
        <v>16500</v>
      </c>
      <c r="N1242" s="220">
        <f>SUM(I1242:M1243)</f>
        <v>1323640</v>
      </c>
      <c r="O1242" s="224"/>
      <c r="P1242" s="110" t="s">
        <v>4235</v>
      </c>
      <c r="Q1242" s="15" t="s">
        <v>19</v>
      </c>
      <c r="R1242" s="205"/>
      <c r="S1242" s="189" t="s">
        <v>25444</v>
      </c>
      <c r="T1242" s="114"/>
      <c r="U1242" s="21"/>
      <c r="V1242" s="115">
        <v>45938</v>
      </c>
      <c r="W1242" s="116">
        <v>987</v>
      </c>
      <c r="X1242" s="220">
        <v>1205000</v>
      </c>
      <c r="Y1242" s="220">
        <f>X1242*0.1</f>
        <v>120500</v>
      </c>
      <c r="Z1242" s="220">
        <v>9140</v>
      </c>
      <c r="AA1242" s="220">
        <f>SUM(X1242:Z1242)</f>
        <v>1334640</v>
      </c>
      <c r="AB1242" s="222">
        <v>45944</v>
      </c>
    </row>
    <row r="1243" spans="1:28" ht="17.100000000000001" customHeight="1" thickBot="1">
      <c r="A1243" s="227"/>
      <c r="B1243" s="27" t="s">
        <v>1536</v>
      </c>
      <c r="C1243" s="27">
        <v>55167</v>
      </c>
      <c r="D1243" s="14" t="s">
        <v>1568</v>
      </c>
      <c r="E1243" s="229"/>
      <c r="F1243" s="117" t="s">
        <v>4236</v>
      </c>
      <c r="G1243" s="26">
        <v>52895</v>
      </c>
      <c r="H1243" s="231"/>
      <c r="I1243" s="221"/>
      <c r="J1243" s="221"/>
      <c r="K1243" s="221"/>
      <c r="L1243" s="221"/>
      <c r="M1243" s="221"/>
      <c r="N1243" s="221"/>
      <c r="O1243" s="225"/>
      <c r="P1243" s="118" t="s">
        <v>2615</v>
      </c>
      <c r="Q1243" s="16" t="s">
        <v>20</v>
      </c>
      <c r="R1243" s="17" t="s">
        <v>2919</v>
      </c>
      <c r="S1243" s="121" t="s">
        <v>4237</v>
      </c>
      <c r="T1243" s="122"/>
      <c r="U1243" s="22"/>
      <c r="V1243" s="123" t="s">
        <v>2747</v>
      </c>
      <c r="W1243" s="122">
        <v>2011</v>
      </c>
      <c r="X1243" s="221"/>
      <c r="Y1243" s="221"/>
      <c r="Z1243" s="221"/>
      <c r="AA1243" s="221"/>
      <c r="AB1243" s="223"/>
    </row>
    <row r="1244" spans="1:28" ht="17.100000000000001" customHeight="1" thickTop="1">
      <c r="A1244" s="226" t="s">
        <v>6253</v>
      </c>
      <c r="B1244" s="28">
        <v>45891</v>
      </c>
      <c r="C1244" s="25">
        <v>2098</v>
      </c>
      <c r="D1244" s="13" t="s">
        <v>1053</v>
      </c>
      <c r="E1244" s="228"/>
      <c r="F1244" s="109" t="s">
        <v>4238</v>
      </c>
      <c r="G1244" s="24" t="s">
        <v>4239</v>
      </c>
      <c r="H1244" s="230">
        <v>4.5</v>
      </c>
      <c r="I1244" s="220">
        <v>1220000</v>
      </c>
      <c r="J1244" s="220">
        <f>I1244*0.1</f>
        <v>122000</v>
      </c>
      <c r="K1244" s="220">
        <v>0</v>
      </c>
      <c r="L1244" s="220">
        <v>7150</v>
      </c>
      <c r="M1244" s="220">
        <v>16500</v>
      </c>
      <c r="N1244" s="220">
        <f>SUM(I1244:M1245)</f>
        <v>1365650</v>
      </c>
      <c r="O1244" s="224"/>
      <c r="P1244" s="110" t="s">
        <v>4240</v>
      </c>
      <c r="Q1244" s="15" t="s">
        <v>19</v>
      </c>
      <c r="R1244" s="205"/>
      <c r="S1244" s="189" t="s">
        <v>758</v>
      </c>
      <c r="T1244" s="114"/>
      <c r="U1244" s="21" t="s">
        <v>4241</v>
      </c>
      <c r="V1244" s="115">
        <v>45955</v>
      </c>
      <c r="W1244" s="116">
        <v>1273</v>
      </c>
      <c r="X1244" s="220">
        <v>1235000</v>
      </c>
      <c r="Y1244" s="220">
        <f>X1244*0.1</f>
        <v>123500</v>
      </c>
      <c r="Z1244" s="220">
        <v>7150</v>
      </c>
      <c r="AA1244" s="220">
        <f>SUM(X1244:Z1244)</f>
        <v>1365650</v>
      </c>
      <c r="AB1244" s="222">
        <v>45960</v>
      </c>
    </row>
    <row r="1245" spans="1:28" ht="17.100000000000001" customHeight="1" thickBot="1">
      <c r="A1245" s="227"/>
      <c r="B1245" s="27" t="s">
        <v>1536</v>
      </c>
      <c r="C1245" s="27">
        <v>55707</v>
      </c>
      <c r="D1245" s="14" t="s">
        <v>273</v>
      </c>
      <c r="E1245" s="229"/>
      <c r="F1245" s="117" t="s">
        <v>4242</v>
      </c>
      <c r="G1245" s="26">
        <v>33823</v>
      </c>
      <c r="H1245" s="231"/>
      <c r="I1245" s="221"/>
      <c r="J1245" s="221"/>
      <c r="K1245" s="221"/>
      <c r="L1245" s="221"/>
      <c r="M1245" s="221"/>
      <c r="N1245" s="221"/>
      <c r="O1245" s="225"/>
      <c r="P1245" s="118" t="s">
        <v>4243</v>
      </c>
      <c r="Q1245" s="16" t="s">
        <v>20</v>
      </c>
      <c r="R1245" s="17" t="s">
        <v>3997</v>
      </c>
      <c r="S1245" s="121" t="s">
        <v>1856</v>
      </c>
      <c r="T1245" s="122"/>
      <c r="U1245" s="22"/>
      <c r="V1245" s="123" t="s">
        <v>2472</v>
      </c>
      <c r="W1245" s="122">
        <v>60133</v>
      </c>
      <c r="X1245" s="221"/>
      <c r="Y1245" s="221"/>
      <c r="Z1245" s="221"/>
      <c r="AA1245" s="221"/>
      <c r="AB1245" s="223"/>
    </row>
    <row r="1246" spans="1:28" ht="17.100000000000001" customHeight="1" thickTop="1">
      <c r="A1246" s="226" t="s">
        <v>6254</v>
      </c>
      <c r="B1246" s="28">
        <v>45891</v>
      </c>
      <c r="C1246" s="25">
        <v>2098</v>
      </c>
      <c r="D1246" s="13" t="s">
        <v>2690</v>
      </c>
      <c r="E1246" s="228"/>
      <c r="F1246" s="109" t="s">
        <v>4244</v>
      </c>
      <c r="G1246" s="24" t="s">
        <v>4245</v>
      </c>
      <c r="H1246" s="230">
        <v>4.5</v>
      </c>
      <c r="I1246" s="220">
        <v>2800000</v>
      </c>
      <c r="J1246" s="220">
        <f>I1246*0.1</f>
        <v>280000</v>
      </c>
      <c r="K1246" s="220">
        <f>21000+2100</f>
        <v>23100</v>
      </c>
      <c r="L1246" s="220">
        <v>16240</v>
      </c>
      <c r="M1246" s="220">
        <v>16500</v>
      </c>
      <c r="N1246" s="220">
        <f>SUM(I1246:M1247)</f>
        <v>3135840</v>
      </c>
      <c r="O1246" s="224"/>
      <c r="P1246" s="110" t="s">
        <v>4246</v>
      </c>
      <c r="Q1246" s="15" t="s">
        <v>19</v>
      </c>
      <c r="R1246" s="205"/>
      <c r="S1246" s="189" t="s">
        <v>1271</v>
      </c>
      <c r="T1246" s="114"/>
      <c r="U1246" s="21" t="s">
        <v>4247</v>
      </c>
      <c r="V1246" s="115">
        <v>45919</v>
      </c>
      <c r="W1246" s="116"/>
      <c r="X1246" s="220">
        <v>3992040</v>
      </c>
      <c r="Y1246" s="220">
        <v>0</v>
      </c>
      <c r="Z1246" s="220">
        <v>0</v>
      </c>
      <c r="AA1246" s="220">
        <f>SUM(X1246:Z1246)</f>
        <v>3992040</v>
      </c>
      <c r="AB1246" s="222">
        <v>45949</v>
      </c>
    </row>
    <row r="1247" spans="1:28" ht="17.100000000000001" customHeight="1" thickBot="1">
      <c r="A1247" s="227"/>
      <c r="B1247" s="27" t="s">
        <v>1536</v>
      </c>
      <c r="C1247" s="27">
        <v>58214</v>
      </c>
      <c r="D1247" s="14" t="s">
        <v>131</v>
      </c>
      <c r="E1247" s="229"/>
      <c r="F1247" s="117" t="s">
        <v>4248</v>
      </c>
      <c r="G1247" s="26">
        <v>39082</v>
      </c>
      <c r="H1247" s="231"/>
      <c r="I1247" s="221"/>
      <c r="J1247" s="221"/>
      <c r="K1247" s="221"/>
      <c r="L1247" s="221"/>
      <c r="M1247" s="221"/>
      <c r="N1247" s="221"/>
      <c r="O1247" s="225"/>
      <c r="P1247" s="118" t="s">
        <v>1586</v>
      </c>
      <c r="Q1247" s="16" t="s">
        <v>20</v>
      </c>
      <c r="R1247" s="17" t="s">
        <v>3997</v>
      </c>
      <c r="S1247" s="121" t="s">
        <v>1606</v>
      </c>
      <c r="T1247" s="122"/>
      <c r="U1247" s="22"/>
      <c r="V1247" s="123" t="s">
        <v>13718</v>
      </c>
      <c r="W1247" s="122"/>
      <c r="X1247" s="221"/>
      <c r="Y1247" s="221"/>
      <c r="Z1247" s="221"/>
      <c r="AA1247" s="221"/>
      <c r="AB1247" s="223"/>
    </row>
    <row r="1248" spans="1:28" ht="17.100000000000001" customHeight="1" thickTop="1">
      <c r="A1248" s="226" t="s">
        <v>6255</v>
      </c>
      <c r="B1248" s="28">
        <v>45891</v>
      </c>
      <c r="C1248" s="25">
        <v>2098</v>
      </c>
      <c r="D1248" s="13" t="s">
        <v>2463</v>
      </c>
      <c r="E1248" s="228"/>
      <c r="F1248" s="109" t="s">
        <v>4249</v>
      </c>
      <c r="G1248" s="24"/>
      <c r="H1248" s="230">
        <v>4</v>
      </c>
      <c r="I1248" s="220">
        <v>345000</v>
      </c>
      <c r="J1248" s="220">
        <v>0</v>
      </c>
      <c r="K1248" s="220">
        <v>0</v>
      </c>
      <c r="L1248" s="220">
        <v>9790</v>
      </c>
      <c r="M1248" s="220">
        <v>16500</v>
      </c>
      <c r="N1248" s="220">
        <f>SUM(I1248:M1249)</f>
        <v>371290</v>
      </c>
      <c r="O1248" s="224"/>
      <c r="P1248" s="110" t="s">
        <v>4250</v>
      </c>
      <c r="Q1248" s="15" t="s">
        <v>19</v>
      </c>
      <c r="R1248" s="205"/>
      <c r="S1248" s="189" t="s">
        <v>1422</v>
      </c>
      <c r="T1248" s="114"/>
      <c r="U1248" s="21"/>
      <c r="V1248" s="115">
        <v>45955</v>
      </c>
      <c r="W1248" s="116">
        <v>1273</v>
      </c>
      <c r="X1248" s="220">
        <v>405000</v>
      </c>
      <c r="Y1248" s="220">
        <f>X1248*0.1</f>
        <v>40500</v>
      </c>
      <c r="Z1248" s="220">
        <v>9790</v>
      </c>
      <c r="AA1248" s="220">
        <f>SUM(X1248:Z1248)</f>
        <v>455290</v>
      </c>
      <c r="AB1248" s="222">
        <v>45958</v>
      </c>
    </row>
    <row r="1249" spans="1:28" ht="17.100000000000001" customHeight="1" thickBot="1">
      <c r="A1249" s="227"/>
      <c r="B1249" s="27" t="s">
        <v>1536</v>
      </c>
      <c r="C1249" s="27">
        <v>85164</v>
      </c>
      <c r="D1249" s="14" t="s">
        <v>2753</v>
      </c>
      <c r="E1249" s="229"/>
      <c r="F1249" s="117" t="s">
        <v>4251</v>
      </c>
      <c r="G1249" s="26">
        <v>49672</v>
      </c>
      <c r="H1249" s="231"/>
      <c r="I1249" s="221"/>
      <c r="J1249" s="221"/>
      <c r="K1249" s="221"/>
      <c r="L1249" s="221"/>
      <c r="M1249" s="221"/>
      <c r="N1249" s="221"/>
      <c r="O1249" s="225"/>
      <c r="P1249" s="118" t="s">
        <v>4252</v>
      </c>
      <c r="Q1249" s="16" t="s">
        <v>20</v>
      </c>
      <c r="R1249" s="17" t="s">
        <v>2919</v>
      </c>
      <c r="S1249" s="121" t="s">
        <v>4253</v>
      </c>
      <c r="T1249" s="122"/>
      <c r="U1249" s="22"/>
      <c r="V1249" s="123" t="s">
        <v>2472</v>
      </c>
      <c r="W1249" s="122">
        <v>60135</v>
      </c>
      <c r="X1249" s="221"/>
      <c r="Y1249" s="221"/>
      <c r="Z1249" s="221"/>
      <c r="AA1249" s="221"/>
      <c r="AB1249" s="223"/>
    </row>
    <row r="1250" spans="1:28" ht="17.100000000000001" customHeight="1" thickTop="1">
      <c r="A1250" s="226" t="s">
        <v>6256</v>
      </c>
      <c r="B1250" s="28">
        <v>45891</v>
      </c>
      <c r="C1250" s="25"/>
      <c r="D1250" s="13" t="s">
        <v>2010</v>
      </c>
      <c r="E1250" s="228"/>
      <c r="F1250" s="109" t="s">
        <v>4254</v>
      </c>
      <c r="G1250" s="24" t="s">
        <v>4255</v>
      </c>
      <c r="H1250" s="230">
        <v>4.5</v>
      </c>
      <c r="I1250" s="220">
        <f>1413500/1.1</f>
        <v>1285000</v>
      </c>
      <c r="J1250" s="220">
        <f>I1250*0.1</f>
        <v>128500</v>
      </c>
      <c r="K1250" s="220">
        <v>12700</v>
      </c>
      <c r="L1250" s="220">
        <v>8170</v>
      </c>
      <c r="M1250" s="220">
        <v>90338</v>
      </c>
      <c r="N1250" s="220">
        <f>SUM(I1250:M1251)</f>
        <v>1524708</v>
      </c>
      <c r="O1250" s="224"/>
      <c r="P1250" s="110" t="s">
        <v>7310</v>
      </c>
      <c r="Q1250" s="15" t="s">
        <v>19</v>
      </c>
      <c r="R1250" s="205"/>
      <c r="S1250" s="189" t="s">
        <v>1276</v>
      </c>
      <c r="T1250" s="114"/>
      <c r="U1250" s="21"/>
      <c r="V1250" s="115">
        <v>45941</v>
      </c>
      <c r="W1250" s="116">
        <v>1271</v>
      </c>
      <c r="X1250" s="220">
        <v>1415000</v>
      </c>
      <c r="Y1250" s="220">
        <f>X1250*0.1</f>
        <v>141500</v>
      </c>
      <c r="Z1250" s="220">
        <v>8170</v>
      </c>
      <c r="AA1250" s="220">
        <f>SUM(X1250:Z1250)</f>
        <v>1564670</v>
      </c>
      <c r="AB1250" s="222">
        <v>45944</v>
      </c>
    </row>
    <row r="1251" spans="1:28" ht="17.100000000000001" customHeight="1" thickBot="1">
      <c r="A1251" s="227"/>
      <c r="B1251" s="27" t="s">
        <v>1708</v>
      </c>
      <c r="C1251" s="27" t="s">
        <v>4256</v>
      </c>
      <c r="D1251" s="14" t="s">
        <v>1584</v>
      </c>
      <c r="E1251" s="229"/>
      <c r="F1251" s="117" t="s">
        <v>4257</v>
      </c>
      <c r="G1251" s="26">
        <v>18500</v>
      </c>
      <c r="H1251" s="231"/>
      <c r="I1251" s="221"/>
      <c r="J1251" s="221"/>
      <c r="K1251" s="221"/>
      <c r="L1251" s="221"/>
      <c r="M1251" s="221"/>
      <c r="N1251" s="221"/>
      <c r="O1251" s="225"/>
      <c r="P1251" s="118" t="s">
        <v>7311</v>
      </c>
      <c r="Q1251" s="16" t="s">
        <v>20</v>
      </c>
      <c r="R1251" s="17" t="s">
        <v>3264</v>
      </c>
      <c r="S1251" s="121" t="s">
        <v>4378</v>
      </c>
      <c r="T1251" s="122"/>
      <c r="U1251" s="22"/>
      <c r="V1251" s="123" t="s">
        <v>2472</v>
      </c>
      <c r="W1251" s="122">
        <v>37518</v>
      </c>
      <c r="X1251" s="221"/>
      <c r="Y1251" s="221"/>
      <c r="Z1251" s="221"/>
      <c r="AA1251" s="221"/>
      <c r="AB1251" s="223"/>
    </row>
    <row r="1252" spans="1:28" ht="17.100000000000001" customHeight="1" thickTop="1">
      <c r="A1252" s="226" t="s">
        <v>6257</v>
      </c>
      <c r="B1252" s="28">
        <v>45891</v>
      </c>
      <c r="C1252" s="25"/>
      <c r="D1252" s="13" t="s">
        <v>1837</v>
      </c>
      <c r="E1252" s="228"/>
      <c r="F1252" s="109" t="s">
        <v>4258</v>
      </c>
      <c r="G1252" s="24" t="s">
        <v>2806</v>
      </c>
      <c r="H1252" s="230">
        <v>4.5</v>
      </c>
      <c r="I1252" s="220">
        <f>2409000/1.1</f>
        <v>2190000</v>
      </c>
      <c r="J1252" s="220">
        <f>I1252*0.1</f>
        <v>219000</v>
      </c>
      <c r="K1252" s="220">
        <v>15000</v>
      </c>
      <c r="L1252" s="220">
        <v>12470</v>
      </c>
      <c r="M1252" s="220">
        <v>115225</v>
      </c>
      <c r="N1252" s="220">
        <f>SUM(I1252:M1253)</f>
        <v>2551695</v>
      </c>
      <c r="O1252" s="224"/>
      <c r="P1252" s="110" t="s">
        <v>4259</v>
      </c>
      <c r="Q1252" s="15" t="s">
        <v>19</v>
      </c>
      <c r="R1252" s="205"/>
      <c r="S1252" s="189"/>
      <c r="T1252" s="124" t="s">
        <v>8316</v>
      </c>
      <c r="U1252" s="21"/>
      <c r="V1252" s="115">
        <v>45941</v>
      </c>
      <c r="W1252" s="116">
        <v>1271</v>
      </c>
      <c r="X1252" s="220">
        <v>2400000</v>
      </c>
      <c r="Y1252" s="220">
        <f>X1252*0.1</f>
        <v>240000</v>
      </c>
      <c r="Z1252" s="220">
        <v>12470</v>
      </c>
      <c r="AA1252" s="220">
        <f>SUM(X1252:Z1252)</f>
        <v>2652470</v>
      </c>
      <c r="AB1252" s="222">
        <v>45950</v>
      </c>
    </row>
    <row r="1253" spans="1:28" ht="17.100000000000001" customHeight="1" thickBot="1">
      <c r="A1253" s="227"/>
      <c r="B1253" s="27" t="s">
        <v>1708</v>
      </c>
      <c r="C1253" s="27" t="s">
        <v>4260</v>
      </c>
      <c r="D1253" s="14" t="s">
        <v>2559</v>
      </c>
      <c r="E1253" s="229"/>
      <c r="F1253" s="117" t="s">
        <v>4261</v>
      </c>
      <c r="G1253" s="26">
        <v>47565</v>
      </c>
      <c r="H1253" s="231"/>
      <c r="I1253" s="221"/>
      <c r="J1253" s="221"/>
      <c r="K1253" s="221"/>
      <c r="L1253" s="221"/>
      <c r="M1253" s="221"/>
      <c r="N1253" s="221"/>
      <c r="O1253" s="225"/>
      <c r="P1253" s="118" t="s">
        <v>4262</v>
      </c>
      <c r="Q1253" s="16" t="s">
        <v>20</v>
      </c>
      <c r="R1253" s="17" t="s">
        <v>1587</v>
      </c>
      <c r="S1253" s="121" t="s">
        <v>7709</v>
      </c>
      <c r="T1253" s="122"/>
      <c r="U1253" s="22"/>
      <c r="V1253" s="123" t="s">
        <v>2472</v>
      </c>
      <c r="W1253" s="122">
        <v>37667</v>
      </c>
      <c r="X1253" s="221"/>
      <c r="Y1253" s="221"/>
      <c r="Z1253" s="221"/>
      <c r="AA1253" s="221"/>
      <c r="AB1253" s="223"/>
    </row>
    <row r="1254" spans="1:28" ht="17.100000000000001" customHeight="1" thickTop="1">
      <c r="A1254" s="226" t="s">
        <v>6258</v>
      </c>
      <c r="B1254" s="28">
        <v>45891</v>
      </c>
      <c r="C1254" s="25">
        <v>1382</v>
      </c>
      <c r="D1254" s="13" t="s">
        <v>4263</v>
      </c>
      <c r="E1254" s="228"/>
      <c r="F1254" s="109" t="s">
        <v>4264</v>
      </c>
      <c r="G1254" s="24" t="s">
        <v>4265</v>
      </c>
      <c r="H1254" s="230">
        <v>4</v>
      </c>
      <c r="I1254" s="220">
        <v>519000</v>
      </c>
      <c r="J1254" s="220">
        <f>I1254*0.1</f>
        <v>51900</v>
      </c>
      <c r="K1254" s="220">
        <v>0</v>
      </c>
      <c r="L1254" s="220">
        <v>10070</v>
      </c>
      <c r="M1254" s="220">
        <v>13200</v>
      </c>
      <c r="N1254" s="220">
        <f>SUM(I1254:M1255)</f>
        <v>594170</v>
      </c>
      <c r="O1254" s="224"/>
      <c r="P1254" s="110" t="s">
        <v>4266</v>
      </c>
      <c r="Q1254" s="15" t="s">
        <v>19</v>
      </c>
      <c r="R1254" s="205"/>
      <c r="S1254" s="189" t="s">
        <v>25387</v>
      </c>
      <c r="T1254" s="114"/>
      <c r="U1254" s="21" t="s">
        <v>4267</v>
      </c>
      <c r="V1254" s="115">
        <v>45934</v>
      </c>
      <c r="W1254" s="116">
        <v>1270</v>
      </c>
      <c r="X1254" s="220">
        <v>590000</v>
      </c>
      <c r="Y1254" s="220">
        <f>X1254*0.1</f>
        <v>59000</v>
      </c>
      <c r="Z1254" s="220">
        <v>10070</v>
      </c>
      <c r="AA1254" s="220">
        <f>SUM(X1254:Z1254)</f>
        <v>659070</v>
      </c>
      <c r="AB1254" s="222">
        <v>45944</v>
      </c>
    </row>
    <row r="1255" spans="1:28" ht="17.100000000000001" customHeight="1" thickBot="1">
      <c r="A1255" s="227"/>
      <c r="B1255" s="27" t="s">
        <v>2597</v>
      </c>
      <c r="C1255" s="27">
        <v>5519</v>
      </c>
      <c r="D1255" s="14" t="s">
        <v>898</v>
      </c>
      <c r="E1255" s="229"/>
      <c r="F1255" s="117" t="s">
        <v>4268</v>
      </c>
      <c r="G1255" s="26">
        <v>28630</v>
      </c>
      <c r="H1255" s="231"/>
      <c r="I1255" s="221"/>
      <c r="J1255" s="221"/>
      <c r="K1255" s="221"/>
      <c r="L1255" s="221"/>
      <c r="M1255" s="221"/>
      <c r="N1255" s="221"/>
      <c r="O1255" s="225"/>
      <c r="P1255" s="118" t="s">
        <v>4269</v>
      </c>
      <c r="Q1255" s="16" t="s">
        <v>20</v>
      </c>
      <c r="R1255" s="17" t="s">
        <v>3997</v>
      </c>
      <c r="S1255" s="121" t="s">
        <v>4270</v>
      </c>
      <c r="T1255" s="122"/>
      <c r="U1255" s="22"/>
      <c r="V1255" s="123" t="s">
        <v>6641</v>
      </c>
      <c r="W1255" s="122">
        <v>60385</v>
      </c>
      <c r="X1255" s="221"/>
      <c r="Y1255" s="221"/>
      <c r="Z1255" s="221"/>
      <c r="AA1255" s="221"/>
      <c r="AB1255" s="223"/>
    </row>
    <row r="1256" spans="1:28" ht="17.100000000000001" customHeight="1" thickTop="1">
      <c r="A1256" s="226" t="s">
        <v>6259</v>
      </c>
      <c r="B1256" s="28">
        <v>45891</v>
      </c>
      <c r="C1256" s="25"/>
      <c r="D1256" s="13" t="s">
        <v>4271</v>
      </c>
      <c r="E1256" s="228"/>
      <c r="F1256" s="109" t="s">
        <v>4272</v>
      </c>
      <c r="G1256" s="24" t="s">
        <v>2494</v>
      </c>
      <c r="H1256" s="230"/>
      <c r="I1256" s="220">
        <v>2050000</v>
      </c>
      <c r="J1256" s="220">
        <v>0</v>
      </c>
      <c r="K1256" s="220"/>
      <c r="L1256" s="220"/>
      <c r="M1256" s="220"/>
      <c r="N1256" s="220">
        <f>SUM(I1256:M1257)</f>
        <v>2050000</v>
      </c>
      <c r="O1256" s="224"/>
      <c r="P1256" s="110" t="s">
        <v>4273</v>
      </c>
      <c r="Q1256" s="15" t="s">
        <v>19</v>
      </c>
      <c r="R1256" s="205"/>
      <c r="S1256" s="189"/>
      <c r="T1256" s="114"/>
      <c r="U1256" s="21"/>
      <c r="V1256" s="115">
        <v>45907</v>
      </c>
      <c r="W1256" s="116"/>
      <c r="X1256" s="220">
        <v>3179000</v>
      </c>
      <c r="Y1256" s="220">
        <v>0</v>
      </c>
      <c r="Z1256" s="220">
        <v>0</v>
      </c>
      <c r="AA1256" s="220">
        <f>SUM(X1256:Z1256)</f>
        <v>3179000</v>
      </c>
      <c r="AB1256" s="222">
        <v>45957</v>
      </c>
    </row>
    <row r="1257" spans="1:28" ht="17.100000000000001" customHeight="1" thickBot="1">
      <c r="A1257" s="227"/>
      <c r="B1257" s="27" t="s">
        <v>4274</v>
      </c>
      <c r="C1257" s="27"/>
      <c r="D1257" s="14"/>
      <c r="E1257" s="229"/>
      <c r="F1257" s="117" t="s">
        <v>4275</v>
      </c>
      <c r="G1257" s="26"/>
      <c r="H1257" s="231"/>
      <c r="I1257" s="221"/>
      <c r="J1257" s="221"/>
      <c r="K1257" s="221"/>
      <c r="L1257" s="221"/>
      <c r="M1257" s="221"/>
      <c r="N1257" s="221"/>
      <c r="O1257" s="225"/>
      <c r="P1257" s="118" t="s">
        <v>4276</v>
      </c>
      <c r="Q1257" s="16" t="s">
        <v>20</v>
      </c>
      <c r="R1257" s="17" t="s">
        <v>2500</v>
      </c>
      <c r="S1257" s="121" t="s">
        <v>1731</v>
      </c>
      <c r="T1257" s="122"/>
      <c r="U1257" s="22"/>
      <c r="V1257" s="123" t="s">
        <v>13722</v>
      </c>
      <c r="W1257" s="122"/>
      <c r="X1257" s="221"/>
      <c r="Y1257" s="221"/>
      <c r="Z1257" s="221"/>
      <c r="AA1257" s="221"/>
      <c r="AB1257" s="223"/>
    </row>
    <row r="1258" spans="1:28" ht="17.100000000000001" customHeight="1" thickTop="1">
      <c r="A1258" s="226" t="s">
        <v>6260</v>
      </c>
      <c r="B1258" s="28">
        <v>45892</v>
      </c>
      <c r="C1258" s="25">
        <v>986</v>
      </c>
      <c r="D1258" s="13" t="s">
        <v>2422</v>
      </c>
      <c r="E1258" s="228"/>
      <c r="F1258" s="109" t="s">
        <v>4277</v>
      </c>
      <c r="G1258" s="24" t="s">
        <v>4239</v>
      </c>
      <c r="H1258" s="230">
        <v>3.5</v>
      </c>
      <c r="I1258" s="220">
        <v>1490000</v>
      </c>
      <c r="J1258" s="220">
        <f>I1258*0.1</f>
        <v>149000</v>
      </c>
      <c r="K1258" s="220">
        <v>25300</v>
      </c>
      <c r="L1258" s="220">
        <v>21220</v>
      </c>
      <c r="M1258" s="220">
        <v>19250</v>
      </c>
      <c r="N1258" s="220">
        <f>SUM(I1258:M1259)</f>
        <v>1704770</v>
      </c>
      <c r="O1258" s="224"/>
      <c r="P1258" s="110" t="s">
        <v>4278</v>
      </c>
      <c r="Q1258" s="15" t="s">
        <v>19</v>
      </c>
      <c r="R1258" s="205"/>
      <c r="S1258" s="189" t="s">
        <v>758</v>
      </c>
      <c r="T1258" s="114"/>
      <c r="U1258" s="21" t="s">
        <v>4279</v>
      </c>
      <c r="V1258" s="115">
        <v>46300</v>
      </c>
      <c r="W1258" s="116"/>
      <c r="X1258" s="220">
        <v>3100000</v>
      </c>
      <c r="Y1258" s="220">
        <v>0</v>
      </c>
      <c r="Z1258" s="220">
        <v>0</v>
      </c>
      <c r="AA1258" s="220">
        <f>SUM(X1258:Z1258)</f>
        <v>3100000</v>
      </c>
      <c r="AB1258" s="222">
        <v>46370</v>
      </c>
    </row>
    <row r="1259" spans="1:28" ht="17.100000000000001" customHeight="1" thickBot="1">
      <c r="A1259" s="227"/>
      <c r="B1259" s="27" t="s">
        <v>1697</v>
      </c>
      <c r="C1259" s="27">
        <v>5014</v>
      </c>
      <c r="D1259" s="14" t="s">
        <v>273</v>
      </c>
      <c r="E1259" s="229"/>
      <c r="F1259" s="117" t="s">
        <v>4280</v>
      </c>
      <c r="G1259" s="26">
        <v>37244</v>
      </c>
      <c r="H1259" s="231"/>
      <c r="I1259" s="221"/>
      <c r="J1259" s="221"/>
      <c r="K1259" s="221"/>
      <c r="L1259" s="221"/>
      <c r="M1259" s="221"/>
      <c r="N1259" s="221"/>
      <c r="O1259" s="225"/>
      <c r="P1259" s="118" t="s">
        <v>4281</v>
      </c>
      <c r="Q1259" s="16" t="s">
        <v>20</v>
      </c>
      <c r="R1259" s="17" t="s">
        <v>3997</v>
      </c>
      <c r="S1259" s="121" t="s">
        <v>4282</v>
      </c>
      <c r="T1259" s="122"/>
      <c r="U1259" s="22"/>
      <c r="V1259" s="123" t="s">
        <v>13386</v>
      </c>
      <c r="W1259" s="122"/>
      <c r="X1259" s="221"/>
      <c r="Y1259" s="221"/>
      <c r="Z1259" s="221"/>
      <c r="AA1259" s="221"/>
      <c r="AB1259" s="223"/>
    </row>
    <row r="1260" spans="1:28" ht="17.100000000000001" customHeight="1" thickTop="1">
      <c r="A1260" s="226" t="s">
        <v>6261</v>
      </c>
      <c r="B1260" s="28">
        <v>45892</v>
      </c>
      <c r="C1260" s="25">
        <v>1264</v>
      </c>
      <c r="D1260" s="13" t="s">
        <v>2900</v>
      </c>
      <c r="E1260" s="228"/>
      <c r="F1260" s="109" t="s">
        <v>4283</v>
      </c>
      <c r="G1260" s="24" t="s">
        <v>3534</v>
      </c>
      <c r="H1260" s="230">
        <v>4</v>
      </c>
      <c r="I1260" s="220">
        <v>570000</v>
      </c>
      <c r="J1260" s="220">
        <f>I1260*0.1</f>
        <v>57000</v>
      </c>
      <c r="K1260" s="220">
        <v>0</v>
      </c>
      <c r="L1260" s="220">
        <v>7510</v>
      </c>
      <c r="M1260" s="220">
        <v>13200</v>
      </c>
      <c r="N1260" s="220">
        <f>SUM(I1260:M1261)</f>
        <v>647710</v>
      </c>
      <c r="O1260" s="224"/>
      <c r="P1260" s="110" t="s">
        <v>4284</v>
      </c>
      <c r="Q1260" s="15" t="s">
        <v>19</v>
      </c>
      <c r="R1260" s="205"/>
      <c r="S1260" s="189" t="s">
        <v>1306</v>
      </c>
      <c r="T1260" s="114"/>
      <c r="U1260" s="21"/>
      <c r="V1260" s="115">
        <v>45980</v>
      </c>
      <c r="W1260" s="116">
        <v>993</v>
      </c>
      <c r="X1260" s="220">
        <v>578000</v>
      </c>
      <c r="Y1260" s="220">
        <f>X1260*0.1</f>
        <v>57800</v>
      </c>
      <c r="Z1260" s="220">
        <v>7510</v>
      </c>
      <c r="AA1260" s="220">
        <f>SUM(X1260:Z1260)</f>
        <v>643310</v>
      </c>
      <c r="AB1260" s="222">
        <v>45986</v>
      </c>
    </row>
    <row r="1261" spans="1:28" ht="17.100000000000001" customHeight="1" thickBot="1">
      <c r="A1261" s="227"/>
      <c r="B1261" s="27" t="s">
        <v>2472</v>
      </c>
      <c r="C1261" s="27">
        <v>65563</v>
      </c>
      <c r="D1261" s="14" t="s">
        <v>273</v>
      </c>
      <c r="E1261" s="229"/>
      <c r="F1261" s="117" t="s">
        <v>4285</v>
      </c>
      <c r="G1261" s="26">
        <v>37787</v>
      </c>
      <c r="H1261" s="231"/>
      <c r="I1261" s="221"/>
      <c r="J1261" s="221"/>
      <c r="K1261" s="221"/>
      <c r="L1261" s="221"/>
      <c r="M1261" s="221"/>
      <c r="N1261" s="221"/>
      <c r="O1261" s="225"/>
      <c r="P1261" s="118" t="s">
        <v>4286</v>
      </c>
      <c r="Q1261" s="16" t="s">
        <v>20</v>
      </c>
      <c r="R1261" s="17" t="s">
        <v>2919</v>
      </c>
      <c r="S1261" s="121" t="s">
        <v>4287</v>
      </c>
      <c r="T1261" s="122"/>
      <c r="U1261" s="22"/>
      <c r="V1261" s="123" t="s">
        <v>7161</v>
      </c>
      <c r="W1261" s="122">
        <v>2060</v>
      </c>
      <c r="X1261" s="221"/>
      <c r="Y1261" s="221"/>
      <c r="Z1261" s="221"/>
      <c r="AA1261" s="221"/>
      <c r="AB1261" s="223"/>
    </row>
    <row r="1262" spans="1:28" ht="17.100000000000001" customHeight="1" thickTop="1">
      <c r="A1262" s="226" t="s">
        <v>6262</v>
      </c>
      <c r="B1262" s="28">
        <v>45894</v>
      </c>
      <c r="C1262" s="25"/>
      <c r="D1262" s="13" t="s">
        <v>1748</v>
      </c>
      <c r="E1262" s="228"/>
      <c r="F1262" s="109" t="s">
        <v>4288</v>
      </c>
      <c r="G1262" s="24" t="s">
        <v>4289</v>
      </c>
      <c r="H1262" s="230">
        <v>4.5</v>
      </c>
      <c r="I1262" s="220">
        <f>3245000/1.1</f>
        <v>2949999.9999999995</v>
      </c>
      <c r="J1262" s="220">
        <f>I1262*0.1</f>
        <v>294999.99999999994</v>
      </c>
      <c r="K1262" s="220">
        <v>8000</v>
      </c>
      <c r="L1262" s="220">
        <v>11570</v>
      </c>
      <c r="M1262" s="220">
        <v>136125</v>
      </c>
      <c r="N1262" s="220">
        <f>SUM(I1262:M1263)</f>
        <v>3400694.9999999995</v>
      </c>
      <c r="O1262" s="224"/>
      <c r="P1262" s="110" t="s">
        <v>6745</v>
      </c>
      <c r="Q1262" s="15" t="s">
        <v>19</v>
      </c>
      <c r="R1262" s="205"/>
      <c r="S1262" s="189" t="s">
        <v>1422</v>
      </c>
      <c r="T1262" s="114"/>
      <c r="U1262" s="21"/>
      <c r="V1262" s="115">
        <v>45948</v>
      </c>
      <c r="W1262" s="116">
        <v>1272</v>
      </c>
      <c r="X1262" s="220">
        <v>3355000</v>
      </c>
      <c r="Y1262" s="220">
        <f>X1262*0.1</f>
        <v>335500</v>
      </c>
      <c r="Z1262" s="220">
        <v>11570</v>
      </c>
      <c r="AA1262" s="220">
        <f>SUM(X1262:Z1262)</f>
        <v>3702070</v>
      </c>
      <c r="AB1262" s="222">
        <v>45954</v>
      </c>
    </row>
    <row r="1263" spans="1:28" ht="17.100000000000001" customHeight="1" thickBot="1">
      <c r="A1263" s="227"/>
      <c r="B1263" s="27" t="s">
        <v>1708</v>
      </c>
      <c r="C1263" s="27" t="s">
        <v>4290</v>
      </c>
      <c r="D1263" s="14" t="s">
        <v>2559</v>
      </c>
      <c r="E1263" s="229"/>
      <c r="F1263" s="117" t="s">
        <v>4291</v>
      </c>
      <c r="G1263" s="26">
        <v>43558</v>
      </c>
      <c r="H1263" s="231"/>
      <c r="I1263" s="221"/>
      <c r="J1263" s="221"/>
      <c r="K1263" s="221"/>
      <c r="L1263" s="221"/>
      <c r="M1263" s="221"/>
      <c r="N1263" s="221"/>
      <c r="O1263" s="225"/>
      <c r="P1263" s="118" t="s">
        <v>6746</v>
      </c>
      <c r="Q1263" s="16" t="s">
        <v>20</v>
      </c>
      <c r="R1263" s="17" t="s">
        <v>6610</v>
      </c>
      <c r="S1263" s="121" t="s">
        <v>1567</v>
      </c>
      <c r="T1263" s="122"/>
      <c r="U1263" s="22"/>
      <c r="V1263" s="123" t="s">
        <v>2472</v>
      </c>
      <c r="W1263" s="122">
        <v>40082</v>
      </c>
      <c r="X1263" s="221"/>
      <c r="Y1263" s="221"/>
      <c r="Z1263" s="221"/>
      <c r="AA1263" s="221"/>
      <c r="AB1263" s="223"/>
    </row>
    <row r="1264" spans="1:28" ht="17.100000000000001" customHeight="1" thickTop="1">
      <c r="A1264" s="226" t="s">
        <v>6263</v>
      </c>
      <c r="B1264" s="28">
        <v>45896</v>
      </c>
      <c r="C1264" s="25">
        <v>1802</v>
      </c>
      <c r="D1264" s="13" t="s">
        <v>1598</v>
      </c>
      <c r="E1264" s="228"/>
      <c r="F1264" s="109" t="s">
        <v>4292</v>
      </c>
      <c r="G1264" s="24"/>
      <c r="H1264" s="230">
        <v>4.5</v>
      </c>
      <c r="I1264" s="220">
        <v>467000</v>
      </c>
      <c r="J1264" s="220">
        <f>I1264*0.1</f>
        <v>46700</v>
      </c>
      <c r="K1264" s="220">
        <v>0</v>
      </c>
      <c r="L1264" s="220">
        <v>8860</v>
      </c>
      <c r="M1264" s="220">
        <v>18150</v>
      </c>
      <c r="N1264" s="220">
        <f>SUM(I1264:M1265)</f>
        <v>540710</v>
      </c>
      <c r="O1264" s="224"/>
      <c r="P1264" s="110" t="s">
        <v>4293</v>
      </c>
      <c r="Q1264" s="15" t="s">
        <v>19</v>
      </c>
      <c r="R1264" s="205"/>
      <c r="S1264" s="189"/>
      <c r="T1264" s="114"/>
      <c r="U1264" s="21"/>
      <c r="V1264" s="115">
        <v>45938</v>
      </c>
      <c r="W1264" s="116">
        <v>987</v>
      </c>
      <c r="X1264" s="220">
        <v>550000</v>
      </c>
      <c r="Y1264" s="220">
        <f>X1264*0.1</f>
        <v>55000</v>
      </c>
      <c r="Z1264" s="220">
        <v>8860</v>
      </c>
      <c r="AA1264" s="220">
        <f>SUM(X1264:Z1264)</f>
        <v>613860</v>
      </c>
      <c r="AB1264" s="222">
        <v>45944</v>
      </c>
    </row>
    <row r="1265" spans="1:28" ht="17.100000000000001" customHeight="1" thickBot="1">
      <c r="A1265" s="227"/>
      <c r="B1265" s="27" t="s">
        <v>2519</v>
      </c>
      <c r="C1265" s="27">
        <v>3111</v>
      </c>
      <c r="D1265" s="14" t="s">
        <v>898</v>
      </c>
      <c r="E1265" s="229"/>
      <c r="F1265" s="117" t="s">
        <v>4294</v>
      </c>
      <c r="G1265" s="26">
        <v>45123</v>
      </c>
      <c r="H1265" s="231"/>
      <c r="I1265" s="221"/>
      <c r="J1265" s="221"/>
      <c r="K1265" s="221"/>
      <c r="L1265" s="221"/>
      <c r="M1265" s="221"/>
      <c r="N1265" s="221"/>
      <c r="O1265" s="225"/>
      <c r="P1265" s="118" t="s">
        <v>2870</v>
      </c>
      <c r="Q1265" s="16" t="s">
        <v>20</v>
      </c>
      <c r="R1265" s="17" t="s">
        <v>1551</v>
      </c>
      <c r="S1265" s="121" t="s">
        <v>4295</v>
      </c>
      <c r="T1265" s="122"/>
      <c r="U1265" s="22"/>
      <c r="V1265" s="123" t="s">
        <v>2747</v>
      </c>
      <c r="W1265" s="122">
        <v>2006</v>
      </c>
      <c r="X1265" s="221"/>
      <c r="Y1265" s="221"/>
      <c r="Z1265" s="221"/>
      <c r="AA1265" s="221"/>
      <c r="AB1265" s="223"/>
    </row>
    <row r="1266" spans="1:28" ht="17.100000000000001" customHeight="1" thickTop="1">
      <c r="A1266" s="226" t="s">
        <v>6264</v>
      </c>
      <c r="B1266" s="28">
        <v>45896</v>
      </c>
      <c r="C1266" s="25">
        <v>1802</v>
      </c>
      <c r="D1266" s="13" t="s">
        <v>1615</v>
      </c>
      <c r="E1266" s="228"/>
      <c r="F1266" s="109" t="s">
        <v>4296</v>
      </c>
      <c r="G1266" s="24"/>
      <c r="H1266" s="230">
        <v>4</v>
      </c>
      <c r="I1266" s="220">
        <v>534000</v>
      </c>
      <c r="J1266" s="220">
        <f>I1266*0.1</f>
        <v>53400</v>
      </c>
      <c r="K1266" s="220">
        <v>0</v>
      </c>
      <c r="L1266" s="220">
        <v>6780</v>
      </c>
      <c r="M1266" s="220">
        <v>18150</v>
      </c>
      <c r="N1266" s="220">
        <f>SUM(I1266:M1267)</f>
        <v>612330</v>
      </c>
      <c r="O1266" s="224"/>
      <c r="P1266" s="110" t="s">
        <v>4297</v>
      </c>
      <c r="Q1266" s="15" t="s">
        <v>19</v>
      </c>
      <c r="R1266" s="205"/>
      <c r="S1266" s="189"/>
      <c r="T1266" s="114"/>
      <c r="U1266" s="21"/>
      <c r="V1266" s="115">
        <v>45938</v>
      </c>
      <c r="W1266" s="116">
        <v>987</v>
      </c>
      <c r="X1266" s="220">
        <v>535000</v>
      </c>
      <c r="Y1266" s="220">
        <f>X1266*0.1</f>
        <v>53500</v>
      </c>
      <c r="Z1266" s="220">
        <v>6780</v>
      </c>
      <c r="AA1266" s="220">
        <f>SUM(X1266:Z1266)</f>
        <v>595280</v>
      </c>
      <c r="AB1266" s="222">
        <v>45944</v>
      </c>
    </row>
    <row r="1267" spans="1:28" ht="17.100000000000001" customHeight="1" thickBot="1">
      <c r="A1267" s="227"/>
      <c r="B1267" s="27" t="s">
        <v>2519</v>
      </c>
      <c r="C1267" s="27">
        <v>13112</v>
      </c>
      <c r="D1267" s="14" t="s">
        <v>1584</v>
      </c>
      <c r="E1267" s="229"/>
      <c r="F1267" s="117" t="s">
        <v>4298</v>
      </c>
      <c r="G1267" s="26">
        <v>48045</v>
      </c>
      <c r="H1267" s="231"/>
      <c r="I1267" s="221"/>
      <c r="J1267" s="221"/>
      <c r="K1267" s="221"/>
      <c r="L1267" s="221"/>
      <c r="M1267" s="221"/>
      <c r="N1267" s="221"/>
      <c r="O1267" s="225"/>
      <c r="P1267" s="118" t="s">
        <v>1972</v>
      </c>
      <c r="Q1267" s="16" t="s">
        <v>20</v>
      </c>
      <c r="R1267" s="17" t="s">
        <v>2508</v>
      </c>
      <c r="S1267" s="121" t="s">
        <v>1625</v>
      </c>
      <c r="T1267" s="122"/>
      <c r="U1267" s="22"/>
      <c r="V1267" s="123" t="s">
        <v>2747</v>
      </c>
      <c r="W1267" s="122">
        <v>2027</v>
      </c>
      <c r="X1267" s="221"/>
      <c r="Y1267" s="221"/>
      <c r="Z1267" s="221"/>
      <c r="AA1267" s="221"/>
      <c r="AB1267" s="223"/>
    </row>
    <row r="1268" spans="1:28" ht="17.100000000000001" customHeight="1" thickTop="1">
      <c r="A1268" s="226" t="s">
        <v>6265</v>
      </c>
      <c r="B1268" s="28">
        <v>45896</v>
      </c>
      <c r="C1268" s="25">
        <v>1802</v>
      </c>
      <c r="D1268" s="13" t="s">
        <v>2167</v>
      </c>
      <c r="E1268" s="228"/>
      <c r="F1268" s="109" t="s">
        <v>4299</v>
      </c>
      <c r="G1268" s="24"/>
      <c r="H1268" s="230">
        <v>4</v>
      </c>
      <c r="I1268" s="220">
        <v>1305000</v>
      </c>
      <c r="J1268" s="220">
        <f>I1268*0.1</f>
        <v>130500</v>
      </c>
      <c r="K1268" s="220">
        <v>0</v>
      </c>
      <c r="L1268" s="220">
        <v>9810</v>
      </c>
      <c r="M1268" s="220">
        <v>18150</v>
      </c>
      <c r="N1268" s="220">
        <f>SUM(I1268:M1269)</f>
        <v>1463460</v>
      </c>
      <c r="O1268" s="224"/>
      <c r="P1268" s="110" t="s">
        <v>4300</v>
      </c>
      <c r="Q1268" s="15" t="s">
        <v>19</v>
      </c>
      <c r="R1268" s="205"/>
      <c r="S1268" s="189"/>
      <c r="T1268" s="114"/>
      <c r="U1268" s="21"/>
      <c r="V1268" s="115">
        <v>45931</v>
      </c>
      <c r="W1268" s="116">
        <v>986</v>
      </c>
      <c r="X1268" s="220">
        <v>1398000</v>
      </c>
      <c r="Y1268" s="220">
        <f>X1268*0.1</f>
        <v>139800</v>
      </c>
      <c r="Z1268" s="220">
        <v>9810</v>
      </c>
      <c r="AA1268" s="220">
        <f>SUM(X1268:Z1268)</f>
        <v>1547610</v>
      </c>
      <c r="AB1268" s="222">
        <v>45939</v>
      </c>
    </row>
    <row r="1269" spans="1:28" ht="17.100000000000001" customHeight="1" thickBot="1">
      <c r="A1269" s="227"/>
      <c r="B1269" s="27" t="s">
        <v>2519</v>
      </c>
      <c r="C1269" s="27">
        <v>36338</v>
      </c>
      <c r="D1269" s="14" t="s">
        <v>273</v>
      </c>
      <c r="E1269" s="229"/>
      <c r="F1269" s="117" t="s">
        <v>4301</v>
      </c>
      <c r="G1269" s="26">
        <v>57537</v>
      </c>
      <c r="H1269" s="231"/>
      <c r="I1269" s="221"/>
      <c r="J1269" s="221"/>
      <c r="K1269" s="221"/>
      <c r="L1269" s="221"/>
      <c r="M1269" s="221"/>
      <c r="N1269" s="221"/>
      <c r="O1269" s="225"/>
      <c r="P1269" s="118" t="s">
        <v>4302</v>
      </c>
      <c r="Q1269" s="16" t="s">
        <v>20</v>
      </c>
      <c r="R1269" s="17" t="s">
        <v>1551</v>
      </c>
      <c r="S1269" s="121" t="s">
        <v>2166</v>
      </c>
      <c r="T1269" s="122"/>
      <c r="U1269" s="22"/>
      <c r="V1269" s="123" t="s">
        <v>7161</v>
      </c>
      <c r="W1269" s="122">
        <v>6025</v>
      </c>
      <c r="X1269" s="221"/>
      <c r="Y1269" s="221"/>
      <c r="Z1269" s="221"/>
      <c r="AA1269" s="221"/>
      <c r="AB1269" s="223"/>
    </row>
    <row r="1270" spans="1:28" ht="17.100000000000001" customHeight="1" thickTop="1">
      <c r="A1270" s="226" t="s">
        <v>6266</v>
      </c>
      <c r="B1270" s="28">
        <v>45897</v>
      </c>
      <c r="C1270" s="25">
        <v>1947</v>
      </c>
      <c r="D1270" s="13" t="s">
        <v>3773</v>
      </c>
      <c r="E1270" s="228"/>
      <c r="F1270" s="109" t="s">
        <v>4303</v>
      </c>
      <c r="G1270" s="24"/>
      <c r="H1270" s="230">
        <v>4</v>
      </c>
      <c r="I1270" s="220">
        <v>975000</v>
      </c>
      <c r="J1270" s="220">
        <f>I1270*0.1</f>
        <v>97500</v>
      </c>
      <c r="K1270" s="220">
        <v>0</v>
      </c>
      <c r="L1270" s="220">
        <v>16260</v>
      </c>
      <c r="M1270" s="220">
        <v>15950</v>
      </c>
      <c r="N1270" s="220">
        <f>SUM(I1270:M1271)</f>
        <v>1104710</v>
      </c>
      <c r="O1270" s="224"/>
      <c r="P1270" s="110" t="s">
        <v>4304</v>
      </c>
      <c r="Q1270" s="15" t="s">
        <v>19</v>
      </c>
      <c r="R1270" s="205"/>
      <c r="S1270" s="189"/>
      <c r="T1270" s="114"/>
      <c r="U1270" s="21"/>
      <c r="V1270" s="115">
        <v>45938</v>
      </c>
      <c r="W1270" s="116">
        <v>987</v>
      </c>
      <c r="X1270" s="220">
        <v>1060000</v>
      </c>
      <c r="Y1270" s="220">
        <f>X1270*0.1</f>
        <v>106000</v>
      </c>
      <c r="Z1270" s="220">
        <v>16260</v>
      </c>
      <c r="AA1270" s="220">
        <f>SUM(X1270:Z1270)</f>
        <v>1182260</v>
      </c>
      <c r="AB1270" s="222">
        <v>45944</v>
      </c>
    </row>
    <row r="1271" spans="1:28" ht="17.100000000000001" customHeight="1" thickBot="1">
      <c r="A1271" s="227"/>
      <c r="B1271" s="27" t="s">
        <v>3730</v>
      </c>
      <c r="C1271" s="27">
        <v>30002</v>
      </c>
      <c r="D1271" s="14" t="s">
        <v>273</v>
      </c>
      <c r="E1271" s="229"/>
      <c r="F1271" s="117" t="s">
        <v>4305</v>
      </c>
      <c r="G1271" s="26">
        <v>75173</v>
      </c>
      <c r="H1271" s="231"/>
      <c r="I1271" s="221"/>
      <c r="J1271" s="221"/>
      <c r="K1271" s="221"/>
      <c r="L1271" s="221"/>
      <c r="M1271" s="221"/>
      <c r="N1271" s="221"/>
      <c r="O1271" s="225"/>
      <c r="P1271" s="118" t="s">
        <v>4306</v>
      </c>
      <c r="Q1271" s="16" t="s">
        <v>20</v>
      </c>
      <c r="R1271" s="17" t="s">
        <v>1551</v>
      </c>
      <c r="S1271" s="121"/>
      <c r="T1271" s="122"/>
      <c r="U1271" s="22"/>
      <c r="V1271" s="123" t="s">
        <v>2747</v>
      </c>
      <c r="W1271" s="122">
        <v>6105</v>
      </c>
      <c r="X1271" s="221"/>
      <c r="Y1271" s="221"/>
      <c r="Z1271" s="221"/>
      <c r="AA1271" s="221"/>
      <c r="AB1271" s="223"/>
    </row>
    <row r="1272" spans="1:28" ht="17.100000000000001" customHeight="1" thickTop="1">
      <c r="A1272" s="226" t="s">
        <v>6267</v>
      </c>
      <c r="B1272" s="28">
        <v>45897</v>
      </c>
      <c r="C1272" s="25">
        <v>2123</v>
      </c>
      <c r="D1272" s="13" t="s">
        <v>4307</v>
      </c>
      <c r="E1272" s="228"/>
      <c r="F1272" s="109" t="s">
        <v>4308</v>
      </c>
      <c r="G1272" s="24"/>
      <c r="H1272" s="230">
        <v>4</v>
      </c>
      <c r="I1272" s="220">
        <v>275000</v>
      </c>
      <c r="J1272" s="220">
        <f>I1272*0.1</f>
        <v>27500</v>
      </c>
      <c r="K1272" s="220">
        <v>0</v>
      </c>
      <c r="L1272" s="220">
        <v>9070</v>
      </c>
      <c r="M1272" s="220">
        <v>13750</v>
      </c>
      <c r="N1272" s="220">
        <f>SUM(I1272:M1273)</f>
        <v>325320</v>
      </c>
      <c r="O1272" s="224"/>
      <c r="P1272" s="110" t="s">
        <v>4309</v>
      </c>
      <c r="Q1272" s="15" t="s">
        <v>19</v>
      </c>
      <c r="R1272" s="205"/>
      <c r="S1272" s="189"/>
      <c r="T1272" s="114"/>
      <c r="U1272" s="21"/>
      <c r="V1272" s="115">
        <v>45969</v>
      </c>
      <c r="W1272" s="116">
        <v>1275</v>
      </c>
      <c r="X1272" s="220">
        <v>280000</v>
      </c>
      <c r="Y1272" s="220">
        <f>X1272*0.1</f>
        <v>28000</v>
      </c>
      <c r="Z1272" s="220">
        <v>9070</v>
      </c>
      <c r="AA1272" s="220">
        <f>SUM(X1272:Z1272)</f>
        <v>317070</v>
      </c>
      <c r="AB1272" s="222">
        <v>45972</v>
      </c>
    </row>
    <row r="1273" spans="1:28" ht="17.100000000000001" customHeight="1" thickBot="1">
      <c r="A1273" s="227"/>
      <c r="B1273" s="27" t="s">
        <v>3228</v>
      </c>
      <c r="C1273" s="27">
        <v>188</v>
      </c>
      <c r="D1273" s="14" t="s">
        <v>2559</v>
      </c>
      <c r="E1273" s="229"/>
      <c r="F1273" s="117" t="s">
        <v>4310</v>
      </c>
      <c r="G1273" s="26">
        <v>47974</v>
      </c>
      <c r="H1273" s="231"/>
      <c r="I1273" s="221"/>
      <c r="J1273" s="221"/>
      <c r="K1273" s="221"/>
      <c r="L1273" s="221"/>
      <c r="M1273" s="221"/>
      <c r="N1273" s="221"/>
      <c r="O1273" s="225"/>
      <c r="P1273" s="118" t="s">
        <v>4311</v>
      </c>
      <c r="Q1273" s="16" t="s">
        <v>20</v>
      </c>
      <c r="R1273" s="17" t="s">
        <v>2926</v>
      </c>
      <c r="S1273" s="121"/>
      <c r="T1273" s="122"/>
      <c r="U1273" s="22"/>
      <c r="V1273" s="123" t="s">
        <v>7160</v>
      </c>
      <c r="W1273" s="122">
        <v>60487</v>
      </c>
      <c r="X1273" s="221"/>
      <c r="Y1273" s="221"/>
      <c r="Z1273" s="221"/>
      <c r="AA1273" s="221"/>
      <c r="AB1273" s="223"/>
    </row>
    <row r="1274" spans="1:28" ht="17.100000000000001" customHeight="1" thickTop="1">
      <c r="A1274" s="226" t="s">
        <v>6268</v>
      </c>
      <c r="B1274" s="28">
        <v>45897</v>
      </c>
      <c r="C1274" s="25">
        <v>2123</v>
      </c>
      <c r="D1274" s="13" t="s">
        <v>2489</v>
      </c>
      <c r="E1274" s="228"/>
      <c r="F1274" s="109" t="s">
        <v>4145</v>
      </c>
      <c r="G1274" s="24"/>
      <c r="H1274" s="230">
        <v>3.5</v>
      </c>
      <c r="I1274" s="220">
        <v>173000</v>
      </c>
      <c r="J1274" s="220">
        <f>I1274*0.1</f>
        <v>17300</v>
      </c>
      <c r="K1274" s="220">
        <v>0</v>
      </c>
      <c r="L1274" s="220">
        <v>8930</v>
      </c>
      <c r="M1274" s="220">
        <v>13750</v>
      </c>
      <c r="N1274" s="220">
        <f>SUM(I1274:M1275)</f>
        <v>212980</v>
      </c>
      <c r="O1274" s="224"/>
      <c r="P1274" s="110" t="s">
        <v>4312</v>
      </c>
      <c r="Q1274" s="15" t="s">
        <v>19</v>
      </c>
      <c r="R1274" s="205"/>
      <c r="S1274" s="189"/>
      <c r="T1274" s="114"/>
      <c r="U1274" s="21"/>
      <c r="V1274" s="115">
        <v>45969</v>
      </c>
      <c r="W1274" s="116">
        <v>1275</v>
      </c>
      <c r="X1274" s="220">
        <v>178000</v>
      </c>
      <c r="Y1274" s="220">
        <f>X1274*0.1</f>
        <v>17800</v>
      </c>
      <c r="Z1274" s="220">
        <v>8930</v>
      </c>
      <c r="AA1274" s="220">
        <f>SUM(X1274:Z1274)</f>
        <v>204730</v>
      </c>
      <c r="AB1274" s="222">
        <v>45972</v>
      </c>
    </row>
    <row r="1275" spans="1:28" ht="17.100000000000001" customHeight="1" thickBot="1">
      <c r="A1275" s="227"/>
      <c r="B1275" s="27" t="s">
        <v>3228</v>
      </c>
      <c r="C1275" s="27">
        <v>2536</v>
      </c>
      <c r="D1275" s="14" t="s">
        <v>1584</v>
      </c>
      <c r="E1275" s="229"/>
      <c r="F1275" s="117" t="s">
        <v>4313</v>
      </c>
      <c r="G1275" s="26">
        <v>44588</v>
      </c>
      <c r="H1275" s="231"/>
      <c r="I1275" s="221"/>
      <c r="J1275" s="221"/>
      <c r="K1275" s="221"/>
      <c r="L1275" s="221"/>
      <c r="M1275" s="221"/>
      <c r="N1275" s="221"/>
      <c r="O1275" s="225"/>
      <c r="P1275" s="118" t="s">
        <v>4314</v>
      </c>
      <c r="Q1275" s="16" t="s">
        <v>20</v>
      </c>
      <c r="R1275" s="17" t="s">
        <v>4315</v>
      </c>
      <c r="S1275" s="121"/>
      <c r="T1275" s="122"/>
      <c r="U1275" s="22"/>
      <c r="V1275" s="123" t="s">
        <v>7160</v>
      </c>
      <c r="W1275" s="122">
        <v>63175</v>
      </c>
      <c r="X1275" s="221"/>
      <c r="Y1275" s="221"/>
      <c r="Z1275" s="221"/>
      <c r="AA1275" s="221"/>
      <c r="AB1275" s="223"/>
    </row>
    <row r="1276" spans="1:28" ht="17.100000000000001" customHeight="1" thickTop="1">
      <c r="A1276" s="226" t="s">
        <v>6269</v>
      </c>
      <c r="B1276" s="28">
        <v>45897</v>
      </c>
      <c r="C1276" s="25">
        <v>1719</v>
      </c>
      <c r="D1276" s="13" t="s">
        <v>2065</v>
      </c>
      <c r="E1276" s="228"/>
      <c r="F1276" s="109" t="s">
        <v>4316</v>
      </c>
      <c r="G1276" s="24"/>
      <c r="H1276" s="230">
        <v>4</v>
      </c>
      <c r="I1276" s="220">
        <v>967000</v>
      </c>
      <c r="J1276" s="220">
        <f>I1276*0.1</f>
        <v>96700</v>
      </c>
      <c r="K1276" s="220">
        <v>0</v>
      </c>
      <c r="L1276" s="220">
        <v>8100</v>
      </c>
      <c r="M1276" s="220">
        <v>15400</v>
      </c>
      <c r="N1276" s="220">
        <f>SUM(I1276:M1277)</f>
        <v>1087200</v>
      </c>
      <c r="O1276" s="224"/>
      <c r="P1276" s="110" t="s">
        <v>4317</v>
      </c>
      <c r="Q1276" s="15" t="s">
        <v>19</v>
      </c>
      <c r="R1276" s="205"/>
      <c r="S1276" s="189" t="s">
        <v>758</v>
      </c>
      <c r="T1276" s="114"/>
      <c r="U1276" s="21"/>
      <c r="V1276" s="115">
        <v>45934</v>
      </c>
      <c r="W1276" s="116">
        <v>1270</v>
      </c>
      <c r="X1276" s="220">
        <v>1030000</v>
      </c>
      <c r="Y1276" s="220">
        <f>X1276*0.1</f>
        <v>103000</v>
      </c>
      <c r="Z1276" s="220">
        <v>8100</v>
      </c>
      <c r="AA1276" s="220">
        <f>SUM(X1276:Z1276)</f>
        <v>1141100</v>
      </c>
      <c r="AB1276" s="222">
        <v>45937</v>
      </c>
    </row>
    <row r="1277" spans="1:28" ht="17.100000000000001" customHeight="1" thickBot="1">
      <c r="A1277" s="227"/>
      <c r="B1277" s="27" t="s">
        <v>4318</v>
      </c>
      <c r="C1277" s="27">
        <v>3062</v>
      </c>
      <c r="D1277" s="14" t="s">
        <v>3274</v>
      </c>
      <c r="E1277" s="229"/>
      <c r="F1277" s="117" t="s">
        <v>4319</v>
      </c>
      <c r="G1277" s="26">
        <v>37047</v>
      </c>
      <c r="H1277" s="231"/>
      <c r="I1277" s="221"/>
      <c r="J1277" s="221"/>
      <c r="K1277" s="221"/>
      <c r="L1277" s="221"/>
      <c r="M1277" s="221"/>
      <c r="N1277" s="221"/>
      <c r="O1277" s="225"/>
      <c r="P1277" s="118" t="s">
        <v>4320</v>
      </c>
      <c r="Q1277" s="16" t="s">
        <v>20</v>
      </c>
      <c r="R1277" s="17" t="s">
        <v>2084</v>
      </c>
      <c r="S1277" s="121" t="s">
        <v>4321</v>
      </c>
      <c r="T1277" s="122"/>
      <c r="U1277" s="22"/>
      <c r="V1277" s="123" t="s">
        <v>7160</v>
      </c>
      <c r="W1277" s="122">
        <v>60237</v>
      </c>
      <c r="X1277" s="221"/>
      <c r="Y1277" s="221"/>
      <c r="Z1277" s="221"/>
      <c r="AA1277" s="221"/>
      <c r="AB1277" s="223"/>
    </row>
    <row r="1278" spans="1:28" ht="17.100000000000001" customHeight="1" thickTop="1">
      <c r="A1278" s="226" t="s">
        <v>6270</v>
      </c>
      <c r="B1278" s="28">
        <v>45897</v>
      </c>
      <c r="C1278" s="25">
        <v>1719</v>
      </c>
      <c r="D1278" s="13" t="s">
        <v>2094</v>
      </c>
      <c r="E1278" s="228"/>
      <c r="F1278" s="109" t="s">
        <v>4145</v>
      </c>
      <c r="G1278" s="24" t="s">
        <v>4315</v>
      </c>
      <c r="H1278" s="230">
        <v>6</v>
      </c>
      <c r="I1278" s="220">
        <v>1095000</v>
      </c>
      <c r="J1278" s="220">
        <f>I1278*0.1</f>
        <v>109500</v>
      </c>
      <c r="K1278" s="220">
        <v>10800</v>
      </c>
      <c r="L1278" s="220">
        <v>6470</v>
      </c>
      <c r="M1278" s="220">
        <v>15400</v>
      </c>
      <c r="N1278" s="220">
        <f>SUM(I1278:M1279)</f>
        <v>1237170</v>
      </c>
      <c r="O1278" s="224"/>
      <c r="P1278" s="110" t="s">
        <v>4322</v>
      </c>
      <c r="Q1278" s="15" t="s">
        <v>19</v>
      </c>
      <c r="R1278" s="205"/>
      <c r="S1278" s="189" t="s">
        <v>1289</v>
      </c>
      <c r="T1278" s="114"/>
      <c r="U1278" s="21" t="s">
        <v>4323</v>
      </c>
      <c r="V1278" s="115">
        <v>45962</v>
      </c>
      <c r="W1278" s="116">
        <v>1274</v>
      </c>
      <c r="X1278" s="220">
        <v>1100000</v>
      </c>
      <c r="Y1278" s="220">
        <f>X1278*0.1</f>
        <v>110000</v>
      </c>
      <c r="Z1278" s="220">
        <v>6470</v>
      </c>
      <c r="AA1278" s="220">
        <f>SUM(X1278:Z1278)</f>
        <v>1216470</v>
      </c>
      <c r="AB1278" s="222">
        <v>45965</v>
      </c>
    </row>
    <row r="1279" spans="1:28" ht="17.100000000000001" customHeight="1" thickBot="1">
      <c r="A1279" s="227"/>
      <c r="B1279" s="27" t="s">
        <v>4318</v>
      </c>
      <c r="C1279" s="27">
        <v>3101</v>
      </c>
      <c r="D1279" s="14" t="s">
        <v>3746</v>
      </c>
      <c r="E1279" s="229"/>
      <c r="F1279" s="117" t="s">
        <v>4324</v>
      </c>
      <c r="G1279" s="26">
        <v>7481</v>
      </c>
      <c r="H1279" s="231"/>
      <c r="I1279" s="221"/>
      <c r="J1279" s="221"/>
      <c r="K1279" s="221"/>
      <c r="L1279" s="221"/>
      <c r="M1279" s="221"/>
      <c r="N1279" s="221"/>
      <c r="O1279" s="225"/>
      <c r="P1279" s="118" t="s">
        <v>4325</v>
      </c>
      <c r="Q1279" s="16" t="s">
        <v>20</v>
      </c>
      <c r="R1279" s="17" t="s">
        <v>2926</v>
      </c>
      <c r="S1279" s="121" t="s">
        <v>1606</v>
      </c>
      <c r="T1279" s="122"/>
      <c r="U1279" s="22"/>
      <c r="V1279" s="123" t="s">
        <v>7160</v>
      </c>
      <c r="W1279" s="122">
        <v>60152</v>
      </c>
      <c r="X1279" s="221"/>
      <c r="Y1279" s="221"/>
      <c r="Z1279" s="221"/>
      <c r="AA1279" s="221"/>
      <c r="AB1279" s="223"/>
    </row>
    <row r="1280" spans="1:28" ht="17.100000000000001" customHeight="1" thickTop="1">
      <c r="A1280" s="226" t="s">
        <v>6271</v>
      </c>
      <c r="B1280" s="28">
        <v>45898</v>
      </c>
      <c r="C1280" s="25">
        <v>255</v>
      </c>
      <c r="D1280" s="13" t="s">
        <v>1996</v>
      </c>
      <c r="E1280" s="228"/>
      <c r="F1280" s="109" t="s">
        <v>2943</v>
      </c>
      <c r="G1280" s="24"/>
      <c r="H1280" s="230">
        <v>4.5</v>
      </c>
      <c r="I1280" s="220">
        <v>687000</v>
      </c>
      <c r="J1280" s="220">
        <f>I1280*0.1</f>
        <v>68700</v>
      </c>
      <c r="K1280" s="220">
        <v>0</v>
      </c>
      <c r="L1280" s="220">
        <v>8400</v>
      </c>
      <c r="M1280" s="220">
        <v>22000</v>
      </c>
      <c r="N1280" s="220">
        <f>SUM(I1280:M1281)</f>
        <v>786100</v>
      </c>
      <c r="O1280" s="224"/>
      <c r="P1280" s="110" t="s">
        <v>4326</v>
      </c>
      <c r="Q1280" s="15" t="s">
        <v>19</v>
      </c>
      <c r="R1280" s="205"/>
      <c r="S1280" s="189" t="s">
        <v>758</v>
      </c>
      <c r="T1280" s="114" t="s">
        <v>4327</v>
      </c>
      <c r="U1280" s="21"/>
      <c r="V1280" s="115">
        <v>46071</v>
      </c>
      <c r="W1280" s="116">
        <v>1005</v>
      </c>
      <c r="X1280" s="220">
        <v>645000</v>
      </c>
      <c r="Y1280" s="220">
        <f>X1280*0.1</f>
        <v>64500</v>
      </c>
      <c r="Z1280" s="220">
        <v>8400</v>
      </c>
      <c r="AA1280" s="220">
        <f>SUM(X1280:Z1280)</f>
        <v>717900</v>
      </c>
      <c r="AB1280" s="222">
        <v>46073</v>
      </c>
    </row>
    <row r="1281" spans="1:28" ht="17.100000000000001" customHeight="1" thickBot="1">
      <c r="A1281" s="227"/>
      <c r="B1281" s="27" t="s">
        <v>3890</v>
      </c>
      <c r="C1281" s="27">
        <v>61</v>
      </c>
      <c r="D1281" s="14" t="s">
        <v>3792</v>
      </c>
      <c r="E1281" s="229"/>
      <c r="F1281" s="117" t="s">
        <v>4328</v>
      </c>
      <c r="G1281" s="26">
        <v>54346</v>
      </c>
      <c r="H1281" s="231"/>
      <c r="I1281" s="221"/>
      <c r="J1281" s="221"/>
      <c r="K1281" s="221"/>
      <c r="L1281" s="221"/>
      <c r="M1281" s="221"/>
      <c r="N1281" s="221"/>
      <c r="O1281" s="225"/>
      <c r="P1281" s="118" t="s">
        <v>4329</v>
      </c>
      <c r="Q1281" s="16" t="s">
        <v>20</v>
      </c>
      <c r="R1281" s="17" t="s">
        <v>3867</v>
      </c>
      <c r="S1281" s="121" t="s">
        <v>4330</v>
      </c>
      <c r="T1281" s="122"/>
      <c r="U1281" s="22"/>
      <c r="V1281" s="123" t="s">
        <v>2747</v>
      </c>
      <c r="W1281" s="122">
        <v>2030</v>
      </c>
      <c r="X1281" s="221"/>
      <c r="Y1281" s="221"/>
      <c r="Z1281" s="221"/>
      <c r="AA1281" s="221"/>
      <c r="AB1281" s="223"/>
    </row>
    <row r="1282" spans="1:28" ht="17.100000000000001" customHeight="1" thickTop="1">
      <c r="A1282" s="226" t="s">
        <v>6272</v>
      </c>
      <c r="B1282" s="28">
        <v>45898</v>
      </c>
      <c r="C1282" s="25">
        <v>2099</v>
      </c>
      <c r="D1282" s="13" t="s">
        <v>4331</v>
      </c>
      <c r="E1282" s="228"/>
      <c r="F1282" s="109" t="s">
        <v>4332</v>
      </c>
      <c r="G1282" s="24" t="s">
        <v>4333</v>
      </c>
      <c r="H1282" s="230">
        <v>4</v>
      </c>
      <c r="I1282" s="220">
        <v>410000</v>
      </c>
      <c r="J1282" s="220">
        <f>I1282*0.1</f>
        <v>41000</v>
      </c>
      <c r="K1282" s="220">
        <v>0</v>
      </c>
      <c r="L1282" s="220">
        <v>8950</v>
      </c>
      <c r="M1282" s="220">
        <v>16500</v>
      </c>
      <c r="N1282" s="220">
        <f>SUM(I1282:M1283)</f>
        <v>476450</v>
      </c>
      <c r="O1282" s="224"/>
      <c r="P1282" s="110" t="s">
        <v>4334</v>
      </c>
      <c r="Q1282" s="15" t="s">
        <v>19</v>
      </c>
      <c r="R1282" s="205"/>
      <c r="S1282" s="189" t="s">
        <v>1271</v>
      </c>
      <c r="T1282" s="114"/>
      <c r="U1282" s="21" t="s">
        <v>4335</v>
      </c>
      <c r="V1282" s="115"/>
      <c r="W1282" s="116"/>
      <c r="X1282" s="220"/>
      <c r="Y1282" s="220">
        <f>X1282*0.1</f>
        <v>0</v>
      </c>
      <c r="Z1282" s="220"/>
      <c r="AA1282" s="220">
        <f>SUM(X1282:Z1282)</f>
        <v>0</v>
      </c>
      <c r="AB1282" s="222"/>
    </row>
    <row r="1283" spans="1:28" ht="17.100000000000001" customHeight="1" thickBot="1">
      <c r="A1283" s="227"/>
      <c r="B1283" s="27" t="s">
        <v>1536</v>
      </c>
      <c r="C1283" s="27">
        <v>55099</v>
      </c>
      <c r="D1283" s="14" t="s">
        <v>2559</v>
      </c>
      <c r="E1283" s="229"/>
      <c r="F1283" s="117" t="s">
        <v>4336</v>
      </c>
      <c r="G1283" s="26">
        <v>54000</v>
      </c>
      <c r="H1283" s="231"/>
      <c r="I1283" s="221"/>
      <c r="J1283" s="221"/>
      <c r="K1283" s="221"/>
      <c r="L1283" s="221"/>
      <c r="M1283" s="221"/>
      <c r="N1283" s="221"/>
      <c r="O1283" s="225"/>
      <c r="P1283" s="118" t="s">
        <v>4337</v>
      </c>
      <c r="Q1283" s="16" t="s">
        <v>20</v>
      </c>
      <c r="R1283" s="17" t="s">
        <v>3867</v>
      </c>
      <c r="S1283" s="121" t="s">
        <v>4338</v>
      </c>
      <c r="T1283" s="122"/>
      <c r="U1283" s="22"/>
      <c r="V1283" s="123"/>
      <c r="W1283" s="122"/>
      <c r="X1283" s="221"/>
      <c r="Y1283" s="221"/>
      <c r="Z1283" s="221"/>
      <c r="AA1283" s="221"/>
      <c r="AB1283" s="223"/>
    </row>
    <row r="1284" spans="1:28" ht="17.100000000000001" customHeight="1" thickTop="1">
      <c r="A1284" s="226" t="s">
        <v>6273</v>
      </c>
      <c r="B1284" s="28">
        <v>45898</v>
      </c>
      <c r="C1284" s="25">
        <v>2099</v>
      </c>
      <c r="D1284" s="13" t="s">
        <v>2324</v>
      </c>
      <c r="E1284" s="228"/>
      <c r="F1284" s="109" t="s">
        <v>4339</v>
      </c>
      <c r="G1284" s="24" t="s">
        <v>4340</v>
      </c>
      <c r="H1284" s="230">
        <v>4.5</v>
      </c>
      <c r="I1284" s="220">
        <v>1395000</v>
      </c>
      <c r="J1284" s="220">
        <f>I1284*0.1</f>
        <v>139500</v>
      </c>
      <c r="K1284" s="220">
        <v>0</v>
      </c>
      <c r="L1284" s="220">
        <v>6830</v>
      </c>
      <c r="M1284" s="220">
        <v>16500</v>
      </c>
      <c r="N1284" s="220">
        <f>SUM(I1284:M1285)</f>
        <v>1557830</v>
      </c>
      <c r="O1284" s="224"/>
      <c r="P1284" s="110" t="s">
        <v>4341</v>
      </c>
      <c r="Q1284" s="15" t="s">
        <v>19</v>
      </c>
      <c r="R1284" s="205"/>
      <c r="S1284" s="189" t="s">
        <v>758</v>
      </c>
      <c r="T1284" s="114"/>
      <c r="U1284" s="21" t="s">
        <v>4342</v>
      </c>
      <c r="V1284" s="115">
        <v>45934</v>
      </c>
      <c r="W1284" s="116">
        <v>1270</v>
      </c>
      <c r="X1284" s="220">
        <v>1380000</v>
      </c>
      <c r="Y1284" s="220">
        <f>X1284*0.1</f>
        <v>138000</v>
      </c>
      <c r="Z1284" s="220">
        <v>6830</v>
      </c>
      <c r="AA1284" s="220">
        <f>SUM(X1284:Z1284)</f>
        <v>1524830</v>
      </c>
      <c r="AB1284" s="222">
        <v>45937</v>
      </c>
    </row>
    <row r="1285" spans="1:28" ht="17.100000000000001" customHeight="1" thickBot="1">
      <c r="A1285" s="227"/>
      <c r="B1285" s="27" t="s">
        <v>1536</v>
      </c>
      <c r="C1285" s="27">
        <v>55268</v>
      </c>
      <c r="D1285" s="14" t="s">
        <v>1568</v>
      </c>
      <c r="E1285" s="229"/>
      <c r="F1285" s="117" t="s">
        <v>4343</v>
      </c>
      <c r="G1285" s="26">
        <v>47438</v>
      </c>
      <c r="H1285" s="231"/>
      <c r="I1285" s="221"/>
      <c r="J1285" s="221"/>
      <c r="K1285" s="221"/>
      <c r="L1285" s="221"/>
      <c r="M1285" s="221"/>
      <c r="N1285" s="221"/>
      <c r="O1285" s="225"/>
      <c r="P1285" s="118" t="s">
        <v>2323</v>
      </c>
      <c r="Q1285" s="16" t="s">
        <v>20</v>
      </c>
      <c r="R1285" s="17" t="s">
        <v>2084</v>
      </c>
      <c r="S1285" s="121" t="s">
        <v>1731</v>
      </c>
      <c r="T1285" s="122"/>
      <c r="U1285" s="22"/>
      <c r="V1285" s="123" t="s">
        <v>7160</v>
      </c>
      <c r="W1285" s="122">
        <v>60355</v>
      </c>
      <c r="X1285" s="221"/>
      <c r="Y1285" s="221"/>
      <c r="Z1285" s="221"/>
      <c r="AA1285" s="221"/>
      <c r="AB1285" s="223"/>
    </row>
    <row r="1286" spans="1:28" ht="17.100000000000001" customHeight="1" thickTop="1">
      <c r="A1286" s="226" t="s">
        <v>6274</v>
      </c>
      <c r="B1286" s="28">
        <v>45898</v>
      </c>
      <c r="C1286" s="25">
        <v>2099</v>
      </c>
      <c r="D1286" s="13" t="s">
        <v>812</v>
      </c>
      <c r="E1286" s="228"/>
      <c r="F1286" s="109" t="s">
        <v>2556</v>
      </c>
      <c r="G1286" s="24" t="s">
        <v>3345</v>
      </c>
      <c r="H1286" s="230">
        <v>4.5</v>
      </c>
      <c r="I1286" s="220">
        <v>1215000</v>
      </c>
      <c r="J1286" s="220">
        <f>I1286*0.1</f>
        <v>121500</v>
      </c>
      <c r="K1286" s="220">
        <v>0</v>
      </c>
      <c r="L1286" s="220">
        <v>9370</v>
      </c>
      <c r="M1286" s="220">
        <v>16500</v>
      </c>
      <c r="N1286" s="220">
        <f>SUM(I1286:M1287)</f>
        <v>1362370</v>
      </c>
      <c r="O1286" s="224"/>
      <c r="P1286" s="110" t="s">
        <v>4344</v>
      </c>
      <c r="Q1286" s="15" t="s">
        <v>19</v>
      </c>
      <c r="R1286" s="205"/>
      <c r="S1286" s="189" t="s">
        <v>25445</v>
      </c>
      <c r="T1286" s="114"/>
      <c r="U1286" s="21" t="s">
        <v>4346</v>
      </c>
      <c r="V1286" s="115">
        <v>45990</v>
      </c>
      <c r="W1286" s="116">
        <v>1278</v>
      </c>
      <c r="X1286" s="220">
        <v>1215000</v>
      </c>
      <c r="Y1286" s="220">
        <f>X1286*0.1</f>
        <v>121500</v>
      </c>
      <c r="Z1286" s="220">
        <v>9370</v>
      </c>
      <c r="AA1286" s="220">
        <f>SUM(X1286:Z1286)</f>
        <v>1345870</v>
      </c>
      <c r="AB1286" s="222">
        <v>45994</v>
      </c>
    </row>
    <row r="1287" spans="1:28" ht="17.100000000000001" customHeight="1" thickBot="1">
      <c r="A1287" s="227"/>
      <c r="B1287" s="27" t="s">
        <v>1536</v>
      </c>
      <c r="C1287" s="27">
        <v>55484</v>
      </c>
      <c r="D1287" s="14" t="s">
        <v>2559</v>
      </c>
      <c r="E1287" s="229"/>
      <c r="F1287" s="117" t="s">
        <v>4347</v>
      </c>
      <c r="G1287" s="26">
        <v>46491</v>
      </c>
      <c r="H1287" s="231"/>
      <c r="I1287" s="221"/>
      <c r="J1287" s="221"/>
      <c r="K1287" s="221"/>
      <c r="L1287" s="221"/>
      <c r="M1287" s="221"/>
      <c r="N1287" s="221"/>
      <c r="O1287" s="225"/>
      <c r="P1287" s="118" t="s">
        <v>4348</v>
      </c>
      <c r="Q1287" s="16" t="s">
        <v>20</v>
      </c>
      <c r="R1287" s="17" t="s">
        <v>2084</v>
      </c>
      <c r="S1287" s="121" t="s">
        <v>4349</v>
      </c>
      <c r="T1287" s="122"/>
      <c r="U1287" s="22"/>
      <c r="V1287" s="123" t="s">
        <v>7160</v>
      </c>
      <c r="W1287" s="122">
        <v>60255</v>
      </c>
      <c r="X1287" s="221"/>
      <c r="Y1287" s="221"/>
      <c r="Z1287" s="221"/>
      <c r="AA1287" s="221"/>
      <c r="AB1287" s="223"/>
    </row>
    <row r="1288" spans="1:28" ht="17.100000000000001" customHeight="1" thickTop="1">
      <c r="A1288" s="226" t="s">
        <v>6275</v>
      </c>
      <c r="B1288" s="28">
        <v>45898</v>
      </c>
      <c r="C1288" s="25">
        <v>2099</v>
      </c>
      <c r="D1288" s="13" t="s">
        <v>2900</v>
      </c>
      <c r="E1288" s="228"/>
      <c r="F1288" s="109" t="s">
        <v>4350</v>
      </c>
      <c r="G1288" s="24" t="s">
        <v>2871</v>
      </c>
      <c r="H1288" s="230">
        <v>4</v>
      </c>
      <c r="I1288" s="220">
        <v>690000</v>
      </c>
      <c r="J1288" s="220">
        <f>I1288*0.1</f>
        <v>69000</v>
      </c>
      <c r="K1288" s="220">
        <v>0</v>
      </c>
      <c r="L1288" s="220">
        <v>8550</v>
      </c>
      <c r="M1288" s="220">
        <v>16500</v>
      </c>
      <c r="N1288" s="220">
        <f>SUM(I1288:M1289)</f>
        <v>784050</v>
      </c>
      <c r="O1288" s="224"/>
      <c r="P1288" s="110" t="s">
        <v>4351</v>
      </c>
      <c r="Q1288" s="15" t="s">
        <v>19</v>
      </c>
      <c r="R1288" s="205"/>
      <c r="S1288" s="189" t="s">
        <v>758</v>
      </c>
      <c r="T1288" s="114"/>
      <c r="U1288" s="21" t="s">
        <v>4352</v>
      </c>
      <c r="V1288" s="115">
        <v>45973</v>
      </c>
      <c r="W1288" s="116">
        <v>992</v>
      </c>
      <c r="X1288" s="220">
        <v>735000</v>
      </c>
      <c r="Y1288" s="220">
        <f>X1288*0.1</f>
        <v>73500</v>
      </c>
      <c r="Z1288" s="220">
        <v>8550</v>
      </c>
      <c r="AA1288" s="220">
        <f>SUM(X1288:Z1288)</f>
        <v>817050</v>
      </c>
      <c r="AB1288" s="222">
        <v>45978</v>
      </c>
    </row>
    <row r="1289" spans="1:28" ht="17.100000000000001" customHeight="1" thickBot="1">
      <c r="A1289" s="227"/>
      <c r="B1289" s="27" t="s">
        <v>1536</v>
      </c>
      <c r="C1289" s="27">
        <v>85217</v>
      </c>
      <c r="D1289" s="14" t="s">
        <v>54</v>
      </c>
      <c r="E1289" s="229"/>
      <c r="F1289" s="117" t="s">
        <v>4353</v>
      </c>
      <c r="G1289" s="26">
        <v>16367</v>
      </c>
      <c r="H1289" s="231"/>
      <c r="I1289" s="221"/>
      <c r="J1289" s="221"/>
      <c r="K1289" s="221"/>
      <c r="L1289" s="221"/>
      <c r="M1289" s="221"/>
      <c r="N1289" s="221"/>
      <c r="O1289" s="225"/>
      <c r="P1289" s="118" t="s">
        <v>4354</v>
      </c>
      <c r="Q1289" s="16" t="s">
        <v>20</v>
      </c>
      <c r="R1289" s="17" t="s">
        <v>2530</v>
      </c>
      <c r="S1289" s="121" t="s">
        <v>4355</v>
      </c>
      <c r="T1289" s="122"/>
      <c r="U1289" s="22"/>
      <c r="V1289" s="123" t="s">
        <v>2747</v>
      </c>
      <c r="W1289" s="122">
        <v>2006</v>
      </c>
      <c r="X1289" s="221"/>
      <c r="Y1289" s="221"/>
      <c r="Z1289" s="221"/>
      <c r="AA1289" s="221"/>
      <c r="AB1289" s="223"/>
    </row>
    <row r="1290" spans="1:28" ht="17.100000000000001" customHeight="1" thickTop="1">
      <c r="A1290" s="226" t="s">
        <v>6276</v>
      </c>
      <c r="B1290" s="28">
        <v>45898</v>
      </c>
      <c r="C1290" s="25"/>
      <c r="D1290" s="13" t="s">
        <v>1780</v>
      </c>
      <c r="E1290" s="228"/>
      <c r="F1290" s="109" t="s">
        <v>4288</v>
      </c>
      <c r="G1290" s="24" t="s">
        <v>3683</v>
      </c>
      <c r="H1290" s="230">
        <v>4.5</v>
      </c>
      <c r="I1290" s="220">
        <f>3481500/1.1</f>
        <v>3164999.9999999995</v>
      </c>
      <c r="J1290" s="220">
        <f>I1290*0.1</f>
        <v>316500</v>
      </c>
      <c r="K1290" s="220">
        <v>8000</v>
      </c>
      <c r="L1290" s="220">
        <v>11570</v>
      </c>
      <c r="M1290" s="220">
        <v>142038</v>
      </c>
      <c r="N1290" s="220">
        <f>SUM(I1290:M1291)</f>
        <v>3643107.9999999995</v>
      </c>
      <c r="O1290" s="224"/>
      <c r="P1290" s="110" t="s">
        <v>4356</v>
      </c>
      <c r="Q1290" s="15" t="s">
        <v>19</v>
      </c>
      <c r="R1290" s="205"/>
      <c r="S1290" s="189" t="s">
        <v>1276</v>
      </c>
      <c r="T1290" s="114"/>
      <c r="U1290" s="21"/>
      <c r="V1290" s="115">
        <v>45934</v>
      </c>
      <c r="W1290" s="116">
        <v>1270</v>
      </c>
      <c r="X1290" s="220">
        <v>3480000</v>
      </c>
      <c r="Y1290" s="220">
        <f>X1290*0.1</f>
        <v>348000</v>
      </c>
      <c r="Z1290" s="220">
        <v>11570</v>
      </c>
      <c r="AA1290" s="220">
        <f>SUM(X1290:Z1290)</f>
        <v>3839570</v>
      </c>
      <c r="AB1290" s="222">
        <v>45944</v>
      </c>
    </row>
    <row r="1291" spans="1:28" ht="17.100000000000001" customHeight="1" thickBot="1">
      <c r="A1291" s="227"/>
      <c r="B1291" s="27" t="s">
        <v>1708</v>
      </c>
      <c r="C1291" s="27" t="s">
        <v>4357</v>
      </c>
      <c r="D1291" s="14" t="s">
        <v>273</v>
      </c>
      <c r="E1291" s="229"/>
      <c r="F1291" s="117" t="s">
        <v>4358</v>
      </c>
      <c r="G1291" s="26">
        <v>14333</v>
      </c>
      <c r="H1291" s="231"/>
      <c r="I1291" s="221"/>
      <c r="J1291" s="221"/>
      <c r="K1291" s="221"/>
      <c r="L1291" s="221"/>
      <c r="M1291" s="221"/>
      <c r="N1291" s="221"/>
      <c r="O1291" s="225"/>
      <c r="P1291" s="118" t="s">
        <v>4359</v>
      </c>
      <c r="Q1291" s="16" t="s">
        <v>20</v>
      </c>
      <c r="R1291" s="17" t="s">
        <v>4111</v>
      </c>
      <c r="S1291" s="121" t="s">
        <v>4360</v>
      </c>
      <c r="T1291" s="122"/>
      <c r="U1291" s="22"/>
      <c r="V1291" s="123" t="s">
        <v>7160</v>
      </c>
      <c r="W1291" s="122">
        <v>40012</v>
      </c>
      <c r="X1291" s="221"/>
      <c r="Y1291" s="221"/>
      <c r="Z1291" s="221"/>
      <c r="AA1291" s="221"/>
      <c r="AB1291" s="223"/>
    </row>
    <row r="1292" spans="1:28" ht="17.100000000000001" customHeight="1" thickTop="1">
      <c r="A1292" s="226" t="s">
        <v>6277</v>
      </c>
      <c r="B1292" s="28">
        <v>45898</v>
      </c>
      <c r="C1292" s="25">
        <v>1383</v>
      </c>
      <c r="D1292" s="13" t="s">
        <v>812</v>
      </c>
      <c r="E1292" s="228"/>
      <c r="F1292" s="109" t="s">
        <v>4361</v>
      </c>
      <c r="G1292" s="24" t="s">
        <v>4362</v>
      </c>
      <c r="H1292" s="232" t="s">
        <v>1705</v>
      </c>
      <c r="I1292" s="220">
        <v>751000</v>
      </c>
      <c r="J1292" s="220">
        <f>I1292*0.1</f>
        <v>75100</v>
      </c>
      <c r="K1292" s="220">
        <v>0</v>
      </c>
      <c r="L1292" s="220">
        <v>7150</v>
      </c>
      <c r="M1292" s="220">
        <v>13200</v>
      </c>
      <c r="N1292" s="220">
        <f>SUM(I1292:M1293)</f>
        <v>846450</v>
      </c>
      <c r="O1292" s="224"/>
      <c r="P1292" s="110" t="s">
        <v>4363</v>
      </c>
      <c r="Q1292" s="15" t="s">
        <v>19</v>
      </c>
      <c r="R1292" s="205"/>
      <c r="S1292" s="189"/>
      <c r="T1292" s="114"/>
      <c r="U1292" s="21" t="s">
        <v>4364</v>
      </c>
      <c r="V1292" s="115">
        <v>45934</v>
      </c>
      <c r="W1292" s="116">
        <v>1270</v>
      </c>
      <c r="X1292" s="220">
        <v>900000</v>
      </c>
      <c r="Y1292" s="220">
        <f>X1292*0.1</f>
        <v>90000</v>
      </c>
      <c r="Z1292" s="220">
        <v>7150</v>
      </c>
      <c r="AA1292" s="220">
        <f>SUM(X1292:Z1292)</f>
        <v>997150</v>
      </c>
      <c r="AB1292" s="222">
        <v>45944</v>
      </c>
    </row>
    <row r="1293" spans="1:28" ht="17.100000000000001" customHeight="1" thickBot="1">
      <c r="A1293" s="227"/>
      <c r="B1293" s="27" t="s">
        <v>2597</v>
      </c>
      <c r="C1293" s="27">
        <v>3160</v>
      </c>
      <c r="D1293" s="14" t="s">
        <v>1710</v>
      </c>
      <c r="E1293" s="229"/>
      <c r="F1293" s="117" t="s">
        <v>4365</v>
      </c>
      <c r="G1293" s="26">
        <v>66995</v>
      </c>
      <c r="H1293" s="231"/>
      <c r="I1293" s="221"/>
      <c r="J1293" s="221"/>
      <c r="K1293" s="221"/>
      <c r="L1293" s="221"/>
      <c r="M1293" s="221"/>
      <c r="N1293" s="221"/>
      <c r="O1293" s="225"/>
      <c r="P1293" s="118" t="s">
        <v>4366</v>
      </c>
      <c r="Q1293" s="16" t="s">
        <v>20</v>
      </c>
      <c r="R1293" s="17" t="s">
        <v>2084</v>
      </c>
      <c r="S1293" s="121" t="s">
        <v>4367</v>
      </c>
      <c r="T1293" s="122"/>
      <c r="U1293" s="22"/>
      <c r="V1293" s="123" t="s">
        <v>7161</v>
      </c>
      <c r="W1293" s="122">
        <v>60381</v>
      </c>
      <c r="X1293" s="221"/>
      <c r="Y1293" s="221"/>
      <c r="Z1293" s="221"/>
      <c r="AA1293" s="221"/>
      <c r="AB1293" s="223"/>
    </row>
    <row r="1294" spans="1:28" ht="17.100000000000001" customHeight="1" thickTop="1">
      <c r="A1294" s="226" t="s">
        <v>6278</v>
      </c>
      <c r="B1294" s="28">
        <v>45899</v>
      </c>
      <c r="C1294" s="25">
        <v>1265</v>
      </c>
      <c r="D1294" s="13" t="s">
        <v>4368</v>
      </c>
      <c r="E1294" s="228"/>
      <c r="F1294" s="109" t="s">
        <v>4369</v>
      </c>
      <c r="G1294" s="24" t="s">
        <v>4025</v>
      </c>
      <c r="H1294" s="230">
        <v>4.5</v>
      </c>
      <c r="I1294" s="220">
        <v>785000</v>
      </c>
      <c r="J1294" s="220">
        <f>I1294*0.1</f>
        <v>78500</v>
      </c>
      <c r="K1294" s="220">
        <v>0</v>
      </c>
      <c r="L1294" s="220">
        <v>9010</v>
      </c>
      <c r="M1294" s="220">
        <v>12100</v>
      </c>
      <c r="N1294" s="220">
        <f>SUM(I1294:M1295)</f>
        <v>884610</v>
      </c>
      <c r="O1294" s="224"/>
      <c r="P1294" s="110" t="s">
        <v>4370</v>
      </c>
      <c r="Q1294" s="15" t="s">
        <v>19</v>
      </c>
      <c r="R1294" s="205"/>
      <c r="S1294" s="189" t="s">
        <v>1422</v>
      </c>
      <c r="T1294" s="114"/>
      <c r="U1294" s="21" t="s">
        <v>4371</v>
      </c>
      <c r="V1294" s="115">
        <v>45934</v>
      </c>
      <c r="W1294" s="116">
        <v>1270</v>
      </c>
      <c r="X1294" s="220">
        <v>880000</v>
      </c>
      <c r="Y1294" s="220">
        <f>X1294*0.1</f>
        <v>88000</v>
      </c>
      <c r="Z1294" s="220">
        <v>9010</v>
      </c>
      <c r="AA1294" s="220">
        <f>SUM(X1294:Z1294)</f>
        <v>977010</v>
      </c>
      <c r="AB1294" s="222">
        <v>45938</v>
      </c>
    </row>
    <row r="1295" spans="1:28" ht="17.100000000000001" customHeight="1" thickBot="1">
      <c r="A1295" s="227"/>
      <c r="B1295" s="27" t="s">
        <v>2472</v>
      </c>
      <c r="C1295" s="27">
        <v>65226</v>
      </c>
      <c r="D1295" s="14" t="s">
        <v>2559</v>
      </c>
      <c r="E1295" s="229"/>
      <c r="F1295" s="117" t="s">
        <v>4372</v>
      </c>
      <c r="G1295" s="26">
        <v>77384</v>
      </c>
      <c r="H1295" s="231"/>
      <c r="I1295" s="221"/>
      <c r="J1295" s="221"/>
      <c r="K1295" s="221"/>
      <c r="L1295" s="221"/>
      <c r="M1295" s="221"/>
      <c r="N1295" s="221"/>
      <c r="O1295" s="225"/>
      <c r="P1295" s="118" t="s">
        <v>4373</v>
      </c>
      <c r="Q1295" s="16" t="s">
        <v>20</v>
      </c>
      <c r="R1295" s="17" t="s">
        <v>2530</v>
      </c>
      <c r="S1295" s="121" t="s">
        <v>169</v>
      </c>
      <c r="T1295" s="122"/>
      <c r="U1295" s="22"/>
      <c r="V1295" s="123" t="s">
        <v>7160</v>
      </c>
      <c r="W1295" s="122">
        <v>60321</v>
      </c>
      <c r="X1295" s="221"/>
      <c r="Y1295" s="221"/>
      <c r="Z1295" s="221"/>
      <c r="AA1295" s="221"/>
      <c r="AB1295" s="223"/>
    </row>
    <row r="1296" spans="1:28" ht="17.100000000000001" customHeight="1" thickTop="1">
      <c r="A1296" s="226" t="s">
        <v>6279</v>
      </c>
      <c r="B1296" s="28">
        <v>45899</v>
      </c>
      <c r="C1296" s="25">
        <v>1265</v>
      </c>
      <c r="D1296" s="13" t="s">
        <v>2712</v>
      </c>
      <c r="E1296" s="228"/>
      <c r="F1296" s="109" t="s">
        <v>4374</v>
      </c>
      <c r="G1296" s="24"/>
      <c r="H1296" s="230">
        <v>4.5</v>
      </c>
      <c r="I1296" s="220">
        <v>785000</v>
      </c>
      <c r="J1296" s="220">
        <f>I1296*0.1</f>
        <v>78500</v>
      </c>
      <c r="K1296" s="220">
        <v>0</v>
      </c>
      <c r="L1296" s="220">
        <v>8740</v>
      </c>
      <c r="M1296" s="220">
        <v>12100</v>
      </c>
      <c r="N1296" s="220">
        <f>SUM(I1296:M1297)</f>
        <v>884340</v>
      </c>
      <c r="O1296" s="224"/>
      <c r="P1296" s="110" t="s">
        <v>4375</v>
      </c>
      <c r="Q1296" s="15" t="s">
        <v>19</v>
      </c>
      <c r="R1296" s="205"/>
      <c r="S1296" s="189" t="s">
        <v>1312</v>
      </c>
      <c r="T1296" s="114"/>
      <c r="U1296" s="21"/>
      <c r="V1296" s="115">
        <v>45945</v>
      </c>
      <c r="W1296" s="116">
        <v>988</v>
      </c>
      <c r="X1296" s="220">
        <v>850000</v>
      </c>
      <c r="Y1296" s="220">
        <f>X1296*0.1</f>
        <v>85000</v>
      </c>
      <c r="Z1296" s="220">
        <v>8740</v>
      </c>
      <c r="AA1296" s="220">
        <f>SUM(X1296:Z1296)</f>
        <v>943740</v>
      </c>
      <c r="AB1296" s="222">
        <v>45952</v>
      </c>
    </row>
    <row r="1297" spans="1:28" ht="17.100000000000001" customHeight="1" thickBot="1">
      <c r="A1297" s="227"/>
      <c r="B1297" s="27" t="s">
        <v>2472</v>
      </c>
      <c r="C1297" s="27">
        <v>65303</v>
      </c>
      <c r="D1297" s="14" t="s">
        <v>3792</v>
      </c>
      <c r="E1297" s="229"/>
      <c r="F1297" s="117" t="s">
        <v>4376</v>
      </c>
      <c r="G1297" s="26">
        <v>47265</v>
      </c>
      <c r="H1297" s="231"/>
      <c r="I1297" s="221"/>
      <c r="J1297" s="221"/>
      <c r="K1297" s="221"/>
      <c r="L1297" s="221"/>
      <c r="M1297" s="221"/>
      <c r="N1297" s="221"/>
      <c r="O1297" s="225"/>
      <c r="P1297" s="118" t="s">
        <v>4377</v>
      </c>
      <c r="Q1297" s="16" t="s">
        <v>20</v>
      </c>
      <c r="R1297" s="17" t="s">
        <v>4315</v>
      </c>
      <c r="S1297" s="121" t="s">
        <v>4378</v>
      </c>
      <c r="T1297" s="122"/>
      <c r="U1297" s="22"/>
      <c r="V1297" s="123" t="s">
        <v>8648</v>
      </c>
      <c r="W1297" s="122">
        <v>2013</v>
      </c>
      <c r="X1297" s="221"/>
      <c r="Y1297" s="221"/>
      <c r="Z1297" s="221"/>
      <c r="AA1297" s="221"/>
      <c r="AB1297" s="223"/>
    </row>
    <row r="1298" spans="1:28" ht="17.100000000000001" customHeight="1" thickTop="1">
      <c r="A1298" s="226" t="s">
        <v>6280</v>
      </c>
      <c r="B1298" s="28">
        <v>45899</v>
      </c>
      <c r="C1298" s="25">
        <v>1265</v>
      </c>
      <c r="D1298" s="13" t="s">
        <v>4050</v>
      </c>
      <c r="E1298" s="228"/>
      <c r="F1298" s="109" t="s">
        <v>4379</v>
      </c>
      <c r="G1298" s="24" t="s">
        <v>4380</v>
      </c>
      <c r="H1298" s="230">
        <v>4.5</v>
      </c>
      <c r="I1298" s="220">
        <v>1255000</v>
      </c>
      <c r="J1298" s="220">
        <f>I1298*0.1</f>
        <v>125500</v>
      </c>
      <c r="K1298" s="220">
        <f>20100+2010</f>
        <v>22110</v>
      </c>
      <c r="L1298" s="220">
        <v>12680</v>
      </c>
      <c r="M1298" s="220">
        <v>16500</v>
      </c>
      <c r="N1298" s="220">
        <f>SUM(I1298:M1299)</f>
        <v>1431790</v>
      </c>
      <c r="O1298" s="224"/>
      <c r="P1298" s="110" t="s">
        <v>4381</v>
      </c>
      <c r="Q1298" s="15" t="s">
        <v>19</v>
      </c>
      <c r="R1298" s="205"/>
      <c r="S1298" s="189"/>
      <c r="T1298" s="114"/>
      <c r="U1298" s="21"/>
      <c r="V1298" s="115">
        <v>45931</v>
      </c>
      <c r="W1298" s="116">
        <v>986</v>
      </c>
      <c r="X1298" s="220">
        <v>1350000</v>
      </c>
      <c r="Y1298" s="220">
        <f>X1298*0.1</f>
        <v>135000</v>
      </c>
      <c r="Z1298" s="220">
        <v>12680</v>
      </c>
      <c r="AA1298" s="220">
        <f>SUM(X1298:Z1298)</f>
        <v>1497680</v>
      </c>
      <c r="AB1298" s="222">
        <v>45937</v>
      </c>
    </row>
    <row r="1299" spans="1:28" ht="17.100000000000001" customHeight="1" thickBot="1">
      <c r="A1299" s="227"/>
      <c r="B1299" s="27" t="s">
        <v>2472</v>
      </c>
      <c r="C1299" s="27">
        <v>82393</v>
      </c>
      <c r="D1299" s="14" t="s">
        <v>898</v>
      </c>
      <c r="E1299" s="229"/>
      <c r="F1299" s="117" t="s">
        <v>4382</v>
      </c>
      <c r="G1299" s="26">
        <v>79954</v>
      </c>
      <c r="H1299" s="231"/>
      <c r="I1299" s="221"/>
      <c r="J1299" s="221"/>
      <c r="K1299" s="221"/>
      <c r="L1299" s="221"/>
      <c r="M1299" s="221"/>
      <c r="N1299" s="221"/>
      <c r="O1299" s="225"/>
      <c r="P1299" s="118" t="s">
        <v>2870</v>
      </c>
      <c r="Q1299" s="16" t="s">
        <v>20</v>
      </c>
      <c r="R1299" s="17" t="s">
        <v>4315</v>
      </c>
      <c r="S1299" s="121" t="s">
        <v>4383</v>
      </c>
      <c r="T1299" s="122" t="s">
        <v>4384</v>
      </c>
      <c r="U1299" s="22"/>
      <c r="V1299" s="123" t="s">
        <v>7161</v>
      </c>
      <c r="W1299" s="122">
        <v>6001</v>
      </c>
      <c r="X1299" s="221"/>
      <c r="Y1299" s="221"/>
      <c r="Z1299" s="221"/>
      <c r="AA1299" s="221"/>
      <c r="AB1299" s="223"/>
    </row>
    <row r="1300" spans="1:28" ht="17.100000000000001" customHeight="1" thickTop="1">
      <c r="A1300" s="226" t="s">
        <v>6281</v>
      </c>
      <c r="B1300" s="28">
        <v>45901</v>
      </c>
      <c r="C1300" s="25">
        <v>2058</v>
      </c>
      <c r="D1300" s="13" t="s">
        <v>3494</v>
      </c>
      <c r="E1300" s="228"/>
      <c r="F1300" s="109" t="s">
        <v>4385</v>
      </c>
      <c r="G1300" s="24"/>
      <c r="H1300" s="230">
        <v>4</v>
      </c>
      <c r="I1300" s="220">
        <v>3485000</v>
      </c>
      <c r="J1300" s="220">
        <f>I1300*0.1</f>
        <v>348500</v>
      </c>
      <c r="K1300" s="220">
        <v>0</v>
      </c>
      <c r="L1300" s="220">
        <v>17640</v>
      </c>
      <c r="M1300" s="220">
        <v>12100</v>
      </c>
      <c r="N1300" s="220">
        <f>SUM(I1300:M1301)</f>
        <v>3863240</v>
      </c>
      <c r="O1300" s="224"/>
      <c r="P1300" s="110" t="s">
        <v>4386</v>
      </c>
      <c r="Q1300" s="15" t="s">
        <v>19</v>
      </c>
      <c r="R1300" s="205"/>
      <c r="S1300" s="189" t="s">
        <v>25446</v>
      </c>
      <c r="T1300" s="114"/>
      <c r="U1300" s="21"/>
      <c r="V1300" s="115">
        <v>45990</v>
      </c>
      <c r="W1300" s="116">
        <v>1278</v>
      </c>
      <c r="X1300" s="220">
        <v>3700000</v>
      </c>
      <c r="Y1300" s="220">
        <f>X1300*0.1</f>
        <v>370000</v>
      </c>
      <c r="Z1300" s="220">
        <v>17640</v>
      </c>
      <c r="AA1300" s="220">
        <f>SUM(X1300:Z1300)</f>
        <v>4087640</v>
      </c>
      <c r="AB1300" s="222">
        <v>45995</v>
      </c>
    </row>
    <row r="1301" spans="1:28" ht="17.100000000000001" customHeight="1" thickBot="1">
      <c r="A1301" s="227"/>
      <c r="B1301" s="27" t="s">
        <v>82</v>
      </c>
      <c r="C1301" s="27">
        <v>11017</v>
      </c>
      <c r="D1301" s="14" t="s">
        <v>1548</v>
      </c>
      <c r="E1301" s="229"/>
      <c r="F1301" s="117" t="s">
        <v>4388</v>
      </c>
      <c r="G1301" s="26">
        <v>45750</v>
      </c>
      <c r="H1301" s="231"/>
      <c r="I1301" s="221"/>
      <c r="J1301" s="221"/>
      <c r="K1301" s="221"/>
      <c r="L1301" s="221"/>
      <c r="M1301" s="221"/>
      <c r="N1301" s="221"/>
      <c r="O1301" s="225"/>
      <c r="P1301" s="118" t="s">
        <v>4389</v>
      </c>
      <c r="Q1301" s="16" t="s">
        <v>20</v>
      </c>
      <c r="R1301" s="17" t="s">
        <v>3867</v>
      </c>
      <c r="S1301" s="126" t="s">
        <v>2166</v>
      </c>
      <c r="T1301" s="122"/>
      <c r="U1301" s="22"/>
      <c r="V1301" s="123" t="s">
        <v>6641</v>
      </c>
      <c r="W1301" s="122">
        <v>80060</v>
      </c>
      <c r="X1301" s="221"/>
      <c r="Y1301" s="221"/>
      <c r="Z1301" s="221"/>
      <c r="AA1301" s="221"/>
      <c r="AB1301" s="223"/>
    </row>
    <row r="1302" spans="1:28" ht="17.100000000000001" customHeight="1" thickTop="1">
      <c r="A1302" s="226" t="s">
        <v>6282</v>
      </c>
      <c r="B1302" s="28">
        <v>45901</v>
      </c>
      <c r="C1302" s="25">
        <v>2058</v>
      </c>
      <c r="D1302" s="13" t="s">
        <v>3269</v>
      </c>
      <c r="E1302" s="228"/>
      <c r="F1302" s="109" t="s">
        <v>2685</v>
      </c>
      <c r="G1302" s="24"/>
      <c r="H1302" s="230">
        <v>3.5</v>
      </c>
      <c r="I1302" s="220">
        <v>1470000</v>
      </c>
      <c r="J1302" s="220">
        <f>I1302*0.1</f>
        <v>147000</v>
      </c>
      <c r="K1302" s="220">
        <v>0</v>
      </c>
      <c r="L1302" s="220">
        <v>19090</v>
      </c>
      <c r="M1302" s="220">
        <v>11000</v>
      </c>
      <c r="N1302" s="220">
        <f>SUM(I1302:M1303)</f>
        <v>1647090</v>
      </c>
      <c r="O1302" s="224"/>
      <c r="P1302" s="110" t="s">
        <v>4390</v>
      </c>
      <c r="Q1302" s="15" t="s">
        <v>19</v>
      </c>
      <c r="R1302" s="205"/>
      <c r="S1302" s="189" t="s">
        <v>1361</v>
      </c>
      <c r="T1302" s="114"/>
      <c r="U1302" s="21"/>
      <c r="V1302" s="115"/>
      <c r="W1302" s="116"/>
      <c r="X1302" s="220"/>
      <c r="Y1302" s="220">
        <f>X1302*0.1</f>
        <v>0</v>
      </c>
      <c r="Z1302" s="220"/>
      <c r="AA1302" s="220">
        <f>SUM(X1302:Z1302)</f>
        <v>0</v>
      </c>
      <c r="AB1302" s="222"/>
    </row>
    <row r="1303" spans="1:28" ht="17.100000000000001" customHeight="1" thickBot="1">
      <c r="A1303" s="227"/>
      <c r="B1303" s="27" t="s">
        <v>82</v>
      </c>
      <c r="C1303" s="27">
        <v>32007</v>
      </c>
      <c r="D1303" s="14" t="s">
        <v>1584</v>
      </c>
      <c r="E1303" s="229"/>
      <c r="F1303" s="117" t="s">
        <v>4391</v>
      </c>
      <c r="G1303" s="26">
        <v>38854</v>
      </c>
      <c r="H1303" s="231"/>
      <c r="I1303" s="221"/>
      <c r="J1303" s="221"/>
      <c r="K1303" s="221"/>
      <c r="L1303" s="221"/>
      <c r="M1303" s="221"/>
      <c r="N1303" s="221"/>
      <c r="O1303" s="225"/>
      <c r="P1303" s="118" t="s">
        <v>4389</v>
      </c>
      <c r="Q1303" s="16" t="s">
        <v>20</v>
      </c>
      <c r="R1303" s="17" t="s">
        <v>2926</v>
      </c>
      <c r="S1303" s="121" t="s">
        <v>1731</v>
      </c>
      <c r="T1303" s="122"/>
      <c r="U1303" s="22"/>
      <c r="V1303" s="123"/>
      <c r="W1303" s="122"/>
      <c r="X1303" s="221"/>
      <c r="Y1303" s="221"/>
      <c r="Z1303" s="221"/>
      <c r="AA1303" s="221"/>
      <c r="AB1303" s="223"/>
    </row>
    <row r="1304" spans="1:28" ht="17.100000000000001" customHeight="1" thickTop="1">
      <c r="A1304" s="226" t="s">
        <v>6283</v>
      </c>
      <c r="B1304" s="28">
        <v>45901</v>
      </c>
      <c r="C1304" s="25"/>
      <c r="D1304" s="13" t="s">
        <v>2355</v>
      </c>
      <c r="E1304" s="228"/>
      <c r="F1304" s="109" t="s">
        <v>4392</v>
      </c>
      <c r="G1304" s="24" t="s">
        <v>4393</v>
      </c>
      <c r="H1304" s="230">
        <v>4</v>
      </c>
      <c r="I1304" s="220">
        <f>363000/1.1</f>
        <v>330000</v>
      </c>
      <c r="J1304" s="220">
        <f>I1304*0.1</f>
        <v>33000</v>
      </c>
      <c r="K1304" s="220">
        <v>0</v>
      </c>
      <c r="L1304" s="220">
        <v>9300</v>
      </c>
      <c r="M1304" s="220">
        <v>45159</v>
      </c>
      <c r="N1304" s="220">
        <f>SUM(I1304:M1305)</f>
        <v>417459</v>
      </c>
      <c r="O1304" s="224"/>
      <c r="P1304" s="110" t="s">
        <v>4394</v>
      </c>
      <c r="Q1304" s="15" t="s">
        <v>19</v>
      </c>
      <c r="R1304" s="205"/>
      <c r="S1304" s="189" t="s">
        <v>1361</v>
      </c>
      <c r="T1304" s="114"/>
      <c r="U1304" s="21"/>
      <c r="V1304" s="115">
        <v>45941</v>
      </c>
      <c r="W1304" s="116">
        <v>1271</v>
      </c>
      <c r="X1304" s="220">
        <v>275000</v>
      </c>
      <c r="Y1304" s="220">
        <f>X1304*0.1</f>
        <v>27500</v>
      </c>
      <c r="Z1304" s="220">
        <v>9300</v>
      </c>
      <c r="AA1304" s="220">
        <f>SUM(X1304:Z1304)</f>
        <v>311800</v>
      </c>
      <c r="AB1304" s="222">
        <v>45944</v>
      </c>
    </row>
    <row r="1305" spans="1:28" ht="17.100000000000001" customHeight="1" thickBot="1">
      <c r="A1305" s="227"/>
      <c r="B1305" s="27" t="s">
        <v>1708</v>
      </c>
      <c r="C1305" s="27" t="s">
        <v>4395</v>
      </c>
      <c r="D1305" s="14" t="s">
        <v>131</v>
      </c>
      <c r="E1305" s="229"/>
      <c r="F1305" s="117" t="s">
        <v>4396</v>
      </c>
      <c r="G1305" s="26">
        <v>70942</v>
      </c>
      <c r="H1305" s="231"/>
      <c r="I1305" s="221"/>
      <c r="J1305" s="221"/>
      <c r="K1305" s="221"/>
      <c r="L1305" s="221"/>
      <c r="M1305" s="221"/>
      <c r="N1305" s="221"/>
      <c r="O1305" s="225"/>
      <c r="P1305" s="118" t="s">
        <v>4397</v>
      </c>
      <c r="Q1305" s="16" t="s">
        <v>20</v>
      </c>
      <c r="R1305" s="17" t="s">
        <v>2091</v>
      </c>
      <c r="S1305" s="121" t="s">
        <v>169</v>
      </c>
      <c r="T1305" s="122"/>
      <c r="U1305" s="22"/>
      <c r="V1305" s="123" t="s">
        <v>2472</v>
      </c>
      <c r="W1305" s="122">
        <v>31092</v>
      </c>
      <c r="X1305" s="221"/>
      <c r="Y1305" s="221"/>
      <c r="Z1305" s="221"/>
      <c r="AA1305" s="221"/>
      <c r="AB1305" s="223"/>
    </row>
    <row r="1306" spans="1:28" ht="17.100000000000001" customHeight="1" thickTop="1">
      <c r="A1306" s="226" t="s">
        <v>6284</v>
      </c>
      <c r="B1306" s="28">
        <v>45901</v>
      </c>
      <c r="C1306" s="25"/>
      <c r="D1306" s="13" t="s">
        <v>1615</v>
      </c>
      <c r="E1306" s="228"/>
      <c r="F1306" s="109" t="s">
        <v>4398</v>
      </c>
      <c r="G1306" s="24"/>
      <c r="H1306" s="230">
        <v>3.5</v>
      </c>
      <c r="I1306" s="220">
        <v>328000</v>
      </c>
      <c r="J1306" s="220">
        <f>I1306*0.1</f>
        <v>32800</v>
      </c>
      <c r="K1306" s="220">
        <v>0</v>
      </c>
      <c r="L1306" s="220">
        <v>9790</v>
      </c>
      <c r="M1306" s="220">
        <v>15950</v>
      </c>
      <c r="N1306" s="220">
        <f>SUM(I1306:M1307)</f>
        <v>386540</v>
      </c>
      <c r="O1306" s="224"/>
      <c r="P1306" s="110" t="s">
        <v>4399</v>
      </c>
      <c r="Q1306" s="15" t="s">
        <v>19</v>
      </c>
      <c r="R1306" s="205"/>
      <c r="S1306" s="189"/>
      <c r="T1306" s="114"/>
      <c r="U1306" s="21"/>
      <c r="V1306" s="115">
        <v>45934</v>
      </c>
      <c r="W1306" s="116">
        <v>1270</v>
      </c>
      <c r="X1306" s="220">
        <v>380000</v>
      </c>
      <c r="Y1306" s="220">
        <f>X1306*0.1</f>
        <v>38000</v>
      </c>
      <c r="Z1306" s="220">
        <v>9790</v>
      </c>
      <c r="AA1306" s="220">
        <f>SUM(X1306:Z1306)</f>
        <v>427790</v>
      </c>
      <c r="AB1306" s="222">
        <v>45937</v>
      </c>
    </row>
    <row r="1307" spans="1:28" ht="17.100000000000001" customHeight="1" thickBot="1">
      <c r="A1307" s="227"/>
      <c r="B1307" s="27" t="s">
        <v>4400</v>
      </c>
      <c r="C1307" s="27">
        <v>79158</v>
      </c>
      <c r="D1307" s="14" t="s">
        <v>1568</v>
      </c>
      <c r="E1307" s="229"/>
      <c r="F1307" s="117" t="s">
        <v>4401</v>
      </c>
      <c r="G1307" s="26">
        <v>59556</v>
      </c>
      <c r="H1307" s="231"/>
      <c r="I1307" s="221"/>
      <c r="J1307" s="221"/>
      <c r="K1307" s="221"/>
      <c r="L1307" s="221"/>
      <c r="M1307" s="221"/>
      <c r="N1307" s="221"/>
      <c r="O1307" s="225"/>
      <c r="P1307" s="118" t="s">
        <v>4402</v>
      </c>
      <c r="Q1307" s="16" t="s">
        <v>20</v>
      </c>
      <c r="R1307" s="17" t="s">
        <v>2907</v>
      </c>
      <c r="S1307" s="121"/>
      <c r="T1307" s="122"/>
      <c r="U1307" s="22"/>
      <c r="V1307" s="123" t="s">
        <v>7160</v>
      </c>
      <c r="W1307" s="122">
        <v>60276</v>
      </c>
      <c r="X1307" s="221"/>
      <c r="Y1307" s="221"/>
      <c r="Z1307" s="221"/>
      <c r="AA1307" s="221"/>
      <c r="AB1307" s="223"/>
    </row>
    <row r="1308" spans="1:28" ht="17.100000000000001" customHeight="1" thickTop="1">
      <c r="A1308" s="226" t="s">
        <v>6285</v>
      </c>
      <c r="B1308" s="28">
        <v>45902</v>
      </c>
      <c r="C1308" s="25">
        <v>1907</v>
      </c>
      <c r="D1308" s="13" t="s">
        <v>4403</v>
      </c>
      <c r="E1308" s="228"/>
      <c r="F1308" s="109" t="s">
        <v>4404</v>
      </c>
      <c r="G1308" s="24" t="s">
        <v>3968</v>
      </c>
      <c r="H1308" s="230">
        <v>4</v>
      </c>
      <c r="I1308" s="220">
        <v>163000</v>
      </c>
      <c r="J1308" s="220">
        <f>I1308*0.1</f>
        <v>16300</v>
      </c>
      <c r="K1308" s="220">
        <v>0</v>
      </c>
      <c r="L1308" s="220">
        <v>8670</v>
      </c>
      <c r="M1308" s="220">
        <v>15950</v>
      </c>
      <c r="N1308" s="220">
        <f>SUM(I1308:M1309)</f>
        <v>203920</v>
      </c>
      <c r="O1308" s="224"/>
      <c r="P1308" s="110" t="s">
        <v>4405</v>
      </c>
      <c r="Q1308" s="15" t="s">
        <v>19</v>
      </c>
      <c r="R1308" s="205"/>
      <c r="S1308" s="189"/>
      <c r="T1308" s="114"/>
      <c r="U1308" s="21"/>
      <c r="V1308" s="115">
        <v>45955</v>
      </c>
      <c r="W1308" s="116">
        <v>1273</v>
      </c>
      <c r="X1308" s="220">
        <v>180000</v>
      </c>
      <c r="Y1308" s="220">
        <f>X1308*0.1</f>
        <v>18000</v>
      </c>
      <c r="Z1308" s="220">
        <v>8670</v>
      </c>
      <c r="AA1308" s="220">
        <f>SUM(X1308:Z1308)</f>
        <v>206670</v>
      </c>
      <c r="AB1308" s="222">
        <v>45960</v>
      </c>
    </row>
    <row r="1309" spans="1:28" ht="17.100000000000001" customHeight="1" thickBot="1">
      <c r="A1309" s="227"/>
      <c r="B1309" s="27" t="s">
        <v>2103</v>
      </c>
      <c r="C1309" s="27">
        <v>3081</v>
      </c>
      <c r="D1309" s="14" t="s">
        <v>898</v>
      </c>
      <c r="E1309" s="229"/>
      <c r="F1309" s="117" t="s">
        <v>4406</v>
      </c>
      <c r="G1309" s="26">
        <v>36603</v>
      </c>
      <c r="H1309" s="231"/>
      <c r="I1309" s="221"/>
      <c r="J1309" s="221"/>
      <c r="K1309" s="221"/>
      <c r="L1309" s="221"/>
      <c r="M1309" s="221"/>
      <c r="N1309" s="221"/>
      <c r="O1309" s="225"/>
      <c r="P1309" s="118" t="s">
        <v>4407</v>
      </c>
      <c r="Q1309" s="16" t="s">
        <v>20</v>
      </c>
      <c r="R1309" s="17" t="s">
        <v>4315</v>
      </c>
      <c r="S1309" s="121"/>
      <c r="T1309" s="122"/>
      <c r="U1309" s="22"/>
      <c r="V1309" s="123" t="s">
        <v>7160</v>
      </c>
      <c r="W1309" s="122">
        <v>60315</v>
      </c>
      <c r="X1309" s="221"/>
      <c r="Y1309" s="221"/>
      <c r="Z1309" s="221"/>
      <c r="AA1309" s="221"/>
      <c r="AB1309" s="223"/>
    </row>
    <row r="1310" spans="1:28" ht="17.100000000000001" customHeight="1" thickTop="1">
      <c r="A1310" s="226" t="s">
        <v>6286</v>
      </c>
      <c r="B1310" s="28">
        <v>45902</v>
      </c>
      <c r="C1310" s="25">
        <v>905</v>
      </c>
      <c r="D1310" s="13" t="s">
        <v>1931</v>
      </c>
      <c r="E1310" s="228"/>
      <c r="F1310" s="109" t="s">
        <v>4408</v>
      </c>
      <c r="G1310" s="24" t="s">
        <v>3859</v>
      </c>
      <c r="H1310" s="230">
        <v>3.5</v>
      </c>
      <c r="I1310" s="220">
        <v>670000</v>
      </c>
      <c r="J1310" s="220">
        <f>I1310*0.1</f>
        <v>67000</v>
      </c>
      <c r="K1310" s="220">
        <v>0</v>
      </c>
      <c r="L1310" s="220">
        <v>8400</v>
      </c>
      <c r="M1310" s="220">
        <v>15950</v>
      </c>
      <c r="N1310" s="220">
        <f>SUM(I1310:M1311)</f>
        <v>761350</v>
      </c>
      <c r="O1310" s="224"/>
      <c r="P1310" s="110" t="s">
        <v>4409</v>
      </c>
      <c r="Q1310" s="15" t="s">
        <v>19</v>
      </c>
      <c r="R1310" s="205"/>
      <c r="S1310" s="189" t="s">
        <v>758</v>
      </c>
      <c r="T1310" s="114"/>
      <c r="U1310" s="21" t="s">
        <v>7581</v>
      </c>
      <c r="V1310" s="115">
        <v>45987</v>
      </c>
      <c r="W1310" s="116">
        <v>994</v>
      </c>
      <c r="X1310" s="220">
        <v>750000</v>
      </c>
      <c r="Y1310" s="220">
        <f>X1310*0.1</f>
        <v>75000</v>
      </c>
      <c r="Z1310" s="220">
        <v>8400</v>
      </c>
      <c r="AA1310" s="220">
        <f>SUM(X1310:Z1310)</f>
        <v>833400</v>
      </c>
      <c r="AB1310" s="222">
        <v>45994</v>
      </c>
    </row>
    <row r="1311" spans="1:28" ht="17.100000000000001" customHeight="1" thickBot="1">
      <c r="A1311" s="227"/>
      <c r="B1311" s="27" t="s">
        <v>2654</v>
      </c>
      <c r="C1311" s="27">
        <v>3157</v>
      </c>
      <c r="D1311" s="14" t="s">
        <v>2520</v>
      </c>
      <c r="E1311" s="229"/>
      <c r="F1311" s="117" t="s">
        <v>4410</v>
      </c>
      <c r="G1311" s="26">
        <v>55323</v>
      </c>
      <c r="H1311" s="231"/>
      <c r="I1311" s="221"/>
      <c r="J1311" s="221"/>
      <c r="K1311" s="221"/>
      <c r="L1311" s="221"/>
      <c r="M1311" s="221"/>
      <c r="N1311" s="221"/>
      <c r="O1311" s="225"/>
      <c r="P1311" s="118" t="s">
        <v>4411</v>
      </c>
      <c r="Q1311" s="16" t="s">
        <v>20</v>
      </c>
      <c r="R1311" s="17" t="s">
        <v>4412</v>
      </c>
      <c r="S1311" s="121" t="s">
        <v>4413</v>
      </c>
      <c r="T1311" s="122"/>
      <c r="U1311" s="22"/>
      <c r="V1311" s="123" t="s">
        <v>7161</v>
      </c>
      <c r="W1311" s="122">
        <v>2074</v>
      </c>
      <c r="X1311" s="221"/>
      <c r="Y1311" s="221"/>
      <c r="Z1311" s="221"/>
      <c r="AA1311" s="221"/>
      <c r="AB1311" s="223"/>
    </row>
    <row r="1312" spans="1:28" ht="17.100000000000001" customHeight="1" thickTop="1">
      <c r="A1312" s="226" t="s">
        <v>6287</v>
      </c>
      <c r="B1312" s="28">
        <v>45902</v>
      </c>
      <c r="C1312" s="25">
        <v>773</v>
      </c>
      <c r="D1312" s="13" t="s">
        <v>2324</v>
      </c>
      <c r="E1312" s="228"/>
      <c r="F1312" s="109" t="s">
        <v>4414</v>
      </c>
      <c r="G1312" s="24"/>
      <c r="H1312" s="230">
        <v>3.5</v>
      </c>
      <c r="I1312" s="220">
        <v>839000</v>
      </c>
      <c r="J1312" s="220">
        <f>I1312*0.1</f>
        <v>83900</v>
      </c>
      <c r="K1312" s="220">
        <v>0</v>
      </c>
      <c r="L1312" s="220">
        <v>8740</v>
      </c>
      <c r="M1312" s="220">
        <v>22000</v>
      </c>
      <c r="N1312" s="220">
        <f>SUM(I1312:M1313)</f>
        <v>953640</v>
      </c>
      <c r="O1312" s="224"/>
      <c r="P1312" s="110" t="s">
        <v>4415</v>
      </c>
      <c r="Q1312" s="15" t="s">
        <v>19</v>
      </c>
      <c r="R1312" s="205"/>
      <c r="S1312" s="189"/>
      <c r="T1312" s="114"/>
      <c r="U1312" s="21"/>
      <c r="V1312" s="115">
        <v>45941</v>
      </c>
      <c r="W1312" s="116">
        <v>1271</v>
      </c>
      <c r="X1312" s="220">
        <v>900000</v>
      </c>
      <c r="Y1312" s="220">
        <f>X1312*0.1</f>
        <v>90000</v>
      </c>
      <c r="Z1312" s="220">
        <v>8740</v>
      </c>
      <c r="AA1312" s="220">
        <f>SUM(X1312:Z1312)</f>
        <v>998740</v>
      </c>
      <c r="AB1312" s="222">
        <v>45945</v>
      </c>
    </row>
    <row r="1313" spans="1:28" ht="17.100000000000001" customHeight="1" thickBot="1">
      <c r="A1313" s="227"/>
      <c r="B1313" s="27" t="s">
        <v>4416</v>
      </c>
      <c r="C1313" s="27">
        <v>177</v>
      </c>
      <c r="D1313" s="14" t="s">
        <v>1568</v>
      </c>
      <c r="E1313" s="229"/>
      <c r="F1313" s="117" t="s">
        <v>4417</v>
      </c>
      <c r="G1313" s="26">
        <v>23043</v>
      </c>
      <c r="H1313" s="231"/>
      <c r="I1313" s="221"/>
      <c r="J1313" s="221"/>
      <c r="K1313" s="221"/>
      <c r="L1313" s="221"/>
      <c r="M1313" s="221"/>
      <c r="N1313" s="221"/>
      <c r="O1313" s="225"/>
      <c r="P1313" s="118" t="s">
        <v>2031</v>
      </c>
      <c r="Q1313" s="16" t="s">
        <v>20</v>
      </c>
      <c r="R1313" s="17" t="s">
        <v>4412</v>
      </c>
      <c r="S1313" s="121" t="s">
        <v>4418</v>
      </c>
      <c r="T1313" s="122"/>
      <c r="U1313" s="22"/>
      <c r="V1313" s="123" t="s">
        <v>7160</v>
      </c>
      <c r="W1313" s="122">
        <v>60231</v>
      </c>
      <c r="X1313" s="221"/>
      <c r="Y1313" s="221"/>
      <c r="Z1313" s="221"/>
      <c r="AA1313" s="221"/>
      <c r="AB1313" s="223"/>
    </row>
    <row r="1314" spans="1:28" ht="17.100000000000001" customHeight="1" thickTop="1">
      <c r="A1314" s="226" t="s">
        <v>6288</v>
      </c>
      <c r="B1314" s="28">
        <v>45903</v>
      </c>
      <c r="C1314" s="25">
        <v>1803</v>
      </c>
      <c r="D1314" s="13" t="s">
        <v>1623</v>
      </c>
      <c r="E1314" s="228"/>
      <c r="F1314" s="109" t="s">
        <v>4419</v>
      </c>
      <c r="G1314" s="24"/>
      <c r="H1314" s="230">
        <v>4</v>
      </c>
      <c r="I1314" s="220">
        <v>696000</v>
      </c>
      <c r="J1314" s="220">
        <f>I1314*0.1</f>
        <v>69600</v>
      </c>
      <c r="K1314" s="220">
        <v>0</v>
      </c>
      <c r="L1314" s="220">
        <v>7860</v>
      </c>
      <c r="M1314" s="220">
        <v>18150</v>
      </c>
      <c r="N1314" s="220">
        <f>SUM(I1314:M1315)</f>
        <v>791610</v>
      </c>
      <c r="O1314" s="224"/>
      <c r="P1314" s="110" t="s">
        <v>4420</v>
      </c>
      <c r="Q1314" s="15" t="s">
        <v>19</v>
      </c>
      <c r="R1314" s="205"/>
      <c r="S1314" s="189"/>
      <c r="T1314" s="114"/>
      <c r="U1314" s="21"/>
      <c r="V1314" s="115">
        <v>45945</v>
      </c>
      <c r="W1314" s="116">
        <v>988</v>
      </c>
      <c r="X1314" s="220">
        <v>775000</v>
      </c>
      <c r="Y1314" s="220">
        <f>X1314*0.1</f>
        <v>77500</v>
      </c>
      <c r="Z1314" s="220">
        <v>7880</v>
      </c>
      <c r="AA1314" s="220">
        <f>SUM(X1314:Z1314)</f>
        <v>860380</v>
      </c>
      <c r="AB1314" s="222">
        <v>45950</v>
      </c>
    </row>
    <row r="1315" spans="1:28" ht="17.100000000000001" customHeight="1" thickBot="1">
      <c r="A1315" s="227"/>
      <c r="B1315" s="27" t="s">
        <v>2519</v>
      </c>
      <c r="C1315" s="27">
        <v>3260</v>
      </c>
      <c r="D1315" s="14" t="s">
        <v>273</v>
      </c>
      <c r="E1315" s="229"/>
      <c r="F1315" s="117" t="s">
        <v>4421</v>
      </c>
      <c r="G1315" s="26">
        <v>16173</v>
      </c>
      <c r="H1315" s="231"/>
      <c r="I1315" s="221"/>
      <c r="J1315" s="221"/>
      <c r="K1315" s="221"/>
      <c r="L1315" s="221"/>
      <c r="M1315" s="221"/>
      <c r="N1315" s="221"/>
      <c r="O1315" s="225"/>
      <c r="P1315" s="118" t="s">
        <v>4422</v>
      </c>
      <c r="Q1315" s="16" t="s">
        <v>20</v>
      </c>
      <c r="R1315" s="17" t="s">
        <v>2907</v>
      </c>
      <c r="S1315" s="121"/>
      <c r="T1315" s="122"/>
      <c r="U1315" s="22"/>
      <c r="V1315" s="123" t="s">
        <v>2747</v>
      </c>
      <c r="W1315" s="122">
        <v>2077</v>
      </c>
      <c r="X1315" s="221"/>
      <c r="Y1315" s="221"/>
      <c r="Z1315" s="221"/>
      <c r="AA1315" s="221"/>
      <c r="AB1315" s="223"/>
    </row>
    <row r="1316" spans="1:28" ht="17.100000000000001" customHeight="1" thickTop="1">
      <c r="A1316" s="226" t="s">
        <v>6289</v>
      </c>
      <c r="B1316" s="28">
        <v>45903</v>
      </c>
      <c r="C1316" s="25">
        <v>1803</v>
      </c>
      <c r="D1316" s="13" t="s">
        <v>2429</v>
      </c>
      <c r="E1316" s="228"/>
      <c r="F1316" s="109" t="s">
        <v>4178</v>
      </c>
      <c r="G1316" s="24" t="s">
        <v>3859</v>
      </c>
      <c r="H1316" s="230">
        <v>4.5</v>
      </c>
      <c r="I1316" s="220">
        <v>659000</v>
      </c>
      <c r="J1316" s="220">
        <f>I1316*0.1</f>
        <v>65900</v>
      </c>
      <c r="K1316" s="220">
        <v>0</v>
      </c>
      <c r="L1316" s="220">
        <v>9790</v>
      </c>
      <c r="M1316" s="220">
        <v>18150</v>
      </c>
      <c r="N1316" s="220">
        <f>SUM(I1316:M1317)</f>
        <v>752840</v>
      </c>
      <c r="O1316" s="224"/>
      <c r="P1316" s="110" t="s">
        <v>4423</v>
      </c>
      <c r="Q1316" s="15" t="s">
        <v>19</v>
      </c>
      <c r="R1316" s="205"/>
      <c r="S1316" s="189" t="s">
        <v>1361</v>
      </c>
      <c r="T1316" s="114"/>
      <c r="U1316" s="21" t="s">
        <v>8175</v>
      </c>
      <c r="V1316" s="115">
        <v>45952</v>
      </c>
      <c r="W1316" s="116">
        <v>989</v>
      </c>
      <c r="X1316" s="220">
        <v>705000</v>
      </c>
      <c r="Y1316" s="220">
        <f>X1316*0.1</f>
        <v>70500</v>
      </c>
      <c r="Z1316" s="220">
        <v>9790</v>
      </c>
      <c r="AA1316" s="220">
        <f>SUM(X1316:Z1316)</f>
        <v>785290</v>
      </c>
      <c r="AB1316" s="222">
        <v>45957</v>
      </c>
    </row>
    <row r="1317" spans="1:28" ht="17.100000000000001" customHeight="1" thickBot="1">
      <c r="A1317" s="227"/>
      <c r="B1317" s="27" t="s">
        <v>2519</v>
      </c>
      <c r="C1317" s="27">
        <v>9236</v>
      </c>
      <c r="D1317" s="14" t="s">
        <v>3792</v>
      </c>
      <c r="E1317" s="229"/>
      <c r="F1317" s="117" t="s">
        <v>4424</v>
      </c>
      <c r="G1317" s="26">
        <v>54450</v>
      </c>
      <c r="H1317" s="231"/>
      <c r="I1317" s="221"/>
      <c r="J1317" s="221"/>
      <c r="K1317" s="221"/>
      <c r="L1317" s="221"/>
      <c r="M1317" s="221"/>
      <c r="N1317" s="221"/>
      <c r="O1317" s="225"/>
      <c r="P1317" s="118" t="s">
        <v>4425</v>
      </c>
      <c r="Q1317" s="16" t="s">
        <v>20</v>
      </c>
      <c r="R1317" s="17" t="s">
        <v>2907</v>
      </c>
      <c r="S1317" s="121" t="s">
        <v>4426</v>
      </c>
      <c r="T1317" s="122"/>
      <c r="U1317" s="22"/>
      <c r="V1317" s="123" t="s">
        <v>8877</v>
      </c>
      <c r="W1317" s="122">
        <v>2039</v>
      </c>
      <c r="X1317" s="221"/>
      <c r="Y1317" s="221"/>
      <c r="Z1317" s="221"/>
      <c r="AA1317" s="221"/>
      <c r="AB1317" s="223"/>
    </row>
    <row r="1318" spans="1:28" ht="17.100000000000001" customHeight="1" thickTop="1">
      <c r="A1318" s="226" t="s">
        <v>6290</v>
      </c>
      <c r="B1318" s="28">
        <v>45904</v>
      </c>
      <c r="C1318" s="25">
        <v>1531</v>
      </c>
      <c r="D1318" s="13" t="s">
        <v>2406</v>
      </c>
      <c r="E1318" s="228"/>
      <c r="F1318" s="109" t="s">
        <v>4427</v>
      </c>
      <c r="G1318" s="24" t="s">
        <v>2810</v>
      </c>
      <c r="H1318" s="230">
        <v>4.5</v>
      </c>
      <c r="I1318" s="220">
        <v>1720000</v>
      </c>
      <c r="J1318" s="220">
        <f>I1318*0.1</f>
        <v>172000</v>
      </c>
      <c r="K1318" s="220">
        <f>17200+1720</f>
        <v>18920</v>
      </c>
      <c r="L1318" s="220">
        <v>19040</v>
      </c>
      <c r="M1318" s="220">
        <v>16500</v>
      </c>
      <c r="N1318" s="220">
        <f>SUM(I1318:M1319)</f>
        <v>1946460</v>
      </c>
      <c r="O1318" s="224"/>
      <c r="P1318" s="110" t="s">
        <v>4428</v>
      </c>
      <c r="Q1318" s="15" t="s">
        <v>19</v>
      </c>
      <c r="R1318" s="205"/>
      <c r="S1318" s="189" t="s">
        <v>25397</v>
      </c>
      <c r="T1318" s="114"/>
      <c r="U1318" s="21"/>
      <c r="V1318" s="115">
        <v>45948</v>
      </c>
      <c r="W1318" s="116">
        <v>1272</v>
      </c>
      <c r="X1318" s="220">
        <v>1800000</v>
      </c>
      <c r="Y1318" s="220">
        <f>X1318*0.1</f>
        <v>180000</v>
      </c>
      <c r="Z1318" s="220">
        <v>19040</v>
      </c>
      <c r="AA1318" s="220">
        <f>SUM(X1318:Z1318)</f>
        <v>1999040</v>
      </c>
      <c r="AB1318" s="222">
        <v>45953</v>
      </c>
    </row>
    <row r="1319" spans="1:28" ht="17.100000000000001" customHeight="1" thickBot="1">
      <c r="A1319" s="227"/>
      <c r="B1319" s="27" t="s">
        <v>1592</v>
      </c>
      <c r="C1319" s="27">
        <v>73003</v>
      </c>
      <c r="D1319" s="14" t="s">
        <v>1584</v>
      </c>
      <c r="E1319" s="229"/>
      <c r="F1319" s="117" t="s">
        <v>4429</v>
      </c>
      <c r="G1319" s="26">
        <v>61134</v>
      </c>
      <c r="H1319" s="231"/>
      <c r="I1319" s="221"/>
      <c r="J1319" s="221"/>
      <c r="K1319" s="221"/>
      <c r="L1319" s="221"/>
      <c r="M1319" s="221"/>
      <c r="N1319" s="221"/>
      <c r="O1319" s="225"/>
      <c r="P1319" s="118" t="s">
        <v>4430</v>
      </c>
      <c r="Q1319" s="16" t="s">
        <v>20</v>
      </c>
      <c r="R1319" s="17" t="s">
        <v>2907</v>
      </c>
      <c r="S1319" s="121" t="s">
        <v>1731</v>
      </c>
      <c r="T1319" s="122"/>
      <c r="U1319" s="22"/>
      <c r="V1319" s="123" t="s">
        <v>2472</v>
      </c>
      <c r="W1319" s="122">
        <v>80014</v>
      </c>
      <c r="X1319" s="221"/>
      <c r="Y1319" s="221"/>
      <c r="Z1319" s="221"/>
      <c r="AA1319" s="221"/>
      <c r="AB1319" s="223"/>
    </row>
    <row r="1320" spans="1:28" ht="17.100000000000001" customHeight="1" thickTop="1">
      <c r="A1320" s="226" t="s">
        <v>6291</v>
      </c>
      <c r="B1320" s="28">
        <v>45904</v>
      </c>
      <c r="C1320" s="25">
        <v>2124</v>
      </c>
      <c r="D1320" s="13" t="s">
        <v>1666</v>
      </c>
      <c r="E1320" s="228"/>
      <c r="F1320" s="109" t="s">
        <v>4431</v>
      </c>
      <c r="G1320" s="24"/>
      <c r="H1320" s="230">
        <v>4.5</v>
      </c>
      <c r="I1320" s="220">
        <v>596000</v>
      </c>
      <c r="J1320" s="220">
        <f>I1320*0.1</f>
        <v>59600</v>
      </c>
      <c r="K1320" s="220">
        <v>0</v>
      </c>
      <c r="L1320" s="220">
        <v>8140</v>
      </c>
      <c r="M1320" s="220">
        <v>13750</v>
      </c>
      <c r="N1320" s="220">
        <f>SUM(I1320:M1321)</f>
        <v>677490</v>
      </c>
      <c r="O1320" s="224"/>
      <c r="P1320" s="110" t="s">
        <v>4432</v>
      </c>
      <c r="Q1320" s="15" t="s">
        <v>19</v>
      </c>
      <c r="R1320" s="205"/>
      <c r="S1320" s="189"/>
      <c r="T1320" s="114"/>
      <c r="U1320" s="21"/>
      <c r="V1320" s="115">
        <v>46050</v>
      </c>
      <c r="W1320" s="116">
        <v>1002</v>
      </c>
      <c r="X1320" s="220">
        <v>605000</v>
      </c>
      <c r="Y1320" s="220">
        <f>X1320*0.1</f>
        <v>60500</v>
      </c>
      <c r="Z1320" s="220">
        <v>8140</v>
      </c>
      <c r="AA1320" s="220">
        <f>SUM(X1320:Z1320)</f>
        <v>673640</v>
      </c>
      <c r="AB1320" s="222">
        <v>46055</v>
      </c>
    </row>
    <row r="1321" spans="1:28" ht="17.100000000000001" customHeight="1" thickBot="1">
      <c r="A1321" s="227"/>
      <c r="B1321" s="27" t="s">
        <v>3228</v>
      </c>
      <c r="C1321" s="27">
        <v>2109</v>
      </c>
      <c r="D1321" s="14" t="s">
        <v>2753</v>
      </c>
      <c r="E1321" s="229"/>
      <c r="F1321" s="117" t="s">
        <v>4433</v>
      </c>
      <c r="G1321" s="26">
        <v>49360</v>
      </c>
      <c r="H1321" s="231"/>
      <c r="I1321" s="221"/>
      <c r="J1321" s="221"/>
      <c r="K1321" s="221"/>
      <c r="L1321" s="221"/>
      <c r="M1321" s="221"/>
      <c r="N1321" s="221"/>
      <c r="O1321" s="225"/>
      <c r="P1321" s="118" t="s">
        <v>2870</v>
      </c>
      <c r="Q1321" s="16" t="s">
        <v>20</v>
      </c>
      <c r="R1321" s="17" t="s">
        <v>4412</v>
      </c>
      <c r="S1321" s="121"/>
      <c r="T1321" s="122"/>
      <c r="U1321" s="22"/>
      <c r="V1321" s="123" t="s">
        <v>2747</v>
      </c>
      <c r="W1321" s="122">
        <v>2032</v>
      </c>
      <c r="X1321" s="221"/>
      <c r="Y1321" s="221"/>
      <c r="Z1321" s="221"/>
      <c r="AA1321" s="221"/>
      <c r="AB1321" s="223"/>
    </row>
    <row r="1322" spans="1:28" ht="17.100000000000001" customHeight="1" thickTop="1">
      <c r="A1322" s="226" t="s">
        <v>6292</v>
      </c>
      <c r="B1322" s="28">
        <v>45904</v>
      </c>
      <c r="C1322" s="25">
        <v>2124</v>
      </c>
      <c r="D1322" s="13" t="s">
        <v>1909</v>
      </c>
      <c r="E1322" s="228"/>
      <c r="F1322" s="109" t="s">
        <v>4434</v>
      </c>
      <c r="G1322" s="24" t="s">
        <v>4255</v>
      </c>
      <c r="H1322" s="230">
        <v>6</v>
      </c>
      <c r="I1322" s="220">
        <v>1080000</v>
      </c>
      <c r="J1322" s="220">
        <f>I1322*0.1</f>
        <v>108000</v>
      </c>
      <c r="K1322" s="220">
        <v>0</v>
      </c>
      <c r="L1322" s="220">
        <v>6320</v>
      </c>
      <c r="M1322" s="220">
        <v>13750</v>
      </c>
      <c r="N1322" s="220">
        <f>SUM(I1322:M1323)</f>
        <v>1208070</v>
      </c>
      <c r="O1322" s="224"/>
      <c r="P1322" s="110" t="s">
        <v>4435</v>
      </c>
      <c r="Q1322" s="15" t="s">
        <v>19</v>
      </c>
      <c r="R1322" s="205"/>
      <c r="S1322" s="189" t="s">
        <v>1271</v>
      </c>
      <c r="T1322" s="114"/>
      <c r="U1322" s="21" t="s">
        <v>7567</v>
      </c>
      <c r="V1322" s="115">
        <v>45969</v>
      </c>
      <c r="W1322" s="116">
        <v>1275</v>
      </c>
      <c r="X1322" s="220">
        <v>1020000</v>
      </c>
      <c r="Y1322" s="220">
        <f>X1322*0.1</f>
        <v>102000</v>
      </c>
      <c r="Z1322" s="220">
        <v>6320</v>
      </c>
      <c r="AA1322" s="220">
        <f>SUM(X1322:Z1322)</f>
        <v>1128320</v>
      </c>
      <c r="AB1322" s="222">
        <v>45972</v>
      </c>
    </row>
    <row r="1323" spans="1:28" ht="17.100000000000001" customHeight="1" thickBot="1">
      <c r="A1323" s="227"/>
      <c r="B1323" s="27" t="s">
        <v>3228</v>
      </c>
      <c r="C1323" s="27">
        <v>2525</v>
      </c>
      <c r="D1323" s="14" t="s">
        <v>4436</v>
      </c>
      <c r="E1323" s="229"/>
      <c r="F1323" s="117" t="s">
        <v>4437</v>
      </c>
      <c r="G1323" s="26">
        <v>5</v>
      </c>
      <c r="H1323" s="231"/>
      <c r="I1323" s="221"/>
      <c r="J1323" s="221"/>
      <c r="K1323" s="221"/>
      <c r="L1323" s="221"/>
      <c r="M1323" s="221"/>
      <c r="N1323" s="221"/>
      <c r="O1323" s="225"/>
      <c r="P1323" s="118" t="s">
        <v>4438</v>
      </c>
      <c r="Q1323" s="16" t="s">
        <v>20</v>
      </c>
      <c r="R1323" s="17" t="s">
        <v>2543</v>
      </c>
      <c r="S1323" s="121" t="s">
        <v>1722</v>
      </c>
      <c r="T1323" s="122"/>
      <c r="U1323" s="22"/>
      <c r="V1323" s="123" t="s">
        <v>7160</v>
      </c>
      <c r="W1323" s="122">
        <v>60451</v>
      </c>
      <c r="X1323" s="221"/>
      <c r="Y1323" s="221"/>
      <c r="Z1323" s="221"/>
      <c r="AA1323" s="221"/>
      <c r="AB1323" s="223"/>
    </row>
    <row r="1324" spans="1:28" ht="17.100000000000001" customHeight="1" thickTop="1">
      <c r="A1324" s="226" t="s">
        <v>6293</v>
      </c>
      <c r="B1324" s="28">
        <v>45904</v>
      </c>
      <c r="C1324" s="25">
        <v>2124</v>
      </c>
      <c r="D1324" s="13" t="s">
        <v>3769</v>
      </c>
      <c r="E1324" s="228"/>
      <c r="F1324" s="109" t="s">
        <v>4439</v>
      </c>
      <c r="G1324" s="24"/>
      <c r="H1324" s="230">
        <v>4.5</v>
      </c>
      <c r="I1324" s="220">
        <v>1305000</v>
      </c>
      <c r="J1324" s="220">
        <f>I1324*0.1</f>
        <v>130500</v>
      </c>
      <c r="K1324" s="220">
        <v>0</v>
      </c>
      <c r="L1324" s="220">
        <v>6830</v>
      </c>
      <c r="M1324" s="220">
        <v>13750</v>
      </c>
      <c r="N1324" s="220">
        <f>SUM(I1324:M1325)</f>
        <v>1456080</v>
      </c>
      <c r="O1324" s="224"/>
      <c r="P1324" s="110" t="s">
        <v>4440</v>
      </c>
      <c r="Q1324" s="15" t="s">
        <v>19</v>
      </c>
      <c r="R1324" s="205"/>
      <c r="S1324" s="189"/>
      <c r="T1324" s="114"/>
      <c r="U1324" s="21"/>
      <c r="V1324" s="115">
        <v>45951</v>
      </c>
      <c r="W1324" s="116">
        <v>1914</v>
      </c>
      <c r="X1324" s="220">
        <v>1289000</v>
      </c>
      <c r="Y1324" s="220">
        <f>X1324*0.1</f>
        <v>128900</v>
      </c>
      <c r="Z1324" s="220">
        <v>6830</v>
      </c>
      <c r="AA1324" s="220">
        <f>SUM(X1324:Z1324)</f>
        <v>1424730</v>
      </c>
      <c r="AB1324" s="222">
        <v>45957</v>
      </c>
    </row>
    <row r="1325" spans="1:28" ht="17.100000000000001" customHeight="1" thickBot="1">
      <c r="A1325" s="227"/>
      <c r="B1325" s="27" t="s">
        <v>3228</v>
      </c>
      <c r="C1325" s="27">
        <v>2599</v>
      </c>
      <c r="D1325" s="14" t="s">
        <v>2559</v>
      </c>
      <c r="E1325" s="229"/>
      <c r="F1325" s="117" t="s">
        <v>4441</v>
      </c>
      <c r="G1325" s="26">
        <v>43467</v>
      </c>
      <c r="H1325" s="231"/>
      <c r="I1325" s="221"/>
      <c r="J1325" s="221"/>
      <c r="K1325" s="221"/>
      <c r="L1325" s="221"/>
      <c r="M1325" s="221"/>
      <c r="N1325" s="221"/>
      <c r="O1325" s="225"/>
      <c r="P1325" s="118" t="s">
        <v>2404</v>
      </c>
      <c r="Q1325" s="16" t="s">
        <v>20</v>
      </c>
      <c r="R1325" s="17" t="s">
        <v>4412</v>
      </c>
      <c r="S1325" s="121"/>
      <c r="T1325" s="122" t="s">
        <v>8728</v>
      </c>
      <c r="U1325" s="22"/>
      <c r="V1325" s="123" t="s">
        <v>2103</v>
      </c>
      <c r="W1325" s="122">
        <v>3069</v>
      </c>
      <c r="X1325" s="221"/>
      <c r="Y1325" s="221"/>
      <c r="Z1325" s="221"/>
      <c r="AA1325" s="221"/>
      <c r="AB1325" s="223"/>
    </row>
    <row r="1326" spans="1:28" ht="17.100000000000001" customHeight="1" thickTop="1">
      <c r="A1326" s="226" t="s">
        <v>6294</v>
      </c>
      <c r="B1326" s="28">
        <v>45904</v>
      </c>
      <c r="C1326" s="25">
        <v>2124</v>
      </c>
      <c r="D1326" s="13" t="s">
        <v>1973</v>
      </c>
      <c r="E1326" s="228"/>
      <c r="F1326" s="109" t="s">
        <v>4442</v>
      </c>
      <c r="G1326" s="24"/>
      <c r="H1326" s="230">
        <v>4</v>
      </c>
      <c r="I1326" s="220">
        <v>1306000</v>
      </c>
      <c r="J1326" s="220">
        <f>I1326*0.1</f>
        <v>130600</v>
      </c>
      <c r="K1326" s="220">
        <v>0</v>
      </c>
      <c r="L1326" s="220">
        <v>8130</v>
      </c>
      <c r="M1326" s="220">
        <v>13750</v>
      </c>
      <c r="N1326" s="220">
        <f>SUM(I1326:M1327)</f>
        <v>1458480</v>
      </c>
      <c r="O1326" s="224"/>
      <c r="P1326" s="110" t="s">
        <v>4443</v>
      </c>
      <c r="Q1326" s="15" t="s">
        <v>19</v>
      </c>
      <c r="R1326" s="205"/>
      <c r="S1326" s="189"/>
      <c r="T1326" s="114"/>
      <c r="U1326" s="21"/>
      <c r="V1326" s="115">
        <v>45931</v>
      </c>
      <c r="W1326" s="116">
        <v>986</v>
      </c>
      <c r="X1326" s="220">
        <v>1380000</v>
      </c>
      <c r="Y1326" s="220">
        <f>X1326*0.1</f>
        <v>138000</v>
      </c>
      <c r="Z1326" s="220">
        <v>8130</v>
      </c>
      <c r="AA1326" s="220">
        <f>SUM(X1326:Z1326)</f>
        <v>1526130</v>
      </c>
      <c r="AB1326" s="222">
        <v>45939</v>
      </c>
    </row>
    <row r="1327" spans="1:28" ht="17.100000000000001" customHeight="1" thickBot="1">
      <c r="A1327" s="227"/>
      <c r="B1327" s="27" t="s">
        <v>3228</v>
      </c>
      <c r="C1327" s="27">
        <v>2604</v>
      </c>
      <c r="D1327" s="14" t="s">
        <v>3731</v>
      </c>
      <c r="E1327" s="229"/>
      <c r="F1327" s="117" t="s">
        <v>4444</v>
      </c>
      <c r="G1327" s="26">
        <v>21437</v>
      </c>
      <c r="H1327" s="231"/>
      <c r="I1327" s="221"/>
      <c r="J1327" s="221"/>
      <c r="K1327" s="221"/>
      <c r="L1327" s="221"/>
      <c r="M1327" s="221"/>
      <c r="N1327" s="221"/>
      <c r="O1327" s="225"/>
      <c r="P1327" s="118" t="s">
        <v>2404</v>
      </c>
      <c r="Q1327" s="16" t="s">
        <v>20</v>
      </c>
      <c r="R1327" s="17" t="s">
        <v>4412</v>
      </c>
      <c r="S1327" s="121" t="s">
        <v>2236</v>
      </c>
      <c r="T1327" s="122"/>
      <c r="U1327" s="22"/>
      <c r="V1327" s="123" t="s">
        <v>7161</v>
      </c>
      <c r="W1327" s="122">
        <v>2062</v>
      </c>
      <c r="X1327" s="221"/>
      <c r="Y1327" s="221"/>
      <c r="Z1327" s="221"/>
      <c r="AA1327" s="221"/>
      <c r="AB1327" s="223"/>
    </row>
    <row r="1328" spans="1:28" ht="17.100000000000001" customHeight="1" thickTop="1">
      <c r="A1328" s="226" t="s">
        <v>6295</v>
      </c>
      <c r="B1328" s="28">
        <v>45904</v>
      </c>
      <c r="C1328" s="25">
        <v>2124</v>
      </c>
      <c r="D1328" s="13" t="s">
        <v>2288</v>
      </c>
      <c r="E1328" s="228"/>
      <c r="F1328" s="109" t="s">
        <v>4445</v>
      </c>
      <c r="G1328" s="24" t="s">
        <v>4446</v>
      </c>
      <c r="H1328" s="230">
        <v>4.5</v>
      </c>
      <c r="I1328" s="220">
        <v>2132000</v>
      </c>
      <c r="J1328" s="220">
        <f>I1328*0.1</f>
        <v>213200</v>
      </c>
      <c r="K1328" s="220">
        <f>17910+1790</f>
        <v>19700</v>
      </c>
      <c r="L1328" s="220">
        <v>15880</v>
      </c>
      <c r="M1328" s="220">
        <v>13750</v>
      </c>
      <c r="N1328" s="220">
        <f>SUM(I1328:M1329)</f>
        <v>2394530</v>
      </c>
      <c r="O1328" s="224"/>
      <c r="P1328" s="110" t="s">
        <v>4447</v>
      </c>
      <c r="Q1328" s="15" t="s">
        <v>19</v>
      </c>
      <c r="R1328" s="205"/>
      <c r="S1328" s="189"/>
      <c r="T1328" s="114"/>
      <c r="U1328" s="21"/>
      <c r="V1328" s="115">
        <v>45934</v>
      </c>
      <c r="W1328" s="116">
        <v>1270</v>
      </c>
      <c r="X1328" s="220">
        <v>2275000</v>
      </c>
      <c r="Y1328" s="220">
        <f>X1328*0.1</f>
        <v>227500</v>
      </c>
      <c r="Z1328" s="220">
        <v>15880</v>
      </c>
      <c r="AA1328" s="220">
        <f>SUM(X1328:Z1328)</f>
        <v>2518380</v>
      </c>
      <c r="AB1328" s="222">
        <v>45938</v>
      </c>
    </row>
    <row r="1329" spans="1:28" ht="17.100000000000001" customHeight="1" thickBot="1">
      <c r="A1329" s="227"/>
      <c r="B1329" s="27" t="s">
        <v>3228</v>
      </c>
      <c r="C1329" s="27">
        <v>71325</v>
      </c>
      <c r="D1329" s="14" t="s">
        <v>1568</v>
      </c>
      <c r="E1329" s="229"/>
      <c r="F1329" s="117" t="s">
        <v>4448</v>
      </c>
      <c r="G1329" s="26">
        <v>57433</v>
      </c>
      <c r="H1329" s="231"/>
      <c r="I1329" s="221"/>
      <c r="J1329" s="221"/>
      <c r="K1329" s="221"/>
      <c r="L1329" s="221"/>
      <c r="M1329" s="221"/>
      <c r="N1329" s="221"/>
      <c r="O1329" s="225"/>
      <c r="P1329" s="118" t="s">
        <v>4449</v>
      </c>
      <c r="Q1329" s="16" t="s">
        <v>20</v>
      </c>
      <c r="R1329" s="17" t="s">
        <v>4412</v>
      </c>
      <c r="S1329" s="121"/>
      <c r="T1329" s="122"/>
      <c r="U1329" s="22"/>
      <c r="V1329" s="123" t="s">
        <v>7160</v>
      </c>
      <c r="W1329" s="122">
        <v>80044</v>
      </c>
      <c r="X1329" s="221"/>
      <c r="Y1329" s="221"/>
      <c r="Z1329" s="221"/>
      <c r="AA1329" s="221"/>
      <c r="AB1329" s="223"/>
    </row>
    <row r="1330" spans="1:28" ht="17.100000000000001" customHeight="1" thickTop="1">
      <c r="A1330" s="226" t="s">
        <v>6296</v>
      </c>
      <c r="B1330" s="28">
        <v>45905</v>
      </c>
      <c r="C1330" s="25">
        <v>2100</v>
      </c>
      <c r="D1330" s="13" t="s">
        <v>1810</v>
      </c>
      <c r="E1330" s="228"/>
      <c r="F1330" s="109" t="s">
        <v>4450</v>
      </c>
      <c r="G1330" s="24" t="s">
        <v>2457</v>
      </c>
      <c r="H1330" s="230">
        <v>4.5</v>
      </c>
      <c r="I1330" s="220">
        <v>1175000</v>
      </c>
      <c r="J1330" s="220">
        <f>I1330*0.1</f>
        <v>117500</v>
      </c>
      <c r="K1330" s="220">
        <v>0</v>
      </c>
      <c r="L1330" s="220">
        <v>6470</v>
      </c>
      <c r="M1330" s="220">
        <v>16500</v>
      </c>
      <c r="N1330" s="220">
        <f>SUM(I1330:M1331)</f>
        <v>1315470</v>
      </c>
      <c r="O1330" s="224"/>
      <c r="P1330" s="110" t="s">
        <v>4451</v>
      </c>
      <c r="Q1330" s="15" t="s">
        <v>19</v>
      </c>
      <c r="R1330" s="205"/>
      <c r="S1330" s="189" t="s">
        <v>25447</v>
      </c>
      <c r="T1330" s="114"/>
      <c r="U1330" s="21"/>
      <c r="V1330" s="115">
        <v>45948</v>
      </c>
      <c r="W1330" s="116">
        <v>1272</v>
      </c>
      <c r="X1330" s="220">
        <v>1220000</v>
      </c>
      <c r="Y1330" s="220">
        <f>X1330*0.1</f>
        <v>122000</v>
      </c>
      <c r="Z1330" s="220">
        <v>6470</v>
      </c>
      <c r="AA1330" s="220">
        <f>SUM(X1330:Z1330)</f>
        <v>1348470</v>
      </c>
      <c r="AB1330" s="222">
        <v>45951</v>
      </c>
    </row>
    <row r="1331" spans="1:28" ht="17.100000000000001" customHeight="1" thickBot="1">
      <c r="A1331" s="227"/>
      <c r="B1331" s="27" t="s">
        <v>1536</v>
      </c>
      <c r="C1331" s="27">
        <v>55220</v>
      </c>
      <c r="D1331" s="14" t="s">
        <v>273</v>
      </c>
      <c r="E1331" s="229"/>
      <c r="F1331" s="117" t="s">
        <v>4452</v>
      </c>
      <c r="G1331" s="26">
        <v>20875</v>
      </c>
      <c r="H1331" s="231"/>
      <c r="I1331" s="221"/>
      <c r="J1331" s="221"/>
      <c r="K1331" s="221"/>
      <c r="L1331" s="221"/>
      <c r="M1331" s="221"/>
      <c r="N1331" s="221"/>
      <c r="O1331" s="225"/>
      <c r="P1331" s="118" t="s">
        <v>4453</v>
      </c>
      <c r="Q1331" s="16" t="s">
        <v>20</v>
      </c>
      <c r="R1331" s="17" t="s">
        <v>2091</v>
      </c>
      <c r="S1331" s="121" t="s">
        <v>4454</v>
      </c>
      <c r="T1331" s="122"/>
      <c r="U1331" s="22"/>
      <c r="V1331" s="123" t="s">
        <v>7160</v>
      </c>
      <c r="W1331" s="122">
        <v>60080</v>
      </c>
      <c r="X1331" s="221"/>
      <c r="Y1331" s="221"/>
      <c r="Z1331" s="221"/>
      <c r="AA1331" s="221"/>
      <c r="AB1331" s="223"/>
    </row>
    <row r="1332" spans="1:28" ht="17.100000000000001" customHeight="1" thickTop="1">
      <c r="A1332" s="226" t="s">
        <v>6297</v>
      </c>
      <c r="B1332" s="28">
        <v>45905</v>
      </c>
      <c r="C1332" s="25">
        <v>2100</v>
      </c>
      <c r="D1332" s="13" t="s">
        <v>4050</v>
      </c>
      <c r="E1332" s="228"/>
      <c r="F1332" s="109" t="s">
        <v>4455</v>
      </c>
      <c r="G1332" s="24" t="s">
        <v>2871</v>
      </c>
      <c r="H1332" s="230">
        <v>4.5</v>
      </c>
      <c r="I1332" s="220">
        <v>2240000</v>
      </c>
      <c r="J1332" s="220">
        <f>I1332*0.1</f>
        <v>224000</v>
      </c>
      <c r="K1332" s="220">
        <f>19700+1970</f>
        <v>21670</v>
      </c>
      <c r="L1332" s="220">
        <v>19090</v>
      </c>
      <c r="M1332" s="220">
        <v>16500</v>
      </c>
      <c r="N1332" s="220">
        <f>SUM(I1332:M1333)</f>
        <v>2521260</v>
      </c>
      <c r="O1332" s="224"/>
      <c r="P1332" s="110" t="s">
        <v>4456</v>
      </c>
      <c r="Q1332" s="15" t="s">
        <v>19</v>
      </c>
      <c r="R1332" s="205"/>
      <c r="S1332" s="189" t="s">
        <v>1271</v>
      </c>
      <c r="T1332" s="114"/>
      <c r="U1332" s="21" t="s">
        <v>9372</v>
      </c>
      <c r="V1332" s="115"/>
      <c r="W1332" s="116"/>
      <c r="X1332" s="220"/>
      <c r="Y1332" s="220">
        <f>X1332*0.1</f>
        <v>0</v>
      </c>
      <c r="Z1332" s="220"/>
      <c r="AA1332" s="220">
        <f>SUM(X1332:Z1332)</f>
        <v>0</v>
      </c>
      <c r="AB1332" s="222"/>
    </row>
    <row r="1333" spans="1:28" ht="17.100000000000001" customHeight="1" thickBot="1">
      <c r="A1333" s="227"/>
      <c r="B1333" s="27" t="s">
        <v>1536</v>
      </c>
      <c r="C1333" s="27">
        <v>58408</v>
      </c>
      <c r="D1333" s="14" t="s">
        <v>1568</v>
      </c>
      <c r="E1333" s="229"/>
      <c r="F1333" s="117" t="s">
        <v>4457</v>
      </c>
      <c r="G1333" s="26">
        <v>28458</v>
      </c>
      <c r="H1333" s="231"/>
      <c r="I1333" s="221"/>
      <c r="J1333" s="221"/>
      <c r="K1333" s="221"/>
      <c r="L1333" s="221"/>
      <c r="M1333" s="221"/>
      <c r="N1333" s="221"/>
      <c r="O1333" s="225"/>
      <c r="P1333" s="118" t="s">
        <v>1586</v>
      </c>
      <c r="Q1333" s="16" t="s">
        <v>20</v>
      </c>
      <c r="R1333" s="17" t="s">
        <v>4412</v>
      </c>
      <c r="S1333" s="121" t="s">
        <v>1731</v>
      </c>
      <c r="T1333" s="122"/>
      <c r="U1333" s="22"/>
      <c r="V1333" s="123"/>
      <c r="W1333" s="122"/>
      <c r="X1333" s="221"/>
      <c r="Y1333" s="221"/>
      <c r="Z1333" s="221"/>
      <c r="AA1333" s="221"/>
      <c r="AB1333" s="223"/>
    </row>
    <row r="1334" spans="1:28" ht="17.100000000000001" customHeight="1" thickTop="1">
      <c r="A1334" s="226" t="s">
        <v>6298</v>
      </c>
      <c r="B1334" s="28">
        <v>45905</v>
      </c>
      <c r="C1334" s="25">
        <v>2100</v>
      </c>
      <c r="D1334" s="13" t="s">
        <v>2107</v>
      </c>
      <c r="E1334" s="228"/>
      <c r="F1334" s="109" t="s">
        <v>4458</v>
      </c>
      <c r="G1334" s="24" t="s">
        <v>4459</v>
      </c>
      <c r="H1334" s="230">
        <v>4.5</v>
      </c>
      <c r="I1334" s="220">
        <v>754000</v>
      </c>
      <c r="J1334" s="220">
        <f>I1334*0.1</f>
        <v>75400</v>
      </c>
      <c r="K1334" s="220">
        <f>17200+1720</f>
        <v>18920</v>
      </c>
      <c r="L1334" s="220">
        <v>17250</v>
      </c>
      <c r="M1334" s="220">
        <v>16500</v>
      </c>
      <c r="N1334" s="220">
        <f>SUM(I1334:M1335)</f>
        <v>882070</v>
      </c>
      <c r="O1334" s="224"/>
      <c r="P1334" s="110" t="s">
        <v>4460</v>
      </c>
      <c r="Q1334" s="15" t="s">
        <v>19</v>
      </c>
      <c r="R1334" s="205"/>
      <c r="S1334" s="189" t="s">
        <v>758</v>
      </c>
      <c r="T1334" s="114"/>
      <c r="U1334" s="21" t="s">
        <v>9374</v>
      </c>
      <c r="V1334" s="115"/>
      <c r="W1334" s="116"/>
      <c r="X1334" s="220"/>
      <c r="Y1334" s="220">
        <f>X1334*0.1</f>
        <v>0</v>
      </c>
      <c r="Z1334" s="220"/>
      <c r="AA1334" s="220">
        <f>SUM(X1334:Z1334)</f>
        <v>0</v>
      </c>
      <c r="AB1334" s="222"/>
    </row>
    <row r="1335" spans="1:28" ht="17.100000000000001" customHeight="1" thickBot="1">
      <c r="A1335" s="227"/>
      <c r="B1335" s="27" t="s">
        <v>1536</v>
      </c>
      <c r="C1335" s="27">
        <v>58431</v>
      </c>
      <c r="D1335" s="14" t="s">
        <v>1797</v>
      </c>
      <c r="E1335" s="229"/>
      <c r="F1335" s="117" t="s">
        <v>22819</v>
      </c>
      <c r="G1335" s="26">
        <v>35298</v>
      </c>
      <c r="H1335" s="231"/>
      <c r="I1335" s="221"/>
      <c r="J1335" s="221"/>
      <c r="K1335" s="221"/>
      <c r="L1335" s="221"/>
      <c r="M1335" s="221"/>
      <c r="N1335" s="221"/>
      <c r="O1335" s="225"/>
      <c r="P1335" s="118" t="s">
        <v>4461</v>
      </c>
      <c r="Q1335" s="16" t="s">
        <v>20</v>
      </c>
      <c r="R1335" s="17" t="s">
        <v>4412</v>
      </c>
      <c r="S1335" s="121" t="s">
        <v>1731</v>
      </c>
      <c r="T1335" s="122"/>
      <c r="U1335" s="22"/>
      <c r="V1335" s="123"/>
      <c r="W1335" s="122"/>
      <c r="X1335" s="221"/>
      <c r="Y1335" s="221"/>
      <c r="Z1335" s="221"/>
      <c r="AA1335" s="221"/>
      <c r="AB1335" s="223"/>
    </row>
    <row r="1336" spans="1:28" ht="17.100000000000001" customHeight="1" thickTop="1">
      <c r="A1336" s="226" t="s">
        <v>6299</v>
      </c>
      <c r="B1336" s="28">
        <v>45905</v>
      </c>
      <c r="C1336" s="25">
        <v>2100</v>
      </c>
      <c r="D1336" s="13" t="s">
        <v>4307</v>
      </c>
      <c r="E1336" s="228"/>
      <c r="F1336" s="109" t="s">
        <v>3659</v>
      </c>
      <c r="G1336" s="24" t="s">
        <v>4462</v>
      </c>
      <c r="H1336" s="230">
        <v>4</v>
      </c>
      <c r="I1336" s="220">
        <v>345000</v>
      </c>
      <c r="J1336" s="220">
        <f>I1336*0.1</f>
        <v>34500</v>
      </c>
      <c r="K1336" s="220">
        <v>0</v>
      </c>
      <c r="L1336" s="220">
        <v>9780</v>
      </c>
      <c r="M1336" s="220">
        <v>16500</v>
      </c>
      <c r="N1336" s="220">
        <f>SUM(I1336:M1337)</f>
        <v>405780</v>
      </c>
      <c r="O1336" s="224"/>
      <c r="P1336" s="110" t="s">
        <v>4463</v>
      </c>
      <c r="Q1336" s="15" t="s">
        <v>19</v>
      </c>
      <c r="R1336" s="205"/>
      <c r="S1336" s="189"/>
      <c r="T1336" s="114"/>
      <c r="U1336" s="21"/>
      <c r="V1336" s="115">
        <v>45927</v>
      </c>
      <c r="W1336" s="116">
        <v>1269</v>
      </c>
      <c r="X1336" s="220">
        <v>430000</v>
      </c>
      <c r="Y1336" s="220">
        <f>X1336*0.1</f>
        <v>43000</v>
      </c>
      <c r="Z1336" s="220">
        <v>9780</v>
      </c>
      <c r="AA1336" s="220">
        <f>SUM(X1336:Z1336)</f>
        <v>482780</v>
      </c>
      <c r="AB1336" s="222">
        <v>45937</v>
      </c>
    </row>
    <row r="1337" spans="1:28" ht="17.100000000000001" customHeight="1" thickBot="1">
      <c r="A1337" s="227"/>
      <c r="B1337" s="27" t="s">
        <v>1536</v>
      </c>
      <c r="C1337" s="27">
        <v>85233</v>
      </c>
      <c r="D1337" s="14" t="s">
        <v>2559</v>
      </c>
      <c r="E1337" s="229"/>
      <c r="F1337" s="117" t="s">
        <v>4464</v>
      </c>
      <c r="G1337" s="26">
        <v>54346</v>
      </c>
      <c r="H1337" s="231"/>
      <c r="I1337" s="221"/>
      <c r="J1337" s="221"/>
      <c r="K1337" s="221"/>
      <c r="L1337" s="221"/>
      <c r="M1337" s="221"/>
      <c r="N1337" s="221"/>
      <c r="O1337" s="225"/>
      <c r="P1337" s="118" t="s">
        <v>4465</v>
      </c>
      <c r="Q1337" s="16" t="s">
        <v>20</v>
      </c>
      <c r="R1337" s="17" t="s">
        <v>2543</v>
      </c>
      <c r="S1337" s="121" t="s">
        <v>4466</v>
      </c>
      <c r="T1337" s="122"/>
      <c r="U1337" s="22"/>
      <c r="V1337" s="123" t="s">
        <v>6641</v>
      </c>
      <c r="W1337" s="122">
        <v>60192</v>
      </c>
      <c r="X1337" s="221"/>
      <c r="Y1337" s="221"/>
      <c r="Z1337" s="221"/>
      <c r="AA1337" s="221"/>
      <c r="AB1337" s="223"/>
    </row>
    <row r="1338" spans="1:28" ht="17.100000000000001" customHeight="1" thickTop="1">
      <c r="A1338" s="226" t="s">
        <v>6300</v>
      </c>
      <c r="B1338" s="28">
        <v>45905</v>
      </c>
      <c r="C1338" s="25">
        <v>48</v>
      </c>
      <c r="D1338" s="13" t="s">
        <v>3687</v>
      </c>
      <c r="E1338" s="228"/>
      <c r="F1338" s="109" t="s">
        <v>4467</v>
      </c>
      <c r="G1338" s="24" t="s">
        <v>2953</v>
      </c>
      <c r="H1338" s="230">
        <v>4</v>
      </c>
      <c r="I1338" s="220">
        <v>325000</v>
      </c>
      <c r="J1338" s="220">
        <f>I1338*0.1</f>
        <v>32500</v>
      </c>
      <c r="K1338" s="220">
        <v>0</v>
      </c>
      <c r="L1338" s="220">
        <v>8490</v>
      </c>
      <c r="M1338" s="220">
        <v>33000</v>
      </c>
      <c r="N1338" s="220">
        <f>SUM(I1338:M1339)</f>
        <v>398990</v>
      </c>
      <c r="O1338" s="224"/>
      <c r="P1338" s="110" t="s">
        <v>8284</v>
      </c>
      <c r="Q1338" s="15" t="s">
        <v>19</v>
      </c>
      <c r="R1338" s="205"/>
      <c r="S1338" s="189" t="s">
        <v>1361</v>
      </c>
      <c r="T1338" s="114"/>
      <c r="U1338" s="21"/>
      <c r="V1338" s="115">
        <v>45951</v>
      </c>
      <c r="W1338" s="116">
        <v>1914</v>
      </c>
      <c r="X1338" s="220">
        <v>460000</v>
      </c>
      <c r="Y1338" s="220">
        <f>X1338*0.1</f>
        <v>46000</v>
      </c>
      <c r="Z1338" s="220">
        <v>8490</v>
      </c>
      <c r="AA1338" s="220">
        <f>SUM(X1338:Z1338)</f>
        <v>514490</v>
      </c>
      <c r="AB1338" s="222">
        <v>45957</v>
      </c>
    </row>
    <row r="1339" spans="1:28" ht="17.100000000000001" customHeight="1" thickBot="1">
      <c r="A1339" s="227"/>
      <c r="B1339" s="27" t="s">
        <v>4468</v>
      </c>
      <c r="C1339" s="27">
        <v>2018</v>
      </c>
      <c r="D1339" s="14" t="s">
        <v>131</v>
      </c>
      <c r="E1339" s="229"/>
      <c r="F1339" s="117" t="s">
        <v>4469</v>
      </c>
      <c r="G1339" s="26">
        <v>35879</v>
      </c>
      <c r="H1339" s="231"/>
      <c r="I1339" s="221"/>
      <c r="J1339" s="221"/>
      <c r="K1339" s="221"/>
      <c r="L1339" s="221"/>
      <c r="M1339" s="221"/>
      <c r="N1339" s="221"/>
      <c r="O1339" s="225"/>
      <c r="P1339" s="118" t="s">
        <v>8285</v>
      </c>
      <c r="Q1339" s="16" t="s">
        <v>20</v>
      </c>
      <c r="R1339" s="17" t="s">
        <v>1630</v>
      </c>
      <c r="S1339" s="121" t="s">
        <v>1731</v>
      </c>
      <c r="T1339" s="122"/>
      <c r="U1339" s="22"/>
      <c r="V1339" s="123" t="s">
        <v>2103</v>
      </c>
      <c r="W1339" s="122">
        <v>3197</v>
      </c>
      <c r="X1339" s="221"/>
      <c r="Y1339" s="221"/>
      <c r="Z1339" s="221"/>
      <c r="AA1339" s="221"/>
      <c r="AB1339" s="223"/>
    </row>
    <row r="1340" spans="1:28" ht="17.100000000000001" customHeight="1" thickTop="1">
      <c r="A1340" s="226" t="s">
        <v>6301</v>
      </c>
      <c r="B1340" s="28">
        <v>45905</v>
      </c>
      <c r="C1340" s="25"/>
      <c r="D1340" s="13" t="s">
        <v>1846</v>
      </c>
      <c r="E1340" s="228"/>
      <c r="F1340" s="109" t="s">
        <v>4470</v>
      </c>
      <c r="G1340" s="24" t="s">
        <v>4471</v>
      </c>
      <c r="H1340" s="230">
        <v>3.5</v>
      </c>
      <c r="I1340" s="220">
        <f>2321000/1.1</f>
        <v>2110000</v>
      </c>
      <c r="J1340" s="220">
        <f>I1340*0.1</f>
        <v>211000</v>
      </c>
      <c r="K1340" s="220">
        <v>22500</v>
      </c>
      <c r="L1340" s="220">
        <v>16550</v>
      </c>
      <c r="M1340" s="220">
        <v>113025</v>
      </c>
      <c r="N1340" s="220">
        <f>SUM(I1340:M1341)</f>
        <v>2473075</v>
      </c>
      <c r="O1340" s="224"/>
      <c r="P1340" s="110" t="s">
        <v>7958</v>
      </c>
      <c r="Q1340" s="15" t="s">
        <v>19</v>
      </c>
      <c r="R1340" s="205"/>
      <c r="S1340" s="189" t="s">
        <v>1361</v>
      </c>
      <c r="T1340" s="114"/>
      <c r="U1340" s="21"/>
      <c r="V1340" s="115">
        <v>45934</v>
      </c>
      <c r="W1340" s="116">
        <v>1270</v>
      </c>
      <c r="X1340" s="220">
        <v>2285000</v>
      </c>
      <c r="Y1340" s="220">
        <f>X1340*0.1</f>
        <v>228500</v>
      </c>
      <c r="Z1340" s="220">
        <v>16550</v>
      </c>
      <c r="AA1340" s="220">
        <f>SUM(X1340:Z1340)</f>
        <v>2530050</v>
      </c>
      <c r="AB1340" s="222">
        <v>45944</v>
      </c>
    </row>
    <row r="1341" spans="1:28" ht="17.100000000000001" customHeight="1" thickBot="1">
      <c r="A1341" s="227"/>
      <c r="B1341" s="27" t="s">
        <v>1708</v>
      </c>
      <c r="C1341" s="27" t="s">
        <v>4472</v>
      </c>
      <c r="D1341" s="14" t="s">
        <v>273</v>
      </c>
      <c r="E1341" s="229"/>
      <c r="F1341" s="117" t="s">
        <v>4473</v>
      </c>
      <c r="G1341" s="26">
        <v>41400</v>
      </c>
      <c r="H1341" s="231"/>
      <c r="I1341" s="221"/>
      <c r="J1341" s="221"/>
      <c r="K1341" s="221"/>
      <c r="L1341" s="221"/>
      <c r="M1341" s="221"/>
      <c r="N1341" s="221"/>
      <c r="O1341" s="225"/>
      <c r="P1341" s="118" t="s">
        <v>1664</v>
      </c>
      <c r="Q1341" s="16" t="s">
        <v>20</v>
      </c>
      <c r="R1341" s="17" t="s">
        <v>3913</v>
      </c>
      <c r="S1341" s="121" t="s">
        <v>7959</v>
      </c>
      <c r="T1341" s="122"/>
      <c r="U1341" s="22"/>
      <c r="V1341" s="123" t="s">
        <v>7160</v>
      </c>
      <c r="W1341" s="122">
        <v>37759</v>
      </c>
      <c r="X1341" s="221"/>
      <c r="Y1341" s="221"/>
      <c r="Z1341" s="221"/>
      <c r="AA1341" s="221"/>
      <c r="AB1341" s="223"/>
    </row>
    <row r="1342" spans="1:28" ht="17.100000000000001" customHeight="1" thickTop="1">
      <c r="A1342" s="226" t="s">
        <v>6302</v>
      </c>
      <c r="B1342" s="28">
        <v>45905</v>
      </c>
      <c r="C1342" s="25">
        <v>1384</v>
      </c>
      <c r="D1342" s="13" t="s">
        <v>2920</v>
      </c>
      <c r="E1342" s="228"/>
      <c r="F1342" s="109" t="s">
        <v>4474</v>
      </c>
      <c r="G1342" s="24" t="s">
        <v>3434</v>
      </c>
      <c r="H1342" s="230">
        <v>4.5</v>
      </c>
      <c r="I1342" s="220">
        <v>1102000</v>
      </c>
      <c r="J1342" s="220">
        <f>I1342*0.1</f>
        <v>110200</v>
      </c>
      <c r="K1342" s="220">
        <v>0</v>
      </c>
      <c r="L1342" s="220">
        <v>8740</v>
      </c>
      <c r="M1342" s="220">
        <v>13200</v>
      </c>
      <c r="N1342" s="220">
        <f>SUM(I1342:M1343)</f>
        <v>1234140</v>
      </c>
      <c r="O1342" s="224"/>
      <c r="P1342" s="110" t="s">
        <v>4475</v>
      </c>
      <c r="Q1342" s="15" t="s">
        <v>19</v>
      </c>
      <c r="R1342" s="205"/>
      <c r="S1342" s="189"/>
      <c r="T1342" s="114"/>
      <c r="U1342" s="21" t="s">
        <v>7291</v>
      </c>
      <c r="V1342" s="115">
        <v>45931</v>
      </c>
      <c r="W1342" s="116">
        <v>986</v>
      </c>
      <c r="X1342" s="220">
        <v>1200000</v>
      </c>
      <c r="Y1342" s="220">
        <f>X1342*0.1</f>
        <v>120000</v>
      </c>
      <c r="Z1342" s="220">
        <v>8740</v>
      </c>
      <c r="AA1342" s="220">
        <f>SUM(X1342:Z1342)</f>
        <v>1328740</v>
      </c>
      <c r="AB1342" s="222">
        <v>45939</v>
      </c>
    </row>
    <row r="1343" spans="1:28" ht="17.100000000000001" customHeight="1" thickBot="1">
      <c r="A1343" s="227"/>
      <c r="B1343" s="27" t="s">
        <v>2597</v>
      </c>
      <c r="C1343" s="27">
        <v>7502</v>
      </c>
      <c r="D1343" s="14" t="s">
        <v>1568</v>
      </c>
      <c r="E1343" s="229"/>
      <c r="F1343" s="117" t="s">
        <v>4476</v>
      </c>
      <c r="G1343" s="26">
        <v>50486</v>
      </c>
      <c r="H1343" s="231"/>
      <c r="I1343" s="221"/>
      <c r="J1343" s="221"/>
      <c r="K1343" s="221"/>
      <c r="L1343" s="221"/>
      <c r="M1343" s="221"/>
      <c r="N1343" s="221"/>
      <c r="O1343" s="225"/>
      <c r="P1343" s="118" t="s">
        <v>4477</v>
      </c>
      <c r="Q1343" s="16" t="s">
        <v>20</v>
      </c>
      <c r="R1343" s="17" t="s">
        <v>4412</v>
      </c>
      <c r="S1343" s="121" t="s">
        <v>4413</v>
      </c>
      <c r="T1343" s="122"/>
      <c r="U1343" s="22"/>
      <c r="V1343" s="123" t="s">
        <v>7161</v>
      </c>
      <c r="W1343" s="122">
        <v>2056</v>
      </c>
      <c r="X1343" s="221"/>
      <c r="Y1343" s="221"/>
      <c r="Z1343" s="221"/>
      <c r="AA1343" s="221"/>
      <c r="AB1343" s="223"/>
    </row>
    <row r="1344" spans="1:28" ht="17.100000000000001" customHeight="1" thickTop="1">
      <c r="A1344" s="226" t="s">
        <v>6303</v>
      </c>
      <c r="B1344" s="28">
        <v>45905</v>
      </c>
      <c r="C1344" s="25">
        <v>1384</v>
      </c>
      <c r="D1344" s="13" t="s">
        <v>1983</v>
      </c>
      <c r="E1344" s="228"/>
      <c r="F1344" s="109" t="s">
        <v>4478</v>
      </c>
      <c r="G1344" s="24" t="s">
        <v>4479</v>
      </c>
      <c r="H1344" s="230">
        <v>4</v>
      </c>
      <c r="I1344" s="220">
        <v>1358000</v>
      </c>
      <c r="J1344" s="220">
        <f>I1344*0.1</f>
        <v>135800</v>
      </c>
      <c r="K1344" s="220">
        <v>13750</v>
      </c>
      <c r="L1344" s="220">
        <v>7450</v>
      </c>
      <c r="M1344" s="220">
        <v>13200</v>
      </c>
      <c r="N1344" s="220">
        <f>SUM(I1344:M1345)</f>
        <v>1528200</v>
      </c>
      <c r="O1344" s="224"/>
      <c r="P1344" s="110" t="s">
        <v>4480</v>
      </c>
      <c r="Q1344" s="15" t="s">
        <v>19</v>
      </c>
      <c r="R1344" s="205"/>
      <c r="S1344" s="189"/>
      <c r="T1344" s="114"/>
      <c r="U1344" s="21"/>
      <c r="V1344" s="115">
        <v>45934</v>
      </c>
      <c r="W1344" s="116">
        <v>1270</v>
      </c>
      <c r="X1344" s="220">
        <v>1405000</v>
      </c>
      <c r="Y1344" s="220">
        <f>X1344*0.1</f>
        <v>140500</v>
      </c>
      <c r="Z1344" s="220">
        <v>7450</v>
      </c>
      <c r="AA1344" s="220">
        <f>SUM(X1344:Z1344)</f>
        <v>1552950</v>
      </c>
      <c r="AB1344" s="222">
        <v>45937</v>
      </c>
    </row>
    <row r="1345" spans="1:28" ht="17.100000000000001" customHeight="1" thickBot="1">
      <c r="A1345" s="227"/>
      <c r="B1345" s="27" t="s">
        <v>2597</v>
      </c>
      <c r="C1345" s="27">
        <v>7568</v>
      </c>
      <c r="D1345" s="14" t="s">
        <v>273</v>
      </c>
      <c r="E1345" s="229"/>
      <c r="F1345" s="117" t="s">
        <v>4481</v>
      </c>
      <c r="G1345" s="26">
        <v>54786</v>
      </c>
      <c r="H1345" s="231"/>
      <c r="I1345" s="221"/>
      <c r="J1345" s="221"/>
      <c r="K1345" s="221"/>
      <c r="L1345" s="221"/>
      <c r="M1345" s="221"/>
      <c r="N1345" s="221"/>
      <c r="O1345" s="225"/>
      <c r="P1345" s="118" t="s">
        <v>4477</v>
      </c>
      <c r="Q1345" s="16" t="s">
        <v>20</v>
      </c>
      <c r="R1345" s="17" t="s">
        <v>4412</v>
      </c>
      <c r="S1345" s="121" t="s">
        <v>4482</v>
      </c>
      <c r="T1345" s="122"/>
      <c r="U1345" s="22"/>
      <c r="V1345" s="123" t="s">
        <v>7160</v>
      </c>
      <c r="W1345" s="122">
        <v>55065</v>
      </c>
      <c r="X1345" s="221"/>
      <c r="Y1345" s="221"/>
      <c r="Z1345" s="221"/>
      <c r="AA1345" s="221"/>
      <c r="AB1345" s="223"/>
    </row>
    <row r="1346" spans="1:28" ht="17.100000000000001" customHeight="1" thickTop="1">
      <c r="A1346" s="226" t="s">
        <v>6304</v>
      </c>
      <c r="B1346" s="28">
        <v>45906</v>
      </c>
      <c r="C1346" s="25">
        <v>1509</v>
      </c>
      <c r="D1346" s="13" t="s">
        <v>1702</v>
      </c>
      <c r="E1346" s="228"/>
      <c r="F1346" s="109" t="s">
        <v>4483</v>
      </c>
      <c r="G1346" s="24" t="s">
        <v>4484</v>
      </c>
      <c r="H1346" s="230">
        <v>4.5</v>
      </c>
      <c r="I1346" s="220">
        <v>680000</v>
      </c>
      <c r="J1346" s="220">
        <f>I1346*0.1</f>
        <v>68000</v>
      </c>
      <c r="K1346" s="220">
        <f>18920</f>
        <v>18920</v>
      </c>
      <c r="L1346" s="220">
        <v>18960</v>
      </c>
      <c r="M1346" s="220">
        <v>16500</v>
      </c>
      <c r="N1346" s="220">
        <f>SUM(I1346:M1347)</f>
        <v>802380</v>
      </c>
      <c r="O1346" s="224"/>
      <c r="P1346" s="110" t="s">
        <v>4485</v>
      </c>
      <c r="Q1346" s="15" t="s">
        <v>19</v>
      </c>
      <c r="R1346" s="205"/>
      <c r="S1346" s="189"/>
      <c r="T1346" s="114"/>
      <c r="U1346" s="21"/>
      <c r="V1346" s="115">
        <v>45948</v>
      </c>
      <c r="W1346" s="116">
        <v>1272</v>
      </c>
      <c r="X1346" s="220">
        <v>800000</v>
      </c>
      <c r="Y1346" s="220">
        <f>X1346*0.1</f>
        <v>80000</v>
      </c>
      <c r="Z1346" s="220">
        <v>18960</v>
      </c>
      <c r="AA1346" s="220">
        <f>SUM(X1346:Z1346)</f>
        <v>898960</v>
      </c>
      <c r="AB1346" s="222">
        <v>45953</v>
      </c>
    </row>
    <row r="1347" spans="1:28" ht="17.100000000000001" customHeight="1" thickBot="1">
      <c r="A1347" s="227"/>
      <c r="B1347" s="27" t="s">
        <v>1547</v>
      </c>
      <c r="C1347" s="27">
        <v>83063</v>
      </c>
      <c r="D1347" s="14" t="s">
        <v>1797</v>
      </c>
      <c r="E1347" s="229"/>
      <c r="F1347" s="117" t="s">
        <v>4486</v>
      </c>
      <c r="G1347" s="26">
        <v>48091</v>
      </c>
      <c r="H1347" s="231"/>
      <c r="I1347" s="221"/>
      <c r="J1347" s="221"/>
      <c r="K1347" s="221"/>
      <c r="L1347" s="221"/>
      <c r="M1347" s="221"/>
      <c r="N1347" s="221"/>
      <c r="O1347" s="225"/>
      <c r="P1347" s="118" t="s">
        <v>4487</v>
      </c>
      <c r="Q1347" s="16" t="s">
        <v>20</v>
      </c>
      <c r="R1347" s="17" t="s">
        <v>2543</v>
      </c>
      <c r="S1347" s="121" t="s">
        <v>3566</v>
      </c>
      <c r="T1347" s="122"/>
      <c r="U1347" s="22"/>
      <c r="V1347" s="123" t="s">
        <v>7160</v>
      </c>
      <c r="W1347" s="122">
        <v>80073</v>
      </c>
      <c r="X1347" s="221"/>
      <c r="Y1347" s="221"/>
      <c r="Z1347" s="221"/>
      <c r="AA1347" s="221"/>
      <c r="AB1347" s="223"/>
    </row>
    <row r="1348" spans="1:28" ht="17.100000000000001" customHeight="1" thickTop="1">
      <c r="A1348" s="226" t="s">
        <v>6305</v>
      </c>
      <c r="B1348" s="28">
        <v>45906</v>
      </c>
      <c r="C1348" s="25">
        <v>1266</v>
      </c>
      <c r="D1348" s="13" t="s">
        <v>1871</v>
      </c>
      <c r="E1348" s="228"/>
      <c r="F1348" s="109" t="s">
        <v>1608</v>
      </c>
      <c r="G1348" s="24"/>
      <c r="H1348" s="230">
        <v>5</v>
      </c>
      <c r="I1348" s="220">
        <v>640000</v>
      </c>
      <c r="J1348" s="220">
        <f>I1348*0.1</f>
        <v>64000</v>
      </c>
      <c r="K1348" s="220">
        <v>0</v>
      </c>
      <c r="L1348" s="220">
        <v>17250</v>
      </c>
      <c r="M1348" s="220">
        <v>16500</v>
      </c>
      <c r="N1348" s="220">
        <f>SUM(I1348:M1349)</f>
        <v>737750</v>
      </c>
      <c r="O1348" s="224"/>
      <c r="P1348" s="110" t="s">
        <v>4488</v>
      </c>
      <c r="Q1348" s="15" t="s">
        <v>19</v>
      </c>
      <c r="R1348" s="205"/>
      <c r="S1348" s="189" t="s">
        <v>1271</v>
      </c>
      <c r="T1348" s="114"/>
      <c r="U1348" s="21"/>
      <c r="V1348" s="115">
        <v>45960</v>
      </c>
      <c r="W1348" s="116">
        <v>1304</v>
      </c>
      <c r="X1348" s="220">
        <v>760000</v>
      </c>
      <c r="Y1348" s="220">
        <f>X1348*0.1</f>
        <v>76000</v>
      </c>
      <c r="Z1348" s="220">
        <v>17250</v>
      </c>
      <c r="AA1348" s="220">
        <f>SUM(X1348:Z1348)</f>
        <v>853250</v>
      </c>
      <c r="AB1348" s="222">
        <v>45961</v>
      </c>
    </row>
    <row r="1349" spans="1:28" ht="17.100000000000001" customHeight="1" thickBot="1">
      <c r="A1349" s="227"/>
      <c r="B1349" s="27" t="s">
        <v>2472</v>
      </c>
      <c r="C1349" s="27">
        <v>80386</v>
      </c>
      <c r="D1349" s="14" t="s">
        <v>1584</v>
      </c>
      <c r="E1349" s="229"/>
      <c r="F1349" s="117" t="s">
        <v>4489</v>
      </c>
      <c r="G1349" s="26">
        <v>33841</v>
      </c>
      <c r="H1349" s="231"/>
      <c r="I1349" s="221"/>
      <c r="J1349" s="221"/>
      <c r="K1349" s="221"/>
      <c r="L1349" s="221"/>
      <c r="M1349" s="221"/>
      <c r="N1349" s="221"/>
      <c r="O1349" s="225"/>
      <c r="P1349" s="118" t="s">
        <v>4490</v>
      </c>
      <c r="Q1349" s="16" t="s">
        <v>20</v>
      </c>
      <c r="R1349" s="17" t="s">
        <v>4491</v>
      </c>
      <c r="S1349" s="121" t="s">
        <v>1731</v>
      </c>
      <c r="T1349" s="122"/>
      <c r="U1349" s="22"/>
      <c r="V1349" s="123" t="s">
        <v>1735</v>
      </c>
      <c r="W1349" s="122">
        <v>973</v>
      </c>
      <c r="X1349" s="221"/>
      <c r="Y1349" s="221"/>
      <c r="Z1349" s="221"/>
      <c r="AA1349" s="221"/>
      <c r="AB1349" s="223"/>
    </row>
    <row r="1350" spans="1:28" ht="17.100000000000001" customHeight="1" thickTop="1">
      <c r="A1350" s="226" t="s">
        <v>6306</v>
      </c>
      <c r="B1350" s="28">
        <v>45906</v>
      </c>
      <c r="C1350" s="25">
        <v>1266</v>
      </c>
      <c r="D1350" s="13" t="s">
        <v>3269</v>
      </c>
      <c r="E1350" s="228"/>
      <c r="F1350" s="109" t="s">
        <v>1795</v>
      </c>
      <c r="G1350" s="24"/>
      <c r="H1350" s="230">
        <v>4</v>
      </c>
      <c r="I1350" s="220">
        <v>1715000</v>
      </c>
      <c r="J1350" s="220">
        <v>171500</v>
      </c>
      <c r="K1350" s="220">
        <v>0</v>
      </c>
      <c r="L1350" s="220">
        <v>16240</v>
      </c>
      <c r="M1350" s="220">
        <v>16500</v>
      </c>
      <c r="N1350" s="220">
        <f>SUM(I1350:M1351)</f>
        <v>1919240</v>
      </c>
      <c r="O1350" s="224"/>
      <c r="P1350" s="110" t="s">
        <v>4492</v>
      </c>
      <c r="Q1350" s="15" t="s">
        <v>19</v>
      </c>
      <c r="R1350" s="205"/>
      <c r="S1350" s="189" t="s">
        <v>1276</v>
      </c>
      <c r="T1350" s="114"/>
      <c r="U1350" s="21"/>
      <c r="V1350" s="115">
        <v>45962</v>
      </c>
      <c r="W1350" s="116">
        <v>1274</v>
      </c>
      <c r="X1350" s="220">
        <v>1770000</v>
      </c>
      <c r="Y1350" s="220">
        <f>X1350*0.1</f>
        <v>177000</v>
      </c>
      <c r="Z1350" s="220">
        <v>16240</v>
      </c>
      <c r="AA1350" s="220">
        <f>SUM(X1350:Z1350)</f>
        <v>1963240</v>
      </c>
      <c r="AB1350" s="222">
        <v>45971</v>
      </c>
    </row>
    <row r="1351" spans="1:28" ht="17.100000000000001" customHeight="1" thickBot="1">
      <c r="A1351" s="227"/>
      <c r="B1351" s="27" t="s">
        <v>2472</v>
      </c>
      <c r="C1351" s="27">
        <v>82097</v>
      </c>
      <c r="D1351" s="14" t="s">
        <v>1710</v>
      </c>
      <c r="E1351" s="229"/>
      <c r="F1351" s="117" t="s">
        <v>4493</v>
      </c>
      <c r="G1351" s="26">
        <v>41370</v>
      </c>
      <c r="H1351" s="231"/>
      <c r="I1351" s="221"/>
      <c r="J1351" s="221"/>
      <c r="K1351" s="221"/>
      <c r="L1351" s="221"/>
      <c r="M1351" s="221"/>
      <c r="N1351" s="221"/>
      <c r="O1351" s="225"/>
      <c r="P1351" s="118" t="s">
        <v>2649</v>
      </c>
      <c r="Q1351" s="16" t="s">
        <v>20</v>
      </c>
      <c r="R1351" s="17" t="s">
        <v>4491</v>
      </c>
      <c r="S1351" s="121" t="s">
        <v>4494</v>
      </c>
      <c r="T1351" s="122"/>
      <c r="U1351" s="22"/>
      <c r="V1351" s="123" t="s">
        <v>6641</v>
      </c>
      <c r="W1351" s="122">
        <v>80064</v>
      </c>
      <c r="X1351" s="221"/>
      <c r="Y1351" s="221"/>
      <c r="Z1351" s="221"/>
      <c r="AA1351" s="221"/>
      <c r="AB1351" s="223"/>
    </row>
    <row r="1352" spans="1:28" ht="17.100000000000001" customHeight="1" thickTop="1">
      <c r="A1352" s="226" t="s">
        <v>6307</v>
      </c>
      <c r="B1352" s="28">
        <v>45906</v>
      </c>
      <c r="C1352" s="25">
        <v>1266</v>
      </c>
      <c r="D1352" s="13" t="s">
        <v>1953</v>
      </c>
      <c r="E1352" s="228"/>
      <c r="F1352" s="109" t="s">
        <v>4495</v>
      </c>
      <c r="G1352" s="24"/>
      <c r="H1352" s="230">
        <v>4.5</v>
      </c>
      <c r="I1352" s="220">
        <v>2475000</v>
      </c>
      <c r="J1352" s="220">
        <v>247500</v>
      </c>
      <c r="K1352" s="220">
        <v>0</v>
      </c>
      <c r="L1352" s="220">
        <v>19090</v>
      </c>
      <c r="M1352" s="220">
        <v>16500</v>
      </c>
      <c r="N1352" s="220">
        <f>SUM(I1352:M1353)</f>
        <v>2758090</v>
      </c>
      <c r="O1352" s="224"/>
      <c r="P1352" s="110" t="s">
        <v>4496</v>
      </c>
      <c r="Q1352" s="15" t="s">
        <v>19</v>
      </c>
      <c r="R1352" s="205"/>
      <c r="S1352" s="189" t="s">
        <v>696</v>
      </c>
      <c r="T1352" s="114"/>
      <c r="U1352" s="21"/>
      <c r="V1352" s="115"/>
      <c r="W1352" s="116"/>
      <c r="X1352" s="220"/>
      <c r="Y1352" s="220">
        <f>X1352*0.1</f>
        <v>0</v>
      </c>
      <c r="Z1352" s="220"/>
      <c r="AA1352" s="220">
        <f>SUM(X1352:Z1352)</f>
        <v>0</v>
      </c>
      <c r="AB1352" s="222"/>
    </row>
    <row r="1353" spans="1:28" ht="17.100000000000001" customHeight="1" thickBot="1">
      <c r="A1353" s="227"/>
      <c r="B1353" s="27" t="s">
        <v>2472</v>
      </c>
      <c r="C1353" s="27">
        <v>82307</v>
      </c>
      <c r="D1353" s="14" t="s">
        <v>1584</v>
      </c>
      <c r="E1353" s="229"/>
      <c r="F1353" s="117" t="s">
        <v>4497</v>
      </c>
      <c r="G1353" s="26">
        <v>19649</v>
      </c>
      <c r="H1353" s="231"/>
      <c r="I1353" s="221"/>
      <c r="J1353" s="221"/>
      <c r="K1353" s="221"/>
      <c r="L1353" s="221"/>
      <c r="M1353" s="221"/>
      <c r="N1353" s="221"/>
      <c r="O1353" s="225"/>
      <c r="P1353" s="118" t="s">
        <v>2404</v>
      </c>
      <c r="Q1353" s="16" t="s">
        <v>20</v>
      </c>
      <c r="R1353" s="17" t="s">
        <v>4491</v>
      </c>
      <c r="S1353" s="121" t="s">
        <v>4498</v>
      </c>
      <c r="T1353" s="122"/>
      <c r="U1353" s="22"/>
      <c r="V1353" s="123"/>
      <c r="W1353" s="122"/>
      <c r="X1353" s="221"/>
      <c r="Y1353" s="221"/>
      <c r="Z1353" s="221"/>
      <c r="AA1353" s="221"/>
      <c r="AB1353" s="223"/>
    </row>
    <row r="1354" spans="1:28" ht="17.100000000000001" customHeight="1" thickTop="1">
      <c r="A1354" s="226" t="s">
        <v>6308</v>
      </c>
      <c r="B1354" s="28">
        <v>45908</v>
      </c>
      <c r="C1354" s="25"/>
      <c r="D1354" s="13" t="s">
        <v>1704</v>
      </c>
      <c r="E1354" s="228"/>
      <c r="F1354" s="109" t="s">
        <v>4499</v>
      </c>
      <c r="G1354" s="24"/>
      <c r="H1354" s="230">
        <v>4.5</v>
      </c>
      <c r="I1354" s="220">
        <v>2454000</v>
      </c>
      <c r="J1354" s="220">
        <f>I1354*0.1</f>
        <v>245400</v>
      </c>
      <c r="K1354" s="220">
        <v>0</v>
      </c>
      <c r="L1354" s="220">
        <v>19180</v>
      </c>
      <c r="M1354" s="220">
        <v>14850</v>
      </c>
      <c r="N1354" s="220">
        <f>SUM(I1354:M1355)</f>
        <v>2733430</v>
      </c>
      <c r="O1354" s="224"/>
      <c r="P1354" s="110" t="s">
        <v>4500</v>
      </c>
      <c r="Q1354" s="15" t="s">
        <v>19</v>
      </c>
      <c r="R1354" s="205"/>
      <c r="S1354" s="189" t="s">
        <v>758</v>
      </c>
      <c r="T1354" s="114"/>
      <c r="U1354" s="21"/>
      <c r="V1354" s="115">
        <v>45990</v>
      </c>
      <c r="W1354" s="116">
        <v>1278</v>
      </c>
      <c r="X1354" s="220">
        <v>2490000</v>
      </c>
      <c r="Y1354" s="220">
        <f>X1354*0.1</f>
        <v>249000</v>
      </c>
      <c r="Z1354" s="220">
        <v>19180</v>
      </c>
      <c r="AA1354" s="220">
        <f>SUM(X1354:Z1354)</f>
        <v>2758180</v>
      </c>
      <c r="AB1354" s="222">
        <v>45994</v>
      </c>
    </row>
    <row r="1355" spans="1:28" ht="17.100000000000001" customHeight="1" thickBot="1">
      <c r="A1355" s="227"/>
      <c r="B1355" s="27" t="s">
        <v>2727</v>
      </c>
      <c r="C1355" s="27">
        <v>80224</v>
      </c>
      <c r="D1355" s="14" t="s">
        <v>1584</v>
      </c>
      <c r="E1355" s="229"/>
      <c r="F1355" s="117" t="s">
        <v>4501</v>
      </c>
      <c r="G1355" s="26">
        <v>37586</v>
      </c>
      <c r="H1355" s="231"/>
      <c r="I1355" s="221"/>
      <c r="J1355" s="221"/>
      <c r="K1355" s="221"/>
      <c r="L1355" s="221"/>
      <c r="M1355" s="221"/>
      <c r="N1355" s="221"/>
      <c r="O1355" s="225"/>
      <c r="P1355" s="118" t="s">
        <v>4502</v>
      </c>
      <c r="Q1355" s="16" t="s">
        <v>20</v>
      </c>
      <c r="R1355" s="17" t="s">
        <v>2951</v>
      </c>
      <c r="S1355" s="121" t="s">
        <v>4503</v>
      </c>
      <c r="T1355" s="122"/>
      <c r="U1355" s="22"/>
      <c r="V1355" s="123" t="s">
        <v>7160</v>
      </c>
      <c r="W1355" s="122">
        <v>80025</v>
      </c>
      <c r="X1355" s="221"/>
      <c r="Y1355" s="221"/>
      <c r="Z1355" s="221"/>
      <c r="AA1355" s="221"/>
      <c r="AB1355" s="223"/>
    </row>
    <row r="1356" spans="1:28" ht="17.100000000000001" customHeight="1" thickTop="1">
      <c r="A1356" s="226" t="s">
        <v>6309</v>
      </c>
      <c r="B1356" s="28">
        <v>45908</v>
      </c>
      <c r="C1356" s="25">
        <v>2059</v>
      </c>
      <c r="D1356" s="13" t="s">
        <v>1615</v>
      </c>
      <c r="E1356" s="228"/>
      <c r="F1356" s="109" t="s">
        <v>4504</v>
      </c>
      <c r="G1356" s="24"/>
      <c r="H1356" s="230">
        <v>4.5</v>
      </c>
      <c r="I1356" s="220">
        <v>553000</v>
      </c>
      <c r="J1356" s="220">
        <f>I1356*0.1</f>
        <v>55300</v>
      </c>
      <c r="K1356" s="220">
        <v>0</v>
      </c>
      <c r="L1356" s="220">
        <v>9790</v>
      </c>
      <c r="M1356" s="220">
        <v>8800</v>
      </c>
      <c r="N1356" s="220">
        <f>SUM(I1356:M1357)</f>
        <v>626890</v>
      </c>
      <c r="O1356" s="224"/>
      <c r="P1356" s="110" t="s">
        <v>4505</v>
      </c>
      <c r="Q1356" s="15" t="s">
        <v>19</v>
      </c>
      <c r="R1356" s="205"/>
      <c r="S1356" s="189" t="s">
        <v>25448</v>
      </c>
      <c r="T1356" s="114"/>
      <c r="U1356" s="21"/>
      <c r="V1356" s="115">
        <v>45941</v>
      </c>
      <c r="W1356" s="116">
        <v>1271</v>
      </c>
      <c r="X1356" s="220">
        <v>665000</v>
      </c>
      <c r="Y1356" s="220">
        <f>X1356*0.1</f>
        <v>66500</v>
      </c>
      <c r="Z1356" s="220">
        <v>9790</v>
      </c>
      <c r="AA1356" s="220">
        <f>SUM(X1356:Z1356)</f>
        <v>741290</v>
      </c>
      <c r="AB1356" s="222">
        <v>45945</v>
      </c>
    </row>
    <row r="1357" spans="1:28" ht="17.100000000000001" customHeight="1" thickBot="1">
      <c r="A1357" s="227"/>
      <c r="B1357" s="27" t="s">
        <v>82</v>
      </c>
      <c r="C1357" s="27">
        <v>22519</v>
      </c>
      <c r="D1357" s="14" t="s">
        <v>273</v>
      </c>
      <c r="E1357" s="229"/>
      <c r="F1357" s="117" t="s">
        <v>4506</v>
      </c>
      <c r="G1357" s="26">
        <v>53982</v>
      </c>
      <c r="H1357" s="231"/>
      <c r="I1357" s="221"/>
      <c r="J1357" s="221"/>
      <c r="K1357" s="221"/>
      <c r="L1357" s="221"/>
      <c r="M1357" s="221"/>
      <c r="N1357" s="221"/>
      <c r="O1357" s="225"/>
      <c r="P1357" s="118" t="s">
        <v>4507</v>
      </c>
      <c r="Q1357" s="16" t="s">
        <v>20</v>
      </c>
      <c r="R1357" s="17" t="s">
        <v>4412</v>
      </c>
      <c r="S1357" s="121" t="s">
        <v>1731</v>
      </c>
      <c r="T1357" s="122"/>
      <c r="U1357" s="22"/>
      <c r="V1357" s="123" t="s">
        <v>2472</v>
      </c>
      <c r="W1357" s="122">
        <v>60293</v>
      </c>
      <c r="X1357" s="221"/>
      <c r="Y1357" s="221"/>
      <c r="Z1357" s="221"/>
      <c r="AA1357" s="221"/>
      <c r="AB1357" s="223"/>
    </row>
    <row r="1358" spans="1:28" ht="17.100000000000001" customHeight="1" thickTop="1">
      <c r="A1358" s="226" t="s">
        <v>6310</v>
      </c>
      <c r="B1358" s="28">
        <v>45908</v>
      </c>
      <c r="C1358" s="25"/>
      <c r="D1358" s="13" t="s">
        <v>2113</v>
      </c>
      <c r="E1358" s="228"/>
      <c r="F1358" s="109" t="s">
        <v>4508</v>
      </c>
      <c r="G1358" s="24" t="s">
        <v>4509</v>
      </c>
      <c r="H1358" s="230">
        <v>3.5</v>
      </c>
      <c r="I1358" s="220">
        <f>726000/1.1</f>
        <v>660000</v>
      </c>
      <c r="J1358" s="220">
        <f>I1358*0.1</f>
        <v>66000</v>
      </c>
      <c r="K1358" s="220">
        <v>0</v>
      </c>
      <c r="L1358" s="220">
        <v>9010</v>
      </c>
      <c r="M1358" s="220">
        <v>64265</v>
      </c>
      <c r="N1358" s="220">
        <f>SUM(I1358:M1359)</f>
        <v>799275</v>
      </c>
      <c r="O1358" s="224"/>
      <c r="P1358" s="110" t="s">
        <v>6742</v>
      </c>
      <c r="Q1358" s="15" t="s">
        <v>19</v>
      </c>
      <c r="R1358" s="205"/>
      <c r="S1358" s="189" t="s">
        <v>1072</v>
      </c>
      <c r="T1358" s="114"/>
      <c r="U1358" s="21"/>
      <c r="V1358" s="115">
        <v>45948</v>
      </c>
      <c r="W1358" s="116">
        <v>1272</v>
      </c>
      <c r="X1358" s="220">
        <v>880000</v>
      </c>
      <c r="Y1358" s="220">
        <f>X1358*0.1</f>
        <v>88000</v>
      </c>
      <c r="Z1358" s="220">
        <v>9010</v>
      </c>
      <c r="AA1358" s="220">
        <f>SUM(X1358:Z1358)</f>
        <v>977010</v>
      </c>
      <c r="AB1358" s="222">
        <v>45951</v>
      </c>
    </row>
    <row r="1359" spans="1:28" ht="17.100000000000001" customHeight="1" thickBot="1">
      <c r="A1359" s="227"/>
      <c r="B1359" s="27" t="s">
        <v>1708</v>
      </c>
      <c r="C1359" s="27" t="s">
        <v>4510</v>
      </c>
      <c r="D1359" s="14" t="s">
        <v>131</v>
      </c>
      <c r="E1359" s="229"/>
      <c r="F1359" s="117" t="s">
        <v>4511</v>
      </c>
      <c r="G1359" s="26">
        <v>79710</v>
      </c>
      <c r="H1359" s="231"/>
      <c r="I1359" s="221"/>
      <c r="J1359" s="221"/>
      <c r="K1359" s="221"/>
      <c r="L1359" s="221"/>
      <c r="M1359" s="221"/>
      <c r="N1359" s="221"/>
      <c r="O1359" s="225"/>
      <c r="P1359" s="118" t="s">
        <v>6743</v>
      </c>
      <c r="Q1359" s="16" t="s">
        <v>20</v>
      </c>
      <c r="R1359" s="17" t="s">
        <v>6610</v>
      </c>
      <c r="S1359" s="121" t="s">
        <v>6744</v>
      </c>
      <c r="T1359" s="122"/>
      <c r="U1359" s="22"/>
      <c r="V1359" s="123" t="s">
        <v>7160</v>
      </c>
      <c r="W1359" s="122">
        <v>65179</v>
      </c>
      <c r="X1359" s="221"/>
      <c r="Y1359" s="221"/>
      <c r="Z1359" s="221"/>
      <c r="AA1359" s="221"/>
      <c r="AB1359" s="223"/>
    </row>
    <row r="1360" spans="1:28" ht="17.100000000000001" customHeight="1" thickTop="1">
      <c r="A1360" s="226" t="s">
        <v>6311</v>
      </c>
      <c r="B1360" s="28">
        <v>45908</v>
      </c>
      <c r="C1360" s="25"/>
      <c r="D1360" s="13" t="s">
        <v>3857</v>
      </c>
      <c r="E1360" s="228"/>
      <c r="F1360" s="109" t="s">
        <v>4512</v>
      </c>
      <c r="G1360" s="24" t="s">
        <v>4513</v>
      </c>
      <c r="H1360" s="230">
        <v>4</v>
      </c>
      <c r="I1360" s="220">
        <f>830500/1.1</f>
        <v>754999.99999999988</v>
      </c>
      <c r="J1360" s="220">
        <f>I1360*0.1</f>
        <v>75499.999999999985</v>
      </c>
      <c r="K1360" s="220">
        <v>0</v>
      </c>
      <c r="L1360" s="220">
        <v>6540</v>
      </c>
      <c r="M1360" s="220">
        <v>69765</v>
      </c>
      <c r="N1360" s="220">
        <f>SUM(I1360:M1361)</f>
        <v>906804.99999999988</v>
      </c>
      <c r="O1360" s="224"/>
      <c r="P1360" s="110" t="s">
        <v>7009</v>
      </c>
      <c r="Q1360" s="15" t="s">
        <v>19</v>
      </c>
      <c r="R1360" s="205"/>
      <c r="S1360" s="189" t="s">
        <v>1276</v>
      </c>
      <c r="T1360" s="114"/>
      <c r="U1360" s="21"/>
      <c r="V1360" s="115">
        <v>45934</v>
      </c>
      <c r="W1360" s="116">
        <v>1270</v>
      </c>
      <c r="X1360" s="220">
        <v>995000</v>
      </c>
      <c r="Y1360" s="220">
        <f>X1360*0.1</f>
        <v>99500</v>
      </c>
      <c r="Z1360" s="220">
        <v>6540</v>
      </c>
      <c r="AA1360" s="220">
        <f>SUM(X1360:Z1360)</f>
        <v>1101040</v>
      </c>
      <c r="AB1360" s="222">
        <v>45938</v>
      </c>
    </row>
    <row r="1361" spans="1:28" ht="17.100000000000001" customHeight="1" thickBot="1">
      <c r="A1361" s="227"/>
      <c r="B1361" s="27" t="s">
        <v>1708</v>
      </c>
      <c r="C1361" s="27" t="s">
        <v>4514</v>
      </c>
      <c r="D1361" s="14" t="s">
        <v>1710</v>
      </c>
      <c r="E1361" s="229"/>
      <c r="F1361" s="117" t="s">
        <v>4515</v>
      </c>
      <c r="G1361" s="26">
        <v>40897</v>
      </c>
      <c r="H1361" s="231"/>
      <c r="I1361" s="221"/>
      <c r="J1361" s="221"/>
      <c r="K1361" s="221"/>
      <c r="L1361" s="221"/>
      <c r="M1361" s="221"/>
      <c r="N1361" s="221"/>
      <c r="O1361" s="225"/>
      <c r="P1361" s="118" t="s">
        <v>7010</v>
      </c>
      <c r="Q1361" s="16" t="s">
        <v>20</v>
      </c>
      <c r="R1361" s="17" t="s">
        <v>2128</v>
      </c>
      <c r="S1361" s="121" t="s">
        <v>1625</v>
      </c>
      <c r="T1361" s="122"/>
      <c r="U1361" s="22"/>
      <c r="V1361" s="123" t="s">
        <v>7160</v>
      </c>
      <c r="W1361" s="122">
        <v>65040</v>
      </c>
      <c r="X1361" s="221"/>
      <c r="Y1361" s="221"/>
      <c r="Z1361" s="221"/>
      <c r="AA1361" s="221"/>
      <c r="AB1361" s="223"/>
    </row>
    <row r="1362" spans="1:28" ht="17.100000000000001" customHeight="1" thickTop="1">
      <c r="A1362" s="226" t="s">
        <v>6312</v>
      </c>
      <c r="B1362" s="28">
        <v>45908</v>
      </c>
      <c r="C1362" s="25"/>
      <c r="D1362" s="13" t="s">
        <v>2264</v>
      </c>
      <c r="E1362" s="228"/>
      <c r="F1362" s="109" t="s">
        <v>4516</v>
      </c>
      <c r="G1362" s="24" t="s">
        <v>4517</v>
      </c>
      <c r="H1362" s="230">
        <v>4</v>
      </c>
      <c r="I1362" s="220">
        <f>929500/1.1</f>
        <v>844999.99999999988</v>
      </c>
      <c r="J1362" s="220">
        <f>I1362*0.1</f>
        <v>84500</v>
      </c>
      <c r="K1362" s="220">
        <v>12700</v>
      </c>
      <c r="L1362" s="220">
        <v>8170</v>
      </c>
      <c r="M1362" s="220">
        <v>74974</v>
      </c>
      <c r="N1362" s="220">
        <f>SUM(I1362:M1363)</f>
        <v>1025343.9999999999</v>
      </c>
      <c r="O1362" s="224"/>
      <c r="P1362" s="110" t="s">
        <v>7235</v>
      </c>
      <c r="Q1362" s="15" t="s">
        <v>19</v>
      </c>
      <c r="R1362" s="205"/>
      <c r="S1362" s="189" t="s">
        <v>25372</v>
      </c>
      <c r="T1362" s="114"/>
      <c r="U1362" s="21"/>
      <c r="V1362" s="115">
        <v>45941</v>
      </c>
      <c r="W1362" s="116">
        <v>1271</v>
      </c>
      <c r="X1362" s="220">
        <v>1175000</v>
      </c>
      <c r="Y1362" s="220">
        <f>X1362*0.1</f>
        <v>117500</v>
      </c>
      <c r="Z1362" s="220">
        <v>8170</v>
      </c>
      <c r="AA1362" s="220">
        <f>SUM(X1362:Z1362)</f>
        <v>1300670</v>
      </c>
      <c r="AB1362" s="222">
        <v>45944</v>
      </c>
    </row>
    <row r="1363" spans="1:28" ht="17.100000000000001" customHeight="1" thickBot="1">
      <c r="A1363" s="227"/>
      <c r="B1363" s="27" t="s">
        <v>1708</v>
      </c>
      <c r="C1363" s="27" t="s">
        <v>4518</v>
      </c>
      <c r="D1363" s="14" t="s">
        <v>273</v>
      </c>
      <c r="E1363" s="229"/>
      <c r="F1363" s="117" t="s">
        <v>4519</v>
      </c>
      <c r="G1363" s="26">
        <v>41075</v>
      </c>
      <c r="H1363" s="231"/>
      <c r="I1363" s="221"/>
      <c r="J1363" s="221"/>
      <c r="K1363" s="221"/>
      <c r="L1363" s="221"/>
      <c r="M1363" s="221"/>
      <c r="N1363" s="221"/>
      <c r="O1363" s="225"/>
      <c r="P1363" s="118" t="s">
        <v>7236</v>
      </c>
      <c r="Q1363" s="16" t="s">
        <v>20</v>
      </c>
      <c r="R1363" s="17" t="s">
        <v>2128</v>
      </c>
      <c r="S1363" s="121" t="s">
        <v>2703</v>
      </c>
      <c r="T1363" s="122"/>
      <c r="U1363" s="22"/>
      <c r="V1363" s="123" t="s">
        <v>7160</v>
      </c>
      <c r="W1363" s="122">
        <v>37653</v>
      </c>
      <c r="X1363" s="221"/>
      <c r="Y1363" s="221"/>
      <c r="Z1363" s="221"/>
      <c r="AA1363" s="221"/>
      <c r="AB1363" s="223"/>
    </row>
    <row r="1364" spans="1:28" ht="17.100000000000001" customHeight="1" thickTop="1">
      <c r="A1364" s="233" t="s">
        <v>6313</v>
      </c>
      <c r="B1364" s="28">
        <v>45908</v>
      </c>
      <c r="C1364" s="25"/>
      <c r="D1364" s="13" t="s">
        <v>1021</v>
      </c>
      <c r="E1364" s="228"/>
      <c r="F1364" s="109" t="s">
        <v>4520</v>
      </c>
      <c r="G1364" s="24" t="s">
        <v>4521</v>
      </c>
      <c r="H1364" s="230">
        <v>3.5</v>
      </c>
      <c r="I1364" s="220">
        <f>148500/1.1</f>
        <v>135000</v>
      </c>
      <c r="J1364" s="220">
        <f>I1364*0.1</f>
        <v>13500</v>
      </c>
      <c r="K1364" s="220">
        <v>0</v>
      </c>
      <c r="L1364" s="220">
        <v>8490</v>
      </c>
      <c r="M1364" s="220">
        <v>33869</v>
      </c>
      <c r="N1364" s="220">
        <f>SUM(I1364:M1365)</f>
        <v>190859</v>
      </c>
      <c r="O1364" s="224"/>
      <c r="P1364" s="110" t="s">
        <v>4522</v>
      </c>
      <c r="Q1364" s="15" t="s">
        <v>19</v>
      </c>
      <c r="R1364" s="205"/>
      <c r="S1364" s="189" t="s">
        <v>1361</v>
      </c>
      <c r="T1364" s="114" t="s">
        <v>7899</v>
      </c>
      <c r="U1364" s="21"/>
      <c r="V1364" s="115"/>
      <c r="W1364" s="116"/>
      <c r="X1364" s="220"/>
      <c r="Y1364" s="220">
        <f>X1364*0.1</f>
        <v>0</v>
      </c>
      <c r="Z1364" s="220"/>
      <c r="AA1364" s="220">
        <f>SUM(X1364:Z1364)</f>
        <v>0</v>
      </c>
      <c r="AB1364" s="222"/>
    </row>
    <row r="1365" spans="1:28" ht="17.100000000000001" customHeight="1" thickBot="1">
      <c r="A1365" s="234"/>
      <c r="B1365" s="27" t="s">
        <v>1708</v>
      </c>
      <c r="C1365" s="27" t="s">
        <v>4523</v>
      </c>
      <c r="D1365" s="14" t="s">
        <v>1710</v>
      </c>
      <c r="E1365" s="229"/>
      <c r="F1365" s="117" t="s">
        <v>4524</v>
      </c>
      <c r="G1365" s="26">
        <v>50538</v>
      </c>
      <c r="H1365" s="231"/>
      <c r="I1365" s="221"/>
      <c r="J1365" s="221"/>
      <c r="K1365" s="221"/>
      <c r="L1365" s="221"/>
      <c r="M1365" s="221"/>
      <c r="N1365" s="221"/>
      <c r="O1365" s="225"/>
      <c r="P1365" s="118" t="s">
        <v>4525</v>
      </c>
      <c r="Q1365" s="16" t="s">
        <v>20</v>
      </c>
      <c r="R1365" s="17" t="s">
        <v>4491</v>
      </c>
      <c r="S1365" s="121" t="s">
        <v>169</v>
      </c>
      <c r="T1365" s="122" t="s">
        <v>7900</v>
      </c>
      <c r="U1365" s="22"/>
      <c r="V1365" s="123"/>
      <c r="W1365" s="122"/>
      <c r="X1365" s="221"/>
      <c r="Y1365" s="221"/>
      <c r="Z1365" s="221"/>
      <c r="AA1365" s="221"/>
      <c r="AB1365" s="223"/>
    </row>
    <row r="1366" spans="1:28" ht="17.100000000000001" customHeight="1" thickTop="1">
      <c r="A1366" s="226" t="s">
        <v>6314</v>
      </c>
      <c r="B1366" s="28">
        <v>45908</v>
      </c>
      <c r="C1366" s="25">
        <v>49</v>
      </c>
      <c r="D1366" s="13" t="s">
        <v>1837</v>
      </c>
      <c r="E1366" s="228"/>
      <c r="F1366" s="109" t="s">
        <v>4526</v>
      </c>
      <c r="G1366" s="24" t="s">
        <v>3968</v>
      </c>
      <c r="H1366" s="230">
        <v>4.5</v>
      </c>
      <c r="I1366" s="220">
        <v>1050000</v>
      </c>
      <c r="J1366" s="220">
        <f>I1366*0.1</f>
        <v>105000</v>
      </c>
      <c r="K1366" s="220">
        <v>0</v>
      </c>
      <c r="L1366" s="220">
        <v>8640</v>
      </c>
      <c r="M1366" s="220">
        <v>44000</v>
      </c>
      <c r="N1366" s="220">
        <f>SUM(I1366:M1367)</f>
        <v>1207640</v>
      </c>
      <c r="O1366" s="224"/>
      <c r="P1366" s="110" t="s">
        <v>4527</v>
      </c>
      <c r="Q1366" s="15" t="s">
        <v>19</v>
      </c>
      <c r="R1366" s="205"/>
      <c r="S1366" s="189" t="s">
        <v>25449</v>
      </c>
      <c r="T1366" s="114"/>
      <c r="U1366" s="21"/>
      <c r="V1366" s="115">
        <v>45934</v>
      </c>
      <c r="W1366" s="116">
        <v>1270</v>
      </c>
      <c r="X1366" s="220">
        <v>1090000</v>
      </c>
      <c r="Y1366" s="220">
        <f>X1366*0.1</f>
        <v>109000</v>
      </c>
      <c r="Z1366" s="220">
        <v>8640</v>
      </c>
      <c r="AA1366" s="220">
        <f>SUM(X1366:Z1366)</f>
        <v>1207640</v>
      </c>
      <c r="AB1366" s="222">
        <v>45939</v>
      </c>
    </row>
    <row r="1367" spans="1:28" ht="17.100000000000001" customHeight="1" thickBot="1">
      <c r="A1367" s="227"/>
      <c r="B1367" s="27" t="s">
        <v>4468</v>
      </c>
      <c r="C1367" s="27">
        <v>1021</v>
      </c>
      <c r="D1367" s="14" t="s">
        <v>3731</v>
      </c>
      <c r="E1367" s="229"/>
      <c r="F1367" s="117" t="s">
        <v>4528</v>
      </c>
      <c r="G1367" s="26">
        <v>27507</v>
      </c>
      <c r="H1367" s="231"/>
      <c r="I1367" s="221"/>
      <c r="J1367" s="221"/>
      <c r="K1367" s="221"/>
      <c r="L1367" s="221"/>
      <c r="M1367" s="221"/>
      <c r="N1367" s="221"/>
      <c r="O1367" s="225"/>
      <c r="P1367" s="118" t="s">
        <v>3545</v>
      </c>
      <c r="Q1367" s="16" t="s">
        <v>20</v>
      </c>
      <c r="R1367" s="17" t="s">
        <v>4529</v>
      </c>
      <c r="S1367" s="121" t="s">
        <v>7301</v>
      </c>
      <c r="T1367" s="122"/>
      <c r="U1367" s="22"/>
      <c r="V1367" s="123" t="s">
        <v>7160</v>
      </c>
      <c r="W1367" s="122">
        <v>65110</v>
      </c>
      <c r="X1367" s="221"/>
      <c r="Y1367" s="221"/>
      <c r="Z1367" s="221"/>
      <c r="AA1367" s="221"/>
      <c r="AB1367" s="223"/>
    </row>
    <row r="1368" spans="1:28" ht="17.100000000000001" customHeight="1" thickTop="1">
      <c r="A1368" s="226" t="s">
        <v>6315</v>
      </c>
      <c r="B1368" s="28">
        <v>45909</v>
      </c>
      <c r="C1368" s="25">
        <v>1908</v>
      </c>
      <c r="D1368" s="13" t="s">
        <v>4531</v>
      </c>
      <c r="E1368" s="228"/>
      <c r="F1368" s="109" t="s">
        <v>1565</v>
      </c>
      <c r="G1368" s="24" t="s">
        <v>2487</v>
      </c>
      <c r="H1368" s="230">
        <v>4</v>
      </c>
      <c r="I1368" s="220">
        <v>506000</v>
      </c>
      <c r="J1368" s="220">
        <f>I1368*0.1</f>
        <v>50600</v>
      </c>
      <c r="K1368" s="220">
        <v>21670</v>
      </c>
      <c r="L1368" s="220">
        <v>16740</v>
      </c>
      <c r="M1368" s="220">
        <v>15950</v>
      </c>
      <c r="N1368" s="220">
        <f>SUM(I1368:M1369)</f>
        <v>610960</v>
      </c>
      <c r="O1368" s="224"/>
      <c r="P1368" s="110" t="s">
        <v>4532</v>
      </c>
      <c r="Q1368" s="15" t="s">
        <v>19</v>
      </c>
      <c r="R1368" s="205"/>
      <c r="S1368" s="189" t="s">
        <v>1072</v>
      </c>
      <c r="T1368" s="114"/>
      <c r="U1368" s="21"/>
      <c r="V1368" s="115">
        <v>45959</v>
      </c>
      <c r="W1368" s="116">
        <v>990</v>
      </c>
      <c r="X1368" s="220">
        <v>570000</v>
      </c>
      <c r="Y1368" s="220">
        <f>X1368*0.1</f>
        <v>57000</v>
      </c>
      <c r="Z1368" s="220">
        <v>16740</v>
      </c>
      <c r="AA1368" s="220">
        <f>SUM(X1368:Z1368)</f>
        <v>643740</v>
      </c>
      <c r="AB1368" s="222">
        <v>45965</v>
      </c>
    </row>
    <row r="1369" spans="1:28" ht="17.100000000000001" customHeight="1" thickBot="1">
      <c r="A1369" s="227"/>
      <c r="B1369" s="27" t="s">
        <v>2103</v>
      </c>
      <c r="C1369" s="27">
        <v>5017</v>
      </c>
      <c r="D1369" s="14" t="s">
        <v>898</v>
      </c>
      <c r="E1369" s="229"/>
      <c r="F1369" s="117" t="s">
        <v>4533</v>
      </c>
      <c r="G1369" s="26">
        <v>60874</v>
      </c>
      <c r="H1369" s="231"/>
      <c r="I1369" s="221"/>
      <c r="J1369" s="221"/>
      <c r="K1369" s="221"/>
      <c r="L1369" s="221"/>
      <c r="M1369" s="221"/>
      <c r="N1369" s="221"/>
      <c r="O1369" s="225"/>
      <c r="P1369" s="118" t="s">
        <v>4534</v>
      </c>
      <c r="Q1369" s="16" t="s">
        <v>20</v>
      </c>
      <c r="R1369" s="17" t="s">
        <v>2091</v>
      </c>
      <c r="S1369" s="121" t="s">
        <v>4535</v>
      </c>
      <c r="T1369" s="122"/>
      <c r="U1369" s="22" t="s">
        <v>3427</v>
      </c>
      <c r="V1369" s="123" t="s">
        <v>8877</v>
      </c>
      <c r="W1369" s="122">
        <v>5126</v>
      </c>
      <c r="X1369" s="221"/>
      <c r="Y1369" s="221"/>
      <c r="Z1369" s="221"/>
      <c r="AA1369" s="221"/>
      <c r="AB1369" s="223"/>
    </row>
    <row r="1370" spans="1:28" ht="17.100000000000001" customHeight="1" thickTop="1">
      <c r="A1370" s="226" t="s">
        <v>6316</v>
      </c>
      <c r="B1370" s="28">
        <v>45909</v>
      </c>
      <c r="C1370" s="25">
        <v>786</v>
      </c>
      <c r="D1370" s="13" t="s">
        <v>4536</v>
      </c>
      <c r="E1370" s="228"/>
      <c r="F1370" s="109" t="s">
        <v>4537</v>
      </c>
      <c r="G1370" s="24" t="s">
        <v>3453</v>
      </c>
      <c r="H1370" s="230">
        <v>4.5</v>
      </c>
      <c r="I1370" s="220">
        <v>1011000</v>
      </c>
      <c r="J1370" s="220">
        <f>I1370*0.1</f>
        <v>101100</v>
      </c>
      <c r="K1370" s="220">
        <v>0</v>
      </c>
      <c r="L1370" s="220">
        <v>8200</v>
      </c>
      <c r="M1370" s="220">
        <v>15950</v>
      </c>
      <c r="N1370" s="220">
        <f>SUM(I1370:M1371)</f>
        <v>1136250</v>
      </c>
      <c r="O1370" s="224"/>
      <c r="P1370" s="110" t="s">
        <v>4538</v>
      </c>
      <c r="Q1370" s="15" t="s">
        <v>19</v>
      </c>
      <c r="R1370" s="205"/>
      <c r="S1370" s="189" t="s">
        <v>25450</v>
      </c>
      <c r="T1370" s="114"/>
      <c r="U1370" s="21" t="s">
        <v>7566</v>
      </c>
      <c r="V1370" s="115">
        <v>46053</v>
      </c>
      <c r="W1370" s="116">
        <v>1286</v>
      </c>
      <c r="X1370" s="220">
        <v>1100000</v>
      </c>
      <c r="Y1370" s="220">
        <f>X1370*0.1</f>
        <v>110000</v>
      </c>
      <c r="Z1370" s="220">
        <v>9200</v>
      </c>
      <c r="AA1370" s="220">
        <f>SUM(X1370:Z1370)</f>
        <v>1219200</v>
      </c>
      <c r="AB1370" s="222">
        <v>46056</v>
      </c>
    </row>
    <row r="1371" spans="1:28" ht="17.100000000000001" customHeight="1" thickBot="1">
      <c r="A1371" s="227"/>
      <c r="B1371" s="27" t="s">
        <v>3314</v>
      </c>
      <c r="C1371" s="27">
        <v>3007</v>
      </c>
      <c r="D1371" s="14" t="s">
        <v>1584</v>
      </c>
      <c r="E1371" s="229"/>
      <c r="F1371" s="117" t="s">
        <v>4540</v>
      </c>
      <c r="G1371" s="26">
        <v>9719</v>
      </c>
      <c r="H1371" s="231"/>
      <c r="I1371" s="221"/>
      <c r="J1371" s="221"/>
      <c r="K1371" s="221"/>
      <c r="L1371" s="221"/>
      <c r="M1371" s="221"/>
      <c r="N1371" s="221"/>
      <c r="O1371" s="225"/>
      <c r="P1371" s="118" t="s">
        <v>4541</v>
      </c>
      <c r="Q1371" s="16" t="s">
        <v>20</v>
      </c>
      <c r="R1371" s="17" t="s">
        <v>2951</v>
      </c>
      <c r="S1371" s="121" t="s">
        <v>4539</v>
      </c>
      <c r="T1371" s="122"/>
      <c r="U1371" s="22"/>
      <c r="V1371" s="123" t="s">
        <v>2472</v>
      </c>
      <c r="W1371" s="122">
        <v>62069</v>
      </c>
      <c r="X1371" s="221"/>
      <c r="Y1371" s="221"/>
      <c r="Z1371" s="221"/>
      <c r="AA1371" s="221"/>
      <c r="AB1371" s="223"/>
    </row>
    <row r="1372" spans="1:28" ht="17.100000000000001" customHeight="1" thickTop="1">
      <c r="A1372" s="226" t="s">
        <v>6317</v>
      </c>
      <c r="B1372" s="28">
        <v>45909</v>
      </c>
      <c r="C1372" s="25">
        <v>786</v>
      </c>
      <c r="D1372" s="13" t="s">
        <v>2652</v>
      </c>
      <c r="E1372" s="228"/>
      <c r="F1372" s="109" t="s">
        <v>4542</v>
      </c>
      <c r="G1372" s="24" t="s">
        <v>3453</v>
      </c>
      <c r="H1372" s="230">
        <v>5</v>
      </c>
      <c r="I1372" s="220">
        <v>1102000</v>
      </c>
      <c r="J1372" s="220">
        <f>I1372*0.1</f>
        <v>110200</v>
      </c>
      <c r="K1372" s="220">
        <v>0</v>
      </c>
      <c r="L1372" s="220">
        <v>8200</v>
      </c>
      <c r="M1372" s="220">
        <v>15950</v>
      </c>
      <c r="N1372" s="220">
        <f>SUM(I1372:M1373)</f>
        <v>1236350</v>
      </c>
      <c r="O1372" s="224"/>
      <c r="P1372" s="110" t="s">
        <v>4543</v>
      </c>
      <c r="Q1372" s="15" t="s">
        <v>19</v>
      </c>
      <c r="R1372" s="205"/>
      <c r="S1372" s="189" t="s">
        <v>25451</v>
      </c>
      <c r="T1372" s="114"/>
      <c r="U1372" s="21" t="s">
        <v>7564</v>
      </c>
      <c r="V1372" s="115">
        <v>45969</v>
      </c>
      <c r="W1372" s="116">
        <v>1275</v>
      </c>
      <c r="X1372" s="220">
        <v>1215000</v>
      </c>
      <c r="Y1372" s="220">
        <f>X1372*0.1</f>
        <v>121500</v>
      </c>
      <c r="Z1372" s="220">
        <v>8200</v>
      </c>
      <c r="AA1372" s="220">
        <f>SUM(X1372:Z1372)</f>
        <v>1344700</v>
      </c>
      <c r="AB1372" s="222">
        <v>45972</v>
      </c>
    </row>
    <row r="1373" spans="1:28" ht="17.100000000000001" customHeight="1" thickBot="1">
      <c r="A1373" s="227"/>
      <c r="B1373" s="27" t="s">
        <v>3314</v>
      </c>
      <c r="C1373" s="27">
        <v>3040</v>
      </c>
      <c r="D1373" s="14" t="s">
        <v>1584</v>
      </c>
      <c r="E1373" s="229"/>
      <c r="F1373" s="117" t="s">
        <v>4545</v>
      </c>
      <c r="G1373" s="26">
        <v>1012</v>
      </c>
      <c r="H1373" s="231"/>
      <c r="I1373" s="221"/>
      <c r="J1373" s="221"/>
      <c r="K1373" s="221"/>
      <c r="L1373" s="221"/>
      <c r="M1373" s="221"/>
      <c r="N1373" s="221"/>
      <c r="O1373" s="225"/>
      <c r="P1373" s="118" t="s">
        <v>4546</v>
      </c>
      <c r="Q1373" s="16" t="s">
        <v>20</v>
      </c>
      <c r="R1373" s="17" t="s">
        <v>2091</v>
      </c>
      <c r="S1373" s="121" t="s">
        <v>4544</v>
      </c>
      <c r="T1373" s="122"/>
      <c r="U1373" s="22"/>
      <c r="V1373" s="123" t="s">
        <v>2472</v>
      </c>
      <c r="W1373" s="122">
        <v>60037</v>
      </c>
      <c r="X1373" s="221"/>
      <c r="Y1373" s="221"/>
      <c r="Z1373" s="221"/>
      <c r="AA1373" s="221"/>
      <c r="AB1373" s="223"/>
    </row>
    <row r="1374" spans="1:28" ht="17.100000000000001" customHeight="1" thickTop="1">
      <c r="A1374" s="226" t="s">
        <v>6318</v>
      </c>
      <c r="B1374" s="28">
        <v>45909</v>
      </c>
      <c r="C1374" s="25">
        <v>906</v>
      </c>
      <c r="D1374" s="13" t="s">
        <v>812</v>
      </c>
      <c r="E1374" s="228"/>
      <c r="F1374" s="109" t="s">
        <v>4547</v>
      </c>
      <c r="G1374" s="24" t="s">
        <v>1551</v>
      </c>
      <c r="H1374" s="230">
        <v>4.5</v>
      </c>
      <c r="I1374" s="220">
        <v>1030000</v>
      </c>
      <c r="J1374" s="220">
        <f>I1374*0.1</f>
        <v>103000</v>
      </c>
      <c r="K1374" s="220">
        <v>0</v>
      </c>
      <c r="L1374" s="220">
        <v>8790</v>
      </c>
      <c r="M1374" s="220">
        <v>15950</v>
      </c>
      <c r="N1374" s="220">
        <f>SUM(I1374:M1375)</f>
        <v>1157740</v>
      </c>
      <c r="O1374" s="224"/>
      <c r="P1374" s="110" t="s">
        <v>4548</v>
      </c>
      <c r="Q1374" s="15" t="s">
        <v>19</v>
      </c>
      <c r="R1374" s="205"/>
      <c r="S1374" s="189" t="s">
        <v>25432</v>
      </c>
      <c r="T1374" s="114"/>
      <c r="U1374" s="21" t="s">
        <v>8164</v>
      </c>
      <c r="V1374" s="115">
        <v>45952</v>
      </c>
      <c r="W1374" s="116">
        <v>989</v>
      </c>
      <c r="X1374" s="220">
        <v>1070000</v>
      </c>
      <c r="Y1374" s="220">
        <f>X1374*0.1</f>
        <v>107000</v>
      </c>
      <c r="Z1374" s="220">
        <v>8790</v>
      </c>
      <c r="AA1374" s="220">
        <f>SUM(X1374:Z1374)</f>
        <v>1185790</v>
      </c>
      <c r="AB1374" s="222">
        <v>45957</v>
      </c>
    </row>
    <row r="1375" spans="1:28" ht="17.100000000000001" customHeight="1" thickBot="1">
      <c r="A1375" s="227"/>
      <c r="B1375" s="27" t="s">
        <v>2654</v>
      </c>
      <c r="C1375" s="27">
        <v>3069</v>
      </c>
      <c r="D1375" s="14" t="s">
        <v>2559</v>
      </c>
      <c r="E1375" s="229"/>
      <c r="F1375" s="117" t="s">
        <v>4549</v>
      </c>
      <c r="G1375" s="26">
        <v>56799</v>
      </c>
      <c r="H1375" s="231"/>
      <c r="I1375" s="221"/>
      <c r="J1375" s="221"/>
      <c r="K1375" s="221"/>
      <c r="L1375" s="221"/>
      <c r="M1375" s="221"/>
      <c r="N1375" s="221"/>
      <c r="O1375" s="225"/>
      <c r="P1375" s="118" t="s">
        <v>4550</v>
      </c>
      <c r="Q1375" s="16" t="s">
        <v>20</v>
      </c>
      <c r="R1375" s="17" t="s">
        <v>2091</v>
      </c>
      <c r="S1375" s="121" t="s">
        <v>4551</v>
      </c>
      <c r="T1375" s="122"/>
      <c r="U1375" s="22"/>
      <c r="V1375" s="123" t="s">
        <v>2747</v>
      </c>
      <c r="W1375" s="122">
        <v>2036</v>
      </c>
      <c r="X1375" s="221"/>
      <c r="Y1375" s="221"/>
      <c r="Z1375" s="221"/>
      <c r="AA1375" s="221"/>
      <c r="AB1375" s="223"/>
    </row>
    <row r="1376" spans="1:28" ht="17.100000000000001" customHeight="1" thickTop="1">
      <c r="A1376" s="226" t="s">
        <v>6319</v>
      </c>
      <c r="B1376" s="28">
        <v>45909</v>
      </c>
      <c r="C1376" s="25">
        <v>906</v>
      </c>
      <c r="D1376" s="13" t="s">
        <v>1915</v>
      </c>
      <c r="E1376" s="228"/>
      <c r="F1376" s="109" t="s">
        <v>4552</v>
      </c>
      <c r="G1376" s="24"/>
      <c r="H1376" s="230">
        <v>4</v>
      </c>
      <c r="I1376" s="220">
        <v>213000</v>
      </c>
      <c r="J1376" s="220">
        <f>I1376*0.1</f>
        <v>21300</v>
      </c>
      <c r="K1376" s="220">
        <v>0</v>
      </c>
      <c r="L1376" s="220">
        <v>7320</v>
      </c>
      <c r="M1376" s="220">
        <v>15950</v>
      </c>
      <c r="N1376" s="220">
        <f>SUM(I1376:M1377)</f>
        <v>257570</v>
      </c>
      <c r="O1376" s="224"/>
      <c r="P1376" s="110" t="s">
        <v>4553</v>
      </c>
      <c r="Q1376" s="15" t="s">
        <v>19</v>
      </c>
      <c r="R1376" s="205"/>
      <c r="S1376" s="189"/>
      <c r="T1376" s="114"/>
      <c r="U1376" s="21"/>
      <c r="V1376" s="115">
        <v>45934</v>
      </c>
      <c r="W1376" s="116">
        <v>1270</v>
      </c>
      <c r="X1376" s="220">
        <v>255000</v>
      </c>
      <c r="Y1376" s="220">
        <f>X1376*0.1</f>
        <v>25500</v>
      </c>
      <c r="Z1376" s="220">
        <v>7320</v>
      </c>
      <c r="AA1376" s="220">
        <f>SUM(X1376:Z1376)</f>
        <v>287820</v>
      </c>
      <c r="AB1376" s="222">
        <v>45937</v>
      </c>
    </row>
    <row r="1377" spans="1:28" ht="17.100000000000001" customHeight="1" thickBot="1">
      <c r="A1377" s="227"/>
      <c r="B1377" s="27" t="s">
        <v>2654</v>
      </c>
      <c r="C1377" s="27">
        <v>4226</v>
      </c>
      <c r="D1377" s="14" t="s">
        <v>898</v>
      </c>
      <c r="E1377" s="229"/>
      <c r="F1377" s="117" t="s">
        <v>4554</v>
      </c>
      <c r="G1377" s="26">
        <v>36385</v>
      </c>
      <c r="H1377" s="231"/>
      <c r="I1377" s="221"/>
      <c r="J1377" s="221"/>
      <c r="K1377" s="221"/>
      <c r="L1377" s="221"/>
      <c r="M1377" s="221"/>
      <c r="N1377" s="221"/>
      <c r="O1377" s="225"/>
      <c r="P1377" s="118" t="s">
        <v>4555</v>
      </c>
      <c r="Q1377" s="16" t="s">
        <v>20</v>
      </c>
      <c r="R1377" s="17" t="s">
        <v>2951</v>
      </c>
      <c r="S1377" s="121"/>
      <c r="T1377" s="122"/>
      <c r="U1377" s="22"/>
      <c r="V1377" s="123" t="s">
        <v>7160</v>
      </c>
      <c r="W1377" s="122">
        <v>60124</v>
      </c>
      <c r="X1377" s="221"/>
      <c r="Y1377" s="221"/>
      <c r="Z1377" s="221"/>
      <c r="AA1377" s="221"/>
      <c r="AB1377" s="223"/>
    </row>
    <row r="1378" spans="1:28" ht="17.100000000000001" customHeight="1" thickTop="1">
      <c r="A1378" s="226" t="s">
        <v>6320</v>
      </c>
      <c r="B1378" s="28">
        <v>45909</v>
      </c>
      <c r="C1378" s="25">
        <v>906</v>
      </c>
      <c r="D1378" s="13" t="s">
        <v>1740</v>
      </c>
      <c r="E1378" s="228"/>
      <c r="F1378" s="109" t="s">
        <v>4556</v>
      </c>
      <c r="G1378" s="24"/>
      <c r="H1378" s="230">
        <v>4</v>
      </c>
      <c r="I1378" s="220">
        <v>183000</v>
      </c>
      <c r="J1378" s="220">
        <f>I1378*0.1</f>
        <v>18300</v>
      </c>
      <c r="K1378" s="220">
        <v>0</v>
      </c>
      <c r="L1378" s="220">
        <v>7320</v>
      </c>
      <c r="M1378" s="220">
        <v>15950</v>
      </c>
      <c r="N1378" s="220">
        <f>SUM(I1378:M1379)</f>
        <v>224570</v>
      </c>
      <c r="O1378" s="224"/>
      <c r="P1378" s="110" t="s">
        <v>4557</v>
      </c>
      <c r="Q1378" s="15" t="s">
        <v>19</v>
      </c>
      <c r="R1378" s="205"/>
      <c r="S1378" s="189"/>
      <c r="T1378" s="114"/>
      <c r="U1378" s="21"/>
      <c r="V1378" s="115">
        <v>45948</v>
      </c>
      <c r="W1378" s="116">
        <v>1272</v>
      </c>
      <c r="X1378" s="220">
        <v>215000</v>
      </c>
      <c r="Y1378" s="220">
        <f>X1378*0.1</f>
        <v>21500</v>
      </c>
      <c r="Z1378" s="220">
        <v>7320</v>
      </c>
      <c r="AA1378" s="220">
        <f>SUM(X1378:Z1378)</f>
        <v>243820</v>
      </c>
      <c r="AB1378" s="222">
        <v>45951</v>
      </c>
    </row>
    <row r="1379" spans="1:28" ht="17.100000000000001" customHeight="1" thickBot="1">
      <c r="A1379" s="227"/>
      <c r="B1379" s="27" t="s">
        <v>2654</v>
      </c>
      <c r="C1379" s="27">
        <v>4230</v>
      </c>
      <c r="D1379" s="14" t="s">
        <v>3792</v>
      </c>
      <c r="E1379" s="229"/>
      <c r="F1379" s="117" t="s">
        <v>4558</v>
      </c>
      <c r="G1379" s="26">
        <v>32889</v>
      </c>
      <c r="H1379" s="231"/>
      <c r="I1379" s="221"/>
      <c r="J1379" s="221"/>
      <c r="K1379" s="221"/>
      <c r="L1379" s="221"/>
      <c r="M1379" s="221"/>
      <c r="N1379" s="221"/>
      <c r="O1379" s="225"/>
      <c r="P1379" s="118" t="s">
        <v>4555</v>
      </c>
      <c r="Q1379" s="16" t="s">
        <v>20</v>
      </c>
      <c r="R1379" s="17" t="s">
        <v>2951</v>
      </c>
      <c r="S1379" s="121" t="s">
        <v>4559</v>
      </c>
      <c r="T1379" s="122"/>
      <c r="U1379" s="22"/>
      <c r="V1379" s="123" t="s">
        <v>2472</v>
      </c>
      <c r="W1379" s="122">
        <v>60113</v>
      </c>
      <c r="X1379" s="221"/>
      <c r="Y1379" s="221"/>
      <c r="Z1379" s="221"/>
      <c r="AA1379" s="221"/>
      <c r="AB1379" s="223"/>
    </row>
    <row r="1380" spans="1:28" ht="17.100000000000001" customHeight="1" thickTop="1">
      <c r="A1380" s="226" t="s">
        <v>6321</v>
      </c>
      <c r="B1380" s="28">
        <v>45909</v>
      </c>
      <c r="C1380" s="25">
        <v>1207</v>
      </c>
      <c r="D1380" s="13" t="s">
        <v>3857</v>
      </c>
      <c r="E1380" s="228"/>
      <c r="F1380" s="109" t="s">
        <v>4560</v>
      </c>
      <c r="G1380" s="24"/>
      <c r="H1380" s="230">
        <v>4</v>
      </c>
      <c r="I1380" s="220">
        <v>1111000</v>
      </c>
      <c r="J1380" s="220">
        <f>I1380*0.1</f>
        <v>111100</v>
      </c>
      <c r="K1380" s="220">
        <v>0</v>
      </c>
      <c r="L1380" s="220">
        <v>20170</v>
      </c>
      <c r="M1380" s="220">
        <v>15950</v>
      </c>
      <c r="N1380" s="220">
        <f>SUM(I1380:M1381)</f>
        <v>1258220</v>
      </c>
      <c r="O1380" s="224"/>
      <c r="P1380" s="110" t="s">
        <v>4561</v>
      </c>
      <c r="Q1380" s="15" t="s">
        <v>19</v>
      </c>
      <c r="R1380" s="205"/>
      <c r="S1380" s="189"/>
      <c r="T1380" s="114"/>
      <c r="U1380" s="21"/>
      <c r="V1380" s="115">
        <v>45948</v>
      </c>
      <c r="W1380" s="116">
        <v>1272</v>
      </c>
      <c r="X1380" s="220">
        <v>1155000</v>
      </c>
      <c r="Y1380" s="220">
        <f>X1380*0.1</f>
        <v>115500</v>
      </c>
      <c r="Z1380" s="220">
        <v>20170</v>
      </c>
      <c r="AA1380" s="220">
        <f>SUM(X1380:Z1380)</f>
        <v>1290670</v>
      </c>
      <c r="AB1380" s="222">
        <v>45951</v>
      </c>
    </row>
    <row r="1381" spans="1:28" ht="17.100000000000001" customHeight="1" thickBot="1">
      <c r="A1381" s="227"/>
      <c r="B1381" s="27" t="s">
        <v>2344</v>
      </c>
      <c r="C1381" s="27">
        <v>5026</v>
      </c>
      <c r="D1381" s="14" t="s">
        <v>3274</v>
      </c>
      <c r="E1381" s="229"/>
      <c r="F1381" s="117" t="s">
        <v>4562</v>
      </c>
      <c r="G1381" s="26">
        <v>56759</v>
      </c>
      <c r="H1381" s="231"/>
      <c r="I1381" s="221"/>
      <c r="J1381" s="221"/>
      <c r="K1381" s="221"/>
      <c r="L1381" s="221"/>
      <c r="M1381" s="221"/>
      <c r="N1381" s="221"/>
      <c r="O1381" s="225"/>
      <c r="P1381" s="118" t="s">
        <v>4563</v>
      </c>
      <c r="Q1381" s="16" t="s">
        <v>20</v>
      </c>
      <c r="R1381" s="17" t="s">
        <v>4564</v>
      </c>
      <c r="S1381" s="121"/>
      <c r="T1381" s="122"/>
      <c r="U1381" s="22"/>
      <c r="V1381" s="123" t="s">
        <v>2472</v>
      </c>
      <c r="W1381" s="122">
        <v>80032</v>
      </c>
      <c r="X1381" s="221"/>
      <c r="Y1381" s="221"/>
      <c r="Z1381" s="221"/>
      <c r="AA1381" s="221"/>
      <c r="AB1381" s="223"/>
    </row>
    <row r="1382" spans="1:28" ht="17.100000000000001" customHeight="1" thickTop="1">
      <c r="A1382" s="226" t="s">
        <v>6322</v>
      </c>
      <c r="B1382" s="28">
        <v>45909</v>
      </c>
      <c r="C1382" s="25">
        <v>956</v>
      </c>
      <c r="D1382" s="13" t="s">
        <v>1704</v>
      </c>
      <c r="E1382" s="228"/>
      <c r="F1382" s="109" t="s">
        <v>4565</v>
      </c>
      <c r="G1382" s="24"/>
      <c r="H1382" s="230">
        <v>4</v>
      </c>
      <c r="I1382" s="220">
        <v>1109000</v>
      </c>
      <c r="J1382" s="220">
        <f>I1382*0.1</f>
        <v>110900</v>
      </c>
      <c r="K1382" s="220">
        <v>0</v>
      </c>
      <c r="L1382" s="220">
        <v>8740</v>
      </c>
      <c r="M1382" s="220">
        <v>22000</v>
      </c>
      <c r="N1382" s="220">
        <f>SUM(I1382:M1383)</f>
        <v>1250640</v>
      </c>
      <c r="O1382" s="224"/>
      <c r="P1382" s="110" t="s">
        <v>4566</v>
      </c>
      <c r="Q1382" s="15" t="s">
        <v>19</v>
      </c>
      <c r="R1382" s="205"/>
      <c r="S1382" s="189" t="s">
        <v>1113</v>
      </c>
      <c r="T1382" s="114"/>
      <c r="U1382" s="21"/>
      <c r="V1382" s="115">
        <v>46144</v>
      </c>
      <c r="W1382" s="116">
        <v>1299</v>
      </c>
      <c r="X1382" s="220">
        <v>1125000</v>
      </c>
      <c r="Y1382" s="220">
        <f>X1382*0.1</f>
        <v>112500</v>
      </c>
      <c r="Z1382" s="220">
        <v>8740</v>
      </c>
      <c r="AA1382" s="220">
        <f>SUM(X1382:Z1382)</f>
        <v>1246240</v>
      </c>
      <c r="AB1382" s="222">
        <v>46154</v>
      </c>
    </row>
    <row r="1383" spans="1:28" ht="17.100000000000001" customHeight="1" thickBot="1">
      <c r="A1383" s="227"/>
      <c r="B1383" s="27" t="s">
        <v>2029</v>
      </c>
      <c r="C1383" s="27">
        <v>21</v>
      </c>
      <c r="D1383" s="14" t="s">
        <v>3955</v>
      </c>
      <c r="E1383" s="229"/>
      <c r="F1383" s="117" t="s">
        <v>4567</v>
      </c>
      <c r="G1383" s="26">
        <v>52330</v>
      </c>
      <c r="H1383" s="231"/>
      <c r="I1383" s="221"/>
      <c r="J1383" s="221"/>
      <c r="K1383" s="221"/>
      <c r="L1383" s="221"/>
      <c r="M1383" s="221"/>
      <c r="N1383" s="221"/>
      <c r="O1383" s="225"/>
      <c r="P1383" s="118" t="s">
        <v>2446</v>
      </c>
      <c r="Q1383" s="16" t="s">
        <v>20</v>
      </c>
      <c r="R1383" s="17" t="s">
        <v>1563</v>
      </c>
      <c r="S1383" s="121" t="s">
        <v>9305</v>
      </c>
      <c r="T1383" s="122"/>
      <c r="U1383" s="22"/>
      <c r="V1383" s="123" t="s">
        <v>24346</v>
      </c>
      <c r="W1383" s="122">
        <v>60123</v>
      </c>
      <c r="X1383" s="221"/>
      <c r="Y1383" s="221"/>
      <c r="Z1383" s="221"/>
      <c r="AA1383" s="221"/>
      <c r="AB1383" s="223"/>
    </row>
    <row r="1384" spans="1:28" ht="17.100000000000001" customHeight="1" thickTop="1">
      <c r="A1384" s="226" t="s">
        <v>6323</v>
      </c>
      <c r="B1384" s="28">
        <v>45911</v>
      </c>
      <c r="C1384" s="25">
        <v>1532</v>
      </c>
      <c r="D1384" s="13" t="s">
        <v>2129</v>
      </c>
      <c r="E1384" s="228"/>
      <c r="F1384" s="109" t="s">
        <v>4568</v>
      </c>
      <c r="G1384" s="24" t="s">
        <v>4569</v>
      </c>
      <c r="H1384" s="230">
        <v>4.5</v>
      </c>
      <c r="I1384" s="220">
        <v>1510000</v>
      </c>
      <c r="J1384" s="220">
        <f>I1384*0.1</f>
        <v>151000</v>
      </c>
      <c r="K1384" s="220">
        <f>17200+1720</f>
        <v>18920</v>
      </c>
      <c r="L1384" s="220">
        <v>14260</v>
      </c>
      <c r="M1384" s="220">
        <v>16500</v>
      </c>
      <c r="N1384" s="220">
        <f>SUM(I1384:M1385)</f>
        <v>1710680</v>
      </c>
      <c r="O1384" s="224"/>
      <c r="P1384" s="110" t="s">
        <v>4570</v>
      </c>
      <c r="Q1384" s="15" t="s">
        <v>19</v>
      </c>
      <c r="R1384" s="205"/>
      <c r="S1384" s="189" t="s">
        <v>758</v>
      </c>
      <c r="T1384" s="114" t="s">
        <v>8779</v>
      </c>
      <c r="U1384" s="21" t="s">
        <v>9375</v>
      </c>
      <c r="V1384" s="115">
        <v>46163</v>
      </c>
      <c r="W1384" s="116">
        <v>1331</v>
      </c>
      <c r="X1384" s="220">
        <v>1555000</v>
      </c>
      <c r="Y1384" s="220">
        <f>X1384*0.1</f>
        <v>155500</v>
      </c>
      <c r="Z1384" s="220">
        <v>14260</v>
      </c>
      <c r="AA1384" s="220">
        <f>SUM(X1384:Z1384)</f>
        <v>1724760</v>
      </c>
      <c r="AB1384" s="222">
        <v>46164</v>
      </c>
    </row>
    <row r="1385" spans="1:28" ht="17.100000000000001" customHeight="1" thickBot="1">
      <c r="A1385" s="227"/>
      <c r="B1385" s="27" t="s">
        <v>1592</v>
      </c>
      <c r="C1385" s="27">
        <v>79031</v>
      </c>
      <c r="D1385" s="14" t="s">
        <v>898</v>
      </c>
      <c r="E1385" s="229"/>
      <c r="F1385" s="117" t="s">
        <v>4571</v>
      </c>
      <c r="G1385" s="26">
        <v>54587</v>
      </c>
      <c r="H1385" s="231"/>
      <c r="I1385" s="221"/>
      <c r="J1385" s="221"/>
      <c r="K1385" s="221"/>
      <c r="L1385" s="221"/>
      <c r="M1385" s="221"/>
      <c r="N1385" s="221"/>
      <c r="O1385" s="225"/>
      <c r="P1385" s="118" t="s">
        <v>4572</v>
      </c>
      <c r="Q1385" s="16" t="s">
        <v>20</v>
      </c>
      <c r="R1385" s="17" t="s">
        <v>4564</v>
      </c>
      <c r="S1385" s="121" t="s">
        <v>4573</v>
      </c>
      <c r="T1385" s="122"/>
      <c r="U1385" s="22"/>
      <c r="V1385" s="123" t="s">
        <v>1735</v>
      </c>
      <c r="W1385" s="122">
        <v>76</v>
      </c>
      <c r="X1385" s="221"/>
      <c r="Y1385" s="221"/>
      <c r="Z1385" s="221"/>
      <c r="AA1385" s="221"/>
      <c r="AB1385" s="223"/>
    </row>
    <row r="1386" spans="1:28" ht="17.100000000000001" customHeight="1" thickTop="1">
      <c r="A1386" s="226" t="s">
        <v>6324</v>
      </c>
      <c r="B1386" s="28">
        <v>45911</v>
      </c>
      <c r="C1386" s="25">
        <v>1993</v>
      </c>
      <c r="D1386" s="13" t="s">
        <v>4574</v>
      </c>
      <c r="E1386" s="228"/>
      <c r="F1386" s="109" t="s">
        <v>4575</v>
      </c>
      <c r="G1386" s="24" t="s">
        <v>2487</v>
      </c>
      <c r="H1386" s="230">
        <v>3.5</v>
      </c>
      <c r="I1386" s="220">
        <v>460000</v>
      </c>
      <c r="J1386" s="220">
        <f>I1386*0.1</f>
        <v>46000</v>
      </c>
      <c r="K1386" s="220">
        <v>0</v>
      </c>
      <c r="L1386" s="220">
        <v>8540</v>
      </c>
      <c r="M1386" s="220">
        <v>22000</v>
      </c>
      <c r="N1386" s="220">
        <f>SUM(I1386:M1387)</f>
        <v>536540</v>
      </c>
      <c r="O1386" s="224"/>
      <c r="P1386" s="110" t="s">
        <v>4576</v>
      </c>
      <c r="Q1386" s="15" t="s">
        <v>19</v>
      </c>
      <c r="R1386" s="205"/>
      <c r="S1386" s="189" t="s">
        <v>25452</v>
      </c>
      <c r="T1386" s="114"/>
      <c r="U1386" s="21" t="s">
        <v>7610</v>
      </c>
      <c r="V1386" s="115">
        <v>45934</v>
      </c>
      <c r="W1386" s="116">
        <v>1270</v>
      </c>
      <c r="X1386" s="220">
        <v>580000</v>
      </c>
      <c r="Y1386" s="220">
        <f>X1386*0.1</f>
        <v>58000</v>
      </c>
      <c r="Z1386" s="220">
        <v>8540</v>
      </c>
      <c r="AA1386" s="220">
        <f>SUM(X1386:Z1386)</f>
        <v>646540</v>
      </c>
      <c r="AB1386" s="222">
        <v>45944</v>
      </c>
    </row>
    <row r="1387" spans="1:28" ht="17.100000000000001" customHeight="1" thickBot="1">
      <c r="A1387" s="227"/>
      <c r="B1387" s="27" t="s">
        <v>2171</v>
      </c>
      <c r="C1387" s="27">
        <v>50135</v>
      </c>
      <c r="D1387" s="14" t="s">
        <v>1710</v>
      </c>
      <c r="E1387" s="229"/>
      <c r="F1387" s="117" t="s">
        <v>4577</v>
      </c>
      <c r="G1387" s="26">
        <v>75848</v>
      </c>
      <c r="H1387" s="231"/>
      <c r="I1387" s="221"/>
      <c r="J1387" s="221"/>
      <c r="K1387" s="221"/>
      <c r="L1387" s="221"/>
      <c r="M1387" s="221"/>
      <c r="N1387" s="221"/>
      <c r="O1387" s="225"/>
      <c r="P1387" s="118" t="s">
        <v>4578</v>
      </c>
      <c r="Q1387" s="16" t="s">
        <v>20</v>
      </c>
      <c r="R1387" s="17" t="s">
        <v>1587</v>
      </c>
      <c r="S1387" s="121" t="s">
        <v>4579</v>
      </c>
      <c r="T1387" s="122"/>
      <c r="U1387" s="22"/>
      <c r="V1387" s="123" t="s">
        <v>6641</v>
      </c>
      <c r="W1387" s="122">
        <v>60139</v>
      </c>
      <c r="X1387" s="221"/>
      <c r="Y1387" s="221"/>
      <c r="Z1387" s="221"/>
      <c r="AA1387" s="221"/>
      <c r="AB1387" s="223"/>
    </row>
    <row r="1388" spans="1:28" ht="17.100000000000001" customHeight="1" thickTop="1">
      <c r="A1388" s="226" t="s">
        <v>6325</v>
      </c>
      <c r="B1388" s="28">
        <v>45911</v>
      </c>
      <c r="C1388" s="25">
        <v>1297</v>
      </c>
      <c r="D1388" s="13" t="s">
        <v>2313</v>
      </c>
      <c r="E1388" s="228"/>
      <c r="F1388" s="109" t="s">
        <v>4580</v>
      </c>
      <c r="G1388" s="24"/>
      <c r="H1388" s="230">
        <v>4.5</v>
      </c>
      <c r="I1388" s="220">
        <v>1145000</v>
      </c>
      <c r="J1388" s="220">
        <f>I1388*0.1</f>
        <v>114500</v>
      </c>
      <c r="K1388" s="220">
        <v>0</v>
      </c>
      <c r="L1388" s="220">
        <v>20950</v>
      </c>
      <c r="M1388" s="220">
        <v>14300</v>
      </c>
      <c r="N1388" s="220">
        <f>SUM(I1388:M1389)</f>
        <v>1294750</v>
      </c>
      <c r="O1388" s="224"/>
      <c r="P1388" s="110" t="s">
        <v>4581</v>
      </c>
      <c r="Q1388" s="15" t="s">
        <v>19</v>
      </c>
      <c r="R1388" s="205"/>
      <c r="S1388" s="189" t="s">
        <v>25453</v>
      </c>
      <c r="T1388" s="114"/>
      <c r="U1388" s="21"/>
      <c r="V1388" s="115">
        <v>45934</v>
      </c>
      <c r="W1388" s="116">
        <v>1270</v>
      </c>
      <c r="X1388" s="220">
        <v>1220000</v>
      </c>
      <c r="Y1388" s="220">
        <f>X1388*0.1</f>
        <v>122000</v>
      </c>
      <c r="Z1388" s="220">
        <v>20950</v>
      </c>
      <c r="AA1388" s="220">
        <f>SUM(X1388:Z1388)</f>
        <v>1362950</v>
      </c>
      <c r="AB1388" s="222">
        <v>45937</v>
      </c>
    </row>
    <row r="1389" spans="1:28" ht="17.100000000000001" customHeight="1" thickBot="1">
      <c r="A1389" s="227"/>
      <c r="B1389" s="27" t="s">
        <v>1735</v>
      </c>
      <c r="C1389" s="27">
        <v>661</v>
      </c>
      <c r="D1389" s="14" t="s">
        <v>2059</v>
      </c>
      <c r="E1389" s="229"/>
      <c r="F1389" s="117" t="s">
        <v>4582</v>
      </c>
      <c r="G1389" s="26">
        <v>32960</v>
      </c>
      <c r="H1389" s="231"/>
      <c r="I1389" s="221"/>
      <c r="J1389" s="221"/>
      <c r="K1389" s="221"/>
      <c r="L1389" s="221"/>
      <c r="M1389" s="221"/>
      <c r="N1389" s="221"/>
      <c r="O1389" s="225"/>
      <c r="P1389" s="118" t="s">
        <v>4583</v>
      </c>
      <c r="Q1389" s="16" t="s">
        <v>20</v>
      </c>
      <c r="R1389" s="17" t="s">
        <v>1587</v>
      </c>
      <c r="S1389" s="121" t="s">
        <v>4584</v>
      </c>
      <c r="T1389" s="122"/>
      <c r="U1389" s="22"/>
      <c r="V1389" s="123" t="s">
        <v>7160</v>
      </c>
      <c r="W1389" s="122">
        <v>80010</v>
      </c>
      <c r="X1389" s="221"/>
      <c r="Y1389" s="221"/>
      <c r="Z1389" s="221"/>
      <c r="AA1389" s="221"/>
      <c r="AB1389" s="223"/>
    </row>
    <row r="1390" spans="1:28" ht="17.100000000000001" customHeight="1" thickTop="1">
      <c r="A1390" s="226" t="s">
        <v>6326</v>
      </c>
      <c r="B1390" s="28">
        <v>45911</v>
      </c>
      <c r="C1390" s="25">
        <v>1297</v>
      </c>
      <c r="D1390" s="13" t="s">
        <v>1871</v>
      </c>
      <c r="E1390" s="228"/>
      <c r="F1390" s="109" t="s">
        <v>4585</v>
      </c>
      <c r="G1390" s="24"/>
      <c r="H1390" s="230">
        <v>4.5</v>
      </c>
      <c r="I1390" s="220">
        <v>1385000</v>
      </c>
      <c r="J1390" s="220">
        <f>I1390*0.1</f>
        <v>138500</v>
      </c>
      <c r="K1390" s="220">
        <v>0</v>
      </c>
      <c r="L1390" s="220">
        <v>19150</v>
      </c>
      <c r="M1390" s="220">
        <v>14300</v>
      </c>
      <c r="N1390" s="220">
        <f>SUM(I1390:M1391)</f>
        <v>1556950</v>
      </c>
      <c r="O1390" s="224"/>
      <c r="P1390" s="110" t="s">
        <v>4586</v>
      </c>
      <c r="Q1390" s="15" t="s">
        <v>19</v>
      </c>
      <c r="R1390" s="205"/>
      <c r="S1390" s="189" t="s">
        <v>25454</v>
      </c>
      <c r="T1390" s="114"/>
      <c r="U1390" s="21"/>
      <c r="V1390" s="115">
        <v>45934</v>
      </c>
      <c r="W1390" s="116">
        <v>1270</v>
      </c>
      <c r="X1390" s="220">
        <v>1410000</v>
      </c>
      <c r="Y1390" s="220">
        <f>X1390*0.1</f>
        <v>141000</v>
      </c>
      <c r="Z1390" s="220">
        <v>19150</v>
      </c>
      <c r="AA1390" s="220">
        <f>SUM(X1390:Z1390)</f>
        <v>1570150</v>
      </c>
      <c r="AB1390" s="222">
        <v>45938</v>
      </c>
    </row>
    <row r="1391" spans="1:28" ht="17.100000000000001" customHeight="1" thickBot="1">
      <c r="A1391" s="227"/>
      <c r="B1391" s="27" t="s">
        <v>1735</v>
      </c>
      <c r="C1391" s="27">
        <v>805</v>
      </c>
      <c r="D1391" s="14" t="s">
        <v>1710</v>
      </c>
      <c r="E1391" s="229"/>
      <c r="F1391" s="117" t="s">
        <v>4587</v>
      </c>
      <c r="G1391" s="26">
        <v>48714</v>
      </c>
      <c r="H1391" s="231"/>
      <c r="I1391" s="221"/>
      <c r="J1391" s="221"/>
      <c r="K1391" s="221"/>
      <c r="L1391" s="221"/>
      <c r="M1391" s="221"/>
      <c r="N1391" s="221"/>
      <c r="O1391" s="225"/>
      <c r="P1391" s="118" t="s">
        <v>1844</v>
      </c>
      <c r="Q1391" s="16" t="s">
        <v>20</v>
      </c>
      <c r="R1391" s="17" t="s">
        <v>1587</v>
      </c>
      <c r="S1391" s="121" t="s">
        <v>4588</v>
      </c>
      <c r="T1391" s="122"/>
      <c r="U1391" s="22"/>
      <c r="V1391" s="123" t="s">
        <v>7160</v>
      </c>
      <c r="W1391" s="122">
        <v>80032</v>
      </c>
      <c r="X1391" s="221"/>
      <c r="Y1391" s="221"/>
      <c r="Z1391" s="221"/>
      <c r="AA1391" s="221"/>
      <c r="AB1391" s="223"/>
    </row>
    <row r="1392" spans="1:28" ht="17.100000000000001" customHeight="1" thickTop="1">
      <c r="A1392" s="226" t="s">
        <v>6327</v>
      </c>
      <c r="B1392" s="28">
        <v>45911</v>
      </c>
      <c r="C1392" s="25">
        <v>2125</v>
      </c>
      <c r="D1392" s="13" t="s">
        <v>4589</v>
      </c>
      <c r="E1392" s="228"/>
      <c r="F1392" s="109" t="s">
        <v>4590</v>
      </c>
      <c r="G1392" s="24" t="s">
        <v>4591</v>
      </c>
      <c r="H1392" s="230">
        <v>4</v>
      </c>
      <c r="I1392" s="220">
        <v>177000</v>
      </c>
      <c r="J1392" s="220">
        <f>I1392*0.1</f>
        <v>17700</v>
      </c>
      <c r="K1392" s="220">
        <v>0</v>
      </c>
      <c r="L1392" s="220">
        <v>9470</v>
      </c>
      <c r="M1392" s="220">
        <v>13750</v>
      </c>
      <c r="N1392" s="220">
        <f>SUM(I1392:M1393)</f>
        <v>217920</v>
      </c>
      <c r="O1392" s="224"/>
      <c r="P1392" s="110" t="s">
        <v>4592</v>
      </c>
      <c r="Q1392" s="15" t="s">
        <v>19</v>
      </c>
      <c r="R1392" s="205"/>
      <c r="S1392" s="189" t="s">
        <v>25455</v>
      </c>
      <c r="T1392" s="114"/>
      <c r="U1392" s="21"/>
      <c r="V1392" s="115">
        <v>45948</v>
      </c>
      <c r="W1392" s="116">
        <v>1272</v>
      </c>
      <c r="X1392" s="220">
        <v>240000</v>
      </c>
      <c r="Y1392" s="220">
        <f>X1392*0.1</f>
        <v>24000</v>
      </c>
      <c r="Z1392" s="220">
        <v>9470</v>
      </c>
      <c r="AA1392" s="220">
        <f>SUM(X1392:Z1392)</f>
        <v>273470</v>
      </c>
      <c r="AB1392" s="222">
        <v>45958</v>
      </c>
    </row>
    <row r="1393" spans="1:28" ht="17.100000000000001" customHeight="1" thickBot="1">
      <c r="A1393" s="227"/>
      <c r="B1393" s="27" t="s">
        <v>3228</v>
      </c>
      <c r="C1393" s="27">
        <v>2032</v>
      </c>
      <c r="D1393" s="14" t="s">
        <v>2014</v>
      </c>
      <c r="E1393" s="229"/>
      <c r="F1393" s="117" t="s">
        <v>4593</v>
      </c>
      <c r="G1393" s="26">
        <v>56404</v>
      </c>
      <c r="H1393" s="231"/>
      <c r="I1393" s="221"/>
      <c r="J1393" s="221"/>
      <c r="K1393" s="221"/>
      <c r="L1393" s="221"/>
      <c r="M1393" s="221"/>
      <c r="N1393" s="221"/>
      <c r="O1393" s="225"/>
      <c r="P1393" s="118" t="s">
        <v>4594</v>
      </c>
      <c r="Q1393" s="16" t="s">
        <v>20</v>
      </c>
      <c r="R1393" s="17" t="s">
        <v>2071</v>
      </c>
      <c r="S1393" s="121" t="s">
        <v>2025</v>
      </c>
      <c r="T1393" s="122"/>
      <c r="U1393" s="22"/>
      <c r="V1393" s="123" t="s">
        <v>6641</v>
      </c>
      <c r="W1393" s="122">
        <v>60128</v>
      </c>
      <c r="X1393" s="221"/>
      <c r="Y1393" s="221"/>
      <c r="Z1393" s="221"/>
      <c r="AA1393" s="221"/>
      <c r="AB1393" s="223"/>
    </row>
    <row r="1394" spans="1:28" ht="17.100000000000001" customHeight="1" thickTop="1">
      <c r="A1394" s="226" t="s">
        <v>6328</v>
      </c>
      <c r="B1394" s="28">
        <v>45911</v>
      </c>
      <c r="C1394" s="25">
        <v>2125</v>
      </c>
      <c r="D1394" s="13" t="s">
        <v>2913</v>
      </c>
      <c r="E1394" s="228"/>
      <c r="F1394" s="109" t="s">
        <v>4595</v>
      </c>
      <c r="G1394" s="24" t="s">
        <v>4596</v>
      </c>
      <c r="H1394" s="230">
        <v>4.5</v>
      </c>
      <c r="I1394" s="220">
        <v>1031000</v>
      </c>
      <c r="J1394" s="220">
        <f>I1394*0.1</f>
        <v>103100</v>
      </c>
      <c r="K1394" s="220">
        <v>0</v>
      </c>
      <c r="L1394" s="220">
        <v>7150</v>
      </c>
      <c r="M1394" s="220">
        <v>13750</v>
      </c>
      <c r="N1394" s="220">
        <f>SUM(I1394:M1395)</f>
        <v>1155000</v>
      </c>
      <c r="O1394" s="224"/>
      <c r="P1394" s="110" t="s">
        <v>4597</v>
      </c>
      <c r="Q1394" s="15" t="s">
        <v>19</v>
      </c>
      <c r="R1394" s="205"/>
      <c r="S1394" s="189"/>
      <c r="T1394" s="114"/>
      <c r="U1394" s="21" t="s">
        <v>7229</v>
      </c>
      <c r="V1394" s="115">
        <v>45934</v>
      </c>
      <c r="W1394" s="116">
        <v>1270</v>
      </c>
      <c r="X1394" s="220">
        <v>1105000</v>
      </c>
      <c r="Y1394" s="220">
        <f>X1394*0.1</f>
        <v>110500</v>
      </c>
      <c r="Z1394" s="220">
        <v>7150</v>
      </c>
      <c r="AA1394" s="220">
        <f>SUM(X1394:Z1394)</f>
        <v>1222650</v>
      </c>
      <c r="AB1394" s="222">
        <v>45939</v>
      </c>
    </row>
    <row r="1395" spans="1:28" ht="17.100000000000001" customHeight="1" thickBot="1">
      <c r="A1395" s="227"/>
      <c r="B1395" s="27" t="s">
        <v>3228</v>
      </c>
      <c r="C1395" s="27">
        <v>2504</v>
      </c>
      <c r="D1395" s="14" t="s">
        <v>273</v>
      </c>
      <c r="E1395" s="229"/>
      <c r="F1395" s="117" t="s">
        <v>4598</v>
      </c>
      <c r="G1395" s="26">
        <v>29339</v>
      </c>
      <c r="H1395" s="231"/>
      <c r="I1395" s="221"/>
      <c r="J1395" s="221"/>
      <c r="K1395" s="221"/>
      <c r="L1395" s="221"/>
      <c r="M1395" s="221"/>
      <c r="N1395" s="221"/>
      <c r="O1395" s="225"/>
      <c r="P1395" s="118" t="s">
        <v>4599</v>
      </c>
      <c r="Q1395" s="16" t="s">
        <v>20</v>
      </c>
      <c r="R1395" s="17" t="s">
        <v>1587</v>
      </c>
      <c r="S1395" s="121" t="s">
        <v>4600</v>
      </c>
      <c r="T1395" s="122"/>
      <c r="U1395" s="22"/>
      <c r="V1395" s="123" t="s">
        <v>7160</v>
      </c>
      <c r="W1395" s="122">
        <v>60279</v>
      </c>
      <c r="X1395" s="221"/>
      <c r="Y1395" s="221"/>
      <c r="Z1395" s="221"/>
      <c r="AA1395" s="221"/>
      <c r="AB1395" s="223"/>
    </row>
    <row r="1396" spans="1:28" ht="17.100000000000001" customHeight="1" thickTop="1">
      <c r="A1396" s="226" t="s">
        <v>6329</v>
      </c>
      <c r="B1396" s="28">
        <v>45911</v>
      </c>
      <c r="C1396" s="25">
        <v>2125</v>
      </c>
      <c r="D1396" s="13" t="s">
        <v>1642</v>
      </c>
      <c r="E1396" s="228"/>
      <c r="F1396" s="109" t="s">
        <v>4601</v>
      </c>
      <c r="G1396" s="24" t="s">
        <v>4602</v>
      </c>
      <c r="H1396" s="230">
        <v>4</v>
      </c>
      <c r="I1396" s="220">
        <v>1220000</v>
      </c>
      <c r="J1396" s="220">
        <f>I1396*0.1</f>
        <v>122000</v>
      </c>
      <c r="K1396" s="220">
        <v>0</v>
      </c>
      <c r="L1396" s="220">
        <v>8630</v>
      </c>
      <c r="M1396" s="220">
        <v>13750</v>
      </c>
      <c r="N1396" s="220">
        <f>SUM(I1396:M1397)</f>
        <v>1364380</v>
      </c>
      <c r="O1396" s="224"/>
      <c r="P1396" s="110" t="s">
        <v>4603</v>
      </c>
      <c r="Q1396" s="15" t="s">
        <v>19</v>
      </c>
      <c r="R1396" s="205"/>
      <c r="S1396" s="189" t="s">
        <v>1276</v>
      </c>
      <c r="T1396" s="114"/>
      <c r="U1396" s="21" t="s">
        <v>8163</v>
      </c>
      <c r="V1396" s="115">
        <v>46071</v>
      </c>
      <c r="W1396" s="116">
        <v>1005</v>
      </c>
      <c r="X1396" s="220">
        <v>1210000</v>
      </c>
      <c r="Y1396" s="220">
        <f>X1396*0.1</f>
        <v>121000</v>
      </c>
      <c r="Z1396" s="220">
        <v>8630</v>
      </c>
      <c r="AA1396" s="220">
        <f>SUM(X1396:Z1396)</f>
        <v>1339630</v>
      </c>
      <c r="AB1396" s="222">
        <v>46073</v>
      </c>
    </row>
    <row r="1397" spans="1:28" ht="17.100000000000001" customHeight="1" thickBot="1">
      <c r="A1397" s="227"/>
      <c r="B1397" s="27" t="s">
        <v>3228</v>
      </c>
      <c r="C1397" s="27">
        <v>2509</v>
      </c>
      <c r="D1397" s="14" t="s">
        <v>1568</v>
      </c>
      <c r="E1397" s="229"/>
      <c r="F1397" s="117" t="s">
        <v>8162</v>
      </c>
      <c r="G1397" s="26">
        <v>43631</v>
      </c>
      <c r="H1397" s="231"/>
      <c r="I1397" s="221"/>
      <c r="J1397" s="221"/>
      <c r="K1397" s="221"/>
      <c r="L1397" s="221"/>
      <c r="M1397" s="221"/>
      <c r="N1397" s="221"/>
      <c r="O1397" s="225"/>
      <c r="P1397" s="118" t="s">
        <v>4604</v>
      </c>
      <c r="Q1397" s="16" t="s">
        <v>20</v>
      </c>
      <c r="R1397" s="17" t="s">
        <v>1587</v>
      </c>
      <c r="S1397" s="121" t="s">
        <v>1923</v>
      </c>
      <c r="T1397" s="122"/>
      <c r="U1397" s="22"/>
      <c r="V1397" s="123" t="s">
        <v>2747</v>
      </c>
      <c r="W1397" s="122">
        <v>2038</v>
      </c>
      <c r="X1397" s="221"/>
      <c r="Y1397" s="221"/>
      <c r="Z1397" s="221"/>
      <c r="AA1397" s="221"/>
      <c r="AB1397" s="223"/>
    </row>
    <row r="1398" spans="1:28" ht="17.100000000000001" customHeight="1" thickTop="1">
      <c r="A1398" s="226" t="s">
        <v>6330</v>
      </c>
      <c r="B1398" s="28">
        <v>45911</v>
      </c>
      <c r="C1398" s="25">
        <v>2125</v>
      </c>
      <c r="D1398" s="13" t="s">
        <v>1953</v>
      </c>
      <c r="E1398" s="228"/>
      <c r="F1398" s="109" t="s">
        <v>4605</v>
      </c>
      <c r="G1398" s="24" t="s">
        <v>4139</v>
      </c>
      <c r="H1398" s="230">
        <v>4.5</v>
      </c>
      <c r="I1398" s="220">
        <v>1040000</v>
      </c>
      <c r="J1398" s="220">
        <f>I1398*0.1</f>
        <v>104000</v>
      </c>
      <c r="K1398" s="220">
        <v>0</v>
      </c>
      <c r="L1398" s="220">
        <v>8430</v>
      </c>
      <c r="M1398" s="220">
        <v>13750</v>
      </c>
      <c r="N1398" s="220">
        <f>SUM(I1398:M1399)</f>
        <v>1166180</v>
      </c>
      <c r="O1398" s="224"/>
      <c r="P1398" s="110" t="s">
        <v>4606</v>
      </c>
      <c r="Q1398" s="15" t="s">
        <v>19</v>
      </c>
      <c r="R1398" s="205"/>
      <c r="S1398" s="189" t="s">
        <v>25367</v>
      </c>
      <c r="T1398" s="114"/>
      <c r="U1398" s="21" t="s">
        <v>8161</v>
      </c>
      <c r="V1398" s="115">
        <v>45941</v>
      </c>
      <c r="W1398" s="116">
        <v>1271</v>
      </c>
      <c r="X1398" s="220">
        <v>1140000</v>
      </c>
      <c r="Y1398" s="220">
        <f>X1398*0.1</f>
        <v>114000</v>
      </c>
      <c r="Z1398" s="220">
        <v>8430</v>
      </c>
      <c r="AA1398" s="220">
        <f>SUM(X1398:Z1398)</f>
        <v>1262430</v>
      </c>
      <c r="AB1398" s="222">
        <v>45950</v>
      </c>
    </row>
    <row r="1399" spans="1:28" ht="17.100000000000001" customHeight="1" thickBot="1">
      <c r="A1399" s="227"/>
      <c r="B1399" s="27" t="s">
        <v>3228</v>
      </c>
      <c r="C1399" s="27">
        <v>2559</v>
      </c>
      <c r="D1399" s="14" t="s">
        <v>273</v>
      </c>
      <c r="E1399" s="229"/>
      <c r="F1399" s="117" t="s">
        <v>4607</v>
      </c>
      <c r="G1399" s="26">
        <v>8709</v>
      </c>
      <c r="H1399" s="231"/>
      <c r="I1399" s="221"/>
      <c r="J1399" s="221"/>
      <c r="K1399" s="221"/>
      <c r="L1399" s="221"/>
      <c r="M1399" s="221"/>
      <c r="N1399" s="221"/>
      <c r="O1399" s="225"/>
      <c r="P1399" s="118" t="s">
        <v>4608</v>
      </c>
      <c r="Q1399" s="16" t="s">
        <v>20</v>
      </c>
      <c r="R1399" s="17" t="s">
        <v>1587</v>
      </c>
      <c r="S1399" s="121" t="s">
        <v>4609</v>
      </c>
      <c r="T1399" s="122"/>
      <c r="U1399" s="22"/>
      <c r="V1399" s="123" t="s">
        <v>2472</v>
      </c>
      <c r="W1399" s="122">
        <v>60260</v>
      </c>
      <c r="X1399" s="221"/>
      <c r="Y1399" s="221"/>
      <c r="Z1399" s="221"/>
      <c r="AA1399" s="221"/>
      <c r="AB1399" s="223"/>
    </row>
    <row r="1400" spans="1:28" ht="17.100000000000001" customHeight="1" thickTop="1">
      <c r="A1400" s="226" t="s">
        <v>6331</v>
      </c>
      <c r="B1400" s="28">
        <v>45911</v>
      </c>
      <c r="C1400" s="25">
        <v>2125</v>
      </c>
      <c r="D1400" s="13" t="s">
        <v>2964</v>
      </c>
      <c r="E1400" s="228"/>
      <c r="F1400" s="109" t="s">
        <v>4610</v>
      </c>
      <c r="G1400" s="24"/>
      <c r="H1400" s="230">
        <v>4</v>
      </c>
      <c r="I1400" s="220">
        <v>1083000</v>
      </c>
      <c r="J1400" s="220">
        <f>I1400*0.1</f>
        <v>108300</v>
      </c>
      <c r="K1400" s="220">
        <v>0</v>
      </c>
      <c r="L1400" s="220">
        <v>7340</v>
      </c>
      <c r="M1400" s="220">
        <v>13750</v>
      </c>
      <c r="N1400" s="220">
        <f>SUM(I1400:M1401)</f>
        <v>1212390</v>
      </c>
      <c r="O1400" s="224"/>
      <c r="P1400" s="110" t="s">
        <v>4611</v>
      </c>
      <c r="Q1400" s="15" t="s">
        <v>19</v>
      </c>
      <c r="R1400" s="205"/>
      <c r="S1400" s="189" t="s">
        <v>25456</v>
      </c>
      <c r="T1400" s="114"/>
      <c r="U1400" s="21"/>
      <c r="V1400" s="115">
        <v>45948</v>
      </c>
      <c r="W1400" s="116">
        <v>1272</v>
      </c>
      <c r="X1400" s="220">
        <v>1145000</v>
      </c>
      <c r="Y1400" s="220">
        <f>X1400*0.1</f>
        <v>114500</v>
      </c>
      <c r="Z1400" s="220">
        <v>7340</v>
      </c>
      <c r="AA1400" s="220">
        <f>SUM(X1400:Z1400)</f>
        <v>1266840</v>
      </c>
      <c r="AB1400" s="222">
        <v>45952</v>
      </c>
    </row>
    <row r="1401" spans="1:28" ht="17.100000000000001" customHeight="1" thickBot="1">
      <c r="A1401" s="227"/>
      <c r="B1401" s="27" t="s">
        <v>3228</v>
      </c>
      <c r="C1401" s="27">
        <v>2561</v>
      </c>
      <c r="D1401" s="14" t="s">
        <v>273</v>
      </c>
      <c r="E1401" s="229"/>
      <c r="F1401" s="117" t="s">
        <v>4612</v>
      </c>
      <c r="G1401" s="26">
        <v>21272</v>
      </c>
      <c r="H1401" s="231"/>
      <c r="I1401" s="221"/>
      <c r="J1401" s="221"/>
      <c r="K1401" s="221"/>
      <c r="L1401" s="221"/>
      <c r="M1401" s="221"/>
      <c r="N1401" s="221"/>
      <c r="O1401" s="225"/>
      <c r="P1401" s="118" t="s">
        <v>4613</v>
      </c>
      <c r="Q1401" s="16" t="s">
        <v>20</v>
      </c>
      <c r="R1401" s="17" t="s">
        <v>1587</v>
      </c>
      <c r="S1401" s="121" t="s">
        <v>4614</v>
      </c>
      <c r="T1401" s="122"/>
      <c r="U1401" s="22"/>
      <c r="V1401" s="123" t="s">
        <v>2472</v>
      </c>
      <c r="W1401" s="122">
        <v>60235</v>
      </c>
      <c r="X1401" s="221"/>
      <c r="Y1401" s="221"/>
      <c r="Z1401" s="221"/>
      <c r="AA1401" s="221"/>
      <c r="AB1401" s="223"/>
    </row>
    <row r="1402" spans="1:28" ht="17.100000000000001" customHeight="1" thickTop="1">
      <c r="A1402" s="226" t="s">
        <v>6332</v>
      </c>
      <c r="B1402" s="28">
        <v>45911</v>
      </c>
      <c r="C1402" s="25">
        <v>2125</v>
      </c>
      <c r="D1402" s="13" t="s">
        <v>2964</v>
      </c>
      <c r="E1402" s="228"/>
      <c r="F1402" s="109" t="s">
        <v>2556</v>
      </c>
      <c r="G1402" s="24" t="s">
        <v>4615</v>
      </c>
      <c r="H1402" s="230">
        <v>4</v>
      </c>
      <c r="I1402" s="220">
        <v>1208000</v>
      </c>
      <c r="J1402" s="220">
        <f>I1402*0.1</f>
        <v>120800</v>
      </c>
      <c r="K1402" s="220">
        <v>0</v>
      </c>
      <c r="L1402" s="220">
        <v>8390</v>
      </c>
      <c r="M1402" s="220">
        <v>13750</v>
      </c>
      <c r="N1402" s="220">
        <f>SUM(I1402:M1403)</f>
        <v>1350940</v>
      </c>
      <c r="O1402" s="224"/>
      <c r="P1402" s="110" t="s">
        <v>4616</v>
      </c>
      <c r="Q1402" s="15" t="s">
        <v>19</v>
      </c>
      <c r="R1402" s="205"/>
      <c r="S1402" s="189" t="s">
        <v>25457</v>
      </c>
      <c r="T1402" s="114"/>
      <c r="U1402" s="21" t="s">
        <v>7575</v>
      </c>
      <c r="V1402" s="115">
        <v>45959</v>
      </c>
      <c r="W1402" s="116">
        <v>990</v>
      </c>
      <c r="X1402" s="220">
        <v>1280000</v>
      </c>
      <c r="Y1402" s="220">
        <f>X1402*0.1</f>
        <v>128000</v>
      </c>
      <c r="Z1402" s="220">
        <v>8390</v>
      </c>
      <c r="AA1402" s="220">
        <f>SUM(X1402:Z1402)</f>
        <v>1416390</v>
      </c>
      <c r="AB1402" s="222">
        <v>45965</v>
      </c>
    </row>
    <row r="1403" spans="1:28" ht="17.100000000000001" customHeight="1" thickBot="1">
      <c r="A1403" s="227"/>
      <c r="B1403" s="27" t="s">
        <v>3228</v>
      </c>
      <c r="C1403" s="27">
        <v>2562</v>
      </c>
      <c r="D1403" s="14" t="s">
        <v>1797</v>
      </c>
      <c r="E1403" s="229"/>
      <c r="F1403" s="117" t="s">
        <v>4617</v>
      </c>
      <c r="G1403" s="26">
        <v>42630</v>
      </c>
      <c r="H1403" s="231"/>
      <c r="I1403" s="221"/>
      <c r="J1403" s="221"/>
      <c r="K1403" s="221"/>
      <c r="L1403" s="221"/>
      <c r="M1403" s="221"/>
      <c r="N1403" s="221"/>
      <c r="O1403" s="225"/>
      <c r="P1403" s="118" t="s">
        <v>2287</v>
      </c>
      <c r="Q1403" s="16" t="s">
        <v>20</v>
      </c>
      <c r="R1403" s="17" t="s">
        <v>1587</v>
      </c>
      <c r="S1403" s="121" t="s">
        <v>4618</v>
      </c>
      <c r="T1403" s="122"/>
      <c r="U1403" s="22"/>
      <c r="V1403" s="123" t="s">
        <v>8648</v>
      </c>
      <c r="W1403" s="122">
        <v>2093</v>
      </c>
      <c r="X1403" s="221"/>
      <c r="Y1403" s="221"/>
      <c r="Z1403" s="221"/>
      <c r="AA1403" s="221"/>
      <c r="AB1403" s="223"/>
    </row>
    <row r="1404" spans="1:28" ht="17.100000000000001" customHeight="1" thickTop="1">
      <c r="A1404" s="226" t="s">
        <v>6333</v>
      </c>
      <c r="B1404" s="28">
        <v>45911</v>
      </c>
      <c r="C1404" s="25">
        <v>1721</v>
      </c>
      <c r="D1404" s="13" t="s">
        <v>2644</v>
      </c>
      <c r="E1404" s="228"/>
      <c r="F1404" s="109" t="s">
        <v>4619</v>
      </c>
      <c r="G1404" s="24" t="s">
        <v>4120</v>
      </c>
      <c r="H1404" s="230">
        <v>4</v>
      </c>
      <c r="I1404" s="220">
        <v>1271000</v>
      </c>
      <c r="J1404" s="220">
        <f>I1404*0.1</f>
        <v>127100</v>
      </c>
      <c r="K1404" s="220">
        <v>10800</v>
      </c>
      <c r="L1404" s="220">
        <v>8550</v>
      </c>
      <c r="M1404" s="220">
        <v>15400</v>
      </c>
      <c r="N1404" s="220">
        <f>SUM(I1404:M1405)</f>
        <v>1432850</v>
      </c>
      <c r="O1404" s="224"/>
      <c r="P1404" s="110" t="s">
        <v>4620</v>
      </c>
      <c r="Q1404" s="15" t="s">
        <v>19</v>
      </c>
      <c r="R1404" s="205"/>
      <c r="S1404" s="189" t="s">
        <v>25458</v>
      </c>
      <c r="T1404" s="114"/>
      <c r="U1404" s="21" t="s">
        <v>8174</v>
      </c>
      <c r="V1404" s="115">
        <v>45941</v>
      </c>
      <c r="W1404" s="116">
        <v>1271</v>
      </c>
      <c r="X1404" s="220">
        <v>1355000</v>
      </c>
      <c r="Y1404" s="220">
        <f>X1404*0.1</f>
        <v>135500</v>
      </c>
      <c r="Z1404" s="220">
        <v>8550</v>
      </c>
      <c r="AA1404" s="220">
        <f>SUM(X1404:Z1404)</f>
        <v>1499050</v>
      </c>
      <c r="AB1404" s="222">
        <v>45950</v>
      </c>
    </row>
    <row r="1405" spans="1:28" ht="17.100000000000001" customHeight="1" thickBot="1">
      <c r="A1405" s="227"/>
      <c r="B1405" s="27" t="s">
        <v>4230</v>
      </c>
      <c r="C1405" s="27">
        <v>3010</v>
      </c>
      <c r="D1405" s="14" t="s">
        <v>2559</v>
      </c>
      <c r="E1405" s="229"/>
      <c r="F1405" s="117" t="s">
        <v>4621</v>
      </c>
      <c r="G1405" s="26">
        <v>50718</v>
      </c>
      <c r="H1405" s="231"/>
      <c r="I1405" s="221"/>
      <c r="J1405" s="221"/>
      <c r="K1405" s="221"/>
      <c r="L1405" s="221"/>
      <c r="M1405" s="221"/>
      <c r="N1405" s="221"/>
      <c r="O1405" s="225"/>
      <c r="P1405" s="118" t="s">
        <v>4622</v>
      </c>
      <c r="Q1405" s="16" t="s">
        <v>20</v>
      </c>
      <c r="R1405" s="17" t="s">
        <v>1587</v>
      </c>
      <c r="S1405" s="121" t="s">
        <v>4623</v>
      </c>
      <c r="T1405" s="122"/>
      <c r="U1405" s="22"/>
      <c r="V1405" s="123" t="s">
        <v>2472</v>
      </c>
      <c r="W1405" s="122">
        <v>60245</v>
      </c>
      <c r="X1405" s="221"/>
      <c r="Y1405" s="221"/>
      <c r="Z1405" s="221"/>
      <c r="AA1405" s="221"/>
      <c r="AB1405" s="223"/>
    </row>
    <row r="1406" spans="1:28" ht="17.100000000000001" customHeight="1" thickTop="1">
      <c r="A1406" s="226" t="s">
        <v>6334</v>
      </c>
      <c r="B1406" s="28">
        <v>45912</v>
      </c>
      <c r="C1406" s="25">
        <v>1758</v>
      </c>
      <c r="D1406" s="13" t="s">
        <v>1589</v>
      </c>
      <c r="E1406" s="228"/>
      <c r="F1406" s="109" t="s">
        <v>1854</v>
      </c>
      <c r="G1406" s="24"/>
      <c r="H1406" s="230">
        <v>4</v>
      </c>
      <c r="I1406" s="220">
        <v>1291000</v>
      </c>
      <c r="J1406" s="220">
        <f>I1406*0.1</f>
        <v>129100</v>
      </c>
      <c r="K1406" s="220">
        <v>0</v>
      </c>
      <c r="L1406" s="220">
        <v>17600</v>
      </c>
      <c r="M1406" s="220">
        <v>16500</v>
      </c>
      <c r="N1406" s="220">
        <f>SUM(I1406:M1407)</f>
        <v>1454200</v>
      </c>
      <c r="O1406" s="224"/>
      <c r="P1406" s="110" t="s">
        <v>4624</v>
      </c>
      <c r="Q1406" s="15" t="s">
        <v>19</v>
      </c>
      <c r="R1406" s="205"/>
      <c r="S1406" s="189" t="s">
        <v>1406</v>
      </c>
      <c r="T1406" s="114"/>
      <c r="U1406" s="21"/>
      <c r="V1406" s="115">
        <v>45941</v>
      </c>
      <c r="W1406" s="116">
        <v>1271</v>
      </c>
      <c r="X1406" s="220">
        <v>1445000</v>
      </c>
      <c r="Y1406" s="220">
        <f>X1406*0.1</f>
        <v>144500</v>
      </c>
      <c r="Z1406" s="220">
        <v>17600</v>
      </c>
      <c r="AA1406" s="220">
        <f>SUM(X1406:Z1406)</f>
        <v>1607100</v>
      </c>
      <c r="AB1406" s="222">
        <v>45944</v>
      </c>
    </row>
    <row r="1407" spans="1:28" ht="17.100000000000001" customHeight="1" thickBot="1">
      <c r="A1407" s="227"/>
      <c r="B1407" s="27" t="s">
        <v>2455</v>
      </c>
      <c r="C1407" s="27">
        <v>3405</v>
      </c>
      <c r="D1407" s="14" t="s">
        <v>1568</v>
      </c>
      <c r="E1407" s="229"/>
      <c r="F1407" s="117" t="s">
        <v>4625</v>
      </c>
      <c r="G1407" s="26">
        <v>25688</v>
      </c>
      <c r="H1407" s="231"/>
      <c r="I1407" s="221"/>
      <c r="J1407" s="221"/>
      <c r="K1407" s="221"/>
      <c r="L1407" s="221"/>
      <c r="M1407" s="221"/>
      <c r="N1407" s="221"/>
      <c r="O1407" s="225"/>
      <c r="P1407" s="118" t="s">
        <v>4626</v>
      </c>
      <c r="Q1407" s="16" t="s">
        <v>20</v>
      </c>
      <c r="R1407" s="17" t="s">
        <v>1587</v>
      </c>
      <c r="S1407" s="121" t="s">
        <v>1731</v>
      </c>
      <c r="T1407" s="122"/>
      <c r="U1407" s="22"/>
      <c r="V1407" s="123" t="s">
        <v>2472</v>
      </c>
      <c r="W1407" s="122">
        <v>80227</v>
      </c>
      <c r="X1407" s="221"/>
      <c r="Y1407" s="221"/>
      <c r="Z1407" s="221"/>
      <c r="AA1407" s="221"/>
      <c r="AB1407" s="223"/>
    </row>
    <row r="1408" spans="1:28" ht="17.100000000000001" customHeight="1" thickTop="1">
      <c r="A1408" s="226" t="s">
        <v>6335</v>
      </c>
      <c r="B1408" s="28">
        <v>45912</v>
      </c>
      <c r="C1408" s="25">
        <v>1758</v>
      </c>
      <c r="D1408" s="13" t="s">
        <v>1837</v>
      </c>
      <c r="E1408" s="228"/>
      <c r="F1408" s="109" t="s">
        <v>4627</v>
      </c>
      <c r="G1408" s="24"/>
      <c r="H1408" s="230">
        <v>5</v>
      </c>
      <c r="I1408" s="220">
        <v>1231000</v>
      </c>
      <c r="J1408" s="220">
        <f>I1408*0.1</f>
        <v>123100</v>
      </c>
      <c r="K1408" s="220">
        <v>0</v>
      </c>
      <c r="L1408" s="220">
        <v>12470</v>
      </c>
      <c r="M1408" s="220">
        <v>17600</v>
      </c>
      <c r="N1408" s="220">
        <f>SUM(I1408:M1409)</f>
        <v>1384170</v>
      </c>
      <c r="O1408" s="224"/>
      <c r="P1408" s="110" t="s">
        <v>4628</v>
      </c>
      <c r="Q1408" s="15" t="s">
        <v>19</v>
      </c>
      <c r="R1408" s="205"/>
      <c r="S1408" s="189" t="s">
        <v>1361</v>
      </c>
      <c r="T1408" s="114"/>
      <c r="U1408" s="21"/>
      <c r="V1408" s="115"/>
      <c r="W1408" s="116"/>
      <c r="X1408" s="220"/>
      <c r="Y1408" s="220">
        <f>X1408*0.1</f>
        <v>0</v>
      </c>
      <c r="Z1408" s="220"/>
      <c r="AA1408" s="220">
        <f>SUM(X1408:Z1408)</f>
        <v>0</v>
      </c>
      <c r="AB1408" s="222"/>
    </row>
    <row r="1409" spans="1:28" ht="17.100000000000001" customHeight="1" thickBot="1">
      <c r="A1409" s="227"/>
      <c r="B1409" s="27" t="s">
        <v>2455</v>
      </c>
      <c r="C1409" s="27">
        <v>5002</v>
      </c>
      <c r="D1409" s="14" t="s">
        <v>131</v>
      </c>
      <c r="E1409" s="229"/>
      <c r="F1409" s="117" t="s">
        <v>4629</v>
      </c>
      <c r="G1409" s="26">
        <v>24762</v>
      </c>
      <c r="H1409" s="231"/>
      <c r="I1409" s="221"/>
      <c r="J1409" s="221"/>
      <c r="K1409" s="221"/>
      <c r="L1409" s="221"/>
      <c r="M1409" s="221"/>
      <c r="N1409" s="221"/>
      <c r="O1409" s="225"/>
      <c r="P1409" s="118" t="s">
        <v>4630</v>
      </c>
      <c r="Q1409" s="16" t="s">
        <v>20</v>
      </c>
      <c r="R1409" s="17" t="s">
        <v>1587</v>
      </c>
      <c r="S1409" s="121" t="s">
        <v>1731</v>
      </c>
      <c r="T1409" s="122"/>
      <c r="U1409" s="22"/>
      <c r="V1409" s="123"/>
      <c r="W1409" s="122"/>
      <c r="X1409" s="221"/>
      <c r="Y1409" s="221"/>
      <c r="Z1409" s="221"/>
      <c r="AA1409" s="221"/>
      <c r="AB1409" s="223"/>
    </row>
    <row r="1410" spans="1:28" ht="17.100000000000001" customHeight="1" thickTop="1">
      <c r="A1410" s="226" t="s">
        <v>6336</v>
      </c>
      <c r="B1410" s="28">
        <v>45912</v>
      </c>
      <c r="C1410" s="25">
        <v>2101</v>
      </c>
      <c r="D1410" s="13" t="s">
        <v>1837</v>
      </c>
      <c r="E1410" s="228"/>
      <c r="F1410" s="109" t="s">
        <v>4631</v>
      </c>
      <c r="G1410" s="24" t="s">
        <v>4632</v>
      </c>
      <c r="H1410" s="230">
        <v>4</v>
      </c>
      <c r="I1410" s="220">
        <v>775000</v>
      </c>
      <c r="J1410" s="220">
        <f>I1410*0.1</f>
        <v>77500</v>
      </c>
      <c r="K1410" s="220">
        <v>0</v>
      </c>
      <c r="L1410" s="220">
        <v>7150</v>
      </c>
      <c r="M1410" s="220">
        <v>16500</v>
      </c>
      <c r="N1410" s="220">
        <f>SUM(I1410:M1411)</f>
        <v>876150</v>
      </c>
      <c r="O1410" s="224"/>
      <c r="P1410" s="110" t="s">
        <v>4633</v>
      </c>
      <c r="Q1410" s="15" t="s">
        <v>19</v>
      </c>
      <c r="R1410" s="205"/>
      <c r="S1410" s="189" t="s">
        <v>758</v>
      </c>
      <c r="T1410" s="114"/>
      <c r="U1410" s="21"/>
      <c r="V1410" s="115">
        <v>45969</v>
      </c>
      <c r="W1410" s="116">
        <v>1275</v>
      </c>
      <c r="X1410" s="220">
        <v>850000</v>
      </c>
      <c r="Y1410" s="220">
        <f>X1410*0.1</f>
        <v>85000</v>
      </c>
      <c r="Z1410" s="220">
        <v>7150</v>
      </c>
      <c r="AA1410" s="220">
        <f>SUM(X1410:Z1410)</f>
        <v>942150</v>
      </c>
      <c r="AB1410" s="222">
        <v>45972</v>
      </c>
    </row>
    <row r="1411" spans="1:28" ht="17.100000000000001" customHeight="1" thickBot="1">
      <c r="A1411" s="227"/>
      <c r="B1411" s="27" t="s">
        <v>1536</v>
      </c>
      <c r="C1411" s="27">
        <v>55344</v>
      </c>
      <c r="D1411" s="14" t="s">
        <v>3792</v>
      </c>
      <c r="E1411" s="229"/>
      <c r="F1411" s="117" t="s">
        <v>4634</v>
      </c>
      <c r="G1411" s="26">
        <v>54696</v>
      </c>
      <c r="H1411" s="231"/>
      <c r="I1411" s="221"/>
      <c r="J1411" s="221"/>
      <c r="K1411" s="221"/>
      <c r="L1411" s="221"/>
      <c r="M1411" s="221"/>
      <c r="N1411" s="221"/>
      <c r="O1411" s="225"/>
      <c r="P1411" s="118" t="s">
        <v>1647</v>
      </c>
      <c r="Q1411" s="16" t="s">
        <v>20</v>
      </c>
      <c r="R1411" s="17" t="s">
        <v>4564</v>
      </c>
      <c r="S1411" s="121" t="s">
        <v>4282</v>
      </c>
      <c r="T1411" s="122"/>
      <c r="U1411" s="22"/>
      <c r="V1411" s="123" t="s">
        <v>2472</v>
      </c>
      <c r="W1411" s="122">
        <v>60167</v>
      </c>
      <c r="X1411" s="221"/>
      <c r="Y1411" s="221"/>
      <c r="Z1411" s="221"/>
      <c r="AA1411" s="221"/>
      <c r="AB1411" s="223"/>
    </row>
    <row r="1412" spans="1:28" ht="17.100000000000001" customHeight="1" thickTop="1">
      <c r="A1412" s="226" t="s">
        <v>6337</v>
      </c>
      <c r="B1412" s="28">
        <v>45912</v>
      </c>
      <c r="C1412" s="25">
        <v>2101</v>
      </c>
      <c r="D1412" s="13" t="s">
        <v>2637</v>
      </c>
      <c r="E1412" s="228"/>
      <c r="F1412" s="109" t="s">
        <v>4635</v>
      </c>
      <c r="G1412" s="24" t="s">
        <v>2038</v>
      </c>
      <c r="H1412" s="230">
        <v>4.5</v>
      </c>
      <c r="I1412" s="220">
        <v>1255000</v>
      </c>
      <c r="J1412" s="220">
        <f>I1412*0.1</f>
        <v>125500</v>
      </c>
      <c r="K1412" s="220">
        <v>0</v>
      </c>
      <c r="L1412" s="220">
        <v>6830</v>
      </c>
      <c r="M1412" s="220">
        <v>16500</v>
      </c>
      <c r="N1412" s="220">
        <f>SUM(I1412:M1413)</f>
        <v>1403830</v>
      </c>
      <c r="O1412" s="224"/>
      <c r="P1412" s="110" t="s">
        <v>4636</v>
      </c>
      <c r="Q1412" s="15" t="s">
        <v>19</v>
      </c>
      <c r="R1412" s="205"/>
      <c r="S1412" s="189" t="s">
        <v>1312</v>
      </c>
      <c r="T1412" s="114"/>
      <c r="U1412" s="21" t="s">
        <v>7422</v>
      </c>
      <c r="V1412" s="115">
        <v>45937</v>
      </c>
      <c r="W1412" s="116">
        <v>1912</v>
      </c>
      <c r="X1412" s="220">
        <v>1276000</v>
      </c>
      <c r="Y1412" s="220">
        <f>X1412*0.1</f>
        <v>127600</v>
      </c>
      <c r="Z1412" s="220">
        <v>6830</v>
      </c>
      <c r="AA1412" s="220">
        <f>SUM(X1412:Z1412)</f>
        <v>1410430</v>
      </c>
      <c r="AB1412" s="222"/>
    </row>
    <row r="1413" spans="1:28" ht="17.100000000000001" customHeight="1" thickBot="1">
      <c r="A1413" s="227"/>
      <c r="B1413" s="27" t="s">
        <v>1536</v>
      </c>
      <c r="C1413" s="27">
        <v>55373</v>
      </c>
      <c r="D1413" s="14" t="s">
        <v>1568</v>
      </c>
      <c r="E1413" s="229"/>
      <c r="F1413" s="117" t="s">
        <v>4637</v>
      </c>
      <c r="G1413" s="26">
        <v>54377</v>
      </c>
      <c r="H1413" s="231"/>
      <c r="I1413" s="221"/>
      <c r="J1413" s="221"/>
      <c r="K1413" s="221"/>
      <c r="L1413" s="221"/>
      <c r="M1413" s="221"/>
      <c r="N1413" s="221"/>
      <c r="O1413" s="225"/>
      <c r="P1413" s="118" t="s">
        <v>4638</v>
      </c>
      <c r="Q1413" s="16" t="s">
        <v>20</v>
      </c>
      <c r="R1413" s="17" t="s">
        <v>1587</v>
      </c>
      <c r="S1413" s="121" t="s">
        <v>1606</v>
      </c>
      <c r="T1413" s="122"/>
      <c r="U1413" s="22"/>
      <c r="V1413" s="123" t="s">
        <v>2103</v>
      </c>
      <c r="W1413" s="122">
        <v>3149</v>
      </c>
      <c r="X1413" s="221"/>
      <c r="Y1413" s="221"/>
      <c r="Z1413" s="221"/>
      <c r="AA1413" s="221"/>
      <c r="AB1413" s="223"/>
    </row>
    <row r="1414" spans="1:28" ht="17.100000000000001" customHeight="1" thickTop="1">
      <c r="A1414" s="226" t="s">
        <v>16061</v>
      </c>
      <c r="B1414" s="28">
        <v>45912</v>
      </c>
      <c r="C1414" s="25">
        <v>2101</v>
      </c>
      <c r="D1414" s="13" t="s">
        <v>1778</v>
      </c>
      <c r="E1414" s="228"/>
      <c r="F1414" s="109" t="s">
        <v>4639</v>
      </c>
      <c r="G1414" s="24"/>
      <c r="H1414" s="230">
        <v>4</v>
      </c>
      <c r="I1414" s="220">
        <v>985000</v>
      </c>
      <c r="J1414" s="220">
        <f>I1414*0.1</f>
        <v>98500</v>
      </c>
      <c r="K1414" s="220">
        <v>0</v>
      </c>
      <c r="L1414" s="220">
        <v>9170</v>
      </c>
      <c r="M1414" s="220">
        <v>16500</v>
      </c>
      <c r="N1414" s="220">
        <f>SUM(I1414:M1415)</f>
        <v>1109170</v>
      </c>
      <c r="O1414" s="224"/>
      <c r="P1414" s="110" t="s">
        <v>4640</v>
      </c>
      <c r="Q1414" s="15" t="s">
        <v>19</v>
      </c>
      <c r="R1414" s="205"/>
      <c r="S1414" s="189"/>
      <c r="T1414" s="114"/>
      <c r="U1414" s="21"/>
      <c r="V1414" s="115">
        <v>46046</v>
      </c>
      <c r="W1414" s="116">
        <v>1285</v>
      </c>
      <c r="X1414" s="220">
        <v>915000</v>
      </c>
      <c r="Y1414" s="220">
        <f>X1414*0.1</f>
        <v>91500</v>
      </c>
      <c r="Z1414" s="220">
        <v>9170</v>
      </c>
      <c r="AA1414" s="220">
        <f>SUM(X1414:Z1414)</f>
        <v>1015670</v>
      </c>
      <c r="AB1414" s="222">
        <v>46049</v>
      </c>
    </row>
    <row r="1415" spans="1:28" ht="17.100000000000001" customHeight="1" thickBot="1">
      <c r="A1415" s="227"/>
      <c r="B1415" s="27" t="s">
        <v>1536</v>
      </c>
      <c r="C1415" s="27">
        <v>55460</v>
      </c>
      <c r="D1415" s="14" t="s">
        <v>273</v>
      </c>
      <c r="E1415" s="229"/>
      <c r="F1415" s="117" t="s">
        <v>4641</v>
      </c>
      <c r="G1415" s="26">
        <v>51520</v>
      </c>
      <c r="H1415" s="231"/>
      <c r="I1415" s="221"/>
      <c r="J1415" s="221"/>
      <c r="K1415" s="221"/>
      <c r="L1415" s="221"/>
      <c r="M1415" s="221"/>
      <c r="N1415" s="221"/>
      <c r="O1415" s="225"/>
      <c r="P1415" s="118" t="s">
        <v>2615</v>
      </c>
      <c r="Q1415" s="16" t="s">
        <v>20</v>
      </c>
      <c r="R1415" s="17" t="s">
        <v>1563</v>
      </c>
      <c r="S1415" s="121"/>
      <c r="T1415" s="122"/>
      <c r="U1415" s="22"/>
      <c r="V1415" s="123" t="s">
        <v>2472</v>
      </c>
      <c r="W1415" s="122">
        <v>60076</v>
      </c>
      <c r="X1415" s="221"/>
      <c r="Y1415" s="221"/>
      <c r="Z1415" s="221"/>
      <c r="AA1415" s="221"/>
      <c r="AB1415" s="223"/>
    </row>
    <row r="1416" spans="1:28" ht="17.100000000000001" customHeight="1" thickTop="1">
      <c r="A1416" s="226" t="s">
        <v>6338</v>
      </c>
      <c r="B1416" s="28">
        <v>45912</v>
      </c>
      <c r="C1416" s="25">
        <v>2101</v>
      </c>
      <c r="D1416" s="13" t="s">
        <v>2295</v>
      </c>
      <c r="E1416" s="228"/>
      <c r="F1416" s="109" t="s">
        <v>4642</v>
      </c>
      <c r="G1416" s="24" t="s">
        <v>1540</v>
      </c>
      <c r="H1416" s="230">
        <v>4.5</v>
      </c>
      <c r="I1416" s="220">
        <v>760000</v>
      </c>
      <c r="J1416" s="220">
        <v>76000</v>
      </c>
      <c r="K1416" s="220">
        <f>15200+1520</f>
        <v>16720</v>
      </c>
      <c r="L1416" s="220">
        <v>19090</v>
      </c>
      <c r="M1416" s="220">
        <v>27500</v>
      </c>
      <c r="N1416" s="220">
        <f>SUM(I1416:M1417)</f>
        <v>899310</v>
      </c>
      <c r="O1416" s="224"/>
      <c r="P1416" s="110" t="s">
        <v>4643</v>
      </c>
      <c r="Q1416" s="15" t="s">
        <v>19</v>
      </c>
      <c r="R1416" s="205"/>
      <c r="S1416" s="189" t="s">
        <v>1422</v>
      </c>
      <c r="T1416" s="114"/>
      <c r="U1416" s="21" t="s">
        <v>8186</v>
      </c>
      <c r="V1416" s="115">
        <v>45948</v>
      </c>
      <c r="W1416" s="116">
        <v>1272</v>
      </c>
      <c r="X1416" s="220">
        <v>850000</v>
      </c>
      <c r="Y1416" s="220">
        <f>X1416*0.1</f>
        <v>85000</v>
      </c>
      <c r="Z1416" s="220">
        <v>19090</v>
      </c>
      <c r="AA1416" s="220">
        <f>SUM(X1416:Z1416)</f>
        <v>954090</v>
      </c>
      <c r="AB1416" s="222">
        <v>45951</v>
      </c>
    </row>
    <row r="1417" spans="1:28" ht="17.100000000000001" customHeight="1" thickBot="1">
      <c r="A1417" s="227"/>
      <c r="B1417" s="27" t="s">
        <v>1536</v>
      </c>
      <c r="C1417" s="27">
        <v>58696</v>
      </c>
      <c r="D1417" s="14" t="s">
        <v>3274</v>
      </c>
      <c r="E1417" s="229"/>
      <c r="F1417" s="117" t="s">
        <v>4644</v>
      </c>
      <c r="G1417" s="26">
        <v>70960</v>
      </c>
      <c r="H1417" s="231"/>
      <c r="I1417" s="221"/>
      <c r="J1417" s="221"/>
      <c r="K1417" s="221"/>
      <c r="L1417" s="221"/>
      <c r="M1417" s="221"/>
      <c r="N1417" s="221"/>
      <c r="O1417" s="225"/>
      <c r="P1417" s="118" t="s">
        <v>2287</v>
      </c>
      <c r="Q1417" s="16" t="s">
        <v>20</v>
      </c>
      <c r="R1417" s="17" t="s">
        <v>4491</v>
      </c>
      <c r="S1417" s="121" t="s">
        <v>1722</v>
      </c>
      <c r="T1417" s="122"/>
      <c r="U1417" s="22"/>
      <c r="V1417" s="123" t="s">
        <v>2472</v>
      </c>
      <c r="W1417" s="122">
        <v>80245</v>
      </c>
      <c r="X1417" s="221"/>
      <c r="Y1417" s="221"/>
      <c r="Z1417" s="221"/>
      <c r="AA1417" s="221"/>
      <c r="AB1417" s="223"/>
    </row>
    <row r="1418" spans="1:28" ht="17.100000000000001" customHeight="1" thickTop="1">
      <c r="A1418" s="226" t="s">
        <v>6339</v>
      </c>
      <c r="B1418" s="28">
        <v>45912</v>
      </c>
      <c r="C1418" s="25"/>
      <c r="D1418" s="13" t="s">
        <v>1780</v>
      </c>
      <c r="E1418" s="228"/>
      <c r="F1418" s="109" t="s">
        <v>4645</v>
      </c>
      <c r="G1418" s="24" t="s">
        <v>4646</v>
      </c>
      <c r="H1418" s="230">
        <v>4.5</v>
      </c>
      <c r="I1418" s="220">
        <f>1611500/1.1</f>
        <v>1464999.9999999998</v>
      </c>
      <c r="J1418" s="220">
        <f>I1418*0.1</f>
        <v>146499.99999999997</v>
      </c>
      <c r="K1418" s="220">
        <v>12700</v>
      </c>
      <c r="L1418" s="220">
        <v>11510</v>
      </c>
      <c r="M1418" s="220">
        <v>95288</v>
      </c>
      <c r="N1418" s="220">
        <f>SUM(I1418:M1419)</f>
        <v>1730997.9999999998</v>
      </c>
      <c r="O1418" s="224"/>
      <c r="P1418" s="110" t="s">
        <v>4647</v>
      </c>
      <c r="Q1418" s="15" t="s">
        <v>19</v>
      </c>
      <c r="R1418" s="205"/>
      <c r="S1418" s="189" t="s">
        <v>1276</v>
      </c>
      <c r="T1418" s="114"/>
      <c r="U1418" s="21"/>
      <c r="V1418" s="115">
        <v>45941</v>
      </c>
      <c r="W1418" s="116">
        <v>1271</v>
      </c>
      <c r="X1418" s="220">
        <v>1535000</v>
      </c>
      <c r="Y1418" s="220">
        <f>X1418*0.1</f>
        <v>153500</v>
      </c>
      <c r="Z1418" s="220">
        <v>11510</v>
      </c>
      <c r="AA1418" s="220">
        <f>SUM(X1418:Z1418)</f>
        <v>1700010</v>
      </c>
      <c r="AB1418" s="222">
        <v>45950</v>
      </c>
    </row>
    <row r="1419" spans="1:28" ht="17.100000000000001" customHeight="1" thickBot="1">
      <c r="A1419" s="227"/>
      <c r="B1419" s="27" t="s">
        <v>1708</v>
      </c>
      <c r="C1419" s="27" t="s">
        <v>4648</v>
      </c>
      <c r="D1419" s="14" t="s">
        <v>898</v>
      </c>
      <c r="E1419" s="229"/>
      <c r="F1419" s="117" t="s">
        <v>4649</v>
      </c>
      <c r="G1419" s="26">
        <v>43000</v>
      </c>
      <c r="H1419" s="231"/>
      <c r="I1419" s="221"/>
      <c r="J1419" s="221"/>
      <c r="K1419" s="221"/>
      <c r="L1419" s="221"/>
      <c r="M1419" s="221"/>
      <c r="N1419" s="221"/>
      <c r="O1419" s="225"/>
      <c r="P1419" s="118" t="s">
        <v>4650</v>
      </c>
      <c r="Q1419" s="16" t="s">
        <v>20</v>
      </c>
      <c r="R1419" s="17" t="s">
        <v>4212</v>
      </c>
      <c r="S1419" s="121" t="s">
        <v>1606</v>
      </c>
      <c r="T1419" s="122"/>
      <c r="U1419" s="22"/>
      <c r="V1419" s="123" t="s">
        <v>2472</v>
      </c>
      <c r="W1419" s="122">
        <v>37783</v>
      </c>
      <c r="X1419" s="221"/>
      <c r="Y1419" s="221"/>
      <c r="Z1419" s="221"/>
      <c r="AA1419" s="221"/>
      <c r="AB1419" s="223"/>
    </row>
    <row r="1420" spans="1:28" ht="17.100000000000001" customHeight="1" thickTop="1">
      <c r="A1420" s="226" t="s">
        <v>6340</v>
      </c>
      <c r="B1420" s="28">
        <v>45912</v>
      </c>
      <c r="C1420" s="25"/>
      <c r="D1420" s="13" t="s">
        <v>4307</v>
      </c>
      <c r="E1420" s="228"/>
      <c r="F1420" s="109" t="s">
        <v>4651</v>
      </c>
      <c r="G1420" s="24" t="s">
        <v>4652</v>
      </c>
      <c r="H1420" s="230">
        <v>4</v>
      </c>
      <c r="I1420" s="220">
        <f>225500/1.1</f>
        <v>204999.99999999997</v>
      </c>
      <c r="J1420" s="220">
        <f>I1420*0.1</f>
        <v>20500</v>
      </c>
      <c r="K1420" s="220">
        <v>0</v>
      </c>
      <c r="L1420" s="220">
        <v>9460</v>
      </c>
      <c r="M1420" s="220">
        <v>37922</v>
      </c>
      <c r="N1420" s="220">
        <f>SUM(I1420:M1421)</f>
        <v>272882</v>
      </c>
      <c r="O1420" s="224"/>
      <c r="P1420" s="110" t="s">
        <v>4653</v>
      </c>
      <c r="Q1420" s="15" t="s">
        <v>19</v>
      </c>
      <c r="R1420" s="205"/>
      <c r="S1420" s="189" t="s">
        <v>1113</v>
      </c>
      <c r="T1420" s="114"/>
      <c r="U1420" s="21"/>
      <c r="V1420" s="115">
        <v>45934</v>
      </c>
      <c r="W1420" s="116">
        <v>1270</v>
      </c>
      <c r="X1420" s="220">
        <v>475000</v>
      </c>
      <c r="Y1420" s="220">
        <f>X1420*0.1</f>
        <v>47500</v>
      </c>
      <c r="Z1420" s="220">
        <v>9460</v>
      </c>
      <c r="AA1420" s="220">
        <f>SUM(X1420:Z1420)</f>
        <v>531960</v>
      </c>
      <c r="AB1420" s="222">
        <v>45937</v>
      </c>
    </row>
    <row r="1421" spans="1:28" ht="17.100000000000001" customHeight="1" thickBot="1">
      <c r="A1421" s="227"/>
      <c r="B1421" s="27" t="s">
        <v>1708</v>
      </c>
      <c r="C1421" s="27" t="s">
        <v>4654</v>
      </c>
      <c r="D1421" s="14" t="s">
        <v>3955</v>
      </c>
      <c r="E1421" s="229"/>
      <c r="F1421" s="117" t="s">
        <v>4655</v>
      </c>
      <c r="G1421" s="26">
        <v>38060</v>
      </c>
      <c r="H1421" s="231"/>
      <c r="I1421" s="221"/>
      <c r="J1421" s="221"/>
      <c r="K1421" s="221"/>
      <c r="L1421" s="221"/>
      <c r="M1421" s="221"/>
      <c r="N1421" s="221"/>
      <c r="O1421" s="225"/>
      <c r="P1421" s="118" t="s">
        <v>4656</v>
      </c>
      <c r="Q1421" s="16" t="s">
        <v>20</v>
      </c>
      <c r="R1421" s="17" t="s">
        <v>2982</v>
      </c>
      <c r="S1421" s="121" t="s">
        <v>7710</v>
      </c>
      <c r="T1421" s="122"/>
      <c r="U1421" s="22"/>
      <c r="V1421" s="123" t="s">
        <v>7160</v>
      </c>
      <c r="W1421" s="122">
        <v>62054</v>
      </c>
      <c r="X1421" s="221"/>
      <c r="Y1421" s="221"/>
      <c r="Z1421" s="221"/>
      <c r="AA1421" s="221"/>
      <c r="AB1421" s="223"/>
    </row>
    <row r="1422" spans="1:28" ht="17.100000000000001" customHeight="1" thickTop="1">
      <c r="A1422" s="226" t="s">
        <v>6341</v>
      </c>
      <c r="B1422" s="28">
        <v>45912</v>
      </c>
      <c r="C1422" s="25"/>
      <c r="D1422" s="13" t="s">
        <v>1837</v>
      </c>
      <c r="E1422" s="228"/>
      <c r="F1422" s="109" t="s">
        <v>4657</v>
      </c>
      <c r="G1422" s="24" t="s">
        <v>4658</v>
      </c>
      <c r="H1422" s="230">
        <v>4.5</v>
      </c>
      <c r="I1422" s="220">
        <f>2909500/1.1</f>
        <v>2645000</v>
      </c>
      <c r="J1422" s="220">
        <f>I1422*0.1</f>
        <v>264500</v>
      </c>
      <c r="K1422" s="220">
        <v>15000</v>
      </c>
      <c r="L1422" s="220">
        <v>12470</v>
      </c>
      <c r="M1422" s="220">
        <v>127738</v>
      </c>
      <c r="N1422" s="220">
        <f>SUM(I1422:M1423)</f>
        <v>3064708</v>
      </c>
      <c r="O1422" s="224"/>
      <c r="P1422" s="110" t="s">
        <v>4659</v>
      </c>
      <c r="Q1422" s="15" t="s">
        <v>19</v>
      </c>
      <c r="R1422" s="205"/>
      <c r="S1422" s="189" t="s">
        <v>1276</v>
      </c>
      <c r="T1422" s="114"/>
      <c r="U1422" s="21"/>
      <c r="V1422" s="115">
        <v>45934</v>
      </c>
      <c r="W1422" s="116">
        <v>1270</v>
      </c>
      <c r="X1422" s="220">
        <v>2590000</v>
      </c>
      <c r="Y1422" s="220">
        <f>X1422*0.1</f>
        <v>259000</v>
      </c>
      <c r="Z1422" s="220">
        <v>12470</v>
      </c>
      <c r="AA1422" s="220">
        <f>SUM(X1422:Z1422)</f>
        <v>2861470</v>
      </c>
      <c r="AB1422" s="222">
        <v>45944</v>
      </c>
    </row>
    <row r="1423" spans="1:28" ht="17.100000000000001" customHeight="1" thickBot="1">
      <c r="A1423" s="227"/>
      <c r="B1423" s="27" t="s">
        <v>1708</v>
      </c>
      <c r="C1423" s="27" t="s">
        <v>4660</v>
      </c>
      <c r="D1423" s="14" t="s">
        <v>273</v>
      </c>
      <c r="E1423" s="229"/>
      <c r="F1423" s="117" t="s">
        <v>4661</v>
      </c>
      <c r="G1423" s="26">
        <v>53085</v>
      </c>
      <c r="H1423" s="231"/>
      <c r="I1423" s="221"/>
      <c r="J1423" s="221"/>
      <c r="K1423" s="221"/>
      <c r="L1423" s="221"/>
      <c r="M1423" s="221"/>
      <c r="N1423" s="221"/>
      <c r="O1423" s="225"/>
      <c r="P1423" s="118" t="s">
        <v>4662</v>
      </c>
      <c r="Q1423" s="16" t="s">
        <v>20</v>
      </c>
      <c r="R1423" s="17" t="s">
        <v>4111</v>
      </c>
      <c r="S1423" s="121" t="s">
        <v>3765</v>
      </c>
      <c r="T1423" s="122"/>
      <c r="U1423" s="22"/>
      <c r="V1423" s="123" t="s">
        <v>7160</v>
      </c>
      <c r="W1423" s="122">
        <v>37696</v>
      </c>
      <c r="X1423" s="221"/>
      <c r="Y1423" s="221"/>
      <c r="Z1423" s="221"/>
      <c r="AA1423" s="221"/>
      <c r="AB1423" s="223"/>
    </row>
    <row r="1424" spans="1:28" ht="17.100000000000001" customHeight="1" thickTop="1">
      <c r="A1424" s="226" t="s">
        <v>6342</v>
      </c>
      <c r="B1424" s="28">
        <v>45912</v>
      </c>
      <c r="C1424" s="25">
        <v>50</v>
      </c>
      <c r="D1424" s="13" t="s">
        <v>2644</v>
      </c>
      <c r="E1424" s="228"/>
      <c r="F1424" s="109" t="s">
        <v>4526</v>
      </c>
      <c r="G1424" s="24" t="s">
        <v>2494</v>
      </c>
      <c r="H1424" s="230">
        <v>5</v>
      </c>
      <c r="I1424" s="220">
        <v>1100000</v>
      </c>
      <c r="J1424" s="220">
        <f>I1424*0.1</f>
        <v>110000</v>
      </c>
      <c r="K1424" s="220">
        <v>0</v>
      </c>
      <c r="L1424" s="220">
        <v>8640</v>
      </c>
      <c r="M1424" s="220">
        <v>44000</v>
      </c>
      <c r="N1424" s="220">
        <f>SUM(I1424:M1425)</f>
        <v>1262640</v>
      </c>
      <c r="O1424" s="224"/>
      <c r="P1424" s="110" t="s">
        <v>6805</v>
      </c>
      <c r="Q1424" s="15" t="s">
        <v>19</v>
      </c>
      <c r="R1424" s="205"/>
      <c r="S1424" s="189" t="s">
        <v>1361</v>
      </c>
      <c r="T1424" s="114"/>
      <c r="U1424" s="21"/>
      <c r="V1424" s="115">
        <v>45944</v>
      </c>
      <c r="W1424" s="116">
        <v>1913</v>
      </c>
      <c r="X1424" s="220">
        <v>1298000</v>
      </c>
      <c r="Y1424" s="220">
        <f>X1424*0.1</f>
        <v>129800</v>
      </c>
      <c r="Z1424" s="220">
        <v>8640</v>
      </c>
      <c r="AA1424" s="220">
        <f>SUM(X1424:Z1424)</f>
        <v>1436440</v>
      </c>
      <c r="AB1424" s="222">
        <v>45950</v>
      </c>
    </row>
    <row r="1425" spans="1:28" ht="17.100000000000001" customHeight="1" thickBot="1">
      <c r="A1425" s="227"/>
      <c r="B1425" s="27" t="s">
        <v>4468</v>
      </c>
      <c r="C1425" s="27">
        <v>1034</v>
      </c>
      <c r="D1425" s="14" t="s">
        <v>2753</v>
      </c>
      <c r="E1425" s="229"/>
      <c r="F1425" s="117" t="s">
        <v>4663</v>
      </c>
      <c r="G1425" s="26">
        <v>13480</v>
      </c>
      <c r="H1425" s="231"/>
      <c r="I1425" s="221"/>
      <c r="J1425" s="221"/>
      <c r="K1425" s="221"/>
      <c r="L1425" s="221"/>
      <c r="M1425" s="221"/>
      <c r="N1425" s="221"/>
      <c r="O1425" s="225"/>
      <c r="P1425" s="118" t="s">
        <v>6806</v>
      </c>
      <c r="Q1425" s="16" t="s">
        <v>20</v>
      </c>
      <c r="R1425" s="17" t="s">
        <v>6726</v>
      </c>
      <c r="S1425" s="121" t="s">
        <v>1731</v>
      </c>
      <c r="T1425" s="122"/>
      <c r="U1425" s="22"/>
      <c r="V1425" s="123" t="s">
        <v>2103</v>
      </c>
      <c r="W1425" s="122">
        <v>3441</v>
      </c>
      <c r="X1425" s="221"/>
      <c r="Y1425" s="221"/>
      <c r="Z1425" s="221"/>
      <c r="AA1425" s="221"/>
      <c r="AB1425" s="223"/>
    </row>
    <row r="1426" spans="1:28" ht="17.100000000000001" customHeight="1" thickTop="1">
      <c r="A1426" s="226" t="s">
        <v>6343</v>
      </c>
      <c r="B1426" s="28">
        <v>45912</v>
      </c>
      <c r="C1426" s="25">
        <v>50</v>
      </c>
      <c r="D1426" s="13" t="s">
        <v>2406</v>
      </c>
      <c r="E1426" s="228"/>
      <c r="F1426" s="109" t="s">
        <v>3270</v>
      </c>
      <c r="G1426" s="24" t="s">
        <v>2810</v>
      </c>
      <c r="H1426" s="230">
        <v>4</v>
      </c>
      <c r="I1426" s="220">
        <v>860000</v>
      </c>
      <c r="J1426" s="220">
        <f>I1426*0.1</f>
        <v>86000</v>
      </c>
      <c r="K1426" s="220">
        <v>0</v>
      </c>
      <c r="L1426" s="220">
        <v>8110</v>
      </c>
      <c r="M1426" s="220">
        <v>33000</v>
      </c>
      <c r="N1426" s="220">
        <f>SUM(I1426:M1427)</f>
        <v>987110</v>
      </c>
      <c r="O1426" s="224"/>
      <c r="P1426" s="110" t="s">
        <v>9946</v>
      </c>
      <c r="Q1426" s="15" t="s">
        <v>19</v>
      </c>
      <c r="R1426" s="205"/>
      <c r="S1426" s="189" t="s">
        <v>1361</v>
      </c>
      <c r="T1426" s="114"/>
      <c r="U1426" s="21"/>
      <c r="V1426" s="115">
        <v>45965</v>
      </c>
      <c r="W1426" s="116">
        <v>1916</v>
      </c>
      <c r="X1426" s="220">
        <v>1003000</v>
      </c>
      <c r="Y1426" s="220">
        <f>X1426*0.1</f>
        <v>100300</v>
      </c>
      <c r="Z1426" s="220">
        <v>8110</v>
      </c>
      <c r="AA1426" s="220">
        <f>SUM(X1426:Z1426)</f>
        <v>1111410</v>
      </c>
      <c r="AB1426" s="222">
        <v>45971</v>
      </c>
    </row>
    <row r="1427" spans="1:28" ht="17.100000000000001" customHeight="1" thickBot="1">
      <c r="A1427" s="227"/>
      <c r="B1427" s="27" t="s">
        <v>4468</v>
      </c>
      <c r="C1427" s="27">
        <v>2018</v>
      </c>
      <c r="D1427" s="14" t="s">
        <v>2014</v>
      </c>
      <c r="E1427" s="229"/>
      <c r="F1427" s="117" t="s">
        <v>4664</v>
      </c>
      <c r="G1427" s="26">
        <v>37476</v>
      </c>
      <c r="H1427" s="231"/>
      <c r="I1427" s="221"/>
      <c r="J1427" s="221"/>
      <c r="K1427" s="221"/>
      <c r="L1427" s="221"/>
      <c r="M1427" s="221"/>
      <c r="N1427" s="221"/>
      <c r="O1427" s="225"/>
      <c r="P1427" s="118" t="s">
        <v>4211</v>
      </c>
      <c r="Q1427" s="16" t="s">
        <v>20</v>
      </c>
      <c r="R1427" s="17" t="s">
        <v>9944</v>
      </c>
      <c r="S1427" s="121" t="s">
        <v>1731</v>
      </c>
      <c r="T1427" s="122"/>
      <c r="U1427" s="22"/>
      <c r="V1427" s="123" t="s">
        <v>2103</v>
      </c>
      <c r="W1427" s="122">
        <v>3281</v>
      </c>
      <c r="X1427" s="221"/>
      <c r="Y1427" s="221"/>
      <c r="Z1427" s="221"/>
      <c r="AA1427" s="221"/>
      <c r="AB1427" s="223"/>
    </row>
    <row r="1428" spans="1:28" ht="17.100000000000001" customHeight="1" thickTop="1">
      <c r="A1428" s="226" t="s">
        <v>6344</v>
      </c>
      <c r="B1428" s="28">
        <v>45912</v>
      </c>
      <c r="C1428" s="25">
        <v>1385</v>
      </c>
      <c r="D1428" s="13" t="s">
        <v>1733</v>
      </c>
      <c r="E1428" s="228"/>
      <c r="F1428" s="109" t="s">
        <v>4665</v>
      </c>
      <c r="G1428" s="24"/>
      <c r="H1428" s="232" t="s">
        <v>1705</v>
      </c>
      <c r="I1428" s="220">
        <v>408000</v>
      </c>
      <c r="J1428" s="220">
        <f>I1428*0.1</f>
        <v>40800</v>
      </c>
      <c r="K1428" s="220">
        <v>0</v>
      </c>
      <c r="L1428" s="220">
        <v>8400</v>
      </c>
      <c r="M1428" s="220">
        <v>13200</v>
      </c>
      <c r="N1428" s="220">
        <f>SUM(I1428:M1429)</f>
        <v>470400</v>
      </c>
      <c r="O1428" s="224"/>
      <c r="P1428" s="110" t="s">
        <v>4666</v>
      </c>
      <c r="Q1428" s="15" t="s">
        <v>19</v>
      </c>
      <c r="R1428" s="205"/>
      <c r="S1428" s="189"/>
      <c r="T1428" s="114"/>
      <c r="U1428" s="21"/>
      <c r="V1428" s="115">
        <v>46004</v>
      </c>
      <c r="W1428" s="116">
        <v>1280</v>
      </c>
      <c r="X1428" s="220">
        <v>415000</v>
      </c>
      <c r="Y1428" s="220">
        <f>X1428*0.1</f>
        <v>41500</v>
      </c>
      <c r="Z1428" s="220">
        <v>8400</v>
      </c>
      <c r="AA1428" s="220">
        <f>SUM(X1428:Z1428)</f>
        <v>464900</v>
      </c>
      <c r="AB1428" s="222">
        <v>46008</v>
      </c>
    </row>
    <row r="1429" spans="1:28" ht="17.100000000000001" customHeight="1" thickBot="1">
      <c r="A1429" s="227"/>
      <c r="B1429" s="27" t="s">
        <v>2597</v>
      </c>
      <c r="C1429" s="27">
        <v>2189</v>
      </c>
      <c r="D1429" s="14" t="s">
        <v>1710</v>
      </c>
      <c r="E1429" s="229"/>
      <c r="F1429" s="117" t="s">
        <v>4667</v>
      </c>
      <c r="G1429" s="26">
        <v>53531</v>
      </c>
      <c r="H1429" s="231"/>
      <c r="I1429" s="221"/>
      <c r="J1429" s="221"/>
      <c r="K1429" s="221"/>
      <c r="L1429" s="221"/>
      <c r="M1429" s="221"/>
      <c r="N1429" s="221"/>
      <c r="O1429" s="225"/>
      <c r="P1429" s="118" t="s">
        <v>4222</v>
      </c>
      <c r="Q1429" s="16" t="s">
        <v>20</v>
      </c>
      <c r="R1429" s="17" t="s">
        <v>1587</v>
      </c>
      <c r="S1429" s="121" t="s">
        <v>4559</v>
      </c>
      <c r="T1429" s="122"/>
      <c r="U1429" s="22"/>
      <c r="V1429" s="123" t="s">
        <v>2472</v>
      </c>
      <c r="W1429" s="122">
        <v>60064</v>
      </c>
      <c r="X1429" s="221"/>
      <c r="Y1429" s="221"/>
      <c r="Z1429" s="221"/>
      <c r="AA1429" s="221"/>
      <c r="AB1429" s="223"/>
    </row>
    <row r="1430" spans="1:28" ht="17.100000000000001" customHeight="1" thickTop="1">
      <c r="A1430" s="226" t="s">
        <v>6345</v>
      </c>
      <c r="B1430" s="28">
        <v>45912</v>
      </c>
      <c r="C1430" s="25">
        <v>1385</v>
      </c>
      <c r="D1430" s="13" t="s">
        <v>1816</v>
      </c>
      <c r="E1430" s="228"/>
      <c r="F1430" s="109" t="s">
        <v>4668</v>
      </c>
      <c r="G1430" s="24" t="s">
        <v>4669</v>
      </c>
      <c r="H1430" s="230">
        <v>4</v>
      </c>
      <c r="I1430" s="220">
        <v>327000</v>
      </c>
      <c r="J1430" s="220">
        <f>I1430*0.1</f>
        <v>32700</v>
      </c>
      <c r="K1430" s="220">
        <v>0</v>
      </c>
      <c r="L1430" s="220">
        <v>8780</v>
      </c>
      <c r="M1430" s="220">
        <v>13200</v>
      </c>
      <c r="N1430" s="220">
        <f>SUM(I1430:M1431)</f>
        <v>381680</v>
      </c>
      <c r="O1430" s="224"/>
      <c r="P1430" s="110" t="s">
        <v>4670</v>
      </c>
      <c r="Q1430" s="15" t="s">
        <v>19</v>
      </c>
      <c r="R1430" s="205"/>
      <c r="S1430" s="189"/>
      <c r="T1430" s="114"/>
      <c r="U1430" s="21" t="s">
        <v>7289</v>
      </c>
      <c r="V1430" s="115">
        <v>45934</v>
      </c>
      <c r="W1430" s="116">
        <v>1270</v>
      </c>
      <c r="X1430" s="220">
        <v>400000</v>
      </c>
      <c r="Y1430" s="220">
        <f>X1430*0.1</f>
        <v>40000</v>
      </c>
      <c r="Z1430" s="220">
        <v>8780</v>
      </c>
      <c r="AA1430" s="220">
        <f>SUM(X1430:Z1430)</f>
        <v>448780</v>
      </c>
      <c r="AB1430" s="222">
        <v>45944</v>
      </c>
    </row>
    <row r="1431" spans="1:28" ht="17.100000000000001" customHeight="1" thickBot="1">
      <c r="A1431" s="227"/>
      <c r="B1431" s="27" t="s">
        <v>2597</v>
      </c>
      <c r="C1431" s="27">
        <v>2223</v>
      </c>
      <c r="D1431" s="14" t="s">
        <v>3792</v>
      </c>
      <c r="E1431" s="229"/>
      <c r="F1431" s="117" t="s">
        <v>4671</v>
      </c>
      <c r="G1431" s="26">
        <v>61903</v>
      </c>
      <c r="H1431" s="231"/>
      <c r="I1431" s="221"/>
      <c r="J1431" s="221"/>
      <c r="K1431" s="221"/>
      <c r="L1431" s="221"/>
      <c r="M1431" s="221"/>
      <c r="N1431" s="221"/>
      <c r="O1431" s="225"/>
      <c r="P1431" s="118" t="s">
        <v>4672</v>
      </c>
      <c r="Q1431" s="16" t="s">
        <v>20</v>
      </c>
      <c r="R1431" s="17" t="s">
        <v>1587</v>
      </c>
      <c r="S1431" s="121" t="s">
        <v>169</v>
      </c>
      <c r="T1431" s="122"/>
      <c r="U1431" s="22"/>
      <c r="V1431" s="123" t="s">
        <v>6642</v>
      </c>
      <c r="W1431" s="122">
        <v>60244</v>
      </c>
      <c r="X1431" s="221"/>
      <c r="Y1431" s="221"/>
      <c r="Z1431" s="221"/>
      <c r="AA1431" s="221"/>
      <c r="AB1431" s="223"/>
    </row>
    <row r="1432" spans="1:28" ht="17.100000000000001" customHeight="1" thickTop="1">
      <c r="A1432" s="226" t="s">
        <v>6346</v>
      </c>
      <c r="B1432" s="28">
        <v>45912</v>
      </c>
      <c r="C1432" s="25">
        <v>1385</v>
      </c>
      <c r="D1432" s="13" t="s">
        <v>1715</v>
      </c>
      <c r="E1432" s="228"/>
      <c r="F1432" s="109" t="s">
        <v>4673</v>
      </c>
      <c r="G1432" s="24" t="s">
        <v>4674</v>
      </c>
      <c r="H1432" s="230">
        <v>4</v>
      </c>
      <c r="I1432" s="220">
        <v>564000</v>
      </c>
      <c r="J1432" s="220">
        <f>I1432*0.1</f>
        <v>56400</v>
      </c>
      <c r="K1432" s="220">
        <v>0</v>
      </c>
      <c r="L1432" s="220">
        <v>7140</v>
      </c>
      <c r="M1432" s="220">
        <v>13200</v>
      </c>
      <c r="N1432" s="220">
        <f>SUM(I1432:M1433)</f>
        <v>640740</v>
      </c>
      <c r="O1432" s="224"/>
      <c r="P1432" s="110" t="s">
        <v>4675</v>
      </c>
      <c r="Q1432" s="15" t="s">
        <v>19</v>
      </c>
      <c r="R1432" s="205"/>
      <c r="S1432" s="189" t="s">
        <v>1361</v>
      </c>
      <c r="T1432" s="114"/>
      <c r="U1432" s="21" t="s">
        <v>8160</v>
      </c>
      <c r="V1432" s="115">
        <v>45941</v>
      </c>
      <c r="W1432" s="116">
        <v>1271</v>
      </c>
      <c r="X1432" s="220">
        <v>620000</v>
      </c>
      <c r="Y1432" s="220">
        <f>X1432*0.1</f>
        <v>62000</v>
      </c>
      <c r="Z1432" s="220">
        <v>7140</v>
      </c>
      <c r="AA1432" s="220">
        <f>SUM(X1432:Z1432)</f>
        <v>689140</v>
      </c>
      <c r="AB1432" s="222">
        <v>45950</v>
      </c>
    </row>
    <row r="1433" spans="1:28" ht="17.100000000000001" customHeight="1" thickBot="1">
      <c r="A1433" s="227"/>
      <c r="B1433" s="27" t="s">
        <v>2597</v>
      </c>
      <c r="C1433" s="27">
        <v>3146</v>
      </c>
      <c r="D1433" s="14" t="s">
        <v>273</v>
      </c>
      <c r="E1433" s="229"/>
      <c r="F1433" s="117" t="s">
        <v>4676</v>
      </c>
      <c r="G1433" s="26">
        <v>57762</v>
      </c>
      <c r="H1433" s="231"/>
      <c r="I1433" s="221"/>
      <c r="J1433" s="221"/>
      <c r="K1433" s="221"/>
      <c r="L1433" s="221"/>
      <c r="M1433" s="221"/>
      <c r="N1433" s="221"/>
      <c r="O1433" s="225"/>
      <c r="P1433" s="118" t="s">
        <v>4677</v>
      </c>
      <c r="Q1433" s="16" t="s">
        <v>20</v>
      </c>
      <c r="R1433" s="17" t="s">
        <v>1587</v>
      </c>
      <c r="S1433" s="121" t="s">
        <v>2360</v>
      </c>
      <c r="T1433" s="122"/>
      <c r="U1433" s="22"/>
      <c r="V1433" s="123" t="s">
        <v>2472</v>
      </c>
      <c r="W1433" s="122">
        <v>60252</v>
      </c>
      <c r="X1433" s="221"/>
      <c r="Y1433" s="221"/>
      <c r="Z1433" s="221"/>
      <c r="AA1433" s="221"/>
      <c r="AB1433" s="223"/>
    </row>
    <row r="1434" spans="1:28" ht="17.100000000000001" customHeight="1" thickTop="1">
      <c r="A1434" s="226" t="s">
        <v>6347</v>
      </c>
      <c r="B1434" s="28">
        <v>45912</v>
      </c>
      <c r="C1434" s="25">
        <v>1385</v>
      </c>
      <c r="D1434" s="13" t="s">
        <v>2033</v>
      </c>
      <c r="E1434" s="228"/>
      <c r="F1434" s="109" t="s">
        <v>4678</v>
      </c>
      <c r="G1434" s="24" t="s">
        <v>4679</v>
      </c>
      <c r="H1434" s="230">
        <v>4</v>
      </c>
      <c r="I1434" s="220">
        <v>1149000</v>
      </c>
      <c r="J1434" s="220">
        <f>I1434*0.1</f>
        <v>114900</v>
      </c>
      <c r="K1434" s="220">
        <v>0</v>
      </c>
      <c r="L1434" s="220">
        <v>7500</v>
      </c>
      <c r="M1434" s="220">
        <v>13200</v>
      </c>
      <c r="N1434" s="220">
        <f>SUM(I1434:M1435)</f>
        <v>1284600</v>
      </c>
      <c r="O1434" s="224"/>
      <c r="P1434" s="110" t="s">
        <v>4680</v>
      </c>
      <c r="Q1434" s="15" t="s">
        <v>19</v>
      </c>
      <c r="R1434" s="205"/>
      <c r="S1434" s="189" t="s">
        <v>25367</v>
      </c>
      <c r="T1434" s="114"/>
      <c r="U1434" s="21" t="s">
        <v>7228</v>
      </c>
      <c r="V1434" s="115">
        <v>45934</v>
      </c>
      <c r="W1434" s="116">
        <v>1270</v>
      </c>
      <c r="X1434" s="220">
        <v>1165000</v>
      </c>
      <c r="Y1434" s="220">
        <f>X1434*0.1</f>
        <v>116500</v>
      </c>
      <c r="Z1434" s="220">
        <v>7500</v>
      </c>
      <c r="AA1434" s="220">
        <f>SUM(X1434:Z1434)</f>
        <v>1289000</v>
      </c>
      <c r="AB1434" s="222">
        <v>45939</v>
      </c>
    </row>
    <row r="1435" spans="1:28" ht="17.100000000000001" customHeight="1" thickBot="1">
      <c r="A1435" s="227"/>
      <c r="B1435" s="27" t="s">
        <v>2597</v>
      </c>
      <c r="C1435" s="27">
        <v>3195</v>
      </c>
      <c r="D1435" s="14" t="s">
        <v>2559</v>
      </c>
      <c r="E1435" s="229"/>
      <c r="F1435" s="117" t="s">
        <v>4681</v>
      </c>
      <c r="G1435" s="26">
        <v>56965</v>
      </c>
      <c r="H1435" s="231"/>
      <c r="I1435" s="221"/>
      <c r="J1435" s="221"/>
      <c r="K1435" s="221"/>
      <c r="L1435" s="221"/>
      <c r="M1435" s="221"/>
      <c r="N1435" s="221"/>
      <c r="O1435" s="225"/>
      <c r="P1435" s="118" t="s">
        <v>4682</v>
      </c>
      <c r="Q1435" s="16" t="s">
        <v>20</v>
      </c>
      <c r="R1435" s="17" t="s">
        <v>2071</v>
      </c>
      <c r="S1435" s="121" t="s">
        <v>3071</v>
      </c>
      <c r="T1435" s="122"/>
      <c r="U1435" s="22"/>
      <c r="V1435" s="123" t="s">
        <v>7160</v>
      </c>
      <c r="W1435" s="122">
        <v>60118</v>
      </c>
      <c r="X1435" s="221"/>
      <c r="Y1435" s="221"/>
      <c r="Z1435" s="221"/>
      <c r="AA1435" s="221"/>
      <c r="AB1435" s="223"/>
    </row>
    <row r="1436" spans="1:28" ht="17.100000000000001" customHeight="1" thickTop="1">
      <c r="A1436" s="226" t="s">
        <v>6348</v>
      </c>
      <c r="B1436" s="28">
        <v>45912</v>
      </c>
      <c r="C1436" s="25">
        <v>1385</v>
      </c>
      <c r="D1436" s="13" t="s">
        <v>2564</v>
      </c>
      <c r="E1436" s="228"/>
      <c r="F1436" s="109" t="s">
        <v>4683</v>
      </c>
      <c r="G1436" s="24" t="s">
        <v>4684</v>
      </c>
      <c r="H1436" s="230">
        <v>4</v>
      </c>
      <c r="I1436" s="220">
        <v>2400000</v>
      </c>
      <c r="J1436" s="220">
        <f>I1436*0.1</f>
        <v>240000</v>
      </c>
      <c r="K1436" s="220">
        <f>18000+1800</f>
        <v>19800</v>
      </c>
      <c r="L1436" s="220">
        <v>21480</v>
      </c>
      <c r="M1436" s="220">
        <f>18000+1800</f>
        <v>19800</v>
      </c>
      <c r="N1436" s="220">
        <f>SUM(I1436:M1437)</f>
        <v>2701080</v>
      </c>
      <c r="O1436" s="224"/>
      <c r="P1436" s="110" t="s">
        <v>4685</v>
      </c>
      <c r="Q1436" s="15" t="s">
        <v>19</v>
      </c>
      <c r="R1436" s="205"/>
      <c r="S1436" s="189" t="s">
        <v>1361</v>
      </c>
      <c r="T1436" s="114"/>
      <c r="U1436" s="21"/>
      <c r="V1436" s="115">
        <v>45941</v>
      </c>
      <c r="W1436" s="116">
        <v>1271</v>
      </c>
      <c r="X1436" s="220">
        <v>2585000</v>
      </c>
      <c r="Y1436" s="220">
        <f>X1436*0.1</f>
        <v>258500</v>
      </c>
      <c r="Z1436" s="220">
        <v>21480</v>
      </c>
      <c r="AA1436" s="220">
        <f>SUM(X1436:Z1436)</f>
        <v>2864980</v>
      </c>
      <c r="AB1436" s="222">
        <v>45944</v>
      </c>
    </row>
    <row r="1437" spans="1:28" ht="17.100000000000001" customHeight="1" thickBot="1">
      <c r="A1437" s="227"/>
      <c r="B1437" s="27" t="s">
        <v>2597</v>
      </c>
      <c r="C1437" s="27">
        <v>3291</v>
      </c>
      <c r="D1437" s="14" t="s">
        <v>1710</v>
      </c>
      <c r="E1437" s="229"/>
      <c r="F1437" s="117" t="s">
        <v>4686</v>
      </c>
      <c r="G1437" s="26">
        <v>28746</v>
      </c>
      <c r="H1437" s="231"/>
      <c r="I1437" s="221"/>
      <c r="J1437" s="221"/>
      <c r="K1437" s="221"/>
      <c r="L1437" s="221"/>
      <c r="M1437" s="221"/>
      <c r="N1437" s="221"/>
      <c r="O1437" s="225"/>
      <c r="P1437" s="118" t="s">
        <v>4687</v>
      </c>
      <c r="Q1437" s="16" t="s">
        <v>20</v>
      </c>
      <c r="R1437" s="17" t="s">
        <v>1587</v>
      </c>
      <c r="S1437" s="121" t="s">
        <v>4688</v>
      </c>
      <c r="T1437" s="122"/>
      <c r="U1437" s="22"/>
      <c r="V1437" s="123" t="s">
        <v>2472</v>
      </c>
      <c r="W1437" s="122">
        <v>80107</v>
      </c>
      <c r="X1437" s="221"/>
      <c r="Y1437" s="221"/>
      <c r="Z1437" s="221"/>
      <c r="AA1437" s="221"/>
      <c r="AB1437" s="223"/>
    </row>
    <row r="1438" spans="1:28" ht="17.100000000000001" customHeight="1" thickTop="1">
      <c r="A1438" s="226" t="s">
        <v>6349</v>
      </c>
      <c r="B1438" s="28">
        <v>45913</v>
      </c>
      <c r="C1438" s="25"/>
      <c r="D1438" s="13" t="s">
        <v>1931</v>
      </c>
      <c r="E1438" s="228"/>
      <c r="F1438" s="109" t="s">
        <v>1854</v>
      </c>
      <c r="G1438" s="24" t="s">
        <v>4689</v>
      </c>
      <c r="H1438" s="230"/>
      <c r="I1438" s="220">
        <v>2028480</v>
      </c>
      <c r="J1438" s="220">
        <v>0</v>
      </c>
      <c r="K1438" s="220">
        <v>0</v>
      </c>
      <c r="L1438" s="220">
        <v>0</v>
      </c>
      <c r="M1438" s="220">
        <v>0</v>
      </c>
      <c r="N1438" s="220">
        <f>SUM(I1438:M1439)</f>
        <v>2028480</v>
      </c>
      <c r="O1438" s="224"/>
      <c r="P1438" s="110" t="s">
        <v>4690</v>
      </c>
      <c r="Q1438" s="15" t="s">
        <v>19</v>
      </c>
      <c r="R1438" s="205"/>
      <c r="S1438" s="189"/>
      <c r="T1438" s="114"/>
      <c r="U1438" s="21"/>
      <c r="V1438" s="115">
        <v>46318</v>
      </c>
      <c r="W1438" s="116"/>
      <c r="X1438" s="220">
        <v>2867900</v>
      </c>
      <c r="Y1438" s="220">
        <v>0</v>
      </c>
      <c r="Z1438" s="220">
        <v>0</v>
      </c>
      <c r="AA1438" s="220">
        <f>SUM(X1438:Z1438)</f>
        <v>2867900</v>
      </c>
      <c r="AB1438" s="222">
        <v>46342</v>
      </c>
    </row>
    <row r="1439" spans="1:28" ht="17.100000000000001" customHeight="1" thickBot="1">
      <c r="A1439" s="227"/>
      <c r="B1439" s="27" t="s">
        <v>4691</v>
      </c>
      <c r="C1439" s="27"/>
      <c r="D1439" s="14"/>
      <c r="E1439" s="229"/>
      <c r="F1439" s="117" t="s">
        <v>4692</v>
      </c>
      <c r="G1439" s="26">
        <v>26377</v>
      </c>
      <c r="H1439" s="231"/>
      <c r="I1439" s="221"/>
      <c r="J1439" s="221"/>
      <c r="K1439" s="221"/>
      <c r="L1439" s="221"/>
      <c r="M1439" s="221"/>
      <c r="N1439" s="221"/>
      <c r="O1439" s="225"/>
      <c r="P1439" s="118" t="s">
        <v>3545</v>
      </c>
      <c r="Q1439" s="16" t="s">
        <v>20</v>
      </c>
      <c r="R1439" s="17" t="s">
        <v>2091</v>
      </c>
      <c r="S1439" s="121" t="s">
        <v>1731</v>
      </c>
      <c r="T1439" s="122"/>
      <c r="U1439" s="22"/>
      <c r="V1439" s="123" t="s">
        <v>15092</v>
      </c>
      <c r="W1439" s="122"/>
      <c r="X1439" s="221"/>
      <c r="Y1439" s="221"/>
      <c r="Z1439" s="221"/>
      <c r="AA1439" s="221"/>
      <c r="AB1439" s="223"/>
    </row>
    <row r="1440" spans="1:28" ht="17.100000000000001" customHeight="1" thickTop="1">
      <c r="A1440" s="226" t="s">
        <v>6350</v>
      </c>
      <c r="B1440" s="28">
        <v>45913</v>
      </c>
      <c r="C1440" s="25">
        <v>1510</v>
      </c>
      <c r="D1440" s="13" t="s">
        <v>4050</v>
      </c>
      <c r="E1440" s="228"/>
      <c r="F1440" s="109" t="s">
        <v>4693</v>
      </c>
      <c r="G1440" s="24" t="s">
        <v>4052</v>
      </c>
      <c r="H1440" s="230">
        <v>4</v>
      </c>
      <c r="I1440" s="220">
        <v>1205000</v>
      </c>
      <c r="J1440" s="220">
        <f>I1440*0.1</f>
        <v>120500</v>
      </c>
      <c r="K1440" s="220">
        <f>19700+1970</f>
        <v>21670</v>
      </c>
      <c r="L1440" s="220">
        <v>20540</v>
      </c>
      <c r="M1440" s="220">
        <v>16500</v>
      </c>
      <c r="N1440" s="220">
        <f>SUM(I1440:M1441)</f>
        <v>1384210</v>
      </c>
      <c r="O1440" s="224"/>
      <c r="P1440" s="110" t="s">
        <v>4694</v>
      </c>
      <c r="Q1440" s="15" t="s">
        <v>19</v>
      </c>
      <c r="R1440" s="205"/>
      <c r="S1440" s="189" t="s">
        <v>758</v>
      </c>
      <c r="T1440" s="114"/>
      <c r="U1440" s="21"/>
      <c r="V1440" s="115">
        <v>45946</v>
      </c>
      <c r="W1440" s="116">
        <v>1302</v>
      </c>
      <c r="X1440" s="220">
        <v>1350000</v>
      </c>
      <c r="Y1440" s="220">
        <f>X1440*0.1</f>
        <v>135000</v>
      </c>
      <c r="Z1440" s="220">
        <v>20540</v>
      </c>
      <c r="AA1440" s="220">
        <f>SUM(X1440:Z1440)</f>
        <v>1505540</v>
      </c>
      <c r="AB1440" s="222">
        <v>45947</v>
      </c>
    </row>
    <row r="1441" spans="1:28" ht="17.100000000000001" customHeight="1" thickBot="1">
      <c r="A1441" s="227"/>
      <c r="B1441" s="27" t="s">
        <v>1547</v>
      </c>
      <c r="C1441" s="27">
        <v>50104</v>
      </c>
      <c r="D1441" s="14" t="s">
        <v>1584</v>
      </c>
      <c r="E1441" s="229"/>
      <c r="F1441" s="117" t="s">
        <v>4695</v>
      </c>
      <c r="G1441" s="26">
        <v>69696</v>
      </c>
      <c r="H1441" s="231"/>
      <c r="I1441" s="221"/>
      <c r="J1441" s="221"/>
      <c r="K1441" s="221"/>
      <c r="L1441" s="221"/>
      <c r="M1441" s="221"/>
      <c r="N1441" s="221"/>
      <c r="O1441" s="225"/>
      <c r="P1441" s="118" t="s">
        <v>1586</v>
      </c>
      <c r="Q1441" s="16" t="s">
        <v>20</v>
      </c>
      <c r="R1441" s="17" t="s">
        <v>1563</v>
      </c>
      <c r="S1441" s="121" t="s">
        <v>1731</v>
      </c>
      <c r="T1441" s="122"/>
      <c r="U1441" s="22" t="s">
        <v>3427</v>
      </c>
      <c r="V1441" s="123" t="s">
        <v>1735</v>
      </c>
      <c r="W1441" s="122">
        <v>537</v>
      </c>
      <c r="X1441" s="221"/>
      <c r="Y1441" s="221"/>
      <c r="Z1441" s="221"/>
      <c r="AA1441" s="221"/>
      <c r="AB1441" s="223"/>
    </row>
    <row r="1442" spans="1:28" ht="17.100000000000001" customHeight="1" thickTop="1">
      <c r="A1442" s="226" t="s">
        <v>6351</v>
      </c>
      <c r="B1442" s="28">
        <v>45913</v>
      </c>
      <c r="C1442" s="25">
        <v>1510</v>
      </c>
      <c r="D1442" s="13" t="s">
        <v>1810</v>
      </c>
      <c r="E1442" s="228"/>
      <c r="F1442" s="109" t="s">
        <v>4696</v>
      </c>
      <c r="G1442" s="24"/>
      <c r="H1442" s="230">
        <v>4.5</v>
      </c>
      <c r="I1442" s="220">
        <v>1655000</v>
      </c>
      <c r="J1442" s="220">
        <f>I1442*0.1</f>
        <v>165500</v>
      </c>
      <c r="K1442" s="220">
        <v>0</v>
      </c>
      <c r="L1442" s="220">
        <v>16250</v>
      </c>
      <c r="M1442" s="220">
        <v>16500</v>
      </c>
      <c r="N1442" s="220">
        <f>SUM(I1442:M1443)</f>
        <v>1853250</v>
      </c>
      <c r="O1442" s="224"/>
      <c r="P1442" s="110" t="s">
        <v>4697</v>
      </c>
      <c r="Q1442" s="15" t="s">
        <v>19</v>
      </c>
      <c r="R1442" s="205"/>
      <c r="S1442" s="189" t="s">
        <v>25367</v>
      </c>
      <c r="T1442" s="114"/>
      <c r="U1442" s="21"/>
      <c r="V1442" s="115">
        <v>45941</v>
      </c>
      <c r="W1442" s="116">
        <v>1271</v>
      </c>
      <c r="X1442" s="220">
        <v>1745000</v>
      </c>
      <c r="Y1442" s="220">
        <f>X1442*0.1</f>
        <v>174500</v>
      </c>
      <c r="Z1442" s="220">
        <v>16250</v>
      </c>
      <c r="AA1442" s="220">
        <f>SUM(X1442:Z1442)</f>
        <v>1935750</v>
      </c>
      <c r="AB1442" s="222">
        <v>45944</v>
      </c>
    </row>
    <row r="1443" spans="1:28" ht="17.100000000000001" customHeight="1" thickBot="1">
      <c r="A1443" s="227"/>
      <c r="B1443" s="27" t="s">
        <v>1547</v>
      </c>
      <c r="C1443" s="27">
        <v>83041</v>
      </c>
      <c r="D1443" s="14" t="s">
        <v>2788</v>
      </c>
      <c r="E1443" s="229"/>
      <c r="F1443" s="117" t="s">
        <v>4698</v>
      </c>
      <c r="G1443" s="26">
        <v>20790</v>
      </c>
      <c r="H1443" s="231"/>
      <c r="I1443" s="221"/>
      <c r="J1443" s="221"/>
      <c r="K1443" s="221"/>
      <c r="L1443" s="221"/>
      <c r="M1443" s="221"/>
      <c r="N1443" s="221"/>
      <c r="O1443" s="225"/>
      <c r="P1443" s="118" t="s">
        <v>4699</v>
      </c>
      <c r="Q1443" s="16" t="s">
        <v>20</v>
      </c>
      <c r="R1443" s="17" t="s">
        <v>1587</v>
      </c>
      <c r="S1443" s="121" t="s">
        <v>1731</v>
      </c>
      <c r="T1443" s="122"/>
      <c r="U1443" s="22"/>
      <c r="V1443" s="123" t="s">
        <v>2472</v>
      </c>
      <c r="W1443" s="122">
        <v>80040</v>
      </c>
      <c r="X1443" s="221"/>
      <c r="Y1443" s="221"/>
      <c r="Z1443" s="221"/>
      <c r="AA1443" s="221"/>
      <c r="AB1443" s="223"/>
    </row>
    <row r="1444" spans="1:28" ht="17.100000000000001" customHeight="1" thickTop="1">
      <c r="A1444" s="226" t="s">
        <v>6352</v>
      </c>
      <c r="B1444" s="28">
        <v>45913</v>
      </c>
      <c r="C1444" s="25">
        <v>1689</v>
      </c>
      <c r="D1444" s="13" t="s">
        <v>4050</v>
      </c>
      <c r="E1444" s="228"/>
      <c r="F1444" s="109" t="s">
        <v>4700</v>
      </c>
      <c r="G1444" s="24"/>
      <c r="H1444" s="230">
        <v>4.5</v>
      </c>
      <c r="I1444" s="220">
        <v>1835000</v>
      </c>
      <c r="J1444" s="220">
        <f>I1444*0.1</f>
        <v>183500</v>
      </c>
      <c r="K1444" s="220">
        <v>0</v>
      </c>
      <c r="L1444" s="220">
        <v>11740</v>
      </c>
      <c r="M1444" s="220">
        <v>14300</v>
      </c>
      <c r="N1444" s="220">
        <f>SUM(I1444:M1445)</f>
        <v>2044540</v>
      </c>
      <c r="O1444" s="224"/>
      <c r="P1444" s="110" t="s">
        <v>4701</v>
      </c>
      <c r="Q1444" s="15" t="s">
        <v>19</v>
      </c>
      <c r="R1444" s="205"/>
      <c r="S1444" s="189"/>
      <c r="T1444" s="114"/>
      <c r="U1444" s="21"/>
      <c r="V1444" s="115">
        <v>46298</v>
      </c>
      <c r="W1444" s="116"/>
      <c r="X1444" s="220">
        <v>3071300</v>
      </c>
      <c r="Y1444" s="220">
        <v>0</v>
      </c>
      <c r="Z1444" s="220">
        <v>0</v>
      </c>
      <c r="AA1444" s="220">
        <f>SUM(X1444:Z1444)</f>
        <v>3071300</v>
      </c>
      <c r="AB1444" s="222">
        <v>46348</v>
      </c>
    </row>
    <row r="1445" spans="1:28" ht="17.100000000000001" customHeight="1" thickBot="1">
      <c r="A1445" s="227"/>
      <c r="B1445" s="27" t="s">
        <v>1842</v>
      </c>
      <c r="C1445" s="27">
        <v>332</v>
      </c>
      <c r="D1445" s="14" t="s">
        <v>131</v>
      </c>
      <c r="E1445" s="229"/>
      <c r="F1445" s="117" t="s">
        <v>4702</v>
      </c>
      <c r="G1445" s="26">
        <v>54159</v>
      </c>
      <c r="H1445" s="231"/>
      <c r="I1445" s="221"/>
      <c r="J1445" s="221"/>
      <c r="K1445" s="221"/>
      <c r="L1445" s="221"/>
      <c r="M1445" s="221"/>
      <c r="N1445" s="221"/>
      <c r="O1445" s="225"/>
      <c r="P1445" s="118" t="s">
        <v>2404</v>
      </c>
      <c r="Q1445" s="16" t="s">
        <v>20</v>
      </c>
      <c r="R1445" s="17" t="s">
        <v>1587</v>
      </c>
      <c r="S1445" s="121" t="s">
        <v>1722</v>
      </c>
      <c r="T1445" s="122"/>
      <c r="U1445" s="22"/>
      <c r="V1445" s="123" t="s">
        <v>15094</v>
      </c>
      <c r="W1445" s="122"/>
      <c r="X1445" s="221"/>
      <c r="Y1445" s="221"/>
      <c r="Z1445" s="221"/>
      <c r="AA1445" s="221"/>
      <c r="AB1445" s="223"/>
    </row>
    <row r="1446" spans="1:28" ht="17.100000000000001" customHeight="1" thickTop="1">
      <c r="A1446" s="226" t="s">
        <v>6353</v>
      </c>
      <c r="B1446" s="28">
        <v>45913</v>
      </c>
      <c r="C1446" s="25"/>
      <c r="D1446" s="13" t="s">
        <v>1640</v>
      </c>
      <c r="E1446" s="228"/>
      <c r="F1446" s="109" t="s">
        <v>4703</v>
      </c>
      <c r="G1446" s="24" t="s">
        <v>4704</v>
      </c>
      <c r="H1446" s="230">
        <v>4</v>
      </c>
      <c r="I1446" s="220">
        <f>423500/1.1</f>
        <v>384999.99999999994</v>
      </c>
      <c r="J1446" s="220">
        <f>I1446*0.1</f>
        <v>38499.999999999993</v>
      </c>
      <c r="K1446" s="220">
        <v>0</v>
      </c>
      <c r="L1446" s="220">
        <v>9070</v>
      </c>
      <c r="M1446" s="220">
        <v>48343</v>
      </c>
      <c r="N1446" s="220">
        <f>SUM(I1446:M1447)</f>
        <v>480912.99999999994</v>
      </c>
      <c r="O1446" s="224"/>
      <c r="P1446" s="110" t="s">
        <v>10001</v>
      </c>
      <c r="Q1446" s="15" t="s">
        <v>19</v>
      </c>
      <c r="R1446" s="205"/>
      <c r="S1446" s="189" t="s">
        <v>25372</v>
      </c>
      <c r="T1446" s="114"/>
      <c r="U1446" s="21"/>
      <c r="V1446" s="115">
        <v>45983</v>
      </c>
      <c r="W1446" s="116">
        <v>1277</v>
      </c>
      <c r="X1446" s="220">
        <v>525000</v>
      </c>
      <c r="Y1446" s="220">
        <f>X1446*0.1</f>
        <v>52500</v>
      </c>
      <c r="Z1446" s="220">
        <v>9070</v>
      </c>
      <c r="AA1446" s="220">
        <f>SUM(X1446:Z1446)</f>
        <v>586570</v>
      </c>
      <c r="AB1446" s="222">
        <v>45987</v>
      </c>
    </row>
    <row r="1447" spans="1:28" ht="17.100000000000001" customHeight="1" thickBot="1">
      <c r="A1447" s="227"/>
      <c r="B1447" s="27" t="s">
        <v>1708</v>
      </c>
      <c r="C1447" s="27" t="s">
        <v>4705</v>
      </c>
      <c r="D1447" s="14" t="s">
        <v>1797</v>
      </c>
      <c r="E1447" s="229"/>
      <c r="F1447" s="117" t="s">
        <v>4706</v>
      </c>
      <c r="G1447" s="26">
        <v>41665</v>
      </c>
      <c r="H1447" s="231"/>
      <c r="I1447" s="221"/>
      <c r="J1447" s="221"/>
      <c r="K1447" s="221"/>
      <c r="L1447" s="221"/>
      <c r="M1447" s="221"/>
      <c r="N1447" s="221"/>
      <c r="O1447" s="225"/>
      <c r="P1447" s="118" t="s">
        <v>10002</v>
      </c>
      <c r="Q1447" s="16" t="s">
        <v>20</v>
      </c>
      <c r="R1447" s="17" t="s">
        <v>3343</v>
      </c>
      <c r="S1447" s="121" t="s">
        <v>1625</v>
      </c>
      <c r="T1447" s="122"/>
      <c r="U1447" s="22"/>
      <c r="V1447" s="123" t="s">
        <v>2472</v>
      </c>
      <c r="W1447" s="122">
        <v>31141</v>
      </c>
      <c r="X1447" s="221"/>
      <c r="Y1447" s="221"/>
      <c r="Z1447" s="221"/>
      <c r="AA1447" s="221"/>
      <c r="AB1447" s="223"/>
    </row>
    <row r="1448" spans="1:28" ht="17.100000000000001" customHeight="1" thickTop="1">
      <c r="A1448" s="233" t="s">
        <v>6354</v>
      </c>
      <c r="B1448" s="28">
        <v>45913</v>
      </c>
      <c r="C1448" s="25">
        <v>1267</v>
      </c>
      <c r="D1448" s="13" t="s">
        <v>4707</v>
      </c>
      <c r="E1448" s="228"/>
      <c r="F1448" s="109" t="s">
        <v>4708</v>
      </c>
      <c r="G1448" s="24"/>
      <c r="H1448" s="230">
        <v>4</v>
      </c>
      <c r="I1448" s="220">
        <v>273000</v>
      </c>
      <c r="J1448" s="220">
        <f>I1448*0.1</f>
        <v>27300</v>
      </c>
      <c r="K1448" s="220">
        <v>0</v>
      </c>
      <c r="L1448" s="220">
        <v>8670</v>
      </c>
      <c r="M1448" s="220">
        <v>9900</v>
      </c>
      <c r="N1448" s="220">
        <f>SUM(I1448:M1449)</f>
        <v>318870</v>
      </c>
      <c r="O1448" s="224"/>
      <c r="P1448" s="110" t="s">
        <v>4709</v>
      </c>
      <c r="Q1448" s="15" t="s">
        <v>19</v>
      </c>
      <c r="R1448" s="205"/>
      <c r="S1448" s="189"/>
      <c r="T1448" s="114"/>
      <c r="U1448" s="21"/>
      <c r="V1448" s="115">
        <v>46032</v>
      </c>
      <c r="W1448" s="116">
        <v>1283</v>
      </c>
      <c r="X1448" s="220">
        <v>250000</v>
      </c>
      <c r="Y1448" s="220">
        <f>X1448*0.1</f>
        <v>25000</v>
      </c>
      <c r="Z1448" s="220">
        <v>8670</v>
      </c>
      <c r="AA1448" s="220">
        <f>SUM(X1448:Z1448)</f>
        <v>283670</v>
      </c>
      <c r="AB1448" s="222">
        <v>46036</v>
      </c>
    </row>
    <row r="1449" spans="1:28" ht="17.100000000000001" customHeight="1" thickBot="1">
      <c r="A1449" s="234"/>
      <c r="B1449" s="27" t="s">
        <v>2472</v>
      </c>
      <c r="C1449" s="27">
        <v>63207</v>
      </c>
      <c r="D1449" s="14" t="s">
        <v>54</v>
      </c>
      <c r="E1449" s="229"/>
      <c r="F1449" s="117" t="s">
        <v>4710</v>
      </c>
      <c r="G1449" s="26">
        <v>55505</v>
      </c>
      <c r="H1449" s="231"/>
      <c r="I1449" s="221"/>
      <c r="J1449" s="221"/>
      <c r="K1449" s="221"/>
      <c r="L1449" s="221"/>
      <c r="M1449" s="221"/>
      <c r="N1449" s="221"/>
      <c r="O1449" s="225"/>
      <c r="P1449" s="118" t="s">
        <v>4711</v>
      </c>
      <c r="Q1449" s="16" t="s">
        <v>20</v>
      </c>
      <c r="R1449" s="17" t="s">
        <v>2120</v>
      </c>
      <c r="S1449" s="121"/>
      <c r="T1449" s="122"/>
      <c r="U1449" s="22"/>
      <c r="V1449" s="123" t="s">
        <v>2472</v>
      </c>
      <c r="W1449" s="122">
        <v>60127</v>
      </c>
      <c r="X1449" s="221"/>
      <c r="Y1449" s="221"/>
      <c r="Z1449" s="221"/>
      <c r="AA1449" s="221"/>
      <c r="AB1449" s="223"/>
    </row>
    <row r="1450" spans="1:28" ht="17.100000000000001" customHeight="1" thickTop="1">
      <c r="A1450" s="226" t="s">
        <v>6355</v>
      </c>
      <c r="B1450" s="28">
        <v>45913</v>
      </c>
      <c r="C1450" s="25">
        <v>1267</v>
      </c>
      <c r="D1450" s="13" t="s">
        <v>1754</v>
      </c>
      <c r="E1450" s="228"/>
      <c r="F1450" s="109" t="s">
        <v>4712</v>
      </c>
      <c r="G1450" s="24" t="s">
        <v>3968</v>
      </c>
      <c r="H1450" s="230">
        <v>4</v>
      </c>
      <c r="I1450" s="220">
        <v>450000</v>
      </c>
      <c r="J1450" s="220">
        <f>I1450*0.1</f>
        <v>45000</v>
      </c>
      <c r="K1450" s="220">
        <v>0</v>
      </c>
      <c r="L1450" s="220">
        <v>8680</v>
      </c>
      <c r="M1450" s="220">
        <v>12100</v>
      </c>
      <c r="N1450" s="220">
        <f>SUM(I1450:M1451)</f>
        <v>515780</v>
      </c>
      <c r="O1450" s="224"/>
      <c r="P1450" s="110" t="s">
        <v>4713</v>
      </c>
      <c r="Q1450" s="15" t="s">
        <v>19</v>
      </c>
      <c r="R1450" s="205"/>
      <c r="S1450" s="189" t="s">
        <v>25413</v>
      </c>
      <c r="T1450" s="114"/>
      <c r="U1450" s="21"/>
      <c r="V1450" s="115">
        <v>45948</v>
      </c>
      <c r="W1450" s="116">
        <v>1272</v>
      </c>
      <c r="X1450" s="220">
        <v>460000</v>
      </c>
      <c r="Y1450" s="220">
        <f>X1450*0.1</f>
        <v>46000</v>
      </c>
      <c r="Z1450" s="220">
        <v>8680</v>
      </c>
      <c r="AA1450" s="220">
        <f>SUM(X1450:Z1450)</f>
        <v>514680</v>
      </c>
      <c r="AB1450" s="222">
        <v>45952</v>
      </c>
    </row>
    <row r="1451" spans="1:28" ht="17.100000000000001" customHeight="1" thickBot="1">
      <c r="A1451" s="227"/>
      <c r="B1451" s="27" t="s">
        <v>2472</v>
      </c>
      <c r="C1451" s="27">
        <v>65316</v>
      </c>
      <c r="D1451" s="14" t="s">
        <v>273</v>
      </c>
      <c r="E1451" s="229"/>
      <c r="F1451" s="117" t="s">
        <v>4714</v>
      </c>
      <c r="G1451" s="26">
        <v>76428</v>
      </c>
      <c r="H1451" s="231"/>
      <c r="I1451" s="221"/>
      <c r="J1451" s="221"/>
      <c r="K1451" s="221"/>
      <c r="L1451" s="221"/>
      <c r="M1451" s="221"/>
      <c r="N1451" s="221"/>
      <c r="O1451" s="225"/>
      <c r="P1451" s="118" t="s">
        <v>4715</v>
      </c>
      <c r="Q1451" s="16" t="s">
        <v>20</v>
      </c>
      <c r="R1451" s="17" t="s">
        <v>4491</v>
      </c>
      <c r="S1451" s="121" t="s">
        <v>4716</v>
      </c>
      <c r="T1451" s="122" t="s">
        <v>4717</v>
      </c>
      <c r="U1451" s="22"/>
      <c r="V1451" s="123" t="s">
        <v>2472</v>
      </c>
      <c r="W1451" s="122">
        <v>60248</v>
      </c>
      <c r="X1451" s="221"/>
      <c r="Y1451" s="221"/>
      <c r="Z1451" s="221"/>
      <c r="AA1451" s="221"/>
      <c r="AB1451" s="223"/>
    </row>
    <row r="1452" spans="1:28" ht="17.100000000000001" customHeight="1" thickTop="1">
      <c r="A1452" s="226" t="s">
        <v>6356</v>
      </c>
      <c r="B1452" s="28">
        <v>45913</v>
      </c>
      <c r="C1452" s="25">
        <v>1267</v>
      </c>
      <c r="D1452" s="13" t="s">
        <v>2406</v>
      </c>
      <c r="E1452" s="228"/>
      <c r="F1452" s="109" t="s">
        <v>2556</v>
      </c>
      <c r="G1452" s="24" t="s">
        <v>4718</v>
      </c>
      <c r="H1452" s="230">
        <v>4</v>
      </c>
      <c r="I1452" s="220">
        <v>1100000</v>
      </c>
      <c r="J1452" s="220">
        <f>I1452*0.1</f>
        <v>110000</v>
      </c>
      <c r="K1452" s="220">
        <v>0</v>
      </c>
      <c r="L1452" s="220">
        <v>9080</v>
      </c>
      <c r="M1452" s="220">
        <v>13200</v>
      </c>
      <c r="N1452" s="220">
        <f>SUM(I1452:M1453)</f>
        <v>1232280</v>
      </c>
      <c r="O1452" s="224"/>
      <c r="P1452" s="110" t="s">
        <v>4719</v>
      </c>
      <c r="Q1452" s="15" t="s">
        <v>19</v>
      </c>
      <c r="R1452" s="205"/>
      <c r="S1452" s="189" t="s">
        <v>758</v>
      </c>
      <c r="T1452" s="114"/>
      <c r="U1452" s="21" t="s">
        <v>7423</v>
      </c>
      <c r="V1452" s="115">
        <v>45938</v>
      </c>
      <c r="W1452" s="116">
        <v>987</v>
      </c>
      <c r="X1452" s="220">
        <v>1265000</v>
      </c>
      <c r="Y1452" s="220">
        <f>X1452*0.1</f>
        <v>126500</v>
      </c>
      <c r="Z1452" s="220">
        <v>9080</v>
      </c>
      <c r="AA1452" s="220">
        <f>SUM(X1452:Z1452)</f>
        <v>1400580</v>
      </c>
      <c r="AB1452" s="222">
        <v>45944</v>
      </c>
    </row>
    <row r="1453" spans="1:28" ht="17.100000000000001" customHeight="1" thickBot="1">
      <c r="A1453" s="227"/>
      <c r="B1453" s="27" t="s">
        <v>2472</v>
      </c>
      <c r="C1453" s="27">
        <v>65336</v>
      </c>
      <c r="D1453" s="14" t="s">
        <v>2559</v>
      </c>
      <c r="E1453" s="229"/>
      <c r="F1453" s="117" t="s">
        <v>4720</v>
      </c>
      <c r="G1453" s="26">
        <v>48000</v>
      </c>
      <c r="H1453" s="231"/>
      <c r="I1453" s="221"/>
      <c r="J1453" s="221"/>
      <c r="K1453" s="221"/>
      <c r="L1453" s="221"/>
      <c r="M1453" s="221"/>
      <c r="N1453" s="221"/>
      <c r="O1453" s="225"/>
      <c r="P1453" s="118" t="s">
        <v>4721</v>
      </c>
      <c r="Q1453" s="16" t="s">
        <v>20</v>
      </c>
      <c r="R1453" s="17" t="s">
        <v>4491</v>
      </c>
      <c r="S1453" s="121" t="s">
        <v>4722</v>
      </c>
      <c r="T1453" s="122"/>
      <c r="U1453" s="22"/>
      <c r="V1453" s="123" t="s">
        <v>2747</v>
      </c>
      <c r="W1453" s="122">
        <v>2010</v>
      </c>
      <c r="X1453" s="221"/>
      <c r="Y1453" s="221"/>
      <c r="Z1453" s="221"/>
      <c r="AA1453" s="221"/>
      <c r="AB1453" s="223"/>
    </row>
    <row r="1454" spans="1:28" ht="17.100000000000001" customHeight="1" thickTop="1">
      <c r="A1454" s="226" t="s">
        <v>6357</v>
      </c>
      <c r="B1454" s="28">
        <v>45913</v>
      </c>
      <c r="C1454" s="25">
        <v>1267</v>
      </c>
      <c r="D1454" s="13" t="s">
        <v>1961</v>
      </c>
      <c r="E1454" s="228"/>
      <c r="F1454" s="109" t="s">
        <v>4723</v>
      </c>
      <c r="G1454" s="24" t="s">
        <v>4724</v>
      </c>
      <c r="H1454" s="230">
        <v>4</v>
      </c>
      <c r="I1454" s="220">
        <v>1590000</v>
      </c>
      <c r="J1454" s="220">
        <f>I1454*0.1</f>
        <v>159000</v>
      </c>
      <c r="K1454" s="220">
        <f>18000+1800</f>
        <v>19800</v>
      </c>
      <c r="L1454" s="220">
        <v>13890</v>
      </c>
      <c r="M1454" s="220">
        <v>16500</v>
      </c>
      <c r="N1454" s="220">
        <f>SUM(I1454:M1455)</f>
        <v>1799190</v>
      </c>
      <c r="O1454" s="224"/>
      <c r="P1454" s="110" t="s">
        <v>4725</v>
      </c>
      <c r="Q1454" s="15" t="s">
        <v>19</v>
      </c>
      <c r="R1454" s="205"/>
      <c r="S1454" s="189" t="s">
        <v>1271</v>
      </c>
      <c r="T1454" s="114"/>
      <c r="U1454" s="21"/>
      <c r="V1454" s="115">
        <v>45959</v>
      </c>
      <c r="W1454" s="116">
        <v>990</v>
      </c>
      <c r="X1454" s="220">
        <v>1705000</v>
      </c>
      <c r="Y1454" s="220">
        <f>X1454*0.1</f>
        <v>170500</v>
      </c>
      <c r="Z1454" s="220">
        <v>13890</v>
      </c>
      <c r="AA1454" s="220">
        <f>SUM(X1454:Z1454)</f>
        <v>1889390</v>
      </c>
      <c r="AB1454" s="222">
        <v>45965</v>
      </c>
    </row>
    <row r="1455" spans="1:28" ht="17.100000000000001" customHeight="1" thickBot="1">
      <c r="A1455" s="227"/>
      <c r="B1455" s="27" t="s">
        <v>2472</v>
      </c>
      <c r="C1455" s="27">
        <v>82379</v>
      </c>
      <c r="D1455" s="14" t="s">
        <v>898</v>
      </c>
      <c r="E1455" s="229"/>
      <c r="F1455" s="117" t="s">
        <v>4726</v>
      </c>
      <c r="G1455" s="26">
        <v>32608</v>
      </c>
      <c r="H1455" s="231"/>
      <c r="I1455" s="221"/>
      <c r="J1455" s="221"/>
      <c r="K1455" s="221"/>
      <c r="L1455" s="221"/>
      <c r="M1455" s="221"/>
      <c r="N1455" s="221"/>
      <c r="O1455" s="225"/>
      <c r="P1455" s="118" t="s">
        <v>2287</v>
      </c>
      <c r="Q1455" s="16" t="s">
        <v>20</v>
      </c>
      <c r="R1455" s="17" t="s">
        <v>4491</v>
      </c>
      <c r="S1455" s="121" t="s">
        <v>4727</v>
      </c>
      <c r="T1455" s="122"/>
      <c r="U1455" s="22" t="s">
        <v>3427</v>
      </c>
      <c r="V1455" s="123" t="s">
        <v>2747</v>
      </c>
      <c r="W1455" s="122">
        <v>6092</v>
      </c>
      <c r="X1455" s="221"/>
      <c r="Y1455" s="221"/>
      <c r="Z1455" s="221"/>
      <c r="AA1455" s="221"/>
      <c r="AB1455" s="223"/>
    </row>
    <row r="1456" spans="1:28" ht="17.100000000000001" customHeight="1" thickTop="1">
      <c r="A1456" s="226" t="s">
        <v>6358</v>
      </c>
      <c r="B1456" s="28">
        <v>45915</v>
      </c>
      <c r="C1456" s="25">
        <v>2060</v>
      </c>
      <c r="D1456" s="13" t="s">
        <v>2195</v>
      </c>
      <c r="E1456" s="228"/>
      <c r="F1456" s="109" t="s">
        <v>4728</v>
      </c>
      <c r="G1456" s="24"/>
      <c r="H1456" s="230">
        <v>5</v>
      </c>
      <c r="I1456" s="220">
        <v>1505000</v>
      </c>
      <c r="J1456" s="220">
        <f>I1456*0.1</f>
        <v>150500</v>
      </c>
      <c r="K1456" s="220">
        <v>0</v>
      </c>
      <c r="L1456" s="220">
        <v>7150</v>
      </c>
      <c r="M1456" s="220">
        <v>8800</v>
      </c>
      <c r="N1456" s="220">
        <f>SUM(I1456:M1457)</f>
        <v>1671450</v>
      </c>
      <c r="O1456" s="224"/>
      <c r="P1456" s="110" t="s">
        <v>4729</v>
      </c>
      <c r="Q1456" s="15" t="s">
        <v>19</v>
      </c>
      <c r="R1456" s="205"/>
      <c r="S1456" s="189"/>
      <c r="T1456" s="114"/>
      <c r="U1456" s="21"/>
      <c r="V1456" s="115">
        <v>46057</v>
      </c>
      <c r="W1456" s="116">
        <v>1003</v>
      </c>
      <c r="X1456" s="220">
        <v>1435000</v>
      </c>
      <c r="Y1456" s="220">
        <f>X1456*0.1</f>
        <v>143500</v>
      </c>
      <c r="Z1456" s="220">
        <v>8750</v>
      </c>
      <c r="AA1456" s="220">
        <f>SUM(X1456:Z1456)</f>
        <v>1587250</v>
      </c>
      <c r="AB1456" s="222">
        <v>46062</v>
      </c>
    </row>
    <row r="1457" spans="1:28" ht="17.100000000000001" customHeight="1" thickBot="1">
      <c r="A1457" s="227"/>
      <c r="B1457" s="27" t="s">
        <v>82</v>
      </c>
      <c r="C1457" s="27">
        <v>24020</v>
      </c>
      <c r="D1457" s="14" t="s">
        <v>273</v>
      </c>
      <c r="E1457" s="229"/>
      <c r="F1457" s="117" t="s">
        <v>4730</v>
      </c>
      <c r="G1457" s="26">
        <v>9059</v>
      </c>
      <c r="H1457" s="231"/>
      <c r="I1457" s="221"/>
      <c r="J1457" s="221"/>
      <c r="K1457" s="221"/>
      <c r="L1457" s="221"/>
      <c r="M1457" s="221"/>
      <c r="N1457" s="221"/>
      <c r="O1457" s="225"/>
      <c r="P1457" s="118" t="s">
        <v>4731</v>
      </c>
      <c r="Q1457" s="16" t="s">
        <v>20</v>
      </c>
      <c r="R1457" s="17" t="s">
        <v>1563</v>
      </c>
      <c r="S1457" s="121" t="s">
        <v>2784</v>
      </c>
      <c r="T1457" s="122"/>
      <c r="U1457" s="22"/>
      <c r="V1457" s="123" t="s">
        <v>2747</v>
      </c>
      <c r="W1457" s="122">
        <v>2032</v>
      </c>
      <c r="X1457" s="221"/>
      <c r="Y1457" s="221"/>
      <c r="Z1457" s="221"/>
      <c r="AA1457" s="221"/>
      <c r="AB1457" s="223"/>
    </row>
    <row r="1458" spans="1:28" ht="17.100000000000001" customHeight="1" thickTop="1">
      <c r="A1458" s="226" t="s">
        <v>6359</v>
      </c>
      <c r="B1458" s="28">
        <v>45915</v>
      </c>
      <c r="C1458" s="25">
        <v>2060</v>
      </c>
      <c r="D1458" s="13" t="s">
        <v>2158</v>
      </c>
      <c r="E1458" s="228"/>
      <c r="F1458" s="109" t="s">
        <v>4732</v>
      </c>
      <c r="G1458" s="24"/>
      <c r="H1458" s="230">
        <v>4.5</v>
      </c>
      <c r="I1458" s="220">
        <v>1915000</v>
      </c>
      <c r="J1458" s="220">
        <f>I1458*0.1</f>
        <v>191500</v>
      </c>
      <c r="K1458" s="220">
        <v>0</v>
      </c>
      <c r="L1458" s="220">
        <v>15170</v>
      </c>
      <c r="M1458" s="220">
        <v>11000</v>
      </c>
      <c r="N1458" s="220">
        <f>SUM(I1458:M1459)</f>
        <v>2132670</v>
      </c>
      <c r="O1458" s="224"/>
      <c r="P1458" s="110" t="s">
        <v>4733</v>
      </c>
      <c r="Q1458" s="15" t="s">
        <v>19</v>
      </c>
      <c r="R1458" s="205"/>
      <c r="S1458" s="189" t="s">
        <v>1361</v>
      </c>
      <c r="T1458" s="114"/>
      <c r="U1458" s="21"/>
      <c r="V1458" s="115">
        <v>45955</v>
      </c>
      <c r="W1458" s="116">
        <v>1273</v>
      </c>
      <c r="X1458" s="220">
        <v>2000000</v>
      </c>
      <c r="Y1458" s="220">
        <f>X1458*0.1</f>
        <v>200000</v>
      </c>
      <c r="Z1458" s="220">
        <v>15180</v>
      </c>
      <c r="AA1458" s="220">
        <f>SUM(X1458:Z1458)</f>
        <v>2215180</v>
      </c>
      <c r="AB1458" s="222">
        <v>45958</v>
      </c>
    </row>
    <row r="1459" spans="1:28" ht="17.100000000000001" customHeight="1" thickBot="1">
      <c r="A1459" s="227"/>
      <c r="B1459" s="27" t="s">
        <v>82</v>
      </c>
      <c r="C1459" s="27">
        <v>33507</v>
      </c>
      <c r="D1459" s="14" t="s">
        <v>131</v>
      </c>
      <c r="E1459" s="229"/>
      <c r="F1459" s="117" t="s">
        <v>4734</v>
      </c>
      <c r="G1459" s="26">
        <v>35270</v>
      </c>
      <c r="H1459" s="231"/>
      <c r="I1459" s="221"/>
      <c r="J1459" s="221"/>
      <c r="K1459" s="221"/>
      <c r="L1459" s="221"/>
      <c r="M1459" s="221"/>
      <c r="N1459" s="221"/>
      <c r="O1459" s="225"/>
      <c r="P1459" s="118" t="s">
        <v>4735</v>
      </c>
      <c r="Q1459" s="16" t="s">
        <v>20</v>
      </c>
      <c r="R1459" s="17" t="s">
        <v>1563</v>
      </c>
      <c r="S1459" s="121" t="s">
        <v>1731</v>
      </c>
      <c r="T1459" s="122"/>
      <c r="U1459" s="22"/>
      <c r="V1459" s="123" t="s">
        <v>2472</v>
      </c>
      <c r="W1459" s="122">
        <v>80037</v>
      </c>
      <c r="X1459" s="221"/>
      <c r="Y1459" s="221"/>
      <c r="Z1459" s="221"/>
      <c r="AA1459" s="221"/>
      <c r="AB1459" s="223"/>
    </row>
    <row r="1460" spans="1:28" ht="17.100000000000001" customHeight="1" thickTop="1">
      <c r="A1460" s="226" t="s">
        <v>6360</v>
      </c>
      <c r="B1460" s="28">
        <v>45915</v>
      </c>
      <c r="C1460" s="25">
        <v>2060</v>
      </c>
      <c r="D1460" s="13" t="s">
        <v>2573</v>
      </c>
      <c r="E1460" s="228"/>
      <c r="F1460" s="109" t="s">
        <v>4736</v>
      </c>
      <c r="G1460" s="24" t="s">
        <v>3453</v>
      </c>
      <c r="H1460" s="230">
        <v>4.5</v>
      </c>
      <c r="I1460" s="220">
        <v>1395000</v>
      </c>
      <c r="J1460" s="220">
        <f>I1460*0.1</f>
        <v>139500</v>
      </c>
      <c r="K1460" s="220">
        <f>15200+1520</f>
        <v>16720</v>
      </c>
      <c r="L1460" s="220">
        <v>15160</v>
      </c>
      <c r="M1460" s="220">
        <v>11000</v>
      </c>
      <c r="N1460" s="220">
        <f>SUM(I1460:M1461)</f>
        <v>1577380</v>
      </c>
      <c r="O1460" s="224"/>
      <c r="P1460" s="110" t="s">
        <v>4737</v>
      </c>
      <c r="Q1460" s="15" t="s">
        <v>19</v>
      </c>
      <c r="R1460" s="205"/>
      <c r="S1460" s="189" t="s">
        <v>25446</v>
      </c>
      <c r="T1460" s="114"/>
      <c r="U1460" s="21"/>
      <c r="V1460" s="115">
        <v>45934</v>
      </c>
      <c r="W1460" s="116">
        <v>1270</v>
      </c>
      <c r="X1460" s="220">
        <v>1515000</v>
      </c>
      <c r="Y1460" s="220">
        <f>X1460*0.1</f>
        <v>151500</v>
      </c>
      <c r="Z1460" s="220">
        <v>15160</v>
      </c>
      <c r="AA1460" s="220">
        <f>SUM(X1460:Z1460)</f>
        <v>1681660</v>
      </c>
      <c r="AB1460" s="222">
        <v>45938</v>
      </c>
    </row>
    <row r="1461" spans="1:28" ht="17.100000000000001" customHeight="1" thickBot="1">
      <c r="A1461" s="227"/>
      <c r="B1461" s="27" t="s">
        <v>82</v>
      </c>
      <c r="C1461" s="27">
        <v>33509</v>
      </c>
      <c r="D1461" s="14" t="s">
        <v>2559</v>
      </c>
      <c r="E1461" s="229"/>
      <c r="F1461" s="117" t="s">
        <v>4738</v>
      </c>
      <c r="G1461" s="26">
        <v>51847</v>
      </c>
      <c r="H1461" s="231"/>
      <c r="I1461" s="221"/>
      <c r="J1461" s="221"/>
      <c r="K1461" s="221"/>
      <c r="L1461" s="221"/>
      <c r="M1461" s="221"/>
      <c r="N1461" s="221"/>
      <c r="O1461" s="225"/>
      <c r="P1461" s="118" t="s">
        <v>4735</v>
      </c>
      <c r="Q1461" s="16" t="s">
        <v>20</v>
      </c>
      <c r="R1461" s="17" t="s">
        <v>4491</v>
      </c>
      <c r="S1461" s="121" t="s">
        <v>4688</v>
      </c>
      <c r="T1461" s="122"/>
      <c r="U1461" s="22"/>
      <c r="V1461" s="123" t="s">
        <v>7160</v>
      </c>
      <c r="W1461" s="122">
        <v>80030</v>
      </c>
      <c r="X1461" s="221"/>
      <c r="Y1461" s="221"/>
      <c r="Z1461" s="221"/>
      <c r="AA1461" s="221"/>
      <c r="AB1461" s="223"/>
    </row>
    <row r="1462" spans="1:28" ht="17.100000000000001" customHeight="1" thickTop="1">
      <c r="A1462" s="226" t="s">
        <v>6361</v>
      </c>
      <c r="B1462" s="28">
        <v>45915</v>
      </c>
      <c r="C1462" s="25">
        <v>2060</v>
      </c>
      <c r="D1462" s="13" t="s">
        <v>4739</v>
      </c>
      <c r="E1462" s="228"/>
      <c r="F1462" s="109" t="s">
        <v>4740</v>
      </c>
      <c r="G1462" s="24"/>
      <c r="H1462" s="230">
        <v>4</v>
      </c>
      <c r="I1462" s="220">
        <v>432000</v>
      </c>
      <c r="J1462" s="220">
        <f>I1462*0.1</f>
        <v>43200</v>
      </c>
      <c r="K1462" s="220">
        <v>0</v>
      </c>
      <c r="L1462" s="220">
        <v>17940</v>
      </c>
      <c r="M1462" s="220">
        <v>11000</v>
      </c>
      <c r="N1462" s="220">
        <f>SUM(I1462:M1463)</f>
        <v>504140</v>
      </c>
      <c r="O1462" s="224"/>
      <c r="P1462" s="110" t="s">
        <v>4741</v>
      </c>
      <c r="Q1462" s="15" t="s">
        <v>19</v>
      </c>
      <c r="R1462" s="205"/>
      <c r="S1462" s="189"/>
      <c r="T1462" s="114"/>
      <c r="U1462" s="21"/>
      <c r="V1462" s="115">
        <v>45948</v>
      </c>
      <c r="W1462" s="116">
        <v>1272</v>
      </c>
      <c r="X1462" s="220">
        <v>635000</v>
      </c>
      <c r="Y1462" s="220">
        <f>X1462*0.1</f>
        <v>63500</v>
      </c>
      <c r="Z1462" s="220">
        <v>17940</v>
      </c>
      <c r="AA1462" s="220">
        <f>SUM(X1462:Z1462)</f>
        <v>716440</v>
      </c>
      <c r="AB1462" s="222">
        <v>45951</v>
      </c>
    </row>
    <row r="1463" spans="1:28" ht="17.100000000000001" customHeight="1" thickBot="1">
      <c r="A1463" s="227"/>
      <c r="B1463" s="27" t="s">
        <v>82</v>
      </c>
      <c r="C1463" s="27">
        <v>34508</v>
      </c>
      <c r="D1463" s="14" t="s">
        <v>131</v>
      </c>
      <c r="E1463" s="229"/>
      <c r="F1463" s="117" t="s">
        <v>4742</v>
      </c>
      <c r="G1463" s="26">
        <v>48031</v>
      </c>
      <c r="H1463" s="231"/>
      <c r="I1463" s="221"/>
      <c r="J1463" s="221"/>
      <c r="K1463" s="221"/>
      <c r="L1463" s="221"/>
      <c r="M1463" s="221"/>
      <c r="N1463" s="221"/>
      <c r="O1463" s="225"/>
      <c r="P1463" s="118" t="s">
        <v>4743</v>
      </c>
      <c r="Q1463" s="16" t="s">
        <v>20</v>
      </c>
      <c r="R1463" s="17" t="s">
        <v>4491</v>
      </c>
      <c r="S1463" s="121" t="s">
        <v>4688</v>
      </c>
      <c r="T1463" s="122"/>
      <c r="U1463" s="22"/>
      <c r="V1463" s="123" t="s">
        <v>2472</v>
      </c>
      <c r="W1463" s="122">
        <v>80039</v>
      </c>
      <c r="X1463" s="221"/>
      <c r="Y1463" s="221"/>
      <c r="Z1463" s="221"/>
      <c r="AA1463" s="221"/>
      <c r="AB1463" s="223"/>
    </row>
    <row r="1464" spans="1:28" ht="17.100000000000001" customHeight="1" thickTop="1">
      <c r="A1464" s="226" t="s">
        <v>6362</v>
      </c>
      <c r="B1464" s="28">
        <v>45915</v>
      </c>
      <c r="C1464" s="25"/>
      <c r="D1464" s="13" t="s">
        <v>1839</v>
      </c>
      <c r="E1464" s="228"/>
      <c r="F1464" s="109" t="s">
        <v>4744</v>
      </c>
      <c r="G1464" s="24" t="s">
        <v>4120</v>
      </c>
      <c r="H1464" s="230">
        <v>4</v>
      </c>
      <c r="I1464" s="220">
        <v>560000</v>
      </c>
      <c r="J1464" s="220">
        <f>I1464*0.1</f>
        <v>56000</v>
      </c>
      <c r="K1464" s="220">
        <v>13000</v>
      </c>
      <c r="L1464" s="220">
        <v>8140</v>
      </c>
      <c r="M1464" s="220">
        <v>15950</v>
      </c>
      <c r="N1464" s="220">
        <f>SUM(I1464:M1465)</f>
        <v>653090</v>
      </c>
      <c r="O1464" s="224"/>
      <c r="P1464" s="110" t="s">
        <v>4745</v>
      </c>
      <c r="Q1464" s="15" t="s">
        <v>19</v>
      </c>
      <c r="R1464" s="205"/>
      <c r="S1464" s="189"/>
      <c r="T1464" s="114"/>
      <c r="U1464" s="21" t="s">
        <v>8158</v>
      </c>
      <c r="V1464" s="115">
        <v>45941</v>
      </c>
      <c r="W1464" s="116">
        <v>1271</v>
      </c>
      <c r="X1464" s="220">
        <v>585000</v>
      </c>
      <c r="Y1464" s="220">
        <f>X1464*0.1</f>
        <v>58500</v>
      </c>
      <c r="Z1464" s="220">
        <v>8140</v>
      </c>
      <c r="AA1464" s="220">
        <f>SUM(X1464:Z1464)</f>
        <v>651640</v>
      </c>
      <c r="AB1464" s="222">
        <v>45950</v>
      </c>
    </row>
    <row r="1465" spans="1:28" ht="17.100000000000001" customHeight="1" thickBot="1">
      <c r="A1465" s="227"/>
      <c r="B1465" s="27" t="s">
        <v>3787</v>
      </c>
      <c r="C1465" s="27">
        <v>70077</v>
      </c>
      <c r="D1465" s="14" t="s">
        <v>3792</v>
      </c>
      <c r="E1465" s="229"/>
      <c r="F1465" s="117" t="s">
        <v>4746</v>
      </c>
      <c r="G1465" s="26">
        <v>22968</v>
      </c>
      <c r="H1465" s="231"/>
      <c r="I1465" s="221"/>
      <c r="J1465" s="221"/>
      <c r="K1465" s="221"/>
      <c r="L1465" s="221"/>
      <c r="M1465" s="221"/>
      <c r="N1465" s="221"/>
      <c r="O1465" s="225"/>
      <c r="P1465" s="118" t="s">
        <v>2729</v>
      </c>
      <c r="Q1465" s="16" t="s">
        <v>20</v>
      </c>
      <c r="R1465" s="17" t="s">
        <v>4212</v>
      </c>
      <c r="S1465" s="121"/>
      <c r="T1465" s="122"/>
      <c r="U1465" s="22"/>
      <c r="V1465" s="123" t="s">
        <v>2472</v>
      </c>
      <c r="W1465" s="122">
        <v>60246</v>
      </c>
      <c r="X1465" s="221"/>
      <c r="Y1465" s="221"/>
      <c r="Z1465" s="221"/>
      <c r="AA1465" s="221"/>
      <c r="AB1465" s="223"/>
    </row>
    <row r="1466" spans="1:28" ht="17.100000000000001" customHeight="1" thickTop="1">
      <c r="A1466" s="226" t="s">
        <v>6363</v>
      </c>
      <c r="B1466" s="28">
        <v>45915</v>
      </c>
      <c r="C1466" s="25"/>
      <c r="D1466" s="13" t="s">
        <v>2429</v>
      </c>
      <c r="E1466" s="228"/>
      <c r="F1466" s="109" t="s">
        <v>4747</v>
      </c>
      <c r="G1466" s="24"/>
      <c r="H1466" s="230">
        <v>3.5</v>
      </c>
      <c r="I1466" s="220">
        <v>610000</v>
      </c>
      <c r="J1466" s="220">
        <f>I1466*0.1</f>
        <v>61000</v>
      </c>
      <c r="K1466" s="220">
        <v>0</v>
      </c>
      <c r="L1466" s="220">
        <v>9130</v>
      </c>
      <c r="M1466" s="220">
        <v>15950</v>
      </c>
      <c r="N1466" s="220">
        <f>SUM(I1466:M1467)</f>
        <v>696080</v>
      </c>
      <c r="O1466" s="224"/>
      <c r="P1466" s="110" t="s">
        <v>4748</v>
      </c>
      <c r="Q1466" s="15" t="s">
        <v>19</v>
      </c>
      <c r="R1466" s="205"/>
      <c r="S1466" s="189"/>
      <c r="T1466" s="114"/>
      <c r="U1466" s="21"/>
      <c r="V1466" s="115">
        <v>45955</v>
      </c>
      <c r="W1466" s="116">
        <v>1273</v>
      </c>
      <c r="X1466" s="220">
        <v>685000</v>
      </c>
      <c r="Y1466" s="220">
        <f>X1466*0.1</f>
        <v>68500</v>
      </c>
      <c r="Z1466" s="220">
        <v>9130</v>
      </c>
      <c r="AA1466" s="220">
        <f>SUM(X1466:Z1466)</f>
        <v>762630</v>
      </c>
      <c r="AB1466" s="222">
        <v>45958</v>
      </c>
    </row>
    <row r="1467" spans="1:28" ht="17.100000000000001" customHeight="1" thickBot="1">
      <c r="A1467" s="227"/>
      <c r="B1467" s="27" t="s">
        <v>3787</v>
      </c>
      <c r="C1467" s="27">
        <v>70165</v>
      </c>
      <c r="D1467" s="14" t="s">
        <v>2014</v>
      </c>
      <c r="E1467" s="229"/>
      <c r="F1467" s="117" t="s">
        <v>4749</v>
      </c>
      <c r="G1467" s="26">
        <v>57939</v>
      </c>
      <c r="H1467" s="231"/>
      <c r="I1467" s="221"/>
      <c r="J1467" s="221"/>
      <c r="K1467" s="221"/>
      <c r="L1467" s="221"/>
      <c r="M1467" s="221"/>
      <c r="N1467" s="221"/>
      <c r="O1467" s="225"/>
      <c r="P1467" s="118" t="s">
        <v>2729</v>
      </c>
      <c r="Q1467" s="16" t="s">
        <v>20</v>
      </c>
      <c r="R1467" s="17" t="s">
        <v>4212</v>
      </c>
      <c r="S1467" s="121" t="s">
        <v>4559</v>
      </c>
      <c r="T1467" s="122"/>
      <c r="U1467" s="22"/>
      <c r="V1467" s="123" t="s">
        <v>2472</v>
      </c>
      <c r="W1467" s="122">
        <v>55032</v>
      </c>
      <c r="X1467" s="221"/>
      <c r="Y1467" s="221"/>
      <c r="Z1467" s="221"/>
      <c r="AA1467" s="221"/>
      <c r="AB1467" s="223"/>
    </row>
    <row r="1468" spans="1:28" ht="17.100000000000001" customHeight="1" thickTop="1">
      <c r="A1468" s="226" t="s">
        <v>6364</v>
      </c>
      <c r="B1468" s="28">
        <v>45915</v>
      </c>
      <c r="C1468" s="25"/>
      <c r="D1468" s="13" t="s">
        <v>4750</v>
      </c>
      <c r="E1468" s="228"/>
      <c r="F1468" s="109" t="s">
        <v>4751</v>
      </c>
      <c r="G1468" s="24" t="s">
        <v>3453</v>
      </c>
      <c r="H1468" s="230">
        <v>3.5</v>
      </c>
      <c r="I1468" s="220">
        <v>499000</v>
      </c>
      <c r="J1468" s="220">
        <f>I1468*0.1</f>
        <v>49900</v>
      </c>
      <c r="K1468" s="220">
        <v>13000</v>
      </c>
      <c r="L1468" s="220">
        <v>8550</v>
      </c>
      <c r="M1468" s="220">
        <v>15950</v>
      </c>
      <c r="N1468" s="220">
        <f>SUM(I1468:M1469)</f>
        <v>586400</v>
      </c>
      <c r="O1468" s="224"/>
      <c r="P1468" s="110" t="s">
        <v>4752</v>
      </c>
      <c r="Q1468" s="15" t="s">
        <v>19</v>
      </c>
      <c r="R1468" s="205"/>
      <c r="S1468" s="189"/>
      <c r="T1468" s="114"/>
      <c r="U1468" s="21" t="s">
        <v>8159</v>
      </c>
      <c r="V1468" s="115">
        <v>45941</v>
      </c>
      <c r="W1468" s="116">
        <v>1271</v>
      </c>
      <c r="X1468" s="220">
        <v>550000</v>
      </c>
      <c r="Y1468" s="220">
        <f>X1468*0.1</f>
        <v>55000</v>
      </c>
      <c r="Z1468" s="220">
        <v>8550</v>
      </c>
      <c r="AA1468" s="220">
        <f>SUM(X1468:Z1468)</f>
        <v>613550</v>
      </c>
      <c r="AB1468" s="222">
        <v>45950</v>
      </c>
    </row>
    <row r="1469" spans="1:28" ht="17.100000000000001" customHeight="1" thickBot="1">
      <c r="A1469" s="227"/>
      <c r="B1469" s="27" t="s">
        <v>3787</v>
      </c>
      <c r="C1469" s="27">
        <v>70258</v>
      </c>
      <c r="D1469" s="14" t="s">
        <v>898</v>
      </c>
      <c r="E1469" s="229"/>
      <c r="F1469" s="117" t="s">
        <v>4753</v>
      </c>
      <c r="G1469" s="26">
        <v>35620</v>
      </c>
      <c r="H1469" s="231"/>
      <c r="I1469" s="221"/>
      <c r="J1469" s="221"/>
      <c r="K1469" s="221"/>
      <c r="L1469" s="221"/>
      <c r="M1469" s="221"/>
      <c r="N1469" s="221"/>
      <c r="O1469" s="225"/>
      <c r="P1469" s="118" t="s">
        <v>2729</v>
      </c>
      <c r="Q1469" s="16" t="s">
        <v>20</v>
      </c>
      <c r="R1469" s="17" t="s">
        <v>2120</v>
      </c>
      <c r="S1469" s="121" t="s">
        <v>4754</v>
      </c>
      <c r="T1469" s="122"/>
      <c r="U1469" s="22"/>
      <c r="V1469" s="123" t="s">
        <v>2472</v>
      </c>
      <c r="W1469" s="122">
        <v>60221</v>
      </c>
      <c r="X1469" s="221"/>
      <c r="Y1469" s="221"/>
      <c r="Z1469" s="221"/>
      <c r="AA1469" s="221"/>
      <c r="AB1469" s="223"/>
    </row>
    <row r="1470" spans="1:28" ht="17.100000000000001" customHeight="1" thickTop="1">
      <c r="A1470" s="226" t="s">
        <v>6365</v>
      </c>
      <c r="B1470" s="28">
        <v>45915</v>
      </c>
      <c r="C1470" s="25"/>
      <c r="D1470" s="13" t="s">
        <v>4755</v>
      </c>
      <c r="E1470" s="228"/>
      <c r="F1470" s="109" t="s">
        <v>4756</v>
      </c>
      <c r="G1470" s="24"/>
      <c r="H1470" s="230">
        <v>3.5</v>
      </c>
      <c r="I1470" s="220">
        <v>247000</v>
      </c>
      <c r="J1470" s="220">
        <f>I1470*0.1</f>
        <v>24700</v>
      </c>
      <c r="K1470" s="220">
        <v>0</v>
      </c>
      <c r="L1470" s="220">
        <v>10020</v>
      </c>
      <c r="M1470" s="220">
        <v>15950</v>
      </c>
      <c r="N1470" s="220">
        <f>SUM(I1470:M1471)</f>
        <v>297670</v>
      </c>
      <c r="O1470" s="224"/>
      <c r="P1470" s="110" t="s">
        <v>4757</v>
      </c>
      <c r="Q1470" s="15" t="s">
        <v>19</v>
      </c>
      <c r="R1470" s="205"/>
      <c r="S1470" s="189"/>
      <c r="T1470" s="114"/>
      <c r="U1470" s="21"/>
      <c r="V1470" s="115">
        <v>45962</v>
      </c>
      <c r="W1470" s="116">
        <v>1274</v>
      </c>
      <c r="X1470" s="220">
        <v>280000</v>
      </c>
      <c r="Y1470" s="220">
        <f>X1470*0.1</f>
        <v>28000</v>
      </c>
      <c r="Z1470" s="220">
        <v>10020</v>
      </c>
      <c r="AA1470" s="220">
        <f>SUM(X1470:Z1470)</f>
        <v>318020</v>
      </c>
      <c r="AB1470" s="222">
        <v>45965</v>
      </c>
    </row>
    <row r="1471" spans="1:28" ht="17.100000000000001" customHeight="1" thickBot="1">
      <c r="A1471" s="227"/>
      <c r="B1471" s="27" t="s">
        <v>3787</v>
      </c>
      <c r="C1471" s="27">
        <v>79054</v>
      </c>
      <c r="D1471" s="14" t="s">
        <v>2559</v>
      </c>
      <c r="E1471" s="229"/>
      <c r="F1471" s="117" t="s">
        <v>4758</v>
      </c>
      <c r="G1471" s="26">
        <v>20864</v>
      </c>
      <c r="H1471" s="231"/>
      <c r="I1471" s="221"/>
      <c r="J1471" s="221"/>
      <c r="K1471" s="221"/>
      <c r="L1471" s="221"/>
      <c r="M1471" s="221"/>
      <c r="N1471" s="221"/>
      <c r="O1471" s="225"/>
      <c r="P1471" s="118" t="s">
        <v>2729</v>
      </c>
      <c r="Q1471" s="16" t="s">
        <v>20</v>
      </c>
      <c r="R1471" s="17" t="s">
        <v>4212</v>
      </c>
      <c r="S1471" s="121"/>
      <c r="T1471" s="122"/>
      <c r="U1471" s="22"/>
      <c r="V1471" s="123" t="s">
        <v>2472</v>
      </c>
      <c r="W1471" s="122">
        <v>63034</v>
      </c>
      <c r="X1471" s="221"/>
      <c r="Y1471" s="221"/>
      <c r="Z1471" s="221"/>
      <c r="AA1471" s="221"/>
      <c r="AB1471" s="223"/>
    </row>
    <row r="1472" spans="1:28" ht="17.100000000000001" customHeight="1" thickTop="1">
      <c r="A1472" s="226" t="s">
        <v>6366</v>
      </c>
      <c r="B1472" s="28">
        <v>45915</v>
      </c>
      <c r="C1472" s="25"/>
      <c r="D1472" s="13" t="s">
        <v>4307</v>
      </c>
      <c r="E1472" s="228"/>
      <c r="F1472" s="109" t="s">
        <v>4759</v>
      </c>
      <c r="G1472" s="24"/>
      <c r="H1472" s="232" t="s">
        <v>1705</v>
      </c>
      <c r="I1472" s="220">
        <v>127000</v>
      </c>
      <c r="J1472" s="220">
        <f>I1472*0.1</f>
        <v>12700</v>
      </c>
      <c r="K1472" s="220">
        <v>0</v>
      </c>
      <c r="L1472" s="220">
        <v>9280</v>
      </c>
      <c r="M1472" s="220">
        <v>15950</v>
      </c>
      <c r="N1472" s="220">
        <f>SUM(I1472:M1473)</f>
        <v>164930</v>
      </c>
      <c r="O1472" s="224"/>
      <c r="P1472" s="110" t="s">
        <v>4760</v>
      </c>
      <c r="Q1472" s="15" t="s">
        <v>19</v>
      </c>
      <c r="R1472" s="205"/>
      <c r="S1472" s="189"/>
      <c r="T1472" s="114"/>
      <c r="U1472" s="21"/>
      <c r="V1472" s="115">
        <v>45941</v>
      </c>
      <c r="W1472" s="116">
        <v>1271</v>
      </c>
      <c r="X1472" s="220">
        <v>190000</v>
      </c>
      <c r="Y1472" s="220">
        <f>X1472*0.1</f>
        <v>19000</v>
      </c>
      <c r="Z1472" s="220">
        <v>9280</v>
      </c>
      <c r="AA1472" s="220">
        <f>SUM(X1472:Z1472)</f>
        <v>218280</v>
      </c>
      <c r="AB1472" s="222">
        <v>45945</v>
      </c>
    </row>
    <row r="1473" spans="1:28" ht="17.100000000000001" customHeight="1" thickBot="1">
      <c r="A1473" s="227"/>
      <c r="B1473" s="27" t="s">
        <v>3787</v>
      </c>
      <c r="C1473" s="27">
        <v>79220</v>
      </c>
      <c r="D1473" s="14" t="s">
        <v>3731</v>
      </c>
      <c r="E1473" s="229"/>
      <c r="F1473" s="117" t="s">
        <v>4761</v>
      </c>
      <c r="G1473" s="26">
        <v>43311</v>
      </c>
      <c r="H1473" s="231"/>
      <c r="I1473" s="221"/>
      <c r="J1473" s="221"/>
      <c r="K1473" s="221"/>
      <c r="L1473" s="221"/>
      <c r="M1473" s="221"/>
      <c r="N1473" s="221"/>
      <c r="O1473" s="225"/>
      <c r="P1473" s="118" t="s">
        <v>4762</v>
      </c>
      <c r="Q1473" s="16" t="s">
        <v>20</v>
      </c>
      <c r="R1473" s="17" t="s">
        <v>4212</v>
      </c>
      <c r="S1473" s="121"/>
      <c r="T1473" s="122"/>
      <c r="U1473" s="22"/>
      <c r="V1473" s="123" t="s">
        <v>2472</v>
      </c>
      <c r="W1473" s="122">
        <v>60275</v>
      </c>
      <c r="X1473" s="221"/>
      <c r="Y1473" s="221"/>
      <c r="Z1473" s="221"/>
      <c r="AA1473" s="221"/>
      <c r="AB1473" s="223"/>
    </row>
    <row r="1474" spans="1:28" ht="17.100000000000001" customHeight="1" thickTop="1">
      <c r="A1474" s="226" t="s">
        <v>6367</v>
      </c>
      <c r="B1474" s="28">
        <v>45915</v>
      </c>
      <c r="C1474" s="25"/>
      <c r="D1474" s="13" t="s">
        <v>1615</v>
      </c>
      <c r="E1474" s="228"/>
      <c r="F1474" s="109" t="s">
        <v>4763</v>
      </c>
      <c r="G1474" s="24"/>
      <c r="H1474" s="230">
        <v>3</v>
      </c>
      <c r="I1474" s="220">
        <v>415000</v>
      </c>
      <c r="J1474" s="220">
        <f>I1474*0.1</f>
        <v>41500</v>
      </c>
      <c r="K1474" s="220">
        <v>0</v>
      </c>
      <c r="L1474" s="220">
        <v>9790</v>
      </c>
      <c r="M1474" s="220">
        <v>15950</v>
      </c>
      <c r="N1474" s="220">
        <f>SUM(I1474:M1475)</f>
        <v>482240</v>
      </c>
      <c r="O1474" s="224"/>
      <c r="P1474" s="110" t="s">
        <v>4764</v>
      </c>
      <c r="Q1474" s="15" t="s">
        <v>19</v>
      </c>
      <c r="R1474" s="205"/>
      <c r="S1474" s="189"/>
      <c r="T1474" s="114"/>
      <c r="U1474" s="21"/>
      <c r="V1474" s="115">
        <v>45955</v>
      </c>
      <c r="W1474" s="116">
        <v>1273</v>
      </c>
      <c r="X1474" s="220">
        <v>455000</v>
      </c>
      <c r="Y1474" s="220">
        <f>X1474*0.1</f>
        <v>45500</v>
      </c>
      <c r="Z1474" s="220">
        <v>9790</v>
      </c>
      <c r="AA1474" s="220">
        <f>SUM(X1474:Z1474)</f>
        <v>510290</v>
      </c>
      <c r="AB1474" s="222">
        <v>45958</v>
      </c>
    </row>
    <row r="1475" spans="1:28" ht="17.100000000000001" customHeight="1" thickBot="1">
      <c r="A1475" s="227"/>
      <c r="B1475" s="27" t="s">
        <v>3787</v>
      </c>
      <c r="C1475" s="27">
        <v>79225</v>
      </c>
      <c r="D1475" s="14" t="s">
        <v>273</v>
      </c>
      <c r="E1475" s="229"/>
      <c r="F1475" s="117" t="s">
        <v>4765</v>
      </c>
      <c r="G1475" s="26">
        <v>55053</v>
      </c>
      <c r="H1475" s="231"/>
      <c r="I1475" s="221"/>
      <c r="J1475" s="221"/>
      <c r="K1475" s="221"/>
      <c r="L1475" s="221"/>
      <c r="M1475" s="221"/>
      <c r="N1475" s="221"/>
      <c r="O1475" s="225"/>
      <c r="P1475" s="118" t="s">
        <v>4402</v>
      </c>
      <c r="Q1475" s="16" t="s">
        <v>20</v>
      </c>
      <c r="R1475" s="17" t="s">
        <v>4212</v>
      </c>
      <c r="S1475" s="121"/>
      <c r="T1475" s="122"/>
      <c r="U1475" s="22"/>
      <c r="V1475" s="123" t="s">
        <v>2472</v>
      </c>
      <c r="W1475" s="122">
        <v>60231</v>
      </c>
      <c r="X1475" s="221"/>
      <c r="Y1475" s="221"/>
      <c r="Z1475" s="221"/>
      <c r="AA1475" s="221"/>
      <c r="AB1475" s="223"/>
    </row>
    <row r="1476" spans="1:28" ht="17.100000000000001" customHeight="1" thickTop="1">
      <c r="A1476" s="226" t="s">
        <v>6368</v>
      </c>
      <c r="B1476" s="28">
        <v>45915</v>
      </c>
      <c r="C1476" s="25"/>
      <c r="D1476" s="13" t="s">
        <v>2690</v>
      </c>
      <c r="E1476" s="228"/>
      <c r="F1476" s="109" t="s">
        <v>4234</v>
      </c>
      <c r="G1476" s="24" t="s">
        <v>3453</v>
      </c>
      <c r="H1476" s="230">
        <v>4</v>
      </c>
      <c r="I1476" s="220">
        <v>1094000</v>
      </c>
      <c r="J1476" s="220">
        <f>I1476*0.1</f>
        <v>109400</v>
      </c>
      <c r="K1476" s="220">
        <v>13000</v>
      </c>
      <c r="L1476" s="220">
        <v>9140</v>
      </c>
      <c r="M1476" s="220">
        <v>15950</v>
      </c>
      <c r="N1476" s="220">
        <f>SUM(I1476:M1477)</f>
        <v>1241490</v>
      </c>
      <c r="O1476" s="224"/>
      <c r="P1476" s="110" t="s">
        <v>4766</v>
      </c>
      <c r="Q1476" s="15" t="s">
        <v>19</v>
      </c>
      <c r="R1476" s="205"/>
      <c r="S1476" s="189"/>
      <c r="T1476" s="114"/>
      <c r="U1476" s="21" t="s">
        <v>8157</v>
      </c>
      <c r="V1476" s="115">
        <v>45997</v>
      </c>
      <c r="W1476" s="116">
        <v>1279</v>
      </c>
      <c r="X1476" s="220">
        <v>1140000</v>
      </c>
      <c r="Y1476" s="220">
        <f>X1476*0.1</f>
        <v>114000</v>
      </c>
      <c r="Z1476" s="220">
        <v>9140</v>
      </c>
      <c r="AA1476" s="220">
        <f>SUM(X1476:Z1476)</f>
        <v>1263140</v>
      </c>
      <c r="AB1476" s="222">
        <v>46000</v>
      </c>
    </row>
    <row r="1477" spans="1:28" ht="17.100000000000001" customHeight="1" thickBot="1">
      <c r="A1477" s="227"/>
      <c r="B1477" s="27" t="s">
        <v>3787</v>
      </c>
      <c r="C1477" s="27">
        <v>80004</v>
      </c>
      <c r="D1477" s="14" t="s">
        <v>1568</v>
      </c>
      <c r="E1477" s="229"/>
      <c r="F1477" s="117" t="s">
        <v>4767</v>
      </c>
      <c r="G1477" s="26">
        <v>52380</v>
      </c>
      <c r="H1477" s="231"/>
      <c r="I1477" s="221"/>
      <c r="J1477" s="221"/>
      <c r="K1477" s="221"/>
      <c r="L1477" s="221"/>
      <c r="M1477" s="221"/>
      <c r="N1477" s="221"/>
      <c r="O1477" s="225"/>
      <c r="P1477" s="118" t="s">
        <v>2968</v>
      </c>
      <c r="Q1477" s="16" t="s">
        <v>20</v>
      </c>
      <c r="R1477" s="17" t="s">
        <v>4212</v>
      </c>
      <c r="S1477" s="121" t="s">
        <v>4768</v>
      </c>
      <c r="T1477" s="122"/>
      <c r="U1477" s="22"/>
      <c r="V1477" s="123" t="s">
        <v>2472</v>
      </c>
      <c r="W1477" s="122">
        <v>60009</v>
      </c>
      <c r="X1477" s="221"/>
      <c r="Y1477" s="221"/>
      <c r="Z1477" s="221"/>
      <c r="AA1477" s="221"/>
      <c r="AB1477" s="223"/>
    </row>
    <row r="1478" spans="1:28" ht="17.100000000000001" customHeight="1" thickTop="1">
      <c r="A1478" s="226" t="s">
        <v>6369</v>
      </c>
      <c r="B1478" s="28">
        <v>45915</v>
      </c>
      <c r="C1478" s="25"/>
      <c r="D1478" s="13" t="s">
        <v>1983</v>
      </c>
      <c r="E1478" s="228"/>
      <c r="F1478" s="109" t="s">
        <v>4769</v>
      </c>
      <c r="G1478" s="24"/>
      <c r="H1478" s="230">
        <v>4</v>
      </c>
      <c r="I1478" s="220">
        <v>1286000</v>
      </c>
      <c r="J1478" s="220">
        <f>I1478*0.1</f>
        <v>128600</v>
      </c>
      <c r="K1478" s="220">
        <v>0</v>
      </c>
      <c r="L1478" s="220">
        <v>8550</v>
      </c>
      <c r="M1478" s="220">
        <v>15950</v>
      </c>
      <c r="N1478" s="220">
        <f>SUM(I1478:M1479)</f>
        <v>1439100</v>
      </c>
      <c r="O1478" s="224"/>
      <c r="P1478" s="110" t="s">
        <v>4770</v>
      </c>
      <c r="Q1478" s="15" t="s">
        <v>19</v>
      </c>
      <c r="R1478" s="205"/>
      <c r="S1478" s="189" t="s">
        <v>696</v>
      </c>
      <c r="T1478" s="114"/>
      <c r="U1478" s="21"/>
      <c r="V1478" s="115">
        <v>46011</v>
      </c>
      <c r="W1478" s="116">
        <v>1281</v>
      </c>
      <c r="X1478" s="220">
        <v>1330000</v>
      </c>
      <c r="Y1478" s="220">
        <f>X1478*0.1</f>
        <v>133000</v>
      </c>
      <c r="Z1478" s="220">
        <v>8550</v>
      </c>
      <c r="AA1478" s="220">
        <f>SUM(X1478:Z1478)</f>
        <v>1471550</v>
      </c>
      <c r="AB1478" s="222">
        <v>46014</v>
      </c>
    </row>
    <row r="1479" spans="1:28" ht="17.100000000000001" customHeight="1" thickBot="1">
      <c r="A1479" s="227"/>
      <c r="B1479" s="27" t="s">
        <v>3663</v>
      </c>
      <c r="C1479" s="27">
        <v>55144</v>
      </c>
      <c r="D1479" s="14" t="s">
        <v>273</v>
      </c>
      <c r="E1479" s="229"/>
      <c r="F1479" s="117" t="s">
        <v>4771</v>
      </c>
      <c r="G1479" s="26">
        <v>17115</v>
      </c>
      <c r="H1479" s="231"/>
      <c r="I1479" s="221"/>
      <c r="J1479" s="221"/>
      <c r="K1479" s="221"/>
      <c r="L1479" s="221"/>
      <c r="M1479" s="221"/>
      <c r="N1479" s="221"/>
      <c r="O1479" s="225"/>
      <c r="P1479" s="118" t="s">
        <v>4772</v>
      </c>
      <c r="Q1479" s="16" t="s">
        <v>20</v>
      </c>
      <c r="R1479" s="17" t="s">
        <v>4491</v>
      </c>
      <c r="S1479" s="121" t="s">
        <v>3429</v>
      </c>
      <c r="T1479" s="122"/>
      <c r="U1479" s="22"/>
      <c r="V1479" s="123" t="s">
        <v>2472</v>
      </c>
      <c r="W1479" s="122">
        <v>60117</v>
      </c>
      <c r="X1479" s="221"/>
      <c r="Y1479" s="221"/>
      <c r="Z1479" s="221"/>
      <c r="AA1479" s="221"/>
      <c r="AB1479" s="223"/>
    </row>
    <row r="1480" spans="1:28" ht="17.100000000000001" customHeight="1" thickTop="1">
      <c r="A1480" s="226" t="s">
        <v>6370</v>
      </c>
      <c r="B1480" s="28">
        <v>45915</v>
      </c>
      <c r="C1480" s="25"/>
      <c r="D1480" s="13" t="s">
        <v>2712</v>
      </c>
      <c r="E1480" s="228"/>
      <c r="F1480" s="109" t="s">
        <v>4072</v>
      </c>
      <c r="G1480" s="24"/>
      <c r="H1480" s="230">
        <v>4</v>
      </c>
      <c r="I1480" s="220">
        <v>761000</v>
      </c>
      <c r="J1480" s="220">
        <f>I1480*0.1</f>
        <v>76100</v>
      </c>
      <c r="K1480" s="220">
        <v>0</v>
      </c>
      <c r="L1480" s="220">
        <v>8110</v>
      </c>
      <c r="M1480" s="220">
        <v>15950</v>
      </c>
      <c r="N1480" s="220">
        <f>SUM(I1480:M1481)</f>
        <v>861160</v>
      </c>
      <c r="O1480" s="224"/>
      <c r="P1480" s="110" t="s">
        <v>4773</v>
      </c>
      <c r="Q1480" s="15" t="s">
        <v>19</v>
      </c>
      <c r="R1480" s="205"/>
      <c r="S1480" s="189" t="s">
        <v>758</v>
      </c>
      <c r="T1480" s="114"/>
      <c r="U1480" s="21"/>
      <c r="V1480" s="115">
        <v>45941</v>
      </c>
      <c r="W1480" s="116">
        <v>1271</v>
      </c>
      <c r="X1480" s="220">
        <v>875000</v>
      </c>
      <c r="Y1480" s="220">
        <f>X1480*0.1</f>
        <v>87500</v>
      </c>
      <c r="Z1480" s="220">
        <v>8110</v>
      </c>
      <c r="AA1480" s="220">
        <f>SUM(X1480:Z1480)</f>
        <v>970610</v>
      </c>
      <c r="AB1480" s="222">
        <v>45945</v>
      </c>
    </row>
    <row r="1481" spans="1:28" ht="17.100000000000001" customHeight="1" thickBot="1">
      <c r="A1481" s="227"/>
      <c r="B1481" s="27" t="s">
        <v>3663</v>
      </c>
      <c r="C1481" s="27">
        <v>55238</v>
      </c>
      <c r="D1481" s="14" t="s">
        <v>273</v>
      </c>
      <c r="E1481" s="229"/>
      <c r="F1481" s="117" t="s">
        <v>4774</v>
      </c>
      <c r="G1481" s="26">
        <v>56293</v>
      </c>
      <c r="H1481" s="231"/>
      <c r="I1481" s="221"/>
      <c r="J1481" s="221"/>
      <c r="K1481" s="221"/>
      <c r="L1481" s="221"/>
      <c r="M1481" s="221"/>
      <c r="N1481" s="221"/>
      <c r="O1481" s="225"/>
      <c r="P1481" s="118" t="s">
        <v>4094</v>
      </c>
      <c r="Q1481" s="16" t="s">
        <v>20</v>
      </c>
      <c r="R1481" s="17" t="s">
        <v>2120</v>
      </c>
      <c r="S1481" s="121" t="s">
        <v>1661</v>
      </c>
      <c r="T1481" s="122"/>
      <c r="U1481" s="22"/>
      <c r="V1481" s="123" t="s">
        <v>2472</v>
      </c>
      <c r="W1481" s="122">
        <v>60257</v>
      </c>
      <c r="X1481" s="221"/>
      <c r="Y1481" s="221"/>
      <c r="Z1481" s="221"/>
      <c r="AA1481" s="221"/>
      <c r="AB1481" s="223"/>
    </row>
    <row r="1482" spans="1:28" ht="17.100000000000001" customHeight="1" thickTop="1">
      <c r="A1482" s="226" t="s">
        <v>6371</v>
      </c>
      <c r="B1482" s="28">
        <v>45915</v>
      </c>
      <c r="C1482" s="25"/>
      <c r="D1482" s="13" t="s">
        <v>4775</v>
      </c>
      <c r="E1482" s="228"/>
      <c r="F1482" s="109" t="s">
        <v>1916</v>
      </c>
      <c r="G1482" s="24" t="s">
        <v>4239</v>
      </c>
      <c r="H1482" s="230">
        <v>4</v>
      </c>
      <c r="I1482" s="220">
        <v>405000</v>
      </c>
      <c r="J1482" s="220">
        <f>I1482*0.1</f>
        <v>40500</v>
      </c>
      <c r="K1482" s="220">
        <f>17200+1720</f>
        <v>18920</v>
      </c>
      <c r="L1482" s="220">
        <v>18960</v>
      </c>
      <c r="M1482" s="220">
        <v>14850</v>
      </c>
      <c r="N1482" s="220">
        <f>SUM(I1482:M1483)</f>
        <v>498230</v>
      </c>
      <c r="O1482" s="224"/>
      <c r="P1482" s="110" t="s">
        <v>4776</v>
      </c>
      <c r="Q1482" s="15" t="s">
        <v>19</v>
      </c>
      <c r="R1482" s="205"/>
      <c r="S1482" s="189"/>
      <c r="T1482" s="114"/>
      <c r="U1482" s="21" t="s">
        <v>8185</v>
      </c>
      <c r="V1482" s="115">
        <v>45962</v>
      </c>
      <c r="W1482" s="116">
        <v>1274</v>
      </c>
      <c r="X1482" s="220">
        <v>500000</v>
      </c>
      <c r="Y1482" s="220">
        <f>X1482*0.1</f>
        <v>50000</v>
      </c>
      <c r="Z1482" s="220">
        <v>18960</v>
      </c>
      <c r="AA1482" s="220">
        <f>SUM(X1482:Z1482)</f>
        <v>568960</v>
      </c>
      <c r="AB1482" s="222">
        <v>45965</v>
      </c>
    </row>
    <row r="1483" spans="1:28" ht="17.100000000000001" customHeight="1" thickBot="1">
      <c r="A1483" s="227"/>
      <c r="B1483" s="27" t="s">
        <v>4777</v>
      </c>
      <c r="C1483" s="27">
        <v>55209</v>
      </c>
      <c r="D1483" s="14" t="s">
        <v>1584</v>
      </c>
      <c r="E1483" s="229"/>
      <c r="F1483" s="117" t="s">
        <v>4778</v>
      </c>
      <c r="G1483" s="26">
        <v>69434</v>
      </c>
      <c r="H1483" s="231"/>
      <c r="I1483" s="221"/>
      <c r="J1483" s="221"/>
      <c r="K1483" s="221"/>
      <c r="L1483" s="221"/>
      <c r="M1483" s="221"/>
      <c r="N1483" s="221"/>
      <c r="O1483" s="225"/>
      <c r="P1483" s="118" t="s">
        <v>4094</v>
      </c>
      <c r="Q1483" s="16" t="s">
        <v>20</v>
      </c>
      <c r="R1483" s="17" t="s">
        <v>2120</v>
      </c>
      <c r="S1483" s="121" t="s">
        <v>4779</v>
      </c>
      <c r="T1483" s="122"/>
      <c r="U1483" s="22"/>
      <c r="V1483" s="123" t="s">
        <v>2472</v>
      </c>
      <c r="W1483" s="122">
        <v>80082</v>
      </c>
      <c r="X1483" s="221"/>
      <c r="Y1483" s="221"/>
      <c r="Z1483" s="221"/>
      <c r="AA1483" s="221"/>
      <c r="AB1483" s="223"/>
    </row>
    <row r="1484" spans="1:28" ht="17.100000000000001" customHeight="1" thickTop="1">
      <c r="A1484" s="226" t="s">
        <v>6372</v>
      </c>
      <c r="B1484" s="28">
        <v>45915</v>
      </c>
      <c r="C1484" s="25"/>
      <c r="D1484" s="13" t="s">
        <v>2652</v>
      </c>
      <c r="E1484" s="228"/>
      <c r="F1484" s="109" t="s">
        <v>4780</v>
      </c>
      <c r="G1484" s="24" t="s">
        <v>4781</v>
      </c>
      <c r="H1484" s="230">
        <v>4.5</v>
      </c>
      <c r="I1484" s="220">
        <f>2766500/1.1</f>
        <v>2515000</v>
      </c>
      <c r="J1484" s="220">
        <f>I1484*0.1</f>
        <v>251500</v>
      </c>
      <c r="K1484" s="220">
        <v>15200</v>
      </c>
      <c r="L1484" s="220">
        <v>11650</v>
      </c>
      <c r="M1484" s="220">
        <v>124163</v>
      </c>
      <c r="N1484" s="220">
        <f>SUM(I1484:M1485)</f>
        <v>2917513</v>
      </c>
      <c r="O1484" s="224"/>
      <c r="P1484" s="110" t="s">
        <v>4782</v>
      </c>
      <c r="Q1484" s="15" t="s">
        <v>19</v>
      </c>
      <c r="R1484" s="205"/>
      <c r="S1484" s="189" t="s">
        <v>1276</v>
      </c>
      <c r="T1484" s="114"/>
      <c r="U1484" s="21"/>
      <c r="V1484" s="115">
        <v>45934</v>
      </c>
      <c r="W1484" s="116">
        <v>1270</v>
      </c>
      <c r="X1484" s="220">
        <v>2705000</v>
      </c>
      <c r="Y1484" s="220">
        <f>X1484*0.1</f>
        <v>270500</v>
      </c>
      <c r="Z1484" s="220">
        <v>11650</v>
      </c>
      <c r="AA1484" s="220">
        <f>SUM(X1484:Z1484)</f>
        <v>2987150</v>
      </c>
      <c r="AB1484" s="222">
        <v>45937</v>
      </c>
    </row>
    <row r="1485" spans="1:28" ht="17.100000000000001" customHeight="1" thickBot="1">
      <c r="A1485" s="227"/>
      <c r="B1485" s="27" t="s">
        <v>1708</v>
      </c>
      <c r="C1485" s="27" t="s">
        <v>4783</v>
      </c>
      <c r="D1485" s="14" t="s">
        <v>1797</v>
      </c>
      <c r="E1485" s="229"/>
      <c r="F1485" s="117" t="s">
        <v>4784</v>
      </c>
      <c r="G1485" s="26">
        <v>8042</v>
      </c>
      <c r="H1485" s="231"/>
      <c r="I1485" s="221"/>
      <c r="J1485" s="221"/>
      <c r="K1485" s="221"/>
      <c r="L1485" s="221"/>
      <c r="M1485" s="221"/>
      <c r="N1485" s="221"/>
      <c r="O1485" s="225"/>
      <c r="P1485" s="118" t="s">
        <v>4785</v>
      </c>
      <c r="Q1485" s="16" t="s">
        <v>20</v>
      </c>
      <c r="R1485" s="17" t="s">
        <v>4491</v>
      </c>
      <c r="S1485" s="121" t="s">
        <v>1606</v>
      </c>
      <c r="T1485" s="122"/>
      <c r="U1485" s="22"/>
      <c r="V1485" s="123" t="s">
        <v>7160</v>
      </c>
      <c r="W1485" s="122">
        <v>37722</v>
      </c>
      <c r="X1485" s="221"/>
      <c r="Y1485" s="221"/>
      <c r="Z1485" s="221"/>
      <c r="AA1485" s="221"/>
      <c r="AB1485" s="223"/>
    </row>
    <row r="1486" spans="1:28" ht="17.100000000000001" customHeight="1" thickTop="1">
      <c r="A1486" s="226" t="s">
        <v>6373</v>
      </c>
      <c r="B1486" s="28">
        <v>45915</v>
      </c>
      <c r="C1486" s="25"/>
      <c r="D1486" s="13" t="s">
        <v>3327</v>
      </c>
      <c r="E1486" s="228"/>
      <c r="F1486" s="109" t="s">
        <v>4786</v>
      </c>
      <c r="G1486" s="24" t="s">
        <v>4787</v>
      </c>
      <c r="H1486" s="230">
        <v>4.5</v>
      </c>
      <c r="I1486" s="220">
        <f>605000/1.1</f>
        <v>550000</v>
      </c>
      <c r="J1486" s="220">
        <f>I1486*0.1</f>
        <v>55000</v>
      </c>
      <c r="K1486" s="220">
        <v>0</v>
      </c>
      <c r="L1486" s="220">
        <v>9670</v>
      </c>
      <c r="M1486" s="220">
        <v>57896</v>
      </c>
      <c r="N1486" s="220">
        <f>SUM(I1486:M1487)</f>
        <v>672566</v>
      </c>
      <c r="O1486" s="224"/>
      <c r="P1486" s="110" t="s">
        <v>4788</v>
      </c>
      <c r="Q1486" s="15" t="s">
        <v>19</v>
      </c>
      <c r="R1486" s="205"/>
      <c r="S1486" s="189" t="s">
        <v>1276</v>
      </c>
      <c r="T1486" s="114"/>
      <c r="U1486" s="21"/>
      <c r="V1486" s="115">
        <v>45937</v>
      </c>
      <c r="W1486" s="116">
        <v>1912</v>
      </c>
      <c r="X1486" s="220">
        <v>656000</v>
      </c>
      <c r="Y1486" s="220">
        <f>X1486*0.1</f>
        <v>65600</v>
      </c>
      <c r="Z1486" s="220">
        <v>9670</v>
      </c>
      <c r="AA1486" s="220">
        <f>SUM(X1486:Z1486)</f>
        <v>731270</v>
      </c>
      <c r="AB1486" s="222"/>
    </row>
    <row r="1487" spans="1:28" ht="17.100000000000001" customHeight="1" thickBot="1">
      <c r="A1487" s="227"/>
      <c r="B1487" s="27" t="s">
        <v>1708</v>
      </c>
      <c r="C1487" s="27" t="s">
        <v>4789</v>
      </c>
      <c r="D1487" s="14" t="s">
        <v>1568</v>
      </c>
      <c r="E1487" s="229"/>
      <c r="F1487" s="117" t="s">
        <v>4790</v>
      </c>
      <c r="G1487" s="26">
        <v>52410</v>
      </c>
      <c r="H1487" s="231"/>
      <c r="I1487" s="221"/>
      <c r="J1487" s="221"/>
      <c r="K1487" s="221"/>
      <c r="L1487" s="221"/>
      <c r="M1487" s="221"/>
      <c r="N1487" s="221"/>
      <c r="O1487" s="225"/>
      <c r="P1487" s="118" t="s">
        <v>4791</v>
      </c>
      <c r="Q1487" s="16" t="s">
        <v>20</v>
      </c>
      <c r="R1487" s="17" t="s">
        <v>4111</v>
      </c>
      <c r="S1487" s="121" t="s">
        <v>1722</v>
      </c>
      <c r="T1487" s="122"/>
      <c r="U1487" s="22"/>
      <c r="V1487" s="123" t="s">
        <v>2103</v>
      </c>
      <c r="W1487" s="122">
        <v>3257</v>
      </c>
      <c r="X1487" s="221"/>
      <c r="Y1487" s="221"/>
      <c r="Z1487" s="221"/>
      <c r="AA1487" s="221"/>
      <c r="AB1487" s="223"/>
    </row>
    <row r="1488" spans="1:28" ht="17.100000000000001" customHeight="1" thickTop="1">
      <c r="A1488" s="226" t="s">
        <v>6374</v>
      </c>
      <c r="B1488" s="28">
        <v>45915</v>
      </c>
      <c r="C1488" s="25"/>
      <c r="D1488" s="13" t="s">
        <v>1961</v>
      </c>
      <c r="E1488" s="228"/>
      <c r="F1488" s="109" t="s">
        <v>4792</v>
      </c>
      <c r="G1488" s="24" t="s">
        <v>4793</v>
      </c>
      <c r="H1488" s="230">
        <v>4.5</v>
      </c>
      <c r="I1488" s="220">
        <f>1061500/1.1</f>
        <v>964999.99999999988</v>
      </c>
      <c r="J1488" s="220">
        <f>I1488*0.1</f>
        <v>96500</v>
      </c>
      <c r="K1488" s="220">
        <v>0</v>
      </c>
      <c r="L1488" s="220">
        <v>7150</v>
      </c>
      <c r="M1488" s="220">
        <v>81538</v>
      </c>
      <c r="N1488" s="220">
        <f>SUM(I1488:M1489)</f>
        <v>1150188</v>
      </c>
      <c r="O1488" s="224"/>
      <c r="P1488" s="110" t="s">
        <v>10517</v>
      </c>
      <c r="Q1488" s="15" t="s">
        <v>19</v>
      </c>
      <c r="R1488" s="205"/>
      <c r="S1488" s="189" t="s">
        <v>1312</v>
      </c>
      <c r="T1488" s="114"/>
      <c r="U1488" s="21"/>
      <c r="V1488" s="115">
        <v>45972</v>
      </c>
      <c r="W1488" s="116">
        <v>1917</v>
      </c>
      <c r="X1488" s="220">
        <v>1098000</v>
      </c>
      <c r="Y1488" s="220">
        <f>X1488*0.1</f>
        <v>109800</v>
      </c>
      <c r="Z1488" s="220">
        <v>7150</v>
      </c>
      <c r="AA1488" s="220">
        <f>SUM(X1488:Z1488)</f>
        <v>1214950</v>
      </c>
      <c r="AB1488" s="222"/>
    </row>
    <row r="1489" spans="1:28" ht="17.100000000000001" customHeight="1" thickBot="1">
      <c r="A1489" s="227"/>
      <c r="B1489" s="27" t="s">
        <v>1708</v>
      </c>
      <c r="C1489" s="27" t="s">
        <v>4794</v>
      </c>
      <c r="D1489" s="14" t="s">
        <v>273</v>
      </c>
      <c r="E1489" s="229"/>
      <c r="F1489" s="117" t="s">
        <v>4795</v>
      </c>
      <c r="G1489" s="26">
        <v>53344</v>
      </c>
      <c r="H1489" s="231"/>
      <c r="I1489" s="221"/>
      <c r="J1489" s="221"/>
      <c r="K1489" s="221"/>
      <c r="L1489" s="221"/>
      <c r="M1489" s="221"/>
      <c r="N1489" s="221"/>
      <c r="O1489" s="225"/>
      <c r="P1489" s="118" t="s">
        <v>10518</v>
      </c>
      <c r="Q1489" s="16" t="s">
        <v>20</v>
      </c>
      <c r="R1489" s="17" t="s">
        <v>10519</v>
      </c>
      <c r="S1489" s="121" t="s">
        <v>10520</v>
      </c>
      <c r="T1489" s="122"/>
      <c r="U1489" s="22"/>
      <c r="V1489" s="123" t="s">
        <v>2103</v>
      </c>
      <c r="W1489" s="122">
        <v>3087</v>
      </c>
      <c r="X1489" s="221"/>
      <c r="Y1489" s="221"/>
      <c r="Z1489" s="221"/>
      <c r="AA1489" s="221"/>
      <c r="AB1489" s="223"/>
    </row>
    <row r="1490" spans="1:28" ht="17.100000000000001" customHeight="1" thickTop="1">
      <c r="A1490" s="226" t="s">
        <v>6375</v>
      </c>
      <c r="B1490" s="28">
        <v>45915</v>
      </c>
      <c r="C1490" s="25"/>
      <c r="D1490" s="13" t="s">
        <v>2913</v>
      </c>
      <c r="E1490" s="228"/>
      <c r="F1490" s="109" t="s">
        <v>2901</v>
      </c>
      <c r="G1490" s="24" t="s">
        <v>4796</v>
      </c>
      <c r="H1490" s="230">
        <v>4.5</v>
      </c>
      <c r="I1490" s="220">
        <f>3399000/1.1</f>
        <v>3089999.9999999995</v>
      </c>
      <c r="J1490" s="220">
        <f>I1490*0.1</f>
        <v>308999.99999999994</v>
      </c>
      <c r="K1490" s="220">
        <v>21700</v>
      </c>
      <c r="L1490" s="220">
        <v>14900</v>
      </c>
      <c r="M1490" s="220">
        <v>139975</v>
      </c>
      <c r="N1490" s="220">
        <f>SUM(I1490:M1491)</f>
        <v>3575574.9999999995</v>
      </c>
      <c r="O1490" s="224"/>
      <c r="P1490" s="110" t="s">
        <v>4797</v>
      </c>
      <c r="Q1490" s="15" t="s">
        <v>19</v>
      </c>
      <c r="R1490" s="205"/>
      <c r="S1490" s="189" t="s">
        <v>25383</v>
      </c>
      <c r="T1490" s="114"/>
      <c r="U1490" s="21"/>
      <c r="V1490" s="115">
        <v>45934</v>
      </c>
      <c r="W1490" s="116">
        <v>1270</v>
      </c>
      <c r="X1490" s="220">
        <v>3210000</v>
      </c>
      <c r="Y1490" s="220">
        <f>X1490*0.1</f>
        <v>321000</v>
      </c>
      <c r="Z1490" s="220">
        <v>14900</v>
      </c>
      <c r="AA1490" s="220">
        <f>SUM(X1490:Z1490)</f>
        <v>3545900</v>
      </c>
      <c r="AB1490" s="222">
        <v>45937</v>
      </c>
    </row>
    <row r="1491" spans="1:28" ht="17.100000000000001" customHeight="1" thickBot="1">
      <c r="A1491" s="227"/>
      <c r="B1491" s="27" t="s">
        <v>1708</v>
      </c>
      <c r="C1491" s="27" t="s">
        <v>4799</v>
      </c>
      <c r="D1491" s="14" t="s">
        <v>2559</v>
      </c>
      <c r="E1491" s="229"/>
      <c r="F1491" s="117" t="s">
        <v>4800</v>
      </c>
      <c r="G1491" s="26">
        <v>39348</v>
      </c>
      <c r="H1491" s="231"/>
      <c r="I1491" s="221"/>
      <c r="J1491" s="221"/>
      <c r="K1491" s="221"/>
      <c r="L1491" s="221"/>
      <c r="M1491" s="221"/>
      <c r="N1491" s="221"/>
      <c r="O1491" s="225"/>
      <c r="P1491" s="118" t="s">
        <v>4801</v>
      </c>
      <c r="Q1491" s="16" t="s">
        <v>20</v>
      </c>
      <c r="R1491" s="17" t="s">
        <v>4212</v>
      </c>
      <c r="S1491" s="121" t="s">
        <v>4802</v>
      </c>
      <c r="T1491" s="122"/>
      <c r="U1491" s="22"/>
      <c r="V1491" s="123" t="s">
        <v>7160</v>
      </c>
      <c r="W1491" s="122">
        <v>37101</v>
      </c>
      <c r="X1491" s="221"/>
      <c r="Y1491" s="221"/>
      <c r="Z1491" s="221"/>
      <c r="AA1491" s="221"/>
      <c r="AB1491" s="223"/>
    </row>
    <row r="1492" spans="1:28" ht="17.100000000000001" customHeight="1" thickTop="1">
      <c r="A1492" s="226" t="s">
        <v>6376</v>
      </c>
      <c r="B1492" s="28">
        <v>45915</v>
      </c>
      <c r="C1492" s="25"/>
      <c r="D1492" s="13" t="s">
        <v>1983</v>
      </c>
      <c r="E1492" s="228"/>
      <c r="F1492" s="109" t="s">
        <v>4803</v>
      </c>
      <c r="G1492" s="24" t="s">
        <v>4804</v>
      </c>
      <c r="H1492" s="230">
        <v>4.5</v>
      </c>
      <c r="I1492" s="220">
        <f>2062500/1.1</f>
        <v>1874999.9999999998</v>
      </c>
      <c r="J1492" s="220">
        <f>I1492*0.1</f>
        <v>187500</v>
      </c>
      <c r="K1492" s="220">
        <v>15200</v>
      </c>
      <c r="L1492" s="220">
        <v>8600</v>
      </c>
      <c r="M1492" s="220">
        <v>106563</v>
      </c>
      <c r="N1492" s="220">
        <f>SUM(I1492:M1493)</f>
        <v>2192863</v>
      </c>
      <c r="O1492" s="224"/>
      <c r="P1492" s="110" t="s">
        <v>6662</v>
      </c>
      <c r="Q1492" s="15" t="s">
        <v>19</v>
      </c>
      <c r="R1492" s="205"/>
      <c r="S1492" s="189" t="s">
        <v>1276</v>
      </c>
      <c r="T1492" s="114"/>
      <c r="U1492" s="21"/>
      <c r="V1492" s="115">
        <v>45934</v>
      </c>
      <c r="W1492" s="116">
        <v>1270</v>
      </c>
      <c r="X1492" s="220">
        <v>2195000</v>
      </c>
      <c r="Y1492" s="220">
        <f>X1492*0.1</f>
        <v>219500</v>
      </c>
      <c r="Z1492" s="220">
        <v>8600</v>
      </c>
      <c r="AA1492" s="220">
        <f>SUM(X1492:Z1492)</f>
        <v>2423100</v>
      </c>
      <c r="AB1492" s="222">
        <v>45937</v>
      </c>
    </row>
    <row r="1493" spans="1:28" ht="17.100000000000001" customHeight="1" thickBot="1">
      <c r="A1493" s="227"/>
      <c r="B1493" s="27" t="s">
        <v>1708</v>
      </c>
      <c r="C1493" s="27" t="s">
        <v>4805</v>
      </c>
      <c r="D1493" s="14" t="s">
        <v>2559</v>
      </c>
      <c r="E1493" s="229"/>
      <c r="F1493" s="117" t="s">
        <v>4806</v>
      </c>
      <c r="G1493" s="26">
        <v>25694</v>
      </c>
      <c r="H1493" s="231"/>
      <c r="I1493" s="221"/>
      <c r="J1493" s="221"/>
      <c r="K1493" s="221"/>
      <c r="L1493" s="221"/>
      <c r="M1493" s="221"/>
      <c r="N1493" s="221"/>
      <c r="O1493" s="225"/>
      <c r="P1493" s="118" t="s">
        <v>6663</v>
      </c>
      <c r="Q1493" s="16" t="s">
        <v>20</v>
      </c>
      <c r="R1493" s="17" t="s">
        <v>1596</v>
      </c>
      <c r="S1493" s="121" t="s">
        <v>1722</v>
      </c>
      <c r="T1493" s="122"/>
      <c r="U1493" s="22"/>
      <c r="V1493" s="123" t="s">
        <v>7160</v>
      </c>
      <c r="W1493" s="122">
        <v>37670</v>
      </c>
      <c r="X1493" s="221"/>
      <c r="Y1493" s="221"/>
      <c r="Z1493" s="221"/>
      <c r="AA1493" s="221"/>
      <c r="AB1493" s="223"/>
    </row>
    <row r="1494" spans="1:28" ht="17.100000000000001" customHeight="1" thickTop="1">
      <c r="A1494" s="226" t="s">
        <v>6377</v>
      </c>
      <c r="B1494" s="28">
        <v>45915</v>
      </c>
      <c r="C1494" s="25">
        <v>51</v>
      </c>
      <c r="D1494" s="13" t="s">
        <v>2690</v>
      </c>
      <c r="E1494" s="228"/>
      <c r="F1494" s="109" t="s">
        <v>4807</v>
      </c>
      <c r="G1494" s="24" t="s">
        <v>3453</v>
      </c>
      <c r="H1494" s="230">
        <v>4.5</v>
      </c>
      <c r="I1494" s="220">
        <v>2075000</v>
      </c>
      <c r="J1494" s="220">
        <f>I1494*0.1</f>
        <v>207500</v>
      </c>
      <c r="K1494" s="220">
        <f>12700+1270</f>
        <v>13970</v>
      </c>
      <c r="L1494" s="220">
        <v>8340</v>
      </c>
      <c r="M1494" s="220">
        <v>66000</v>
      </c>
      <c r="N1494" s="220">
        <f>SUM(I1494:M1495)</f>
        <v>2370810</v>
      </c>
      <c r="O1494" s="224"/>
      <c r="P1494" s="110" t="s">
        <v>7813</v>
      </c>
      <c r="Q1494" s="15" t="s">
        <v>19</v>
      </c>
      <c r="R1494" s="205"/>
      <c r="S1494" s="189" t="s">
        <v>1361</v>
      </c>
      <c r="T1494" s="114"/>
      <c r="U1494" s="21"/>
      <c r="V1494" s="115">
        <v>45941</v>
      </c>
      <c r="W1494" s="116">
        <v>1271</v>
      </c>
      <c r="X1494" s="220">
        <v>2320000</v>
      </c>
      <c r="Y1494" s="220">
        <f>X1494*0.1</f>
        <v>232000</v>
      </c>
      <c r="Z1494" s="220">
        <v>8340</v>
      </c>
      <c r="AA1494" s="220">
        <f>SUM(X1494:Z1494)</f>
        <v>2560340</v>
      </c>
      <c r="AB1494" s="222">
        <v>45944</v>
      </c>
    </row>
    <row r="1495" spans="1:28" ht="17.100000000000001" customHeight="1" thickBot="1">
      <c r="A1495" s="227"/>
      <c r="B1495" s="27" t="s">
        <v>4468</v>
      </c>
      <c r="C1495" s="27">
        <v>1015</v>
      </c>
      <c r="D1495" s="14" t="s">
        <v>273</v>
      </c>
      <c r="E1495" s="229"/>
      <c r="F1495" s="117" t="s">
        <v>4808</v>
      </c>
      <c r="G1495" s="26">
        <v>18258</v>
      </c>
      <c r="H1495" s="231"/>
      <c r="I1495" s="221"/>
      <c r="J1495" s="221"/>
      <c r="K1495" s="221"/>
      <c r="L1495" s="221"/>
      <c r="M1495" s="221"/>
      <c r="N1495" s="221"/>
      <c r="O1495" s="225"/>
      <c r="P1495" s="118" t="s">
        <v>7814</v>
      </c>
      <c r="Q1495" s="16" t="s">
        <v>20</v>
      </c>
      <c r="R1495" s="17" t="s">
        <v>2562</v>
      </c>
      <c r="S1495" s="121" t="s">
        <v>4378</v>
      </c>
      <c r="T1495" s="122"/>
      <c r="U1495" s="22"/>
      <c r="V1495" s="123" t="s">
        <v>2472</v>
      </c>
      <c r="W1495" s="122">
        <v>37488</v>
      </c>
      <c r="X1495" s="221"/>
      <c r="Y1495" s="221"/>
      <c r="Z1495" s="221"/>
      <c r="AA1495" s="221"/>
      <c r="AB1495" s="223"/>
    </row>
    <row r="1496" spans="1:28" ht="17.100000000000001" customHeight="1" thickTop="1">
      <c r="A1496" s="226" t="s">
        <v>6378</v>
      </c>
      <c r="B1496" s="28">
        <v>45915</v>
      </c>
      <c r="C1496" s="25">
        <v>51</v>
      </c>
      <c r="D1496" s="13" t="s">
        <v>2150</v>
      </c>
      <c r="E1496" s="228"/>
      <c r="F1496" s="109" t="s">
        <v>4809</v>
      </c>
      <c r="G1496" s="24" t="s">
        <v>1540</v>
      </c>
      <c r="H1496" s="230">
        <v>4.5</v>
      </c>
      <c r="I1496" s="220">
        <v>960000</v>
      </c>
      <c r="J1496" s="220">
        <f>I1496*0.1</f>
        <v>96000</v>
      </c>
      <c r="K1496" s="220">
        <v>0</v>
      </c>
      <c r="L1496" s="220">
        <v>9200</v>
      </c>
      <c r="M1496" s="220">
        <v>33000</v>
      </c>
      <c r="N1496" s="220">
        <f>SUM(I1496:M1497)</f>
        <v>1098200</v>
      </c>
      <c r="O1496" s="224"/>
      <c r="P1496" s="110" t="s">
        <v>4810</v>
      </c>
      <c r="Q1496" s="15" t="s">
        <v>19</v>
      </c>
      <c r="R1496" s="205"/>
      <c r="S1496" s="189" t="s">
        <v>758</v>
      </c>
      <c r="T1496" s="114"/>
      <c r="U1496" s="21" t="s">
        <v>7424</v>
      </c>
      <c r="V1496" s="115">
        <v>45937</v>
      </c>
      <c r="W1496" s="116">
        <v>1912</v>
      </c>
      <c r="X1496" s="220">
        <v>1019000</v>
      </c>
      <c r="Y1496" s="220">
        <f>X1496*0.1</f>
        <v>101900</v>
      </c>
      <c r="Z1496" s="220">
        <v>9200</v>
      </c>
      <c r="AA1496" s="220">
        <f>SUM(X1496:Z1496)</f>
        <v>1130100</v>
      </c>
      <c r="AB1496" s="222"/>
    </row>
    <row r="1497" spans="1:28" ht="17.100000000000001" customHeight="1" thickBot="1">
      <c r="A1497" s="227"/>
      <c r="B1497" s="27" t="s">
        <v>4468</v>
      </c>
      <c r="C1497" s="27">
        <v>1026</v>
      </c>
      <c r="D1497" s="14" t="s">
        <v>1568</v>
      </c>
      <c r="E1497" s="229"/>
      <c r="F1497" s="117" t="s">
        <v>4811</v>
      </c>
      <c r="G1497" s="26">
        <v>37779</v>
      </c>
      <c r="H1497" s="231"/>
      <c r="I1497" s="221"/>
      <c r="J1497" s="221"/>
      <c r="K1497" s="221"/>
      <c r="L1497" s="221"/>
      <c r="M1497" s="221"/>
      <c r="N1497" s="221"/>
      <c r="O1497" s="225"/>
      <c r="P1497" s="118" t="s">
        <v>4812</v>
      </c>
      <c r="Q1497" s="16" t="s">
        <v>20</v>
      </c>
      <c r="R1497" s="17" t="s">
        <v>2982</v>
      </c>
      <c r="S1497" s="121" t="s">
        <v>2312</v>
      </c>
      <c r="T1497" s="122"/>
      <c r="U1497" s="22"/>
      <c r="V1497" s="123" t="s">
        <v>2103</v>
      </c>
      <c r="W1497" s="122">
        <v>3265</v>
      </c>
      <c r="X1497" s="221"/>
      <c r="Y1497" s="221"/>
      <c r="Z1497" s="221"/>
      <c r="AA1497" s="221"/>
      <c r="AB1497" s="223"/>
    </row>
    <row r="1498" spans="1:28" ht="17.100000000000001" customHeight="1" thickTop="1">
      <c r="A1498" s="226" t="s">
        <v>6379</v>
      </c>
      <c r="B1498" s="28">
        <v>45916</v>
      </c>
      <c r="C1498" s="25">
        <v>1909</v>
      </c>
      <c r="D1498" s="13" t="s">
        <v>1678</v>
      </c>
      <c r="E1498" s="228"/>
      <c r="F1498" s="109" t="s">
        <v>4813</v>
      </c>
      <c r="G1498" s="24" t="s">
        <v>1551</v>
      </c>
      <c r="H1498" s="230">
        <v>4</v>
      </c>
      <c r="I1498" s="220">
        <v>1441000</v>
      </c>
      <c r="J1498" s="220">
        <f>I1498*0.1</f>
        <v>144100</v>
      </c>
      <c r="K1498" s="220">
        <v>0</v>
      </c>
      <c r="L1498" s="220">
        <v>7440</v>
      </c>
      <c r="M1498" s="220">
        <v>15950</v>
      </c>
      <c r="N1498" s="220">
        <f>SUM(I1498:M1499)</f>
        <v>1608490</v>
      </c>
      <c r="O1498" s="224"/>
      <c r="P1498" s="110" t="s">
        <v>4814</v>
      </c>
      <c r="Q1498" s="15" t="s">
        <v>19</v>
      </c>
      <c r="R1498" s="205"/>
      <c r="S1498" s="189" t="s">
        <v>25438</v>
      </c>
      <c r="T1498" s="114"/>
      <c r="U1498" s="21"/>
      <c r="V1498" s="115">
        <v>45941</v>
      </c>
      <c r="W1498" s="116">
        <v>1271</v>
      </c>
      <c r="X1498" s="220">
        <v>1480000</v>
      </c>
      <c r="Y1498" s="220">
        <f>X1498*0.1</f>
        <v>148000</v>
      </c>
      <c r="Z1498" s="220">
        <v>7040</v>
      </c>
      <c r="AA1498" s="220">
        <f>SUM(X1498:Z1498)</f>
        <v>1635040</v>
      </c>
      <c r="AB1498" s="222">
        <v>45945</v>
      </c>
    </row>
    <row r="1499" spans="1:28" ht="17.100000000000001" customHeight="1" thickBot="1">
      <c r="A1499" s="227"/>
      <c r="B1499" s="27" t="s">
        <v>2103</v>
      </c>
      <c r="C1499" s="27">
        <v>3253</v>
      </c>
      <c r="D1499" s="14" t="s">
        <v>2559</v>
      </c>
      <c r="E1499" s="229"/>
      <c r="F1499" s="117" t="s">
        <v>4815</v>
      </c>
      <c r="G1499" s="26">
        <v>24193</v>
      </c>
      <c r="H1499" s="231"/>
      <c r="I1499" s="221"/>
      <c r="J1499" s="221"/>
      <c r="K1499" s="221"/>
      <c r="L1499" s="221"/>
      <c r="M1499" s="221"/>
      <c r="N1499" s="221"/>
      <c r="O1499" s="225"/>
      <c r="P1499" s="118" t="s">
        <v>4816</v>
      </c>
      <c r="Q1499" s="16" t="s">
        <v>20</v>
      </c>
      <c r="R1499" s="17" t="s">
        <v>2120</v>
      </c>
      <c r="S1499" s="121" t="s">
        <v>3581</v>
      </c>
      <c r="T1499" s="122"/>
      <c r="U1499" s="22"/>
      <c r="V1499" s="123" t="s">
        <v>2472</v>
      </c>
      <c r="W1499" s="122">
        <v>60182</v>
      </c>
      <c r="X1499" s="221"/>
      <c r="Y1499" s="221"/>
      <c r="Z1499" s="221"/>
      <c r="AA1499" s="221"/>
      <c r="AB1499" s="223"/>
    </row>
    <row r="1500" spans="1:28" ht="17.100000000000001" customHeight="1" thickTop="1">
      <c r="A1500" s="233" t="s">
        <v>6380</v>
      </c>
      <c r="B1500" s="28">
        <v>45916</v>
      </c>
      <c r="C1500" s="25">
        <v>1909</v>
      </c>
      <c r="D1500" s="13" t="s">
        <v>2040</v>
      </c>
      <c r="E1500" s="228"/>
      <c r="F1500" s="109" t="s">
        <v>4635</v>
      </c>
      <c r="G1500" s="24"/>
      <c r="H1500" s="230">
        <v>4.5</v>
      </c>
      <c r="I1500" s="220">
        <v>1449000</v>
      </c>
      <c r="J1500" s="220">
        <f>I1500*0.1</f>
        <v>144900</v>
      </c>
      <c r="K1500" s="220">
        <v>0</v>
      </c>
      <c r="L1500" s="220">
        <v>6850</v>
      </c>
      <c r="M1500" s="220">
        <v>15950</v>
      </c>
      <c r="N1500" s="220">
        <f>SUM(I1500:M1501)</f>
        <v>1616700</v>
      </c>
      <c r="O1500" s="224"/>
      <c r="P1500" s="110" t="s">
        <v>4817</v>
      </c>
      <c r="Q1500" s="15" t="s">
        <v>19</v>
      </c>
      <c r="R1500" s="205"/>
      <c r="S1500" s="189"/>
      <c r="T1500" s="114" t="s">
        <v>8897</v>
      </c>
      <c r="U1500" s="21"/>
      <c r="V1500" s="115"/>
      <c r="W1500" s="116"/>
      <c r="X1500" s="220"/>
      <c r="Y1500" s="220">
        <f>X1500*0.1</f>
        <v>0</v>
      </c>
      <c r="Z1500" s="220"/>
      <c r="AA1500" s="220">
        <f>SUM(X1500:Z1500)</f>
        <v>0</v>
      </c>
      <c r="AB1500" s="222"/>
    </row>
    <row r="1501" spans="1:28" ht="17.100000000000001" customHeight="1" thickBot="1">
      <c r="A1501" s="234"/>
      <c r="B1501" s="27" t="s">
        <v>2103</v>
      </c>
      <c r="C1501" s="27">
        <v>3390</v>
      </c>
      <c r="D1501" s="14" t="s">
        <v>3274</v>
      </c>
      <c r="E1501" s="229"/>
      <c r="F1501" s="117" t="s">
        <v>4818</v>
      </c>
      <c r="G1501" s="26">
        <v>28377</v>
      </c>
      <c r="H1501" s="231"/>
      <c r="I1501" s="221"/>
      <c r="J1501" s="221"/>
      <c r="K1501" s="221"/>
      <c r="L1501" s="221"/>
      <c r="M1501" s="221"/>
      <c r="N1501" s="221"/>
      <c r="O1501" s="225"/>
      <c r="P1501" s="118" t="s">
        <v>4819</v>
      </c>
      <c r="Q1501" s="16" t="s">
        <v>20</v>
      </c>
      <c r="R1501" s="17" t="s">
        <v>2120</v>
      </c>
      <c r="S1501" s="121"/>
      <c r="T1501" s="122"/>
      <c r="U1501" s="22"/>
      <c r="V1501" s="123"/>
      <c r="W1501" s="122"/>
      <c r="X1501" s="221"/>
      <c r="Y1501" s="221"/>
      <c r="Z1501" s="221"/>
      <c r="AA1501" s="221"/>
      <c r="AB1501" s="223"/>
    </row>
    <row r="1502" spans="1:28" ht="17.100000000000001" customHeight="1" thickTop="1">
      <c r="A1502" s="226" t="s">
        <v>6381</v>
      </c>
      <c r="B1502" s="28">
        <v>45916</v>
      </c>
      <c r="C1502" s="25">
        <v>1909</v>
      </c>
      <c r="D1502" s="13" t="s">
        <v>4755</v>
      </c>
      <c r="E1502" s="228"/>
      <c r="F1502" s="109" t="s">
        <v>4820</v>
      </c>
      <c r="G1502" s="24"/>
      <c r="H1502" s="232" t="s">
        <v>1705</v>
      </c>
      <c r="I1502" s="220">
        <v>250000</v>
      </c>
      <c r="J1502" s="220">
        <f>I1502*0.1</f>
        <v>25000</v>
      </c>
      <c r="K1502" s="220">
        <v>0</v>
      </c>
      <c r="L1502" s="220">
        <v>9070</v>
      </c>
      <c r="M1502" s="220">
        <v>15950</v>
      </c>
      <c r="N1502" s="220">
        <v>300020</v>
      </c>
      <c r="O1502" s="224"/>
      <c r="P1502" s="110" t="s">
        <v>4821</v>
      </c>
      <c r="Q1502" s="15" t="s">
        <v>19</v>
      </c>
      <c r="R1502" s="207"/>
      <c r="S1502" s="189" t="s">
        <v>25459</v>
      </c>
      <c r="T1502" s="114"/>
      <c r="U1502" s="21"/>
      <c r="V1502" s="115">
        <v>45934</v>
      </c>
      <c r="W1502" s="116">
        <v>1270</v>
      </c>
      <c r="X1502" s="220">
        <v>160000</v>
      </c>
      <c r="Y1502" s="220">
        <f>X1502*0.1</f>
        <v>16000</v>
      </c>
      <c r="Z1502" s="220">
        <v>9070</v>
      </c>
      <c r="AA1502" s="220">
        <f>SUM(X1502:Z1502)</f>
        <v>185070</v>
      </c>
      <c r="AB1502" s="222">
        <v>45937</v>
      </c>
    </row>
    <row r="1503" spans="1:28" ht="17.100000000000001" customHeight="1" thickBot="1">
      <c r="A1503" s="227"/>
      <c r="B1503" s="27" t="s">
        <v>2103</v>
      </c>
      <c r="C1503" s="27">
        <v>7094</v>
      </c>
      <c r="D1503" s="14" t="s">
        <v>2753</v>
      </c>
      <c r="E1503" s="229"/>
      <c r="F1503" s="117" t="s">
        <v>4822</v>
      </c>
      <c r="G1503" s="26">
        <v>45084</v>
      </c>
      <c r="H1503" s="231"/>
      <c r="I1503" s="221"/>
      <c r="J1503" s="221"/>
      <c r="K1503" s="221"/>
      <c r="L1503" s="221"/>
      <c r="M1503" s="221"/>
      <c r="N1503" s="221"/>
      <c r="O1503" s="225"/>
      <c r="P1503" s="118" t="s">
        <v>1972</v>
      </c>
      <c r="Q1503" s="16" t="s">
        <v>20</v>
      </c>
      <c r="R1503" s="17" t="s">
        <v>2120</v>
      </c>
      <c r="S1503" s="121"/>
      <c r="T1503" s="122"/>
      <c r="U1503" s="22"/>
      <c r="V1503" s="123" t="s">
        <v>7160</v>
      </c>
      <c r="W1503" s="122">
        <v>60262</v>
      </c>
      <c r="X1503" s="221"/>
      <c r="Y1503" s="221"/>
      <c r="Z1503" s="221"/>
      <c r="AA1503" s="221"/>
      <c r="AB1503" s="223"/>
    </row>
    <row r="1504" spans="1:28" ht="17.100000000000001" customHeight="1" thickTop="1">
      <c r="A1504" s="226" t="s">
        <v>6382</v>
      </c>
      <c r="B1504" s="28">
        <v>45916</v>
      </c>
      <c r="C1504" s="25">
        <v>787</v>
      </c>
      <c r="D1504" s="13" t="s">
        <v>3857</v>
      </c>
      <c r="E1504" s="228"/>
      <c r="F1504" s="109" t="s">
        <v>4823</v>
      </c>
      <c r="G1504" s="24"/>
      <c r="H1504" s="230">
        <v>4</v>
      </c>
      <c r="I1504" s="220">
        <v>894000</v>
      </c>
      <c r="J1504" s="220">
        <f>I1504*0.1</f>
        <v>89400</v>
      </c>
      <c r="K1504" s="220">
        <v>0</v>
      </c>
      <c r="L1504" s="220">
        <v>8400</v>
      </c>
      <c r="M1504" s="220">
        <v>15950</v>
      </c>
      <c r="N1504" s="220">
        <f>SUM(I1504:M1505)</f>
        <v>1007750</v>
      </c>
      <c r="O1504" s="224"/>
      <c r="P1504" s="110" t="s">
        <v>4824</v>
      </c>
      <c r="Q1504" s="15" t="s">
        <v>19</v>
      </c>
      <c r="R1504" s="205"/>
      <c r="S1504" s="189"/>
      <c r="T1504" s="114"/>
      <c r="U1504" s="21"/>
      <c r="V1504" s="115">
        <v>45955</v>
      </c>
      <c r="W1504" s="116">
        <v>1273</v>
      </c>
      <c r="X1504" s="220">
        <v>955000</v>
      </c>
      <c r="Y1504" s="220">
        <f>X1504*0.1</f>
        <v>95500</v>
      </c>
      <c r="Z1504" s="220">
        <v>8400</v>
      </c>
      <c r="AA1504" s="220">
        <f>SUM(X1504:Z1504)</f>
        <v>1058900</v>
      </c>
      <c r="AB1504" s="222">
        <v>45958</v>
      </c>
    </row>
    <row r="1505" spans="1:28" ht="17.100000000000001" customHeight="1" thickBot="1">
      <c r="A1505" s="227"/>
      <c r="B1505" s="27" t="s">
        <v>3314</v>
      </c>
      <c r="C1505" s="27">
        <v>3029</v>
      </c>
      <c r="D1505" s="14" t="s">
        <v>3274</v>
      </c>
      <c r="E1505" s="229"/>
      <c r="F1505" s="117" t="s">
        <v>4825</v>
      </c>
      <c r="G1505" s="26">
        <v>33132</v>
      </c>
      <c r="H1505" s="231"/>
      <c r="I1505" s="221"/>
      <c r="J1505" s="221"/>
      <c r="K1505" s="221"/>
      <c r="L1505" s="221"/>
      <c r="M1505" s="221"/>
      <c r="N1505" s="221"/>
      <c r="O1505" s="225"/>
      <c r="P1505" s="118" t="s">
        <v>4826</v>
      </c>
      <c r="Q1505" s="16" t="s">
        <v>20</v>
      </c>
      <c r="R1505" s="17" t="s">
        <v>2120</v>
      </c>
      <c r="S1505" s="121"/>
      <c r="T1505" s="122"/>
      <c r="U1505" s="22"/>
      <c r="V1505" s="123" t="s">
        <v>2472</v>
      </c>
      <c r="W1505" s="122">
        <v>60233</v>
      </c>
      <c r="X1505" s="221"/>
      <c r="Y1505" s="221"/>
      <c r="Z1505" s="221"/>
      <c r="AA1505" s="221"/>
      <c r="AB1505" s="223"/>
    </row>
    <row r="1506" spans="1:28" ht="17.100000000000001" customHeight="1" thickTop="1">
      <c r="A1506" s="226" t="s">
        <v>6383</v>
      </c>
      <c r="B1506" s="28">
        <v>45916</v>
      </c>
      <c r="C1506" s="25">
        <v>787</v>
      </c>
      <c r="D1506" s="13" t="s">
        <v>4827</v>
      </c>
      <c r="E1506" s="228"/>
      <c r="F1506" s="109" t="s">
        <v>4828</v>
      </c>
      <c r="G1506" s="24"/>
      <c r="H1506" s="230">
        <v>4</v>
      </c>
      <c r="I1506" s="220">
        <v>76000</v>
      </c>
      <c r="J1506" s="220">
        <f>I1506*0.1</f>
        <v>7600</v>
      </c>
      <c r="K1506" s="220">
        <v>0</v>
      </c>
      <c r="L1506" s="220">
        <v>9170</v>
      </c>
      <c r="M1506" s="220">
        <v>15950</v>
      </c>
      <c r="N1506" s="220">
        <f>SUM(I1506:M1507)</f>
        <v>108720</v>
      </c>
      <c r="O1506" s="224"/>
      <c r="P1506" s="110" t="s">
        <v>4829</v>
      </c>
      <c r="Q1506" s="15" t="s">
        <v>19</v>
      </c>
      <c r="R1506" s="205"/>
      <c r="S1506" s="189" t="s">
        <v>25439</v>
      </c>
      <c r="T1506" s="114"/>
      <c r="U1506" s="21"/>
      <c r="V1506" s="115">
        <v>45934</v>
      </c>
      <c r="W1506" s="116">
        <v>1270</v>
      </c>
      <c r="X1506" s="220">
        <v>195000</v>
      </c>
      <c r="Y1506" s="220">
        <f>X1506*0.1</f>
        <v>19500</v>
      </c>
      <c r="Z1506" s="220">
        <v>9170</v>
      </c>
      <c r="AA1506" s="220">
        <f>SUM(X1506:Z1506)</f>
        <v>223670</v>
      </c>
      <c r="AB1506" s="222">
        <v>45937</v>
      </c>
    </row>
    <row r="1507" spans="1:28" ht="17.100000000000001" customHeight="1" thickBot="1">
      <c r="A1507" s="227"/>
      <c r="B1507" s="27" t="s">
        <v>3314</v>
      </c>
      <c r="C1507" s="27">
        <v>3060</v>
      </c>
      <c r="D1507" s="14" t="s">
        <v>3792</v>
      </c>
      <c r="E1507" s="229"/>
      <c r="F1507" s="117" t="s">
        <v>4830</v>
      </c>
      <c r="G1507" s="26">
        <v>79403</v>
      </c>
      <c r="H1507" s="231"/>
      <c r="I1507" s="221"/>
      <c r="J1507" s="221"/>
      <c r="K1507" s="221"/>
      <c r="L1507" s="221"/>
      <c r="M1507" s="221"/>
      <c r="N1507" s="221"/>
      <c r="O1507" s="225"/>
      <c r="P1507" s="118" t="s">
        <v>2870</v>
      </c>
      <c r="Q1507" s="16" t="s">
        <v>20</v>
      </c>
      <c r="R1507" s="17" t="s">
        <v>2120</v>
      </c>
      <c r="S1507" s="121" t="s">
        <v>4831</v>
      </c>
      <c r="T1507" s="122"/>
      <c r="U1507" s="22"/>
      <c r="V1507" s="123" t="s">
        <v>7160</v>
      </c>
      <c r="W1507" s="122">
        <v>60209</v>
      </c>
      <c r="X1507" s="221"/>
      <c r="Y1507" s="221"/>
      <c r="Z1507" s="221"/>
      <c r="AA1507" s="221"/>
      <c r="AB1507" s="223"/>
    </row>
    <row r="1508" spans="1:28" ht="17.100000000000001" customHeight="1" thickTop="1">
      <c r="A1508" s="226" t="s">
        <v>6384</v>
      </c>
      <c r="B1508" s="28">
        <v>45916</v>
      </c>
      <c r="C1508" s="25">
        <v>907</v>
      </c>
      <c r="D1508" s="13" t="s">
        <v>1740</v>
      </c>
      <c r="E1508" s="228"/>
      <c r="F1508" s="109" t="s">
        <v>4832</v>
      </c>
      <c r="G1508" s="24" t="s">
        <v>2530</v>
      </c>
      <c r="H1508" s="230">
        <v>4</v>
      </c>
      <c r="I1508" s="220">
        <v>1255000</v>
      </c>
      <c r="J1508" s="220">
        <f>I1508*0.1</f>
        <v>125500</v>
      </c>
      <c r="K1508" s="220">
        <v>24750</v>
      </c>
      <c r="L1508" s="220">
        <v>14930</v>
      </c>
      <c r="M1508" s="220">
        <v>17050</v>
      </c>
      <c r="N1508" s="220">
        <f>SUM(I1508:M1509)</f>
        <v>1437230</v>
      </c>
      <c r="O1508" s="224"/>
      <c r="P1508" s="110" t="s">
        <v>4833</v>
      </c>
      <c r="Q1508" s="15" t="s">
        <v>19</v>
      </c>
      <c r="R1508" s="205"/>
      <c r="S1508" s="189"/>
      <c r="T1508" s="114"/>
      <c r="U1508" s="21"/>
      <c r="V1508" s="115">
        <v>45931</v>
      </c>
      <c r="W1508" s="116">
        <v>986</v>
      </c>
      <c r="X1508" s="220">
        <v>1380000</v>
      </c>
      <c r="Y1508" s="220">
        <f>X1508*0.1</f>
        <v>138000</v>
      </c>
      <c r="Z1508" s="220">
        <v>14930</v>
      </c>
      <c r="AA1508" s="220">
        <f>SUM(X1508:Z1508)</f>
        <v>1532930</v>
      </c>
      <c r="AB1508" s="222">
        <v>45937</v>
      </c>
    </row>
    <row r="1509" spans="1:28" ht="17.100000000000001" customHeight="1" thickBot="1">
      <c r="A1509" s="227"/>
      <c r="B1509" s="27" t="s">
        <v>2654</v>
      </c>
      <c r="C1509" s="27">
        <v>2121</v>
      </c>
      <c r="D1509" s="14" t="s">
        <v>54</v>
      </c>
      <c r="E1509" s="229"/>
      <c r="F1509" s="117" t="s">
        <v>4834</v>
      </c>
      <c r="G1509" s="26">
        <v>48948</v>
      </c>
      <c r="H1509" s="231"/>
      <c r="I1509" s="221"/>
      <c r="J1509" s="221"/>
      <c r="K1509" s="221"/>
      <c r="L1509" s="221"/>
      <c r="M1509" s="221"/>
      <c r="N1509" s="221"/>
      <c r="O1509" s="225"/>
      <c r="P1509" s="118" t="s">
        <v>2957</v>
      </c>
      <c r="Q1509" s="16" t="s">
        <v>20</v>
      </c>
      <c r="R1509" s="17" t="s">
        <v>4212</v>
      </c>
      <c r="S1509" s="121"/>
      <c r="T1509" s="122"/>
      <c r="U1509" s="22"/>
      <c r="V1509" s="123" t="s">
        <v>2747</v>
      </c>
      <c r="W1509" s="122">
        <v>6103</v>
      </c>
      <c r="X1509" s="221"/>
      <c r="Y1509" s="221"/>
      <c r="Z1509" s="221"/>
      <c r="AA1509" s="221"/>
      <c r="AB1509" s="223"/>
    </row>
    <row r="1510" spans="1:28" ht="17.100000000000001" customHeight="1" thickTop="1">
      <c r="A1510" s="226" t="s">
        <v>6385</v>
      </c>
      <c r="B1510" s="28">
        <v>45916</v>
      </c>
      <c r="C1510" s="25">
        <v>907</v>
      </c>
      <c r="D1510" s="13" t="s">
        <v>2392</v>
      </c>
      <c r="E1510" s="228"/>
      <c r="F1510" s="109" t="s">
        <v>4835</v>
      </c>
      <c r="G1510" s="24" t="s">
        <v>4239</v>
      </c>
      <c r="H1510" s="230">
        <v>4.5</v>
      </c>
      <c r="I1510" s="220">
        <v>1460000</v>
      </c>
      <c r="J1510" s="220">
        <f>I1510*0.1</f>
        <v>146000</v>
      </c>
      <c r="K1510" s="220">
        <v>0</v>
      </c>
      <c r="L1510" s="220">
        <v>6730</v>
      </c>
      <c r="M1510" s="220">
        <v>15950</v>
      </c>
      <c r="N1510" s="220">
        <f>SUM(I1510:M1511)</f>
        <v>1628680</v>
      </c>
      <c r="O1510" s="224"/>
      <c r="P1510" s="110" t="s">
        <v>4836</v>
      </c>
      <c r="Q1510" s="15" t="s">
        <v>19</v>
      </c>
      <c r="R1510" s="205"/>
      <c r="S1510" s="189" t="s">
        <v>1361</v>
      </c>
      <c r="T1510" s="114"/>
      <c r="U1510" s="21" t="s">
        <v>8173</v>
      </c>
      <c r="V1510" s="115">
        <v>45990</v>
      </c>
      <c r="W1510" s="116">
        <v>1278</v>
      </c>
      <c r="X1510" s="220">
        <v>1470000</v>
      </c>
      <c r="Y1510" s="220">
        <f>X1510*0.1</f>
        <v>147000</v>
      </c>
      <c r="Z1510" s="220">
        <v>6730</v>
      </c>
      <c r="AA1510" s="220">
        <f>SUM(X1510:Z1510)</f>
        <v>1623730</v>
      </c>
      <c r="AB1510" s="222">
        <v>45994</v>
      </c>
    </row>
    <row r="1511" spans="1:28" ht="17.100000000000001" customHeight="1" thickBot="1">
      <c r="A1511" s="227"/>
      <c r="B1511" s="27" t="s">
        <v>2654</v>
      </c>
      <c r="C1511" s="27">
        <v>3041</v>
      </c>
      <c r="D1511" s="14" t="s">
        <v>2559</v>
      </c>
      <c r="E1511" s="229"/>
      <c r="F1511" s="117" t="s">
        <v>4837</v>
      </c>
      <c r="G1511" s="26">
        <v>25781</v>
      </c>
      <c r="H1511" s="231"/>
      <c r="I1511" s="221"/>
      <c r="J1511" s="221"/>
      <c r="K1511" s="221"/>
      <c r="L1511" s="221"/>
      <c r="M1511" s="221"/>
      <c r="N1511" s="221"/>
      <c r="O1511" s="225"/>
      <c r="P1511" s="118" t="s">
        <v>4838</v>
      </c>
      <c r="Q1511" s="16" t="s">
        <v>20</v>
      </c>
      <c r="R1511" s="17" t="s">
        <v>4212</v>
      </c>
      <c r="S1511" s="121" t="s">
        <v>169</v>
      </c>
      <c r="T1511" s="122"/>
      <c r="U1511" s="22"/>
      <c r="V1511" s="123" t="s">
        <v>2472</v>
      </c>
      <c r="W1511" s="122">
        <v>60257</v>
      </c>
      <c r="X1511" s="221"/>
      <c r="Y1511" s="221"/>
      <c r="Z1511" s="221"/>
      <c r="AA1511" s="221"/>
      <c r="AB1511" s="223"/>
    </row>
    <row r="1512" spans="1:28" ht="17.100000000000001" customHeight="1" thickTop="1">
      <c r="A1512" s="226" t="s">
        <v>6386</v>
      </c>
      <c r="B1512" s="28">
        <v>45916</v>
      </c>
      <c r="C1512" s="25">
        <v>907</v>
      </c>
      <c r="D1512" s="13" t="s">
        <v>2858</v>
      </c>
      <c r="E1512" s="228"/>
      <c r="F1512" s="109" t="s">
        <v>4839</v>
      </c>
      <c r="G1512" s="24"/>
      <c r="H1512" s="230">
        <v>3.5</v>
      </c>
      <c r="I1512" s="220">
        <v>315000</v>
      </c>
      <c r="J1512" s="220">
        <f>I1512*0.1</f>
        <v>31500</v>
      </c>
      <c r="K1512" s="220">
        <v>0</v>
      </c>
      <c r="L1512" s="220">
        <v>8280</v>
      </c>
      <c r="M1512" s="220">
        <v>15950</v>
      </c>
      <c r="N1512" s="220">
        <f>SUM(I1512:M1513)</f>
        <v>370730</v>
      </c>
      <c r="O1512" s="224"/>
      <c r="P1512" s="110" t="s">
        <v>4840</v>
      </c>
      <c r="Q1512" s="15" t="s">
        <v>19</v>
      </c>
      <c r="R1512" s="205"/>
      <c r="S1512" s="189"/>
      <c r="T1512" s="114"/>
      <c r="U1512" s="21"/>
      <c r="V1512" s="115">
        <v>45941</v>
      </c>
      <c r="W1512" s="116">
        <v>1271</v>
      </c>
      <c r="X1512" s="220">
        <v>415000</v>
      </c>
      <c r="Y1512" s="220">
        <f>X1512*0.1</f>
        <v>41500</v>
      </c>
      <c r="Z1512" s="220">
        <v>8280</v>
      </c>
      <c r="AA1512" s="220">
        <f>SUM(X1512:Z1512)</f>
        <v>464780</v>
      </c>
      <c r="AB1512" s="222">
        <v>45945</v>
      </c>
    </row>
    <row r="1513" spans="1:28" ht="17.100000000000001" customHeight="1" thickBot="1">
      <c r="A1513" s="227"/>
      <c r="B1513" s="27" t="s">
        <v>2654</v>
      </c>
      <c r="C1513" s="27">
        <v>3043</v>
      </c>
      <c r="D1513" s="14" t="s">
        <v>273</v>
      </c>
      <c r="E1513" s="229"/>
      <c r="F1513" s="117" t="s">
        <v>4841</v>
      </c>
      <c r="G1513" s="26">
        <v>51625</v>
      </c>
      <c r="H1513" s="231"/>
      <c r="I1513" s="221"/>
      <c r="J1513" s="221"/>
      <c r="K1513" s="221"/>
      <c r="L1513" s="221"/>
      <c r="M1513" s="221"/>
      <c r="N1513" s="221"/>
      <c r="O1513" s="225"/>
      <c r="P1513" s="118" t="s">
        <v>4842</v>
      </c>
      <c r="Q1513" s="16" t="s">
        <v>20</v>
      </c>
      <c r="R1513" s="17" t="s">
        <v>4212</v>
      </c>
      <c r="S1513" s="121" t="s">
        <v>4843</v>
      </c>
      <c r="T1513" s="122"/>
      <c r="U1513" s="22"/>
      <c r="V1513" s="123" t="s">
        <v>2472</v>
      </c>
      <c r="W1513" s="122">
        <v>60162</v>
      </c>
      <c r="X1513" s="221"/>
      <c r="Y1513" s="221"/>
      <c r="Z1513" s="221"/>
      <c r="AA1513" s="221"/>
      <c r="AB1513" s="223"/>
    </row>
    <row r="1514" spans="1:28" ht="17.100000000000001" customHeight="1" thickTop="1">
      <c r="A1514" s="226" t="s">
        <v>6387</v>
      </c>
      <c r="B1514" s="28">
        <v>45916</v>
      </c>
      <c r="C1514" s="25">
        <v>907</v>
      </c>
      <c r="D1514" s="13" t="s">
        <v>1829</v>
      </c>
      <c r="E1514" s="228"/>
      <c r="F1514" s="109" t="s">
        <v>4844</v>
      </c>
      <c r="G1514" s="24"/>
      <c r="H1514" s="230">
        <v>4</v>
      </c>
      <c r="I1514" s="220">
        <v>374000</v>
      </c>
      <c r="J1514" s="220">
        <f>I1514*0.1</f>
        <v>37400</v>
      </c>
      <c r="K1514" s="220">
        <v>0</v>
      </c>
      <c r="L1514" s="220">
        <v>7140</v>
      </c>
      <c r="M1514" s="220">
        <v>15950</v>
      </c>
      <c r="N1514" s="220">
        <f>SUM(I1514:M1515)</f>
        <v>434490</v>
      </c>
      <c r="O1514" s="224"/>
      <c r="P1514" s="110" t="s">
        <v>4845</v>
      </c>
      <c r="Q1514" s="15" t="s">
        <v>19</v>
      </c>
      <c r="R1514" s="205"/>
      <c r="S1514" s="189"/>
      <c r="T1514" s="114"/>
      <c r="U1514" s="21"/>
      <c r="V1514" s="115">
        <v>45948</v>
      </c>
      <c r="W1514" s="116">
        <v>1272</v>
      </c>
      <c r="X1514" s="220">
        <v>465000</v>
      </c>
      <c r="Y1514" s="220">
        <f>X1514*0.1</f>
        <v>46500</v>
      </c>
      <c r="Z1514" s="220">
        <v>7140</v>
      </c>
      <c r="AA1514" s="220">
        <f>SUM(X1514:Z1514)</f>
        <v>518640</v>
      </c>
      <c r="AB1514" s="222">
        <v>45951</v>
      </c>
    </row>
    <row r="1515" spans="1:28" ht="17.100000000000001" customHeight="1" thickBot="1">
      <c r="A1515" s="227"/>
      <c r="B1515" s="27" t="s">
        <v>2654</v>
      </c>
      <c r="C1515" s="27">
        <v>3060</v>
      </c>
      <c r="D1515" s="14" t="s">
        <v>1710</v>
      </c>
      <c r="E1515" s="229"/>
      <c r="F1515" s="117" t="s">
        <v>4846</v>
      </c>
      <c r="G1515" s="26">
        <v>58407</v>
      </c>
      <c r="H1515" s="231"/>
      <c r="I1515" s="221"/>
      <c r="J1515" s="221"/>
      <c r="K1515" s="221"/>
      <c r="L1515" s="221"/>
      <c r="M1515" s="221"/>
      <c r="N1515" s="221"/>
      <c r="O1515" s="225"/>
      <c r="P1515" s="118" t="s">
        <v>4847</v>
      </c>
      <c r="Q1515" s="16" t="s">
        <v>20</v>
      </c>
      <c r="R1515" s="17" t="s">
        <v>4212</v>
      </c>
      <c r="S1515" s="121" t="s">
        <v>4848</v>
      </c>
      <c r="T1515" s="122"/>
      <c r="U1515" s="22"/>
      <c r="V1515" s="123" t="s">
        <v>2472</v>
      </c>
      <c r="W1515" s="122">
        <v>60185</v>
      </c>
      <c r="X1515" s="221"/>
      <c r="Y1515" s="221"/>
      <c r="Z1515" s="221"/>
      <c r="AA1515" s="221"/>
      <c r="AB1515" s="223"/>
    </row>
    <row r="1516" spans="1:28" ht="17.100000000000001" customHeight="1" thickTop="1">
      <c r="A1516" s="226" t="s">
        <v>6388</v>
      </c>
      <c r="B1516" s="28">
        <v>45916</v>
      </c>
      <c r="C1516" s="25">
        <v>907</v>
      </c>
      <c r="D1516" s="13" t="s">
        <v>4755</v>
      </c>
      <c r="E1516" s="228"/>
      <c r="F1516" s="109" t="s">
        <v>4849</v>
      </c>
      <c r="G1516" s="24"/>
      <c r="H1516" s="230">
        <v>3.5</v>
      </c>
      <c r="I1516" s="220">
        <v>93000</v>
      </c>
      <c r="J1516" s="220">
        <f>I1516*0.1</f>
        <v>9300</v>
      </c>
      <c r="K1516" s="220">
        <v>0</v>
      </c>
      <c r="L1516" s="220">
        <v>10000</v>
      </c>
      <c r="M1516" s="220">
        <v>15950</v>
      </c>
      <c r="N1516" s="220">
        <f>SUM(I1516:M1517)</f>
        <v>128250</v>
      </c>
      <c r="O1516" s="224"/>
      <c r="P1516" s="110" t="s">
        <v>4850</v>
      </c>
      <c r="Q1516" s="15" t="s">
        <v>19</v>
      </c>
      <c r="R1516" s="205"/>
      <c r="S1516" s="189"/>
      <c r="T1516" s="114"/>
      <c r="U1516" s="21"/>
      <c r="V1516" s="115">
        <v>45966</v>
      </c>
      <c r="W1516" s="116">
        <v>991</v>
      </c>
      <c r="X1516" s="220">
        <v>140000</v>
      </c>
      <c r="Y1516" s="220">
        <f>X1516*0.1</f>
        <v>14000</v>
      </c>
      <c r="Z1516" s="220">
        <v>10000</v>
      </c>
      <c r="AA1516" s="220">
        <f>SUM(X1516:Z1516)</f>
        <v>164000</v>
      </c>
      <c r="AB1516" s="222">
        <v>45971</v>
      </c>
    </row>
    <row r="1517" spans="1:28" ht="17.100000000000001" customHeight="1" thickBot="1">
      <c r="A1517" s="227"/>
      <c r="B1517" s="27" t="s">
        <v>2654</v>
      </c>
      <c r="C1517" s="27">
        <v>4255</v>
      </c>
      <c r="D1517" s="14" t="s">
        <v>1710</v>
      </c>
      <c r="E1517" s="229"/>
      <c r="F1517" s="117" t="s">
        <v>4851</v>
      </c>
      <c r="G1517" s="26">
        <v>58836</v>
      </c>
      <c r="H1517" s="231"/>
      <c r="I1517" s="221"/>
      <c r="J1517" s="221"/>
      <c r="K1517" s="221"/>
      <c r="L1517" s="221"/>
      <c r="M1517" s="221"/>
      <c r="N1517" s="221"/>
      <c r="O1517" s="225"/>
      <c r="P1517" s="118" t="s">
        <v>4550</v>
      </c>
      <c r="Q1517" s="16" t="s">
        <v>20</v>
      </c>
      <c r="R1517" s="17" t="s">
        <v>4212</v>
      </c>
      <c r="S1517" s="121" t="s">
        <v>4852</v>
      </c>
      <c r="T1517" s="122"/>
      <c r="U1517" s="22"/>
      <c r="V1517" s="123" t="s">
        <v>2747</v>
      </c>
      <c r="W1517" s="122">
        <v>2026</v>
      </c>
      <c r="X1517" s="221"/>
      <c r="Y1517" s="221"/>
      <c r="Z1517" s="221"/>
      <c r="AA1517" s="221"/>
      <c r="AB1517" s="223"/>
    </row>
    <row r="1518" spans="1:28" ht="17.100000000000001" customHeight="1" thickTop="1">
      <c r="A1518" s="226" t="s">
        <v>6389</v>
      </c>
      <c r="B1518" s="28">
        <v>45916</v>
      </c>
      <c r="C1518" s="25">
        <v>907</v>
      </c>
      <c r="D1518" s="13" t="s">
        <v>2858</v>
      </c>
      <c r="E1518" s="228"/>
      <c r="F1518" s="109" t="s">
        <v>4853</v>
      </c>
      <c r="G1518" s="24"/>
      <c r="H1518" s="230">
        <v>3.5</v>
      </c>
      <c r="I1518" s="220">
        <v>209000</v>
      </c>
      <c r="J1518" s="220">
        <f>I1518*0.1</f>
        <v>20900</v>
      </c>
      <c r="K1518" s="220">
        <v>0</v>
      </c>
      <c r="L1518" s="220">
        <v>9780</v>
      </c>
      <c r="M1518" s="220">
        <v>15950</v>
      </c>
      <c r="N1518" s="220">
        <f>SUM(I1518:M1519)</f>
        <v>255630</v>
      </c>
      <c r="O1518" s="224"/>
      <c r="P1518" s="110" t="s">
        <v>4854</v>
      </c>
      <c r="Q1518" s="15" t="s">
        <v>19</v>
      </c>
      <c r="R1518" s="205"/>
      <c r="S1518" s="189"/>
      <c r="T1518" s="114"/>
      <c r="U1518" s="21"/>
      <c r="V1518" s="115">
        <v>45962</v>
      </c>
      <c r="W1518" s="116">
        <v>1274</v>
      </c>
      <c r="X1518" s="220">
        <v>280000</v>
      </c>
      <c r="Y1518" s="220">
        <f>X1518*0.1</f>
        <v>28000</v>
      </c>
      <c r="Z1518" s="220">
        <v>9780</v>
      </c>
      <c r="AA1518" s="220">
        <f>SUM(X1518:Z1518)</f>
        <v>317780</v>
      </c>
      <c r="AB1518" s="222">
        <v>45965</v>
      </c>
    </row>
    <row r="1519" spans="1:28" ht="17.100000000000001" customHeight="1" thickBot="1">
      <c r="A1519" s="227"/>
      <c r="B1519" s="27" t="s">
        <v>2654</v>
      </c>
      <c r="C1519" s="27">
        <v>4337</v>
      </c>
      <c r="D1519" s="14" t="s">
        <v>273</v>
      </c>
      <c r="E1519" s="229"/>
      <c r="F1519" s="117" t="s">
        <v>4855</v>
      </c>
      <c r="G1519" s="26">
        <v>48219</v>
      </c>
      <c r="H1519" s="231"/>
      <c r="I1519" s="221"/>
      <c r="J1519" s="221"/>
      <c r="K1519" s="221"/>
      <c r="L1519" s="221"/>
      <c r="M1519" s="221"/>
      <c r="N1519" s="221"/>
      <c r="O1519" s="225"/>
      <c r="P1519" s="118" t="s">
        <v>4856</v>
      </c>
      <c r="Q1519" s="16" t="s">
        <v>20</v>
      </c>
      <c r="R1519" s="17" t="s">
        <v>4212</v>
      </c>
      <c r="S1519" s="121"/>
      <c r="T1519" s="122"/>
      <c r="U1519" s="22"/>
      <c r="V1519" s="123" t="s">
        <v>2472</v>
      </c>
      <c r="W1519" s="122">
        <v>63033</v>
      </c>
      <c r="X1519" s="221"/>
      <c r="Y1519" s="221"/>
      <c r="Z1519" s="221"/>
      <c r="AA1519" s="221"/>
      <c r="AB1519" s="223"/>
    </row>
    <row r="1520" spans="1:28" ht="17.100000000000001" customHeight="1" thickTop="1">
      <c r="A1520" s="226" t="s">
        <v>6390</v>
      </c>
      <c r="B1520" s="28">
        <v>45916</v>
      </c>
      <c r="C1520" s="25">
        <v>907</v>
      </c>
      <c r="D1520" s="13" t="s">
        <v>4104</v>
      </c>
      <c r="E1520" s="228"/>
      <c r="F1520" s="109" t="s">
        <v>4145</v>
      </c>
      <c r="G1520" s="24"/>
      <c r="H1520" s="230">
        <v>4</v>
      </c>
      <c r="I1520" s="220">
        <v>204000</v>
      </c>
      <c r="J1520" s="220">
        <f>I1520*0.1</f>
        <v>20400</v>
      </c>
      <c r="K1520" s="220">
        <v>0</v>
      </c>
      <c r="L1520" s="220">
        <v>8930</v>
      </c>
      <c r="M1520" s="220">
        <v>15950</v>
      </c>
      <c r="N1520" s="220">
        <f>SUM(I1520:M1521)</f>
        <v>249280</v>
      </c>
      <c r="O1520" s="224"/>
      <c r="P1520" s="110" t="s">
        <v>4857</v>
      </c>
      <c r="Q1520" s="15" t="s">
        <v>19</v>
      </c>
      <c r="R1520" s="205"/>
      <c r="S1520" s="189" t="s">
        <v>1361</v>
      </c>
      <c r="T1520" s="114"/>
      <c r="U1520" s="21"/>
      <c r="V1520" s="115">
        <v>45941</v>
      </c>
      <c r="W1520" s="116">
        <v>1271</v>
      </c>
      <c r="X1520" s="220">
        <v>280000</v>
      </c>
      <c r="Y1520" s="220">
        <f>X1520*0.1</f>
        <v>28000</v>
      </c>
      <c r="Z1520" s="220">
        <v>8930</v>
      </c>
      <c r="AA1520" s="220">
        <f>SUM(X1520:Z1520)</f>
        <v>316930</v>
      </c>
      <c r="AB1520" s="222">
        <v>45950</v>
      </c>
    </row>
    <row r="1521" spans="1:28" ht="17.100000000000001" customHeight="1" thickBot="1">
      <c r="A1521" s="227"/>
      <c r="B1521" s="27" t="s">
        <v>2654</v>
      </c>
      <c r="C1521" s="27">
        <v>7102</v>
      </c>
      <c r="D1521" s="14" t="s">
        <v>3792</v>
      </c>
      <c r="E1521" s="229"/>
      <c r="F1521" s="117" t="s">
        <v>4858</v>
      </c>
      <c r="G1521" s="26">
        <v>14582</v>
      </c>
      <c r="H1521" s="231"/>
      <c r="I1521" s="221"/>
      <c r="J1521" s="221"/>
      <c r="K1521" s="221"/>
      <c r="L1521" s="221"/>
      <c r="M1521" s="221"/>
      <c r="N1521" s="221"/>
      <c r="O1521" s="225"/>
      <c r="P1521" s="118" t="s">
        <v>4859</v>
      </c>
      <c r="Q1521" s="16" t="s">
        <v>20</v>
      </c>
      <c r="R1521" s="17" t="s">
        <v>4212</v>
      </c>
      <c r="S1521" s="121" t="s">
        <v>169</v>
      </c>
      <c r="T1521" s="122"/>
      <c r="U1521" s="22"/>
      <c r="V1521" s="123" t="s">
        <v>6642</v>
      </c>
      <c r="W1521" s="122">
        <v>60163</v>
      </c>
      <c r="X1521" s="221"/>
      <c r="Y1521" s="221"/>
      <c r="Z1521" s="221"/>
      <c r="AA1521" s="221"/>
      <c r="AB1521" s="223"/>
    </row>
    <row r="1522" spans="1:28" ht="17.100000000000001" customHeight="1" thickTop="1">
      <c r="A1522" s="226" t="s">
        <v>6391</v>
      </c>
      <c r="B1522" s="28">
        <v>45916</v>
      </c>
      <c r="C1522" s="25">
        <v>1061</v>
      </c>
      <c r="D1522" s="13" t="s">
        <v>1702</v>
      </c>
      <c r="E1522" s="228"/>
      <c r="F1522" s="109" t="s">
        <v>4499</v>
      </c>
      <c r="G1522" s="24" t="s">
        <v>4860</v>
      </c>
      <c r="H1522" s="230">
        <v>4</v>
      </c>
      <c r="I1522" s="220">
        <v>1190000</v>
      </c>
      <c r="J1522" s="220">
        <f>I1522*0.1</f>
        <v>119000</v>
      </c>
      <c r="K1522" s="220">
        <f>19700+1970</f>
        <v>21670</v>
      </c>
      <c r="L1522" s="220">
        <v>20540</v>
      </c>
      <c r="M1522" s="220">
        <v>16500</v>
      </c>
      <c r="N1522" s="220">
        <f>SUM(I1522:M1523)</f>
        <v>1367710</v>
      </c>
      <c r="O1522" s="224"/>
      <c r="P1522" s="110" t="s">
        <v>4861</v>
      </c>
      <c r="Q1522" s="15" t="s">
        <v>19</v>
      </c>
      <c r="R1522" s="205"/>
      <c r="S1522" s="189" t="s">
        <v>25460</v>
      </c>
      <c r="T1522" s="114"/>
      <c r="U1522" s="21"/>
      <c r="V1522" s="115">
        <v>45969</v>
      </c>
      <c r="W1522" s="116">
        <v>1275</v>
      </c>
      <c r="X1522" s="220">
        <v>1290000</v>
      </c>
      <c r="Y1522" s="220">
        <f>X1522*0.1</f>
        <v>129000</v>
      </c>
      <c r="Z1522" s="220">
        <v>20540</v>
      </c>
      <c r="AA1522" s="220">
        <f>SUM(X1522:Z1522)</f>
        <v>1439540</v>
      </c>
      <c r="AB1522" s="222">
        <v>45972</v>
      </c>
    </row>
    <row r="1523" spans="1:28" ht="17.100000000000001" customHeight="1" thickBot="1">
      <c r="A1523" s="227"/>
      <c r="B1523" s="27" t="s">
        <v>1583</v>
      </c>
      <c r="C1523" s="27">
        <v>82009</v>
      </c>
      <c r="D1523" s="14" t="s">
        <v>131</v>
      </c>
      <c r="E1523" s="229"/>
      <c r="F1523" s="117" t="s">
        <v>4862</v>
      </c>
      <c r="G1523" s="26">
        <v>31422</v>
      </c>
      <c r="H1523" s="231"/>
      <c r="I1523" s="221"/>
      <c r="J1523" s="221"/>
      <c r="K1523" s="221"/>
      <c r="L1523" s="221"/>
      <c r="M1523" s="221"/>
      <c r="N1523" s="221"/>
      <c r="O1523" s="225"/>
      <c r="P1523" s="118" t="s">
        <v>1946</v>
      </c>
      <c r="Q1523" s="16" t="s">
        <v>20</v>
      </c>
      <c r="R1523" s="17" t="s">
        <v>4212</v>
      </c>
      <c r="S1523" s="121" t="s">
        <v>1731</v>
      </c>
      <c r="T1523" s="122"/>
      <c r="U1523" s="22" t="s">
        <v>3427</v>
      </c>
      <c r="V1523" s="123" t="s">
        <v>2472</v>
      </c>
      <c r="W1523" s="122">
        <v>80066</v>
      </c>
      <c r="X1523" s="221"/>
      <c r="Y1523" s="221"/>
      <c r="Z1523" s="221"/>
      <c r="AA1523" s="221"/>
      <c r="AB1523" s="223"/>
    </row>
    <row r="1524" spans="1:28" ht="17.100000000000001" customHeight="1" thickTop="1">
      <c r="A1524" s="226" t="s">
        <v>6392</v>
      </c>
      <c r="B1524" s="28">
        <v>45916</v>
      </c>
      <c r="C1524" s="25">
        <v>1061</v>
      </c>
      <c r="D1524" s="13" t="s">
        <v>3332</v>
      </c>
      <c r="E1524" s="228"/>
      <c r="F1524" s="109" t="s">
        <v>4863</v>
      </c>
      <c r="G1524" s="24" t="s">
        <v>4864</v>
      </c>
      <c r="H1524" s="230">
        <v>4.5</v>
      </c>
      <c r="I1524" s="220">
        <v>770000</v>
      </c>
      <c r="J1524" s="220">
        <f>I1524*0.1</f>
        <v>77000</v>
      </c>
      <c r="K1524" s="220">
        <f>15200+1520</f>
        <v>16720</v>
      </c>
      <c r="L1524" s="220">
        <v>11810</v>
      </c>
      <c r="M1524" s="220">
        <v>16500</v>
      </c>
      <c r="N1524" s="220">
        <f>SUM(I1524:M1525)</f>
        <v>892030</v>
      </c>
      <c r="O1524" s="224"/>
      <c r="P1524" s="110" t="s">
        <v>4865</v>
      </c>
      <c r="Q1524" s="15" t="s">
        <v>19</v>
      </c>
      <c r="R1524" s="205"/>
      <c r="S1524" s="189" t="s">
        <v>758</v>
      </c>
      <c r="T1524" s="114"/>
      <c r="U1524" s="21" t="s">
        <v>8187</v>
      </c>
      <c r="V1524" s="115">
        <v>45952</v>
      </c>
      <c r="W1524" s="116">
        <v>989</v>
      </c>
      <c r="X1524" s="220">
        <v>1030000</v>
      </c>
      <c r="Y1524" s="220">
        <f>X1524*0.1</f>
        <v>103000</v>
      </c>
      <c r="Z1524" s="220">
        <v>11810</v>
      </c>
      <c r="AA1524" s="220">
        <f>SUM(X1524:Z1524)</f>
        <v>1144810</v>
      </c>
      <c r="AB1524" s="222">
        <v>45958</v>
      </c>
    </row>
    <row r="1525" spans="1:28" ht="17.100000000000001" customHeight="1" thickBot="1">
      <c r="A1525" s="227"/>
      <c r="B1525" s="27" t="s">
        <v>1583</v>
      </c>
      <c r="C1525" s="27">
        <v>84025</v>
      </c>
      <c r="D1525" s="14" t="s">
        <v>898</v>
      </c>
      <c r="E1525" s="229"/>
      <c r="F1525" s="117" t="s">
        <v>4866</v>
      </c>
      <c r="G1525" s="26">
        <v>59500</v>
      </c>
      <c r="H1525" s="231"/>
      <c r="I1525" s="221"/>
      <c r="J1525" s="221"/>
      <c r="K1525" s="221"/>
      <c r="L1525" s="221"/>
      <c r="M1525" s="221"/>
      <c r="N1525" s="221"/>
      <c r="O1525" s="225"/>
      <c r="P1525" s="118" t="s">
        <v>1604</v>
      </c>
      <c r="Q1525" s="16" t="s">
        <v>20</v>
      </c>
      <c r="R1525" s="17" t="s">
        <v>4491</v>
      </c>
      <c r="S1525" s="121" t="s">
        <v>169</v>
      </c>
      <c r="T1525" s="122"/>
      <c r="U1525" s="22"/>
      <c r="V1525" s="123" t="s">
        <v>7161</v>
      </c>
      <c r="W1525" s="122">
        <v>5278</v>
      </c>
      <c r="X1525" s="221"/>
      <c r="Y1525" s="221"/>
      <c r="Z1525" s="221"/>
      <c r="AA1525" s="221"/>
      <c r="AB1525" s="223"/>
    </row>
    <row r="1526" spans="1:28" ht="17.100000000000001" customHeight="1" thickTop="1">
      <c r="A1526" s="226" t="s">
        <v>6393</v>
      </c>
      <c r="B1526" s="28">
        <v>45916</v>
      </c>
      <c r="C1526" s="25">
        <v>1061</v>
      </c>
      <c r="D1526" s="13" t="s">
        <v>2326</v>
      </c>
      <c r="E1526" s="228"/>
      <c r="F1526" s="109" t="s">
        <v>4867</v>
      </c>
      <c r="G1526" s="24" t="s">
        <v>4868</v>
      </c>
      <c r="H1526" s="230">
        <v>4.5</v>
      </c>
      <c r="I1526" s="220">
        <v>870000</v>
      </c>
      <c r="J1526" s="220">
        <f>I1526*0.1</f>
        <v>87000</v>
      </c>
      <c r="K1526" s="220">
        <f>19700+1970</f>
        <v>21670</v>
      </c>
      <c r="L1526" s="220">
        <v>15940</v>
      </c>
      <c r="M1526" s="220">
        <v>16500</v>
      </c>
      <c r="N1526" s="220">
        <f>SUM(I1526:M1527)</f>
        <v>1011110</v>
      </c>
      <c r="O1526" s="224"/>
      <c r="P1526" s="110" t="s">
        <v>4869</v>
      </c>
      <c r="Q1526" s="15" t="s">
        <v>19</v>
      </c>
      <c r="R1526" s="205"/>
      <c r="S1526" s="189" t="s">
        <v>1361</v>
      </c>
      <c r="T1526" s="114"/>
      <c r="U1526" s="21"/>
      <c r="V1526" s="115">
        <v>45948</v>
      </c>
      <c r="W1526" s="116">
        <v>1272</v>
      </c>
      <c r="X1526" s="220">
        <v>905000</v>
      </c>
      <c r="Y1526" s="220">
        <f>X1526*0.1</f>
        <v>90500</v>
      </c>
      <c r="Z1526" s="220">
        <v>15940</v>
      </c>
      <c r="AA1526" s="220">
        <f>SUM(X1526:Z1526)</f>
        <v>1011440</v>
      </c>
      <c r="AB1526" s="222">
        <v>45953</v>
      </c>
    </row>
    <row r="1527" spans="1:28" ht="17.100000000000001" customHeight="1" thickBot="1">
      <c r="A1527" s="227"/>
      <c r="B1527" s="27" t="s">
        <v>1583</v>
      </c>
      <c r="C1527" s="27">
        <v>84034</v>
      </c>
      <c r="D1527" s="14" t="s">
        <v>273</v>
      </c>
      <c r="E1527" s="229"/>
      <c r="F1527" s="117" t="s">
        <v>4870</v>
      </c>
      <c r="G1527" s="26">
        <v>45682</v>
      </c>
      <c r="H1527" s="231"/>
      <c r="I1527" s="221"/>
      <c r="J1527" s="221"/>
      <c r="K1527" s="221"/>
      <c r="L1527" s="221"/>
      <c r="M1527" s="221"/>
      <c r="N1527" s="221"/>
      <c r="O1527" s="225"/>
      <c r="P1527" s="118" t="s">
        <v>4871</v>
      </c>
      <c r="Q1527" s="16" t="s">
        <v>20</v>
      </c>
      <c r="R1527" s="17" t="s">
        <v>4491</v>
      </c>
      <c r="S1527" s="121" t="s">
        <v>4062</v>
      </c>
      <c r="T1527" s="122"/>
      <c r="U1527" s="22"/>
      <c r="V1527" s="123" t="s">
        <v>2472</v>
      </c>
      <c r="W1527" s="122">
        <v>80017</v>
      </c>
      <c r="X1527" s="221"/>
      <c r="Y1527" s="221"/>
      <c r="Z1527" s="221"/>
      <c r="AA1527" s="221"/>
      <c r="AB1527" s="223"/>
    </row>
    <row r="1528" spans="1:28" ht="17.100000000000001" customHeight="1" thickTop="1">
      <c r="A1528" s="226" t="s">
        <v>6394</v>
      </c>
      <c r="B1528" s="28">
        <v>45917</v>
      </c>
      <c r="C1528" s="25">
        <v>2322</v>
      </c>
      <c r="D1528" s="13" t="s">
        <v>1754</v>
      </c>
      <c r="E1528" s="228"/>
      <c r="F1528" s="109" t="s">
        <v>4872</v>
      </c>
      <c r="G1528" s="24"/>
      <c r="H1528" s="230">
        <v>4</v>
      </c>
      <c r="I1528" s="220">
        <v>810000</v>
      </c>
      <c r="J1528" s="220">
        <f>I1528*0.1</f>
        <v>81000</v>
      </c>
      <c r="K1528" s="220">
        <v>0</v>
      </c>
      <c r="L1528" s="220">
        <v>20540</v>
      </c>
      <c r="M1528" s="220">
        <v>16500</v>
      </c>
      <c r="N1528" s="220">
        <f>SUM(I1528:M1529)</f>
        <v>928040</v>
      </c>
      <c r="O1528" s="224"/>
      <c r="P1528" s="110" t="s">
        <v>4873</v>
      </c>
      <c r="Q1528" s="15" t="s">
        <v>19</v>
      </c>
      <c r="R1528" s="205"/>
      <c r="S1528" s="189"/>
      <c r="T1528" s="114"/>
      <c r="U1528" s="21"/>
      <c r="V1528" s="115">
        <v>45990</v>
      </c>
      <c r="W1528" s="116">
        <v>1278</v>
      </c>
      <c r="X1528" s="220">
        <v>870000</v>
      </c>
      <c r="Y1528" s="220">
        <f>X1528*0.1</f>
        <v>87000</v>
      </c>
      <c r="Z1528" s="220">
        <v>20540</v>
      </c>
      <c r="AA1528" s="220">
        <f>SUM(X1528:Z1528)</f>
        <v>977540</v>
      </c>
      <c r="AB1528" s="222">
        <v>45995</v>
      </c>
    </row>
    <row r="1529" spans="1:28" ht="17.100000000000001" customHeight="1" thickBot="1">
      <c r="A1529" s="227"/>
      <c r="B1529" s="27" t="s">
        <v>3367</v>
      </c>
      <c r="C1529" s="27">
        <v>60031</v>
      </c>
      <c r="D1529" s="14" t="s">
        <v>273</v>
      </c>
      <c r="E1529" s="229"/>
      <c r="F1529" s="117" t="s">
        <v>4874</v>
      </c>
      <c r="G1529" s="26">
        <v>66269</v>
      </c>
      <c r="H1529" s="231"/>
      <c r="I1529" s="221"/>
      <c r="J1529" s="221"/>
      <c r="K1529" s="221"/>
      <c r="L1529" s="221"/>
      <c r="M1529" s="221"/>
      <c r="N1529" s="221"/>
      <c r="O1529" s="225"/>
      <c r="P1529" s="118" t="s">
        <v>4875</v>
      </c>
      <c r="Q1529" s="16" t="s">
        <v>20</v>
      </c>
      <c r="R1529" s="17" t="s">
        <v>2071</v>
      </c>
      <c r="S1529" s="121" t="s">
        <v>4876</v>
      </c>
      <c r="T1529" s="122"/>
      <c r="U1529" s="22"/>
      <c r="V1529" s="123" t="s">
        <v>6642</v>
      </c>
      <c r="W1529" s="122">
        <v>80229</v>
      </c>
      <c r="X1529" s="221"/>
      <c r="Y1529" s="221"/>
      <c r="Z1529" s="221"/>
      <c r="AA1529" s="221"/>
      <c r="AB1529" s="223"/>
    </row>
    <row r="1530" spans="1:28" ht="17.100000000000001" customHeight="1" thickTop="1">
      <c r="A1530" s="226" t="s">
        <v>6395</v>
      </c>
      <c r="B1530" s="28">
        <v>45917</v>
      </c>
      <c r="C1530" s="25">
        <v>1805</v>
      </c>
      <c r="D1530" s="13" t="s">
        <v>1837</v>
      </c>
      <c r="E1530" s="228"/>
      <c r="F1530" s="109" t="s">
        <v>3533</v>
      </c>
      <c r="G1530" s="24"/>
      <c r="H1530" s="230">
        <v>4.5</v>
      </c>
      <c r="I1530" s="220">
        <v>689000</v>
      </c>
      <c r="J1530" s="220">
        <f>I1530*0.1</f>
        <v>68900</v>
      </c>
      <c r="K1530" s="220">
        <v>0</v>
      </c>
      <c r="L1530" s="220">
        <v>5340</v>
      </c>
      <c r="M1530" s="220">
        <v>18150</v>
      </c>
      <c r="N1530" s="220">
        <f>SUM(I1530:M1531)</f>
        <v>781390</v>
      </c>
      <c r="O1530" s="224"/>
      <c r="P1530" s="110" t="s">
        <v>4877</v>
      </c>
      <c r="Q1530" s="15" t="s">
        <v>19</v>
      </c>
      <c r="R1530" s="205"/>
      <c r="S1530" s="189" t="s">
        <v>1361</v>
      </c>
      <c r="T1530" s="114"/>
      <c r="U1530" s="21"/>
      <c r="V1530" s="115">
        <v>45941</v>
      </c>
      <c r="W1530" s="116">
        <v>1271</v>
      </c>
      <c r="X1530" s="220">
        <v>775000</v>
      </c>
      <c r="Y1530" s="220">
        <f>X1530*0.1</f>
        <v>77500</v>
      </c>
      <c r="Z1530" s="220">
        <v>5340</v>
      </c>
      <c r="AA1530" s="220">
        <f>SUM(X1530:Z1530)</f>
        <v>857840</v>
      </c>
      <c r="AB1530" s="222">
        <v>45945</v>
      </c>
    </row>
    <row r="1531" spans="1:28" ht="17.100000000000001" customHeight="1" thickBot="1">
      <c r="A1531" s="227"/>
      <c r="B1531" s="27" t="s">
        <v>2519</v>
      </c>
      <c r="C1531" s="27">
        <v>3089</v>
      </c>
      <c r="D1531" s="14" t="s">
        <v>1568</v>
      </c>
      <c r="E1531" s="229"/>
      <c r="F1531" s="117" t="s">
        <v>4878</v>
      </c>
      <c r="G1531" s="26">
        <v>70002</v>
      </c>
      <c r="H1531" s="231"/>
      <c r="I1531" s="221"/>
      <c r="J1531" s="221"/>
      <c r="K1531" s="221"/>
      <c r="L1531" s="221"/>
      <c r="M1531" s="221"/>
      <c r="N1531" s="221"/>
      <c r="O1531" s="225"/>
      <c r="P1531" s="118" t="s">
        <v>4879</v>
      </c>
      <c r="Q1531" s="16" t="s">
        <v>20</v>
      </c>
      <c r="R1531" s="17" t="s">
        <v>4212</v>
      </c>
      <c r="S1531" s="121" t="s">
        <v>4530</v>
      </c>
      <c r="T1531" s="122"/>
      <c r="U1531" s="22"/>
      <c r="V1531" s="123" t="s">
        <v>2472</v>
      </c>
      <c r="W1531" s="122">
        <v>60205</v>
      </c>
      <c r="X1531" s="221"/>
      <c r="Y1531" s="221"/>
      <c r="Z1531" s="221"/>
      <c r="AA1531" s="221"/>
      <c r="AB1531" s="223"/>
    </row>
    <row r="1532" spans="1:28" ht="17.100000000000001" customHeight="1" thickTop="1">
      <c r="A1532" s="226" t="s">
        <v>6396</v>
      </c>
      <c r="B1532" s="28">
        <v>45917</v>
      </c>
      <c r="C1532" s="25">
        <v>1805</v>
      </c>
      <c r="D1532" s="13" t="s">
        <v>1578</v>
      </c>
      <c r="E1532" s="228"/>
      <c r="F1532" s="109" t="s">
        <v>4880</v>
      </c>
      <c r="G1532" s="24"/>
      <c r="H1532" s="230">
        <v>4</v>
      </c>
      <c r="I1532" s="220">
        <v>752000</v>
      </c>
      <c r="J1532" s="220">
        <v>75200</v>
      </c>
      <c r="K1532" s="220">
        <v>0</v>
      </c>
      <c r="L1532" s="220">
        <v>9200</v>
      </c>
      <c r="M1532" s="220">
        <v>18150</v>
      </c>
      <c r="N1532" s="220">
        <f>SUM(I1532:M1533)</f>
        <v>854550</v>
      </c>
      <c r="O1532" s="224"/>
      <c r="P1532" s="110" t="s">
        <v>4881</v>
      </c>
      <c r="Q1532" s="15" t="s">
        <v>19</v>
      </c>
      <c r="R1532" s="205"/>
      <c r="S1532" s="189"/>
      <c r="T1532" s="114"/>
      <c r="U1532" s="21"/>
      <c r="V1532" s="115">
        <v>45941</v>
      </c>
      <c r="W1532" s="116">
        <v>1271</v>
      </c>
      <c r="X1532" s="220">
        <v>815000</v>
      </c>
      <c r="Y1532" s="220">
        <f>X1532*0.1</f>
        <v>81500</v>
      </c>
      <c r="Z1532" s="220">
        <v>9200</v>
      </c>
      <c r="AA1532" s="220">
        <f>SUM(X1532:Z1532)</f>
        <v>905700</v>
      </c>
      <c r="AB1532" s="222">
        <v>45945</v>
      </c>
    </row>
    <row r="1533" spans="1:28" ht="17.100000000000001" customHeight="1" thickBot="1">
      <c r="A1533" s="227"/>
      <c r="B1533" s="27" t="s">
        <v>2519</v>
      </c>
      <c r="C1533" s="27">
        <v>3093</v>
      </c>
      <c r="D1533" s="14" t="s">
        <v>273</v>
      </c>
      <c r="E1533" s="229"/>
      <c r="F1533" s="117" t="s">
        <v>4882</v>
      </c>
      <c r="G1533" s="26">
        <v>72748</v>
      </c>
      <c r="H1533" s="231"/>
      <c r="I1533" s="221"/>
      <c r="J1533" s="221"/>
      <c r="K1533" s="221"/>
      <c r="L1533" s="221"/>
      <c r="M1533" s="221"/>
      <c r="N1533" s="221"/>
      <c r="O1533" s="225"/>
      <c r="P1533" s="118" t="s">
        <v>4883</v>
      </c>
      <c r="Q1533" s="16" t="s">
        <v>20</v>
      </c>
      <c r="R1533" s="17" t="s">
        <v>4491</v>
      </c>
      <c r="S1533" s="121" t="s">
        <v>3977</v>
      </c>
      <c r="T1533" s="122"/>
      <c r="U1533" s="22"/>
      <c r="V1533" s="123" t="s">
        <v>2472</v>
      </c>
      <c r="W1533" s="122">
        <v>60184</v>
      </c>
      <c r="X1533" s="221"/>
      <c r="Y1533" s="221"/>
      <c r="Z1533" s="221"/>
      <c r="AA1533" s="221"/>
      <c r="AB1533" s="223"/>
    </row>
    <row r="1534" spans="1:28" ht="17.100000000000001" customHeight="1" thickTop="1">
      <c r="A1534" s="226" t="s">
        <v>6397</v>
      </c>
      <c r="B1534" s="28">
        <v>45917</v>
      </c>
      <c r="C1534" s="25">
        <v>1805</v>
      </c>
      <c r="D1534" s="13" t="s">
        <v>2564</v>
      </c>
      <c r="E1534" s="228"/>
      <c r="F1534" s="109" t="s">
        <v>4884</v>
      </c>
      <c r="G1534" s="24" t="s">
        <v>4025</v>
      </c>
      <c r="H1534" s="230">
        <v>4</v>
      </c>
      <c r="I1534" s="220">
        <v>1825000</v>
      </c>
      <c r="J1534" s="220">
        <f>I1534*0.1</f>
        <v>182500</v>
      </c>
      <c r="K1534" s="220">
        <f>18000+1800</f>
        <v>19800</v>
      </c>
      <c r="L1534" s="220">
        <v>21240</v>
      </c>
      <c r="M1534" s="220">
        <v>18150</v>
      </c>
      <c r="N1534" s="220">
        <f>SUM(I1534:M1535)</f>
        <v>2066690</v>
      </c>
      <c r="O1534" s="224"/>
      <c r="P1534" s="110" t="s">
        <v>4885</v>
      </c>
      <c r="Q1534" s="15" t="s">
        <v>19</v>
      </c>
      <c r="R1534" s="205"/>
      <c r="S1534" s="189"/>
      <c r="T1534" s="114"/>
      <c r="U1534" s="21"/>
      <c r="V1534" s="115">
        <v>45934</v>
      </c>
      <c r="W1534" s="116">
        <v>1270</v>
      </c>
      <c r="X1534" s="220">
        <v>1960000</v>
      </c>
      <c r="Y1534" s="220">
        <f>X1534*0.1</f>
        <v>196000</v>
      </c>
      <c r="Z1534" s="220">
        <v>21240</v>
      </c>
      <c r="AA1534" s="220">
        <f>SUM(X1534:Z1534)</f>
        <v>2177240</v>
      </c>
      <c r="AB1534" s="222">
        <v>45939</v>
      </c>
    </row>
    <row r="1535" spans="1:28" ht="17.100000000000001" customHeight="1" thickBot="1">
      <c r="A1535" s="227"/>
      <c r="B1535" s="27" t="s">
        <v>2519</v>
      </c>
      <c r="C1535" s="27">
        <v>38058</v>
      </c>
      <c r="D1535" s="14" t="s">
        <v>131</v>
      </c>
      <c r="E1535" s="229"/>
      <c r="F1535" s="117" t="s">
        <v>4886</v>
      </c>
      <c r="G1535" s="26">
        <v>75357</v>
      </c>
      <c r="H1535" s="231"/>
      <c r="I1535" s="221"/>
      <c r="J1535" s="221"/>
      <c r="K1535" s="221"/>
      <c r="L1535" s="221"/>
      <c r="M1535" s="221"/>
      <c r="N1535" s="221"/>
      <c r="O1535" s="225"/>
      <c r="P1535" s="118" t="s">
        <v>3400</v>
      </c>
      <c r="Q1535" s="16" t="s">
        <v>20</v>
      </c>
      <c r="R1535" s="17" t="s">
        <v>4491</v>
      </c>
      <c r="S1535" s="121" t="s">
        <v>4887</v>
      </c>
      <c r="T1535" s="122"/>
      <c r="U1535" s="22"/>
      <c r="V1535" s="123" t="s">
        <v>6641</v>
      </c>
      <c r="W1535" s="122">
        <v>80041</v>
      </c>
      <c r="X1535" s="221"/>
      <c r="Y1535" s="221"/>
      <c r="Z1535" s="221"/>
      <c r="AA1535" s="221"/>
      <c r="AB1535" s="223"/>
    </row>
    <row r="1536" spans="1:28" ht="17.100000000000001" customHeight="1" thickTop="1">
      <c r="A1536" s="226" t="s">
        <v>6398</v>
      </c>
      <c r="B1536" s="28">
        <v>45917</v>
      </c>
      <c r="C1536" s="25">
        <v>1805</v>
      </c>
      <c r="D1536" s="13" t="s">
        <v>1915</v>
      </c>
      <c r="E1536" s="228"/>
      <c r="F1536" s="109" t="s">
        <v>4888</v>
      </c>
      <c r="G1536" s="24"/>
      <c r="H1536" s="230">
        <v>4.5</v>
      </c>
      <c r="I1536" s="220">
        <v>860000</v>
      </c>
      <c r="J1536" s="220">
        <f>I1536*0.1</f>
        <v>86000</v>
      </c>
      <c r="K1536" s="220">
        <v>0</v>
      </c>
      <c r="L1536" s="220">
        <v>12450</v>
      </c>
      <c r="M1536" s="220">
        <v>18150</v>
      </c>
      <c r="N1536" s="220">
        <f>SUM(I1536:M1537)</f>
        <v>976600</v>
      </c>
      <c r="O1536" s="224"/>
      <c r="P1536" s="110" t="s">
        <v>4889</v>
      </c>
      <c r="Q1536" s="15" t="s">
        <v>19</v>
      </c>
      <c r="R1536" s="205"/>
      <c r="S1536" s="189"/>
      <c r="T1536" s="114"/>
      <c r="U1536" s="21"/>
      <c r="V1536" s="115">
        <v>45948</v>
      </c>
      <c r="W1536" s="116">
        <v>1272</v>
      </c>
      <c r="X1536" s="220">
        <v>980000</v>
      </c>
      <c r="Y1536" s="220">
        <f>X1536*0.1</f>
        <v>98000</v>
      </c>
      <c r="Z1536" s="220">
        <v>12450</v>
      </c>
      <c r="AA1536" s="220">
        <f>SUM(X1536:Z1536)</f>
        <v>1090450</v>
      </c>
      <c r="AB1536" s="222">
        <v>45951</v>
      </c>
    </row>
    <row r="1537" spans="1:28" ht="17.100000000000001" customHeight="1" thickBot="1">
      <c r="A1537" s="227"/>
      <c r="B1537" s="27" t="s">
        <v>2519</v>
      </c>
      <c r="C1537" s="27">
        <v>38069</v>
      </c>
      <c r="D1537" s="14" t="s">
        <v>131</v>
      </c>
      <c r="E1537" s="229"/>
      <c r="F1537" s="117" t="s">
        <v>4890</v>
      </c>
      <c r="G1537" s="26">
        <v>41318</v>
      </c>
      <c r="H1537" s="231"/>
      <c r="I1537" s="221"/>
      <c r="J1537" s="221"/>
      <c r="K1537" s="221"/>
      <c r="L1537" s="221"/>
      <c r="M1537" s="221"/>
      <c r="N1537" s="221"/>
      <c r="O1537" s="225"/>
      <c r="P1537" s="118" t="s">
        <v>4891</v>
      </c>
      <c r="Q1537" s="16" t="s">
        <v>20</v>
      </c>
      <c r="R1537" s="17" t="s">
        <v>4491</v>
      </c>
      <c r="S1537" s="121" t="s">
        <v>4892</v>
      </c>
      <c r="T1537" s="122"/>
      <c r="U1537" s="22"/>
      <c r="V1537" s="123" t="s">
        <v>2472</v>
      </c>
      <c r="W1537" s="122">
        <v>80132</v>
      </c>
      <c r="X1537" s="221"/>
      <c r="Y1537" s="221"/>
      <c r="Z1537" s="221"/>
      <c r="AA1537" s="221"/>
      <c r="AB1537" s="223"/>
    </row>
    <row r="1538" spans="1:28" ht="17.100000000000001" customHeight="1" thickTop="1">
      <c r="A1538" s="226" t="s">
        <v>6399</v>
      </c>
      <c r="B1538" s="28">
        <v>45918</v>
      </c>
      <c r="C1538" s="25">
        <v>1950</v>
      </c>
      <c r="D1538" s="13" t="s">
        <v>2964</v>
      </c>
      <c r="E1538" s="228"/>
      <c r="F1538" s="109" t="s">
        <v>4893</v>
      </c>
      <c r="G1538" s="24"/>
      <c r="H1538" s="230">
        <v>4.5</v>
      </c>
      <c r="I1538" s="220">
        <v>985000</v>
      </c>
      <c r="J1538" s="220">
        <f>I1538*0.1</f>
        <v>98500</v>
      </c>
      <c r="K1538" s="220">
        <v>0</v>
      </c>
      <c r="L1538" s="220">
        <v>7440</v>
      </c>
      <c r="M1538" s="220">
        <v>15950</v>
      </c>
      <c r="N1538" s="220">
        <f>SUM(I1538:M1539)</f>
        <v>1106890</v>
      </c>
      <c r="O1538" s="224"/>
      <c r="P1538" s="110" t="s">
        <v>4894</v>
      </c>
      <c r="Q1538" s="15" t="s">
        <v>19</v>
      </c>
      <c r="R1538" s="205"/>
      <c r="S1538" s="189" t="s">
        <v>25461</v>
      </c>
      <c r="T1538" s="114"/>
      <c r="U1538" s="21"/>
      <c r="V1538" s="115">
        <v>45948</v>
      </c>
      <c r="W1538" s="116">
        <v>1272</v>
      </c>
      <c r="X1538" s="220">
        <v>1090000</v>
      </c>
      <c r="Y1538" s="220">
        <f>X1538*0.1</f>
        <v>109000</v>
      </c>
      <c r="Z1538" s="220">
        <v>7440</v>
      </c>
      <c r="AA1538" s="220">
        <f>SUM(X1538:Z1538)</f>
        <v>1206440</v>
      </c>
      <c r="AB1538" s="222">
        <v>45951</v>
      </c>
    </row>
    <row r="1539" spans="1:28" ht="17.100000000000001" customHeight="1" thickBot="1">
      <c r="A1539" s="227"/>
      <c r="B1539" s="27" t="s">
        <v>3730</v>
      </c>
      <c r="C1539" s="27">
        <v>62072</v>
      </c>
      <c r="D1539" s="14" t="s">
        <v>1584</v>
      </c>
      <c r="E1539" s="229"/>
      <c r="F1539" s="117" t="s">
        <v>4896</v>
      </c>
      <c r="G1539" s="26">
        <v>31980</v>
      </c>
      <c r="H1539" s="231"/>
      <c r="I1539" s="221"/>
      <c r="J1539" s="221"/>
      <c r="K1539" s="221"/>
      <c r="L1539" s="221"/>
      <c r="M1539" s="221"/>
      <c r="N1539" s="221"/>
      <c r="O1539" s="225"/>
      <c r="P1539" s="118" t="s">
        <v>4897</v>
      </c>
      <c r="Q1539" s="16" t="s">
        <v>20</v>
      </c>
      <c r="R1539" s="17" t="s">
        <v>4212</v>
      </c>
      <c r="S1539" s="121" t="s">
        <v>4898</v>
      </c>
      <c r="T1539" s="122"/>
      <c r="U1539" s="22"/>
      <c r="V1539" s="123" t="s">
        <v>2472</v>
      </c>
      <c r="W1539" s="122">
        <v>41012</v>
      </c>
      <c r="X1539" s="221"/>
      <c r="Y1539" s="221"/>
      <c r="Z1539" s="221"/>
      <c r="AA1539" s="221"/>
      <c r="AB1539" s="223"/>
    </row>
    <row r="1540" spans="1:28" ht="17.100000000000001" customHeight="1" thickTop="1">
      <c r="A1540" s="226" t="s">
        <v>6400</v>
      </c>
      <c r="B1540" s="28">
        <v>45918</v>
      </c>
      <c r="C1540" s="25">
        <v>1994</v>
      </c>
      <c r="D1540" s="13" t="s">
        <v>1976</v>
      </c>
      <c r="E1540" s="228"/>
      <c r="F1540" s="109" t="s">
        <v>4813</v>
      </c>
      <c r="G1540" s="24" t="s">
        <v>2813</v>
      </c>
      <c r="H1540" s="230">
        <v>4.5</v>
      </c>
      <c r="I1540" s="220">
        <v>1555000</v>
      </c>
      <c r="J1540" s="220">
        <f>I1540*0.1</f>
        <v>155500</v>
      </c>
      <c r="K1540" s="220">
        <v>0</v>
      </c>
      <c r="L1540" s="220">
        <v>7040</v>
      </c>
      <c r="M1540" s="220">
        <v>22000</v>
      </c>
      <c r="N1540" s="220">
        <f>SUM(I1540:M1541)</f>
        <v>1739540</v>
      </c>
      <c r="O1540" s="224"/>
      <c r="P1540" s="110" t="s">
        <v>4899</v>
      </c>
      <c r="Q1540" s="15" t="s">
        <v>19</v>
      </c>
      <c r="R1540" s="205"/>
      <c r="S1540" s="189" t="s">
        <v>1361</v>
      </c>
      <c r="T1540" s="114"/>
      <c r="U1540" s="21" t="s">
        <v>8362</v>
      </c>
      <c r="V1540" s="115">
        <v>45948</v>
      </c>
      <c r="W1540" s="116">
        <v>1272</v>
      </c>
      <c r="X1540" s="220">
        <v>1795000</v>
      </c>
      <c r="Y1540" s="220">
        <f>X1540*0.1</f>
        <v>179500</v>
      </c>
      <c r="Z1540" s="220">
        <v>7040</v>
      </c>
      <c r="AA1540" s="220">
        <f>SUM(X1540:Z1540)</f>
        <v>1981540</v>
      </c>
      <c r="AB1540" s="222">
        <v>45952</v>
      </c>
    </row>
    <row r="1541" spans="1:28" ht="17.100000000000001" customHeight="1" thickBot="1">
      <c r="A1541" s="227"/>
      <c r="B1541" s="27" t="s">
        <v>2171</v>
      </c>
      <c r="C1541" s="27">
        <v>50048</v>
      </c>
      <c r="D1541" s="14" t="s">
        <v>273</v>
      </c>
      <c r="E1541" s="229"/>
      <c r="F1541" s="117" t="s">
        <v>4900</v>
      </c>
      <c r="G1541" s="26">
        <v>11015</v>
      </c>
      <c r="H1541" s="231"/>
      <c r="I1541" s="221"/>
      <c r="J1541" s="221"/>
      <c r="K1541" s="221"/>
      <c r="L1541" s="221"/>
      <c r="M1541" s="221"/>
      <c r="N1541" s="221"/>
      <c r="O1541" s="225"/>
      <c r="P1541" s="118" t="s">
        <v>2287</v>
      </c>
      <c r="Q1541" s="16" t="s">
        <v>20</v>
      </c>
      <c r="R1541" s="17" t="s">
        <v>4212</v>
      </c>
      <c r="S1541" s="121" t="s">
        <v>1731</v>
      </c>
      <c r="T1541" s="122"/>
      <c r="U1541" s="22"/>
      <c r="V1541" s="123" t="s">
        <v>2472</v>
      </c>
      <c r="W1541" s="122">
        <v>60454</v>
      </c>
      <c r="X1541" s="221"/>
      <c r="Y1541" s="221"/>
      <c r="Z1541" s="221"/>
      <c r="AA1541" s="221"/>
      <c r="AB1541" s="223"/>
    </row>
    <row r="1542" spans="1:28" ht="17.100000000000001" customHeight="1" thickTop="1">
      <c r="A1542" s="226" t="s">
        <v>6401</v>
      </c>
      <c r="B1542" s="28">
        <v>45918</v>
      </c>
      <c r="C1542" s="25">
        <v>1994</v>
      </c>
      <c r="D1542" s="13" t="s">
        <v>2267</v>
      </c>
      <c r="E1542" s="228"/>
      <c r="F1542" s="109" t="s">
        <v>4901</v>
      </c>
      <c r="G1542" s="24" t="s">
        <v>2530</v>
      </c>
      <c r="H1542" s="230">
        <v>3.5</v>
      </c>
      <c r="I1542" s="220">
        <v>802000</v>
      </c>
      <c r="J1542" s="220">
        <f>I1542*0.1</f>
        <v>80200</v>
      </c>
      <c r="K1542" s="220">
        <v>0</v>
      </c>
      <c r="L1542" s="220">
        <v>9310</v>
      </c>
      <c r="M1542" s="220">
        <v>22000</v>
      </c>
      <c r="N1542" s="220">
        <f>SUM(I1542:M1543)</f>
        <v>913510</v>
      </c>
      <c r="O1542" s="224"/>
      <c r="P1542" s="110" t="s">
        <v>4902</v>
      </c>
      <c r="Q1542" s="15" t="s">
        <v>19</v>
      </c>
      <c r="R1542" s="205"/>
      <c r="S1542" s="189" t="s">
        <v>1271</v>
      </c>
      <c r="T1542" s="114"/>
      <c r="U1542" s="21"/>
      <c r="V1542" s="115">
        <v>46050</v>
      </c>
      <c r="W1542" s="116">
        <v>1002</v>
      </c>
      <c r="X1542" s="220">
        <v>750000</v>
      </c>
      <c r="Y1542" s="220">
        <f>X1542*0.1</f>
        <v>75000</v>
      </c>
      <c r="Z1542" s="220">
        <v>9310</v>
      </c>
      <c r="AA1542" s="220">
        <f>SUM(X1542:Z1542)</f>
        <v>834310</v>
      </c>
      <c r="AB1542" s="222">
        <v>46055</v>
      </c>
    </row>
    <row r="1543" spans="1:28" ht="17.100000000000001" customHeight="1" thickBot="1">
      <c r="A1543" s="227"/>
      <c r="B1543" s="27" t="s">
        <v>2171</v>
      </c>
      <c r="C1543" s="27">
        <v>50149</v>
      </c>
      <c r="D1543" s="14" t="s">
        <v>2014</v>
      </c>
      <c r="E1543" s="229"/>
      <c r="F1543" s="117" t="s">
        <v>4903</v>
      </c>
      <c r="G1543" s="26">
        <v>61909</v>
      </c>
      <c r="H1543" s="231"/>
      <c r="I1543" s="221"/>
      <c r="J1543" s="221"/>
      <c r="K1543" s="221"/>
      <c r="L1543" s="221"/>
      <c r="M1543" s="221"/>
      <c r="N1543" s="221"/>
      <c r="O1543" s="225"/>
      <c r="P1543" s="118" t="s">
        <v>4904</v>
      </c>
      <c r="Q1543" s="16" t="s">
        <v>20</v>
      </c>
      <c r="R1543" s="17" t="s">
        <v>4212</v>
      </c>
      <c r="S1543" s="121" t="s">
        <v>4905</v>
      </c>
      <c r="T1543" s="122"/>
      <c r="U1543" s="22"/>
      <c r="V1543" s="123" t="s">
        <v>2747</v>
      </c>
      <c r="W1543" s="122">
        <v>2048</v>
      </c>
      <c r="X1543" s="221"/>
      <c r="Y1543" s="221"/>
      <c r="Z1543" s="221"/>
      <c r="AA1543" s="221"/>
      <c r="AB1543" s="223"/>
    </row>
    <row r="1544" spans="1:28" ht="17.100000000000001" customHeight="1" thickTop="1">
      <c r="A1544" s="226" t="s">
        <v>6402</v>
      </c>
      <c r="B1544" s="28">
        <v>45918</v>
      </c>
      <c r="C1544" s="25">
        <v>1533</v>
      </c>
      <c r="D1544" s="13" t="s">
        <v>4050</v>
      </c>
      <c r="E1544" s="228"/>
      <c r="F1544" s="109" t="s">
        <v>4906</v>
      </c>
      <c r="G1544" s="24" t="s">
        <v>3345</v>
      </c>
      <c r="H1544" s="230">
        <v>5</v>
      </c>
      <c r="I1544" s="220">
        <v>2700000</v>
      </c>
      <c r="J1544" s="220">
        <f>I1544*0.1</f>
        <v>270000</v>
      </c>
      <c r="K1544" s="220">
        <f>17200+1720</f>
        <v>18920</v>
      </c>
      <c r="L1544" s="220">
        <v>11740</v>
      </c>
      <c r="M1544" s="220">
        <v>16500</v>
      </c>
      <c r="N1544" s="220">
        <f>SUM(I1544:M1545)</f>
        <v>3017160</v>
      </c>
      <c r="O1544" s="224"/>
      <c r="P1544" s="110" t="s">
        <v>4907</v>
      </c>
      <c r="Q1544" s="15" t="s">
        <v>19</v>
      </c>
      <c r="R1544" s="205"/>
      <c r="S1544" s="189" t="s">
        <v>1271</v>
      </c>
      <c r="T1544" s="114"/>
      <c r="U1544" s="21"/>
      <c r="V1544" s="115"/>
      <c r="W1544" s="116"/>
      <c r="X1544" s="220"/>
      <c r="Y1544" s="220">
        <f>X1544*0.1</f>
        <v>0</v>
      </c>
      <c r="Z1544" s="220"/>
      <c r="AA1544" s="220">
        <f>SUM(X1544:Z1544)</f>
        <v>0</v>
      </c>
      <c r="AB1544" s="222"/>
    </row>
    <row r="1545" spans="1:28" ht="17.100000000000001" customHeight="1" thickBot="1">
      <c r="A1545" s="227"/>
      <c r="B1545" s="27" t="s">
        <v>1592</v>
      </c>
      <c r="C1545" s="27">
        <v>70323</v>
      </c>
      <c r="D1545" s="14" t="s">
        <v>131</v>
      </c>
      <c r="E1545" s="229"/>
      <c r="F1545" s="117" t="s">
        <v>4908</v>
      </c>
      <c r="G1545" s="26">
        <v>12828</v>
      </c>
      <c r="H1545" s="231"/>
      <c r="I1545" s="221"/>
      <c r="J1545" s="221"/>
      <c r="K1545" s="221"/>
      <c r="L1545" s="221"/>
      <c r="M1545" s="221"/>
      <c r="N1545" s="221"/>
      <c r="O1545" s="225"/>
      <c r="P1545" s="118" t="s">
        <v>4909</v>
      </c>
      <c r="Q1545" s="16" t="s">
        <v>20</v>
      </c>
      <c r="R1545" s="17" t="s">
        <v>4212</v>
      </c>
      <c r="S1545" s="121" t="s">
        <v>1625</v>
      </c>
      <c r="T1545" s="122"/>
      <c r="U1545" s="22" t="s">
        <v>3427</v>
      </c>
      <c r="V1545" s="123"/>
      <c r="W1545" s="122"/>
      <c r="X1545" s="221"/>
      <c r="Y1545" s="221"/>
      <c r="Z1545" s="221"/>
      <c r="AA1545" s="221"/>
      <c r="AB1545" s="223"/>
    </row>
    <row r="1546" spans="1:28" ht="17.100000000000001" customHeight="1" thickTop="1">
      <c r="A1546" s="226" t="s">
        <v>6403</v>
      </c>
      <c r="B1546" s="28">
        <v>45918</v>
      </c>
      <c r="C1546" s="25">
        <v>1298</v>
      </c>
      <c r="D1546" s="13" t="s">
        <v>2637</v>
      </c>
      <c r="E1546" s="228"/>
      <c r="F1546" s="109" t="s">
        <v>4910</v>
      </c>
      <c r="G1546" s="24" t="s">
        <v>2038</v>
      </c>
      <c r="H1546" s="230">
        <v>4.5</v>
      </c>
      <c r="I1546" s="220">
        <v>1910000</v>
      </c>
      <c r="J1546" s="220">
        <f>I1546*0.1</f>
        <v>191000</v>
      </c>
      <c r="K1546" s="220">
        <f>21700+2170</f>
        <v>23870</v>
      </c>
      <c r="L1546" s="220">
        <v>17060</v>
      </c>
      <c r="M1546" s="220">
        <v>16500</v>
      </c>
      <c r="N1546" s="220">
        <f>SUM(I1546:M1547)</f>
        <v>2158430</v>
      </c>
      <c r="O1546" s="224"/>
      <c r="P1546" s="110" t="s">
        <v>4911</v>
      </c>
      <c r="Q1546" s="15" t="s">
        <v>19</v>
      </c>
      <c r="R1546" s="205"/>
      <c r="S1546" s="189" t="s">
        <v>25367</v>
      </c>
      <c r="T1546" s="114"/>
      <c r="U1546" s="21"/>
      <c r="V1546" s="115">
        <v>45955</v>
      </c>
      <c r="W1546" s="116">
        <v>1273</v>
      </c>
      <c r="X1546" s="220">
        <v>1980000</v>
      </c>
      <c r="Y1546" s="220">
        <f>X1546*0.1</f>
        <v>198000</v>
      </c>
      <c r="Z1546" s="220">
        <v>17060</v>
      </c>
      <c r="AA1546" s="220">
        <f>SUM(X1546:Z1546)</f>
        <v>2195060</v>
      </c>
      <c r="AB1546" s="222">
        <v>45965</v>
      </c>
    </row>
    <row r="1547" spans="1:28" ht="17.100000000000001" customHeight="1" thickBot="1">
      <c r="A1547" s="227"/>
      <c r="B1547" s="27" t="s">
        <v>1735</v>
      </c>
      <c r="C1547" s="27">
        <v>27</v>
      </c>
      <c r="D1547" s="14" t="s">
        <v>898</v>
      </c>
      <c r="E1547" s="229"/>
      <c r="F1547" s="117" t="s">
        <v>4912</v>
      </c>
      <c r="G1547" s="26">
        <v>39193</v>
      </c>
      <c r="H1547" s="231"/>
      <c r="I1547" s="221"/>
      <c r="J1547" s="221"/>
      <c r="K1547" s="221"/>
      <c r="L1547" s="221"/>
      <c r="M1547" s="221"/>
      <c r="N1547" s="221"/>
      <c r="O1547" s="225"/>
      <c r="P1547" s="118" t="s">
        <v>4913</v>
      </c>
      <c r="Q1547" s="16" t="s">
        <v>20</v>
      </c>
      <c r="R1547" s="17" t="s">
        <v>4914</v>
      </c>
      <c r="S1547" s="121" t="s">
        <v>1606</v>
      </c>
      <c r="T1547" s="122"/>
      <c r="U1547" s="22" t="s">
        <v>3427</v>
      </c>
      <c r="V1547" s="123" t="s">
        <v>6641</v>
      </c>
      <c r="W1547" s="122">
        <v>80027</v>
      </c>
      <c r="X1547" s="221"/>
      <c r="Y1547" s="221"/>
      <c r="Z1547" s="221"/>
      <c r="AA1547" s="221"/>
      <c r="AB1547" s="223"/>
    </row>
    <row r="1548" spans="1:28" ht="17.100000000000001" customHeight="1" thickTop="1">
      <c r="A1548" s="226" t="s">
        <v>6404</v>
      </c>
      <c r="B1548" s="28">
        <v>45918</v>
      </c>
      <c r="C1548" s="25">
        <v>1298</v>
      </c>
      <c r="D1548" s="13" t="s">
        <v>2324</v>
      </c>
      <c r="E1548" s="228"/>
      <c r="F1548" s="109" t="s">
        <v>4915</v>
      </c>
      <c r="G1548" s="24"/>
      <c r="H1548" s="230">
        <v>4</v>
      </c>
      <c r="I1548" s="220">
        <v>1505000</v>
      </c>
      <c r="J1548" s="220">
        <f>I1548*0.1</f>
        <v>150500</v>
      </c>
      <c r="K1548" s="220">
        <v>0</v>
      </c>
      <c r="L1548" s="220">
        <v>15180</v>
      </c>
      <c r="M1548" s="220">
        <v>16500</v>
      </c>
      <c r="N1548" s="220">
        <f>SUM(I1548:M1549)</f>
        <v>1687180</v>
      </c>
      <c r="O1548" s="224"/>
      <c r="P1548" s="110" t="s">
        <v>4916</v>
      </c>
      <c r="Q1548" s="15" t="s">
        <v>19</v>
      </c>
      <c r="R1548" s="205"/>
      <c r="S1548" s="189" t="s">
        <v>1306</v>
      </c>
      <c r="T1548" s="114"/>
      <c r="U1548" s="21"/>
      <c r="V1548" s="115">
        <v>45948</v>
      </c>
      <c r="W1548" s="116">
        <v>1272</v>
      </c>
      <c r="X1548" s="220">
        <v>1610000</v>
      </c>
      <c r="Y1548" s="220">
        <f>X1548*0.1</f>
        <v>161000</v>
      </c>
      <c r="Z1548" s="220">
        <v>15180</v>
      </c>
      <c r="AA1548" s="220">
        <f>SUM(X1548:Z1548)</f>
        <v>1786180</v>
      </c>
      <c r="AB1548" s="222">
        <v>45951</v>
      </c>
    </row>
    <row r="1549" spans="1:28" ht="17.100000000000001" customHeight="1" thickBot="1">
      <c r="A1549" s="227"/>
      <c r="B1549" s="27" t="s">
        <v>1735</v>
      </c>
      <c r="C1549" s="27">
        <v>351</v>
      </c>
      <c r="D1549" s="14" t="s">
        <v>1568</v>
      </c>
      <c r="E1549" s="229"/>
      <c r="F1549" s="117" t="s">
        <v>4917</v>
      </c>
      <c r="G1549" s="26">
        <v>50584</v>
      </c>
      <c r="H1549" s="231"/>
      <c r="I1549" s="221"/>
      <c r="J1549" s="221"/>
      <c r="K1549" s="221"/>
      <c r="L1549" s="221"/>
      <c r="M1549" s="221"/>
      <c r="N1549" s="221"/>
      <c r="O1549" s="225"/>
      <c r="P1549" s="118" t="s">
        <v>4918</v>
      </c>
      <c r="Q1549" s="16" t="s">
        <v>20</v>
      </c>
      <c r="R1549" s="17" t="s">
        <v>2120</v>
      </c>
      <c r="S1549" s="121" t="s">
        <v>1606</v>
      </c>
      <c r="T1549" s="122"/>
      <c r="U1549" s="22"/>
      <c r="V1549" s="123" t="s">
        <v>2472</v>
      </c>
      <c r="W1549" s="122">
        <v>80012</v>
      </c>
      <c r="X1549" s="221"/>
      <c r="Y1549" s="221"/>
      <c r="Z1549" s="221"/>
      <c r="AA1549" s="221"/>
      <c r="AB1549" s="223"/>
    </row>
    <row r="1550" spans="1:28" ht="17.100000000000001" customHeight="1" thickTop="1">
      <c r="A1550" s="226" t="s">
        <v>6405</v>
      </c>
      <c r="B1550" s="28">
        <v>45918</v>
      </c>
      <c r="C1550" s="25">
        <v>1298</v>
      </c>
      <c r="D1550" s="13" t="s">
        <v>2564</v>
      </c>
      <c r="E1550" s="228"/>
      <c r="F1550" s="109" t="s">
        <v>4919</v>
      </c>
      <c r="G1550" s="24" t="s">
        <v>4025</v>
      </c>
      <c r="H1550" s="230">
        <v>4.5</v>
      </c>
      <c r="I1550" s="220">
        <v>1765000</v>
      </c>
      <c r="J1550" s="220">
        <f>I1550*0.1</f>
        <v>176500</v>
      </c>
      <c r="K1550" s="220">
        <f>15200+1520</f>
        <v>16720</v>
      </c>
      <c r="L1550" s="220">
        <v>20980</v>
      </c>
      <c r="M1550" s="220">
        <v>16500</v>
      </c>
      <c r="N1550" s="220">
        <f>SUM(I1550:M1551)</f>
        <v>1995700</v>
      </c>
      <c r="O1550" s="224"/>
      <c r="P1550" s="110" t="s">
        <v>4920</v>
      </c>
      <c r="Q1550" s="15" t="s">
        <v>19</v>
      </c>
      <c r="R1550" s="205"/>
      <c r="S1550" s="189" t="s">
        <v>25405</v>
      </c>
      <c r="T1550" s="114"/>
      <c r="U1550" s="21"/>
      <c r="V1550" s="115">
        <v>45931</v>
      </c>
      <c r="W1550" s="116">
        <v>986</v>
      </c>
      <c r="X1550" s="220">
        <v>1870000</v>
      </c>
      <c r="Y1550" s="220">
        <f>X1550*0.1</f>
        <v>187000</v>
      </c>
      <c r="Z1550" s="220">
        <v>20980</v>
      </c>
      <c r="AA1550" s="220">
        <f>SUM(X1550:Z1550)</f>
        <v>2077980</v>
      </c>
      <c r="AB1550" s="222">
        <v>45937</v>
      </c>
    </row>
    <row r="1551" spans="1:28" ht="17.100000000000001" customHeight="1" thickBot="1">
      <c r="A1551" s="227"/>
      <c r="B1551" s="27" t="s">
        <v>1735</v>
      </c>
      <c r="C1551" s="27">
        <v>513</v>
      </c>
      <c r="D1551" s="14" t="s">
        <v>1710</v>
      </c>
      <c r="E1551" s="229"/>
      <c r="F1551" s="117" t="s">
        <v>4921</v>
      </c>
      <c r="G1551" s="26">
        <v>55359</v>
      </c>
      <c r="H1551" s="231"/>
      <c r="I1551" s="221"/>
      <c r="J1551" s="221"/>
      <c r="K1551" s="221"/>
      <c r="L1551" s="221"/>
      <c r="M1551" s="221"/>
      <c r="N1551" s="221"/>
      <c r="O1551" s="225"/>
      <c r="P1551" s="118" t="s">
        <v>4922</v>
      </c>
      <c r="Q1551" s="16" t="s">
        <v>20</v>
      </c>
      <c r="R1551" s="17" t="s">
        <v>2071</v>
      </c>
      <c r="S1551" s="121" t="s">
        <v>1731</v>
      </c>
      <c r="T1551" s="122"/>
      <c r="U1551" s="22"/>
      <c r="V1551" s="123" t="s">
        <v>2747</v>
      </c>
      <c r="W1551" s="122">
        <v>6019</v>
      </c>
      <c r="X1551" s="221"/>
      <c r="Y1551" s="221"/>
      <c r="Z1551" s="221"/>
      <c r="AA1551" s="221"/>
      <c r="AB1551" s="223"/>
    </row>
    <row r="1552" spans="1:28" ht="17.100000000000001" customHeight="1" thickTop="1">
      <c r="A1552" s="226" t="s">
        <v>6406</v>
      </c>
      <c r="B1552" s="28">
        <v>45918</v>
      </c>
      <c r="C1552" s="25">
        <v>2126</v>
      </c>
      <c r="D1552" s="13" t="s">
        <v>1615</v>
      </c>
      <c r="E1552" s="228"/>
      <c r="F1552" s="109" t="s">
        <v>4923</v>
      </c>
      <c r="G1552" s="24"/>
      <c r="H1552" s="230">
        <v>4</v>
      </c>
      <c r="I1552" s="220">
        <v>405000</v>
      </c>
      <c r="J1552" s="220">
        <f>I1552*0.1</f>
        <v>40500</v>
      </c>
      <c r="K1552" s="220">
        <v>0</v>
      </c>
      <c r="L1552" s="220">
        <v>9130</v>
      </c>
      <c r="M1552" s="220">
        <v>13750</v>
      </c>
      <c r="N1552" s="220">
        <f>SUM(I1552:M1553)</f>
        <v>468380</v>
      </c>
      <c r="O1552" s="224"/>
      <c r="P1552" s="110" t="s">
        <v>4924</v>
      </c>
      <c r="Q1552" s="15" t="s">
        <v>19</v>
      </c>
      <c r="R1552" s="205"/>
      <c r="S1552" s="189" t="s">
        <v>25462</v>
      </c>
      <c r="T1552" s="114"/>
      <c r="U1552" s="21"/>
      <c r="V1552" s="115">
        <v>45948</v>
      </c>
      <c r="W1552" s="116">
        <v>1272</v>
      </c>
      <c r="X1552" s="220">
        <v>480000</v>
      </c>
      <c r="Y1552" s="220">
        <f>X1552*0.1</f>
        <v>48000</v>
      </c>
      <c r="Z1552" s="220">
        <v>9130</v>
      </c>
      <c r="AA1552" s="220">
        <f>SUM(X1552:Z1552)</f>
        <v>537130</v>
      </c>
      <c r="AB1552" s="222">
        <v>45958</v>
      </c>
    </row>
    <row r="1553" spans="1:28" ht="17.100000000000001" customHeight="1" thickBot="1">
      <c r="A1553" s="227"/>
      <c r="B1553" s="27" t="s">
        <v>3228</v>
      </c>
      <c r="C1553" s="27">
        <v>56</v>
      </c>
      <c r="D1553" s="14" t="s">
        <v>1568</v>
      </c>
      <c r="E1553" s="229"/>
      <c r="F1553" s="117" t="s">
        <v>4925</v>
      </c>
      <c r="G1553" s="26">
        <v>43352</v>
      </c>
      <c r="H1553" s="231"/>
      <c r="I1553" s="221"/>
      <c r="J1553" s="221"/>
      <c r="K1553" s="221"/>
      <c r="L1553" s="221"/>
      <c r="M1553" s="221"/>
      <c r="N1553" s="221"/>
      <c r="O1553" s="225"/>
      <c r="P1553" s="118" t="s">
        <v>4926</v>
      </c>
      <c r="Q1553" s="16" t="s">
        <v>20</v>
      </c>
      <c r="R1553" s="17" t="s">
        <v>4212</v>
      </c>
      <c r="S1553" s="121" t="s">
        <v>4927</v>
      </c>
      <c r="T1553" s="122"/>
      <c r="U1553" s="22"/>
      <c r="V1553" s="123" t="s">
        <v>6641</v>
      </c>
      <c r="W1553" s="122">
        <v>55026</v>
      </c>
      <c r="X1553" s="221"/>
      <c r="Y1553" s="221"/>
      <c r="Z1553" s="221"/>
      <c r="AA1553" s="221"/>
      <c r="AB1553" s="223"/>
    </row>
    <row r="1554" spans="1:28" ht="17.100000000000001" customHeight="1" thickTop="1">
      <c r="A1554" s="226" t="s">
        <v>6407</v>
      </c>
      <c r="B1554" s="28">
        <v>45918</v>
      </c>
      <c r="C1554" s="25">
        <v>2126</v>
      </c>
      <c r="D1554" s="13" t="s">
        <v>2288</v>
      </c>
      <c r="E1554" s="228"/>
      <c r="F1554" s="109" t="s">
        <v>4928</v>
      </c>
      <c r="G1554" s="24" t="s">
        <v>4315</v>
      </c>
      <c r="H1554" s="230">
        <v>4.5</v>
      </c>
      <c r="I1554" s="220">
        <v>557000</v>
      </c>
      <c r="J1554" s="220">
        <f>I1554*0.1</f>
        <v>55700</v>
      </c>
      <c r="K1554" s="220">
        <v>0</v>
      </c>
      <c r="L1554" s="220">
        <v>9670</v>
      </c>
      <c r="M1554" s="220">
        <v>13750</v>
      </c>
      <c r="N1554" s="220">
        <f>SUM(I1554:M1555)</f>
        <v>636120</v>
      </c>
      <c r="O1554" s="224"/>
      <c r="P1554" s="110" t="s">
        <v>4929</v>
      </c>
      <c r="Q1554" s="15" t="s">
        <v>19</v>
      </c>
      <c r="R1554" s="205"/>
      <c r="S1554" s="189"/>
      <c r="T1554" s="114"/>
      <c r="U1554" s="21" t="s">
        <v>7227</v>
      </c>
      <c r="V1554" s="115">
        <v>45934</v>
      </c>
      <c r="W1554" s="116">
        <v>1270</v>
      </c>
      <c r="X1554" s="220">
        <v>610000</v>
      </c>
      <c r="Y1554" s="220">
        <f>X1554*0.1</f>
        <v>61000</v>
      </c>
      <c r="Z1554" s="220">
        <v>9670</v>
      </c>
      <c r="AA1554" s="220">
        <f>SUM(X1554:Z1554)</f>
        <v>680670</v>
      </c>
      <c r="AB1554" s="222">
        <v>45939</v>
      </c>
    </row>
    <row r="1555" spans="1:28" ht="17.100000000000001" customHeight="1" thickBot="1">
      <c r="A1555" s="227"/>
      <c r="B1555" s="27" t="s">
        <v>3228</v>
      </c>
      <c r="C1555" s="27">
        <v>2034</v>
      </c>
      <c r="D1555" s="14" t="s">
        <v>1710</v>
      </c>
      <c r="E1555" s="229"/>
      <c r="F1555" s="117" t="s">
        <v>4930</v>
      </c>
      <c r="G1555" s="26">
        <v>42891</v>
      </c>
      <c r="H1555" s="231"/>
      <c r="I1555" s="221"/>
      <c r="J1555" s="221"/>
      <c r="K1555" s="221"/>
      <c r="L1555" s="221"/>
      <c r="M1555" s="221"/>
      <c r="N1555" s="221"/>
      <c r="O1555" s="225"/>
      <c r="P1555" s="118" t="s">
        <v>4931</v>
      </c>
      <c r="Q1555" s="16" t="s">
        <v>20</v>
      </c>
      <c r="R1555" s="17" t="s">
        <v>4212</v>
      </c>
      <c r="S1555" s="121" t="s">
        <v>6737</v>
      </c>
      <c r="T1555" s="122"/>
      <c r="U1555" s="22"/>
      <c r="V1555" s="123" t="s">
        <v>7160</v>
      </c>
      <c r="W1555" s="122">
        <v>60461</v>
      </c>
      <c r="X1555" s="221"/>
      <c r="Y1555" s="221"/>
      <c r="Z1555" s="221"/>
      <c r="AA1555" s="221"/>
      <c r="AB1555" s="223"/>
    </row>
    <row r="1556" spans="1:28" ht="17.100000000000001" customHeight="1" thickTop="1">
      <c r="A1556" s="226" t="s">
        <v>6408</v>
      </c>
      <c r="B1556" s="28">
        <v>45918</v>
      </c>
      <c r="C1556" s="25">
        <v>2126</v>
      </c>
      <c r="D1556" s="13" t="s">
        <v>2264</v>
      </c>
      <c r="E1556" s="228"/>
      <c r="F1556" s="109" t="s">
        <v>4932</v>
      </c>
      <c r="G1556" s="24" t="s">
        <v>2810</v>
      </c>
      <c r="H1556" s="230">
        <v>4.5</v>
      </c>
      <c r="I1556" s="220">
        <v>1001000</v>
      </c>
      <c r="J1556" s="220">
        <f>I1556*0.1</f>
        <v>100100</v>
      </c>
      <c r="K1556" s="220">
        <v>0</v>
      </c>
      <c r="L1556" s="220">
        <v>6830</v>
      </c>
      <c r="M1556" s="220">
        <v>13750</v>
      </c>
      <c r="N1556" s="220">
        <f>SUM(I1556:M1557)</f>
        <v>1121680</v>
      </c>
      <c r="O1556" s="224"/>
      <c r="P1556" s="110" t="s">
        <v>4933</v>
      </c>
      <c r="Q1556" s="15" t="s">
        <v>19</v>
      </c>
      <c r="R1556" s="205"/>
      <c r="S1556" s="189" t="s">
        <v>758</v>
      </c>
      <c r="T1556" s="114"/>
      <c r="U1556" s="21"/>
      <c r="V1556" s="115">
        <v>45944</v>
      </c>
      <c r="W1556" s="116">
        <v>1913</v>
      </c>
      <c r="X1556" s="220">
        <v>1001000</v>
      </c>
      <c r="Y1556" s="220">
        <f>X1556*0.1</f>
        <v>100100</v>
      </c>
      <c r="Z1556" s="220">
        <v>6830</v>
      </c>
      <c r="AA1556" s="220">
        <f>SUM(X1556:Z1556)</f>
        <v>1107930</v>
      </c>
      <c r="AB1556" s="222">
        <v>45950</v>
      </c>
    </row>
    <row r="1557" spans="1:28" ht="17.100000000000001" customHeight="1" thickBot="1">
      <c r="A1557" s="227"/>
      <c r="B1557" s="27" t="s">
        <v>3228</v>
      </c>
      <c r="C1557" s="27">
        <v>2096</v>
      </c>
      <c r="D1557" s="14" t="s">
        <v>3792</v>
      </c>
      <c r="E1557" s="229"/>
      <c r="F1557" s="117" t="s">
        <v>4934</v>
      </c>
      <c r="G1557" s="26">
        <v>46080</v>
      </c>
      <c r="H1557" s="231"/>
      <c r="I1557" s="221"/>
      <c r="J1557" s="221"/>
      <c r="K1557" s="221"/>
      <c r="L1557" s="221"/>
      <c r="M1557" s="221"/>
      <c r="N1557" s="221"/>
      <c r="O1557" s="225"/>
      <c r="P1557" s="118" t="s">
        <v>4935</v>
      </c>
      <c r="Q1557" s="16" t="s">
        <v>20</v>
      </c>
      <c r="R1557" s="17" t="s">
        <v>4212</v>
      </c>
      <c r="S1557" s="121" t="s">
        <v>2360</v>
      </c>
      <c r="T1557" s="122"/>
      <c r="U1557" s="22"/>
      <c r="V1557" s="123" t="s">
        <v>2103</v>
      </c>
      <c r="W1557" s="122">
        <v>3159</v>
      </c>
      <c r="X1557" s="221"/>
      <c r="Y1557" s="221"/>
      <c r="Z1557" s="221"/>
      <c r="AA1557" s="221"/>
      <c r="AB1557" s="223"/>
    </row>
    <row r="1558" spans="1:28" ht="17.100000000000001" customHeight="1" thickTop="1">
      <c r="A1558" s="226" t="s">
        <v>6409</v>
      </c>
      <c r="B1558" s="28">
        <v>45918</v>
      </c>
      <c r="C1558" s="25">
        <v>2126</v>
      </c>
      <c r="D1558" s="13" t="s">
        <v>1702</v>
      </c>
      <c r="E1558" s="228"/>
      <c r="F1558" s="109" t="s">
        <v>4936</v>
      </c>
      <c r="G1558" s="24"/>
      <c r="H1558" s="230">
        <v>4</v>
      </c>
      <c r="I1558" s="220">
        <v>642000</v>
      </c>
      <c r="J1558" s="220">
        <f>I1558*0.1</f>
        <v>64200</v>
      </c>
      <c r="K1558" s="220">
        <v>0</v>
      </c>
      <c r="L1558" s="220">
        <v>9790</v>
      </c>
      <c r="M1558" s="220">
        <v>13750</v>
      </c>
      <c r="N1558" s="220">
        <f>SUM(I1558:M1559)</f>
        <v>729740</v>
      </c>
      <c r="O1558" s="224"/>
      <c r="P1558" s="110" t="s">
        <v>4937</v>
      </c>
      <c r="Q1558" s="15" t="s">
        <v>19</v>
      </c>
      <c r="R1558" s="205"/>
      <c r="S1558" s="189"/>
      <c r="T1558" s="114"/>
      <c r="U1558" s="21"/>
      <c r="V1558" s="115">
        <v>45983</v>
      </c>
      <c r="W1558" s="116">
        <v>1277</v>
      </c>
      <c r="X1558" s="220">
        <v>695000</v>
      </c>
      <c r="Y1558" s="220">
        <f>X1558*0.1</f>
        <v>69500</v>
      </c>
      <c r="Z1558" s="220">
        <v>9790</v>
      </c>
      <c r="AA1558" s="220">
        <f>SUM(X1558:Z1558)</f>
        <v>774290</v>
      </c>
      <c r="AB1558" s="222">
        <v>45987</v>
      </c>
    </row>
    <row r="1559" spans="1:28" ht="17.100000000000001" customHeight="1" thickBot="1">
      <c r="A1559" s="227"/>
      <c r="B1559" s="27" t="s">
        <v>3228</v>
      </c>
      <c r="C1559" s="27">
        <v>2517</v>
      </c>
      <c r="D1559" s="14" t="s">
        <v>273</v>
      </c>
      <c r="E1559" s="229"/>
      <c r="F1559" s="117" t="s">
        <v>4938</v>
      </c>
      <c r="G1559" s="26">
        <v>61460</v>
      </c>
      <c r="H1559" s="231"/>
      <c r="I1559" s="221"/>
      <c r="J1559" s="221"/>
      <c r="K1559" s="221"/>
      <c r="L1559" s="221"/>
      <c r="M1559" s="221"/>
      <c r="N1559" s="221"/>
      <c r="O1559" s="225"/>
      <c r="P1559" s="118" t="s">
        <v>2404</v>
      </c>
      <c r="Q1559" s="16" t="s">
        <v>20</v>
      </c>
      <c r="R1559" s="17" t="s">
        <v>4212</v>
      </c>
      <c r="S1559" s="121" t="s">
        <v>169</v>
      </c>
      <c r="T1559" s="122"/>
      <c r="U1559" s="22"/>
      <c r="V1559" s="123" t="s">
        <v>2472</v>
      </c>
      <c r="W1559" s="122">
        <v>60123</v>
      </c>
      <c r="X1559" s="221"/>
      <c r="Y1559" s="221"/>
      <c r="Z1559" s="221"/>
      <c r="AA1559" s="221"/>
      <c r="AB1559" s="223"/>
    </row>
    <row r="1560" spans="1:28" ht="17.100000000000001" customHeight="1" thickTop="1">
      <c r="A1560" s="233" t="s">
        <v>6410</v>
      </c>
      <c r="B1560" s="28">
        <v>45918</v>
      </c>
      <c r="C1560" s="25">
        <v>2126</v>
      </c>
      <c r="D1560" s="13" t="s">
        <v>1996</v>
      </c>
      <c r="E1560" s="228"/>
      <c r="F1560" s="109" t="s">
        <v>4939</v>
      </c>
      <c r="G1560" s="24" t="s">
        <v>4940</v>
      </c>
      <c r="H1560" s="230">
        <v>4</v>
      </c>
      <c r="I1560" s="220">
        <v>764000</v>
      </c>
      <c r="J1560" s="220">
        <f>I1560*0.1</f>
        <v>76400</v>
      </c>
      <c r="K1560" s="220">
        <v>0</v>
      </c>
      <c r="L1560" s="220">
        <v>8680</v>
      </c>
      <c r="M1560" s="220">
        <v>13750</v>
      </c>
      <c r="N1560" s="220">
        <f>SUM(I1560:M1561)</f>
        <v>862830</v>
      </c>
      <c r="O1560" s="224"/>
      <c r="P1560" s="110" t="s">
        <v>4941</v>
      </c>
      <c r="Q1560" s="15" t="s">
        <v>19</v>
      </c>
      <c r="R1560" s="205"/>
      <c r="S1560" s="189" t="s">
        <v>25463</v>
      </c>
      <c r="T1560" s="114" t="s">
        <v>8241</v>
      </c>
      <c r="U1560" s="21"/>
      <c r="V1560" s="115"/>
      <c r="W1560" s="116"/>
      <c r="X1560" s="220"/>
      <c r="Y1560" s="220">
        <f>X1560*0.1</f>
        <v>0</v>
      </c>
      <c r="Z1560" s="220"/>
      <c r="AA1560" s="220">
        <f>SUM(X1560:Z1560)</f>
        <v>0</v>
      </c>
      <c r="AB1560" s="222"/>
    </row>
    <row r="1561" spans="1:28" ht="17.100000000000001" customHeight="1" thickBot="1">
      <c r="A1561" s="234"/>
      <c r="B1561" s="27" t="s">
        <v>3228</v>
      </c>
      <c r="C1561" s="27">
        <v>2521</v>
      </c>
      <c r="D1561" s="14" t="s">
        <v>1710</v>
      </c>
      <c r="E1561" s="229"/>
      <c r="F1561" s="117" t="s">
        <v>4942</v>
      </c>
      <c r="G1561" s="26">
        <v>32944</v>
      </c>
      <c r="H1561" s="231"/>
      <c r="I1561" s="221"/>
      <c r="J1561" s="221"/>
      <c r="K1561" s="221"/>
      <c r="L1561" s="221"/>
      <c r="M1561" s="221"/>
      <c r="N1561" s="221"/>
      <c r="O1561" s="225"/>
      <c r="P1561" s="118" t="s">
        <v>4926</v>
      </c>
      <c r="Q1561" s="16" t="s">
        <v>20</v>
      </c>
      <c r="R1561" s="17" t="s">
        <v>4212</v>
      </c>
      <c r="S1561" s="121" t="s">
        <v>4927</v>
      </c>
      <c r="T1561" s="122" t="s">
        <v>8766</v>
      </c>
      <c r="U1561" s="22"/>
      <c r="V1561" s="123"/>
      <c r="W1561" s="122"/>
      <c r="X1561" s="221"/>
      <c r="Y1561" s="221"/>
      <c r="Z1561" s="221"/>
      <c r="AA1561" s="221"/>
      <c r="AB1561" s="223"/>
    </row>
    <row r="1562" spans="1:28" ht="17.100000000000001" customHeight="1" thickTop="1">
      <c r="A1562" s="226" t="s">
        <v>6411</v>
      </c>
      <c r="B1562" s="28">
        <v>45918</v>
      </c>
      <c r="C1562" s="25">
        <v>2126</v>
      </c>
      <c r="D1562" s="13" t="s">
        <v>2406</v>
      </c>
      <c r="E1562" s="228"/>
      <c r="F1562" s="109" t="s">
        <v>4943</v>
      </c>
      <c r="G1562" s="24"/>
      <c r="H1562" s="230">
        <v>4</v>
      </c>
      <c r="I1562" s="220">
        <v>683000</v>
      </c>
      <c r="J1562" s="220">
        <f>I1562*0.1</f>
        <v>68300</v>
      </c>
      <c r="K1562" s="220">
        <v>0</v>
      </c>
      <c r="L1562" s="220">
        <v>8110</v>
      </c>
      <c r="M1562" s="220">
        <v>13750</v>
      </c>
      <c r="N1562" s="220">
        <f>SUM(I1562:M1563)</f>
        <v>773160</v>
      </c>
      <c r="O1562" s="224"/>
      <c r="P1562" s="110" t="s">
        <v>4944</v>
      </c>
      <c r="Q1562" s="15" t="s">
        <v>19</v>
      </c>
      <c r="R1562" s="205"/>
      <c r="S1562" s="189"/>
      <c r="T1562" s="114"/>
      <c r="U1562" s="21"/>
      <c r="V1562" s="115">
        <v>45944</v>
      </c>
      <c r="W1562" s="116">
        <v>1913</v>
      </c>
      <c r="X1562" s="220">
        <v>683000</v>
      </c>
      <c r="Y1562" s="220">
        <f>X1562*0.1</f>
        <v>68300</v>
      </c>
      <c r="Z1562" s="220">
        <v>8110</v>
      </c>
      <c r="AA1562" s="220">
        <f>SUM(X1562:Z1562)</f>
        <v>759410</v>
      </c>
      <c r="AB1562" s="222">
        <v>45950</v>
      </c>
    </row>
    <row r="1563" spans="1:28" ht="17.100000000000001" customHeight="1" thickBot="1">
      <c r="A1563" s="227"/>
      <c r="B1563" s="27" t="s">
        <v>3228</v>
      </c>
      <c r="C1563" s="27">
        <v>2553</v>
      </c>
      <c r="D1563" s="14" t="s">
        <v>1710</v>
      </c>
      <c r="E1563" s="229"/>
      <c r="F1563" s="117" t="s">
        <v>4945</v>
      </c>
      <c r="G1563" s="26">
        <v>52752</v>
      </c>
      <c r="H1563" s="231"/>
      <c r="I1563" s="221"/>
      <c r="J1563" s="221"/>
      <c r="K1563" s="221"/>
      <c r="L1563" s="221"/>
      <c r="M1563" s="221"/>
      <c r="N1563" s="221"/>
      <c r="O1563" s="225"/>
      <c r="P1563" s="118" t="s">
        <v>4946</v>
      </c>
      <c r="Q1563" s="16" t="s">
        <v>20</v>
      </c>
      <c r="R1563" s="17" t="s">
        <v>4212</v>
      </c>
      <c r="S1563" s="121" t="s">
        <v>4947</v>
      </c>
      <c r="T1563" s="122"/>
      <c r="U1563" s="22"/>
      <c r="V1563" s="123" t="s">
        <v>2103</v>
      </c>
      <c r="W1563" s="122">
        <v>3143</v>
      </c>
      <c r="X1563" s="221"/>
      <c r="Y1563" s="221"/>
      <c r="Z1563" s="221"/>
      <c r="AA1563" s="221"/>
      <c r="AB1563" s="223"/>
    </row>
    <row r="1564" spans="1:28" ht="17.100000000000001" customHeight="1" thickTop="1">
      <c r="A1564" s="226" t="s">
        <v>6412</v>
      </c>
      <c r="B1564" s="28">
        <v>45918</v>
      </c>
      <c r="C1564" s="25">
        <v>2126</v>
      </c>
      <c r="D1564" s="13" t="s">
        <v>4948</v>
      </c>
      <c r="E1564" s="228"/>
      <c r="F1564" s="109" t="s">
        <v>4949</v>
      </c>
      <c r="G1564" s="24"/>
      <c r="H1564" s="230">
        <v>4</v>
      </c>
      <c r="I1564" s="220">
        <v>282000</v>
      </c>
      <c r="J1564" s="220">
        <v>0</v>
      </c>
      <c r="K1564" s="220">
        <v>0</v>
      </c>
      <c r="L1564" s="220">
        <v>9880</v>
      </c>
      <c r="M1564" s="220">
        <v>13750</v>
      </c>
      <c r="N1564" s="220">
        <f>SUM(I1564:M1565)</f>
        <v>305630</v>
      </c>
      <c r="O1564" s="224"/>
      <c r="P1564" s="110" t="s">
        <v>4950</v>
      </c>
      <c r="Q1564" s="15" t="s">
        <v>19</v>
      </c>
      <c r="R1564" s="205"/>
      <c r="S1564" s="189" t="s">
        <v>25464</v>
      </c>
      <c r="T1564" s="114" t="s">
        <v>8629</v>
      </c>
      <c r="U1564" s="21"/>
      <c r="V1564" s="115">
        <v>45948</v>
      </c>
      <c r="W1564" s="116">
        <v>1272</v>
      </c>
      <c r="X1564" s="220">
        <v>400000</v>
      </c>
      <c r="Y1564" s="220">
        <v>0</v>
      </c>
      <c r="Z1564" s="220">
        <v>9880</v>
      </c>
      <c r="AA1564" s="220">
        <f>SUM(X1564:Z1564)</f>
        <v>409880</v>
      </c>
      <c r="AB1564" s="222">
        <v>45951</v>
      </c>
    </row>
    <row r="1565" spans="1:28" ht="17.100000000000001" customHeight="1" thickBot="1">
      <c r="A1565" s="227"/>
      <c r="B1565" s="27" t="s">
        <v>3228</v>
      </c>
      <c r="C1565" s="27">
        <v>2556</v>
      </c>
      <c r="D1565" s="14" t="s">
        <v>2559</v>
      </c>
      <c r="E1565" s="229"/>
      <c r="F1565" s="117" t="s">
        <v>4951</v>
      </c>
      <c r="G1565" s="26">
        <v>61225</v>
      </c>
      <c r="H1565" s="231"/>
      <c r="I1565" s="221"/>
      <c r="J1565" s="221"/>
      <c r="K1565" s="221"/>
      <c r="L1565" s="221"/>
      <c r="M1565" s="221"/>
      <c r="N1565" s="221"/>
      <c r="O1565" s="225"/>
      <c r="P1565" s="118" t="s">
        <v>4952</v>
      </c>
      <c r="Q1565" s="16" t="s">
        <v>20</v>
      </c>
      <c r="R1565" s="17" t="s">
        <v>4212</v>
      </c>
      <c r="S1565" s="121" t="s">
        <v>3547</v>
      </c>
      <c r="T1565" s="122"/>
      <c r="U1565" s="22"/>
      <c r="V1565" s="123" t="s">
        <v>2472</v>
      </c>
      <c r="W1565" s="122">
        <v>60125</v>
      </c>
      <c r="X1565" s="221"/>
      <c r="Y1565" s="221"/>
      <c r="Z1565" s="221"/>
      <c r="AA1565" s="221"/>
      <c r="AB1565" s="223"/>
    </row>
    <row r="1566" spans="1:28" ht="17.100000000000001" customHeight="1" thickTop="1">
      <c r="A1566" s="226" t="s">
        <v>6413</v>
      </c>
      <c r="B1566" s="28">
        <v>45919</v>
      </c>
      <c r="C1566" s="25">
        <v>52</v>
      </c>
      <c r="D1566" s="13" t="s">
        <v>2429</v>
      </c>
      <c r="E1566" s="228"/>
      <c r="F1566" s="109" t="s">
        <v>4953</v>
      </c>
      <c r="G1566" s="24" t="s">
        <v>3859</v>
      </c>
      <c r="H1566" s="230">
        <v>4</v>
      </c>
      <c r="I1566" s="220">
        <v>595000</v>
      </c>
      <c r="J1566" s="220">
        <f>I1566*0.1</f>
        <v>59500</v>
      </c>
      <c r="K1566" s="220">
        <v>0</v>
      </c>
      <c r="L1566" s="220">
        <v>9790</v>
      </c>
      <c r="M1566" s="220">
        <v>33000</v>
      </c>
      <c r="N1566" s="220">
        <f>SUM(I1566:M1567)</f>
        <v>697290</v>
      </c>
      <c r="O1566" s="224"/>
      <c r="P1566" s="110" t="s">
        <v>7842</v>
      </c>
      <c r="Q1566" s="15" t="s">
        <v>19</v>
      </c>
      <c r="R1566" s="205"/>
      <c r="S1566" s="189" t="s">
        <v>25465</v>
      </c>
      <c r="T1566" s="114"/>
      <c r="U1566" s="21"/>
      <c r="V1566" s="115">
        <v>45958</v>
      </c>
      <c r="W1566" s="116">
        <v>1915</v>
      </c>
      <c r="X1566" s="220">
        <v>593000</v>
      </c>
      <c r="Y1566" s="220">
        <f>X1566*0.1</f>
        <v>59300</v>
      </c>
      <c r="Z1566" s="220">
        <v>9790</v>
      </c>
      <c r="AA1566" s="220">
        <f>SUM(X1566:Z1566)</f>
        <v>662090</v>
      </c>
      <c r="AB1566" s="222">
        <v>45965</v>
      </c>
    </row>
    <row r="1567" spans="1:28" ht="17.100000000000001" customHeight="1" thickBot="1">
      <c r="A1567" s="227"/>
      <c r="B1567" s="27" t="s">
        <v>4468</v>
      </c>
      <c r="C1567" s="27">
        <v>1005</v>
      </c>
      <c r="D1567" s="14" t="s">
        <v>3274</v>
      </c>
      <c r="E1567" s="229"/>
      <c r="F1567" s="117" t="s">
        <v>4955</v>
      </c>
      <c r="G1567" s="26">
        <v>58024</v>
      </c>
      <c r="H1567" s="231"/>
      <c r="I1567" s="221"/>
      <c r="J1567" s="221"/>
      <c r="K1567" s="221"/>
      <c r="L1567" s="221"/>
      <c r="M1567" s="221"/>
      <c r="N1567" s="221"/>
      <c r="O1567" s="225"/>
      <c r="P1567" s="118" t="s">
        <v>7843</v>
      </c>
      <c r="Q1567" s="16" t="s">
        <v>20</v>
      </c>
      <c r="R1567" s="17" t="s">
        <v>3236</v>
      </c>
      <c r="S1567" s="121" t="s">
        <v>7844</v>
      </c>
      <c r="T1567" s="122"/>
      <c r="U1567" s="22"/>
      <c r="V1567" s="123" t="s">
        <v>2103</v>
      </c>
      <c r="W1567" s="122">
        <v>3135</v>
      </c>
      <c r="X1567" s="221"/>
      <c r="Y1567" s="221"/>
      <c r="Z1567" s="221"/>
      <c r="AA1567" s="221"/>
      <c r="AB1567" s="223"/>
    </row>
    <row r="1568" spans="1:28" ht="17.100000000000001" customHeight="1" thickTop="1">
      <c r="A1568" s="226" t="s">
        <v>6414</v>
      </c>
      <c r="B1568" s="28">
        <v>45919</v>
      </c>
      <c r="C1568" s="25">
        <v>52</v>
      </c>
      <c r="D1568" s="13" t="s">
        <v>2113</v>
      </c>
      <c r="E1568" s="228"/>
      <c r="F1568" s="109" t="s">
        <v>4956</v>
      </c>
      <c r="G1568" s="24" t="s">
        <v>2038</v>
      </c>
      <c r="H1568" s="230">
        <v>4</v>
      </c>
      <c r="I1568" s="220">
        <v>950000</v>
      </c>
      <c r="J1568" s="220">
        <f>I1568*0.1</f>
        <v>95000</v>
      </c>
      <c r="K1568" s="220">
        <v>0</v>
      </c>
      <c r="L1568" s="220">
        <v>8680</v>
      </c>
      <c r="M1568" s="220">
        <v>33000</v>
      </c>
      <c r="N1568" s="220">
        <f>SUM(I1568:M1569)</f>
        <v>1086680</v>
      </c>
      <c r="O1568" s="224"/>
      <c r="P1568" s="110" t="s">
        <v>7314</v>
      </c>
      <c r="Q1568" s="15" t="s">
        <v>19</v>
      </c>
      <c r="R1568" s="205"/>
      <c r="S1568" s="189"/>
      <c r="T1568" s="114"/>
      <c r="U1568" s="21" t="s">
        <v>8361</v>
      </c>
      <c r="V1568" s="115">
        <v>45944</v>
      </c>
      <c r="W1568" s="116">
        <v>1913</v>
      </c>
      <c r="X1568" s="220">
        <v>1050000</v>
      </c>
      <c r="Y1568" s="220">
        <f>X1568*0.1</f>
        <v>105000</v>
      </c>
      <c r="Z1568" s="220">
        <v>8680</v>
      </c>
      <c r="AA1568" s="220">
        <f>SUM(X1568:Z1568)</f>
        <v>1163680</v>
      </c>
      <c r="AB1568" s="222">
        <v>45950</v>
      </c>
    </row>
    <row r="1569" spans="1:28" ht="17.100000000000001" customHeight="1" thickBot="1">
      <c r="A1569" s="227"/>
      <c r="B1569" s="27" t="s">
        <v>4468</v>
      </c>
      <c r="C1569" s="27">
        <v>1026</v>
      </c>
      <c r="D1569" s="14" t="s">
        <v>1710</v>
      </c>
      <c r="E1569" s="229"/>
      <c r="F1569" s="117" t="s">
        <v>4957</v>
      </c>
      <c r="G1569" s="26">
        <v>47155</v>
      </c>
      <c r="H1569" s="231"/>
      <c r="I1569" s="221"/>
      <c r="J1569" s="221"/>
      <c r="K1569" s="221"/>
      <c r="L1569" s="221"/>
      <c r="M1569" s="221"/>
      <c r="N1569" s="221"/>
      <c r="O1569" s="225"/>
      <c r="P1569" s="118" t="s">
        <v>7315</v>
      </c>
      <c r="Q1569" s="16" t="s">
        <v>20</v>
      </c>
      <c r="R1569" s="17" t="s">
        <v>3264</v>
      </c>
      <c r="S1569" s="121" t="s">
        <v>4035</v>
      </c>
      <c r="T1569" s="122"/>
      <c r="U1569" s="22"/>
      <c r="V1569" s="123" t="s">
        <v>2103</v>
      </c>
      <c r="W1569" s="122">
        <v>3435</v>
      </c>
      <c r="X1569" s="221"/>
      <c r="Y1569" s="221"/>
      <c r="Z1569" s="221"/>
      <c r="AA1569" s="221"/>
      <c r="AB1569" s="223"/>
    </row>
    <row r="1570" spans="1:28" ht="17.100000000000001" customHeight="1" thickTop="1">
      <c r="A1570" s="226" t="s">
        <v>6415</v>
      </c>
      <c r="B1570" s="28">
        <v>45919</v>
      </c>
      <c r="C1570" s="25">
        <v>258</v>
      </c>
      <c r="D1570" s="13" t="s">
        <v>4755</v>
      </c>
      <c r="E1570" s="228"/>
      <c r="F1570" s="109" t="s">
        <v>4958</v>
      </c>
      <c r="G1570" s="24"/>
      <c r="H1570" s="230">
        <v>4</v>
      </c>
      <c r="I1570" s="220">
        <v>309000</v>
      </c>
      <c r="J1570" s="220">
        <f>I1570*0.1</f>
        <v>30900</v>
      </c>
      <c r="K1570" s="220">
        <v>0</v>
      </c>
      <c r="L1570" s="220">
        <v>8930</v>
      </c>
      <c r="M1570" s="220">
        <v>22000</v>
      </c>
      <c r="N1570" s="220">
        <f>SUM(I1570:M1571)</f>
        <v>370830</v>
      </c>
      <c r="O1570" s="224"/>
      <c r="P1570" s="110" t="s">
        <v>4959</v>
      </c>
      <c r="Q1570" s="15" t="s">
        <v>19</v>
      </c>
      <c r="R1570" s="205"/>
      <c r="S1570" s="189"/>
      <c r="T1570" s="114"/>
      <c r="U1570" s="21"/>
      <c r="V1570" s="115">
        <v>46036</v>
      </c>
      <c r="W1570" s="116">
        <v>1000</v>
      </c>
      <c r="X1570" s="220">
        <v>345000</v>
      </c>
      <c r="Y1570" s="220">
        <f>X1570*0.1</f>
        <v>34500</v>
      </c>
      <c r="Z1570" s="220">
        <v>8930</v>
      </c>
      <c r="AA1570" s="220">
        <f>SUM(X1570:Z1570)</f>
        <v>388430</v>
      </c>
      <c r="AB1570" s="222">
        <v>46041</v>
      </c>
    </row>
    <row r="1571" spans="1:28" ht="17.100000000000001" customHeight="1" thickBot="1">
      <c r="A1571" s="227"/>
      <c r="B1571" s="27" t="s">
        <v>4960</v>
      </c>
      <c r="C1571" s="27">
        <v>39</v>
      </c>
      <c r="D1571" s="14" t="s">
        <v>2014</v>
      </c>
      <c r="E1571" s="229"/>
      <c r="F1571" s="117" t="s">
        <v>4961</v>
      </c>
      <c r="G1571" s="26">
        <v>13928</v>
      </c>
      <c r="H1571" s="231"/>
      <c r="I1571" s="221"/>
      <c r="J1571" s="221"/>
      <c r="K1571" s="221"/>
      <c r="L1571" s="221"/>
      <c r="M1571" s="221"/>
      <c r="N1571" s="221"/>
      <c r="O1571" s="225"/>
      <c r="P1571" s="118" t="s">
        <v>4962</v>
      </c>
      <c r="Q1571" s="16" t="s">
        <v>20</v>
      </c>
      <c r="R1571" s="17" t="s">
        <v>2120</v>
      </c>
      <c r="S1571" s="121"/>
      <c r="T1571" s="122"/>
      <c r="U1571" s="22"/>
      <c r="V1571" s="123" t="s">
        <v>2747</v>
      </c>
      <c r="W1571" s="122">
        <v>2036</v>
      </c>
      <c r="X1571" s="221"/>
      <c r="Y1571" s="221"/>
      <c r="Z1571" s="221"/>
      <c r="AA1571" s="221"/>
      <c r="AB1571" s="223"/>
    </row>
    <row r="1572" spans="1:28" ht="17.100000000000001" customHeight="1" thickTop="1">
      <c r="A1572" s="226" t="s">
        <v>6416</v>
      </c>
      <c r="B1572" s="28">
        <v>45919</v>
      </c>
      <c r="C1572" s="25">
        <v>2102</v>
      </c>
      <c r="D1572" s="13" t="s">
        <v>1901</v>
      </c>
      <c r="E1572" s="228"/>
      <c r="F1572" s="109" t="s">
        <v>4963</v>
      </c>
      <c r="G1572" s="24" t="s">
        <v>4315</v>
      </c>
      <c r="H1572" s="230">
        <v>4.5</v>
      </c>
      <c r="I1572" s="220">
        <v>1095000</v>
      </c>
      <c r="J1572" s="220">
        <v>0</v>
      </c>
      <c r="K1572" s="220">
        <v>0</v>
      </c>
      <c r="L1572" s="220">
        <v>7150</v>
      </c>
      <c r="M1572" s="220">
        <v>12100</v>
      </c>
      <c r="N1572" s="220">
        <f>SUM(I1572:M1573)</f>
        <v>1114250</v>
      </c>
      <c r="O1572" s="224"/>
      <c r="P1572" s="110" t="s">
        <v>4964</v>
      </c>
      <c r="Q1572" s="15" t="s">
        <v>19</v>
      </c>
      <c r="R1572" s="205"/>
      <c r="S1572" s="189" t="s">
        <v>25466</v>
      </c>
      <c r="T1572" s="114"/>
      <c r="U1572" s="21" t="s">
        <v>8156</v>
      </c>
      <c r="V1572" s="115">
        <v>45976</v>
      </c>
      <c r="W1572" s="116">
        <v>1276</v>
      </c>
      <c r="X1572" s="220">
        <v>1080000</v>
      </c>
      <c r="Y1572" s="220">
        <f>X1572*0.1</f>
        <v>108000</v>
      </c>
      <c r="Z1572" s="220">
        <v>7150</v>
      </c>
      <c r="AA1572" s="220">
        <f>SUM(X1572:Z1572)</f>
        <v>1195150</v>
      </c>
      <c r="AB1572" s="222">
        <v>45979</v>
      </c>
    </row>
    <row r="1573" spans="1:28" ht="17.100000000000001" customHeight="1" thickBot="1">
      <c r="A1573" s="227"/>
      <c r="B1573" s="27" t="s">
        <v>1536</v>
      </c>
      <c r="C1573" s="27">
        <v>55049</v>
      </c>
      <c r="D1573" s="14" t="s">
        <v>2788</v>
      </c>
      <c r="E1573" s="229"/>
      <c r="F1573" s="117" t="s">
        <v>4965</v>
      </c>
      <c r="G1573" s="26">
        <v>34450</v>
      </c>
      <c r="H1573" s="231"/>
      <c r="I1573" s="221"/>
      <c r="J1573" s="221"/>
      <c r="K1573" s="221"/>
      <c r="L1573" s="221"/>
      <c r="M1573" s="221"/>
      <c r="N1573" s="221"/>
      <c r="O1573" s="225"/>
      <c r="P1573" s="118" t="s">
        <v>4966</v>
      </c>
      <c r="Q1573" s="16" t="s">
        <v>20</v>
      </c>
      <c r="R1573" s="17" t="s">
        <v>4212</v>
      </c>
      <c r="S1573" s="121" t="s">
        <v>3824</v>
      </c>
      <c r="T1573" s="122"/>
      <c r="U1573" s="22"/>
      <c r="V1573" s="123" t="s">
        <v>10781</v>
      </c>
      <c r="W1573" s="122">
        <v>60256</v>
      </c>
      <c r="X1573" s="221"/>
      <c r="Y1573" s="221"/>
      <c r="Z1573" s="221"/>
      <c r="AA1573" s="221"/>
      <c r="AB1573" s="223"/>
    </row>
    <row r="1574" spans="1:28" ht="17.100000000000001" customHeight="1" thickTop="1">
      <c r="A1574" s="226" t="s">
        <v>6417</v>
      </c>
      <c r="B1574" s="28">
        <v>45919</v>
      </c>
      <c r="C1574" s="25">
        <v>2102</v>
      </c>
      <c r="D1574" s="13" t="s">
        <v>1973</v>
      </c>
      <c r="E1574" s="228"/>
      <c r="F1574" s="109" t="s">
        <v>4967</v>
      </c>
      <c r="G1574" s="24" t="s">
        <v>4968</v>
      </c>
      <c r="H1574" s="230">
        <v>5</v>
      </c>
      <c r="I1574" s="220">
        <v>1765000</v>
      </c>
      <c r="J1574" s="220">
        <f>I1574*0.1</f>
        <v>176500</v>
      </c>
      <c r="K1574" s="220">
        <v>0</v>
      </c>
      <c r="L1574" s="220">
        <v>7340</v>
      </c>
      <c r="M1574" s="220">
        <v>12100</v>
      </c>
      <c r="N1574" s="220">
        <f>SUM(I1574:M1575)</f>
        <v>1960940</v>
      </c>
      <c r="O1574" s="224"/>
      <c r="P1574" s="110" t="s">
        <v>4969</v>
      </c>
      <c r="Q1574" s="15" t="s">
        <v>19</v>
      </c>
      <c r="R1574" s="205"/>
      <c r="S1574" s="189" t="s">
        <v>25445</v>
      </c>
      <c r="T1574" s="114"/>
      <c r="U1574" s="21" t="s">
        <v>8172</v>
      </c>
      <c r="V1574" s="115">
        <v>46113</v>
      </c>
      <c r="W1574" s="116">
        <v>1011</v>
      </c>
      <c r="X1574" s="220">
        <v>1770000</v>
      </c>
      <c r="Y1574" s="220">
        <f>X1574*0.1</f>
        <v>177000</v>
      </c>
      <c r="Z1574" s="220">
        <v>7340</v>
      </c>
      <c r="AA1574" s="220">
        <f>SUM(X1574:Z1574)</f>
        <v>1954340</v>
      </c>
      <c r="AB1574" s="222">
        <v>46119</v>
      </c>
    </row>
    <row r="1575" spans="1:28" ht="17.100000000000001" customHeight="1" thickBot="1">
      <c r="A1575" s="227"/>
      <c r="B1575" s="27" t="s">
        <v>1536</v>
      </c>
      <c r="C1575" s="27">
        <v>55057</v>
      </c>
      <c r="D1575" s="14" t="s">
        <v>273</v>
      </c>
      <c r="E1575" s="229"/>
      <c r="F1575" s="117" t="s">
        <v>4970</v>
      </c>
      <c r="G1575" s="26">
        <v>24589</v>
      </c>
      <c r="H1575" s="231"/>
      <c r="I1575" s="221"/>
      <c r="J1575" s="221"/>
      <c r="K1575" s="221"/>
      <c r="L1575" s="221"/>
      <c r="M1575" s="221"/>
      <c r="N1575" s="221"/>
      <c r="O1575" s="225"/>
      <c r="P1575" s="118" t="s">
        <v>4971</v>
      </c>
      <c r="Q1575" s="16" t="s">
        <v>20</v>
      </c>
      <c r="R1575" s="17" t="s">
        <v>4212</v>
      </c>
      <c r="S1575" s="121" t="s">
        <v>4972</v>
      </c>
      <c r="T1575" s="122"/>
      <c r="U1575" s="22"/>
      <c r="V1575" s="123" t="s">
        <v>7161</v>
      </c>
      <c r="W1575" s="122">
        <v>2035</v>
      </c>
      <c r="X1575" s="221"/>
      <c r="Y1575" s="221"/>
      <c r="Z1575" s="221"/>
      <c r="AA1575" s="221"/>
      <c r="AB1575" s="223"/>
    </row>
    <row r="1576" spans="1:28" ht="17.100000000000001" customHeight="1" thickTop="1">
      <c r="A1576" s="226" t="s">
        <v>6418</v>
      </c>
      <c r="B1576" s="28">
        <v>45919</v>
      </c>
      <c r="C1576" s="25">
        <v>2102</v>
      </c>
      <c r="D1576" s="13" t="s">
        <v>1748</v>
      </c>
      <c r="E1576" s="228"/>
      <c r="F1576" s="109" t="s">
        <v>4973</v>
      </c>
      <c r="G1576" s="24"/>
      <c r="H1576" s="230">
        <v>4</v>
      </c>
      <c r="I1576" s="220">
        <v>1205000</v>
      </c>
      <c r="J1576" s="220">
        <f>I1576*0.1</f>
        <v>120500</v>
      </c>
      <c r="K1576" s="220">
        <v>0</v>
      </c>
      <c r="L1576" s="220">
        <v>7530</v>
      </c>
      <c r="M1576" s="220">
        <v>12100</v>
      </c>
      <c r="N1576" s="220">
        <f>SUM(I1576:M1577)</f>
        <v>1345130</v>
      </c>
      <c r="O1576" s="224"/>
      <c r="P1576" s="110" t="s">
        <v>4974</v>
      </c>
      <c r="Q1576" s="15" t="s">
        <v>19</v>
      </c>
      <c r="R1576" s="205"/>
      <c r="S1576" s="189" t="s">
        <v>1422</v>
      </c>
      <c r="T1576" s="114"/>
      <c r="U1576" s="21"/>
      <c r="V1576" s="115">
        <v>45934</v>
      </c>
      <c r="W1576" s="116">
        <v>1270</v>
      </c>
      <c r="X1576" s="220">
        <v>1245000</v>
      </c>
      <c r="Y1576" s="220">
        <f>X1576*0.1</f>
        <v>124500</v>
      </c>
      <c r="Z1576" s="220">
        <v>7530</v>
      </c>
      <c r="AA1576" s="220">
        <f>SUM(X1576:Z1576)</f>
        <v>1377030</v>
      </c>
      <c r="AB1576" s="222">
        <v>45937</v>
      </c>
    </row>
    <row r="1577" spans="1:28" ht="17.100000000000001" customHeight="1" thickBot="1">
      <c r="A1577" s="227"/>
      <c r="B1577" s="27" t="s">
        <v>1536</v>
      </c>
      <c r="C1577" s="27">
        <v>55402</v>
      </c>
      <c r="D1577" s="14" t="s">
        <v>1797</v>
      </c>
      <c r="E1577" s="229"/>
      <c r="F1577" s="117" t="s">
        <v>4975</v>
      </c>
      <c r="G1577" s="26">
        <v>18797</v>
      </c>
      <c r="H1577" s="231"/>
      <c r="I1577" s="221"/>
      <c r="J1577" s="221"/>
      <c r="K1577" s="221"/>
      <c r="L1577" s="221"/>
      <c r="M1577" s="221"/>
      <c r="N1577" s="221"/>
      <c r="O1577" s="225"/>
      <c r="P1577" s="118" t="s">
        <v>4976</v>
      </c>
      <c r="Q1577" s="16" t="s">
        <v>20</v>
      </c>
      <c r="R1577" s="17" t="s">
        <v>4212</v>
      </c>
      <c r="S1577" s="121" t="s">
        <v>4977</v>
      </c>
      <c r="T1577" s="122"/>
      <c r="U1577" s="22"/>
      <c r="V1577" s="123" t="s">
        <v>7160</v>
      </c>
      <c r="W1577" s="122">
        <v>60059</v>
      </c>
      <c r="X1577" s="221"/>
      <c r="Y1577" s="221"/>
      <c r="Z1577" s="221"/>
      <c r="AA1577" s="221"/>
      <c r="AB1577" s="223"/>
    </row>
    <row r="1578" spans="1:28" ht="17.100000000000001" customHeight="1" thickTop="1">
      <c r="A1578" s="226" t="s">
        <v>6419</v>
      </c>
      <c r="B1578" s="28">
        <v>45919</v>
      </c>
      <c r="C1578" s="25">
        <v>2102</v>
      </c>
      <c r="D1578" s="13" t="s">
        <v>2637</v>
      </c>
      <c r="E1578" s="228"/>
      <c r="F1578" s="109" t="s">
        <v>4978</v>
      </c>
      <c r="G1578" s="24" t="s">
        <v>4979</v>
      </c>
      <c r="H1578" s="230">
        <v>4.5</v>
      </c>
      <c r="I1578" s="220">
        <v>645000</v>
      </c>
      <c r="J1578" s="220">
        <f>I1578*0.1</f>
        <v>64500</v>
      </c>
      <c r="K1578" s="220">
        <v>0</v>
      </c>
      <c r="L1578" s="220">
        <v>7860</v>
      </c>
      <c r="M1578" s="220">
        <v>12100</v>
      </c>
      <c r="N1578" s="220">
        <f>SUM(I1578:M1579)</f>
        <v>729460</v>
      </c>
      <c r="O1578" s="224"/>
      <c r="P1578" s="110" t="s">
        <v>4980</v>
      </c>
      <c r="Q1578" s="15" t="s">
        <v>19</v>
      </c>
      <c r="R1578" s="205"/>
      <c r="S1578" s="189"/>
      <c r="T1578" s="114"/>
      <c r="U1578" s="21" t="s">
        <v>8148</v>
      </c>
      <c r="V1578" s="115">
        <v>45990</v>
      </c>
      <c r="W1578" s="116">
        <v>1278</v>
      </c>
      <c r="X1578" s="220">
        <v>670000</v>
      </c>
      <c r="Y1578" s="220">
        <f>X1578*0.1</f>
        <v>67000</v>
      </c>
      <c r="Z1578" s="220">
        <v>7860</v>
      </c>
      <c r="AA1578" s="220">
        <f>SUM(X1578:Z1578)</f>
        <v>744860</v>
      </c>
      <c r="AB1578" s="222">
        <v>45994</v>
      </c>
    </row>
    <row r="1579" spans="1:28" ht="17.100000000000001" customHeight="1" thickBot="1">
      <c r="A1579" s="227"/>
      <c r="B1579" s="27" t="s">
        <v>1536</v>
      </c>
      <c r="C1579" s="27">
        <v>55608</v>
      </c>
      <c r="D1579" s="14" t="s">
        <v>1584</v>
      </c>
      <c r="E1579" s="229"/>
      <c r="F1579" s="117" t="s">
        <v>4981</v>
      </c>
      <c r="G1579" s="26">
        <v>28250</v>
      </c>
      <c r="H1579" s="231"/>
      <c r="I1579" s="221"/>
      <c r="J1579" s="221"/>
      <c r="K1579" s="221"/>
      <c r="L1579" s="221"/>
      <c r="M1579" s="221"/>
      <c r="N1579" s="221"/>
      <c r="O1579" s="225"/>
      <c r="P1579" s="118" t="s">
        <v>4982</v>
      </c>
      <c r="Q1579" s="16" t="s">
        <v>20</v>
      </c>
      <c r="R1579" s="17" t="s">
        <v>4212</v>
      </c>
      <c r="S1579" s="121"/>
      <c r="T1579" s="122"/>
      <c r="U1579" s="22"/>
      <c r="V1579" s="123" t="s">
        <v>2472</v>
      </c>
      <c r="W1579" s="122">
        <v>60213</v>
      </c>
      <c r="X1579" s="221"/>
      <c r="Y1579" s="221"/>
      <c r="Z1579" s="221"/>
      <c r="AA1579" s="221"/>
      <c r="AB1579" s="223"/>
    </row>
    <row r="1580" spans="1:28" ht="17.100000000000001" customHeight="1" thickTop="1">
      <c r="A1580" s="226" t="s">
        <v>6420</v>
      </c>
      <c r="B1580" s="28">
        <v>45919</v>
      </c>
      <c r="C1580" s="25">
        <v>2102</v>
      </c>
      <c r="D1580" s="13" t="s">
        <v>1963</v>
      </c>
      <c r="E1580" s="228"/>
      <c r="F1580" s="109" t="s">
        <v>4932</v>
      </c>
      <c r="G1580" s="24" t="s">
        <v>2084</v>
      </c>
      <c r="H1580" s="230">
        <v>4.5</v>
      </c>
      <c r="I1580" s="220">
        <v>1165000</v>
      </c>
      <c r="J1580" s="220">
        <f>I1580*0.1</f>
        <v>116500</v>
      </c>
      <c r="K1580" s="220">
        <v>0</v>
      </c>
      <c r="L1580" s="220">
        <v>6850</v>
      </c>
      <c r="M1580" s="220">
        <v>12100</v>
      </c>
      <c r="N1580" s="220">
        <f>SUM(I1580:M1581)</f>
        <v>1300450</v>
      </c>
      <c r="O1580" s="224"/>
      <c r="P1580" s="110" t="s">
        <v>4983</v>
      </c>
      <c r="Q1580" s="15" t="s">
        <v>19</v>
      </c>
      <c r="R1580" s="205"/>
      <c r="S1580" s="189" t="s">
        <v>25467</v>
      </c>
      <c r="T1580" s="114"/>
      <c r="U1580" s="21" t="s">
        <v>7421</v>
      </c>
      <c r="V1580" s="115">
        <v>45937</v>
      </c>
      <c r="W1580" s="116">
        <v>1912</v>
      </c>
      <c r="X1580" s="220">
        <v>1177000</v>
      </c>
      <c r="Y1580" s="220">
        <f>X1580*0.1</f>
        <v>117700</v>
      </c>
      <c r="Z1580" s="220">
        <v>6850</v>
      </c>
      <c r="AA1580" s="220">
        <f>SUM(X1580:Z1580)</f>
        <v>1301550</v>
      </c>
      <c r="AB1580" s="222"/>
    </row>
    <row r="1581" spans="1:28" ht="17.100000000000001" customHeight="1" thickBot="1">
      <c r="A1581" s="227"/>
      <c r="B1581" s="27" t="s">
        <v>1536</v>
      </c>
      <c r="C1581" s="27">
        <v>55613</v>
      </c>
      <c r="D1581" s="14" t="s">
        <v>2788</v>
      </c>
      <c r="E1581" s="229"/>
      <c r="F1581" s="117" t="s">
        <v>4985</v>
      </c>
      <c r="G1581" s="26">
        <v>19936</v>
      </c>
      <c r="H1581" s="231"/>
      <c r="I1581" s="221"/>
      <c r="J1581" s="221"/>
      <c r="K1581" s="221"/>
      <c r="L1581" s="221"/>
      <c r="M1581" s="221"/>
      <c r="N1581" s="221"/>
      <c r="O1581" s="225"/>
      <c r="P1581" s="118" t="s">
        <v>4986</v>
      </c>
      <c r="Q1581" s="16" t="s">
        <v>20</v>
      </c>
      <c r="R1581" s="17" t="s">
        <v>4212</v>
      </c>
      <c r="S1581" s="121" t="s">
        <v>4987</v>
      </c>
      <c r="T1581" s="122"/>
      <c r="U1581" s="22"/>
      <c r="V1581" s="123" t="s">
        <v>2103</v>
      </c>
      <c r="W1581" s="122">
        <v>3125</v>
      </c>
      <c r="X1581" s="221"/>
      <c r="Y1581" s="221"/>
      <c r="Z1581" s="221"/>
      <c r="AA1581" s="221"/>
      <c r="AB1581" s="223"/>
    </row>
    <row r="1582" spans="1:28" ht="17.100000000000001" customHeight="1" thickTop="1">
      <c r="A1582" s="226" t="s">
        <v>6421</v>
      </c>
      <c r="B1582" s="28">
        <v>45919</v>
      </c>
      <c r="C1582" s="25">
        <v>2102</v>
      </c>
      <c r="D1582" s="13" t="s">
        <v>2712</v>
      </c>
      <c r="E1582" s="228"/>
      <c r="F1582" s="109" t="s">
        <v>4988</v>
      </c>
      <c r="G1582" s="24"/>
      <c r="H1582" s="230">
        <v>4</v>
      </c>
      <c r="I1582" s="220">
        <v>1230000</v>
      </c>
      <c r="J1582" s="220">
        <f>I1582*0.1</f>
        <v>123000</v>
      </c>
      <c r="K1582" s="220">
        <v>0</v>
      </c>
      <c r="L1582" s="220">
        <v>17600</v>
      </c>
      <c r="M1582" s="220">
        <v>16500</v>
      </c>
      <c r="N1582" s="220">
        <f>SUM(I1582:M1583)</f>
        <v>1387100</v>
      </c>
      <c r="O1582" s="224"/>
      <c r="P1582" s="110" t="s">
        <v>4989</v>
      </c>
      <c r="Q1582" s="15" t="s">
        <v>19</v>
      </c>
      <c r="R1582" s="205"/>
      <c r="S1582" s="189" t="s">
        <v>25468</v>
      </c>
      <c r="T1582" s="114"/>
      <c r="U1582" s="21"/>
      <c r="V1582" s="115">
        <v>45931</v>
      </c>
      <c r="W1582" s="116">
        <v>986</v>
      </c>
      <c r="X1582" s="220">
        <v>1265000</v>
      </c>
      <c r="Y1582" s="220">
        <f>X1582*0.1</f>
        <v>126500</v>
      </c>
      <c r="Z1582" s="220">
        <v>17600</v>
      </c>
      <c r="AA1582" s="220">
        <f>SUM(X1582:Z1582)</f>
        <v>1409100</v>
      </c>
      <c r="AB1582" s="222">
        <v>45937</v>
      </c>
    </row>
    <row r="1583" spans="1:28" ht="17.100000000000001" customHeight="1" thickBot="1">
      <c r="A1583" s="227"/>
      <c r="B1583" s="27" t="s">
        <v>1536</v>
      </c>
      <c r="C1583" s="27">
        <v>58306</v>
      </c>
      <c r="D1583" s="14" t="s">
        <v>3792</v>
      </c>
      <c r="E1583" s="229"/>
      <c r="F1583" s="117" t="s">
        <v>4990</v>
      </c>
      <c r="G1583" s="26">
        <v>38023</v>
      </c>
      <c r="H1583" s="231"/>
      <c r="I1583" s="221"/>
      <c r="J1583" s="221"/>
      <c r="K1583" s="221"/>
      <c r="L1583" s="221"/>
      <c r="M1583" s="221"/>
      <c r="N1583" s="221"/>
      <c r="O1583" s="225"/>
      <c r="P1583" s="118" t="s">
        <v>3355</v>
      </c>
      <c r="Q1583" s="16" t="s">
        <v>20</v>
      </c>
      <c r="R1583" s="17" t="s">
        <v>4212</v>
      </c>
      <c r="S1583" s="121" t="s">
        <v>4991</v>
      </c>
      <c r="T1583" s="122"/>
      <c r="U1583" s="22"/>
      <c r="V1583" s="123" t="s">
        <v>2747</v>
      </c>
      <c r="W1583" s="122">
        <v>6006</v>
      </c>
      <c r="X1583" s="221"/>
      <c r="Y1583" s="221"/>
      <c r="Z1583" s="221"/>
      <c r="AA1583" s="221"/>
      <c r="AB1583" s="223"/>
    </row>
    <row r="1584" spans="1:28" ht="17.100000000000001" customHeight="1" thickTop="1">
      <c r="A1584" s="226" t="s">
        <v>6422</v>
      </c>
      <c r="B1584" s="28">
        <v>45919</v>
      </c>
      <c r="C1584" s="25">
        <v>2102</v>
      </c>
      <c r="D1584" s="13" t="s">
        <v>853</v>
      </c>
      <c r="E1584" s="228"/>
      <c r="F1584" s="109" t="s">
        <v>4992</v>
      </c>
      <c r="G1584" s="24" t="s">
        <v>3528</v>
      </c>
      <c r="H1584" s="230">
        <v>4</v>
      </c>
      <c r="I1584" s="220">
        <v>1680000</v>
      </c>
      <c r="J1584" s="220">
        <f>I1584*0.1</f>
        <v>168000</v>
      </c>
      <c r="K1584" s="220">
        <f>15200+1520</f>
        <v>16720</v>
      </c>
      <c r="L1584" s="220">
        <v>17930</v>
      </c>
      <c r="M1584" s="220">
        <v>16500</v>
      </c>
      <c r="N1584" s="220">
        <f>SUM(I1584:M1585)</f>
        <v>1899150</v>
      </c>
      <c r="O1584" s="224"/>
      <c r="P1584" s="110" t="s">
        <v>4993</v>
      </c>
      <c r="Q1584" s="15" t="s">
        <v>19</v>
      </c>
      <c r="R1584" s="205"/>
      <c r="S1584" s="189" t="s">
        <v>1271</v>
      </c>
      <c r="T1584" s="114"/>
      <c r="U1584" s="21"/>
      <c r="V1584" s="115">
        <v>45933</v>
      </c>
      <c r="W1584" s="116"/>
      <c r="X1584" s="220">
        <v>1830000</v>
      </c>
      <c r="Y1584" s="220">
        <f>X1584*0.1</f>
        <v>183000</v>
      </c>
      <c r="Z1584" s="220">
        <v>17930</v>
      </c>
      <c r="AA1584" s="220">
        <f>SUM(X1584:Z1584)</f>
        <v>2030930</v>
      </c>
      <c r="AB1584" s="222"/>
    </row>
    <row r="1585" spans="1:28" ht="17.100000000000001" customHeight="1" thickBot="1">
      <c r="A1585" s="227"/>
      <c r="B1585" s="27" t="s">
        <v>1536</v>
      </c>
      <c r="C1585" s="27">
        <v>58870</v>
      </c>
      <c r="D1585" s="14" t="s">
        <v>1584</v>
      </c>
      <c r="E1585" s="229"/>
      <c r="F1585" s="117" t="s">
        <v>4994</v>
      </c>
      <c r="G1585" s="26">
        <v>51960</v>
      </c>
      <c r="H1585" s="231"/>
      <c r="I1585" s="221"/>
      <c r="J1585" s="221"/>
      <c r="K1585" s="221"/>
      <c r="L1585" s="221"/>
      <c r="M1585" s="221"/>
      <c r="N1585" s="221"/>
      <c r="O1585" s="225"/>
      <c r="P1585" s="118" t="s">
        <v>2275</v>
      </c>
      <c r="Q1585" s="16" t="s">
        <v>20</v>
      </c>
      <c r="R1585" s="17" t="s">
        <v>2120</v>
      </c>
      <c r="S1585" s="121" t="s">
        <v>1606</v>
      </c>
      <c r="T1585" s="122"/>
      <c r="U1585" s="22"/>
      <c r="V1585" s="123" t="s">
        <v>6682</v>
      </c>
      <c r="W1585" s="122">
        <v>36989</v>
      </c>
      <c r="X1585" s="221"/>
      <c r="Y1585" s="221"/>
      <c r="Z1585" s="221"/>
      <c r="AA1585" s="221"/>
      <c r="AB1585" s="223"/>
    </row>
    <row r="1586" spans="1:28" ht="17.100000000000001" customHeight="1" thickTop="1">
      <c r="A1586" s="226" t="s">
        <v>6423</v>
      </c>
      <c r="B1586" s="28">
        <v>45919</v>
      </c>
      <c r="C1586" s="25"/>
      <c r="D1586" s="13" t="s">
        <v>2267</v>
      </c>
      <c r="E1586" s="228"/>
      <c r="F1586" s="109" t="s">
        <v>4995</v>
      </c>
      <c r="G1586" s="24"/>
      <c r="H1586" s="230">
        <v>3.5</v>
      </c>
      <c r="I1586" s="220">
        <f>605000/1.1</f>
        <v>550000</v>
      </c>
      <c r="J1586" s="220">
        <f>I1586*0.1</f>
        <v>55000</v>
      </c>
      <c r="K1586" s="220">
        <v>0</v>
      </c>
      <c r="L1586" s="220">
        <v>8230</v>
      </c>
      <c r="M1586" s="220">
        <v>57896</v>
      </c>
      <c r="N1586" s="220">
        <f>SUM(I1586:M1587)</f>
        <v>671126</v>
      </c>
      <c r="O1586" s="224"/>
      <c r="P1586" s="110" t="s">
        <v>7820</v>
      </c>
      <c r="Q1586" s="15" t="s">
        <v>19</v>
      </c>
      <c r="R1586" s="205"/>
      <c r="S1586" s="189" t="s">
        <v>25372</v>
      </c>
      <c r="T1586" s="114"/>
      <c r="U1586" s="21"/>
      <c r="V1586" s="115">
        <v>45944</v>
      </c>
      <c r="W1586" s="116">
        <v>1913</v>
      </c>
      <c r="X1586" s="220">
        <v>752000</v>
      </c>
      <c r="Y1586" s="220">
        <f>X1586*0.1</f>
        <v>75200</v>
      </c>
      <c r="Z1586" s="220">
        <v>8230</v>
      </c>
      <c r="AA1586" s="220">
        <f>SUM(X1586:Z1586)</f>
        <v>835430</v>
      </c>
      <c r="AB1586" s="222"/>
    </row>
    <row r="1587" spans="1:28" ht="17.100000000000001" customHeight="1" thickBot="1">
      <c r="A1587" s="227"/>
      <c r="B1587" s="27" t="s">
        <v>1708</v>
      </c>
      <c r="C1587" s="27" t="s">
        <v>4996</v>
      </c>
      <c r="D1587" s="14" t="s">
        <v>2088</v>
      </c>
      <c r="E1587" s="229"/>
      <c r="F1587" s="117" t="s">
        <v>7917</v>
      </c>
      <c r="G1587" s="26">
        <v>19320</v>
      </c>
      <c r="H1587" s="231"/>
      <c r="I1587" s="221"/>
      <c r="J1587" s="221"/>
      <c r="K1587" s="221"/>
      <c r="L1587" s="221"/>
      <c r="M1587" s="221"/>
      <c r="N1587" s="221"/>
      <c r="O1587" s="225"/>
      <c r="P1587" s="118" t="s">
        <v>7821</v>
      </c>
      <c r="Q1587" s="16" t="s">
        <v>20</v>
      </c>
      <c r="R1587" s="17" t="s">
        <v>2562</v>
      </c>
      <c r="S1587" s="121" t="s">
        <v>2360</v>
      </c>
      <c r="T1587" s="122"/>
      <c r="U1587" s="22"/>
      <c r="V1587" s="123" t="s">
        <v>2103</v>
      </c>
      <c r="W1587" s="122">
        <v>3433</v>
      </c>
      <c r="X1587" s="221"/>
      <c r="Y1587" s="221"/>
      <c r="Z1587" s="221"/>
      <c r="AA1587" s="221"/>
      <c r="AB1587" s="223"/>
    </row>
    <row r="1588" spans="1:28" ht="17.100000000000001" customHeight="1" thickTop="1">
      <c r="A1588" s="226" t="s">
        <v>6424</v>
      </c>
      <c r="B1588" s="28">
        <v>45919</v>
      </c>
      <c r="C1588" s="25"/>
      <c r="D1588" s="13" t="s">
        <v>4997</v>
      </c>
      <c r="E1588" s="228"/>
      <c r="F1588" s="109" t="s">
        <v>4998</v>
      </c>
      <c r="G1588" s="24" t="s">
        <v>4999</v>
      </c>
      <c r="H1588" s="230">
        <v>4</v>
      </c>
      <c r="I1588" s="220">
        <f>445500/1.1</f>
        <v>404999.99999999994</v>
      </c>
      <c r="J1588" s="220">
        <f>I1588*0.1</f>
        <v>40500</v>
      </c>
      <c r="K1588" s="220">
        <v>0</v>
      </c>
      <c r="L1588" s="220">
        <v>9970</v>
      </c>
      <c r="M1588" s="220">
        <v>49500</v>
      </c>
      <c r="N1588" s="220">
        <f>SUM(I1588:M1589)</f>
        <v>504969.99999999994</v>
      </c>
      <c r="O1588" s="224"/>
      <c r="P1588" s="110" t="s">
        <v>6738</v>
      </c>
      <c r="Q1588" s="15" t="s">
        <v>19</v>
      </c>
      <c r="R1588" s="205"/>
      <c r="S1588" s="189"/>
      <c r="T1588" s="114"/>
      <c r="U1588" s="21"/>
      <c r="V1588" s="115">
        <v>45955</v>
      </c>
      <c r="W1588" s="116">
        <v>1273</v>
      </c>
      <c r="X1588" s="220">
        <v>475000</v>
      </c>
      <c r="Y1588" s="220">
        <f>X1588*0.1</f>
        <v>47500</v>
      </c>
      <c r="Z1588" s="220">
        <v>9970</v>
      </c>
      <c r="AA1588" s="220">
        <f>SUM(X1588:Z1588)</f>
        <v>532470</v>
      </c>
      <c r="AB1588" s="222">
        <v>45958</v>
      </c>
    </row>
    <row r="1589" spans="1:28" ht="17.100000000000001" customHeight="1" thickBot="1">
      <c r="A1589" s="227"/>
      <c r="B1589" s="27" t="s">
        <v>1708</v>
      </c>
      <c r="C1589" s="27" t="s">
        <v>5000</v>
      </c>
      <c r="D1589" s="14" t="s">
        <v>273</v>
      </c>
      <c r="E1589" s="229"/>
      <c r="F1589" s="117" t="s">
        <v>5001</v>
      </c>
      <c r="G1589" s="26">
        <v>49000</v>
      </c>
      <c r="H1589" s="231"/>
      <c r="I1589" s="221"/>
      <c r="J1589" s="221"/>
      <c r="K1589" s="221"/>
      <c r="L1589" s="221"/>
      <c r="M1589" s="221"/>
      <c r="N1589" s="221"/>
      <c r="O1589" s="225"/>
      <c r="P1589" s="118" t="s">
        <v>6739</v>
      </c>
      <c r="Q1589" s="16" t="s">
        <v>20</v>
      </c>
      <c r="R1589" s="17" t="s">
        <v>6610</v>
      </c>
      <c r="S1589" s="121" t="s">
        <v>169</v>
      </c>
      <c r="T1589" s="122"/>
      <c r="U1589" s="22"/>
      <c r="V1589" s="123" t="s">
        <v>2472</v>
      </c>
      <c r="W1589" s="122">
        <v>31087</v>
      </c>
      <c r="X1589" s="221"/>
      <c r="Y1589" s="221"/>
      <c r="Z1589" s="221"/>
      <c r="AA1589" s="221"/>
      <c r="AB1589" s="223"/>
    </row>
    <row r="1590" spans="1:28" ht="17.100000000000001" customHeight="1" thickTop="1">
      <c r="A1590" s="226" t="s">
        <v>6425</v>
      </c>
      <c r="B1590" s="28">
        <v>45919</v>
      </c>
      <c r="C1590" s="25"/>
      <c r="D1590" s="13" t="s">
        <v>1634</v>
      </c>
      <c r="E1590" s="228"/>
      <c r="F1590" s="109" t="s">
        <v>5002</v>
      </c>
      <c r="G1590" s="24" t="s">
        <v>5003</v>
      </c>
      <c r="H1590" s="230">
        <v>4.5</v>
      </c>
      <c r="I1590" s="220">
        <f>3085500/1.1</f>
        <v>2805000</v>
      </c>
      <c r="J1590" s="220">
        <f>I1590*0.1</f>
        <v>280500</v>
      </c>
      <c r="K1590" s="220">
        <v>18100</v>
      </c>
      <c r="L1590" s="220">
        <v>14900</v>
      </c>
      <c r="M1590" s="220">
        <v>132138</v>
      </c>
      <c r="N1590" s="220">
        <f>SUM(I1590:M1591)</f>
        <v>3250638</v>
      </c>
      <c r="O1590" s="224"/>
      <c r="P1590" s="110" t="s">
        <v>8952</v>
      </c>
      <c r="Q1590" s="15" t="s">
        <v>19</v>
      </c>
      <c r="R1590" s="205"/>
      <c r="S1590" s="189" t="s">
        <v>25469</v>
      </c>
      <c r="T1590" s="114"/>
      <c r="U1590" s="21"/>
      <c r="V1590" s="115">
        <v>45948</v>
      </c>
      <c r="W1590" s="116">
        <v>1272</v>
      </c>
      <c r="X1590" s="220">
        <v>3100000</v>
      </c>
      <c r="Y1590" s="220">
        <f>X1590*0.1</f>
        <v>310000</v>
      </c>
      <c r="Z1590" s="220">
        <v>14900</v>
      </c>
      <c r="AA1590" s="220">
        <f>SUM(X1590:Z1590)</f>
        <v>3424900</v>
      </c>
      <c r="AB1590" s="222">
        <v>45958</v>
      </c>
    </row>
    <row r="1591" spans="1:28" ht="17.100000000000001" customHeight="1" thickBot="1">
      <c r="A1591" s="227"/>
      <c r="B1591" s="27" t="s">
        <v>1708</v>
      </c>
      <c r="C1591" s="27" t="s">
        <v>5004</v>
      </c>
      <c r="D1591" s="14" t="s">
        <v>273</v>
      </c>
      <c r="E1591" s="229"/>
      <c r="F1591" s="117" t="s">
        <v>5005</v>
      </c>
      <c r="G1591" s="26">
        <v>57634</v>
      </c>
      <c r="H1591" s="231"/>
      <c r="I1591" s="221"/>
      <c r="J1591" s="221"/>
      <c r="K1591" s="221"/>
      <c r="L1591" s="221"/>
      <c r="M1591" s="221"/>
      <c r="N1591" s="221"/>
      <c r="O1591" s="225"/>
      <c r="P1591" s="118" t="s">
        <v>5068</v>
      </c>
      <c r="Q1591" s="16" t="s">
        <v>20</v>
      </c>
      <c r="R1591" s="17" t="s">
        <v>8953</v>
      </c>
      <c r="S1591" s="121" t="s">
        <v>1606</v>
      </c>
      <c r="T1591" s="122"/>
      <c r="U1591" s="22"/>
      <c r="V1591" s="123" t="s">
        <v>2472</v>
      </c>
      <c r="W1591" s="122">
        <v>37214</v>
      </c>
      <c r="X1591" s="221"/>
      <c r="Y1591" s="221"/>
      <c r="Z1591" s="221"/>
      <c r="AA1591" s="221"/>
      <c r="AB1591" s="223"/>
    </row>
    <row r="1592" spans="1:28" ht="17.100000000000001" customHeight="1" thickTop="1">
      <c r="A1592" s="226" t="s">
        <v>6426</v>
      </c>
      <c r="B1592" s="28">
        <v>45919</v>
      </c>
      <c r="C1592" s="25"/>
      <c r="D1592" s="13" t="s">
        <v>1778</v>
      </c>
      <c r="E1592" s="228"/>
      <c r="F1592" s="109" t="s">
        <v>5006</v>
      </c>
      <c r="G1592" s="24" t="s">
        <v>5007</v>
      </c>
      <c r="H1592" s="232" t="s">
        <v>1705</v>
      </c>
      <c r="I1592" s="220">
        <f>258500/1.1</f>
        <v>234999.99999999997</v>
      </c>
      <c r="J1592" s="220">
        <f>I1592*0.1</f>
        <v>23500</v>
      </c>
      <c r="K1592" s="220">
        <v>21500</v>
      </c>
      <c r="L1592" s="220">
        <v>16360</v>
      </c>
      <c r="M1592" s="220">
        <v>39659</v>
      </c>
      <c r="N1592" s="220">
        <f>SUM(I1592:M1593)</f>
        <v>336019</v>
      </c>
      <c r="O1592" s="224"/>
      <c r="P1592" s="110" t="s">
        <v>5008</v>
      </c>
      <c r="Q1592" s="15" t="s">
        <v>19</v>
      </c>
      <c r="R1592" s="205"/>
      <c r="S1592" s="189" t="s">
        <v>25470</v>
      </c>
      <c r="T1592" s="114"/>
      <c r="U1592" s="21"/>
      <c r="V1592" s="115">
        <v>45934</v>
      </c>
      <c r="W1592" s="116">
        <v>1270</v>
      </c>
      <c r="X1592" s="220">
        <v>300000</v>
      </c>
      <c r="Y1592" s="220">
        <f>X1592*0.1</f>
        <v>30000</v>
      </c>
      <c r="Z1592" s="220">
        <v>16360</v>
      </c>
      <c r="AA1592" s="220">
        <f>SUM(X1592:Z1592)</f>
        <v>346360</v>
      </c>
      <c r="AB1592" s="222">
        <v>45937</v>
      </c>
    </row>
    <row r="1593" spans="1:28" ht="17.100000000000001" customHeight="1" thickBot="1">
      <c r="A1593" s="227"/>
      <c r="B1593" s="27" t="s">
        <v>1708</v>
      </c>
      <c r="C1593" s="27" t="s">
        <v>5009</v>
      </c>
      <c r="D1593" s="14" t="s">
        <v>54</v>
      </c>
      <c r="E1593" s="229"/>
      <c r="F1593" s="117" t="s">
        <v>5010</v>
      </c>
      <c r="G1593" s="26">
        <v>147972</v>
      </c>
      <c r="H1593" s="231"/>
      <c r="I1593" s="221"/>
      <c r="J1593" s="221"/>
      <c r="K1593" s="221"/>
      <c r="L1593" s="221"/>
      <c r="M1593" s="221"/>
      <c r="N1593" s="221"/>
      <c r="O1593" s="225"/>
      <c r="P1593" s="118" t="s">
        <v>5011</v>
      </c>
      <c r="Q1593" s="16" t="s">
        <v>20</v>
      </c>
      <c r="R1593" s="17" t="s">
        <v>4111</v>
      </c>
      <c r="S1593" s="121" t="s">
        <v>3765</v>
      </c>
      <c r="T1593" s="122"/>
      <c r="U1593" s="22"/>
      <c r="V1593" s="123" t="s">
        <v>7159</v>
      </c>
      <c r="W1593" s="122">
        <v>33111</v>
      </c>
      <c r="X1593" s="221"/>
      <c r="Y1593" s="221"/>
      <c r="Z1593" s="221"/>
      <c r="AA1593" s="221"/>
      <c r="AB1593" s="223"/>
    </row>
    <row r="1594" spans="1:28" ht="17.100000000000001" customHeight="1" thickTop="1">
      <c r="A1594" s="226" t="s">
        <v>6427</v>
      </c>
      <c r="B1594" s="28">
        <v>45919</v>
      </c>
      <c r="C1594" s="25"/>
      <c r="D1594" s="13" t="s">
        <v>1702</v>
      </c>
      <c r="E1594" s="228"/>
      <c r="F1594" s="109" t="s">
        <v>5012</v>
      </c>
      <c r="G1594" s="24" t="s">
        <v>5013</v>
      </c>
      <c r="H1594" s="230">
        <v>4.5</v>
      </c>
      <c r="I1594" s="220">
        <f>2849000/1.1</f>
        <v>2590000</v>
      </c>
      <c r="J1594" s="220">
        <f>I1594*0.1</f>
        <v>259000</v>
      </c>
      <c r="K1594" s="220">
        <v>24100</v>
      </c>
      <c r="L1594" s="220">
        <v>14980</v>
      </c>
      <c r="M1594" s="220">
        <v>126225</v>
      </c>
      <c r="N1594" s="220">
        <f>SUM(I1594:M1595)</f>
        <v>3014305</v>
      </c>
      <c r="O1594" s="224"/>
      <c r="P1594" s="110" t="s">
        <v>5014</v>
      </c>
      <c r="Q1594" s="15" t="s">
        <v>19</v>
      </c>
      <c r="R1594" s="205"/>
      <c r="S1594" s="189" t="s">
        <v>1072</v>
      </c>
      <c r="T1594" s="130"/>
      <c r="U1594" s="21"/>
      <c r="V1594" s="115">
        <v>45934</v>
      </c>
      <c r="W1594" s="116">
        <v>1270</v>
      </c>
      <c r="X1594" s="220">
        <v>2730000</v>
      </c>
      <c r="Y1594" s="220">
        <f>X1594*0.1</f>
        <v>273000</v>
      </c>
      <c r="Z1594" s="220">
        <v>14980</v>
      </c>
      <c r="AA1594" s="220">
        <f>SUM(X1594:Z1594)</f>
        <v>3017980</v>
      </c>
      <c r="AB1594" s="222">
        <v>45937</v>
      </c>
    </row>
    <row r="1595" spans="1:28" ht="17.100000000000001" customHeight="1" thickBot="1">
      <c r="A1595" s="227"/>
      <c r="B1595" s="27" t="s">
        <v>1708</v>
      </c>
      <c r="C1595" s="27" t="s">
        <v>5015</v>
      </c>
      <c r="D1595" s="14" t="s">
        <v>2559</v>
      </c>
      <c r="E1595" s="229"/>
      <c r="F1595" s="117" t="s">
        <v>5016</v>
      </c>
      <c r="G1595" s="26">
        <v>65437</v>
      </c>
      <c r="H1595" s="231"/>
      <c r="I1595" s="221"/>
      <c r="J1595" s="221"/>
      <c r="K1595" s="221"/>
      <c r="L1595" s="221"/>
      <c r="M1595" s="221"/>
      <c r="N1595" s="221"/>
      <c r="O1595" s="225"/>
      <c r="P1595" s="118" t="s">
        <v>5017</v>
      </c>
      <c r="Q1595" s="16" t="s">
        <v>20</v>
      </c>
      <c r="R1595" s="17" t="s">
        <v>4111</v>
      </c>
      <c r="S1595" s="121" t="s">
        <v>6991</v>
      </c>
      <c r="T1595" s="122"/>
      <c r="U1595" s="22"/>
      <c r="V1595" s="123" t="s">
        <v>7160</v>
      </c>
      <c r="W1595" s="122">
        <v>37151</v>
      </c>
      <c r="X1595" s="221"/>
      <c r="Y1595" s="221"/>
      <c r="Z1595" s="221"/>
      <c r="AA1595" s="221"/>
      <c r="AB1595" s="223"/>
    </row>
    <row r="1596" spans="1:28" ht="17.100000000000001" customHeight="1" thickTop="1">
      <c r="A1596" s="233" t="s">
        <v>6428</v>
      </c>
      <c r="B1596" s="28">
        <v>45919</v>
      </c>
      <c r="C1596" s="25"/>
      <c r="D1596" s="13" t="s">
        <v>2203</v>
      </c>
      <c r="E1596" s="228"/>
      <c r="F1596" s="109" t="s">
        <v>5018</v>
      </c>
      <c r="G1596" s="24" t="s">
        <v>5019</v>
      </c>
      <c r="H1596" s="230">
        <v>4</v>
      </c>
      <c r="I1596" s="220">
        <f>698500/1.1</f>
        <v>635000</v>
      </c>
      <c r="J1596" s="220">
        <f>I1596*0.1</f>
        <v>63500</v>
      </c>
      <c r="K1596" s="220">
        <v>0</v>
      </c>
      <c r="L1596" s="220">
        <v>8110</v>
      </c>
      <c r="M1596" s="220">
        <v>62817</v>
      </c>
      <c r="N1596" s="220">
        <f>SUM(I1596:M1597)</f>
        <v>769427</v>
      </c>
      <c r="O1596" s="224"/>
      <c r="P1596" s="110" t="s">
        <v>5020</v>
      </c>
      <c r="Q1596" s="15" t="s">
        <v>19</v>
      </c>
      <c r="R1596" s="205"/>
      <c r="S1596" s="189" t="s">
        <v>1361</v>
      </c>
      <c r="T1596" s="114" t="s">
        <v>7068</v>
      </c>
      <c r="U1596" s="21"/>
      <c r="V1596" s="115"/>
      <c r="W1596" s="116"/>
      <c r="X1596" s="220"/>
      <c r="Y1596" s="220">
        <f>X1596*0.1</f>
        <v>0</v>
      </c>
      <c r="Z1596" s="220"/>
      <c r="AA1596" s="220">
        <f>SUM(X1596:Z1596)</f>
        <v>0</v>
      </c>
      <c r="AB1596" s="222"/>
    </row>
    <row r="1597" spans="1:28" ht="17.100000000000001" customHeight="1" thickBot="1">
      <c r="A1597" s="234"/>
      <c r="B1597" s="27" t="s">
        <v>1708</v>
      </c>
      <c r="C1597" s="27" t="s">
        <v>5021</v>
      </c>
      <c r="D1597" s="14" t="s">
        <v>3746</v>
      </c>
      <c r="E1597" s="229"/>
      <c r="F1597" s="117" t="s">
        <v>5022</v>
      </c>
      <c r="G1597" s="26">
        <v>56760</v>
      </c>
      <c r="H1597" s="231"/>
      <c r="I1597" s="221"/>
      <c r="J1597" s="221"/>
      <c r="K1597" s="221"/>
      <c r="L1597" s="221"/>
      <c r="M1597" s="221"/>
      <c r="N1597" s="221"/>
      <c r="O1597" s="225"/>
      <c r="P1597" s="118" t="s">
        <v>5023</v>
      </c>
      <c r="Q1597" s="16" t="s">
        <v>20</v>
      </c>
      <c r="R1597" s="17" t="s">
        <v>4111</v>
      </c>
      <c r="S1597" s="121" t="s">
        <v>5024</v>
      </c>
      <c r="T1597" s="122" t="s">
        <v>5025</v>
      </c>
      <c r="U1597" s="22"/>
      <c r="V1597" s="123"/>
      <c r="W1597" s="122"/>
      <c r="X1597" s="221"/>
      <c r="Y1597" s="221"/>
      <c r="Z1597" s="221"/>
      <c r="AA1597" s="221"/>
      <c r="AB1597" s="223"/>
    </row>
    <row r="1598" spans="1:28" ht="17.100000000000001" customHeight="1" thickTop="1">
      <c r="A1598" s="226" t="s">
        <v>6429</v>
      </c>
      <c r="B1598" s="28">
        <v>45919</v>
      </c>
      <c r="C1598" s="25"/>
      <c r="D1598" s="13" t="s">
        <v>1754</v>
      </c>
      <c r="E1598" s="228"/>
      <c r="F1598" s="109" t="s">
        <v>5026</v>
      </c>
      <c r="G1598" s="24" t="s">
        <v>2806</v>
      </c>
      <c r="H1598" s="230">
        <v>4.5</v>
      </c>
      <c r="I1598" s="220">
        <f>940500/1.1</f>
        <v>854999.99999999988</v>
      </c>
      <c r="J1598" s="220">
        <f>I1598*0.1</f>
        <v>85500</v>
      </c>
      <c r="K1598" s="220">
        <v>0</v>
      </c>
      <c r="L1598" s="220">
        <v>8790</v>
      </c>
      <c r="M1598" s="220">
        <v>75554</v>
      </c>
      <c r="N1598" s="220">
        <f>SUM(I1598:M1599)</f>
        <v>1024843.9999999999</v>
      </c>
      <c r="O1598" s="224"/>
      <c r="P1598" s="110" t="s">
        <v>7939</v>
      </c>
      <c r="Q1598" s="15" t="s">
        <v>19</v>
      </c>
      <c r="R1598" s="205"/>
      <c r="S1598" s="189" t="s">
        <v>25471</v>
      </c>
      <c r="T1598" s="114"/>
      <c r="U1598" s="21"/>
      <c r="V1598" s="115">
        <v>45951</v>
      </c>
      <c r="W1598" s="116">
        <v>1914</v>
      </c>
      <c r="X1598" s="220">
        <v>1000000</v>
      </c>
      <c r="Y1598" s="220">
        <f>X1598*0.1</f>
        <v>100000</v>
      </c>
      <c r="Z1598" s="220">
        <v>8790</v>
      </c>
      <c r="AA1598" s="220">
        <f>SUM(X1598:Z1598)</f>
        <v>1108790</v>
      </c>
      <c r="AB1598" s="222">
        <v>45957</v>
      </c>
    </row>
    <row r="1599" spans="1:28" ht="17.100000000000001" customHeight="1" thickBot="1">
      <c r="A1599" s="227"/>
      <c r="B1599" s="27" t="s">
        <v>1708</v>
      </c>
      <c r="C1599" s="27" t="s">
        <v>5028</v>
      </c>
      <c r="D1599" s="14" t="s">
        <v>3792</v>
      </c>
      <c r="E1599" s="229"/>
      <c r="F1599" s="117" t="s">
        <v>5029</v>
      </c>
      <c r="G1599" s="26">
        <v>12143</v>
      </c>
      <c r="H1599" s="231"/>
      <c r="I1599" s="221"/>
      <c r="J1599" s="221"/>
      <c r="K1599" s="221"/>
      <c r="L1599" s="221"/>
      <c r="M1599" s="221"/>
      <c r="N1599" s="221"/>
      <c r="O1599" s="225"/>
      <c r="P1599" s="118" t="s">
        <v>7940</v>
      </c>
      <c r="Q1599" s="16" t="s">
        <v>20</v>
      </c>
      <c r="R1599" s="17" t="s">
        <v>7909</v>
      </c>
      <c r="S1599" s="121" t="s">
        <v>3765</v>
      </c>
      <c r="T1599" s="122"/>
      <c r="U1599" s="22"/>
      <c r="V1599" s="123" t="s">
        <v>2103</v>
      </c>
      <c r="W1599" s="122">
        <v>3247</v>
      </c>
      <c r="X1599" s="221"/>
      <c r="Y1599" s="221"/>
      <c r="Z1599" s="221"/>
      <c r="AA1599" s="221"/>
      <c r="AB1599" s="223"/>
    </row>
    <row r="1600" spans="1:28" ht="17.100000000000001" customHeight="1" thickTop="1">
      <c r="A1600" s="226" t="s">
        <v>6430</v>
      </c>
      <c r="B1600" s="28">
        <v>45919</v>
      </c>
      <c r="C1600" s="25"/>
      <c r="D1600" s="13" t="s">
        <v>1589</v>
      </c>
      <c r="E1600" s="228"/>
      <c r="F1600" s="109" t="s">
        <v>5030</v>
      </c>
      <c r="G1600" s="24" t="s">
        <v>5031</v>
      </c>
      <c r="H1600" s="232" t="s">
        <v>1705</v>
      </c>
      <c r="I1600" s="220">
        <f>2590500/1.1</f>
        <v>2355000</v>
      </c>
      <c r="J1600" s="220">
        <f>I1600*0.1</f>
        <v>235500</v>
      </c>
      <c r="K1600" s="220">
        <v>18700</v>
      </c>
      <c r="L1600" s="220">
        <v>16550</v>
      </c>
      <c r="M1600" s="220">
        <v>119763</v>
      </c>
      <c r="N1600" s="220">
        <f>SUM(I1600:M1601)</f>
        <v>2745513</v>
      </c>
      <c r="O1600" s="224"/>
      <c r="P1600" s="110" t="s">
        <v>6734</v>
      </c>
      <c r="Q1600" s="15" t="s">
        <v>19</v>
      </c>
      <c r="R1600" s="205"/>
      <c r="S1600" s="189" t="s">
        <v>1276</v>
      </c>
      <c r="T1600" s="114" t="s">
        <v>11396</v>
      </c>
      <c r="U1600" s="21"/>
      <c r="V1600" s="115">
        <v>45955</v>
      </c>
      <c r="W1600" s="116">
        <v>1273</v>
      </c>
      <c r="X1600" s="220">
        <v>2905000</v>
      </c>
      <c r="Y1600" s="220">
        <f>X1600*0.1</f>
        <v>290500</v>
      </c>
      <c r="Z1600" s="220">
        <v>16550</v>
      </c>
      <c r="AA1600" s="220">
        <f>SUM(X1600:Z1600)</f>
        <v>3212050</v>
      </c>
      <c r="AB1600" s="222">
        <v>45958</v>
      </c>
    </row>
    <row r="1601" spans="1:28" ht="17.100000000000001" customHeight="1" thickBot="1">
      <c r="A1601" s="227"/>
      <c r="B1601" s="27" t="s">
        <v>1708</v>
      </c>
      <c r="C1601" s="27" t="s">
        <v>5032</v>
      </c>
      <c r="D1601" s="14" t="s">
        <v>1584</v>
      </c>
      <c r="E1601" s="229"/>
      <c r="F1601" s="117" t="s">
        <v>5033</v>
      </c>
      <c r="G1601" s="26">
        <v>54222</v>
      </c>
      <c r="H1601" s="231"/>
      <c r="I1601" s="221"/>
      <c r="J1601" s="221"/>
      <c r="K1601" s="221"/>
      <c r="L1601" s="221"/>
      <c r="M1601" s="221"/>
      <c r="N1601" s="221"/>
      <c r="O1601" s="225"/>
      <c r="P1601" s="118" t="s">
        <v>6733</v>
      </c>
      <c r="Q1601" s="16" t="s">
        <v>20</v>
      </c>
      <c r="R1601" s="17" t="s">
        <v>6726</v>
      </c>
      <c r="S1601" s="121" t="s">
        <v>9315</v>
      </c>
      <c r="T1601" s="122"/>
      <c r="U1601" s="22"/>
      <c r="V1601" s="123" t="s">
        <v>2472</v>
      </c>
      <c r="W1601" s="122">
        <v>37132</v>
      </c>
      <c r="X1601" s="221"/>
      <c r="Y1601" s="221"/>
      <c r="Z1601" s="221"/>
      <c r="AA1601" s="221"/>
      <c r="AB1601" s="223"/>
    </row>
    <row r="1602" spans="1:28" ht="17.100000000000001" customHeight="1" thickTop="1">
      <c r="A1602" s="226" t="s">
        <v>6431</v>
      </c>
      <c r="B1602" s="28">
        <v>45919</v>
      </c>
      <c r="C1602" s="25"/>
      <c r="D1602" s="13" t="s">
        <v>2644</v>
      </c>
      <c r="E1602" s="228"/>
      <c r="F1602" s="109" t="s">
        <v>5034</v>
      </c>
      <c r="G1602" s="24" t="s">
        <v>5035</v>
      </c>
      <c r="H1602" s="230">
        <v>4</v>
      </c>
      <c r="I1602" s="220">
        <f>946000/1.1</f>
        <v>859999.99999999988</v>
      </c>
      <c r="J1602" s="220">
        <f>I1602*0.1</f>
        <v>86000</v>
      </c>
      <c r="K1602" s="220">
        <v>0</v>
      </c>
      <c r="L1602" s="220">
        <v>8550</v>
      </c>
      <c r="M1602" s="220">
        <v>75843</v>
      </c>
      <c r="N1602" s="220">
        <f>SUM(I1602:M1603)</f>
        <v>1030392.9999999999</v>
      </c>
      <c r="O1602" s="224"/>
      <c r="P1602" s="110" t="s">
        <v>10723</v>
      </c>
      <c r="Q1602" s="15" t="s">
        <v>19</v>
      </c>
      <c r="R1602" s="205"/>
      <c r="S1602" s="189" t="s">
        <v>1276</v>
      </c>
      <c r="T1602" s="114"/>
      <c r="U1602" s="21"/>
      <c r="V1602" s="115">
        <v>45979</v>
      </c>
      <c r="W1602" s="116">
        <v>1918</v>
      </c>
      <c r="X1602" s="220">
        <v>1013000</v>
      </c>
      <c r="Y1602" s="220">
        <f>X1602*0.1</f>
        <v>101300</v>
      </c>
      <c r="Z1602" s="220">
        <v>8550</v>
      </c>
      <c r="AA1602" s="220">
        <f>SUM(X1602:Z1602)</f>
        <v>1122850</v>
      </c>
      <c r="AB1602" s="222">
        <v>45986</v>
      </c>
    </row>
    <row r="1603" spans="1:28" ht="17.100000000000001" customHeight="1" thickBot="1">
      <c r="A1603" s="227"/>
      <c r="B1603" s="27" t="s">
        <v>1708</v>
      </c>
      <c r="C1603" s="27" t="s">
        <v>5036</v>
      </c>
      <c r="D1603" s="14" t="s">
        <v>3274</v>
      </c>
      <c r="E1603" s="229"/>
      <c r="F1603" s="117" t="s">
        <v>5037</v>
      </c>
      <c r="G1603" s="26">
        <v>44382</v>
      </c>
      <c r="H1603" s="231"/>
      <c r="I1603" s="221"/>
      <c r="J1603" s="221"/>
      <c r="K1603" s="221"/>
      <c r="L1603" s="221"/>
      <c r="M1603" s="221"/>
      <c r="N1603" s="221"/>
      <c r="O1603" s="225"/>
      <c r="P1603" s="118" t="s">
        <v>10724</v>
      </c>
      <c r="Q1603" s="16" t="s">
        <v>20</v>
      </c>
      <c r="R1603" s="17" t="s">
        <v>10694</v>
      </c>
      <c r="S1603" s="121" t="s">
        <v>10705</v>
      </c>
      <c r="T1603" s="122"/>
      <c r="U1603" s="22"/>
      <c r="V1603" s="123" t="s">
        <v>2103</v>
      </c>
      <c r="W1603" s="122">
        <v>3367</v>
      </c>
      <c r="X1603" s="221"/>
      <c r="Y1603" s="221"/>
      <c r="Z1603" s="221"/>
      <c r="AA1603" s="221"/>
      <c r="AB1603" s="223"/>
    </row>
    <row r="1604" spans="1:28" ht="17.100000000000001" customHeight="1" thickTop="1">
      <c r="A1604" s="226" t="s">
        <v>6432</v>
      </c>
      <c r="B1604" s="28">
        <v>45919</v>
      </c>
      <c r="C1604" s="25"/>
      <c r="D1604" s="13" t="s">
        <v>4775</v>
      </c>
      <c r="E1604" s="228"/>
      <c r="F1604" s="109" t="s">
        <v>5038</v>
      </c>
      <c r="G1604" s="24" t="s">
        <v>5039</v>
      </c>
      <c r="H1604" s="230">
        <v>4.5</v>
      </c>
      <c r="I1604" s="220">
        <f>1039500/1.1</f>
        <v>944999.99999999988</v>
      </c>
      <c r="J1604" s="220">
        <f>I1604*0.1</f>
        <v>94500</v>
      </c>
      <c r="K1604" s="220">
        <v>0</v>
      </c>
      <c r="L1604" s="220">
        <v>8990</v>
      </c>
      <c r="M1604" s="220">
        <v>80765</v>
      </c>
      <c r="N1604" s="220">
        <f>SUM(I1604:M1605)</f>
        <v>1129255</v>
      </c>
      <c r="O1604" s="224"/>
      <c r="P1604" s="110" t="s">
        <v>6740</v>
      </c>
      <c r="Q1604" s="15" t="s">
        <v>19</v>
      </c>
      <c r="R1604" s="205"/>
      <c r="S1604" s="189" t="s">
        <v>25383</v>
      </c>
      <c r="T1604" s="114"/>
      <c r="U1604" s="21"/>
      <c r="V1604" s="115">
        <v>45937</v>
      </c>
      <c r="W1604" s="116">
        <v>1912</v>
      </c>
      <c r="X1604" s="220">
        <v>1178000</v>
      </c>
      <c r="Y1604" s="220">
        <f>X1604*0.1</f>
        <v>117800</v>
      </c>
      <c r="Z1604" s="220">
        <v>8990</v>
      </c>
      <c r="AA1604" s="220">
        <f>SUM(X1604:Z1604)</f>
        <v>1304790</v>
      </c>
      <c r="AB1604" s="222"/>
    </row>
    <row r="1605" spans="1:28" ht="17.100000000000001" customHeight="1" thickBot="1">
      <c r="A1605" s="227"/>
      <c r="B1605" s="27" t="s">
        <v>1708</v>
      </c>
      <c r="C1605" s="27" t="s">
        <v>5040</v>
      </c>
      <c r="D1605" s="14" t="s">
        <v>1797</v>
      </c>
      <c r="E1605" s="229"/>
      <c r="F1605" s="117" t="s">
        <v>5041</v>
      </c>
      <c r="G1605" s="26">
        <v>48791</v>
      </c>
      <c r="H1605" s="231"/>
      <c r="I1605" s="221"/>
      <c r="J1605" s="221"/>
      <c r="K1605" s="221"/>
      <c r="L1605" s="221"/>
      <c r="M1605" s="221"/>
      <c r="N1605" s="221"/>
      <c r="O1605" s="225"/>
      <c r="P1605" s="118" t="s">
        <v>6741</v>
      </c>
      <c r="Q1605" s="16" t="s">
        <v>20</v>
      </c>
      <c r="R1605" s="17" t="s">
        <v>6610</v>
      </c>
      <c r="S1605" s="121" t="s">
        <v>2711</v>
      </c>
      <c r="T1605" s="122"/>
      <c r="U1605" s="22"/>
      <c r="V1605" s="123" t="s">
        <v>2103</v>
      </c>
      <c r="W1605" s="122">
        <v>3378</v>
      </c>
      <c r="X1605" s="221"/>
      <c r="Y1605" s="221"/>
      <c r="Z1605" s="221"/>
      <c r="AA1605" s="221"/>
      <c r="AB1605" s="223"/>
    </row>
    <row r="1606" spans="1:28" ht="17.100000000000001" customHeight="1" thickTop="1">
      <c r="A1606" s="226" t="s">
        <v>6433</v>
      </c>
      <c r="B1606" s="28">
        <v>45919</v>
      </c>
      <c r="C1606" s="25">
        <v>1386</v>
      </c>
      <c r="D1606" s="13" t="s">
        <v>1666</v>
      </c>
      <c r="E1606" s="228"/>
      <c r="F1606" s="109" t="s">
        <v>5042</v>
      </c>
      <c r="G1606" s="24" t="s">
        <v>5043</v>
      </c>
      <c r="H1606" s="230">
        <v>4.5</v>
      </c>
      <c r="I1606" s="220">
        <v>700000</v>
      </c>
      <c r="J1606" s="220">
        <f>I1606*0.1</f>
        <v>70000</v>
      </c>
      <c r="K1606" s="220">
        <v>0</v>
      </c>
      <c r="L1606" s="220">
        <v>9550</v>
      </c>
      <c r="M1606" s="220">
        <v>13200</v>
      </c>
      <c r="N1606" s="220">
        <f>SUM(I1606:M1607)</f>
        <v>792750</v>
      </c>
      <c r="O1606" s="224"/>
      <c r="P1606" s="110" t="s">
        <v>5044</v>
      </c>
      <c r="Q1606" s="15" t="s">
        <v>19</v>
      </c>
      <c r="R1606" s="205"/>
      <c r="S1606" s="189" t="s">
        <v>1361</v>
      </c>
      <c r="T1606" s="114"/>
      <c r="U1606" s="21" t="s">
        <v>8155</v>
      </c>
      <c r="V1606" s="115">
        <v>45955</v>
      </c>
      <c r="W1606" s="116">
        <v>1273</v>
      </c>
      <c r="X1606" s="220">
        <v>700000</v>
      </c>
      <c r="Y1606" s="220">
        <f>X1606*0.1</f>
        <v>70000</v>
      </c>
      <c r="Z1606" s="220">
        <v>9550</v>
      </c>
      <c r="AA1606" s="220">
        <f>SUM(X1606:Z1606)</f>
        <v>779550</v>
      </c>
      <c r="AB1606" s="222">
        <v>45960</v>
      </c>
    </row>
    <row r="1607" spans="1:28" ht="17.100000000000001" customHeight="1" thickBot="1">
      <c r="A1607" s="227"/>
      <c r="B1607" s="27" t="s">
        <v>2597</v>
      </c>
      <c r="C1607" s="27">
        <v>3113</v>
      </c>
      <c r="D1607" s="14" t="s">
        <v>131</v>
      </c>
      <c r="E1607" s="229"/>
      <c r="F1607" s="117" t="s">
        <v>5045</v>
      </c>
      <c r="G1607" s="26">
        <v>41960</v>
      </c>
      <c r="H1607" s="231"/>
      <c r="I1607" s="221"/>
      <c r="J1607" s="221"/>
      <c r="K1607" s="221"/>
      <c r="L1607" s="221"/>
      <c r="M1607" s="221"/>
      <c r="N1607" s="221"/>
      <c r="O1607" s="225"/>
      <c r="P1607" s="118" t="s">
        <v>5046</v>
      </c>
      <c r="Q1607" s="16" t="s">
        <v>20</v>
      </c>
      <c r="R1607" s="17" t="s">
        <v>4212</v>
      </c>
      <c r="S1607" s="121" t="s">
        <v>5047</v>
      </c>
      <c r="T1607" s="122"/>
      <c r="U1607" s="22"/>
      <c r="V1607" s="123" t="s">
        <v>2472</v>
      </c>
      <c r="W1607" s="122">
        <v>60254</v>
      </c>
      <c r="X1607" s="221"/>
      <c r="Y1607" s="221"/>
      <c r="Z1607" s="221"/>
      <c r="AA1607" s="221"/>
      <c r="AB1607" s="223"/>
    </row>
    <row r="1608" spans="1:28" ht="17.100000000000001" customHeight="1" thickTop="1">
      <c r="A1608" s="226" t="s">
        <v>6434</v>
      </c>
      <c r="B1608" s="28">
        <v>45919</v>
      </c>
      <c r="C1608" s="25">
        <v>1386</v>
      </c>
      <c r="D1608" s="13" t="s">
        <v>2288</v>
      </c>
      <c r="E1608" s="228"/>
      <c r="F1608" s="109" t="s">
        <v>5048</v>
      </c>
      <c r="G1608" s="24" t="s">
        <v>5049</v>
      </c>
      <c r="H1608" s="230">
        <v>4</v>
      </c>
      <c r="I1608" s="220">
        <v>544000</v>
      </c>
      <c r="J1608" s="220">
        <f>I1608*0.1</f>
        <v>54400</v>
      </c>
      <c r="K1608" s="220">
        <v>0</v>
      </c>
      <c r="L1608" s="220">
        <v>7950</v>
      </c>
      <c r="M1608" s="220">
        <v>13200</v>
      </c>
      <c r="N1608" s="220">
        <f>SUM(I1608:M1609)</f>
        <v>619550</v>
      </c>
      <c r="O1608" s="224"/>
      <c r="P1608" s="110" t="s">
        <v>5050</v>
      </c>
      <c r="Q1608" s="15" t="s">
        <v>19</v>
      </c>
      <c r="R1608" s="205"/>
      <c r="S1608" s="189"/>
      <c r="T1608" s="114"/>
      <c r="U1608" s="21" t="s">
        <v>7576</v>
      </c>
      <c r="V1608" s="115">
        <v>45952</v>
      </c>
      <c r="W1608" s="116">
        <v>989</v>
      </c>
      <c r="X1608" s="220">
        <v>630000</v>
      </c>
      <c r="Y1608" s="220">
        <f>X1608*0.1</f>
        <v>63000</v>
      </c>
      <c r="Z1608" s="220">
        <v>7950</v>
      </c>
      <c r="AA1608" s="220">
        <f>SUM(X1608:Z1608)</f>
        <v>700950</v>
      </c>
      <c r="AB1608" s="222">
        <v>45957</v>
      </c>
    </row>
    <row r="1609" spans="1:28" ht="17.100000000000001" customHeight="1" thickBot="1">
      <c r="A1609" s="227"/>
      <c r="B1609" s="27" t="s">
        <v>2597</v>
      </c>
      <c r="C1609" s="27">
        <v>3194</v>
      </c>
      <c r="D1609" s="14" t="s">
        <v>898</v>
      </c>
      <c r="E1609" s="229"/>
      <c r="F1609" s="117" t="s">
        <v>5051</v>
      </c>
      <c r="G1609" s="26">
        <v>42528</v>
      </c>
      <c r="H1609" s="231"/>
      <c r="I1609" s="221"/>
      <c r="J1609" s="221"/>
      <c r="K1609" s="221"/>
      <c r="L1609" s="221"/>
      <c r="M1609" s="221"/>
      <c r="N1609" s="221"/>
      <c r="O1609" s="225"/>
      <c r="P1609" s="118" t="s">
        <v>5052</v>
      </c>
      <c r="Q1609" s="16" t="s">
        <v>20</v>
      </c>
      <c r="R1609" s="17" t="s">
        <v>4212</v>
      </c>
      <c r="S1609" s="121" t="s">
        <v>3566</v>
      </c>
      <c r="T1609" s="122"/>
      <c r="U1609" s="22"/>
      <c r="V1609" s="123" t="s">
        <v>2747</v>
      </c>
      <c r="W1609" s="122">
        <v>2019</v>
      </c>
      <c r="X1609" s="221"/>
      <c r="Y1609" s="221"/>
      <c r="Z1609" s="221"/>
      <c r="AA1609" s="221"/>
      <c r="AB1609" s="223"/>
    </row>
    <row r="1610" spans="1:28" ht="17.100000000000001" customHeight="1" thickTop="1">
      <c r="A1610" s="226" t="s">
        <v>6435</v>
      </c>
      <c r="B1610" s="28">
        <v>45919</v>
      </c>
      <c r="C1610" s="25">
        <v>1386</v>
      </c>
      <c r="D1610" s="13" t="s">
        <v>1632</v>
      </c>
      <c r="E1610" s="228"/>
      <c r="F1610" s="109" t="s">
        <v>5053</v>
      </c>
      <c r="G1610" s="24" t="s">
        <v>5054</v>
      </c>
      <c r="H1610" s="230">
        <v>4</v>
      </c>
      <c r="I1610" s="220">
        <v>424000</v>
      </c>
      <c r="J1610" s="220">
        <f>I1610*0.1</f>
        <v>42400</v>
      </c>
      <c r="K1610" s="220">
        <v>0</v>
      </c>
      <c r="L1610" s="220">
        <v>9190</v>
      </c>
      <c r="M1610" s="220">
        <v>13200</v>
      </c>
      <c r="N1610" s="220">
        <f>SUM(I1610:M1611)</f>
        <v>488790</v>
      </c>
      <c r="O1610" s="224"/>
      <c r="P1610" s="110" t="s">
        <v>5055</v>
      </c>
      <c r="Q1610" s="15" t="s">
        <v>19</v>
      </c>
      <c r="R1610" s="205"/>
      <c r="S1610" s="189"/>
      <c r="T1610" s="114"/>
      <c r="U1610" s="21" t="s">
        <v>7221</v>
      </c>
      <c r="V1610" s="115">
        <v>45934</v>
      </c>
      <c r="W1610" s="116">
        <v>1270</v>
      </c>
      <c r="X1610" s="220">
        <v>525000</v>
      </c>
      <c r="Y1610" s="220">
        <f>X1610*0.1</f>
        <v>52500</v>
      </c>
      <c r="Z1610" s="220">
        <v>9190</v>
      </c>
      <c r="AA1610" s="220">
        <f>SUM(X1610:Z1610)</f>
        <v>586690</v>
      </c>
      <c r="AB1610" s="222">
        <v>45939</v>
      </c>
    </row>
    <row r="1611" spans="1:28" ht="17.100000000000001" customHeight="1" thickBot="1">
      <c r="A1611" s="227"/>
      <c r="B1611" s="27" t="s">
        <v>2597</v>
      </c>
      <c r="C1611" s="27">
        <v>3196</v>
      </c>
      <c r="D1611" s="14" t="s">
        <v>273</v>
      </c>
      <c r="E1611" s="229"/>
      <c r="F1611" s="117" t="s">
        <v>5056</v>
      </c>
      <c r="G1611" s="26">
        <v>57819</v>
      </c>
      <c r="H1611" s="231"/>
      <c r="I1611" s="221"/>
      <c r="J1611" s="221"/>
      <c r="K1611" s="221"/>
      <c r="L1611" s="221"/>
      <c r="M1611" s="221"/>
      <c r="N1611" s="221"/>
      <c r="O1611" s="225"/>
      <c r="P1611" s="118" t="s">
        <v>5057</v>
      </c>
      <c r="Q1611" s="16" t="s">
        <v>20</v>
      </c>
      <c r="R1611" s="17" t="s">
        <v>4212</v>
      </c>
      <c r="S1611" s="121" t="s">
        <v>5058</v>
      </c>
      <c r="T1611" s="122"/>
      <c r="U1611" s="22"/>
      <c r="V1611" s="123" t="s">
        <v>7160</v>
      </c>
      <c r="W1611" s="122">
        <v>60082</v>
      </c>
      <c r="X1611" s="221"/>
      <c r="Y1611" s="221"/>
      <c r="Z1611" s="221"/>
      <c r="AA1611" s="221"/>
      <c r="AB1611" s="223"/>
    </row>
    <row r="1612" spans="1:28" ht="17.100000000000001" customHeight="1" thickTop="1">
      <c r="A1612" s="226" t="s">
        <v>6436</v>
      </c>
      <c r="B1612" s="28">
        <v>45919</v>
      </c>
      <c r="C1612" s="25">
        <v>1386</v>
      </c>
      <c r="D1612" s="13" t="s">
        <v>2371</v>
      </c>
      <c r="E1612" s="228"/>
      <c r="F1612" s="109" t="s">
        <v>4145</v>
      </c>
      <c r="G1612" s="24" t="s">
        <v>5059</v>
      </c>
      <c r="H1612" s="230">
        <v>3.5</v>
      </c>
      <c r="I1612" s="220">
        <v>154000</v>
      </c>
      <c r="J1612" s="220">
        <f>I1612*0.1</f>
        <v>15400</v>
      </c>
      <c r="K1612" s="220">
        <v>0</v>
      </c>
      <c r="L1612" s="220">
        <v>8930</v>
      </c>
      <c r="M1612" s="220">
        <v>13200</v>
      </c>
      <c r="N1612" s="220">
        <f>SUM(I1612:M1613)</f>
        <v>191530</v>
      </c>
      <c r="O1612" s="224"/>
      <c r="P1612" s="110" t="s">
        <v>5060</v>
      </c>
      <c r="Q1612" s="15" t="s">
        <v>19</v>
      </c>
      <c r="R1612" s="205"/>
      <c r="S1612" s="189" t="s">
        <v>1361</v>
      </c>
      <c r="T1612" s="114" t="s">
        <v>5061</v>
      </c>
      <c r="U1612" s="21" t="s">
        <v>7577</v>
      </c>
      <c r="V1612" s="115">
        <v>45962</v>
      </c>
      <c r="W1612" s="116">
        <v>1274</v>
      </c>
      <c r="X1612" s="220">
        <v>205000</v>
      </c>
      <c r="Y1612" s="220">
        <f>X1612*0.1</f>
        <v>20500</v>
      </c>
      <c r="Z1612" s="220">
        <v>9790</v>
      </c>
      <c r="AA1612" s="220">
        <f>SUM(X1612:Z1612)</f>
        <v>235290</v>
      </c>
      <c r="AB1612" s="222">
        <v>45965</v>
      </c>
    </row>
    <row r="1613" spans="1:28" ht="17.100000000000001" customHeight="1" thickBot="1">
      <c r="A1613" s="227"/>
      <c r="B1613" s="27" t="s">
        <v>2597</v>
      </c>
      <c r="C1613" s="27">
        <v>3204</v>
      </c>
      <c r="D1613" s="14" t="s">
        <v>3731</v>
      </c>
      <c r="E1613" s="229"/>
      <c r="F1613" s="117" t="s">
        <v>5062</v>
      </c>
      <c r="G1613" s="26">
        <v>56300</v>
      </c>
      <c r="H1613" s="231"/>
      <c r="I1613" s="221"/>
      <c r="J1613" s="221"/>
      <c r="K1613" s="221"/>
      <c r="L1613" s="221"/>
      <c r="M1613" s="221"/>
      <c r="N1613" s="221"/>
      <c r="O1613" s="225"/>
      <c r="P1613" s="118" t="s">
        <v>5063</v>
      </c>
      <c r="Q1613" s="16" t="s">
        <v>20</v>
      </c>
      <c r="R1613" s="17" t="s">
        <v>4212</v>
      </c>
      <c r="S1613" s="121" t="s">
        <v>5064</v>
      </c>
      <c r="T1613" s="122"/>
      <c r="U1613" s="22"/>
      <c r="V1613" s="123" t="s">
        <v>2472</v>
      </c>
      <c r="W1613" s="122">
        <v>60383</v>
      </c>
      <c r="X1613" s="221"/>
      <c r="Y1613" s="221"/>
      <c r="Z1613" s="221"/>
      <c r="AA1613" s="221"/>
      <c r="AB1613" s="223"/>
    </row>
    <row r="1614" spans="1:28" ht="17.100000000000001" customHeight="1" thickTop="1">
      <c r="A1614" s="226" t="s">
        <v>6437</v>
      </c>
      <c r="B1614" s="28">
        <v>45920</v>
      </c>
      <c r="C1614" s="25">
        <v>990</v>
      </c>
      <c r="D1614" s="13" t="s">
        <v>1704</v>
      </c>
      <c r="E1614" s="228"/>
      <c r="F1614" s="109" t="s">
        <v>5065</v>
      </c>
      <c r="G1614" s="24"/>
      <c r="H1614" s="230">
        <v>4.5</v>
      </c>
      <c r="I1614" s="220">
        <v>2100000</v>
      </c>
      <c r="J1614" s="220">
        <f>I1614*0.1</f>
        <v>210000</v>
      </c>
      <c r="K1614" s="220">
        <v>0</v>
      </c>
      <c r="L1614" s="220">
        <v>19250</v>
      </c>
      <c r="M1614" s="220">
        <v>19090</v>
      </c>
      <c r="N1614" s="220">
        <f>SUM(I1614:M1615)</f>
        <v>2348340</v>
      </c>
      <c r="O1614" s="224"/>
      <c r="P1614" s="110" t="s">
        <v>5066</v>
      </c>
      <c r="Q1614" s="15" t="s">
        <v>19</v>
      </c>
      <c r="R1614" s="205"/>
      <c r="S1614" s="189" t="s">
        <v>758</v>
      </c>
      <c r="T1614" s="114"/>
      <c r="U1614" s="21"/>
      <c r="V1614" s="115">
        <v>45962</v>
      </c>
      <c r="W1614" s="116">
        <v>1274</v>
      </c>
      <c r="X1614" s="220">
        <v>2280000</v>
      </c>
      <c r="Y1614" s="220">
        <f>X1614*0.1</f>
        <v>228000</v>
      </c>
      <c r="Z1614" s="220">
        <v>19090</v>
      </c>
      <c r="AA1614" s="220">
        <f>SUM(X1614:Z1614)</f>
        <v>2527090</v>
      </c>
      <c r="AB1614" s="222">
        <v>45965</v>
      </c>
    </row>
    <row r="1615" spans="1:28" ht="17.100000000000001" customHeight="1" thickBot="1">
      <c r="A1615" s="227"/>
      <c r="B1615" s="27" t="s">
        <v>1697</v>
      </c>
      <c r="C1615" s="27">
        <v>5081</v>
      </c>
      <c r="D1615" s="14" t="s">
        <v>2788</v>
      </c>
      <c r="E1615" s="229"/>
      <c r="F1615" s="117" t="s">
        <v>5067</v>
      </c>
      <c r="G1615" s="26">
        <v>19206</v>
      </c>
      <c r="H1615" s="231"/>
      <c r="I1615" s="221"/>
      <c r="J1615" s="221"/>
      <c r="K1615" s="221"/>
      <c r="L1615" s="221"/>
      <c r="M1615" s="221"/>
      <c r="N1615" s="221"/>
      <c r="O1615" s="225"/>
      <c r="P1615" s="118" t="s">
        <v>5068</v>
      </c>
      <c r="Q1615" s="16" t="s">
        <v>20</v>
      </c>
      <c r="R1615" s="17" t="s">
        <v>4529</v>
      </c>
      <c r="S1615" s="121" t="s">
        <v>5069</v>
      </c>
      <c r="T1615" s="122"/>
      <c r="U1615" s="22"/>
      <c r="V1615" s="123" t="s">
        <v>2472</v>
      </c>
      <c r="W1615" s="122">
        <v>80069</v>
      </c>
      <c r="X1615" s="221"/>
      <c r="Y1615" s="221"/>
      <c r="Z1615" s="221"/>
      <c r="AA1615" s="221"/>
      <c r="AB1615" s="223"/>
    </row>
    <row r="1616" spans="1:28" ht="17.100000000000001" customHeight="1" thickTop="1">
      <c r="A1616" s="226" t="s">
        <v>6438</v>
      </c>
      <c r="B1616" s="28">
        <v>45920</v>
      </c>
      <c r="C1616" s="25">
        <v>1511</v>
      </c>
      <c r="D1616" s="13" t="s">
        <v>3422</v>
      </c>
      <c r="E1616" s="228"/>
      <c r="F1616" s="109" t="s">
        <v>3577</v>
      </c>
      <c r="G1616" s="24"/>
      <c r="H1616" s="230">
        <v>4.5</v>
      </c>
      <c r="I1616" s="220">
        <v>1610000</v>
      </c>
      <c r="J1616" s="220">
        <f>I1616*0.1</f>
        <v>161000</v>
      </c>
      <c r="K1616" s="220">
        <v>0</v>
      </c>
      <c r="L1616" s="220">
        <v>16240</v>
      </c>
      <c r="M1616" s="220">
        <v>16500</v>
      </c>
      <c r="N1616" s="220">
        <f>SUM(I1616:M1617)</f>
        <v>1803740</v>
      </c>
      <c r="O1616" s="224"/>
      <c r="P1616" s="110" t="s">
        <v>5070</v>
      </c>
      <c r="Q1616" s="15" t="s">
        <v>19</v>
      </c>
      <c r="R1616" s="205"/>
      <c r="S1616" s="189" t="s">
        <v>25371</v>
      </c>
      <c r="T1616" s="114"/>
      <c r="U1616" s="21"/>
      <c r="V1616" s="115"/>
      <c r="W1616" s="116"/>
      <c r="X1616" s="220"/>
      <c r="Y1616" s="220">
        <f>X1616*0.1</f>
        <v>0</v>
      </c>
      <c r="Z1616" s="220"/>
      <c r="AA1616" s="220">
        <f>SUM(X1616:Z1616)</f>
        <v>0</v>
      </c>
      <c r="AB1616" s="222"/>
    </row>
    <row r="1617" spans="1:28" ht="17.100000000000001" customHeight="1" thickBot="1">
      <c r="A1617" s="227"/>
      <c r="B1617" s="27" t="s">
        <v>1547</v>
      </c>
      <c r="C1617" s="27">
        <v>83184</v>
      </c>
      <c r="D1617" s="14" t="s">
        <v>3731</v>
      </c>
      <c r="E1617" s="229"/>
      <c r="F1617" s="117" t="s">
        <v>5071</v>
      </c>
      <c r="G1617" s="26">
        <v>52258</v>
      </c>
      <c r="H1617" s="231"/>
      <c r="I1617" s="221"/>
      <c r="J1617" s="221"/>
      <c r="K1617" s="221"/>
      <c r="L1617" s="221"/>
      <c r="M1617" s="221"/>
      <c r="N1617" s="221"/>
      <c r="O1617" s="225"/>
      <c r="P1617" s="118" t="s">
        <v>1972</v>
      </c>
      <c r="Q1617" s="16" t="s">
        <v>20</v>
      </c>
      <c r="R1617" s="17" t="s">
        <v>4914</v>
      </c>
      <c r="S1617" s="121" t="s">
        <v>1731</v>
      </c>
      <c r="T1617" s="122"/>
      <c r="U1617" s="22"/>
      <c r="V1617" s="123"/>
      <c r="W1617" s="122"/>
      <c r="X1617" s="221"/>
      <c r="Y1617" s="221"/>
      <c r="Z1617" s="221"/>
      <c r="AA1617" s="221"/>
      <c r="AB1617" s="223"/>
    </row>
    <row r="1618" spans="1:28" ht="17.100000000000001" customHeight="1" thickTop="1">
      <c r="A1618" s="226" t="s">
        <v>6439</v>
      </c>
      <c r="B1618" s="28">
        <v>45920</v>
      </c>
      <c r="C1618" s="25">
        <v>1690</v>
      </c>
      <c r="D1618" s="13" t="s">
        <v>2313</v>
      </c>
      <c r="E1618" s="228"/>
      <c r="F1618" s="109" t="s">
        <v>5072</v>
      </c>
      <c r="G1618" s="24"/>
      <c r="H1618" s="230">
        <v>4.5</v>
      </c>
      <c r="I1618" s="220">
        <v>1800000</v>
      </c>
      <c r="J1618" s="220">
        <f>I1618*0.1</f>
        <v>180000</v>
      </c>
      <c r="K1618" s="220">
        <v>0</v>
      </c>
      <c r="L1618" s="220">
        <v>21830</v>
      </c>
      <c r="M1618" s="220">
        <v>23100</v>
      </c>
      <c r="N1618" s="220">
        <f>SUM(I1618:M1619)</f>
        <v>2024930</v>
      </c>
      <c r="O1618" s="224"/>
      <c r="P1618" s="110" t="s">
        <v>5073</v>
      </c>
      <c r="Q1618" s="15" t="s">
        <v>19</v>
      </c>
      <c r="R1618" s="205"/>
      <c r="S1618" s="189" t="s">
        <v>25367</v>
      </c>
      <c r="T1618" s="114"/>
      <c r="U1618" s="21"/>
      <c r="V1618" s="115">
        <v>45948</v>
      </c>
      <c r="W1618" s="116">
        <v>1272</v>
      </c>
      <c r="X1618" s="220">
        <v>1930000</v>
      </c>
      <c r="Y1618" s="220">
        <f>X1618*0.1</f>
        <v>193000</v>
      </c>
      <c r="Z1618" s="220">
        <v>21830</v>
      </c>
      <c r="AA1618" s="220">
        <f>SUM(X1618:Z1618)</f>
        <v>2144830</v>
      </c>
      <c r="AB1618" s="222">
        <v>45951</v>
      </c>
    </row>
    <row r="1619" spans="1:28" ht="17.100000000000001" customHeight="1" thickBot="1">
      <c r="A1619" s="227"/>
      <c r="B1619" s="27" t="s">
        <v>1842</v>
      </c>
      <c r="C1619" s="27">
        <v>508</v>
      </c>
      <c r="D1619" s="14" t="s">
        <v>131</v>
      </c>
      <c r="E1619" s="229"/>
      <c r="F1619" s="117" t="s">
        <v>5074</v>
      </c>
      <c r="G1619" s="26">
        <v>38666</v>
      </c>
      <c r="H1619" s="231"/>
      <c r="I1619" s="221"/>
      <c r="J1619" s="221"/>
      <c r="K1619" s="221"/>
      <c r="L1619" s="221"/>
      <c r="M1619" s="221"/>
      <c r="N1619" s="221"/>
      <c r="O1619" s="225"/>
      <c r="P1619" s="118" t="s">
        <v>5075</v>
      </c>
      <c r="Q1619" s="16" t="s">
        <v>20</v>
      </c>
      <c r="R1619" s="17" t="s">
        <v>4212</v>
      </c>
      <c r="S1619" s="121" t="s">
        <v>1606</v>
      </c>
      <c r="T1619" s="122"/>
      <c r="U1619" s="22"/>
      <c r="V1619" s="123" t="s">
        <v>2472</v>
      </c>
      <c r="W1619" s="122">
        <v>80120</v>
      </c>
      <c r="X1619" s="221"/>
      <c r="Y1619" s="221"/>
      <c r="Z1619" s="221"/>
      <c r="AA1619" s="221"/>
      <c r="AB1619" s="223"/>
    </row>
    <row r="1620" spans="1:28" ht="17.100000000000001" customHeight="1" thickTop="1">
      <c r="A1620" s="226" t="s">
        <v>6440</v>
      </c>
      <c r="B1620" s="28">
        <v>45920</v>
      </c>
      <c r="C1620" s="25">
        <v>1268</v>
      </c>
      <c r="D1620" s="13" t="s">
        <v>1829</v>
      </c>
      <c r="E1620" s="228"/>
      <c r="F1620" s="109" t="s">
        <v>2556</v>
      </c>
      <c r="G1620" s="24"/>
      <c r="H1620" s="230">
        <v>4</v>
      </c>
      <c r="I1620" s="220">
        <v>1150000</v>
      </c>
      <c r="J1620" s="220">
        <f>I1620*0.1</f>
        <v>115000</v>
      </c>
      <c r="K1620" s="220">
        <v>0</v>
      </c>
      <c r="L1620" s="220">
        <v>8390</v>
      </c>
      <c r="M1620" s="220">
        <v>23100</v>
      </c>
      <c r="N1620" s="220">
        <f>SUM(I1620:M1621)</f>
        <v>1296490</v>
      </c>
      <c r="O1620" s="224"/>
      <c r="P1620" s="110" t="s">
        <v>6647</v>
      </c>
      <c r="Q1620" s="15" t="s">
        <v>19</v>
      </c>
      <c r="R1620" s="205"/>
      <c r="S1620" s="189" t="s">
        <v>25367</v>
      </c>
      <c r="T1620" s="114"/>
      <c r="U1620" s="21"/>
      <c r="V1620" s="115">
        <v>45934</v>
      </c>
      <c r="W1620" s="116">
        <v>1270</v>
      </c>
      <c r="X1620" s="220">
        <v>1210000</v>
      </c>
      <c r="Y1620" s="220">
        <f>X1620*0.1</f>
        <v>121000</v>
      </c>
      <c r="Z1620" s="220">
        <v>8390</v>
      </c>
      <c r="AA1620" s="220">
        <f>SUM(X1620:Z1620)</f>
        <v>1339390</v>
      </c>
      <c r="AB1620" s="222">
        <v>45937</v>
      </c>
    </row>
    <row r="1621" spans="1:28" ht="17.100000000000001" customHeight="1" thickBot="1">
      <c r="A1621" s="227"/>
      <c r="B1621" s="27" t="s">
        <v>2472</v>
      </c>
      <c r="C1621" s="27">
        <v>31208</v>
      </c>
      <c r="D1621" s="14" t="s">
        <v>273</v>
      </c>
      <c r="E1621" s="229"/>
      <c r="F1621" s="117" t="s">
        <v>5076</v>
      </c>
      <c r="G1621" s="26">
        <v>23980</v>
      </c>
      <c r="H1621" s="231"/>
      <c r="I1621" s="221"/>
      <c r="J1621" s="221"/>
      <c r="K1621" s="221"/>
      <c r="L1621" s="221"/>
      <c r="M1621" s="221"/>
      <c r="N1621" s="221"/>
      <c r="O1621" s="225"/>
      <c r="P1621" s="118" t="s">
        <v>6648</v>
      </c>
      <c r="Q1621" s="16" t="s">
        <v>20</v>
      </c>
      <c r="R1621" s="17" t="s">
        <v>6610</v>
      </c>
      <c r="S1621" s="121" t="s">
        <v>5047</v>
      </c>
      <c r="T1621" s="122" t="s">
        <v>5077</v>
      </c>
      <c r="U1621" s="22"/>
      <c r="V1621" s="123" t="s">
        <v>7160</v>
      </c>
      <c r="W1621" s="122">
        <v>60319</v>
      </c>
      <c r="X1621" s="221"/>
      <c r="Y1621" s="221"/>
      <c r="Z1621" s="221"/>
      <c r="AA1621" s="221"/>
      <c r="AB1621" s="223"/>
    </row>
    <row r="1622" spans="1:28" ht="17.100000000000001" customHeight="1" thickTop="1">
      <c r="A1622" s="226" t="s">
        <v>6441</v>
      </c>
      <c r="B1622" s="28">
        <v>45920</v>
      </c>
      <c r="C1622" s="25">
        <v>1268</v>
      </c>
      <c r="D1622" s="13" t="s">
        <v>3687</v>
      </c>
      <c r="E1622" s="228"/>
      <c r="F1622" s="109" t="s">
        <v>5078</v>
      </c>
      <c r="G1622" s="24"/>
      <c r="H1622" s="230">
        <v>4.5</v>
      </c>
      <c r="I1622" s="220">
        <v>710000</v>
      </c>
      <c r="J1622" s="220">
        <f>I1622*0.1</f>
        <v>71000</v>
      </c>
      <c r="K1622" s="220">
        <v>0</v>
      </c>
      <c r="L1622" s="220">
        <v>8470</v>
      </c>
      <c r="M1622" s="220">
        <v>13200</v>
      </c>
      <c r="N1622" s="220">
        <f>SUM(I1622:M1623)</f>
        <v>802670</v>
      </c>
      <c r="O1622" s="224"/>
      <c r="P1622" s="110" t="s">
        <v>6649</v>
      </c>
      <c r="Q1622" s="15" t="s">
        <v>19</v>
      </c>
      <c r="R1622" s="205"/>
      <c r="S1622" s="189" t="s">
        <v>25472</v>
      </c>
      <c r="T1622" s="114"/>
      <c r="U1622" s="21"/>
      <c r="V1622" s="115">
        <v>45969</v>
      </c>
      <c r="W1622" s="116">
        <v>1275</v>
      </c>
      <c r="X1622" s="220">
        <v>705000</v>
      </c>
      <c r="Y1622" s="220">
        <f>X1622*0.1</f>
        <v>70500</v>
      </c>
      <c r="Z1622" s="220">
        <v>8470</v>
      </c>
      <c r="AA1622" s="220">
        <f>SUM(X1622:Z1622)</f>
        <v>783970</v>
      </c>
      <c r="AB1622" s="222">
        <v>45972</v>
      </c>
    </row>
    <row r="1623" spans="1:28" ht="17.100000000000001" customHeight="1" thickBot="1">
      <c r="A1623" s="227"/>
      <c r="B1623" s="27" t="s">
        <v>2472</v>
      </c>
      <c r="C1623" s="27">
        <v>65347</v>
      </c>
      <c r="D1623" s="14" t="s">
        <v>2559</v>
      </c>
      <c r="E1623" s="229"/>
      <c r="F1623" s="117" t="s">
        <v>5079</v>
      </c>
      <c r="G1623" s="26">
        <v>45321</v>
      </c>
      <c r="H1623" s="231"/>
      <c r="I1623" s="221"/>
      <c r="J1623" s="221"/>
      <c r="K1623" s="221"/>
      <c r="L1623" s="221"/>
      <c r="M1623" s="221"/>
      <c r="N1623" s="221"/>
      <c r="O1623" s="225"/>
      <c r="P1623" s="118" t="s">
        <v>6650</v>
      </c>
      <c r="Q1623" s="16" t="s">
        <v>20</v>
      </c>
      <c r="R1623" s="17" t="s">
        <v>6610</v>
      </c>
      <c r="S1623" s="121" t="s">
        <v>6651</v>
      </c>
      <c r="T1623" s="122" t="s">
        <v>5080</v>
      </c>
      <c r="U1623" s="22"/>
      <c r="V1623" s="123" t="s">
        <v>2472</v>
      </c>
      <c r="W1623" s="122">
        <v>60209</v>
      </c>
      <c r="X1623" s="221"/>
      <c r="Y1623" s="221"/>
      <c r="Z1623" s="221"/>
      <c r="AA1623" s="221"/>
      <c r="AB1623" s="223"/>
    </row>
    <row r="1624" spans="1:28" ht="17.100000000000001" customHeight="1" thickTop="1">
      <c r="A1624" s="226" t="s">
        <v>6442</v>
      </c>
      <c r="B1624" s="28">
        <v>45920</v>
      </c>
      <c r="C1624" s="25">
        <v>1268</v>
      </c>
      <c r="D1624" s="13" t="s">
        <v>2610</v>
      </c>
      <c r="E1624" s="228"/>
      <c r="F1624" s="109" t="s">
        <v>5081</v>
      </c>
      <c r="G1624" s="24" t="s">
        <v>5082</v>
      </c>
      <c r="H1624" s="230">
        <v>4</v>
      </c>
      <c r="I1624" s="220">
        <v>900000</v>
      </c>
      <c r="J1624" s="220">
        <v>0</v>
      </c>
      <c r="K1624" s="220">
        <v>0</v>
      </c>
      <c r="L1624" s="220">
        <v>9080</v>
      </c>
      <c r="M1624" s="220">
        <v>23100</v>
      </c>
      <c r="N1624" s="220">
        <f>SUM(I1624:M1625)</f>
        <v>932180</v>
      </c>
      <c r="O1624" s="224"/>
      <c r="P1624" s="110" t="s">
        <v>5083</v>
      </c>
      <c r="Q1624" s="15" t="s">
        <v>19</v>
      </c>
      <c r="R1624" s="205"/>
      <c r="S1624" s="189" t="s">
        <v>25473</v>
      </c>
      <c r="T1624" s="114" t="s">
        <v>6708</v>
      </c>
      <c r="U1624" s="21" t="s">
        <v>6836</v>
      </c>
      <c r="V1624" s="115">
        <v>45931</v>
      </c>
      <c r="W1624" s="116">
        <v>986</v>
      </c>
      <c r="X1624" s="220">
        <v>1080000</v>
      </c>
      <c r="Y1624" s="220">
        <f>X1624*0.1</f>
        <v>108000</v>
      </c>
      <c r="Z1624" s="220">
        <v>9080</v>
      </c>
      <c r="AA1624" s="220">
        <f>SUM(X1624:Z1624)</f>
        <v>1197080</v>
      </c>
      <c r="AB1624" s="222">
        <v>45937</v>
      </c>
    </row>
    <row r="1625" spans="1:28" ht="17.100000000000001" customHeight="1" thickBot="1">
      <c r="A1625" s="227"/>
      <c r="B1625" s="27" t="s">
        <v>2472</v>
      </c>
      <c r="C1625" s="27">
        <v>65508</v>
      </c>
      <c r="D1625" s="14" t="s">
        <v>1710</v>
      </c>
      <c r="E1625" s="229"/>
      <c r="F1625" s="117" t="s">
        <v>5084</v>
      </c>
      <c r="G1625" s="26">
        <v>43159</v>
      </c>
      <c r="H1625" s="231"/>
      <c r="I1625" s="221"/>
      <c r="J1625" s="221"/>
      <c r="K1625" s="221"/>
      <c r="L1625" s="221"/>
      <c r="M1625" s="221"/>
      <c r="N1625" s="221"/>
      <c r="O1625" s="225"/>
      <c r="P1625" s="118" t="s">
        <v>6609</v>
      </c>
      <c r="Q1625" s="16" t="s">
        <v>20</v>
      </c>
      <c r="R1625" s="17" t="s">
        <v>6610</v>
      </c>
      <c r="S1625" s="121" t="s">
        <v>6611</v>
      </c>
      <c r="T1625" s="122" t="s">
        <v>5085</v>
      </c>
      <c r="U1625" s="22"/>
      <c r="V1625" s="123" t="s">
        <v>2747</v>
      </c>
      <c r="W1625" s="122">
        <v>2063</v>
      </c>
      <c r="X1625" s="221"/>
      <c r="Y1625" s="221"/>
      <c r="Z1625" s="221"/>
      <c r="AA1625" s="221"/>
      <c r="AB1625" s="223"/>
    </row>
    <row r="1626" spans="1:28" ht="17.100000000000001" customHeight="1" thickTop="1">
      <c r="A1626" s="226" t="s">
        <v>6443</v>
      </c>
      <c r="B1626" s="28">
        <v>45920</v>
      </c>
      <c r="C1626" s="25">
        <v>1268</v>
      </c>
      <c r="D1626" s="13" t="s">
        <v>3269</v>
      </c>
      <c r="E1626" s="228"/>
      <c r="F1626" s="109" t="s">
        <v>5086</v>
      </c>
      <c r="G1626" s="24"/>
      <c r="H1626" s="230">
        <v>4</v>
      </c>
      <c r="I1626" s="220">
        <v>1510000</v>
      </c>
      <c r="J1626" s="220">
        <f>I1626*0.1</f>
        <v>151000</v>
      </c>
      <c r="K1626" s="220">
        <v>0</v>
      </c>
      <c r="L1626" s="220">
        <v>21220</v>
      </c>
      <c r="M1626" s="220">
        <v>16500</v>
      </c>
      <c r="N1626" s="220">
        <f>SUM(I1626:M1627)</f>
        <v>1698720</v>
      </c>
      <c r="O1626" s="224"/>
      <c r="P1626" s="110" t="s">
        <v>6653</v>
      </c>
      <c r="Q1626" s="15" t="s">
        <v>19</v>
      </c>
      <c r="R1626" s="205"/>
      <c r="S1626" s="189" t="s">
        <v>1312</v>
      </c>
      <c r="T1626" s="114"/>
      <c r="U1626" s="21"/>
      <c r="V1626" s="115">
        <v>45934</v>
      </c>
      <c r="W1626" s="116">
        <v>1270</v>
      </c>
      <c r="X1626" s="220">
        <v>1670000</v>
      </c>
      <c r="Y1626" s="220">
        <f>X1626*0.1</f>
        <v>167000</v>
      </c>
      <c r="Z1626" s="220">
        <v>21200</v>
      </c>
      <c r="AA1626" s="220">
        <f>SUM(X1626:Z1626)</f>
        <v>1858200</v>
      </c>
      <c r="AB1626" s="222">
        <v>45938</v>
      </c>
    </row>
    <row r="1627" spans="1:28" ht="17.100000000000001" customHeight="1" thickBot="1">
      <c r="A1627" s="227"/>
      <c r="B1627" s="27" t="s">
        <v>2472</v>
      </c>
      <c r="C1627" s="27">
        <v>82009</v>
      </c>
      <c r="D1627" s="14" t="s">
        <v>131</v>
      </c>
      <c r="E1627" s="229"/>
      <c r="F1627" s="117" t="s">
        <v>5087</v>
      </c>
      <c r="G1627" s="26">
        <v>48900</v>
      </c>
      <c r="H1627" s="231"/>
      <c r="I1627" s="221"/>
      <c r="J1627" s="221"/>
      <c r="K1627" s="221"/>
      <c r="L1627" s="221"/>
      <c r="M1627" s="221"/>
      <c r="N1627" s="221"/>
      <c r="O1627" s="225"/>
      <c r="P1627" s="118" t="s">
        <v>1586</v>
      </c>
      <c r="Q1627" s="16" t="s">
        <v>20</v>
      </c>
      <c r="R1627" s="17" t="s">
        <v>6610</v>
      </c>
      <c r="S1627" s="121" t="s">
        <v>1606</v>
      </c>
      <c r="T1627" s="122"/>
      <c r="U1627" s="22"/>
      <c r="V1627" s="123" t="s">
        <v>6642</v>
      </c>
      <c r="W1627" s="122">
        <v>80063</v>
      </c>
      <c r="X1627" s="221"/>
      <c r="Y1627" s="221"/>
      <c r="Z1627" s="221"/>
      <c r="AA1627" s="221"/>
      <c r="AB1627" s="223"/>
    </row>
    <row r="1628" spans="1:28" ht="17.100000000000001" customHeight="1" thickTop="1">
      <c r="A1628" s="226" t="s">
        <v>6444</v>
      </c>
      <c r="B1628" s="28">
        <v>45920</v>
      </c>
      <c r="C1628" s="25">
        <v>1268</v>
      </c>
      <c r="D1628" s="13" t="s">
        <v>2158</v>
      </c>
      <c r="E1628" s="228"/>
      <c r="F1628" s="109" t="s">
        <v>5088</v>
      </c>
      <c r="G1628" s="24"/>
      <c r="H1628" s="230">
        <v>4</v>
      </c>
      <c r="I1628" s="220">
        <v>2010000</v>
      </c>
      <c r="J1628" s="220">
        <f>I1628*0.1</f>
        <v>201000</v>
      </c>
      <c r="K1628" s="220">
        <v>0</v>
      </c>
      <c r="L1628" s="220">
        <v>19090</v>
      </c>
      <c r="M1628" s="220">
        <v>16500</v>
      </c>
      <c r="N1628" s="220">
        <f>SUM(I1628:M1629)</f>
        <v>2246590</v>
      </c>
      <c r="O1628" s="224"/>
      <c r="P1628" s="110" t="s">
        <v>6645</v>
      </c>
      <c r="Q1628" s="15" t="s">
        <v>19</v>
      </c>
      <c r="R1628" s="205"/>
      <c r="S1628" s="189" t="s">
        <v>1312</v>
      </c>
      <c r="T1628" s="114"/>
      <c r="U1628" s="21"/>
      <c r="V1628" s="115">
        <v>45927</v>
      </c>
      <c r="W1628" s="116">
        <v>1269</v>
      </c>
      <c r="X1628" s="220">
        <v>2170000</v>
      </c>
      <c r="Y1628" s="220">
        <f>X1628*0.1</f>
        <v>217000</v>
      </c>
      <c r="Z1628" s="220">
        <v>19090</v>
      </c>
      <c r="AA1628" s="220">
        <f>SUM(X1628:Z1628)</f>
        <v>2406090</v>
      </c>
      <c r="AB1628" s="222">
        <v>45937</v>
      </c>
    </row>
    <row r="1629" spans="1:28" ht="17.100000000000001" customHeight="1" thickBot="1">
      <c r="A1629" s="227"/>
      <c r="B1629" s="27" t="s">
        <v>2472</v>
      </c>
      <c r="C1629" s="27">
        <v>82097</v>
      </c>
      <c r="D1629" s="14" t="s">
        <v>1584</v>
      </c>
      <c r="E1629" s="229"/>
      <c r="F1629" s="117" t="s">
        <v>5089</v>
      </c>
      <c r="G1629" s="26">
        <v>59317</v>
      </c>
      <c r="H1629" s="231"/>
      <c r="I1629" s="221"/>
      <c r="J1629" s="221"/>
      <c r="K1629" s="221"/>
      <c r="L1629" s="221"/>
      <c r="M1629" s="221"/>
      <c r="N1629" s="221"/>
      <c r="O1629" s="225"/>
      <c r="P1629" s="118" t="s">
        <v>6646</v>
      </c>
      <c r="Q1629" s="16" t="s">
        <v>20</v>
      </c>
      <c r="R1629" s="17" t="s">
        <v>6610</v>
      </c>
      <c r="S1629" s="121" t="s">
        <v>1606</v>
      </c>
      <c r="T1629" s="122"/>
      <c r="U1629" s="22"/>
      <c r="V1629" s="123" t="s">
        <v>6641</v>
      </c>
      <c r="W1629" s="122">
        <v>80016</v>
      </c>
      <c r="X1629" s="221"/>
      <c r="Y1629" s="221"/>
      <c r="Z1629" s="221"/>
      <c r="AA1629" s="221"/>
      <c r="AB1629" s="223"/>
    </row>
    <row r="1630" spans="1:28" ht="17.100000000000001" customHeight="1" thickTop="1">
      <c r="A1630" s="226" t="s">
        <v>6445</v>
      </c>
      <c r="B1630" s="28">
        <v>45920</v>
      </c>
      <c r="C1630" s="25">
        <v>1268</v>
      </c>
      <c r="D1630" s="13" t="s">
        <v>2150</v>
      </c>
      <c r="E1630" s="228"/>
      <c r="F1630" s="109" t="s">
        <v>1854</v>
      </c>
      <c r="G1630" s="24" t="s">
        <v>1540</v>
      </c>
      <c r="H1630" s="230">
        <v>4.5</v>
      </c>
      <c r="I1630" s="220">
        <v>600000</v>
      </c>
      <c r="J1630" s="220">
        <f>I1630*0.1</f>
        <v>60000</v>
      </c>
      <c r="K1630" s="220">
        <f>19700+1970</f>
        <v>21670</v>
      </c>
      <c r="L1630" s="220">
        <v>18960</v>
      </c>
      <c r="M1630" s="220">
        <v>16500</v>
      </c>
      <c r="N1630" s="220">
        <f>SUM(I1630:M1631)</f>
        <v>717130</v>
      </c>
      <c r="O1630" s="224"/>
      <c r="P1630" s="110" t="s">
        <v>5090</v>
      </c>
      <c r="Q1630" s="15" t="s">
        <v>19</v>
      </c>
      <c r="R1630" s="205"/>
      <c r="S1630" s="189" t="s">
        <v>1271</v>
      </c>
      <c r="T1630" s="114"/>
      <c r="U1630" s="21" t="s">
        <v>8181</v>
      </c>
      <c r="V1630" s="115">
        <v>45983</v>
      </c>
      <c r="W1630" s="116">
        <v>1277</v>
      </c>
      <c r="X1630" s="220">
        <v>700000</v>
      </c>
      <c r="Y1630" s="220">
        <f>X1630*0.1</f>
        <v>70000</v>
      </c>
      <c r="Z1630" s="220">
        <v>18960</v>
      </c>
      <c r="AA1630" s="220">
        <f>SUM(X1630:Z1630)</f>
        <v>788960</v>
      </c>
      <c r="AB1630" s="222">
        <v>45987</v>
      </c>
    </row>
    <row r="1631" spans="1:28" ht="17.100000000000001" customHeight="1" thickBot="1">
      <c r="A1631" s="227"/>
      <c r="B1631" s="27" t="s">
        <v>2472</v>
      </c>
      <c r="C1631" s="27">
        <v>82293</v>
      </c>
      <c r="D1631" s="14" t="s">
        <v>1627</v>
      </c>
      <c r="E1631" s="229"/>
      <c r="F1631" s="117" t="s">
        <v>5091</v>
      </c>
      <c r="G1631" s="26">
        <v>65690</v>
      </c>
      <c r="H1631" s="231"/>
      <c r="I1631" s="221"/>
      <c r="J1631" s="221"/>
      <c r="K1631" s="221"/>
      <c r="L1631" s="221"/>
      <c r="M1631" s="221"/>
      <c r="N1631" s="221"/>
      <c r="O1631" s="225"/>
      <c r="P1631" s="118" t="s">
        <v>6652</v>
      </c>
      <c r="Q1631" s="16" t="s">
        <v>20</v>
      </c>
      <c r="R1631" s="17" t="s">
        <v>6610</v>
      </c>
      <c r="S1631" s="121" t="s">
        <v>1731</v>
      </c>
      <c r="T1631" s="122"/>
      <c r="U1631" s="22"/>
      <c r="V1631" s="123" t="s">
        <v>2472</v>
      </c>
      <c r="W1631" s="122">
        <v>80260</v>
      </c>
      <c r="X1631" s="221"/>
      <c r="Y1631" s="221"/>
      <c r="Z1631" s="221"/>
      <c r="AA1631" s="221"/>
      <c r="AB1631" s="223"/>
    </row>
    <row r="1632" spans="1:28" ht="17.100000000000001" customHeight="1" thickTop="1">
      <c r="A1632" s="226" t="s">
        <v>6446</v>
      </c>
      <c r="B1632" s="28">
        <v>45920</v>
      </c>
      <c r="C1632" s="25">
        <v>1268</v>
      </c>
      <c r="D1632" s="13" t="s">
        <v>2920</v>
      </c>
      <c r="E1632" s="228"/>
      <c r="F1632" s="109" t="s">
        <v>4483</v>
      </c>
      <c r="G1632" s="24" t="s">
        <v>3434</v>
      </c>
      <c r="H1632" s="230">
        <v>4</v>
      </c>
      <c r="I1632" s="220">
        <v>1400000</v>
      </c>
      <c r="J1632" s="220">
        <f>I1632*0.1</f>
        <v>140000</v>
      </c>
      <c r="K1632" s="220">
        <f>15200+1520</f>
        <v>16720</v>
      </c>
      <c r="L1632" s="220">
        <v>16240</v>
      </c>
      <c r="M1632" s="220">
        <v>16500</v>
      </c>
      <c r="N1632" s="220">
        <f>SUM(I1632:M1633)</f>
        <v>1589460</v>
      </c>
      <c r="O1632" s="224"/>
      <c r="P1632" s="110" t="s">
        <v>5092</v>
      </c>
      <c r="Q1632" s="15" t="s">
        <v>19</v>
      </c>
      <c r="R1632" s="205"/>
      <c r="S1632" s="189" t="s">
        <v>1271</v>
      </c>
      <c r="T1632" s="114"/>
      <c r="U1632" s="21"/>
      <c r="V1632" s="115">
        <v>45931</v>
      </c>
      <c r="W1632" s="116">
        <v>1269</v>
      </c>
      <c r="X1632" s="220">
        <v>1460000</v>
      </c>
      <c r="Y1632" s="220">
        <f>X1632*0.1</f>
        <v>146000</v>
      </c>
      <c r="Z1632" s="220">
        <v>16240</v>
      </c>
      <c r="AA1632" s="220">
        <f>SUM(X1632:Z1632)</f>
        <v>1622240</v>
      </c>
      <c r="AB1632" s="222">
        <v>45937</v>
      </c>
    </row>
    <row r="1633" spans="1:28" ht="17.100000000000001" customHeight="1" thickBot="1">
      <c r="A1633" s="227"/>
      <c r="B1633" s="27" t="s">
        <v>2472</v>
      </c>
      <c r="C1633" s="27">
        <v>82371</v>
      </c>
      <c r="D1633" s="14" t="s">
        <v>131</v>
      </c>
      <c r="E1633" s="229"/>
      <c r="F1633" s="117" t="s">
        <v>5093</v>
      </c>
      <c r="G1633" s="26">
        <v>52124</v>
      </c>
      <c r="H1633" s="231"/>
      <c r="I1633" s="221"/>
      <c r="J1633" s="221"/>
      <c r="K1633" s="221"/>
      <c r="L1633" s="221"/>
      <c r="M1633" s="221"/>
      <c r="N1633" s="221"/>
      <c r="O1633" s="225"/>
      <c r="P1633" s="118" t="s">
        <v>3355</v>
      </c>
      <c r="Q1633" s="16" t="s">
        <v>20</v>
      </c>
      <c r="R1633" s="17" t="s">
        <v>6610</v>
      </c>
      <c r="S1633" s="121" t="s">
        <v>1731</v>
      </c>
      <c r="T1633" s="122"/>
      <c r="U1633" s="22"/>
      <c r="V1633" s="123" t="s">
        <v>6642</v>
      </c>
      <c r="W1633" s="122">
        <v>80267</v>
      </c>
      <c r="X1633" s="221"/>
      <c r="Y1633" s="221"/>
      <c r="Z1633" s="221"/>
      <c r="AA1633" s="221"/>
      <c r="AB1633" s="223"/>
    </row>
    <row r="1634" spans="1:28" ht="17.100000000000001" customHeight="1" thickTop="1">
      <c r="A1634" s="226" t="s">
        <v>6447</v>
      </c>
      <c r="B1634" s="28">
        <v>45920</v>
      </c>
      <c r="C1634" s="25">
        <v>1268</v>
      </c>
      <c r="D1634" s="13" t="s">
        <v>1704</v>
      </c>
      <c r="E1634" s="228"/>
      <c r="F1634" s="109" t="s">
        <v>5094</v>
      </c>
      <c r="G1634" s="24" t="s">
        <v>2487</v>
      </c>
      <c r="H1634" s="230">
        <v>4.5</v>
      </c>
      <c r="I1634" s="220">
        <v>6745000</v>
      </c>
      <c r="J1634" s="220">
        <f>I1634*0.1</f>
        <v>674500</v>
      </c>
      <c r="K1634" s="220">
        <f>25000+250</f>
        <v>25250</v>
      </c>
      <c r="L1634" s="220">
        <v>19780</v>
      </c>
      <c r="M1634" s="220">
        <v>16500</v>
      </c>
      <c r="N1634" s="220">
        <f>SUM(I1634:M1635)</f>
        <v>7481030</v>
      </c>
      <c r="O1634" s="224"/>
      <c r="P1634" s="110" t="s">
        <v>5095</v>
      </c>
      <c r="Q1634" s="15" t="s">
        <v>19</v>
      </c>
      <c r="R1634" s="205"/>
      <c r="S1634" s="189" t="s">
        <v>1361</v>
      </c>
      <c r="T1634" s="114"/>
      <c r="U1634" s="21"/>
      <c r="V1634" s="115">
        <v>45932</v>
      </c>
      <c r="W1634" s="116">
        <v>1300</v>
      </c>
      <c r="X1634" s="220">
        <v>7200000</v>
      </c>
      <c r="Y1634" s="220">
        <f>X1634*0.1</f>
        <v>720000</v>
      </c>
      <c r="Z1634" s="220">
        <v>19780</v>
      </c>
      <c r="AA1634" s="220">
        <f>SUM(X1634:Z1634)</f>
        <v>7939780</v>
      </c>
      <c r="AB1634" s="222">
        <v>45933</v>
      </c>
    </row>
    <row r="1635" spans="1:28" ht="17.100000000000001" customHeight="1" thickBot="1">
      <c r="A1635" s="227"/>
      <c r="B1635" s="27" t="s">
        <v>2472</v>
      </c>
      <c r="C1635" s="27">
        <v>82405</v>
      </c>
      <c r="D1635" s="14" t="s">
        <v>1584</v>
      </c>
      <c r="E1635" s="229"/>
      <c r="F1635" s="117" t="s">
        <v>5096</v>
      </c>
      <c r="G1635" s="26">
        <v>46744</v>
      </c>
      <c r="H1635" s="231"/>
      <c r="I1635" s="221"/>
      <c r="J1635" s="221"/>
      <c r="K1635" s="221"/>
      <c r="L1635" s="221"/>
      <c r="M1635" s="221"/>
      <c r="N1635" s="221"/>
      <c r="O1635" s="225"/>
      <c r="P1635" s="118" t="s">
        <v>6732</v>
      </c>
      <c r="Q1635" s="16" t="s">
        <v>20</v>
      </c>
      <c r="R1635" s="17" t="s">
        <v>6726</v>
      </c>
      <c r="S1635" s="121" t="s">
        <v>169</v>
      </c>
      <c r="T1635" s="122"/>
      <c r="U1635" s="22"/>
      <c r="V1635" s="123" t="s">
        <v>1735</v>
      </c>
      <c r="W1635" s="122">
        <v>71</v>
      </c>
      <c r="X1635" s="221"/>
      <c r="Y1635" s="221"/>
      <c r="Z1635" s="221"/>
      <c r="AA1635" s="221"/>
      <c r="AB1635" s="223"/>
    </row>
    <row r="1636" spans="1:28" ht="17.100000000000001" customHeight="1" thickTop="1">
      <c r="A1636" s="226" t="s">
        <v>6448</v>
      </c>
      <c r="B1636" s="28">
        <v>45922</v>
      </c>
      <c r="C1636" s="25">
        <v>53</v>
      </c>
      <c r="D1636" s="13" t="s">
        <v>2610</v>
      </c>
      <c r="E1636" s="228"/>
      <c r="F1636" s="109" t="s">
        <v>5097</v>
      </c>
      <c r="G1636" s="24" t="s">
        <v>4239</v>
      </c>
      <c r="H1636" s="230">
        <v>3.5</v>
      </c>
      <c r="I1636" s="220">
        <v>925000</v>
      </c>
      <c r="J1636" s="220">
        <f>I1636*0.1</f>
        <v>92500</v>
      </c>
      <c r="K1636" s="220">
        <v>0</v>
      </c>
      <c r="L1636" s="220">
        <v>8790</v>
      </c>
      <c r="M1636" s="220">
        <v>33000</v>
      </c>
      <c r="N1636" s="220">
        <f>SUM(I1636:M1637)</f>
        <v>1059290</v>
      </c>
      <c r="O1636" s="224"/>
      <c r="P1636" s="110" t="s">
        <v>7255</v>
      </c>
      <c r="Q1636" s="15" t="s">
        <v>19</v>
      </c>
      <c r="R1636" s="205"/>
      <c r="S1636" s="189" t="s">
        <v>1361</v>
      </c>
      <c r="T1636" s="114"/>
      <c r="U1636" s="21" t="s">
        <v>8948</v>
      </c>
      <c r="V1636" s="115">
        <v>45962</v>
      </c>
      <c r="W1636" s="116">
        <v>1274</v>
      </c>
      <c r="X1636" s="220">
        <v>900000</v>
      </c>
      <c r="Y1636" s="220">
        <f>X1636*0.1</f>
        <v>90000</v>
      </c>
      <c r="Z1636" s="220">
        <v>8790</v>
      </c>
      <c r="AA1636" s="220">
        <f>SUM(X1636:Z1636)</f>
        <v>998790</v>
      </c>
      <c r="AB1636" s="222">
        <v>45965</v>
      </c>
    </row>
    <row r="1637" spans="1:28" ht="17.100000000000001" customHeight="1" thickBot="1">
      <c r="A1637" s="227"/>
      <c r="B1637" s="27" t="s">
        <v>4468</v>
      </c>
      <c r="C1637" s="27">
        <v>1004</v>
      </c>
      <c r="D1637" s="14" t="s">
        <v>131</v>
      </c>
      <c r="E1637" s="229"/>
      <c r="F1637" s="117" t="s">
        <v>5098</v>
      </c>
      <c r="G1637" s="26">
        <v>33007</v>
      </c>
      <c r="H1637" s="231"/>
      <c r="I1637" s="221"/>
      <c r="J1637" s="221"/>
      <c r="K1637" s="221"/>
      <c r="L1637" s="221"/>
      <c r="M1637" s="221"/>
      <c r="N1637" s="221"/>
      <c r="O1637" s="225"/>
      <c r="P1637" s="118" t="s">
        <v>7256</v>
      </c>
      <c r="Q1637" s="16" t="s">
        <v>20</v>
      </c>
      <c r="R1637" s="17" t="s">
        <v>2128</v>
      </c>
      <c r="S1637" s="121" t="s">
        <v>8780</v>
      </c>
      <c r="T1637" s="122"/>
      <c r="U1637" s="22"/>
      <c r="V1637" s="123" t="s">
        <v>2472</v>
      </c>
      <c r="W1637" s="122">
        <v>65138</v>
      </c>
      <c r="X1637" s="221"/>
      <c r="Y1637" s="221"/>
      <c r="Z1637" s="221"/>
      <c r="AA1637" s="221"/>
      <c r="AB1637" s="223"/>
    </row>
    <row r="1638" spans="1:28" ht="17.100000000000001" customHeight="1" thickTop="1">
      <c r="A1638" s="226" t="s">
        <v>6449</v>
      </c>
      <c r="B1638" s="28">
        <v>45922</v>
      </c>
      <c r="C1638" s="25">
        <v>53</v>
      </c>
      <c r="D1638" s="13" t="s">
        <v>1901</v>
      </c>
      <c r="E1638" s="228"/>
      <c r="F1638" s="109" t="s">
        <v>5099</v>
      </c>
      <c r="G1638" s="24" t="s">
        <v>2530</v>
      </c>
      <c r="H1638" s="230">
        <v>4.5</v>
      </c>
      <c r="I1638" s="220">
        <v>1185000</v>
      </c>
      <c r="J1638" s="220">
        <f>I1638*0.1</f>
        <v>118500</v>
      </c>
      <c r="K1638" s="220">
        <v>0</v>
      </c>
      <c r="L1638" s="220">
        <v>8640</v>
      </c>
      <c r="M1638" s="220">
        <v>44000</v>
      </c>
      <c r="N1638" s="220">
        <f>SUM(I1638:M1639)</f>
        <v>1356140</v>
      </c>
      <c r="O1638" s="224"/>
      <c r="P1638" s="110" t="s">
        <v>7811</v>
      </c>
      <c r="Q1638" s="15" t="s">
        <v>19</v>
      </c>
      <c r="R1638" s="205"/>
      <c r="S1638" s="189" t="s">
        <v>758</v>
      </c>
      <c r="T1638" s="114"/>
      <c r="U1638" s="21"/>
      <c r="V1638" s="115">
        <v>45951</v>
      </c>
      <c r="W1638" s="116">
        <v>1914</v>
      </c>
      <c r="X1638" s="220">
        <v>1220000</v>
      </c>
      <c r="Y1638" s="220">
        <f>X1638*0.1</f>
        <v>122000</v>
      </c>
      <c r="Z1638" s="220">
        <v>8640</v>
      </c>
      <c r="AA1638" s="220">
        <f>SUM(X1638:Z1638)</f>
        <v>1350640</v>
      </c>
      <c r="AB1638" s="222">
        <v>45957</v>
      </c>
    </row>
    <row r="1639" spans="1:28" ht="17.100000000000001" customHeight="1" thickBot="1">
      <c r="A1639" s="227"/>
      <c r="B1639" s="27" t="s">
        <v>4468</v>
      </c>
      <c r="C1639" s="27">
        <v>1031</v>
      </c>
      <c r="D1639" s="14" t="s">
        <v>1797</v>
      </c>
      <c r="E1639" s="229"/>
      <c r="F1639" s="117" t="s">
        <v>5100</v>
      </c>
      <c r="G1639" s="26">
        <v>46894</v>
      </c>
      <c r="H1639" s="231"/>
      <c r="I1639" s="221"/>
      <c r="J1639" s="221"/>
      <c r="K1639" s="221"/>
      <c r="L1639" s="221"/>
      <c r="M1639" s="221"/>
      <c r="N1639" s="221"/>
      <c r="O1639" s="225"/>
      <c r="P1639" s="118" t="s">
        <v>7812</v>
      </c>
      <c r="Q1639" s="16" t="s">
        <v>20</v>
      </c>
      <c r="R1639" s="17" t="s">
        <v>2562</v>
      </c>
      <c r="S1639" s="121" t="s">
        <v>1731</v>
      </c>
      <c r="T1639" s="122"/>
      <c r="U1639" s="22"/>
      <c r="V1639" s="123" t="s">
        <v>2103</v>
      </c>
      <c r="W1639" s="122">
        <v>3189</v>
      </c>
      <c r="X1639" s="221"/>
      <c r="Y1639" s="221"/>
      <c r="Z1639" s="221"/>
      <c r="AA1639" s="221"/>
      <c r="AB1639" s="223"/>
    </row>
    <row r="1640" spans="1:28" ht="17.100000000000001" customHeight="1" thickTop="1">
      <c r="A1640" s="226" t="s">
        <v>6450</v>
      </c>
      <c r="B1640" s="28">
        <v>45922</v>
      </c>
      <c r="C1640" s="25">
        <v>53</v>
      </c>
      <c r="D1640" s="13" t="s">
        <v>1976</v>
      </c>
      <c r="E1640" s="228"/>
      <c r="F1640" s="109" t="s">
        <v>5101</v>
      </c>
      <c r="G1640" s="24" t="s">
        <v>2813</v>
      </c>
      <c r="H1640" s="230">
        <v>4.5</v>
      </c>
      <c r="I1640" s="220">
        <v>855000</v>
      </c>
      <c r="J1640" s="220">
        <f>I1640*0.1</f>
        <v>85500</v>
      </c>
      <c r="K1640" s="220">
        <v>0</v>
      </c>
      <c r="L1640" s="220">
        <v>6550</v>
      </c>
      <c r="M1640" s="220">
        <v>33000</v>
      </c>
      <c r="N1640" s="220">
        <f>SUM(I1640:M1641)</f>
        <v>980050</v>
      </c>
      <c r="O1640" s="224"/>
      <c r="P1640" s="110" t="s">
        <v>6807</v>
      </c>
      <c r="Q1640" s="15" t="s">
        <v>19</v>
      </c>
      <c r="R1640" s="205"/>
      <c r="S1640" s="189" t="s">
        <v>1361</v>
      </c>
      <c r="T1640" s="114"/>
      <c r="U1640" s="21" t="s">
        <v>8152</v>
      </c>
      <c r="V1640" s="115">
        <v>45983</v>
      </c>
      <c r="W1640" s="116">
        <v>1277</v>
      </c>
      <c r="X1640" s="220">
        <v>790000</v>
      </c>
      <c r="Y1640" s="220">
        <f>X1640*0.1</f>
        <v>79000</v>
      </c>
      <c r="Z1640" s="220">
        <v>6550</v>
      </c>
      <c r="AA1640" s="220">
        <f>SUM(X1640:Z1640)</f>
        <v>875550</v>
      </c>
      <c r="AB1640" s="222">
        <v>45987</v>
      </c>
    </row>
    <row r="1641" spans="1:28" ht="17.100000000000001" customHeight="1" thickBot="1">
      <c r="A1641" s="227"/>
      <c r="B1641" s="27" t="s">
        <v>4468</v>
      </c>
      <c r="C1641" s="27">
        <v>1059</v>
      </c>
      <c r="D1641" s="14" t="s">
        <v>3731</v>
      </c>
      <c r="E1641" s="229"/>
      <c r="F1641" s="117" t="s">
        <v>5102</v>
      </c>
      <c r="G1641" s="26">
        <v>7338</v>
      </c>
      <c r="H1641" s="231"/>
      <c r="I1641" s="221"/>
      <c r="J1641" s="221"/>
      <c r="K1641" s="221"/>
      <c r="L1641" s="221"/>
      <c r="M1641" s="221"/>
      <c r="N1641" s="221"/>
      <c r="O1641" s="225"/>
      <c r="P1641" s="118" t="s">
        <v>6808</v>
      </c>
      <c r="Q1641" s="16" t="s">
        <v>20</v>
      </c>
      <c r="R1641" s="17" t="s">
        <v>6726</v>
      </c>
      <c r="S1641" s="121" t="s">
        <v>1625</v>
      </c>
      <c r="T1641" s="122"/>
      <c r="U1641" s="22"/>
      <c r="V1641" s="123" t="s">
        <v>2472</v>
      </c>
      <c r="W1641" s="122">
        <v>60285</v>
      </c>
      <c r="X1641" s="221"/>
      <c r="Y1641" s="221"/>
      <c r="Z1641" s="221"/>
      <c r="AA1641" s="221"/>
      <c r="AB1641" s="223"/>
    </row>
    <row r="1642" spans="1:28" ht="17.100000000000001" customHeight="1" thickTop="1">
      <c r="A1642" s="226" t="s">
        <v>6451</v>
      </c>
      <c r="B1642" s="28">
        <v>45922</v>
      </c>
      <c r="C1642" s="25">
        <v>53</v>
      </c>
      <c r="D1642" s="13" t="s">
        <v>3332</v>
      </c>
      <c r="E1642" s="228"/>
      <c r="F1642" s="109" t="s">
        <v>2278</v>
      </c>
      <c r="G1642" s="24" t="s">
        <v>4025</v>
      </c>
      <c r="H1642" s="230">
        <v>5</v>
      </c>
      <c r="I1642" s="220">
        <v>3250000</v>
      </c>
      <c r="J1642" s="220">
        <f>I1642*0.1</f>
        <v>325000</v>
      </c>
      <c r="K1642" s="220">
        <f>18000+1800</f>
        <v>19800</v>
      </c>
      <c r="L1642" s="220">
        <v>16240</v>
      </c>
      <c r="M1642" s="220">
        <v>88000</v>
      </c>
      <c r="N1642" s="220">
        <f>SUM(I1642:M1643)</f>
        <v>3699040</v>
      </c>
      <c r="O1642" s="224"/>
      <c r="P1642" s="110" t="s">
        <v>9242</v>
      </c>
      <c r="Q1642" s="15" t="s">
        <v>19</v>
      </c>
      <c r="R1642" s="205"/>
      <c r="S1642" s="189" t="s">
        <v>1361</v>
      </c>
      <c r="T1642" s="114"/>
      <c r="U1642" s="21" t="s">
        <v>9502</v>
      </c>
      <c r="V1642" s="115">
        <v>46061</v>
      </c>
      <c r="W1642" s="116"/>
      <c r="X1642" s="220">
        <v>4422800</v>
      </c>
      <c r="Y1642" s="220">
        <v>0</v>
      </c>
      <c r="Z1642" s="220">
        <v>0</v>
      </c>
      <c r="AA1642" s="220">
        <f>SUM(X1642:Z1642)</f>
        <v>4422800</v>
      </c>
      <c r="AB1642" s="222">
        <v>46074</v>
      </c>
    </row>
    <row r="1643" spans="1:28" ht="17.100000000000001" customHeight="1" thickBot="1">
      <c r="A1643" s="227"/>
      <c r="B1643" s="27" t="s">
        <v>4468</v>
      </c>
      <c r="C1643" s="27">
        <v>10020</v>
      </c>
      <c r="D1643" s="14" t="s">
        <v>273</v>
      </c>
      <c r="E1643" s="229"/>
      <c r="F1643" s="117" t="s">
        <v>5103</v>
      </c>
      <c r="G1643" s="26">
        <v>10355</v>
      </c>
      <c r="H1643" s="231"/>
      <c r="I1643" s="221"/>
      <c r="J1643" s="221"/>
      <c r="K1643" s="221"/>
      <c r="L1643" s="221"/>
      <c r="M1643" s="221"/>
      <c r="N1643" s="221"/>
      <c r="O1643" s="225"/>
      <c r="P1643" s="118" t="s">
        <v>1647</v>
      </c>
      <c r="Q1643" s="16" t="s">
        <v>20</v>
      </c>
      <c r="R1643" s="17" t="s">
        <v>9243</v>
      </c>
      <c r="S1643" s="121"/>
      <c r="T1643" s="122"/>
      <c r="U1643" s="22"/>
      <c r="V1643" s="123" t="s">
        <v>21086</v>
      </c>
      <c r="W1643" s="122"/>
      <c r="X1643" s="221"/>
      <c r="Y1643" s="221"/>
      <c r="Z1643" s="221"/>
      <c r="AA1643" s="221"/>
      <c r="AB1643" s="223"/>
    </row>
    <row r="1644" spans="1:28" ht="17.100000000000001" customHeight="1" thickTop="1">
      <c r="A1644" s="226" t="s">
        <v>6452</v>
      </c>
      <c r="B1644" s="28">
        <v>45922</v>
      </c>
      <c r="C1644" s="25"/>
      <c r="D1644" s="13" t="s">
        <v>1829</v>
      </c>
      <c r="E1644" s="228"/>
      <c r="F1644" s="109" t="s">
        <v>5104</v>
      </c>
      <c r="G1644" s="24"/>
      <c r="H1644" s="230">
        <v>4</v>
      </c>
      <c r="I1644" s="220">
        <v>1096000</v>
      </c>
      <c r="J1644" s="220">
        <f>I1644*0.1</f>
        <v>109600</v>
      </c>
      <c r="K1644" s="220">
        <v>0</v>
      </c>
      <c r="L1644" s="220">
        <v>8110</v>
      </c>
      <c r="M1644" s="220">
        <v>15950</v>
      </c>
      <c r="N1644" s="220">
        <f>SUM(I1644:M1645)</f>
        <v>1229660</v>
      </c>
      <c r="O1644" s="224"/>
      <c r="P1644" s="110" t="s">
        <v>6666</v>
      </c>
      <c r="Q1644" s="15" t="s">
        <v>19</v>
      </c>
      <c r="R1644" s="205"/>
      <c r="S1644" s="189"/>
      <c r="T1644" s="114"/>
      <c r="U1644" s="21"/>
      <c r="V1644" s="115">
        <v>45934</v>
      </c>
      <c r="W1644" s="116">
        <v>1270</v>
      </c>
      <c r="X1644" s="220">
        <v>1155000</v>
      </c>
      <c r="Y1644" s="220">
        <f>X1644*0.1</f>
        <v>115500</v>
      </c>
      <c r="Z1644" s="220">
        <v>8110</v>
      </c>
      <c r="AA1644" s="220">
        <f>SUM(X1644:Z1644)</f>
        <v>1278610</v>
      </c>
      <c r="AB1644" s="222">
        <v>45938</v>
      </c>
    </row>
    <row r="1645" spans="1:28" ht="17.100000000000001" customHeight="1" thickBot="1">
      <c r="A1645" s="227"/>
      <c r="B1645" s="27" t="s">
        <v>4400</v>
      </c>
      <c r="C1645" s="27">
        <v>70208</v>
      </c>
      <c r="D1645" s="14" t="s">
        <v>273</v>
      </c>
      <c r="E1645" s="229"/>
      <c r="F1645" s="117" t="s">
        <v>5105</v>
      </c>
      <c r="G1645" s="26">
        <v>18443</v>
      </c>
      <c r="H1645" s="231"/>
      <c r="I1645" s="221"/>
      <c r="J1645" s="221"/>
      <c r="K1645" s="221"/>
      <c r="L1645" s="221"/>
      <c r="M1645" s="221"/>
      <c r="N1645" s="221"/>
      <c r="O1645" s="225"/>
      <c r="P1645" s="118" t="s">
        <v>2729</v>
      </c>
      <c r="Q1645" s="16" t="s">
        <v>20</v>
      </c>
      <c r="R1645" s="17" t="s">
        <v>1596</v>
      </c>
      <c r="S1645" s="121"/>
      <c r="T1645" s="122"/>
      <c r="U1645" s="22"/>
      <c r="V1645" s="123" t="s">
        <v>7160</v>
      </c>
      <c r="W1645" s="122">
        <v>60435</v>
      </c>
      <c r="X1645" s="221"/>
      <c r="Y1645" s="221"/>
      <c r="Z1645" s="221"/>
      <c r="AA1645" s="221"/>
      <c r="AB1645" s="223"/>
    </row>
    <row r="1646" spans="1:28" ht="17.100000000000001" customHeight="1" thickTop="1">
      <c r="A1646" s="226" t="s">
        <v>6453</v>
      </c>
      <c r="B1646" s="28">
        <v>45922</v>
      </c>
      <c r="C1646" s="25"/>
      <c r="D1646" s="13" t="s">
        <v>1640</v>
      </c>
      <c r="E1646" s="228"/>
      <c r="F1646" s="109" t="s">
        <v>5106</v>
      </c>
      <c r="G1646" s="24" t="s">
        <v>2810</v>
      </c>
      <c r="H1646" s="230">
        <v>3.5</v>
      </c>
      <c r="I1646" s="220">
        <v>271000</v>
      </c>
      <c r="J1646" s="220">
        <f>I1646*0.1</f>
        <v>27100</v>
      </c>
      <c r="K1646" s="220">
        <v>13000</v>
      </c>
      <c r="L1646" s="220">
        <v>8460</v>
      </c>
      <c r="M1646" s="220">
        <v>15950</v>
      </c>
      <c r="N1646" s="220">
        <f>SUM(I1646:M1647)</f>
        <v>335510</v>
      </c>
      <c r="O1646" s="224"/>
      <c r="P1646" s="110" t="s">
        <v>5107</v>
      </c>
      <c r="Q1646" s="15" t="s">
        <v>19</v>
      </c>
      <c r="R1646" s="205"/>
      <c r="S1646" s="189"/>
      <c r="T1646" s="114"/>
      <c r="U1646" s="21" t="s">
        <v>7569</v>
      </c>
      <c r="V1646" s="115">
        <v>46053</v>
      </c>
      <c r="W1646" s="116">
        <v>1286</v>
      </c>
      <c r="X1646" s="220">
        <v>295000</v>
      </c>
      <c r="Y1646" s="220">
        <f>X1646*0.1</f>
        <v>29500</v>
      </c>
      <c r="Z1646" s="220">
        <v>8460</v>
      </c>
      <c r="AA1646" s="220">
        <f>SUM(X1646:Z1646)</f>
        <v>332960</v>
      </c>
      <c r="AB1646" s="222">
        <v>46056</v>
      </c>
    </row>
    <row r="1647" spans="1:28" ht="17.100000000000001" customHeight="1" thickBot="1">
      <c r="A1647" s="227"/>
      <c r="B1647" s="27" t="s">
        <v>4400</v>
      </c>
      <c r="C1647" s="27">
        <v>70246</v>
      </c>
      <c r="D1647" s="14" t="s">
        <v>898</v>
      </c>
      <c r="E1647" s="229"/>
      <c r="F1647" s="117" t="s">
        <v>5108</v>
      </c>
      <c r="G1647" s="26">
        <v>48098</v>
      </c>
      <c r="H1647" s="231"/>
      <c r="I1647" s="221"/>
      <c r="J1647" s="221"/>
      <c r="K1647" s="221"/>
      <c r="L1647" s="221"/>
      <c r="M1647" s="221"/>
      <c r="N1647" s="221"/>
      <c r="O1647" s="225"/>
      <c r="P1647" s="118" t="s">
        <v>3247</v>
      </c>
      <c r="Q1647" s="16" t="s">
        <v>20</v>
      </c>
      <c r="R1647" s="17" t="s">
        <v>1596</v>
      </c>
      <c r="S1647" s="121"/>
      <c r="T1647" s="122"/>
      <c r="U1647" s="22"/>
      <c r="V1647" s="123" t="s">
        <v>2472</v>
      </c>
      <c r="W1647" s="122">
        <v>60085</v>
      </c>
      <c r="X1647" s="221"/>
      <c r="Y1647" s="221"/>
      <c r="Z1647" s="221"/>
      <c r="AA1647" s="221"/>
      <c r="AB1647" s="223"/>
    </row>
    <row r="1648" spans="1:28" ht="17.100000000000001" customHeight="1" thickTop="1">
      <c r="A1648" s="226" t="s">
        <v>6454</v>
      </c>
      <c r="B1648" s="28">
        <v>45922</v>
      </c>
      <c r="C1648" s="25"/>
      <c r="D1648" s="13" t="s">
        <v>1816</v>
      </c>
      <c r="E1648" s="228"/>
      <c r="F1648" s="109" t="s">
        <v>4145</v>
      </c>
      <c r="G1648" s="24"/>
      <c r="H1648" s="230">
        <v>4</v>
      </c>
      <c r="I1648" s="220">
        <v>431000</v>
      </c>
      <c r="J1648" s="220">
        <f>I1648*0.1</f>
        <v>43100</v>
      </c>
      <c r="K1648" s="220">
        <v>0</v>
      </c>
      <c r="L1648" s="220">
        <v>8460</v>
      </c>
      <c r="M1648" s="220">
        <v>15950</v>
      </c>
      <c r="N1648" s="220">
        <f>SUM(I1648:M1649)</f>
        <v>498510</v>
      </c>
      <c r="O1648" s="224"/>
      <c r="P1648" s="110" t="s">
        <v>6664</v>
      </c>
      <c r="Q1648" s="15" t="s">
        <v>19</v>
      </c>
      <c r="R1648" s="205"/>
      <c r="S1648" s="189"/>
      <c r="T1648" s="114"/>
      <c r="U1648" s="21"/>
      <c r="V1648" s="115">
        <v>45973</v>
      </c>
      <c r="W1648" s="116">
        <v>992</v>
      </c>
      <c r="X1648" s="220">
        <v>505000</v>
      </c>
      <c r="Y1648" s="220">
        <f>X1648*0.1</f>
        <v>50500</v>
      </c>
      <c r="Z1648" s="220">
        <v>8460</v>
      </c>
      <c r="AA1648" s="220">
        <f>SUM(X1648:Z1648)</f>
        <v>563960</v>
      </c>
      <c r="AB1648" s="222">
        <v>45978</v>
      </c>
    </row>
    <row r="1649" spans="1:28" ht="17.100000000000001" customHeight="1" thickBot="1">
      <c r="A1649" s="227"/>
      <c r="B1649" s="27" t="s">
        <v>4400</v>
      </c>
      <c r="C1649" s="27">
        <v>80199</v>
      </c>
      <c r="D1649" s="14" t="s">
        <v>1584</v>
      </c>
      <c r="E1649" s="229"/>
      <c r="F1649" s="117" t="s">
        <v>5109</v>
      </c>
      <c r="G1649" s="26">
        <v>50807</v>
      </c>
      <c r="H1649" s="231"/>
      <c r="I1649" s="221"/>
      <c r="J1649" s="221"/>
      <c r="K1649" s="221"/>
      <c r="L1649" s="221"/>
      <c r="M1649" s="221"/>
      <c r="N1649" s="221"/>
      <c r="O1649" s="225"/>
      <c r="P1649" s="118" t="s">
        <v>6665</v>
      </c>
      <c r="Q1649" s="16" t="s">
        <v>20</v>
      </c>
      <c r="R1649" s="17" t="s">
        <v>1596</v>
      </c>
      <c r="S1649" s="121"/>
      <c r="T1649" s="122"/>
      <c r="U1649" s="22"/>
      <c r="V1649" s="123" t="s">
        <v>2747</v>
      </c>
      <c r="W1649" s="122">
        <v>2017</v>
      </c>
      <c r="X1649" s="221"/>
      <c r="Y1649" s="221"/>
      <c r="Z1649" s="221"/>
      <c r="AA1649" s="221"/>
      <c r="AB1649" s="223"/>
    </row>
    <row r="1650" spans="1:28" ht="17.100000000000001" customHeight="1" thickTop="1">
      <c r="A1650" s="226" t="s">
        <v>6455</v>
      </c>
      <c r="B1650" s="28">
        <v>45922</v>
      </c>
      <c r="C1650" s="25"/>
      <c r="D1650" s="13" t="s">
        <v>1704</v>
      </c>
      <c r="E1650" s="228"/>
      <c r="F1650" s="109" t="s">
        <v>2965</v>
      </c>
      <c r="G1650" s="24" t="s">
        <v>2487</v>
      </c>
      <c r="H1650" s="230">
        <v>4</v>
      </c>
      <c r="I1650" s="220">
        <v>1141000</v>
      </c>
      <c r="J1650" s="220">
        <f>I1650*0.1</f>
        <v>114100</v>
      </c>
      <c r="K1650" s="220">
        <v>13000</v>
      </c>
      <c r="L1650" s="220">
        <v>8550</v>
      </c>
      <c r="M1650" s="220">
        <v>15950</v>
      </c>
      <c r="N1650" s="220">
        <f>SUM(I1650:M1651)</f>
        <v>1292600</v>
      </c>
      <c r="O1650" s="224"/>
      <c r="P1650" s="110" t="s">
        <v>5110</v>
      </c>
      <c r="Q1650" s="15" t="s">
        <v>19</v>
      </c>
      <c r="R1650" s="205"/>
      <c r="S1650" s="189" t="s">
        <v>758</v>
      </c>
      <c r="T1650" s="114"/>
      <c r="U1650" s="21" t="s">
        <v>8149</v>
      </c>
      <c r="V1650" s="115">
        <v>45941</v>
      </c>
      <c r="W1650" s="116">
        <v>1271</v>
      </c>
      <c r="X1650" s="220">
        <v>1190000</v>
      </c>
      <c r="Y1650" s="220">
        <f>X1650*0.1</f>
        <v>119000</v>
      </c>
      <c r="Z1650" s="220">
        <v>8550</v>
      </c>
      <c r="AA1650" s="220">
        <f>SUM(X1650:Z1650)</f>
        <v>1317550</v>
      </c>
      <c r="AB1650" s="222">
        <v>45950</v>
      </c>
    </row>
    <row r="1651" spans="1:28" ht="17.100000000000001" customHeight="1" thickBot="1">
      <c r="A1651" s="227"/>
      <c r="B1651" s="27" t="s">
        <v>3663</v>
      </c>
      <c r="C1651" s="27">
        <v>55025</v>
      </c>
      <c r="D1651" s="14" t="s">
        <v>1568</v>
      </c>
      <c r="E1651" s="229"/>
      <c r="F1651" s="117" t="s">
        <v>5111</v>
      </c>
      <c r="G1651" s="26">
        <v>52312</v>
      </c>
      <c r="H1651" s="231"/>
      <c r="I1651" s="221"/>
      <c r="J1651" s="221"/>
      <c r="K1651" s="221"/>
      <c r="L1651" s="221"/>
      <c r="M1651" s="221"/>
      <c r="N1651" s="221"/>
      <c r="O1651" s="225"/>
      <c r="P1651" s="118" t="s">
        <v>5112</v>
      </c>
      <c r="Q1651" s="16" t="s">
        <v>20</v>
      </c>
      <c r="R1651" s="17" t="s">
        <v>4111</v>
      </c>
      <c r="S1651" s="121" t="s">
        <v>5113</v>
      </c>
      <c r="T1651" s="122"/>
      <c r="U1651" s="22"/>
      <c r="V1651" s="123" t="s">
        <v>2472</v>
      </c>
      <c r="W1651" s="122">
        <v>60080</v>
      </c>
      <c r="X1651" s="221"/>
      <c r="Y1651" s="221"/>
      <c r="Z1651" s="221"/>
      <c r="AA1651" s="221"/>
      <c r="AB1651" s="223"/>
    </row>
    <row r="1652" spans="1:28" ht="17.100000000000001" customHeight="1" thickTop="1">
      <c r="A1652" s="226" t="s">
        <v>6456</v>
      </c>
      <c r="B1652" s="28">
        <v>45922</v>
      </c>
      <c r="C1652" s="25"/>
      <c r="D1652" s="13" t="s">
        <v>1780</v>
      </c>
      <c r="E1652" s="228"/>
      <c r="F1652" s="109" t="s">
        <v>5114</v>
      </c>
      <c r="G1652" s="24" t="s">
        <v>5115</v>
      </c>
      <c r="H1652" s="230">
        <v>5</v>
      </c>
      <c r="I1652" s="220">
        <f>1694000/1.1</f>
        <v>1539999.9999999998</v>
      </c>
      <c r="J1652" s="220">
        <f>I1652*0.1</f>
        <v>153999.99999999997</v>
      </c>
      <c r="K1652" s="220">
        <v>0</v>
      </c>
      <c r="L1652" s="220">
        <v>7040</v>
      </c>
      <c r="M1652" s="220">
        <v>97350</v>
      </c>
      <c r="N1652" s="220">
        <f>SUM(I1652:M1653)</f>
        <v>1798389.9999999998</v>
      </c>
      <c r="O1652" s="224"/>
      <c r="P1652" s="110" t="s">
        <v>7238</v>
      </c>
      <c r="Q1652" s="15" t="s">
        <v>19</v>
      </c>
      <c r="R1652" s="205"/>
      <c r="S1652" s="189" t="s">
        <v>1276</v>
      </c>
      <c r="T1652" s="114"/>
      <c r="U1652" s="21"/>
      <c r="V1652" s="115">
        <v>45951</v>
      </c>
      <c r="W1652" s="116">
        <v>1914</v>
      </c>
      <c r="X1652" s="220">
        <v>1630000</v>
      </c>
      <c r="Y1652" s="220">
        <f>X1652*0.1</f>
        <v>163000</v>
      </c>
      <c r="Z1652" s="220">
        <v>7040</v>
      </c>
      <c r="AA1652" s="220">
        <f>SUM(X1652:Z1652)</f>
        <v>1800040</v>
      </c>
      <c r="AB1652" s="222">
        <v>45957</v>
      </c>
    </row>
    <row r="1653" spans="1:28" ht="17.100000000000001" customHeight="1" thickBot="1">
      <c r="A1653" s="227"/>
      <c r="B1653" s="27" t="s">
        <v>1708</v>
      </c>
      <c r="C1653" s="27" t="s">
        <v>5116</v>
      </c>
      <c r="D1653" s="14" t="s">
        <v>2788</v>
      </c>
      <c r="E1653" s="229"/>
      <c r="F1653" s="117" t="s">
        <v>5117</v>
      </c>
      <c r="G1653" s="26">
        <v>20000</v>
      </c>
      <c r="H1653" s="231"/>
      <c r="I1653" s="221"/>
      <c r="J1653" s="221"/>
      <c r="K1653" s="221"/>
      <c r="L1653" s="221"/>
      <c r="M1653" s="221"/>
      <c r="N1653" s="221"/>
      <c r="O1653" s="225"/>
      <c r="P1653" s="118" t="s">
        <v>7239</v>
      </c>
      <c r="Q1653" s="16" t="s">
        <v>20</v>
      </c>
      <c r="R1653" s="17" t="s">
        <v>2128</v>
      </c>
      <c r="S1653" s="121" t="s">
        <v>1606</v>
      </c>
      <c r="T1653" s="122"/>
      <c r="U1653" s="22"/>
      <c r="V1653" s="123" t="s">
        <v>2103</v>
      </c>
      <c r="W1653" s="122">
        <v>3147</v>
      </c>
      <c r="X1653" s="221"/>
      <c r="Y1653" s="221"/>
      <c r="Z1653" s="221"/>
      <c r="AA1653" s="221"/>
      <c r="AB1653" s="223"/>
    </row>
    <row r="1654" spans="1:28" ht="17.100000000000001" customHeight="1" thickTop="1">
      <c r="A1654" s="233" t="s">
        <v>6457</v>
      </c>
      <c r="B1654" s="28">
        <v>45922</v>
      </c>
      <c r="C1654" s="25"/>
      <c r="D1654" s="13" t="s">
        <v>2033</v>
      </c>
      <c r="E1654" s="228"/>
      <c r="F1654" s="109" t="s">
        <v>5118</v>
      </c>
      <c r="G1654" s="24" t="s">
        <v>5119</v>
      </c>
      <c r="H1654" s="230">
        <v>4</v>
      </c>
      <c r="I1654" s="220">
        <f>742500/1.1</f>
        <v>675000</v>
      </c>
      <c r="J1654" s="220">
        <f>I1654*0.1</f>
        <v>67500</v>
      </c>
      <c r="K1654" s="220">
        <v>0</v>
      </c>
      <c r="L1654" s="220">
        <v>9200</v>
      </c>
      <c r="M1654" s="220">
        <v>65133</v>
      </c>
      <c r="N1654" s="220">
        <f>SUM(I1654:M1655)</f>
        <v>816833</v>
      </c>
      <c r="O1654" s="224"/>
      <c r="P1654" s="110" t="s">
        <v>8738</v>
      </c>
      <c r="Q1654" s="15" t="s">
        <v>19</v>
      </c>
      <c r="R1654" s="205"/>
      <c r="S1654" s="189" t="s">
        <v>1361</v>
      </c>
      <c r="T1654" s="114" t="s">
        <v>7899</v>
      </c>
      <c r="U1654" s="21"/>
      <c r="V1654" s="115"/>
      <c r="W1654" s="116"/>
      <c r="X1654" s="220"/>
      <c r="Y1654" s="220">
        <f>X1654*0.1</f>
        <v>0</v>
      </c>
      <c r="Z1654" s="220"/>
      <c r="AA1654" s="220">
        <f>SUM(X1654:Z1654)</f>
        <v>0</v>
      </c>
      <c r="AB1654" s="222"/>
    </row>
    <row r="1655" spans="1:28" ht="17.100000000000001" customHeight="1" thickBot="1">
      <c r="A1655" s="234"/>
      <c r="B1655" s="27" t="s">
        <v>1708</v>
      </c>
      <c r="C1655" s="27" t="s">
        <v>5120</v>
      </c>
      <c r="D1655" s="14" t="s">
        <v>1797</v>
      </c>
      <c r="E1655" s="229"/>
      <c r="F1655" s="117" t="s">
        <v>5121</v>
      </c>
      <c r="G1655" s="26">
        <v>29278</v>
      </c>
      <c r="H1655" s="231"/>
      <c r="I1655" s="221"/>
      <c r="J1655" s="221"/>
      <c r="K1655" s="221"/>
      <c r="L1655" s="221"/>
      <c r="M1655" s="221"/>
      <c r="N1655" s="221"/>
      <c r="O1655" s="225"/>
      <c r="P1655" s="118" t="s">
        <v>8739</v>
      </c>
      <c r="Q1655" s="16" t="s">
        <v>20</v>
      </c>
      <c r="R1655" s="17" t="s">
        <v>1656</v>
      </c>
      <c r="S1655" s="121" t="s">
        <v>1731</v>
      </c>
      <c r="T1655" s="122"/>
      <c r="U1655" s="22"/>
      <c r="V1655" s="123"/>
      <c r="W1655" s="122"/>
      <c r="X1655" s="221"/>
      <c r="Y1655" s="221"/>
      <c r="Z1655" s="221"/>
      <c r="AA1655" s="221"/>
      <c r="AB1655" s="223"/>
    </row>
    <row r="1656" spans="1:28" ht="17.100000000000001" customHeight="1" thickTop="1">
      <c r="A1656" s="226" t="s">
        <v>6458</v>
      </c>
      <c r="B1656" s="28">
        <v>45922</v>
      </c>
      <c r="C1656" s="25"/>
      <c r="D1656" s="13" t="s">
        <v>1687</v>
      </c>
      <c r="E1656" s="228"/>
      <c r="F1656" s="109" t="s">
        <v>5122</v>
      </c>
      <c r="G1656" s="24" t="s">
        <v>4139</v>
      </c>
      <c r="H1656" s="230">
        <v>4.5</v>
      </c>
      <c r="I1656" s="220">
        <f>3580500/1.1</f>
        <v>3254999.9999999995</v>
      </c>
      <c r="J1656" s="220">
        <f>I1656*0.1</f>
        <v>325500</v>
      </c>
      <c r="K1656" s="220">
        <v>15000</v>
      </c>
      <c r="L1656" s="220">
        <v>12250</v>
      </c>
      <c r="M1656" s="220">
        <v>144513</v>
      </c>
      <c r="N1656" s="220">
        <f>SUM(I1656:M1657)</f>
        <v>3752262.9999999995</v>
      </c>
      <c r="O1656" s="224"/>
      <c r="P1656" s="110" t="s">
        <v>6735</v>
      </c>
      <c r="Q1656" s="15" t="s">
        <v>19</v>
      </c>
      <c r="R1656" s="205"/>
      <c r="S1656" s="189" t="s">
        <v>1361</v>
      </c>
      <c r="T1656" s="114"/>
      <c r="U1656" s="21"/>
      <c r="V1656" s="115">
        <v>45934</v>
      </c>
      <c r="W1656" s="116">
        <v>1270</v>
      </c>
      <c r="X1656" s="220">
        <v>3410000</v>
      </c>
      <c r="Y1656" s="220">
        <f>X1656*0.1</f>
        <v>341000</v>
      </c>
      <c r="Z1656" s="220">
        <v>12250</v>
      </c>
      <c r="AA1656" s="220">
        <f>SUM(X1656:Z1656)</f>
        <v>3763250</v>
      </c>
      <c r="AB1656" s="222">
        <v>45938</v>
      </c>
    </row>
    <row r="1657" spans="1:28" ht="17.100000000000001" customHeight="1" thickBot="1">
      <c r="A1657" s="227"/>
      <c r="B1657" s="27" t="s">
        <v>1708</v>
      </c>
      <c r="C1657" s="27" t="s">
        <v>5123</v>
      </c>
      <c r="D1657" s="14" t="s">
        <v>273</v>
      </c>
      <c r="E1657" s="229"/>
      <c r="F1657" s="117" t="s">
        <v>5124</v>
      </c>
      <c r="G1657" s="26">
        <v>15608</v>
      </c>
      <c r="H1657" s="231"/>
      <c r="I1657" s="221"/>
      <c r="J1657" s="221"/>
      <c r="K1657" s="221"/>
      <c r="L1657" s="221"/>
      <c r="M1657" s="221"/>
      <c r="N1657" s="221"/>
      <c r="O1657" s="225"/>
      <c r="P1657" s="118" t="s">
        <v>6736</v>
      </c>
      <c r="Q1657" s="16" t="s">
        <v>20</v>
      </c>
      <c r="R1657" s="17" t="s">
        <v>6726</v>
      </c>
      <c r="S1657" s="121" t="s">
        <v>1597</v>
      </c>
      <c r="T1657" s="122"/>
      <c r="U1657" s="22"/>
      <c r="V1657" s="123" t="s">
        <v>7160</v>
      </c>
      <c r="W1657" s="122">
        <v>37723</v>
      </c>
      <c r="X1657" s="221"/>
      <c r="Y1657" s="221"/>
      <c r="Z1657" s="221"/>
      <c r="AA1657" s="221"/>
      <c r="AB1657" s="223"/>
    </row>
    <row r="1658" spans="1:28" ht="17.100000000000001" customHeight="1" thickTop="1">
      <c r="A1658" s="226" t="s">
        <v>6459</v>
      </c>
      <c r="B1658" s="28">
        <v>45922</v>
      </c>
      <c r="C1658" s="25">
        <v>2061</v>
      </c>
      <c r="D1658" s="13" t="s">
        <v>2690</v>
      </c>
      <c r="E1658" s="228"/>
      <c r="F1658" s="109" t="s">
        <v>5125</v>
      </c>
      <c r="G1658" s="24"/>
      <c r="H1658" s="230">
        <v>4</v>
      </c>
      <c r="I1658" s="220">
        <v>911000</v>
      </c>
      <c r="J1658" s="220">
        <f>I1658*0.1</f>
        <v>91100</v>
      </c>
      <c r="K1658" s="220">
        <v>0</v>
      </c>
      <c r="L1658" s="220">
        <v>8550</v>
      </c>
      <c r="M1658" s="220">
        <v>8800</v>
      </c>
      <c r="N1658" s="220">
        <f>SUM(I1658:M1659)</f>
        <v>1019450</v>
      </c>
      <c r="O1658" s="224"/>
      <c r="P1658" s="110" t="s">
        <v>5126</v>
      </c>
      <c r="Q1658" s="15" t="s">
        <v>19</v>
      </c>
      <c r="R1658" s="205"/>
      <c r="S1658" s="189"/>
      <c r="T1658" s="114"/>
      <c r="U1658" s="21"/>
      <c r="V1658" s="115">
        <v>45948</v>
      </c>
      <c r="W1658" s="116">
        <v>1272</v>
      </c>
      <c r="X1658" s="220">
        <v>1005000</v>
      </c>
      <c r="Y1658" s="220">
        <f>X1658*0.1</f>
        <v>100500</v>
      </c>
      <c r="Z1658" s="220">
        <v>8550</v>
      </c>
      <c r="AA1658" s="220">
        <f>SUM(X1658:Z1658)</f>
        <v>1114050</v>
      </c>
      <c r="AB1658" s="222">
        <v>45951</v>
      </c>
    </row>
    <row r="1659" spans="1:28" ht="17.100000000000001" customHeight="1" thickBot="1">
      <c r="A1659" s="227"/>
      <c r="B1659" s="27" t="s">
        <v>82</v>
      </c>
      <c r="C1659" s="27">
        <v>24034</v>
      </c>
      <c r="D1659" s="14" t="s">
        <v>273</v>
      </c>
      <c r="E1659" s="229"/>
      <c r="F1659" s="117" t="s">
        <v>5127</v>
      </c>
      <c r="G1659" s="26">
        <v>46154</v>
      </c>
      <c r="H1659" s="231"/>
      <c r="I1659" s="221"/>
      <c r="J1659" s="221"/>
      <c r="K1659" s="221"/>
      <c r="L1659" s="221"/>
      <c r="M1659" s="221"/>
      <c r="N1659" s="221"/>
      <c r="O1659" s="225"/>
      <c r="P1659" s="118" t="s">
        <v>2404</v>
      </c>
      <c r="Q1659" s="16" t="s">
        <v>20</v>
      </c>
      <c r="R1659" s="17" t="s">
        <v>4914</v>
      </c>
      <c r="S1659" s="121" t="s">
        <v>1573</v>
      </c>
      <c r="T1659" s="122"/>
      <c r="U1659" s="22"/>
      <c r="V1659" s="123" t="s">
        <v>2472</v>
      </c>
      <c r="W1659" s="122">
        <v>60138</v>
      </c>
      <c r="X1659" s="221"/>
      <c r="Y1659" s="221"/>
      <c r="Z1659" s="221"/>
      <c r="AA1659" s="221"/>
      <c r="AB1659" s="223"/>
    </row>
    <row r="1660" spans="1:28" ht="17.100000000000001" customHeight="1" thickTop="1">
      <c r="A1660" s="226" t="s">
        <v>6460</v>
      </c>
      <c r="B1660" s="28">
        <v>45922</v>
      </c>
      <c r="C1660" s="25">
        <v>2061</v>
      </c>
      <c r="D1660" s="13" t="s">
        <v>1837</v>
      </c>
      <c r="E1660" s="228"/>
      <c r="F1660" s="109" t="s">
        <v>4072</v>
      </c>
      <c r="G1660" s="24"/>
      <c r="H1660" s="230">
        <v>4</v>
      </c>
      <c r="I1660" s="220">
        <v>920000</v>
      </c>
      <c r="J1660" s="220">
        <f>I1660*0.1</f>
        <v>92000</v>
      </c>
      <c r="K1660" s="220">
        <v>0</v>
      </c>
      <c r="L1660" s="220">
        <v>8110</v>
      </c>
      <c r="M1660" s="220">
        <v>20900</v>
      </c>
      <c r="N1660" s="220">
        <f>SUM(I1660:M1661)</f>
        <v>1041010</v>
      </c>
      <c r="O1660" s="224"/>
      <c r="P1660" s="110" t="s">
        <v>5128</v>
      </c>
      <c r="Q1660" s="15" t="s">
        <v>19</v>
      </c>
      <c r="R1660" s="205"/>
      <c r="S1660" s="189"/>
      <c r="T1660" s="114"/>
      <c r="U1660" s="21"/>
      <c r="V1660" s="115">
        <v>45934</v>
      </c>
      <c r="W1660" s="116">
        <v>1270</v>
      </c>
      <c r="X1660" s="220">
        <v>995000</v>
      </c>
      <c r="Y1660" s="220">
        <f>X1660*0.1</f>
        <v>99500</v>
      </c>
      <c r="Z1660" s="220">
        <v>8110</v>
      </c>
      <c r="AA1660" s="220">
        <f>SUM(X1660:Z1660)</f>
        <v>1102610</v>
      </c>
      <c r="AB1660" s="222">
        <v>45937</v>
      </c>
    </row>
    <row r="1661" spans="1:28" ht="17.100000000000001" customHeight="1" thickBot="1">
      <c r="A1661" s="227"/>
      <c r="B1661" s="27" t="s">
        <v>82</v>
      </c>
      <c r="C1661" s="27">
        <v>25038</v>
      </c>
      <c r="D1661" s="14" t="s">
        <v>2559</v>
      </c>
      <c r="E1661" s="229"/>
      <c r="F1661" s="117" t="s">
        <v>5129</v>
      </c>
      <c r="G1661" s="26">
        <v>14824</v>
      </c>
      <c r="H1661" s="231"/>
      <c r="I1661" s="221"/>
      <c r="J1661" s="221"/>
      <c r="K1661" s="221"/>
      <c r="L1661" s="221"/>
      <c r="M1661" s="221"/>
      <c r="N1661" s="221"/>
      <c r="O1661" s="225"/>
      <c r="P1661" s="118" t="s">
        <v>2031</v>
      </c>
      <c r="Q1661" s="16" t="s">
        <v>20</v>
      </c>
      <c r="R1661" s="17" t="s">
        <v>4111</v>
      </c>
      <c r="S1661" s="121"/>
      <c r="T1661" s="122"/>
      <c r="U1661" s="22"/>
      <c r="V1661" s="123" t="s">
        <v>7160</v>
      </c>
      <c r="W1661" s="122">
        <v>60395</v>
      </c>
      <c r="X1661" s="221"/>
      <c r="Y1661" s="221"/>
      <c r="Z1661" s="221"/>
      <c r="AA1661" s="221"/>
      <c r="AB1661" s="223"/>
    </row>
    <row r="1662" spans="1:28" ht="17.100000000000001" customHeight="1" thickTop="1">
      <c r="A1662" s="226" t="s">
        <v>6461</v>
      </c>
      <c r="B1662" s="28">
        <v>45922</v>
      </c>
      <c r="C1662" s="25">
        <v>2061</v>
      </c>
      <c r="D1662" s="13" t="s">
        <v>3269</v>
      </c>
      <c r="E1662" s="228"/>
      <c r="F1662" s="109" t="s">
        <v>5130</v>
      </c>
      <c r="G1662" s="24"/>
      <c r="H1662" s="230">
        <v>3.5</v>
      </c>
      <c r="I1662" s="220">
        <v>507000</v>
      </c>
      <c r="J1662" s="220">
        <f>I1662*0.1</f>
        <v>50700</v>
      </c>
      <c r="K1662" s="220">
        <v>0</v>
      </c>
      <c r="L1662" s="220">
        <v>6470</v>
      </c>
      <c r="M1662" s="220">
        <v>20900</v>
      </c>
      <c r="N1662" s="220">
        <f>SUM(I1662:M1663)</f>
        <v>585070</v>
      </c>
      <c r="O1662" s="224"/>
      <c r="P1662" s="110" t="s">
        <v>5131</v>
      </c>
      <c r="Q1662" s="15" t="s">
        <v>19</v>
      </c>
      <c r="R1662" s="205"/>
      <c r="S1662" s="189"/>
      <c r="T1662" s="114"/>
      <c r="U1662" s="21"/>
      <c r="V1662" s="115">
        <v>45934</v>
      </c>
      <c r="W1662" s="116">
        <v>1270</v>
      </c>
      <c r="X1662" s="220">
        <v>590000</v>
      </c>
      <c r="Y1662" s="220">
        <f>X1662*0.1</f>
        <v>59000</v>
      </c>
      <c r="Z1662" s="220">
        <v>6470</v>
      </c>
      <c r="AA1662" s="220">
        <f>SUM(X1662:Z1662)</f>
        <v>655470</v>
      </c>
      <c r="AB1662" s="222">
        <v>45938</v>
      </c>
    </row>
    <row r="1663" spans="1:28" ht="17.100000000000001" customHeight="1" thickBot="1">
      <c r="A1663" s="227"/>
      <c r="B1663" s="27" t="s">
        <v>82</v>
      </c>
      <c r="C1663" s="27">
        <v>25046</v>
      </c>
      <c r="D1663" s="14" t="s">
        <v>1584</v>
      </c>
      <c r="E1663" s="229"/>
      <c r="F1663" s="117" t="s">
        <v>5132</v>
      </c>
      <c r="G1663" s="26">
        <v>54890</v>
      </c>
      <c r="H1663" s="231"/>
      <c r="I1663" s="221"/>
      <c r="J1663" s="221"/>
      <c r="K1663" s="221"/>
      <c r="L1663" s="221"/>
      <c r="M1663" s="221"/>
      <c r="N1663" s="221"/>
      <c r="O1663" s="225"/>
      <c r="P1663" s="118" t="s">
        <v>2446</v>
      </c>
      <c r="Q1663" s="16" t="s">
        <v>20</v>
      </c>
      <c r="R1663" s="17" t="s">
        <v>4111</v>
      </c>
      <c r="S1663" s="121"/>
      <c r="T1663" s="122"/>
      <c r="U1663" s="22"/>
      <c r="V1663" s="123" t="s">
        <v>7160</v>
      </c>
      <c r="W1663" s="122">
        <v>60473</v>
      </c>
      <c r="X1663" s="221"/>
      <c r="Y1663" s="221"/>
      <c r="Z1663" s="221"/>
      <c r="AA1663" s="221"/>
      <c r="AB1663" s="223"/>
    </row>
    <row r="1664" spans="1:28" ht="17.100000000000001" customHeight="1" thickTop="1">
      <c r="A1664" s="226" t="s">
        <v>6462</v>
      </c>
      <c r="B1664" s="28">
        <v>45922</v>
      </c>
      <c r="C1664" s="25">
        <v>2061</v>
      </c>
      <c r="D1664" s="13" t="s">
        <v>2239</v>
      </c>
      <c r="E1664" s="228"/>
      <c r="F1664" s="109" t="s">
        <v>5133</v>
      </c>
      <c r="G1664" s="24" t="s">
        <v>3859</v>
      </c>
      <c r="H1664" s="230">
        <v>4</v>
      </c>
      <c r="I1664" s="220">
        <v>1310000</v>
      </c>
      <c r="J1664" s="220">
        <f>I1664*0.1</f>
        <v>131000</v>
      </c>
      <c r="K1664" s="220">
        <v>0</v>
      </c>
      <c r="L1664" s="220">
        <v>11100</v>
      </c>
      <c r="M1664" s="220">
        <v>20900</v>
      </c>
      <c r="N1664" s="220">
        <f>SUM(I1664:M1665)</f>
        <v>1473000</v>
      </c>
      <c r="O1664" s="224"/>
      <c r="P1664" s="110" t="s">
        <v>5134</v>
      </c>
      <c r="Q1664" s="15" t="s">
        <v>19</v>
      </c>
      <c r="R1664" s="205"/>
      <c r="S1664" s="189" t="s">
        <v>696</v>
      </c>
      <c r="T1664" s="114"/>
      <c r="U1664" s="21" t="s">
        <v>8177</v>
      </c>
      <c r="V1664" s="115">
        <v>45972</v>
      </c>
      <c r="W1664" s="116">
        <v>1917</v>
      </c>
      <c r="X1664" s="220">
        <v>1331000</v>
      </c>
      <c r="Y1664" s="220">
        <f>X1664*0.1</f>
        <v>133100</v>
      </c>
      <c r="Z1664" s="220">
        <v>11100</v>
      </c>
      <c r="AA1664" s="220">
        <f>SUM(X1664:Z1664)</f>
        <v>1475200</v>
      </c>
      <c r="AB1664" s="222"/>
    </row>
    <row r="1665" spans="1:28" ht="17.100000000000001" customHeight="1" thickBot="1">
      <c r="A1665" s="227"/>
      <c r="B1665" s="27" t="s">
        <v>82</v>
      </c>
      <c r="C1665" s="27">
        <v>25162</v>
      </c>
      <c r="D1665" s="14" t="s">
        <v>273</v>
      </c>
      <c r="E1665" s="229"/>
      <c r="F1665" s="117" t="s">
        <v>5135</v>
      </c>
      <c r="G1665" s="26">
        <v>6171</v>
      </c>
      <c r="H1665" s="231"/>
      <c r="I1665" s="221"/>
      <c r="J1665" s="221"/>
      <c r="K1665" s="221"/>
      <c r="L1665" s="221"/>
      <c r="M1665" s="221"/>
      <c r="N1665" s="221"/>
      <c r="O1665" s="225"/>
      <c r="P1665" s="118" t="s">
        <v>2446</v>
      </c>
      <c r="Q1665" s="16" t="s">
        <v>20</v>
      </c>
      <c r="R1665" s="17" t="s">
        <v>4111</v>
      </c>
      <c r="S1665" s="121" t="s">
        <v>7695</v>
      </c>
      <c r="T1665" s="122"/>
      <c r="U1665" s="22"/>
      <c r="V1665" s="123" t="s">
        <v>2103</v>
      </c>
      <c r="W1665" s="122">
        <v>3061</v>
      </c>
      <c r="X1665" s="221"/>
      <c r="Y1665" s="221"/>
      <c r="Z1665" s="221"/>
      <c r="AA1665" s="221"/>
      <c r="AB1665" s="223"/>
    </row>
    <row r="1666" spans="1:28" ht="17.100000000000001" customHeight="1" thickTop="1">
      <c r="A1666" s="226" t="s">
        <v>6463</v>
      </c>
      <c r="B1666" s="28">
        <v>45922</v>
      </c>
      <c r="C1666" s="25">
        <v>2061</v>
      </c>
      <c r="D1666" s="13" t="s">
        <v>2239</v>
      </c>
      <c r="E1666" s="228"/>
      <c r="F1666" s="109" t="s">
        <v>5133</v>
      </c>
      <c r="G1666" s="24" t="s">
        <v>3859</v>
      </c>
      <c r="H1666" s="230">
        <v>4</v>
      </c>
      <c r="I1666" s="220">
        <v>1310000</v>
      </c>
      <c r="J1666" s="220">
        <f>I1666*0.1</f>
        <v>131000</v>
      </c>
      <c r="K1666" s="220">
        <v>0</v>
      </c>
      <c r="L1666" s="220">
        <v>11100</v>
      </c>
      <c r="M1666" s="220">
        <v>20900</v>
      </c>
      <c r="N1666" s="220">
        <f>SUM(I1666:M1667)</f>
        <v>1473000</v>
      </c>
      <c r="O1666" s="224"/>
      <c r="P1666" s="110" t="s">
        <v>5136</v>
      </c>
      <c r="Q1666" s="15" t="s">
        <v>19</v>
      </c>
      <c r="R1666" s="205"/>
      <c r="S1666" s="189" t="s">
        <v>696</v>
      </c>
      <c r="T1666" s="114"/>
      <c r="U1666" s="21" t="s">
        <v>8176</v>
      </c>
      <c r="V1666" s="115">
        <v>45972</v>
      </c>
      <c r="W1666" s="116">
        <v>1917</v>
      </c>
      <c r="X1666" s="220">
        <v>1322000</v>
      </c>
      <c r="Y1666" s="220">
        <f>X1666*0.1</f>
        <v>132200</v>
      </c>
      <c r="Z1666" s="220">
        <v>11100</v>
      </c>
      <c r="AA1666" s="220">
        <f>SUM(X1666:Z1666)</f>
        <v>1465300</v>
      </c>
      <c r="AB1666" s="222"/>
    </row>
    <row r="1667" spans="1:28" ht="17.100000000000001" customHeight="1" thickBot="1">
      <c r="A1667" s="227"/>
      <c r="B1667" s="27" t="s">
        <v>82</v>
      </c>
      <c r="C1667" s="27">
        <v>25167</v>
      </c>
      <c r="D1667" s="14" t="s">
        <v>273</v>
      </c>
      <c r="E1667" s="229"/>
      <c r="F1667" s="117" t="s">
        <v>5137</v>
      </c>
      <c r="G1667" s="26">
        <v>5192</v>
      </c>
      <c r="H1667" s="231"/>
      <c r="I1667" s="221"/>
      <c r="J1667" s="221"/>
      <c r="K1667" s="221"/>
      <c r="L1667" s="221"/>
      <c r="M1667" s="221"/>
      <c r="N1667" s="221"/>
      <c r="O1667" s="225"/>
      <c r="P1667" s="118" t="s">
        <v>2446</v>
      </c>
      <c r="Q1667" s="16" t="s">
        <v>20</v>
      </c>
      <c r="R1667" s="17" t="s">
        <v>4111</v>
      </c>
      <c r="S1667" s="121" t="s">
        <v>7695</v>
      </c>
      <c r="T1667" s="122"/>
      <c r="U1667" s="22"/>
      <c r="V1667" s="123" t="s">
        <v>2103</v>
      </c>
      <c r="W1667" s="122">
        <v>3141</v>
      </c>
      <c r="X1667" s="221"/>
      <c r="Y1667" s="221"/>
      <c r="Z1667" s="221"/>
      <c r="AA1667" s="221"/>
      <c r="AB1667" s="223"/>
    </row>
    <row r="1668" spans="1:28" ht="17.100000000000001" customHeight="1" thickTop="1">
      <c r="A1668" s="226" t="s">
        <v>6464</v>
      </c>
      <c r="B1668" s="28">
        <v>45922</v>
      </c>
      <c r="C1668" s="25">
        <v>2061</v>
      </c>
      <c r="D1668" s="13" t="s">
        <v>2239</v>
      </c>
      <c r="E1668" s="228"/>
      <c r="F1668" s="109" t="s">
        <v>2673</v>
      </c>
      <c r="G1668" s="24" t="s">
        <v>3859</v>
      </c>
      <c r="H1668" s="230">
        <v>4</v>
      </c>
      <c r="I1668" s="220">
        <v>1305000</v>
      </c>
      <c r="J1668" s="220">
        <f>I1668*0.1</f>
        <v>130500</v>
      </c>
      <c r="K1668" s="220">
        <v>0</v>
      </c>
      <c r="L1668" s="220">
        <v>11100</v>
      </c>
      <c r="M1668" s="220">
        <v>20900</v>
      </c>
      <c r="N1668" s="220">
        <f>SUM(I1668:M1669)</f>
        <v>1467500</v>
      </c>
      <c r="O1668" s="224"/>
      <c r="P1668" s="110" t="s">
        <v>5138</v>
      </c>
      <c r="Q1668" s="15" t="s">
        <v>19</v>
      </c>
      <c r="R1668" s="205"/>
      <c r="S1668" s="189" t="s">
        <v>696</v>
      </c>
      <c r="T1668" s="114"/>
      <c r="U1668" s="21" t="s">
        <v>8179</v>
      </c>
      <c r="V1668" s="115">
        <v>45941</v>
      </c>
      <c r="W1668" s="116">
        <v>1271</v>
      </c>
      <c r="X1668" s="220">
        <v>1365000</v>
      </c>
      <c r="Y1668" s="220">
        <f>X1668*0.1</f>
        <v>136500</v>
      </c>
      <c r="Z1668" s="220">
        <v>11100</v>
      </c>
      <c r="AA1668" s="220">
        <f>SUM(X1668:Z1668)</f>
        <v>1512600</v>
      </c>
      <c r="AB1668" s="222">
        <v>45950</v>
      </c>
    </row>
    <row r="1669" spans="1:28" ht="17.100000000000001" customHeight="1" thickBot="1">
      <c r="A1669" s="227"/>
      <c r="B1669" s="27" t="s">
        <v>82</v>
      </c>
      <c r="C1669" s="27">
        <v>25217</v>
      </c>
      <c r="D1669" s="14" t="s">
        <v>273</v>
      </c>
      <c r="E1669" s="229"/>
      <c r="F1669" s="117" t="s">
        <v>5139</v>
      </c>
      <c r="G1669" s="26">
        <v>5782</v>
      </c>
      <c r="H1669" s="231"/>
      <c r="I1669" s="221"/>
      <c r="J1669" s="221"/>
      <c r="K1669" s="221"/>
      <c r="L1669" s="221"/>
      <c r="M1669" s="221"/>
      <c r="N1669" s="221"/>
      <c r="O1669" s="225"/>
      <c r="P1669" s="118" t="s">
        <v>2446</v>
      </c>
      <c r="Q1669" s="16" t="s">
        <v>20</v>
      </c>
      <c r="R1669" s="17" t="s">
        <v>4111</v>
      </c>
      <c r="S1669" s="121" t="s">
        <v>7694</v>
      </c>
      <c r="T1669" s="122"/>
      <c r="U1669" s="22"/>
      <c r="V1669" s="123" t="s">
        <v>2472</v>
      </c>
      <c r="W1669" s="122">
        <v>60154</v>
      </c>
      <c r="X1669" s="221"/>
      <c r="Y1669" s="221"/>
      <c r="Z1669" s="221"/>
      <c r="AA1669" s="221"/>
      <c r="AB1669" s="223"/>
    </row>
    <row r="1670" spans="1:28" ht="17.100000000000001" customHeight="1" thickTop="1">
      <c r="A1670" s="226" t="s">
        <v>6465</v>
      </c>
      <c r="B1670" s="28">
        <v>45922</v>
      </c>
      <c r="C1670" s="25">
        <v>2061</v>
      </c>
      <c r="D1670" s="13" t="s">
        <v>2239</v>
      </c>
      <c r="E1670" s="228"/>
      <c r="F1670" s="109" t="s">
        <v>2673</v>
      </c>
      <c r="G1670" s="24" t="s">
        <v>3859</v>
      </c>
      <c r="H1670" s="230">
        <v>4.5</v>
      </c>
      <c r="I1670" s="220">
        <v>1305000</v>
      </c>
      <c r="J1670" s="220">
        <f>I1670*0.1</f>
        <v>130500</v>
      </c>
      <c r="K1670" s="220">
        <v>0</v>
      </c>
      <c r="L1670" s="220">
        <v>11100</v>
      </c>
      <c r="M1670" s="220">
        <v>20900</v>
      </c>
      <c r="N1670" s="220">
        <f>SUM(I1670:M1671)</f>
        <v>1467500</v>
      </c>
      <c r="O1670" s="224"/>
      <c r="P1670" s="110" t="s">
        <v>5140</v>
      </c>
      <c r="Q1670" s="15" t="s">
        <v>19</v>
      </c>
      <c r="R1670" s="205"/>
      <c r="S1670" s="189" t="s">
        <v>696</v>
      </c>
      <c r="T1670" s="114"/>
      <c r="U1670" s="21" t="s">
        <v>8178</v>
      </c>
      <c r="V1670" s="115">
        <v>45972</v>
      </c>
      <c r="W1670" s="116">
        <v>1917</v>
      </c>
      <c r="X1670" s="220">
        <v>1316000</v>
      </c>
      <c r="Y1670" s="220">
        <f>X1670*0.1</f>
        <v>131600</v>
      </c>
      <c r="Z1670" s="220">
        <v>11100</v>
      </c>
      <c r="AA1670" s="220">
        <f>SUM(X1670:Z1670)</f>
        <v>1458700</v>
      </c>
      <c r="AB1670" s="222"/>
    </row>
    <row r="1671" spans="1:28" ht="17.100000000000001" customHeight="1" thickBot="1">
      <c r="A1671" s="227"/>
      <c r="B1671" s="27" t="s">
        <v>82</v>
      </c>
      <c r="C1671" s="27">
        <v>25281</v>
      </c>
      <c r="D1671" s="14" t="s">
        <v>273</v>
      </c>
      <c r="E1671" s="229"/>
      <c r="F1671" s="117" t="s">
        <v>5141</v>
      </c>
      <c r="G1671" s="26">
        <v>5218</v>
      </c>
      <c r="H1671" s="231"/>
      <c r="I1671" s="221"/>
      <c r="J1671" s="221"/>
      <c r="K1671" s="221"/>
      <c r="L1671" s="221"/>
      <c r="M1671" s="221"/>
      <c r="N1671" s="221"/>
      <c r="O1671" s="225"/>
      <c r="P1671" s="118" t="s">
        <v>2446</v>
      </c>
      <c r="Q1671" s="16" t="s">
        <v>20</v>
      </c>
      <c r="R1671" s="17" t="s">
        <v>4111</v>
      </c>
      <c r="S1671" s="121" t="s">
        <v>7006</v>
      </c>
      <c r="T1671" s="122"/>
      <c r="U1671" s="22"/>
      <c r="V1671" s="123" t="s">
        <v>2103</v>
      </c>
      <c r="W1671" s="122">
        <v>3137</v>
      </c>
      <c r="X1671" s="221"/>
      <c r="Y1671" s="221"/>
      <c r="Z1671" s="221"/>
      <c r="AA1671" s="221"/>
      <c r="AB1671" s="223"/>
    </row>
    <row r="1672" spans="1:28" ht="17.100000000000001" customHeight="1" thickTop="1">
      <c r="A1672" s="226" t="s">
        <v>6466</v>
      </c>
      <c r="B1672" s="28">
        <v>45922</v>
      </c>
      <c r="C1672" s="25">
        <v>2061</v>
      </c>
      <c r="D1672" s="13" t="s">
        <v>1901</v>
      </c>
      <c r="E1672" s="228"/>
      <c r="F1672" s="109" t="s">
        <v>5142</v>
      </c>
      <c r="G1672" s="24"/>
      <c r="H1672" s="230">
        <v>4</v>
      </c>
      <c r="I1672" s="220">
        <v>785000</v>
      </c>
      <c r="J1672" s="220">
        <f>I1672*0.1</f>
        <v>78500</v>
      </c>
      <c r="K1672" s="220">
        <v>0</v>
      </c>
      <c r="L1672" s="220">
        <v>7140</v>
      </c>
      <c r="M1672" s="220">
        <v>20900</v>
      </c>
      <c r="N1672" s="220">
        <f>SUM(I1672:M1673)</f>
        <v>891540</v>
      </c>
      <c r="O1672" s="224"/>
      <c r="P1672" s="110" t="s">
        <v>5143</v>
      </c>
      <c r="Q1672" s="15" t="s">
        <v>19</v>
      </c>
      <c r="R1672" s="205"/>
      <c r="S1672" s="189" t="s">
        <v>696</v>
      </c>
      <c r="T1672" s="114"/>
      <c r="U1672" s="21"/>
      <c r="V1672" s="115">
        <v>45934</v>
      </c>
      <c r="W1672" s="116">
        <v>1270</v>
      </c>
      <c r="X1672" s="220">
        <v>840000</v>
      </c>
      <c r="Y1672" s="220">
        <f>X1672*0.1</f>
        <v>84000</v>
      </c>
      <c r="Z1672" s="220">
        <v>7140</v>
      </c>
      <c r="AA1672" s="220">
        <f>SUM(X1672:Z1672)</f>
        <v>931140</v>
      </c>
      <c r="AB1672" s="222">
        <v>45938</v>
      </c>
    </row>
    <row r="1673" spans="1:28" ht="17.100000000000001" customHeight="1" thickBot="1">
      <c r="A1673" s="227"/>
      <c r="B1673" s="27" t="s">
        <v>82</v>
      </c>
      <c r="C1673" s="27">
        <v>25285</v>
      </c>
      <c r="D1673" s="14" t="s">
        <v>1710</v>
      </c>
      <c r="E1673" s="229"/>
      <c r="F1673" s="117" t="s">
        <v>5144</v>
      </c>
      <c r="G1673" s="26">
        <v>33789</v>
      </c>
      <c r="H1673" s="231"/>
      <c r="I1673" s="221"/>
      <c r="J1673" s="221"/>
      <c r="K1673" s="221"/>
      <c r="L1673" s="221"/>
      <c r="M1673" s="221"/>
      <c r="N1673" s="221"/>
      <c r="O1673" s="225"/>
      <c r="P1673" s="118" t="s">
        <v>2446</v>
      </c>
      <c r="Q1673" s="16" t="s">
        <v>20</v>
      </c>
      <c r="R1673" s="17" t="s">
        <v>4111</v>
      </c>
      <c r="S1673" s="121"/>
      <c r="T1673" s="122"/>
      <c r="U1673" s="22"/>
      <c r="V1673" s="123" t="s">
        <v>7160</v>
      </c>
      <c r="W1673" s="122">
        <v>60517</v>
      </c>
      <c r="X1673" s="221"/>
      <c r="Y1673" s="221"/>
      <c r="Z1673" s="221"/>
      <c r="AA1673" s="221"/>
      <c r="AB1673" s="223"/>
    </row>
    <row r="1674" spans="1:28" ht="17.100000000000001" customHeight="1" thickTop="1">
      <c r="A1674" s="226" t="s">
        <v>6467</v>
      </c>
      <c r="B1674" s="28">
        <v>45922</v>
      </c>
      <c r="C1674" s="25">
        <v>2061</v>
      </c>
      <c r="D1674" s="13" t="s">
        <v>3857</v>
      </c>
      <c r="E1674" s="228"/>
      <c r="F1674" s="109" t="s">
        <v>5145</v>
      </c>
      <c r="G1674" s="24" t="s">
        <v>2494</v>
      </c>
      <c r="H1674" s="230">
        <v>4</v>
      </c>
      <c r="I1674" s="220">
        <v>2075000</v>
      </c>
      <c r="J1674" s="220">
        <f>I1674*0.1</f>
        <v>207500</v>
      </c>
      <c r="K1674" s="220">
        <f>19700+1970</f>
        <v>21670</v>
      </c>
      <c r="L1674" s="220">
        <v>21500</v>
      </c>
      <c r="M1674" s="220">
        <v>11000</v>
      </c>
      <c r="N1674" s="220">
        <f>SUM(I1674:M1675)</f>
        <v>2336670</v>
      </c>
      <c r="O1674" s="224"/>
      <c r="P1674" s="110" t="s">
        <v>5146</v>
      </c>
      <c r="Q1674" s="15" t="s">
        <v>19</v>
      </c>
      <c r="R1674" s="205"/>
      <c r="S1674" s="189" t="s">
        <v>25372</v>
      </c>
      <c r="T1674" s="114"/>
      <c r="U1674" s="21"/>
      <c r="V1674" s="115">
        <v>45941</v>
      </c>
      <c r="W1674" s="116">
        <v>1271</v>
      </c>
      <c r="X1674" s="220">
        <v>2220000</v>
      </c>
      <c r="Y1674" s="220">
        <f>X1674*0.1</f>
        <v>222000</v>
      </c>
      <c r="Z1674" s="220">
        <v>21500</v>
      </c>
      <c r="AA1674" s="220">
        <f>SUM(X1674:Z1674)</f>
        <v>2463500</v>
      </c>
      <c r="AB1674" s="222">
        <v>45944</v>
      </c>
    </row>
    <row r="1675" spans="1:28" ht="17.100000000000001" customHeight="1" thickBot="1">
      <c r="A1675" s="227"/>
      <c r="B1675" s="27" t="s">
        <v>82</v>
      </c>
      <c r="C1675" s="27">
        <v>35003</v>
      </c>
      <c r="D1675" s="14" t="s">
        <v>1584</v>
      </c>
      <c r="E1675" s="229"/>
      <c r="F1675" s="117" t="s">
        <v>5147</v>
      </c>
      <c r="G1675" s="26">
        <v>33929</v>
      </c>
      <c r="H1675" s="231"/>
      <c r="I1675" s="221"/>
      <c r="J1675" s="221"/>
      <c r="K1675" s="221"/>
      <c r="L1675" s="221"/>
      <c r="M1675" s="221"/>
      <c r="N1675" s="221"/>
      <c r="O1675" s="225"/>
      <c r="P1675" s="118" t="s">
        <v>5148</v>
      </c>
      <c r="Q1675" s="16" t="s">
        <v>20</v>
      </c>
      <c r="R1675" s="17" t="s">
        <v>4111</v>
      </c>
      <c r="S1675" s="121" t="s">
        <v>3765</v>
      </c>
      <c r="T1675" s="122"/>
      <c r="U1675" s="22"/>
      <c r="V1675" s="123" t="s">
        <v>2472</v>
      </c>
      <c r="W1675" s="122">
        <v>80101</v>
      </c>
      <c r="X1675" s="221"/>
      <c r="Y1675" s="221"/>
      <c r="Z1675" s="221"/>
      <c r="AA1675" s="221"/>
      <c r="AB1675" s="223"/>
    </row>
    <row r="1676" spans="1:28" ht="17.100000000000001" customHeight="1" thickTop="1">
      <c r="A1676" s="226" t="s">
        <v>6468</v>
      </c>
      <c r="B1676" s="28">
        <v>45922</v>
      </c>
      <c r="C1676" s="25">
        <v>2061</v>
      </c>
      <c r="D1676" s="13" t="s">
        <v>1589</v>
      </c>
      <c r="E1676" s="228"/>
      <c r="F1676" s="109" t="s">
        <v>5149</v>
      </c>
      <c r="G1676" s="24"/>
      <c r="H1676" s="230">
        <v>4</v>
      </c>
      <c r="I1676" s="220">
        <v>1325000</v>
      </c>
      <c r="J1676" s="220">
        <f>I1676*0.1</f>
        <v>132500</v>
      </c>
      <c r="K1676" s="220">
        <v>0</v>
      </c>
      <c r="L1676" s="220">
        <v>19390</v>
      </c>
      <c r="M1676" s="220">
        <v>11000</v>
      </c>
      <c r="N1676" s="220">
        <f>SUM(I1676:M1677)</f>
        <v>1487890</v>
      </c>
      <c r="O1676" s="224"/>
      <c r="P1676" s="110" t="s">
        <v>5150</v>
      </c>
      <c r="Q1676" s="15" t="s">
        <v>19</v>
      </c>
      <c r="R1676" s="205"/>
      <c r="S1676" s="189" t="s">
        <v>1361</v>
      </c>
      <c r="T1676" s="114"/>
      <c r="U1676" s="21"/>
      <c r="V1676" s="115">
        <v>45934</v>
      </c>
      <c r="W1676" s="116">
        <v>1270</v>
      </c>
      <c r="X1676" s="220">
        <v>1420000</v>
      </c>
      <c r="Y1676" s="220">
        <f>X1676*0.1</f>
        <v>142000</v>
      </c>
      <c r="Z1676" s="220">
        <v>19390</v>
      </c>
      <c r="AA1676" s="220">
        <f>SUM(X1676:Z1676)</f>
        <v>1581390</v>
      </c>
      <c r="AB1676" s="222">
        <v>45938</v>
      </c>
    </row>
    <row r="1677" spans="1:28" ht="17.100000000000001" customHeight="1" thickBot="1">
      <c r="A1677" s="227"/>
      <c r="B1677" s="27" t="s">
        <v>82</v>
      </c>
      <c r="C1677" s="27">
        <v>35005</v>
      </c>
      <c r="D1677" s="14" t="s">
        <v>898</v>
      </c>
      <c r="E1677" s="229"/>
      <c r="F1677" s="117" t="s">
        <v>5151</v>
      </c>
      <c r="G1677" s="26">
        <v>14078</v>
      </c>
      <c r="H1677" s="231"/>
      <c r="I1677" s="221"/>
      <c r="J1677" s="221"/>
      <c r="K1677" s="221"/>
      <c r="L1677" s="221"/>
      <c r="M1677" s="221"/>
      <c r="N1677" s="221"/>
      <c r="O1677" s="225"/>
      <c r="P1677" s="118" t="s">
        <v>5148</v>
      </c>
      <c r="Q1677" s="16" t="s">
        <v>20</v>
      </c>
      <c r="R1677" s="17" t="s">
        <v>4111</v>
      </c>
      <c r="S1677" s="121" t="s">
        <v>3765</v>
      </c>
      <c r="T1677" s="122"/>
      <c r="U1677" s="22"/>
      <c r="V1677" s="123" t="s">
        <v>7160</v>
      </c>
      <c r="W1677" s="122">
        <v>80074</v>
      </c>
      <c r="X1677" s="221"/>
      <c r="Y1677" s="221"/>
      <c r="Z1677" s="221"/>
      <c r="AA1677" s="221"/>
      <c r="AB1677" s="223"/>
    </row>
    <row r="1678" spans="1:28" ht="17.100000000000001" customHeight="1" thickTop="1">
      <c r="A1678" s="226" t="s">
        <v>6469</v>
      </c>
      <c r="B1678" s="28">
        <v>45923</v>
      </c>
      <c r="C1678" s="25">
        <v>1910</v>
      </c>
      <c r="D1678" s="13" t="s">
        <v>3327</v>
      </c>
      <c r="E1678" s="228"/>
      <c r="F1678" s="109" t="s">
        <v>5152</v>
      </c>
      <c r="G1678" s="24"/>
      <c r="H1678" s="230">
        <v>4.5</v>
      </c>
      <c r="I1678" s="220">
        <v>912000</v>
      </c>
      <c r="J1678" s="220">
        <f>I1678*0.1</f>
        <v>91200</v>
      </c>
      <c r="K1678" s="220">
        <v>0</v>
      </c>
      <c r="L1678" s="220">
        <v>22120</v>
      </c>
      <c r="M1678" s="220">
        <v>15950</v>
      </c>
      <c r="N1678" s="220">
        <f>SUM(I1678:M1679)</f>
        <v>1041270</v>
      </c>
      <c r="O1678" s="224"/>
      <c r="P1678" s="110" t="s">
        <v>5153</v>
      </c>
      <c r="Q1678" s="15" t="s">
        <v>19</v>
      </c>
      <c r="R1678" s="205"/>
      <c r="S1678" s="189" t="s">
        <v>758</v>
      </c>
      <c r="T1678" s="114"/>
      <c r="U1678" s="21"/>
      <c r="V1678" s="115">
        <v>45934</v>
      </c>
      <c r="W1678" s="116">
        <v>1270</v>
      </c>
      <c r="X1678" s="220">
        <v>1070000</v>
      </c>
      <c r="Y1678" s="220">
        <f>X1678*0.1</f>
        <v>107000</v>
      </c>
      <c r="Z1678" s="220">
        <v>22120</v>
      </c>
      <c r="AA1678" s="220">
        <f>SUM(X1678:Z1678)</f>
        <v>1199120</v>
      </c>
      <c r="AB1678" s="222">
        <v>45938</v>
      </c>
    </row>
    <row r="1679" spans="1:28" ht="17.100000000000001" customHeight="1" thickBot="1">
      <c r="A1679" s="227"/>
      <c r="B1679" s="27" t="s">
        <v>2103</v>
      </c>
      <c r="C1679" s="27">
        <v>5027</v>
      </c>
      <c r="D1679" s="14" t="s">
        <v>1627</v>
      </c>
      <c r="E1679" s="229"/>
      <c r="F1679" s="117" t="s">
        <v>5154</v>
      </c>
      <c r="G1679" s="26">
        <v>46551</v>
      </c>
      <c r="H1679" s="231"/>
      <c r="I1679" s="221"/>
      <c r="J1679" s="221"/>
      <c r="K1679" s="221"/>
      <c r="L1679" s="221"/>
      <c r="M1679" s="221"/>
      <c r="N1679" s="221"/>
      <c r="O1679" s="225"/>
      <c r="P1679" s="118" t="s">
        <v>5155</v>
      </c>
      <c r="Q1679" s="16" t="s">
        <v>20</v>
      </c>
      <c r="R1679" s="17" t="s">
        <v>4529</v>
      </c>
      <c r="S1679" s="121" t="s">
        <v>169</v>
      </c>
      <c r="T1679" s="122"/>
      <c r="U1679" s="22"/>
      <c r="V1679" s="123" t="s">
        <v>7160</v>
      </c>
      <c r="W1679" s="122">
        <v>80015</v>
      </c>
      <c r="X1679" s="221"/>
      <c r="Y1679" s="221"/>
      <c r="Z1679" s="221"/>
      <c r="AA1679" s="221"/>
      <c r="AB1679" s="223"/>
    </row>
    <row r="1680" spans="1:28" ht="17.100000000000001" customHeight="1" thickTop="1">
      <c r="A1680" s="226" t="s">
        <v>6470</v>
      </c>
      <c r="B1680" s="28">
        <v>45923</v>
      </c>
      <c r="C1680" s="25">
        <v>1910</v>
      </c>
      <c r="D1680" s="13" t="s">
        <v>1598</v>
      </c>
      <c r="E1680" s="228"/>
      <c r="F1680" s="109" t="s">
        <v>5156</v>
      </c>
      <c r="G1680" s="24"/>
      <c r="H1680" s="230">
        <v>4</v>
      </c>
      <c r="I1680" s="220">
        <v>522000</v>
      </c>
      <c r="J1680" s="220">
        <f>I1680*0.1</f>
        <v>52200</v>
      </c>
      <c r="K1680" s="220">
        <v>0</v>
      </c>
      <c r="L1680" s="220">
        <v>8460</v>
      </c>
      <c r="M1680" s="220">
        <v>15950</v>
      </c>
      <c r="N1680" s="220">
        <f>SUM(I1680:M1681)</f>
        <v>598610</v>
      </c>
      <c r="O1680" s="224"/>
      <c r="P1680" s="110" t="s">
        <v>5157</v>
      </c>
      <c r="Q1680" s="15" t="s">
        <v>19</v>
      </c>
      <c r="R1680" s="205"/>
      <c r="S1680" s="189"/>
      <c r="T1680" s="114"/>
      <c r="U1680" s="21"/>
      <c r="V1680" s="115">
        <v>46004</v>
      </c>
      <c r="W1680" s="116">
        <v>1280</v>
      </c>
      <c r="X1680" s="220">
        <v>560000</v>
      </c>
      <c r="Y1680" s="220">
        <f>X1680*0.1</f>
        <v>56000</v>
      </c>
      <c r="Z1680" s="220">
        <v>8460</v>
      </c>
      <c r="AA1680" s="220">
        <f>SUM(X1680:Z1680)</f>
        <v>624460</v>
      </c>
      <c r="AB1680" s="222">
        <v>46008</v>
      </c>
    </row>
    <row r="1681" spans="1:28" ht="17.100000000000001" customHeight="1" thickBot="1">
      <c r="A1681" s="227"/>
      <c r="B1681" s="27" t="s">
        <v>2103</v>
      </c>
      <c r="C1681" s="27">
        <v>5402</v>
      </c>
      <c r="D1681" s="14" t="s">
        <v>273</v>
      </c>
      <c r="E1681" s="229"/>
      <c r="F1681" s="117" t="s">
        <v>5158</v>
      </c>
      <c r="G1681" s="26">
        <v>49221</v>
      </c>
      <c r="H1681" s="231"/>
      <c r="I1681" s="221"/>
      <c r="J1681" s="221"/>
      <c r="K1681" s="221"/>
      <c r="L1681" s="221"/>
      <c r="M1681" s="221"/>
      <c r="N1681" s="221"/>
      <c r="O1681" s="225"/>
      <c r="P1681" s="118" t="s">
        <v>5159</v>
      </c>
      <c r="Q1681" s="16" t="s">
        <v>20</v>
      </c>
      <c r="R1681" s="17" t="s">
        <v>4111</v>
      </c>
      <c r="S1681" s="121"/>
      <c r="T1681" s="122"/>
      <c r="U1681" s="22"/>
      <c r="V1681" s="123" t="s">
        <v>2472</v>
      </c>
      <c r="W1681" s="122">
        <v>60147</v>
      </c>
      <c r="X1681" s="221"/>
      <c r="Y1681" s="221"/>
      <c r="Z1681" s="221"/>
      <c r="AA1681" s="221"/>
      <c r="AB1681" s="223"/>
    </row>
    <row r="1682" spans="1:28" ht="17.100000000000001" customHeight="1" thickTop="1">
      <c r="A1682" s="226" t="s">
        <v>6471</v>
      </c>
      <c r="B1682" s="28">
        <v>45923</v>
      </c>
      <c r="C1682" s="25">
        <v>1910</v>
      </c>
      <c r="D1682" s="13" t="s">
        <v>1615</v>
      </c>
      <c r="E1682" s="228"/>
      <c r="F1682" s="109" t="s">
        <v>5160</v>
      </c>
      <c r="G1682" s="24"/>
      <c r="H1682" s="230">
        <v>3.5</v>
      </c>
      <c r="I1682" s="220">
        <v>325000</v>
      </c>
      <c r="J1682" s="220">
        <f>I1682*0.1</f>
        <v>32500</v>
      </c>
      <c r="K1682" s="220">
        <v>0</v>
      </c>
      <c r="L1682" s="220">
        <v>8460</v>
      </c>
      <c r="M1682" s="220">
        <v>15950</v>
      </c>
      <c r="N1682" s="220">
        <f>SUM(I1682:M1683)</f>
        <v>381910</v>
      </c>
      <c r="O1682" s="224"/>
      <c r="P1682" s="110" t="s">
        <v>5161</v>
      </c>
      <c r="Q1682" s="15" t="s">
        <v>19</v>
      </c>
      <c r="R1682" s="205"/>
      <c r="S1682" s="189" t="s">
        <v>1072</v>
      </c>
      <c r="T1682" s="114"/>
      <c r="U1682" s="21"/>
      <c r="V1682" s="115">
        <v>45934</v>
      </c>
      <c r="W1682" s="116">
        <v>1270</v>
      </c>
      <c r="X1682" s="220">
        <v>410000</v>
      </c>
      <c r="Y1682" s="220">
        <f>X1682*0.1</f>
        <v>41000</v>
      </c>
      <c r="Z1682" s="220">
        <v>8460</v>
      </c>
      <c r="AA1682" s="220">
        <f>SUM(X1682:Z1682)</f>
        <v>459460</v>
      </c>
      <c r="AB1682" s="222">
        <v>45937</v>
      </c>
    </row>
    <row r="1683" spans="1:28" ht="17.100000000000001" customHeight="1" thickBot="1">
      <c r="A1683" s="227"/>
      <c r="B1683" s="27" t="s">
        <v>2103</v>
      </c>
      <c r="C1683" s="27">
        <v>7075</v>
      </c>
      <c r="D1683" s="14" t="s">
        <v>273</v>
      </c>
      <c r="E1683" s="229"/>
      <c r="F1683" s="117" t="s">
        <v>5162</v>
      </c>
      <c r="G1683" s="26">
        <v>37612</v>
      </c>
      <c r="H1683" s="231"/>
      <c r="I1683" s="221"/>
      <c r="J1683" s="221"/>
      <c r="K1683" s="221"/>
      <c r="L1683" s="221"/>
      <c r="M1683" s="221"/>
      <c r="N1683" s="221"/>
      <c r="O1683" s="225"/>
      <c r="P1683" s="118" t="s">
        <v>5163</v>
      </c>
      <c r="Q1683" s="16" t="s">
        <v>20</v>
      </c>
      <c r="R1683" s="17" t="s">
        <v>4529</v>
      </c>
      <c r="S1683" s="121" t="s">
        <v>1573</v>
      </c>
      <c r="T1683" s="122"/>
      <c r="U1683" s="22"/>
      <c r="V1683" s="123" t="s">
        <v>7160</v>
      </c>
      <c r="W1683" s="122">
        <v>60175</v>
      </c>
      <c r="X1683" s="221"/>
      <c r="Y1683" s="221"/>
      <c r="Z1683" s="221"/>
      <c r="AA1683" s="221"/>
      <c r="AB1683" s="223"/>
    </row>
    <row r="1684" spans="1:28" ht="17.100000000000001" customHeight="1" thickTop="1">
      <c r="A1684" s="226" t="s">
        <v>6472</v>
      </c>
      <c r="B1684" s="28">
        <v>45923</v>
      </c>
      <c r="C1684" s="25">
        <v>788</v>
      </c>
      <c r="D1684" s="13" t="s">
        <v>2288</v>
      </c>
      <c r="E1684" s="228"/>
      <c r="F1684" s="109" t="s">
        <v>5164</v>
      </c>
      <c r="G1684" s="24" t="s">
        <v>3453</v>
      </c>
      <c r="H1684" s="230">
        <v>4.5</v>
      </c>
      <c r="I1684" s="220">
        <v>406000</v>
      </c>
      <c r="J1684" s="220">
        <f>I1684*0.1</f>
        <v>40600</v>
      </c>
      <c r="K1684" s="220">
        <v>18920</v>
      </c>
      <c r="L1684" s="220">
        <v>11810</v>
      </c>
      <c r="M1684" s="220">
        <v>19250</v>
      </c>
      <c r="N1684" s="220">
        <f>SUM(I1684:M1685)</f>
        <v>496580</v>
      </c>
      <c r="O1684" s="224"/>
      <c r="P1684" s="110" t="s">
        <v>5165</v>
      </c>
      <c r="Q1684" s="15" t="s">
        <v>19</v>
      </c>
      <c r="R1684" s="205"/>
      <c r="S1684" s="189"/>
      <c r="T1684" s="114"/>
      <c r="U1684" s="21" t="s">
        <v>8184</v>
      </c>
      <c r="V1684" s="115">
        <v>45966</v>
      </c>
      <c r="W1684" s="116">
        <v>991</v>
      </c>
      <c r="X1684" s="220">
        <v>520000</v>
      </c>
      <c r="Y1684" s="220">
        <f>X1684*0.1</f>
        <v>52000</v>
      </c>
      <c r="Z1684" s="220">
        <v>11810</v>
      </c>
      <c r="AA1684" s="220">
        <f>SUM(X1684:Z1684)</f>
        <v>583810</v>
      </c>
      <c r="AB1684" s="222">
        <v>45971</v>
      </c>
    </row>
    <row r="1685" spans="1:28" ht="17.100000000000001" customHeight="1" thickBot="1">
      <c r="A1685" s="227"/>
      <c r="B1685" s="27" t="s">
        <v>3314</v>
      </c>
      <c r="C1685" s="27">
        <v>5007</v>
      </c>
      <c r="D1685" s="14" t="s">
        <v>1584</v>
      </c>
      <c r="E1685" s="229"/>
      <c r="F1685" s="117" t="s">
        <v>5166</v>
      </c>
      <c r="G1685" s="26">
        <v>53664</v>
      </c>
      <c r="H1685" s="231"/>
      <c r="I1685" s="221"/>
      <c r="J1685" s="221"/>
      <c r="K1685" s="221"/>
      <c r="L1685" s="221"/>
      <c r="M1685" s="221"/>
      <c r="N1685" s="221"/>
      <c r="O1685" s="225"/>
      <c r="P1685" s="118" t="s">
        <v>5167</v>
      </c>
      <c r="Q1685" s="16" t="s">
        <v>20</v>
      </c>
      <c r="R1685" s="17" t="s">
        <v>4529</v>
      </c>
      <c r="S1685" s="121" t="s">
        <v>2784</v>
      </c>
      <c r="T1685" s="122"/>
      <c r="U1685" s="22"/>
      <c r="V1685" s="123" t="s">
        <v>2747</v>
      </c>
      <c r="W1685" s="122">
        <v>6048</v>
      </c>
      <c r="X1685" s="221"/>
      <c r="Y1685" s="221"/>
      <c r="Z1685" s="221"/>
      <c r="AA1685" s="221"/>
      <c r="AB1685" s="223"/>
    </row>
    <row r="1686" spans="1:28" ht="17.100000000000001" customHeight="1" thickTop="1">
      <c r="A1686" s="226" t="s">
        <v>6473</v>
      </c>
      <c r="B1686" s="28">
        <v>45923</v>
      </c>
      <c r="C1686" s="25">
        <v>908</v>
      </c>
      <c r="D1686" s="13" t="s">
        <v>1901</v>
      </c>
      <c r="E1686" s="228"/>
      <c r="F1686" s="109" t="s">
        <v>5168</v>
      </c>
      <c r="G1686" s="24"/>
      <c r="H1686" s="230">
        <v>4</v>
      </c>
      <c r="I1686" s="220">
        <v>1300000</v>
      </c>
      <c r="J1686" s="220">
        <f>I1686*0.1</f>
        <v>130000</v>
      </c>
      <c r="K1686" s="220">
        <v>0</v>
      </c>
      <c r="L1686" s="220">
        <v>7040</v>
      </c>
      <c r="M1686" s="220">
        <v>15950</v>
      </c>
      <c r="N1686" s="220">
        <f>SUM(I1686:M1687)</f>
        <v>1452990</v>
      </c>
      <c r="O1686" s="224"/>
      <c r="P1686" s="110" t="s">
        <v>5169</v>
      </c>
      <c r="Q1686" s="15" t="s">
        <v>19</v>
      </c>
      <c r="R1686" s="205"/>
      <c r="S1686" s="189"/>
      <c r="T1686" s="114"/>
      <c r="U1686" s="21"/>
      <c r="V1686" s="115">
        <v>45934</v>
      </c>
      <c r="W1686" s="116">
        <v>1270</v>
      </c>
      <c r="X1686" s="220">
        <v>1350000</v>
      </c>
      <c r="Y1686" s="220">
        <f>X1686*0.1</f>
        <v>135000</v>
      </c>
      <c r="Z1686" s="220">
        <v>7040</v>
      </c>
      <c r="AA1686" s="220">
        <f>SUM(X1686:Z1686)</f>
        <v>1492040</v>
      </c>
      <c r="AB1686" s="222">
        <v>45937</v>
      </c>
    </row>
    <row r="1687" spans="1:28" ht="17.100000000000001" customHeight="1" thickBot="1">
      <c r="A1687" s="227"/>
      <c r="B1687" s="27" t="s">
        <v>2654</v>
      </c>
      <c r="C1687" s="27">
        <v>3036</v>
      </c>
      <c r="D1687" s="14" t="s">
        <v>898</v>
      </c>
      <c r="E1687" s="229"/>
      <c r="F1687" s="117" t="s">
        <v>5170</v>
      </c>
      <c r="G1687" s="26">
        <v>19777</v>
      </c>
      <c r="H1687" s="231"/>
      <c r="I1687" s="221"/>
      <c r="J1687" s="221"/>
      <c r="K1687" s="221"/>
      <c r="L1687" s="221"/>
      <c r="M1687" s="221"/>
      <c r="N1687" s="221"/>
      <c r="O1687" s="225"/>
      <c r="P1687" s="118" t="s">
        <v>4007</v>
      </c>
      <c r="Q1687" s="16" t="s">
        <v>20</v>
      </c>
      <c r="R1687" s="17" t="s">
        <v>4529</v>
      </c>
      <c r="S1687" s="121" t="s">
        <v>5171</v>
      </c>
      <c r="T1687" s="122"/>
      <c r="U1687" s="22"/>
      <c r="V1687" s="123" t="s">
        <v>7160</v>
      </c>
      <c r="W1687" s="122">
        <v>60103</v>
      </c>
      <c r="X1687" s="221"/>
      <c r="Y1687" s="221"/>
      <c r="Z1687" s="221"/>
      <c r="AA1687" s="221"/>
      <c r="AB1687" s="223"/>
    </row>
    <row r="1688" spans="1:28" ht="17.100000000000001" customHeight="1" thickTop="1">
      <c r="A1688" s="226" t="s">
        <v>6474</v>
      </c>
      <c r="B1688" s="28">
        <v>45923</v>
      </c>
      <c r="C1688" s="25">
        <v>908</v>
      </c>
      <c r="D1688" s="13" t="s">
        <v>3739</v>
      </c>
      <c r="E1688" s="228"/>
      <c r="F1688" s="109" t="s">
        <v>5172</v>
      </c>
      <c r="G1688" s="24"/>
      <c r="H1688" s="230">
        <v>4</v>
      </c>
      <c r="I1688" s="220">
        <v>1105000</v>
      </c>
      <c r="J1688" s="220">
        <f>I1688*0.1</f>
        <v>110500</v>
      </c>
      <c r="K1688" s="220">
        <v>0</v>
      </c>
      <c r="L1688" s="220">
        <v>6830</v>
      </c>
      <c r="M1688" s="220">
        <v>15950</v>
      </c>
      <c r="N1688" s="220">
        <f>SUM(I1688:M1689)</f>
        <v>1238280</v>
      </c>
      <c r="O1688" s="224"/>
      <c r="P1688" s="110" t="s">
        <v>5173</v>
      </c>
      <c r="Q1688" s="15" t="s">
        <v>19</v>
      </c>
      <c r="R1688" s="205"/>
      <c r="S1688" s="189" t="s">
        <v>1361</v>
      </c>
      <c r="T1688" s="114"/>
      <c r="U1688" s="21"/>
      <c r="V1688" s="115">
        <v>45980</v>
      </c>
      <c r="W1688" s="116">
        <v>993</v>
      </c>
      <c r="X1688" s="220">
        <v>1160000</v>
      </c>
      <c r="Y1688" s="220">
        <f>X1688*0.1</f>
        <v>116000</v>
      </c>
      <c r="Z1688" s="220">
        <v>6830</v>
      </c>
      <c r="AA1688" s="220">
        <f>SUM(X1688:Z1688)</f>
        <v>1282830</v>
      </c>
      <c r="AB1688" s="222">
        <v>45986</v>
      </c>
    </row>
    <row r="1689" spans="1:28" ht="17.100000000000001" customHeight="1" thickBot="1">
      <c r="A1689" s="227"/>
      <c r="B1689" s="27" t="s">
        <v>2654</v>
      </c>
      <c r="C1689" s="27">
        <v>3062</v>
      </c>
      <c r="D1689" s="14" t="s">
        <v>3792</v>
      </c>
      <c r="E1689" s="229"/>
      <c r="F1689" s="117" t="s">
        <v>5174</v>
      </c>
      <c r="G1689" s="26">
        <v>38905</v>
      </c>
      <c r="H1689" s="231"/>
      <c r="I1689" s="221"/>
      <c r="J1689" s="221"/>
      <c r="K1689" s="221"/>
      <c r="L1689" s="221"/>
      <c r="M1689" s="221"/>
      <c r="N1689" s="221"/>
      <c r="O1689" s="225"/>
      <c r="P1689" s="118" t="s">
        <v>4541</v>
      </c>
      <c r="Q1689" s="16" t="s">
        <v>20</v>
      </c>
      <c r="R1689" s="17" t="s">
        <v>4111</v>
      </c>
      <c r="S1689" s="121" t="s">
        <v>5175</v>
      </c>
      <c r="T1689" s="122"/>
      <c r="U1689" s="22"/>
      <c r="V1689" s="123" t="s">
        <v>2747</v>
      </c>
      <c r="W1689" s="122">
        <v>2022</v>
      </c>
      <c r="X1689" s="221"/>
      <c r="Y1689" s="221"/>
      <c r="Z1689" s="221"/>
      <c r="AA1689" s="221"/>
      <c r="AB1689" s="223"/>
    </row>
    <row r="1690" spans="1:28" ht="17.100000000000001" customHeight="1" thickTop="1">
      <c r="A1690" s="226" t="s">
        <v>6475</v>
      </c>
      <c r="B1690" s="28">
        <v>45923</v>
      </c>
      <c r="C1690" s="25">
        <v>908</v>
      </c>
      <c r="D1690" s="13" t="s">
        <v>2637</v>
      </c>
      <c r="E1690" s="228"/>
      <c r="F1690" s="109" t="s">
        <v>5176</v>
      </c>
      <c r="G1690" s="24" t="s">
        <v>2038</v>
      </c>
      <c r="H1690" s="230">
        <v>4.5</v>
      </c>
      <c r="I1690" s="220">
        <v>799000</v>
      </c>
      <c r="J1690" s="220">
        <f>I1690*0.1</f>
        <v>79900</v>
      </c>
      <c r="K1690" s="220">
        <v>0</v>
      </c>
      <c r="L1690" s="220">
        <v>6470</v>
      </c>
      <c r="M1690" s="220">
        <v>15950</v>
      </c>
      <c r="N1690" s="220">
        <f>SUM(I1690:M1691)</f>
        <v>901320</v>
      </c>
      <c r="O1690" s="224"/>
      <c r="P1690" s="110" t="s">
        <v>5177</v>
      </c>
      <c r="Q1690" s="15" t="s">
        <v>19</v>
      </c>
      <c r="R1690" s="205"/>
      <c r="S1690" s="189" t="s">
        <v>1361</v>
      </c>
      <c r="T1690" s="114"/>
      <c r="U1690" s="21" t="s">
        <v>7579</v>
      </c>
      <c r="V1690" s="115">
        <v>45934</v>
      </c>
      <c r="W1690" s="116">
        <v>1270</v>
      </c>
      <c r="X1690" s="220">
        <v>950000</v>
      </c>
      <c r="Y1690" s="220">
        <f>X1690*0.1</f>
        <v>95000</v>
      </c>
      <c r="Z1690" s="220">
        <v>6470</v>
      </c>
      <c r="AA1690" s="220">
        <f>SUM(X1690:Z1690)</f>
        <v>1051470</v>
      </c>
      <c r="AB1690" s="222">
        <v>45944</v>
      </c>
    </row>
    <row r="1691" spans="1:28" ht="17.100000000000001" customHeight="1" thickBot="1">
      <c r="A1691" s="227"/>
      <c r="B1691" s="27" t="s">
        <v>2654</v>
      </c>
      <c r="C1691" s="27">
        <v>3116</v>
      </c>
      <c r="D1691" s="14" t="s">
        <v>1710</v>
      </c>
      <c r="E1691" s="229"/>
      <c r="F1691" s="117" t="s">
        <v>5178</v>
      </c>
      <c r="G1691" s="26">
        <v>11769</v>
      </c>
      <c r="H1691" s="231"/>
      <c r="I1691" s="221"/>
      <c r="J1691" s="221"/>
      <c r="K1691" s="221"/>
      <c r="L1691" s="221"/>
      <c r="M1691" s="221"/>
      <c r="N1691" s="221"/>
      <c r="O1691" s="225"/>
      <c r="P1691" s="118" t="s">
        <v>5179</v>
      </c>
      <c r="Q1691" s="16" t="s">
        <v>20</v>
      </c>
      <c r="R1691" s="17" t="s">
        <v>4529</v>
      </c>
      <c r="S1691" s="121" t="s">
        <v>5180</v>
      </c>
      <c r="T1691" s="122"/>
      <c r="U1691" s="22"/>
      <c r="V1691" s="123" t="s">
        <v>6641</v>
      </c>
      <c r="W1691" s="122">
        <v>60165</v>
      </c>
      <c r="X1691" s="221"/>
      <c r="Y1691" s="221"/>
      <c r="Z1691" s="221"/>
      <c r="AA1691" s="221"/>
      <c r="AB1691" s="223"/>
    </row>
    <row r="1692" spans="1:28" ht="17.100000000000001" customHeight="1" thickTop="1">
      <c r="A1692" s="226" t="s">
        <v>6476</v>
      </c>
      <c r="B1692" s="28">
        <v>45923</v>
      </c>
      <c r="C1692" s="25">
        <v>1209</v>
      </c>
      <c r="D1692" s="13" t="s">
        <v>3422</v>
      </c>
      <c r="E1692" s="228"/>
      <c r="F1692" s="109" t="s">
        <v>2678</v>
      </c>
      <c r="G1692" s="24"/>
      <c r="H1692" s="230">
        <v>4</v>
      </c>
      <c r="I1692" s="220">
        <v>479000</v>
      </c>
      <c r="J1692" s="220">
        <f>I1692*0.1</f>
        <v>47900</v>
      </c>
      <c r="K1692" s="220">
        <v>0</v>
      </c>
      <c r="L1692" s="220">
        <v>16240</v>
      </c>
      <c r="M1692" s="220">
        <v>15950</v>
      </c>
      <c r="N1692" s="220">
        <f>SUM(I1692:M1693)</f>
        <v>559090</v>
      </c>
      <c r="O1692" s="224"/>
      <c r="P1692" s="110" t="s">
        <v>5181</v>
      </c>
      <c r="Q1692" s="15" t="s">
        <v>19</v>
      </c>
      <c r="R1692" s="205"/>
      <c r="S1692" s="189"/>
      <c r="T1692" s="114"/>
      <c r="U1692" s="21"/>
      <c r="V1692" s="115">
        <v>45941</v>
      </c>
      <c r="W1692" s="116">
        <v>1271</v>
      </c>
      <c r="X1692" s="220">
        <v>735000</v>
      </c>
      <c r="Y1692" s="220">
        <f>X1692*0.1</f>
        <v>73500</v>
      </c>
      <c r="Z1692" s="220">
        <v>16240</v>
      </c>
      <c r="AA1692" s="220">
        <f>SUM(X1692:Z1692)</f>
        <v>824740</v>
      </c>
      <c r="AB1692" s="222">
        <v>45944</v>
      </c>
    </row>
    <row r="1693" spans="1:28" ht="17.100000000000001" customHeight="1" thickBot="1">
      <c r="A1693" s="227"/>
      <c r="B1693" s="27" t="s">
        <v>2344</v>
      </c>
      <c r="C1693" s="27">
        <v>5027</v>
      </c>
      <c r="D1693" s="14" t="s">
        <v>898</v>
      </c>
      <c r="E1693" s="229"/>
      <c r="F1693" s="117" t="s">
        <v>5182</v>
      </c>
      <c r="G1693" s="26">
        <v>45952</v>
      </c>
      <c r="H1693" s="231"/>
      <c r="I1693" s="221"/>
      <c r="J1693" s="221"/>
      <c r="K1693" s="221"/>
      <c r="L1693" s="221"/>
      <c r="M1693" s="221"/>
      <c r="N1693" s="221"/>
      <c r="O1693" s="225"/>
      <c r="P1693" s="118" t="s">
        <v>5183</v>
      </c>
      <c r="Q1693" s="16" t="s">
        <v>20</v>
      </c>
      <c r="R1693" s="17" t="s">
        <v>4529</v>
      </c>
      <c r="S1693" s="121" t="s">
        <v>2784</v>
      </c>
      <c r="T1693" s="122"/>
      <c r="U1693" s="22"/>
      <c r="V1693" s="123" t="s">
        <v>2472</v>
      </c>
      <c r="W1693" s="122">
        <v>80202</v>
      </c>
      <c r="X1693" s="221"/>
      <c r="Y1693" s="221"/>
      <c r="Z1693" s="221"/>
      <c r="AA1693" s="221"/>
      <c r="AB1693" s="223"/>
    </row>
    <row r="1694" spans="1:28" ht="17.100000000000001" customHeight="1" thickTop="1">
      <c r="A1694" s="226" t="s">
        <v>6477</v>
      </c>
      <c r="B1694" s="28">
        <v>45923</v>
      </c>
      <c r="C1694" s="25">
        <v>1209</v>
      </c>
      <c r="D1694" s="13" t="s">
        <v>1846</v>
      </c>
      <c r="E1694" s="228"/>
      <c r="F1694" s="109" t="s">
        <v>2678</v>
      </c>
      <c r="G1694" s="24" t="s">
        <v>4038</v>
      </c>
      <c r="H1694" s="230">
        <v>4</v>
      </c>
      <c r="I1694" s="220">
        <v>578000</v>
      </c>
      <c r="J1694" s="220">
        <f>I1694*0.1</f>
        <v>57800</v>
      </c>
      <c r="K1694" s="220">
        <v>18920</v>
      </c>
      <c r="L1694" s="220">
        <v>17700</v>
      </c>
      <c r="M1694" s="220">
        <v>15950</v>
      </c>
      <c r="N1694" s="220">
        <f>SUM(I1694:M1695)</f>
        <v>688370</v>
      </c>
      <c r="O1694" s="224"/>
      <c r="P1694" s="110" t="s">
        <v>5184</v>
      </c>
      <c r="Q1694" s="15" t="s">
        <v>19</v>
      </c>
      <c r="R1694" s="205"/>
      <c r="S1694" s="189"/>
      <c r="T1694" s="114"/>
      <c r="U1694" s="21"/>
      <c r="V1694" s="115">
        <v>46004</v>
      </c>
      <c r="W1694" s="116">
        <v>1280</v>
      </c>
      <c r="X1694" s="220">
        <v>645000</v>
      </c>
      <c r="Y1694" s="220">
        <f>X1694*0.1</f>
        <v>64500</v>
      </c>
      <c r="Z1694" s="220">
        <v>17700</v>
      </c>
      <c r="AA1694" s="220">
        <f>SUM(X1694:Z1694)</f>
        <v>727200</v>
      </c>
      <c r="AB1694" s="222">
        <v>46007</v>
      </c>
    </row>
    <row r="1695" spans="1:28" ht="17.100000000000001" customHeight="1" thickBot="1">
      <c r="A1695" s="227"/>
      <c r="B1695" s="27" t="s">
        <v>2344</v>
      </c>
      <c r="C1695" s="27">
        <v>32032</v>
      </c>
      <c r="D1695" s="14" t="s">
        <v>898</v>
      </c>
      <c r="E1695" s="229"/>
      <c r="F1695" s="117" t="s">
        <v>5185</v>
      </c>
      <c r="G1695" s="26">
        <v>40149</v>
      </c>
      <c r="H1695" s="231"/>
      <c r="I1695" s="221"/>
      <c r="J1695" s="221"/>
      <c r="K1695" s="221"/>
      <c r="L1695" s="221"/>
      <c r="M1695" s="221"/>
      <c r="N1695" s="221"/>
      <c r="O1695" s="225"/>
      <c r="P1695" s="118" t="s">
        <v>5186</v>
      </c>
      <c r="Q1695" s="16" t="s">
        <v>20</v>
      </c>
      <c r="R1695" s="17" t="s">
        <v>4529</v>
      </c>
      <c r="S1695" s="121" t="s">
        <v>2784</v>
      </c>
      <c r="T1695" s="122"/>
      <c r="U1695" s="22" t="s">
        <v>3427</v>
      </c>
      <c r="V1695" s="123" t="s">
        <v>2472</v>
      </c>
      <c r="W1695" s="122">
        <v>80011</v>
      </c>
      <c r="X1695" s="221"/>
      <c r="Y1695" s="221"/>
      <c r="Z1695" s="221"/>
      <c r="AA1695" s="221"/>
      <c r="AB1695" s="223"/>
    </row>
    <row r="1696" spans="1:28" ht="17.100000000000001" customHeight="1" thickTop="1">
      <c r="A1696" s="226" t="s">
        <v>6478</v>
      </c>
      <c r="B1696" s="28">
        <v>45923</v>
      </c>
      <c r="C1696" s="25">
        <v>1062</v>
      </c>
      <c r="D1696" s="13" t="s">
        <v>1607</v>
      </c>
      <c r="E1696" s="228"/>
      <c r="F1696" s="109" t="s">
        <v>2278</v>
      </c>
      <c r="G1696" s="24" t="s">
        <v>5187</v>
      </c>
      <c r="H1696" s="230">
        <v>4.5</v>
      </c>
      <c r="I1696" s="220">
        <v>1740000</v>
      </c>
      <c r="J1696" s="220">
        <f>I1696*0.1</f>
        <v>174000</v>
      </c>
      <c r="K1696" s="220">
        <f>19700+1970</f>
        <v>21670</v>
      </c>
      <c r="L1696" s="220">
        <v>19090</v>
      </c>
      <c r="M1696" s="220">
        <v>16500</v>
      </c>
      <c r="N1696" s="220">
        <f>SUM(I1696:M1697)</f>
        <v>1971260</v>
      </c>
      <c r="O1696" s="224"/>
      <c r="P1696" s="110" t="s">
        <v>5188</v>
      </c>
      <c r="Q1696" s="15" t="s">
        <v>19</v>
      </c>
      <c r="R1696" s="205"/>
      <c r="S1696" s="189"/>
      <c r="T1696" s="114"/>
      <c r="U1696" s="21" t="s">
        <v>9373</v>
      </c>
      <c r="V1696" s="115">
        <v>46309</v>
      </c>
      <c r="W1696" s="116"/>
      <c r="X1696" s="220">
        <v>2599800</v>
      </c>
      <c r="Y1696" s="220">
        <v>0</v>
      </c>
      <c r="Z1696" s="220">
        <v>0</v>
      </c>
      <c r="AA1696" s="220">
        <f>SUM(X1696:Z1696)</f>
        <v>2599800</v>
      </c>
      <c r="AB1696" s="222">
        <v>46350</v>
      </c>
    </row>
    <row r="1697" spans="1:28" ht="17.100000000000001" customHeight="1" thickBot="1">
      <c r="A1697" s="227"/>
      <c r="B1697" s="27" t="s">
        <v>1583</v>
      </c>
      <c r="C1697" s="27">
        <v>82022</v>
      </c>
      <c r="D1697" s="14" t="s">
        <v>273</v>
      </c>
      <c r="E1697" s="229"/>
      <c r="F1697" s="117" t="s">
        <v>5189</v>
      </c>
      <c r="G1697" s="26">
        <v>97752</v>
      </c>
      <c r="H1697" s="231"/>
      <c r="I1697" s="221"/>
      <c r="J1697" s="221"/>
      <c r="K1697" s="221"/>
      <c r="L1697" s="221"/>
      <c r="M1697" s="221"/>
      <c r="N1697" s="221"/>
      <c r="O1697" s="225"/>
      <c r="P1697" s="118" t="s">
        <v>5190</v>
      </c>
      <c r="Q1697" s="16" t="s">
        <v>20</v>
      </c>
      <c r="R1697" s="17" t="s">
        <v>4111</v>
      </c>
      <c r="S1697" s="121" t="s">
        <v>4008</v>
      </c>
      <c r="T1697" s="122"/>
      <c r="U1697" s="22"/>
      <c r="V1697" s="123" t="s">
        <v>15095</v>
      </c>
      <c r="W1697" s="122"/>
      <c r="X1697" s="221"/>
      <c r="Y1697" s="221"/>
      <c r="Z1697" s="221"/>
      <c r="AA1697" s="221"/>
      <c r="AB1697" s="223"/>
    </row>
    <row r="1698" spans="1:28" ht="17.100000000000001" customHeight="1" thickTop="1">
      <c r="A1698" s="226" t="s">
        <v>6479</v>
      </c>
      <c r="B1698" s="28">
        <v>45923</v>
      </c>
      <c r="C1698" s="25"/>
      <c r="D1698" s="13" t="s">
        <v>2057</v>
      </c>
      <c r="E1698" s="228"/>
      <c r="F1698" s="109" t="s">
        <v>5191</v>
      </c>
      <c r="G1698" s="24" t="s">
        <v>5192</v>
      </c>
      <c r="H1698" s="230">
        <v>3.5</v>
      </c>
      <c r="I1698" s="220">
        <f>3169351/1.1</f>
        <v>2881228.1818181816</v>
      </c>
      <c r="J1698" s="220">
        <f>I1698*0.1</f>
        <v>288122.81818181818</v>
      </c>
      <c r="K1698" s="220">
        <v>12700</v>
      </c>
      <c r="L1698" s="220">
        <v>6450</v>
      </c>
      <c r="M1698" s="220">
        <v>134234</v>
      </c>
      <c r="N1698" s="220">
        <f>SUM(I1698:M1699)</f>
        <v>3322735</v>
      </c>
      <c r="O1698" s="224"/>
      <c r="P1698" s="110" t="s">
        <v>7806</v>
      </c>
      <c r="Q1698" s="15" t="s">
        <v>19</v>
      </c>
      <c r="R1698" s="205"/>
      <c r="S1698" s="189" t="s">
        <v>25386</v>
      </c>
      <c r="T1698" s="114"/>
      <c r="U1698" s="21"/>
      <c r="V1698" s="115">
        <v>45955</v>
      </c>
      <c r="W1698" s="116">
        <v>1273</v>
      </c>
      <c r="X1698" s="220">
        <v>3200000</v>
      </c>
      <c r="Y1698" s="220">
        <f>X1698*0.1</f>
        <v>320000</v>
      </c>
      <c r="Z1698" s="220">
        <v>6450</v>
      </c>
      <c r="AA1698" s="220">
        <f>SUM(X1698:Z1698)</f>
        <v>3526450</v>
      </c>
      <c r="AB1698" s="222">
        <v>45958</v>
      </c>
    </row>
    <row r="1699" spans="1:28" ht="17.100000000000001" customHeight="1" thickBot="1">
      <c r="A1699" s="227"/>
      <c r="B1699" s="27" t="s">
        <v>1708</v>
      </c>
      <c r="C1699" s="27" t="s">
        <v>5193</v>
      </c>
      <c r="D1699" s="14" t="s">
        <v>1568</v>
      </c>
      <c r="E1699" s="229"/>
      <c r="F1699" s="117" t="s">
        <v>5194</v>
      </c>
      <c r="G1699" s="26">
        <v>3000</v>
      </c>
      <c r="H1699" s="231"/>
      <c r="I1699" s="221"/>
      <c r="J1699" s="221"/>
      <c r="K1699" s="221"/>
      <c r="L1699" s="221"/>
      <c r="M1699" s="221"/>
      <c r="N1699" s="221"/>
      <c r="O1699" s="225"/>
      <c r="P1699" s="118" t="s">
        <v>7807</v>
      </c>
      <c r="Q1699" s="16" t="s">
        <v>20</v>
      </c>
      <c r="R1699" s="17" t="s">
        <v>1605</v>
      </c>
      <c r="S1699" s="121" t="s">
        <v>1606</v>
      </c>
      <c r="T1699" s="122"/>
      <c r="U1699" s="22"/>
      <c r="V1699" s="123" t="s">
        <v>2472</v>
      </c>
      <c r="W1699" s="122">
        <v>37159</v>
      </c>
      <c r="X1699" s="221"/>
      <c r="Y1699" s="221"/>
      <c r="Z1699" s="221"/>
      <c r="AA1699" s="221"/>
      <c r="AB1699" s="223"/>
    </row>
    <row r="1700" spans="1:28" ht="17.100000000000001" customHeight="1" thickTop="1">
      <c r="A1700" s="226" t="s">
        <v>6480</v>
      </c>
      <c r="B1700" s="28">
        <v>45924</v>
      </c>
      <c r="C1700" s="25">
        <v>1299</v>
      </c>
      <c r="D1700" s="13" t="s">
        <v>4755</v>
      </c>
      <c r="E1700" s="228"/>
      <c r="F1700" s="109" t="s">
        <v>5195</v>
      </c>
      <c r="G1700" s="24"/>
      <c r="H1700" s="230">
        <v>4</v>
      </c>
      <c r="I1700" s="220">
        <v>161000</v>
      </c>
      <c r="J1700" s="220">
        <f>I1700*0.1</f>
        <v>16100</v>
      </c>
      <c r="K1700" s="220">
        <v>0</v>
      </c>
      <c r="L1700" s="220">
        <v>9200</v>
      </c>
      <c r="M1700" s="220">
        <v>13200</v>
      </c>
      <c r="N1700" s="220">
        <f>SUM(I1700:M1701)</f>
        <v>199500</v>
      </c>
      <c r="O1700" s="224"/>
      <c r="P1700" s="110" t="s">
        <v>5196</v>
      </c>
      <c r="Q1700" s="15" t="s">
        <v>19</v>
      </c>
      <c r="R1700" s="205"/>
      <c r="S1700" s="189"/>
      <c r="T1700" s="114"/>
      <c r="U1700" s="21"/>
      <c r="V1700" s="115">
        <v>45948</v>
      </c>
      <c r="W1700" s="116">
        <v>1272</v>
      </c>
      <c r="X1700" s="220">
        <v>240000</v>
      </c>
      <c r="Y1700" s="220">
        <f>X1700*0.1</f>
        <v>24000</v>
      </c>
      <c r="Z1700" s="220">
        <v>9200</v>
      </c>
      <c r="AA1700" s="220">
        <f>SUM(X1700:Z1700)</f>
        <v>273200</v>
      </c>
      <c r="AB1700" s="222">
        <v>45951</v>
      </c>
    </row>
    <row r="1701" spans="1:28" ht="17.100000000000001" customHeight="1" thickBot="1">
      <c r="A1701" s="227"/>
      <c r="B1701" s="27" t="s">
        <v>5197</v>
      </c>
      <c r="C1701" s="27">
        <v>8251</v>
      </c>
      <c r="D1701" s="14" t="s">
        <v>5198</v>
      </c>
      <c r="E1701" s="229"/>
      <c r="F1701" s="117" t="s">
        <v>5199</v>
      </c>
      <c r="G1701" s="26">
        <v>57272</v>
      </c>
      <c r="H1701" s="231"/>
      <c r="I1701" s="221"/>
      <c r="J1701" s="221"/>
      <c r="K1701" s="221"/>
      <c r="L1701" s="221"/>
      <c r="M1701" s="221"/>
      <c r="N1701" s="221"/>
      <c r="O1701" s="225"/>
      <c r="P1701" s="118" t="s">
        <v>5200</v>
      </c>
      <c r="Q1701" s="16" t="s">
        <v>20</v>
      </c>
      <c r="R1701" s="17" t="s">
        <v>4529</v>
      </c>
      <c r="S1701" s="121" t="s">
        <v>169</v>
      </c>
      <c r="T1701" s="122"/>
      <c r="U1701" s="22"/>
      <c r="V1701" s="123" t="s">
        <v>2472</v>
      </c>
      <c r="W1701" s="122">
        <v>60159</v>
      </c>
      <c r="X1701" s="221"/>
      <c r="Y1701" s="221"/>
      <c r="Z1701" s="221"/>
      <c r="AA1701" s="221"/>
      <c r="AB1701" s="223"/>
    </row>
    <row r="1702" spans="1:28" ht="17.100000000000001" customHeight="1" thickTop="1">
      <c r="A1702" s="226" t="s">
        <v>6481</v>
      </c>
      <c r="B1702" s="28">
        <v>45924</v>
      </c>
      <c r="C1702" s="25"/>
      <c r="D1702" s="13" t="s">
        <v>2964</v>
      </c>
      <c r="E1702" s="228"/>
      <c r="F1702" s="109" t="s">
        <v>5201</v>
      </c>
      <c r="G1702" s="24"/>
      <c r="H1702" s="230">
        <v>4.5</v>
      </c>
      <c r="I1702" s="220">
        <v>700000</v>
      </c>
      <c r="J1702" s="220">
        <f>I1702*0.1</f>
        <v>70000</v>
      </c>
      <c r="K1702" s="220">
        <v>0</v>
      </c>
      <c r="L1702" s="220">
        <v>7510</v>
      </c>
      <c r="M1702" s="220">
        <v>16500</v>
      </c>
      <c r="N1702" s="220">
        <f>SUM(I1702:M1703)</f>
        <v>794010</v>
      </c>
      <c r="O1702" s="224"/>
      <c r="P1702" s="110" t="s">
        <v>6818</v>
      </c>
      <c r="Q1702" s="15" t="s">
        <v>19</v>
      </c>
      <c r="R1702" s="205"/>
      <c r="S1702" s="189" t="s">
        <v>758</v>
      </c>
      <c r="T1702" s="114"/>
      <c r="U1702" s="21"/>
      <c r="V1702" s="115">
        <v>45934</v>
      </c>
      <c r="W1702" s="116">
        <v>1270</v>
      </c>
      <c r="X1702" s="220">
        <v>750000</v>
      </c>
      <c r="Y1702" s="220">
        <f>X1702*0.1</f>
        <v>75000</v>
      </c>
      <c r="Z1702" s="220">
        <v>7510</v>
      </c>
      <c r="AA1702" s="220">
        <f>SUM(X1702:Z1702)</f>
        <v>832510</v>
      </c>
      <c r="AB1702" s="222">
        <v>45937</v>
      </c>
    </row>
    <row r="1703" spans="1:28" ht="17.100000000000001" customHeight="1" thickBot="1">
      <c r="A1703" s="227"/>
      <c r="B1703" s="27" t="s">
        <v>3367</v>
      </c>
      <c r="C1703" s="27">
        <v>20061</v>
      </c>
      <c r="D1703" s="14" t="s">
        <v>1584</v>
      </c>
      <c r="E1703" s="229"/>
      <c r="F1703" s="117" t="s">
        <v>5202</v>
      </c>
      <c r="G1703" s="26">
        <v>41259</v>
      </c>
      <c r="H1703" s="231"/>
      <c r="I1703" s="221"/>
      <c r="J1703" s="221"/>
      <c r="K1703" s="221"/>
      <c r="L1703" s="221"/>
      <c r="M1703" s="221"/>
      <c r="N1703" s="221"/>
      <c r="O1703" s="225"/>
      <c r="P1703" s="118" t="s">
        <v>4314</v>
      </c>
      <c r="Q1703" s="16" t="s">
        <v>20</v>
      </c>
      <c r="R1703" s="17" t="s">
        <v>6726</v>
      </c>
      <c r="S1703" s="121" t="s">
        <v>6819</v>
      </c>
      <c r="T1703" s="122"/>
      <c r="U1703" s="22"/>
      <c r="V1703" s="123" t="s">
        <v>7160</v>
      </c>
      <c r="W1703" s="122">
        <v>60195</v>
      </c>
      <c r="X1703" s="221"/>
      <c r="Y1703" s="221"/>
      <c r="Z1703" s="221"/>
      <c r="AA1703" s="221"/>
      <c r="AB1703" s="223"/>
    </row>
    <row r="1704" spans="1:28" ht="17.100000000000001" customHeight="1" thickTop="1">
      <c r="A1704" s="226" t="s">
        <v>6482</v>
      </c>
      <c r="B1704" s="28">
        <v>45924</v>
      </c>
      <c r="C1704" s="25"/>
      <c r="D1704" s="13" t="s">
        <v>3687</v>
      </c>
      <c r="E1704" s="228"/>
      <c r="F1704" s="109" t="s">
        <v>5203</v>
      </c>
      <c r="G1704" s="24"/>
      <c r="H1704" s="230">
        <v>4.5</v>
      </c>
      <c r="I1704" s="220">
        <v>735000</v>
      </c>
      <c r="J1704" s="220">
        <f>I1704*0.1</f>
        <v>73500</v>
      </c>
      <c r="K1704" s="220">
        <v>0</v>
      </c>
      <c r="L1704" s="220">
        <v>11810</v>
      </c>
      <c r="M1704" s="220">
        <v>16500</v>
      </c>
      <c r="N1704" s="220">
        <f>SUM(I1704:M1705)</f>
        <v>836810</v>
      </c>
      <c r="O1704" s="224"/>
      <c r="P1704" s="110" t="s">
        <v>5204</v>
      </c>
      <c r="Q1704" s="15" t="s">
        <v>19</v>
      </c>
      <c r="R1704" s="205"/>
      <c r="S1704" s="189"/>
      <c r="T1704" s="114"/>
      <c r="U1704" s="21"/>
      <c r="V1704" s="115">
        <v>45934</v>
      </c>
      <c r="W1704" s="116">
        <v>1270</v>
      </c>
      <c r="X1704" s="220">
        <v>800000</v>
      </c>
      <c r="Y1704" s="220">
        <f>X1704*0.1</f>
        <v>80000</v>
      </c>
      <c r="Z1704" s="220">
        <v>11810</v>
      </c>
      <c r="AA1704" s="220">
        <f>SUM(X1704:Z1704)</f>
        <v>891810</v>
      </c>
      <c r="AB1704" s="222">
        <v>45938</v>
      </c>
    </row>
    <row r="1705" spans="1:28" ht="17.100000000000001" customHeight="1" thickBot="1">
      <c r="A1705" s="227"/>
      <c r="B1705" s="27" t="s">
        <v>3367</v>
      </c>
      <c r="C1705" s="27">
        <v>60187</v>
      </c>
      <c r="D1705" s="14" t="s">
        <v>2559</v>
      </c>
      <c r="E1705" s="229"/>
      <c r="F1705" s="117" t="s">
        <v>5205</v>
      </c>
      <c r="G1705" s="26">
        <v>70878</v>
      </c>
      <c r="H1705" s="231"/>
      <c r="I1705" s="221"/>
      <c r="J1705" s="221"/>
      <c r="K1705" s="221"/>
      <c r="L1705" s="221"/>
      <c r="M1705" s="221"/>
      <c r="N1705" s="221"/>
      <c r="O1705" s="225"/>
      <c r="P1705" s="118" t="s">
        <v>5206</v>
      </c>
      <c r="Q1705" s="16" t="s">
        <v>20</v>
      </c>
      <c r="R1705" s="17" t="s">
        <v>4111</v>
      </c>
      <c r="S1705" s="121" t="s">
        <v>5207</v>
      </c>
      <c r="T1705" s="122" t="s">
        <v>5208</v>
      </c>
      <c r="U1705" s="22"/>
      <c r="V1705" s="123" t="s">
        <v>7160</v>
      </c>
      <c r="W1705" s="122">
        <v>50265</v>
      </c>
      <c r="X1705" s="221"/>
      <c r="Y1705" s="221"/>
      <c r="Z1705" s="221"/>
      <c r="AA1705" s="221"/>
      <c r="AB1705" s="223"/>
    </row>
    <row r="1706" spans="1:28" ht="17.100000000000001" customHeight="1" thickTop="1">
      <c r="A1706" s="226" t="s">
        <v>6483</v>
      </c>
      <c r="B1706" s="28">
        <v>45924</v>
      </c>
      <c r="C1706" s="25">
        <v>776</v>
      </c>
      <c r="D1706" s="13" t="s">
        <v>3406</v>
      </c>
      <c r="E1706" s="228"/>
      <c r="F1706" s="109" t="s">
        <v>5209</v>
      </c>
      <c r="G1706" s="24" t="s">
        <v>4025</v>
      </c>
      <c r="H1706" s="230">
        <v>4</v>
      </c>
      <c r="I1706" s="220">
        <v>908000</v>
      </c>
      <c r="J1706" s="220">
        <f>I1706*0.1</f>
        <v>90800</v>
      </c>
      <c r="K1706" s="220">
        <v>0</v>
      </c>
      <c r="L1706" s="220">
        <v>8010</v>
      </c>
      <c r="M1706" s="220">
        <v>22000</v>
      </c>
      <c r="N1706" s="220">
        <f>SUM(I1706:M1707)</f>
        <v>1028810</v>
      </c>
      <c r="O1706" s="224"/>
      <c r="P1706" s="110" t="s">
        <v>5210</v>
      </c>
      <c r="Q1706" s="15" t="s">
        <v>19</v>
      </c>
      <c r="R1706" s="205"/>
      <c r="S1706" s="189" t="s">
        <v>25386</v>
      </c>
      <c r="T1706" s="114"/>
      <c r="U1706" s="21" t="s">
        <v>7419</v>
      </c>
      <c r="V1706" s="115">
        <v>45937</v>
      </c>
      <c r="W1706" s="116">
        <v>1912</v>
      </c>
      <c r="X1706" s="220">
        <v>958000</v>
      </c>
      <c r="Y1706" s="220">
        <f>X1706*0.1</f>
        <v>95800</v>
      </c>
      <c r="Z1706" s="220">
        <v>8010</v>
      </c>
      <c r="AA1706" s="220">
        <f>SUM(X1706:Z1706)</f>
        <v>1061810</v>
      </c>
      <c r="AB1706" s="222"/>
    </row>
    <row r="1707" spans="1:28" ht="17.100000000000001" customHeight="1" thickBot="1">
      <c r="A1707" s="227"/>
      <c r="B1707" s="27" t="s">
        <v>4416</v>
      </c>
      <c r="C1707" s="27">
        <v>197</v>
      </c>
      <c r="D1707" s="14" t="s">
        <v>1584</v>
      </c>
      <c r="E1707" s="229"/>
      <c r="F1707" s="117" t="s">
        <v>5211</v>
      </c>
      <c r="G1707" s="26">
        <v>32448</v>
      </c>
      <c r="H1707" s="231"/>
      <c r="I1707" s="221"/>
      <c r="J1707" s="221"/>
      <c r="K1707" s="221"/>
      <c r="L1707" s="221"/>
      <c r="M1707" s="221"/>
      <c r="N1707" s="221"/>
      <c r="O1707" s="225"/>
      <c r="P1707" s="118" t="s">
        <v>6796</v>
      </c>
      <c r="Q1707" s="16" t="s">
        <v>20</v>
      </c>
      <c r="R1707" s="17" t="s">
        <v>6610</v>
      </c>
      <c r="S1707" s="121" t="s">
        <v>6797</v>
      </c>
      <c r="T1707" s="122"/>
      <c r="U1707" s="22"/>
      <c r="V1707" s="123" t="s">
        <v>2103</v>
      </c>
      <c r="W1707" s="122">
        <v>3181</v>
      </c>
      <c r="X1707" s="221"/>
      <c r="Y1707" s="221"/>
      <c r="Z1707" s="221"/>
      <c r="AA1707" s="221"/>
      <c r="AB1707" s="223"/>
    </row>
    <row r="1708" spans="1:28" ht="17.100000000000001" customHeight="1" thickTop="1">
      <c r="A1708" s="226" t="s">
        <v>6484</v>
      </c>
      <c r="B1708" s="28">
        <v>45924</v>
      </c>
      <c r="C1708" s="25">
        <v>1806</v>
      </c>
      <c r="D1708" s="13" t="s">
        <v>1678</v>
      </c>
      <c r="E1708" s="228"/>
      <c r="F1708" s="109" t="s">
        <v>4145</v>
      </c>
      <c r="G1708" s="24" t="s">
        <v>3345</v>
      </c>
      <c r="H1708" s="230">
        <v>5</v>
      </c>
      <c r="I1708" s="220">
        <v>890000</v>
      </c>
      <c r="J1708" s="220">
        <f>I1708*0.1</f>
        <v>89000</v>
      </c>
      <c r="K1708" s="220">
        <v>0</v>
      </c>
      <c r="L1708" s="220">
        <v>6470</v>
      </c>
      <c r="M1708" s="220">
        <v>18150</v>
      </c>
      <c r="N1708" s="220">
        <f>SUM(I1708:M1709)</f>
        <v>1003620</v>
      </c>
      <c r="O1708" s="224"/>
      <c r="P1708" s="110" t="s">
        <v>5212</v>
      </c>
      <c r="Q1708" s="15" t="s">
        <v>19</v>
      </c>
      <c r="R1708" s="205"/>
      <c r="S1708" s="189" t="s">
        <v>25474</v>
      </c>
      <c r="T1708" s="114"/>
      <c r="U1708" s="21" t="s">
        <v>7578</v>
      </c>
      <c r="V1708" s="115">
        <v>45959</v>
      </c>
      <c r="W1708" s="116">
        <v>990</v>
      </c>
      <c r="X1708" s="220">
        <v>925000</v>
      </c>
      <c r="Y1708" s="220">
        <f>X1708*0.1</f>
        <v>92500</v>
      </c>
      <c r="Z1708" s="220">
        <v>6470</v>
      </c>
      <c r="AA1708" s="220">
        <f>SUM(X1708:Z1708)</f>
        <v>1023970</v>
      </c>
      <c r="AB1708" s="222">
        <v>45965</v>
      </c>
    </row>
    <row r="1709" spans="1:28" ht="17.100000000000001" customHeight="1" thickBot="1">
      <c r="A1709" s="227"/>
      <c r="B1709" s="27" t="s">
        <v>2519</v>
      </c>
      <c r="C1709" s="27">
        <v>3187</v>
      </c>
      <c r="D1709" s="14" t="s">
        <v>2559</v>
      </c>
      <c r="E1709" s="229"/>
      <c r="F1709" s="117" t="s">
        <v>5213</v>
      </c>
      <c r="G1709" s="26">
        <v>44111</v>
      </c>
      <c r="H1709" s="231"/>
      <c r="I1709" s="221"/>
      <c r="J1709" s="221"/>
      <c r="K1709" s="221"/>
      <c r="L1709" s="221"/>
      <c r="M1709" s="221"/>
      <c r="N1709" s="221"/>
      <c r="O1709" s="225"/>
      <c r="P1709" s="118" t="s">
        <v>5214</v>
      </c>
      <c r="Q1709" s="16" t="s">
        <v>20</v>
      </c>
      <c r="R1709" s="17" t="s">
        <v>4529</v>
      </c>
      <c r="S1709" s="121" t="s">
        <v>2053</v>
      </c>
      <c r="T1709" s="122"/>
      <c r="U1709" s="22"/>
      <c r="V1709" s="123" t="s">
        <v>2747</v>
      </c>
      <c r="W1709" s="122">
        <v>2032</v>
      </c>
      <c r="X1709" s="221"/>
      <c r="Y1709" s="221"/>
      <c r="Z1709" s="221"/>
      <c r="AA1709" s="221"/>
      <c r="AB1709" s="223"/>
    </row>
    <row r="1710" spans="1:28" ht="17.100000000000001" customHeight="1" thickTop="1">
      <c r="A1710" s="226" t="s">
        <v>6485</v>
      </c>
      <c r="B1710" s="28">
        <v>45924</v>
      </c>
      <c r="C1710" s="25">
        <v>1806</v>
      </c>
      <c r="D1710" s="13" t="s">
        <v>1632</v>
      </c>
      <c r="E1710" s="228"/>
      <c r="F1710" s="109" t="s">
        <v>4508</v>
      </c>
      <c r="G1710" s="24" t="s">
        <v>3345</v>
      </c>
      <c r="H1710" s="230">
        <v>4</v>
      </c>
      <c r="I1710" s="220">
        <v>1003000</v>
      </c>
      <c r="J1710" s="220">
        <f>I1710*0.1</f>
        <v>100300</v>
      </c>
      <c r="K1710" s="220">
        <v>0</v>
      </c>
      <c r="L1710" s="220">
        <v>9010</v>
      </c>
      <c r="M1710" s="220">
        <v>18150</v>
      </c>
      <c r="N1710" s="220">
        <f>SUM(I1710:M1711)</f>
        <v>1130460</v>
      </c>
      <c r="O1710" s="224"/>
      <c r="P1710" s="110" t="s">
        <v>5215</v>
      </c>
      <c r="Q1710" s="15" t="s">
        <v>19</v>
      </c>
      <c r="R1710" s="205"/>
      <c r="S1710" s="189" t="s">
        <v>25475</v>
      </c>
      <c r="T1710" s="114"/>
      <c r="U1710" s="21" t="s">
        <v>7580</v>
      </c>
      <c r="V1710" s="115">
        <v>45966</v>
      </c>
      <c r="W1710" s="116">
        <v>991</v>
      </c>
      <c r="X1710" s="220">
        <v>1145000</v>
      </c>
      <c r="Y1710" s="220">
        <f>X1710*0.1</f>
        <v>114500</v>
      </c>
      <c r="Z1710" s="220">
        <v>9010</v>
      </c>
      <c r="AA1710" s="220">
        <f>SUM(X1710:Z1710)</f>
        <v>1268510</v>
      </c>
      <c r="AB1710" s="222">
        <v>45971</v>
      </c>
    </row>
    <row r="1711" spans="1:28" ht="17.100000000000001" customHeight="1" thickBot="1">
      <c r="A1711" s="227"/>
      <c r="B1711" s="27" t="s">
        <v>2519</v>
      </c>
      <c r="C1711" s="27">
        <v>3200</v>
      </c>
      <c r="D1711" s="14" t="s">
        <v>1797</v>
      </c>
      <c r="E1711" s="229"/>
      <c r="F1711" s="117" t="s">
        <v>5216</v>
      </c>
      <c r="G1711" s="26">
        <v>68347</v>
      </c>
      <c r="H1711" s="231"/>
      <c r="I1711" s="221"/>
      <c r="J1711" s="221"/>
      <c r="K1711" s="221"/>
      <c r="L1711" s="221"/>
      <c r="M1711" s="221"/>
      <c r="N1711" s="221"/>
      <c r="O1711" s="225"/>
      <c r="P1711" s="118" t="s">
        <v>6667</v>
      </c>
      <c r="Q1711" s="16" t="s">
        <v>20</v>
      </c>
      <c r="R1711" s="17" t="s">
        <v>1596</v>
      </c>
      <c r="S1711" s="121" t="s">
        <v>6668</v>
      </c>
      <c r="T1711" s="122"/>
      <c r="U1711" s="22"/>
      <c r="V1711" s="123" t="s">
        <v>2747</v>
      </c>
      <c r="W1711" s="122">
        <v>2062</v>
      </c>
      <c r="X1711" s="221"/>
      <c r="Y1711" s="221"/>
      <c r="Z1711" s="221"/>
      <c r="AA1711" s="221"/>
      <c r="AB1711" s="223"/>
    </row>
    <row r="1712" spans="1:28" ht="17.100000000000001" customHeight="1" thickTop="1">
      <c r="A1712" s="226" t="s">
        <v>6486</v>
      </c>
      <c r="B1712" s="28">
        <v>45924</v>
      </c>
      <c r="C1712" s="25">
        <v>1806</v>
      </c>
      <c r="D1712" s="13" t="s">
        <v>4589</v>
      </c>
      <c r="E1712" s="228"/>
      <c r="F1712" s="109" t="s">
        <v>2859</v>
      </c>
      <c r="G1712" s="24" t="s">
        <v>4038</v>
      </c>
      <c r="H1712" s="230">
        <v>4</v>
      </c>
      <c r="I1712" s="220">
        <v>686000</v>
      </c>
      <c r="J1712" s="220">
        <f>I1712*0.1</f>
        <v>68600</v>
      </c>
      <c r="K1712" s="220">
        <v>0</v>
      </c>
      <c r="L1712" s="220">
        <v>9070</v>
      </c>
      <c r="M1712" s="220">
        <v>18150</v>
      </c>
      <c r="N1712" s="220">
        <f>SUM(I1712:M1713)</f>
        <v>781820</v>
      </c>
      <c r="O1712" s="224"/>
      <c r="P1712" s="110" t="s">
        <v>5217</v>
      </c>
      <c r="Q1712" s="15" t="s">
        <v>19</v>
      </c>
      <c r="R1712" s="205"/>
      <c r="S1712" s="189" t="s">
        <v>25474</v>
      </c>
      <c r="T1712" s="114"/>
      <c r="U1712" s="21" t="s">
        <v>7226</v>
      </c>
      <c r="V1712" s="115">
        <v>45934</v>
      </c>
      <c r="W1712" s="116">
        <v>1270</v>
      </c>
      <c r="X1712" s="220">
        <v>755000</v>
      </c>
      <c r="Y1712" s="220">
        <f>X1712*0.1</f>
        <v>75500</v>
      </c>
      <c r="Z1712" s="220">
        <v>9070</v>
      </c>
      <c r="AA1712" s="220">
        <f>SUM(X1712:Z1712)</f>
        <v>839570</v>
      </c>
      <c r="AB1712" s="222">
        <v>45939</v>
      </c>
    </row>
    <row r="1713" spans="1:28" ht="17.100000000000001" customHeight="1" thickBot="1">
      <c r="A1713" s="227"/>
      <c r="B1713" s="27" t="s">
        <v>2519</v>
      </c>
      <c r="C1713" s="27">
        <v>3228</v>
      </c>
      <c r="D1713" s="14" t="s">
        <v>54</v>
      </c>
      <c r="E1713" s="229"/>
      <c r="F1713" s="117" t="s">
        <v>5218</v>
      </c>
      <c r="G1713" s="26">
        <v>60328</v>
      </c>
      <c r="H1713" s="231"/>
      <c r="I1713" s="221"/>
      <c r="J1713" s="221"/>
      <c r="K1713" s="221"/>
      <c r="L1713" s="221"/>
      <c r="M1713" s="221"/>
      <c r="N1713" s="221"/>
      <c r="O1713" s="225"/>
      <c r="P1713" s="118" t="s">
        <v>1647</v>
      </c>
      <c r="Q1713" s="16" t="s">
        <v>20</v>
      </c>
      <c r="R1713" s="17" t="s">
        <v>6610</v>
      </c>
      <c r="S1713" s="121" t="s">
        <v>6764</v>
      </c>
      <c r="T1713" s="122"/>
      <c r="U1713" s="22"/>
      <c r="V1713" s="123" t="s">
        <v>7160</v>
      </c>
      <c r="W1713" s="122">
        <v>60153</v>
      </c>
      <c r="X1713" s="221"/>
      <c r="Y1713" s="221"/>
      <c r="Z1713" s="221"/>
      <c r="AA1713" s="221"/>
      <c r="AB1713" s="223"/>
    </row>
    <row r="1714" spans="1:28" ht="17.100000000000001" customHeight="1" thickTop="1">
      <c r="A1714" s="226" t="s">
        <v>6487</v>
      </c>
      <c r="B1714" s="28">
        <v>45924</v>
      </c>
      <c r="C1714" s="25">
        <v>1806</v>
      </c>
      <c r="D1714" s="13" t="s">
        <v>2811</v>
      </c>
      <c r="E1714" s="228"/>
      <c r="F1714" s="109" t="s">
        <v>5219</v>
      </c>
      <c r="G1714" s="24"/>
      <c r="H1714" s="230">
        <v>5</v>
      </c>
      <c r="I1714" s="220">
        <v>2465000</v>
      </c>
      <c r="J1714" s="220">
        <f>I1714*0.1</f>
        <v>246500</v>
      </c>
      <c r="K1714" s="220">
        <v>0</v>
      </c>
      <c r="L1714" s="220">
        <v>21650</v>
      </c>
      <c r="M1714" s="220">
        <v>18150</v>
      </c>
      <c r="N1714" s="220">
        <f>SUM(I1714:M1715)</f>
        <v>2751300</v>
      </c>
      <c r="O1714" s="224"/>
      <c r="P1714" s="110" t="s">
        <v>5220</v>
      </c>
      <c r="Q1714" s="15" t="s">
        <v>19</v>
      </c>
      <c r="R1714" s="205"/>
      <c r="S1714" s="189"/>
      <c r="T1714" s="114"/>
      <c r="U1714" s="21"/>
      <c r="V1714" s="115">
        <v>46067</v>
      </c>
      <c r="W1714" s="116">
        <v>1288</v>
      </c>
      <c r="X1714" s="220">
        <v>2460000</v>
      </c>
      <c r="Y1714" s="220">
        <f>X1714*0.1</f>
        <v>246000</v>
      </c>
      <c r="Z1714" s="220">
        <v>21650</v>
      </c>
      <c r="AA1714" s="220">
        <f>SUM(X1714:Z1714)</f>
        <v>2727650</v>
      </c>
      <c r="AB1714" s="222">
        <v>46070</v>
      </c>
    </row>
    <row r="1715" spans="1:28" ht="17.100000000000001" customHeight="1" thickBot="1">
      <c r="A1715" s="227"/>
      <c r="B1715" s="27" t="s">
        <v>2519</v>
      </c>
      <c r="C1715" s="27">
        <v>38018</v>
      </c>
      <c r="D1715" s="14" t="s">
        <v>2559</v>
      </c>
      <c r="E1715" s="229"/>
      <c r="F1715" s="117" t="s">
        <v>5221</v>
      </c>
      <c r="G1715" s="26">
        <v>37189</v>
      </c>
      <c r="H1715" s="231"/>
      <c r="I1715" s="221"/>
      <c r="J1715" s="221"/>
      <c r="K1715" s="221"/>
      <c r="L1715" s="221"/>
      <c r="M1715" s="221"/>
      <c r="N1715" s="221"/>
      <c r="O1715" s="225"/>
      <c r="P1715" s="118" t="s">
        <v>3400</v>
      </c>
      <c r="Q1715" s="16" t="s">
        <v>20</v>
      </c>
      <c r="R1715" s="17" t="s">
        <v>4111</v>
      </c>
      <c r="S1715" s="121" t="s">
        <v>5222</v>
      </c>
      <c r="T1715" s="122"/>
      <c r="U1715" s="22"/>
      <c r="V1715" s="123" t="s">
        <v>2472</v>
      </c>
      <c r="W1715" s="122">
        <v>80136</v>
      </c>
      <c r="X1715" s="221"/>
      <c r="Y1715" s="221"/>
      <c r="Z1715" s="221"/>
      <c r="AA1715" s="221"/>
      <c r="AB1715" s="223"/>
    </row>
    <row r="1716" spans="1:28" ht="17.100000000000001" customHeight="1" thickTop="1">
      <c r="A1716" s="226" t="s">
        <v>6488</v>
      </c>
      <c r="B1716" s="28">
        <v>45925</v>
      </c>
      <c r="C1716" s="25">
        <v>1951</v>
      </c>
      <c r="D1716" s="13" t="s">
        <v>1908</v>
      </c>
      <c r="E1716" s="228"/>
      <c r="F1716" s="109" t="s">
        <v>5223</v>
      </c>
      <c r="G1716" s="24" t="s">
        <v>2487</v>
      </c>
      <c r="H1716" s="230">
        <v>4</v>
      </c>
      <c r="I1716" s="220">
        <v>715000</v>
      </c>
      <c r="J1716" s="220">
        <f>I1716*0.1</f>
        <v>71500</v>
      </c>
      <c r="K1716" s="220">
        <v>0</v>
      </c>
      <c r="L1716" s="220">
        <v>9010</v>
      </c>
      <c r="M1716" s="220">
        <v>15950</v>
      </c>
      <c r="N1716" s="220">
        <f>SUM(I1716:M1717)</f>
        <v>811460</v>
      </c>
      <c r="O1716" s="224"/>
      <c r="P1716" s="110" t="s">
        <v>5224</v>
      </c>
      <c r="Q1716" s="15" t="s">
        <v>19</v>
      </c>
      <c r="R1716" s="205"/>
      <c r="S1716" s="189"/>
      <c r="T1716" s="114"/>
      <c r="U1716" s="21" t="s">
        <v>7225</v>
      </c>
      <c r="V1716" s="115">
        <v>45934</v>
      </c>
      <c r="W1716" s="116">
        <v>1270</v>
      </c>
      <c r="X1716" s="220">
        <v>920000</v>
      </c>
      <c r="Y1716" s="220">
        <f>X1716*0.1</f>
        <v>92000</v>
      </c>
      <c r="Z1716" s="220">
        <v>9010</v>
      </c>
      <c r="AA1716" s="220">
        <f>SUM(X1716:Z1716)</f>
        <v>1021010</v>
      </c>
      <c r="AB1716" s="222">
        <v>45939</v>
      </c>
    </row>
    <row r="1717" spans="1:28" ht="17.100000000000001" customHeight="1" thickBot="1">
      <c r="A1717" s="227"/>
      <c r="B1717" s="27" t="s">
        <v>3730</v>
      </c>
      <c r="C1717" s="27">
        <v>3522</v>
      </c>
      <c r="D1717" s="14" t="s">
        <v>1584</v>
      </c>
      <c r="E1717" s="229"/>
      <c r="F1717" s="117" t="s">
        <v>5225</v>
      </c>
      <c r="G1717" s="26">
        <v>67764</v>
      </c>
      <c r="H1717" s="231"/>
      <c r="I1717" s="221"/>
      <c r="J1717" s="221"/>
      <c r="K1717" s="221"/>
      <c r="L1717" s="221"/>
      <c r="M1717" s="221"/>
      <c r="N1717" s="221"/>
      <c r="O1717" s="225"/>
      <c r="P1717" s="118" t="s">
        <v>6791</v>
      </c>
      <c r="Q1717" s="16" t="s">
        <v>20</v>
      </c>
      <c r="R1717" s="17" t="s">
        <v>6610</v>
      </c>
      <c r="S1717" s="121" t="s">
        <v>4852</v>
      </c>
      <c r="T1717" s="122"/>
      <c r="U1717" s="22"/>
      <c r="V1717" s="123" t="s">
        <v>7160</v>
      </c>
      <c r="W1717" s="122">
        <v>60376</v>
      </c>
      <c r="X1717" s="221"/>
      <c r="Y1717" s="221"/>
      <c r="Z1717" s="221"/>
      <c r="AA1717" s="221"/>
      <c r="AB1717" s="223"/>
    </row>
    <row r="1718" spans="1:28" ht="17.100000000000001" customHeight="1" thickTop="1">
      <c r="A1718" s="226" t="s">
        <v>6489</v>
      </c>
      <c r="B1718" s="28">
        <v>45925</v>
      </c>
      <c r="C1718" s="25">
        <v>1951</v>
      </c>
      <c r="D1718" s="13" t="s">
        <v>2429</v>
      </c>
      <c r="E1718" s="228"/>
      <c r="F1718" s="109" t="s">
        <v>1916</v>
      </c>
      <c r="G1718" s="24"/>
      <c r="H1718" s="230">
        <v>4</v>
      </c>
      <c r="I1718" s="220">
        <v>618000</v>
      </c>
      <c r="J1718" s="220">
        <f>I1718*0.1</f>
        <v>61800</v>
      </c>
      <c r="K1718" s="220">
        <v>0</v>
      </c>
      <c r="L1718" s="220">
        <v>17700</v>
      </c>
      <c r="M1718" s="220">
        <v>15950</v>
      </c>
      <c r="N1718" s="220">
        <f>SUM(I1718:M1719)</f>
        <v>713450</v>
      </c>
      <c r="O1718" s="224"/>
      <c r="P1718" s="110" t="s">
        <v>6659</v>
      </c>
      <c r="Q1718" s="15" t="s">
        <v>19</v>
      </c>
      <c r="R1718" s="205"/>
      <c r="S1718" s="189"/>
      <c r="T1718" s="114"/>
      <c r="U1718" s="21"/>
      <c r="V1718" s="115">
        <v>45934</v>
      </c>
      <c r="W1718" s="116">
        <v>1270</v>
      </c>
      <c r="X1718" s="220">
        <v>685000</v>
      </c>
      <c r="Y1718" s="220">
        <f>X1718*0.1</f>
        <v>68500</v>
      </c>
      <c r="Z1718" s="220">
        <v>17700</v>
      </c>
      <c r="AA1718" s="220">
        <f>SUM(X1718:Z1718)</f>
        <v>771200</v>
      </c>
      <c r="AB1718" s="222">
        <v>45938</v>
      </c>
    </row>
    <row r="1719" spans="1:28" ht="17.100000000000001" customHeight="1" thickBot="1">
      <c r="A1719" s="227"/>
      <c r="B1719" s="27" t="s">
        <v>3730</v>
      </c>
      <c r="C1719" s="27">
        <v>5012</v>
      </c>
      <c r="D1719" s="14" t="s">
        <v>1568</v>
      </c>
      <c r="E1719" s="229"/>
      <c r="F1719" s="117" t="s">
        <v>5226</v>
      </c>
      <c r="G1719" s="26">
        <v>35215</v>
      </c>
      <c r="H1719" s="231"/>
      <c r="I1719" s="221"/>
      <c r="J1719" s="221"/>
      <c r="K1719" s="221"/>
      <c r="L1719" s="221"/>
      <c r="M1719" s="221"/>
      <c r="N1719" s="221"/>
      <c r="O1719" s="225"/>
      <c r="P1719" s="118" t="s">
        <v>4962</v>
      </c>
      <c r="Q1719" s="16" t="s">
        <v>20</v>
      </c>
      <c r="R1719" s="17" t="s">
        <v>1596</v>
      </c>
      <c r="S1719" s="121"/>
      <c r="T1719" s="122"/>
      <c r="U1719" s="22"/>
      <c r="V1719" s="123" t="s">
        <v>7160</v>
      </c>
      <c r="W1719" s="122">
        <v>80024</v>
      </c>
      <c r="X1719" s="221"/>
      <c r="Y1719" s="221"/>
      <c r="Z1719" s="221"/>
      <c r="AA1719" s="221"/>
      <c r="AB1719" s="223"/>
    </row>
    <row r="1720" spans="1:28" ht="17.100000000000001" customHeight="1" thickTop="1">
      <c r="A1720" s="226" t="s">
        <v>6490</v>
      </c>
      <c r="B1720" s="28">
        <v>45925</v>
      </c>
      <c r="C1720" s="25">
        <v>1995</v>
      </c>
      <c r="D1720" s="13" t="s">
        <v>2441</v>
      </c>
      <c r="E1720" s="228"/>
      <c r="F1720" s="109" t="s">
        <v>5227</v>
      </c>
      <c r="G1720" s="24" t="s">
        <v>2124</v>
      </c>
      <c r="H1720" s="230">
        <v>4</v>
      </c>
      <c r="I1720" s="220">
        <v>731000</v>
      </c>
      <c r="J1720" s="220">
        <f>I1720*0.1</f>
        <v>73100</v>
      </c>
      <c r="K1720" s="220">
        <v>0</v>
      </c>
      <c r="L1720" s="220">
        <v>5690</v>
      </c>
      <c r="M1720" s="220">
        <v>22000</v>
      </c>
      <c r="N1720" s="220">
        <f>SUM(I1720:M1721)</f>
        <v>831790</v>
      </c>
      <c r="O1720" s="224"/>
      <c r="P1720" s="110" t="s">
        <v>6798</v>
      </c>
      <c r="Q1720" s="15" t="s">
        <v>19</v>
      </c>
      <c r="R1720" s="205"/>
      <c r="S1720" s="189" t="s">
        <v>25476</v>
      </c>
      <c r="T1720" s="114"/>
      <c r="U1720" s="21" t="s">
        <v>7568</v>
      </c>
      <c r="V1720" s="115">
        <v>45948</v>
      </c>
      <c r="W1720" s="116">
        <v>1272</v>
      </c>
      <c r="X1720" s="220">
        <v>830000</v>
      </c>
      <c r="Y1720" s="220">
        <f>X1720*0.1</f>
        <v>83000</v>
      </c>
      <c r="Z1720" s="220">
        <v>5690</v>
      </c>
      <c r="AA1720" s="220">
        <f>SUM(X1720:Z1720)</f>
        <v>918690</v>
      </c>
      <c r="AB1720" s="222">
        <v>45952</v>
      </c>
    </row>
    <row r="1721" spans="1:28" ht="17.100000000000001" customHeight="1" thickBot="1">
      <c r="A1721" s="227"/>
      <c r="B1721" s="27" t="s">
        <v>2171</v>
      </c>
      <c r="C1721" s="27">
        <v>50007</v>
      </c>
      <c r="D1721" s="14" t="s">
        <v>1568</v>
      </c>
      <c r="E1721" s="229"/>
      <c r="F1721" s="117" t="s">
        <v>5229</v>
      </c>
      <c r="G1721" s="26">
        <v>3629</v>
      </c>
      <c r="H1721" s="231"/>
      <c r="I1721" s="221"/>
      <c r="J1721" s="221"/>
      <c r="K1721" s="221"/>
      <c r="L1721" s="221"/>
      <c r="M1721" s="221"/>
      <c r="N1721" s="221"/>
      <c r="O1721" s="225"/>
      <c r="P1721" s="118" t="s">
        <v>6799</v>
      </c>
      <c r="Q1721" s="16" t="s">
        <v>20</v>
      </c>
      <c r="R1721" s="17" t="s">
        <v>6610</v>
      </c>
      <c r="S1721" s="121" t="s">
        <v>6800</v>
      </c>
      <c r="T1721" s="122"/>
      <c r="U1721" s="22"/>
      <c r="V1721" s="123" t="s">
        <v>2472</v>
      </c>
      <c r="W1721" s="122">
        <v>60442</v>
      </c>
      <c r="X1721" s="221"/>
      <c r="Y1721" s="221"/>
      <c r="Z1721" s="221"/>
      <c r="AA1721" s="221"/>
      <c r="AB1721" s="223"/>
    </row>
    <row r="1722" spans="1:28" ht="17.100000000000001" customHeight="1" thickTop="1">
      <c r="A1722" s="226" t="s">
        <v>6491</v>
      </c>
      <c r="B1722" s="28">
        <v>45925</v>
      </c>
      <c r="C1722" s="25">
        <v>1995</v>
      </c>
      <c r="D1722" s="13" t="s">
        <v>1829</v>
      </c>
      <c r="E1722" s="228"/>
      <c r="F1722" s="109" t="s">
        <v>5230</v>
      </c>
      <c r="G1722" s="24"/>
      <c r="H1722" s="230">
        <v>4.5</v>
      </c>
      <c r="I1722" s="220">
        <v>1299000</v>
      </c>
      <c r="J1722" s="220">
        <f>I1722*0.1</f>
        <v>129900</v>
      </c>
      <c r="K1722" s="220">
        <v>0</v>
      </c>
      <c r="L1722" s="220">
        <v>9310</v>
      </c>
      <c r="M1722" s="220">
        <v>22000</v>
      </c>
      <c r="N1722" s="220">
        <f>SUM(I1722:M1723)</f>
        <v>1460210</v>
      </c>
      <c r="O1722" s="224"/>
      <c r="P1722" s="110" t="s">
        <v>6801</v>
      </c>
      <c r="Q1722" s="15" t="s">
        <v>19</v>
      </c>
      <c r="R1722" s="205"/>
      <c r="S1722" s="189"/>
      <c r="T1722" s="114"/>
      <c r="U1722" s="21"/>
      <c r="V1722" s="115">
        <v>45937</v>
      </c>
      <c r="W1722" s="116">
        <v>1912</v>
      </c>
      <c r="X1722" s="220">
        <v>1280000</v>
      </c>
      <c r="Y1722" s="220">
        <f>X1722*0.1</f>
        <v>128000</v>
      </c>
      <c r="Z1722" s="220">
        <v>9310</v>
      </c>
      <c r="AA1722" s="220">
        <f>SUM(X1722:Z1722)</f>
        <v>1417310</v>
      </c>
      <c r="AB1722" s="222"/>
    </row>
    <row r="1723" spans="1:28" ht="17.100000000000001" customHeight="1" thickBot="1">
      <c r="A1723" s="227"/>
      <c r="B1723" s="27" t="s">
        <v>2171</v>
      </c>
      <c r="C1723" s="27">
        <v>50009</v>
      </c>
      <c r="D1723" s="14" t="s">
        <v>2559</v>
      </c>
      <c r="E1723" s="229"/>
      <c r="F1723" s="117" t="s">
        <v>5231</v>
      </c>
      <c r="G1723" s="26">
        <v>33281</v>
      </c>
      <c r="H1723" s="231"/>
      <c r="I1723" s="221"/>
      <c r="J1723" s="221"/>
      <c r="K1723" s="221"/>
      <c r="L1723" s="221"/>
      <c r="M1723" s="221"/>
      <c r="N1723" s="221"/>
      <c r="O1723" s="225"/>
      <c r="P1723" s="118" t="s">
        <v>2870</v>
      </c>
      <c r="Q1723" s="16" t="s">
        <v>20</v>
      </c>
      <c r="R1723" s="17" t="s">
        <v>6610</v>
      </c>
      <c r="S1723" s="121" t="s">
        <v>6802</v>
      </c>
      <c r="T1723" s="122"/>
      <c r="U1723" s="22"/>
      <c r="V1723" s="123" t="s">
        <v>2103</v>
      </c>
      <c r="W1723" s="122">
        <v>3153</v>
      </c>
      <c r="X1723" s="221"/>
      <c r="Y1723" s="221"/>
      <c r="Z1723" s="221"/>
      <c r="AA1723" s="221"/>
      <c r="AB1723" s="223"/>
    </row>
    <row r="1724" spans="1:28" ht="17.100000000000001" customHeight="1" thickTop="1">
      <c r="A1724" s="226" t="s">
        <v>6492</v>
      </c>
      <c r="B1724" s="28">
        <v>45925</v>
      </c>
      <c r="C1724" s="25">
        <v>1995</v>
      </c>
      <c r="D1724" s="13" t="s">
        <v>3243</v>
      </c>
      <c r="E1724" s="228"/>
      <c r="F1724" s="109" t="s">
        <v>4178</v>
      </c>
      <c r="G1724" s="24" t="s">
        <v>2494</v>
      </c>
      <c r="H1724" s="230">
        <v>4</v>
      </c>
      <c r="I1724" s="220">
        <v>653000</v>
      </c>
      <c r="J1724" s="220">
        <f>I1724*0.1</f>
        <v>65300</v>
      </c>
      <c r="K1724" s="220">
        <v>0</v>
      </c>
      <c r="L1724" s="220">
        <v>9790</v>
      </c>
      <c r="M1724" s="220">
        <v>22000</v>
      </c>
      <c r="N1724" s="220">
        <f>SUM(I1724:M1725)</f>
        <v>750090</v>
      </c>
      <c r="O1724" s="224"/>
      <c r="P1724" s="110" t="s">
        <v>5232</v>
      </c>
      <c r="Q1724" s="15" t="s">
        <v>19</v>
      </c>
      <c r="R1724" s="205"/>
      <c r="S1724" s="189"/>
      <c r="T1724" s="114"/>
      <c r="U1724" s="21" t="s">
        <v>7222</v>
      </c>
      <c r="V1724" s="115">
        <v>45934</v>
      </c>
      <c r="W1724" s="116">
        <v>1270</v>
      </c>
      <c r="X1724" s="220">
        <v>705000</v>
      </c>
      <c r="Y1724" s="220">
        <f>X1724*0.1</f>
        <v>70500</v>
      </c>
      <c r="Z1724" s="220">
        <v>9790</v>
      </c>
      <c r="AA1724" s="220">
        <f>SUM(X1724:Z1724)</f>
        <v>785290</v>
      </c>
      <c r="AB1724" s="222">
        <v>45939</v>
      </c>
    </row>
    <row r="1725" spans="1:28" ht="17.100000000000001" customHeight="1" thickBot="1">
      <c r="A1725" s="227"/>
      <c r="B1725" s="27" t="s">
        <v>2171</v>
      </c>
      <c r="C1725" s="27">
        <v>50040</v>
      </c>
      <c r="D1725" s="14" t="s">
        <v>1568</v>
      </c>
      <c r="E1725" s="229"/>
      <c r="F1725" s="117" t="s">
        <v>5233</v>
      </c>
      <c r="G1725" s="26">
        <v>51131</v>
      </c>
      <c r="H1725" s="231"/>
      <c r="I1725" s="221"/>
      <c r="J1725" s="221"/>
      <c r="K1725" s="221"/>
      <c r="L1725" s="221"/>
      <c r="M1725" s="221"/>
      <c r="N1725" s="221"/>
      <c r="O1725" s="225"/>
      <c r="P1725" s="118" t="s">
        <v>6795</v>
      </c>
      <c r="Q1725" s="16" t="s">
        <v>20</v>
      </c>
      <c r="R1725" s="17" t="s">
        <v>6610</v>
      </c>
      <c r="S1725" s="121" t="s">
        <v>2405</v>
      </c>
      <c r="T1725" s="122"/>
      <c r="U1725" s="22"/>
      <c r="V1725" s="123" t="s">
        <v>7160</v>
      </c>
      <c r="W1725" s="122">
        <v>60009</v>
      </c>
      <c r="X1725" s="221"/>
      <c r="Y1725" s="221"/>
      <c r="Z1725" s="221"/>
      <c r="AA1725" s="221"/>
      <c r="AB1725" s="223"/>
    </row>
    <row r="1726" spans="1:28" ht="17.100000000000001" customHeight="1" thickTop="1">
      <c r="A1726" s="226" t="s">
        <v>6493</v>
      </c>
      <c r="B1726" s="28">
        <v>45925</v>
      </c>
      <c r="C1726" s="25">
        <v>1995</v>
      </c>
      <c r="D1726" s="13" t="s">
        <v>1615</v>
      </c>
      <c r="E1726" s="228"/>
      <c r="F1726" s="109" t="s">
        <v>4145</v>
      </c>
      <c r="G1726" s="24"/>
      <c r="H1726" s="230">
        <v>4</v>
      </c>
      <c r="I1726" s="220">
        <v>451000</v>
      </c>
      <c r="J1726" s="220">
        <f>I1726*0.1</f>
        <v>45100</v>
      </c>
      <c r="K1726" s="220">
        <v>0</v>
      </c>
      <c r="L1726" s="220">
        <v>8460</v>
      </c>
      <c r="M1726" s="220">
        <v>22000</v>
      </c>
      <c r="N1726" s="220">
        <f>SUM(I1726:M1727)</f>
        <v>526560</v>
      </c>
      <c r="O1726" s="224"/>
      <c r="P1726" s="110" t="s">
        <v>6793</v>
      </c>
      <c r="Q1726" s="15" t="s">
        <v>19</v>
      </c>
      <c r="R1726" s="205"/>
      <c r="S1726" s="189" t="s">
        <v>1361</v>
      </c>
      <c r="T1726" s="114"/>
      <c r="U1726" s="21"/>
      <c r="V1726" s="115">
        <v>45941</v>
      </c>
      <c r="W1726" s="116">
        <v>1271</v>
      </c>
      <c r="X1726" s="220">
        <v>530000</v>
      </c>
      <c r="Y1726" s="220">
        <f>X1726*0.1</f>
        <v>53000</v>
      </c>
      <c r="Z1726" s="220">
        <v>8460</v>
      </c>
      <c r="AA1726" s="220">
        <f>SUM(X1726:Z1726)</f>
        <v>591460</v>
      </c>
      <c r="AB1726" s="222">
        <v>45950</v>
      </c>
    </row>
    <row r="1727" spans="1:28" ht="17.100000000000001" customHeight="1" thickBot="1">
      <c r="A1727" s="227"/>
      <c r="B1727" s="27" t="s">
        <v>2171</v>
      </c>
      <c r="C1727" s="27">
        <v>50070</v>
      </c>
      <c r="D1727" s="14" t="s">
        <v>1710</v>
      </c>
      <c r="E1727" s="229"/>
      <c r="F1727" s="117" t="s">
        <v>5234</v>
      </c>
      <c r="G1727" s="26">
        <v>11961</v>
      </c>
      <c r="H1727" s="231"/>
      <c r="I1727" s="221"/>
      <c r="J1727" s="221"/>
      <c r="K1727" s="221"/>
      <c r="L1727" s="221"/>
      <c r="M1727" s="221"/>
      <c r="N1727" s="221"/>
      <c r="O1727" s="225"/>
      <c r="P1727" s="118" t="s">
        <v>6794</v>
      </c>
      <c r="Q1727" s="16" t="s">
        <v>20</v>
      </c>
      <c r="R1727" s="17" t="s">
        <v>6610</v>
      </c>
      <c r="S1727" s="121" t="s">
        <v>169</v>
      </c>
      <c r="T1727" s="122"/>
      <c r="U1727" s="22"/>
      <c r="V1727" s="123" t="s">
        <v>6641</v>
      </c>
      <c r="W1727" s="122">
        <v>60088</v>
      </c>
      <c r="X1727" s="221"/>
      <c r="Y1727" s="221"/>
      <c r="Z1727" s="221"/>
      <c r="AA1727" s="221"/>
      <c r="AB1727" s="223"/>
    </row>
    <row r="1728" spans="1:28" ht="17.100000000000001" customHeight="1" thickTop="1">
      <c r="A1728" s="226" t="s">
        <v>6494</v>
      </c>
      <c r="B1728" s="28">
        <v>45925</v>
      </c>
      <c r="C1728" s="25">
        <v>1995</v>
      </c>
      <c r="D1728" s="13" t="s">
        <v>5235</v>
      </c>
      <c r="E1728" s="228"/>
      <c r="F1728" s="109" t="s">
        <v>5236</v>
      </c>
      <c r="G1728" s="24" t="s">
        <v>3453</v>
      </c>
      <c r="H1728" s="230">
        <v>4</v>
      </c>
      <c r="I1728" s="220">
        <v>201000</v>
      </c>
      <c r="J1728" s="220">
        <f>I1728*0.1</f>
        <v>20100</v>
      </c>
      <c r="K1728" s="220">
        <v>0</v>
      </c>
      <c r="L1728" s="220">
        <v>8590</v>
      </c>
      <c r="M1728" s="220">
        <v>22000</v>
      </c>
      <c r="N1728" s="220">
        <f>SUM(I1728:M1729)</f>
        <v>251690</v>
      </c>
      <c r="O1728" s="224"/>
      <c r="P1728" s="110" t="s">
        <v>5237</v>
      </c>
      <c r="Q1728" s="15" t="s">
        <v>19</v>
      </c>
      <c r="R1728" s="205"/>
      <c r="S1728" s="189" t="s">
        <v>25477</v>
      </c>
      <c r="T1728" s="114"/>
      <c r="U1728" s="21" t="s">
        <v>8171</v>
      </c>
      <c r="V1728" s="115">
        <v>45941</v>
      </c>
      <c r="W1728" s="116">
        <v>1271</v>
      </c>
      <c r="X1728" s="220">
        <v>270000</v>
      </c>
      <c r="Y1728" s="220">
        <v>27000</v>
      </c>
      <c r="Z1728" s="220">
        <v>8590</v>
      </c>
      <c r="AA1728" s="220">
        <f>SUM(X1728:Z1728)</f>
        <v>305590</v>
      </c>
      <c r="AB1728" s="222">
        <v>45950</v>
      </c>
    </row>
    <row r="1729" spans="1:28" ht="17.100000000000001" customHeight="1" thickBot="1">
      <c r="A1729" s="227"/>
      <c r="B1729" s="27" t="s">
        <v>2171</v>
      </c>
      <c r="C1729" s="27">
        <v>90059</v>
      </c>
      <c r="D1729" s="14" t="s">
        <v>1568</v>
      </c>
      <c r="E1729" s="229"/>
      <c r="F1729" s="117" t="s">
        <v>5238</v>
      </c>
      <c r="G1729" s="26">
        <v>59460</v>
      </c>
      <c r="H1729" s="231"/>
      <c r="I1729" s="221"/>
      <c r="J1729" s="221"/>
      <c r="K1729" s="221"/>
      <c r="L1729" s="221"/>
      <c r="M1729" s="221"/>
      <c r="N1729" s="221"/>
      <c r="O1729" s="225"/>
      <c r="P1729" s="118" t="s">
        <v>6784</v>
      </c>
      <c r="Q1729" s="16" t="s">
        <v>20</v>
      </c>
      <c r="R1729" s="17" t="s">
        <v>6610</v>
      </c>
      <c r="S1729" s="121" t="s">
        <v>6785</v>
      </c>
      <c r="T1729" s="122"/>
      <c r="U1729" s="22"/>
      <c r="V1729" s="123" t="s">
        <v>2472</v>
      </c>
      <c r="W1729" s="122">
        <v>60061</v>
      </c>
      <c r="X1729" s="221"/>
      <c r="Y1729" s="221"/>
      <c r="Z1729" s="221"/>
      <c r="AA1729" s="221"/>
      <c r="AB1729" s="223"/>
    </row>
    <row r="1730" spans="1:28" ht="17.100000000000001" customHeight="1" thickTop="1">
      <c r="A1730" s="226" t="s">
        <v>6495</v>
      </c>
      <c r="B1730" s="28">
        <v>45925</v>
      </c>
      <c r="C1730" s="25">
        <v>2127</v>
      </c>
      <c r="D1730" s="13" t="s">
        <v>4755</v>
      </c>
      <c r="E1730" s="228"/>
      <c r="F1730" s="109" t="s">
        <v>5239</v>
      </c>
      <c r="G1730" s="24"/>
      <c r="H1730" s="230">
        <v>3.5</v>
      </c>
      <c r="I1730" s="220">
        <v>146000</v>
      </c>
      <c r="J1730" s="220">
        <f>I1730*0.1</f>
        <v>14600</v>
      </c>
      <c r="K1730" s="220">
        <v>0</v>
      </c>
      <c r="L1730" s="220">
        <v>8490</v>
      </c>
      <c r="M1730" s="220">
        <v>13750</v>
      </c>
      <c r="N1730" s="220">
        <f>SUM(I1730:M1731)</f>
        <v>182840</v>
      </c>
      <c r="O1730" s="224"/>
      <c r="P1730" s="110" t="s">
        <v>6759</v>
      </c>
      <c r="Q1730" s="15" t="s">
        <v>19</v>
      </c>
      <c r="R1730" s="205"/>
      <c r="S1730" s="189"/>
      <c r="T1730" s="114"/>
      <c r="U1730" s="21"/>
      <c r="V1730" s="115">
        <v>45934</v>
      </c>
      <c r="W1730" s="116">
        <v>1270</v>
      </c>
      <c r="X1730" s="220">
        <v>230000</v>
      </c>
      <c r="Y1730" s="220">
        <f>X1730*0.1</f>
        <v>23000</v>
      </c>
      <c r="Z1730" s="220">
        <v>8490</v>
      </c>
      <c r="AA1730" s="220">
        <f>SUM(X1730:Z1730)</f>
        <v>261490</v>
      </c>
      <c r="AB1730" s="222">
        <v>45939</v>
      </c>
    </row>
    <row r="1731" spans="1:28" ht="17.100000000000001" customHeight="1" thickBot="1">
      <c r="A1731" s="227"/>
      <c r="B1731" s="27" t="s">
        <v>3228</v>
      </c>
      <c r="C1731" s="27">
        <v>36</v>
      </c>
      <c r="D1731" s="14" t="s">
        <v>1548</v>
      </c>
      <c r="E1731" s="229"/>
      <c r="F1731" s="117" t="s">
        <v>5240</v>
      </c>
      <c r="G1731" s="26">
        <v>50129</v>
      </c>
      <c r="H1731" s="231"/>
      <c r="I1731" s="221"/>
      <c r="J1731" s="221"/>
      <c r="K1731" s="221"/>
      <c r="L1731" s="221"/>
      <c r="M1731" s="221"/>
      <c r="N1731" s="221"/>
      <c r="O1731" s="225"/>
      <c r="P1731" s="118" t="s">
        <v>6761</v>
      </c>
      <c r="Q1731" s="16" t="s">
        <v>20</v>
      </c>
      <c r="R1731" s="17" t="s">
        <v>6610</v>
      </c>
      <c r="S1731" s="121"/>
      <c r="T1731" s="122"/>
      <c r="U1731" s="22"/>
      <c r="V1731" s="123" t="s">
        <v>6642</v>
      </c>
      <c r="W1731" s="122">
        <v>60013</v>
      </c>
      <c r="X1731" s="221"/>
      <c r="Y1731" s="221"/>
      <c r="Z1731" s="221"/>
      <c r="AA1731" s="221"/>
      <c r="AB1731" s="223"/>
    </row>
    <row r="1732" spans="1:28" ht="17.100000000000001" customHeight="1" thickTop="1">
      <c r="A1732" s="226" t="s">
        <v>6496</v>
      </c>
      <c r="B1732" s="28">
        <v>45925</v>
      </c>
      <c r="C1732" s="25">
        <v>2127</v>
      </c>
      <c r="D1732" s="13" t="s">
        <v>3422</v>
      </c>
      <c r="E1732" s="228"/>
      <c r="F1732" s="109" t="s">
        <v>5241</v>
      </c>
      <c r="G1732" s="24"/>
      <c r="H1732" s="230">
        <v>4</v>
      </c>
      <c r="I1732" s="220">
        <v>653000</v>
      </c>
      <c r="J1732" s="220">
        <f>I1732*0.1</f>
        <v>65300</v>
      </c>
      <c r="K1732" s="220">
        <v>0</v>
      </c>
      <c r="L1732" s="220">
        <v>8400</v>
      </c>
      <c r="M1732" s="220">
        <v>13750</v>
      </c>
      <c r="N1732" s="220">
        <f>SUM(I1732:M1733)</f>
        <v>740450</v>
      </c>
      <c r="O1732" s="224"/>
      <c r="P1732" s="110" t="s">
        <v>6757</v>
      </c>
      <c r="Q1732" s="15" t="s">
        <v>19</v>
      </c>
      <c r="R1732" s="205"/>
      <c r="S1732" s="189"/>
      <c r="T1732" s="114"/>
      <c r="U1732" s="21"/>
      <c r="V1732" s="115">
        <v>45934</v>
      </c>
      <c r="W1732" s="116">
        <v>1270</v>
      </c>
      <c r="X1732" s="220">
        <v>770000</v>
      </c>
      <c r="Y1732" s="220">
        <f>X1732*0.1</f>
        <v>77000</v>
      </c>
      <c r="Z1732" s="220">
        <v>8400</v>
      </c>
      <c r="AA1732" s="220">
        <f>SUM(X1732:Z1732)</f>
        <v>855400</v>
      </c>
      <c r="AB1732" s="222">
        <v>45937</v>
      </c>
    </row>
    <row r="1733" spans="1:28" ht="17.100000000000001" customHeight="1" thickBot="1">
      <c r="A1733" s="227"/>
      <c r="B1733" s="27" t="s">
        <v>3228</v>
      </c>
      <c r="C1733" s="27">
        <v>2020</v>
      </c>
      <c r="D1733" s="14" t="s">
        <v>1710</v>
      </c>
      <c r="E1733" s="229"/>
      <c r="F1733" s="117" t="s">
        <v>5242</v>
      </c>
      <c r="G1733" s="26">
        <v>52065</v>
      </c>
      <c r="H1733" s="231"/>
      <c r="I1733" s="221"/>
      <c r="J1733" s="221"/>
      <c r="K1733" s="221"/>
      <c r="L1733" s="221"/>
      <c r="M1733" s="221"/>
      <c r="N1733" s="221"/>
      <c r="O1733" s="225"/>
      <c r="P1733" s="118" t="s">
        <v>6758</v>
      </c>
      <c r="Q1733" s="16" t="s">
        <v>20</v>
      </c>
      <c r="R1733" s="17" t="s">
        <v>6610</v>
      </c>
      <c r="S1733" s="121"/>
      <c r="T1733" s="122"/>
      <c r="U1733" s="22"/>
      <c r="V1733" s="123" t="s">
        <v>7160</v>
      </c>
      <c r="W1733" s="122">
        <v>60003</v>
      </c>
      <c r="X1733" s="221"/>
      <c r="Y1733" s="221"/>
      <c r="Z1733" s="221"/>
      <c r="AA1733" s="221"/>
      <c r="AB1733" s="223"/>
    </row>
    <row r="1734" spans="1:28" ht="17.100000000000001" customHeight="1" thickTop="1">
      <c r="A1734" s="226" t="s">
        <v>6497</v>
      </c>
      <c r="B1734" s="28">
        <v>45925</v>
      </c>
      <c r="C1734" s="25">
        <v>2127</v>
      </c>
      <c r="D1734" s="13" t="s">
        <v>1704</v>
      </c>
      <c r="E1734" s="228"/>
      <c r="F1734" s="109" t="s">
        <v>5230</v>
      </c>
      <c r="G1734" s="24" t="s">
        <v>5243</v>
      </c>
      <c r="H1734" s="230">
        <v>4.5</v>
      </c>
      <c r="I1734" s="220">
        <v>1162000</v>
      </c>
      <c r="J1734" s="220">
        <f>I1734*0.1</f>
        <v>116200</v>
      </c>
      <c r="K1734" s="220">
        <v>0</v>
      </c>
      <c r="L1734" s="220">
        <v>8740</v>
      </c>
      <c r="M1734" s="220">
        <v>13750</v>
      </c>
      <c r="N1734" s="220">
        <f>SUM(I1734:M1735)</f>
        <v>1300690</v>
      </c>
      <c r="O1734" s="224"/>
      <c r="P1734" s="110" t="s">
        <v>6760</v>
      </c>
      <c r="Q1734" s="15" t="s">
        <v>19</v>
      </c>
      <c r="R1734" s="205"/>
      <c r="S1734" s="189" t="s">
        <v>25478</v>
      </c>
      <c r="T1734" s="114"/>
      <c r="U1734" s="21" t="s">
        <v>7574</v>
      </c>
      <c r="V1734" s="115">
        <v>45944</v>
      </c>
      <c r="W1734" s="116">
        <v>1913</v>
      </c>
      <c r="X1734" s="220">
        <v>1191000</v>
      </c>
      <c r="Y1734" s="220">
        <f>X1734*0.1</f>
        <v>119100</v>
      </c>
      <c r="Z1734" s="220">
        <v>8740</v>
      </c>
      <c r="AA1734" s="220">
        <f>SUM(X1734:Z1734)</f>
        <v>1318840</v>
      </c>
      <c r="AB1734" s="222">
        <v>45950</v>
      </c>
    </row>
    <row r="1735" spans="1:28" ht="17.100000000000001" customHeight="1" thickBot="1">
      <c r="A1735" s="227"/>
      <c r="B1735" s="27" t="s">
        <v>3228</v>
      </c>
      <c r="C1735" s="27">
        <v>2114</v>
      </c>
      <c r="D1735" s="14" t="s">
        <v>898</v>
      </c>
      <c r="E1735" s="229"/>
      <c r="F1735" s="117" t="s">
        <v>5244</v>
      </c>
      <c r="G1735" s="26">
        <v>34677</v>
      </c>
      <c r="H1735" s="231"/>
      <c r="I1735" s="221"/>
      <c r="J1735" s="221"/>
      <c r="K1735" s="221"/>
      <c r="L1735" s="221"/>
      <c r="M1735" s="221"/>
      <c r="N1735" s="221"/>
      <c r="O1735" s="225"/>
      <c r="P1735" s="118" t="s">
        <v>6755</v>
      </c>
      <c r="Q1735" s="16" t="s">
        <v>20</v>
      </c>
      <c r="R1735" s="17" t="s">
        <v>6610</v>
      </c>
      <c r="S1735" s="121" t="s">
        <v>6756</v>
      </c>
      <c r="T1735" s="122"/>
      <c r="U1735" s="22"/>
      <c r="V1735" s="123" t="s">
        <v>2103</v>
      </c>
      <c r="W1735" s="122">
        <v>3135</v>
      </c>
      <c r="X1735" s="221"/>
      <c r="Y1735" s="221"/>
      <c r="Z1735" s="221"/>
      <c r="AA1735" s="221"/>
      <c r="AB1735" s="223"/>
    </row>
    <row r="1736" spans="1:28" ht="17.100000000000001" customHeight="1" thickTop="1">
      <c r="A1736" s="226" t="s">
        <v>6498</v>
      </c>
      <c r="B1736" s="28">
        <v>45925</v>
      </c>
      <c r="C1736" s="25">
        <v>2127</v>
      </c>
      <c r="D1736" s="13" t="s">
        <v>3634</v>
      </c>
      <c r="E1736" s="228"/>
      <c r="F1736" s="109" t="s">
        <v>5246</v>
      </c>
      <c r="G1736" s="24"/>
      <c r="H1736" s="230">
        <v>4</v>
      </c>
      <c r="I1736" s="220">
        <v>167000</v>
      </c>
      <c r="J1736" s="220">
        <f>I1736*0.1</f>
        <v>16700</v>
      </c>
      <c r="K1736" s="220">
        <v>0</v>
      </c>
      <c r="L1736" s="220">
        <v>10100</v>
      </c>
      <c r="M1736" s="220">
        <v>13750</v>
      </c>
      <c r="N1736" s="220">
        <f>SUM(I1736:M1737)</f>
        <v>207550</v>
      </c>
      <c r="O1736" s="224"/>
      <c r="P1736" s="110" t="s">
        <v>6984</v>
      </c>
      <c r="Q1736" s="15" t="s">
        <v>19</v>
      </c>
      <c r="R1736" s="205"/>
      <c r="S1736" s="189"/>
      <c r="T1736" s="114"/>
      <c r="U1736" s="21"/>
      <c r="V1736" s="115">
        <v>46046</v>
      </c>
      <c r="W1736" s="116">
        <v>1285</v>
      </c>
      <c r="X1736" s="220">
        <v>175000</v>
      </c>
      <c r="Y1736" s="220">
        <f>X1736*0.1</f>
        <v>17500</v>
      </c>
      <c r="Z1736" s="220">
        <v>10100</v>
      </c>
      <c r="AA1736" s="220">
        <f>SUM(X1736:Z1736)</f>
        <v>202600</v>
      </c>
      <c r="AB1736" s="222">
        <v>46049</v>
      </c>
    </row>
    <row r="1737" spans="1:28" ht="17.100000000000001" customHeight="1" thickBot="1">
      <c r="A1737" s="227"/>
      <c r="B1737" s="27" t="s">
        <v>3228</v>
      </c>
      <c r="C1737" s="27">
        <v>2134</v>
      </c>
      <c r="D1737" s="14" t="s">
        <v>1710</v>
      </c>
      <c r="E1737" s="229"/>
      <c r="F1737" s="117" t="s">
        <v>5247</v>
      </c>
      <c r="G1737" s="26">
        <v>55049</v>
      </c>
      <c r="H1737" s="231"/>
      <c r="I1737" s="221"/>
      <c r="J1737" s="221"/>
      <c r="K1737" s="221"/>
      <c r="L1737" s="221"/>
      <c r="M1737" s="221"/>
      <c r="N1737" s="221"/>
      <c r="O1737" s="225"/>
      <c r="P1737" s="118" t="s">
        <v>6985</v>
      </c>
      <c r="Q1737" s="16" t="s">
        <v>20</v>
      </c>
      <c r="R1737" s="17" t="s">
        <v>3672</v>
      </c>
      <c r="S1737" s="121"/>
      <c r="T1737" s="122"/>
      <c r="U1737" s="22"/>
      <c r="V1737" s="123" t="s">
        <v>2472</v>
      </c>
      <c r="W1737" s="122">
        <v>60046</v>
      </c>
      <c r="X1737" s="221"/>
      <c r="Y1737" s="221"/>
      <c r="Z1737" s="221"/>
      <c r="AA1737" s="221"/>
      <c r="AB1737" s="223"/>
    </row>
    <row r="1738" spans="1:28" ht="17.100000000000001" customHeight="1" thickTop="1">
      <c r="A1738" s="233" t="s">
        <v>6499</v>
      </c>
      <c r="B1738" s="28">
        <v>45925</v>
      </c>
      <c r="C1738" s="25">
        <v>2127</v>
      </c>
      <c r="D1738" s="13" t="s">
        <v>2392</v>
      </c>
      <c r="E1738" s="228"/>
      <c r="F1738" s="109" t="s">
        <v>5248</v>
      </c>
      <c r="G1738" s="24" t="s">
        <v>4239</v>
      </c>
      <c r="H1738" s="230">
        <v>4</v>
      </c>
      <c r="I1738" s="220">
        <v>1194000</v>
      </c>
      <c r="J1738" s="220">
        <f>I1738*0.1</f>
        <v>119400</v>
      </c>
      <c r="K1738" s="220">
        <v>0</v>
      </c>
      <c r="L1738" s="220">
        <v>8200</v>
      </c>
      <c r="M1738" s="220">
        <v>13750</v>
      </c>
      <c r="N1738" s="220">
        <f>SUM(I1738:M1739)</f>
        <v>1335350</v>
      </c>
      <c r="O1738" s="224"/>
      <c r="P1738" s="110" t="s">
        <v>5249</v>
      </c>
      <c r="Q1738" s="15" t="s">
        <v>19</v>
      </c>
      <c r="R1738" s="205"/>
      <c r="S1738" s="189" t="s">
        <v>758</v>
      </c>
      <c r="T1738" s="114" t="s">
        <v>6835</v>
      </c>
      <c r="U1738" s="21"/>
      <c r="V1738" s="115"/>
      <c r="W1738" s="116"/>
      <c r="X1738" s="220"/>
      <c r="Y1738" s="220">
        <f>X1738*0.1</f>
        <v>0</v>
      </c>
      <c r="Z1738" s="220"/>
      <c r="AA1738" s="220">
        <f>SUM(X1738:Z1738)</f>
        <v>0</v>
      </c>
      <c r="AB1738" s="222"/>
    </row>
    <row r="1739" spans="1:28" ht="17.100000000000001" customHeight="1" thickBot="1">
      <c r="A1739" s="234"/>
      <c r="B1739" s="27" t="s">
        <v>3228</v>
      </c>
      <c r="C1739" s="27">
        <v>2147</v>
      </c>
      <c r="D1739" s="14" t="s">
        <v>2788</v>
      </c>
      <c r="E1739" s="229"/>
      <c r="F1739" s="117" t="s">
        <v>5250</v>
      </c>
      <c r="G1739" s="26">
        <v>25880</v>
      </c>
      <c r="H1739" s="231"/>
      <c r="I1739" s="221"/>
      <c r="J1739" s="221"/>
      <c r="K1739" s="221"/>
      <c r="L1739" s="221"/>
      <c r="M1739" s="221"/>
      <c r="N1739" s="221"/>
      <c r="O1739" s="225"/>
      <c r="P1739" s="118" t="s">
        <v>6754</v>
      </c>
      <c r="Q1739" s="16" t="s">
        <v>20</v>
      </c>
      <c r="R1739" s="17" t="s">
        <v>6610</v>
      </c>
      <c r="S1739" s="121" t="s">
        <v>1661</v>
      </c>
      <c r="T1739" s="122"/>
      <c r="U1739" s="22"/>
      <c r="V1739" s="123"/>
      <c r="W1739" s="122"/>
      <c r="X1739" s="221"/>
      <c r="Y1739" s="221"/>
      <c r="Z1739" s="221"/>
      <c r="AA1739" s="221"/>
      <c r="AB1739" s="223"/>
    </row>
    <row r="1740" spans="1:28" ht="17.100000000000001" customHeight="1" thickTop="1">
      <c r="A1740" s="226" t="s">
        <v>6500</v>
      </c>
      <c r="B1740" s="28">
        <v>45925</v>
      </c>
      <c r="C1740" s="25">
        <v>2127</v>
      </c>
      <c r="D1740" s="13" t="s">
        <v>2324</v>
      </c>
      <c r="E1740" s="228"/>
      <c r="F1740" s="109" t="s">
        <v>5078</v>
      </c>
      <c r="G1740" s="24" t="s">
        <v>5043</v>
      </c>
      <c r="H1740" s="230">
        <v>4</v>
      </c>
      <c r="I1740" s="220">
        <v>1052000</v>
      </c>
      <c r="J1740" s="220">
        <f>I1740*0.1</f>
        <v>105200</v>
      </c>
      <c r="K1740" s="220">
        <v>0</v>
      </c>
      <c r="L1740" s="220">
        <v>8510</v>
      </c>
      <c r="M1740" s="220">
        <v>13750</v>
      </c>
      <c r="N1740" s="220">
        <f>SUM(I1740:M1741)</f>
        <v>1179460</v>
      </c>
      <c r="O1740" s="224"/>
      <c r="P1740" s="110" t="s">
        <v>5251</v>
      </c>
      <c r="Q1740" s="15" t="s">
        <v>19</v>
      </c>
      <c r="R1740" s="205"/>
      <c r="S1740" s="189" t="s">
        <v>1276</v>
      </c>
      <c r="T1740" s="114"/>
      <c r="U1740" s="21" t="s">
        <v>8170</v>
      </c>
      <c r="V1740" s="115">
        <v>45948</v>
      </c>
      <c r="W1740" s="116">
        <v>1272</v>
      </c>
      <c r="X1740" s="220">
        <v>1185000</v>
      </c>
      <c r="Y1740" s="220">
        <f>X1740*0.1</f>
        <v>118500</v>
      </c>
      <c r="Z1740" s="220">
        <v>8510</v>
      </c>
      <c r="AA1740" s="220">
        <f>SUM(X1740:Z1740)</f>
        <v>1312010</v>
      </c>
      <c r="AB1740" s="222">
        <v>45952</v>
      </c>
    </row>
    <row r="1741" spans="1:28" ht="17.100000000000001" customHeight="1" thickBot="1">
      <c r="A1741" s="227"/>
      <c r="B1741" s="27" t="s">
        <v>3228</v>
      </c>
      <c r="C1741" s="27">
        <v>2516</v>
      </c>
      <c r="D1741" s="14" t="s">
        <v>2559</v>
      </c>
      <c r="E1741" s="229"/>
      <c r="F1741" s="117" t="s">
        <v>5252</v>
      </c>
      <c r="G1741" s="26">
        <v>41938</v>
      </c>
      <c r="H1741" s="231"/>
      <c r="I1741" s="221"/>
      <c r="J1741" s="221"/>
      <c r="K1741" s="221"/>
      <c r="L1741" s="221"/>
      <c r="M1741" s="221"/>
      <c r="N1741" s="221"/>
      <c r="O1741" s="225"/>
      <c r="P1741" s="118" t="s">
        <v>4599</v>
      </c>
      <c r="Q1741" s="16" t="s">
        <v>20</v>
      </c>
      <c r="R1741" s="17" t="s">
        <v>6610</v>
      </c>
      <c r="S1741" s="121" t="s">
        <v>6753</v>
      </c>
      <c r="T1741" s="122"/>
      <c r="U1741" s="22"/>
      <c r="V1741" s="123" t="s">
        <v>2472</v>
      </c>
      <c r="W1741" s="122">
        <v>60293</v>
      </c>
      <c r="X1741" s="221"/>
      <c r="Y1741" s="221"/>
      <c r="Z1741" s="221"/>
      <c r="AA1741" s="221"/>
      <c r="AB1741" s="223"/>
    </row>
    <row r="1742" spans="1:28" ht="17.100000000000001" customHeight="1" thickTop="1">
      <c r="A1742" s="226" t="s">
        <v>6501</v>
      </c>
      <c r="B1742" s="28">
        <v>45925</v>
      </c>
      <c r="C1742" s="25">
        <v>2127</v>
      </c>
      <c r="D1742" s="13" t="s">
        <v>2040</v>
      </c>
      <c r="E1742" s="228"/>
      <c r="F1742" s="109" t="s">
        <v>4601</v>
      </c>
      <c r="G1742" s="24" t="s">
        <v>5253</v>
      </c>
      <c r="H1742" s="230">
        <v>4</v>
      </c>
      <c r="I1742" s="220">
        <v>1279000</v>
      </c>
      <c r="J1742" s="220">
        <f>I1742*0.1</f>
        <v>127900</v>
      </c>
      <c r="K1742" s="220">
        <v>0</v>
      </c>
      <c r="L1742" s="220">
        <v>8630</v>
      </c>
      <c r="M1742" s="220">
        <v>13750</v>
      </c>
      <c r="N1742" s="220">
        <f>SUM(I1742:M1743)</f>
        <v>1429280</v>
      </c>
      <c r="O1742" s="224"/>
      <c r="P1742" s="110" t="s">
        <v>5254</v>
      </c>
      <c r="Q1742" s="15" t="s">
        <v>19</v>
      </c>
      <c r="R1742" s="205"/>
      <c r="S1742" s="189" t="s">
        <v>25479</v>
      </c>
      <c r="T1742" s="114"/>
      <c r="U1742" s="21" t="s">
        <v>8154</v>
      </c>
      <c r="V1742" s="115">
        <v>45955</v>
      </c>
      <c r="W1742" s="116">
        <v>1273</v>
      </c>
      <c r="X1742" s="220">
        <v>1350000</v>
      </c>
      <c r="Y1742" s="220">
        <f>X1742*0.1</f>
        <v>135000</v>
      </c>
      <c r="Z1742" s="220">
        <v>8630</v>
      </c>
      <c r="AA1742" s="220">
        <f>SUM(X1742:Z1742)</f>
        <v>1493630</v>
      </c>
      <c r="AB1742" s="222">
        <v>45958</v>
      </c>
    </row>
    <row r="1743" spans="1:28" ht="17.100000000000001" customHeight="1" thickBot="1">
      <c r="A1743" s="227"/>
      <c r="B1743" s="27" t="s">
        <v>3228</v>
      </c>
      <c r="C1743" s="27">
        <v>2578</v>
      </c>
      <c r="D1743" s="14" t="s">
        <v>898</v>
      </c>
      <c r="E1743" s="229"/>
      <c r="F1743" s="117" t="s">
        <v>5255</v>
      </c>
      <c r="G1743" s="26">
        <v>6134</v>
      </c>
      <c r="H1743" s="231"/>
      <c r="I1743" s="221"/>
      <c r="J1743" s="221"/>
      <c r="K1743" s="221"/>
      <c r="L1743" s="221"/>
      <c r="M1743" s="221"/>
      <c r="N1743" s="221"/>
      <c r="O1743" s="225"/>
      <c r="P1743" s="118" t="s">
        <v>6751</v>
      </c>
      <c r="Q1743" s="16" t="s">
        <v>20</v>
      </c>
      <c r="R1743" s="17" t="s">
        <v>6610</v>
      </c>
      <c r="S1743" s="121" t="s">
        <v>6752</v>
      </c>
      <c r="T1743" s="122"/>
      <c r="U1743" s="22"/>
      <c r="V1743" s="123" t="s">
        <v>2472</v>
      </c>
      <c r="W1743" s="122">
        <v>60145</v>
      </c>
      <c r="X1743" s="221"/>
      <c r="Y1743" s="221"/>
      <c r="Z1743" s="221"/>
      <c r="AA1743" s="221"/>
      <c r="AB1743" s="223"/>
    </row>
    <row r="1744" spans="1:28" ht="17.100000000000001" customHeight="1" thickTop="1">
      <c r="A1744" s="226" t="s">
        <v>6502</v>
      </c>
      <c r="B1744" s="28">
        <v>45925</v>
      </c>
      <c r="C1744" s="25">
        <v>2127</v>
      </c>
      <c r="D1744" s="13" t="s">
        <v>5256</v>
      </c>
      <c r="E1744" s="228"/>
      <c r="F1744" s="109" t="s">
        <v>4958</v>
      </c>
      <c r="G1744" s="24"/>
      <c r="H1744" s="230">
        <v>4</v>
      </c>
      <c r="I1744" s="220">
        <v>83000</v>
      </c>
      <c r="J1744" s="220">
        <f>I1744*0.1</f>
        <v>8300</v>
      </c>
      <c r="K1744" s="220">
        <v>0</v>
      </c>
      <c r="L1744" s="220">
        <v>9880</v>
      </c>
      <c r="M1744" s="220">
        <v>13750</v>
      </c>
      <c r="N1744" s="220">
        <f>SUM(I1744:M1745)</f>
        <v>114930</v>
      </c>
      <c r="O1744" s="224"/>
      <c r="P1744" s="110" t="s">
        <v>6749</v>
      </c>
      <c r="Q1744" s="15" t="s">
        <v>19</v>
      </c>
      <c r="R1744" s="205"/>
      <c r="S1744" s="189" t="s">
        <v>758</v>
      </c>
      <c r="T1744" s="114"/>
      <c r="U1744" s="21"/>
      <c r="V1744" s="115">
        <v>45934</v>
      </c>
      <c r="W1744" s="116">
        <v>1270</v>
      </c>
      <c r="X1744" s="220">
        <v>230000</v>
      </c>
      <c r="Y1744" s="220">
        <f>X1744*0.1</f>
        <v>23000</v>
      </c>
      <c r="Z1744" s="220">
        <v>9880</v>
      </c>
      <c r="AA1744" s="220">
        <f>SUM(X1744:Z1744)</f>
        <v>262880</v>
      </c>
      <c r="AB1744" s="222">
        <v>45937</v>
      </c>
    </row>
    <row r="1745" spans="1:28" ht="17.100000000000001" customHeight="1" thickBot="1">
      <c r="A1745" s="227"/>
      <c r="B1745" s="27" t="s">
        <v>3228</v>
      </c>
      <c r="C1745" s="27">
        <v>35175</v>
      </c>
      <c r="D1745" s="14" t="s">
        <v>2559</v>
      </c>
      <c r="E1745" s="229"/>
      <c r="F1745" s="117" t="s">
        <v>5257</v>
      </c>
      <c r="G1745" s="26">
        <v>46648</v>
      </c>
      <c r="H1745" s="231"/>
      <c r="I1745" s="221"/>
      <c r="J1745" s="221"/>
      <c r="K1745" s="221"/>
      <c r="L1745" s="221"/>
      <c r="M1745" s="221"/>
      <c r="N1745" s="221"/>
      <c r="O1745" s="225"/>
      <c r="P1745" s="118" t="s">
        <v>6750</v>
      </c>
      <c r="Q1745" s="16" t="s">
        <v>20</v>
      </c>
      <c r="R1745" s="17" t="s">
        <v>6610</v>
      </c>
      <c r="S1745" s="121" t="s">
        <v>169</v>
      </c>
      <c r="T1745" s="122"/>
      <c r="U1745" s="22"/>
      <c r="V1745" s="123" t="s">
        <v>7160</v>
      </c>
      <c r="W1745" s="122">
        <v>60007</v>
      </c>
      <c r="X1745" s="221"/>
      <c r="Y1745" s="221"/>
      <c r="Z1745" s="221"/>
      <c r="AA1745" s="221"/>
      <c r="AB1745" s="223"/>
    </row>
    <row r="1746" spans="1:28" ht="17.100000000000001" customHeight="1" thickTop="1">
      <c r="A1746" s="226" t="s">
        <v>6503</v>
      </c>
      <c r="B1746" s="28">
        <v>45925</v>
      </c>
      <c r="C1746" s="25">
        <v>1299</v>
      </c>
      <c r="D1746" s="13" t="s">
        <v>1953</v>
      </c>
      <c r="E1746" s="228"/>
      <c r="F1746" s="109" t="s">
        <v>5258</v>
      </c>
      <c r="G1746" s="24" t="s">
        <v>4038</v>
      </c>
      <c r="H1746" s="230">
        <v>4.5</v>
      </c>
      <c r="I1746" s="220">
        <v>2100000</v>
      </c>
      <c r="J1746" s="220">
        <f>I1746*0.1</f>
        <v>210000</v>
      </c>
      <c r="K1746" s="220">
        <f>17200+1720</f>
        <v>18920</v>
      </c>
      <c r="L1746" s="220">
        <v>20460</v>
      </c>
      <c r="M1746" s="220">
        <v>14300</v>
      </c>
      <c r="N1746" s="220">
        <f>SUM(I1746:M1747)</f>
        <v>2363680</v>
      </c>
      <c r="O1746" s="224"/>
      <c r="P1746" s="110" t="s">
        <v>5259</v>
      </c>
      <c r="Q1746" s="15" t="s">
        <v>19</v>
      </c>
      <c r="R1746" s="205"/>
      <c r="S1746" s="189" t="s">
        <v>1271</v>
      </c>
      <c r="T1746" s="114"/>
      <c r="U1746" s="21"/>
      <c r="V1746" s="115">
        <v>45969</v>
      </c>
      <c r="W1746" s="116">
        <v>1275</v>
      </c>
      <c r="X1746" s="220">
        <v>2130000</v>
      </c>
      <c r="Y1746" s="220">
        <f>X1746*0.1</f>
        <v>213000</v>
      </c>
      <c r="Z1746" s="220">
        <v>20460</v>
      </c>
      <c r="AA1746" s="220">
        <f>SUM(X1746:Z1746)</f>
        <v>2363460</v>
      </c>
      <c r="AB1746" s="222">
        <v>45972</v>
      </c>
    </row>
    <row r="1747" spans="1:28" ht="17.100000000000001" customHeight="1" thickBot="1">
      <c r="A1747" s="227"/>
      <c r="B1747" s="27" t="s">
        <v>1735</v>
      </c>
      <c r="C1747" s="27">
        <v>31</v>
      </c>
      <c r="D1747" s="14" t="s">
        <v>2559</v>
      </c>
      <c r="E1747" s="229"/>
      <c r="F1747" s="117" t="s">
        <v>5260</v>
      </c>
      <c r="G1747" s="26">
        <v>48642</v>
      </c>
      <c r="H1747" s="231"/>
      <c r="I1747" s="221"/>
      <c r="J1747" s="221"/>
      <c r="K1747" s="221"/>
      <c r="L1747" s="221"/>
      <c r="M1747" s="221"/>
      <c r="N1747" s="221"/>
      <c r="O1747" s="225"/>
      <c r="P1747" s="118" t="s">
        <v>1844</v>
      </c>
      <c r="Q1747" s="16" t="s">
        <v>20</v>
      </c>
      <c r="R1747" s="17" t="s">
        <v>6610</v>
      </c>
      <c r="S1747" s="121" t="s">
        <v>1731</v>
      </c>
      <c r="T1747" s="122"/>
      <c r="U1747" s="22" t="s">
        <v>3427</v>
      </c>
      <c r="V1747" s="123" t="s">
        <v>2472</v>
      </c>
      <c r="W1747" s="122">
        <v>80039</v>
      </c>
      <c r="X1747" s="221"/>
      <c r="Y1747" s="221"/>
      <c r="Z1747" s="221"/>
      <c r="AA1747" s="221"/>
      <c r="AB1747" s="223"/>
    </row>
    <row r="1748" spans="1:28" ht="17.100000000000001" customHeight="1" thickTop="1">
      <c r="A1748" s="226" t="s">
        <v>6504</v>
      </c>
      <c r="B1748" s="28">
        <v>45925</v>
      </c>
      <c r="C1748" s="25">
        <v>1534</v>
      </c>
      <c r="D1748" s="13" t="s">
        <v>1021</v>
      </c>
      <c r="E1748" s="228"/>
      <c r="F1748" s="109" t="s">
        <v>5261</v>
      </c>
      <c r="G1748" s="24" t="s">
        <v>3968</v>
      </c>
      <c r="H1748" s="230">
        <v>4.5</v>
      </c>
      <c r="I1748" s="220">
        <v>2250000</v>
      </c>
      <c r="J1748" s="220">
        <f>I1748*0.1</f>
        <v>225000</v>
      </c>
      <c r="K1748" s="220">
        <f>19700+1970</f>
        <v>21670</v>
      </c>
      <c r="L1748" s="220">
        <v>13210</v>
      </c>
      <c r="M1748" s="220">
        <v>16500</v>
      </c>
      <c r="N1748" s="220">
        <f>SUM(I1748:M1749)</f>
        <v>2526380</v>
      </c>
      <c r="O1748" s="224"/>
      <c r="P1748" s="110" t="s">
        <v>5262</v>
      </c>
      <c r="Q1748" s="15" t="s">
        <v>19</v>
      </c>
      <c r="R1748" s="205"/>
      <c r="S1748" s="189"/>
      <c r="T1748" s="114"/>
      <c r="U1748" s="21"/>
      <c r="V1748" s="115"/>
      <c r="W1748" s="116"/>
      <c r="X1748" s="220"/>
      <c r="Y1748" s="220">
        <f>X1748*0.1</f>
        <v>0</v>
      </c>
      <c r="Z1748" s="220"/>
      <c r="AA1748" s="220">
        <f>SUM(X1748:Z1748)</f>
        <v>0</v>
      </c>
      <c r="AB1748" s="222"/>
    </row>
    <row r="1749" spans="1:28" ht="17.100000000000001" customHeight="1" thickBot="1">
      <c r="A1749" s="227"/>
      <c r="B1749" s="27" t="s">
        <v>1592</v>
      </c>
      <c r="C1749" s="27">
        <v>76436</v>
      </c>
      <c r="D1749" s="14" t="s">
        <v>273</v>
      </c>
      <c r="E1749" s="229"/>
      <c r="F1749" s="117" t="s">
        <v>5263</v>
      </c>
      <c r="G1749" s="26">
        <v>24721</v>
      </c>
      <c r="H1749" s="231"/>
      <c r="I1749" s="221"/>
      <c r="J1749" s="221"/>
      <c r="K1749" s="221"/>
      <c r="L1749" s="221"/>
      <c r="M1749" s="221"/>
      <c r="N1749" s="221"/>
      <c r="O1749" s="225"/>
      <c r="P1749" s="118" t="s">
        <v>6655</v>
      </c>
      <c r="Q1749" s="16" t="s">
        <v>20</v>
      </c>
      <c r="R1749" s="17" t="s">
        <v>6610</v>
      </c>
      <c r="S1749" s="121" t="s">
        <v>6656</v>
      </c>
      <c r="T1749" s="122"/>
      <c r="U1749" s="22" t="s">
        <v>3427</v>
      </c>
      <c r="V1749" s="123"/>
      <c r="W1749" s="122"/>
      <c r="X1749" s="221"/>
      <c r="Y1749" s="221"/>
      <c r="Z1749" s="221"/>
      <c r="AA1749" s="221"/>
      <c r="AB1749" s="223"/>
    </row>
    <row r="1750" spans="1:28" ht="17.100000000000001" customHeight="1" thickTop="1">
      <c r="A1750" s="226" t="s">
        <v>6505</v>
      </c>
      <c r="B1750" s="28">
        <v>45926</v>
      </c>
      <c r="C1750" s="25">
        <v>54</v>
      </c>
      <c r="D1750" s="13" t="s">
        <v>1996</v>
      </c>
      <c r="E1750" s="228"/>
      <c r="F1750" s="109" t="s">
        <v>5125</v>
      </c>
      <c r="G1750" s="24" t="s">
        <v>3867</v>
      </c>
      <c r="H1750" s="232" t="s">
        <v>1705</v>
      </c>
      <c r="I1750" s="220">
        <v>530000</v>
      </c>
      <c r="J1750" s="220">
        <f>I1750*0.1</f>
        <v>53000</v>
      </c>
      <c r="K1750" s="220">
        <v>0</v>
      </c>
      <c r="L1750" s="220">
        <v>9080</v>
      </c>
      <c r="M1750" s="220">
        <v>33000</v>
      </c>
      <c r="N1750" s="220">
        <f>SUM(I1750:M1751)</f>
        <v>625080</v>
      </c>
      <c r="O1750" s="224"/>
      <c r="P1750" s="110" t="s">
        <v>7815</v>
      </c>
      <c r="Q1750" s="15" t="s">
        <v>19</v>
      </c>
      <c r="R1750" s="205"/>
      <c r="S1750" s="189"/>
      <c r="T1750" s="114"/>
      <c r="U1750" s="21"/>
      <c r="V1750" s="115">
        <v>45948</v>
      </c>
      <c r="W1750" s="116">
        <v>1272</v>
      </c>
      <c r="X1750" s="220">
        <v>710000</v>
      </c>
      <c r="Y1750" s="220">
        <f>X1750*0.1</f>
        <v>71000</v>
      </c>
      <c r="Z1750" s="220">
        <v>9080</v>
      </c>
      <c r="AA1750" s="220">
        <f>SUM(X1750:Z1750)</f>
        <v>790080</v>
      </c>
      <c r="AB1750" s="222">
        <v>45951</v>
      </c>
    </row>
    <row r="1751" spans="1:28" ht="17.100000000000001" customHeight="1" thickBot="1">
      <c r="A1751" s="227"/>
      <c r="B1751" s="27" t="s">
        <v>4468</v>
      </c>
      <c r="C1751" s="27">
        <v>1005</v>
      </c>
      <c r="D1751" s="14" t="s">
        <v>273</v>
      </c>
      <c r="E1751" s="229"/>
      <c r="F1751" s="117" t="s">
        <v>5264</v>
      </c>
      <c r="G1751" s="26">
        <v>35512</v>
      </c>
      <c r="H1751" s="231"/>
      <c r="I1751" s="221"/>
      <c r="J1751" s="221"/>
      <c r="K1751" s="221"/>
      <c r="L1751" s="221"/>
      <c r="M1751" s="221"/>
      <c r="N1751" s="221"/>
      <c r="O1751" s="225"/>
      <c r="P1751" s="118" t="s">
        <v>7816</v>
      </c>
      <c r="Q1751" s="16" t="s">
        <v>20</v>
      </c>
      <c r="R1751" s="17" t="s">
        <v>2562</v>
      </c>
      <c r="S1751" s="121"/>
      <c r="T1751" s="122"/>
      <c r="U1751" s="22"/>
      <c r="V1751" s="123" t="s">
        <v>2472</v>
      </c>
      <c r="W1751" s="122">
        <v>65182</v>
      </c>
      <c r="X1751" s="221"/>
      <c r="Y1751" s="221"/>
      <c r="Z1751" s="221"/>
      <c r="AA1751" s="221"/>
      <c r="AB1751" s="223"/>
    </row>
    <row r="1752" spans="1:28" ht="17.100000000000001" customHeight="1" thickTop="1">
      <c r="A1752" s="226" t="s">
        <v>6506</v>
      </c>
      <c r="B1752" s="28">
        <v>45926</v>
      </c>
      <c r="C1752" s="25">
        <v>54</v>
      </c>
      <c r="D1752" s="13" t="s">
        <v>1053</v>
      </c>
      <c r="E1752" s="228"/>
      <c r="F1752" s="109" t="s">
        <v>5265</v>
      </c>
      <c r="G1752" s="24" t="s">
        <v>4239</v>
      </c>
      <c r="H1752" s="230">
        <v>4</v>
      </c>
      <c r="I1752" s="220">
        <v>1155000</v>
      </c>
      <c r="J1752" s="220">
        <f>I1752*0.1</f>
        <v>115500</v>
      </c>
      <c r="K1752" s="220">
        <f>12700+1270</f>
        <v>13970</v>
      </c>
      <c r="L1752" s="220">
        <v>6960</v>
      </c>
      <c r="M1752" s="220">
        <v>44000</v>
      </c>
      <c r="N1752" s="220">
        <f>SUM(I1752:M1753)</f>
        <v>1335430</v>
      </c>
      <c r="O1752" s="224"/>
      <c r="P1752" s="110" t="s">
        <v>7777</v>
      </c>
      <c r="Q1752" s="15" t="s">
        <v>19</v>
      </c>
      <c r="R1752" s="205"/>
      <c r="S1752" s="189" t="s">
        <v>1361</v>
      </c>
      <c r="T1752" s="114"/>
      <c r="U1752" s="21"/>
      <c r="V1752" s="115">
        <v>45941</v>
      </c>
      <c r="W1752" s="116">
        <v>1271</v>
      </c>
      <c r="X1752" s="220">
        <v>1460000</v>
      </c>
      <c r="Y1752" s="220">
        <f>X1752*0.1</f>
        <v>146000</v>
      </c>
      <c r="Z1752" s="220">
        <v>8860</v>
      </c>
      <c r="AA1752" s="220">
        <f>SUM(X1752:Z1752)</f>
        <v>1614860</v>
      </c>
      <c r="AB1752" s="222">
        <v>45944</v>
      </c>
    </row>
    <row r="1753" spans="1:28" ht="17.100000000000001" customHeight="1" thickBot="1">
      <c r="A1753" s="227"/>
      <c r="B1753" s="27" t="s">
        <v>4468</v>
      </c>
      <c r="C1753" s="27">
        <v>1039</v>
      </c>
      <c r="D1753" s="14" t="s">
        <v>898</v>
      </c>
      <c r="E1753" s="229"/>
      <c r="F1753" s="117" t="s">
        <v>5266</v>
      </c>
      <c r="G1753" s="26">
        <v>26291</v>
      </c>
      <c r="H1753" s="231"/>
      <c r="I1753" s="221"/>
      <c r="J1753" s="221"/>
      <c r="K1753" s="221"/>
      <c r="L1753" s="221"/>
      <c r="M1753" s="221"/>
      <c r="N1753" s="221"/>
      <c r="O1753" s="225"/>
      <c r="P1753" s="118" t="s">
        <v>7778</v>
      </c>
      <c r="Q1753" s="16" t="s">
        <v>20</v>
      </c>
      <c r="R1753" s="17" t="s">
        <v>1605</v>
      </c>
      <c r="S1753" s="121" t="s">
        <v>7779</v>
      </c>
      <c r="T1753" s="122"/>
      <c r="U1753" s="22"/>
      <c r="V1753" s="123" t="s">
        <v>2472</v>
      </c>
      <c r="W1753" s="122">
        <v>37490</v>
      </c>
      <c r="X1753" s="221"/>
      <c r="Y1753" s="221"/>
      <c r="Z1753" s="221"/>
      <c r="AA1753" s="221"/>
      <c r="AB1753" s="223"/>
    </row>
    <row r="1754" spans="1:28" ht="17.100000000000001" customHeight="1" thickTop="1">
      <c r="A1754" s="226" t="s">
        <v>6507</v>
      </c>
      <c r="B1754" s="28">
        <v>45926</v>
      </c>
      <c r="C1754" s="25">
        <v>54</v>
      </c>
      <c r="D1754" s="13" t="s">
        <v>1598</v>
      </c>
      <c r="E1754" s="228"/>
      <c r="F1754" s="109" t="s">
        <v>5267</v>
      </c>
      <c r="G1754" s="24" t="s">
        <v>3968</v>
      </c>
      <c r="H1754" s="230">
        <v>4</v>
      </c>
      <c r="I1754" s="220">
        <v>265000</v>
      </c>
      <c r="J1754" s="220">
        <f>I1754*0.1</f>
        <v>26500</v>
      </c>
      <c r="K1754" s="220">
        <v>0</v>
      </c>
      <c r="L1754" s="220">
        <v>8060</v>
      </c>
      <c r="M1754" s="220">
        <v>33000</v>
      </c>
      <c r="N1754" s="220">
        <f>SUM(I1754:M1755)</f>
        <v>332560</v>
      </c>
      <c r="O1754" s="224"/>
      <c r="P1754" s="110" t="s">
        <v>8118</v>
      </c>
      <c r="Q1754" s="15" t="s">
        <v>19</v>
      </c>
      <c r="R1754" s="205"/>
      <c r="S1754" s="189" t="s">
        <v>1361</v>
      </c>
      <c r="T1754" s="114"/>
      <c r="U1754" s="21"/>
      <c r="V1754" s="115">
        <v>45951</v>
      </c>
      <c r="W1754" s="116">
        <v>1914</v>
      </c>
      <c r="X1754" s="220">
        <v>412000</v>
      </c>
      <c r="Y1754" s="220">
        <f>X1754*0.1</f>
        <v>41200</v>
      </c>
      <c r="Z1754" s="220">
        <v>8060</v>
      </c>
      <c r="AA1754" s="220">
        <f>SUM(X1754:Z1754)</f>
        <v>461260</v>
      </c>
      <c r="AB1754" s="222">
        <v>45957</v>
      </c>
    </row>
    <row r="1755" spans="1:28" ht="17.100000000000001" customHeight="1" thickBot="1">
      <c r="A1755" s="227"/>
      <c r="B1755" s="27" t="s">
        <v>4468</v>
      </c>
      <c r="C1755" s="27">
        <v>1078</v>
      </c>
      <c r="D1755" s="14" t="s">
        <v>1568</v>
      </c>
      <c r="E1755" s="229"/>
      <c r="F1755" s="117" t="s">
        <v>5268</v>
      </c>
      <c r="G1755" s="26">
        <v>18930</v>
      </c>
      <c r="H1755" s="231"/>
      <c r="I1755" s="221"/>
      <c r="J1755" s="221"/>
      <c r="K1755" s="221"/>
      <c r="L1755" s="221"/>
      <c r="M1755" s="221"/>
      <c r="N1755" s="221"/>
      <c r="O1755" s="225"/>
      <c r="P1755" s="118" t="s">
        <v>8119</v>
      </c>
      <c r="Q1755" s="16" t="s">
        <v>20</v>
      </c>
      <c r="R1755" s="17" t="s">
        <v>1614</v>
      </c>
      <c r="S1755" s="121" t="s">
        <v>3341</v>
      </c>
      <c r="T1755" s="122"/>
      <c r="U1755" s="22"/>
      <c r="V1755" s="123" t="s">
        <v>2103</v>
      </c>
      <c r="W1755" s="122">
        <v>3245</v>
      </c>
      <c r="X1755" s="221"/>
      <c r="Y1755" s="221"/>
      <c r="Z1755" s="221"/>
      <c r="AA1755" s="221"/>
      <c r="AB1755" s="223"/>
    </row>
    <row r="1756" spans="1:28" ht="17.100000000000001" customHeight="1" thickTop="1">
      <c r="A1756" s="226" t="s">
        <v>6508</v>
      </c>
      <c r="B1756" s="28">
        <v>45926</v>
      </c>
      <c r="C1756" s="25">
        <v>54</v>
      </c>
      <c r="D1756" s="13" t="s">
        <v>1634</v>
      </c>
      <c r="E1756" s="228"/>
      <c r="F1756" s="109" t="s">
        <v>5269</v>
      </c>
      <c r="G1756" s="24" t="s">
        <v>1551</v>
      </c>
      <c r="H1756" s="230">
        <v>4.5</v>
      </c>
      <c r="I1756" s="220">
        <v>1510000</v>
      </c>
      <c r="J1756" s="220">
        <f>I1756*0.1</f>
        <v>151000</v>
      </c>
      <c r="K1756" s="220">
        <v>0</v>
      </c>
      <c r="L1756" s="220">
        <v>8640</v>
      </c>
      <c r="M1756" s="220">
        <v>44000</v>
      </c>
      <c r="N1756" s="220">
        <f>SUM(I1756:M1757)</f>
        <v>1713640</v>
      </c>
      <c r="O1756" s="224"/>
      <c r="P1756" s="110" t="s">
        <v>8364</v>
      </c>
      <c r="Q1756" s="15" t="s">
        <v>19</v>
      </c>
      <c r="R1756" s="205"/>
      <c r="S1756" s="189" t="s">
        <v>1361</v>
      </c>
      <c r="T1756" s="114"/>
      <c r="U1756" s="21"/>
      <c r="V1756" s="115">
        <v>45944</v>
      </c>
      <c r="W1756" s="116">
        <v>1913</v>
      </c>
      <c r="X1756" s="220">
        <v>1714000</v>
      </c>
      <c r="Y1756" s="220">
        <f>X1756*0.1</f>
        <v>171400</v>
      </c>
      <c r="Z1756" s="220">
        <v>8640</v>
      </c>
      <c r="AA1756" s="220">
        <f>SUM(X1756:Z1756)</f>
        <v>1894040</v>
      </c>
      <c r="AB1756" s="222">
        <v>45950</v>
      </c>
    </row>
    <row r="1757" spans="1:28" ht="17.100000000000001" customHeight="1" thickBot="1">
      <c r="A1757" s="227"/>
      <c r="B1757" s="27" t="s">
        <v>4468</v>
      </c>
      <c r="C1757" s="27">
        <v>2007</v>
      </c>
      <c r="D1757" s="14" t="s">
        <v>1548</v>
      </c>
      <c r="E1757" s="229"/>
      <c r="F1757" s="117" t="s">
        <v>5270</v>
      </c>
      <c r="G1757" s="26">
        <v>34360</v>
      </c>
      <c r="H1757" s="231"/>
      <c r="I1757" s="221"/>
      <c r="J1757" s="221"/>
      <c r="K1757" s="221"/>
      <c r="L1757" s="221"/>
      <c r="M1757" s="221"/>
      <c r="N1757" s="221"/>
      <c r="O1757" s="225"/>
      <c r="P1757" s="118" t="s">
        <v>4962</v>
      </c>
      <c r="Q1757" s="16" t="s">
        <v>20</v>
      </c>
      <c r="R1757" s="17" t="s">
        <v>1639</v>
      </c>
      <c r="S1757" s="121" t="s">
        <v>169</v>
      </c>
      <c r="T1757" s="122"/>
      <c r="U1757" s="22"/>
      <c r="V1757" s="123" t="s">
        <v>2103</v>
      </c>
      <c r="W1757" s="122">
        <v>3439</v>
      </c>
      <c r="X1757" s="221"/>
      <c r="Y1757" s="221"/>
      <c r="Z1757" s="221"/>
      <c r="AA1757" s="221"/>
      <c r="AB1757" s="223"/>
    </row>
    <row r="1758" spans="1:28" ht="17.100000000000001" customHeight="1" thickTop="1">
      <c r="A1758" s="226" t="s">
        <v>6509</v>
      </c>
      <c r="B1758" s="28">
        <v>45926</v>
      </c>
      <c r="C1758" s="25">
        <v>259</v>
      </c>
      <c r="D1758" s="13" t="s">
        <v>4739</v>
      </c>
      <c r="E1758" s="228"/>
      <c r="F1758" s="109" t="s">
        <v>5271</v>
      </c>
      <c r="G1758" s="24"/>
      <c r="H1758" s="230">
        <v>3.5</v>
      </c>
      <c r="I1758" s="220">
        <v>221000</v>
      </c>
      <c r="J1758" s="220">
        <f>I1758*0.1</f>
        <v>22100</v>
      </c>
      <c r="K1758" s="220">
        <v>0</v>
      </c>
      <c r="L1758" s="220">
        <v>8460</v>
      </c>
      <c r="M1758" s="220">
        <v>22000</v>
      </c>
      <c r="N1758" s="220">
        <f>SUM(I1758:M1759)</f>
        <v>273560</v>
      </c>
      <c r="O1758" s="224"/>
      <c r="P1758" s="110" t="s">
        <v>6809</v>
      </c>
      <c r="Q1758" s="15" t="s">
        <v>19</v>
      </c>
      <c r="R1758" s="205"/>
      <c r="S1758" s="189"/>
      <c r="T1758" s="114"/>
      <c r="U1758" s="21"/>
      <c r="V1758" s="115">
        <v>45934</v>
      </c>
      <c r="W1758" s="116">
        <v>1270</v>
      </c>
      <c r="X1758" s="220">
        <v>300000</v>
      </c>
      <c r="Y1758" s="220">
        <f>X1758*0.1</f>
        <v>30000</v>
      </c>
      <c r="Z1758" s="220">
        <v>8460</v>
      </c>
      <c r="AA1758" s="220">
        <f>SUM(X1758:Z1758)</f>
        <v>338460</v>
      </c>
      <c r="AB1758" s="222">
        <v>45937</v>
      </c>
    </row>
    <row r="1759" spans="1:28" ht="17.100000000000001" customHeight="1" thickBot="1">
      <c r="A1759" s="227"/>
      <c r="B1759" s="27" t="s">
        <v>4960</v>
      </c>
      <c r="C1759" s="27">
        <v>37</v>
      </c>
      <c r="D1759" s="14" t="s">
        <v>3274</v>
      </c>
      <c r="E1759" s="229"/>
      <c r="F1759" s="117" t="s">
        <v>5272</v>
      </c>
      <c r="G1759" s="26">
        <v>52780</v>
      </c>
      <c r="H1759" s="231"/>
      <c r="I1759" s="221"/>
      <c r="J1759" s="221"/>
      <c r="K1759" s="221"/>
      <c r="L1759" s="221"/>
      <c r="M1759" s="221"/>
      <c r="N1759" s="221"/>
      <c r="O1759" s="225"/>
      <c r="P1759" s="118" t="s">
        <v>6810</v>
      </c>
      <c r="Q1759" s="16" t="s">
        <v>20</v>
      </c>
      <c r="R1759" s="17" t="s">
        <v>6726</v>
      </c>
      <c r="S1759" s="121"/>
      <c r="T1759" s="122"/>
      <c r="U1759" s="22"/>
      <c r="V1759" s="123" t="s">
        <v>7160</v>
      </c>
      <c r="W1759" s="122">
        <v>60018</v>
      </c>
      <c r="X1759" s="221"/>
      <c r="Y1759" s="221"/>
      <c r="Z1759" s="221"/>
      <c r="AA1759" s="221"/>
      <c r="AB1759" s="223"/>
    </row>
    <row r="1760" spans="1:28" ht="17.100000000000001" customHeight="1" thickTop="1">
      <c r="A1760" s="226" t="s">
        <v>6510</v>
      </c>
      <c r="B1760" s="28">
        <v>45926</v>
      </c>
      <c r="C1760" s="25">
        <v>259</v>
      </c>
      <c r="D1760" s="13" t="s">
        <v>4750</v>
      </c>
      <c r="E1760" s="228"/>
      <c r="F1760" s="109" t="s">
        <v>5273</v>
      </c>
      <c r="G1760" s="24"/>
      <c r="H1760" s="230">
        <v>4</v>
      </c>
      <c r="I1760" s="220">
        <v>288000</v>
      </c>
      <c r="J1760" s="220">
        <f>I1760*0.1</f>
        <v>28800</v>
      </c>
      <c r="K1760" s="220">
        <v>0</v>
      </c>
      <c r="L1760" s="220">
        <v>7860</v>
      </c>
      <c r="M1760" s="220">
        <v>22000</v>
      </c>
      <c r="N1760" s="220">
        <f>SUM(I1760:M1761)</f>
        <v>346660</v>
      </c>
      <c r="O1760" s="224"/>
      <c r="P1760" s="110" t="s">
        <v>6803</v>
      </c>
      <c r="Q1760" s="15" t="s">
        <v>19</v>
      </c>
      <c r="R1760" s="205"/>
      <c r="S1760" s="189"/>
      <c r="T1760" s="114"/>
      <c r="U1760" s="21"/>
      <c r="V1760" s="115">
        <v>45934</v>
      </c>
      <c r="W1760" s="116">
        <v>1270</v>
      </c>
      <c r="X1760" s="220">
        <v>375000</v>
      </c>
      <c r="Y1760" s="220">
        <f>X1760*0.1</f>
        <v>37500</v>
      </c>
      <c r="Z1760" s="220">
        <v>7860</v>
      </c>
      <c r="AA1760" s="220">
        <f>SUM(X1760:Z1760)</f>
        <v>420360</v>
      </c>
      <c r="AB1760" s="222">
        <v>45937</v>
      </c>
    </row>
    <row r="1761" spans="1:28" ht="17.100000000000001" customHeight="1" thickBot="1">
      <c r="A1761" s="227"/>
      <c r="B1761" s="27" t="s">
        <v>4960</v>
      </c>
      <c r="C1761" s="27">
        <v>60</v>
      </c>
      <c r="D1761" s="14" t="s">
        <v>1584</v>
      </c>
      <c r="E1761" s="229"/>
      <c r="F1761" s="117" t="s">
        <v>5274</v>
      </c>
      <c r="G1761" s="26">
        <v>63980</v>
      </c>
      <c r="H1761" s="231"/>
      <c r="I1761" s="221"/>
      <c r="J1761" s="221"/>
      <c r="K1761" s="221"/>
      <c r="L1761" s="221"/>
      <c r="M1761" s="221"/>
      <c r="N1761" s="221"/>
      <c r="O1761" s="225"/>
      <c r="P1761" s="118" t="s">
        <v>4348</v>
      </c>
      <c r="Q1761" s="16" t="s">
        <v>20</v>
      </c>
      <c r="R1761" s="17" t="s">
        <v>6610</v>
      </c>
      <c r="S1761" s="121" t="s">
        <v>169</v>
      </c>
      <c r="T1761" s="122"/>
      <c r="U1761" s="22"/>
      <c r="V1761" s="123" t="s">
        <v>7160</v>
      </c>
      <c r="W1761" s="122">
        <v>60419</v>
      </c>
      <c r="X1761" s="221"/>
      <c r="Y1761" s="221"/>
      <c r="Z1761" s="221"/>
      <c r="AA1761" s="221"/>
      <c r="AB1761" s="223"/>
    </row>
    <row r="1762" spans="1:28" ht="17.100000000000001" customHeight="1" thickTop="1">
      <c r="A1762" s="226" t="s">
        <v>6511</v>
      </c>
      <c r="B1762" s="28">
        <v>45926</v>
      </c>
      <c r="C1762" s="25">
        <v>259</v>
      </c>
      <c r="D1762" s="13" t="s">
        <v>1862</v>
      </c>
      <c r="E1762" s="228"/>
      <c r="F1762" s="109" t="s">
        <v>5275</v>
      </c>
      <c r="G1762" s="24"/>
      <c r="H1762" s="230">
        <v>4</v>
      </c>
      <c r="I1762" s="220">
        <v>246000</v>
      </c>
      <c r="J1762" s="220">
        <f>I1762*0.1</f>
        <v>24600</v>
      </c>
      <c r="K1762" s="220">
        <v>0</v>
      </c>
      <c r="L1762" s="220">
        <v>5070</v>
      </c>
      <c r="M1762" s="220">
        <v>22000</v>
      </c>
      <c r="N1762" s="220">
        <f>SUM(I1762:M1763)</f>
        <v>297670</v>
      </c>
      <c r="O1762" s="224"/>
      <c r="P1762" s="110" t="s">
        <v>6789</v>
      </c>
      <c r="Q1762" s="15" t="s">
        <v>19</v>
      </c>
      <c r="R1762" s="205"/>
      <c r="S1762" s="189"/>
      <c r="T1762" s="114"/>
      <c r="U1762" s="21"/>
      <c r="V1762" s="115">
        <v>45962</v>
      </c>
      <c r="W1762" s="116">
        <v>1274</v>
      </c>
      <c r="X1762" s="220">
        <v>289000</v>
      </c>
      <c r="Y1762" s="220">
        <f>X1762*0.1</f>
        <v>28900</v>
      </c>
      <c r="Z1762" s="220">
        <v>5070</v>
      </c>
      <c r="AA1762" s="220">
        <f>SUM(X1762:Z1762)</f>
        <v>322970</v>
      </c>
      <c r="AB1762" s="222">
        <v>45965</v>
      </c>
    </row>
    <row r="1763" spans="1:28" ht="17.100000000000001" customHeight="1" thickBot="1">
      <c r="A1763" s="227"/>
      <c r="B1763" s="27" t="s">
        <v>4960</v>
      </c>
      <c r="C1763" s="27">
        <v>100</v>
      </c>
      <c r="D1763" s="14" t="s">
        <v>1584</v>
      </c>
      <c r="E1763" s="229"/>
      <c r="F1763" s="117" t="s">
        <v>5276</v>
      </c>
      <c r="G1763" s="26">
        <v>55697</v>
      </c>
      <c r="H1763" s="231"/>
      <c r="I1763" s="221"/>
      <c r="J1763" s="221"/>
      <c r="K1763" s="221"/>
      <c r="L1763" s="221"/>
      <c r="M1763" s="221"/>
      <c r="N1763" s="221"/>
      <c r="O1763" s="225"/>
      <c r="P1763" s="118" t="s">
        <v>6790</v>
      </c>
      <c r="Q1763" s="16" t="s">
        <v>20</v>
      </c>
      <c r="R1763" s="17" t="s">
        <v>6610</v>
      </c>
      <c r="S1763" s="121"/>
      <c r="T1763" s="122"/>
      <c r="U1763" s="22"/>
      <c r="V1763" s="123" t="s">
        <v>2472</v>
      </c>
      <c r="W1763" s="122">
        <v>63027</v>
      </c>
      <c r="X1763" s="221"/>
      <c r="Y1763" s="221"/>
      <c r="Z1763" s="221"/>
      <c r="AA1763" s="221"/>
      <c r="AB1763" s="223"/>
    </row>
    <row r="1764" spans="1:28" ht="17.100000000000001" customHeight="1" thickTop="1">
      <c r="A1764" s="226" t="s">
        <v>6512</v>
      </c>
      <c r="B1764" s="28">
        <v>45926</v>
      </c>
      <c r="C1764" s="25">
        <v>259</v>
      </c>
      <c r="D1764" s="13" t="s">
        <v>1808</v>
      </c>
      <c r="E1764" s="228"/>
      <c r="F1764" s="109" t="s">
        <v>5277</v>
      </c>
      <c r="G1764" s="24" t="s">
        <v>4120</v>
      </c>
      <c r="H1764" s="230">
        <v>4</v>
      </c>
      <c r="I1764" s="220">
        <v>255000</v>
      </c>
      <c r="J1764" s="220">
        <f>I1764*0.1</f>
        <v>25500</v>
      </c>
      <c r="K1764" s="220">
        <v>0</v>
      </c>
      <c r="L1764" s="220">
        <v>9770</v>
      </c>
      <c r="M1764" s="220">
        <v>22000</v>
      </c>
      <c r="N1764" s="220">
        <f>SUM(I1764:M1765)</f>
        <v>312270</v>
      </c>
      <c r="O1764" s="224"/>
      <c r="P1764" s="110" t="s">
        <v>6786</v>
      </c>
      <c r="Q1764" s="15" t="s">
        <v>19</v>
      </c>
      <c r="R1764" s="205"/>
      <c r="S1764" s="189" t="s">
        <v>25480</v>
      </c>
      <c r="T1764" s="114"/>
      <c r="U1764" s="21" t="s">
        <v>7573</v>
      </c>
      <c r="V1764" s="115">
        <v>45934</v>
      </c>
      <c r="W1764" s="116">
        <v>1270</v>
      </c>
      <c r="X1764" s="220">
        <v>330000</v>
      </c>
      <c r="Y1764" s="220">
        <f>X1764*0.1</f>
        <v>33000</v>
      </c>
      <c r="Z1764" s="220">
        <v>9770</v>
      </c>
      <c r="AA1764" s="220">
        <f>SUM(X1764:Z1764)</f>
        <v>372770</v>
      </c>
      <c r="AB1764" s="222">
        <v>45944</v>
      </c>
    </row>
    <row r="1765" spans="1:28" ht="17.100000000000001" customHeight="1" thickBot="1">
      <c r="A1765" s="227"/>
      <c r="B1765" s="27" t="s">
        <v>4960</v>
      </c>
      <c r="C1765" s="27">
        <v>115</v>
      </c>
      <c r="D1765" s="14" t="s">
        <v>1797</v>
      </c>
      <c r="E1765" s="229"/>
      <c r="F1765" s="117" t="s">
        <v>5278</v>
      </c>
      <c r="G1765" s="26">
        <v>51599</v>
      </c>
      <c r="H1765" s="231"/>
      <c r="I1765" s="221"/>
      <c r="J1765" s="221"/>
      <c r="K1765" s="221"/>
      <c r="L1765" s="221"/>
      <c r="M1765" s="221"/>
      <c r="N1765" s="221"/>
      <c r="O1765" s="225"/>
      <c r="P1765" s="118" t="s">
        <v>2615</v>
      </c>
      <c r="Q1765" s="16" t="s">
        <v>20</v>
      </c>
      <c r="R1765" s="17" t="s">
        <v>6610</v>
      </c>
      <c r="S1765" s="121" t="s">
        <v>6787</v>
      </c>
      <c r="T1765" s="122"/>
      <c r="U1765" s="22"/>
      <c r="V1765" s="123" t="s">
        <v>6641</v>
      </c>
      <c r="W1765" s="122">
        <v>60033</v>
      </c>
      <c r="X1765" s="221"/>
      <c r="Y1765" s="221"/>
      <c r="Z1765" s="221"/>
      <c r="AA1765" s="221"/>
      <c r="AB1765" s="223"/>
    </row>
    <row r="1766" spans="1:28" ht="17.100000000000001" customHeight="1" thickTop="1">
      <c r="A1766" s="226" t="s">
        <v>6513</v>
      </c>
      <c r="B1766" s="28">
        <v>45926</v>
      </c>
      <c r="C1766" s="25">
        <v>259</v>
      </c>
      <c r="D1766" s="13" t="s">
        <v>4368</v>
      </c>
      <c r="E1766" s="228"/>
      <c r="F1766" s="109" t="s">
        <v>5279</v>
      </c>
      <c r="G1766" s="24"/>
      <c r="H1766" s="230">
        <v>4.5</v>
      </c>
      <c r="I1766" s="220">
        <v>384000</v>
      </c>
      <c r="J1766" s="220">
        <f>I1766*0.1</f>
        <v>38400</v>
      </c>
      <c r="K1766" s="220">
        <v>0</v>
      </c>
      <c r="L1766" s="220">
        <v>7720</v>
      </c>
      <c r="M1766" s="220">
        <v>22000</v>
      </c>
      <c r="N1766" s="220">
        <f>SUM(I1766:M1767)</f>
        <v>452120</v>
      </c>
      <c r="O1766" s="224"/>
      <c r="P1766" s="110" t="s">
        <v>6788</v>
      </c>
      <c r="Q1766" s="15" t="s">
        <v>19</v>
      </c>
      <c r="R1766" s="205"/>
      <c r="S1766" s="189"/>
      <c r="T1766" s="114"/>
      <c r="U1766" s="21"/>
      <c r="V1766" s="115">
        <v>45934</v>
      </c>
      <c r="W1766" s="116">
        <v>1270</v>
      </c>
      <c r="X1766" s="220">
        <v>410000</v>
      </c>
      <c r="Y1766" s="220">
        <f>X1766*0.1</f>
        <v>41000</v>
      </c>
      <c r="Z1766" s="220">
        <v>7720</v>
      </c>
      <c r="AA1766" s="220">
        <f>SUM(X1766:Z1766)</f>
        <v>458720</v>
      </c>
      <c r="AB1766" s="222">
        <v>45937</v>
      </c>
    </row>
    <row r="1767" spans="1:28" ht="17.100000000000001" customHeight="1" thickBot="1">
      <c r="A1767" s="227"/>
      <c r="B1767" s="27" t="s">
        <v>4960</v>
      </c>
      <c r="C1767" s="27">
        <v>116</v>
      </c>
      <c r="D1767" s="14" t="s">
        <v>1584</v>
      </c>
      <c r="E1767" s="229"/>
      <c r="F1767" s="117" t="s">
        <v>5280</v>
      </c>
      <c r="G1767" s="26">
        <v>24681</v>
      </c>
      <c r="H1767" s="231"/>
      <c r="I1767" s="221"/>
      <c r="J1767" s="221"/>
      <c r="K1767" s="221"/>
      <c r="L1767" s="221"/>
      <c r="M1767" s="221"/>
      <c r="N1767" s="221"/>
      <c r="O1767" s="225"/>
      <c r="P1767" s="118" t="s">
        <v>2615</v>
      </c>
      <c r="Q1767" s="16" t="s">
        <v>20</v>
      </c>
      <c r="R1767" s="17" t="s">
        <v>6610</v>
      </c>
      <c r="S1767" s="121"/>
      <c r="T1767" s="122"/>
      <c r="U1767" s="22"/>
      <c r="V1767" s="123" t="s">
        <v>7160</v>
      </c>
      <c r="W1767" s="122">
        <v>60043</v>
      </c>
      <c r="X1767" s="221"/>
      <c r="Y1767" s="221"/>
      <c r="Z1767" s="221"/>
      <c r="AA1767" s="221"/>
      <c r="AB1767" s="223"/>
    </row>
    <row r="1768" spans="1:28" ht="17.100000000000001" customHeight="1" thickTop="1">
      <c r="A1768" s="226" t="s">
        <v>6514</v>
      </c>
      <c r="B1768" s="28">
        <v>45926</v>
      </c>
      <c r="C1768" s="25">
        <v>259</v>
      </c>
      <c r="D1768" s="13" t="s">
        <v>5281</v>
      </c>
      <c r="E1768" s="228"/>
      <c r="F1768" s="109" t="s">
        <v>5282</v>
      </c>
      <c r="G1768" s="24" t="s">
        <v>2530</v>
      </c>
      <c r="H1768" s="230">
        <v>3.5</v>
      </c>
      <c r="I1768" s="220">
        <v>237000</v>
      </c>
      <c r="J1768" s="220">
        <f>I1768*0.1</f>
        <v>23700</v>
      </c>
      <c r="K1768" s="220">
        <v>0</v>
      </c>
      <c r="L1768" s="220">
        <v>8670</v>
      </c>
      <c r="M1768" s="220">
        <v>22000</v>
      </c>
      <c r="N1768" s="220">
        <f>SUM(I1768:M1769)</f>
        <v>291370</v>
      </c>
      <c r="O1768" s="224"/>
      <c r="P1768" s="110" t="s">
        <v>5283</v>
      </c>
      <c r="Q1768" s="15" t="s">
        <v>19</v>
      </c>
      <c r="R1768" s="205"/>
      <c r="S1768" s="189"/>
      <c r="T1768" s="114"/>
      <c r="U1768" s="21"/>
      <c r="V1768" s="115">
        <v>45936</v>
      </c>
      <c r="W1768" s="116"/>
      <c r="X1768" s="220">
        <v>380000</v>
      </c>
      <c r="Y1768" s="220">
        <f>X1768*0.1</f>
        <v>38000</v>
      </c>
      <c r="Z1768" s="220">
        <v>8670</v>
      </c>
      <c r="AA1768" s="220">
        <f>SUM(X1768:Z1768)</f>
        <v>426670</v>
      </c>
      <c r="AB1768" s="222"/>
    </row>
    <row r="1769" spans="1:28" ht="17.100000000000001" customHeight="1" thickBot="1">
      <c r="A1769" s="227"/>
      <c r="B1769" s="27" t="s">
        <v>4960</v>
      </c>
      <c r="C1769" s="27">
        <v>20065</v>
      </c>
      <c r="D1769" s="14" t="s">
        <v>898</v>
      </c>
      <c r="E1769" s="229"/>
      <c r="F1769" s="117" t="s">
        <v>5284</v>
      </c>
      <c r="G1769" s="26">
        <v>57613</v>
      </c>
      <c r="H1769" s="231"/>
      <c r="I1769" s="221"/>
      <c r="J1769" s="221"/>
      <c r="K1769" s="221"/>
      <c r="L1769" s="221"/>
      <c r="M1769" s="221"/>
      <c r="N1769" s="221"/>
      <c r="O1769" s="225"/>
      <c r="P1769" s="118" t="s">
        <v>6804</v>
      </c>
      <c r="Q1769" s="16" t="s">
        <v>20</v>
      </c>
      <c r="R1769" s="17" t="s">
        <v>6610</v>
      </c>
      <c r="S1769" s="121"/>
      <c r="T1769" s="122"/>
      <c r="U1769" s="22"/>
      <c r="V1769" s="123" t="s">
        <v>6682</v>
      </c>
      <c r="W1769" s="122">
        <v>37026</v>
      </c>
      <c r="X1769" s="221"/>
      <c r="Y1769" s="221"/>
      <c r="Z1769" s="221"/>
      <c r="AA1769" s="221"/>
      <c r="AB1769" s="223"/>
    </row>
    <row r="1770" spans="1:28" ht="17.100000000000001" customHeight="1" thickTop="1">
      <c r="A1770" s="226" t="s">
        <v>6515</v>
      </c>
      <c r="B1770" s="28">
        <v>45926</v>
      </c>
      <c r="C1770" s="25">
        <v>2103</v>
      </c>
      <c r="D1770" s="13" t="s">
        <v>1961</v>
      </c>
      <c r="E1770" s="228"/>
      <c r="F1770" s="109" t="s">
        <v>5285</v>
      </c>
      <c r="G1770" s="24" t="s">
        <v>2894</v>
      </c>
      <c r="H1770" s="230">
        <v>4.5</v>
      </c>
      <c r="I1770" s="220">
        <v>1265000</v>
      </c>
      <c r="J1770" s="220">
        <f>I1770*0.1</f>
        <v>126500</v>
      </c>
      <c r="K1770" s="220">
        <f>15200+1520</f>
        <v>16720</v>
      </c>
      <c r="L1770" s="220">
        <v>12370</v>
      </c>
      <c r="M1770" s="220">
        <v>16500</v>
      </c>
      <c r="N1770" s="220">
        <f>SUM(I1770:M1771)</f>
        <v>1437090</v>
      </c>
      <c r="O1770" s="224"/>
      <c r="P1770" s="110" t="s">
        <v>5286</v>
      </c>
      <c r="Q1770" s="15" t="s">
        <v>19</v>
      </c>
      <c r="R1770" s="205"/>
      <c r="S1770" s="189" t="s">
        <v>1361</v>
      </c>
      <c r="T1770" s="114"/>
      <c r="U1770" s="21"/>
      <c r="V1770" s="115">
        <v>46004</v>
      </c>
      <c r="W1770" s="116">
        <v>1280</v>
      </c>
      <c r="X1770" s="220">
        <v>1405000</v>
      </c>
      <c r="Y1770" s="220">
        <f>X1770*0.1</f>
        <v>140500</v>
      </c>
      <c r="Z1770" s="220">
        <v>12370</v>
      </c>
      <c r="AA1770" s="220">
        <f>SUM(X1770:Z1770)</f>
        <v>1557870</v>
      </c>
      <c r="AB1770" s="222">
        <v>46007</v>
      </c>
    </row>
    <row r="1771" spans="1:28" ht="17.100000000000001" customHeight="1" thickBot="1">
      <c r="A1771" s="227"/>
      <c r="B1771" s="27" t="s">
        <v>1536</v>
      </c>
      <c r="C1771" s="27">
        <v>13003</v>
      </c>
      <c r="D1771" s="14" t="s">
        <v>898</v>
      </c>
      <c r="E1771" s="229"/>
      <c r="F1771" s="117" t="s">
        <v>5287</v>
      </c>
      <c r="G1771" s="26">
        <v>29095</v>
      </c>
      <c r="H1771" s="231"/>
      <c r="I1771" s="221"/>
      <c r="J1771" s="221"/>
      <c r="K1771" s="221"/>
      <c r="L1771" s="221"/>
      <c r="M1771" s="221"/>
      <c r="N1771" s="221"/>
      <c r="O1771" s="225"/>
      <c r="P1771" s="118" t="s">
        <v>6654</v>
      </c>
      <c r="Q1771" s="16" t="s">
        <v>20</v>
      </c>
      <c r="R1771" s="17" t="s">
        <v>6610</v>
      </c>
      <c r="S1771" s="121" t="s">
        <v>7300</v>
      </c>
      <c r="T1771" s="122"/>
      <c r="U1771" s="22"/>
      <c r="V1771" s="123" t="s">
        <v>2472</v>
      </c>
      <c r="W1771" s="122">
        <v>80046</v>
      </c>
      <c r="X1771" s="221"/>
      <c r="Y1771" s="221"/>
      <c r="Z1771" s="221"/>
      <c r="AA1771" s="221"/>
      <c r="AB1771" s="223"/>
    </row>
    <row r="1772" spans="1:28" ht="17.100000000000001" customHeight="1" thickTop="1">
      <c r="A1772" s="226" t="s">
        <v>6516</v>
      </c>
      <c r="B1772" s="28">
        <v>45926</v>
      </c>
      <c r="C1772" s="25">
        <v>2103</v>
      </c>
      <c r="D1772" s="13" t="s">
        <v>1961</v>
      </c>
      <c r="E1772" s="228"/>
      <c r="F1772" s="109" t="s">
        <v>5288</v>
      </c>
      <c r="G1772" s="24"/>
      <c r="H1772" s="230">
        <v>4.5</v>
      </c>
      <c r="I1772" s="220">
        <v>2230000</v>
      </c>
      <c r="J1772" s="220">
        <f>I1772*0.1</f>
        <v>223000</v>
      </c>
      <c r="K1772" s="220">
        <v>0</v>
      </c>
      <c r="L1772" s="220">
        <v>23610</v>
      </c>
      <c r="M1772" s="220">
        <v>16500</v>
      </c>
      <c r="N1772" s="220">
        <f>SUM(I1772:M1773)</f>
        <v>2493110</v>
      </c>
      <c r="O1772" s="224"/>
      <c r="P1772" s="110" t="s">
        <v>6988</v>
      </c>
      <c r="Q1772" s="15" t="s">
        <v>19</v>
      </c>
      <c r="R1772" s="205"/>
      <c r="S1772" s="189" t="s">
        <v>25481</v>
      </c>
      <c r="T1772" s="114"/>
      <c r="U1772" s="21"/>
      <c r="V1772" s="115">
        <v>45990</v>
      </c>
      <c r="W1772" s="116">
        <v>1278</v>
      </c>
      <c r="X1772" s="220">
        <v>2350000</v>
      </c>
      <c r="Y1772" s="220">
        <f>X1772*0.1</f>
        <v>235000</v>
      </c>
      <c r="Z1772" s="220">
        <v>23610</v>
      </c>
      <c r="AA1772" s="220">
        <f>SUM(X1772:Z1772)</f>
        <v>2608610</v>
      </c>
      <c r="AB1772" s="222">
        <v>45994</v>
      </c>
    </row>
    <row r="1773" spans="1:28" ht="17.100000000000001" customHeight="1" thickBot="1">
      <c r="A1773" s="227"/>
      <c r="B1773" s="27" t="s">
        <v>1536</v>
      </c>
      <c r="C1773" s="27">
        <v>13202</v>
      </c>
      <c r="D1773" s="14" t="s">
        <v>54</v>
      </c>
      <c r="E1773" s="229"/>
      <c r="F1773" s="117" t="s">
        <v>5289</v>
      </c>
      <c r="G1773" s="26">
        <v>45621</v>
      </c>
      <c r="H1773" s="231"/>
      <c r="I1773" s="221"/>
      <c r="J1773" s="221"/>
      <c r="K1773" s="221"/>
      <c r="L1773" s="221"/>
      <c r="M1773" s="221"/>
      <c r="N1773" s="221"/>
      <c r="O1773" s="225"/>
      <c r="P1773" s="118" t="s">
        <v>4348</v>
      </c>
      <c r="Q1773" s="16" t="s">
        <v>20</v>
      </c>
      <c r="R1773" s="17" t="s">
        <v>3672</v>
      </c>
      <c r="S1773" s="121" t="s">
        <v>1923</v>
      </c>
      <c r="T1773" s="122"/>
      <c r="U1773" s="22"/>
      <c r="V1773" s="123" t="s">
        <v>2472</v>
      </c>
      <c r="W1773" s="122">
        <v>80148</v>
      </c>
      <c r="X1773" s="221"/>
      <c r="Y1773" s="221"/>
      <c r="Z1773" s="221"/>
      <c r="AA1773" s="221"/>
      <c r="AB1773" s="223"/>
    </row>
    <row r="1774" spans="1:28" ht="17.100000000000001" customHeight="1" thickTop="1">
      <c r="A1774" s="226" t="s">
        <v>6517</v>
      </c>
      <c r="B1774" s="28">
        <v>45926</v>
      </c>
      <c r="C1774" s="25">
        <v>2103</v>
      </c>
      <c r="D1774" s="13" t="s">
        <v>4050</v>
      </c>
      <c r="E1774" s="228"/>
      <c r="F1774" s="109" t="s">
        <v>5290</v>
      </c>
      <c r="G1774" s="24" t="s">
        <v>4025</v>
      </c>
      <c r="H1774" s="230">
        <v>4</v>
      </c>
      <c r="I1774" s="220">
        <v>1620000</v>
      </c>
      <c r="J1774" s="220">
        <f>I1774*0.1</f>
        <v>162000</v>
      </c>
      <c r="K1774" s="220">
        <f>19700+1970</f>
        <v>21670</v>
      </c>
      <c r="L1774" s="220">
        <v>22470</v>
      </c>
      <c r="M1774" s="220">
        <v>16500</v>
      </c>
      <c r="N1774" s="220">
        <f>SUM(I1774:M1775)</f>
        <v>1842640</v>
      </c>
      <c r="O1774" s="224"/>
      <c r="P1774" s="110" t="s">
        <v>5291</v>
      </c>
      <c r="Q1774" s="15" t="s">
        <v>19</v>
      </c>
      <c r="R1774" s="205"/>
      <c r="S1774" s="189" t="s">
        <v>25372</v>
      </c>
      <c r="T1774" s="114"/>
      <c r="U1774" s="21" t="s">
        <v>9321</v>
      </c>
      <c r="V1774" s="115"/>
      <c r="W1774" s="116"/>
      <c r="X1774" s="220"/>
      <c r="Y1774" s="220">
        <f>X1774*0.1</f>
        <v>0</v>
      </c>
      <c r="Z1774" s="220"/>
      <c r="AA1774" s="220">
        <f>SUM(X1774:Z1774)</f>
        <v>0</v>
      </c>
      <c r="AB1774" s="222"/>
    </row>
    <row r="1775" spans="1:28" ht="17.100000000000001" customHeight="1" thickBot="1">
      <c r="A1775" s="227"/>
      <c r="B1775" s="27" t="s">
        <v>1536</v>
      </c>
      <c r="C1775" s="27">
        <v>35219</v>
      </c>
      <c r="D1775" s="14" t="s">
        <v>273</v>
      </c>
      <c r="E1775" s="229"/>
      <c r="F1775" s="117" t="s">
        <v>5292</v>
      </c>
      <c r="G1775" s="26">
        <v>40967</v>
      </c>
      <c r="H1775" s="231"/>
      <c r="I1775" s="221"/>
      <c r="J1775" s="221"/>
      <c r="K1775" s="221"/>
      <c r="L1775" s="221"/>
      <c r="M1775" s="221"/>
      <c r="N1775" s="221"/>
      <c r="O1775" s="225"/>
      <c r="P1775" s="118" t="s">
        <v>6828</v>
      </c>
      <c r="Q1775" s="16" t="s">
        <v>20</v>
      </c>
      <c r="R1775" s="17" t="s">
        <v>6726</v>
      </c>
      <c r="S1775" s="121" t="s">
        <v>169</v>
      </c>
      <c r="T1775" s="122"/>
      <c r="U1775" s="22"/>
      <c r="V1775" s="123"/>
      <c r="W1775" s="122"/>
      <c r="X1775" s="221"/>
      <c r="Y1775" s="221"/>
      <c r="Z1775" s="221"/>
      <c r="AA1775" s="221"/>
      <c r="AB1775" s="223"/>
    </row>
    <row r="1776" spans="1:28" ht="17.100000000000001" customHeight="1" thickTop="1">
      <c r="A1776" s="226" t="s">
        <v>6518</v>
      </c>
      <c r="B1776" s="28">
        <v>45926</v>
      </c>
      <c r="C1776" s="25">
        <v>2103</v>
      </c>
      <c r="D1776" s="13" t="s">
        <v>2964</v>
      </c>
      <c r="E1776" s="228"/>
      <c r="F1776" s="109" t="s">
        <v>5293</v>
      </c>
      <c r="G1776" s="24" t="s">
        <v>5294</v>
      </c>
      <c r="H1776" s="230">
        <v>4.5</v>
      </c>
      <c r="I1776" s="220">
        <v>1500000</v>
      </c>
      <c r="J1776" s="220">
        <f>I1776*0.1</f>
        <v>150000</v>
      </c>
      <c r="K1776" s="220">
        <f>15200+1520</f>
        <v>16720</v>
      </c>
      <c r="L1776" s="220">
        <v>12370</v>
      </c>
      <c r="M1776" s="220">
        <v>27500</v>
      </c>
      <c r="N1776" s="220">
        <f>SUM(I1776:M1777)</f>
        <v>1706590</v>
      </c>
      <c r="O1776" s="224"/>
      <c r="P1776" s="110" t="s">
        <v>5295</v>
      </c>
      <c r="Q1776" s="15" t="s">
        <v>19</v>
      </c>
      <c r="R1776" s="205"/>
      <c r="S1776" s="189" t="s">
        <v>1422</v>
      </c>
      <c r="T1776" s="114"/>
      <c r="U1776" s="21" t="s">
        <v>8180</v>
      </c>
      <c r="V1776" s="115">
        <v>46046</v>
      </c>
      <c r="W1776" s="116"/>
      <c r="X1776" s="220">
        <v>2588000</v>
      </c>
      <c r="Y1776" s="220">
        <v>0</v>
      </c>
      <c r="Z1776" s="220">
        <v>0</v>
      </c>
      <c r="AA1776" s="220">
        <f>SUM(X1776:Z1776)</f>
        <v>2588000</v>
      </c>
      <c r="AB1776" s="222">
        <v>46083</v>
      </c>
    </row>
    <row r="1777" spans="1:28" ht="17.100000000000001" customHeight="1" thickBot="1">
      <c r="A1777" s="227"/>
      <c r="B1777" s="27" t="s">
        <v>1536</v>
      </c>
      <c r="C1777" s="27">
        <v>58107</v>
      </c>
      <c r="D1777" s="14" t="s">
        <v>131</v>
      </c>
      <c r="E1777" s="229"/>
      <c r="F1777" s="117" t="s">
        <v>5296</v>
      </c>
      <c r="G1777" s="26">
        <v>35184</v>
      </c>
      <c r="H1777" s="231"/>
      <c r="I1777" s="221"/>
      <c r="J1777" s="221"/>
      <c r="K1777" s="221"/>
      <c r="L1777" s="221"/>
      <c r="M1777" s="221"/>
      <c r="N1777" s="221"/>
      <c r="O1777" s="225"/>
      <c r="P1777" s="118" t="s">
        <v>1972</v>
      </c>
      <c r="Q1777" s="16" t="s">
        <v>20</v>
      </c>
      <c r="R1777" s="17" t="s">
        <v>6610</v>
      </c>
      <c r="S1777" s="121" t="s">
        <v>6658</v>
      </c>
      <c r="T1777" s="122"/>
      <c r="U1777" s="22"/>
      <c r="V1777" s="123" t="s">
        <v>23940</v>
      </c>
      <c r="W1777" s="122"/>
      <c r="X1777" s="221"/>
      <c r="Y1777" s="221"/>
      <c r="Z1777" s="221"/>
      <c r="AA1777" s="221"/>
      <c r="AB1777" s="223"/>
    </row>
    <row r="1778" spans="1:28" ht="17.100000000000001" customHeight="1" thickTop="1">
      <c r="A1778" s="226" t="s">
        <v>6519</v>
      </c>
      <c r="B1778" s="28">
        <v>45926</v>
      </c>
      <c r="C1778" s="25">
        <v>2103</v>
      </c>
      <c r="D1778" s="13" t="s">
        <v>1589</v>
      </c>
      <c r="E1778" s="228"/>
      <c r="F1778" s="109" t="s">
        <v>5297</v>
      </c>
      <c r="G1778" s="24"/>
      <c r="H1778" s="230">
        <v>4.5</v>
      </c>
      <c r="I1778" s="220">
        <v>670000</v>
      </c>
      <c r="J1778" s="220">
        <f>I1778*0.1</f>
        <v>67000</v>
      </c>
      <c r="K1778" s="220">
        <v>0</v>
      </c>
      <c r="L1778" s="220">
        <v>17250</v>
      </c>
      <c r="M1778" s="220">
        <v>16500</v>
      </c>
      <c r="N1778" s="220">
        <f>SUM(I1778:M1779)</f>
        <v>770750</v>
      </c>
      <c r="O1778" s="224"/>
      <c r="P1778" s="110" t="s">
        <v>6989</v>
      </c>
      <c r="Q1778" s="15" t="s">
        <v>19</v>
      </c>
      <c r="R1778" s="205"/>
      <c r="S1778" s="189" t="s">
        <v>1271</v>
      </c>
      <c r="T1778" s="114"/>
      <c r="U1778" s="21"/>
      <c r="V1778" s="115">
        <v>46355</v>
      </c>
      <c r="W1778" s="116"/>
      <c r="X1778" s="220">
        <v>1590000</v>
      </c>
      <c r="Y1778" s="220">
        <v>0</v>
      </c>
      <c r="Z1778" s="220">
        <v>0</v>
      </c>
      <c r="AA1778" s="220">
        <f>SUM(X1778:Z1778)</f>
        <v>1590000</v>
      </c>
      <c r="AB1778" s="222">
        <v>46383</v>
      </c>
    </row>
    <row r="1779" spans="1:28" ht="17.100000000000001" customHeight="1" thickBot="1">
      <c r="A1779" s="227"/>
      <c r="B1779" s="27" t="s">
        <v>1536</v>
      </c>
      <c r="C1779" s="27">
        <v>58623</v>
      </c>
      <c r="D1779" s="14" t="s">
        <v>1797</v>
      </c>
      <c r="E1779" s="229"/>
      <c r="F1779" s="117" t="s">
        <v>5298</v>
      </c>
      <c r="G1779" s="26">
        <v>42672</v>
      </c>
      <c r="H1779" s="231"/>
      <c r="I1779" s="221"/>
      <c r="J1779" s="221"/>
      <c r="K1779" s="221"/>
      <c r="L1779" s="221"/>
      <c r="M1779" s="221"/>
      <c r="N1779" s="221"/>
      <c r="O1779" s="225"/>
      <c r="P1779" s="118" t="s">
        <v>6990</v>
      </c>
      <c r="Q1779" s="16" t="s">
        <v>20</v>
      </c>
      <c r="R1779" s="17" t="s">
        <v>3672</v>
      </c>
      <c r="S1779" s="121" t="s">
        <v>7609</v>
      </c>
      <c r="T1779" s="122"/>
      <c r="U1779" s="22"/>
      <c r="V1779" s="123" t="s">
        <v>14092</v>
      </c>
      <c r="W1779" s="122"/>
      <c r="X1779" s="221"/>
      <c r="Y1779" s="221"/>
      <c r="Z1779" s="221"/>
      <c r="AA1779" s="221"/>
      <c r="AB1779" s="223"/>
    </row>
    <row r="1780" spans="1:28" ht="17.100000000000001" customHeight="1" thickTop="1">
      <c r="A1780" s="226" t="s">
        <v>6520</v>
      </c>
      <c r="B1780" s="28">
        <v>45926</v>
      </c>
      <c r="C1780" s="25">
        <v>2103</v>
      </c>
      <c r="D1780" s="13" t="s">
        <v>1908</v>
      </c>
      <c r="E1780" s="228"/>
      <c r="F1780" s="109" t="s">
        <v>1916</v>
      </c>
      <c r="G1780" s="24"/>
      <c r="H1780" s="230">
        <v>4</v>
      </c>
      <c r="I1780" s="220">
        <v>490000</v>
      </c>
      <c r="J1780" s="220">
        <f>I1780*0.1</f>
        <v>49000</v>
      </c>
      <c r="K1780" s="220">
        <v>0</v>
      </c>
      <c r="L1780" s="220">
        <v>17700</v>
      </c>
      <c r="M1780" s="220">
        <v>16500</v>
      </c>
      <c r="N1780" s="220">
        <f>SUM(I1780:M1781)</f>
        <v>573200</v>
      </c>
      <c r="O1780" s="224"/>
      <c r="P1780" s="110" t="s">
        <v>6657</v>
      </c>
      <c r="Q1780" s="15" t="s">
        <v>19</v>
      </c>
      <c r="R1780" s="205"/>
      <c r="S1780" s="189"/>
      <c r="T1780" s="114"/>
      <c r="U1780" s="21"/>
      <c r="V1780" s="115">
        <v>45938</v>
      </c>
      <c r="W1780" s="116">
        <v>987</v>
      </c>
      <c r="X1780" s="220">
        <v>620000</v>
      </c>
      <c r="Y1780" s="220">
        <f>X1780*0.1</f>
        <v>62000</v>
      </c>
      <c r="Z1780" s="220">
        <v>17700</v>
      </c>
      <c r="AA1780" s="220">
        <f>SUM(X1780:Z1780)</f>
        <v>699700</v>
      </c>
      <c r="AB1780" s="222">
        <v>45944</v>
      </c>
    </row>
    <row r="1781" spans="1:28" ht="17.100000000000001" customHeight="1" thickBot="1">
      <c r="A1781" s="227"/>
      <c r="B1781" s="27" t="s">
        <v>1536</v>
      </c>
      <c r="C1781" s="27">
        <v>58652</v>
      </c>
      <c r="D1781" s="14" t="s">
        <v>3274</v>
      </c>
      <c r="E1781" s="229"/>
      <c r="F1781" s="117" t="s">
        <v>5299</v>
      </c>
      <c r="G1781" s="26">
        <v>57233</v>
      </c>
      <c r="H1781" s="231"/>
      <c r="I1781" s="221"/>
      <c r="J1781" s="221"/>
      <c r="K1781" s="221"/>
      <c r="L1781" s="221"/>
      <c r="M1781" s="221"/>
      <c r="N1781" s="221"/>
      <c r="O1781" s="225"/>
      <c r="P1781" s="118" t="s">
        <v>1972</v>
      </c>
      <c r="Q1781" s="16" t="s">
        <v>20</v>
      </c>
      <c r="R1781" s="17" t="s">
        <v>6610</v>
      </c>
      <c r="S1781" s="121" t="s">
        <v>1625</v>
      </c>
      <c r="T1781" s="122"/>
      <c r="U1781" s="22"/>
      <c r="V1781" s="123" t="s">
        <v>2747</v>
      </c>
      <c r="W1781" s="122">
        <v>5052</v>
      </c>
      <c r="X1781" s="221"/>
      <c r="Y1781" s="221"/>
      <c r="Z1781" s="221"/>
      <c r="AA1781" s="221"/>
      <c r="AB1781" s="223"/>
    </row>
    <row r="1782" spans="1:28" ht="17.100000000000001" customHeight="1" thickTop="1">
      <c r="A1782" s="226" t="s">
        <v>6521</v>
      </c>
      <c r="B1782" s="28">
        <v>45926</v>
      </c>
      <c r="C1782" s="25"/>
      <c r="D1782" s="13" t="s">
        <v>2065</v>
      </c>
      <c r="E1782" s="228"/>
      <c r="F1782" s="109" t="s">
        <v>5300</v>
      </c>
      <c r="G1782" s="24" t="s">
        <v>5301</v>
      </c>
      <c r="H1782" s="230">
        <v>5</v>
      </c>
      <c r="I1782" s="220">
        <f>2051500/1.1</f>
        <v>1864999.9999999998</v>
      </c>
      <c r="J1782" s="220">
        <f>I1782*0.1</f>
        <v>186500</v>
      </c>
      <c r="K1782" s="220">
        <v>12700</v>
      </c>
      <c r="L1782" s="220">
        <v>8600</v>
      </c>
      <c r="M1782" s="220">
        <v>106288</v>
      </c>
      <c r="N1782" s="220">
        <f>SUM(I1782:M1783)</f>
        <v>2179088</v>
      </c>
      <c r="O1782" s="224"/>
      <c r="P1782" s="110" t="s">
        <v>9672</v>
      </c>
      <c r="Q1782" s="15" t="s">
        <v>19</v>
      </c>
      <c r="R1782" s="205"/>
      <c r="S1782" s="189" t="s">
        <v>1276</v>
      </c>
      <c r="T1782" s="114"/>
      <c r="U1782" s="21"/>
      <c r="V1782" s="115">
        <v>45962</v>
      </c>
      <c r="W1782" s="116">
        <v>1274</v>
      </c>
      <c r="X1782" s="220">
        <v>2135000</v>
      </c>
      <c r="Y1782" s="220">
        <f>X1782*0.1</f>
        <v>213500</v>
      </c>
      <c r="Z1782" s="220">
        <v>8600</v>
      </c>
      <c r="AA1782" s="220">
        <f>SUM(X1782:Z1782)</f>
        <v>2357100</v>
      </c>
      <c r="AB1782" s="222">
        <v>45967</v>
      </c>
    </row>
    <row r="1783" spans="1:28" ht="17.100000000000001" customHeight="1" thickBot="1">
      <c r="A1783" s="227"/>
      <c r="B1783" s="27" t="s">
        <v>1708</v>
      </c>
      <c r="C1783" s="27" t="s">
        <v>5302</v>
      </c>
      <c r="D1783" s="14" t="s">
        <v>1584</v>
      </c>
      <c r="E1783" s="229"/>
      <c r="F1783" s="117" t="s">
        <v>5303</v>
      </c>
      <c r="G1783" s="26">
        <v>25270</v>
      </c>
      <c r="H1783" s="231"/>
      <c r="I1783" s="221"/>
      <c r="J1783" s="221"/>
      <c r="K1783" s="221"/>
      <c r="L1783" s="221"/>
      <c r="M1783" s="221"/>
      <c r="N1783" s="221"/>
      <c r="O1783" s="225"/>
      <c r="P1783" s="118" t="s">
        <v>9673</v>
      </c>
      <c r="Q1783" s="16" t="s">
        <v>20</v>
      </c>
      <c r="R1783" s="17" t="s">
        <v>9666</v>
      </c>
      <c r="S1783" s="121" t="s">
        <v>1923</v>
      </c>
      <c r="T1783" s="122"/>
      <c r="U1783" s="22"/>
      <c r="V1783" s="123" t="s">
        <v>2472</v>
      </c>
      <c r="W1783" s="122">
        <v>37067</v>
      </c>
      <c r="X1783" s="221"/>
      <c r="Y1783" s="221"/>
      <c r="Z1783" s="221"/>
      <c r="AA1783" s="221"/>
      <c r="AB1783" s="223"/>
    </row>
    <row r="1784" spans="1:28" ht="17.100000000000001" customHeight="1" thickTop="1">
      <c r="A1784" s="226" t="s">
        <v>6522</v>
      </c>
      <c r="B1784" s="28">
        <v>45926</v>
      </c>
      <c r="C1784" s="25"/>
      <c r="D1784" s="13" t="s">
        <v>2264</v>
      </c>
      <c r="E1784" s="228"/>
      <c r="F1784" s="109" t="s">
        <v>5304</v>
      </c>
      <c r="G1784" s="24" t="s">
        <v>5305</v>
      </c>
      <c r="H1784" s="230">
        <v>4.5</v>
      </c>
      <c r="I1784" s="220">
        <f>1105500/1.1</f>
        <v>1004999.9999999999</v>
      </c>
      <c r="J1784" s="220">
        <f>I1784*0.1</f>
        <v>100500</v>
      </c>
      <c r="K1784" s="220">
        <v>0</v>
      </c>
      <c r="L1784" s="220">
        <v>5870</v>
      </c>
      <c r="M1784" s="220">
        <v>82638</v>
      </c>
      <c r="N1784" s="220">
        <f>SUM(I1784:M1785)</f>
        <v>1194008</v>
      </c>
      <c r="O1784" s="224"/>
      <c r="P1784" s="110" t="s">
        <v>8736</v>
      </c>
      <c r="Q1784" s="15" t="s">
        <v>19</v>
      </c>
      <c r="R1784" s="205"/>
      <c r="S1784" s="189" t="s">
        <v>25372</v>
      </c>
      <c r="T1784" s="114"/>
      <c r="U1784" s="21"/>
      <c r="V1784" s="115">
        <v>45979</v>
      </c>
      <c r="W1784" s="116">
        <v>1918</v>
      </c>
      <c r="X1784" s="220">
        <v>1287000</v>
      </c>
      <c r="Y1784" s="220">
        <f>X1784*0.1</f>
        <v>128700</v>
      </c>
      <c r="Z1784" s="220">
        <v>5870</v>
      </c>
      <c r="AA1784" s="220">
        <f>SUM(X1784:Z1784)</f>
        <v>1421570</v>
      </c>
      <c r="AB1784" s="222">
        <v>45986</v>
      </c>
    </row>
    <row r="1785" spans="1:28" ht="17.100000000000001" customHeight="1" thickBot="1">
      <c r="A1785" s="227"/>
      <c r="B1785" s="27" t="s">
        <v>1708</v>
      </c>
      <c r="C1785" s="27" t="s">
        <v>5306</v>
      </c>
      <c r="D1785" s="14" t="s">
        <v>1797</v>
      </c>
      <c r="E1785" s="229"/>
      <c r="F1785" s="117" t="s">
        <v>5307</v>
      </c>
      <c r="G1785" s="26">
        <v>35526</v>
      </c>
      <c r="H1785" s="231"/>
      <c r="I1785" s="221"/>
      <c r="J1785" s="221"/>
      <c r="K1785" s="221"/>
      <c r="L1785" s="221"/>
      <c r="M1785" s="221"/>
      <c r="N1785" s="221"/>
      <c r="O1785" s="225"/>
      <c r="P1785" s="118" t="s">
        <v>8737</v>
      </c>
      <c r="Q1785" s="16" t="s">
        <v>20</v>
      </c>
      <c r="R1785" s="17" t="s">
        <v>1656</v>
      </c>
      <c r="S1785" s="121" t="s">
        <v>169</v>
      </c>
      <c r="T1785" s="122"/>
      <c r="U1785" s="22"/>
      <c r="V1785" s="123" t="s">
        <v>2103</v>
      </c>
      <c r="W1785" s="122">
        <v>3061</v>
      </c>
      <c r="X1785" s="221"/>
      <c r="Y1785" s="221"/>
      <c r="Z1785" s="221"/>
      <c r="AA1785" s="221"/>
      <c r="AB1785" s="223"/>
    </row>
    <row r="1786" spans="1:28" ht="17.100000000000001" customHeight="1" thickTop="1">
      <c r="A1786" s="233" t="s">
        <v>6523</v>
      </c>
      <c r="B1786" s="28">
        <v>45926</v>
      </c>
      <c r="C1786" s="25"/>
      <c r="D1786" s="13" t="s">
        <v>2057</v>
      </c>
      <c r="E1786" s="228"/>
      <c r="F1786" s="109" t="s">
        <v>5122</v>
      </c>
      <c r="G1786" s="24" t="s">
        <v>4446</v>
      </c>
      <c r="H1786" s="230">
        <v>4.5</v>
      </c>
      <c r="I1786" s="220">
        <f>3547500/1.1</f>
        <v>3224999.9999999995</v>
      </c>
      <c r="J1786" s="220">
        <f>I1786*0.1</f>
        <v>322500</v>
      </c>
      <c r="K1786" s="220">
        <v>15000</v>
      </c>
      <c r="L1786" s="220">
        <v>12250</v>
      </c>
      <c r="M1786" s="220">
        <v>143688</v>
      </c>
      <c r="N1786" s="220">
        <f>SUM(I1786:M1787)</f>
        <v>3718437.9999999995</v>
      </c>
      <c r="O1786" s="224"/>
      <c r="P1786" s="110"/>
      <c r="Q1786" s="15" t="s">
        <v>19</v>
      </c>
      <c r="R1786" s="205"/>
      <c r="S1786" s="189" t="s">
        <v>1276</v>
      </c>
      <c r="T1786" s="114" t="s">
        <v>7899</v>
      </c>
      <c r="U1786" s="21"/>
      <c r="V1786" s="115"/>
      <c r="W1786" s="116"/>
      <c r="X1786" s="220"/>
      <c r="Y1786" s="220">
        <f>X1786*0.1</f>
        <v>0</v>
      </c>
      <c r="Z1786" s="220"/>
      <c r="AA1786" s="220">
        <f>SUM(X1786:Z1786)</f>
        <v>0</v>
      </c>
      <c r="AB1786" s="222"/>
    </row>
    <row r="1787" spans="1:28" ht="17.100000000000001" customHeight="1" thickBot="1">
      <c r="A1787" s="234"/>
      <c r="B1787" s="27" t="s">
        <v>1708</v>
      </c>
      <c r="C1787" s="27" t="s">
        <v>5308</v>
      </c>
      <c r="D1787" s="14" t="s">
        <v>2559</v>
      </c>
      <c r="E1787" s="229"/>
      <c r="F1787" s="117" t="s">
        <v>5309</v>
      </c>
      <c r="G1787" s="26">
        <v>19012</v>
      </c>
      <c r="H1787" s="231"/>
      <c r="I1787" s="221"/>
      <c r="J1787" s="221"/>
      <c r="K1787" s="221"/>
      <c r="L1787" s="221"/>
      <c r="M1787" s="221"/>
      <c r="N1787" s="221"/>
      <c r="O1787" s="225"/>
      <c r="P1787" s="118"/>
      <c r="Q1787" s="16" t="s">
        <v>20</v>
      </c>
      <c r="R1787" s="17"/>
      <c r="S1787" s="121"/>
      <c r="T1787" s="122"/>
      <c r="U1787" s="22"/>
      <c r="V1787" s="123"/>
      <c r="W1787" s="122"/>
      <c r="X1787" s="221"/>
      <c r="Y1787" s="221"/>
      <c r="Z1787" s="221"/>
      <c r="AA1787" s="221"/>
      <c r="AB1787" s="223"/>
    </row>
    <row r="1788" spans="1:28" ht="17.100000000000001" customHeight="1" thickTop="1">
      <c r="A1788" s="226" t="s">
        <v>6524</v>
      </c>
      <c r="B1788" s="28">
        <v>45926</v>
      </c>
      <c r="C1788" s="25"/>
      <c r="D1788" s="13" t="s">
        <v>1829</v>
      </c>
      <c r="E1788" s="228"/>
      <c r="F1788" s="109" t="s">
        <v>5172</v>
      </c>
      <c r="G1788" s="24" t="s">
        <v>5310</v>
      </c>
      <c r="H1788" s="230">
        <v>4</v>
      </c>
      <c r="I1788" s="220">
        <f>962500/1.1</f>
        <v>874999.99999999988</v>
      </c>
      <c r="J1788" s="220">
        <f>I1788*0.1</f>
        <v>87500</v>
      </c>
      <c r="K1788" s="220">
        <v>0</v>
      </c>
      <c r="L1788" s="220">
        <v>6830</v>
      </c>
      <c r="M1788" s="220">
        <v>76711</v>
      </c>
      <c r="N1788" s="220">
        <f>SUM(I1788:M1789)</f>
        <v>1046040.9999999999</v>
      </c>
      <c r="O1788" s="224"/>
      <c r="P1788" s="110" t="s">
        <v>8935</v>
      </c>
      <c r="Q1788" s="15" t="s">
        <v>19</v>
      </c>
      <c r="R1788" s="205"/>
      <c r="S1788" s="189" t="s">
        <v>1276</v>
      </c>
      <c r="T1788" s="114"/>
      <c r="U1788" s="21"/>
      <c r="V1788" s="115">
        <v>45955</v>
      </c>
      <c r="W1788" s="116">
        <v>1273</v>
      </c>
      <c r="X1788" s="220">
        <v>1215000</v>
      </c>
      <c r="Y1788" s="220">
        <f>X1788*0.1</f>
        <v>121500</v>
      </c>
      <c r="Z1788" s="220">
        <v>6830</v>
      </c>
      <c r="AA1788" s="220">
        <f>SUM(X1788:Z1788)</f>
        <v>1343330</v>
      </c>
      <c r="AB1788" s="222">
        <v>45958</v>
      </c>
    </row>
    <row r="1789" spans="1:28" ht="17.100000000000001" customHeight="1" thickBot="1">
      <c r="A1789" s="227"/>
      <c r="B1789" s="27" t="s">
        <v>1708</v>
      </c>
      <c r="C1789" s="27" t="s">
        <v>5311</v>
      </c>
      <c r="D1789" s="14" t="s">
        <v>1797</v>
      </c>
      <c r="E1789" s="229"/>
      <c r="F1789" s="117" t="s">
        <v>5312</v>
      </c>
      <c r="G1789" s="26">
        <v>45298</v>
      </c>
      <c r="H1789" s="231"/>
      <c r="I1789" s="221"/>
      <c r="J1789" s="221"/>
      <c r="K1789" s="221"/>
      <c r="L1789" s="221"/>
      <c r="M1789" s="221"/>
      <c r="N1789" s="221"/>
      <c r="O1789" s="225"/>
      <c r="P1789" s="118" t="s">
        <v>8936</v>
      </c>
      <c r="Q1789" s="16" t="s">
        <v>20</v>
      </c>
      <c r="R1789" s="17" t="s">
        <v>8783</v>
      </c>
      <c r="S1789" s="121" t="s">
        <v>1923</v>
      </c>
      <c r="T1789" s="122"/>
      <c r="U1789" s="22"/>
      <c r="V1789" s="123" t="s">
        <v>2472</v>
      </c>
      <c r="W1789" s="122">
        <v>65041</v>
      </c>
      <c r="X1789" s="221"/>
      <c r="Y1789" s="221"/>
      <c r="Z1789" s="221"/>
      <c r="AA1789" s="221"/>
      <c r="AB1789" s="223"/>
    </row>
    <row r="1790" spans="1:28" ht="17.100000000000001" customHeight="1" thickTop="1">
      <c r="A1790" s="233" t="s">
        <v>6525</v>
      </c>
      <c r="B1790" s="28">
        <v>45926</v>
      </c>
      <c r="C1790" s="25"/>
      <c r="D1790" s="13" t="s">
        <v>1983</v>
      </c>
      <c r="E1790" s="228"/>
      <c r="F1790" s="109" t="s">
        <v>4769</v>
      </c>
      <c r="G1790" s="24" t="s">
        <v>4479</v>
      </c>
      <c r="H1790" s="230">
        <v>4.5</v>
      </c>
      <c r="I1790" s="220">
        <f>1402500/1.1</f>
        <v>1275000</v>
      </c>
      <c r="J1790" s="220">
        <f>I1790*0.1</f>
        <v>127500</v>
      </c>
      <c r="K1790" s="220">
        <v>0</v>
      </c>
      <c r="L1790" s="220">
        <v>8550</v>
      </c>
      <c r="M1790" s="220">
        <v>90063</v>
      </c>
      <c r="N1790" s="220">
        <f>SUM(I1790:M1791)</f>
        <v>1501113</v>
      </c>
      <c r="O1790" s="224"/>
      <c r="P1790" s="110"/>
      <c r="Q1790" s="15" t="s">
        <v>19</v>
      </c>
      <c r="R1790" s="205"/>
      <c r="S1790" s="189" t="s">
        <v>1113</v>
      </c>
      <c r="T1790" s="114" t="s">
        <v>7899</v>
      </c>
      <c r="U1790" s="21"/>
      <c r="V1790" s="115"/>
      <c r="W1790" s="116"/>
      <c r="X1790" s="220"/>
      <c r="Y1790" s="220">
        <f>X1790*0.1</f>
        <v>0</v>
      </c>
      <c r="Z1790" s="220"/>
      <c r="AA1790" s="220">
        <f>SUM(X1790:Z1790)</f>
        <v>0</v>
      </c>
      <c r="AB1790" s="222"/>
    </row>
    <row r="1791" spans="1:28" ht="17.100000000000001" customHeight="1" thickBot="1">
      <c r="A1791" s="234"/>
      <c r="B1791" s="27" t="s">
        <v>1708</v>
      </c>
      <c r="C1791" s="27" t="s">
        <v>5313</v>
      </c>
      <c r="D1791" s="14" t="s">
        <v>273</v>
      </c>
      <c r="E1791" s="229"/>
      <c r="F1791" s="117" t="s">
        <v>5314</v>
      </c>
      <c r="G1791" s="26">
        <v>18103</v>
      </c>
      <c r="H1791" s="231"/>
      <c r="I1791" s="221"/>
      <c r="J1791" s="221"/>
      <c r="K1791" s="221"/>
      <c r="L1791" s="221"/>
      <c r="M1791" s="221"/>
      <c r="N1791" s="221"/>
      <c r="O1791" s="225"/>
      <c r="P1791" s="118"/>
      <c r="Q1791" s="16" t="s">
        <v>20</v>
      </c>
      <c r="R1791" s="17"/>
      <c r="S1791" s="121"/>
      <c r="T1791" s="122"/>
      <c r="U1791" s="22"/>
      <c r="V1791" s="123"/>
      <c r="W1791" s="122"/>
      <c r="X1791" s="221"/>
      <c r="Y1791" s="221"/>
      <c r="Z1791" s="221"/>
      <c r="AA1791" s="221"/>
      <c r="AB1791" s="223"/>
    </row>
    <row r="1792" spans="1:28" ht="17.100000000000001" customHeight="1" thickTop="1">
      <c r="A1792" s="226" t="s">
        <v>6526</v>
      </c>
      <c r="B1792" s="28">
        <v>45926</v>
      </c>
      <c r="C1792" s="25"/>
      <c r="D1792" s="13" t="s">
        <v>2017</v>
      </c>
      <c r="E1792" s="228"/>
      <c r="F1792" s="109" t="s">
        <v>5315</v>
      </c>
      <c r="G1792" s="24" t="s">
        <v>5316</v>
      </c>
      <c r="H1792" s="230">
        <v>6</v>
      </c>
      <c r="I1792" s="220">
        <f>2101000/1.1</f>
        <v>1909999.9999999998</v>
      </c>
      <c r="J1792" s="220">
        <f>I1792*0.1</f>
        <v>191000</v>
      </c>
      <c r="K1792" s="220">
        <v>0</v>
      </c>
      <c r="L1792" s="220">
        <v>10000</v>
      </c>
      <c r="M1792" s="220">
        <v>107525</v>
      </c>
      <c r="N1792" s="220">
        <f>SUM(I1792:M1793)</f>
        <v>2218525</v>
      </c>
      <c r="O1792" s="224"/>
      <c r="P1792" s="110" t="s">
        <v>9996</v>
      </c>
      <c r="Q1792" s="15" t="s">
        <v>19</v>
      </c>
      <c r="R1792" s="205"/>
      <c r="S1792" s="189" t="s">
        <v>1312</v>
      </c>
      <c r="T1792" s="114"/>
      <c r="U1792" s="21"/>
      <c r="V1792" s="115">
        <v>45969</v>
      </c>
      <c r="W1792" s="116">
        <v>1275</v>
      </c>
      <c r="X1792" s="220">
        <v>2455000</v>
      </c>
      <c r="Y1792" s="220">
        <f>X1792*0.1</f>
        <v>245500</v>
      </c>
      <c r="Z1792" s="220">
        <v>10000</v>
      </c>
      <c r="AA1792" s="220">
        <f>SUM(X1792:Z1792)</f>
        <v>2710500</v>
      </c>
      <c r="AB1792" s="222">
        <v>45972</v>
      </c>
    </row>
    <row r="1793" spans="1:28" ht="17.100000000000001" customHeight="1" thickBot="1">
      <c r="A1793" s="227"/>
      <c r="B1793" s="27" t="s">
        <v>1708</v>
      </c>
      <c r="C1793" s="27" t="s">
        <v>5317</v>
      </c>
      <c r="D1793" s="14" t="s">
        <v>5318</v>
      </c>
      <c r="E1793" s="229"/>
      <c r="F1793" s="117" t="s">
        <v>5319</v>
      </c>
      <c r="G1793" s="26">
        <v>68</v>
      </c>
      <c r="H1793" s="231"/>
      <c r="I1793" s="221"/>
      <c r="J1793" s="221"/>
      <c r="K1793" s="221"/>
      <c r="L1793" s="221"/>
      <c r="M1793" s="221"/>
      <c r="N1793" s="221"/>
      <c r="O1793" s="225"/>
      <c r="P1793" s="118" t="s">
        <v>9997</v>
      </c>
      <c r="Q1793" s="16" t="s">
        <v>20</v>
      </c>
      <c r="R1793" s="17" t="s">
        <v>3343</v>
      </c>
      <c r="S1793" s="121" t="s">
        <v>9998</v>
      </c>
      <c r="T1793" s="122"/>
      <c r="U1793" s="22"/>
      <c r="V1793" s="123" t="s">
        <v>2472</v>
      </c>
      <c r="W1793" s="122">
        <v>30027</v>
      </c>
      <c r="X1793" s="221"/>
      <c r="Y1793" s="221"/>
      <c r="Z1793" s="221"/>
      <c r="AA1793" s="221"/>
      <c r="AB1793" s="223"/>
    </row>
    <row r="1794" spans="1:28" ht="17.100000000000001" customHeight="1" thickTop="1">
      <c r="A1794" s="226" t="s">
        <v>6527</v>
      </c>
      <c r="B1794" s="28">
        <v>45926</v>
      </c>
      <c r="C1794" s="25"/>
      <c r="D1794" s="13" t="s">
        <v>2644</v>
      </c>
      <c r="E1794" s="228"/>
      <c r="F1794" s="109" t="s">
        <v>2901</v>
      </c>
      <c r="G1794" s="24" t="s">
        <v>4193</v>
      </c>
      <c r="H1794" s="230">
        <v>4.5</v>
      </c>
      <c r="I1794" s="220">
        <f>3542000/1.1</f>
        <v>3219999.9999999995</v>
      </c>
      <c r="J1794" s="220">
        <f>I1794*0.1</f>
        <v>322000</v>
      </c>
      <c r="K1794" s="220">
        <v>18100</v>
      </c>
      <c r="L1794" s="220">
        <v>14900</v>
      </c>
      <c r="M1794" s="220">
        <v>143550</v>
      </c>
      <c r="N1794" s="220">
        <f>SUM(I1794:M1795)</f>
        <v>3718549.9999999995</v>
      </c>
      <c r="O1794" s="224"/>
      <c r="P1794" s="110" t="s">
        <v>8871</v>
      </c>
      <c r="Q1794" s="15" t="s">
        <v>19</v>
      </c>
      <c r="R1794" s="205"/>
      <c r="S1794" s="189" t="s">
        <v>25372</v>
      </c>
      <c r="T1794" s="114"/>
      <c r="U1794" s="21"/>
      <c r="V1794" s="115">
        <v>45948</v>
      </c>
      <c r="W1794" s="116">
        <v>1272</v>
      </c>
      <c r="X1794" s="220">
        <v>3610000</v>
      </c>
      <c r="Y1794" s="220">
        <f>X1794*0.1</f>
        <v>361000</v>
      </c>
      <c r="Z1794" s="220">
        <v>14900</v>
      </c>
      <c r="AA1794" s="220">
        <f>SUM(X1794:Z1794)</f>
        <v>3985900</v>
      </c>
      <c r="AB1794" s="222">
        <v>45958</v>
      </c>
    </row>
    <row r="1795" spans="1:28" ht="17.100000000000001" customHeight="1" thickBot="1">
      <c r="A1795" s="227"/>
      <c r="B1795" s="27" t="s">
        <v>1708</v>
      </c>
      <c r="C1795" s="27" t="s">
        <v>5320</v>
      </c>
      <c r="D1795" s="14" t="s">
        <v>273</v>
      </c>
      <c r="E1795" s="229"/>
      <c r="F1795" s="117" t="s">
        <v>5321</v>
      </c>
      <c r="G1795" s="26">
        <v>38149</v>
      </c>
      <c r="H1795" s="231"/>
      <c r="I1795" s="221"/>
      <c r="J1795" s="221"/>
      <c r="K1795" s="221"/>
      <c r="L1795" s="221"/>
      <c r="M1795" s="221"/>
      <c r="N1795" s="221"/>
      <c r="O1795" s="225"/>
      <c r="P1795" s="118" t="s">
        <v>3545</v>
      </c>
      <c r="Q1795" s="16" t="s">
        <v>20</v>
      </c>
      <c r="R1795" s="17" t="s">
        <v>8783</v>
      </c>
      <c r="S1795" s="121" t="s">
        <v>4984</v>
      </c>
      <c r="T1795" s="122"/>
      <c r="U1795" s="22"/>
      <c r="V1795" s="123" t="s">
        <v>2472</v>
      </c>
      <c r="W1795" s="122">
        <v>37259</v>
      </c>
      <c r="X1795" s="221"/>
      <c r="Y1795" s="221"/>
      <c r="Z1795" s="221"/>
      <c r="AA1795" s="221"/>
      <c r="AB1795" s="223"/>
    </row>
    <row r="1796" spans="1:28" ht="17.100000000000001" customHeight="1" thickTop="1">
      <c r="A1796" s="226" t="s">
        <v>6528</v>
      </c>
      <c r="B1796" s="28">
        <v>45926</v>
      </c>
      <c r="C1796" s="25"/>
      <c r="D1796" s="13" t="s">
        <v>2573</v>
      </c>
      <c r="E1796" s="228"/>
      <c r="F1796" s="109" t="s">
        <v>5322</v>
      </c>
      <c r="G1796" s="24" t="s">
        <v>5323</v>
      </c>
      <c r="H1796" s="230">
        <v>4</v>
      </c>
      <c r="I1796" s="220">
        <f>2271500/1.1</f>
        <v>2064999.9999999998</v>
      </c>
      <c r="J1796" s="220">
        <f>I1796*0.1</f>
        <v>206500</v>
      </c>
      <c r="K1796" s="220">
        <v>12000</v>
      </c>
      <c r="L1796" s="220">
        <v>12050</v>
      </c>
      <c r="M1796" s="220">
        <v>111788</v>
      </c>
      <c r="N1796" s="220">
        <f>SUM(I1796:M1797)</f>
        <v>2407338</v>
      </c>
      <c r="O1796" s="224"/>
      <c r="P1796" s="110" t="s">
        <v>10836</v>
      </c>
      <c r="Q1796" s="15" t="s">
        <v>19</v>
      </c>
      <c r="R1796" s="205"/>
      <c r="S1796" s="189" t="s">
        <v>25372</v>
      </c>
      <c r="T1796" s="114"/>
      <c r="U1796" s="21"/>
      <c r="V1796" s="115">
        <v>45983</v>
      </c>
      <c r="W1796" s="116">
        <v>1277</v>
      </c>
      <c r="X1796" s="220">
        <v>2355000</v>
      </c>
      <c r="Y1796" s="220">
        <f>X1796*0.1</f>
        <v>235500</v>
      </c>
      <c r="Z1796" s="220">
        <v>12050</v>
      </c>
      <c r="AA1796" s="220">
        <f>SUM(X1796:Z1796)</f>
        <v>2602550</v>
      </c>
      <c r="AB1796" s="222">
        <v>45987</v>
      </c>
    </row>
    <row r="1797" spans="1:28" ht="17.100000000000001" customHeight="1" thickBot="1">
      <c r="A1797" s="227"/>
      <c r="B1797" s="27" t="s">
        <v>1708</v>
      </c>
      <c r="C1797" s="27" t="s">
        <v>5324</v>
      </c>
      <c r="D1797" s="14" t="s">
        <v>273</v>
      </c>
      <c r="E1797" s="229"/>
      <c r="F1797" s="117" t="s">
        <v>5325</v>
      </c>
      <c r="G1797" s="26">
        <v>62773</v>
      </c>
      <c r="H1797" s="231"/>
      <c r="I1797" s="221"/>
      <c r="J1797" s="221"/>
      <c r="K1797" s="221"/>
      <c r="L1797" s="221"/>
      <c r="M1797" s="221"/>
      <c r="N1797" s="221"/>
      <c r="O1797" s="225"/>
      <c r="P1797" s="118" t="s">
        <v>10837</v>
      </c>
      <c r="Q1797" s="16" t="s">
        <v>20</v>
      </c>
      <c r="R1797" s="17" t="s">
        <v>10766</v>
      </c>
      <c r="S1797" s="121" t="s">
        <v>10838</v>
      </c>
      <c r="T1797" s="122"/>
      <c r="U1797" s="22"/>
      <c r="V1797" s="123" t="s">
        <v>7160</v>
      </c>
      <c r="W1797" s="122">
        <v>37510</v>
      </c>
      <c r="X1797" s="221"/>
      <c r="Y1797" s="221"/>
      <c r="Z1797" s="221"/>
      <c r="AA1797" s="221"/>
      <c r="AB1797" s="223"/>
    </row>
    <row r="1798" spans="1:28" ht="17.100000000000001" customHeight="1" thickTop="1">
      <c r="A1798" s="226" t="s">
        <v>6529</v>
      </c>
      <c r="B1798" s="28">
        <v>45926</v>
      </c>
      <c r="C1798" s="25">
        <v>1387</v>
      </c>
      <c r="D1798" s="13" t="s">
        <v>2167</v>
      </c>
      <c r="E1798" s="228"/>
      <c r="F1798" s="109" t="s">
        <v>5271</v>
      </c>
      <c r="G1798" s="24"/>
      <c r="H1798" s="230">
        <v>4</v>
      </c>
      <c r="I1798" s="220">
        <v>431000</v>
      </c>
      <c r="J1798" s="220">
        <f>I1798*0.1</f>
        <v>43100</v>
      </c>
      <c r="K1798" s="220">
        <v>0</v>
      </c>
      <c r="L1798" s="220">
        <v>8850</v>
      </c>
      <c r="M1798" s="220">
        <v>13200</v>
      </c>
      <c r="N1798" s="220">
        <f>SUM(I1798:M1799)</f>
        <v>496150</v>
      </c>
      <c r="O1798" s="224"/>
      <c r="P1798" s="110" t="s">
        <v>6769</v>
      </c>
      <c r="Q1798" s="15" t="s">
        <v>19</v>
      </c>
      <c r="R1798" s="205"/>
      <c r="S1798" s="189" t="s">
        <v>25482</v>
      </c>
      <c r="T1798" s="114"/>
      <c r="U1798" s="21"/>
      <c r="V1798" s="115">
        <v>45934</v>
      </c>
      <c r="W1798" s="116">
        <v>1270</v>
      </c>
      <c r="X1798" s="220">
        <v>470000</v>
      </c>
      <c r="Y1798" s="220">
        <f>X1798*0.1</f>
        <v>47000</v>
      </c>
      <c r="Z1798" s="220">
        <v>8850</v>
      </c>
      <c r="AA1798" s="220">
        <f>SUM(X1798:Z1798)</f>
        <v>525850</v>
      </c>
      <c r="AB1798" s="222">
        <v>45937</v>
      </c>
    </row>
    <row r="1799" spans="1:28" ht="17.100000000000001" customHeight="1" thickBot="1">
      <c r="A1799" s="227"/>
      <c r="B1799" s="27" t="s">
        <v>2597</v>
      </c>
      <c r="C1799" s="27">
        <v>1831</v>
      </c>
      <c r="D1799" s="14" t="s">
        <v>273</v>
      </c>
      <c r="E1799" s="229"/>
      <c r="F1799" s="117" t="s">
        <v>5326</v>
      </c>
      <c r="G1799" s="26">
        <v>27021</v>
      </c>
      <c r="H1799" s="231"/>
      <c r="I1799" s="221"/>
      <c r="J1799" s="221"/>
      <c r="K1799" s="221"/>
      <c r="L1799" s="221"/>
      <c r="M1799" s="221"/>
      <c r="N1799" s="221"/>
      <c r="O1799" s="225"/>
      <c r="P1799" s="118" t="s">
        <v>6770</v>
      </c>
      <c r="Q1799" s="16" t="s">
        <v>20</v>
      </c>
      <c r="R1799" s="17" t="s">
        <v>6610</v>
      </c>
      <c r="S1799" s="121" t="s">
        <v>6771</v>
      </c>
      <c r="T1799" s="122"/>
      <c r="U1799" s="22"/>
      <c r="V1799" s="123" t="s">
        <v>7160</v>
      </c>
      <c r="W1799" s="122">
        <v>60045</v>
      </c>
      <c r="X1799" s="221"/>
      <c r="Y1799" s="221"/>
      <c r="Z1799" s="221"/>
      <c r="AA1799" s="221"/>
      <c r="AB1799" s="223"/>
    </row>
    <row r="1800" spans="1:28" ht="17.100000000000001" customHeight="1" thickTop="1">
      <c r="A1800" s="226" t="s">
        <v>6530</v>
      </c>
      <c r="B1800" s="28">
        <v>45926</v>
      </c>
      <c r="C1800" s="25">
        <v>1387</v>
      </c>
      <c r="D1800" s="13" t="s">
        <v>1899</v>
      </c>
      <c r="E1800" s="228"/>
      <c r="F1800" s="109" t="s">
        <v>5327</v>
      </c>
      <c r="G1800" s="24"/>
      <c r="H1800" s="230">
        <v>4</v>
      </c>
      <c r="I1800" s="220">
        <v>339000</v>
      </c>
      <c r="J1800" s="220">
        <f>I1800*0.1</f>
        <v>33900</v>
      </c>
      <c r="K1800" s="220">
        <v>0</v>
      </c>
      <c r="L1800" s="220">
        <v>7750</v>
      </c>
      <c r="M1800" s="220">
        <v>13200</v>
      </c>
      <c r="N1800" s="220">
        <f>SUM(I1800:M1801)</f>
        <v>393850</v>
      </c>
      <c r="O1800" s="224"/>
      <c r="P1800" s="110" t="s">
        <v>6768</v>
      </c>
      <c r="Q1800" s="15" t="s">
        <v>19</v>
      </c>
      <c r="R1800" s="205"/>
      <c r="S1800" s="189"/>
      <c r="T1800" s="114"/>
      <c r="U1800" s="21"/>
      <c r="V1800" s="115">
        <v>45934</v>
      </c>
      <c r="W1800" s="116">
        <v>1270</v>
      </c>
      <c r="X1800" s="220">
        <v>395000</v>
      </c>
      <c r="Y1800" s="220">
        <f>X1800*0.1</f>
        <v>39500</v>
      </c>
      <c r="Z1800" s="220">
        <v>7750</v>
      </c>
      <c r="AA1800" s="220">
        <f>SUM(X1800:Z1800)</f>
        <v>442250</v>
      </c>
      <c r="AB1800" s="222">
        <v>45937</v>
      </c>
    </row>
    <row r="1801" spans="1:28" ht="17.100000000000001" customHeight="1" thickBot="1">
      <c r="A1801" s="227"/>
      <c r="B1801" s="27" t="s">
        <v>2597</v>
      </c>
      <c r="C1801" s="27">
        <v>2171</v>
      </c>
      <c r="D1801" s="14" t="s">
        <v>2559</v>
      </c>
      <c r="E1801" s="229"/>
      <c r="F1801" s="117" t="s">
        <v>5328</v>
      </c>
      <c r="G1801" s="26">
        <v>45447</v>
      </c>
      <c r="H1801" s="231"/>
      <c r="I1801" s="221"/>
      <c r="J1801" s="221"/>
      <c r="K1801" s="221"/>
      <c r="L1801" s="221"/>
      <c r="M1801" s="221"/>
      <c r="N1801" s="221"/>
      <c r="O1801" s="225"/>
      <c r="P1801" s="118" t="s">
        <v>2843</v>
      </c>
      <c r="Q1801" s="16" t="s">
        <v>20</v>
      </c>
      <c r="R1801" s="17" t="s">
        <v>6610</v>
      </c>
      <c r="S1801" s="121" t="s">
        <v>7003</v>
      </c>
      <c r="T1801" s="122"/>
      <c r="U1801" s="22"/>
      <c r="V1801" s="123" t="s">
        <v>7160</v>
      </c>
      <c r="W1801" s="122">
        <v>60035</v>
      </c>
      <c r="X1801" s="221"/>
      <c r="Y1801" s="221"/>
      <c r="Z1801" s="221"/>
      <c r="AA1801" s="221"/>
      <c r="AB1801" s="223"/>
    </row>
    <row r="1802" spans="1:28" ht="17.100000000000001" customHeight="1" thickTop="1">
      <c r="A1802" s="226" t="s">
        <v>6531</v>
      </c>
      <c r="B1802" s="28">
        <v>45926</v>
      </c>
      <c r="C1802" s="25">
        <v>1387</v>
      </c>
      <c r="D1802" s="13" t="s">
        <v>1553</v>
      </c>
      <c r="E1802" s="228"/>
      <c r="F1802" s="109" t="s">
        <v>5329</v>
      </c>
      <c r="G1802" s="24" t="s">
        <v>5330</v>
      </c>
      <c r="H1802" s="230">
        <v>4</v>
      </c>
      <c r="I1802" s="220">
        <v>270000</v>
      </c>
      <c r="J1802" s="220">
        <f>I1802*0.1</f>
        <v>27000</v>
      </c>
      <c r="K1802" s="220">
        <v>0</v>
      </c>
      <c r="L1802" s="220">
        <v>9790</v>
      </c>
      <c r="M1802" s="220">
        <v>13200</v>
      </c>
      <c r="N1802" s="220">
        <f>SUM(I1802:M1803)</f>
        <v>319990</v>
      </c>
      <c r="O1802" s="224"/>
      <c r="P1802" s="110" t="s">
        <v>6792</v>
      </c>
      <c r="Q1802" s="15" t="s">
        <v>19</v>
      </c>
      <c r="R1802" s="205"/>
      <c r="S1802" s="189"/>
      <c r="T1802" s="114"/>
      <c r="U1802" s="21" t="s">
        <v>7224</v>
      </c>
      <c r="V1802" s="115">
        <v>45934</v>
      </c>
      <c r="W1802" s="116">
        <v>1270</v>
      </c>
      <c r="X1802" s="220">
        <v>285000</v>
      </c>
      <c r="Y1802" s="220">
        <f>X1802*0.1</f>
        <v>28500</v>
      </c>
      <c r="Z1802" s="220">
        <v>9790</v>
      </c>
      <c r="AA1802" s="220">
        <f>SUM(X1802:Z1802)</f>
        <v>323290</v>
      </c>
      <c r="AB1802" s="222">
        <v>45939</v>
      </c>
    </row>
    <row r="1803" spans="1:28" ht="17.100000000000001" customHeight="1" thickBot="1">
      <c r="A1803" s="227"/>
      <c r="B1803" s="27" t="s">
        <v>2597</v>
      </c>
      <c r="C1803" s="27">
        <v>2241</v>
      </c>
      <c r="D1803" s="14" t="s">
        <v>2559</v>
      </c>
      <c r="E1803" s="229"/>
      <c r="F1803" s="117" t="s">
        <v>5331</v>
      </c>
      <c r="G1803" s="26">
        <v>140520</v>
      </c>
      <c r="H1803" s="231"/>
      <c r="I1803" s="221"/>
      <c r="J1803" s="221"/>
      <c r="K1803" s="221"/>
      <c r="L1803" s="221"/>
      <c r="M1803" s="221"/>
      <c r="N1803" s="221"/>
      <c r="O1803" s="225"/>
      <c r="P1803" s="118" t="s">
        <v>2843</v>
      </c>
      <c r="Q1803" s="16" t="s">
        <v>20</v>
      </c>
      <c r="R1803" s="17" t="s">
        <v>6610</v>
      </c>
      <c r="S1803" s="121"/>
      <c r="T1803" s="122"/>
      <c r="U1803" s="22"/>
      <c r="V1803" s="123" t="s">
        <v>7160</v>
      </c>
      <c r="W1803" s="122">
        <v>60386</v>
      </c>
      <c r="X1803" s="221"/>
      <c r="Y1803" s="221"/>
      <c r="Z1803" s="221"/>
      <c r="AA1803" s="221"/>
      <c r="AB1803" s="223"/>
    </row>
    <row r="1804" spans="1:28" ht="17.100000000000001" customHeight="1" thickTop="1">
      <c r="A1804" s="226" t="s">
        <v>6532</v>
      </c>
      <c r="B1804" s="28">
        <v>45926</v>
      </c>
      <c r="C1804" s="25">
        <v>1387</v>
      </c>
      <c r="D1804" s="13" t="s">
        <v>2010</v>
      </c>
      <c r="E1804" s="228"/>
      <c r="F1804" s="109" t="s">
        <v>5332</v>
      </c>
      <c r="G1804" s="24" t="s">
        <v>4255</v>
      </c>
      <c r="H1804" s="230">
        <v>4</v>
      </c>
      <c r="I1804" s="220">
        <v>1345000</v>
      </c>
      <c r="J1804" s="220">
        <f>I1804*0.1</f>
        <v>134500</v>
      </c>
      <c r="K1804" s="220">
        <f>7100+710</f>
        <v>7810</v>
      </c>
      <c r="L1804" s="220">
        <v>8990</v>
      </c>
      <c r="M1804" s="220">
        <v>13200</v>
      </c>
      <c r="N1804" s="220">
        <f>SUM(I1804:M1805)</f>
        <v>1509500</v>
      </c>
      <c r="O1804" s="224"/>
      <c r="P1804" s="110" t="s">
        <v>6772</v>
      </c>
      <c r="Q1804" s="15" t="s">
        <v>19</v>
      </c>
      <c r="R1804" s="205"/>
      <c r="S1804" s="189" t="s">
        <v>25445</v>
      </c>
      <c r="T1804" s="114"/>
      <c r="U1804" s="21"/>
      <c r="V1804" s="115">
        <v>45941</v>
      </c>
      <c r="W1804" s="116">
        <v>1271</v>
      </c>
      <c r="X1804" s="220">
        <v>1475000</v>
      </c>
      <c r="Y1804" s="220">
        <f>X1804*0.1</f>
        <v>147500</v>
      </c>
      <c r="Z1804" s="220">
        <v>8990</v>
      </c>
      <c r="AA1804" s="220">
        <f>SUM(X1804:Z1804)</f>
        <v>1631490</v>
      </c>
      <c r="AB1804" s="222">
        <v>45944</v>
      </c>
    </row>
    <row r="1805" spans="1:28" ht="17.100000000000001" customHeight="1" thickBot="1">
      <c r="A1805" s="227"/>
      <c r="B1805" s="27" t="s">
        <v>2597</v>
      </c>
      <c r="C1805" s="27">
        <v>3011</v>
      </c>
      <c r="D1805" s="14" t="s">
        <v>1584</v>
      </c>
      <c r="E1805" s="229"/>
      <c r="F1805" s="117" t="s">
        <v>5333</v>
      </c>
      <c r="G1805" s="26">
        <v>26149</v>
      </c>
      <c r="H1805" s="231"/>
      <c r="I1805" s="221"/>
      <c r="J1805" s="221"/>
      <c r="K1805" s="221"/>
      <c r="L1805" s="221"/>
      <c r="M1805" s="221"/>
      <c r="N1805" s="221"/>
      <c r="O1805" s="225"/>
      <c r="P1805" s="118" t="s">
        <v>6773</v>
      </c>
      <c r="Q1805" s="16" t="s">
        <v>20</v>
      </c>
      <c r="R1805" s="17" t="s">
        <v>6610</v>
      </c>
      <c r="S1805" s="121" t="s">
        <v>4345</v>
      </c>
      <c r="T1805" s="122"/>
      <c r="U1805" s="22" t="s">
        <v>3427</v>
      </c>
      <c r="V1805" s="123" t="s">
        <v>2472</v>
      </c>
      <c r="W1805" s="122">
        <v>41030</v>
      </c>
      <c r="X1805" s="221"/>
      <c r="Y1805" s="221"/>
      <c r="Z1805" s="221"/>
      <c r="AA1805" s="221"/>
      <c r="AB1805" s="223"/>
    </row>
    <row r="1806" spans="1:28" ht="17.100000000000001" customHeight="1" thickTop="1">
      <c r="A1806" s="226" t="s">
        <v>6533</v>
      </c>
      <c r="B1806" s="28">
        <v>45926</v>
      </c>
      <c r="C1806" s="25">
        <v>1387</v>
      </c>
      <c r="D1806" s="13" t="s">
        <v>3327</v>
      </c>
      <c r="E1806" s="228"/>
      <c r="F1806" s="109" t="s">
        <v>5334</v>
      </c>
      <c r="G1806" s="24"/>
      <c r="H1806" s="230">
        <v>4</v>
      </c>
      <c r="I1806" s="220">
        <v>653000</v>
      </c>
      <c r="J1806" s="220">
        <f>I1806*0.1</f>
        <v>65300</v>
      </c>
      <c r="K1806" s="220">
        <v>0</v>
      </c>
      <c r="L1806" s="220">
        <v>7950</v>
      </c>
      <c r="M1806" s="220">
        <v>13200</v>
      </c>
      <c r="N1806" s="220">
        <f>SUM(I1806:M1807)</f>
        <v>739450</v>
      </c>
      <c r="O1806" s="224"/>
      <c r="P1806" s="110" t="s">
        <v>6782</v>
      </c>
      <c r="Q1806" s="15" t="s">
        <v>19</v>
      </c>
      <c r="R1806" s="205"/>
      <c r="S1806" s="189" t="s">
        <v>25483</v>
      </c>
      <c r="T1806" s="114"/>
      <c r="U1806" s="21" t="s">
        <v>3125</v>
      </c>
      <c r="V1806" s="115"/>
      <c r="W1806" s="116"/>
      <c r="X1806" s="220"/>
      <c r="Y1806" s="220">
        <f>X1806*0.1</f>
        <v>0</v>
      </c>
      <c r="Z1806" s="220"/>
      <c r="AA1806" s="220">
        <f>SUM(X1806:Z1806)</f>
        <v>0</v>
      </c>
      <c r="AB1806" s="222"/>
    </row>
    <row r="1807" spans="1:28" ht="17.100000000000001" customHeight="1" thickBot="1">
      <c r="A1807" s="227"/>
      <c r="B1807" s="27" t="s">
        <v>2597</v>
      </c>
      <c r="C1807" s="27">
        <v>3021</v>
      </c>
      <c r="D1807" s="14" t="s">
        <v>1797</v>
      </c>
      <c r="E1807" s="229"/>
      <c r="F1807" s="117" t="s">
        <v>5335</v>
      </c>
      <c r="G1807" s="26">
        <v>49893</v>
      </c>
      <c r="H1807" s="231"/>
      <c r="I1807" s="221"/>
      <c r="J1807" s="221"/>
      <c r="K1807" s="221"/>
      <c r="L1807" s="221"/>
      <c r="M1807" s="221"/>
      <c r="N1807" s="221"/>
      <c r="O1807" s="225"/>
      <c r="P1807" s="118" t="s">
        <v>4222</v>
      </c>
      <c r="Q1807" s="16" t="s">
        <v>20</v>
      </c>
      <c r="R1807" s="17" t="s">
        <v>6610</v>
      </c>
      <c r="S1807" s="121" t="s">
        <v>6783</v>
      </c>
      <c r="T1807" s="122"/>
      <c r="U1807" s="22"/>
      <c r="V1807" s="123"/>
      <c r="W1807" s="122"/>
      <c r="X1807" s="221"/>
      <c r="Y1807" s="221"/>
      <c r="Z1807" s="221"/>
      <c r="AA1807" s="221"/>
      <c r="AB1807" s="223"/>
    </row>
    <row r="1808" spans="1:28" ht="17.100000000000001" customHeight="1" thickTop="1">
      <c r="A1808" s="226" t="s">
        <v>6534</v>
      </c>
      <c r="B1808" s="28">
        <v>45926</v>
      </c>
      <c r="C1808" s="25">
        <v>1387</v>
      </c>
      <c r="D1808" s="13" t="s">
        <v>1623</v>
      </c>
      <c r="E1808" s="228"/>
      <c r="F1808" s="109" t="s">
        <v>5336</v>
      </c>
      <c r="G1808" s="24" t="s">
        <v>5337</v>
      </c>
      <c r="H1808" s="230">
        <v>4</v>
      </c>
      <c r="I1808" s="220">
        <v>674000</v>
      </c>
      <c r="J1808" s="220">
        <f>I1808*0.1</f>
        <v>67400</v>
      </c>
      <c r="K1808" s="220">
        <v>0</v>
      </c>
      <c r="L1808" s="220">
        <v>7140</v>
      </c>
      <c r="M1808" s="220">
        <v>13200</v>
      </c>
      <c r="N1808" s="220">
        <f>SUM(I1808:M1809)</f>
        <v>761740</v>
      </c>
      <c r="O1808" s="224"/>
      <c r="P1808" s="110" t="s">
        <v>6777</v>
      </c>
      <c r="Q1808" s="15" t="s">
        <v>19</v>
      </c>
      <c r="R1808" s="205"/>
      <c r="S1808" s="189" t="s">
        <v>25432</v>
      </c>
      <c r="T1808" s="114"/>
      <c r="U1808" s="21" t="s">
        <v>7612</v>
      </c>
      <c r="V1808" s="115">
        <v>45934</v>
      </c>
      <c r="W1808" s="116">
        <v>1270</v>
      </c>
      <c r="X1808" s="220">
        <v>750000</v>
      </c>
      <c r="Y1808" s="220">
        <f>X1808*0.1</f>
        <v>75000</v>
      </c>
      <c r="Z1808" s="220">
        <v>7140</v>
      </c>
      <c r="AA1808" s="220">
        <f>SUM(X1808:Z1808)</f>
        <v>832140</v>
      </c>
      <c r="AB1808" s="222">
        <v>45944</v>
      </c>
    </row>
    <row r="1809" spans="1:28" ht="17.100000000000001" customHeight="1" thickBot="1">
      <c r="A1809" s="227"/>
      <c r="B1809" s="27" t="s">
        <v>2597</v>
      </c>
      <c r="C1809" s="27">
        <v>3033</v>
      </c>
      <c r="D1809" s="14" t="s">
        <v>1710</v>
      </c>
      <c r="E1809" s="229"/>
      <c r="F1809" s="117" t="s">
        <v>5338</v>
      </c>
      <c r="G1809" s="26">
        <v>21914</v>
      </c>
      <c r="H1809" s="231"/>
      <c r="I1809" s="221"/>
      <c r="J1809" s="221"/>
      <c r="K1809" s="221"/>
      <c r="L1809" s="221"/>
      <c r="M1809" s="221"/>
      <c r="N1809" s="221"/>
      <c r="O1809" s="225"/>
      <c r="P1809" s="118" t="s">
        <v>6778</v>
      </c>
      <c r="Q1809" s="16" t="s">
        <v>20</v>
      </c>
      <c r="R1809" s="17" t="s">
        <v>6610</v>
      </c>
      <c r="S1809" s="121" t="s">
        <v>27</v>
      </c>
      <c r="T1809" s="122"/>
      <c r="U1809" s="22"/>
      <c r="V1809" s="123" t="s">
        <v>6641</v>
      </c>
      <c r="W1809" s="122">
        <v>60039</v>
      </c>
      <c r="X1809" s="221"/>
      <c r="Y1809" s="221"/>
      <c r="Z1809" s="221"/>
      <c r="AA1809" s="221"/>
      <c r="AB1809" s="223"/>
    </row>
    <row r="1810" spans="1:28" ht="17.100000000000001" customHeight="1" thickTop="1">
      <c r="A1810" s="226" t="s">
        <v>6535</v>
      </c>
      <c r="B1810" s="28">
        <v>45926</v>
      </c>
      <c r="C1810" s="25">
        <v>1387</v>
      </c>
      <c r="D1810" s="13" t="s">
        <v>1676</v>
      </c>
      <c r="E1810" s="228"/>
      <c r="F1810" s="109" t="s">
        <v>5339</v>
      </c>
      <c r="G1810" s="24" t="s">
        <v>3992</v>
      </c>
      <c r="H1810" s="230">
        <v>4.5</v>
      </c>
      <c r="I1810" s="220">
        <v>933000</v>
      </c>
      <c r="J1810" s="220">
        <f>I1810*0.1</f>
        <v>93300</v>
      </c>
      <c r="K1810" s="220">
        <v>0</v>
      </c>
      <c r="L1810" s="220">
        <v>8990</v>
      </c>
      <c r="M1810" s="220">
        <v>13200</v>
      </c>
      <c r="N1810" s="220">
        <f>SUM(I1810:M1811)</f>
        <v>1048490</v>
      </c>
      <c r="O1810" s="224"/>
      <c r="P1810" s="110" t="s">
        <v>6774</v>
      </c>
      <c r="Q1810" s="15" t="s">
        <v>19</v>
      </c>
      <c r="R1810" s="205"/>
      <c r="S1810" s="189" t="s">
        <v>25484</v>
      </c>
      <c r="T1810" s="114"/>
      <c r="U1810" s="21" t="s">
        <v>8153</v>
      </c>
      <c r="V1810" s="115">
        <v>45945</v>
      </c>
      <c r="W1810" s="116">
        <v>988</v>
      </c>
      <c r="X1810" s="220">
        <v>980000</v>
      </c>
      <c r="Y1810" s="220">
        <f>X1810*0.1</f>
        <v>98000</v>
      </c>
      <c r="Z1810" s="220">
        <v>8990</v>
      </c>
      <c r="AA1810" s="220">
        <f>SUM(X1810:Z1810)</f>
        <v>1086990</v>
      </c>
      <c r="AB1810" s="222">
        <v>45950</v>
      </c>
    </row>
    <row r="1811" spans="1:28" ht="17.100000000000001" customHeight="1" thickBot="1">
      <c r="A1811" s="227"/>
      <c r="B1811" s="27" t="s">
        <v>2597</v>
      </c>
      <c r="C1811" s="27">
        <v>3067</v>
      </c>
      <c r="D1811" s="14" t="s">
        <v>898</v>
      </c>
      <c r="E1811" s="229"/>
      <c r="F1811" s="117" t="s">
        <v>5340</v>
      </c>
      <c r="G1811" s="26">
        <v>52530</v>
      </c>
      <c r="H1811" s="231"/>
      <c r="I1811" s="221"/>
      <c r="J1811" s="221"/>
      <c r="K1811" s="221"/>
      <c r="L1811" s="221"/>
      <c r="M1811" s="221"/>
      <c r="N1811" s="221"/>
      <c r="O1811" s="225"/>
      <c r="P1811" s="118" t="s">
        <v>6775</v>
      </c>
      <c r="Q1811" s="16" t="s">
        <v>20</v>
      </c>
      <c r="R1811" s="17" t="s">
        <v>6610</v>
      </c>
      <c r="S1811" s="121" t="s">
        <v>6776</v>
      </c>
      <c r="T1811" s="122"/>
      <c r="U1811" s="22"/>
      <c r="V1811" s="123" t="s">
        <v>2747</v>
      </c>
      <c r="W1811" s="122">
        <v>2067</v>
      </c>
      <c r="X1811" s="221"/>
      <c r="Y1811" s="221"/>
      <c r="Z1811" s="221"/>
      <c r="AA1811" s="221"/>
      <c r="AB1811" s="223"/>
    </row>
    <row r="1812" spans="1:28" ht="17.100000000000001" customHeight="1" thickTop="1">
      <c r="A1812" s="226" t="s">
        <v>6536</v>
      </c>
      <c r="B1812" s="28">
        <v>45926</v>
      </c>
      <c r="C1812" s="25">
        <v>1387</v>
      </c>
      <c r="D1812" s="13" t="s">
        <v>5341</v>
      </c>
      <c r="E1812" s="228"/>
      <c r="F1812" s="109" t="s">
        <v>5342</v>
      </c>
      <c r="G1812" s="24" t="s">
        <v>5343</v>
      </c>
      <c r="H1812" s="230">
        <v>4</v>
      </c>
      <c r="I1812" s="220">
        <v>597000</v>
      </c>
      <c r="J1812" s="220">
        <f>I1812*0.1</f>
        <v>59700</v>
      </c>
      <c r="K1812" s="220">
        <v>0</v>
      </c>
      <c r="L1812" s="220">
        <v>8910</v>
      </c>
      <c r="M1812" s="220">
        <v>13200</v>
      </c>
      <c r="N1812" s="220">
        <f>SUM(I1812:M1813)</f>
        <v>678810</v>
      </c>
      <c r="O1812" s="224"/>
      <c r="P1812" s="110" t="s">
        <v>6812</v>
      </c>
      <c r="Q1812" s="15" t="s">
        <v>19</v>
      </c>
      <c r="R1812" s="205"/>
      <c r="S1812" s="189"/>
      <c r="T1812" s="114"/>
      <c r="U1812" s="21" t="s">
        <v>7572</v>
      </c>
      <c r="V1812" s="115">
        <v>45983</v>
      </c>
      <c r="W1812" s="116">
        <v>1277</v>
      </c>
      <c r="X1812" s="220">
        <v>700000</v>
      </c>
      <c r="Y1812" s="220">
        <f>X1812*0.1</f>
        <v>70000</v>
      </c>
      <c r="Z1812" s="220">
        <v>8910</v>
      </c>
      <c r="AA1812" s="220">
        <f>SUM(X1812:Z1812)</f>
        <v>778910</v>
      </c>
      <c r="AB1812" s="222">
        <v>45992</v>
      </c>
    </row>
    <row r="1813" spans="1:28" ht="17.100000000000001" customHeight="1" thickBot="1">
      <c r="A1813" s="227"/>
      <c r="B1813" s="27" t="s">
        <v>2597</v>
      </c>
      <c r="C1813" s="27">
        <v>3098</v>
      </c>
      <c r="D1813" s="14" t="s">
        <v>273</v>
      </c>
      <c r="E1813" s="229"/>
      <c r="F1813" s="117" t="s">
        <v>5344</v>
      </c>
      <c r="G1813" s="26">
        <v>69980</v>
      </c>
      <c r="H1813" s="231"/>
      <c r="I1813" s="221"/>
      <c r="J1813" s="221"/>
      <c r="K1813" s="221"/>
      <c r="L1813" s="221"/>
      <c r="M1813" s="221"/>
      <c r="N1813" s="221"/>
      <c r="O1813" s="225"/>
      <c r="P1813" s="118" t="s">
        <v>6813</v>
      </c>
      <c r="Q1813" s="16" t="s">
        <v>20</v>
      </c>
      <c r="R1813" s="17" t="s">
        <v>6726</v>
      </c>
      <c r="S1813" s="121"/>
      <c r="T1813" s="122"/>
      <c r="U1813" s="22"/>
      <c r="V1813" s="123" t="s">
        <v>6642</v>
      </c>
      <c r="W1813" s="122">
        <v>60129</v>
      </c>
      <c r="X1813" s="221"/>
      <c r="Y1813" s="221"/>
      <c r="Z1813" s="221"/>
      <c r="AA1813" s="221"/>
      <c r="AB1813" s="223"/>
    </row>
    <row r="1814" spans="1:28" ht="17.100000000000001" customHeight="1" thickTop="1">
      <c r="A1814" s="226" t="s">
        <v>6537</v>
      </c>
      <c r="B1814" s="28">
        <v>45926</v>
      </c>
      <c r="C1814" s="25">
        <v>1387</v>
      </c>
      <c r="D1814" s="13" t="s">
        <v>1871</v>
      </c>
      <c r="E1814" s="228"/>
      <c r="F1814" s="109" t="s">
        <v>5345</v>
      </c>
      <c r="G1814" s="24" t="s">
        <v>5346</v>
      </c>
      <c r="H1814" s="230">
        <v>4</v>
      </c>
      <c r="I1814" s="220">
        <v>689000</v>
      </c>
      <c r="J1814" s="220">
        <f>I1814*0.1</f>
        <v>68900</v>
      </c>
      <c r="K1814" s="220">
        <v>0</v>
      </c>
      <c r="L1814" s="220">
        <v>8400</v>
      </c>
      <c r="M1814" s="220">
        <v>13200</v>
      </c>
      <c r="N1814" s="220">
        <f>SUM(I1814:M1815)</f>
        <v>779500</v>
      </c>
      <c r="O1814" s="224"/>
      <c r="P1814" s="110" t="s">
        <v>6780</v>
      </c>
      <c r="Q1814" s="15" t="s">
        <v>19</v>
      </c>
      <c r="R1814" s="205"/>
      <c r="S1814" s="189"/>
      <c r="T1814" s="114"/>
      <c r="U1814" s="21" t="s">
        <v>7223</v>
      </c>
      <c r="V1814" s="115">
        <v>45934</v>
      </c>
      <c r="W1814" s="116">
        <v>1270</v>
      </c>
      <c r="X1814" s="220">
        <v>780000</v>
      </c>
      <c r="Y1814" s="220">
        <f>X1814*0.1</f>
        <v>78000</v>
      </c>
      <c r="Z1814" s="220">
        <v>8400</v>
      </c>
      <c r="AA1814" s="220">
        <f>SUM(X1814:Z1814)</f>
        <v>866400</v>
      </c>
      <c r="AB1814" s="222">
        <v>45939</v>
      </c>
    </row>
    <row r="1815" spans="1:28" ht="17.100000000000001" customHeight="1" thickBot="1">
      <c r="A1815" s="227"/>
      <c r="B1815" s="27" t="s">
        <v>2597</v>
      </c>
      <c r="C1815" s="27">
        <v>3223</v>
      </c>
      <c r="D1815" s="14" t="s">
        <v>1548</v>
      </c>
      <c r="E1815" s="229"/>
      <c r="F1815" s="117" t="s">
        <v>5347</v>
      </c>
      <c r="G1815" s="26">
        <v>46812</v>
      </c>
      <c r="H1815" s="231"/>
      <c r="I1815" s="221"/>
      <c r="J1815" s="221"/>
      <c r="K1815" s="221"/>
      <c r="L1815" s="221"/>
      <c r="M1815" s="221"/>
      <c r="N1815" s="221"/>
      <c r="O1815" s="225"/>
      <c r="P1815" s="118" t="s">
        <v>6781</v>
      </c>
      <c r="Q1815" s="16" t="s">
        <v>20</v>
      </c>
      <c r="R1815" s="17" t="s">
        <v>6610</v>
      </c>
      <c r="S1815" s="121"/>
      <c r="T1815" s="122"/>
      <c r="U1815" s="22"/>
      <c r="V1815" s="123" t="s">
        <v>7505</v>
      </c>
      <c r="W1815" s="122">
        <v>60027</v>
      </c>
      <c r="X1815" s="221"/>
      <c r="Y1815" s="221"/>
      <c r="Z1815" s="221"/>
      <c r="AA1815" s="221"/>
      <c r="AB1815" s="223"/>
    </row>
    <row r="1816" spans="1:28" ht="17.100000000000001" customHeight="1" thickTop="1">
      <c r="A1816" s="226" t="s">
        <v>6538</v>
      </c>
      <c r="B1816" s="28">
        <v>45926</v>
      </c>
      <c r="C1816" s="25">
        <v>1387</v>
      </c>
      <c r="D1816" s="13" t="s">
        <v>2158</v>
      </c>
      <c r="E1816" s="228"/>
      <c r="F1816" s="109" t="s">
        <v>4526</v>
      </c>
      <c r="G1816" s="24"/>
      <c r="H1816" s="230">
        <v>4.5</v>
      </c>
      <c r="I1816" s="220">
        <v>1021000</v>
      </c>
      <c r="J1816" s="220">
        <f>I1816*0.1</f>
        <v>102100</v>
      </c>
      <c r="K1816" s="220">
        <v>0</v>
      </c>
      <c r="L1816" s="220">
        <v>8640</v>
      </c>
      <c r="M1816" s="220">
        <v>13200</v>
      </c>
      <c r="N1816" s="220">
        <f>SUM(I1816:M1817)</f>
        <v>1144940</v>
      </c>
      <c r="O1816" s="224"/>
      <c r="P1816" s="110" t="s">
        <v>6814</v>
      </c>
      <c r="Q1816" s="15" t="s">
        <v>19</v>
      </c>
      <c r="R1816" s="205"/>
      <c r="S1816" s="189" t="s">
        <v>25397</v>
      </c>
      <c r="T1816" s="114"/>
      <c r="U1816" s="21"/>
      <c r="V1816" s="115">
        <v>45934</v>
      </c>
      <c r="W1816" s="116">
        <v>1270</v>
      </c>
      <c r="X1816" s="220">
        <v>1070000</v>
      </c>
      <c r="Y1816" s="220">
        <f>X1816*0.1</f>
        <v>107000</v>
      </c>
      <c r="Z1816" s="220">
        <v>8640</v>
      </c>
      <c r="AA1816" s="220">
        <f>SUM(X1816:Z1816)</f>
        <v>1185640</v>
      </c>
      <c r="AB1816" s="222">
        <v>45937</v>
      </c>
    </row>
    <row r="1817" spans="1:28" ht="17.100000000000001" customHeight="1" thickBot="1">
      <c r="A1817" s="227"/>
      <c r="B1817" s="27" t="s">
        <v>2597</v>
      </c>
      <c r="C1817" s="27">
        <v>3224</v>
      </c>
      <c r="D1817" s="14" t="s">
        <v>1710</v>
      </c>
      <c r="E1817" s="229"/>
      <c r="F1817" s="117" t="s">
        <v>5348</v>
      </c>
      <c r="G1817" s="26">
        <v>25259</v>
      </c>
      <c r="H1817" s="231"/>
      <c r="I1817" s="221"/>
      <c r="J1817" s="221"/>
      <c r="K1817" s="221"/>
      <c r="L1817" s="221"/>
      <c r="M1817" s="221"/>
      <c r="N1817" s="221"/>
      <c r="O1817" s="225"/>
      <c r="P1817" s="118" t="s">
        <v>6815</v>
      </c>
      <c r="Q1817" s="16" t="s">
        <v>20</v>
      </c>
      <c r="R1817" s="17" t="s">
        <v>6726</v>
      </c>
      <c r="S1817" s="121" t="s">
        <v>2025</v>
      </c>
      <c r="T1817" s="122"/>
      <c r="U1817" s="22"/>
      <c r="V1817" s="123" t="s">
        <v>7160</v>
      </c>
      <c r="W1817" s="122">
        <v>60023</v>
      </c>
      <c r="X1817" s="221"/>
      <c r="Y1817" s="221"/>
      <c r="Z1817" s="221"/>
      <c r="AA1817" s="221"/>
      <c r="AB1817" s="223"/>
    </row>
    <row r="1818" spans="1:28" ht="17.100000000000001" customHeight="1" thickTop="1">
      <c r="A1818" s="226" t="s">
        <v>6539</v>
      </c>
      <c r="B1818" s="28">
        <v>45926</v>
      </c>
      <c r="C1818" s="25">
        <v>1387</v>
      </c>
      <c r="D1818" s="13" t="s">
        <v>3739</v>
      </c>
      <c r="E1818" s="228"/>
      <c r="F1818" s="109" t="s">
        <v>5349</v>
      </c>
      <c r="G1818" s="24"/>
      <c r="H1818" s="230">
        <v>4</v>
      </c>
      <c r="I1818" s="220">
        <v>398000</v>
      </c>
      <c r="J1818" s="220">
        <f>I1818*0.1</f>
        <v>39800</v>
      </c>
      <c r="K1818" s="220">
        <v>0</v>
      </c>
      <c r="L1818" s="220">
        <v>7500</v>
      </c>
      <c r="M1818" s="220">
        <v>13200</v>
      </c>
      <c r="N1818" s="220">
        <f>SUM(I1818:M1819)</f>
        <v>458500</v>
      </c>
      <c r="O1818" s="224"/>
      <c r="P1818" s="110" t="s">
        <v>6811</v>
      </c>
      <c r="Q1818" s="15" t="s">
        <v>19</v>
      </c>
      <c r="R1818" s="205"/>
      <c r="S1818" s="189"/>
      <c r="T1818" s="114"/>
      <c r="U1818" s="21"/>
      <c r="V1818" s="115">
        <v>45934</v>
      </c>
      <c r="W1818" s="116">
        <v>1270</v>
      </c>
      <c r="X1818" s="220">
        <v>445000</v>
      </c>
      <c r="Y1818" s="220">
        <f>X1818*0.1</f>
        <v>44500</v>
      </c>
      <c r="Z1818" s="220">
        <v>7500</v>
      </c>
      <c r="AA1818" s="220">
        <f>SUM(X1818:Z1818)</f>
        <v>497000</v>
      </c>
      <c r="AB1818" s="222">
        <v>45937</v>
      </c>
    </row>
    <row r="1819" spans="1:28" ht="17.100000000000001" customHeight="1" thickBot="1">
      <c r="A1819" s="227"/>
      <c r="B1819" s="27" t="s">
        <v>2597</v>
      </c>
      <c r="C1819" s="27">
        <v>7019</v>
      </c>
      <c r="D1819" s="14" t="s">
        <v>1584</v>
      </c>
      <c r="E1819" s="229"/>
      <c r="F1819" s="117" t="s">
        <v>5350</v>
      </c>
      <c r="G1819" s="26">
        <v>56658</v>
      </c>
      <c r="H1819" s="231"/>
      <c r="I1819" s="221"/>
      <c r="J1819" s="221"/>
      <c r="K1819" s="221"/>
      <c r="L1819" s="221"/>
      <c r="M1819" s="221"/>
      <c r="N1819" s="221"/>
      <c r="O1819" s="225"/>
      <c r="P1819" s="118" t="s">
        <v>4477</v>
      </c>
      <c r="Q1819" s="16" t="s">
        <v>20</v>
      </c>
      <c r="R1819" s="17" t="s">
        <v>6726</v>
      </c>
      <c r="S1819" s="121"/>
      <c r="T1819" s="122"/>
      <c r="U1819" s="22"/>
      <c r="V1819" s="123" t="s">
        <v>7160</v>
      </c>
      <c r="W1819" s="122">
        <v>60047</v>
      </c>
      <c r="X1819" s="221"/>
      <c r="Y1819" s="221"/>
      <c r="Z1819" s="221"/>
      <c r="AA1819" s="221"/>
      <c r="AB1819" s="223"/>
    </row>
    <row r="1820" spans="1:28" ht="17.100000000000001" customHeight="1" thickTop="1">
      <c r="A1820" s="226" t="s">
        <v>7324</v>
      </c>
      <c r="B1820" s="28">
        <v>45926</v>
      </c>
      <c r="C1820" s="25">
        <v>1387</v>
      </c>
      <c r="D1820" s="13" t="s">
        <v>2524</v>
      </c>
      <c r="E1820" s="228"/>
      <c r="F1820" s="109" t="s">
        <v>3783</v>
      </c>
      <c r="G1820" s="24" t="s">
        <v>5351</v>
      </c>
      <c r="H1820" s="230">
        <v>4</v>
      </c>
      <c r="I1820" s="220">
        <v>191000</v>
      </c>
      <c r="J1820" s="220">
        <f>I1820*0.1</f>
        <v>19100</v>
      </c>
      <c r="K1820" s="220">
        <v>0</v>
      </c>
      <c r="L1820" s="220">
        <v>9790</v>
      </c>
      <c r="M1820" s="220">
        <v>13200</v>
      </c>
      <c r="N1820" s="220">
        <f>SUM(I1820:M1821)</f>
        <v>233090</v>
      </c>
      <c r="O1820" s="224"/>
      <c r="P1820" s="110" t="s">
        <v>7325</v>
      </c>
      <c r="Q1820" s="15" t="s">
        <v>19</v>
      </c>
      <c r="R1820" s="205"/>
      <c r="S1820" s="189"/>
      <c r="T1820" s="114"/>
      <c r="U1820" s="21" t="s">
        <v>7420</v>
      </c>
      <c r="V1820" s="115">
        <v>45934</v>
      </c>
      <c r="W1820" s="116">
        <v>1270</v>
      </c>
      <c r="X1820" s="220">
        <v>195000</v>
      </c>
      <c r="Y1820" s="220">
        <f>X1820*0.1</f>
        <v>19500</v>
      </c>
      <c r="Z1820" s="220">
        <v>9790</v>
      </c>
      <c r="AA1820" s="220">
        <f>SUM(X1820:Z1820)</f>
        <v>224290</v>
      </c>
      <c r="AB1820" s="222">
        <v>45944</v>
      </c>
    </row>
    <row r="1821" spans="1:28" ht="17.100000000000001" customHeight="1" thickBot="1">
      <c r="A1821" s="227"/>
      <c r="B1821" s="27" t="s">
        <v>2597</v>
      </c>
      <c r="C1821" s="27">
        <v>9063</v>
      </c>
      <c r="D1821" s="14" t="s">
        <v>2559</v>
      </c>
      <c r="E1821" s="229"/>
      <c r="F1821" s="117" t="s">
        <v>5352</v>
      </c>
      <c r="G1821" s="26">
        <v>125607</v>
      </c>
      <c r="H1821" s="231"/>
      <c r="I1821" s="221"/>
      <c r="J1821" s="221"/>
      <c r="K1821" s="221"/>
      <c r="L1821" s="221"/>
      <c r="M1821" s="221"/>
      <c r="N1821" s="221"/>
      <c r="O1821" s="225"/>
      <c r="P1821" s="118" t="s">
        <v>7326</v>
      </c>
      <c r="Q1821" s="16" t="s">
        <v>20</v>
      </c>
      <c r="R1821" s="17" t="s">
        <v>1605</v>
      </c>
      <c r="S1821" s="121" t="s">
        <v>7327</v>
      </c>
      <c r="T1821" s="122"/>
      <c r="U1821" s="22"/>
      <c r="V1821" s="123" t="s">
        <v>7160</v>
      </c>
      <c r="W1821" s="122">
        <v>60049</v>
      </c>
      <c r="X1821" s="221"/>
      <c r="Y1821" s="221"/>
      <c r="Z1821" s="221"/>
      <c r="AA1821" s="221"/>
      <c r="AB1821" s="223"/>
    </row>
    <row r="1822" spans="1:28" ht="17.100000000000001" customHeight="1" thickTop="1">
      <c r="A1822" s="226" t="s">
        <v>6540</v>
      </c>
      <c r="B1822" s="28">
        <v>45926</v>
      </c>
      <c r="C1822" s="25">
        <v>1387</v>
      </c>
      <c r="D1822" s="13" t="s">
        <v>5353</v>
      </c>
      <c r="E1822" s="228"/>
      <c r="F1822" s="109" t="s">
        <v>5354</v>
      </c>
      <c r="G1822" s="24" t="s">
        <v>5355</v>
      </c>
      <c r="H1822" s="232" t="s">
        <v>1705</v>
      </c>
      <c r="I1822" s="220">
        <v>220000</v>
      </c>
      <c r="J1822" s="220">
        <f>I1822*0.1</f>
        <v>22000</v>
      </c>
      <c r="K1822" s="220">
        <v>0</v>
      </c>
      <c r="L1822" s="220">
        <v>9670</v>
      </c>
      <c r="M1822" s="220">
        <v>13200</v>
      </c>
      <c r="N1822" s="220">
        <f>SUM(I1822:M1823)</f>
        <v>264870</v>
      </c>
      <c r="O1822" s="224"/>
      <c r="P1822" s="110" t="s">
        <v>6765</v>
      </c>
      <c r="Q1822" s="15" t="s">
        <v>19</v>
      </c>
      <c r="R1822" s="205"/>
      <c r="S1822" s="189" t="s">
        <v>25485</v>
      </c>
      <c r="T1822" s="114"/>
      <c r="U1822" s="21"/>
      <c r="V1822" s="115">
        <v>45976</v>
      </c>
      <c r="W1822" s="116">
        <v>1276</v>
      </c>
      <c r="X1822" s="220">
        <v>250000</v>
      </c>
      <c r="Y1822" s="220">
        <f>X1822*0.1</f>
        <v>25000</v>
      </c>
      <c r="Z1822" s="220">
        <v>9670</v>
      </c>
      <c r="AA1822" s="220">
        <f>SUM(X1822:Z1822)</f>
        <v>284670</v>
      </c>
      <c r="AB1822" s="222">
        <v>45979</v>
      </c>
    </row>
    <row r="1823" spans="1:28" ht="17.100000000000001" customHeight="1" thickBot="1">
      <c r="A1823" s="227"/>
      <c r="B1823" s="27" t="s">
        <v>2597</v>
      </c>
      <c r="C1823" s="27">
        <v>9077</v>
      </c>
      <c r="D1823" s="14" t="s">
        <v>1710</v>
      </c>
      <c r="E1823" s="229"/>
      <c r="F1823" s="117" t="s">
        <v>5356</v>
      </c>
      <c r="G1823" s="26">
        <v>22108</v>
      </c>
      <c r="H1823" s="231"/>
      <c r="I1823" s="221"/>
      <c r="J1823" s="221"/>
      <c r="K1823" s="221"/>
      <c r="L1823" s="221"/>
      <c r="M1823" s="221"/>
      <c r="N1823" s="221"/>
      <c r="O1823" s="225"/>
      <c r="P1823" s="118" t="s">
        <v>6766</v>
      </c>
      <c r="Q1823" s="16" t="s">
        <v>20</v>
      </c>
      <c r="R1823" s="17" t="s">
        <v>6610</v>
      </c>
      <c r="S1823" s="121" t="s">
        <v>6767</v>
      </c>
      <c r="T1823" s="122"/>
      <c r="U1823" s="22"/>
      <c r="V1823" s="123" t="s">
        <v>7160</v>
      </c>
      <c r="W1823" s="122">
        <v>63110</v>
      </c>
      <c r="X1823" s="221"/>
      <c r="Y1823" s="221"/>
      <c r="Z1823" s="221"/>
      <c r="AA1823" s="221"/>
      <c r="AB1823" s="223"/>
    </row>
    <row r="1824" spans="1:28" ht="17.100000000000001" customHeight="1" thickTop="1">
      <c r="A1824" s="226" t="s">
        <v>6541</v>
      </c>
      <c r="B1824" s="28">
        <v>45926</v>
      </c>
      <c r="C1824" s="25">
        <v>1387</v>
      </c>
      <c r="D1824" s="13" t="s">
        <v>2055</v>
      </c>
      <c r="E1824" s="228"/>
      <c r="F1824" s="109" t="s">
        <v>5357</v>
      </c>
      <c r="G1824" s="24" t="s">
        <v>5358</v>
      </c>
      <c r="H1824" s="232" t="s">
        <v>1705</v>
      </c>
      <c r="I1824" s="220">
        <v>179000</v>
      </c>
      <c r="J1824" s="220">
        <f>I1824*0.1</f>
        <v>17900</v>
      </c>
      <c r="K1824" s="220">
        <v>0</v>
      </c>
      <c r="L1824" s="220">
        <v>8570</v>
      </c>
      <c r="M1824" s="220">
        <v>13200</v>
      </c>
      <c r="N1824" s="220">
        <f>SUM(I1824:M1825)</f>
        <v>218670</v>
      </c>
      <c r="O1824" s="224"/>
      <c r="P1824" s="110" t="s">
        <v>7272</v>
      </c>
      <c r="Q1824" s="15" t="s">
        <v>19</v>
      </c>
      <c r="R1824" s="205"/>
      <c r="S1824" s="189"/>
      <c r="T1824" s="114"/>
      <c r="U1824" s="21" t="s">
        <v>7425</v>
      </c>
      <c r="V1824" s="115">
        <v>45934</v>
      </c>
      <c r="W1824" s="116">
        <v>1270</v>
      </c>
      <c r="X1824" s="220">
        <v>245000</v>
      </c>
      <c r="Y1824" s="220">
        <f>X1824*0.1</f>
        <v>24500</v>
      </c>
      <c r="Z1824" s="220">
        <v>8570</v>
      </c>
      <c r="AA1824" s="220">
        <f>SUM(X1824:Z1824)</f>
        <v>278070</v>
      </c>
      <c r="AB1824" s="222">
        <v>45944</v>
      </c>
    </row>
    <row r="1825" spans="1:28" ht="17.100000000000001" customHeight="1" thickBot="1">
      <c r="A1825" s="227"/>
      <c r="B1825" s="27" t="s">
        <v>2597</v>
      </c>
      <c r="C1825" s="27">
        <v>9163</v>
      </c>
      <c r="D1825" s="14" t="s">
        <v>1797</v>
      </c>
      <c r="E1825" s="229"/>
      <c r="F1825" s="117" t="s">
        <v>5359</v>
      </c>
      <c r="G1825" s="26">
        <v>105059</v>
      </c>
      <c r="H1825" s="231"/>
      <c r="I1825" s="221"/>
      <c r="J1825" s="221"/>
      <c r="K1825" s="221"/>
      <c r="L1825" s="221"/>
      <c r="M1825" s="221"/>
      <c r="N1825" s="221"/>
      <c r="O1825" s="225"/>
      <c r="P1825" s="118" t="s">
        <v>7273</v>
      </c>
      <c r="Q1825" s="16" t="s">
        <v>20</v>
      </c>
      <c r="R1825" s="17" t="s">
        <v>3264</v>
      </c>
      <c r="S1825" s="121"/>
      <c r="T1825" s="122"/>
      <c r="U1825" s="22"/>
      <c r="V1825" s="123" t="s">
        <v>7160</v>
      </c>
      <c r="W1825" s="122">
        <v>60398</v>
      </c>
      <c r="X1825" s="221"/>
      <c r="Y1825" s="221"/>
      <c r="Z1825" s="221"/>
      <c r="AA1825" s="221"/>
      <c r="AB1825" s="223"/>
    </row>
    <row r="1826" spans="1:28" ht="17.100000000000001" customHeight="1" thickTop="1">
      <c r="A1826" s="226" t="s">
        <v>6542</v>
      </c>
      <c r="B1826" s="28">
        <v>45926</v>
      </c>
      <c r="C1826" s="25">
        <v>1387</v>
      </c>
      <c r="D1826" s="13" t="s">
        <v>3385</v>
      </c>
      <c r="E1826" s="228"/>
      <c r="F1826" s="109" t="s">
        <v>5360</v>
      </c>
      <c r="G1826" s="24" t="s">
        <v>4517</v>
      </c>
      <c r="H1826" s="230">
        <v>4</v>
      </c>
      <c r="I1826" s="220">
        <v>153000</v>
      </c>
      <c r="J1826" s="220">
        <f>I1826*0.1</f>
        <v>15300</v>
      </c>
      <c r="K1826" s="220">
        <v>0</v>
      </c>
      <c r="L1826" s="220">
        <v>9080</v>
      </c>
      <c r="M1826" s="220">
        <v>13200</v>
      </c>
      <c r="N1826" s="220">
        <f>SUM(I1826:M1827)</f>
        <v>190580</v>
      </c>
      <c r="O1826" s="224"/>
      <c r="P1826" s="110" t="s">
        <v>6816</v>
      </c>
      <c r="Q1826" s="15" t="s">
        <v>19</v>
      </c>
      <c r="R1826" s="205"/>
      <c r="S1826" s="189"/>
      <c r="T1826" s="114"/>
      <c r="U1826" s="21"/>
      <c r="V1826" s="115">
        <v>46102</v>
      </c>
      <c r="W1826" s="116">
        <v>1293</v>
      </c>
      <c r="X1826" s="220">
        <v>205000</v>
      </c>
      <c r="Y1826" s="220">
        <f>X1826*0.1</f>
        <v>20500</v>
      </c>
      <c r="Z1826" s="220">
        <v>9080</v>
      </c>
      <c r="AA1826" s="220">
        <f>SUM(X1826:Z1826)</f>
        <v>234580</v>
      </c>
      <c r="AB1826" s="222">
        <v>46105</v>
      </c>
    </row>
    <row r="1827" spans="1:28" ht="17.100000000000001" customHeight="1" thickBot="1">
      <c r="A1827" s="227"/>
      <c r="B1827" s="27" t="s">
        <v>2597</v>
      </c>
      <c r="C1827" s="27">
        <v>9175</v>
      </c>
      <c r="D1827" s="14" t="s">
        <v>2014</v>
      </c>
      <c r="E1827" s="229"/>
      <c r="F1827" s="117" t="s">
        <v>5361</v>
      </c>
      <c r="G1827" s="26">
        <v>51166</v>
      </c>
      <c r="H1827" s="231"/>
      <c r="I1827" s="221"/>
      <c r="J1827" s="221"/>
      <c r="K1827" s="221"/>
      <c r="L1827" s="221"/>
      <c r="M1827" s="221"/>
      <c r="N1827" s="221"/>
      <c r="O1827" s="225"/>
      <c r="P1827" s="118" t="s">
        <v>6817</v>
      </c>
      <c r="Q1827" s="16" t="s">
        <v>20</v>
      </c>
      <c r="R1827" s="17" t="s">
        <v>6726</v>
      </c>
      <c r="S1827" s="121" t="s">
        <v>169</v>
      </c>
      <c r="T1827" s="122"/>
      <c r="U1827" s="22"/>
      <c r="V1827" s="123" t="s">
        <v>2472</v>
      </c>
      <c r="W1827" s="122">
        <v>60085</v>
      </c>
      <c r="X1827" s="221"/>
      <c r="Y1827" s="221"/>
      <c r="Z1827" s="221"/>
      <c r="AA1827" s="221"/>
      <c r="AB1827" s="223"/>
    </row>
    <row r="1828" spans="1:28" ht="17.100000000000001" customHeight="1" thickTop="1">
      <c r="A1828" s="226" t="s">
        <v>6543</v>
      </c>
      <c r="B1828" s="28">
        <v>45926</v>
      </c>
      <c r="C1828" s="25">
        <v>1387</v>
      </c>
      <c r="D1828" s="13" t="s">
        <v>5362</v>
      </c>
      <c r="E1828" s="228"/>
      <c r="F1828" s="109" t="s">
        <v>5363</v>
      </c>
      <c r="G1828" s="24" t="s">
        <v>5364</v>
      </c>
      <c r="H1828" s="230">
        <v>4</v>
      </c>
      <c r="I1828" s="220">
        <v>214000</v>
      </c>
      <c r="J1828" s="220">
        <f>I1828*0.1</f>
        <v>21400</v>
      </c>
      <c r="K1828" s="220">
        <v>0</v>
      </c>
      <c r="L1828" s="220">
        <v>10120</v>
      </c>
      <c r="M1828" s="220">
        <v>13200</v>
      </c>
      <c r="N1828" s="220">
        <f>SUM(I1828:M1829)</f>
        <v>258720</v>
      </c>
      <c r="O1828" s="224"/>
      <c r="P1828" s="110" t="s">
        <v>7316</v>
      </c>
      <c r="Q1828" s="15" t="s">
        <v>19</v>
      </c>
      <c r="R1828" s="205"/>
      <c r="S1828" s="189"/>
      <c r="T1828" s="114"/>
      <c r="U1828" s="21" t="s">
        <v>7571</v>
      </c>
      <c r="V1828" s="115"/>
      <c r="W1828" s="116"/>
      <c r="X1828" s="220"/>
      <c r="Y1828" s="220">
        <f>X1828*0.1</f>
        <v>0</v>
      </c>
      <c r="Z1828" s="220"/>
      <c r="AA1828" s="220">
        <f>SUM(X1828:Z1828)</f>
        <v>0</v>
      </c>
      <c r="AB1828" s="222"/>
    </row>
    <row r="1829" spans="1:28" ht="17.100000000000001" customHeight="1" thickBot="1">
      <c r="A1829" s="227"/>
      <c r="B1829" s="27" t="s">
        <v>2597</v>
      </c>
      <c r="C1829" s="27">
        <v>9283</v>
      </c>
      <c r="D1829" s="14" t="s">
        <v>1710</v>
      </c>
      <c r="E1829" s="229"/>
      <c r="F1829" s="117" t="s">
        <v>5365</v>
      </c>
      <c r="G1829" s="26">
        <v>89040</v>
      </c>
      <c r="H1829" s="231"/>
      <c r="I1829" s="221"/>
      <c r="J1829" s="221"/>
      <c r="K1829" s="221"/>
      <c r="L1829" s="221"/>
      <c r="M1829" s="221"/>
      <c r="N1829" s="221"/>
      <c r="O1829" s="225"/>
      <c r="P1829" s="118" t="s">
        <v>3506</v>
      </c>
      <c r="Q1829" s="16" t="s">
        <v>20</v>
      </c>
      <c r="R1829" s="17" t="s">
        <v>3264</v>
      </c>
      <c r="S1829" s="121" t="s">
        <v>5366</v>
      </c>
      <c r="T1829" s="122"/>
      <c r="U1829" s="22"/>
      <c r="V1829" s="123"/>
      <c r="W1829" s="122"/>
      <c r="X1829" s="221"/>
      <c r="Y1829" s="221"/>
      <c r="Z1829" s="221"/>
      <c r="AA1829" s="221"/>
      <c r="AB1829" s="223"/>
    </row>
    <row r="1830" spans="1:28" ht="17.100000000000001" customHeight="1" thickTop="1">
      <c r="A1830" s="226" t="s">
        <v>6544</v>
      </c>
      <c r="B1830" s="28">
        <v>45926</v>
      </c>
      <c r="C1830" s="25">
        <v>1387</v>
      </c>
      <c r="D1830" s="13" t="s">
        <v>3966</v>
      </c>
      <c r="E1830" s="228"/>
      <c r="F1830" s="109" t="s">
        <v>5367</v>
      </c>
      <c r="G1830" s="24" t="s">
        <v>5368</v>
      </c>
      <c r="H1830" s="230">
        <v>4</v>
      </c>
      <c r="I1830" s="220">
        <v>34000</v>
      </c>
      <c r="J1830" s="220">
        <f>I1830*0.1</f>
        <v>3400</v>
      </c>
      <c r="K1830" s="220">
        <v>0</v>
      </c>
      <c r="L1830" s="220">
        <v>9670</v>
      </c>
      <c r="M1830" s="220">
        <v>13200</v>
      </c>
      <c r="N1830" s="220">
        <f>SUM(I1830:M1831)</f>
        <v>60270</v>
      </c>
      <c r="O1830" s="224"/>
      <c r="P1830" s="110" t="s">
        <v>6980</v>
      </c>
      <c r="Q1830" s="15" t="s">
        <v>19</v>
      </c>
      <c r="R1830" s="205"/>
      <c r="S1830" s="189" t="s">
        <v>25481</v>
      </c>
      <c r="T1830" s="114"/>
      <c r="U1830" s="21"/>
      <c r="V1830" s="115">
        <v>45934</v>
      </c>
      <c r="W1830" s="116">
        <v>1270</v>
      </c>
      <c r="X1830" s="220">
        <v>150000</v>
      </c>
      <c r="Y1830" s="220">
        <f>X1830*0.1</f>
        <v>15000</v>
      </c>
      <c r="Z1830" s="220">
        <v>9670</v>
      </c>
      <c r="AA1830" s="220">
        <f>SUM(X1830:Z1830)</f>
        <v>174670</v>
      </c>
      <c r="AB1830" s="222">
        <v>45939</v>
      </c>
    </row>
    <row r="1831" spans="1:28" ht="17.100000000000001" customHeight="1" thickBot="1">
      <c r="A1831" s="227"/>
      <c r="B1831" s="27" t="s">
        <v>2597</v>
      </c>
      <c r="C1831" s="27">
        <v>9295</v>
      </c>
      <c r="D1831" s="14" t="s">
        <v>2014</v>
      </c>
      <c r="E1831" s="229"/>
      <c r="F1831" s="117" t="s">
        <v>5369</v>
      </c>
      <c r="G1831" s="26">
        <v>32084</v>
      </c>
      <c r="H1831" s="231"/>
      <c r="I1831" s="221"/>
      <c r="J1831" s="221"/>
      <c r="K1831" s="221"/>
      <c r="L1831" s="221"/>
      <c r="M1831" s="221"/>
      <c r="N1831" s="221"/>
      <c r="O1831" s="225"/>
      <c r="P1831" s="118" t="s">
        <v>6981</v>
      </c>
      <c r="Q1831" s="16" t="s">
        <v>20</v>
      </c>
      <c r="R1831" s="17" t="s">
        <v>3672</v>
      </c>
      <c r="S1831" s="121" t="s">
        <v>1923</v>
      </c>
      <c r="T1831" s="122"/>
      <c r="U1831" s="22"/>
      <c r="V1831" s="123" t="s">
        <v>7160</v>
      </c>
      <c r="W1831" s="122">
        <v>60021</v>
      </c>
      <c r="X1831" s="221"/>
      <c r="Y1831" s="221"/>
      <c r="Z1831" s="221"/>
      <c r="AA1831" s="221"/>
      <c r="AB1831" s="223"/>
    </row>
    <row r="1832" spans="1:28" ht="17.100000000000001" customHeight="1" thickTop="1">
      <c r="A1832" s="226" t="s">
        <v>6545</v>
      </c>
      <c r="B1832" s="28">
        <v>45926</v>
      </c>
      <c r="C1832" s="25">
        <v>1387</v>
      </c>
      <c r="D1832" s="13" t="s">
        <v>1021</v>
      </c>
      <c r="E1832" s="228"/>
      <c r="F1832" s="109" t="s">
        <v>3790</v>
      </c>
      <c r="G1832" s="24"/>
      <c r="H1832" s="230">
        <v>3.5</v>
      </c>
      <c r="I1832" s="220">
        <v>286000</v>
      </c>
      <c r="J1832" s="220">
        <f>I1832*0.1</f>
        <v>28600</v>
      </c>
      <c r="K1832" s="220">
        <v>0</v>
      </c>
      <c r="L1832" s="220">
        <v>9070</v>
      </c>
      <c r="M1832" s="220">
        <v>13200</v>
      </c>
      <c r="N1832" s="220">
        <f>SUM(I1832:M1833)</f>
        <v>336870</v>
      </c>
      <c r="O1832" s="224"/>
      <c r="P1832" s="110" t="s">
        <v>6779</v>
      </c>
      <c r="Q1832" s="15" t="s">
        <v>19</v>
      </c>
      <c r="R1832" s="205"/>
      <c r="S1832" s="189"/>
      <c r="T1832" s="114"/>
      <c r="U1832" s="21"/>
      <c r="V1832" s="115">
        <v>45948</v>
      </c>
      <c r="W1832" s="116">
        <v>1272</v>
      </c>
      <c r="X1832" s="220">
        <v>345000</v>
      </c>
      <c r="Y1832" s="220">
        <f>X1832*0.1</f>
        <v>34500</v>
      </c>
      <c r="Z1832" s="220">
        <v>9070</v>
      </c>
      <c r="AA1832" s="220">
        <f>SUM(X1832:Z1832)</f>
        <v>388570</v>
      </c>
      <c r="AB1832" s="222">
        <v>45951</v>
      </c>
    </row>
    <row r="1833" spans="1:28" ht="17.100000000000001" customHeight="1" thickBot="1">
      <c r="A1833" s="227"/>
      <c r="B1833" s="27" t="s">
        <v>2597</v>
      </c>
      <c r="C1833" s="27">
        <v>9382</v>
      </c>
      <c r="D1833" s="14" t="s">
        <v>1548</v>
      </c>
      <c r="E1833" s="229"/>
      <c r="F1833" s="117" t="s">
        <v>5370</v>
      </c>
      <c r="G1833" s="26">
        <v>54844</v>
      </c>
      <c r="H1833" s="231"/>
      <c r="I1833" s="221"/>
      <c r="J1833" s="221"/>
      <c r="K1833" s="221"/>
      <c r="L1833" s="221"/>
      <c r="M1833" s="221"/>
      <c r="N1833" s="221"/>
      <c r="O1833" s="225"/>
      <c r="P1833" s="118" t="s">
        <v>2843</v>
      </c>
      <c r="Q1833" s="16" t="s">
        <v>20</v>
      </c>
      <c r="R1833" s="17" t="s">
        <v>6610</v>
      </c>
      <c r="S1833" s="121" t="s">
        <v>3796</v>
      </c>
      <c r="T1833" s="122"/>
      <c r="U1833" s="22"/>
      <c r="V1833" s="123" t="s">
        <v>7160</v>
      </c>
      <c r="W1833" s="122">
        <v>60124</v>
      </c>
      <c r="X1833" s="221"/>
      <c r="Y1833" s="221"/>
      <c r="Z1833" s="221"/>
      <c r="AA1833" s="221"/>
      <c r="AB1833" s="223"/>
    </row>
    <row r="1834" spans="1:28" ht="17.100000000000001" customHeight="1" thickTop="1">
      <c r="A1834" s="226" t="s">
        <v>6546</v>
      </c>
      <c r="B1834" s="28">
        <v>45928</v>
      </c>
      <c r="C1834" s="25"/>
      <c r="D1834" s="13" t="s">
        <v>4531</v>
      </c>
      <c r="E1834" s="228"/>
      <c r="F1834" s="109" t="s">
        <v>5371</v>
      </c>
      <c r="G1834" s="24" t="s">
        <v>5372</v>
      </c>
      <c r="H1834" s="230"/>
      <c r="I1834" s="220">
        <v>286729</v>
      </c>
      <c r="J1834" s="220">
        <v>0</v>
      </c>
      <c r="K1834" s="220"/>
      <c r="L1834" s="220"/>
      <c r="M1834" s="220"/>
      <c r="N1834" s="220">
        <f>SUM(I1834:M1835)</f>
        <v>286729</v>
      </c>
      <c r="O1834" s="224"/>
      <c r="P1834" s="110" t="s">
        <v>5373</v>
      </c>
      <c r="Q1834" s="15" t="s">
        <v>19</v>
      </c>
      <c r="R1834" s="205"/>
      <c r="S1834" s="189"/>
      <c r="T1834" s="114"/>
      <c r="U1834" s="21"/>
      <c r="V1834" s="115">
        <v>45934</v>
      </c>
      <c r="W1834" s="116">
        <v>1270</v>
      </c>
      <c r="X1834" s="220">
        <v>445000</v>
      </c>
      <c r="Y1834" s="220">
        <f>X1834*0.1</f>
        <v>44500</v>
      </c>
      <c r="Z1834" s="220">
        <v>21350</v>
      </c>
      <c r="AA1834" s="220">
        <f>SUM(X1834:Z1834)</f>
        <v>510850</v>
      </c>
      <c r="AB1834" s="222">
        <v>45937</v>
      </c>
    </row>
    <row r="1835" spans="1:28" ht="17.100000000000001" customHeight="1" thickBot="1">
      <c r="A1835" s="227"/>
      <c r="B1835" s="27" t="s">
        <v>5374</v>
      </c>
      <c r="C1835" s="27"/>
      <c r="D1835" s="14"/>
      <c r="E1835" s="229"/>
      <c r="F1835" s="117" t="s">
        <v>5375</v>
      </c>
      <c r="G1835" s="26">
        <v>82728</v>
      </c>
      <c r="H1835" s="231"/>
      <c r="I1835" s="221"/>
      <c r="J1835" s="221"/>
      <c r="K1835" s="221"/>
      <c r="L1835" s="221"/>
      <c r="M1835" s="221"/>
      <c r="N1835" s="221"/>
      <c r="O1835" s="225"/>
      <c r="P1835" s="118" t="s">
        <v>5376</v>
      </c>
      <c r="Q1835" s="16" t="s">
        <v>20</v>
      </c>
      <c r="R1835" s="17" t="s">
        <v>4111</v>
      </c>
      <c r="S1835" s="121" t="s">
        <v>7302</v>
      </c>
      <c r="T1835" s="122"/>
      <c r="U1835" s="22"/>
      <c r="V1835" s="123" t="s">
        <v>7160</v>
      </c>
      <c r="W1835" s="122">
        <v>82150</v>
      </c>
      <c r="X1835" s="221"/>
      <c r="Y1835" s="221"/>
      <c r="Z1835" s="221"/>
      <c r="AA1835" s="221"/>
      <c r="AB1835" s="223"/>
    </row>
    <row r="1836" spans="1:28" ht="17.100000000000001" customHeight="1" thickTop="1">
      <c r="A1836" s="226" t="s">
        <v>6547</v>
      </c>
      <c r="B1836" s="28">
        <v>45927</v>
      </c>
      <c r="C1836" s="25">
        <v>1269</v>
      </c>
      <c r="D1836" s="13" t="s">
        <v>1947</v>
      </c>
      <c r="E1836" s="228"/>
      <c r="F1836" s="109" t="s">
        <v>5377</v>
      </c>
      <c r="G1836" s="24" t="s">
        <v>5378</v>
      </c>
      <c r="H1836" s="230">
        <v>4.5</v>
      </c>
      <c r="I1836" s="220">
        <v>1625000</v>
      </c>
      <c r="J1836" s="220">
        <f>I1836*0.1</f>
        <v>162500</v>
      </c>
      <c r="K1836" s="220">
        <v>0</v>
      </c>
      <c r="L1836" s="220">
        <v>11100</v>
      </c>
      <c r="M1836" s="220">
        <v>12100</v>
      </c>
      <c r="N1836" s="220">
        <f>SUM(I1836:M1837)</f>
        <v>1810700</v>
      </c>
      <c r="O1836" s="224"/>
      <c r="P1836" s="110" t="s">
        <v>6820</v>
      </c>
      <c r="Q1836" s="15" t="s">
        <v>19</v>
      </c>
      <c r="R1836" s="205"/>
      <c r="S1836" s="189" t="s">
        <v>25476</v>
      </c>
      <c r="T1836" s="114"/>
      <c r="U1836" s="21" t="s">
        <v>8147</v>
      </c>
      <c r="V1836" s="115">
        <v>45937</v>
      </c>
      <c r="W1836" s="116">
        <v>1912</v>
      </c>
      <c r="X1836" s="220">
        <v>1695000</v>
      </c>
      <c r="Y1836" s="220">
        <f>X1836*0.1</f>
        <v>169500</v>
      </c>
      <c r="Z1836" s="220">
        <v>11100</v>
      </c>
      <c r="AA1836" s="220">
        <f>SUM(X1836:Z1836)</f>
        <v>1875600</v>
      </c>
      <c r="AB1836" s="222">
        <v>45950</v>
      </c>
    </row>
    <row r="1837" spans="1:28" ht="17.100000000000001" customHeight="1" thickBot="1">
      <c r="A1837" s="227"/>
      <c r="B1837" s="27" t="s">
        <v>2472</v>
      </c>
      <c r="C1837" s="27">
        <v>31052</v>
      </c>
      <c r="D1837" s="14" t="s">
        <v>2559</v>
      </c>
      <c r="E1837" s="229"/>
      <c r="F1837" s="117" t="s">
        <v>5379</v>
      </c>
      <c r="G1837" s="26">
        <v>21285</v>
      </c>
      <c r="H1837" s="231"/>
      <c r="I1837" s="221"/>
      <c r="J1837" s="221"/>
      <c r="K1837" s="221"/>
      <c r="L1837" s="221"/>
      <c r="M1837" s="221"/>
      <c r="N1837" s="221"/>
      <c r="O1837" s="225"/>
      <c r="P1837" s="118" t="s">
        <v>2870</v>
      </c>
      <c r="Q1837" s="16" t="s">
        <v>20</v>
      </c>
      <c r="R1837" s="17" t="s">
        <v>6726</v>
      </c>
      <c r="S1837" s="121" t="s">
        <v>6821</v>
      </c>
      <c r="T1837" s="122"/>
      <c r="U1837" s="22"/>
      <c r="V1837" s="123" t="s">
        <v>7507</v>
      </c>
      <c r="W1837" s="122">
        <v>3173</v>
      </c>
      <c r="X1837" s="221"/>
      <c r="Y1837" s="221"/>
      <c r="Z1837" s="221"/>
      <c r="AA1837" s="221"/>
      <c r="AB1837" s="223"/>
    </row>
    <row r="1838" spans="1:28" ht="17.100000000000001" customHeight="1" thickTop="1">
      <c r="A1838" s="226" t="s">
        <v>6548</v>
      </c>
      <c r="B1838" s="28">
        <v>45927</v>
      </c>
      <c r="C1838" s="25">
        <v>1269</v>
      </c>
      <c r="D1838" s="13" t="s">
        <v>1553</v>
      </c>
      <c r="E1838" s="228"/>
      <c r="F1838" s="109" t="s">
        <v>5380</v>
      </c>
      <c r="G1838" s="24" t="s">
        <v>5381</v>
      </c>
      <c r="H1838" s="230">
        <v>4</v>
      </c>
      <c r="I1838" s="220">
        <v>855000</v>
      </c>
      <c r="J1838" s="220">
        <f>I1838*0.1</f>
        <v>85500</v>
      </c>
      <c r="K1838" s="220">
        <f>19700+1970</f>
        <v>21670</v>
      </c>
      <c r="L1838" s="220">
        <v>11810</v>
      </c>
      <c r="M1838" s="220">
        <v>12100</v>
      </c>
      <c r="N1838" s="220">
        <f>SUM(I1838:M1839)</f>
        <v>986080</v>
      </c>
      <c r="O1838" s="224"/>
      <c r="P1838" s="110" t="s">
        <v>5382</v>
      </c>
      <c r="Q1838" s="15" t="s">
        <v>19</v>
      </c>
      <c r="R1838" s="205"/>
      <c r="S1838" s="189" t="s">
        <v>1406</v>
      </c>
      <c r="T1838" s="114"/>
      <c r="U1838" s="21"/>
      <c r="V1838" s="115">
        <v>45997</v>
      </c>
      <c r="W1838" s="116">
        <v>1279</v>
      </c>
      <c r="X1838" s="220">
        <v>910000</v>
      </c>
      <c r="Y1838" s="220">
        <f>X1838*0.1</f>
        <v>91000</v>
      </c>
      <c r="Z1838" s="220">
        <v>11810</v>
      </c>
      <c r="AA1838" s="220">
        <f>SUM(X1838:Z1838)</f>
        <v>1012810</v>
      </c>
      <c r="AB1838" s="222">
        <v>46001</v>
      </c>
    </row>
    <row r="1839" spans="1:28" ht="17.100000000000001" customHeight="1" thickBot="1">
      <c r="A1839" s="227"/>
      <c r="B1839" s="27" t="s">
        <v>2472</v>
      </c>
      <c r="C1839" s="27">
        <v>37607</v>
      </c>
      <c r="D1839" s="14" t="s">
        <v>273</v>
      </c>
      <c r="E1839" s="229"/>
      <c r="F1839" s="117" t="s">
        <v>5383</v>
      </c>
      <c r="G1839" s="26">
        <v>54571</v>
      </c>
      <c r="H1839" s="231"/>
      <c r="I1839" s="221"/>
      <c r="J1839" s="221"/>
      <c r="K1839" s="221"/>
      <c r="L1839" s="221"/>
      <c r="M1839" s="221"/>
      <c r="N1839" s="221"/>
      <c r="O1839" s="225"/>
      <c r="P1839" s="118" t="s">
        <v>7244</v>
      </c>
      <c r="Q1839" s="16" t="s">
        <v>20</v>
      </c>
      <c r="R1839" s="17" t="s">
        <v>2128</v>
      </c>
      <c r="S1839" s="121" t="s">
        <v>7245</v>
      </c>
      <c r="T1839" s="122"/>
      <c r="U1839" s="22"/>
      <c r="V1839" s="123" t="s">
        <v>2472</v>
      </c>
      <c r="W1839" s="122">
        <v>50116</v>
      </c>
      <c r="X1839" s="221"/>
      <c r="Y1839" s="221"/>
      <c r="Z1839" s="221"/>
      <c r="AA1839" s="221"/>
      <c r="AB1839" s="223"/>
    </row>
    <row r="1840" spans="1:28" ht="17.100000000000001" customHeight="1" thickTop="1">
      <c r="A1840" s="226" t="s">
        <v>6549</v>
      </c>
      <c r="B1840" s="28">
        <v>45927</v>
      </c>
      <c r="C1840" s="25">
        <v>1269</v>
      </c>
      <c r="D1840" s="13" t="s">
        <v>1642</v>
      </c>
      <c r="E1840" s="228"/>
      <c r="F1840" s="109" t="s">
        <v>5336</v>
      </c>
      <c r="G1840" s="24" t="s">
        <v>2894</v>
      </c>
      <c r="H1840" s="230">
        <v>4.5</v>
      </c>
      <c r="I1840" s="220">
        <v>1085000</v>
      </c>
      <c r="J1840" s="220">
        <f>I1840*0.1</f>
        <v>108500</v>
      </c>
      <c r="K1840" s="220">
        <v>0</v>
      </c>
      <c r="L1840" s="220">
        <v>6550</v>
      </c>
      <c r="M1840" s="220">
        <v>11000</v>
      </c>
      <c r="N1840" s="220">
        <f>SUM(I1840:M1841)</f>
        <v>1211050</v>
      </c>
      <c r="O1840" s="224"/>
      <c r="P1840" s="110" t="s">
        <v>5384</v>
      </c>
      <c r="Q1840" s="15" t="s">
        <v>19</v>
      </c>
      <c r="R1840" s="205"/>
      <c r="S1840" s="189" t="s">
        <v>25458</v>
      </c>
      <c r="T1840" s="114"/>
      <c r="U1840" s="21" t="s">
        <v>8151</v>
      </c>
      <c r="V1840" s="115">
        <v>45983</v>
      </c>
      <c r="W1840" s="116">
        <v>1277</v>
      </c>
      <c r="X1840" s="220">
        <v>1090000</v>
      </c>
      <c r="Y1840" s="220">
        <f>X1840*0.1</f>
        <v>109000</v>
      </c>
      <c r="Z1840" s="220">
        <v>6550</v>
      </c>
      <c r="AA1840" s="220">
        <f>SUM(X1840:Z1840)</f>
        <v>1205550</v>
      </c>
      <c r="AB1840" s="222">
        <v>45987</v>
      </c>
    </row>
    <row r="1841" spans="1:28" ht="17.100000000000001" customHeight="1" thickBot="1">
      <c r="A1841" s="227"/>
      <c r="B1841" s="27" t="s">
        <v>2472</v>
      </c>
      <c r="C1841" s="27">
        <v>62032</v>
      </c>
      <c r="D1841" s="14" t="s">
        <v>273</v>
      </c>
      <c r="E1841" s="229"/>
      <c r="F1841" s="117" t="s">
        <v>5385</v>
      </c>
      <c r="G1841" s="26">
        <v>25858</v>
      </c>
      <c r="H1841" s="231"/>
      <c r="I1841" s="221"/>
      <c r="J1841" s="221"/>
      <c r="K1841" s="221"/>
      <c r="L1841" s="221"/>
      <c r="M1841" s="221"/>
      <c r="N1841" s="221"/>
      <c r="O1841" s="225"/>
      <c r="P1841" s="118" t="s">
        <v>6823</v>
      </c>
      <c r="Q1841" s="16" t="s">
        <v>20</v>
      </c>
      <c r="R1841" s="17" t="s">
        <v>6726</v>
      </c>
      <c r="S1841" s="121" t="s">
        <v>6824</v>
      </c>
      <c r="T1841" s="122"/>
      <c r="U1841" s="22"/>
      <c r="V1841" s="123" t="s">
        <v>7160</v>
      </c>
      <c r="W1841" s="122">
        <v>60273</v>
      </c>
      <c r="X1841" s="221"/>
      <c r="Y1841" s="221"/>
      <c r="Z1841" s="221"/>
      <c r="AA1841" s="221"/>
      <c r="AB1841" s="223"/>
    </row>
    <row r="1842" spans="1:28" ht="17.100000000000001" customHeight="1" thickTop="1">
      <c r="A1842" s="226" t="s">
        <v>6550</v>
      </c>
      <c r="B1842" s="28">
        <v>45927</v>
      </c>
      <c r="C1842" s="25">
        <v>1269</v>
      </c>
      <c r="D1842" s="13" t="s">
        <v>2811</v>
      </c>
      <c r="E1842" s="228"/>
      <c r="F1842" s="109" t="s">
        <v>5386</v>
      </c>
      <c r="G1842" s="24" t="s">
        <v>4669</v>
      </c>
      <c r="H1842" s="230">
        <v>4.5</v>
      </c>
      <c r="I1842" s="220">
        <v>530000</v>
      </c>
      <c r="J1842" s="220">
        <f>I1842*0.1</f>
        <v>53000</v>
      </c>
      <c r="K1842" s="220">
        <v>0</v>
      </c>
      <c r="L1842" s="220">
        <v>7170</v>
      </c>
      <c r="M1842" s="220">
        <v>12100</v>
      </c>
      <c r="N1842" s="220">
        <f>SUM(I1842:M1843)</f>
        <v>602270</v>
      </c>
      <c r="O1842" s="224"/>
      <c r="P1842" s="110" t="s">
        <v>5387</v>
      </c>
      <c r="Q1842" s="15" t="s">
        <v>19</v>
      </c>
      <c r="R1842" s="205"/>
      <c r="S1842" s="189" t="s">
        <v>25486</v>
      </c>
      <c r="T1842" s="114"/>
      <c r="U1842" s="21"/>
      <c r="V1842" s="115">
        <v>45931</v>
      </c>
      <c r="W1842" s="116">
        <v>986</v>
      </c>
      <c r="X1842" s="220">
        <v>600000</v>
      </c>
      <c r="Y1842" s="220">
        <f>X1842*0.1</f>
        <v>60000</v>
      </c>
      <c r="Z1842" s="220">
        <v>7170</v>
      </c>
      <c r="AA1842" s="220">
        <f>SUM(X1842:Z1842)</f>
        <v>667170</v>
      </c>
      <c r="AB1842" s="222">
        <v>45939</v>
      </c>
    </row>
    <row r="1843" spans="1:28" ht="17.100000000000001" customHeight="1" thickBot="1">
      <c r="A1843" s="227"/>
      <c r="B1843" s="27" t="s">
        <v>2472</v>
      </c>
      <c r="C1843" s="27">
        <v>65036</v>
      </c>
      <c r="D1843" s="14" t="s">
        <v>898</v>
      </c>
      <c r="E1843" s="229"/>
      <c r="F1843" s="117" t="s">
        <v>5388</v>
      </c>
      <c r="G1843" s="26">
        <v>31310</v>
      </c>
      <c r="H1843" s="231"/>
      <c r="I1843" s="221"/>
      <c r="J1843" s="221"/>
      <c r="K1843" s="221"/>
      <c r="L1843" s="221"/>
      <c r="M1843" s="221"/>
      <c r="N1843" s="221"/>
      <c r="O1843" s="225"/>
      <c r="P1843" s="118" t="s">
        <v>7274</v>
      </c>
      <c r="Q1843" s="16" t="s">
        <v>20</v>
      </c>
      <c r="R1843" s="17" t="s">
        <v>3264</v>
      </c>
      <c r="S1843" s="121" t="s">
        <v>7275</v>
      </c>
      <c r="T1843" s="122"/>
      <c r="U1843" s="22"/>
      <c r="V1843" s="123" t="s">
        <v>2747</v>
      </c>
      <c r="W1843" s="122">
        <v>2058</v>
      </c>
      <c r="X1843" s="221"/>
      <c r="Y1843" s="221"/>
      <c r="Z1843" s="221"/>
      <c r="AA1843" s="221"/>
      <c r="AB1843" s="223"/>
    </row>
    <row r="1844" spans="1:28" ht="17.100000000000001" customHeight="1" thickTop="1">
      <c r="A1844" s="226" t="s">
        <v>6551</v>
      </c>
      <c r="B1844" s="28">
        <v>45927</v>
      </c>
      <c r="C1844" s="25">
        <v>1269</v>
      </c>
      <c r="D1844" s="13" t="s">
        <v>2094</v>
      </c>
      <c r="E1844" s="228"/>
      <c r="F1844" s="109" t="s">
        <v>5389</v>
      </c>
      <c r="G1844" s="24" t="s">
        <v>5390</v>
      </c>
      <c r="H1844" s="230">
        <v>5</v>
      </c>
      <c r="I1844" s="220">
        <v>1125000</v>
      </c>
      <c r="J1844" s="220">
        <f>I1844*0.1</f>
        <v>112500</v>
      </c>
      <c r="K1844" s="220">
        <v>0</v>
      </c>
      <c r="L1844" s="220">
        <v>8200</v>
      </c>
      <c r="M1844" s="220">
        <v>12100</v>
      </c>
      <c r="N1844" s="220">
        <f>SUM(I1844:M1845)</f>
        <v>1257800</v>
      </c>
      <c r="O1844" s="224"/>
      <c r="P1844" s="110" t="s">
        <v>5391</v>
      </c>
      <c r="Q1844" s="15" t="s">
        <v>19</v>
      </c>
      <c r="R1844" s="205"/>
      <c r="S1844" s="189" t="s">
        <v>1422</v>
      </c>
      <c r="T1844" s="114"/>
      <c r="U1844" s="21" t="s">
        <v>7565</v>
      </c>
      <c r="V1844" s="115">
        <v>45944</v>
      </c>
      <c r="W1844" s="116">
        <v>1913</v>
      </c>
      <c r="X1844" s="220">
        <v>1180000</v>
      </c>
      <c r="Y1844" s="220">
        <f>X1844*0.1</f>
        <v>118000</v>
      </c>
      <c r="Z1844" s="220">
        <v>8200</v>
      </c>
      <c r="AA1844" s="220">
        <f>SUM(X1844:Z1844)</f>
        <v>1306200</v>
      </c>
      <c r="AB1844" s="222">
        <v>45950</v>
      </c>
    </row>
    <row r="1845" spans="1:28" ht="17.100000000000001" customHeight="1" thickBot="1">
      <c r="A1845" s="227"/>
      <c r="B1845" s="27" t="s">
        <v>2472</v>
      </c>
      <c r="C1845" s="27">
        <v>65039</v>
      </c>
      <c r="D1845" s="14" t="s">
        <v>273</v>
      </c>
      <c r="E1845" s="229"/>
      <c r="F1845" s="117" t="s">
        <v>5392</v>
      </c>
      <c r="G1845" s="26">
        <v>7170</v>
      </c>
      <c r="H1845" s="231"/>
      <c r="I1845" s="221"/>
      <c r="J1845" s="221"/>
      <c r="K1845" s="221"/>
      <c r="L1845" s="221"/>
      <c r="M1845" s="221"/>
      <c r="N1845" s="221"/>
      <c r="O1845" s="225"/>
      <c r="P1845" s="118" t="s">
        <v>6822</v>
      </c>
      <c r="Q1845" s="16" t="s">
        <v>20</v>
      </c>
      <c r="R1845" s="17" t="s">
        <v>6726</v>
      </c>
      <c r="S1845" s="121" t="s">
        <v>1923</v>
      </c>
      <c r="T1845" s="122"/>
      <c r="U1845" s="22"/>
      <c r="V1845" s="123" t="s">
        <v>2103</v>
      </c>
      <c r="W1845" s="122">
        <v>3141</v>
      </c>
      <c r="X1845" s="221"/>
      <c r="Y1845" s="221"/>
      <c r="Z1845" s="221"/>
      <c r="AA1845" s="221"/>
      <c r="AB1845" s="223"/>
    </row>
    <row r="1846" spans="1:28" ht="17.100000000000001" customHeight="1" thickTop="1">
      <c r="A1846" s="226" t="s">
        <v>6552</v>
      </c>
      <c r="B1846" s="28">
        <v>45927</v>
      </c>
      <c r="C1846" s="25">
        <v>1269</v>
      </c>
      <c r="D1846" s="13" t="s">
        <v>1754</v>
      </c>
      <c r="E1846" s="228"/>
      <c r="F1846" s="109" t="s">
        <v>5393</v>
      </c>
      <c r="G1846" s="24" t="s">
        <v>4163</v>
      </c>
      <c r="H1846" s="230">
        <v>4.5</v>
      </c>
      <c r="I1846" s="220">
        <v>505000</v>
      </c>
      <c r="J1846" s="220">
        <f>I1846*0.1</f>
        <v>50500</v>
      </c>
      <c r="K1846" s="220">
        <v>0</v>
      </c>
      <c r="L1846" s="220">
        <v>9190</v>
      </c>
      <c r="M1846" s="220">
        <v>12100</v>
      </c>
      <c r="N1846" s="220">
        <f>SUM(I1846:M1847)</f>
        <v>576790</v>
      </c>
      <c r="O1846" s="224"/>
      <c r="P1846" s="110" t="s">
        <v>5394</v>
      </c>
      <c r="Q1846" s="15" t="s">
        <v>19</v>
      </c>
      <c r="R1846" s="205"/>
      <c r="S1846" s="189" t="s">
        <v>25487</v>
      </c>
      <c r="T1846" s="114"/>
      <c r="U1846" s="21"/>
      <c r="V1846" s="115">
        <v>45931</v>
      </c>
      <c r="W1846" s="116">
        <v>986</v>
      </c>
      <c r="X1846" s="220">
        <v>565000</v>
      </c>
      <c r="Y1846" s="220">
        <f>X1846*0.1</f>
        <v>56500</v>
      </c>
      <c r="Z1846" s="220">
        <v>9190</v>
      </c>
      <c r="AA1846" s="220">
        <f>SUM(X1846:Z1846)</f>
        <v>630690</v>
      </c>
      <c r="AB1846" s="222">
        <v>45937</v>
      </c>
    </row>
    <row r="1847" spans="1:28" ht="17.100000000000001" customHeight="1" thickBot="1">
      <c r="A1847" s="227"/>
      <c r="B1847" s="27" t="s">
        <v>2472</v>
      </c>
      <c r="C1847" s="27">
        <v>65494</v>
      </c>
      <c r="D1847" s="14" t="s">
        <v>2014</v>
      </c>
      <c r="E1847" s="229"/>
      <c r="F1847" s="117" t="s">
        <v>5396</v>
      </c>
      <c r="G1847" s="26">
        <v>53378</v>
      </c>
      <c r="H1847" s="231"/>
      <c r="I1847" s="221"/>
      <c r="J1847" s="221"/>
      <c r="K1847" s="221"/>
      <c r="L1847" s="221"/>
      <c r="M1847" s="221"/>
      <c r="N1847" s="221"/>
      <c r="O1847" s="225"/>
      <c r="P1847" s="118" t="s">
        <v>6725</v>
      </c>
      <c r="Q1847" s="16" t="s">
        <v>20</v>
      </c>
      <c r="R1847" s="17" t="s">
        <v>6726</v>
      </c>
      <c r="S1847" s="121" t="s">
        <v>4716</v>
      </c>
      <c r="T1847" s="122"/>
      <c r="U1847" s="22"/>
      <c r="V1847" s="123" t="s">
        <v>2747</v>
      </c>
      <c r="W1847" s="122">
        <v>2061</v>
      </c>
      <c r="X1847" s="221"/>
      <c r="Y1847" s="221"/>
      <c r="Z1847" s="221"/>
      <c r="AA1847" s="221"/>
      <c r="AB1847" s="223"/>
    </row>
    <row r="1848" spans="1:28" ht="17.100000000000001" customHeight="1" thickTop="1">
      <c r="A1848" s="226" t="s">
        <v>6553</v>
      </c>
      <c r="B1848" s="28">
        <v>45927</v>
      </c>
      <c r="C1848" s="25">
        <v>1269</v>
      </c>
      <c r="D1848" s="13" t="s">
        <v>2463</v>
      </c>
      <c r="E1848" s="228"/>
      <c r="F1848" s="109" t="s">
        <v>4369</v>
      </c>
      <c r="G1848" s="24"/>
      <c r="H1848" s="230">
        <v>4</v>
      </c>
      <c r="I1848" s="220">
        <v>670000</v>
      </c>
      <c r="J1848" s="220">
        <f>I1848*0.1</f>
        <v>67000</v>
      </c>
      <c r="K1848" s="220">
        <v>0</v>
      </c>
      <c r="L1848" s="220">
        <v>9010</v>
      </c>
      <c r="M1848" s="220">
        <v>12100</v>
      </c>
      <c r="N1848" s="220">
        <f>SUM(I1848:M1849)</f>
        <v>758110</v>
      </c>
      <c r="O1848" s="224"/>
      <c r="P1848" s="110" t="s">
        <v>6728</v>
      </c>
      <c r="Q1848" s="15" t="s">
        <v>19</v>
      </c>
      <c r="R1848" s="205"/>
      <c r="S1848" s="189"/>
      <c r="T1848" s="114"/>
      <c r="U1848" s="21"/>
      <c r="V1848" s="115">
        <v>45931</v>
      </c>
      <c r="W1848" s="116">
        <v>986</v>
      </c>
      <c r="X1848" s="220">
        <v>830000</v>
      </c>
      <c r="Y1848" s="220">
        <f>X1848*0.1</f>
        <v>83000</v>
      </c>
      <c r="Z1848" s="220">
        <v>9010</v>
      </c>
      <c r="AA1848" s="220">
        <f>SUM(X1848:Z1848)</f>
        <v>922010</v>
      </c>
      <c r="AB1848" s="222">
        <v>45937</v>
      </c>
    </row>
    <row r="1849" spans="1:28" ht="17.100000000000001" customHeight="1" thickBot="1">
      <c r="A1849" s="227"/>
      <c r="B1849" s="27" t="s">
        <v>2472</v>
      </c>
      <c r="C1849" s="27">
        <v>65507</v>
      </c>
      <c r="D1849" s="14" t="s">
        <v>3274</v>
      </c>
      <c r="E1849" s="229"/>
      <c r="F1849" s="117" t="s">
        <v>5397</v>
      </c>
      <c r="G1849" s="26">
        <v>95027</v>
      </c>
      <c r="H1849" s="231"/>
      <c r="I1849" s="221"/>
      <c r="J1849" s="221"/>
      <c r="K1849" s="221"/>
      <c r="L1849" s="221"/>
      <c r="M1849" s="221"/>
      <c r="N1849" s="221"/>
      <c r="O1849" s="225"/>
      <c r="P1849" s="118" t="s">
        <v>6729</v>
      </c>
      <c r="Q1849" s="16" t="s">
        <v>20</v>
      </c>
      <c r="R1849" s="17" t="s">
        <v>6726</v>
      </c>
      <c r="S1849" s="121" t="s">
        <v>6727</v>
      </c>
      <c r="T1849" s="122" t="s">
        <v>5398</v>
      </c>
      <c r="U1849" s="22"/>
      <c r="V1849" s="123" t="s">
        <v>2747</v>
      </c>
      <c r="W1849" s="122">
        <v>2059</v>
      </c>
      <c r="X1849" s="221"/>
      <c r="Y1849" s="221"/>
      <c r="Z1849" s="221"/>
      <c r="AA1849" s="221"/>
      <c r="AB1849" s="223"/>
    </row>
    <row r="1850" spans="1:28" ht="17.100000000000001" customHeight="1" thickTop="1">
      <c r="A1850" s="226" t="s">
        <v>6554</v>
      </c>
      <c r="B1850" s="28">
        <v>45927</v>
      </c>
      <c r="C1850" s="25">
        <v>1269</v>
      </c>
      <c r="D1850" s="13" t="s">
        <v>2203</v>
      </c>
      <c r="E1850" s="228"/>
      <c r="F1850" s="109" t="s">
        <v>4483</v>
      </c>
      <c r="G1850" s="24"/>
      <c r="H1850" s="230">
        <v>4</v>
      </c>
      <c r="I1850" s="220">
        <v>475000</v>
      </c>
      <c r="J1850" s="220">
        <f>I1850*0.1</f>
        <v>47500</v>
      </c>
      <c r="K1850" s="220">
        <v>0</v>
      </c>
      <c r="L1850" s="220">
        <v>17700</v>
      </c>
      <c r="M1850" s="220">
        <v>16500</v>
      </c>
      <c r="N1850" s="220">
        <f>SUM(I1850:M1851)</f>
        <v>556700</v>
      </c>
      <c r="O1850" s="224"/>
      <c r="P1850" s="110" t="s">
        <v>6831</v>
      </c>
      <c r="Q1850" s="15" t="s">
        <v>19</v>
      </c>
      <c r="R1850" s="205"/>
      <c r="S1850" s="189"/>
      <c r="T1850" s="114"/>
      <c r="U1850" s="21"/>
      <c r="V1850" s="115">
        <v>45952</v>
      </c>
      <c r="W1850" s="116">
        <v>989</v>
      </c>
      <c r="X1850" s="220">
        <v>590000</v>
      </c>
      <c r="Y1850" s="220">
        <f>X1850*0.1</f>
        <v>59000</v>
      </c>
      <c r="Z1850" s="220">
        <v>17700</v>
      </c>
      <c r="AA1850" s="220">
        <f>SUM(X1850:Z1850)</f>
        <v>666700</v>
      </c>
      <c r="AB1850" s="222">
        <v>45960</v>
      </c>
    </row>
    <row r="1851" spans="1:28" ht="17.100000000000001" customHeight="1" thickBot="1">
      <c r="A1851" s="227"/>
      <c r="B1851" s="27" t="s">
        <v>2472</v>
      </c>
      <c r="C1851" s="27">
        <v>82079</v>
      </c>
      <c r="D1851" s="14" t="s">
        <v>898</v>
      </c>
      <c r="E1851" s="229"/>
      <c r="F1851" s="117" t="s">
        <v>5399</v>
      </c>
      <c r="G1851" s="26">
        <v>68029</v>
      </c>
      <c r="H1851" s="231"/>
      <c r="I1851" s="221"/>
      <c r="J1851" s="221"/>
      <c r="K1851" s="221"/>
      <c r="L1851" s="221"/>
      <c r="M1851" s="221"/>
      <c r="N1851" s="221"/>
      <c r="O1851" s="225"/>
      <c r="P1851" s="118" t="s">
        <v>2729</v>
      </c>
      <c r="Q1851" s="16" t="s">
        <v>20</v>
      </c>
      <c r="R1851" s="17" t="s">
        <v>6726</v>
      </c>
      <c r="S1851" s="121" t="s">
        <v>6978</v>
      </c>
      <c r="T1851" s="122"/>
      <c r="U1851" s="22"/>
      <c r="V1851" s="123" t="s">
        <v>7161</v>
      </c>
      <c r="W1851" s="122">
        <v>5288</v>
      </c>
      <c r="X1851" s="221"/>
      <c r="Y1851" s="221"/>
      <c r="Z1851" s="221"/>
      <c r="AA1851" s="221"/>
      <c r="AB1851" s="223"/>
    </row>
    <row r="1852" spans="1:28" ht="17.100000000000001" customHeight="1" thickTop="1">
      <c r="A1852" s="226" t="s">
        <v>6555</v>
      </c>
      <c r="B1852" s="28">
        <v>45927</v>
      </c>
      <c r="C1852" s="25">
        <v>1269</v>
      </c>
      <c r="D1852" s="13" t="s">
        <v>1733</v>
      </c>
      <c r="E1852" s="228"/>
      <c r="F1852" s="109" t="s">
        <v>5297</v>
      </c>
      <c r="G1852" s="24"/>
      <c r="H1852" s="230">
        <v>4.5</v>
      </c>
      <c r="I1852" s="220">
        <v>600000</v>
      </c>
      <c r="J1852" s="220">
        <f>I1852*0.1</f>
        <v>60000</v>
      </c>
      <c r="K1852" s="220">
        <v>0</v>
      </c>
      <c r="L1852" s="220">
        <v>17250</v>
      </c>
      <c r="M1852" s="220">
        <v>16500</v>
      </c>
      <c r="N1852" s="220">
        <f>SUM(I1852:M1853)</f>
        <v>693750</v>
      </c>
      <c r="O1852" s="224"/>
      <c r="P1852" s="110" t="s">
        <v>6730</v>
      </c>
      <c r="Q1852" s="15" t="s">
        <v>19</v>
      </c>
      <c r="R1852" s="205"/>
      <c r="S1852" s="189"/>
      <c r="T1852" s="114"/>
      <c r="U1852" s="21"/>
      <c r="V1852" s="115">
        <v>45932</v>
      </c>
      <c r="W1852" s="116">
        <v>1300</v>
      </c>
      <c r="X1852" s="220">
        <v>715000</v>
      </c>
      <c r="Y1852" s="220">
        <f>X1852*0.1</f>
        <v>71500</v>
      </c>
      <c r="Z1852" s="220">
        <v>17250</v>
      </c>
      <c r="AA1852" s="220">
        <f>SUM(X1852:Z1852)</f>
        <v>803750</v>
      </c>
      <c r="AB1852" s="222">
        <v>45933</v>
      </c>
    </row>
    <row r="1853" spans="1:28" ht="17.100000000000001" customHeight="1" thickBot="1">
      <c r="A1853" s="227"/>
      <c r="B1853" s="27" t="s">
        <v>2472</v>
      </c>
      <c r="C1853" s="27">
        <v>82271</v>
      </c>
      <c r="D1853" s="14" t="s">
        <v>5400</v>
      </c>
      <c r="E1853" s="229"/>
      <c r="F1853" s="117" t="s">
        <v>5401</v>
      </c>
      <c r="G1853" s="26">
        <v>57006</v>
      </c>
      <c r="H1853" s="231"/>
      <c r="I1853" s="221"/>
      <c r="J1853" s="221"/>
      <c r="K1853" s="221"/>
      <c r="L1853" s="221"/>
      <c r="M1853" s="221"/>
      <c r="N1853" s="221"/>
      <c r="O1853" s="225"/>
      <c r="P1853" s="118" t="s">
        <v>2870</v>
      </c>
      <c r="Q1853" s="16" t="s">
        <v>20</v>
      </c>
      <c r="R1853" s="17" t="s">
        <v>6726</v>
      </c>
      <c r="S1853" s="121" t="s">
        <v>6731</v>
      </c>
      <c r="T1853" s="122"/>
      <c r="U1853" s="22"/>
      <c r="V1853" s="123" t="s">
        <v>1735</v>
      </c>
      <c r="W1853" s="122">
        <v>133</v>
      </c>
      <c r="X1853" s="221"/>
      <c r="Y1853" s="221"/>
      <c r="Z1853" s="221"/>
      <c r="AA1853" s="221"/>
      <c r="AB1853" s="223"/>
    </row>
    <row r="1854" spans="1:28" ht="17.100000000000001" customHeight="1" thickTop="1">
      <c r="A1854" s="226" t="s">
        <v>6556</v>
      </c>
      <c r="B1854" s="28">
        <v>45927</v>
      </c>
      <c r="C1854" s="25">
        <v>1269</v>
      </c>
      <c r="D1854" s="13" t="s">
        <v>2610</v>
      </c>
      <c r="E1854" s="228"/>
      <c r="F1854" s="109" t="s">
        <v>5402</v>
      </c>
      <c r="G1854" s="24"/>
      <c r="H1854" s="230">
        <v>4.5</v>
      </c>
      <c r="I1854" s="220">
        <v>1840000</v>
      </c>
      <c r="J1854" s="220">
        <f>I1854*0.1</f>
        <v>184000</v>
      </c>
      <c r="K1854" s="220">
        <v>0</v>
      </c>
      <c r="L1854" s="220">
        <v>15790</v>
      </c>
      <c r="M1854" s="220">
        <v>16500</v>
      </c>
      <c r="N1854" s="220">
        <f>SUM(I1854:M1855)</f>
        <v>2056290</v>
      </c>
      <c r="O1854" s="224"/>
      <c r="P1854" s="110" t="s">
        <v>6826</v>
      </c>
      <c r="Q1854" s="15" t="s">
        <v>19</v>
      </c>
      <c r="R1854" s="205"/>
      <c r="S1854" s="189" t="s">
        <v>1271</v>
      </c>
      <c r="T1854" s="114"/>
      <c r="U1854" s="21"/>
      <c r="V1854" s="115">
        <v>45948</v>
      </c>
      <c r="W1854" s="116">
        <v>1272</v>
      </c>
      <c r="X1854" s="220">
        <v>1980000</v>
      </c>
      <c r="Y1854" s="220">
        <f>X1854*0.1</f>
        <v>198000</v>
      </c>
      <c r="Z1854" s="220">
        <v>15790</v>
      </c>
      <c r="AA1854" s="220">
        <f>SUM(X1854:Z1854)</f>
        <v>2193790</v>
      </c>
      <c r="AB1854" s="222">
        <v>45951</v>
      </c>
    </row>
    <row r="1855" spans="1:28" ht="17.100000000000001" customHeight="1" thickBot="1">
      <c r="A1855" s="227"/>
      <c r="B1855" s="27" t="s">
        <v>2472</v>
      </c>
      <c r="C1855" s="27">
        <v>82325</v>
      </c>
      <c r="D1855" s="14" t="s">
        <v>898</v>
      </c>
      <c r="E1855" s="229"/>
      <c r="F1855" s="117" t="s">
        <v>5403</v>
      </c>
      <c r="G1855" s="26">
        <v>18490</v>
      </c>
      <c r="H1855" s="231"/>
      <c r="I1855" s="221"/>
      <c r="J1855" s="221"/>
      <c r="K1855" s="221"/>
      <c r="L1855" s="221"/>
      <c r="M1855" s="221"/>
      <c r="N1855" s="221"/>
      <c r="O1855" s="225"/>
      <c r="P1855" s="118" t="s">
        <v>2568</v>
      </c>
      <c r="Q1855" s="16" t="s">
        <v>20</v>
      </c>
      <c r="R1855" s="17" t="s">
        <v>6726</v>
      </c>
      <c r="S1855" s="121" t="s">
        <v>6827</v>
      </c>
      <c r="T1855" s="122"/>
      <c r="U1855" s="22"/>
      <c r="V1855" s="123" t="s">
        <v>7160</v>
      </c>
      <c r="W1855" s="122">
        <v>80041</v>
      </c>
      <c r="X1855" s="221"/>
      <c r="Y1855" s="221"/>
      <c r="Z1855" s="221"/>
      <c r="AA1855" s="221"/>
      <c r="AB1855" s="223"/>
    </row>
    <row r="1856" spans="1:28" ht="17.100000000000001" customHeight="1" thickTop="1">
      <c r="A1856" s="226" t="s">
        <v>6557</v>
      </c>
      <c r="B1856" s="28">
        <v>45927</v>
      </c>
      <c r="C1856" s="25">
        <v>1269</v>
      </c>
      <c r="D1856" s="13" t="s">
        <v>2267</v>
      </c>
      <c r="E1856" s="228"/>
      <c r="F1856" s="109" t="s">
        <v>1651</v>
      </c>
      <c r="G1856" s="24"/>
      <c r="H1856" s="230">
        <v>4.5</v>
      </c>
      <c r="I1856" s="220">
        <v>3300000</v>
      </c>
      <c r="J1856" s="220">
        <f>I1856*0.1</f>
        <v>330000</v>
      </c>
      <c r="K1856" s="220">
        <v>0</v>
      </c>
      <c r="L1856" s="220">
        <v>25180</v>
      </c>
      <c r="M1856" s="220">
        <v>16500</v>
      </c>
      <c r="N1856" s="220">
        <f>SUM(I1856:M1857)</f>
        <v>3671680</v>
      </c>
      <c r="O1856" s="224"/>
      <c r="P1856" s="110" t="s">
        <v>6829</v>
      </c>
      <c r="Q1856" s="15" t="s">
        <v>19</v>
      </c>
      <c r="R1856" s="205"/>
      <c r="S1856" s="189"/>
      <c r="T1856" s="114"/>
      <c r="U1856" s="21"/>
      <c r="V1856" s="115"/>
      <c r="W1856" s="116"/>
      <c r="X1856" s="220"/>
      <c r="Y1856" s="220">
        <f>X1856*0.1</f>
        <v>0</v>
      </c>
      <c r="Z1856" s="220"/>
      <c r="AA1856" s="220">
        <f>SUM(X1856:Z1856)</f>
        <v>0</v>
      </c>
      <c r="AB1856" s="222"/>
    </row>
    <row r="1857" spans="1:28" ht="17.100000000000001" customHeight="1" thickBot="1">
      <c r="A1857" s="227"/>
      <c r="B1857" s="27" t="s">
        <v>2472</v>
      </c>
      <c r="C1857" s="27">
        <v>82453</v>
      </c>
      <c r="D1857" s="14" t="s">
        <v>1568</v>
      </c>
      <c r="E1857" s="229"/>
      <c r="F1857" s="117" t="s">
        <v>5404</v>
      </c>
      <c r="G1857" s="26">
        <v>43194</v>
      </c>
      <c r="H1857" s="231"/>
      <c r="I1857" s="221"/>
      <c r="J1857" s="221"/>
      <c r="K1857" s="221"/>
      <c r="L1857" s="221"/>
      <c r="M1857" s="221"/>
      <c r="N1857" s="221"/>
      <c r="O1857" s="225"/>
      <c r="P1857" s="118" t="s">
        <v>6830</v>
      </c>
      <c r="Q1857" s="16" t="s">
        <v>20</v>
      </c>
      <c r="R1857" s="17" t="s">
        <v>6726</v>
      </c>
      <c r="S1857" s="121" t="s">
        <v>1731</v>
      </c>
      <c r="T1857" s="122"/>
      <c r="U1857" s="22"/>
      <c r="V1857" s="123"/>
      <c r="W1857" s="122"/>
      <c r="X1857" s="221"/>
      <c r="Y1857" s="221"/>
      <c r="Z1857" s="221"/>
      <c r="AA1857" s="221"/>
      <c r="AB1857" s="223"/>
    </row>
    <row r="1858" spans="1:28" ht="17.100000000000001" customHeight="1" thickTop="1">
      <c r="A1858" s="226" t="s">
        <v>6558</v>
      </c>
      <c r="B1858" s="28">
        <v>45927</v>
      </c>
      <c r="C1858" s="25">
        <v>1269</v>
      </c>
      <c r="D1858" s="13" t="s">
        <v>4050</v>
      </c>
      <c r="E1858" s="228"/>
      <c r="F1858" s="109" t="s">
        <v>5405</v>
      </c>
      <c r="G1858" s="24"/>
      <c r="H1858" s="230">
        <v>4.5</v>
      </c>
      <c r="I1858" s="220">
        <v>1815000</v>
      </c>
      <c r="J1858" s="220">
        <f>I1858*0.1</f>
        <v>181500</v>
      </c>
      <c r="K1858" s="220">
        <v>0</v>
      </c>
      <c r="L1858" s="220">
        <v>21650</v>
      </c>
      <c r="M1858" s="220">
        <v>16500</v>
      </c>
      <c r="N1858" s="220">
        <f>SUM(I1858:M1859)</f>
        <v>2034650</v>
      </c>
      <c r="O1858" s="224"/>
      <c r="P1858" s="110" t="s">
        <v>6977</v>
      </c>
      <c r="Q1858" s="15" t="s">
        <v>19</v>
      </c>
      <c r="R1858" s="205"/>
      <c r="S1858" s="189" t="s">
        <v>1271</v>
      </c>
      <c r="T1858" s="114"/>
      <c r="U1858" s="21"/>
      <c r="V1858" s="115">
        <v>45931</v>
      </c>
      <c r="W1858" s="116">
        <v>986</v>
      </c>
      <c r="X1858" s="220">
        <v>2110000</v>
      </c>
      <c r="Y1858" s="220">
        <f>X1858*0.1</f>
        <v>211000</v>
      </c>
      <c r="Z1858" s="220">
        <v>21650</v>
      </c>
      <c r="AA1858" s="220">
        <f>SUM(X1858:Z1858)</f>
        <v>2342650</v>
      </c>
      <c r="AB1858" s="222">
        <v>45937</v>
      </c>
    </row>
    <row r="1859" spans="1:28" ht="17.100000000000001" customHeight="1" thickBot="1">
      <c r="A1859" s="227"/>
      <c r="B1859" s="27" t="s">
        <v>2472</v>
      </c>
      <c r="C1859" s="27">
        <v>82501</v>
      </c>
      <c r="D1859" s="14" t="s">
        <v>1710</v>
      </c>
      <c r="E1859" s="229"/>
      <c r="F1859" s="117" t="s">
        <v>5406</v>
      </c>
      <c r="G1859" s="26">
        <v>33665</v>
      </c>
      <c r="H1859" s="231"/>
      <c r="I1859" s="221"/>
      <c r="J1859" s="221"/>
      <c r="K1859" s="221"/>
      <c r="L1859" s="221"/>
      <c r="M1859" s="221"/>
      <c r="N1859" s="221"/>
      <c r="O1859" s="225"/>
      <c r="P1859" s="118" t="s">
        <v>1844</v>
      </c>
      <c r="Q1859" s="16" t="s">
        <v>20</v>
      </c>
      <c r="R1859" s="17" t="s">
        <v>3672</v>
      </c>
      <c r="S1859" s="121" t="s">
        <v>1625</v>
      </c>
      <c r="T1859" s="122"/>
      <c r="U1859" s="22"/>
      <c r="V1859" s="123" t="s">
        <v>2747</v>
      </c>
      <c r="W1859" s="122">
        <v>5055</v>
      </c>
      <c r="X1859" s="221"/>
      <c r="Y1859" s="221"/>
      <c r="Z1859" s="221"/>
      <c r="AA1859" s="221"/>
      <c r="AB1859" s="223"/>
    </row>
    <row r="1860" spans="1:28" ht="17.100000000000001" customHeight="1" thickTop="1">
      <c r="A1860" s="226" t="s">
        <v>6559</v>
      </c>
      <c r="B1860" s="28">
        <v>45927</v>
      </c>
      <c r="C1860" s="25">
        <v>1269</v>
      </c>
      <c r="D1860" s="13" t="s">
        <v>2167</v>
      </c>
      <c r="E1860" s="228"/>
      <c r="F1860" s="109" t="s">
        <v>4483</v>
      </c>
      <c r="G1860" s="24"/>
      <c r="H1860" s="230">
        <v>4.5</v>
      </c>
      <c r="I1860" s="220">
        <v>1120000</v>
      </c>
      <c r="J1860" s="220">
        <f>I1860*0.1</f>
        <v>112000</v>
      </c>
      <c r="K1860" s="220">
        <v>0</v>
      </c>
      <c r="L1860" s="220">
        <v>16240</v>
      </c>
      <c r="M1860" s="220">
        <v>16500</v>
      </c>
      <c r="N1860" s="220">
        <f>SUM(I1860:M1861)</f>
        <v>1264740</v>
      </c>
      <c r="O1860" s="224"/>
      <c r="P1860" s="110" t="s">
        <v>6986</v>
      </c>
      <c r="Q1860" s="15" t="s">
        <v>19</v>
      </c>
      <c r="R1860" s="205"/>
      <c r="S1860" s="189"/>
      <c r="T1860" s="114"/>
      <c r="U1860" s="21"/>
      <c r="V1860" s="115">
        <v>45941</v>
      </c>
      <c r="W1860" s="116">
        <v>1271</v>
      </c>
      <c r="X1860" s="220">
        <v>1245000</v>
      </c>
      <c r="Y1860" s="220">
        <f>X1860*0.1</f>
        <v>124500</v>
      </c>
      <c r="Z1860" s="220">
        <v>16240</v>
      </c>
      <c r="AA1860" s="220">
        <f>SUM(X1860:Z1860)</f>
        <v>1385740</v>
      </c>
      <c r="AB1860" s="222">
        <v>45944</v>
      </c>
    </row>
    <row r="1861" spans="1:28" ht="17.100000000000001" customHeight="1" thickBot="1">
      <c r="A1861" s="227"/>
      <c r="B1861" s="27" t="s">
        <v>2472</v>
      </c>
      <c r="C1861" s="27">
        <v>82575</v>
      </c>
      <c r="D1861" s="14" t="s">
        <v>131</v>
      </c>
      <c r="E1861" s="229"/>
      <c r="F1861" s="117" t="s">
        <v>5407</v>
      </c>
      <c r="G1861" s="26">
        <v>49959</v>
      </c>
      <c r="H1861" s="231"/>
      <c r="I1861" s="221"/>
      <c r="J1861" s="221"/>
      <c r="K1861" s="221"/>
      <c r="L1861" s="221"/>
      <c r="M1861" s="221"/>
      <c r="N1861" s="221"/>
      <c r="O1861" s="225"/>
      <c r="P1861" s="118" t="s">
        <v>6987</v>
      </c>
      <c r="Q1861" s="16" t="s">
        <v>20</v>
      </c>
      <c r="R1861" s="17" t="s">
        <v>3672</v>
      </c>
      <c r="S1861" s="121" t="s">
        <v>2777</v>
      </c>
      <c r="T1861" s="122"/>
      <c r="U1861" s="22"/>
      <c r="V1861" s="123" t="s">
        <v>7160</v>
      </c>
      <c r="W1861" s="122">
        <v>80020</v>
      </c>
      <c r="X1861" s="221"/>
      <c r="Y1861" s="221"/>
      <c r="Z1861" s="221"/>
      <c r="AA1861" s="221"/>
      <c r="AB1861" s="223"/>
    </row>
    <row r="1862" spans="1:28" ht="17.100000000000001" customHeight="1" thickTop="1">
      <c r="A1862" s="226" t="s">
        <v>6560</v>
      </c>
      <c r="B1862" s="28">
        <v>45927</v>
      </c>
      <c r="C1862" s="25">
        <v>1512</v>
      </c>
      <c r="D1862" s="13" t="s">
        <v>1748</v>
      </c>
      <c r="E1862" s="228"/>
      <c r="F1862" s="109" t="s">
        <v>1141</v>
      </c>
      <c r="G1862" s="24"/>
      <c r="H1862" s="230">
        <v>4.5</v>
      </c>
      <c r="I1862" s="220">
        <v>1425000</v>
      </c>
      <c r="J1862" s="220">
        <f>I1862*0.1</f>
        <v>142500</v>
      </c>
      <c r="K1862" s="220">
        <v>0</v>
      </c>
      <c r="L1862" s="220">
        <v>17600</v>
      </c>
      <c r="M1862" s="220">
        <v>16500</v>
      </c>
      <c r="N1862" s="220">
        <f>SUM(I1862:M1863)</f>
        <v>1601600</v>
      </c>
      <c r="O1862" s="224"/>
      <c r="P1862" s="110" t="s">
        <v>6975</v>
      </c>
      <c r="Q1862" s="15" t="s">
        <v>19</v>
      </c>
      <c r="R1862" s="205"/>
      <c r="S1862" s="189"/>
      <c r="T1862" s="114"/>
      <c r="U1862" s="21"/>
      <c r="V1862" s="115">
        <v>45932</v>
      </c>
      <c r="W1862" s="116">
        <v>1300</v>
      </c>
      <c r="X1862" s="220">
        <v>1655000</v>
      </c>
      <c r="Y1862" s="220">
        <f>X1862*0.1</f>
        <v>165500</v>
      </c>
      <c r="Z1862" s="220">
        <v>17600</v>
      </c>
      <c r="AA1862" s="220">
        <f>SUM(X1862:Z1862)</f>
        <v>1838100</v>
      </c>
      <c r="AB1862" s="222">
        <v>45933</v>
      </c>
    </row>
    <row r="1863" spans="1:28" ht="17.100000000000001" customHeight="1" thickBot="1">
      <c r="A1863" s="227"/>
      <c r="B1863" s="27" t="s">
        <v>1547</v>
      </c>
      <c r="C1863" s="27">
        <v>83176</v>
      </c>
      <c r="D1863" s="14" t="s">
        <v>131</v>
      </c>
      <c r="E1863" s="229"/>
      <c r="F1863" s="117" t="s">
        <v>5408</v>
      </c>
      <c r="G1863" s="26">
        <v>71855</v>
      </c>
      <c r="H1863" s="231"/>
      <c r="I1863" s="221"/>
      <c r="J1863" s="221"/>
      <c r="K1863" s="221"/>
      <c r="L1863" s="221"/>
      <c r="M1863" s="221"/>
      <c r="N1863" s="221"/>
      <c r="O1863" s="225"/>
      <c r="P1863" s="118" t="s">
        <v>1972</v>
      </c>
      <c r="Q1863" s="16" t="s">
        <v>20</v>
      </c>
      <c r="R1863" s="17" t="s">
        <v>3672</v>
      </c>
      <c r="S1863" s="121" t="s">
        <v>6976</v>
      </c>
      <c r="T1863" s="122"/>
      <c r="U1863" s="22"/>
      <c r="V1863" s="123" t="s">
        <v>1735</v>
      </c>
      <c r="W1863" s="122">
        <v>137</v>
      </c>
      <c r="X1863" s="221"/>
      <c r="Y1863" s="221"/>
      <c r="Z1863" s="221"/>
      <c r="AA1863" s="221"/>
      <c r="AB1863" s="223"/>
    </row>
    <row r="1864" spans="1:28" ht="17.100000000000001" customHeight="1" thickTop="1">
      <c r="A1864" s="226" t="s">
        <v>6561</v>
      </c>
      <c r="B1864" s="28">
        <v>45927</v>
      </c>
      <c r="C1864" s="25">
        <v>1512</v>
      </c>
      <c r="D1864" s="13" t="s">
        <v>1715</v>
      </c>
      <c r="E1864" s="228"/>
      <c r="F1864" s="109" t="s">
        <v>4483</v>
      </c>
      <c r="G1864" s="24"/>
      <c r="H1864" s="230">
        <v>4</v>
      </c>
      <c r="I1864" s="220">
        <v>800000</v>
      </c>
      <c r="J1864" s="220">
        <f>I1864*0.1</f>
        <v>80000</v>
      </c>
      <c r="K1864" s="220">
        <v>0</v>
      </c>
      <c r="L1864" s="220">
        <v>16240</v>
      </c>
      <c r="M1864" s="220">
        <v>16500</v>
      </c>
      <c r="N1864" s="220">
        <f>SUM(I1864:M1865)</f>
        <v>912740</v>
      </c>
      <c r="O1864" s="224"/>
      <c r="P1864" s="110" t="s">
        <v>6825</v>
      </c>
      <c r="Q1864" s="15" t="s">
        <v>19</v>
      </c>
      <c r="R1864" s="205"/>
      <c r="S1864" s="189" t="s">
        <v>1271</v>
      </c>
      <c r="T1864" s="114"/>
      <c r="U1864" s="21"/>
      <c r="V1864" s="115">
        <v>45934</v>
      </c>
      <c r="W1864" s="116">
        <v>1270</v>
      </c>
      <c r="X1864" s="220">
        <v>975000</v>
      </c>
      <c r="Y1864" s="220">
        <f>X1864*0.1</f>
        <v>97500</v>
      </c>
      <c r="Z1864" s="220">
        <v>16240</v>
      </c>
      <c r="AA1864" s="220">
        <f>SUM(X1864:Z1864)</f>
        <v>1088740</v>
      </c>
      <c r="AB1864" s="222">
        <v>45938</v>
      </c>
    </row>
    <row r="1865" spans="1:28" ht="17.100000000000001" customHeight="1" thickBot="1">
      <c r="A1865" s="227"/>
      <c r="B1865" s="27" t="s">
        <v>1547</v>
      </c>
      <c r="C1865" s="27">
        <v>83223</v>
      </c>
      <c r="D1865" s="14" t="s">
        <v>273</v>
      </c>
      <c r="E1865" s="229"/>
      <c r="F1865" s="117" t="s">
        <v>5409</v>
      </c>
      <c r="G1865" s="26">
        <v>58444</v>
      </c>
      <c r="H1865" s="231"/>
      <c r="I1865" s="221"/>
      <c r="J1865" s="221"/>
      <c r="K1865" s="221"/>
      <c r="L1865" s="221"/>
      <c r="M1865" s="221"/>
      <c r="N1865" s="221"/>
      <c r="O1865" s="225"/>
      <c r="P1865" s="118" t="s">
        <v>2870</v>
      </c>
      <c r="Q1865" s="16" t="s">
        <v>20</v>
      </c>
      <c r="R1865" s="17" t="s">
        <v>6726</v>
      </c>
      <c r="S1865" s="121" t="s">
        <v>1731</v>
      </c>
      <c r="T1865" s="122"/>
      <c r="U1865" s="22"/>
      <c r="V1865" s="123" t="s">
        <v>7160</v>
      </c>
      <c r="W1865" s="122">
        <v>80237</v>
      </c>
      <c r="X1865" s="221"/>
      <c r="Y1865" s="221"/>
      <c r="Z1865" s="221"/>
      <c r="AA1865" s="221"/>
      <c r="AB1865" s="223"/>
    </row>
    <row r="1866" spans="1:28" ht="17.100000000000001" customHeight="1" thickTop="1">
      <c r="A1866" s="226" t="s">
        <v>6562</v>
      </c>
      <c r="B1866" s="28">
        <v>45929</v>
      </c>
      <c r="C1866" s="25">
        <v>55</v>
      </c>
      <c r="D1866" s="13" t="s">
        <v>1678</v>
      </c>
      <c r="E1866" s="228"/>
      <c r="F1866" s="109" t="s">
        <v>5410</v>
      </c>
      <c r="G1866" s="24" t="s">
        <v>3345</v>
      </c>
      <c r="H1866" s="230">
        <v>5</v>
      </c>
      <c r="I1866" s="220">
        <v>1115000</v>
      </c>
      <c r="J1866" s="220">
        <f>I1866*0.1</f>
        <v>111500</v>
      </c>
      <c r="K1866" s="220">
        <v>0</v>
      </c>
      <c r="L1866" s="220">
        <v>8130</v>
      </c>
      <c r="M1866" s="220">
        <v>44000</v>
      </c>
      <c r="N1866" s="220">
        <f>SUM(I1866:M1867)</f>
        <v>1278630</v>
      </c>
      <c r="O1866" s="224"/>
      <c r="P1866" s="110" t="s">
        <v>7775</v>
      </c>
      <c r="Q1866" s="15" t="s">
        <v>19</v>
      </c>
      <c r="R1866" s="205"/>
      <c r="S1866" s="189" t="s">
        <v>1361</v>
      </c>
      <c r="T1866" s="114"/>
      <c r="U1866" s="21"/>
      <c r="V1866" s="115">
        <v>45944</v>
      </c>
      <c r="W1866" s="116">
        <v>1913</v>
      </c>
      <c r="X1866" s="220">
        <v>1273000</v>
      </c>
      <c r="Y1866" s="220">
        <f>X1866*0.1</f>
        <v>127300</v>
      </c>
      <c r="Z1866" s="220">
        <v>8130</v>
      </c>
      <c r="AA1866" s="220">
        <f>SUM(X1866:Z1866)</f>
        <v>1408430</v>
      </c>
      <c r="AB1866" s="222">
        <v>45950</v>
      </c>
    </row>
    <row r="1867" spans="1:28" ht="17.100000000000001" customHeight="1" thickBot="1">
      <c r="A1867" s="227"/>
      <c r="B1867" s="27" t="s">
        <v>4468</v>
      </c>
      <c r="C1867" s="27">
        <v>1036</v>
      </c>
      <c r="D1867" s="14" t="s">
        <v>2753</v>
      </c>
      <c r="E1867" s="229"/>
      <c r="F1867" s="117" t="s">
        <v>5411</v>
      </c>
      <c r="G1867" s="26">
        <v>13359</v>
      </c>
      <c r="H1867" s="231"/>
      <c r="I1867" s="221"/>
      <c r="J1867" s="221"/>
      <c r="K1867" s="221"/>
      <c r="L1867" s="221"/>
      <c r="M1867" s="221"/>
      <c r="N1867" s="221"/>
      <c r="O1867" s="225"/>
      <c r="P1867" s="118" t="s">
        <v>7776</v>
      </c>
      <c r="Q1867" s="16" t="s">
        <v>20</v>
      </c>
      <c r="R1867" s="17" t="s">
        <v>1605</v>
      </c>
      <c r="S1867" s="121" t="s">
        <v>1722</v>
      </c>
      <c r="T1867" s="122"/>
      <c r="U1867" s="22"/>
      <c r="V1867" s="123" t="s">
        <v>2103</v>
      </c>
      <c r="W1867" s="122">
        <v>3443</v>
      </c>
      <c r="X1867" s="221"/>
      <c r="Y1867" s="221"/>
      <c r="Z1867" s="221"/>
      <c r="AA1867" s="221"/>
      <c r="AB1867" s="223"/>
    </row>
    <row r="1868" spans="1:28" ht="17.100000000000001" customHeight="1" thickTop="1">
      <c r="A1868" s="226" t="s">
        <v>6563</v>
      </c>
      <c r="B1868" s="28">
        <v>45929</v>
      </c>
      <c r="C1868" s="25">
        <v>55</v>
      </c>
      <c r="D1868" s="13" t="s">
        <v>2441</v>
      </c>
      <c r="E1868" s="228"/>
      <c r="F1868" s="109" t="s">
        <v>5412</v>
      </c>
      <c r="G1868" s="24" t="s">
        <v>2124</v>
      </c>
      <c r="H1868" s="230">
        <v>6</v>
      </c>
      <c r="I1868" s="220">
        <v>1860000</v>
      </c>
      <c r="J1868" s="220">
        <f>I1868*0.1</f>
        <v>186000</v>
      </c>
      <c r="K1868" s="220">
        <v>0</v>
      </c>
      <c r="L1868" s="220">
        <v>7230</v>
      </c>
      <c r="M1868" s="220">
        <v>44000</v>
      </c>
      <c r="N1868" s="220">
        <f>SUM(I1868:M1869)</f>
        <v>2097230</v>
      </c>
      <c r="O1868" s="224"/>
      <c r="P1868" s="110" t="s">
        <v>7312</v>
      </c>
      <c r="Q1868" s="15" t="s">
        <v>19</v>
      </c>
      <c r="R1868" s="205"/>
      <c r="S1868" s="189" t="s">
        <v>1361</v>
      </c>
      <c r="T1868" s="114"/>
      <c r="U1868" s="21"/>
      <c r="V1868" s="115">
        <v>45944</v>
      </c>
      <c r="W1868" s="116">
        <v>1913</v>
      </c>
      <c r="X1868" s="220">
        <v>1858000</v>
      </c>
      <c r="Y1868" s="220">
        <f>X1868*0.1</f>
        <v>185800</v>
      </c>
      <c r="Z1868" s="220">
        <v>7230</v>
      </c>
      <c r="AA1868" s="220">
        <f>SUM(X1868:Z1868)</f>
        <v>2051030</v>
      </c>
      <c r="AB1868" s="222">
        <v>45950</v>
      </c>
    </row>
    <row r="1869" spans="1:28" ht="17.100000000000001" customHeight="1" thickBot="1">
      <c r="A1869" s="227"/>
      <c r="B1869" s="27" t="s">
        <v>4468</v>
      </c>
      <c r="C1869" s="27">
        <v>1064</v>
      </c>
      <c r="D1869" s="14" t="s">
        <v>2559</v>
      </c>
      <c r="E1869" s="229"/>
      <c r="F1869" s="117" t="s">
        <v>5413</v>
      </c>
      <c r="G1869" s="26">
        <v>3079</v>
      </c>
      <c r="H1869" s="231"/>
      <c r="I1869" s="221"/>
      <c r="J1869" s="221"/>
      <c r="K1869" s="221"/>
      <c r="L1869" s="221"/>
      <c r="M1869" s="221"/>
      <c r="N1869" s="221"/>
      <c r="O1869" s="225"/>
      <c r="P1869" s="118" t="s">
        <v>7313</v>
      </c>
      <c r="Q1869" s="16" t="s">
        <v>20</v>
      </c>
      <c r="R1869" s="17" t="s">
        <v>3264</v>
      </c>
      <c r="S1869" s="121" t="s">
        <v>4378</v>
      </c>
      <c r="T1869" s="122"/>
      <c r="U1869" s="22"/>
      <c r="V1869" s="123" t="s">
        <v>2103</v>
      </c>
      <c r="W1869" s="122">
        <v>3431</v>
      </c>
      <c r="X1869" s="221"/>
      <c r="Y1869" s="221"/>
      <c r="Z1869" s="221"/>
      <c r="AA1869" s="221"/>
      <c r="AB1869" s="223"/>
    </row>
    <row r="1870" spans="1:28" ht="17.100000000000001" customHeight="1" thickTop="1">
      <c r="A1870" s="226" t="s">
        <v>6564</v>
      </c>
      <c r="B1870" s="28">
        <v>45929</v>
      </c>
      <c r="C1870" s="25">
        <v>55</v>
      </c>
      <c r="D1870" s="13" t="s">
        <v>1021</v>
      </c>
      <c r="E1870" s="228"/>
      <c r="F1870" s="109" t="s">
        <v>3554</v>
      </c>
      <c r="G1870" s="24" t="s">
        <v>3968</v>
      </c>
      <c r="H1870" s="230">
        <v>4</v>
      </c>
      <c r="I1870" s="220">
        <v>635000</v>
      </c>
      <c r="J1870" s="220">
        <f>I1870*0.1</f>
        <v>63500</v>
      </c>
      <c r="K1870" s="220">
        <v>0</v>
      </c>
      <c r="L1870" s="220">
        <v>8860</v>
      </c>
      <c r="M1870" s="220">
        <v>33000</v>
      </c>
      <c r="N1870" s="220">
        <f>SUM(I1870:M1871)</f>
        <v>740360</v>
      </c>
      <c r="O1870" s="224"/>
      <c r="P1870" s="110" t="s">
        <v>9360</v>
      </c>
      <c r="Q1870" s="15" t="s">
        <v>19</v>
      </c>
      <c r="R1870" s="205"/>
      <c r="S1870" s="189" t="s">
        <v>25488</v>
      </c>
      <c r="T1870" s="114"/>
      <c r="U1870" s="21"/>
      <c r="V1870" s="115">
        <v>45980</v>
      </c>
      <c r="W1870" s="116">
        <v>993</v>
      </c>
      <c r="X1870" s="220">
        <v>710000</v>
      </c>
      <c r="Y1870" s="220">
        <f>X1870*0.1</f>
        <v>71000</v>
      </c>
      <c r="Z1870" s="220">
        <v>8860</v>
      </c>
      <c r="AA1870" s="220">
        <f>SUM(X1870:Z1870)</f>
        <v>789860</v>
      </c>
      <c r="AB1870" s="222">
        <v>45986</v>
      </c>
    </row>
    <row r="1871" spans="1:28" ht="17.100000000000001" customHeight="1" thickBot="1">
      <c r="A1871" s="227"/>
      <c r="B1871" s="27" t="s">
        <v>4468</v>
      </c>
      <c r="C1871" s="27">
        <v>1081</v>
      </c>
      <c r="D1871" s="14" t="s">
        <v>1548</v>
      </c>
      <c r="E1871" s="229"/>
      <c r="F1871" s="117" t="s">
        <v>5414</v>
      </c>
      <c r="G1871" s="26">
        <v>36715</v>
      </c>
      <c r="H1871" s="231"/>
      <c r="I1871" s="221"/>
      <c r="J1871" s="221"/>
      <c r="K1871" s="221"/>
      <c r="L1871" s="221"/>
      <c r="M1871" s="221"/>
      <c r="N1871" s="221"/>
      <c r="O1871" s="225"/>
      <c r="P1871" s="118" t="s">
        <v>9361</v>
      </c>
      <c r="Q1871" s="16" t="s">
        <v>20</v>
      </c>
      <c r="R1871" s="17" t="s">
        <v>1665</v>
      </c>
      <c r="S1871" s="121" t="s">
        <v>4035</v>
      </c>
      <c r="T1871" s="122"/>
      <c r="U1871" s="22"/>
      <c r="V1871" s="123" t="s">
        <v>2747</v>
      </c>
      <c r="W1871" s="122">
        <v>2059</v>
      </c>
      <c r="X1871" s="221"/>
      <c r="Y1871" s="221"/>
      <c r="Z1871" s="221"/>
      <c r="AA1871" s="221"/>
      <c r="AB1871" s="223"/>
    </row>
    <row r="1872" spans="1:28" ht="17.100000000000001" customHeight="1" thickTop="1">
      <c r="A1872" s="226" t="s">
        <v>6565</v>
      </c>
      <c r="B1872" s="28">
        <v>45929</v>
      </c>
      <c r="C1872" s="25"/>
      <c r="D1872" s="13" t="s">
        <v>5415</v>
      </c>
      <c r="E1872" s="228"/>
      <c r="F1872" s="109" t="s">
        <v>5416</v>
      </c>
      <c r="G1872" s="24"/>
      <c r="H1872" s="230">
        <v>4</v>
      </c>
      <c r="I1872" s="220">
        <v>229000</v>
      </c>
      <c r="J1872" s="220">
        <f>I1872*0.1</f>
        <v>22900</v>
      </c>
      <c r="K1872" s="220">
        <v>0</v>
      </c>
      <c r="L1872" s="220">
        <v>9560</v>
      </c>
      <c r="M1872" s="220">
        <v>15950</v>
      </c>
      <c r="N1872" s="220">
        <f>SUM(I1872:M1873)</f>
        <v>277410</v>
      </c>
      <c r="O1872" s="224"/>
      <c r="P1872" s="110" t="s">
        <v>7321</v>
      </c>
      <c r="Q1872" s="15" t="s">
        <v>19</v>
      </c>
      <c r="R1872" s="205"/>
      <c r="S1872" s="189"/>
      <c r="T1872" s="114"/>
      <c r="U1872" s="21"/>
      <c r="V1872" s="115">
        <v>45955</v>
      </c>
      <c r="W1872" s="116">
        <v>1273</v>
      </c>
      <c r="X1872" s="220">
        <v>300000</v>
      </c>
      <c r="Y1872" s="220">
        <f>X1872*0.1</f>
        <v>30000</v>
      </c>
      <c r="Z1872" s="220">
        <v>9560</v>
      </c>
      <c r="AA1872" s="220">
        <f>SUM(X1872:Z1872)</f>
        <v>339560</v>
      </c>
      <c r="AB1872" s="222">
        <v>45960</v>
      </c>
    </row>
    <row r="1873" spans="1:28" ht="17.100000000000001" customHeight="1" thickBot="1">
      <c r="A1873" s="227"/>
      <c r="B1873" s="27" t="s">
        <v>4400</v>
      </c>
      <c r="C1873" s="27">
        <v>70170</v>
      </c>
      <c r="D1873" s="14" t="s">
        <v>1710</v>
      </c>
      <c r="E1873" s="229"/>
      <c r="F1873" s="117" t="s">
        <v>5417</v>
      </c>
      <c r="G1873" s="26">
        <v>34766</v>
      </c>
      <c r="H1873" s="231"/>
      <c r="I1873" s="221"/>
      <c r="J1873" s="221"/>
      <c r="K1873" s="221"/>
      <c r="L1873" s="221"/>
      <c r="M1873" s="221"/>
      <c r="N1873" s="221"/>
      <c r="O1873" s="225"/>
      <c r="P1873" s="118" t="s">
        <v>3247</v>
      </c>
      <c r="Q1873" s="16" t="s">
        <v>20</v>
      </c>
      <c r="R1873" s="17" t="s">
        <v>3264</v>
      </c>
      <c r="S1873" s="121"/>
      <c r="T1873" s="122"/>
      <c r="U1873" s="22"/>
      <c r="V1873" s="123" t="s">
        <v>2472</v>
      </c>
      <c r="W1873" s="122">
        <v>60304</v>
      </c>
      <c r="X1873" s="221"/>
      <c r="Y1873" s="221"/>
      <c r="Z1873" s="221"/>
      <c r="AA1873" s="221"/>
      <c r="AB1873" s="223"/>
    </row>
    <row r="1874" spans="1:28" ht="17.100000000000001" customHeight="1" thickTop="1">
      <c r="A1874" s="226" t="s">
        <v>6566</v>
      </c>
      <c r="B1874" s="28">
        <v>45929</v>
      </c>
      <c r="C1874" s="25"/>
      <c r="D1874" s="13" t="s">
        <v>2073</v>
      </c>
      <c r="E1874" s="228"/>
      <c r="F1874" s="109" t="s">
        <v>5418</v>
      </c>
      <c r="G1874" s="24" t="s">
        <v>1551</v>
      </c>
      <c r="H1874" s="230">
        <v>4</v>
      </c>
      <c r="I1874" s="220">
        <v>1135000</v>
      </c>
      <c r="J1874" s="220">
        <f>I1874*0.1</f>
        <v>113500</v>
      </c>
      <c r="K1874" s="220">
        <f>19700+1970</f>
        <v>21670</v>
      </c>
      <c r="L1874" s="220">
        <v>17800</v>
      </c>
      <c r="M1874" s="220">
        <v>15950</v>
      </c>
      <c r="N1874" s="220">
        <f>SUM(I1874:M1875)</f>
        <v>1303920</v>
      </c>
      <c r="O1874" s="224"/>
      <c r="P1874" s="110" t="s">
        <v>5419</v>
      </c>
      <c r="Q1874" s="15" t="s">
        <v>19</v>
      </c>
      <c r="R1874" s="205"/>
      <c r="S1874" s="189" t="s">
        <v>25368</v>
      </c>
      <c r="T1874" s="114"/>
      <c r="U1874" s="21" t="s">
        <v>8183</v>
      </c>
      <c r="V1874" s="115">
        <v>45969</v>
      </c>
      <c r="W1874" s="116">
        <v>1275</v>
      </c>
      <c r="X1874" s="220">
        <v>1260000</v>
      </c>
      <c r="Y1874" s="220">
        <f>X1874*0.1</f>
        <v>126000</v>
      </c>
      <c r="Z1874" s="220">
        <v>17800</v>
      </c>
      <c r="AA1874" s="220">
        <f>SUM(X1874:Z1874)</f>
        <v>1403800</v>
      </c>
      <c r="AB1874" s="222">
        <v>45972</v>
      </c>
    </row>
    <row r="1875" spans="1:28" ht="17.100000000000001" customHeight="1" thickBot="1">
      <c r="A1875" s="227"/>
      <c r="B1875" s="27" t="s">
        <v>4400</v>
      </c>
      <c r="C1875" s="27">
        <v>80148</v>
      </c>
      <c r="D1875" s="14" t="s">
        <v>273</v>
      </c>
      <c r="E1875" s="229"/>
      <c r="F1875" s="117" t="s">
        <v>7306</v>
      </c>
      <c r="G1875" s="26">
        <v>75452</v>
      </c>
      <c r="H1875" s="231"/>
      <c r="I1875" s="221"/>
      <c r="J1875" s="221"/>
      <c r="K1875" s="221"/>
      <c r="L1875" s="221"/>
      <c r="M1875" s="221"/>
      <c r="N1875" s="221"/>
      <c r="O1875" s="225"/>
      <c r="P1875" s="118" t="s">
        <v>7307</v>
      </c>
      <c r="Q1875" s="16" t="s">
        <v>20</v>
      </c>
      <c r="R1875" s="17" t="s">
        <v>3264</v>
      </c>
      <c r="S1875" s="121" t="s">
        <v>1731</v>
      </c>
      <c r="T1875" s="122"/>
      <c r="U1875" s="22"/>
      <c r="V1875" s="123" t="s">
        <v>7160</v>
      </c>
      <c r="W1875" s="122">
        <v>80051</v>
      </c>
      <c r="X1875" s="221"/>
      <c r="Y1875" s="221"/>
      <c r="Z1875" s="221"/>
      <c r="AA1875" s="221"/>
      <c r="AB1875" s="223"/>
    </row>
    <row r="1876" spans="1:28" ht="17.100000000000001" customHeight="1" thickTop="1">
      <c r="A1876" s="226" t="s">
        <v>6567</v>
      </c>
      <c r="B1876" s="28">
        <v>45929</v>
      </c>
      <c r="C1876" s="25"/>
      <c r="D1876" s="13" t="s">
        <v>1678</v>
      </c>
      <c r="E1876" s="228"/>
      <c r="F1876" s="109" t="s">
        <v>4223</v>
      </c>
      <c r="G1876" s="24" t="s">
        <v>3345</v>
      </c>
      <c r="H1876" s="230">
        <v>4</v>
      </c>
      <c r="I1876" s="220">
        <v>1438000</v>
      </c>
      <c r="J1876" s="220">
        <f>I1876*0.1</f>
        <v>143800</v>
      </c>
      <c r="K1876" s="220">
        <v>0</v>
      </c>
      <c r="L1876" s="220">
        <v>8550</v>
      </c>
      <c r="M1876" s="220">
        <v>15950</v>
      </c>
      <c r="N1876" s="220">
        <f>SUM(I1876:M1877)</f>
        <v>1606300</v>
      </c>
      <c r="O1876" s="224"/>
      <c r="P1876" s="110" t="s">
        <v>7319</v>
      </c>
      <c r="Q1876" s="15" t="s">
        <v>19</v>
      </c>
      <c r="R1876" s="205"/>
      <c r="S1876" s="189" t="s">
        <v>25489</v>
      </c>
      <c r="T1876" s="114"/>
      <c r="U1876" s="21" t="s">
        <v>7611</v>
      </c>
      <c r="V1876" s="115">
        <v>45934</v>
      </c>
      <c r="W1876" s="116">
        <v>1270</v>
      </c>
      <c r="X1876" s="220">
        <v>1510000</v>
      </c>
      <c r="Y1876" s="220">
        <f>X1876*0.1</f>
        <v>151000</v>
      </c>
      <c r="Z1876" s="220">
        <v>8550</v>
      </c>
      <c r="AA1876" s="220">
        <f>SUM(X1876:Z1876)</f>
        <v>1669550</v>
      </c>
      <c r="AB1876" s="222">
        <v>45944</v>
      </c>
    </row>
    <row r="1877" spans="1:28" ht="17.100000000000001" customHeight="1" thickBot="1">
      <c r="A1877" s="227"/>
      <c r="B1877" s="27" t="s">
        <v>4400</v>
      </c>
      <c r="C1877" s="27">
        <v>80246</v>
      </c>
      <c r="D1877" s="14" t="s">
        <v>2559</v>
      </c>
      <c r="E1877" s="229"/>
      <c r="F1877" s="117" t="s">
        <v>5421</v>
      </c>
      <c r="G1877" s="26">
        <v>14441</v>
      </c>
      <c r="H1877" s="231"/>
      <c r="I1877" s="221"/>
      <c r="J1877" s="221"/>
      <c r="K1877" s="221"/>
      <c r="L1877" s="221"/>
      <c r="M1877" s="221"/>
      <c r="N1877" s="221"/>
      <c r="O1877" s="225"/>
      <c r="P1877" s="118" t="s">
        <v>7320</v>
      </c>
      <c r="Q1877" s="16" t="s">
        <v>20</v>
      </c>
      <c r="R1877" s="17" t="s">
        <v>3264</v>
      </c>
      <c r="S1877" s="121" t="s">
        <v>7613</v>
      </c>
      <c r="T1877" s="122"/>
      <c r="U1877" s="22"/>
      <c r="V1877" s="123" t="s">
        <v>6641</v>
      </c>
      <c r="W1877" s="122">
        <v>60342</v>
      </c>
      <c r="X1877" s="221"/>
      <c r="Y1877" s="221"/>
      <c r="Z1877" s="221"/>
      <c r="AA1877" s="221"/>
      <c r="AB1877" s="223"/>
    </row>
    <row r="1878" spans="1:28" ht="17.100000000000001" customHeight="1" thickTop="1">
      <c r="A1878" s="226" t="s">
        <v>6568</v>
      </c>
      <c r="B1878" s="28">
        <v>45929</v>
      </c>
      <c r="C1878" s="25"/>
      <c r="D1878" s="13" t="s">
        <v>1555</v>
      </c>
      <c r="E1878" s="228"/>
      <c r="F1878" s="109" t="s">
        <v>4601</v>
      </c>
      <c r="G1878" s="24"/>
      <c r="H1878" s="230">
        <v>4</v>
      </c>
      <c r="I1878" s="220">
        <v>1245000</v>
      </c>
      <c r="J1878" s="220">
        <f>I1878*0.1</f>
        <v>124500</v>
      </c>
      <c r="K1878" s="220">
        <v>0</v>
      </c>
      <c r="L1878" s="220">
        <v>7150</v>
      </c>
      <c r="M1878" s="220">
        <v>15950</v>
      </c>
      <c r="N1878" s="220">
        <f>SUM(I1878:M1879)</f>
        <v>1392600</v>
      </c>
      <c r="O1878" s="224"/>
      <c r="P1878" s="110" t="s">
        <v>7246</v>
      </c>
      <c r="Q1878" s="15" t="s">
        <v>19</v>
      </c>
      <c r="R1878" s="205"/>
      <c r="S1878" s="189" t="s">
        <v>758</v>
      </c>
      <c r="T1878" s="114"/>
      <c r="U1878" s="21"/>
      <c r="V1878" s="115">
        <v>46008</v>
      </c>
      <c r="W1878" s="116">
        <v>997</v>
      </c>
      <c r="X1878" s="220">
        <v>1305000</v>
      </c>
      <c r="Y1878" s="220">
        <f>X1878*0.1</f>
        <v>130500</v>
      </c>
      <c r="Z1878" s="220">
        <v>7150</v>
      </c>
      <c r="AA1878" s="220">
        <f>SUM(X1878:Z1878)</f>
        <v>1442650</v>
      </c>
      <c r="AB1878" s="222">
        <v>46013</v>
      </c>
    </row>
    <row r="1879" spans="1:28" ht="17.100000000000001" customHeight="1" thickBot="1">
      <c r="A1879" s="227"/>
      <c r="B1879" s="27" t="s">
        <v>3663</v>
      </c>
      <c r="C1879" s="27">
        <v>50041</v>
      </c>
      <c r="D1879" s="14" t="s">
        <v>273</v>
      </c>
      <c r="E1879" s="229"/>
      <c r="F1879" s="117" t="s">
        <v>5422</v>
      </c>
      <c r="G1879" s="26">
        <v>35270</v>
      </c>
      <c r="H1879" s="231"/>
      <c r="I1879" s="221"/>
      <c r="J1879" s="221"/>
      <c r="K1879" s="221"/>
      <c r="L1879" s="221"/>
      <c r="M1879" s="221"/>
      <c r="N1879" s="221"/>
      <c r="O1879" s="225"/>
      <c r="P1879" s="118" t="s">
        <v>4094</v>
      </c>
      <c r="Q1879" s="16" t="s">
        <v>20</v>
      </c>
      <c r="R1879" s="17" t="s">
        <v>2128</v>
      </c>
      <c r="S1879" s="121" t="s">
        <v>1661</v>
      </c>
      <c r="T1879" s="122"/>
      <c r="U1879" s="22"/>
      <c r="V1879" s="123" t="s">
        <v>2747</v>
      </c>
      <c r="W1879" s="122">
        <v>2062</v>
      </c>
      <c r="X1879" s="221"/>
      <c r="Y1879" s="221"/>
      <c r="Z1879" s="221"/>
      <c r="AA1879" s="221"/>
      <c r="AB1879" s="223"/>
    </row>
    <row r="1880" spans="1:28" ht="17.100000000000001" customHeight="1" thickTop="1">
      <c r="A1880" s="226" t="s">
        <v>6569</v>
      </c>
      <c r="B1880" s="28">
        <v>45929</v>
      </c>
      <c r="C1880" s="25">
        <v>2062</v>
      </c>
      <c r="D1880" s="13" t="s">
        <v>3769</v>
      </c>
      <c r="E1880" s="228"/>
      <c r="F1880" s="109" t="s">
        <v>5423</v>
      </c>
      <c r="G1880" s="24" t="s">
        <v>2084</v>
      </c>
      <c r="H1880" s="230">
        <v>4</v>
      </c>
      <c r="I1880" s="220">
        <v>2620000</v>
      </c>
      <c r="J1880" s="220">
        <f>I1880*0.1</f>
        <v>262000</v>
      </c>
      <c r="K1880" s="220">
        <f>15200+1520</f>
        <v>16720</v>
      </c>
      <c r="L1880" s="220">
        <v>23510</v>
      </c>
      <c r="M1880" s="220">
        <v>11000</v>
      </c>
      <c r="N1880" s="220">
        <f>SUM(I1880:M1881)</f>
        <v>2933230</v>
      </c>
      <c r="O1880" s="224"/>
      <c r="P1880" s="110" t="s">
        <v>5424</v>
      </c>
      <c r="Q1880" s="15" t="s">
        <v>19</v>
      </c>
      <c r="R1880" s="205"/>
      <c r="S1880" s="189" t="s">
        <v>758</v>
      </c>
      <c r="T1880" s="114"/>
      <c r="U1880" s="21"/>
      <c r="V1880" s="115">
        <v>45934</v>
      </c>
      <c r="W1880" s="116">
        <v>1270</v>
      </c>
      <c r="X1880" s="220">
        <v>2855000</v>
      </c>
      <c r="Y1880" s="220">
        <f>X1880*0.1</f>
        <v>285500</v>
      </c>
      <c r="Z1880" s="220">
        <v>23510</v>
      </c>
      <c r="AA1880" s="220">
        <f>SUM(X1880:Z1880)</f>
        <v>3164010</v>
      </c>
      <c r="AB1880" s="222">
        <v>45938</v>
      </c>
    </row>
    <row r="1881" spans="1:28" ht="17.100000000000001" customHeight="1" thickBot="1">
      <c r="A1881" s="227"/>
      <c r="B1881" s="27" t="s">
        <v>82</v>
      </c>
      <c r="C1881" s="27">
        <v>11005</v>
      </c>
      <c r="D1881" s="14" t="s">
        <v>2559</v>
      </c>
      <c r="E1881" s="229"/>
      <c r="F1881" s="117" t="s">
        <v>5425</v>
      </c>
      <c r="G1881" s="26">
        <v>22475</v>
      </c>
      <c r="H1881" s="231"/>
      <c r="I1881" s="221"/>
      <c r="J1881" s="221"/>
      <c r="K1881" s="221"/>
      <c r="L1881" s="221"/>
      <c r="M1881" s="221"/>
      <c r="N1881" s="221"/>
      <c r="O1881" s="225"/>
      <c r="P1881" s="118" t="s">
        <v>2287</v>
      </c>
      <c r="Q1881" s="16" t="s">
        <v>20</v>
      </c>
      <c r="R1881" s="17" t="s">
        <v>6610</v>
      </c>
      <c r="S1881" s="121" t="s">
        <v>6747</v>
      </c>
      <c r="T1881" s="122"/>
      <c r="U1881" s="22"/>
      <c r="V1881" s="123" t="s">
        <v>7160</v>
      </c>
      <c r="W1881" s="122">
        <v>80235</v>
      </c>
      <c r="X1881" s="221"/>
      <c r="Y1881" s="221"/>
      <c r="Z1881" s="221"/>
      <c r="AA1881" s="221"/>
      <c r="AB1881" s="223"/>
    </row>
    <row r="1882" spans="1:28" ht="17.100000000000001" customHeight="1" thickTop="1">
      <c r="A1882" s="226" t="s">
        <v>6570</v>
      </c>
      <c r="B1882" s="28">
        <v>45929</v>
      </c>
      <c r="C1882" s="25">
        <v>2062</v>
      </c>
      <c r="D1882" s="13" t="s">
        <v>1983</v>
      </c>
      <c r="E1882" s="228"/>
      <c r="F1882" s="109" t="s">
        <v>4214</v>
      </c>
      <c r="G1882" s="24"/>
      <c r="H1882" s="230">
        <v>4.5</v>
      </c>
      <c r="I1882" s="220">
        <v>1430000</v>
      </c>
      <c r="J1882" s="220">
        <f>I1882*0.1</f>
        <v>143000</v>
      </c>
      <c r="K1882" s="220">
        <v>0</v>
      </c>
      <c r="L1882" s="220">
        <v>8630</v>
      </c>
      <c r="M1882" s="220">
        <v>8800</v>
      </c>
      <c r="N1882" s="220">
        <f>SUM(I1882:M1883)</f>
        <v>1590430</v>
      </c>
      <c r="O1882" s="224"/>
      <c r="P1882" s="110" t="s">
        <v>6762</v>
      </c>
      <c r="Q1882" s="15" t="s">
        <v>19</v>
      </c>
      <c r="R1882" s="205"/>
      <c r="S1882" s="189" t="s">
        <v>25490</v>
      </c>
      <c r="T1882" s="114"/>
      <c r="U1882" s="21"/>
      <c r="V1882" s="115">
        <v>45941</v>
      </c>
      <c r="W1882" s="116">
        <v>1271</v>
      </c>
      <c r="X1882" s="220">
        <v>1515000</v>
      </c>
      <c r="Y1882" s="220">
        <f>X1882*0.1</f>
        <v>151500</v>
      </c>
      <c r="Z1882" s="220">
        <v>8630</v>
      </c>
      <c r="AA1882" s="220">
        <f>SUM(X1882:Z1882)</f>
        <v>1675130</v>
      </c>
      <c r="AB1882" s="222">
        <v>45945</v>
      </c>
    </row>
    <row r="1883" spans="1:28" ht="17.100000000000001" customHeight="1" thickBot="1">
      <c r="A1883" s="227"/>
      <c r="B1883" s="27" t="s">
        <v>82</v>
      </c>
      <c r="C1883" s="27">
        <v>24005</v>
      </c>
      <c r="D1883" s="14" t="s">
        <v>273</v>
      </c>
      <c r="E1883" s="229"/>
      <c r="F1883" s="117" t="s">
        <v>5426</v>
      </c>
      <c r="G1883" s="26">
        <v>14126</v>
      </c>
      <c r="H1883" s="231"/>
      <c r="I1883" s="221"/>
      <c r="J1883" s="221"/>
      <c r="K1883" s="221"/>
      <c r="L1883" s="221"/>
      <c r="M1883" s="221"/>
      <c r="N1883" s="221"/>
      <c r="O1883" s="225"/>
      <c r="P1883" s="118" t="s">
        <v>6763</v>
      </c>
      <c r="Q1883" s="16" t="s">
        <v>20</v>
      </c>
      <c r="R1883" s="17" t="s">
        <v>6610</v>
      </c>
      <c r="S1883" s="121" t="s">
        <v>1731</v>
      </c>
      <c r="T1883" s="122"/>
      <c r="U1883" s="22"/>
      <c r="V1883" s="123" t="s">
        <v>7160</v>
      </c>
      <c r="W1883" s="122">
        <v>60308</v>
      </c>
      <c r="X1883" s="221"/>
      <c r="Y1883" s="221"/>
      <c r="Z1883" s="221"/>
      <c r="AA1883" s="221"/>
      <c r="AB1883" s="223"/>
    </row>
    <row r="1884" spans="1:28" ht="17.100000000000001" customHeight="1" thickTop="1">
      <c r="A1884" s="226" t="s">
        <v>6571</v>
      </c>
      <c r="B1884" s="28">
        <v>45929</v>
      </c>
      <c r="C1884" s="25">
        <v>2062</v>
      </c>
      <c r="D1884" s="13" t="s">
        <v>1589</v>
      </c>
      <c r="E1884" s="228"/>
      <c r="F1884" s="109" t="s">
        <v>4844</v>
      </c>
      <c r="G1884" s="24"/>
      <c r="H1884" s="230">
        <v>4</v>
      </c>
      <c r="I1884" s="220">
        <v>323000</v>
      </c>
      <c r="J1884" s="220">
        <f>I1884*0.1</f>
        <v>32300</v>
      </c>
      <c r="K1884" s="220">
        <v>0</v>
      </c>
      <c r="L1884" s="220">
        <v>7140</v>
      </c>
      <c r="M1884" s="220">
        <v>20900</v>
      </c>
      <c r="N1884" s="220">
        <f>SUM(I1884:M1885)</f>
        <v>383340</v>
      </c>
      <c r="O1884" s="224"/>
      <c r="P1884" s="110" t="s">
        <v>6992</v>
      </c>
      <c r="Q1884" s="15" t="s">
        <v>19</v>
      </c>
      <c r="R1884" s="205"/>
      <c r="S1884" s="189"/>
      <c r="T1884" s="114"/>
      <c r="U1884" s="21"/>
      <c r="V1884" s="115">
        <v>45941</v>
      </c>
      <c r="W1884" s="116">
        <v>1271</v>
      </c>
      <c r="X1884" s="220">
        <v>445000</v>
      </c>
      <c r="Y1884" s="220">
        <f>X1884*0.1</f>
        <v>44500</v>
      </c>
      <c r="Z1884" s="220">
        <v>7140</v>
      </c>
      <c r="AA1884" s="220">
        <f>SUM(X1884:Z1884)</f>
        <v>496640</v>
      </c>
      <c r="AB1884" s="222">
        <v>45945</v>
      </c>
    </row>
    <row r="1885" spans="1:28" ht="17.100000000000001" customHeight="1" thickBot="1">
      <c r="A1885" s="227"/>
      <c r="B1885" s="27" t="s">
        <v>82</v>
      </c>
      <c r="C1885" s="27">
        <v>25144</v>
      </c>
      <c r="D1885" s="14" t="s">
        <v>1584</v>
      </c>
      <c r="E1885" s="229"/>
      <c r="F1885" s="117" t="s">
        <v>5427</v>
      </c>
      <c r="G1885" s="26">
        <v>48616</v>
      </c>
      <c r="H1885" s="231"/>
      <c r="I1885" s="221"/>
      <c r="J1885" s="221"/>
      <c r="K1885" s="221"/>
      <c r="L1885" s="221"/>
      <c r="M1885" s="221"/>
      <c r="N1885" s="221"/>
      <c r="O1885" s="225"/>
      <c r="P1885" s="118" t="s">
        <v>2031</v>
      </c>
      <c r="Q1885" s="16" t="s">
        <v>20</v>
      </c>
      <c r="R1885" s="17" t="s">
        <v>3672</v>
      </c>
      <c r="S1885" s="121" t="s">
        <v>7707</v>
      </c>
      <c r="T1885" s="122"/>
      <c r="U1885" s="22"/>
      <c r="V1885" s="123" t="s">
        <v>7160</v>
      </c>
      <c r="W1885" s="122">
        <v>60311</v>
      </c>
      <c r="X1885" s="221"/>
      <c r="Y1885" s="221"/>
      <c r="Z1885" s="221"/>
      <c r="AA1885" s="221"/>
      <c r="AB1885" s="223"/>
    </row>
    <row r="1886" spans="1:28" ht="17.100000000000001" customHeight="1" thickTop="1">
      <c r="A1886" s="226" t="s">
        <v>6572</v>
      </c>
      <c r="B1886" s="28">
        <v>45929</v>
      </c>
      <c r="C1886" s="25">
        <v>2062</v>
      </c>
      <c r="D1886" s="13" t="s">
        <v>2422</v>
      </c>
      <c r="E1886" s="228"/>
      <c r="F1886" s="109" t="s">
        <v>5428</v>
      </c>
      <c r="G1886" s="24"/>
      <c r="H1886" s="230">
        <v>3.5</v>
      </c>
      <c r="I1886" s="220">
        <v>1595000</v>
      </c>
      <c r="J1886" s="220">
        <f>I1886*0.1</f>
        <v>159500</v>
      </c>
      <c r="K1886" s="220">
        <v>0</v>
      </c>
      <c r="L1886" s="220">
        <v>17430</v>
      </c>
      <c r="M1886" s="220">
        <v>11000</v>
      </c>
      <c r="N1886" s="220">
        <f>SUM(I1886:M1887)</f>
        <v>1782930</v>
      </c>
      <c r="O1886" s="224"/>
      <c r="P1886" s="110" t="s">
        <v>6748</v>
      </c>
      <c r="Q1886" s="15" t="s">
        <v>19</v>
      </c>
      <c r="R1886" s="205"/>
      <c r="S1886" s="189" t="s">
        <v>25403</v>
      </c>
      <c r="T1886" s="114"/>
      <c r="U1886" s="21"/>
      <c r="V1886" s="115">
        <v>45983</v>
      </c>
      <c r="W1886" s="116">
        <v>1277</v>
      </c>
      <c r="X1886" s="220">
        <v>1660000</v>
      </c>
      <c r="Y1886" s="220">
        <f>X1886*0.1</f>
        <v>166000</v>
      </c>
      <c r="Z1886" s="220">
        <v>17430</v>
      </c>
      <c r="AA1886" s="220">
        <f>SUM(X1886:Z1886)</f>
        <v>1843430</v>
      </c>
      <c r="AB1886" s="222">
        <v>45987</v>
      </c>
    </row>
    <row r="1887" spans="1:28" ht="17.100000000000001" customHeight="1" thickBot="1">
      <c r="A1887" s="227"/>
      <c r="B1887" s="27" t="s">
        <v>82</v>
      </c>
      <c r="C1887" s="27">
        <v>33508</v>
      </c>
      <c r="D1887" s="14" t="s">
        <v>273</v>
      </c>
      <c r="E1887" s="229"/>
      <c r="F1887" s="117" t="s">
        <v>5429</v>
      </c>
      <c r="G1887" s="26">
        <v>55235</v>
      </c>
      <c r="H1887" s="231"/>
      <c r="I1887" s="221"/>
      <c r="J1887" s="221"/>
      <c r="K1887" s="221"/>
      <c r="L1887" s="221"/>
      <c r="M1887" s="221"/>
      <c r="N1887" s="221"/>
      <c r="O1887" s="225"/>
      <c r="P1887" s="118" t="s">
        <v>4735</v>
      </c>
      <c r="Q1887" s="16" t="s">
        <v>20</v>
      </c>
      <c r="R1887" s="17" t="s">
        <v>6610</v>
      </c>
      <c r="S1887" s="121" t="s">
        <v>6979</v>
      </c>
      <c r="T1887" s="122"/>
      <c r="U1887" s="22"/>
      <c r="V1887" s="123" t="s">
        <v>2472</v>
      </c>
      <c r="W1887" s="122">
        <v>80143</v>
      </c>
      <c r="X1887" s="221"/>
      <c r="Y1887" s="221"/>
      <c r="Z1887" s="221"/>
      <c r="AA1887" s="221"/>
      <c r="AB1887" s="223"/>
    </row>
    <row r="1888" spans="1:28" ht="17.100000000000001" customHeight="1" thickTop="1">
      <c r="A1888" s="226" t="s">
        <v>6573</v>
      </c>
      <c r="B1888" s="28">
        <v>45929</v>
      </c>
      <c r="C1888" s="25">
        <v>2062</v>
      </c>
      <c r="D1888" s="13" t="s">
        <v>1702</v>
      </c>
      <c r="E1888" s="228"/>
      <c r="F1888" s="109" t="s">
        <v>5430</v>
      </c>
      <c r="G1888" s="24" t="s">
        <v>4038</v>
      </c>
      <c r="H1888" s="230">
        <v>4</v>
      </c>
      <c r="I1888" s="220">
        <v>637000</v>
      </c>
      <c r="J1888" s="220">
        <f>I1888*0.1</f>
        <v>63700</v>
      </c>
      <c r="K1888" s="220">
        <f>17200+1720</f>
        <v>18920</v>
      </c>
      <c r="L1888" s="220">
        <v>18960</v>
      </c>
      <c r="M1888" s="220">
        <v>11000</v>
      </c>
      <c r="N1888" s="220">
        <f>SUM(I1888:M1889)</f>
        <v>749580</v>
      </c>
      <c r="O1888" s="224"/>
      <c r="P1888" s="110" t="s">
        <v>5431</v>
      </c>
      <c r="Q1888" s="15" t="s">
        <v>19</v>
      </c>
      <c r="R1888" s="205"/>
      <c r="S1888" s="189"/>
      <c r="T1888" s="114"/>
      <c r="U1888" s="21"/>
      <c r="V1888" s="115">
        <v>45983</v>
      </c>
      <c r="W1888" s="116">
        <v>1277</v>
      </c>
      <c r="X1888" s="220">
        <v>700000</v>
      </c>
      <c r="Y1888" s="220">
        <f>X1888*0.1</f>
        <v>70000</v>
      </c>
      <c r="Z1888" s="220">
        <v>18960</v>
      </c>
      <c r="AA1888" s="220">
        <f>SUM(X1888:Z1888)</f>
        <v>788960</v>
      </c>
      <c r="AB1888" s="222">
        <v>45987</v>
      </c>
    </row>
    <row r="1889" spans="1:28" ht="17.100000000000001" customHeight="1" thickBot="1">
      <c r="A1889" s="227"/>
      <c r="B1889" s="27" t="s">
        <v>82</v>
      </c>
      <c r="C1889" s="27">
        <v>34523</v>
      </c>
      <c r="D1889" s="14" t="s">
        <v>1710</v>
      </c>
      <c r="E1889" s="229"/>
      <c r="F1889" s="117" t="s">
        <v>5432</v>
      </c>
      <c r="G1889" s="26">
        <v>49226</v>
      </c>
      <c r="H1889" s="231"/>
      <c r="I1889" s="221"/>
      <c r="J1889" s="221"/>
      <c r="K1889" s="221"/>
      <c r="L1889" s="221"/>
      <c r="M1889" s="221"/>
      <c r="N1889" s="221"/>
      <c r="O1889" s="225"/>
      <c r="P1889" s="118" t="s">
        <v>4743</v>
      </c>
      <c r="Q1889" s="16" t="s">
        <v>20</v>
      </c>
      <c r="R1889" s="17" t="s">
        <v>6726</v>
      </c>
      <c r="S1889" s="121" t="s">
        <v>1731</v>
      </c>
      <c r="T1889" s="122"/>
      <c r="U1889" s="22" t="s">
        <v>3427</v>
      </c>
      <c r="V1889" s="123" t="s">
        <v>2472</v>
      </c>
      <c r="W1889" s="122">
        <v>80078</v>
      </c>
      <c r="X1889" s="221"/>
      <c r="Y1889" s="221"/>
      <c r="Z1889" s="221"/>
      <c r="AA1889" s="221"/>
      <c r="AB1889" s="223"/>
    </row>
    <row r="1890" spans="1:28" ht="17.100000000000001" customHeight="1" thickTop="1">
      <c r="A1890" s="226" t="s">
        <v>6574</v>
      </c>
      <c r="B1890" s="28">
        <v>45929</v>
      </c>
      <c r="C1890" s="25">
        <v>2062</v>
      </c>
      <c r="D1890" s="13" t="s">
        <v>3857</v>
      </c>
      <c r="E1890" s="228"/>
      <c r="F1890" s="109" t="s">
        <v>5433</v>
      </c>
      <c r="G1890" s="24" t="s">
        <v>2494</v>
      </c>
      <c r="H1890" s="230">
        <v>4.5</v>
      </c>
      <c r="I1890" s="220">
        <v>1855000</v>
      </c>
      <c r="J1890" s="220">
        <f>I1890*0.1</f>
        <v>185500</v>
      </c>
      <c r="K1890" s="220">
        <f>19700+1970</f>
        <v>21670</v>
      </c>
      <c r="L1890" s="220">
        <v>21720</v>
      </c>
      <c r="M1890" s="220">
        <v>11000</v>
      </c>
      <c r="N1890" s="220">
        <f>SUM(I1890:M1891)</f>
        <v>2094890</v>
      </c>
      <c r="O1890" s="224"/>
      <c r="P1890" s="110" t="s">
        <v>5434</v>
      </c>
      <c r="Q1890" s="15" t="s">
        <v>19</v>
      </c>
      <c r="R1890" s="205"/>
      <c r="S1890" s="189"/>
      <c r="T1890" s="114"/>
      <c r="U1890" s="21"/>
      <c r="V1890" s="115">
        <v>45950</v>
      </c>
      <c r="W1890" s="116"/>
      <c r="X1890" s="220">
        <v>2100000</v>
      </c>
      <c r="Y1890" s="220">
        <f>X1890*0.1</f>
        <v>210000</v>
      </c>
      <c r="Z1890" s="220">
        <v>21720</v>
      </c>
      <c r="AA1890" s="220">
        <f>SUM(X1890:Z1890)</f>
        <v>2331720</v>
      </c>
      <c r="AB1890" s="222"/>
    </row>
    <row r="1891" spans="1:28" ht="17.100000000000001" customHeight="1" thickBot="1">
      <c r="A1891" s="227"/>
      <c r="B1891" s="27" t="s">
        <v>82</v>
      </c>
      <c r="C1891" s="27">
        <v>34530</v>
      </c>
      <c r="D1891" s="14" t="s">
        <v>131</v>
      </c>
      <c r="E1891" s="229"/>
      <c r="F1891" s="117" t="s">
        <v>5435</v>
      </c>
      <c r="G1891" s="26">
        <v>67313</v>
      </c>
      <c r="H1891" s="231"/>
      <c r="I1891" s="221"/>
      <c r="J1891" s="221"/>
      <c r="K1891" s="221"/>
      <c r="L1891" s="221"/>
      <c r="M1891" s="221"/>
      <c r="N1891" s="221"/>
      <c r="O1891" s="225"/>
      <c r="P1891" s="118" t="s">
        <v>3989</v>
      </c>
      <c r="Q1891" s="16" t="s">
        <v>20</v>
      </c>
      <c r="R1891" s="17" t="s">
        <v>3264</v>
      </c>
      <c r="S1891" s="121" t="s">
        <v>1731</v>
      </c>
      <c r="T1891" s="122"/>
      <c r="U1891" s="22" t="s">
        <v>3427</v>
      </c>
      <c r="V1891" s="123" t="s">
        <v>6682</v>
      </c>
      <c r="W1891" s="122">
        <v>40070</v>
      </c>
      <c r="X1891" s="221"/>
      <c r="Y1891" s="221"/>
      <c r="Z1891" s="221"/>
      <c r="AA1891" s="221"/>
      <c r="AB1891" s="223"/>
    </row>
    <row r="1892" spans="1:28" ht="17.100000000000001" customHeight="1" thickTop="1">
      <c r="A1892" s="226" t="s">
        <v>6575</v>
      </c>
      <c r="B1892" s="28">
        <v>45929</v>
      </c>
      <c r="C1892" s="25">
        <v>2062</v>
      </c>
      <c r="D1892" s="13" t="s">
        <v>2564</v>
      </c>
      <c r="E1892" s="228"/>
      <c r="F1892" s="109" t="s">
        <v>5436</v>
      </c>
      <c r="G1892" s="24"/>
      <c r="H1892" s="230">
        <v>4.5</v>
      </c>
      <c r="I1892" s="220">
        <v>1395000</v>
      </c>
      <c r="J1892" s="220">
        <f>I1892*0.1</f>
        <v>139500</v>
      </c>
      <c r="K1892" s="220">
        <v>0</v>
      </c>
      <c r="L1892" s="220">
        <v>17800</v>
      </c>
      <c r="M1892" s="220">
        <v>11000</v>
      </c>
      <c r="N1892" s="220">
        <f>SUM(I1892:M1893)</f>
        <v>1563300</v>
      </c>
      <c r="O1892" s="224"/>
      <c r="P1892" s="110" t="s">
        <v>7303</v>
      </c>
      <c r="Q1892" s="15" t="s">
        <v>19</v>
      </c>
      <c r="R1892" s="205"/>
      <c r="S1892" s="189"/>
      <c r="T1892" s="114"/>
      <c r="U1892" s="21"/>
      <c r="V1892" s="115">
        <v>45948</v>
      </c>
      <c r="W1892" s="116">
        <v>1272</v>
      </c>
      <c r="X1892" s="220">
        <v>1645000</v>
      </c>
      <c r="Y1892" s="220">
        <f>X1892*0.1</f>
        <v>164500</v>
      </c>
      <c r="Z1892" s="220">
        <v>17800</v>
      </c>
      <c r="AA1892" s="220">
        <f>SUM(X1892:Z1892)</f>
        <v>1827300</v>
      </c>
      <c r="AB1892" s="222">
        <v>45951</v>
      </c>
    </row>
    <row r="1893" spans="1:28" ht="17.100000000000001" customHeight="1" thickBot="1">
      <c r="A1893" s="227"/>
      <c r="B1893" s="27" t="s">
        <v>82</v>
      </c>
      <c r="C1893" s="27">
        <v>34538</v>
      </c>
      <c r="D1893" s="14" t="s">
        <v>1627</v>
      </c>
      <c r="E1893" s="229"/>
      <c r="F1893" s="117" t="s">
        <v>5437</v>
      </c>
      <c r="G1893" s="26">
        <v>53918</v>
      </c>
      <c r="H1893" s="231"/>
      <c r="I1893" s="221"/>
      <c r="J1893" s="221"/>
      <c r="K1893" s="221"/>
      <c r="L1893" s="221"/>
      <c r="M1893" s="221"/>
      <c r="N1893" s="221"/>
      <c r="O1893" s="225"/>
      <c r="P1893" s="118" t="s">
        <v>3989</v>
      </c>
      <c r="Q1893" s="16" t="s">
        <v>20</v>
      </c>
      <c r="R1893" s="17" t="s">
        <v>3264</v>
      </c>
      <c r="S1893" s="121" t="s">
        <v>1731</v>
      </c>
      <c r="T1893" s="122"/>
      <c r="U1893" s="22"/>
      <c r="V1893" s="123" t="s">
        <v>7160</v>
      </c>
      <c r="W1893" s="122">
        <v>80027</v>
      </c>
      <c r="X1893" s="221"/>
      <c r="Y1893" s="221"/>
      <c r="Z1893" s="221"/>
      <c r="AA1893" s="221"/>
      <c r="AB1893" s="223"/>
    </row>
    <row r="1894" spans="1:28" ht="17.100000000000001" customHeight="1" thickTop="1">
      <c r="A1894" s="226" t="s">
        <v>6576</v>
      </c>
      <c r="B1894" s="28">
        <v>45929</v>
      </c>
      <c r="C1894" s="25"/>
      <c r="D1894" s="13" t="s">
        <v>1658</v>
      </c>
      <c r="E1894" s="228"/>
      <c r="F1894" s="109" t="s">
        <v>5438</v>
      </c>
      <c r="G1894" s="24" t="s">
        <v>4073</v>
      </c>
      <c r="H1894" s="230">
        <v>4.5</v>
      </c>
      <c r="I1894" s="220">
        <f>1595000/1.1</f>
        <v>1449999.9999999998</v>
      </c>
      <c r="J1894" s="220">
        <f>I1894*0.1</f>
        <v>144999.99999999997</v>
      </c>
      <c r="K1894" s="220">
        <v>18700</v>
      </c>
      <c r="L1894" s="220">
        <v>16960</v>
      </c>
      <c r="M1894" s="220">
        <v>94875</v>
      </c>
      <c r="N1894" s="220">
        <f>SUM(I1894:M1895)</f>
        <v>1725534.9999999998</v>
      </c>
      <c r="O1894" s="224"/>
      <c r="P1894" s="110" t="s">
        <v>7804</v>
      </c>
      <c r="Q1894" s="15" t="s">
        <v>19</v>
      </c>
      <c r="R1894" s="205"/>
      <c r="S1894" s="189" t="s">
        <v>1276</v>
      </c>
      <c r="T1894" s="114"/>
      <c r="U1894" s="21"/>
      <c r="V1894" s="115">
        <v>45941</v>
      </c>
      <c r="W1894" s="116">
        <v>1271</v>
      </c>
      <c r="X1894" s="220">
        <v>1840000</v>
      </c>
      <c r="Y1894" s="220">
        <f>X1894*0.1</f>
        <v>184000</v>
      </c>
      <c r="Z1894" s="220">
        <v>16960</v>
      </c>
      <c r="AA1894" s="220">
        <f>SUM(X1894:Z1894)</f>
        <v>2040960</v>
      </c>
      <c r="AB1894" s="222">
        <v>45944</v>
      </c>
    </row>
    <row r="1895" spans="1:28" ht="17.100000000000001" customHeight="1" thickBot="1">
      <c r="A1895" s="227"/>
      <c r="B1895" s="27" t="s">
        <v>1708</v>
      </c>
      <c r="C1895" s="27" t="s">
        <v>5439</v>
      </c>
      <c r="D1895" s="14" t="s">
        <v>1584</v>
      </c>
      <c r="E1895" s="229"/>
      <c r="F1895" s="117" t="s">
        <v>5440</v>
      </c>
      <c r="G1895" s="26">
        <v>75018</v>
      </c>
      <c r="H1895" s="231"/>
      <c r="I1895" s="221"/>
      <c r="J1895" s="221"/>
      <c r="K1895" s="221"/>
      <c r="L1895" s="221"/>
      <c r="M1895" s="221"/>
      <c r="N1895" s="221"/>
      <c r="O1895" s="225"/>
      <c r="P1895" s="118" t="s">
        <v>7805</v>
      </c>
      <c r="Q1895" s="16" t="s">
        <v>20</v>
      </c>
      <c r="R1895" s="17" t="s">
        <v>1605</v>
      </c>
      <c r="S1895" s="121" t="s">
        <v>1923</v>
      </c>
      <c r="T1895" s="122"/>
      <c r="U1895" s="22"/>
      <c r="V1895" s="123" t="s">
        <v>2472</v>
      </c>
      <c r="W1895" s="122">
        <v>37861</v>
      </c>
      <c r="X1895" s="221"/>
      <c r="Y1895" s="221"/>
      <c r="Z1895" s="221"/>
      <c r="AA1895" s="221"/>
      <c r="AB1895" s="223"/>
    </row>
    <row r="1896" spans="1:28" ht="17.100000000000001" customHeight="1" thickTop="1">
      <c r="A1896" s="226" t="s">
        <v>6577</v>
      </c>
      <c r="B1896" s="28">
        <v>45929</v>
      </c>
      <c r="C1896" s="25"/>
      <c r="D1896" s="13" t="s">
        <v>1678</v>
      </c>
      <c r="E1896" s="228"/>
      <c r="F1896" s="109" t="s">
        <v>5441</v>
      </c>
      <c r="G1896" s="24" t="s">
        <v>5442</v>
      </c>
      <c r="H1896" s="232" t="s">
        <v>1705</v>
      </c>
      <c r="I1896" s="220">
        <f>1826000/1.1</f>
        <v>1659999.9999999998</v>
      </c>
      <c r="J1896" s="220">
        <f>I1896*0.1</f>
        <v>166000</v>
      </c>
      <c r="K1896" s="220">
        <v>12700</v>
      </c>
      <c r="L1896" s="220">
        <v>11650</v>
      </c>
      <c r="M1896" s="220">
        <v>100650</v>
      </c>
      <c r="N1896" s="220">
        <f>SUM(I1896:M1897)</f>
        <v>1950999.9999999998</v>
      </c>
      <c r="O1896" s="224"/>
      <c r="P1896" s="110" t="s">
        <v>7240</v>
      </c>
      <c r="Q1896" s="15" t="s">
        <v>19</v>
      </c>
      <c r="R1896" s="205"/>
      <c r="S1896" s="189" t="s">
        <v>25367</v>
      </c>
      <c r="T1896" s="114"/>
      <c r="U1896" s="21"/>
      <c r="V1896" s="115">
        <v>45962</v>
      </c>
      <c r="W1896" s="116">
        <v>1274</v>
      </c>
      <c r="X1896" s="220">
        <v>1510000</v>
      </c>
      <c r="Y1896" s="220">
        <f>X1896*0.1</f>
        <v>151000</v>
      </c>
      <c r="Z1896" s="220">
        <v>11650</v>
      </c>
      <c r="AA1896" s="220">
        <f>SUM(X1896:Z1896)</f>
        <v>1672650</v>
      </c>
      <c r="AB1896" s="222">
        <v>45965</v>
      </c>
    </row>
    <row r="1897" spans="1:28" ht="17.100000000000001" customHeight="1" thickBot="1">
      <c r="A1897" s="227"/>
      <c r="B1897" s="27" t="s">
        <v>1708</v>
      </c>
      <c r="C1897" s="27" t="s">
        <v>5443</v>
      </c>
      <c r="D1897" s="14" t="s">
        <v>2753</v>
      </c>
      <c r="E1897" s="229"/>
      <c r="F1897" s="117" t="s">
        <v>5444</v>
      </c>
      <c r="G1897" s="26">
        <v>11764</v>
      </c>
      <c r="H1897" s="231"/>
      <c r="I1897" s="221"/>
      <c r="J1897" s="221"/>
      <c r="K1897" s="221"/>
      <c r="L1897" s="221"/>
      <c r="M1897" s="221"/>
      <c r="N1897" s="221"/>
      <c r="O1897" s="225"/>
      <c r="P1897" s="118" t="s">
        <v>7241</v>
      </c>
      <c r="Q1897" s="16" t="s">
        <v>20</v>
      </c>
      <c r="R1897" s="17" t="s">
        <v>2128</v>
      </c>
      <c r="S1897" s="121" t="s">
        <v>1731</v>
      </c>
      <c r="T1897" s="122"/>
      <c r="U1897" s="22"/>
      <c r="V1897" s="123" t="s">
        <v>7160</v>
      </c>
      <c r="W1897" s="122">
        <v>55082</v>
      </c>
      <c r="X1897" s="221"/>
      <c r="Y1897" s="221"/>
      <c r="Z1897" s="221"/>
      <c r="AA1897" s="221"/>
      <c r="AB1897" s="223"/>
    </row>
    <row r="1898" spans="1:28" ht="17.100000000000001" customHeight="1" thickTop="1">
      <c r="A1898" s="226" t="s">
        <v>6578</v>
      </c>
      <c r="B1898" s="28">
        <v>45929</v>
      </c>
      <c r="C1898" s="25"/>
      <c r="D1898" s="13" t="s">
        <v>1853</v>
      </c>
      <c r="E1898" s="228"/>
      <c r="F1898" s="109" t="s">
        <v>5445</v>
      </c>
      <c r="G1898" s="24" t="s">
        <v>5446</v>
      </c>
      <c r="H1898" s="232" t="s">
        <v>1705</v>
      </c>
      <c r="I1898" s="220">
        <f>759000/1.1</f>
        <v>690000</v>
      </c>
      <c r="J1898" s="220">
        <f>I1898*0.1</f>
        <v>69000</v>
      </c>
      <c r="K1898" s="220">
        <v>36600</v>
      </c>
      <c r="L1898" s="220">
        <v>14980</v>
      </c>
      <c r="M1898" s="220">
        <v>66000</v>
      </c>
      <c r="N1898" s="220">
        <f>SUM(I1898:M1899)</f>
        <v>876580</v>
      </c>
      <c r="O1898" s="224"/>
      <c r="P1898" s="110" t="s">
        <v>7834</v>
      </c>
      <c r="Q1898" s="15" t="s">
        <v>19</v>
      </c>
      <c r="R1898" s="205"/>
      <c r="S1898" s="189" t="s">
        <v>1361</v>
      </c>
      <c r="T1898" s="114"/>
      <c r="U1898" s="21"/>
      <c r="V1898" s="115">
        <v>45948</v>
      </c>
      <c r="W1898" s="116">
        <v>1272</v>
      </c>
      <c r="X1898" s="220">
        <v>770000</v>
      </c>
      <c r="Y1898" s="220">
        <f>X1898*0.1</f>
        <v>77000</v>
      </c>
      <c r="Z1898" s="220">
        <v>14980</v>
      </c>
      <c r="AA1898" s="220">
        <f>SUM(X1898:Z1898)</f>
        <v>861980</v>
      </c>
      <c r="AB1898" s="222">
        <v>45951</v>
      </c>
    </row>
    <row r="1899" spans="1:28" ht="17.100000000000001" customHeight="1" thickBot="1">
      <c r="A1899" s="227"/>
      <c r="B1899" s="27" t="s">
        <v>1708</v>
      </c>
      <c r="C1899" s="27" t="s">
        <v>5447</v>
      </c>
      <c r="D1899" s="14" t="s">
        <v>2559</v>
      </c>
      <c r="E1899" s="229"/>
      <c r="F1899" s="117" t="s">
        <v>5448</v>
      </c>
      <c r="G1899" s="26">
        <v>136654</v>
      </c>
      <c r="H1899" s="231"/>
      <c r="I1899" s="221"/>
      <c r="J1899" s="221"/>
      <c r="K1899" s="221"/>
      <c r="L1899" s="221"/>
      <c r="M1899" s="221"/>
      <c r="N1899" s="221"/>
      <c r="O1899" s="225"/>
      <c r="P1899" s="118" t="s">
        <v>7835</v>
      </c>
      <c r="Q1899" s="16" t="s">
        <v>20</v>
      </c>
      <c r="R1899" s="17" t="s">
        <v>2562</v>
      </c>
      <c r="S1899" s="121" t="s">
        <v>8105</v>
      </c>
      <c r="T1899" s="122"/>
      <c r="U1899" s="22"/>
      <c r="V1899" s="123" t="s">
        <v>2472</v>
      </c>
      <c r="W1899" s="122">
        <v>33005</v>
      </c>
      <c r="X1899" s="221"/>
      <c r="Y1899" s="221"/>
      <c r="Z1899" s="221"/>
      <c r="AA1899" s="221"/>
      <c r="AB1899" s="223"/>
    </row>
    <row r="1900" spans="1:28" ht="17.100000000000001" customHeight="1" thickTop="1">
      <c r="A1900" s="226" t="s">
        <v>6579</v>
      </c>
      <c r="B1900" s="28">
        <v>45929</v>
      </c>
      <c r="C1900" s="25"/>
      <c r="D1900" s="13" t="s">
        <v>853</v>
      </c>
      <c r="E1900" s="228"/>
      <c r="F1900" s="109" t="s">
        <v>5449</v>
      </c>
      <c r="G1900" s="24" t="s">
        <v>3528</v>
      </c>
      <c r="H1900" s="230">
        <v>4</v>
      </c>
      <c r="I1900" s="220">
        <f>2618000/1.1</f>
        <v>2380000</v>
      </c>
      <c r="J1900" s="220">
        <f>I1900*0.1</f>
        <v>238000</v>
      </c>
      <c r="K1900" s="220">
        <v>12700</v>
      </c>
      <c r="L1900" s="220">
        <v>10230</v>
      </c>
      <c r="M1900" s="220">
        <v>120450</v>
      </c>
      <c r="N1900" s="220">
        <f>SUM(I1900:M1901)</f>
        <v>2761380</v>
      </c>
      <c r="O1900" s="224"/>
      <c r="P1900" s="110" t="s">
        <v>8294</v>
      </c>
      <c r="Q1900" s="15" t="s">
        <v>19</v>
      </c>
      <c r="R1900" s="205"/>
      <c r="S1900" s="189" t="s">
        <v>1276</v>
      </c>
      <c r="T1900" s="114"/>
      <c r="U1900" s="21"/>
      <c r="V1900" s="115">
        <v>45955</v>
      </c>
      <c r="W1900" s="116">
        <v>1273</v>
      </c>
      <c r="X1900" s="220">
        <v>2795000</v>
      </c>
      <c r="Y1900" s="220">
        <f>X1900*0.1</f>
        <v>279500</v>
      </c>
      <c r="Z1900" s="220">
        <v>10230</v>
      </c>
      <c r="AA1900" s="220">
        <f>SUM(X1900:Z1900)</f>
        <v>3084730</v>
      </c>
      <c r="AB1900" s="222">
        <v>45958</v>
      </c>
    </row>
    <row r="1901" spans="1:28" ht="17.100000000000001" customHeight="1" thickBot="1">
      <c r="A1901" s="227"/>
      <c r="B1901" s="27" t="s">
        <v>1708</v>
      </c>
      <c r="C1901" s="27" t="s">
        <v>5450</v>
      </c>
      <c r="D1901" s="14" t="s">
        <v>2559</v>
      </c>
      <c r="E1901" s="229"/>
      <c r="F1901" s="117" t="s">
        <v>5451</v>
      </c>
      <c r="G1901" s="26">
        <v>54199</v>
      </c>
      <c r="H1901" s="231"/>
      <c r="I1901" s="221"/>
      <c r="J1901" s="221"/>
      <c r="K1901" s="221"/>
      <c r="L1901" s="221"/>
      <c r="M1901" s="221"/>
      <c r="N1901" s="221"/>
      <c r="O1901" s="225"/>
      <c r="P1901" s="118" t="s">
        <v>8295</v>
      </c>
      <c r="Q1901" s="16" t="s">
        <v>20</v>
      </c>
      <c r="R1901" s="17" t="s">
        <v>1630</v>
      </c>
      <c r="S1901" s="121" t="s">
        <v>1606</v>
      </c>
      <c r="T1901" s="122"/>
      <c r="U1901" s="22"/>
      <c r="V1901" s="123" t="s">
        <v>7160</v>
      </c>
      <c r="W1901" s="122">
        <v>37803</v>
      </c>
      <c r="X1901" s="221"/>
      <c r="Y1901" s="221"/>
      <c r="Z1901" s="221"/>
      <c r="AA1901" s="221"/>
      <c r="AB1901" s="223"/>
    </row>
    <row r="1902" spans="1:28" ht="17.100000000000001" customHeight="1" thickTop="1">
      <c r="A1902" s="226" t="s">
        <v>6580</v>
      </c>
      <c r="B1902" s="28">
        <v>45930</v>
      </c>
      <c r="C1902" s="25">
        <v>1911</v>
      </c>
      <c r="D1902" s="13" t="s">
        <v>2892</v>
      </c>
      <c r="E1902" s="228"/>
      <c r="F1902" s="109" t="s">
        <v>5588</v>
      </c>
      <c r="G1902" s="24" t="s">
        <v>2894</v>
      </c>
      <c r="H1902" s="230">
        <v>4</v>
      </c>
      <c r="I1902" s="220">
        <v>1180000</v>
      </c>
      <c r="J1902" s="220">
        <f>I1902*0.1</f>
        <v>118000</v>
      </c>
      <c r="K1902" s="220">
        <v>0</v>
      </c>
      <c r="L1902" s="220">
        <v>7500</v>
      </c>
      <c r="M1902" s="220">
        <v>20900</v>
      </c>
      <c r="N1902" s="220">
        <f>SUM(I1902:M1903)</f>
        <v>1326400</v>
      </c>
      <c r="O1902" s="224"/>
      <c r="P1902" s="110" t="s">
        <v>6612</v>
      </c>
      <c r="Q1902" s="15" t="s">
        <v>19</v>
      </c>
      <c r="R1902" s="205"/>
      <c r="S1902" s="189"/>
      <c r="T1902" s="114"/>
      <c r="U1902" s="21" t="s">
        <v>7570</v>
      </c>
      <c r="V1902" s="115">
        <v>45948</v>
      </c>
      <c r="W1902" s="116">
        <v>1272</v>
      </c>
      <c r="X1902" s="220">
        <v>1190000</v>
      </c>
      <c r="Y1902" s="220">
        <f>X1902*0.1</f>
        <v>119000</v>
      </c>
      <c r="Z1902" s="220">
        <v>7500</v>
      </c>
      <c r="AA1902" s="220">
        <f>SUM(X1902:Z1902)</f>
        <v>1316500</v>
      </c>
      <c r="AB1902" s="222">
        <v>45951</v>
      </c>
    </row>
    <row r="1903" spans="1:28" ht="17.100000000000001" customHeight="1" thickBot="1">
      <c r="A1903" s="227"/>
      <c r="B1903" s="27" t="s">
        <v>2103</v>
      </c>
      <c r="C1903" s="27">
        <v>3203</v>
      </c>
      <c r="D1903" s="14" t="s">
        <v>273</v>
      </c>
      <c r="E1903" s="229"/>
      <c r="F1903" s="117" t="s">
        <v>5589</v>
      </c>
      <c r="G1903" s="26">
        <v>46770</v>
      </c>
      <c r="H1903" s="231"/>
      <c r="I1903" s="221"/>
      <c r="J1903" s="221"/>
      <c r="K1903" s="221"/>
      <c r="L1903" s="221"/>
      <c r="M1903" s="221"/>
      <c r="N1903" s="221"/>
      <c r="O1903" s="225"/>
      <c r="P1903" s="118" t="s">
        <v>4243</v>
      </c>
      <c r="Q1903" s="16" t="s">
        <v>20</v>
      </c>
      <c r="R1903" s="17" t="s">
        <v>2128</v>
      </c>
      <c r="S1903" s="121" t="s">
        <v>2784</v>
      </c>
      <c r="T1903" s="122"/>
      <c r="U1903" s="22"/>
      <c r="V1903" s="123" t="s">
        <v>7160</v>
      </c>
      <c r="W1903" s="122">
        <v>60155</v>
      </c>
      <c r="X1903" s="221"/>
      <c r="Y1903" s="221"/>
      <c r="Z1903" s="221"/>
      <c r="AA1903" s="221"/>
      <c r="AB1903" s="223"/>
    </row>
    <row r="1904" spans="1:28" ht="17.100000000000001" customHeight="1" thickTop="1">
      <c r="A1904" s="226" t="s">
        <v>6581</v>
      </c>
      <c r="B1904" s="28">
        <v>45930</v>
      </c>
      <c r="C1904" s="25">
        <v>1911</v>
      </c>
      <c r="D1904" s="13" t="s">
        <v>1899</v>
      </c>
      <c r="E1904" s="228"/>
      <c r="F1904" s="109" t="s">
        <v>5590</v>
      </c>
      <c r="G1904" s="24"/>
      <c r="H1904" s="230">
        <v>4</v>
      </c>
      <c r="I1904" s="220">
        <v>200000</v>
      </c>
      <c r="J1904" s="220">
        <f>I1904*0.1</f>
        <v>20000</v>
      </c>
      <c r="K1904" s="220">
        <v>0</v>
      </c>
      <c r="L1904" s="220">
        <v>7320</v>
      </c>
      <c r="M1904" s="220">
        <v>15950</v>
      </c>
      <c r="N1904" s="220">
        <f>SUM(I1904:M1905)</f>
        <v>243270</v>
      </c>
      <c r="O1904" s="224"/>
      <c r="P1904" s="110" t="s">
        <v>7247</v>
      </c>
      <c r="Q1904" s="15" t="s">
        <v>19</v>
      </c>
      <c r="R1904" s="205"/>
      <c r="S1904" s="189"/>
      <c r="T1904" s="114"/>
      <c r="U1904" s="21"/>
      <c r="V1904" s="115">
        <v>45941</v>
      </c>
      <c r="W1904" s="116">
        <v>1271</v>
      </c>
      <c r="X1904" s="220">
        <v>270000</v>
      </c>
      <c r="Y1904" s="220">
        <f>X1904*0.1</f>
        <v>27000</v>
      </c>
      <c r="Z1904" s="220">
        <v>7320</v>
      </c>
      <c r="AA1904" s="220">
        <f>SUM(X1904:Z1904)</f>
        <v>304320</v>
      </c>
      <c r="AB1904" s="222">
        <v>45950</v>
      </c>
    </row>
    <row r="1905" spans="1:28" ht="17.100000000000001" customHeight="1" thickBot="1">
      <c r="A1905" s="227"/>
      <c r="B1905" s="27" t="s">
        <v>2103</v>
      </c>
      <c r="C1905" s="27">
        <v>3273</v>
      </c>
      <c r="D1905" s="14" t="s">
        <v>3746</v>
      </c>
      <c r="E1905" s="229"/>
      <c r="F1905" s="117" t="s">
        <v>5591</v>
      </c>
      <c r="G1905" s="26">
        <v>56005</v>
      </c>
      <c r="H1905" s="231"/>
      <c r="I1905" s="221"/>
      <c r="J1905" s="221"/>
      <c r="K1905" s="221"/>
      <c r="L1905" s="221"/>
      <c r="M1905" s="221"/>
      <c r="N1905" s="221"/>
      <c r="O1905" s="225"/>
      <c r="P1905" s="118" t="s">
        <v>5155</v>
      </c>
      <c r="Q1905" s="16" t="s">
        <v>20</v>
      </c>
      <c r="R1905" s="17" t="s">
        <v>2128</v>
      </c>
      <c r="S1905" s="121"/>
      <c r="T1905" s="122"/>
      <c r="U1905" s="22"/>
      <c r="V1905" s="123" t="s">
        <v>6641</v>
      </c>
      <c r="W1905" s="122">
        <v>60098</v>
      </c>
      <c r="X1905" s="221"/>
      <c r="Y1905" s="221"/>
      <c r="Z1905" s="221"/>
      <c r="AA1905" s="221"/>
      <c r="AB1905" s="223"/>
    </row>
    <row r="1906" spans="1:28" ht="17.100000000000001" customHeight="1" thickTop="1">
      <c r="A1906" s="226" t="s">
        <v>6582</v>
      </c>
      <c r="B1906" s="28">
        <v>45930</v>
      </c>
      <c r="C1906" s="25">
        <v>1911</v>
      </c>
      <c r="D1906" s="13" t="s">
        <v>1935</v>
      </c>
      <c r="E1906" s="228"/>
      <c r="F1906" s="109" t="s">
        <v>5592</v>
      </c>
      <c r="G1906" s="24" t="s">
        <v>2871</v>
      </c>
      <c r="H1906" s="230">
        <v>4.5</v>
      </c>
      <c r="I1906" s="220">
        <v>1321000</v>
      </c>
      <c r="J1906" s="220">
        <f>I1906*0.1</f>
        <v>132100</v>
      </c>
      <c r="K1906" s="220">
        <v>18920</v>
      </c>
      <c r="L1906" s="220">
        <v>19090</v>
      </c>
      <c r="M1906" s="220">
        <v>15950</v>
      </c>
      <c r="N1906" s="220">
        <f>SUM(I1906:M1907)</f>
        <v>1507060</v>
      </c>
      <c r="O1906" s="224"/>
      <c r="P1906" s="110" t="s">
        <v>6614</v>
      </c>
      <c r="Q1906" s="15" t="s">
        <v>19</v>
      </c>
      <c r="R1906" s="205"/>
      <c r="S1906" s="189"/>
      <c r="T1906" s="114"/>
      <c r="U1906" s="21"/>
      <c r="V1906" s="115">
        <v>45941</v>
      </c>
      <c r="W1906" s="116">
        <v>1271</v>
      </c>
      <c r="X1906" s="220">
        <v>1425000</v>
      </c>
      <c r="Y1906" s="220">
        <v>142500</v>
      </c>
      <c r="Z1906" s="220">
        <v>19090</v>
      </c>
      <c r="AA1906" s="220">
        <f>SUM(X1906:Z1906)</f>
        <v>1586590</v>
      </c>
      <c r="AB1906" s="222">
        <v>45944</v>
      </c>
    </row>
    <row r="1907" spans="1:28" ht="17.100000000000001" customHeight="1" thickBot="1">
      <c r="A1907" s="227"/>
      <c r="B1907" s="27" t="s">
        <v>2103</v>
      </c>
      <c r="C1907" s="27">
        <v>5033</v>
      </c>
      <c r="D1907" s="14" t="s">
        <v>3274</v>
      </c>
      <c r="E1907" s="229"/>
      <c r="F1907" s="117" t="s">
        <v>6613</v>
      </c>
      <c r="G1907" s="26">
        <v>32348</v>
      </c>
      <c r="H1907" s="231"/>
      <c r="I1907" s="221"/>
      <c r="J1907" s="221"/>
      <c r="K1907" s="221"/>
      <c r="L1907" s="221"/>
      <c r="M1907" s="221"/>
      <c r="N1907" s="221"/>
      <c r="O1907" s="225"/>
      <c r="P1907" s="118" t="s">
        <v>7237</v>
      </c>
      <c r="Q1907" s="16" t="s">
        <v>20</v>
      </c>
      <c r="R1907" s="17" t="s">
        <v>2128</v>
      </c>
      <c r="S1907" s="121" t="s">
        <v>7712</v>
      </c>
      <c r="T1907" s="122" t="s">
        <v>7713</v>
      </c>
      <c r="U1907" s="22"/>
      <c r="V1907" s="123" t="s">
        <v>7160</v>
      </c>
      <c r="W1907" s="122">
        <v>80015</v>
      </c>
      <c r="X1907" s="221"/>
      <c r="Y1907" s="221"/>
      <c r="Z1907" s="221"/>
      <c r="AA1907" s="221"/>
      <c r="AB1907" s="223"/>
    </row>
    <row r="1908" spans="1:28" ht="17.100000000000001" customHeight="1" thickTop="1">
      <c r="A1908" s="226" t="s">
        <v>6583</v>
      </c>
      <c r="B1908" s="28">
        <v>45930</v>
      </c>
      <c r="C1908" s="25">
        <v>1911</v>
      </c>
      <c r="D1908" s="13" t="s">
        <v>1623</v>
      </c>
      <c r="E1908" s="228"/>
      <c r="F1908" s="109" t="s">
        <v>5593</v>
      </c>
      <c r="G1908" s="24"/>
      <c r="H1908" s="230">
        <v>4.5</v>
      </c>
      <c r="I1908" s="220">
        <v>1107000</v>
      </c>
      <c r="J1908" s="220">
        <f>I1908*0.1</f>
        <v>110700</v>
      </c>
      <c r="K1908" s="220">
        <v>0</v>
      </c>
      <c r="L1908" s="220">
        <v>7150</v>
      </c>
      <c r="M1908" s="220">
        <v>15950</v>
      </c>
      <c r="N1908" s="220">
        <f>SUM(I1908:M1909)</f>
        <v>1240800</v>
      </c>
      <c r="O1908" s="224"/>
      <c r="P1908" s="110" t="s">
        <v>7012</v>
      </c>
      <c r="Q1908" s="15" t="s">
        <v>19</v>
      </c>
      <c r="R1908" s="205"/>
      <c r="S1908" s="189" t="s">
        <v>1361</v>
      </c>
      <c r="T1908" s="114"/>
      <c r="U1908" s="21"/>
      <c r="V1908" s="115">
        <v>45934</v>
      </c>
      <c r="W1908" s="116">
        <v>1270</v>
      </c>
      <c r="X1908" s="220">
        <v>1170000</v>
      </c>
      <c r="Y1908" s="220">
        <f>X1908*0.1</f>
        <v>117000</v>
      </c>
      <c r="Z1908" s="220">
        <v>7150</v>
      </c>
      <c r="AA1908" s="220">
        <f>SUM(X1908:Z1908)</f>
        <v>1294150</v>
      </c>
      <c r="AB1908" s="222">
        <v>45938</v>
      </c>
    </row>
    <row r="1909" spans="1:28" ht="17.100000000000001" customHeight="1" thickBot="1">
      <c r="A1909" s="227"/>
      <c r="B1909" s="27" t="s">
        <v>2103</v>
      </c>
      <c r="C1909" s="27">
        <v>5423</v>
      </c>
      <c r="D1909" s="14" t="s">
        <v>2559</v>
      </c>
      <c r="E1909" s="229"/>
      <c r="F1909" s="117" t="s">
        <v>5594</v>
      </c>
      <c r="G1909" s="26">
        <v>51716</v>
      </c>
      <c r="H1909" s="231"/>
      <c r="I1909" s="221"/>
      <c r="J1909" s="221"/>
      <c r="K1909" s="221"/>
      <c r="L1909" s="221"/>
      <c r="M1909" s="221"/>
      <c r="N1909" s="221"/>
      <c r="O1909" s="225"/>
      <c r="P1909" s="118" t="s">
        <v>7013</v>
      </c>
      <c r="Q1909" s="16" t="s">
        <v>20</v>
      </c>
      <c r="R1909" s="17" t="s">
        <v>2128</v>
      </c>
      <c r="S1909" s="121" t="s">
        <v>2360</v>
      </c>
      <c r="T1909" s="122"/>
      <c r="U1909" s="22"/>
      <c r="V1909" s="123" t="s">
        <v>7160</v>
      </c>
      <c r="W1909" s="122">
        <v>60459</v>
      </c>
      <c r="X1909" s="221"/>
      <c r="Y1909" s="221"/>
      <c r="Z1909" s="221"/>
      <c r="AA1909" s="221"/>
      <c r="AB1909" s="223"/>
    </row>
    <row r="1910" spans="1:28" ht="17.100000000000001" customHeight="1" thickTop="1">
      <c r="A1910" s="226" t="s">
        <v>6584</v>
      </c>
      <c r="B1910" s="28">
        <v>45930</v>
      </c>
      <c r="C1910" s="25">
        <v>1911</v>
      </c>
      <c r="D1910" s="13" t="s">
        <v>1733</v>
      </c>
      <c r="E1910" s="228"/>
      <c r="F1910" s="109" t="s">
        <v>5595</v>
      </c>
      <c r="G1910" s="24"/>
      <c r="H1910" s="232" t="s">
        <v>1705</v>
      </c>
      <c r="I1910" s="220">
        <v>293000</v>
      </c>
      <c r="J1910" s="220">
        <f>I1910*0.1</f>
        <v>29300</v>
      </c>
      <c r="K1910" s="220">
        <v>0</v>
      </c>
      <c r="L1910" s="220">
        <v>8400</v>
      </c>
      <c r="M1910" s="220">
        <v>15950</v>
      </c>
      <c r="N1910" s="220">
        <f>SUM(I1910:M1911)</f>
        <v>346650</v>
      </c>
      <c r="O1910" s="224"/>
      <c r="P1910" s="110" t="s">
        <v>7248</v>
      </c>
      <c r="Q1910" s="15" t="s">
        <v>19</v>
      </c>
      <c r="R1910" s="205"/>
      <c r="S1910" s="189"/>
      <c r="T1910" s="114"/>
      <c r="U1910" s="21"/>
      <c r="V1910" s="115">
        <v>45941</v>
      </c>
      <c r="W1910" s="116">
        <v>1271</v>
      </c>
      <c r="X1910" s="220">
        <v>325000</v>
      </c>
      <c r="Y1910" s="220">
        <f>X1910*0.1</f>
        <v>32500</v>
      </c>
      <c r="Z1910" s="220">
        <v>8400</v>
      </c>
      <c r="AA1910" s="220">
        <f>SUM(X1910:Z1910)</f>
        <v>365900</v>
      </c>
      <c r="AB1910" s="222">
        <v>45945</v>
      </c>
    </row>
    <row r="1911" spans="1:28" ht="17.100000000000001" customHeight="1" thickBot="1">
      <c r="A1911" s="227"/>
      <c r="B1911" s="27" t="s">
        <v>2103</v>
      </c>
      <c r="C1911" s="27">
        <v>32048</v>
      </c>
      <c r="D1911" s="14" t="s">
        <v>898</v>
      </c>
      <c r="E1911" s="229"/>
      <c r="F1911" s="117" t="s">
        <v>5596</v>
      </c>
      <c r="G1911" s="26">
        <v>75988</v>
      </c>
      <c r="H1911" s="231"/>
      <c r="I1911" s="221"/>
      <c r="J1911" s="221"/>
      <c r="K1911" s="221"/>
      <c r="L1911" s="221"/>
      <c r="M1911" s="221"/>
      <c r="N1911" s="221"/>
      <c r="O1911" s="225"/>
      <c r="P1911" s="118" t="s">
        <v>3336</v>
      </c>
      <c r="Q1911" s="16" t="s">
        <v>20</v>
      </c>
      <c r="R1911" s="17" t="s">
        <v>2128</v>
      </c>
      <c r="S1911" s="121"/>
      <c r="T1911" s="122"/>
      <c r="U1911" s="22"/>
      <c r="V1911" s="123" t="s">
        <v>7160</v>
      </c>
      <c r="W1911" s="122">
        <v>60156</v>
      </c>
      <c r="X1911" s="221"/>
      <c r="Y1911" s="221"/>
      <c r="Z1911" s="221"/>
      <c r="AA1911" s="221"/>
      <c r="AB1911" s="223"/>
    </row>
    <row r="1912" spans="1:28" ht="17.100000000000001" customHeight="1" thickTop="1">
      <c r="A1912" s="226" t="s">
        <v>6585</v>
      </c>
      <c r="B1912" s="28">
        <v>45930</v>
      </c>
      <c r="C1912" s="25">
        <v>1911</v>
      </c>
      <c r="D1912" s="13" t="s">
        <v>3414</v>
      </c>
      <c r="E1912" s="228"/>
      <c r="F1912" s="109" t="s">
        <v>5597</v>
      </c>
      <c r="G1912" s="24"/>
      <c r="H1912" s="230">
        <v>4</v>
      </c>
      <c r="I1912" s="220">
        <v>283000</v>
      </c>
      <c r="J1912" s="220">
        <f>I1912*0.1</f>
        <v>28300</v>
      </c>
      <c r="K1912" s="220">
        <v>0</v>
      </c>
      <c r="L1912" s="220">
        <v>9670</v>
      </c>
      <c r="M1912" s="220">
        <v>15950</v>
      </c>
      <c r="N1912" s="220">
        <f>SUM(I1912:M1913)</f>
        <v>336920</v>
      </c>
      <c r="O1912" s="224"/>
      <c r="P1912" s="110" t="s">
        <v>7011</v>
      </c>
      <c r="Q1912" s="15" t="s">
        <v>19</v>
      </c>
      <c r="R1912" s="205"/>
      <c r="S1912" s="189"/>
      <c r="T1912" s="114"/>
      <c r="U1912" s="21"/>
      <c r="V1912" s="115">
        <v>45934</v>
      </c>
      <c r="W1912" s="116">
        <v>1270</v>
      </c>
      <c r="X1912" s="220">
        <v>370000</v>
      </c>
      <c r="Y1912" s="220">
        <f>X1912*0.1</f>
        <v>37000</v>
      </c>
      <c r="Z1912" s="220">
        <v>9670</v>
      </c>
      <c r="AA1912" s="220">
        <f>SUM(X1912:Z1912)</f>
        <v>416670</v>
      </c>
      <c r="AB1912" s="222">
        <v>45938</v>
      </c>
    </row>
    <row r="1913" spans="1:28" ht="17.100000000000001" customHeight="1" thickBot="1">
      <c r="A1913" s="227"/>
      <c r="B1913" s="27" t="s">
        <v>2103</v>
      </c>
      <c r="C1913" s="27">
        <v>33030</v>
      </c>
      <c r="D1913" s="14" t="s">
        <v>1710</v>
      </c>
      <c r="E1913" s="229"/>
      <c r="F1913" s="117" t="s">
        <v>5598</v>
      </c>
      <c r="G1913" s="26">
        <v>28394</v>
      </c>
      <c r="H1913" s="231"/>
      <c r="I1913" s="221"/>
      <c r="J1913" s="221"/>
      <c r="K1913" s="221"/>
      <c r="L1913" s="221"/>
      <c r="M1913" s="221"/>
      <c r="N1913" s="221"/>
      <c r="O1913" s="225"/>
      <c r="P1913" s="118" t="s">
        <v>3336</v>
      </c>
      <c r="Q1913" s="16" t="s">
        <v>20</v>
      </c>
      <c r="R1913" s="17" t="s">
        <v>2128</v>
      </c>
      <c r="S1913" s="121"/>
      <c r="T1913" s="122"/>
      <c r="U1913" s="22"/>
      <c r="V1913" s="123" t="s">
        <v>7160</v>
      </c>
      <c r="W1913" s="122">
        <v>60472</v>
      </c>
      <c r="X1913" s="221"/>
      <c r="Y1913" s="221"/>
      <c r="Z1913" s="221"/>
      <c r="AA1913" s="221"/>
      <c r="AB1913" s="223"/>
    </row>
    <row r="1914" spans="1:28" ht="17.100000000000001" customHeight="1" thickTop="1">
      <c r="A1914" s="226" t="s">
        <v>6586</v>
      </c>
      <c r="B1914" s="28">
        <v>45930</v>
      </c>
      <c r="C1914" s="25">
        <v>789</v>
      </c>
      <c r="D1914" s="13" t="s">
        <v>1634</v>
      </c>
      <c r="E1914" s="228"/>
      <c r="F1914" s="109" t="s">
        <v>5599</v>
      </c>
      <c r="G1914" s="24"/>
      <c r="H1914" s="230">
        <v>5</v>
      </c>
      <c r="I1914" s="220">
        <v>542000</v>
      </c>
      <c r="J1914" s="220">
        <f>I1914*0.1</f>
        <v>54200</v>
      </c>
      <c r="K1914" s="220">
        <v>0</v>
      </c>
      <c r="L1914" s="220">
        <v>7140</v>
      </c>
      <c r="M1914" s="220">
        <v>15950</v>
      </c>
      <c r="N1914" s="220">
        <f>SUM(I1914:M1915)</f>
        <v>619290</v>
      </c>
      <c r="O1914" s="224"/>
      <c r="P1914" s="110" t="s">
        <v>7317</v>
      </c>
      <c r="Q1914" s="15" t="s">
        <v>19</v>
      </c>
      <c r="R1914" s="205"/>
      <c r="S1914" s="189" t="s">
        <v>25415</v>
      </c>
      <c r="T1914" s="114"/>
      <c r="U1914" s="21"/>
      <c r="V1914" s="115">
        <v>45941</v>
      </c>
      <c r="W1914" s="116">
        <v>1271</v>
      </c>
      <c r="X1914" s="220">
        <v>685000</v>
      </c>
      <c r="Y1914" s="220">
        <f>X1914*0.1</f>
        <v>68500</v>
      </c>
      <c r="Z1914" s="220">
        <v>7140</v>
      </c>
      <c r="AA1914" s="220">
        <f>SUM(X1914:Z1914)</f>
        <v>760640</v>
      </c>
      <c r="AB1914" s="222">
        <v>45950</v>
      </c>
    </row>
    <row r="1915" spans="1:28" ht="17.100000000000001" customHeight="1" thickBot="1">
      <c r="A1915" s="227"/>
      <c r="B1915" s="27" t="s">
        <v>3314</v>
      </c>
      <c r="C1915" s="27">
        <v>3055</v>
      </c>
      <c r="D1915" s="14" t="s">
        <v>1584</v>
      </c>
      <c r="E1915" s="229"/>
      <c r="F1915" s="117" t="s">
        <v>5600</v>
      </c>
      <c r="G1915" s="26">
        <v>19407</v>
      </c>
      <c r="H1915" s="231"/>
      <c r="I1915" s="221"/>
      <c r="J1915" s="221"/>
      <c r="K1915" s="221"/>
      <c r="L1915" s="221"/>
      <c r="M1915" s="221"/>
      <c r="N1915" s="221"/>
      <c r="O1915" s="225"/>
      <c r="P1915" s="118" t="s">
        <v>7318</v>
      </c>
      <c r="Q1915" s="16" t="s">
        <v>20</v>
      </c>
      <c r="R1915" s="17" t="s">
        <v>3264</v>
      </c>
      <c r="S1915" s="121" t="s">
        <v>1625</v>
      </c>
      <c r="T1915" s="122"/>
      <c r="U1915" s="22"/>
      <c r="V1915" s="123" t="s">
        <v>6641</v>
      </c>
      <c r="W1915" s="122">
        <v>60089</v>
      </c>
      <c r="X1915" s="221"/>
      <c r="Y1915" s="221"/>
      <c r="Z1915" s="221"/>
      <c r="AA1915" s="221"/>
      <c r="AB1915" s="223"/>
    </row>
    <row r="1916" spans="1:28" ht="17.100000000000001" customHeight="1" thickTop="1">
      <c r="A1916" s="226" t="s">
        <v>6587</v>
      </c>
      <c r="B1916" s="28">
        <v>45930</v>
      </c>
      <c r="C1916" s="25">
        <v>909</v>
      </c>
      <c r="D1916" s="13" t="s">
        <v>6615</v>
      </c>
      <c r="E1916" s="228"/>
      <c r="F1916" s="109" t="s">
        <v>5601</v>
      </c>
      <c r="G1916" s="24"/>
      <c r="H1916" s="230">
        <v>3.5</v>
      </c>
      <c r="I1916" s="220">
        <v>298000</v>
      </c>
      <c r="J1916" s="220">
        <f>I1916*0.1</f>
        <v>29800</v>
      </c>
      <c r="K1916" s="220">
        <v>0</v>
      </c>
      <c r="L1916" s="220">
        <v>8730</v>
      </c>
      <c r="M1916" s="220">
        <v>15950</v>
      </c>
      <c r="N1916" s="220">
        <f>SUM(I1916:M1917)</f>
        <v>352480</v>
      </c>
      <c r="O1916" s="224"/>
      <c r="P1916" s="110" t="s">
        <v>7253</v>
      </c>
      <c r="Q1916" s="15" t="s">
        <v>19</v>
      </c>
      <c r="R1916" s="205"/>
      <c r="S1916" s="189"/>
      <c r="T1916" s="114"/>
      <c r="U1916" s="21"/>
      <c r="V1916" s="115">
        <v>46011</v>
      </c>
      <c r="W1916" s="116">
        <v>1281</v>
      </c>
      <c r="X1916" s="220">
        <v>295000</v>
      </c>
      <c r="Y1916" s="220">
        <f>X1916*0.1</f>
        <v>29500</v>
      </c>
      <c r="Z1916" s="220">
        <v>8730</v>
      </c>
      <c r="AA1916" s="220">
        <f>SUM(X1916:Z1916)</f>
        <v>333230</v>
      </c>
      <c r="AB1916" s="222">
        <v>46014</v>
      </c>
    </row>
    <row r="1917" spans="1:28" ht="17.100000000000001" customHeight="1" thickBot="1">
      <c r="A1917" s="227"/>
      <c r="B1917" s="27" t="s">
        <v>2654</v>
      </c>
      <c r="C1917" s="27">
        <v>3033</v>
      </c>
      <c r="D1917" s="14" t="s">
        <v>2559</v>
      </c>
      <c r="E1917" s="229"/>
      <c r="F1917" s="117" t="s">
        <v>5602</v>
      </c>
      <c r="G1917" s="26">
        <v>37018</v>
      </c>
      <c r="H1917" s="231"/>
      <c r="I1917" s="221"/>
      <c r="J1917" s="221"/>
      <c r="K1917" s="221"/>
      <c r="L1917" s="221"/>
      <c r="M1917" s="221"/>
      <c r="N1917" s="221"/>
      <c r="O1917" s="225"/>
      <c r="P1917" s="118" t="s">
        <v>4842</v>
      </c>
      <c r="Q1917" s="16" t="s">
        <v>20</v>
      </c>
      <c r="R1917" s="17" t="s">
        <v>2128</v>
      </c>
      <c r="S1917" s="121" t="s">
        <v>7699</v>
      </c>
      <c r="T1917" s="122"/>
      <c r="U1917" s="22"/>
      <c r="V1917" s="123" t="s">
        <v>2472</v>
      </c>
      <c r="W1917" s="122">
        <v>60068</v>
      </c>
      <c r="X1917" s="221"/>
      <c r="Y1917" s="221"/>
      <c r="Z1917" s="221"/>
      <c r="AA1917" s="221"/>
      <c r="AB1917" s="223"/>
    </row>
    <row r="1918" spans="1:28" ht="17.100000000000001" customHeight="1" thickTop="1">
      <c r="A1918" s="226" t="s">
        <v>6588</v>
      </c>
      <c r="B1918" s="28">
        <v>45930</v>
      </c>
      <c r="C1918" s="25">
        <v>909</v>
      </c>
      <c r="D1918" s="13" t="s">
        <v>1702</v>
      </c>
      <c r="E1918" s="228"/>
      <c r="F1918" s="109" t="s">
        <v>5603</v>
      </c>
      <c r="G1918" s="24" t="s">
        <v>2487</v>
      </c>
      <c r="H1918" s="230">
        <v>4</v>
      </c>
      <c r="I1918" s="220">
        <v>591000</v>
      </c>
      <c r="J1918" s="220">
        <f>I1918*0.1</f>
        <v>59100</v>
      </c>
      <c r="K1918" s="220">
        <v>0</v>
      </c>
      <c r="L1918" s="220">
        <v>9790</v>
      </c>
      <c r="M1918" s="220">
        <v>15950</v>
      </c>
      <c r="N1918" s="220">
        <f>SUM(I1918:M1919)</f>
        <v>675840</v>
      </c>
      <c r="O1918" s="224"/>
      <c r="P1918" s="110" t="s">
        <v>6616</v>
      </c>
      <c r="Q1918" s="15" t="s">
        <v>19</v>
      </c>
      <c r="R1918" s="205"/>
      <c r="S1918" s="189" t="s">
        <v>1361</v>
      </c>
      <c r="T1918" s="114"/>
      <c r="U1918" s="21" t="s">
        <v>7290</v>
      </c>
      <c r="V1918" s="115">
        <v>45934</v>
      </c>
      <c r="W1918" s="116">
        <v>1270</v>
      </c>
      <c r="X1918" s="220">
        <v>705000</v>
      </c>
      <c r="Y1918" s="220">
        <f>X1918*0.1</f>
        <v>70500</v>
      </c>
      <c r="Z1918" s="220">
        <v>9790</v>
      </c>
      <c r="AA1918" s="220">
        <f>SUM(X1918:Z1918)</f>
        <v>785290</v>
      </c>
      <c r="AB1918" s="222">
        <v>45944</v>
      </c>
    </row>
    <row r="1919" spans="1:28" ht="17.100000000000001" customHeight="1" thickBot="1">
      <c r="A1919" s="227"/>
      <c r="B1919" s="27" t="s">
        <v>2654</v>
      </c>
      <c r="C1919" s="27">
        <v>3045</v>
      </c>
      <c r="D1919" s="14" t="s">
        <v>3274</v>
      </c>
      <c r="E1919" s="229"/>
      <c r="F1919" s="117" t="s">
        <v>5604</v>
      </c>
      <c r="G1919" s="26">
        <v>52867</v>
      </c>
      <c r="H1919" s="231"/>
      <c r="I1919" s="221"/>
      <c r="J1919" s="221"/>
      <c r="K1919" s="221"/>
      <c r="L1919" s="221"/>
      <c r="M1919" s="221"/>
      <c r="N1919" s="221"/>
      <c r="O1919" s="225"/>
      <c r="P1919" s="118" t="s">
        <v>7067</v>
      </c>
      <c r="Q1919" s="16" t="s">
        <v>20</v>
      </c>
      <c r="R1919" s="17" t="s">
        <v>2128</v>
      </c>
      <c r="S1919" s="121" t="s">
        <v>169</v>
      </c>
      <c r="T1919" s="122"/>
      <c r="U1919" s="22"/>
      <c r="V1919" s="123" t="s">
        <v>7160</v>
      </c>
      <c r="W1919" s="122">
        <v>60496</v>
      </c>
      <c r="X1919" s="221"/>
      <c r="Y1919" s="221"/>
      <c r="Z1919" s="221"/>
      <c r="AA1919" s="221"/>
      <c r="AB1919" s="223"/>
    </row>
    <row r="1920" spans="1:28" ht="17.100000000000001" customHeight="1" thickTop="1">
      <c r="A1920" s="226" t="s">
        <v>6589</v>
      </c>
      <c r="B1920" s="28">
        <v>45930</v>
      </c>
      <c r="C1920" s="25">
        <v>909</v>
      </c>
      <c r="D1920" s="13" t="s">
        <v>3332</v>
      </c>
      <c r="E1920" s="228"/>
      <c r="F1920" s="109" t="s">
        <v>5605</v>
      </c>
      <c r="G1920" s="24" t="s">
        <v>4025</v>
      </c>
      <c r="H1920" s="230">
        <v>3.5</v>
      </c>
      <c r="I1920" s="220">
        <v>890000</v>
      </c>
      <c r="J1920" s="220">
        <f>I1920*0.1</f>
        <v>89000</v>
      </c>
      <c r="K1920" s="220">
        <v>0</v>
      </c>
      <c r="L1920" s="220">
        <v>8640</v>
      </c>
      <c r="M1920" s="220">
        <v>15950</v>
      </c>
      <c r="N1920" s="220">
        <f>SUM(I1920:M1921)</f>
        <v>1003590</v>
      </c>
      <c r="O1920" s="224"/>
      <c r="P1920" s="110" t="s">
        <v>6617</v>
      </c>
      <c r="Q1920" s="15" t="s">
        <v>19</v>
      </c>
      <c r="R1920" s="205"/>
      <c r="S1920" s="189" t="s">
        <v>1361</v>
      </c>
      <c r="T1920" s="114"/>
      <c r="U1920" s="21" t="s">
        <v>8150</v>
      </c>
      <c r="V1920" s="115">
        <v>45948</v>
      </c>
      <c r="W1920" s="116">
        <v>1272</v>
      </c>
      <c r="X1920" s="220">
        <v>925000</v>
      </c>
      <c r="Y1920" s="220">
        <f>X1920*0.1</f>
        <v>92500</v>
      </c>
      <c r="Z1920" s="220">
        <v>8640</v>
      </c>
      <c r="AA1920" s="220">
        <f>SUM(X1920:Z1920)</f>
        <v>1026140</v>
      </c>
      <c r="AB1920" s="222">
        <v>45951</v>
      </c>
    </row>
    <row r="1921" spans="1:28" ht="17.100000000000001" customHeight="1" thickBot="1">
      <c r="A1921" s="227"/>
      <c r="B1921" s="27" t="s">
        <v>2654</v>
      </c>
      <c r="C1921" s="27">
        <v>3075</v>
      </c>
      <c r="D1921" s="14" t="s">
        <v>273</v>
      </c>
      <c r="E1921" s="229"/>
      <c r="F1921" s="117" t="s">
        <v>5606</v>
      </c>
      <c r="G1921" s="26">
        <v>65707</v>
      </c>
      <c r="H1921" s="231"/>
      <c r="I1921" s="221"/>
      <c r="J1921" s="221"/>
      <c r="K1921" s="221"/>
      <c r="L1921" s="221"/>
      <c r="M1921" s="221"/>
      <c r="N1921" s="221"/>
      <c r="O1921" s="225"/>
      <c r="P1921" s="118" t="s">
        <v>1972</v>
      </c>
      <c r="Q1921" s="16" t="s">
        <v>20</v>
      </c>
      <c r="R1921" s="17" t="s">
        <v>2128</v>
      </c>
      <c r="S1921" s="121" t="s">
        <v>1731</v>
      </c>
      <c r="T1921" s="122"/>
      <c r="U1921" s="22"/>
      <c r="V1921" s="123" t="s">
        <v>7160</v>
      </c>
      <c r="W1921" s="122">
        <v>60108</v>
      </c>
      <c r="X1921" s="221"/>
      <c r="Y1921" s="221"/>
      <c r="Z1921" s="221"/>
      <c r="AA1921" s="221"/>
      <c r="AB1921" s="223"/>
    </row>
    <row r="1922" spans="1:28" ht="17.100000000000001" customHeight="1" thickTop="1">
      <c r="A1922" s="226" t="s">
        <v>6590</v>
      </c>
      <c r="B1922" s="28">
        <v>45930</v>
      </c>
      <c r="C1922" s="25">
        <v>909</v>
      </c>
      <c r="D1922" s="13" t="s">
        <v>1589</v>
      </c>
      <c r="E1922" s="228"/>
      <c r="F1922" s="109" t="s">
        <v>5607</v>
      </c>
      <c r="G1922" s="24"/>
      <c r="H1922" s="230">
        <v>4</v>
      </c>
      <c r="I1922" s="220">
        <v>819000</v>
      </c>
      <c r="J1922" s="220">
        <f>I1922*0.1</f>
        <v>81900</v>
      </c>
      <c r="K1922" s="220">
        <v>0</v>
      </c>
      <c r="L1922" s="220">
        <v>8400</v>
      </c>
      <c r="M1922" s="220">
        <v>15950</v>
      </c>
      <c r="N1922" s="220">
        <f>SUM(I1922:M1923)</f>
        <v>925250</v>
      </c>
      <c r="O1922" s="224"/>
      <c r="P1922" s="110" t="s">
        <v>7251</v>
      </c>
      <c r="Q1922" s="15" t="s">
        <v>19</v>
      </c>
      <c r="R1922" s="205"/>
      <c r="S1922" s="189"/>
      <c r="T1922" s="114"/>
      <c r="U1922" s="21"/>
      <c r="V1922" s="115">
        <v>45969</v>
      </c>
      <c r="W1922" s="116">
        <v>1275</v>
      </c>
      <c r="X1922" s="220">
        <v>950000</v>
      </c>
      <c r="Y1922" s="220">
        <f>X1922*0.1</f>
        <v>95000</v>
      </c>
      <c r="Z1922" s="220">
        <v>8400</v>
      </c>
      <c r="AA1922" s="220">
        <f>SUM(X1922:Z1922)</f>
        <v>1053400</v>
      </c>
      <c r="AB1922" s="222">
        <v>45974</v>
      </c>
    </row>
    <row r="1923" spans="1:28" ht="17.100000000000001" customHeight="1" thickBot="1">
      <c r="A1923" s="227"/>
      <c r="B1923" s="27" t="s">
        <v>2654</v>
      </c>
      <c r="C1923" s="27">
        <v>3085</v>
      </c>
      <c r="D1923" s="14" t="s">
        <v>1548</v>
      </c>
      <c r="E1923" s="229"/>
      <c r="F1923" s="117" t="s">
        <v>5608</v>
      </c>
      <c r="G1923" s="26">
        <v>49980</v>
      </c>
      <c r="H1923" s="231"/>
      <c r="I1923" s="221"/>
      <c r="J1923" s="221"/>
      <c r="K1923" s="221"/>
      <c r="L1923" s="221"/>
      <c r="M1923" s="221"/>
      <c r="N1923" s="221"/>
      <c r="O1923" s="225"/>
      <c r="P1923" s="118" t="s">
        <v>7252</v>
      </c>
      <c r="Q1923" s="16" t="s">
        <v>20</v>
      </c>
      <c r="R1923" s="17" t="s">
        <v>2128</v>
      </c>
      <c r="S1923" s="121" t="s">
        <v>7703</v>
      </c>
      <c r="T1923" s="122"/>
      <c r="U1923" s="22"/>
      <c r="V1923" s="123" t="s">
        <v>6642</v>
      </c>
      <c r="W1923" s="122">
        <v>60160</v>
      </c>
      <c r="X1923" s="221"/>
      <c r="Y1923" s="221"/>
      <c r="Z1923" s="221"/>
      <c r="AA1923" s="221"/>
      <c r="AB1923" s="223"/>
    </row>
    <row r="1924" spans="1:28" ht="17.100000000000001" customHeight="1" thickTop="1">
      <c r="A1924" s="226" t="s">
        <v>6591</v>
      </c>
      <c r="B1924" s="28">
        <v>45930</v>
      </c>
      <c r="C1924" s="25">
        <v>909</v>
      </c>
      <c r="D1924" s="13" t="s">
        <v>2476</v>
      </c>
      <c r="E1924" s="228"/>
      <c r="F1924" s="109" t="s">
        <v>5609</v>
      </c>
      <c r="G1924" s="24"/>
      <c r="H1924" s="230">
        <v>4</v>
      </c>
      <c r="I1924" s="220">
        <v>165000</v>
      </c>
      <c r="J1924" s="220">
        <f>I1924*0.1</f>
        <v>16500</v>
      </c>
      <c r="K1924" s="220">
        <v>0</v>
      </c>
      <c r="L1924" s="220">
        <v>9790</v>
      </c>
      <c r="M1924" s="220">
        <v>15950</v>
      </c>
      <c r="N1924" s="220">
        <f>SUM(I1924:M1925)</f>
        <v>207240</v>
      </c>
      <c r="O1924" s="224"/>
      <c r="P1924" s="110" t="s">
        <v>7250</v>
      </c>
      <c r="Q1924" s="15" t="s">
        <v>19</v>
      </c>
      <c r="R1924" s="205"/>
      <c r="S1924" s="189"/>
      <c r="T1924" s="114"/>
      <c r="U1924" s="21"/>
      <c r="V1924" s="115">
        <v>45941</v>
      </c>
      <c r="W1924" s="116">
        <v>1271</v>
      </c>
      <c r="X1924" s="220">
        <v>255000</v>
      </c>
      <c r="Y1924" s="220">
        <f>X1924*0.1</f>
        <v>25500</v>
      </c>
      <c r="Z1924" s="220">
        <v>9790</v>
      </c>
      <c r="AA1924" s="220">
        <f>SUM(X1924:Z1924)</f>
        <v>290290</v>
      </c>
      <c r="AB1924" s="222">
        <v>45944</v>
      </c>
    </row>
    <row r="1925" spans="1:28" ht="17.100000000000001" customHeight="1" thickBot="1">
      <c r="A1925" s="227"/>
      <c r="B1925" s="27" t="s">
        <v>2654</v>
      </c>
      <c r="C1925" s="27">
        <v>4094</v>
      </c>
      <c r="D1925" s="14" t="s">
        <v>2059</v>
      </c>
      <c r="E1925" s="229"/>
      <c r="F1925" s="117" t="s">
        <v>5610</v>
      </c>
      <c r="G1925" s="26">
        <v>17707</v>
      </c>
      <c r="H1925" s="231"/>
      <c r="I1925" s="221"/>
      <c r="J1925" s="221"/>
      <c r="K1925" s="221"/>
      <c r="L1925" s="221"/>
      <c r="M1925" s="221"/>
      <c r="N1925" s="221"/>
      <c r="O1925" s="225"/>
      <c r="P1925" s="118" t="s">
        <v>4550</v>
      </c>
      <c r="Q1925" s="16" t="s">
        <v>20</v>
      </c>
      <c r="R1925" s="17" t="s">
        <v>2128</v>
      </c>
      <c r="S1925" s="121" t="s">
        <v>7698</v>
      </c>
      <c r="T1925" s="122"/>
      <c r="U1925" s="22"/>
      <c r="V1925" s="123" t="s">
        <v>7160</v>
      </c>
      <c r="W1925" s="122">
        <v>60087</v>
      </c>
      <c r="X1925" s="221"/>
      <c r="Y1925" s="221"/>
      <c r="Z1925" s="221"/>
      <c r="AA1925" s="221"/>
      <c r="AB1925" s="223"/>
    </row>
    <row r="1926" spans="1:28" ht="17.100000000000001" customHeight="1" thickTop="1">
      <c r="A1926" s="226" t="s">
        <v>6592</v>
      </c>
      <c r="B1926" s="28">
        <v>45930</v>
      </c>
      <c r="C1926" s="25">
        <v>909</v>
      </c>
      <c r="D1926" s="13" t="s">
        <v>1632</v>
      </c>
      <c r="E1926" s="228"/>
      <c r="F1926" s="109" t="s">
        <v>5611</v>
      </c>
      <c r="G1926" s="24" t="s">
        <v>3345</v>
      </c>
      <c r="H1926" s="230">
        <v>4</v>
      </c>
      <c r="I1926" s="220">
        <v>333000</v>
      </c>
      <c r="J1926" s="220">
        <f>I1926*0.1</f>
        <v>33300</v>
      </c>
      <c r="K1926" s="220">
        <v>0</v>
      </c>
      <c r="L1926" s="220">
        <v>7170</v>
      </c>
      <c r="M1926" s="220">
        <v>15950</v>
      </c>
      <c r="N1926" s="220">
        <f>SUM(I1926:M1927)</f>
        <v>389420</v>
      </c>
      <c r="O1926" s="224"/>
      <c r="P1926" s="110" t="s">
        <v>7254</v>
      </c>
      <c r="Q1926" s="15" t="s">
        <v>19</v>
      </c>
      <c r="R1926" s="205"/>
      <c r="S1926" s="189" t="s">
        <v>25432</v>
      </c>
      <c r="T1926" s="114"/>
      <c r="U1926" s="21" t="s">
        <v>8169</v>
      </c>
      <c r="V1926" s="115">
        <v>45941</v>
      </c>
      <c r="W1926" s="116">
        <v>1271</v>
      </c>
      <c r="X1926" s="220">
        <v>355000</v>
      </c>
      <c r="Y1926" s="220">
        <f>X1926*0.1</f>
        <v>35500</v>
      </c>
      <c r="Z1926" s="220">
        <v>7170</v>
      </c>
      <c r="AA1926" s="220">
        <f>SUM(X1926:Z1926)</f>
        <v>397670</v>
      </c>
      <c r="AB1926" s="222">
        <v>45950</v>
      </c>
    </row>
    <row r="1927" spans="1:28" ht="17.100000000000001" customHeight="1" thickBot="1">
      <c r="A1927" s="227"/>
      <c r="B1927" s="27" t="s">
        <v>2654</v>
      </c>
      <c r="C1927" s="27">
        <v>4143</v>
      </c>
      <c r="D1927" s="14" t="s">
        <v>273</v>
      </c>
      <c r="E1927" s="229"/>
      <c r="F1927" s="117" t="s">
        <v>5612</v>
      </c>
      <c r="G1927" s="26">
        <v>50656</v>
      </c>
      <c r="H1927" s="231"/>
      <c r="I1927" s="221"/>
      <c r="J1927" s="221"/>
      <c r="K1927" s="221"/>
      <c r="L1927" s="221"/>
      <c r="M1927" s="221"/>
      <c r="N1927" s="221"/>
      <c r="O1927" s="225"/>
      <c r="P1927" s="118" t="s">
        <v>4550</v>
      </c>
      <c r="Q1927" s="16" t="s">
        <v>20</v>
      </c>
      <c r="R1927" s="17" t="s">
        <v>2128</v>
      </c>
      <c r="S1927" s="121" t="s">
        <v>7701</v>
      </c>
      <c r="T1927" s="122"/>
      <c r="U1927" s="22"/>
      <c r="V1927" s="123" t="s">
        <v>2472</v>
      </c>
      <c r="W1927" s="122">
        <v>60071</v>
      </c>
      <c r="X1927" s="221"/>
      <c r="Y1927" s="221"/>
      <c r="Z1927" s="221"/>
      <c r="AA1927" s="221"/>
      <c r="AB1927" s="223"/>
    </row>
    <row r="1928" spans="1:28" ht="17.100000000000001" customHeight="1" thickTop="1">
      <c r="A1928" s="226" t="s">
        <v>6593</v>
      </c>
      <c r="B1928" s="28">
        <v>45930</v>
      </c>
      <c r="C1928" s="25">
        <v>909</v>
      </c>
      <c r="D1928" s="13" t="s">
        <v>1021</v>
      </c>
      <c r="E1928" s="228"/>
      <c r="F1928" s="109" t="s">
        <v>5613</v>
      </c>
      <c r="G1928" s="24"/>
      <c r="H1928" s="230">
        <v>4</v>
      </c>
      <c r="I1928" s="220">
        <v>370000</v>
      </c>
      <c r="J1928" s="220">
        <f>I1928*0.1</f>
        <v>37000</v>
      </c>
      <c r="K1928" s="220">
        <v>0</v>
      </c>
      <c r="L1928" s="220">
        <v>8460</v>
      </c>
      <c r="M1928" s="220">
        <v>15950</v>
      </c>
      <c r="N1928" s="220">
        <f>SUM(I1928:M1929)</f>
        <v>431410</v>
      </c>
      <c r="O1928" s="224"/>
      <c r="P1928" s="110" t="s">
        <v>7249</v>
      </c>
      <c r="Q1928" s="15" t="s">
        <v>19</v>
      </c>
      <c r="R1928" s="205"/>
      <c r="S1928" s="189"/>
      <c r="T1928" s="114"/>
      <c r="U1928" s="21"/>
      <c r="V1928" s="115">
        <v>45941</v>
      </c>
      <c r="W1928" s="116">
        <v>1271</v>
      </c>
      <c r="X1928" s="220">
        <v>415000</v>
      </c>
      <c r="Y1928" s="220">
        <f>X1928*0.1</f>
        <v>41500</v>
      </c>
      <c r="Z1928" s="220">
        <v>8460</v>
      </c>
      <c r="AA1928" s="220">
        <f>SUM(X1928:Z1928)</f>
        <v>464960</v>
      </c>
      <c r="AB1928" s="222">
        <v>45945</v>
      </c>
    </row>
    <row r="1929" spans="1:28" ht="17.100000000000001" customHeight="1" thickBot="1">
      <c r="A1929" s="227"/>
      <c r="B1929" s="27" t="s">
        <v>2654</v>
      </c>
      <c r="C1929" s="27">
        <v>7153</v>
      </c>
      <c r="D1929" s="14" t="s">
        <v>1710</v>
      </c>
      <c r="E1929" s="229"/>
      <c r="F1929" s="117" t="s">
        <v>5614</v>
      </c>
      <c r="G1929" s="26">
        <v>44954</v>
      </c>
      <c r="H1929" s="231"/>
      <c r="I1929" s="221"/>
      <c r="J1929" s="221"/>
      <c r="K1929" s="221"/>
      <c r="L1929" s="221"/>
      <c r="M1929" s="221"/>
      <c r="N1929" s="221"/>
      <c r="O1929" s="225"/>
      <c r="P1929" s="118" t="s">
        <v>2843</v>
      </c>
      <c r="Q1929" s="16" t="s">
        <v>20</v>
      </c>
      <c r="R1929" s="17" t="s">
        <v>2128</v>
      </c>
      <c r="S1929" s="121" t="s">
        <v>7700</v>
      </c>
      <c r="T1929" s="122"/>
      <c r="U1929" s="22"/>
      <c r="V1929" s="123" t="s">
        <v>7160</v>
      </c>
      <c r="W1929" s="122">
        <v>60322</v>
      </c>
      <c r="X1929" s="221"/>
      <c r="Y1929" s="221"/>
      <c r="Z1929" s="221"/>
      <c r="AA1929" s="221"/>
      <c r="AB1929" s="223"/>
    </row>
    <row r="1930" spans="1:28" ht="17.100000000000001" customHeight="1" thickTop="1">
      <c r="A1930" s="226" t="s">
        <v>6594</v>
      </c>
      <c r="B1930" s="28">
        <v>45930</v>
      </c>
      <c r="C1930" s="25">
        <v>2062</v>
      </c>
      <c r="D1930" s="13" t="s">
        <v>1589</v>
      </c>
      <c r="E1930" s="228"/>
      <c r="F1930" s="109" t="s">
        <v>6618</v>
      </c>
      <c r="G1930" s="24"/>
      <c r="H1930" s="230">
        <v>4.5</v>
      </c>
      <c r="I1930" s="220">
        <v>800000</v>
      </c>
      <c r="J1930" s="220">
        <f>I1930*0.1</f>
        <v>80000</v>
      </c>
      <c r="K1930" s="220">
        <v>0</v>
      </c>
      <c r="L1930" s="220">
        <v>16580</v>
      </c>
      <c r="M1930" s="220">
        <v>17600</v>
      </c>
      <c r="N1930" s="220">
        <f>SUM(I1930:M1931)</f>
        <v>914180</v>
      </c>
      <c r="O1930" s="224"/>
      <c r="P1930" s="110" t="s">
        <v>6832</v>
      </c>
      <c r="Q1930" s="15" t="s">
        <v>19</v>
      </c>
      <c r="R1930" s="205"/>
      <c r="S1930" s="189" t="s">
        <v>25431</v>
      </c>
      <c r="T1930" s="114"/>
      <c r="U1930" s="21"/>
      <c r="V1930" s="115">
        <v>45966</v>
      </c>
      <c r="W1930" s="116">
        <v>991</v>
      </c>
      <c r="X1930" s="220">
        <v>950000</v>
      </c>
      <c r="Y1930" s="220">
        <f>X1930*0.1</f>
        <v>95000</v>
      </c>
      <c r="Z1930" s="220">
        <v>16580</v>
      </c>
      <c r="AA1930" s="220">
        <f>SUM(X1930:Z1930)</f>
        <v>1061580</v>
      </c>
      <c r="AB1930" s="222">
        <v>45971</v>
      </c>
    </row>
    <row r="1931" spans="1:28" ht="17.100000000000001" customHeight="1" thickBot="1">
      <c r="A1931" s="227"/>
      <c r="B1931" s="27" t="s">
        <v>82</v>
      </c>
      <c r="C1931" s="27">
        <v>34524</v>
      </c>
      <c r="D1931" s="14" t="s">
        <v>898</v>
      </c>
      <c r="E1931" s="229"/>
      <c r="F1931" s="117" t="s">
        <v>5615</v>
      </c>
      <c r="G1931" s="26">
        <v>28654</v>
      </c>
      <c r="H1931" s="231"/>
      <c r="I1931" s="221"/>
      <c r="J1931" s="221"/>
      <c r="K1931" s="221"/>
      <c r="L1931" s="221"/>
      <c r="M1931" s="221"/>
      <c r="N1931" s="221"/>
      <c r="O1931" s="225"/>
      <c r="P1931" s="118" t="s">
        <v>6833</v>
      </c>
      <c r="Q1931" s="16" t="s">
        <v>20</v>
      </c>
      <c r="R1931" s="17" t="s">
        <v>6726</v>
      </c>
      <c r="S1931" s="121" t="s">
        <v>6834</v>
      </c>
      <c r="T1931" s="122"/>
      <c r="U1931" s="22"/>
      <c r="V1931" s="123" t="s">
        <v>2747</v>
      </c>
      <c r="W1931" s="122">
        <v>6046</v>
      </c>
      <c r="X1931" s="221"/>
      <c r="Y1931" s="221"/>
      <c r="Z1931" s="221"/>
      <c r="AA1931" s="221"/>
      <c r="AB1931" s="223"/>
    </row>
    <row r="1932" spans="1:28" ht="17.100000000000001" customHeight="1" thickTop="1">
      <c r="A1932" s="226" t="s">
        <v>6595</v>
      </c>
      <c r="B1932" s="28">
        <v>45930</v>
      </c>
      <c r="C1932" s="25">
        <v>1063</v>
      </c>
      <c r="D1932" s="13" t="s">
        <v>1632</v>
      </c>
      <c r="E1932" s="228"/>
      <c r="F1932" s="109" t="s">
        <v>5616</v>
      </c>
      <c r="G1932" s="24" t="s">
        <v>4793</v>
      </c>
      <c r="H1932" s="230">
        <v>4.5</v>
      </c>
      <c r="I1932" s="220">
        <v>1075000</v>
      </c>
      <c r="J1932" s="220">
        <v>107500</v>
      </c>
      <c r="K1932" s="220">
        <v>21670</v>
      </c>
      <c r="L1932" s="220">
        <v>19440</v>
      </c>
      <c r="M1932" s="220">
        <v>16500</v>
      </c>
      <c r="N1932" s="220">
        <f>SUM(I1932:M1933)</f>
        <v>1240110</v>
      </c>
      <c r="O1932" s="224"/>
      <c r="P1932" s="110" t="s">
        <v>6621</v>
      </c>
      <c r="Q1932" s="15" t="s">
        <v>19</v>
      </c>
      <c r="R1932" s="205"/>
      <c r="S1932" s="189"/>
      <c r="T1932" s="114"/>
      <c r="U1932" s="21"/>
      <c r="V1932" s="115">
        <v>45948</v>
      </c>
      <c r="W1932" s="116">
        <v>1272</v>
      </c>
      <c r="X1932" s="220">
        <v>1160000</v>
      </c>
      <c r="Y1932" s="220">
        <f>X1932*0.1</f>
        <v>116000</v>
      </c>
      <c r="Z1932" s="220">
        <v>19440</v>
      </c>
      <c r="AA1932" s="220">
        <f>SUM(X1932:Z1932)</f>
        <v>1295440</v>
      </c>
      <c r="AB1932" s="222">
        <v>45953</v>
      </c>
    </row>
    <row r="1933" spans="1:28" ht="17.100000000000001" customHeight="1" thickBot="1">
      <c r="A1933" s="227"/>
      <c r="B1933" s="27" t="s">
        <v>1583</v>
      </c>
      <c r="C1933" s="27">
        <v>84218</v>
      </c>
      <c r="D1933" s="14" t="s">
        <v>6619</v>
      </c>
      <c r="E1933" s="229"/>
      <c r="F1933" s="117" t="s">
        <v>6620</v>
      </c>
      <c r="G1933" s="26">
        <v>74542</v>
      </c>
      <c r="H1933" s="231"/>
      <c r="I1933" s="221"/>
      <c r="J1933" s="221"/>
      <c r="K1933" s="221"/>
      <c r="L1933" s="221"/>
      <c r="M1933" s="221"/>
      <c r="N1933" s="221"/>
      <c r="O1933" s="225"/>
      <c r="P1933" s="118" t="s">
        <v>7584</v>
      </c>
      <c r="Q1933" s="16" t="s">
        <v>20</v>
      </c>
      <c r="R1933" s="17" t="s">
        <v>1605</v>
      </c>
      <c r="S1933" s="121" t="s">
        <v>1731</v>
      </c>
      <c r="T1933" s="122"/>
      <c r="U1933" s="22"/>
      <c r="V1933" s="123" t="s">
        <v>7160</v>
      </c>
      <c r="W1933" s="122">
        <v>80025</v>
      </c>
      <c r="X1933" s="221"/>
      <c r="Y1933" s="221"/>
      <c r="Z1933" s="221"/>
      <c r="AA1933" s="221"/>
      <c r="AB1933" s="223"/>
    </row>
    <row r="1934" spans="1:28" ht="17.100000000000001" customHeight="1" thickTop="1">
      <c r="A1934" s="226" t="s">
        <v>6596</v>
      </c>
      <c r="B1934" s="28">
        <v>45930</v>
      </c>
      <c r="C1934" s="25">
        <v>959</v>
      </c>
      <c r="D1934" s="13" t="s">
        <v>2712</v>
      </c>
      <c r="E1934" s="228"/>
      <c r="F1934" s="109" t="s">
        <v>5101</v>
      </c>
      <c r="G1934" s="24"/>
      <c r="H1934" s="230">
        <v>3.5</v>
      </c>
      <c r="I1934" s="220">
        <v>378000</v>
      </c>
      <c r="J1934" s="220">
        <f>I1934*0.1</f>
        <v>37800</v>
      </c>
      <c r="K1934" s="220">
        <v>0</v>
      </c>
      <c r="L1934" s="220">
        <v>7140</v>
      </c>
      <c r="M1934" s="220">
        <v>22000</v>
      </c>
      <c r="N1934" s="220">
        <f>SUM(I1934:M1935)</f>
        <v>444940</v>
      </c>
      <c r="O1934" s="224"/>
      <c r="P1934" s="110" t="s">
        <v>7506</v>
      </c>
      <c r="Q1934" s="15" t="s">
        <v>19</v>
      </c>
      <c r="R1934" s="205"/>
      <c r="S1934" s="189" t="s">
        <v>25387</v>
      </c>
      <c r="T1934" s="114"/>
      <c r="U1934" s="21"/>
      <c r="V1934" s="115">
        <v>45937</v>
      </c>
      <c r="W1934" s="116">
        <v>1912</v>
      </c>
      <c r="X1934" s="220">
        <v>485000</v>
      </c>
      <c r="Y1934" s="220">
        <f>X1934*0.1</f>
        <v>48500</v>
      </c>
      <c r="Z1934" s="220">
        <v>7140</v>
      </c>
      <c r="AA1934" s="220">
        <f>SUM(X1934:Z1934)</f>
        <v>540640</v>
      </c>
      <c r="AB1934" s="222">
        <v>45944</v>
      </c>
    </row>
    <row r="1935" spans="1:28" ht="17.100000000000001" customHeight="1" thickBot="1">
      <c r="A1935" s="227"/>
      <c r="B1935" s="27" t="s">
        <v>5617</v>
      </c>
      <c r="C1935" s="27">
        <v>5</v>
      </c>
      <c r="D1935" s="14" t="s">
        <v>1584</v>
      </c>
      <c r="E1935" s="229"/>
      <c r="F1935" s="117" t="s">
        <v>5618</v>
      </c>
      <c r="G1935" s="26">
        <v>31870</v>
      </c>
      <c r="H1935" s="231"/>
      <c r="I1935" s="221"/>
      <c r="J1935" s="221"/>
      <c r="K1935" s="221"/>
      <c r="L1935" s="221"/>
      <c r="M1935" s="221"/>
      <c r="N1935" s="221"/>
      <c r="O1935" s="225"/>
      <c r="P1935" s="118" t="s">
        <v>2031</v>
      </c>
      <c r="Q1935" s="16" t="s">
        <v>20</v>
      </c>
      <c r="R1935" s="17" t="s">
        <v>1605</v>
      </c>
      <c r="S1935" s="121" t="s">
        <v>1661</v>
      </c>
      <c r="T1935" s="122"/>
      <c r="U1935" s="22"/>
      <c r="V1935" s="123" t="s">
        <v>7507</v>
      </c>
      <c r="W1935" s="122">
        <v>3263</v>
      </c>
      <c r="X1935" s="221"/>
      <c r="Y1935" s="221"/>
      <c r="Z1935" s="221"/>
      <c r="AA1935" s="221"/>
      <c r="AB1935" s="223"/>
    </row>
    <row r="1936" spans="1:28" ht="17.100000000000001" customHeight="1" thickTop="1">
      <c r="A1936" s="226" t="s">
        <v>6597</v>
      </c>
      <c r="B1936" s="28">
        <v>45930</v>
      </c>
      <c r="C1936" s="25">
        <v>959</v>
      </c>
      <c r="D1936" s="13" t="s">
        <v>2712</v>
      </c>
      <c r="E1936" s="228"/>
      <c r="F1936" s="109" t="s">
        <v>4844</v>
      </c>
      <c r="G1936" s="24"/>
      <c r="H1936" s="230">
        <v>3.5</v>
      </c>
      <c r="I1936" s="220">
        <v>398000</v>
      </c>
      <c r="J1936" s="220">
        <f>I1936*0.1</f>
        <v>39800</v>
      </c>
      <c r="K1936" s="220">
        <v>0</v>
      </c>
      <c r="L1936" s="220">
        <v>7140</v>
      </c>
      <c r="M1936" s="220">
        <v>22000</v>
      </c>
      <c r="N1936" s="220">
        <f>SUM(I1936:M1937)</f>
        <v>466940</v>
      </c>
      <c r="O1936" s="224"/>
      <c r="P1936" s="110" t="s">
        <v>7412</v>
      </c>
      <c r="Q1936" s="15" t="s">
        <v>19</v>
      </c>
      <c r="R1936" s="205"/>
      <c r="S1936" s="189" t="s">
        <v>25387</v>
      </c>
      <c r="T1936" s="114"/>
      <c r="U1936" s="21"/>
      <c r="V1936" s="115">
        <v>45937</v>
      </c>
      <c r="W1936" s="116">
        <v>1912</v>
      </c>
      <c r="X1936" s="220">
        <v>529000</v>
      </c>
      <c r="Y1936" s="220">
        <f>X1936*0.1</f>
        <v>52900</v>
      </c>
      <c r="Z1936" s="220">
        <v>7140</v>
      </c>
      <c r="AA1936" s="220">
        <f>SUM(X1936:Z1936)</f>
        <v>589040</v>
      </c>
      <c r="AB1936" s="222"/>
    </row>
    <row r="1937" spans="1:28" ht="17.100000000000001" customHeight="1" thickBot="1">
      <c r="A1937" s="227"/>
      <c r="B1937" s="27" t="s">
        <v>5617</v>
      </c>
      <c r="C1937" s="27">
        <v>52</v>
      </c>
      <c r="D1937" s="14" t="s">
        <v>1584</v>
      </c>
      <c r="E1937" s="229"/>
      <c r="F1937" s="117" t="s">
        <v>5619</v>
      </c>
      <c r="G1937" s="26">
        <v>54168</v>
      </c>
      <c r="H1937" s="231"/>
      <c r="I1937" s="221"/>
      <c r="J1937" s="221"/>
      <c r="K1937" s="221"/>
      <c r="L1937" s="221"/>
      <c r="M1937" s="221"/>
      <c r="N1937" s="221"/>
      <c r="O1937" s="225"/>
      <c r="P1937" s="118" t="s">
        <v>2031</v>
      </c>
      <c r="Q1937" s="16" t="s">
        <v>20</v>
      </c>
      <c r="R1937" s="17" t="s">
        <v>1605</v>
      </c>
      <c r="S1937" s="121" t="s">
        <v>1661</v>
      </c>
      <c r="T1937" s="122"/>
      <c r="U1937" s="22"/>
      <c r="V1937" s="123" t="s">
        <v>2103</v>
      </c>
      <c r="W1937" s="122">
        <v>3259</v>
      </c>
      <c r="X1937" s="221"/>
      <c r="Y1937" s="221"/>
      <c r="Z1937" s="221"/>
      <c r="AA1937" s="221"/>
      <c r="AB1937" s="223"/>
    </row>
    <row r="1938" spans="1:28" ht="17.100000000000001" customHeight="1" thickTop="1">
      <c r="A1938" s="226" t="s">
        <v>6598</v>
      </c>
      <c r="B1938" s="28">
        <v>45930</v>
      </c>
      <c r="C1938" s="25">
        <v>959</v>
      </c>
      <c r="D1938" s="13" t="s">
        <v>2324</v>
      </c>
      <c r="E1938" s="228"/>
      <c r="F1938" s="109" t="s">
        <v>5271</v>
      </c>
      <c r="G1938" s="24"/>
      <c r="H1938" s="230">
        <v>3.5</v>
      </c>
      <c r="I1938" s="220">
        <v>518000</v>
      </c>
      <c r="J1938" s="220">
        <f>I1938*0.1</f>
        <v>51800</v>
      </c>
      <c r="K1938" s="220">
        <v>0</v>
      </c>
      <c r="L1938" s="220">
        <v>6470</v>
      </c>
      <c r="M1938" s="220">
        <v>22000</v>
      </c>
      <c r="N1938" s="220">
        <f>SUM(I1938:M1939)</f>
        <v>598270</v>
      </c>
      <c r="O1938" s="224"/>
      <c r="P1938" s="110" t="s">
        <v>7589</v>
      </c>
      <c r="Q1938" s="15" t="s">
        <v>19</v>
      </c>
      <c r="R1938" s="205"/>
      <c r="S1938" s="189" t="s">
        <v>1113</v>
      </c>
      <c r="T1938" s="114"/>
      <c r="U1938" s="21"/>
      <c r="V1938" s="115">
        <v>45951</v>
      </c>
      <c r="W1938" s="116">
        <v>1914</v>
      </c>
      <c r="X1938" s="220">
        <v>532000</v>
      </c>
      <c r="Y1938" s="220">
        <f>X1938*0.1</f>
        <v>53200</v>
      </c>
      <c r="Z1938" s="220">
        <v>6470</v>
      </c>
      <c r="AA1938" s="220">
        <f>SUM(X1938:Z1938)</f>
        <v>591670</v>
      </c>
      <c r="AB1938" s="222">
        <v>45957</v>
      </c>
    </row>
    <row r="1939" spans="1:28" ht="17.100000000000001" customHeight="1" thickBot="1">
      <c r="A1939" s="227"/>
      <c r="B1939" s="27" t="s">
        <v>5617</v>
      </c>
      <c r="C1939" s="27">
        <v>124</v>
      </c>
      <c r="D1939" s="14" t="s">
        <v>1584</v>
      </c>
      <c r="E1939" s="229"/>
      <c r="F1939" s="117" t="s">
        <v>5620</v>
      </c>
      <c r="G1939" s="26">
        <v>52147</v>
      </c>
      <c r="H1939" s="231"/>
      <c r="I1939" s="221"/>
      <c r="J1939" s="221"/>
      <c r="K1939" s="221"/>
      <c r="L1939" s="221"/>
      <c r="M1939" s="221"/>
      <c r="N1939" s="221"/>
      <c r="O1939" s="225"/>
      <c r="P1939" s="118" t="s">
        <v>2031</v>
      </c>
      <c r="Q1939" s="16" t="s">
        <v>20</v>
      </c>
      <c r="R1939" s="17" t="s">
        <v>1605</v>
      </c>
      <c r="S1939" s="121" t="s">
        <v>1625</v>
      </c>
      <c r="T1939" s="122"/>
      <c r="U1939" s="22"/>
      <c r="V1939" s="123" t="s">
        <v>2103</v>
      </c>
      <c r="W1939" s="122">
        <v>3081</v>
      </c>
      <c r="X1939" s="221"/>
      <c r="Y1939" s="221"/>
      <c r="Z1939" s="221"/>
      <c r="AA1939" s="221"/>
      <c r="AB1939" s="223"/>
    </row>
    <row r="1940" spans="1:28" ht="17.100000000000001" customHeight="1" thickTop="1">
      <c r="A1940" s="226" t="s">
        <v>6599</v>
      </c>
      <c r="B1940" s="28">
        <v>45930</v>
      </c>
      <c r="C1940" s="25">
        <v>959</v>
      </c>
      <c r="D1940" s="13" t="s">
        <v>1837</v>
      </c>
      <c r="E1940" s="228"/>
      <c r="F1940" s="109" t="s">
        <v>6622</v>
      </c>
      <c r="G1940" s="24" t="s">
        <v>3968</v>
      </c>
      <c r="H1940" s="230">
        <v>4</v>
      </c>
      <c r="I1940" s="220">
        <v>998000</v>
      </c>
      <c r="J1940" s="220">
        <f>I1940*0.1</f>
        <v>99800</v>
      </c>
      <c r="K1940" s="220">
        <v>0</v>
      </c>
      <c r="L1940" s="220">
        <v>8110</v>
      </c>
      <c r="M1940" s="220">
        <v>22000</v>
      </c>
      <c r="N1940" s="220">
        <f>SUM(I1940:M1941)</f>
        <v>1127910</v>
      </c>
      <c r="O1940" s="224"/>
      <c r="P1940" s="110" t="s">
        <v>6623</v>
      </c>
      <c r="Q1940" s="15" t="s">
        <v>19</v>
      </c>
      <c r="R1940" s="205"/>
      <c r="S1940" s="189"/>
      <c r="T1940" s="114"/>
      <c r="U1940" s="21"/>
      <c r="V1940" s="115">
        <v>45994</v>
      </c>
      <c r="W1940" s="116">
        <v>995</v>
      </c>
      <c r="X1940" s="220">
        <v>1020000</v>
      </c>
      <c r="Y1940" s="220">
        <f>X1940*0.1</f>
        <v>102000</v>
      </c>
      <c r="Z1940" s="220">
        <v>8110</v>
      </c>
      <c r="AA1940" s="220">
        <f>SUM(X1940:Z1940)</f>
        <v>1130110</v>
      </c>
      <c r="AB1940" s="222">
        <v>45999</v>
      </c>
    </row>
    <row r="1941" spans="1:28" ht="17.100000000000001" customHeight="1" thickBot="1">
      <c r="A1941" s="227"/>
      <c r="B1941" s="27" t="s">
        <v>5617</v>
      </c>
      <c r="C1941" s="27">
        <v>220</v>
      </c>
      <c r="D1941" s="14" t="s">
        <v>2559</v>
      </c>
      <c r="E1941" s="229"/>
      <c r="F1941" s="117" t="s">
        <v>5621</v>
      </c>
      <c r="G1941" s="26">
        <v>26157</v>
      </c>
      <c r="H1941" s="231"/>
      <c r="I1941" s="221"/>
      <c r="J1941" s="221"/>
      <c r="K1941" s="221"/>
      <c r="L1941" s="221"/>
      <c r="M1941" s="221"/>
      <c r="N1941" s="221"/>
      <c r="O1941" s="225"/>
      <c r="P1941" s="118" t="s">
        <v>7606</v>
      </c>
      <c r="Q1941" s="16" t="s">
        <v>20</v>
      </c>
      <c r="R1941" s="17" t="s">
        <v>1605</v>
      </c>
      <c r="S1941" s="121" t="s">
        <v>2366</v>
      </c>
      <c r="T1941" s="122"/>
      <c r="U1941" s="22"/>
      <c r="V1941" s="123" t="s">
        <v>2747</v>
      </c>
      <c r="W1941" s="122">
        <v>2040</v>
      </c>
      <c r="X1941" s="221"/>
      <c r="Y1941" s="221"/>
      <c r="Z1941" s="221"/>
      <c r="AA1941" s="221"/>
      <c r="AB1941" s="223"/>
    </row>
    <row r="1942" spans="1:28" ht="17.100000000000001" customHeight="1" thickTop="1">
      <c r="A1942" s="226" t="s">
        <v>6600</v>
      </c>
      <c r="B1942" s="28">
        <v>45930</v>
      </c>
      <c r="C1942" s="25">
        <v>959</v>
      </c>
      <c r="D1942" s="13" t="s">
        <v>4050</v>
      </c>
      <c r="E1942" s="228"/>
      <c r="F1942" s="109" t="s">
        <v>5267</v>
      </c>
      <c r="G1942" s="24"/>
      <c r="H1942" s="230">
        <v>4</v>
      </c>
      <c r="I1942" s="220">
        <v>468000</v>
      </c>
      <c r="J1942" s="220">
        <f>I1942*0.1</f>
        <v>46800</v>
      </c>
      <c r="K1942" s="220">
        <v>0</v>
      </c>
      <c r="L1942" s="220">
        <v>8700</v>
      </c>
      <c r="M1942" s="220">
        <v>22000</v>
      </c>
      <c r="N1942" s="220">
        <f>SUM(I1942:M1943)</f>
        <v>545500</v>
      </c>
      <c r="O1942" s="224"/>
      <c r="P1942" s="110" t="s">
        <v>7413</v>
      </c>
      <c r="Q1942" s="15" t="s">
        <v>19</v>
      </c>
      <c r="R1942" s="205"/>
      <c r="S1942" s="189" t="s">
        <v>25491</v>
      </c>
      <c r="T1942" s="114"/>
      <c r="U1942" s="21"/>
      <c r="V1942" s="115">
        <v>45937</v>
      </c>
      <c r="W1942" s="116">
        <v>1912</v>
      </c>
      <c r="X1942" s="220">
        <v>518000</v>
      </c>
      <c r="Y1942" s="220">
        <f>X1942*0.1</f>
        <v>51800</v>
      </c>
      <c r="Z1942" s="220">
        <v>8700</v>
      </c>
      <c r="AA1942" s="220">
        <f>SUM(X1942:Z1942)</f>
        <v>578500</v>
      </c>
      <c r="AB1942" s="222"/>
    </row>
    <row r="1943" spans="1:28" ht="17.100000000000001" customHeight="1" thickBot="1">
      <c r="A1943" s="227"/>
      <c r="B1943" s="27" t="s">
        <v>5617</v>
      </c>
      <c r="C1943" s="27">
        <v>1023</v>
      </c>
      <c r="D1943" s="14" t="s">
        <v>1710</v>
      </c>
      <c r="E1943" s="229"/>
      <c r="F1943" s="117" t="s">
        <v>5622</v>
      </c>
      <c r="G1943" s="26">
        <v>52202</v>
      </c>
      <c r="H1943" s="231"/>
      <c r="I1943" s="221"/>
      <c r="J1943" s="221"/>
      <c r="K1943" s="221"/>
      <c r="L1943" s="221"/>
      <c r="M1943" s="221"/>
      <c r="N1943" s="221"/>
      <c r="O1943" s="225"/>
      <c r="P1943" s="118" t="s">
        <v>4946</v>
      </c>
      <c r="Q1943" s="16" t="s">
        <v>20</v>
      </c>
      <c r="R1943" s="17" t="s">
        <v>1605</v>
      </c>
      <c r="S1943" s="121" t="s">
        <v>7697</v>
      </c>
      <c r="T1943" s="122"/>
      <c r="U1943" s="22"/>
      <c r="V1943" s="123" t="s">
        <v>2103</v>
      </c>
      <c r="W1943" s="122">
        <v>3179</v>
      </c>
      <c r="X1943" s="221"/>
      <c r="Y1943" s="221"/>
      <c r="Z1943" s="221"/>
      <c r="AA1943" s="221"/>
      <c r="AB1943" s="223"/>
    </row>
    <row r="1944" spans="1:28" ht="17.100000000000001" customHeight="1" thickTop="1">
      <c r="A1944" s="226" t="s">
        <v>6601</v>
      </c>
      <c r="B1944" s="28">
        <v>45930</v>
      </c>
      <c r="C1944" s="25">
        <v>777</v>
      </c>
      <c r="D1944" s="13" t="s">
        <v>812</v>
      </c>
      <c r="E1944" s="228"/>
      <c r="F1944" s="109" t="s">
        <v>5101</v>
      </c>
      <c r="G1944" s="24"/>
      <c r="H1944" s="230">
        <v>4.5</v>
      </c>
      <c r="I1944" s="220">
        <v>459000</v>
      </c>
      <c r="J1944" s="220">
        <f>I1944*0.1</f>
        <v>45900</v>
      </c>
      <c r="K1944" s="220">
        <v>0</v>
      </c>
      <c r="L1944" s="220">
        <v>7140</v>
      </c>
      <c r="M1944" s="220">
        <v>22000</v>
      </c>
      <c r="N1944" s="220">
        <f>SUM(I1944:M1945)</f>
        <v>534040</v>
      </c>
      <c r="O1944" s="224"/>
      <c r="P1944" s="110" t="s">
        <v>7588</v>
      </c>
      <c r="Q1944" s="15" t="s">
        <v>19</v>
      </c>
      <c r="R1944" s="205"/>
      <c r="S1944" s="189" t="s">
        <v>758</v>
      </c>
      <c r="T1944" s="114"/>
      <c r="U1944" s="21"/>
      <c r="V1944" s="115">
        <v>45951</v>
      </c>
      <c r="W1944" s="116">
        <v>1912</v>
      </c>
      <c r="X1944" s="220">
        <v>538000</v>
      </c>
      <c r="Y1944" s="220">
        <f>X1944*0.1</f>
        <v>53800</v>
      </c>
      <c r="Z1944" s="220">
        <v>7140</v>
      </c>
      <c r="AA1944" s="220">
        <f>SUM(X1944:Z1944)</f>
        <v>598940</v>
      </c>
      <c r="AB1944" s="222">
        <v>45957</v>
      </c>
    </row>
    <row r="1945" spans="1:28" ht="17.100000000000001" customHeight="1" thickBot="1">
      <c r="A1945" s="227"/>
      <c r="B1945" s="27" t="s">
        <v>5623</v>
      </c>
      <c r="C1945" s="27">
        <v>23</v>
      </c>
      <c r="D1945" s="14" t="s">
        <v>1584</v>
      </c>
      <c r="E1945" s="229"/>
      <c r="F1945" s="117" t="s">
        <v>5624</v>
      </c>
      <c r="G1945" s="26">
        <v>2543</v>
      </c>
      <c r="H1945" s="231"/>
      <c r="I1945" s="221"/>
      <c r="J1945" s="221"/>
      <c r="K1945" s="221"/>
      <c r="L1945" s="221"/>
      <c r="M1945" s="221"/>
      <c r="N1945" s="221"/>
      <c r="O1945" s="225"/>
      <c r="P1945" s="118" t="s">
        <v>2031</v>
      </c>
      <c r="Q1945" s="16" t="s">
        <v>20</v>
      </c>
      <c r="R1945" s="17" t="s">
        <v>2562</v>
      </c>
      <c r="S1945" s="121" t="s">
        <v>7696</v>
      </c>
      <c r="T1945" s="122"/>
      <c r="U1945" s="22"/>
      <c r="V1945" s="123" t="s">
        <v>2103</v>
      </c>
      <c r="W1945" s="122">
        <v>3107</v>
      </c>
      <c r="X1945" s="221"/>
      <c r="Y1945" s="221"/>
      <c r="Z1945" s="221"/>
      <c r="AA1945" s="221"/>
      <c r="AB1945" s="223"/>
    </row>
    <row r="1946" spans="1:28" ht="17.100000000000001" customHeight="1" thickTop="1">
      <c r="A1946" s="226" t="s">
        <v>6602</v>
      </c>
      <c r="B1946" s="28">
        <v>45930</v>
      </c>
      <c r="C1946" s="25">
        <v>777</v>
      </c>
      <c r="D1946" s="13" t="s">
        <v>1909</v>
      </c>
      <c r="E1946" s="228"/>
      <c r="F1946" s="109" t="s">
        <v>2673</v>
      </c>
      <c r="G1946" s="24" t="s">
        <v>2487</v>
      </c>
      <c r="H1946" s="230">
        <v>4.5</v>
      </c>
      <c r="I1946" s="220">
        <v>1298000</v>
      </c>
      <c r="J1946" s="220">
        <f>I1946*0.1</f>
        <v>129800</v>
      </c>
      <c r="K1946" s="220">
        <v>0</v>
      </c>
      <c r="L1946" s="220">
        <v>11100</v>
      </c>
      <c r="M1946" s="220">
        <v>22000</v>
      </c>
      <c r="N1946" s="220">
        <f>SUM(I1946:M1947)</f>
        <v>1460900</v>
      </c>
      <c r="O1946" s="224"/>
      <c r="P1946" s="110" t="s">
        <v>6624</v>
      </c>
      <c r="Q1946" s="15" t="s">
        <v>19</v>
      </c>
      <c r="R1946" s="205"/>
      <c r="S1946" s="189" t="s">
        <v>25461</v>
      </c>
      <c r="T1946" s="114"/>
      <c r="U1946" s="21" t="s">
        <v>8166</v>
      </c>
      <c r="V1946" s="115">
        <v>45944</v>
      </c>
      <c r="W1946" s="116">
        <v>1913</v>
      </c>
      <c r="X1946" s="220">
        <v>1364000</v>
      </c>
      <c r="Y1946" s="220">
        <f>X1946*0.1</f>
        <v>136400</v>
      </c>
      <c r="Z1946" s="220">
        <v>11100</v>
      </c>
      <c r="AA1946" s="220">
        <f>SUM(X1946:Z1946)</f>
        <v>1511500</v>
      </c>
      <c r="AB1946" s="222">
        <v>45950</v>
      </c>
    </row>
    <row r="1947" spans="1:28" ht="17.100000000000001" customHeight="1" thickBot="1">
      <c r="A1947" s="227"/>
      <c r="B1947" s="27" t="s">
        <v>5623</v>
      </c>
      <c r="C1947" s="27">
        <v>58</v>
      </c>
      <c r="D1947" s="14" t="s">
        <v>273</v>
      </c>
      <c r="E1947" s="229"/>
      <c r="F1947" s="117" t="s">
        <v>5625</v>
      </c>
      <c r="G1947" s="26">
        <v>5122</v>
      </c>
      <c r="H1947" s="231"/>
      <c r="I1947" s="221"/>
      <c r="J1947" s="221"/>
      <c r="K1947" s="221"/>
      <c r="L1947" s="221"/>
      <c r="M1947" s="221"/>
      <c r="N1947" s="221"/>
      <c r="O1947" s="225"/>
      <c r="P1947" s="118" t="s">
        <v>2031</v>
      </c>
      <c r="Q1947" s="16" t="s">
        <v>20</v>
      </c>
      <c r="R1947" s="17" t="s">
        <v>1605</v>
      </c>
      <c r="S1947" s="121" t="s">
        <v>7587</v>
      </c>
      <c r="T1947" s="122"/>
      <c r="U1947" s="22"/>
      <c r="V1947" s="123" t="s">
        <v>2103</v>
      </c>
      <c r="W1947" s="122">
        <v>3107</v>
      </c>
      <c r="X1947" s="221"/>
      <c r="Y1947" s="221"/>
      <c r="Z1947" s="221"/>
      <c r="AA1947" s="221"/>
      <c r="AB1947" s="223"/>
    </row>
    <row r="1948" spans="1:28" ht="17.100000000000001" customHeight="1" thickTop="1">
      <c r="A1948" s="226" t="s">
        <v>6603</v>
      </c>
      <c r="B1948" s="28">
        <v>45930</v>
      </c>
      <c r="C1948" s="25">
        <v>777</v>
      </c>
      <c r="D1948" s="13" t="s">
        <v>1909</v>
      </c>
      <c r="E1948" s="228"/>
      <c r="F1948" s="109" t="s">
        <v>2673</v>
      </c>
      <c r="G1948" s="24" t="s">
        <v>2487</v>
      </c>
      <c r="H1948" s="230">
        <v>4.5</v>
      </c>
      <c r="I1948" s="220">
        <v>1298000</v>
      </c>
      <c r="J1948" s="220">
        <f>I1948*0.1</f>
        <v>129800</v>
      </c>
      <c r="K1948" s="220">
        <v>0</v>
      </c>
      <c r="L1948" s="220">
        <v>11100</v>
      </c>
      <c r="M1948" s="220">
        <v>22000</v>
      </c>
      <c r="N1948" s="220">
        <f>SUM(I1948:M1949)</f>
        <v>1460900</v>
      </c>
      <c r="O1948" s="224"/>
      <c r="P1948" s="110" t="s">
        <v>6625</v>
      </c>
      <c r="Q1948" s="15" t="s">
        <v>19</v>
      </c>
      <c r="R1948" s="205"/>
      <c r="S1948" s="189" t="s">
        <v>25461</v>
      </c>
      <c r="T1948" s="114"/>
      <c r="U1948" s="21" t="s">
        <v>8167</v>
      </c>
      <c r="V1948" s="115">
        <v>45944</v>
      </c>
      <c r="W1948" s="116">
        <v>1913</v>
      </c>
      <c r="X1948" s="220">
        <v>1361000</v>
      </c>
      <c r="Y1948" s="220">
        <f>X1948*0.1</f>
        <v>136100</v>
      </c>
      <c r="Z1948" s="220">
        <v>11100</v>
      </c>
      <c r="AA1948" s="220">
        <f>SUM(X1948:Z1948)</f>
        <v>1508200</v>
      </c>
      <c r="AB1948" s="222">
        <v>45950</v>
      </c>
    </row>
    <row r="1949" spans="1:28" ht="17.100000000000001" customHeight="1" thickBot="1">
      <c r="A1949" s="227"/>
      <c r="B1949" s="27" t="s">
        <v>5623</v>
      </c>
      <c r="C1949" s="27">
        <v>61</v>
      </c>
      <c r="D1949" s="14" t="s">
        <v>273</v>
      </c>
      <c r="E1949" s="229"/>
      <c r="F1949" s="117" t="s">
        <v>5626</v>
      </c>
      <c r="G1949" s="26">
        <v>4397</v>
      </c>
      <c r="H1949" s="231"/>
      <c r="I1949" s="221"/>
      <c r="J1949" s="221"/>
      <c r="K1949" s="221"/>
      <c r="L1949" s="221"/>
      <c r="M1949" s="221"/>
      <c r="N1949" s="221"/>
      <c r="O1949" s="225"/>
      <c r="P1949" s="118" t="s">
        <v>2031</v>
      </c>
      <c r="Q1949" s="16" t="s">
        <v>20</v>
      </c>
      <c r="R1949" s="17" t="s">
        <v>1605</v>
      </c>
      <c r="S1949" s="121" t="s">
        <v>7587</v>
      </c>
      <c r="T1949" s="122"/>
      <c r="U1949" s="22"/>
      <c r="V1949" s="123" t="s">
        <v>2103</v>
      </c>
      <c r="W1949" s="122">
        <v>3171</v>
      </c>
      <c r="X1949" s="221"/>
      <c r="Y1949" s="221"/>
      <c r="Z1949" s="221"/>
      <c r="AA1949" s="221"/>
      <c r="AB1949" s="223"/>
    </row>
    <row r="1950" spans="1:28" ht="17.100000000000001" customHeight="1" thickTop="1">
      <c r="A1950" s="226" t="s">
        <v>6604</v>
      </c>
      <c r="B1950" s="28">
        <v>45930</v>
      </c>
      <c r="C1950" s="25">
        <v>777</v>
      </c>
      <c r="D1950" s="13" t="s">
        <v>1909</v>
      </c>
      <c r="E1950" s="228"/>
      <c r="F1950" s="109" t="s">
        <v>2673</v>
      </c>
      <c r="G1950" s="24" t="s">
        <v>2487</v>
      </c>
      <c r="H1950" s="230">
        <v>4.5</v>
      </c>
      <c r="I1950" s="220">
        <v>1298000</v>
      </c>
      <c r="J1950" s="220">
        <f>I1950*0.1</f>
        <v>129800</v>
      </c>
      <c r="K1950" s="220">
        <v>0</v>
      </c>
      <c r="L1950" s="220">
        <v>11100</v>
      </c>
      <c r="M1950" s="220">
        <v>22000</v>
      </c>
      <c r="N1950" s="220">
        <f>SUM(I1950:M1951)</f>
        <v>1460900</v>
      </c>
      <c r="O1950" s="224"/>
      <c r="P1950" s="110" t="s">
        <v>6626</v>
      </c>
      <c r="Q1950" s="15" t="s">
        <v>19</v>
      </c>
      <c r="R1950" s="205"/>
      <c r="S1950" s="189" t="s">
        <v>25461</v>
      </c>
      <c r="T1950" s="114"/>
      <c r="U1950" s="21" t="s">
        <v>8168</v>
      </c>
      <c r="V1950" s="115">
        <v>45944</v>
      </c>
      <c r="W1950" s="116">
        <v>1913</v>
      </c>
      <c r="X1950" s="220">
        <v>1367000</v>
      </c>
      <c r="Y1950" s="220">
        <f>X1950*0.1</f>
        <v>136700</v>
      </c>
      <c r="Z1950" s="220">
        <v>11100</v>
      </c>
      <c r="AA1950" s="220">
        <f>SUM(X1950:Z1950)</f>
        <v>1514800</v>
      </c>
      <c r="AB1950" s="222">
        <v>45950</v>
      </c>
    </row>
    <row r="1951" spans="1:28" ht="17.100000000000001" customHeight="1" thickBot="1">
      <c r="A1951" s="227"/>
      <c r="B1951" s="27" t="s">
        <v>5623</v>
      </c>
      <c r="C1951" s="27">
        <v>62</v>
      </c>
      <c r="D1951" s="14" t="s">
        <v>273</v>
      </c>
      <c r="E1951" s="229"/>
      <c r="F1951" s="117" t="s">
        <v>5627</v>
      </c>
      <c r="G1951" s="26">
        <v>3908</v>
      </c>
      <c r="H1951" s="231"/>
      <c r="I1951" s="221"/>
      <c r="J1951" s="221"/>
      <c r="K1951" s="221"/>
      <c r="L1951" s="221"/>
      <c r="M1951" s="221"/>
      <c r="N1951" s="221"/>
      <c r="O1951" s="225"/>
      <c r="P1951" s="118" t="s">
        <v>2031</v>
      </c>
      <c r="Q1951" s="16" t="s">
        <v>20</v>
      </c>
      <c r="R1951" s="17" t="s">
        <v>1605</v>
      </c>
      <c r="S1951" s="121" t="s">
        <v>7692</v>
      </c>
      <c r="T1951" s="122"/>
      <c r="U1951" s="22"/>
      <c r="V1951" s="123" t="s">
        <v>2103</v>
      </c>
      <c r="W1951" s="122">
        <v>3091</v>
      </c>
      <c r="X1951" s="221"/>
      <c r="Y1951" s="221"/>
      <c r="Z1951" s="221"/>
      <c r="AA1951" s="221"/>
      <c r="AB1951" s="223"/>
    </row>
    <row r="1952" spans="1:28" ht="17.100000000000001" customHeight="1" thickTop="1">
      <c r="A1952" s="226" t="s">
        <v>6605</v>
      </c>
      <c r="B1952" s="28">
        <v>45930</v>
      </c>
      <c r="C1952" s="25">
        <v>777</v>
      </c>
      <c r="D1952" s="13" t="s">
        <v>1909</v>
      </c>
      <c r="E1952" s="228"/>
      <c r="F1952" s="109" t="s">
        <v>2673</v>
      </c>
      <c r="G1952" s="24" t="s">
        <v>2487</v>
      </c>
      <c r="H1952" s="230">
        <v>4.5</v>
      </c>
      <c r="I1952" s="220">
        <v>1298000</v>
      </c>
      <c r="J1952" s="220">
        <f>I1952*0.1</f>
        <v>129800</v>
      </c>
      <c r="K1952" s="220">
        <v>0</v>
      </c>
      <c r="L1952" s="220">
        <v>11100</v>
      </c>
      <c r="M1952" s="220">
        <v>22000</v>
      </c>
      <c r="N1952" s="220">
        <f>SUM(I1952:M1953)</f>
        <v>1460900</v>
      </c>
      <c r="O1952" s="224"/>
      <c r="P1952" s="110" t="s">
        <v>6627</v>
      </c>
      <c r="Q1952" s="15" t="s">
        <v>19</v>
      </c>
      <c r="R1952" s="205"/>
      <c r="S1952" s="189" t="s">
        <v>25461</v>
      </c>
      <c r="T1952" s="114"/>
      <c r="U1952" s="21" t="s">
        <v>8145</v>
      </c>
      <c r="V1952" s="115">
        <v>45944</v>
      </c>
      <c r="W1952" s="116">
        <v>1913</v>
      </c>
      <c r="X1952" s="220">
        <v>1364000</v>
      </c>
      <c r="Y1952" s="220">
        <f>X1952*0.1</f>
        <v>136400</v>
      </c>
      <c r="Z1952" s="220">
        <v>11100</v>
      </c>
      <c r="AA1952" s="220">
        <f>SUM(X1952:Z1952)</f>
        <v>1511500</v>
      </c>
      <c r="AB1952" s="222">
        <v>45950</v>
      </c>
    </row>
    <row r="1953" spans="1:28" ht="17.100000000000001" customHeight="1" thickBot="1">
      <c r="A1953" s="227"/>
      <c r="B1953" s="27" t="s">
        <v>5623</v>
      </c>
      <c r="C1953" s="27">
        <v>63</v>
      </c>
      <c r="D1953" s="14" t="s">
        <v>273</v>
      </c>
      <c r="E1953" s="229"/>
      <c r="F1953" s="117" t="s">
        <v>5628</v>
      </c>
      <c r="G1953" s="26">
        <v>5724</v>
      </c>
      <c r="H1953" s="231"/>
      <c r="I1953" s="221"/>
      <c r="J1953" s="221"/>
      <c r="K1953" s="221"/>
      <c r="L1953" s="221"/>
      <c r="M1953" s="221"/>
      <c r="N1953" s="221"/>
      <c r="O1953" s="225"/>
      <c r="P1953" s="118" t="s">
        <v>2031</v>
      </c>
      <c r="Q1953" s="16" t="s">
        <v>20</v>
      </c>
      <c r="R1953" s="17" t="s">
        <v>1605</v>
      </c>
      <c r="S1953" s="121" t="s">
        <v>7615</v>
      </c>
      <c r="T1953" s="122"/>
      <c r="U1953" s="22"/>
      <c r="V1953" s="123" t="s">
        <v>2103</v>
      </c>
      <c r="W1953" s="122">
        <v>3081</v>
      </c>
      <c r="X1953" s="221"/>
      <c r="Y1953" s="221"/>
      <c r="Z1953" s="221"/>
      <c r="AA1953" s="221"/>
      <c r="AB1953" s="223"/>
    </row>
    <row r="1954" spans="1:28" ht="17.100000000000001" customHeight="1" thickTop="1">
      <c r="A1954" s="226" t="s">
        <v>6606</v>
      </c>
      <c r="B1954" s="28">
        <v>45930</v>
      </c>
      <c r="C1954" s="25">
        <v>777</v>
      </c>
      <c r="D1954" s="13" t="s">
        <v>1909</v>
      </c>
      <c r="E1954" s="228"/>
      <c r="F1954" s="109" t="s">
        <v>2673</v>
      </c>
      <c r="G1954" s="24" t="s">
        <v>2487</v>
      </c>
      <c r="H1954" s="230">
        <v>4.5</v>
      </c>
      <c r="I1954" s="220">
        <v>1298000</v>
      </c>
      <c r="J1954" s="220">
        <f>I1954*0.1</f>
        <v>129800</v>
      </c>
      <c r="K1954" s="220">
        <v>0</v>
      </c>
      <c r="L1954" s="220">
        <v>111000</v>
      </c>
      <c r="M1954" s="220">
        <v>22000</v>
      </c>
      <c r="N1954" s="220">
        <f>SUM(I1954:M1955)</f>
        <v>1560800</v>
      </c>
      <c r="O1954" s="224"/>
      <c r="P1954" s="110" t="s">
        <v>6628</v>
      </c>
      <c r="Q1954" s="15" t="s">
        <v>19</v>
      </c>
      <c r="R1954" s="205"/>
      <c r="S1954" s="189" t="s">
        <v>25461</v>
      </c>
      <c r="T1954" s="114"/>
      <c r="U1954" s="21" t="s">
        <v>8146</v>
      </c>
      <c r="V1954" s="115">
        <v>45944</v>
      </c>
      <c r="W1954" s="116">
        <v>1913</v>
      </c>
      <c r="X1954" s="220">
        <v>1367000</v>
      </c>
      <c r="Y1954" s="220">
        <f>X1954*0.1</f>
        <v>136700</v>
      </c>
      <c r="Z1954" s="220">
        <v>11100</v>
      </c>
      <c r="AA1954" s="220">
        <f>SUM(X1954:Z1954)</f>
        <v>1514800</v>
      </c>
      <c r="AB1954" s="222">
        <v>45950</v>
      </c>
    </row>
    <row r="1955" spans="1:28" ht="17.100000000000001" customHeight="1" thickBot="1">
      <c r="A1955" s="227"/>
      <c r="B1955" s="27" t="s">
        <v>5623</v>
      </c>
      <c r="C1955" s="27">
        <v>64</v>
      </c>
      <c r="D1955" s="14" t="s">
        <v>273</v>
      </c>
      <c r="E1955" s="229"/>
      <c r="F1955" s="117" t="s">
        <v>5629</v>
      </c>
      <c r="G1955" s="26">
        <v>3204</v>
      </c>
      <c r="H1955" s="231"/>
      <c r="I1955" s="221"/>
      <c r="J1955" s="221"/>
      <c r="K1955" s="221"/>
      <c r="L1955" s="221"/>
      <c r="M1955" s="221"/>
      <c r="N1955" s="221"/>
      <c r="O1955" s="225"/>
      <c r="P1955" s="118" t="s">
        <v>2031</v>
      </c>
      <c r="Q1955" s="16" t="s">
        <v>20</v>
      </c>
      <c r="R1955" s="17" t="s">
        <v>1605</v>
      </c>
      <c r="S1955" s="121" t="s">
        <v>4895</v>
      </c>
      <c r="T1955" s="122"/>
      <c r="U1955" s="22"/>
      <c r="V1955" s="123" t="s">
        <v>2103</v>
      </c>
      <c r="W1955" s="122">
        <v>3049</v>
      </c>
      <c r="X1955" s="221"/>
      <c r="Y1955" s="221"/>
      <c r="Z1955" s="221"/>
      <c r="AA1955" s="221"/>
      <c r="AB1955" s="223"/>
    </row>
    <row r="1956" spans="1:28" ht="17.100000000000001" customHeight="1" thickTop="1">
      <c r="A1956" s="226" t="s">
        <v>6607</v>
      </c>
      <c r="B1956" s="28">
        <v>45930</v>
      </c>
      <c r="C1956" s="25">
        <v>777</v>
      </c>
      <c r="D1956" s="13" t="s">
        <v>2964</v>
      </c>
      <c r="E1956" s="228"/>
      <c r="F1956" s="109" t="s">
        <v>2673</v>
      </c>
      <c r="G1956" s="24"/>
      <c r="H1956" s="230">
        <v>4</v>
      </c>
      <c r="I1956" s="220">
        <v>968000</v>
      </c>
      <c r="J1956" s="220">
        <f>I1956*0.1</f>
        <v>96800</v>
      </c>
      <c r="K1956" s="220">
        <v>0</v>
      </c>
      <c r="L1956" s="220">
        <v>8550</v>
      </c>
      <c r="M1956" s="220">
        <v>22000</v>
      </c>
      <c r="N1956" s="220">
        <f>SUM(I1956:M1957)</f>
        <v>1095350</v>
      </c>
      <c r="O1956" s="224"/>
      <c r="P1956" s="110" t="s">
        <v>7810</v>
      </c>
      <c r="Q1956" s="15" t="s">
        <v>19</v>
      </c>
      <c r="R1956" s="205"/>
      <c r="S1956" s="189" t="s">
        <v>25461</v>
      </c>
      <c r="T1956" s="114"/>
      <c r="U1956" s="21"/>
      <c r="V1956" s="115">
        <v>45944</v>
      </c>
      <c r="W1956" s="116">
        <v>1913</v>
      </c>
      <c r="X1956" s="220">
        <v>979000</v>
      </c>
      <c r="Y1956" s="220">
        <f>X1956*0.1</f>
        <v>97900</v>
      </c>
      <c r="Z1956" s="220">
        <v>8550</v>
      </c>
      <c r="AA1956" s="220">
        <f>SUM(X1956:Z1956)</f>
        <v>1085450</v>
      </c>
      <c r="AB1956" s="222">
        <v>45950</v>
      </c>
    </row>
    <row r="1957" spans="1:28" ht="17.100000000000001" customHeight="1" thickBot="1">
      <c r="A1957" s="227"/>
      <c r="B1957" s="27" t="s">
        <v>5623</v>
      </c>
      <c r="C1957" s="27">
        <v>210</v>
      </c>
      <c r="D1957" s="14" t="s">
        <v>273</v>
      </c>
      <c r="E1957" s="229"/>
      <c r="F1957" s="117" t="s">
        <v>5630</v>
      </c>
      <c r="G1957" s="26">
        <v>47860</v>
      </c>
      <c r="H1957" s="231"/>
      <c r="I1957" s="221"/>
      <c r="J1957" s="221"/>
      <c r="K1957" s="221"/>
      <c r="L1957" s="221"/>
      <c r="M1957" s="221"/>
      <c r="N1957" s="221"/>
      <c r="O1957" s="225"/>
      <c r="P1957" s="118" t="s">
        <v>7809</v>
      </c>
      <c r="Q1957" s="16" t="s">
        <v>20</v>
      </c>
      <c r="R1957" s="17" t="s">
        <v>1605</v>
      </c>
      <c r="S1957" s="121" t="s">
        <v>4895</v>
      </c>
      <c r="T1957" s="122"/>
      <c r="U1957" s="22"/>
      <c r="V1957" s="123" t="s">
        <v>2103</v>
      </c>
      <c r="W1957" s="122">
        <v>3109</v>
      </c>
      <c r="X1957" s="221"/>
      <c r="Y1957" s="221"/>
      <c r="Z1957" s="221"/>
      <c r="AA1957" s="221"/>
      <c r="AB1957" s="223"/>
    </row>
    <row r="1958" spans="1:28" ht="17.100000000000001" customHeight="1" thickTop="1">
      <c r="A1958" s="226" t="s">
        <v>6608</v>
      </c>
      <c r="B1958" s="28">
        <v>45930</v>
      </c>
      <c r="C1958" s="25">
        <v>777</v>
      </c>
      <c r="D1958" s="13" t="s">
        <v>2964</v>
      </c>
      <c r="E1958" s="228"/>
      <c r="F1958" s="109" t="s">
        <v>2673</v>
      </c>
      <c r="G1958" s="24"/>
      <c r="H1958" s="230">
        <v>4</v>
      </c>
      <c r="I1958" s="220">
        <v>978000</v>
      </c>
      <c r="J1958" s="220">
        <f>I1958*0.1</f>
        <v>97800</v>
      </c>
      <c r="K1958" s="220">
        <v>0</v>
      </c>
      <c r="L1958" s="220">
        <v>8550</v>
      </c>
      <c r="M1958" s="220">
        <v>22000</v>
      </c>
      <c r="N1958" s="220">
        <f>SUM(I1958:M1959)</f>
        <v>1106350</v>
      </c>
      <c r="O1958" s="224"/>
      <c r="P1958" s="110" t="s">
        <v>7808</v>
      </c>
      <c r="Q1958" s="15" t="s">
        <v>19</v>
      </c>
      <c r="R1958" s="205"/>
      <c r="S1958" s="189" t="s">
        <v>25461</v>
      </c>
      <c r="T1958" s="114"/>
      <c r="U1958" s="21"/>
      <c r="V1958" s="115">
        <v>45944</v>
      </c>
      <c r="W1958" s="116">
        <v>1913</v>
      </c>
      <c r="X1958" s="220">
        <v>991000</v>
      </c>
      <c r="Y1958" s="220">
        <v>99100</v>
      </c>
      <c r="Z1958" s="220">
        <v>8550</v>
      </c>
      <c r="AA1958" s="220">
        <f>SUM(X1958:Z1958)</f>
        <v>1098650</v>
      </c>
      <c r="AB1958" s="222">
        <v>45950</v>
      </c>
    </row>
    <row r="1959" spans="1:28" ht="17.100000000000001" customHeight="1" thickBot="1">
      <c r="A1959" s="227"/>
      <c r="B1959" s="27" t="s">
        <v>5623</v>
      </c>
      <c r="C1959" s="27">
        <v>211</v>
      </c>
      <c r="D1959" s="14" t="s">
        <v>273</v>
      </c>
      <c r="E1959" s="229"/>
      <c r="F1959" s="117" t="s">
        <v>5631</v>
      </c>
      <c r="G1959" s="26">
        <v>40184</v>
      </c>
      <c r="H1959" s="231"/>
      <c r="I1959" s="221"/>
      <c r="J1959" s="221"/>
      <c r="K1959" s="221"/>
      <c r="L1959" s="221"/>
      <c r="M1959" s="221"/>
      <c r="N1959" s="221"/>
      <c r="O1959" s="225"/>
      <c r="P1959" s="118" t="s">
        <v>7809</v>
      </c>
      <c r="Q1959" s="16" t="s">
        <v>20</v>
      </c>
      <c r="R1959" s="17" t="s">
        <v>1605</v>
      </c>
      <c r="S1959" s="121" t="s">
        <v>4895</v>
      </c>
      <c r="T1959" s="122"/>
      <c r="U1959" s="22"/>
      <c r="V1959" s="123" t="s">
        <v>2103</v>
      </c>
      <c r="W1959" s="122">
        <v>3175</v>
      </c>
      <c r="X1959" s="221"/>
      <c r="Y1959" s="221"/>
      <c r="Z1959" s="221"/>
      <c r="AA1959" s="221"/>
      <c r="AB1959" s="223"/>
    </row>
    <row r="1960" spans="1:28" ht="17.100000000000001" customHeight="1" thickTop="1">
      <c r="A1960" s="226" t="s">
        <v>6629</v>
      </c>
      <c r="B1960" s="28">
        <v>45931</v>
      </c>
      <c r="C1960" s="25">
        <v>1807</v>
      </c>
      <c r="D1960" s="13" t="s">
        <v>2392</v>
      </c>
      <c r="E1960" s="228"/>
      <c r="F1960" s="109" t="s">
        <v>6634</v>
      </c>
      <c r="G1960" s="24"/>
      <c r="H1960" s="230">
        <v>4.5</v>
      </c>
      <c r="I1960" s="220">
        <v>937000</v>
      </c>
      <c r="J1960" s="220">
        <f>I1960*0.1</f>
        <v>93700</v>
      </c>
      <c r="K1960" s="220">
        <v>0</v>
      </c>
      <c r="L1960" s="220">
        <v>6860</v>
      </c>
      <c r="M1960" s="220">
        <v>18150</v>
      </c>
      <c r="N1960" s="220">
        <f>SUM(I1960:M1961)</f>
        <v>1055710</v>
      </c>
      <c r="O1960" s="224"/>
      <c r="P1960" s="110" t="s">
        <v>7604</v>
      </c>
      <c r="Q1960" s="15" t="s">
        <v>19</v>
      </c>
      <c r="R1960" s="205"/>
      <c r="S1960" s="189"/>
      <c r="T1960" s="114"/>
      <c r="U1960" s="21"/>
      <c r="V1960" s="115">
        <v>45945</v>
      </c>
      <c r="W1960" s="116">
        <v>988</v>
      </c>
      <c r="X1960" s="220">
        <v>1050000</v>
      </c>
      <c r="Y1960" s="220">
        <v>105000</v>
      </c>
      <c r="Z1960" s="220">
        <v>6860</v>
      </c>
      <c r="AA1960" s="220">
        <f>SUM(X1960:Z1960)</f>
        <v>1161860</v>
      </c>
      <c r="AB1960" s="222">
        <v>45950</v>
      </c>
    </row>
    <row r="1961" spans="1:28" ht="17.100000000000001" customHeight="1" thickBot="1">
      <c r="A1961" s="227"/>
      <c r="B1961" s="27" t="s">
        <v>2519</v>
      </c>
      <c r="C1961" s="27">
        <v>3301</v>
      </c>
      <c r="D1961" s="14" t="s">
        <v>273</v>
      </c>
      <c r="E1961" s="229"/>
      <c r="F1961" s="117" t="s">
        <v>6633</v>
      </c>
      <c r="G1961" s="26">
        <v>45210</v>
      </c>
      <c r="H1961" s="231"/>
      <c r="I1961" s="221"/>
      <c r="J1961" s="221"/>
      <c r="K1961" s="221"/>
      <c r="L1961" s="221"/>
      <c r="M1961" s="221"/>
      <c r="N1961" s="221"/>
      <c r="O1961" s="225"/>
      <c r="P1961" s="118" t="s">
        <v>1972</v>
      </c>
      <c r="Q1961" s="16" t="s">
        <v>20</v>
      </c>
      <c r="R1961" s="17" t="s">
        <v>1605</v>
      </c>
      <c r="S1961" s="121" t="s">
        <v>7605</v>
      </c>
      <c r="T1961" s="122"/>
      <c r="U1961" s="22"/>
      <c r="V1961" s="123" t="s">
        <v>2747</v>
      </c>
      <c r="W1961" s="122">
        <v>2073</v>
      </c>
      <c r="X1961" s="221"/>
      <c r="Y1961" s="221"/>
      <c r="Z1961" s="221"/>
      <c r="AA1961" s="221"/>
      <c r="AB1961" s="223"/>
    </row>
    <row r="1962" spans="1:28" ht="17.100000000000001" customHeight="1" thickTop="1">
      <c r="A1962" s="226" t="s">
        <v>6630</v>
      </c>
      <c r="B1962" s="28">
        <v>45931</v>
      </c>
      <c r="C1962" s="25">
        <v>1807</v>
      </c>
      <c r="D1962" s="13" t="s">
        <v>1915</v>
      </c>
      <c r="E1962" s="228"/>
      <c r="F1962" s="109" t="s">
        <v>6635</v>
      </c>
      <c r="G1962" s="24"/>
      <c r="H1962" s="230">
        <v>4.5</v>
      </c>
      <c r="I1962" s="220">
        <v>1205000</v>
      </c>
      <c r="J1962" s="220">
        <f>I1962*0.1</f>
        <v>120500</v>
      </c>
      <c r="K1962" s="220">
        <v>0</v>
      </c>
      <c r="L1962" s="220">
        <v>9810</v>
      </c>
      <c r="M1962" s="220">
        <v>18150</v>
      </c>
      <c r="N1962" s="220">
        <f>SUM(I1962:M1963)</f>
        <v>1353460</v>
      </c>
      <c r="O1962" s="224"/>
      <c r="P1962" s="110" t="s">
        <v>7296</v>
      </c>
      <c r="Q1962" s="15" t="s">
        <v>19</v>
      </c>
      <c r="R1962" s="205"/>
      <c r="S1962" s="189"/>
      <c r="T1962" s="114"/>
      <c r="U1962" s="21"/>
      <c r="V1962" s="115">
        <v>45934</v>
      </c>
      <c r="W1962" s="116">
        <v>1270</v>
      </c>
      <c r="X1962" s="220">
        <v>1320000</v>
      </c>
      <c r="Y1962" s="220">
        <v>132000</v>
      </c>
      <c r="Z1962" s="220">
        <v>9810</v>
      </c>
      <c r="AA1962" s="220">
        <f>SUM(X1962:Z1962)</f>
        <v>1461810</v>
      </c>
      <c r="AB1962" s="222">
        <v>45944</v>
      </c>
    </row>
    <row r="1963" spans="1:28" ht="17.100000000000001" customHeight="1" thickBot="1">
      <c r="A1963" s="227"/>
      <c r="B1963" s="27" t="s">
        <v>2519</v>
      </c>
      <c r="C1963" s="27">
        <v>36247</v>
      </c>
      <c r="D1963" s="14" t="s">
        <v>2559</v>
      </c>
      <c r="E1963" s="229"/>
      <c r="F1963" s="117" t="s">
        <v>6636</v>
      </c>
      <c r="G1963" s="26">
        <v>44098</v>
      </c>
      <c r="H1963" s="231"/>
      <c r="I1963" s="221"/>
      <c r="J1963" s="221"/>
      <c r="K1963" s="221"/>
      <c r="L1963" s="221"/>
      <c r="M1963" s="221"/>
      <c r="N1963" s="221"/>
      <c r="O1963" s="225"/>
      <c r="P1963" s="118" t="s">
        <v>4126</v>
      </c>
      <c r="Q1963" s="16" t="s">
        <v>20</v>
      </c>
      <c r="R1963" s="17" t="s">
        <v>3264</v>
      </c>
      <c r="S1963" s="121" t="s">
        <v>7295</v>
      </c>
      <c r="T1963" s="122"/>
      <c r="U1963" s="22"/>
      <c r="V1963" s="123" t="s">
        <v>7159</v>
      </c>
      <c r="W1963" s="122">
        <v>106</v>
      </c>
      <c r="X1963" s="221"/>
      <c r="Y1963" s="221"/>
      <c r="Z1963" s="221"/>
      <c r="AA1963" s="221"/>
      <c r="AB1963" s="223"/>
    </row>
    <row r="1964" spans="1:28" ht="17.100000000000001" customHeight="1" thickTop="1">
      <c r="A1964" s="226" t="s">
        <v>6631</v>
      </c>
      <c r="B1964" s="28">
        <v>45931</v>
      </c>
      <c r="C1964" s="25">
        <v>1807</v>
      </c>
      <c r="D1964" s="13" t="s">
        <v>1883</v>
      </c>
      <c r="E1964" s="228"/>
      <c r="F1964" s="109" t="s">
        <v>5423</v>
      </c>
      <c r="G1964" s="24"/>
      <c r="H1964" s="230">
        <v>4</v>
      </c>
      <c r="I1964" s="220">
        <v>2140000</v>
      </c>
      <c r="J1964" s="220">
        <f>I1964*0.1</f>
        <v>214000</v>
      </c>
      <c r="K1964" s="220">
        <v>0</v>
      </c>
      <c r="L1964" s="220">
        <v>23510</v>
      </c>
      <c r="M1964" s="220">
        <v>18150</v>
      </c>
      <c r="N1964" s="220">
        <f>SUM(I1964:M1965)</f>
        <v>2395660</v>
      </c>
      <c r="O1964" s="224"/>
      <c r="P1964" s="110" t="s">
        <v>7292</v>
      </c>
      <c r="Q1964" s="15" t="s">
        <v>19</v>
      </c>
      <c r="R1964" s="205"/>
      <c r="S1964" s="189"/>
      <c r="T1964" s="114"/>
      <c r="U1964" s="21"/>
      <c r="V1964" s="115">
        <v>45934</v>
      </c>
      <c r="W1964" s="116">
        <v>1270</v>
      </c>
      <c r="X1964" s="220">
        <v>2465000</v>
      </c>
      <c r="Y1964" s="220">
        <v>246500</v>
      </c>
      <c r="Z1964" s="220">
        <v>23510</v>
      </c>
      <c r="AA1964" s="220">
        <f>SUM(X1964:Z1964)</f>
        <v>2735010</v>
      </c>
      <c r="AB1964" s="222">
        <v>45944</v>
      </c>
    </row>
    <row r="1965" spans="1:28" ht="17.100000000000001" customHeight="1" thickBot="1">
      <c r="A1965" s="227"/>
      <c r="B1965" s="27" t="s">
        <v>2519</v>
      </c>
      <c r="C1965" s="27">
        <v>38149</v>
      </c>
      <c r="D1965" s="14" t="s">
        <v>2088</v>
      </c>
      <c r="E1965" s="229"/>
      <c r="F1965" s="117" t="s">
        <v>6637</v>
      </c>
      <c r="G1965" s="26">
        <v>46545</v>
      </c>
      <c r="H1965" s="231"/>
      <c r="I1965" s="221"/>
      <c r="J1965" s="221"/>
      <c r="K1965" s="221"/>
      <c r="L1965" s="221"/>
      <c r="M1965" s="221"/>
      <c r="N1965" s="221"/>
      <c r="O1965" s="225"/>
      <c r="P1965" s="118" t="s">
        <v>7293</v>
      </c>
      <c r="Q1965" s="16" t="s">
        <v>20</v>
      </c>
      <c r="R1965" s="17" t="s">
        <v>3264</v>
      </c>
      <c r="S1965" s="121" t="s">
        <v>7294</v>
      </c>
      <c r="T1965" s="122"/>
      <c r="U1965" s="22"/>
      <c r="V1965" s="123" t="s">
        <v>7160</v>
      </c>
      <c r="W1965" s="122">
        <v>80314</v>
      </c>
      <c r="X1965" s="221"/>
      <c r="Y1965" s="221"/>
      <c r="Z1965" s="221"/>
      <c r="AA1965" s="221"/>
      <c r="AB1965" s="223"/>
    </row>
    <row r="1966" spans="1:28" ht="17.100000000000001" customHeight="1" thickTop="1">
      <c r="A1966" s="226" t="s">
        <v>6632</v>
      </c>
      <c r="B1966" s="28">
        <v>45931</v>
      </c>
      <c r="C1966" s="25">
        <v>1807</v>
      </c>
      <c r="D1966" s="13" t="s">
        <v>2712</v>
      </c>
      <c r="E1966" s="228"/>
      <c r="F1966" s="109" t="s">
        <v>6638</v>
      </c>
      <c r="G1966" s="24"/>
      <c r="H1966" s="230">
        <v>4.5</v>
      </c>
      <c r="I1966" s="220">
        <v>1030000</v>
      </c>
      <c r="J1966" s="220">
        <f>I1966*0.1</f>
        <v>103000</v>
      </c>
      <c r="K1966" s="220">
        <v>0</v>
      </c>
      <c r="L1966" s="220">
        <v>7440</v>
      </c>
      <c r="M1966" s="220">
        <v>18150</v>
      </c>
      <c r="N1966" s="220">
        <f>SUM(I1966:M1967)</f>
        <v>1158590</v>
      </c>
      <c r="O1966" s="224"/>
      <c r="P1966" s="110" t="s">
        <v>7322</v>
      </c>
      <c r="Q1966" s="15" t="s">
        <v>19</v>
      </c>
      <c r="R1966" s="205"/>
      <c r="S1966" s="189" t="s">
        <v>758</v>
      </c>
      <c r="T1966" s="114"/>
      <c r="U1966" s="21"/>
      <c r="V1966" s="115">
        <v>45934</v>
      </c>
      <c r="W1966" s="116">
        <v>1270</v>
      </c>
      <c r="X1966" s="220">
        <v>1150000</v>
      </c>
      <c r="Y1966" s="220">
        <v>115000</v>
      </c>
      <c r="Z1966" s="220">
        <v>7440</v>
      </c>
      <c r="AA1966" s="220">
        <f>SUM(X1966:Z1966)</f>
        <v>1272440</v>
      </c>
      <c r="AB1966" s="222">
        <v>45944</v>
      </c>
    </row>
    <row r="1967" spans="1:28" ht="17.100000000000001" customHeight="1" thickBot="1">
      <c r="A1967" s="227"/>
      <c r="B1967" s="27" t="s">
        <v>2519</v>
      </c>
      <c r="C1967" s="27">
        <v>40064</v>
      </c>
      <c r="D1967" s="14" t="s">
        <v>1584</v>
      </c>
      <c r="E1967" s="229"/>
      <c r="F1967" s="117" t="s">
        <v>6639</v>
      </c>
      <c r="G1967" s="26">
        <v>35776</v>
      </c>
      <c r="H1967" s="231"/>
      <c r="I1967" s="221"/>
      <c r="J1967" s="221"/>
      <c r="K1967" s="221"/>
      <c r="L1967" s="221"/>
      <c r="M1967" s="221"/>
      <c r="N1967" s="221"/>
      <c r="O1967" s="225"/>
      <c r="P1967" s="118" t="s">
        <v>7323</v>
      </c>
      <c r="Q1967" s="16" t="s">
        <v>20</v>
      </c>
      <c r="R1967" s="17" t="s">
        <v>3264</v>
      </c>
      <c r="S1967" s="121" t="s">
        <v>1661</v>
      </c>
      <c r="T1967" s="122"/>
      <c r="U1967" s="22"/>
      <c r="V1967" s="123" t="s">
        <v>6641</v>
      </c>
      <c r="W1967" s="122">
        <v>41065</v>
      </c>
      <c r="X1967" s="221"/>
      <c r="Y1967" s="221"/>
      <c r="Z1967" s="221"/>
      <c r="AA1967" s="221"/>
      <c r="AB1967" s="223"/>
    </row>
    <row r="1968" spans="1:28" ht="17.100000000000001" customHeight="1" thickTop="1">
      <c r="A1968" s="226" t="s">
        <v>6669</v>
      </c>
      <c r="B1968" s="28">
        <v>45932</v>
      </c>
      <c r="C1968" s="25">
        <v>1952</v>
      </c>
      <c r="D1968" s="13" t="s">
        <v>5353</v>
      </c>
      <c r="E1968" s="228"/>
      <c r="F1968" s="109" t="s">
        <v>4958</v>
      </c>
      <c r="G1968" s="24"/>
      <c r="H1968" s="230">
        <v>4.5</v>
      </c>
      <c r="I1968" s="220">
        <v>223000</v>
      </c>
      <c r="J1968" s="220">
        <f>I1968*0.1</f>
        <v>22300</v>
      </c>
      <c r="K1968" s="220">
        <v>0</v>
      </c>
      <c r="L1968" s="220">
        <v>8930</v>
      </c>
      <c r="M1968" s="220">
        <v>17050</v>
      </c>
      <c r="N1968" s="220">
        <f>SUM(I1968:M1969)</f>
        <v>271280</v>
      </c>
      <c r="O1968" s="224"/>
      <c r="P1968" s="110" t="s">
        <v>7242</v>
      </c>
      <c r="Q1968" s="15" t="s">
        <v>19</v>
      </c>
      <c r="R1968" s="205"/>
      <c r="S1968" s="189"/>
      <c r="T1968" s="114"/>
      <c r="U1968" s="21"/>
      <c r="V1968" s="115">
        <v>45990</v>
      </c>
      <c r="W1968" s="116">
        <v>1278</v>
      </c>
      <c r="X1968" s="220">
        <v>280000</v>
      </c>
      <c r="Y1968" s="220">
        <f>X1968*0.1</f>
        <v>28000</v>
      </c>
      <c r="Z1968" s="220">
        <v>8930</v>
      </c>
      <c r="AA1968" s="220">
        <f>SUM(X1968:Z1968)</f>
        <v>316930</v>
      </c>
      <c r="AB1968" s="222">
        <v>45994</v>
      </c>
    </row>
    <row r="1969" spans="1:28" ht="17.100000000000001" customHeight="1" thickBot="1">
      <c r="A1969" s="227"/>
      <c r="B1969" s="27" t="s">
        <v>3730</v>
      </c>
      <c r="C1969" s="27">
        <v>3001</v>
      </c>
      <c r="D1969" s="14" t="s">
        <v>273</v>
      </c>
      <c r="E1969" s="229"/>
      <c r="F1969" s="117" t="s">
        <v>6640</v>
      </c>
      <c r="G1969" s="26">
        <v>48114</v>
      </c>
      <c r="H1969" s="231"/>
      <c r="I1969" s="221"/>
      <c r="J1969" s="221"/>
      <c r="K1969" s="221"/>
      <c r="L1969" s="221"/>
      <c r="M1969" s="221"/>
      <c r="N1969" s="221"/>
      <c r="O1969" s="225"/>
      <c r="P1969" s="118" t="s">
        <v>7243</v>
      </c>
      <c r="Q1969" s="16" t="s">
        <v>20</v>
      </c>
      <c r="R1969" s="17" t="s">
        <v>2128</v>
      </c>
      <c r="S1969" s="121" t="s">
        <v>7693</v>
      </c>
      <c r="T1969" s="122"/>
      <c r="U1969" s="22"/>
      <c r="V1969" s="123" t="s">
        <v>2472</v>
      </c>
      <c r="W1969" s="122">
        <v>60229</v>
      </c>
      <c r="X1969" s="221"/>
      <c r="Y1969" s="221"/>
      <c r="Z1969" s="221"/>
      <c r="AA1969" s="221"/>
      <c r="AB1969" s="223"/>
    </row>
    <row r="1970" spans="1:28" ht="17.100000000000001" customHeight="1" thickTop="1">
      <c r="A1970" s="226" t="s">
        <v>6670</v>
      </c>
      <c r="B1970" s="28">
        <v>45932</v>
      </c>
      <c r="C1970" s="25">
        <v>1300</v>
      </c>
      <c r="D1970" s="13" t="s">
        <v>2379</v>
      </c>
      <c r="E1970" s="228"/>
      <c r="F1970" s="109" t="s">
        <v>4595</v>
      </c>
      <c r="G1970" s="24" t="s">
        <v>2543</v>
      </c>
      <c r="H1970" s="230">
        <v>4.5</v>
      </c>
      <c r="I1970" s="220">
        <v>985000</v>
      </c>
      <c r="J1970" s="220">
        <f>I1970*0.1</f>
        <v>98500</v>
      </c>
      <c r="K1970" s="220">
        <v>10000</v>
      </c>
      <c r="L1970" s="220">
        <v>9280</v>
      </c>
      <c r="M1970" s="220">
        <v>14300</v>
      </c>
      <c r="N1970" s="220">
        <f>SUM(I1970:M1971)</f>
        <v>1117080</v>
      </c>
      <c r="O1970" s="224"/>
      <c r="P1970" s="110" t="s">
        <v>6643</v>
      </c>
      <c r="Q1970" s="15" t="s">
        <v>19</v>
      </c>
      <c r="R1970" s="205"/>
      <c r="S1970" s="189" t="s">
        <v>25367</v>
      </c>
      <c r="T1970" s="114"/>
      <c r="U1970" s="21"/>
      <c r="V1970" s="115">
        <v>45937</v>
      </c>
      <c r="W1970" s="116">
        <v>1912</v>
      </c>
      <c r="X1970" s="220">
        <v>1211000</v>
      </c>
      <c r="Y1970" s="220">
        <v>121100</v>
      </c>
      <c r="Z1970" s="220">
        <v>9280</v>
      </c>
      <c r="AA1970" s="220">
        <f>SUM(X1970:Z1970)</f>
        <v>1341380</v>
      </c>
      <c r="AB1970" s="222"/>
    </row>
    <row r="1971" spans="1:28" ht="17.100000000000001" customHeight="1" thickBot="1">
      <c r="A1971" s="227"/>
      <c r="B1971" s="27" t="s">
        <v>1735</v>
      </c>
      <c r="C1971" s="27">
        <v>760</v>
      </c>
      <c r="D1971" s="14" t="s">
        <v>273</v>
      </c>
      <c r="E1971" s="229"/>
      <c r="F1971" s="117" t="s">
        <v>6982</v>
      </c>
      <c r="G1971" s="26">
        <v>10481</v>
      </c>
      <c r="H1971" s="231"/>
      <c r="I1971" s="221"/>
      <c r="J1971" s="221"/>
      <c r="K1971" s="221"/>
      <c r="L1971" s="221"/>
      <c r="M1971" s="221"/>
      <c r="N1971" s="221"/>
      <c r="O1971" s="225"/>
      <c r="P1971" s="118" t="s">
        <v>6983</v>
      </c>
      <c r="Q1971" s="16" t="s">
        <v>20</v>
      </c>
      <c r="R1971" s="17" t="s">
        <v>3672</v>
      </c>
      <c r="S1971" s="121" t="s">
        <v>1731</v>
      </c>
      <c r="T1971" s="122"/>
      <c r="U1971" s="22"/>
      <c r="V1971" s="123" t="s">
        <v>2103</v>
      </c>
      <c r="W1971" s="122">
        <v>3183</v>
      </c>
      <c r="X1971" s="221"/>
      <c r="Y1971" s="221"/>
      <c r="Z1971" s="221"/>
      <c r="AA1971" s="221"/>
      <c r="AB1971" s="223"/>
    </row>
    <row r="1972" spans="1:28" ht="17.100000000000001" customHeight="1" thickTop="1">
      <c r="A1972" s="226" t="s">
        <v>6671</v>
      </c>
      <c r="B1972" s="28">
        <v>45932</v>
      </c>
      <c r="C1972" s="25">
        <v>1996</v>
      </c>
      <c r="D1972" s="13" t="s">
        <v>1704</v>
      </c>
      <c r="E1972" s="228"/>
      <c r="F1972" s="109" t="s">
        <v>6672</v>
      </c>
      <c r="G1972" s="24" t="s">
        <v>2487</v>
      </c>
      <c r="H1972" s="230">
        <v>3.5</v>
      </c>
      <c r="I1972" s="220">
        <v>864000</v>
      </c>
      <c r="J1972" s="220">
        <f>I1972*0.1</f>
        <v>86400</v>
      </c>
      <c r="K1972" s="220">
        <v>0</v>
      </c>
      <c r="L1972" s="220">
        <v>8390</v>
      </c>
      <c r="M1972" s="220">
        <v>22000</v>
      </c>
      <c r="N1972" s="220">
        <f>SUM(I1972:M1973)</f>
        <v>980790</v>
      </c>
      <c r="O1972" s="224"/>
      <c r="P1972" s="110" t="s">
        <v>6674</v>
      </c>
      <c r="Q1972" s="15" t="s">
        <v>19</v>
      </c>
      <c r="R1972" s="205"/>
      <c r="S1972" s="189" t="s">
        <v>25431</v>
      </c>
      <c r="T1972" s="114"/>
      <c r="U1972" s="21"/>
      <c r="V1972" s="115">
        <v>45948</v>
      </c>
      <c r="W1972" s="116">
        <v>1272</v>
      </c>
      <c r="X1972" s="220">
        <v>1250000</v>
      </c>
      <c r="Y1972" s="220">
        <f>X1972*0.1</f>
        <v>125000</v>
      </c>
      <c r="Z1972" s="220">
        <v>8390</v>
      </c>
      <c r="AA1972" s="220">
        <f>SUM(X1972:Z1972)</f>
        <v>1383390</v>
      </c>
      <c r="AB1972" s="222">
        <v>45952</v>
      </c>
    </row>
    <row r="1973" spans="1:28" ht="17.100000000000001" customHeight="1" thickBot="1">
      <c r="A1973" s="227"/>
      <c r="B1973" s="27" t="s">
        <v>2171</v>
      </c>
      <c r="C1973" s="27">
        <v>50036</v>
      </c>
      <c r="D1973" s="14" t="s">
        <v>2559</v>
      </c>
      <c r="E1973" s="229"/>
      <c r="F1973" s="117" t="s">
        <v>6673</v>
      </c>
      <c r="G1973" s="26">
        <v>49062</v>
      </c>
      <c r="H1973" s="231"/>
      <c r="I1973" s="221"/>
      <c r="J1973" s="221"/>
      <c r="K1973" s="221"/>
      <c r="L1973" s="221"/>
      <c r="M1973" s="221"/>
      <c r="N1973" s="221"/>
      <c r="O1973" s="225"/>
      <c r="P1973" s="118" t="s">
        <v>2287</v>
      </c>
      <c r="Q1973" s="16" t="s">
        <v>20</v>
      </c>
      <c r="R1973" s="17" t="s">
        <v>1605</v>
      </c>
      <c r="S1973" s="121" t="s">
        <v>169</v>
      </c>
      <c r="T1973" s="122"/>
      <c r="U1973" s="22"/>
      <c r="V1973" s="123" t="s">
        <v>7160</v>
      </c>
      <c r="W1973" s="122">
        <v>60436</v>
      </c>
      <c r="X1973" s="221"/>
      <c r="Y1973" s="221"/>
      <c r="Z1973" s="221"/>
      <c r="AA1973" s="221"/>
      <c r="AB1973" s="223"/>
    </row>
    <row r="1974" spans="1:28" ht="17.100000000000001" customHeight="1" thickTop="1">
      <c r="A1974" s="226" t="s">
        <v>6675</v>
      </c>
      <c r="B1974" s="28">
        <v>45932</v>
      </c>
      <c r="C1974" s="25">
        <v>1535</v>
      </c>
      <c r="D1974" s="13" t="s">
        <v>1578</v>
      </c>
      <c r="E1974" s="228"/>
      <c r="F1974" s="109" t="s">
        <v>1763</v>
      </c>
      <c r="G1974" s="24" t="s">
        <v>6678</v>
      </c>
      <c r="H1974" s="230">
        <v>4.5</v>
      </c>
      <c r="I1974" s="220">
        <v>1320000</v>
      </c>
      <c r="J1974" s="220">
        <f>I1974*0.1</f>
        <v>132000</v>
      </c>
      <c r="K1974" s="220">
        <f>16400+1640</f>
        <v>18040</v>
      </c>
      <c r="L1974" s="220">
        <v>16240</v>
      </c>
      <c r="M1974" s="220">
        <v>16500</v>
      </c>
      <c r="N1974" s="220">
        <f>SUM(I1974:M1975)</f>
        <v>1502780</v>
      </c>
      <c r="O1974" s="224"/>
      <c r="P1974" s="110" t="s">
        <v>6679</v>
      </c>
      <c r="Q1974" s="15" t="s">
        <v>19</v>
      </c>
      <c r="R1974" s="205"/>
      <c r="S1974" s="189"/>
      <c r="T1974" s="114"/>
      <c r="U1974" s="21"/>
      <c r="V1974" s="115">
        <v>45955</v>
      </c>
      <c r="W1974" s="116">
        <v>1273</v>
      </c>
      <c r="X1974" s="220">
        <v>1530000</v>
      </c>
      <c r="Y1974" s="220">
        <f>X1974*0.1</f>
        <v>153000</v>
      </c>
      <c r="Z1974" s="220">
        <v>16240</v>
      </c>
      <c r="AA1974" s="220">
        <f>SUM(X1974:Z1974)</f>
        <v>1699240</v>
      </c>
      <c r="AB1974" s="222">
        <v>45958</v>
      </c>
    </row>
    <row r="1975" spans="1:28" ht="17.100000000000001" customHeight="1" thickBot="1">
      <c r="A1975" s="227"/>
      <c r="B1975" s="27" t="s">
        <v>1592</v>
      </c>
      <c r="C1975" s="27">
        <v>75859</v>
      </c>
      <c r="D1975" s="14" t="s">
        <v>131</v>
      </c>
      <c r="E1975" s="229"/>
      <c r="F1975" s="117" t="s">
        <v>6677</v>
      </c>
      <c r="G1975" s="26">
        <v>45193</v>
      </c>
      <c r="H1975" s="231"/>
      <c r="I1975" s="221"/>
      <c r="J1975" s="221"/>
      <c r="K1975" s="221"/>
      <c r="L1975" s="221"/>
      <c r="M1975" s="221"/>
      <c r="N1975" s="221"/>
      <c r="O1975" s="225"/>
      <c r="P1975" s="118" t="s">
        <v>7304</v>
      </c>
      <c r="Q1975" s="16" t="s">
        <v>20</v>
      </c>
      <c r="R1975" s="17" t="s">
        <v>3264</v>
      </c>
      <c r="S1975" s="121" t="s">
        <v>7305</v>
      </c>
      <c r="T1975" s="122"/>
      <c r="U1975" s="22"/>
      <c r="V1975" s="123" t="s">
        <v>7160</v>
      </c>
      <c r="W1975" s="122">
        <v>80031</v>
      </c>
      <c r="X1975" s="221"/>
      <c r="Y1975" s="221"/>
      <c r="Z1975" s="221"/>
      <c r="AA1975" s="221"/>
      <c r="AB1975" s="223"/>
    </row>
    <row r="1976" spans="1:28" ht="17.100000000000001" customHeight="1" thickTop="1">
      <c r="A1976" s="226" t="s">
        <v>6676</v>
      </c>
      <c r="B1976" s="28">
        <v>45932</v>
      </c>
      <c r="C1976" s="25">
        <v>1535</v>
      </c>
      <c r="D1976" s="13" t="s">
        <v>4050</v>
      </c>
      <c r="E1976" s="228"/>
      <c r="F1976" s="109" t="s">
        <v>1916</v>
      </c>
      <c r="G1976" s="24" t="s">
        <v>4120</v>
      </c>
      <c r="H1976" s="230">
        <v>4.5</v>
      </c>
      <c r="I1976" s="220">
        <v>1020000</v>
      </c>
      <c r="J1976" s="220">
        <f>I1976*0.1</f>
        <v>102000</v>
      </c>
      <c r="K1976" s="220">
        <f>14300+1430</f>
        <v>15730</v>
      </c>
      <c r="L1976" s="220">
        <v>17600</v>
      </c>
      <c r="M1976" s="220">
        <v>16500</v>
      </c>
      <c r="N1976" s="220">
        <f>SUM(I1976:M1977)</f>
        <v>1171830</v>
      </c>
      <c r="O1976" s="224"/>
      <c r="P1976" s="110" t="s">
        <v>6681</v>
      </c>
      <c r="Q1976" s="15" t="s">
        <v>19</v>
      </c>
      <c r="R1976" s="205"/>
      <c r="S1976" s="189" t="s">
        <v>25492</v>
      </c>
      <c r="T1976" s="114"/>
      <c r="U1976" s="21" t="s">
        <v>8182</v>
      </c>
      <c r="V1976" s="115">
        <v>45962</v>
      </c>
      <c r="W1976" s="116">
        <v>1274</v>
      </c>
      <c r="X1976" s="220">
        <v>1185000</v>
      </c>
      <c r="Y1976" s="220">
        <f>X1976*0.1</f>
        <v>118500</v>
      </c>
      <c r="Z1976" s="220">
        <v>17600</v>
      </c>
      <c r="AA1976" s="220">
        <f>SUM(X1976:Z1976)</f>
        <v>1321100</v>
      </c>
      <c r="AB1976" s="222">
        <v>45965</v>
      </c>
    </row>
    <row r="1977" spans="1:28" ht="17.100000000000001" customHeight="1" thickBot="1">
      <c r="A1977" s="227"/>
      <c r="B1977" s="27" t="s">
        <v>1592</v>
      </c>
      <c r="C1977" s="27">
        <v>78169</v>
      </c>
      <c r="D1977" s="14" t="s">
        <v>898</v>
      </c>
      <c r="E1977" s="229"/>
      <c r="F1977" s="117" t="s">
        <v>6680</v>
      </c>
      <c r="G1977" s="26">
        <v>19300</v>
      </c>
      <c r="H1977" s="231"/>
      <c r="I1977" s="221"/>
      <c r="J1977" s="221"/>
      <c r="K1977" s="221"/>
      <c r="L1977" s="221"/>
      <c r="M1977" s="221"/>
      <c r="N1977" s="221"/>
      <c r="O1977" s="225"/>
      <c r="P1977" s="118" t="s">
        <v>7583</v>
      </c>
      <c r="Q1977" s="16" t="s">
        <v>20</v>
      </c>
      <c r="R1977" s="17" t="s">
        <v>1605</v>
      </c>
      <c r="S1977" s="121" t="s">
        <v>1606</v>
      </c>
      <c r="T1977" s="122"/>
      <c r="U1977" s="22"/>
      <c r="V1977" s="123" t="s">
        <v>7160</v>
      </c>
      <c r="W1977" s="122">
        <v>80084</v>
      </c>
      <c r="X1977" s="221"/>
      <c r="Y1977" s="221"/>
      <c r="Z1977" s="221"/>
      <c r="AA1977" s="221"/>
      <c r="AB1977" s="223"/>
    </row>
    <row r="1978" spans="1:28" ht="17.100000000000001" customHeight="1" thickTop="1">
      <c r="A1978" s="226" t="s">
        <v>6683</v>
      </c>
      <c r="B1978" s="28">
        <v>45932</v>
      </c>
      <c r="C1978" s="25">
        <v>2128</v>
      </c>
      <c r="D1978" s="13" t="s">
        <v>2524</v>
      </c>
      <c r="E1978" s="228"/>
      <c r="F1978" s="109" t="s">
        <v>4520</v>
      </c>
      <c r="G1978" s="24" t="s">
        <v>4484</v>
      </c>
      <c r="H1978" s="230">
        <v>4</v>
      </c>
      <c r="I1978" s="220">
        <v>359000</v>
      </c>
      <c r="J1978" s="220">
        <f>I1978*0.1</f>
        <v>35900</v>
      </c>
      <c r="K1978" s="220">
        <v>0</v>
      </c>
      <c r="L1978" s="220">
        <v>8490</v>
      </c>
      <c r="M1978" s="220">
        <v>13750</v>
      </c>
      <c r="N1978" s="220">
        <f>SUM(I1978:M1979)</f>
        <v>417140</v>
      </c>
      <c r="O1978" s="224"/>
      <c r="P1978" s="110" t="s">
        <v>7773</v>
      </c>
      <c r="Q1978" s="15" t="s">
        <v>19</v>
      </c>
      <c r="R1978" s="205"/>
      <c r="S1978" s="189"/>
      <c r="T1978" s="114"/>
      <c r="U1978" s="21" t="s">
        <v>10799</v>
      </c>
      <c r="V1978" s="115">
        <v>46085</v>
      </c>
      <c r="W1978" s="116">
        <v>1007</v>
      </c>
      <c r="X1978" s="220">
        <v>270000</v>
      </c>
      <c r="Y1978" s="220">
        <f>X1978*0.1</f>
        <v>27000</v>
      </c>
      <c r="Z1978" s="220">
        <v>8490</v>
      </c>
      <c r="AA1978" s="220">
        <f>SUM(X1978:Z1978)</f>
        <v>305490</v>
      </c>
      <c r="AB1978" s="222">
        <v>46090</v>
      </c>
    </row>
    <row r="1979" spans="1:28" ht="17.100000000000001" customHeight="1" thickBot="1">
      <c r="A1979" s="227"/>
      <c r="B1979" s="27" t="s">
        <v>3228</v>
      </c>
      <c r="C1979" s="27">
        <v>25</v>
      </c>
      <c r="D1979" s="14" t="s">
        <v>131</v>
      </c>
      <c r="E1979" s="229"/>
      <c r="F1979" s="117" t="s">
        <v>6696</v>
      </c>
      <c r="G1979" s="26">
        <v>72335</v>
      </c>
      <c r="H1979" s="231"/>
      <c r="I1979" s="221"/>
      <c r="J1979" s="221"/>
      <c r="K1979" s="221"/>
      <c r="L1979" s="221"/>
      <c r="M1979" s="221"/>
      <c r="N1979" s="221"/>
      <c r="O1979" s="225"/>
      <c r="P1979" s="118" t="s">
        <v>3355</v>
      </c>
      <c r="Q1979" s="16" t="s">
        <v>20</v>
      </c>
      <c r="R1979" s="17" t="s">
        <v>1605</v>
      </c>
      <c r="S1979" s="121" t="s">
        <v>7774</v>
      </c>
      <c r="T1979" s="122"/>
      <c r="U1979" s="22"/>
      <c r="V1979" s="123" t="s">
        <v>2747</v>
      </c>
      <c r="W1979" s="122">
        <v>2031</v>
      </c>
      <c r="X1979" s="221"/>
      <c r="Y1979" s="221"/>
      <c r="Z1979" s="221"/>
      <c r="AA1979" s="221"/>
      <c r="AB1979" s="223"/>
    </row>
    <row r="1980" spans="1:28" ht="17.100000000000001" customHeight="1" thickTop="1">
      <c r="A1980" s="226" t="s">
        <v>6684</v>
      </c>
      <c r="B1980" s="28">
        <v>45932</v>
      </c>
      <c r="C1980" s="25">
        <v>2128</v>
      </c>
      <c r="D1980" s="13" t="s">
        <v>4755</v>
      </c>
      <c r="E1980" s="228"/>
      <c r="F1980" s="109" t="s">
        <v>6709</v>
      </c>
      <c r="G1980" s="24"/>
      <c r="H1980" s="230">
        <v>4</v>
      </c>
      <c r="I1980" s="220">
        <v>118000</v>
      </c>
      <c r="J1980" s="220">
        <f>I1980*0.1</f>
        <v>11800</v>
      </c>
      <c r="K1980" s="220">
        <v>0</v>
      </c>
      <c r="L1980" s="220">
        <v>9070</v>
      </c>
      <c r="M1980" s="220">
        <v>13750</v>
      </c>
      <c r="N1980" s="220">
        <f>SUM(I1980:M1981)</f>
        <v>152620</v>
      </c>
      <c r="O1980" s="224"/>
      <c r="P1980" s="110" t="s">
        <v>7772</v>
      </c>
      <c r="Q1980" s="15" t="s">
        <v>19</v>
      </c>
      <c r="R1980" s="205"/>
      <c r="S1980" s="189"/>
      <c r="T1980" s="114"/>
      <c r="U1980" s="21"/>
      <c r="V1980" s="115">
        <v>45941</v>
      </c>
      <c r="W1980" s="116">
        <v>1271</v>
      </c>
      <c r="X1980" s="220">
        <v>165000</v>
      </c>
      <c r="Y1980" s="220">
        <v>16500</v>
      </c>
      <c r="Z1980" s="220">
        <v>9070</v>
      </c>
      <c r="AA1980" s="220">
        <f>SUM(X1980:Z1980)</f>
        <v>190570</v>
      </c>
      <c r="AB1980" s="222">
        <v>45944</v>
      </c>
    </row>
    <row r="1981" spans="1:28" ht="17.100000000000001" customHeight="1" thickBot="1">
      <c r="A1981" s="227"/>
      <c r="B1981" s="27" t="s">
        <v>3228</v>
      </c>
      <c r="C1981" s="27">
        <v>50</v>
      </c>
      <c r="D1981" s="14" t="s">
        <v>5400</v>
      </c>
      <c r="E1981" s="229"/>
      <c r="F1981" s="117" t="s">
        <v>6697</v>
      </c>
      <c r="G1981" s="26">
        <v>80801</v>
      </c>
      <c r="H1981" s="231"/>
      <c r="I1981" s="221"/>
      <c r="J1981" s="221"/>
      <c r="K1981" s="221"/>
      <c r="L1981" s="221"/>
      <c r="M1981" s="221"/>
      <c r="N1981" s="221"/>
      <c r="O1981" s="225"/>
      <c r="P1981" s="118" t="s">
        <v>3355</v>
      </c>
      <c r="Q1981" s="16" t="s">
        <v>20</v>
      </c>
      <c r="R1981" s="17" t="s">
        <v>1605</v>
      </c>
      <c r="S1981" s="121" t="s">
        <v>2350</v>
      </c>
      <c r="T1981" s="122"/>
      <c r="U1981" s="22"/>
      <c r="V1981" s="123" t="s">
        <v>2472</v>
      </c>
      <c r="W1981" s="122">
        <v>60031</v>
      </c>
      <c r="X1981" s="221"/>
      <c r="Y1981" s="221"/>
      <c r="Z1981" s="221"/>
      <c r="AA1981" s="221"/>
      <c r="AB1981" s="223"/>
    </row>
    <row r="1982" spans="1:28" ht="17.100000000000001" customHeight="1" thickTop="1">
      <c r="A1982" s="226" t="s">
        <v>6685</v>
      </c>
      <c r="B1982" s="28">
        <v>45932</v>
      </c>
      <c r="C1982" s="25">
        <v>2128</v>
      </c>
      <c r="D1982" s="13" t="s">
        <v>1816</v>
      </c>
      <c r="E1982" s="228"/>
      <c r="F1982" s="109" t="s">
        <v>6710</v>
      </c>
      <c r="G1982" s="24"/>
      <c r="H1982" s="230">
        <v>4</v>
      </c>
      <c r="I1982" s="220">
        <v>369000</v>
      </c>
      <c r="J1982" s="220">
        <f>I1982*0.1</f>
        <v>36900</v>
      </c>
      <c r="K1982" s="220">
        <v>0</v>
      </c>
      <c r="L1982" s="220">
        <v>9190</v>
      </c>
      <c r="M1982" s="220">
        <v>13750</v>
      </c>
      <c r="N1982" s="220">
        <f>SUM(I1982:M1983)</f>
        <v>428840</v>
      </c>
      <c r="O1982" s="224"/>
      <c r="P1982" s="110" t="s">
        <v>7771</v>
      </c>
      <c r="Q1982" s="15" t="s">
        <v>19</v>
      </c>
      <c r="R1982" s="205"/>
      <c r="S1982" s="189" t="s">
        <v>25413</v>
      </c>
      <c r="T1982" s="114"/>
      <c r="U1982" s="21"/>
      <c r="V1982" s="115">
        <v>45955</v>
      </c>
      <c r="W1982" s="116">
        <v>1273</v>
      </c>
      <c r="X1982" s="220">
        <v>440000</v>
      </c>
      <c r="Y1982" s="220">
        <f>X1982*0.1</f>
        <v>44000</v>
      </c>
      <c r="Z1982" s="220">
        <v>9190</v>
      </c>
      <c r="AA1982" s="220">
        <f>SUM(X1982:Z1982)</f>
        <v>493190</v>
      </c>
      <c r="AB1982" s="222">
        <v>45965</v>
      </c>
    </row>
    <row r="1983" spans="1:28" ht="17.100000000000001" customHeight="1" thickBot="1">
      <c r="A1983" s="227"/>
      <c r="B1983" s="27" t="s">
        <v>3228</v>
      </c>
      <c r="C1983" s="27">
        <v>185</v>
      </c>
      <c r="D1983" s="14" t="s">
        <v>3955</v>
      </c>
      <c r="E1983" s="229"/>
      <c r="F1983" s="117" t="s">
        <v>6698</v>
      </c>
      <c r="G1983" s="26">
        <v>52973</v>
      </c>
      <c r="H1983" s="231"/>
      <c r="I1983" s="221"/>
      <c r="J1983" s="221"/>
      <c r="K1983" s="221"/>
      <c r="L1983" s="221"/>
      <c r="M1983" s="221"/>
      <c r="N1983" s="221"/>
      <c r="O1983" s="225"/>
      <c r="P1983" s="118" t="s">
        <v>4926</v>
      </c>
      <c r="Q1983" s="16" t="s">
        <v>20</v>
      </c>
      <c r="R1983" s="17" t="s">
        <v>1605</v>
      </c>
      <c r="S1983" s="121" t="s">
        <v>2698</v>
      </c>
      <c r="T1983" s="122"/>
      <c r="U1983" s="22"/>
      <c r="V1983" s="123" t="s">
        <v>6641</v>
      </c>
      <c r="W1983" s="122">
        <v>60088</v>
      </c>
      <c r="X1983" s="221"/>
      <c r="Y1983" s="221"/>
      <c r="Z1983" s="221"/>
      <c r="AA1983" s="221"/>
      <c r="AB1983" s="223"/>
    </row>
    <row r="1984" spans="1:28" ht="17.100000000000001" customHeight="1" thickTop="1">
      <c r="A1984" s="226" t="s">
        <v>6686</v>
      </c>
      <c r="B1984" s="28">
        <v>45932</v>
      </c>
      <c r="C1984" s="25">
        <v>2128</v>
      </c>
      <c r="D1984" s="13" t="s">
        <v>1640</v>
      </c>
      <c r="E1984" s="228"/>
      <c r="F1984" s="109" t="s">
        <v>2943</v>
      </c>
      <c r="G1984" s="24" t="s">
        <v>6711</v>
      </c>
      <c r="H1984" s="230">
        <v>3.5</v>
      </c>
      <c r="I1984" s="220">
        <v>133000</v>
      </c>
      <c r="J1984" s="220">
        <f>I1984*0.1</f>
        <v>13300</v>
      </c>
      <c r="K1984" s="220">
        <v>0</v>
      </c>
      <c r="L1984" s="220">
        <v>8860</v>
      </c>
      <c r="M1984" s="220">
        <v>13750</v>
      </c>
      <c r="N1984" s="220">
        <f>SUM(I1984:M1985)</f>
        <v>168910</v>
      </c>
      <c r="O1984" s="224"/>
      <c r="P1984" s="110" t="s">
        <v>7841</v>
      </c>
      <c r="Q1984" s="15" t="s">
        <v>19</v>
      </c>
      <c r="R1984" s="205"/>
      <c r="S1984" s="189"/>
      <c r="T1984" s="114"/>
      <c r="U1984" s="21"/>
      <c r="V1984" s="115">
        <v>45941</v>
      </c>
      <c r="W1984" s="116">
        <v>1271</v>
      </c>
      <c r="X1984" s="220">
        <v>135000</v>
      </c>
      <c r="Y1984" s="220">
        <v>13500</v>
      </c>
      <c r="Z1984" s="220">
        <v>8860</v>
      </c>
      <c r="AA1984" s="220">
        <f>SUM(X1984:Z1984)</f>
        <v>157360</v>
      </c>
      <c r="AB1984" s="222">
        <v>45945</v>
      </c>
    </row>
    <row r="1985" spans="1:28" ht="17.100000000000001" customHeight="1" thickBot="1">
      <c r="A1985" s="227"/>
      <c r="B1985" s="27" t="s">
        <v>3228</v>
      </c>
      <c r="C1985" s="27">
        <v>202</v>
      </c>
      <c r="D1985" s="14" t="s">
        <v>898</v>
      </c>
      <c r="E1985" s="229"/>
      <c r="F1985" s="117" t="s">
        <v>6699</v>
      </c>
      <c r="G1985" s="26">
        <v>174908</v>
      </c>
      <c r="H1985" s="231"/>
      <c r="I1985" s="221"/>
      <c r="J1985" s="221"/>
      <c r="K1985" s="221"/>
      <c r="L1985" s="221"/>
      <c r="M1985" s="221"/>
      <c r="N1985" s="221"/>
      <c r="O1985" s="225"/>
      <c r="P1985" s="118" t="s">
        <v>3355</v>
      </c>
      <c r="Q1985" s="16" t="s">
        <v>20</v>
      </c>
      <c r="R1985" s="17" t="s">
        <v>3236</v>
      </c>
      <c r="S1985" s="121" t="s">
        <v>1731</v>
      </c>
      <c r="T1985" s="122"/>
      <c r="U1985" s="22"/>
      <c r="V1985" s="123" t="s">
        <v>2472</v>
      </c>
      <c r="W1985" s="122">
        <v>60485</v>
      </c>
      <c r="X1985" s="221"/>
      <c r="Y1985" s="221"/>
      <c r="Z1985" s="221"/>
      <c r="AA1985" s="221"/>
      <c r="AB1985" s="223"/>
    </row>
    <row r="1986" spans="1:28" ht="17.100000000000001" customHeight="1" thickTop="1">
      <c r="A1986" s="226" t="s">
        <v>6687</v>
      </c>
      <c r="B1986" s="28">
        <v>45932</v>
      </c>
      <c r="C1986" s="25">
        <v>2128</v>
      </c>
      <c r="D1986" s="13" t="s">
        <v>3857</v>
      </c>
      <c r="E1986" s="228"/>
      <c r="F1986" s="109" t="s">
        <v>6712</v>
      </c>
      <c r="G1986" s="24"/>
      <c r="H1986" s="230">
        <v>4</v>
      </c>
      <c r="I1986" s="220">
        <v>844000</v>
      </c>
      <c r="J1986" s="220">
        <f>I1986*0.1</f>
        <v>84400</v>
      </c>
      <c r="K1986" s="220">
        <v>0</v>
      </c>
      <c r="L1986" s="220">
        <v>8400</v>
      </c>
      <c r="M1986" s="220">
        <v>13750</v>
      </c>
      <c r="N1986" s="220">
        <f>SUM(I1986:M1987)</f>
        <v>950550</v>
      </c>
      <c r="O1986" s="224"/>
      <c r="P1986" s="110" t="s">
        <v>7770</v>
      </c>
      <c r="Q1986" s="15" t="s">
        <v>19</v>
      </c>
      <c r="R1986" s="205"/>
      <c r="S1986" s="189"/>
      <c r="T1986" s="114"/>
      <c r="U1986" s="21"/>
      <c r="V1986" s="115">
        <v>45955</v>
      </c>
      <c r="W1986" s="116">
        <v>1273</v>
      </c>
      <c r="X1986" s="220">
        <v>930000</v>
      </c>
      <c r="Y1986" s="220">
        <f>X1986*0.1</f>
        <v>93000</v>
      </c>
      <c r="Z1986" s="220">
        <v>8400</v>
      </c>
      <c r="AA1986" s="220">
        <f>SUM(X1986:Z1986)</f>
        <v>1031400</v>
      </c>
      <c r="AB1986" s="222">
        <v>45958</v>
      </c>
    </row>
    <row r="1987" spans="1:28" ht="17.100000000000001" customHeight="1" thickBot="1">
      <c r="A1987" s="227"/>
      <c r="B1987" s="27" t="s">
        <v>3228</v>
      </c>
      <c r="C1987" s="27">
        <v>2127</v>
      </c>
      <c r="D1987" s="14" t="s">
        <v>1568</v>
      </c>
      <c r="E1987" s="229"/>
      <c r="F1987" s="117" t="s">
        <v>6700</v>
      </c>
      <c r="G1987" s="26">
        <v>27557</v>
      </c>
      <c r="H1987" s="231"/>
      <c r="I1987" s="221"/>
      <c r="J1987" s="221"/>
      <c r="K1987" s="221"/>
      <c r="L1987" s="221"/>
      <c r="M1987" s="221"/>
      <c r="N1987" s="221"/>
      <c r="O1987" s="225"/>
      <c r="P1987" s="118" t="s">
        <v>4222</v>
      </c>
      <c r="Q1987" s="16" t="s">
        <v>20</v>
      </c>
      <c r="R1987" s="17" t="s">
        <v>1605</v>
      </c>
      <c r="S1987" s="121" t="s">
        <v>7703</v>
      </c>
      <c r="T1987" s="122"/>
      <c r="U1987" s="22"/>
      <c r="V1987" s="123" t="s">
        <v>7160</v>
      </c>
      <c r="W1987" s="122">
        <v>60146</v>
      </c>
      <c r="X1987" s="221"/>
      <c r="Y1987" s="221"/>
      <c r="Z1987" s="221"/>
      <c r="AA1987" s="221"/>
      <c r="AB1987" s="223"/>
    </row>
    <row r="1988" spans="1:28" ht="17.100000000000001" customHeight="1" thickTop="1">
      <c r="A1988" s="226" t="s">
        <v>6688</v>
      </c>
      <c r="B1988" s="28">
        <v>45932</v>
      </c>
      <c r="C1988" s="25">
        <v>2128</v>
      </c>
      <c r="D1988" s="13" t="s">
        <v>2920</v>
      </c>
      <c r="E1988" s="228"/>
      <c r="F1988" s="109" t="s">
        <v>6713</v>
      </c>
      <c r="G1988" s="24" t="s">
        <v>6714</v>
      </c>
      <c r="H1988" s="230">
        <v>4</v>
      </c>
      <c r="I1988" s="220">
        <v>1067000</v>
      </c>
      <c r="J1988" s="220">
        <f>I1988*0.1</f>
        <v>106700</v>
      </c>
      <c r="K1988" s="220">
        <v>0</v>
      </c>
      <c r="L1988" s="220">
        <v>8790</v>
      </c>
      <c r="M1988" s="220">
        <v>13750</v>
      </c>
      <c r="N1988" s="220">
        <f>SUM(I1988:M1989)</f>
        <v>1196240</v>
      </c>
      <c r="O1988" s="224"/>
      <c r="P1988" s="110" t="s">
        <v>7768</v>
      </c>
      <c r="Q1988" s="15" t="s">
        <v>19</v>
      </c>
      <c r="R1988" s="205"/>
      <c r="S1988" s="189" t="s">
        <v>25493</v>
      </c>
      <c r="T1988" s="114"/>
      <c r="U1988" s="21"/>
      <c r="V1988" s="115">
        <v>45951</v>
      </c>
      <c r="W1988" s="116">
        <v>1914</v>
      </c>
      <c r="X1988" s="220">
        <v>1098000</v>
      </c>
      <c r="Y1988" s="220">
        <f>X1988*0.1</f>
        <v>109800</v>
      </c>
      <c r="Z1988" s="220">
        <v>8790</v>
      </c>
      <c r="AA1988" s="220">
        <f>SUM(X1988:Z1988)</f>
        <v>1216590</v>
      </c>
      <c r="AB1988" s="222">
        <v>45957</v>
      </c>
    </row>
    <row r="1989" spans="1:28" ht="17.100000000000001" customHeight="1" thickBot="1">
      <c r="A1989" s="227"/>
      <c r="B1989" s="27" t="s">
        <v>3228</v>
      </c>
      <c r="C1989" s="27">
        <v>2505</v>
      </c>
      <c r="D1989" s="14" t="s">
        <v>3792</v>
      </c>
      <c r="E1989" s="229"/>
      <c r="F1989" s="117" t="s">
        <v>6701</v>
      </c>
      <c r="G1989" s="26">
        <v>44468</v>
      </c>
      <c r="H1989" s="231"/>
      <c r="I1989" s="221"/>
      <c r="J1989" s="221"/>
      <c r="K1989" s="221"/>
      <c r="L1989" s="221"/>
      <c r="M1989" s="221"/>
      <c r="N1989" s="221"/>
      <c r="O1989" s="225"/>
      <c r="P1989" s="118" t="s">
        <v>2942</v>
      </c>
      <c r="Q1989" s="16" t="s">
        <v>20</v>
      </c>
      <c r="R1989" s="17" t="s">
        <v>1605</v>
      </c>
      <c r="S1989" s="121" t="s">
        <v>7769</v>
      </c>
      <c r="T1989" s="122"/>
      <c r="U1989" s="22"/>
      <c r="V1989" s="123" t="s">
        <v>2103</v>
      </c>
      <c r="W1989" s="122">
        <v>3129</v>
      </c>
      <c r="X1989" s="221"/>
      <c r="Y1989" s="221"/>
      <c r="Z1989" s="221"/>
      <c r="AA1989" s="221"/>
      <c r="AB1989" s="223"/>
    </row>
    <row r="1990" spans="1:28" ht="17.100000000000001" customHeight="1" thickTop="1">
      <c r="A1990" s="226" t="s">
        <v>6689</v>
      </c>
      <c r="B1990" s="28">
        <v>45932</v>
      </c>
      <c r="C1990" s="25">
        <v>2128</v>
      </c>
      <c r="D1990" s="13" t="s">
        <v>1839</v>
      </c>
      <c r="E1990" s="228"/>
      <c r="F1990" s="109" t="s">
        <v>6715</v>
      </c>
      <c r="G1990" s="24"/>
      <c r="H1990" s="230">
        <v>4</v>
      </c>
      <c r="I1990" s="220">
        <v>832000</v>
      </c>
      <c r="J1990" s="220">
        <f>I1990*0.1</f>
        <v>83200</v>
      </c>
      <c r="K1990" s="220">
        <v>0</v>
      </c>
      <c r="L1990" s="220">
        <v>6220</v>
      </c>
      <c r="M1990" s="220">
        <v>13750</v>
      </c>
      <c r="N1990" s="220">
        <f>SUM(I1990:M1991)</f>
        <v>935170</v>
      </c>
      <c r="O1990" s="224"/>
      <c r="P1990" s="110" t="s">
        <v>7945</v>
      </c>
      <c r="Q1990" s="15" t="s">
        <v>19</v>
      </c>
      <c r="R1990" s="205"/>
      <c r="S1990" s="189"/>
      <c r="T1990" s="114"/>
      <c r="U1990" s="21"/>
      <c r="V1990" s="115">
        <v>45955</v>
      </c>
      <c r="W1990" s="116">
        <v>1273</v>
      </c>
      <c r="X1990" s="220">
        <v>910000</v>
      </c>
      <c r="Y1990" s="220">
        <f>X1990*0.1</f>
        <v>91000</v>
      </c>
      <c r="Z1990" s="220">
        <v>6220</v>
      </c>
      <c r="AA1990" s="220">
        <f>SUM(X1990:Z1990)</f>
        <v>1007220</v>
      </c>
      <c r="AB1990" s="222">
        <v>45958</v>
      </c>
    </row>
    <row r="1991" spans="1:28" ht="17.100000000000001" customHeight="1" thickBot="1">
      <c r="A1991" s="227"/>
      <c r="B1991" s="27" t="s">
        <v>3228</v>
      </c>
      <c r="C1991" s="27">
        <v>2511</v>
      </c>
      <c r="D1991" s="14" t="s">
        <v>1584</v>
      </c>
      <c r="E1991" s="229"/>
      <c r="F1991" s="117" t="s">
        <v>6702</v>
      </c>
      <c r="G1991" s="26">
        <v>56863</v>
      </c>
      <c r="H1991" s="231"/>
      <c r="I1991" s="221"/>
      <c r="J1991" s="221"/>
      <c r="K1991" s="221"/>
      <c r="L1991" s="221"/>
      <c r="M1991" s="221"/>
      <c r="N1991" s="221"/>
      <c r="O1991" s="225"/>
      <c r="P1991" s="118" t="s">
        <v>4314</v>
      </c>
      <c r="Q1991" s="16" t="s">
        <v>20</v>
      </c>
      <c r="R1991" s="17" t="s">
        <v>7909</v>
      </c>
      <c r="S1991" s="121"/>
      <c r="T1991" s="122"/>
      <c r="U1991" s="22"/>
      <c r="V1991" s="123" t="s">
        <v>7160</v>
      </c>
      <c r="W1991" s="122">
        <v>60118</v>
      </c>
      <c r="X1991" s="221"/>
      <c r="Y1991" s="221"/>
      <c r="Z1991" s="221"/>
      <c r="AA1991" s="221"/>
      <c r="AB1991" s="223"/>
    </row>
    <row r="1992" spans="1:28" ht="17.100000000000001" customHeight="1" thickTop="1">
      <c r="A1992" s="226" t="s">
        <v>6691</v>
      </c>
      <c r="B1992" s="28">
        <v>45932</v>
      </c>
      <c r="C1992" s="25">
        <v>2128</v>
      </c>
      <c r="D1992" s="13" t="s">
        <v>1909</v>
      </c>
      <c r="E1992" s="228"/>
      <c r="F1992" s="109" t="s">
        <v>6716</v>
      </c>
      <c r="G1992" s="24" t="s">
        <v>1540</v>
      </c>
      <c r="H1992" s="230">
        <v>4</v>
      </c>
      <c r="I1992" s="220">
        <v>1301000</v>
      </c>
      <c r="J1992" s="220">
        <f>I1992*0.1</f>
        <v>130100</v>
      </c>
      <c r="K1992" s="220">
        <v>10800</v>
      </c>
      <c r="L1992" s="220">
        <v>5990</v>
      </c>
      <c r="M1992" s="220">
        <v>15400</v>
      </c>
      <c r="N1992" s="220">
        <f>SUM(I1992:M1993)</f>
        <v>1463290</v>
      </c>
      <c r="O1992" s="224"/>
      <c r="P1992" s="110" t="s">
        <v>6717</v>
      </c>
      <c r="Q1992" s="15" t="s">
        <v>19</v>
      </c>
      <c r="R1992" s="205"/>
      <c r="S1992" s="189" t="s">
        <v>758</v>
      </c>
      <c r="T1992" s="114"/>
      <c r="U1992" s="21" t="s">
        <v>10791</v>
      </c>
      <c r="V1992" s="115">
        <v>46043</v>
      </c>
      <c r="W1992" s="116">
        <v>1001</v>
      </c>
      <c r="X1992" s="220">
        <v>1340000</v>
      </c>
      <c r="Y1992" s="220">
        <f>X1992*0.1</f>
        <v>134000</v>
      </c>
      <c r="Z1992" s="220">
        <v>5990</v>
      </c>
      <c r="AA1992" s="220">
        <f>SUM(X1992:Z1992)</f>
        <v>1479990</v>
      </c>
      <c r="AB1992" s="222">
        <v>46048</v>
      </c>
    </row>
    <row r="1993" spans="1:28" ht="17.100000000000001" customHeight="1" thickBot="1">
      <c r="A1993" s="227"/>
      <c r="B1993" s="27" t="s">
        <v>6690</v>
      </c>
      <c r="C1993" s="27">
        <v>3013</v>
      </c>
      <c r="D1993" s="14" t="s">
        <v>2559</v>
      </c>
      <c r="E1993" s="229"/>
      <c r="F1993" s="117" t="s">
        <v>6703</v>
      </c>
      <c r="G1993" s="26">
        <v>51733</v>
      </c>
      <c r="H1993" s="231"/>
      <c r="I1993" s="221"/>
      <c r="J1993" s="221"/>
      <c r="K1993" s="221"/>
      <c r="L1993" s="221"/>
      <c r="M1993" s="221"/>
      <c r="N1993" s="221"/>
      <c r="O1993" s="225"/>
      <c r="P1993" s="118" t="s">
        <v>7600</v>
      </c>
      <c r="Q1993" s="16" t="s">
        <v>20</v>
      </c>
      <c r="R1993" s="17" t="s">
        <v>1605</v>
      </c>
      <c r="S1993" s="121" t="s">
        <v>1606</v>
      </c>
      <c r="T1993" s="122"/>
      <c r="U1993" s="22" t="s">
        <v>10792</v>
      </c>
      <c r="V1993" s="123" t="s">
        <v>2747</v>
      </c>
      <c r="W1993" s="122">
        <v>2025</v>
      </c>
      <c r="X1993" s="221"/>
      <c r="Y1993" s="221"/>
      <c r="Z1993" s="221"/>
      <c r="AA1993" s="221"/>
      <c r="AB1993" s="223"/>
    </row>
    <row r="1994" spans="1:28" ht="17.100000000000001" customHeight="1" thickTop="1">
      <c r="A1994" s="226" t="s">
        <v>6692</v>
      </c>
      <c r="B1994" s="28">
        <v>45932</v>
      </c>
      <c r="C1994" s="25">
        <v>2128</v>
      </c>
      <c r="D1994" s="13" t="s">
        <v>1831</v>
      </c>
      <c r="E1994" s="228"/>
      <c r="F1994" s="109" t="s">
        <v>6718</v>
      </c>
      <c r="G1994" s="24"/>
      <c r="H1994" s="230">
        <v>4.5</v>
      </c>
      <c r="I1994" s="220">
        <v>1266000</v>
      </c>
      <c r="J1994" s="220">
        <f>I1994*0.1</f>
        <v>126600</v>
      </c>
      <c r="K1994" s="220">
        <v>0</v>
      </c>
      <c r="L1994" s="220">
        <v>9710</v>
      </c>
      <c r="M1994" s="220">
        <v>15400</v>
      </c>
      <c r="N1994" s="220">
        <f>SUM(I1994:M1995)</f>
        <v>1417710</v>
      </c>
      <c r="O1994" s="224"/>
      <c r="P1994" s="110" t="s">
        <v>7602</v>
      </c>
      <c r="Q1994" s="15" t="s">
        <v>19</v>
      </c>
      <c r="R1994" s="205"/>
      <c r="S1994" s="189" t="s">
        <v>758</v>
      </c>
      <c r="T1994" s="114"/>
      <c r="U1994" s="21"/>
      <c r="V1994" s="115">
        <v>45969</v>
      </c>
      <c r="W1994" s="116">
        <v>1275</v>
      </c>
      <c r="X1994" s="220">
        <v>1275000</v>
      </c>
      <c r="Y1994" s="220">
        <f>X1994*0.1</f>
        <v>127500</v>
      </c>
      <c r="Z1994" s="220">
        <v>9710</v>
      </c>
      <c r="AA1994" s="220">
        <f>SUM(X1994:Z1994)</f>
        <v>1412210</v>
      </c>
      <c r="AB1994" s="222">
        <v>45972</v>
      </c>
    </row>
    <row r="1995" spans="1:28" ht="17.100000000000001" customHeight="1" thickBot="1">
      <c r="A1995" s="227"/>
      <c r="B1995" s="27" t="s">
        <v>6690</v>
      </c>
      <c r="C1995" s="27">
        <v>3032</v>
      </c>
      <c r="D1995" s="14" t="s">
        <v>1797</v>
      </c>
      <c r="E1995" s="229"/>
      <c r="F1995" s="117" t="s">
        <v>6704</v>
      </c>
      <c r="G1995" s="26">
        <v>43630</v>
      </c>
      <c r="H1995" s="231"/>
      <c r="I1995" s="221"/>
      <c r="J1995" s="221"/>
      <c r="K1995" s="221"/>
      <c r="L1995" s="221"/>
      <c r="M1995" s="221"/>
      <c r="N1995" s="221"/>
      <c r="O1995" s="225"/>
      <c r="P1995" s="118" t="s">
        <v>7603</v>
      </c>
      <c r="Q1995" s="16" t="s">
        <v>20</v>
      </c>
      <c r="R1995" s="17" t="s">
        <v>1605</v>
      </c>
      <c r="S1995" s="121" t="s">
        <v>1731</v>
      </c>
      <c r="T1995" s="122"/>
      <c r="U1995" s="22"/>
      <c r="V1995" s="123" t="s">
        <v>2472</v>
      </c>
      <c r="W1995" s="122">
        <v>60059</v>
      </c>
      <c r="X1995" s="221"/>
      <c r="Y1995" s="221"/>
      <c r="Z1995" s="221"/>
      <c r="AA1995" s="221"/>
      <c r="AB1995" s="223"/>
    </row>
    <row r="1996" spans="1:28" ht="17.100000000000001" customHeight="1" thickTop="1">
      <c r="A1996" s="226" t="s">
        <v>6693</v>
      </c>
      <c r="B1996" s="28">
        <v>45932</v>
      </c>
      <c r="C1996" s="25">
        <v>2128</v>
      </c>
      <c r="D1996" s="13" t="s">
        <v>1623</v>
      </c>
      <c r="E1996" s="228"/>
      <c r="F1996" s="109" t="s">
        <v>6719</v>
      </c>
      <c r="G1996" s="24"/>
      <c r="H1996" s="230">
        <v>3.5</v>
      </c>
      <c r="I1996" s="220">
        <v>743000</v>
      </c>
      <c r="J1996" s="220">
        <f>I1996*0.1</f>
        <v>74300</v>
      </c>
      <c r="K1996" s="220">
        <v>0</v>
      </c>
      <c r="L1996" s="220">
        <v>7860</v>
      </c>
      <c r="M1996" s="220">
        <v>15400</v>
      </c>
      <c r="N1996" s="220">
        <f>SUM(I1996:M1997)</f>
        <v>840560</v>
      </c>
      <c r="O1996" s="224"/>
      <c r="P1996" s="110" t="s">
        <v>7817</v>
      </c>
      <c r="Q1996" s="15" t="s">
        <v>19</v>
      </c>
      <c r="R1996" s="205"/>
      <c r="S1996" s="189" t="s">
        <v>758</v>
      </c>
      <c r="T1996" s="114"/>
      <c r="U1996" s="21"/>
      <c r="V1996" s="115">
        <v>45941</v>
      </c>
      <c r="W1996" s="116">
        <v>1271</v>
      </c>
      <c r="X1996" s="220">
        <v>820000</v>
      </c>
      <c r="Y1996" s="220">
        <v>82000</v>
      </c>
      <c r="Z1996" s="220">
        <v>7860</v>
      </c>
      <c r="AA1996" s="220">
        <f>SUM(X1996:Z1996)</f>
        <v>909860</v>
      </c>
      <c r="AB1996" s="222">
        <v>45945</v>
      </c>
    </row>
    <row r="1997" spans="1:28" ht="17.100000000000001" customHeight="1" thickBot="1">
      <c r="A1997" s="227"/>
      <c r="B1997" s="27" t="s">
        <v>6690</v>
      </c>
      <c r="C1997" s="27">
        <v>3045</v>
      </c>
      <c r="D1997" s="14" t="s">
        <v>1710</v>
      </c>
      <c r="E1997" s="229"/>
      <c r="F1997" s="117" t="s">
        <v>6705</v>
      </c>
      <c r="G1997" s="26">
        <v>38258</v>
      </c>
      <c r="H1997" s="231"/>
      <c r="I1997" s="221"/>
      <c r="J1997" s="221"/>
      <c r="K1997" s="221"/>
      <c r="L1997" s="221"/>
      <c r="M1997" s="221"/>
      <c r="N1997" s="221"/>
      <c r="O1997" s="225"/>
      <c r="P1997" s="118" t="s">
        <v>7818</v>
      </c>
      <c r="Q1997" s="16" t="s">
        <v>20</v>
      </c>
      <c r="R1997" s="17" t="s">
        <v>2562</v>
      </c>
      <c r="S1997" s="121" t="s">
        <v>7819</v>
      </c>
      <c r="T1997" s="122"/>
      <c r="U1997" s="22"/>
      <c r="V1997" s="123" t="s">
        <v>2472</v>
      </c>
      <c r="W1997" s="122">
        <v>60007</v>
      </c>
      <c r="X1997" s="221"/>
      <c r="Y1997" s="221"/>
      <c r="Z1997" s="221"/>
      <c r="AA1997" s="221"/>
      <c r="AB1997" s="223"/>
    </row>
    <row r="1998" spans="1:28" ht="17.100000000000001" customHeight="1" thickTop="1">
      <c r="A1998" s="226" t="s">
        <v>6694</v>
      </c>
      <c r="B1998" s="28">
        <v>45932</v>
      </c>
      <c r="C1998" s="25">
        <v>2128</v>
      </c>
      <c r="D1998" s="13" t="s">
        <v>2057</v>
      </c>
      <c r="E1998" s="228"/>
      <c r="F1998" s="109" t="s">
        <v>6720</v>
      </c>
      <c r="G1998" s="24" t="s">
        <v>3453</v>
      </c>
      <c r="H1998" s="230">
        <v>4.5</v>
      </c>
      <c r="I1998" s="220">
        <v>1243000</v>
      </c>
      <c r="J1998" s="220">
        <f>I1998*0.1</f>
        <v>124300</v>
      </c>
      <c r="K1998" s="220">
        <v>10800</v>
      </c>
      <c r="L1998" s="220">
        <v>5990</v>
      </c>
      <c r="M1998" s="220">
        <v>15400</v>
      </c>
      <c r="N1998" s="220">
        <f>SUM(I1998:M1999)</f>
        <v>1399490</v>
      </c>
      <c r="O1998" s="224"/>
      <c r="P1998" s="110" t="s">
        <v>6721</v>
      </c>
      <c r="Q1998" s="15" t="s">
        <v>19</v>
      </c>
      <c r="R1998" s="205"/>
      <c r="S1998" s="189" t="s">
        <v>758</v>
      </c>
      <c r="T1998" s="114"/>
      <c r="U1998" s="21" t="s">
        <v>10047</v>
      </c>
      <c r="V1998" s="115">
        <v>45966</v>
      </c>
      <c r="W1998" s="116">
        <v>991</v>
      </c>
      <c r="X1998" s="220">
        <v>1300000</v>
      </c>
      <c r="Y1998" s="220">
        <f>X1998*0.1</f>
        <v>130000</v>
      </c>
      <c r="Z1998" s="220">
        <v>5990</v>
      </c>
      <c r="AA1998" s="220">
        <f>SUM(X1998:Z1998)</f>
        <v>1435990</v>
      </c>
      <c r="AB1998" s="222">
        <v>45971</v>
      </c>
    </row>
    <row r="1999" spans="1:28" ht="17.100000000000001" customHeight="1" thickBot="1">
      <c r="A1999" s="227"/>
      <c r="B1999" s="27" t="s">
        <v>4230</v>
      </c>
      <c r="C1999" s="27">
        <v>3053</v>
      </c>
      <c r="D1999" s="14" t="s">
        <v>1548</v>
      </c>
      <c r="E1999" s="229"/>
      <c r="F1999" s="117" t="s">
        <v>6706</v>
      </c>
      <c r="G1999" s="26">
        <v>7371</v>
      </c>
      <c r="H1999" s="231"/>
      <c r="I1999" s="221"/>
      <c r="J1999" s="221"/>
      <c r="K1999" s="221"/>
      <c r="L1999" s="221"/>
      <c r="M1999" s="221"/>
      <c r="N1999" s="221"/>
      <c r="O1999" s="225"/>
      <c r="P1999" s="118" t="s">
        <v>7601</v>
      </c>
      <c r="Q1999" s="16" t="s">
        <v>20</v>
      </c>
      <c r="R1999" s="17" t="s">
        <v>1605</v>
      </c>
      <c r="S1999" s="121" t="s">
        <v>1731</v>
      </c>
      <c r="T1999" s="122"/>
      <c r="U1999" s="22"/>
      <c r="V1999" s="123" t="s">
        <v>2747</v>
      </c>
      <c r="W1999" s="122">
        <v>2080</v>
      </c>
      <c r="X1999" s="221"/>
      <c r="Y1999" s="221"/>
      <c r="Z1999" s="221"/>
      <c r="AA1999" s="221"/>
      <c r="AB1999" s="223"/>
    </row>
    <row r="2000" spans="1:28" ht="17.100000000000001" customHeight="1" thickTop="1">
      <c r="A2000" s="226" t="s">
        <v>6695</v>
      </c>
      <c r="B2000" s="28">
        <v>45932</v>
      </c>
      <c r="C2000" s="25">
        <v>2128</v>
      </c>
      <c r="D2000" s="13" t="s">
        <v>1829</v>
      </c>
      <c r="E2000" s="228"/>
      <c r="F2000" s="109" t="s">
        <v>1916</v>
      </c>
      <c r="G2000" s="24"/>
      <c r="H2000" s="230">
        <v>4.5</v>
      </c>
      <c r="I2000" s="220">
        <v>1718000</v>
      </c>
      <c r="J2000" s="220">
        <f>I2000*0.1</f>
        <v>171800</v>
      </c>
      <c r="K2000" s="220">
        <v>0</v>
      </c>
      <c r="L2000" s="220">
        <v>17600</v>
      </c>
      <c r="M2000" s="220">
        <v>15400</v>
      </c>
      <c r="N2000" s="220">
        <f>SUM(I2000:M2001)</f>
        <v>1922800</v>
      </c>
      <c r="O2000" s="224"/>
      <c r="P2000" s="110" t="s">
        <v>7585</v>
      </c>
      <c r="Q2000" s="15" t="s">
        <v>19</v>
      </c>
      <c r="R2000" s="205"/>
      <c r="S2000" s="189"/>
      <c r="T2000" s="114"/>
      <c r="U2000" s="21"/>
      <c r="V2000" s="115">
        <v>45939</v>
      </c>
      <c r="W2000" s="116">
        <v>1301</v>
      </c>
      <c r="X2000" s="220">
        <v>1895000</v>
      </c>
      <c r="Y2000" s="220">
        <v>189500</v>
      </c>
      <c r="Z2000" s="220">
        <v>17600</v>
      </c>
      <c r="AA2000" s="220">
        <f>SUM(X2000:Z2000)</f>
        <v>2102100</v>
      </c>
      <c r="AB2000" s="222">
        <v>45940</v>
      </c>
    </row>
    <row r="2001" spans="1:28" ht="17.100000000000001" customHeight="1" thickBot="1">
      <c r="A2001" s="227"/>
      <c r="B2001" s="27" t="s">
        <v>4230</v>
      </c>
      <c r="C2001" s="27">
        <v>6565</v>
      </c>
      <c r="D2001" s="14" t="s">
        <v>131</v>
      </c>
      <c r="E2001" s="229"/>
      <c r="F2001" s="117" t="s">
        <v>6707</v>
      </c>
      <c r="G2001" s="26">
        <v>34308</v>
      </c>
      <c r="H2001" s="231"/>
      <c r="I2001" s="221"/>
      <c r="J2001" s="221"/>
      <c r="K2001" s="221"/>
      <c r="L2001" s="221"/>
      <c r="M2001" s="221"/>
      <c r="N2001" s="221"/>
      <c r="O2001" s="225"/>
      <c r="P2001" s="118" t="s">
        <v>7586</v>
      </c>
      <c r="Q2001" s="16" t="s">
        <v>20</v>
      </c>
      <c r="R2001" s="17" t="s">
        <v>1605</v>
      </c>
      <c r="S2001" s="121" t="s">
        <v>2405</v>
      </c>
      <c r="T2001" s="122"/>
      <c r="U2001" s="22"/>
      <c r="V2001" s="123" t="s">
        <v>7447</v>
      </c>
      <c r="W2001" s="122">
        <v>324</v>
      </c>
      <c r="X2001" s="221"/>
      <c r="Y2001" s="221"/>
      <c r="Z2001" s="221"/>
      <c r="AA2001" s="221"/>
      <c r="AB2001" s="223"/>
    </row>
    <row r="2002" spans="1:28" ht="17.100000000000001" customHeight="1" thickTop="1">
      <c r="A2002" s="226" t="s">
        <v>6838</v>
      </c>
      <c r="B2002" s="28">
        <v>45933</v>
      </c>
      <c r="C2002" s="25">
        <v>260</v>
      </c>
      <c r="D2002" s="13" t="s">
        <v>2195</v>
      </c>
      <c r="E2002" s="228"/>
      <c r="F2002" s="109" t="s">
        <v>6722</v>
      </c>
      <c r="G2002" s="24" t="s">
        <v>2871</v>
      </c>
      <c r="H2002" s="230">
        <v>6</v>
      </c>
      <c r="I2002" s="220">
        <v>1422000</v>
      </c>
      <c r="J2002" s="220">
        <f>I2002*0.1</f>
        <v>142200</v>
      </c>
      <c r="K2002" s="220">
        <v>0</v>
      </c>
      <c r="L2002" s="220">
        <v>6860</v>
      </c>
      <c r="M2002" s="220">
        <v>22000</v>
      </c>
      <c r="N2002" s="220">
        <f>SUM(I2002:M2003)</f>
        <v>1593060</v>
      </c>
      <c r="O2002" s="224"/>
      <c r="P2002" s="110" t="s">
        <v>6724</v>
      </c>
      <c r="Q2002" s="15" t="s">
        <v>19</v>
      </c>
      <c r="R2002" s="205"/>
      <c r="S2002" s="189" t="s">
        <v>758</v>
      </c>
      <c r="T2002" s="114"/>
      <c r="U2002" s="21"/>
      <c r="V2002" s="115">
        <v>45944</v>
      </c>
      <c r="W2002" s="116">
        <v>1913</v>
      </c>
      <c r="X2002" s="220">
        <v>1482000</v>
      </c>
      <c r="Y2002" s="220">
        <v>148200</v>
      </c>
      <c r="Z2002" s="220">
        <v>6860</v>
      </c>
      <c r="AA2002" s="220">
        <f>SUM(X2002:Z2002)</f>
        <v>1637060</v>
      </c>
      <c r="AB2002" s="222">
        <v>45950</v>
      </c>
    </row>
    <row r="2003" spans="1:28" ht="17.100000000000001" customHeight="1" thickBot="1">
      <c r="A2003" s="227"/>
      <c r="B2003" s="27" t="s">
        <v>3890</v>
      </c>
      <c r="C2003" s="27">
        <v>28</v>
      </c>
      <c r="D2003" s="14" t="s">
        <v>1584</v>
      </c>
      <c r="E2003" s="229"/>
      <c r="F2003" s="117" t="s">
        <v>6723</v>
      </c>
      <c r="G2003" s="26">
        <v>8</v>
      </c>
      <c r="H2003" s="231"/>
      <c r="I2003" s="221"/>
      <c r="J2003" s="221"/>
      <c r="K2003" s="221"/>
      <c r="L2003" s="221"/>
      <c r="M2003" s="221"/>
      <c r="N2003" s="221"/>
      <c r="O2003" s="225"/>
      <c r="P2003" s="118" t="s">
        <v>7822</v>
      </c>
      <c r="Q2003" s="16" t="s">
        <v>20</v>
      </c>
      <c r="R2003" s="17" t="s">
        <v>2562</v>
      </c>
      <c r="S2003" s="121" t="s">
        <v>169</v>
      </c>
      <c r="T2003" s="122"/>
      <c r="U2003" s="22"/>
      <c r="V2003" s="123" t="s">
        <v>2103</v>
      </c>
      <c r="W2003" s="122">
        <v>3295</v>
      </c>
      <c r="X2003" s="221"/>
      <c r="Y2003" s="221"/>
      <c r="Z2003" s="221"/>
      <c r="AA2003" s="221"/>
      <c r="AB2003" s="223"/>
    </row>
    <row r="2004" spans="1:28" ht="17.100000000000001" customHeight="1" thickTop="1">
      <c r="A2004" s="226" t="s">
        <v>6839</v>
      </c>
      <c r="B2004" s="28">
        <v>45933</v>
      </c>
      <c r="C2004" s="25">
        <v>56</v>
      </c>
      <c r="D2004" s="13" t="s">
        <v>1642</v>
      </c>
      <c r="E2004" s="228"/>
      <c r="F2004" s="109" t="s">
        <v>6851</v>
      </c>
      <c r="G2004" s="24" t="s">
        <v>2894</v>
      </c>
      <c r="H2004" s="230">
        <v>4.5</v>
      </c>
      <c r="I2004" s="220">
        <v>1235000</v>
      </c>
      <c r="J2004" s="220">
        <f>I2004*0.1</f>
        <v>123500</v>
      </c>
      <c r="K2004" s="220">
        <v>0</v>
      </c>
      <c r="L2004" s="220">
        <v>7040</v>
      </c>
      <c r="M2004" s="220">
        <v>44000</v>
      </c>
      <c r="N2004" s="220">
        <f>SUM(I2004:M2005)</f>
        <v>1409540</v>
      </c>
      <c r="O2004" s="224"/>
      <c r="P2004" s="110" t="s">
        <v>8636</v>
      </c>
      <c r="Q2004" s="15" t="s">
        <v>19</v>
      </c>
      <c r="R2004" s="205"/>
      <c r="S2004" s="189" t="s">
        <v>1147</v>
      </c>
      <c r="T2004" s="114"/>
      <c r="U2004" s="21"/>
      <c r="V2004" s="115">
        <v>45958</v>
      </c>
      <c r="W2004" s="116">
        <v>1915</v>
      </c>
      <c r="X2004" s="220">
        <v>1342000</v>
      </c>
      <c r="Y2004" s="220">
        <f>X2004*0.1</f>
        <v>134200</v>
      </c>
      <c r="Z2004" s="220">
        <v>7040</v>
      </c>
      <c r="AA2004" s="220">
        <f>SUM(X2004:Z2004)</f>
        <v>1483240</v>
      </c>
      <c r="AB2004" s="222">
        <v>45965</v>
      </c>
    </row>
    <row r="2005" spans="1:28" ht="17.100000000000001" customHeight="1" thickBot="1">
      <c r="A2005" s="227"/>
      <c r="B2005" s="27" t="s">
        <v>4468</v>
      </c>
      <c r="C2005" s="27">
        <v>1016</v>
      </c>
      <c r="D2005" s="14" t="s">
        <v>1710</v>
      </c>
      <c r="E2005" s="229"/>
      <c r="F2005" s="117" t="s">
        <v>6850</v>
      </c>
      <c r="G2005" s="26">
        <v>50382</v>
      </c>
      <c r="H2005" s="231"/>
      <c r="I2005" s="221"/>
      <c r="J2005" s="221"/>
      <c r="K2005" s="221"/>
      <c r="L2005" s="221"/>
      <c r="M2005" s="221"/>
      <c r="N2005" s="221"/>
      <c r="O2005" s="225"/>
      <c r="P2005" s="118" t="s">
        <v>8637</v>
      </c>
      <c r="Q2005" s="16" t="s">
        <v>20</v>
      </c>
      <c r="R2005" s="17" t="s">
        <v>8602</v>
      </c>
      <c r="S2005" s="121" t="s">
        <v>2312</v>
      </c>
      <c r="T2005" s="122"/>
      <c r="U2005" s="22"/>
      <c r="V2005" s="123" t="s">
        <v>2103</v>
      </c>
      <c r="W2005" s="122">
        <v>3147</v>
      </c>
      <c r="X2005" s="221"/>
      <c r="Y2005" s="221"/>
      <c r="Z2005" s="221"/>
      <c r="AA2005" s="221"/>
      <c r="AB2005" s="223"/>
    </row>
    <row r="2006" spans="1:28" ht="17.100000000000001" customHeight="1" thickTop="1">
      <c r="A2006" s="226" t="s">
        <v>6840</v>
      </c>
      <c r="B2006" s="28">
        <v>45933</v>
      </c>
      <c r="C2006" s="25">
        <v>1388</v>
      </c>
      <c r="D2006" s="13" t="s">
        <v>2429</v>
      </c>
      <c r="E2006" s="228"/>
      <c r="F2006" s="109" t="s">
        <v>6913</v>
      </c>
      <c r="G2006" s="24"/>
      <c r="H2006" s="230">
        <v>3.5</v>
      </c>
      <c r="I2006" s="220">
        <v>480000</v>
      </c>
      <c r="J2006" s="220">
        <f>I2006*0.1</f>
        <v>48000</v>
      </c>
      <c r="K2006" s="220">
        <v>0</v>
      </c>
      <c r="L2006" s="220">
        <v>8430</v>
      </c>
      <c r="M2006" s="220">
        <v>13200</v>
      </c>
      <c r="N2006" s="220">
        <f>SUM(I2006:M2007)</f>
        <v>549630</v>
      </c>
      <c r="O2006" s="224"/>
      <c r="P2006" s="110" t="s">
        <v>7597</v>
      </c>
      <c r="Q2006" s="15" t="s">
        <v>19</v>
      </c>
      <c r="R2006" s="205"/>
      <c r="S2006" s="189" t="s">
        <v>25494</v>
      </c>
      <c r="T2006" s="114"/>
      <c r="U2006" s="21"/>
      <c r="V2006" s="115">
        <v>45941</v>
      </c>
      <c r="W2006" s="116">
        <v>1271</v>
      </c>
      <c r="X2006" s="220">
        <v>555000</v>
      </c>
      <c r="Y2006" s="220">
        <v>55500</v>
      </c>
      <c r="Z2006" s="220">
        <v>8430</v>
      </c>
      <c r="AA2006" s="220">
        <f>SUM(X2006:Z2006)</f>
        <v>618930</v>
      </c>
      <c r="AB2006" s="222">
        <v>45944</v>
      </c>
    </row>
    <row r="2007" spans="1:28" ht="17.100000000000001" customHeight="1" thickBot="1">
      <c r="A2007" s="227"/>
      <c r="B2007" s="27" t="s">
        <v>2597</v>
      </c>
      <c r="C2007" s="27">
        <v>1120</v>
      </c>
      <c r="D2007" s="14" t="s">
        <v>273</v>
      </c>
      <c r="E2007" s="229"/>
      <c r="F2007" s="117" t="s">
        <v>6852</v>
      </c>
      <c r="G2007" s="26">
        <v>44401</v>
      </c>
      <c r="H2007" s="231"/>
      <c r="I2007" s="221"/>
      <c r="J2007" s="221"/>
      <c r="K2007" s="221"/>
      <c r="L2007" s="221"/>
      <c r="M2007" s="221"/>
      <c r="N2007" s="221"/>
      <c r="O2007" s="225"/>
      <c r="P2007" s="118" t="s">
        <v>7598</v>
      </c>
      <c r="Q2007" s="16" t="s">
        <v>20</v>
      </c>
      <c r="R2007" s="17" t="s">
        <v>1605</v>
      </c>
      <c r="S2007" s="121" t="s">
        <v>7599</v>
      </c>
      <c r="T2007" s="122"/>
      <c r="U2007" s="22"/>
      <c r="V2007" s="123" t="s">
        <v>2472</v>
      </c>
      <c r="W2007" s="122">
        <v>60036</v>
      </c>
      <c r="X2007" s="221"/>
      <c r="Y2007" s="221"/>
      <c r="Z2007" s="221"/>
      <c r="AA2007" s="221"/>
      <c r="AB2007" s="223"/>
    </row>
    <row r="2008" spans="1:28" ht="17.100000000000001" customHeight="1" thickTop="1">
      <c r="A2008" s="226" t="s">
        <v>6841</v>
      </c>
      <c r="B2008" s="28">
        <v>45933</v>
      </c>
      <c r="C2008" s="25">
        <v>1388</v>
      </c>
      <c r="D2008" s="13" t="s">
        <v>1788</v>
      </c>
      <c r="E2008" s="228"/>
      <c r="F2008" s="109" t="s">
        <v>6914</v>
      </c>
      <c r="G2008" s="24" t="s">
        <v>4860</v>
      </c>
      <c r="H2008" s="230">
        <v>3.5</v>
      </c>
      <c r="I2008" s="220">
        <v>314000</v>
      </c>
      <c r="J2008" s="220">
        <f>I2008*0.1</f>
        <v>31400</v>
      </c>
      <c r="K2008" s="220">
        <v>0</v>
      </c>
      <c r="L2008" s="220">
        <v>8850</v>
      </c>
      <c r="M2008" s="220">
        <v>13200</v>
      </c>
      <c r="N2008" s="220">
        <f>SUM(I2008:M2009)</f>
        <v>367450</v>
      </c>
      <c r="O2008" s="224"/>
      <c r="P2008" s="110" t="s">
        <v>7590</v>
      </c>
      <c r="Q2008" s="15" t="s">
        <v>19</v>
      </c>
      <c r="R2008" s="205"/>
      <c r="S2008" s="189" t="s">
        <v>1361</v>
      </c>
      <c r="T2008" s="114"/>
      <c r="U2008" s="21"/>
      <c r="V2008" s="115">
        <v>45948</v>
      </c>
      <c r="W2008" s="116">
        <v>1272</v>
      </c>
      <c r="X2008" s="220">
        <v>420000</v>
      </c>
      <c r="Y2008" s="220">
        <f>X2008*0.1</f>
        <v>42000</v>
      </c>
      <c r="Z2008" s="220">
        <v>8850</v>
      </c>
      <c r="AA2008" s="220">
        <f>SUM(X2008:Z2008)</f>
        <v>470850</v>
      </c>
      <c r="AB2008" s="222">
        <v>45951</v>
      </c>
    </row>
    <row r="2009" spans="1:28" ht="17.100000000000001" customHeight="1" thickBot="1">
      <c r="A2009" s="227"/>
      <c r="B2009" s="27" t="s">
        <v>2597</v>
      </c>
      <c r="C2009" s="27">
        <v>1801</v>
      </c>
      <c r="D2009" s="14" t="s">
        <v>2788</v>
      </c>
      <c r="E2009" s="229"/>
      <c r="F2009" s="117" t="s">
        <v>6853</v>
      </c>
      <c r="G2009" s="26">
        <v>49313</v>
      </c>
      <c r="H2009" s="231"/>
      <c r="I2009" s="221"/>
      <c r="J2009" s="221"/>
      <c r="K2009" s="221"/>
      <c r="L2009" s="221"/>
      <c r="M2009" s="221"/>
      <c r="N2009" s="221"/>
      <c r="O2009" s="225"/>
      <c r="P2009" s="118" t="s">
        <v>7591</v>
      </c>
      <c r="Q2009" s="16" t="s">
        <v>20</v>
      </c>
      <c r="R2009" s="17" t="s">
        <v>1605</v>
      </c>
      <c r="S2009" s="121" t="s">
        <v>7702</v>
      </c>
      <c r="T2009" s="122"/>
      <c r="U2009" s="22"/>
      <c r="V2009" s="123" t="s">
        <v>7160</v>
      </c>
      <c r="W2009" s="122">
        <v>60170</v>
      </c>
      <c r="X2009" s="221"/>
      <c r="Y2009" s="221"/>
      <c r="Z2009" s="221"/>
      <c r="AA2009" s="221"/>
      <c r="AB2009" s="223"/>
    </row>
    <row r="2010" spans="1:28" ht="17.100000000000001" customHeight="1" thickTop="1">
      <c r="A2010" s="226" t="s">
        <v>6842</v>
      </c>
      <c r="B2010" s="28">
        <v>45933</v>
      </c>
      <c r="C2010" s="25">
        <v>1388</v>
      </c>
      <c r="D2010" s="13" t="s">
        <v>6915</v>
      </c>
      <c r="E2010" s="228"/>
      <c r="F2010" s="109" t="s">
        <v>6855</v>
      </c>
      <c r="G2010" s="24"/>
      <c r="H2010" s="230">
        <v>3.5</v>
      </c>
      <c r="I2010" s="220">
        <v>189000</v>
      </c>
      <c r="J2010" s="220">
        <f>I2010*0.1</f>
        <v>18900</v>
      </c>
      <c r="K2010" s="220">
        <v>0</v>
      </c>
      <c r="L2010" s="220">
        <v>8100</v>
      </c>
      <c r="M2010" s="220">
        <v>13200</v>
      </c>
      <c r="N2010" s="220">
        <f>SUM(I2010:M2011)</f>
        <v>229200</v>
      </c>
      <c r="O2010" s="224"/>
      <c r="P2010" s="110" t="s">
        <v>7594</v>
      </c>
      <c r="Q2010" s="15" t="s">
        <v>19</v>
      </c>
      <c r="R2010" s="205"/>
      <c r="S2010" s="189"/>
      <c r="T2010" s="114"/>
      <c r="U2010" s="21"/>
      <c r="V2010" s="115">
        <v>45962</v>
      </c>
      <c r="W2010" s="116">
        <v>1274</v>
      </c>
      <c r="X2010" s="220">
        <v>226000</v>
      </c>
      <c r="Y2010" s="220">
        <f>X2010*0.1</f>
        <v>22600</v>
      </c>
      <c r="Z2010" s="220">
        <v>8100</v>
      </c>
      <c r="AA2010" s="220">
        <f>SUM(X2010:Z2010)</f>
        <v>256700</v>
      </c>
      <c r="AB2010" s="222">
        <v>45965</v>
      </c>
    </row>
    <row r="2011" spans="1:28" ht="17.100000000000001" customHeight="1" thickBot="1">
      <c r="A2011" s="227"/>
      <c r="B2011" s="27" t="s">
        <v>2597</v>
      </c>
      <c r="C2011" s="27">
        <v>2061</v>
      </c>
      <c r="D2011" s="14" t="s">
        <v>1710</v>
      </c>
      <c r="E2011" s="229"/>
      <c r="F2011" s="117" t="s">
        <v>6854</v>
      </c>
      <c r="G2011" s="26">
        <v>37319</v>
      </c>
      <c r="H2011" s="231"/>
      <c r="I2011" s="221"/>
      <c r="J2011" s="221"/>
      <c r="K2011" s="221"/>
      <c r="L2011" s="221"/>
      <c r="M2011" s="221"/>
      <c r="N2011" s="221"/>
      <c r="O2011" s="225"/>
      <c r="P2011" s="118" t="s">
        <v>7595</v>
      </c>
      <c r="Q2011" s="16" t="s">
        <v>20</v>
      </c>
      <c r="R2011" s="17" t="s">
        <v>1605</v>
      </c>
      <c r="S2011" s="121" t="s">
        <v>7596</v>
      </c>
      <c r="T2011" s="122"/>
      <c r="U2011" s="22"/>
      <c r="V2011" s="123" t="s">
        <v>7160</v>
      </c>
      <c r="W2011" s="122">
        <v>63036</v>
      </c>
      <c r="X2011" s="221"/>
      <c r="Y2011" s="221"/>
      <c r="Z2011" s="221"/>
      <c r="AA2011" s="221"/>
      <c r="AB2011" s="223"/>
    </row>
    <row r="2012" spans="1:28" ht="17.100000000000001" customHeight="1" thickTop="1">
      <c r="A2012" s="226" t="s">
        <v>6843</v>
      </c>
      <c r="B2012" s="28">
        <v>45933</v>
      </c>
      <c r="C2012" s="25">
        <v>1388</v>
      </c>
      <c r="D2012" s="13" t="s">
        <v>2463</v>
      </c>
      <c r="E2012" s="228"/>
      <c r="F2012" s="109" t="s">
        <v>6916</v>
      </c>
      <c r="G2012" s="24" t="s">
        <v>6917</v>
      </c>
      <c r="H2012" s="230">
        <v>4</v>
      </c>
      <c r="I2012" s="220">
        <v>504000</v>
      </c>
      <c r="J2012" s="220">
        <f>I2012*0.1</f>
        <v>50400</v>
      </c>
      <c r="K2012" s="220">
        <f>14300+1430</f>
        <v>15730</v>
      </c>
      <c r="L2012" s="220">
        <v>10460</v>
      </c>
      <c r="M2012" s="220">
        <v>13200</v>
      </c>
      <c r="N2012" s="220">
        <f>SUM(I2012:M2013)</f>
        <v>593790</v>
      </c>
      <c r="O2012" s="224"/>
      <c r="P2012" s="110" t="s">
        <v>7593</v>
      </c>
      <c r="Q2012" s="15" t="s">
        <v>19</v>
      </c>
      <c r="R2012" s="205"/>
      <c r="S2012" s="189"/>
      <c r="T2012" s="114"/>
      <c r="U2012" s="21" t="s">
        <v>10583</v>
      </c>
      <c r="V2012" s="115">
        <v>46004</v>
      </c>
      <c r="W2012" s="116">
        <v>1280</v>
      </c>
      <c r="X2012" s="220">
        <v>535000</v>
      </c>
      <c r="Y2012" s="220">
        <f>X2012*0.1</f>
        <v>53500</v>
      </c>
      <c r="Z2012" s="220">
        <v>10460</v>
      </c>
      <c r="AA2012" s="220">
        <f>SUM(X2012:Z2012)</f>
        <v>598960</v>
      </c>
      <c r="AB2012" s="222">
        <v>46008</v>
      </c>
    </row>
    <row r="2013" spans="1:28" ht="17.100000000000001" customHeight="1" thickBot="1">
      <c r="A2013" s="227"/>
      <c r="B2013" s="27" t="s">
        <v>2597</v>
      </c>
      <c r="C2013" s="27">
        <v>2191</v>
      </c>
      <c r="D2013" s="14" t="s">
        <v>2788</v>
      </c>
      <c r="E2013" s="229"/>
      <c r="F2013" s="117" t="s">
        <v>6856</v>
      </c>
      <c r="G2013" s="26">
        <v>51138</v>
      </c>
      <c r="H2013" s="231"/>
      <c r="I2013" s="221"/>
      <c r="J2013" s="221"/>
      <c r="K2013" s="221"/>
      <c r="L2013" s="221"/>
      <c r="M2013" s="221"/>
      <c r="N2013" s="221"/>
      <c r="O2013" s="225"/>
      <c r="P2013" s="118" t="s">
        <v>1972</v>
      </c>
      <c r="Q2013" s="16" t="s">
        <v>20</v>
      </c>
      <c r="R2013" s="17" t="s">
        <v>1605</v>
      </c>
      <c r="S2013" s="121"/>
      <c r="T2013" s="122"/>
      <c r="U2013" s="22"/>
      <c r="V2013" s="123" t="s">
        <v>7160</v>
      </c>
      <c r="W2013" s="122">
        <v>55036</v>
      </c>
      <c r="X2013" s="221"/>
      <c r="Y2013" s="221"/>
      <c r="Z2013" s="221"/>
      <c r="AA2013" s="221"/>
      <c r="AB2013" s="223"/>
    </row>
    <row r="2014" spans="1:28" ht="17.100000000000001" customHeight="1" thickTop="1">
      <c r="A2014" s="226" t="s">
        <v>6844</v>
      </c>
      <c r="B2014" s="28">
        <v>45933</v>
      </c>
      <c r="C2014" s="25">
        <v>1388</v>
      </c>
      <c r="D2014" s="13" t="s">
        <v>2182</v>
      </c>
      <c r="E2014" s="228"/>
      <c r="F2014" s="109" t="s">
        <v>6918</v>
      </c>
      <c r="G2014" s="24" t="s">
        <v>6919</v>
      </c>
      <c r="H2014" s="230">
        <v>5</v>
      </c>
      <c r="I2014" s="220">
        <v>1917000</v>
      </c>
      <c r="J2014" s="220">
        <f>I2014*0.1</f>
        <v>191700</v>
      </c>
      <c r="K2014" s="220">
        <v>0</v>
      </c>
      <c r="L2014" s="220">
        <v>7230</v>
      </c>
      <c r="M2014" s="220">
        <v>13200</v>
      </c>
      <c r="N2014" s="220">
        <f>SUM(I2014:M2015)</f>
        <v>2129130</v>
      </c>
      <c r="O2014" s="224"/>
      <c r="P2014" s="110" t="s">
        <v>7781</v>
      </c>
      <c r="Q2014" s="15" t="s">
        <v>19</v>
      </c>
      <c r="R2014" s="205"/>
      <c r="S2014" s="189" t="s">
        <v>1361</v>
      </c>
      <c r="T2014" s="114"/>
      <c r="U2014" s="21" t="s">
        <v>10201</v>
      </c>
      <c r="V2014" s="115">
        <v>45969</v>
      </c>
      <c r="W2014" s="116">
        <v>1275</v>
      </c>
      <c r="X2014" s="220">
        <v>1915000</v>
      </c>
      <c r="Y2014" s="220">
        <f>X2014*0.1</f>
        <v>191500</v>
      </c>
      <c r="Z2014" s="220">
        <v>7230</v>
      </c>
      <c r="AA2014" s="220">
        <f>SUM(X2014:Z2014)</f>
        <v>2113730</v>
      </c>
      <c r="AB2014" s="222">
        <v>45974</v>
      </c>
    </row>
    <row r="2015" spans="1:28" ht="17.100000000000001" customHeight="1" thickBot="1">
      <c r="A2015" s="227"/>
      <c r="B2015" s="27" t="s">
        <v>2597</v>
      </c>
      <c r="C2015" s="27">
        <v>3014</v>
      </c>
      <c r="D2015" s="14" t="s">
        <v>2559</v>
      </c>
      <c r="E2015" s="229"/>
      <c r="F2015" s="117" t="s">
        <v>6857</v>
      </c>
      <c r="G2015" s="26">
        <v>9505</v>
      </c>
      <c r="H2015" s="231"/>
      <c r="I2015" s="221"/>
      <c r="J2015" s="221"/>
      <c r="K2015" s="221"/>
      <c r="L2015" s="221"/>
      <c r="M2015" s="221"/>
      <c r="N2015" s="221"/>
      <c r="O2015" s="225"/>
      <c r="P2015" s="118" t="s">
        <v>7782</v>
      </c>
      <c r="Q2015" s="16" t="s">
        <v>20</v>
      </c>
      <c r="R2015" s="17" t="s">
        <v>1605</v>
      </c>
      <c r="S2015" s="121" t="s">
        <v>7783</v>
      </c>
      <c r="T2015" s="122"/>
      <c r="U2015" s="22"/>
      <c r="V2015" s="123" t="s">
        <v>7160</v>
      </c>
      <c r="W2015" s="122">
        <v>60067</v>
      </c>
      <c r="X2015" s="221"/>
      <c r="Y2015" s="221"/>
      <c r="Z2015" s="221"/>
      <c r="AA2015" s="221"/>
      <c r="AB2015" s="223"/>
    </row>
    <row r="2016" spans="1:28" ht="17.100000000000001" customHeight="1" thickTop="1">
      <c r="A2016" s="226" t="s">
        <v>6845</v>
      </c>
      <c r="B2016" s="28">
        <v>45933</v>
      </c>
      <c r="C2016" s="25">
        <v>1388</v>
      </c>
      <c r="D2016" s="13" t="s">
        <v>2150</v>
      </c>
      <c r="E2016" s="228"/>
      <c r="F2016" s="109" t="s">
        <v>6858</v>
      </c>
      <c r="G2016" s="24" t="s">
        <v>5007</v>
      </c>
      <c r="H2016" s="230">
        <v>3.5</v>
      </c>
      <c r="I2016" s="220">
        <v>456000</v>
      </c>
      <c r="J2016" s="220">
        <f>I2016*0.1</f>
        <v>45600</v>
      </c>
      <c r="K2016" s="220">
        <v>0</v>
      </c>
      <c r="L2016" s="220">
        <v>9790</v>
      </c>
      <c r="M2016" s="220">
        <v>13200</v>
      </c>
      <c r="N2016" s="220">
        <f>SUM(I2016:M2017)</f>
        <v>524590</v>
      </c>
      <c r="O2016" s="224"/>
      <c r="P2016" s="110" t="s">
        <v>7780</v>
      </c>
      <c r="Q2016" s="15" t="s">
        <v>19</v>
      </c>
      <c r="R2016" s="205"/>
      <c r="S2016" s="189" t="s">
        <v>25397</v>
      </c>
      <c r="T2016" s="114"/>
      <c r="U2016" s="21"/>
      <c r="V2016" s="115">
        <v>45941</v>
      </c>
      <c r="W2016" s="116">
        <v>1271</v>
      </c>
      <c r="X2016" s="220">
        <v>610000</v>
      </c>
      <c r="Y2016" s="220">
        <v>61000</v>
      </c>
      <c r="Z2016" s="220">
        <v>9790</v>
      </c>
      <c r="AA2016" s="220">
        <f>SUM(X2016:Z2016)</f>
        <v>680790</v>
      </c>
      <c r="AB2016" s="222">
        <v>45944</v>
      </c>
    </row>
    <row r="2017" spans="1:28" ht="17.100000000000001" customHeight="1" thickBot="1">
      <c r="A2017" s="227"/>
      <c r="B2017" s="27" t="s">
        <v>2597</v>
      </c>
      <c r="C2017" s="27">
        <v>3048</v>
      </c>
      <c r="D2017" s="14" t="s">
        <v>1797</v>
      </c>
      <c r="E2017" s="229"/>
      <c r="F2017" s="117" t="s">
        <v>6859</v>
      </c>
      <c r="G2017" s="26">
        <v>57922</v>
      </c>
      <c r="H2017" s="231"/>
      <c r="I2017" s="221"/>
      <c r="J2017" s="221"/>
      <c r="K2017" s="221"/>
      <c r="L2017" s="221"/>
      <c r="M2017" s="221"/>
      <c r="N2017" s="221"/>
      <c r="O2017" s="225"/>
      <c r="P2017" s="118" t="s">
        <v>4211</v>
      </c>
      <c r="Q2017" s="16" t="s">
        <v>20</v>
      </c>
      <c r="R2017" s="17" t="s">
        <v>1605</v>
      </c>
      <c r="S2017" s="121" t="s">
        <v>2350</v>
      </c>
      <c r="T2017" s="122"/>
      <c r="U2017" s="22"/>
      <c r="V2017" s="123" t="s">
        <v>2472</v>
      </c>
      <c r="W2017" s="122">
        <v>60039</v>
      </c>
      <c r="X2017" s="221"/>
      <c r="Y2017" s="221"/>
      <c r="Z2017" s="221"/>
      <c r="AA2017" s="221"/>
      <c r="AB2017" s="223"/>
    </row>
    <row r="2018" spans="1:28" ht="17.100000000000001" customHeight="1" thickTop="1">
      <c r="A2018" s="226" t="s">
        <v>6846</v>
      </c>
      <c r="B2018" s="28">
        <v>45933</v>
      </c>
      <c r="C2018" s="25">
        <v>1388</v>
      </c>
      <c r="D2018" s="13" t="s">
        <v>1780</v>
      </c>
      <c r="E2018" s="228"/>
      <c r="F2018" s="109" t="s">
        <v>6860</v>
      </c>
      <c r="G2018" s="24"/>
      <c r="H2018" s="230">
        <v>4.5</v>
      </c>
      <c r="I2018" s="220">
        <v>1261000</v>
      </c>
      <c r="J2018" s="220">
        <f>I2018*0.1</f>
        <v>126100</v>
      </c>
      <c r="K2018" s="220">
        <v>0</v>
      </c>
      <c r="L2018" s="220">
        <v>6470</v>
      </c>
      <c r="M2018" s="220">
        <v>13200</v>
      </c>
      <c r="N2018" s="220">
        <f>SUM(I2018:M2019)</f>
        <v>1406770</v>
      </c>
      <c r="O2018" s="224"/>
      <c r="P2018" s="110" t="s">
        <v>7829</v>
      </c>
      <c r="Q2018" s="15" t="s">
        <v>19</v>
      </c>
      <c r="R2018" s="205"/>
      <c r="S2018" s="189"/>
      <c r="T2018" s="114"/>
      <c r="U2018" s="21"/>
      <c r="V2018" s="115">
        <v>45955</v>
      </c>
      <c r="W2018" s="116">
        <v>1273</v>
      </c>
      <c r="X2018" s="220">
        <v>1350000</v>
      </c>
      <c r="Y2018" s="220">
        <f>X2018*0.1</f>
        <v>135000</v>
      </c>
      <c r="Z2018" s="220">
        <v>6470</v>
      </c>
      <c r="AA2018" s="220">
        <f>SUM(X2018:Z2018)</f>
        <v>1491470</v>
      </c>
      <c r="AB2018" s="222">
        <v>45965</v>
      </c>
    </row>
    <row r="2019" spans="1:28" ht="17.100000000000001" customHeight="1" thickBot="1">
      <c r="A2019" s="227"/>
      <c r="B2019" s="27" t="s">
        <v>2597</v>
      </c>
      <c r="C2019" s="27">
        <v>7135</v>
      </c>
      <c r="D2019" s="14" t="s">
        <v>273</v>
      </c>
      <c r="E2019" s="229"/>
      <c r="F2019" s="117" t="s">
        <v>6861</v>
      </c>
      <c r="G2019" s="26">
        <v>22513</v>
      </c>
      <c r="H2019" s="231"/>
      <c r="I2019" s="221"/>
      <c r="J2019" s="221"/>
      <c r="K2019" s="221"/>
      <c r="L2019" s="221"/>
      <c r="M2019" s="221"/>
      <c r="N2019" s="221"/>
      <c r="O2019" s="225"/>
      <c r="P2019" s="118" t="s">
        <v>4477</v>
      </c>
      <c r="Q2019" s="16" t="s">
        <v>20</v>
      </c>
      <c r="R2019" s="17" t="s">
        <v>2562</v>
      </c>
      <c r="S2019" s="121" t="s">
        <v>7706</v>
      </c>
      <c r="T2019" s="122"/>
      <c r="U2019" s="22"/>
      <c r="V2019" s="123" t="s">
        <v>6641</v>
      </c>
      <c r="W2019" s="122">
        <v>60100</v>
      </c>
      <c r="X2019" s="221"/>
      <c r="Y2019" s="221"/>
      <c r="Z2019" s="221"/>
      <c r="AA2019" s="221"/>
      <c r="AB2019" s="223"/>
    </row>
    <row r="2020" spans="1:28" ht="17.100000000000001" customHeight="1" thickTop="1">
      <c r="A2020" s="226" t="s">
        <v>6847</v>
      </c>
      <c r="B2020" s="28">
        <v>45933</v>
      </c>
      <c r="C2020" s="25">
        <v>1388</v>
      </c>
      <c r="D2020" s="13" t="s">
        <v>1853</v>
      </c>
      <c r="E2020" s="228"/>
      <c r="F2020" s="109" t="s">
        <v>6920</v>
      </c>
      <c r="G2020" s="24"/>
      <c r="H2020" s="230">
        <v>3.5</v>
      </c>
      <c r="I2020" s="220">
        <v>322000</v>
      </c>
      <c r="J2020" s="220">
        <f>I2020*0.1</f>
        <v>32200</v>
      </c>
      <c r="K2020" s="220">
        <v>0</v>
      </c>
      <c r="L2020" s="220">
        <v>10460</v>
      </c>
      <c r="M2020" s="220">
        <v>13200</v>
      </c>
      <c r="N2020" s="220">
        <f>SUM(I2020:M2021)</f>
        <v>377860</v>
      </c>
      <c r="O2020" s="224"/>
      <c r="P2020" s="110" t="s">
        <v>7592</v>
      </c>
      <c r="Q2020" s="15" t="s">
        <v>19</v>
      </c>
      <c r="R2020" s="205"/>
      <c r="S2020" s="189"/>
      <c r="T2020" s="114"/>
      <c r="U2020" s="21"/>
      <c r="V2020" s="115">
        <v>45948</v>
      </c>
      <c r="W2020" s="116">
        <v>1272</v>
      </c>
      <c r="X2020" s="220">
        <v>405000</v>
      </c>
      <c r="Y2020" s="220">
        <f>X2020*0.1</f>
        <v>40500</v>
      </c>
      <c r="Z2020" s="220">
        <v>10460</v>
      </c>
      <c r="AA2020" s="220">
        <f>SUM(X2020:Z2020)</f>
        <v>455960</v>
      </c>
      <c r="AB2020" s="222">
        <v>45951</v>
      </c>
    </row>
    <row r="2021" spans="1:28" ht="17.100000000000001" customHeight="1" thickBot="1">
      <c r="A2021" s="227"/>
      <c r="B2021" s="27" t="s">
        <v>2597</v>
      </c>
      <c r="C2021" s="27">
        <v>9008</v>
      </c>
      <c r="D2021" s="14" t="s">
        <v>1710</v>
      </c>
      <c r="E2021" s="229"/>
      <c r="F2021" s="117" t="s">
        <v>6862</v>
      </c>
      <c r="G2021" s="26">
        <v>54564</v>
      </c>
      <c r="H2021" s="231"/>
      <c r="I2021" s="221"/>
      <c r="J2021" s="221"/>
      <c r="K2021" s="221"/>
      <c r="L2021" s="221"/>
      <c r="M2021" s="221"/>
      <c r="N2021" s="221"/>
      <c r="O2021" s="225"/>
      <c r="P2021" s="118" t="s">
        <v>1972</v>
      </c>
      <c r="Q2021" s="16" t="s">
        <v>20</v>
      </c>
      <c r="R2021" s="17" t="s">
        <v>1605</v>
      </c>
      <c r="S2021" s="121"/>
      <c r="T2021" s="122"/>
      <c r="U2021" s="22"/>
      <c r="V2021" s="123" t="s">
        <v>7160</v>
      </c>
      <c r="W2021" s="122">
        <v>55102</v>
      </c>
      <c r="X2021" s="221"/>
      <c r="Y2021" s="221"/>
      <c r="Z2021" s="221"/>
      <c r="AA2021" s="221"/>
      <c r="AB2021" s="223"/>
    </row>
    <row r="2022" spans="1:28" ht="17.100000000000001" customHeight="1" thickTop="1">
      <c r="A2022" s="226" t="s">
        <v>6848</v>
      </c>
      <c r="B2022" s="28">
        <v>45933</v>
      </c>
      <c r="C2022" s="25">
        <v>1388</v>
      </c>
      <c r="D2022" s="13" t="s">
        <v>4036</v>
      </c>
      <c r="E2022" s="228"/>
      <c r="F2022" s="109" t="s">
        <v>6863</v>
      </c>
      <c r="G2022" s="24" t="s">
        <v>5082</v>
      </c>
      <c r="H2022" s="230">
        <v>4</v>
      </c>
      <c r="I2022" s="220">
        <v>238000</v>
      </c>
      <c r="J2022" s="220">
        <f>I2022*0.1</f>
        <v>23800</v>
      </c>
      <c r="K2022" s="220">
        <v>0</v>
      </c>
      <c r="L2022" s="220">
        <v>10270</v>
      </c>
      <c r="M2022" s="220">
        <v>13200</v>
      </c>
      <c r="N2022" s="220">
        <f>SUM(I2022:M2023)</f>
        <v>285270</v>
      </c>
      <c r="O2022" s="224"/>
      <c r="P2022" s="110" t="s">
        <v>7827</v>
      </c>
      <c r="Q2022" s="15" t="s">
        <v>19</v>
      </c>
      <c r="R2022" s="205"/>
      <c r="S2022" s="189"/>
      <c r="T2022" s="114"/>
      <c r="U2022" s="21"/>
      <c r="V2022" s="115">
        <v>45941</v>
      </c>
      <c r="W2022" s="116">
        <v>1271</v>
      </c>
      <c r="X2022" s="220">
        <v>280000</v>
      </c>
      <c r="Y2022" s="220">
        <v>28000</v>
      </c>
      <c r="Z2022" s="220">
        <v>10270</v>
      </c>
      <c r="AA2022" s="220">
        <f>SUM(X2022:Z2022)</f>
        <v>318270</v>
      </c>
      <c r="AB2022" s="222">
        <v>45944</v>
      </c>
    </row>
    <row r="2023" spans="1:28" ht="17.100000000000001" customHeight="1" thickBot="1">
      <c r="A2023" s="227"/>
      <c r="B2023" s="27" t="s">
        <v>2597</v>
      </c>
      <c r="C2023" s="27">
        <v>9064</v>
      </c>
      <c r="D2023" s="14" t="s">
        <v>131</v>
      </c>
      <c r="E2023" s="229"/>
      <c r="F2023" s="117" t="s">
        <v>6864</v>
      </c>
      <c r="G2023" s="26">
        <v>62797</v>
      </c>
      <c r="H2023" s="231"/>
      <c r="I2023" s="221"/>
      <c r="J2023" s="221"/>
      <c r="K2023" s="221"/>
      <c r="L2023" s="221"/>
      <c r="M2023" s="221"/>
      <c r="N2023" s="221"/>
      <c r="O2023" s="225"/>
      <c r="P2023" s="118" t="s">
        <v>7828</v>
      </c>
      <c r="Q2023" s="16" t="s">
        <v>20</v>
      </c>
      <c r="R2023" s="17" t="s">
        <v>2562</v>
      </c>
      <c r="S2023" s="121" t="s">
        <v>7703</v>
      </c>
      <c r="T2023" s="122"/>
      <c r="U2023" s="22"/>
      <c r="V2023" s="123" t="s">
        <v>2472</v>
      </c>
      <c r="W2023" s="122">
        <v>60038</v>
      </c>
      <c r="X2023" s="221"/>
      <c r="Y2023" s="221"/>
      <c r="Z2023" s="221"/>
      <c r="AA2023" s="221"/>
      <c r="AB2023" s="223"/>
    </row>
    <row r="2024" spans="1:28" ht="17.100000000000001" customHeight="1" thickTop="1">
      <c r="A2024" s="226" t="s">
        <v>6849</v>
      </c>
      <c r="B2024" s="28">
        <v>45933</v>
      </c>
      <c r="C2024" s="25">
        <v>1388</v>
      </c>
      <c r="D2024" s="13" t="s">
        <v>1615</v>
      </c>
      <c r="E2024" s="228"/>
      <c r="F2024" s="109" t="s">
        <v>5345</v>
      </c>
      <c r="G2024" s="24"/>
      <c r="H2024" s="230">
        <v>4</v>
      </c>
      <c r="I2024" s="220">
        <v>163000</v>
      </c>
      <c r="J2024" s="220">
        <f>I2024*0.1</f>
        <v>16300</v>
      </c>
      <c r="K2024" s="220">
        <v>0</v>
      </c>
      <c r="L2024" s="220">
        <v>8860</v>
      </c>
      <c r="M2024" s="220">
        <v>13200</v>
      </c>
      <c r="N2024" s="220">
        <f>SUM(I2024:M2025)</f>
        <v>201360</v>
      </c>
      <c r="O2024" s="224"/>
      <c r="P2024" s="110" t="s">
        <v>7825</v>
      </c>
      <c r="Q2024" s="15" t="s">
        <v>19</v>
      </c>
      <c r="R2024" s="205"/>
      <c r="S2024" s="189"/>
      <c r="T2024" s="114"/>
      <c r="U2024" s="21"/>
      <c r="V2024" s="115">
        <v>45954</v>
      </c>
      <c r="W2024" s="116"/>
      <c r="X2024" s="220">
        <v>310000</v>
      </c>
      <c r="Y2024" s="220">
        <f>X2024*0.1</f>
        <v>31000</v>
      </c>
      <c r="Z2024" s="220">
        <v>8860</v>
      </c>
      <c r="AA2024" s="220">
        <f>SUM(X2024:Z2024)</f>
        <v>349860</v>
      </c>
      <c r="AB2024" s="222"/>
    </row>
    <row r="2025" spans="1:28" ht="17.100000000000001" customHeight="1" thickBot="1">
      <c r="A2025" s="227"/>
      <c r="B2025" s="27" t="s">
        <v>2597</v>
      </c>
      <c r="C2025" s="27">
        <v>9081</v>
      </c>
      <c r="D2025" s="14" t="s">
        <v>1548</v>
      </c>
      <c r="E2025" s="229"/>
      <c r="F2025" s="117" t="s">
        <v>6865</v>
      </c>
      <c r="G2025" s="26">
        <v>135555</v>
      </c>
      <c r="H2025" s="231"/>
      <c r="I2025" s="221"/>
      <c r="J2025" s="221"/>
      <c r="K2025" s="221"/>
      <c r="L2025" s="221"/>
      <c r="M2025" s="221"/>
      <c r="N2025" s="221"/>
      <c r="O2025" s="225"/>
      <c r="P2025" s="118" t="s">
        <v>7826</v>
      </c>
      <c r="Q2025" s="16" t="s">
        <v>20</v>
      </c>
      <c r="R2025" s="17" t="s">
        <v>2562</v>
      </c>
      <c r="S2025" s="121" t="s">
        <v>2360</v>
      </c>
      <c r="T2025" s="122"/>
      <c r="U2025" s="22"/>
      <c r="V2025" s="123" t="s">
        <v>6682</v>
      </c>
      <c r="W2025" s="122">
        <v>42074</v>
      </c>
      <c r="X2025" s="221"/>
      <c r="Y2025" s="221"/>
      <c r="Z2025" s="221"/>
      <c r="AA2025" s="221"/>
      <c r="AB2025" s="223"/>
    </row>
    <row r="2026" spans="1:28" ht="17.100000000000001" customHeight="1" thickTop="1">
      <c r="A2026" s="226" t="s">
        <v>6866</v>
      </c>
      <c r="B2026" s="28">
        <v>45933</v>
      </c>
      <c r="C2026" s="25">
        <v>2104</v>
      </c>
      <c r="D2026" s="13" t="s">
        <v>1837</v>
      </c>
      <c r="E2026" s="228"/>
      <c r="F2026" s="109" t="s">
        <v>1141</v>
      </c>
      <c r="G2026" s="24"/>
      <c r="H2026" s="230">
        <v>4.5</v>
      </c>
      <c r="I2026" s="220">
        <v>1300000</v>
      </c>
      <c r="J2026" s="220">
        <f>I2026*0.1</f>
        <v>130000</v>
      </c>
      <c r="K2026" s="220">
        <v>0</v>
      </c>
      <c r="L2026" s="220">
        <v>16240</v>
      </c>
      <c r="M2026" s="220">
        <v>27500</v>
      </c>
      <c r="N2026" s="220">
        <f>SUM(I2026:M2027)</f>
        <v>1473740</v>
      </c>
      <c r="O2026" s="224"/>
      <c r="P2026" s="110" t="s">
        <v>7763</v>
      </c>
      <c r="Q2026" s="15" t="s">
        <v>19</v>
      </c>
      <c r="R2026" s="205"/>
      <c r="S2026" s="189"/>
      <c r="T2026" s="114"/>
      <c r="U2026" s="21"/>
      <c r="V2026" s="115">
        <v>45946</v>
      </c>
      <c r="W2026" s="116">
        <v>1302</v>
      </c>
      <c r="X2026" s="220">
        <v>1525000</v>
      </c>
      <c r="Y2026" s="220">
        <v>152500</v>
      </c>
      <c r="Z2026" s="220">
        <v>16240</v>
      </c>
      <c r="AA2026" s="220">
        <f>SUM(X2026:Z2026)</f>
        <v>1693740</v>
      </c>
      <c r="AB2026" s="222">
        <v>45947</v>
      </c>
    </row>
    <row r="2027" spans="1:28" ht="17.100000000000001" customHeight="1" thickBot="1">
      <c r="A2027" s="227"/>
      <c r="B2027" s="27" t="s">
        <v>1536</v>
      </c>
      <c r="C2027" s="27">
        <v>13128</v>
      </c>
      <c r="D2027" s="14" t="s">
        <v>1548</v>
      </c>
      <c r="E2027" s="229"/>
      <c r="F2027" s="117" t="s">
        <v>6921</v>
      </c>
      <c r="G2027" s="26">
        <v>26099</v>
      </c>
      <c r="H2027" s="231"/>
      <c r="I2027" s="221"/>
      <c r="J2027" s="221"/>
      <c r="K2027" s="221"/>
      <c r="L2027" s="221"/>
      <c r="M2027" s="221"/>
      <c r="N2027" s="221"/>
      <c r="O2027" s="225"/>
      <c r="P2027" s="118" t="s">
        <v>1972</v>
      </c>
      <c r="Q2027" s="16" t="s">
        <v>20</v>
      </c>
      <c r="R2027" s="17" t="s">
        <v>1605</v>
      </c>
      <c r="S2027" s="121" t="s">
        <v>3224</v>
      </c>
      <c r="T2027" s="122"/>
      <c r="U2027" s="22"/>
      <c r="V2027" s="123" t="s">
        <v>1735</v>
      </c>
      <c r="W2027" s="122">
        <v>509</v>
      </c>
      <c r="X2027" s="221"/>
      <c r="Y2027" s="221"/>
      <c r="Z2027" s="221"/>
      <c r="AA2027" s="221"/>
      <c r="AB2027" s="223"/>
    </row>
    <row r="2028" spans="1:28" ht="17.100000000000001" customHeight="1" thickTop="1">
      <c r="A2028" s="226" t="s">
        <v>6867</v>
      </c>
      <c r="B2028" s="28">
        <v>45933</v>
      </c>
      <c r="C2028" s="25">
        <v>2104</v>
      </c>
      <c r="D2028" s="13" t="s">
        <v>1715</v>
      </c>
      <c r="E2028" s="228"/>
      <c r="F2028" s="109" t="s">
        <v>6922</v>
      </c>
      <c r="G2028" s="24"/>
      <c r="H2028" s="230">
        <v>4.5</v>
      </c>
      <c r="I2028" s="220">
        <v>2905000</v>
      </c>
      <c r="J2028" s="220">
        <f>I2028*0.1</f>
        <v>290500</v>
      </c>
      <c r="K2028" s="220">
        <v>0</v>
      </c>
      <c r="L2028" s="220">
        <v>18930</v>
      </c>
      <c r="M2028" s="220">
        <v>16500</v>
      </c>
      <c r="N2028" s="220">
        <f>SUM(I2028:M2029)</f>
        <v>3230930</v>
      </c>
      <c r="O2028" s="224"/>
      <c r="P2028" s="110" t="s">
        <v>7762</v>
      </c>
      <c r="Q2028" s="15" t="s">
        <v>19</v>
      </c>
      <c r="R2028" s="205"/>
      <c r="S2028" s="189"/>
      <c r="T2028" s="114"/>
      <c r="U2028" s="21"/>
      <c r="V2028" s="115">
        <v>45966</v>
      </c>
      <c r="W2028" s="116">
        <v>991</v>
      </c>
      <c r="X2028" s="220">
        <v>3000000</v>
      </c>
      <c r="Y2028" s="220">
        <f>X2028*0.1</f>
        <v>300000</v>
      </c>
      <c r="Z2028" s="220">
        <v>18930</v>
      </c>
      <c r="AA2028" s="220">
        <f>SUM(X2028:Z2028)</f>
        <v>3318930</v>
      </c>
      <c r="AB2028" s="222">
        <v>45971</v>
      </c>
    </row>
    <row r="2029" spans="1:28" ht="17.100000000000001" customHeight="1" thickBot="1">
      <c r="A2029" s="227"/>
      <c r="B2029" s="27" t="s">
        <v>1536</v>
      </c>
      <c r="C2029" s="27">
        <v>13171</v>
      </c>
      <c r="D2029" s="14" t="s">
        <v>273</v>
      </c>
      <c r="E2029" s="229"/>
      <c r="F2029" s="117" t="s">
        <v>6923</v>
      </c>
      <c r="G2029" s="26">
        <v>41335</v>
      </c>
      <c r="H2029" s="231"/>
      <c r="I2029" s="221"/>
      <c r="J2029" s="221"/>
      <c r="K2029" s="221"/>
      <c r="L2029" s="221"/>
      <c r="M2029" s="221"/>
      <c r="N2029" s="221"/>
      <c r="O2029" s="225"/>
      <c r="P2029" s="118" t="s">
        <v>2870</v>
      </c>
      <c r="Q2029" s="16" t="s">
        <v>20</v>
      </c>
      <c r="R2029" s="17" t="s">
        <v>1605</v>
      </c>
      <c r="S2029" s="121"/>
      <c r="T2029" s="122"/>
      <c r="U2029" s="22"/>
      <c r="V2029" s="123" t="s">
        <v>2747</v>
      </c>
      <c r="W2029" s="122">
        <v>6068</v>
      </c>
      <c r="X2029" s="221"/>
      <c r="Y2029" s="221"/>
      <c r="Z2029" s="221"/>
      <c r="AA2029" s="221"/>
      <c r="AB2029" s="223"/>
    </row>
    <row r="2030" spans="1:28" ht="17.100000000000001" customHeight="1" thickTop="1">
      <c r="A2030" s="226" t="s">
        <v>6868</v>
      </c>
      <c r="B2030" s="28">
        <v>45933</v>
      </c>
      <c r="C2030" s="25">
        <v>2104</v>
      </c>
      <c r="D2030" s="13" t="s">
        <v>2313</v>
      </c>
      <c r="E2030" s="228"/>
      <c r="F2030" s="109" t="s">
        <v>6924</v>
      </c>
      <c r="G2030" s="24" t="s">
        <v>3867</v>
      </c>
      <c r="H2030" s="230">
        <v>4.5</v>
      </c>
      <c r="I2030" s="220">
        <v>1745000</v>
      </c>
      <c r="J2030" s="220">
        <f>I2030*0.1</f>
        <v>174500</v>
      </c>
      <c r="K2030" s="220">
        <f>27700+2770</f>
        <v>30470</v>
      </c>
      <c r="L2030" s="220">
        <v>14840</v>
      </c>
      <c r="M2030" s="220">
        <v>16500</v>
      </c>
      <c r="N2030" s="220">
        <f>SUM(I2030:M2031)</f>
        <v>1981310</v>
      </c>
      <c r="O2030" s="224"/>
      <c r="P2030" s="110" t="s">
        <v>6925</v>
      </c>
      <c r="Q2030" s="15" t="s">
        <v>19</v>
      </c>
      <c r="R2030" s="205"/>
      <c r="S2030" s="189" t="s">
        <v>1271</v>
      </c>
      <c r="T2030" s="114" t="s">
        <v>8123</v>
      </c>
      <c r="U2030" s="21"/>
      <c r="V2030" s="115">
        <v>45939</v>
      </c>
      <c r="W2030" s="116">
        <v>1301</v>
      </c>
      <c r="X2030" s="220">
        <v>1895000</v>
      </c>
      <c r="Y2030" s="220">
        <v>189500</v>
      </c>
      <c r="Z2030" s="220">
        <v>14840</v>
      </c>
      <c r="AA2030" s="220">
        <f>SUM(X2030:Z2030)</f>
        <v>2099340</v>
      </c>
      <c r="AB2030" s="222">
        <v>45940</v>
      </c>
    </row>
    <row r="2031" spans="1:28" ht="17.100000000000001" customHeight="1" thickBot="1">
      <c r="A2031" s="227"/>
      <c r="B2031" s="27" t="s">
        <v>1536</v>
      </c>
      <c r="C2031" s="27">
        <v>13179</v>
      </c>
      <c r="D2031" s="14" t="s">
        <v>898</v>
      </c>
      <c r="E2031" s="229"/>
      <c r="F2031" s="117" t="s">
        <v>7416</v>
      </c>
      <c r="G2031" s="26">
        <v>54137</v>
      </c>
      <c r="H2031" s="231"/>
      <c r="I2031" s="221"/>
      <c r="J2031" s="221"/>
      <c r="K2031" s="221"/>
      <c r="L2031" s="221"/>
      <c r="M2031" s="221"/>
      <c r="N2031" s="221"/>
      <c r="O2031" s="225"/>
      <c r="P2031" s="118" t="s">
        <v>7417</v>
      </c>
      <c r="Q2031" s="16" t="s">
        <v>20</v>
      </c>
      <c r="R2031" s="17" t="s">
        <v>1605</v>
      </c>
      <c r="S2031" s="121" t="s">
        <v>7708</v>
      </c>
      <c r="T2031" s="127" t="s">
        <v>7960</v>
      </c>
      <c r="U2031" s="22"/>
      <c r="V2031" s="123" t="s">
        <v>7441</v>
      </c>
      <c r="W2031" s="122">
        <v>83</v>
      </c>
      <c r="X2031" s="221"/>
      <c r="Y2031" s="221"/>
      <c r="Z2031" s="221"/>
      <c r="AA2031" s="221"/>
      <c r="AB2031" s="223"/>
    </row>
    <row r="2032" spans="1:28" ht="17.100000000000001" customHeight="1" thickTop="1">
      <c r="A2032" s="226" t="s">
        <v>6869</v>
      </c>
      <c r="B2032" s="28">
        <v>45933</v>
      </c>
      <c r="C2032" s="25">
        <v>2104</v>
      </c>
      <c r="D2032" s="13" t="s">
        <v>2113</v>
      </c>
      <c r="E2032" s="228"/>
      <c r="F2032" s="109" t="s">
        <v>6882</v>
      </c>
      <c r="G2032" s="24" t="s">
        <v>2038</v>
      </c>
      <c r="H2032" s="230">
        <v>4.5</v>
      </c>
      <c r="I2032" s="220">
        <v>1090000</v>
      </c>
      <c r="J2032" s="220">
        <f>I2032*0.1</f>
        <v>109000</v>
      </c>
      <c r="K2032" s="220">
        <f>16400+1640</f>
        <v>18040</v>
      </c>
      <c r="L2032" s="220">
        <v>20860</v>
      </c>
      <c r="M2032" s="220">
        <v>16500</v>
      </c>
      <c r="N2032" s="220">
        <f>SUM(I2032:M2033)</f>
        <v>1254400</v>
      </c>
      <c r="O2032" s="224"/>
      <c r="P2032" s="110" t="s">
        <v>6927</v>
      </c>
      <c r="Q2032" s="15" t="s">
        <v>19</v>
      </c>
      <c r="R2032" s="205"/>
      <c r="S2032" s="189" t="s">
        <v>1271</v>
      </c>
      <c r="T2032" s="114"/>
      <c r="U2032" s="21"/>
      <c r="V2032" s="115">
        <v>45953</v>
      </c>
      <c r="W2032" s="116">
        <v>1303</v>
      </c>
      <c r="X2032" s="220">
        <v>1190000</v>
      </c>
      <c r="Y2032" s="220">
        <f>X2032*0.1</f>
        <v>119000</v>
      </c>
      <c r="Z2032" s="220">
        <v>20860</v>
      </c>
      <c r="AA2032" s="220">
        <f>SUM(X2032:Z2032)</f>
        <v>1329860</v>
      </c>
      <c r="AB2032" s="222">
        <v>45954</v>
      </c>
    </row>
    <row r="2033" spans="1:28" ht="17.100000000000001" customHeight="1" thickBot="1">
      <c r="A2033" s="227"/>
      <c r="B2033" s="27" t="s">
        <v>1536</v>
      </c>
      <c r="C2033" s="27">
        <v>35207</v>
      </c>
      <c r="D2033" s="14" t="s">
        <v>1584</v>
      </c>
      <c r="E2033" s="229"/>
      <c r="F2033" s="117" t="s">
        <v>6926</v>
      </c>
      <c r="G2033" s="26">
        <v>48118</v>
      </c>
      <c r="H2033" s="231"/>
      <c r="I2033" s="221"/>
      <c r="J2033" s="221"/>
      <c r="K2033" s="221"/>
      <c r="L2033" s="221"/>
      <c r="M2033" s="221"/>
      <c r="N2033" s="221"/>
      <c r="O2033" s="225"/>
      <c r="P2033" s="118" t="s">
        <v>7766</v>
      </c>
      <c r="Q2033" s="16" t="s">
        <v>20</v>
      </c>
      <c r="R2033" s="17" t="s">
        <v>1605</v>
      </c>
      <c r="S2033" s="121" t="s">
        <v>1731</v>
      </c>
      <c r="T2033" s="122"/>
      <c r="U2033" s="22"/>
      <c r="V2033" s="123" t="s">
        <v>7447</v>
      </c>
      <c r="W2033" s="122">
        <v>24</v>
      </c>
      <c r="X2033" s="221"/>
      <c r="Y2033" s="221"/>
      <c r="Z2033" s="221"/>
      <c r="AA2033" s="221"/>
      <c r="AB2033" s="223"/>
    </row>
    <row r="2034" spans="1:28" ht="17.100000000000001" customHeight="1" thickTop="1">
      <c r="A2034" s="226" t="s">
        <v>6870</v>
      </c>
      <c r="B2034" s="28">
        <v>45933</v>
      </c>
      <c r="C2034" s="25">
        <v>2104</v>
      </c>
      <c r="D2034" s="13" t="s">
        <v>2033</v>
      </c>
      <c r="E2034" s="228"/>
      <c r="F2034" s="109" t="s">
        <v>1854</v>
      </c>
      <c r="G2034" s="24" t="s">
        <v>5571</v>
      </c>
      <c r="H2034" s="230">
        <v>4</v>
      </c>
      <c r="I2034" s="220">
        <v>465000</v>
      </c>
      <c r="J2034" s="220">
        <f>I2034*0.1</f>
        <v>46500</v>
      </c>
      <c r="K2034" s="220">
        <f>16400+1640</f>
        <v>18040</v>
      </c>
      <c r="L2034" s="220">
        <v>18960</v>
      </c>
      <c r="M2034" s="220">
        <v>16500</v>
      </c>
      <c r="N2034" s="220">
        <f>SUM(I2034:M2035)</f>
        <v>565000</v>
      </c>
      <c r="O2034" s="224"/>
      <c r="P2034" s="110" t="s">
        <v>6929</v>
      </c>
      <c r="Q2034" s="15" t="s">
        <v>19</v>
      </c>
      <c r="R2034" s="205"/>
      <c r="S2034" s="189" t="s">
        <v>25383</v>
      </c>
      <c r="T2034" s="114"/>
      <c r="U2034" s="21"/>
      <c r="V2034" s="115">
        <v>45953</v>
      </c>
      <c r="W2034" s="116">
        <v>1303</v>
      </c>
      <c r="X2034" s="220">
        <v>495000</v>
      </c>
      <c r="Y2034" s="220">
        <f>X2034*0.1</f>
        <v>49500</v>
      </c>
      <c r="Z2034" s="220">
        <v>18960</v>
      </c>
      <c r="AA2034" s="220">
        <f>SUM(X2034:Z2034)</f>
        <v>563460</v>
      </c>
      <c r="AB2034" s="222">
        <v>45954</v>
      </c>
    </row>
    <row r="2035" spans="1:28" ht="17.100000000000001" customHeight="1" thickBot="1">
      <c r="A2035" s="227"/>
      <c r="B2035" s="27" t="s">
        <v>1536</v>
      </c>
      <c r="C2035" s="27">
        <v>35335</v>
      </c>
      <c r="D2035" s="14" t="s">
        <v>273</v>
      </c>
      <c r="E2035" s="229"/>
      <c r="F2035" s="117" t="s">
        <v>6928</v>
      </c>
      <c r="G2035" s="26">
        <v>59848</v>
      </c>
      <c r="H2035" s="231"/>
      <c r="I2035" s="221"/>
      <c r="J2035" s="221"/>
      <c r="K2035" s="221"/>
      <c r="L2035" s="221"/>
      <c r="M2035" s="221"/>
      <c r="N2035" s="221"/>
      <c r="O2035" s="225"/>
      <c r="P2035" s="118" t="s">
        <v>7767</v>
      </c>
      <c r="Q2035" s="16" t="s">
        <v>20</v>
      </c>
      <c r="R2035" s="17" t="s">
        <v>1605</v>
      </c>
      <c r="S2035" s="121" t="s">
        <v>1731</v>
      </c>
      <c r="T2035" s="122"/>
      <c r="U2035" s="22"/>
      <c r="V2035" s="123" t="s">
        <v>7447</v>
      </c>
      <c r="W2035" s="122">
        <v>149</v>
      </c>
      <c r="X2035" s="221"/>
      <c r="Y2035" s="221"/>
      <c r="Z2035" s="221"/>
      <c r="AA2035" s="221"/>
      <c r="AB2035" s="223"/>
    </row>
    <row r="2036" spans="1:28" ht="17.100000000000001" customHeight="1" thickTop="1">
      <c r="A2036" s="226" t="s">
        <v>6871</v>
      </c>
      <c r="B2036" s="28">
        <v>45933</v>
      </c>
      <c r="C2036" s="25">
        <v>2104</v>
      </c>
      <c r="D2036" s="13" t="s">
        <v>1704</v>
      </c>
      <c r="E2036" s="228"/>
      <c r="F2036" s="109" t="s">
        <v>4619</v>
      </c>
      <c r="G2036" s="24" t="s">
        <v>6930</v>
      </c>
      <c r="H2036" s="230">
        <v>4.5</v>
      </c>
      <c r="I2036" s="220">
        <v>1205000</v>
      </c>
      <c r="J2036" s="220">
        <f>I2036*0.1</f>
        <v>120500</v>
      </c>
      <c r="K2036" s="220">
        <v>0</v>
      </c>
      <c r="L2036" s="220">
        <v>8550</v>
      </c>
      <c r="M2036" s="220">
        <v>16500</v>
      </c>
      <c r="N2036" s="220">
        <f>SUM(I2036:M2037)</f>
        <v>1350550</v>
      </c>
      <c r="O2036" s="224"/>
      <c r="P2036" s="110" t="s">
        <v>6931</v>
      </c>
      <c r="Q2036" s="15" t="s">
        <v>19</v>
      </c>
      <c r="R2036" s="205"/>
      <c r="S2036" s="189" t="s">
        <v>25495</v>
      </c>
      <c r="T2036" s="114"/>
      <c r="U2036" s="21" t="s">
        <v>9847</v>
      </c>
      <c r="V2036" s="115">
        <v>45962</v>
      </c>
      <c r="W2036" s="116">
        <v>1274</v>
      </c>
      <c r="X2036" s="220">
        <v>1250000</v>
      </c>
      <c r="Y2036" s="220">
        <f>X2036*0.1</f>
        <v>125000</v>
      </c>
      <c r="Z2036" s="220">
        <v>8550</v>
      </c>
      <c r="AA2036" s="220">
        <f>SUM(X2036:Z2036)</f>
        <v>1383550</v>
      </c>
      <c r="AB2036" s="222">
        <v>45967</v>
      </c>
    </row>
    <row r="2037" spans="1:28" ht="17.100000000000001" customHeight="1" thickBot="1">
      <c r="A2037" s="227"/>
      <c r="B2037" s="27" t="s">
        <v>1536</v>
      </c>
      <c r="C2037" s="27">
        <v>55122</v>
      </c>
      <c r="D2037" s="14" t="s">
        <v>273</v>
      </c>
      <c r="E2037" s="229"/>
      <c r="F2037" s="117" t="s">
        <v>6883</v>
      </c>
      <c r="G2037" s="26">
        <v>49197</v>
      </c>
      <c r="H2037" s="231"/>
      <c r="I2037" s="221"/>
      <c r="J2037" s="221"/>
      <c r="K2037" s="221"/>
      <c r="L2037" s="221"/>
      <c r="M2037" s="221"/>
      <c r="N2037" s="221"/>
      <c r="O2037" s="225"/>
      <c r="P2037" s="118" t="s">
        <v>7801</v>
      </c>
      <c r="Q2037" s="16" t="s">
        <v>20</v>
      </c>
      <c r="R2037" s="17" t="s">
        <v>1605</v>
      </c>
      <c r="S2037" s="121" t="s">
        <v>2312</v>
      </c>
      <c r="T2037" s="122"/>
      <c r="U2037" s="22"/>
      <c r="V2037" s="123" t="s">
        <v>7160</v>
      </c>
      <c r="W2037" s="122">
        <v>60186</v>
      </c>
      <c r="X2037" s="221"/>
      <c r="Y2037" s="221"/>
      <c r="Z2037" s="221"/>
      <c r="AA2037" s="221"/>
      <c r="AB2037" s="223"/>
    </row>
    <row r="2038" spans="1:28" ht="17.100000000000001" customHeight="1" thickTop="1">
      <c r="A2038" s="226" t="s">
        <v>6872</v>
      </c>
      <c r="B2038" s="28">
        <v>45933</v>
      </c>
      <c r="C2038" s="25">
        <v>2104</v>
      </c>
      <c r="D2038" s="13" t="s">
        <v>1053</v>
      </c>
      <c r="E2038" s="228"/>
      <c r="F2038" s="109" t="s">
        <v>6884</v>
      </c>
      <c r="G2038" s="24" t="s">
        <v>6933</v>
      </c>
      <c r="H2038" s="230">
        <v>4</v>
      </c>
      <c r="I2038" s="220">
        <v>1110000</v>
      </c>
      <c r="J2038" s="220">
        <f>I2038*0.1</f>
        <v>111000</v>
      </c>
      <c r="K2038" s="220">
        <v>0</v>
      </c>
      <c r="L2038" s="220">
        <v>8640</v>
      </c>
      <c r="M2038" s="220">
        <v>16500</v>
      </c>
      <c r="N2038" s="220">
        <f>SUM(I2038:M2039)</f>
        <v>1246140</v>
      </c>
      <c r="O2038" s="224"/>
      <c r="P2038" s="110" t="s">
        <v>6934</v>
      </c>
      <c r="Q2038" s="15" t="s">
        <v>19</v>
      </c>
      <c r="R2038" s="205"/>
      <c r="S2038" s="189"/>
      <c r="T2038" s="114"/>
      <c r="U2038" s="21"/>
      <c r="V2038" s="115">
        <v>45941</v>
      </c>
      <c r="W2038" s="116">
        <v>1271</v>
      </c>
      <c r="X2038" s="220">
        <v>1170000</v>
      </c>
      <c r="Y2038" s="220">
        <v>117000</v>
      </c>
      <c r="Z2038" s="220">
        <v>8640</v>
      </c>
      <c r="AA2038" s="220">
        <f>SUM(X2038:Z2038)</f>
        <v>1295640</v>
      </c>
      <c r="AB2038" s="222">
        <v>45945</v>
      </c>
    </row>
    <row r="2039" spans="1:28" ht="17.100000000000001" customHeight="1" thickBot="1">
      <c r="A2039" s="227"/>
      <c r="B2039" s="27" t="s">
        <v>1536</v>
      </c>
      <c r="C2039" s="27">
        <v>55134</v>
      </c>
      <c r="D2039" s="14" t="s">
        <v>1568</v>
      </c>
      <c r="E2039" s="229"/>
      <c r="F2039" s="117" t="s">
        <v>6885</v>
      </c>
      <c r="G2039" s="26">
        <v>54286</v>
      </c>
      <c r="H2039" s="231"/>
      <c r="I2039" s="221"/>
      <c r="J2039" s="221"/>
      <c r="K2039" s="221"/>
      <c r="L2039" s="221"/>
      <c r="M2039" s="221"/>
      <c r="N2039" s="221"/>
      <c r="O2039" s="225"/>
      <c r="P2039" s="118" t="s">
        <v>3355</v>
      </c>
      <c r="Q2039" s="16" t="s">
        <v>20</v>
      </c>
      <c r="R2039" s="17" t="s">
        <v>3236</v>
      </c>
      <c r="S2039" s="121" t="s">
        <v>2629</v>
      </c>
      <c r="T2039" s="122"/>
      <c r="U2039" s="22"/>
      <c r="V2039" s="123" t="s">
        <v>2472</v>
      </c>
      <c r="W2039" s="122">
        <v>60483</v>
      </c>
      <c r="X2039" s="221"/>
      <c r="Y2039" s="221"/>
      <c r="Z2039" s="221"/>
      <c r="AA2039" s="221"/>
      <c r="AB2039" s="223"/>
    </row>
    <row r="2040" spans="1:28" ht="17.100000000000001" customHeight="1" thickTop="1">
      <c r="A2040" s="226" t="s">
        <v>6873</v>
      </c>
      <c r="B2040" s="28">
        <v>45933</v>
      </c>
      <c r="C2040" s="25">
        <v>2104</v>
      </c>
      <c r="D2040" s="13" t="s">
        <v>2057</v>
      </c>
      <c r="E2040" s="228"/>
      <c r="F2040" s="109" t="s">
        <v>6935</v>
      </c>
      <c r="G2040" s="24" t="s">
        <v>5355</v>
      </c>
      <c r="H2040" s="230">
        <v>4</v>
      </c>
      <c r="I2040" s="220">
        <v>720000</v>
      </c>
      <c r="J2040" s="220">
        <f>I2040*0.1</f>
        <v>72000</v>
      </c>
      <c r="K2040" s="220">
        <v>0</v>
      </c>
      <c r="L2040" s="220">
        <v>8510</v>
      </c>
      <c r="M2040" s="220">
        <v>16500</v>
      </c>
      <c r="N2040" s="220">
        <f>SUM(I2040:M2041)</f>
        <v>817010</v>
      </c>
      <c r="O2040" s="224"/>
      <c r="P2040" s="110" t="s">
        <v>6936</v>
      </c>
      <c r="Q2040" s="15" t="s">
        <v>19</v>
      </c>
      <c r="R2040" s="205"/>
      <c r="S2040" s="189" t="s">
        <v>1276</v>
      </c>
      <c r="T2040" s="114"/>
      <c r="U2040" s="21"/>
      <c r="V2040" s="115">
        <v>45948</v>
      </c>
      <c r="W2040" s="116">
        <v>1272</v>
      </c>
      <c r="X2040" s="220">
        <v>800000</v>
      </c>
      <c r="Y2040" s="220">
        <f>X2040*0.1</f>
        <v>80000</v>
      </c>
      <c r="Z2040" s="220">
        <v>8510</v>
      </c>
      <c r="AA2040" s="220">
        <f>SUM(X2040:Z2040)</f>
        <v>888510</v>
      </c>
      <c r="AB2040" s="222">
        <v>45952</v>
      </c>
    </row>
    <row r="2041" spans="1:28" ht="17.100000000000001" customHeight="1" thickBot="1">
      <c r="A2041" s="227"/>
      <c r="B2041" s="27" t="s">
        <v>1536</v>
      </c>
      <c r="C2041" s="27">
        <v>55207</v>
      </c>
      <c r="D2041" s="14" t="s">
        <v>1710</v>
      </c>
      <c r="E2041" s="229"/>
      <c r="F2041" s="117" t="s">
        <v>6886</v>
      </c>
      <c r="G2041" s="26">
        <v>47073</v>
      </c>
      <c r="H2041" s="231"/>
      <c r="I2041" s="221"/>
      <c r="J2041" s="221"/>
      <c r="K2041" s="221"/>
      <c r="L2041" s="221"/>
      <c r="M2041" s="221"/>
      <c r="N2041" s="221"/>
      <c r="O2041" s="225"/>
      <c r="P2041" s="118" t="s">
        <v>7784</v>
      </c>
      <c r="Q2041" s="16" t="s">
        <v>20</v>
      </c>
      <c r="R2041" s="17" t="s">
        <v>1605</v>
      </c>
      <c r="S2041" s="121" t="s">
        <v>7785</v>
      </c>
      <c r="T2041" s="122"/>
      <c r="U2041" s="22"/>
      <c r="V2041" s="123" t="s">
        <v>7160</v>
      </c>
      <c r="W2041" s="122">
        <v>60286</v>
      </c>
      <c r="X2041" s="221"/>
      <c r="Y2041" s="221"/>
      <c r="Z2041" s="221"/>
      <c r="AA2041" s="221"/>
      <c r="AB2041" s="223"/>
    </row>
    <row r="2042" spans="1:28" ht="17.100000000000001" customHeight="1" thickTop="1">
      <c r="A2042" s="226" t="s">
        <v>6874</v>
      </c>
      <c r="B2042" s="28">
        <v>45933</v>
      </c>
      <c r="C2042" s="25">
        <v>2104</v>
      </c>
      <c r="D2042" s="13" t="s">
        <v>2392</v>
      </c>
      <c r="E2042" s="228"/>
      <c r="F2042" s="109" t="s">
        <v>6887</v>
      </c>
      <c r="G2042" s="24" t="s">
        <v>4239</v>
      </c>
      <c r="H2042" s="230">
        <v>4</v>
      </c>
      <c r="I2042" s="220">
        <v>1495000</v>
      </c>
      <c r="J2042" s="220">
        <f>I2042*0.1</f>
        <v>149500</v>
      </c>
      <c r="K2042" s="220">
        <v>0</v>
      </c>
      <c r="L2042" s="220">
        <v>11100</v>
      </c>
      <c r="M2042" s="220">
        <v>16500</v>
      </c>
      <c r="N2042" s="220">
        <f>SUM(I2042:M2043)</f>
        <v>1672100</v>
      </c>
      <c r="O2042" s="224"/>
      <c r="P2042" s="110" t="s">
        <v>6937</v>
      </c>
      <c r="Q2042" s="15" t="s">
        <v>19</v>
      </c>
      <c r="R2042" s="205"/>
      <c r="S2042" s="189" t="s">
        <v>1113</v>
      </c>
      <c r="T2042" s="114"/>
      <c r="U2042" s="21"/>
      <c r="V2042" s="115">
        <v>45941</v>
      </c>
      <c r="W2042" s="116">
        <v>1271</v>
      </c>
      <c r="X2042" s="220">
        <v>1540000</v>
      </c>
      <c r="Y2042" s="220">
        <v>154000</v>
      </c>
      <c r="Z2042" s="220">
        <v>11100</v>
      </c>
      <c r="AA2042" s="220">
        <f>SUM(X2042:Z2042)</f>
        <v>1705100</v>
      </c>
      <c r="AB2042" s="222">
        <v>45944</v>
      </c>
    </row>
    <row r="2043" spans="1:28" ht="17.100000000000001" customHeight="1" thickBot="1">
      <c r="A2043" s="227"/>
      <c r="B2043" s="27" t="s">
        <v>1536</v>
      </c>
      <c r="C2043" s="27">
        <v>55227</v>
      </c>
      <c r="D2043" s="14" t="s">
        <v>2559</v>
      </c>
      <c r="E2043" s="229"/>
      <c r="F2043" s="117" t="s">
        <v>6888</v>
      </c>
      <c r="G2043" s="26">
        <v>31539</v>
      </c>
      <c r="H2043" s="231"/>
      <c r="I2043" s="221"/>
      <c r="J2043" s="221"/>
      <c r="K2043" s="221"/>
      <c r="L2043" s="221"/>
      <c r="M2043" s="221"/>
      <c r="N2043" s="221"/>
      <c r="O2043" s="225"/>
      <c r="P2043" s="118" t="s">
        <v>7802</v>
      </c>
      <c r="Q2043" s="16" t="s">
        <v>20</v>
      </c>
      <c r="R2043" s="17" t="s">
        <v>1605</v>
      </c>
      <c r="S2043" s="121" t="s">
        <v>1731</v>
      </c>
      <c r="T2043" s="122"/>
      <c r="U2043" s="22"/>
      <c r="V2043" s="123" t="s">
        <v>2472</v>
      </c>
      <c r="W2043" s="122">
        <v>60019</v>
      </c>
      <c r="X2043" s="221"/>
      <c r="Y2043" s="221"/>
      <c r="Z2043" s="221"/>
      <c r="AA2043" s="221"/>
      <c r="AB2043" s="223"/>
    </row>
    <row r="2044" spans="1:28" ht="17.100000000000001" customHeight="1" thickTop="1">
      <c r="A2044" s="226" t="s">
        <v>6875</v>
      </c>
      <c r="B2044" s="28">
        <v>45933</v>
      </c>
      <c r="C2044" s="25">
        <v>2104</v>
      </c>
      <c r="D2044" s="13" t="s">
        <v>3857</v>
      </c>
      <c r="E2044" s="228"/>
      <c r="F2044" s="109" t="s">
        <v>2943</v>
      </c>
      <c r="G2044" s="24" t="s">
        <v>2494</v>
      </c>
      <c r="H2044" s="230">
        <v>4</v>
      </c>
      <c r="I2044" s="220">
        <v>685000</v>
      </c>
      <c r="J2044" s="220">
        <f>I2044*0.1</f>
        <v>68500</v>
      </c>
      <c r="K2044" s="220">
        <v>0</v>
      </c>
      <c r="L2044" s="220">
        <v>8400</v>
      </c>
      <c r="M2044" s="220">
        <v>16500</v>
      </c>
      <c r="N2044" s="220">
        <f>SUM(I2044:M2045)</f>
        <v>778400</v>
      </c>
      <c r="O2044" s="224"/>
      <c r="P2044" s="110" t="s">
        <v>6938</v>
      </c>
      <c r="Q2044" s="15" t="s">
        <v>19</v>
      </c>
      <c r="R2044" s="205"/>
      <c r="S2044" s="189" t="s">
        <v>25467</v>
      </c>
      <c r="T2044" s="114"/>
      <c r="U2044" s="21"/>
      <c r="V2044" s="115">
        <v>45948</v>
      </c>
      <c r="W2044" s="116">
        <v>1272</v>
      </c>
      <c r="X2044" s="220">
        <v>765000</v>
      </c>
      <c r="Y2044" s="220">
        <f>X2044*0.1</f>
        <v>76500</v>
      </c>
      <c r="Z2044" s="220">
        <v>8400</v>
      </c>
      <c r="AA2044" s="220">
        <f>SUM(X2044:Z2044)</f>
        <v>849900</v>
      </c>
      <c r="AB2044" s="222">
        <v>45952</v>
      </c>
    </row>
    <row r="2045" spans="1:28" ht="17.100000000000001" customHeight="1" thickBot="1">
      <c r="A2045" s="227"/>
      <c r="B2045" s="27" t="s">
        <v>1536</v>
      </c>
      <c r="C2045" s="27">
        <v>55264</v>
      </c>
      <c r="D2045" s="14" t="s">
        <v>2788</v>
      </c>
      <c r="E2045" s="229"/>
      <c r="F2045" s="117" t="s">
        <v>6889</v>
      </c>
      <c r="G2045" s="26">
        <v>40811</v>
      </c>
      <c r="H2045" s="231"/>
      <c r="I2045" s="221"/>
      <c r="J2045" s="221"/>
      <c r="K2045" s="221"/>
      <c r="L2045" s="221"/>
      <c r="M2045" s="221"/>
      <c r="N2045" s="221"/>
      <c r="O2045" s="225"/>
      <c r="P2045" s="118" t="s">
        <v>7792</v>
      </c>
      <c r="Q2045" s="16" t="s">
        <v>20</v>
      </c>
      <c r="R2045" s="17" t="s">
        <v>1605</v>
      </c>
      <c r="S2045" s="121" t="s">
        <v>2025</v>
      </c>
      <c r="T2045" s="122"/>
      <c r="U2045" s="22"/>
      <c r="V2045" s="123" t="s">
        <v>7160</v>
      </c>
      <c r="W2045" s="122">
        <v>60221</v>
      </c>
      <c r="X2045" s="221"/>
      <c r="Y2045" s="221"/>
      <c r="Z2045" s="221"/>
      <c r="AA2045" s="221"/>
      <c r="AB2045" s="223"/>
    </row>
    <row r="2046" spans="1:28" ht="17.100000000000001" customHeight="1" thickTop="1">
      <c r="A2046" s="226" t="s">
        <v>6876</v>
      </c>
      <c r="B2046" s="28">
        <v>45933</v>
      </c>
      <c r="C2046" s="25">
        <v>2104</v>
      </c>
      <c r="D2046" s="13" t="s">
        <v>2065</v>
      </c>
      <c r="E2046" s="228"/>
      <c r="F2046" s="109" t="s">
        <v>6890</v>
      </c>
      <c r="G2046" s="24"/>
      <c r="H2046" s="230">
        <v>4</v>
      </c>
      <c r="I2046" s="220">
        <v>1085000</v>
      </c>
      <c r="J2046" s="220">
        <v>0</v>
      </c>
      <c r="K2046" s="220">
        <v>0</v>
      </c>
      <c r="L2046" s="220">
        <v>8550</v>
      </c>
      <c r="M2046" s="220">
        <v>16500</v>
      </c>
      <c r="N2046" s="220">
        <f>SUM(I2046:M2047)</f>
        <v>1110050</v>
      </c>
      <c r="O2046" s="224"/>
      <c r="P2046" s="110" t="s">
        <v>7793</v>
      </c>
      <c r="Q2046" s="15" t="s">
        <v>19</v>
      </c>
      <c r="R2046" s="205"/>
      <c r="S2046" s="189" t="s">
        <v>1422</v>
      </c>
      <c r="T2046" s="114"/>
      <c r="U2046" s="21"/>
      <c r="V2046" s="115">
        <v>45987</v>
      </c>
      <c r="W2046" s="116">
        <v>994</v>
      </c>
      <c r="X2046" s="220">
        <v>1075000</v>
      </c>
      <c r="Y2046" s="220">
        <f>X2046*0.1</f>
        <v>107500</v>
      </c>
      <c r="Z2046" s="220">
        <v>8550</v>
      </c>
      <c r="AA2046" s="220">
        <f>SUM(X2046:Z2046)</f>
        <v>1191050</v>
      </c>
      <c r="AB2046" s="222">
        <v>45992</v>
      </c>
    </row>
    <row r="2047" spans="1:28" ht="17.100000000000001" customHeight="1" thickBot="1">
      <c r="A2047" s="227"/>
      <c r="B2047" s="27" t="s">
        <v>1536</v>
      </c>
      <c r="C2047" s="27">
        <v>55307</v>
      </c>
      <c r="D2047" s="14" t="s">
        <v>2014</v>
      </c>
      <c r="E2047" s="229"/>
      <c r="F2047" s="117" t="s">
        <v>6891</v>
      </c>
      <c r="G2047" s="26">
        <v>45595</v>
      </c>
      <c r="H2047" s="231"/>
      <c r="I2047" s="221"/>
      <c r="J2047" s="221"/>
      <c r="K2047" s="221"/>
      <c r="L2047" s="221"/>
      <c r="M2047" s="221"/>
      <c r="N2047" s="221"/>
      <c r="O2047" s="225"/>
      <c r="P2047" s="118" t="s">
        <v>7794</v>
      </c>
      <c r="Q2047" s="16" t="s">
        <v>20</v>
      </c>
      <c r="R2047" s="17" t="s">
        <v>1605</v>
      </c>
      <c r="S2047" s="121" t="s">
        <v>7795</v>
      </c>
      <c r="T2047" s="122"/>
      <c r="U2047" s="22"/>
      <c r="V2047" s="123" t="s">
        <v>11555</v>
      </c>
      <c r="W2047" s="122">
        <v>2081</v>
      </c>
      <c r="X2047" s="221"/>
      <c r="Y2047" s="221"/>
      <c r="Z2047" s="221"/>
      <c r="AA2047" s="221"/>
      <c r="AB2047" s="223"/>
    </row>
    <row r="2048" spans="1:28" ht="17.100000000000001" customHeight="1" thickTop="1">
      <c r="A2048" s="226" t="s">
        <v>6877</v>
      </c>
      <c r="B2048" s="28">
        <v>45933</v>
      </c>
      <c r="C2048" s="25">
        <v>2104</v>
      </c>
      <c r="D2048" s="13" t="s">
        <v>2129</v>
      </c>
      <c r="E2048" s="228"/>
      <c r="F2048" s="109" t="s">
        <v>5389</v>
      </c>
      <c r="G2048" s="24"/>
      <c r="H2048" s="230">
        <v>4.5</v>
      </c>
      <c r="I2048" s="220">
        <v>435000</v>
      </c>
      <c r="J2048" s="220">
        <f>I2048*0.1</f>
        <v>43500</v>
      </c>
      <c r="K2048" s="220">
        <v>0</v>
      </c>
      <c r="L2048" s="220">
        <v>9210</v>
      </c>
      <c r="M2048" s="220">
        <v>16500</v>
      </c>
      <c r="N2048" s="220">
        <f>SUM(I2048:M2049)</f>
        <v>504210</v>
      </c>
      <c r="O2048" s="224"/>
      <c r="P2048" s="110" t="s">
        <v>7410</v>
      </c>
      <c r="Q2048" s="15" t="s">
        <v>19</v>
      </c>
      <c r="R2048" s="205"/>
      <c r="S2048" s="189" t="s">
        <v>1312</v>
      </c>
      <c r="T2048" s="114"/>
      <c r="U2048" s="21"/>
      <c r="V2048" s="115">
        <v>45937</v>
      </c>
      <c r="W2048" s="116">
        <v>1912</v>
      </c>
      <c r="X2048" s="220">
        <v>493000</v>
      </c>
      <c r="Y2048" s="220">
        <v>49300</v>
      </c>
      <c r="Z2048" s="220">
        <v>9210</v>
      </c>
      <c r="AA2048" s="220">
        <f>SUM(X2048:Z2048)</f>
        <v>551510</v>
      </c>
      <c r="AB2048" s="222"/>
    </row>
    <row r="2049" spans="1:28" ht="17.100000000000001" customHeight="1" thickBot="1">
      <c r="A2049" s="227"/>
      <c r="B2049" s="27" t="s">
        <v>1536</v>
      </c>
      <c r="C2049" s="27">
        <v>55360</v>
      </c>
      <c r="D2049" s="14" t="s">
        <v>1710</v>
      </c>
      <c r="E2049" s="229"/>
      <c r="F2049" s="117" t="s">
        <v>6892</v>
      </c>
      <c r="G2049" s="26">
        <v>25100</v>
      </c>
      <c r="H2049" s="231"/>
      <c r="I2049" s="221"/>
      <c r="J2049" s="221"/>
      <c r="K2049" s="221"/>
      <c r="L2049" s="221"/>
      <c r="M2049" s="221"/>
      <c r="N2049" s="221"/>
      <c r="O2049" s="225"/>
      <c r="P2049" s="118" t="s">
        <v>7411</v>
      </c>
      <c r="Q2049" s="16" t="s">
        <v>20</v>
      </c>
      <c r="R2049" s="17" t="s">
        <v>1605</v>
      </c>
      <c r="S2049" s="121" t="s">
        <v>2703</v>
      </c>
      <c r="T2049" s="122"/>
      <c r="U2049" s="22"/>
      <c r="V2049" s="123" t="s">
        <v>2103</v>
      </c>
      <c r="W2049" s="122">
        <v>3241</v>
      </c>
      <c r="X2049" s="221"/>
      <c r="Y2049" s="221"/>
      <c r="Z2049" s="221"/>
      <c r="AA2049" s="221"/>
      <c r="AB2049" s="223"/>
    </row>
    <row r="2050" spans="1:28" ht="17.100000000000001" customHeight="1" thickTop="1">
      <c r="A2050" s="226" t="s">
        <v>6878</v>
      </c>
      <c r="B2050" s="28">
        <v>45933</v>
      </c>
      <c r="C2050" s="25">
        <v>2104</v>
      </c>
      <c r="D2050" s="13" t="s">
        <v>1702</v>
      </c>
      <c r="E2050" s="228"/>
      <c r="F2050" s="109" t="s">
        <v>6893</v>
      </c>
      <c r="G2050" s="24" t="s">
        <v>2487</v>
      </c>
      <c r="H2050" s="230">
        <v>4</v>
      </c>
      <c r="I2050" s="220">
        <v>625000</v>
      </c>
      <c r="J2050" s="220">
        <f>I2050*0.1</f>
        <v>62500</v>
      </c>
      <c r="K2050" s="220">
        <v>0</v>
      </c>
      <c r="L2050" s="220">
        <v>8850</v>
      </c>
      <c r="M2050" s="220">
        <v>16500</v>
      </c>
      <c r="N2050" s="220">
        <f>SUM(I2050:M2051)</f>
        <v>712850</v>
      </c>
      <c r="O2050" s="224"/>
      <c r="P2050" s="110" t="s">
        <v>6939</v>
      </c>
      <c r="Q2050" s="15" t="s">
        <v>19</v>
      </c>
      <c r="R2050" s="205"/>
      <c r="S2050" s="189" t="s">
        <v>25392</v>
      </c>
      <c r="T2050" s="114"/>
      <c r="U2050" s="21"/>
      <c r="V2050" s="115">
        <v>45941</v>
      </c>
      <c r="W2050" s="116">
        <v>1271</v>
      </c>
      <c r="X2050" s="220">
        <v>685000</v>
      </c>
      <c r="Y2050" s="220">
        <v>68500</v>
      </c>
      <c r="Z2050" s="220">
        <v>8850</v>
      </c>
      <c r="AA2050" s="220">
        <f>SUM(X2050:Z2050)</f>
        <v>762350</v>
      </c>
      <c r="AB2050" s="222">
        <v>45944</v>
      </c>
    </row>
    <row r="2051" spans="1:28" ht="17.100000000000001" customHeight="1" thickBot="1">
      <c r="A2051" s="227"/>
      <c r="B2051" s="27" t="s">
        <v>1536</v>
      </c>
      <c r="C2051" s="27">
        <v>55415</v>
      </c>
      <c r="D2051" s="14" t="s">
        <v>273</v>
      </c>
      <c r="E2051" s="229"/>
      <c r="F2051" s="117" t="s">
        <v>6894</v>
      </c>
      <c r="G2051" s="26">
        <v>44120</v>
      </c>
      <c r="H2051" s="231"/>
      <c r="I2051" s="221"/>
      <c r="J2051" s="221"/>
      <c r="K2051" s="221"/>
      <c r="L2051" s="221"/>
      <c r="M2051" s="221"/>
      <c r="N2051" s="221"/>
      <c r="O2051" s="225"/>
      <c r="P2051" s="118" t="s">
        <v>7796</v>
      </c>
      <c r="Q2051" s="16" t="s">
        <v>20</v>
      </c>
      <c r="R2051" s="17" t="s">
        <v>1605</v>
      </c>
      <c r="S2051" s="121" t="s">
        <v>7898</v>
      </c>
      <c r="T2051" s="122"/>
      <c r="U2051" s="22"/>
      <c r="V2051" s="123" t="s">
        <v>2472</v>
      </c>
      <c r="W2051" s="122">
        <v>60025</v>
      </c>
      <c r="X2051" s="221"/>
      <c r="Y2051" s="221"/>
      <c r="Z2051" s="221"/>
      <c r="AA2051" s="221"/>
      <c r="AB2051" s="223"/>
    </row>
    <row r="2052" spans="1:28" ht="17.100000000000001" customHeight="1" thickTop="1">
      <c r="A2052" s="226" t="s">
        <v>6879</v>
      </c>
      <c r="B2052" s="28">
        <v>45933</v>
      </c>
      <c r="C2052" s="25">
        <v>2104</v>
      </c>
      <c r="D2052" s="13" t="s">
        <v>6940</v>
      </c>
      <c r="E2052" s="228"/>
      <c r="F2052" s="109" t="s">
        <v>6895</v>
      </c>
      <c r="G2052" s="24" t="s">
        <v>2084</v>
      </c>
      <c r="H2052" s="230">
        <v>4.5</v>
      </c>
      <c r="I2052" s="220">
        <v>350000</v>
      </c>
      <c r="J2052" s="220">
        <f>I2052*0.1</f>
        <v>35000</v>
      </c>
      <c r="K2052" s="220">
        <v>0</v>
      </c>
      <c r="L2052" s="220">
        <v>9070</v>
      </c>
      <c r="M2052" s="220">
        <v>16500</v>
      </c>
      <c r="N2052" s="220">
        <f>SUM(I2052:M2053)</f>
        <v>410570</v>
      </c>
      <c r="O2052" s="224"/>
      <c r="P2052" s="110" t="s">
        <v>6941</v>
      </c>
      <c r="Q2052" s="15" t="s">
        <v>19</v>
      </c>
      <c r="R2052" s="205"/>
      <c r="S2052" s="189"/>
      <c r="T2052" s="114"/>
      <c r="U2052" s="21"/>
      <c r="V2052" s="115">
        <v>45951</v>
      </c>
      <c r="W2052" s="116">
        <v>1914</v>
      </c>
      <c r="X2052" s="220">
        <v>391000</v>
      </c>
      <c r="Y2052" s="220">
        <f>X2052*0.1</f>
        <v>39100</v>
      </c>
      <c r="Z2052" s="220">
        <v>9070</v>
      </c>
      <c r="AA2052" s="220">
        <f>SUM(X2052:Z2052)</f>
        <v>439170</v>
      </c>
      <c r="AB2052" s="222">
        <v>45957</v>
      </c>
    </row>
    <row r="2053" spans="1:28" ht="17.100000000000001" customHeight="1" thickBot="1">
      <c r="A2053" s="227"/>
      <c r="B2053" s="27" t="s">
        <v>1536</v>
      </c>
      <c r="C2053" s="27">
        <v>55444</v>
      </c>
      <c r="D2053" s="14" t="s">
        <v>3792</v>
      </c>
      <c r="E2053" s="229"/>
      <c r="F2053" s="117" t="s">
        <v>6896</v>
      </c>
      <c r="G2053" s="26">
        <v>54856</v>
      </c>
      <c r="H2053" s="231"/>
      <c r="I2053" s="221"/>
      <c r="J2053" s="221"/>
      <c r="K2053" s="221"/>
      <c r="L2053" s="221"/>
      <c r="M2053" s="221"/>
      <c r="N2053" s="221"/>
      <c r="O2053" s="225"/>
      <c r="P2053" s="118" t="s">
        <v>7803</v>
      </c>
      <c r="Q2053" s="16" t="s">
        <v>20</v>
      </c>
      <c r="R2053" s="17" t="s">
        <v>1605</v>
      </c>
      <c r="S2053" s="121" t="s">
        <v>169</v>
      </c>
      <c r="T2053" s="122"/>
      <c r="U2053" s="22"/>
      <c r="V2053" s="123" t="s">
        <v>2103</v>
      </c>
      <c r="W2053" s="122">
        <v>3131</v>
      </c>
      <c r="X2053" s="221"/>
      <c r="Y2053" s="221"/>
      <c r="Z2053" s="221"/>
      <c r="AA2053" s="221"/>
      <c r="AB2053" s="223"/>
    </row>
    <row r="2054" spans="1:28" ht="17.100000000000001" customHeight="1" thickTop="1">
      <c r="A2054" s="226" t="s">
        <v>6880</v>
      </c>
      <c r="B2054" s="28">
        <v>45933</v>
      </c>
      <c r="C2054" s="25">
        <v>2104</v>
      </c>
      <c r="D2054" s="13" t="s">
        <v>1634</v>
      </c>
      <c r="E2054" s="228"/>
      <c r="F2054" s="109" t="s">
        <v>4339</v>
      </c>
      <c r="G2054" s="24" t="s">
        <v>3992</v>
      </c>
      <c r="H2054" s="230">
        <v>4.5</v>
      </c>
      <c r="I2054" s="220">
        <v>1280000</v>
      </c>
      <c r="J2054" s="220">
        <f>I2054*0.1</f>
        <v>128000</v>
      </c>
      <c r="K2054" s="220">
        <v>0</v>
      </c>
      <c r="L2054" s="220">
        <v>6830</v>
      </c>
      <c r="M2054" s="220">
        <v>16500</v>
      </c>
      <c r="N2054" s="220">
        <f>SUM(I2054:M2055)</f>
        <v>1431330</v>
      </c>
      <c r="O2054" s="224"/>
      <c r="P2054" s="110" t="s">
        <v>6942</v>
      </c>
      <c r="Q2054" s="15" t="s">
        <v>19</v>
      </c>
      <c r="R2054" s="205"/>
      <c r="S2054" s="189"/>
      <c r="T2054" s="114"/>
      <c r="U2054" s="21" t="s">
        <v>10844</v>
      </c>
      <c r="V2054" s="115">
        <v>45987</v>
      </c>
      <c r="W2054" s="116">
        <v>994</v>
      </c>
      <c r="X2054" s="220">
        <v>1330000</v>
      </c>
      <c r="Y2054" s="220">
        <f>X2054*0.1</f>
        <v>133000</v>
      </c>
      <c r="Z2054" s="220">
        <v>6830</v>
      </c>
      <c r="AA2054" s="220">
        <f>SUM(X2054:Z2054)</f>
        <v>1469830</v>
      </c>
      <c r="AB2054" s="222">
        <v>45992</v>
      </c>
    </row>
    <row r="2055" spans="1:28" ht="17.100000000000001" customHeight="1" thickBot="1">
      <c r="A2055" s="227"/>
      <c r="B2055" s="27" t="s">
        <v>1536</v>
      </c>
      <c r="C2055" s="27">
        <v>55469</v>
      </c>
      <c r="D2055" s="14" t="s">
        <v>2559</v>
      </c>
      <c r="E2055" s="229"/>
      <c r="F2055" s="117" t="s">
        <v>6897</v>
      </c>
      <c r="G2055" s="26">
        <v>59880</v>
      </c>
      <c r="H2055" s="231"/>
      <c r="I2055" s="221"/>
      <c r="J2055" s="221"/>
      <c r="K2055" s="221"/>
      <c r="L2055" s="221"/>
      <c r="M2055" s="221"/>
      <c r="N2055" s="221"/>
      <c r="O2055" s="225"/>
      <c r="P2055" s="118" t="s">
        <v>7799</v>
      </c>
      <c r="Q2055" s="16" t="s">
        <v>20</v>
      </c>
      <c r="R2055" s="17" t="s">
        <v>1605</v>
      </c>
      <c r="S2055" s="121" t="s">
        <v>2360</v>
      </c>
      <c r="T2055" s="122"/>
      <c r="U2055" s="22"/>
      <c r="V2055" s="123" t="s">
        <v>11555</v>
      </c>
      <c r="W2055" s="122">
        <v>2049</v>
      </c>
      <c r="X2055" s="221"/>
      <c r="Y2055" s="221"/>
      <c r="Z2055" s="221"/>
      <c r="AA2055" s="221"/>
      <c r="AB2055" s="223"/>
    </row>
    <row r="2056" spans="1:28" ht="17.100000000000001" customHeight="1" thickTop="1">
      <c r="A2056" s="226" t="s">
        <v>6881</v>
      </c>
      <c r="B2056" s="28">
        <v>45933</v>
      </c>
      <c r="C2056" s="25">
        <v>2104</v>
      </c>
      <c r="D2056" s="13" t="s">
        <v>1935</v>
      </c>
      <c r="E2056" s="228"/>
      <c r="F2056" s="109" t="s">
        <v>4361</v>
      </c>
      <c r="G2056" s="24" t="s">
        <v>2871</v>
      </c>
      <c r="H2056" s="230">
        <v>4.5</v>
      </c>
      <c r="I2056" s="220">
        <v>900000</v>
      </c>
      <c r="J2056" s="220">
        <f>I2056*0.1</f>
        <v>90000</v>
      </c>
      <c r="K2056" s="220">
        <v>0</v>
      </c>
      <c r="L2056" s="220">
        <v>9200</v>
      </c>
      <c r="M2056" s="220">
        <v>16500</v>
      </c>
      <c r="N2056" s="220">
        <f>SUM(I2056:M2057)</f>
        <v>1015700</v>
      </c>
      <c r="O2056" s="224"/>
      <c r="P2056" s="110" t="s">
        <v>7823</v>
      </c>
      <c r="Q2056" s="15" t="s">
        <v>19</v>
      </c>
      <c r="R2056" s="205"/>
      <c r="S2056" s="189" t="s">
        <v>25432</v>
      </c>
      <c r="T2056" s="114"/>
      <c r="U2056" s="21" t="s">
        <v>9840</v>
      </c>
      <c r="V2056" s="115">
        <v>45962</v>
      </c>
      <c r="W2056" s="116">
        <v>1274</v>
      </c>
      <c r="X2056" s="220">
        <v>975000</v>
      </c>
      <c r="Y2056" s="220">
        <f>X2056*0.1</f>
        <v>97500</v>
      </c>
      <c r="Z2056" s="220">
        <v>9200</v>
      </c>
      <c r="AA2056" s="220">
        <f>SUM(X2056:Z2056)</f>
        <v>1081700</v>
      </c>
      <c r="AB2056" s="222">
        <v>45967</v>
      </c>
    </row>
    <row r="2057" spans="1:28" ht="17.100000000000001" customHeight="1" thickBot="1">
      <c r="A2057" s="227"/>
      <c r="B2057" s="27" t="s">
        <v>1536</v>
      </c>
      <c r="C2057" s="27">
        <v>55470</v>
      </c>
      <c r="D2057" s="14" t="s">
        <v>273</v>
      </c>
      <c r="E2057" s="229"/>
      <c r="F2057" s="117" t="s">
        <v>6898</v>
      </c>
      <c r="G2057" s="26">
        <v>53500</v>
      </c>
      <c r="H2057" s="231"/>
      <c r="I2057" s="221"/>
      <c r="J2057" s="221"/>
      <c r="K2057" s="221"/>
      <c r="L2057" s="221"/>
      <c r="M2057" s="221"/>
      <c r="N2057" s="221"/>
      <c r="O2057" s="225"/>
      <c r="P2057" s="118" t="s">
        <v>7824</v>
      </c>
      <c r="Q2057" s="16" t="s">
        <v>20</v>
      </c>
      <c r="R2057" s="17" t="s">
        <v>2562</v>
      </c>
      <c r="S2057" s="121" t="s">
        <v>8363</v>
      </c>
      <c r="T2057" s="122"/>
      <c r="U2057" s="22"/>
      <c r="V2057" s="123" t="s">
        <v>2472</v>
      </c>
      <c r="W2057" s="122">
        <v>60060</v>
      </c>
      <c r="X2057" s="221"/>
      <c r="Y2057" s="221"/>
      <c r="Z2057" s="221"/>
      <c r="AA2057" s="221"/>
      <c r="AB2057" s="223"/>
    </row>
    <row r="2058" spans="1:28" ht="17.100000000000001" customHeight="1" thickTop="1">
      <c r="A2058" s="226" t="s">
        <v>6899</v>
      </c>
      <c r="B2058" s="28">
        <v>45933</v>
      </c>
      <c r="C2058" s="25">
        <v>2104</v>
      </c>
      <c r="D2058" s="13" t="s">
        <v>3327</v>
      </c>
      <c r="E2058" s="228"/>
      <c r="F2058" s="109" t="s">
        <v>6943</v>
      </c>
      <c r="G2058" s="24" t="s">
        <v>3775</v>
      </c>
      <c r="H2058" s="230">
        <v>4.5</v>
      </c>
      <c r="I2058" s="220">
        <v>2040000</v>
      </c>
      <c r="J2058" s="220">
        <f>I2058*0.1</f>
        <v>204000</v>
      </c>
      <c r="K2058" s="220">
        <f>16400+1640</f>
        <v>18040</v>
      </c>
      <c r="L2058" s="220">
        <v>13210</v>
      </c>
      <c r="M2058" s="220">
        <v>16500</v>
      </c>
      <c r="N2058" s="220">
        <f>SUM(I2058:M2059)</f>
        <v>2291750</v>
      </c>
      <c r="O2058" s="224"/>
      <c r="P2058" s="110" t="s">
        <v>6945</v>
      </c>
      <c r="Q2058" s="15" t="s">
        <v>19</v>
      </c>
      <c r="R2058" s="205"/>
      <c r="S2058" s="189" t="s">
        <v>25496</v>
      </c>
      <c r="T2058" s="114"/>
      <c r="U2058" s="21"/>
      <c r="V2058" s="115"/>
      <c r="W2058" s="116"/>
      <c r="X2058" s="220"/>
      <c r="Y2058" s="220">
        <f>X2058*0.1</f>
        <v>0</v>
      </c>
      <c r="Z2058" s="220"/>
      <c r="AA2058" s="220">
        <f>SUM(X2058:Z2058)</f>
        <v>0</v>
      </c>
      <c r="AB2058" s="222"/>
    </row>
    <row r="2059" spans="1:28" ht="17.100000000000001" customHeight="1" thickBot="1">
      <c r="A2059" s="227"/>
      <c r="B2059" s="27" t="s">
        <v>1536</v>
      </c>
      <c r="C2059" s="27">
        <v>58395</v>
      </c>
      <c r="D2059" s="14" t="s">
        <v>2559</v>
      </c>
      <c r="E2059" s="229"/>
      <c r="F2059" s="117" t="s">
        <v>6944</v>
      </c>
      <c r="G2059" s="26">
        <v>52023</v>
      </c>
      <c r="H2059" s="231"/>
      <c r="I2059" s="221"/>
      <c r="J2059" s="221"/>
      <c r="K2059" s="221"/>
      <c r="L2059" s="221"/>
      <c r="M2059" s="221"/>
      <c r="N2059" s="221"/>
      <c r="O2059" s="225"/>
      <c r="P2059" s="118" t="s">
        <v>7764</v>
      </c>
      <c r="Q2059" s="16" t="s">
        <v>20</v>
      </c>
      <c r="R2059" s="17" t="s">
        <v>1605</v>
      </c>
      <c r="S2059" s="121" t="s">
        <v>7765</v>
      </c>
      <c r="T2059" s="122"/>
      <c r="U2059" s="22" t="s">
        <v>3427</v>
      </c>
      <c r="V2059" s="123"/>
      <c r="W2059" s="122"/>
      <c r="X2059" s="221"/>
      <c r="Y2059" s="221"/>
      <c r="Z2059" s="221"/>
      <c r="AA2059" s="221"/>
      <c r="AB2059" s="223"/>
    </row>
    <row r="2060" spans="1:28" ht="17.100000000000001" customHeight="1" thickTop="1">
      <c r="A2060" s="226" t="s">
        <v>6900</v>
      </c>
      <c r="B2060" s="28">
        <v>45933</v>
      </c>
      <c r="C2060" s="25">
        <v>2104</v>
      </c>
      <c r="D2060" s="13" t="s">
        <v>4775</v>
      </c>
      <c r="E2060" s="228"/>
      <c r="F2060" s="109" t="s">
        <v>4145</v>
      </c>
      <c r="G2060" s="24"/>
      <c r="H2060" s="230">
        <v>4</v>
      </c>
      <c r="I2060" s="220">
        <v>255000</v>
      </c>
      <c r="J2060" s="220">
        <f>I2060*0.1</f>
        <v>25500</v>
      </c>
      <c r="K2060" s="220">
        <v>0</v>
      </c>
      <c r="L2060" s="220">
        <v>8460</v>
      </c>
      <c r="M2060" s="220">
        <v>16500</v>
      </c>
      <c r="N2060" s="220">
        <f>SUM(I2060:M2061)</f>
        <v>305460</v>
      </c>
      <c r="O2060" s="224"/>
      <c r="P2060" s="110" t="s">
        <v>7786</v>
      </c>
      <c r="Q2060" s="15" t="s">
        <v>19</v>
      </c>
      <c r="R2060" s="205"/>
      <c r="S2060" s="189" t="s">
        <v>1361</v>
      </c>
      <c r="T2060" s="114"/>
      <c r="U2060" s="21"/>
      <c r="V2060" s="115">
        <v>45983</v>
      </c>
      <c r="W2060" s="116">
        <v>1277</v>
      </c>
      <c r="X2060" s="220">
        <v>256000</v>
      </c>
      <c r="Y2060" s="220">
        <f>X2060*0.1</f>
        <v>25600</v>
      </c>
      <c r="Z2060" s="220">
        <v>8460</v>
      </c>
      <c r="AA2060" s="220">
        <f>SUM(X2060:Z2060)</f>
        <v>290060</v>
      </c>
      <c r="AB2060" s="222">
        <v>45987</v>
      </c>
    </row>
    <row r="2061" spans="1:28" ht="17.100000000000001" customHeight="1" thickBot="1">
      <c r="A2061" s="227"/>
      <c r="B2061" s="27" t="s">
        <v>1536</v>
      </c>
      <c r="C2061" s="27">
        <v>85034</v>
      </c>
      <c r="D2061" s="14" t="s">
        <v>3955</v>
      </c>
      <c r="E2061" s="229"/>
      <c r="F2061" s="117" t="s">
        <v>6906</v>
      </c>
      <c r="G2061" s="26">
        <v>48915</v>
      </c>
      <c r="H2061" s="231"/>
      <c r="I2061" s="221"/>
      <c r="J2061" s="221"/>
      <c r="K2061" s="221"/>
      <c r="L2061" s="221"/>
      <c r="M2061" s="221"/>
      <c r="N2061" s="221"/>
      <c r="O2061" s="225"/>
      <c r="P2061" s="118" t="s">
        <v>7787</v>
      </c>
      <c r="Q2061" s="16" t="s">
        <v>20</v>
      </c>
      <c r="R2061" s="17" t="s">
        <v>1605</v>
      </c>
      <c r="S2061" s="121" t="s">
        <v>169</v>
      </c>
      <c r="T2061" s="122"/>
      <c r="U2061" s="22"/>
      <c r="V2061" s="123" t="s">
        <v>7160</v>
      </c>
      <c r="W2061" s="122">
        <v>63099</v>
      </c>
      <c r="X2061" s="221"/>
      <c r="Y2061" s="221"/>
      <c r="Z2061" s="221"/>
      <c r="AA2061" s="221"/>
      <c r="AB2061" s="223"/>
    </row>
    <row r="2062" spans="1:28" ht="17.100000000000001" customHeight="1" thickTop="1">
      <c r="A2062" s="226" t="s">
        <v>6901</v>
      </c>
      <c r="B2062" s="28">
        <v>45933</v>
      </c>
      <c r="C2062" s="25">
        <v>2104</v>
      </c>
      <c r="D2062" s="13" t="s">
        <v>1685</v>
      </c>
      <c r="E2062" s="228"/>
      <c r="F2062" s="109" t="s">
        <v>6946</v>
      </c>
      <c r="G2062" s="24" t="s">
        <v>6947</v>
      </c>
      <c r="H2062" s="230">
        <v>4</v>
      </c>
      <c r="I2062" s="220">
        <v>595000</v>
      </c>
      <c r="J2062" s="220">
        <f>I2062*0.1</f>
        <v>59500</v>
      </c>
      <c r="K2062" s="220">
        <v>0</v>
      </c>
      <c r="L2062" s="220">
        <v>9670</v>
      </c>
      <c r="M2062" s="220">
        <v>16500</v>
      </c>
      <c r="N2062" s="220">
        <f>SUM(I2062:M2063)</f>
        <v>680670</v>
      </c>
      <c r="O2062" s="224"/>
      <c r="P2062" s="110" t="s">
        <v>6948</v>
      </c>
      <c r="Q2062" s="15" t="s">
        <v>19</v>
      </c>
      <c r="R2062" s="205"/>
      <c r="S2062" s="189" t="s">
        <v>1113</v>
      </c>
      <c r="T2062" s="114"/>
      <c r="U2062" s="21"/>
      <c r="V2062" s="115">
        <v>45955</v>
      </c>
      <c r="W2062" s="116">
        <v>1273</v>
      </c>
      <c r="X2062" s="220">
        <v>630000</v>
      </c>
      <c r="Y2062" s="220">
        <f>X2062*0.1</f>
        <v>63000</v>
      </c>
      <c r="Z2062" s="220">
        <v>9670</v>
      </c>
      <c r="AA2062" s="220">
        <f>SUM(X2062:Z2062)</f>
        <v>702670</v>
      </c>
      <c r="AB2062" s="222">
        <v>45960</v>
      </c>
    </row>
    <row r="2063" spans="1:28" ht="17.100000000000001" customHeight="1" thickBot="1">
      <c r="A2063" s="227"/>
      <c r="B2063" s="27" t="s">
        <v>1536</v>
      </c>
      <c r="C2063" s="27">
        <v>85037</v>
      </c>
      <c r="D2063" s="14" t="s">
        <v>54</v>
      </c>
      <c r="E2063" s="229"/>
      <c r="F2063" s="117" t="s">
        <v>6907</v>
      </c>
      <c r="G2063" s="26">
        <v>58957</v>
      </c>
      <c r="H2063" s="231"/>
      <c r="I2063" s="221"/>
      <c r="J2063" s="221"/>
      <c r="K2063" s="221"/>
      <c r="L2063" s="221"/>
      <c r="M2063" s="221"/>
      <c r="N2063" s="221"/>
      <c r="O2063" s="225"/>
      <c r="P2063" s="118" t="s">
        <v>7923</v>
      </c>
      <c r="Q2063" s="16" t="s">
        <v>20</v>
      </c>
      <c r="R2063" s="17" t="s">
        <v>7909</v>
      </c>
      <c r="S2063" s="121" t="s">
        <v>1661</v>
      </c>
      <c r="T2063" s="122"/>
      <c r="U2063" s="22"/>
      <c r="V2063" s="123" t="s">
        <v>7160</v>
      </c>
      <c r="W2063" s="122">
        <v>60275</v>
      </c>
      <c r="X2063" s="221"/>
      <c r="Y2063" s="221"/>
      <c r="Z2063" s="221"/>
      <c r="AA2063" s="221"/>
      <c r="AB2063" s="223"/>
    </row>
    <row r="2064" spans="1:28" ht="17.100000000000001" customHeight="1" thickTop="1">
      <c r="A2064" s="226" t="s">
        <v>6902</v>
      </c>
      <c r="B2064" s="28">
        <v>45933</v>
      </c>
      <c r="C2064" s="25">
        <v>2104</v>
      </c>
      <c r="D2064" s="13" t="s">
        <v>1931</v>
      </c>
      <c r="E2064" s="228"/>
      <c r="F2064" s="109" t="s">
        <v>6908</v>
      </c>
      <c r="G2064" s="24" t="s">
        <v>3528</v>
      </c>
      <c r="H2064" s="230">
        <v>4.5</v>
      </c>
      <c r="I2064" s="220">
        <v>520000</v>
      </c>
      <c r="J2064" s="220">
        <f>I2064*0.1</f>
        <v>52000</v>
      </c>
      <c r="K2064" s="220">
        <v>0</v>
      </c>
      <c r="L2064" s="220">
        <v>7140</v>
      </c>
      <c r="M2064" s="220">
        <v>16500</v>
      </c>
      <c r="N2064" s="220">
        <f>SUM(I2064:M2065)</f>
        <v>595640</v>
      </c>
      <c r="O2064" s="224"/>
      <c r="P2064" s="110" t="s">
        <v>6949</v>
      </c>
      <c r="Q2064" s="15" t="s">
        <v>19</v>
      </c>
      <c r="R2064" s="205"/>
      <c r="S2064" s="189" t="s">
        <v>25495</v>
      </c>
      <c r="T2064" s="114"/>
      <c r="U2064" s="21"/>
      <c r="V2064" s="115">
        <v>45944</v>
      </c>
      <c r="W2064" s="116">
        <v>1913</v>
      </c>
      <c r="X2064" s="220">
        <v>553000</v>
      </c>
      <c r="Y2064" s="220">
        <v>55300</v>
      </c>
      <c r="Z2064" s="220">
        <v>7140</v>
      </c>
      <c r="AA2064" s="220">
        <f>SUM(X2064:Z2064)</f>
        <v>615440</v>
      </c>
      <c r="AB2064" s="222">
        <v>45950</v>
      </c>
    </row>
    <row r="2065" spans="1:28" ht="17.100000000000001" customHeight="1" thickBot="1">
      <c r="A2065" s="227"/>
      <c r="B2065" s="27" t="s">
        <v>1536</v>
      </c>
      <c r="C2065" s="27">
        <v>85117</v>
      </c>
      <c r="D2065" s="14" t="s">
        <v>2788</v>
      </c>
      <c r="E2065" s="229"/>
      <c r="F2065" s="117" t="s">
        <v>6909</v>
      </c>
      <c r="G2065" s="26">
        <v>31600</v>
      </c>
      <c r="H2065" s="231"/>
      <c r="I2065" s="221"/>
      <c r="J2065" s="221"/>
      <c r="K2065" s="221"/>
      <c r="L2065" s="221"/>
      <c r="M2065" s="221"/>
      <c r="N2065" s="221"/>
      <c r="O2065" s="225"/>
      <c r="P2065" s="118" t="s">
        <v>7797</v>
      </c>
      <c r="Q2065" s="16" t="s">
        <v>20</v>
      </c>
      <c r="R2065" s="17" t="s">
        <v>1605</v>
      </c>
      <c r="S2065" s="121" t="s">
        <v>7798</v>
      </c>
      <c r="T2065" s="122"/>
      <c r="U2065" s="22"/>
      <c r="V2065" s="123" t="s">
        <v>2103</v>
      </c>
      <c r="W2065" s="122">
        <v>3147</v>
      </c>
      <c r="X2065" s="221"/>
      <c r="Y2065" s="221"/>
      <c r="Z2065" s="221"/>
      <c r="AA2065" s="221"/>
      <c r="AB2065" s="223"/>
    </row>
    <row r="2066" spans="1:28" ht="17.100000000000001" customHeight="1" thickTop="1">
      <c r="A2066" s="226" t="s">
        <v>6903</v>
      </c>
      <c r="B2066" s="28">
        <v>45933</v>
      </c>
      <c r="C2066" s="25">
        <v>2104</v>
      </c>
      <c r="D2066" s="13" t="s">
        <v>1778</v>
      </c>
      <c r="E2066" s="228"/>
      <c r="F2066" s="109" t="s">
        <v>4145</v>
      </c>
      <c r="G2066" s="24"/>
      <c r="H2066" s="230">
        <v>4</v>
      </c>
      <c r="I2066" s="220">
        <v>185000</v>
      </c>
      <c r="J2066" s="220">
        <f>I2066*0.1</f>
        <v>18500</v>
      </c>
      <c r="K2066" s="220">
        <v>0</v>
      </c>
      <c r="L2066" s="220">
        <v>9880</v>
      </c>
      <c r="M2066" s="220">
        <v>16500</v>
      </c>
      <c r="N2066" s="220">
        <f>SUM(I2066:M2067)</f>
        <v>229880</v>
      </c>
      <c r="O2066" s="224"/>
      <c r="P2066" s="110" t="s">
        <v>7789</v>
      </c>
      <c r="Q2066" s="15" t="s">
        <v>19</v>
      </c>
      <c r="R2066" s="205"/>
      <c r="S2066" s="189" t="s">
        <v>25497</v>
      </c>
      <c r="T2066" s="114"/>
      <c r="U2066" s="21"/>
      <c r="V2066" s="115">
        <v>46071</v>
      </c>
      <c r="W2066" s="116">
        <v>1005</v>
      </c>
      <c r="X2066" s="220">
        <v>165000</v>
      </c>
      <c r="Y2066" s="220">
        <f>X2066*0.1</f>
        <v>16500</v>
      </c>
      <c r="Z2066" s="220">
        <v>9880</v>
      </c>
      <c r="AA2066" s="220">
        <f>SUM(X2066:Z2066)</f>
        <v>191380</v>
      </c>
      <c r="AB2066" s="222">
        <v>46073</v>
      </c>
    </row>
    <row r="2067" spans="1:28" ht="17.100000000000001" customHeight="1" thickBot="1">
      <c r="A2067" s="227"/>
      <c r="B2067" s="27" t="s">
        <v>1536</v>
      </c>
      <c r="C2067" s="27">
        <v>85180</v>
      </c>
      <c r="D2067" s="14" t="s">
        <v>2559</v>
      </c>
      <c r="E2067" s="229"/>
      <c r="F2067" s="117" t="s">
        <v>6910</v>
      </c>
      <c r="G2067" s="26">
        <v>57193</v>
      </c>
      <c r="H2067" s="231"/>
      <c r="I2067" s="221"/>
      <c r="J2067" s="221"/>
      <c r="K2067" s="221"/>
      <c r="L2067" s="221"/>
      <c r="M2067" s="221"/>
      <c r="N2067" s="221"/>
      <c r="O2067" s="225"/>
      <c r="P2067" s="118" t="s">
        <v>7790</v>
      </c>
      <c r="Q2067" s="16" t="s">
        <v>20</v>
      </c>
      <c r="R2067" s="17" t="s">
        <v>1605</v>
      </c>
      <c r="S2067" s="121" t="s">
        <v>7791</v>
      </c>
      <c r="T2067" s="122"/>
      <c r="U2067" s="22"/>
      <c r="V2067" s="123" t="s">
        <v>2747</v>
      </c>
      <c r="W2067" s="122">
        <v>2036</v>
      </c>
      <c r="X2067" s="221"/>
      <c r="Y2067" s="221"/>
      <c r="Z2067" s="221"/>
      <c r="AA2067" s="221"/>
      <c r="AB2067" s="223"/>
    </row>
    <row r="2068" spans="1:28" ht="17.100000000000001" customHeight="1" thickTop="1">
      <c r="A2068" s="226" t="s">
        <v>6904</v>
      </c>
      <c r="B2068" s="28">
        <v>45933</v>
      </c>
      <c r="C2068" s="25">
        <v>2104</v>
      </c>
      <c r="D2068" s="13" t="s">
        <v>3857</v>
      </c>
      <c r="E2068" s="228"/>
      <c r="F2068" s="109" t="s">
        <v>6950</v>
      </c>
      <c r="G2068" s="24" t="s">
        <v>3979</v>
      </c>
      <c r="H2068" s="230">
        <v>4</v>
      </c>
      <c r="I2068" s="220">
        <v>400000</v>
      </c>
      <c r="J2068" s="220">
        <f>I2068*0.1</f>
        <v>40000</v>
      </c>
      <c r="K2068" s="220">
        <v>0</v>
      </c>
      <c r="L2068" s="220">
        <v>8850</v>
      </c>
      <c r="M2068" s="220">
        <v>16500</v>
      </c>
      <c r="N2068" s="220">
        <f>SUM(I2068:M2069)</f>
        <v>465350</v>
      </c>
      <c r="O2068" s="224"/>
      <c r="P2068" s="110" t="s">
        <v>6951</v>
      </c>
      <c r="Q2068" s="15" t="s">
        <v>19</v>
      </c>
      <c r="R2068" s="205"/>
      <c r="S2068" s="189" t="s">
        <v>25498</v>
      </c>
      <c r="T2068" s="114"/>
      <c r="U2068" s="21"/>
      <c r="V2068" s="115">
        <v>45941</v>
      </c>
      <c r="W2068" s="116">
        <v>1271</v>
      </c>
      <c r="X2068" s="220">
        <v>595000</v>
      </c>
      <c r="Y2068" s="220">
        <v>59500</v>
      </c>
      <c r="Z2068" s="220">
        <v>8850</v>
      </c>
      <c r="AA2068" s="220">
        <f>SUM(X2068:Z2068)</f>
        <v>663350</v>
      </c>
      <c r="AB2068" s="222">
        <v>45944</v>
      </c>
    </row>
    <row r="2069" spans="1:28" ht="17.100000000000001" customHeight="1" thickBot="1">
      <c r="A2069" s="227"/>
      <c r="B2069" s="27" t="s">
        <v>1536</v>
      </c>
      <c r="C2069" s="27">
        <v>85194</v>
      </c>
      <c r="D2069" s="14" t="s">
        <v>2788</v>
      </c>
      <c r="E2069" s="229"/>
      <c r="F2069" s="117" t="s">
        <v>6911</v>
      </c>
      <c r="G2069" s="26">
        <v>23775</v>
      </c>
      <c r="H2069" s="231"/>
      <c r="I2069" s="221"/>
      <c r="J2069" s="221"/>
      <c r="K2069" s="221"/>
      <c r="L2069" s="221"/>
      <c r="M2069" s="221"/>
      <c r="N2069" s="221"/>
      <c r="O2069" s="225"/>
      <c r="P2069" s="118" t="s">
        <v>7788</v>
      </c>
      <c r="Q2069" s="16" t="s">
        <v>20</v>
      </c>
      <c r="R2069" s="17" t="s">
        <v>1605</v>
      </c>
      <c r="S2069" s="121" t="s">
        <v>6802</v>
      </c>
      <c r="T2069" s="122"/>
      <c r="U2069" s="22"/>
      <c r="V2069" s="123" t="s">
        <v>2472</v>
      </c>
      <c r="W2069" s="122">
        <v>60053</v>
      </c>
      <c r="X2069" s="221"/>
      <c r="Y2069" s="221"/>
      <c r="Z2069" s="221"/>
      <c r="AA2069" s="221"/>
      <c r="AB2069" s="223"/>
    </row>
    <row r="2070" spans="1:28" ht="17.100000000000001" customHeight="1" thickTop="1">
      <c r="A2070" s="226" t="s">
        <v>6905</v>
      </c>
      <c r="B2070" s="28">
        <v>45933</v>
      </c>
      <c r="C2070" s="25">
        <v>2104</v>
      </c>
      <c r="D2070" s="13" t="s">
        <v>5245</v>
      </c>
      <c r="E2070" s="228"/>
      <c r="F2070" s="109" t="s">
        <v>6953</v>
      </c>
      <c r="G2070" s="24" t="s">
        <v>2907</v>
      </c>
      <c r="H2070" s="230">
        <v>4</v>
      </c>
      <c r="I2070" s="220">
        <v>305000</v>
      </c>
      <c r="J2070" s="220">
        <f>I2070*0.1</f>
        <v>30500</v>
      </c>
      <c r="K2070" s="220">
        <v>0</v>
      </c>
      <c r="L2070" s="220">
        <v>8930</v>
      </c>
      <c r="M2070" s="220">
        <v>16500</v>
      </c>
      <c r="N2070" s="220">
        <f>SUM(I2070:M2071)</f>
        <v>360930</v>
      </c>
      <c r="O2070" s="224"/>
      <c r="P2070" s="110" t="s">
        <v>6954</v>
      </c>
      <c r="Q2070" s="15" t="s">
        <v>19</v>
      </c>
      <c r="R2070" s="205"/>
      <c r="S2070" s="189"/>
      <c r="T2070" s="114"/>
      <c r="U2070" s="21"/>
      <c r="V2070" s="115">
        <v>45941</v>
      </c>
      <c r="W2070" s="116">
        <v>1271</v>
      </c>
      <c r="X2070" s="220">
        <v>380000</v>
      </c>
      <c r="Y2070" s="220">
        <v>38000</v>
      </c>
      <c r="Z2070" s="220">
        <v>8930</v>
      </c>
      <c r="AA2070" s="220">
        <f>SUM(X2070:Z2070)</f>
        <v>426930</v>
      </c>
      <c r="AB2070" s="222">
        <v>45944</v>
      </c>
    </row>
    <row r="2071" spans="1:28" ht="17.100000000000001" customHeight="1" thickBot="1">
      <c r="A2071" s="227"/>
      <c r="B2071" s="27" t="s">
        <v>1536</v>
      </c>
      <c r="C2071" s="27">
        <v>85248</v>
      </c>
      <c r="D2071" s="14" t="s">
        <v>3955</v>
      </c>
      <c r="E2071" s="229"/>
      <c r="F2071" s="117" t="s">
        <v>6912</v>
      </c>
      <c r="G2071" s="26">
        <v>51985</v>
      </c>
      <c r="H2071" s="231"/>
      <c r="I2071" s="221"/>
      <c r="J2071" s="221"/>
      <c r="K2071" s="221"/>
      <c r="L2071" s="221"/>
      <c r="M2071" s="221"/>
      <c r="N2071" s="221"/>
      <c r="O2071" s="225"/>
      <c r="P2071" s="118" t="s">
        <v>7800</v>
      </c>
      <c r="Q2071" s="16" t="s">
        <v>20</v>
      </c>
      <c r="R2071" s="17" t="s">
        <v>1605</v>
      </c>
      <c r="S2071" s="121"/>
      <c r="T2071" s="122"/>
      <c r="U2071" s="22"/>
      <c r="V2071" s="123" t="s">
        <v>2472</v>
      </c>
      <c r="W2071" s="122">
        <v>60033</v>
      </c>
      <c r="X2071" s="221"/>
      <c r="Y2071" s="221"/>
      <c r="Z2071" s="221"/>
      <c r="AA2071" s="221"/>
      <c r="AB2071" s="223"/>
    </row>
    <row r="2072" spans="1:28" ht="17.100000000000001" customHeight="1" thickTop="1">
      <c r="A2072" s="226" t="s">
        <v>6955</v>
      </c>
      <c r="B2072" s="28">
        <v>45933</v>
      </c>
      <c r="C2072" s="25"/>
      <c r="D2072" s="13" t="s">
        <v>853</v>
      </c>
      <c r="E2072" s="228"/>
      <c r="F2072" s="109" t="s">
        <v>4223</v>
      </c>
      <c r="G2072" s="24" t="s">
        <v>3528</v>
      </c>
      <c r="H2072" s="230">
        <v>4</v>
      </c>
      <c r="I2072" s="220">
        <f>1347500/1.1</f>
        <v>1225000</v>
      </c>
      <c r="J2072" s="220">
        <f>I2072*0.1</f>
        <v>122500</v>
      </c>
      <c r="K2072" s="220">
        <v>0</v>
      </c>
      <c r="L2072" s="220">
        <v>8550</v>
      </c>
      <c r="M2072" s="220">
        <v>88688</v>
      </c>
      <c r="N2072" s="220">
        <f>SUM(I2072:M2073)</f>
        <v>1444738</v>
      </c>
      <c r="O2072" s="224"/>
      <c r="P2072" s="110" t="s">
        <v>10180</v>
      </c>
      <c r="Q2072" s="15" t="s">
        <v>19</v>
      </c>
      <c r="R2072" s="205"/>
      <c r="S2072" s="189" t="s">
        <v>25499</v>
      </c>
      <c r="T2072" s="114"/>
      <c r="U2072" s="21"/>
      <c r="V2072" s="115">
        <v>45976</v>
      </c>
      <c r="W2072" s="116">
        <v>1276</v>
      </c>
      <c r="X2072" s="220">
        <v>1370000</v>
      </c>
      <c r="Y2072" s="220">
        <f>X2072*0.1</f>
        <v>137000</v>
      </c>
      <c r="Z2072" s="220">
        <v>8550</v>
      </c>
      <c r="AA2072" s="220">
        <f>SUM(X2072:Z2072)</f>
        <v>1515550</v>
      </c>
      <c r="AB2072" s="222">
        <v>45979</v>
      </c>
    </row>
    <row r="2073" spans="1:28" ht="17.100000000000001" customHeight="1" thickBot="1">
      <c r="A2073" s="227"/>
      <c r="B2073" s="27" t="s">
        <v>1708</v>
      </c>
      <c r="C2073" s="27" t="s">
        <v>6960</v>
      </c>
      <c r="D2073" s="14" t="s">
        <v>131</v>
      </c>
      <c r="E2073" s="229"/>
      <c r="F2073" s="117" t="s">
        <v>6961</v>
      </c>
      <c r="G2073" s="26">
        <v>12944</v>
      </c>
      <c r="H2073" s="231"/>
      <c r="I2073" s="221"/>
      <c r="J2073" s="221"/>
      <c r="K2073" s="221"/>
      <c r="L2073" s="221"/>
      <c r="M2073" s="221"/>
      <c r="N2073" s="221"/>
      <c r="O2073" s="225"/>
      <c r="P2073" s="118" t="s">
        <v>4211</v>
      </c>
      <c r="Q2073" s="16" t="s">
        <v>20</v>
      </c>
      <c r="R2073" s="17" t="s">
        <v>1684</v>
      </c>
      <c r="S2073" s="121" t="s">
        <v>1606</v>
      </c>
      <c r="T2073" s="122"/>
      <c r="U2073" s="22"/>
      <c r="V2073" s="123" t="s">
        <v>7160</v>
      </c>
      <c r="W2073" s="122">
        <v>65581</v>
      </c>
      <c r="X2073" s="221"/>
      <c r="Y2073" s="221"/>
      <c r="Z2073" s="221"/>
      <c r="AA2073" s="221"/>
      <c r="AB2073" s="223"/>
    </row>
    <row r="2074" spans="1:28" ht="17.100000000000001" customHeight="1" thickTop="1">
      <c r="A2074" s="226" t="s">
        <v>6956</v>
      </c>
      <c r="B2074" s="28">
        <v>45933</v>
      </c>
      <c r="C2074" s="25"/>
      <c r="D2074" s="13" t="s">
        <v>3406</v>
      </c>
      <c r="E2074" s="228"/>
      <c r="F2074" s="109" t="s">
        <v>6963</v>
      </c>
      <c r="G2074" s="24" t="s">
        <v>2820</v>
      </c>
      <c r="H2074" s="230">
        <v>5</v>
      </c>
      <c r="I2074" s="220">
        <f>1699500/1.1</f>
        <v>1544999.9999999998</v>
      </c>
      <c r="J2074" s="220">
        <f>I2074*0.1</f>
        <v>154499.99999999997</v>
      </c>
      <c r="K2074" s="220">
        <v>0</v>
      </c>
      <c r="L2074" s="220">
        <v>6850</v>
      </c>
      <c r="M2074" s="220">
        <v>97488</v>
      </c>
      <c r="N2074" s="220">
        <f>SUM(I2074:M2075)</f>
        <v>1803837.9999999998</v>
      </c>
      <c r="O2074" s="224"/>
      <c r="P2074" s="110" t="s">
        <v>8298</v>
      </c>
      <c r="Q2074" s="15" t="s">
        <v>19</v>
      </c>
      <c r="R2074" s="205"/>
      <c r="S2074" s="189" t="s">
        <v>1276</v>
      </c>
      <c r="T2074" s="114"/>
      <c r="U2074" s="21"/>
      <c r="V2074" s="115">
        <v>45951</v>
      </c>
      <c r="W2074" s="116">
        <v>1914</v>
      </c>
      <c r="X2074" s="220">
        <v>1859000</v>
      </c>
      <c r="Y2074" s="220">
        <f>X2074*0.1</f>
        <v>185900</v>
      </c>
      <c r="Z2074" s="220">
        <v>6850</v>
      </c>
      <c r="AA2074" s="220">
        <f>SUM(X2074:Z2074)</f>
        <v>2051750</v>
      </c>
      <c r="AB2074" s="222">
        <v>45957</v>
      </c>
    </row>
    <row r="2075" spans="1:28" ht="17.100000000000001" customHeight="1" thickBot="1">
      <c r="A2075" s="227"/>
      <c r="B2075" s="27" t="s">
        <v>1708</v>
      </c>
      <c r="C2075" s="27" t="s">
        <v>6962</v>
      </c>
      <c r="D2075" s="14" t="s">
        <v>1797</v>
      </c>
      <c r="E2075" s="229"/>
      <c r="F2075" s="117" t="s">
        <v>6964</v>
      </c>
      <c r="G2075" s="26">
        <v>7500</v>
      </c>
      <c r="H2075" s="231"/>
      <c r="I2075" s="221"/>
      <c r="J2075" s="221"/>
      <c r="K2075" s="221"/>
      <c r="L2075" s="221"/>
      <c r="M2075" s="221"/>
      <c r="N2075" s="221"/>
      <c r="O2075" s="225"/>
      <c r="P2075" s="118" t="s">
        <v>8299</v>
      </c>
      <c r="Q2075" s="16" t="s">
        <v>20</v>
      </c>
      <c r="R2075" s="17" t="s">
        <v>1630</v>
      </c>
      <c r="S2075" s="121" t="s">
        <v>1923</v>
      </c>
      <c r="T2075" s="122"/>
      <c r="U2075" s="22"/>
      <c r="V2075" s="123" t="s">
        <v>2103</v>
      </c>
      <c r="W2075" s="122">
        <v>3199</v>
      </c>
      <c r="X2075" s="221"/>
      <c r="Y2075" s="221"/>
      <c r="Z2075" s="221"/>
      <c r="AA2075" s="221"/>
      <c r="AB2075" s="223"/>
    </row>
    <row r="2076" spans="1:28" ht="17.100000000000001" customHeight="1" thickTop="1">
      <c r="A2076" s="226" t="s">
        <v>6957</v>
      </c>
      <c r="B2076" s="28">
        <v>45933</v>
      </c>
      <c r="C2076" s="25"/>
      <c r="D2076" s="13" t="s">
        <v>1678</v>
      </c>
      <c r="E2076" s="228"/>
      <c r="F2076" s="109" t="s">
        <v>4288</v>
      </c>
      <c r="G2076" s="24" t="s">
        <v>6967</v>
      </c>
      <c r="H2076" s="230">
        <v>4.5</v>
      </c>
      <c r="I2076" s="220">
        <f>3514500/1.1</f>
        <v>3194999.9999999995</v>
      </c>
      <c r="J2076" s="220">
        <f>I2076*0.1</f>
        <v>319500</v>
      </c>
      <c r="K2076" s="220">
        <v>0</v>
      </c>
      <c r="L2076" s="220">
        <v>11570</v>
      </c>
      <c r="M2076" s="220">
        <v>142863</v>
      </c>
      <c r="N2076" s="220">
        <f>SUM(I2076:M2077)</f>
        <v>3668932.9999999995</v>
      </c>
      <c r="O2076" s="224"/>
      <c r="P2076" s="110" t="s">
        <v>9241</v>
      </c>
      <c r="Q2076" s="15" t="s">
        <v>19</v>
      </c>
      <c r="R2076" s="205"/>
      <c r="S2076" s="189" t="s">
        <v>1276</v>
      </c>
      <c r="T2076" s="114"/>
      <c r="U2076" s="21"/>
      <c r="V2076" s="115">
        <v>45955</v>
      </c>
      <c r="W2076" s="116">
        <v>1273</v>
      </c>
      <c r="X2076" s="220">
        <v>3375000</v>
      </c>
      <c r="Y2076" s="220">
        <f>X2076*0.1</f>
        <v>337500</v>
      </c>
      <c r="Z2076" s="220">
        <v>11570</v>
      </c>
      <c r="AA2076" s="220">
        <f>SUM(X2076:Z2076)</f>
        <v>3724070</v>
      </c>
      <c r="AB2076" s="222">
        <v>45960</v>
      </c>
    </row>
    <row r="2077" spans="1:28" ht="17.100000000000001" customHeight="1" thickBot="1">
      <c r="A2077" s="227"/>
      <c r="B2077" s="27" t="s">
        <v>1708</v>
      </c>
      <c r="C2077" s="27" t="s">
        <v>6965</v>
      </c>
      <c r="D2077" s="14" t="s">
        <v>1584</v>
      </c>
      <c r="E2077" s="229"/>
      <c r="F2077" s="117" t="s">
        <v>6966</v>
      </c>
      <c r="G2077" s="26">
        <v>22706</v>
      </c>
      <c r="H2077" s="231"/>
      <c r="I2077" s="221"/>
      <c r="J2077" s="221"/>
      <c r="K2077" s="221"/>
      <c r="L2077" s="221"/>
      <c r="M2077" s="221"/>
      <c r="N2077" s="221"/>
      <c r="O2077" s="225"/>
      <c r="P2077" s="118" t="s">
        <v>5190</v>
      </c>
      <c r="Q2077" s="16" t="s">
        <v>20</v>
      </c>
      <c r="R2077" s="17" t="s">
        <v>3288</v>
      </c>
      <c r="S2077" s="121" t="s">
        <v>9313</v>
      </c>
      <c r="T2077" s="122"/>
      <c r="U2077" s="22"/>
      <c r="V2077" s="123" t="s">
        <v>7160</v>
      </c>
      <c r="W2077" s="122">
        <v>40014</v>
      </c>
      <c r="X2077" s="221"/>
      <c r="Y2077" s="221"/>
      <c r="Z2077" s="221"/>
      <c r="AA2077" s="221"/>
      <c r="AB2077" s="223"/>
    </row>
    <row r="2078" spans="1:28" ht="17.100000000000001" customHeight="1" thickTop="1">
      <c r="A2078" s="226" t="s">
        <v>6958</v>
      </c>
      <c r="B2078" s="28">
        <v>45933</v>
      </c>
      <c r="C2078" s="25"/>
      <c r="D2078" s="13" t="s">
        <v>1816</v>
      </c>
      <c r="E2078" s="228"/>
      <c r="F2078" s="109" t="s">
        <v>6969</v>
      </c>
      <c r="G2078" s="24" t="s">
        <v>3630</v>
      </c>
      <c r="H2078" s="230">
        <v>4</v>
      </c>
      <c r="I2078" s="220">
        <f>720500/1.1</f>
        <v>655000</v>
      </c>
      <c r="J2078" s="220">
        <f>I2078*0.1</f>
        <v>65500</v>
      </c>
      <c r="K2078" s="220">
        <v>16400</v>
      </c>
      <c r="L2078" s="220">
        <v>11810</v>
      </c>
      <c r="M2078" s="220">
        <v>63974</v>
      </c>
      <c r="N2078" s="220">
        <f>SUM(I2078:M2079)</f>
        <v>812684</v>
      </c>
      <c r="O2078" s="224"/>
      <c r="P2078" s="110" t="s">
        <v>7937</v>
      </c>
      <c r="Q2078" s="15" t="s">
        <v>19</v>
      </c>
      <c r="R2078" s="205"/>
      <c r="S2078" s="189" t="s">
        <v>1312</v>
      </c>
      <c r="T2078" s="114"/>
      <c r="U2078" s="21"/>
      <c r="V2078" s="115">
        <v>45948</v>
      </c>
      <c r="W2078" s="116">
        <v>1272</v>
      </c>
      <c r="X2078" s="220">
        <v>920000</v>
      </c>
      <c r="Y2078" s="220">
        <f>X2078*0.1</f>
        <v>92000</v>
      </c>
      <c r="Z2078" s="220">
        <v>11810</v>
      </c>
      <c r="AA2078" s="220">
        <f>SUM(X2078:Z2078)</f>
        <v>1023810</v>
      </c>
      <c r="AB2078" s="222">
        <v>45951</v>
      </c>
    </row>
    <row r="2079" spans="1:28" ht="17.100000000000001" customHeight="1" thickBot="1">
      <c r="A2079" s="227"/>
      <c r="B2079" s="27" t="s">
        <v>1708</v>
      </c>
      <c r="C2079" s="27" t="s">
        <v>6968</v>
      </c>
      <c r="D2079" s="14" t="s">
        <v>273</v>
      </c>
      <c r="E2079" s="229"/>
      <c r="F2079" s="117" t="s">
        <v>6970</v>
      </c>
      <c r="G2079" s="26">
        <v>69816</v>
      </c>
      <c r="H2079" s="231"/>
      <c r="I2079" s="221"/>
      <c r="J2079" s="221"/>
      <c r="K2079" s="221"/>
      <c r="L2079" s="221"/>
      <c r="M2079" s="221"/>
      <c r="N2079" s="221"/>
      <c r="O2079" s="225"/>
      <c r="P2079" s="118" t="s">
        <v>7938</v>
      </c>
      <c r="Q2079" s="16" t="s">
        <v>20</v>
      </c>
      <c r="R2079" s="17" t="s">
        <v>7909</v>
      </c>
      <c r="S2079" s="121" t="s">
        <v>8317</v>
      </c>
      <c r="T2079" s="122"/>
      <c r="U2079" s="22"/>
      <c r="V2079" s="123" t="s">
        <v>2472</v>
      </c>
      <c r="W2079" s="122">
        <v>37285</v>
      </c>
      <c r="X2079" s="221"/>
      <c r="Y2079" s="221"/>
      <c r="Z2079" s="221"/>
      <c r="AA2079" s="221"/>
      <c r="AB2079" s="223"/>
    </row>
    <row r="2080" spans="1:28" ht="17.100000000000001" customHeight="1" thickTop="1">
      <c r="A2080" s="226" t="s">
        <v>6959</v>
      </c>
      <c r="B2080" s="28">
        <v>45933</v>
      </c>
      <c r="C2080" s="25"/>
      <c r="D2080" s="13" t="s">
        <v>1772</v>
      </c>
      <c r="E2080" s="228"/>
      <c r="F2080" s="109" t="s">
        <v>6972</v>
      </c>
      <c r="G2080" s="24" t="s">
        <v>6974</v>
      </c>
      <c r="H2080" s="230">
        <v>4.5</v>
      </c>
      <c r="I2080" s="220">
        <f>1925000/1.1</f>
        <v>1749999.9999999998</v>
      </c>
      <c r="J2080" s="220">
        <f>I2080*0.1</f>
        <v>175000</v>
      </c>
      <c r="K2080" s="220">
        <v>0</v>
      </c>
      <c r="L2080" s="220">
        <v>7880</v>
      </c>
      <c r="M2080" s="220">
        <v>103125</v>
      </c>
      <c r="N2080" s="220">
        <f>SUM(I2080:M2081)</f>
        <v>2036004.9999999998</v>
      </c>
      <c r="O2080" s="224"/>
      <c r="P2080" s="110" t="s">
        <v>11270</v>
      </c>
      <c r="Q2080" s="15" t="s">
        <v>19</v>
      </c>
      <c r="R2080" s="205"/>
      <c r="S2080" s="189" t="s">
        <v>1276</v>
      </c>
      <c r="T2080" s="114"/>
      <c r="U2080" s="21"/>
      <c r="V2080" s="115">
        <v>46000</v>
      </c>
      <c r="W2080" s="116">
        <v>1921</v>
      </c>
      <c r="X2080" s="220">
        <v>2021000</v>
      </c>
      <c r="Y2080" s="220">
        <f>X2080*0.1</f>
        <v>202100</v>
      </c>
      <c r="Z2080" s="220">
        <v>7880</v>
      </c>
      <c r="AA2080" s="220">
        <f>SUM(X2080:Z2080)</f>
        <v>2230980</v>
      </c>
      <c r="AB2080" s="222">
        <v>46006</v>
      </c>
    </row>
    <row r="2081" spans="1:28" ht="17.100000000000001" customHeight="1" thickBot="1">
      <c r="A2081" s="227"/>
      <c r="B2081" s="27" t="s">
        <v>1708</v>
      </c>
      <c r="C2081" s="27" t="s">
        <v>6971</v>
      </c>
      <c r="D2081" s="14" t="s">
        <v>131</v>
      </c>
      <c r="E2081" s="229"/>
      <c r="F2081" s="117" t="s">
        <v>6973</v>
      </c>
      <c r="G2081" s="26">
        <v>12964</v>
      </c>
      <c r="H2081" s="231"/>
      <c r="I2081" s="221"/>
      <c r="J2081" s="221"/>
      <c r="K2081" s="221"/>
      <c r="L2081" s="221"/>
      <c r="M2081" s="221"/>
      <c r="N2081" s="221"/>
      <c r="O2081" s="225"/>
      <c r="P2081" s="118" t="s">
        <v>11271</v>
      </c>
      <c r="Q2081" s="16" t="s">
        <v>20</v>
      </c>
      <c r="R2081" s="17" t="s">
        <v>2174</v>
      </c>
      <c r="S2081" s="121" t="s">
        <v>12279</v>
      </c>
      <c r="T2081" s="122"/>
      <c r="U2081" s="22"/>
      <c r="V2081" s="123" t="s">
        <v>2103</v>
      </c>
      <c r="W2081" s="122">
        <v>3263</v>
      </c>
      <c r="X2081" s="221"/>
      <c r="Y2081" s="221"/>
      <c r="Z2081" s="221"/>
      <c r="AA2081" s="221"/>
      <c r="AB2081" s="223"/>
    </row>
    <row r="2082" spans="1:28" ht="17.100000000000001" customHeight="1" thickTop="1">
      <c r="A2082" s="226" t="s">
        <v>6993</v>
      </c>
      <c r="B2082" s="28">
        <v>45933</v>
      </c>
      <c r="C2082" s="25">
        <v>56</v>
      </c>
      <c r="D2082" s="13" t="s">
        <v>2637</v>
      </c>
      <c r="E2082" s="228"/>
      <c r="F2082" s="109" t="s">
        <v>5588</v>
      </c>
      <c r="G2082" s="24" t="s">
        <v>2894</v>
      </c>
      <c r="H2082" s="230">
        <v>4.5</v>
      </c>
      <c r="I2082" s="220">
        <v>1555000</v>
      </c>
      <c r="J2082" s="220">
        <f>I2082*0.1</f>
        <v>155500</v>
      </c>
      <c r="K2082" s="220">
        <v>0</v>
      </c>
      <c r="L2082" s="220">
        <v>6960</v>
      </c>
      <c r="M2082" s="220">
        <v>44000</v>
      </c>
      <c r="N2082" s="220">
        <f>SUM(I2082:M2083)</f>
        <v>1761460</v>
      </c>
      <c r="O2082" s="224"/>
      <c r="P2082" s="110" t="s">
        <v>10348</v>
      </c>
      <c r="Q2082" s="15" t="s">
        <v>19</v>
      </c>
      <c r="R2082" s="205"/>
      <c r="S2082" s="189" t="s">
        <v>758</v>
      </c>
      <c r="T2082" s="114"/>
      <c r="U2082" s="21" t="s">
        <v>10498</v>
      </c>
      <c r="V2082" s="115">
        <v>45969</v>
      </c>
      <c r="W2082" s="116">
        <v>1275</v>
      </c>
      <c r="X2082" s="220">
        <v>1610000</v>
      </c>
      <c r="Y2082" s="220">
        <f>X2082*0.1</f>
        <v>161000</v>
      </c>
      <c r="Z2082" s="220">
        <v>8960</v>
      </c>
      <c r="AA2082" s="220">
        <f>SUM(X2082:Z2082)</f>
        <v>1779960</v>
      </c>
      <c r="AB2082" s="222">
        <v>45979</v>
      </c>
    </row>
    <row r="2083" spans="1:28" ht="17.100000000000001" customHeight="1" thickBot="1">
      <c r="A2083" s="227"/>
      <c r="B2083" s="27" t="s">
        <v>4468</v>
      </c>
      <c r="C2083" s="27">
        <v>1108</v>
      </c>
      <c r="D2083" s="14" t="s">
        <v>1710</v>
      </c>
      <c r="E2083" s="229"/>
      <c r="F2083" s="117" t="s">
        <v>6994</v>
      </c>
      <c r="G2083" s="26">
        <v>14880</v>
      </c>
      <c r="H2083" s="231"/>
      <c r="I2083" s="221"/>
      <c r="J2083" s="221"/>
      <c r="K2083" s="221"/>
      <c r="L2083" s="221"/>
      <c r="M2083" s="221"/>
      <c r="N2083" s="221"/>
      <c r="O2083" s="225"/>
      <c r="P2083" s="118" t="s">
        <v>10349</v>
      </c>
      <c r="Q2083" s="16" t="s">
        <v>20</v>
      </c>
      <c r="R2083" s="17" t="s">
        <v>10292</v>
      </c>
      <c r="S2083" s="121" t="s">
        <v>10350</v>
      </c>
      <c r="T2083" s="122"/>
      <c r="U2083" s="22"/>
      <c r="V2083" s="123" t="s">
        <v>7160</v>
      </c>
      <c r="W2083" s="122">
        <v>65039</v>
      </c>
      <c r="X2083" s="221"/>
      <c r="Y2083" s="221"/>
      <c r="Z2083" s="221"/>
      <c r="AA2083" s="221"/>
      <c r="AB2083" s="223"/>
    </row>
    <row r="2084" spans="1:28" ht="17.100000000000001" customHeight="1" thickTop="1">
      <c r="A2084" s="226" t="s">
        <v>6995</v>
      </c>
      <c r="B2084" s="28">
        <v>45934</v>
      </c>
      <c r="C2084" s="25">
        <v>1513</v>
      </c>
      <c r="D2084" s="13" t="s">
        <v>853</v>
      </c>
      <c r="E2084" s="228"/>
      <c r="F2084" s="109" t="s">
        <v>6997</v>
      </c>
      <c r="G2084" s="24" t="s">
        <v>4038</v>
      </c>
      <c r="H2084" s="230">
        <v>4</v>
      </c>
      <c r="I2084" s="220">
        <v>1415000</v>
      </c>
      <c r="J2084" s="220">
        <f>I2084*0.1</f>
        <v>141500</v>
      </c>
      <c r="K2084" s="220">
        <f>12700+1270</f>
        <v>13970</v>
      </c>
      <c r="L2084" s="220">
        <v>19090</v>
      </c>
      <c r="M2084" s="220">
        <v>16500</v>
      </c>
      <c r="N2084" s="220">
        <f>SUM(I2084:M2085)</f>
        <v>1606060</v>
      </c>
      <c r="O2084" s="224"/>
      <c r="P2084" s="110" t="s">
        <v>6999</v>
      </c>
      <c r="Q2084" s="15" t="s">
        <v>19</v>
      </c>
      <c r="R2084" s="205"/>
      <c r="S2084" s="189" t="s">
        <v>1271</v>
      </c>
      <c r="T2084" s="114"/>
      <c r="U2084" s="21"/>
      <c r="V2084" s="115">
        <v>45948</v>
      </c>
      <c r="W2084" s="116">
        <v>1272</v>
      </c>
      <c r="X2084" s="220">
        <v>1580000</v>
      </c>
      <c r="Y2084" s="220">
        <f>X2084*0.1</f>
        <v>158000</v>
      </c>
      <c r="Z2084" s="220">
        <v>19090</v>
      </c>
      <c r="AA2084" s="220">
        <f>SUM(X2084:Z2084)</f>
        <v>1757090</v>
      </c>
      <c r="AB2084" s="222">
        <v>45951</v>
      </c>
    </row>
    <row r="2085" spans="1:28" ht="17.100000000000001" customHeight="1" thickBot="1">
      <c r="A2085" s="227"/>
      <c r="B2085" s="27" t="s">
        <v>1547</v>
      </c>
      <c r="C2085" s="27">
        <v>83159</v>
      </c>
      <c r="D2085" s="14" t="s">
        <v>2788</v>
      </c>
      <c r="E2085" s="229"/>
      <c r="F2085" s="117" t="s">
        <v>6998</v>
      </c>
      <c r="G2085" s="26">
        <v>44340</v>
      </c>
      <c r="H2085" s="231"/>
      <c r="I2085" s="221"/>
      <c r="J2085" s="221"/>
      <c r="K2085" s="221"/>
      <c r="L2085" s="221"/>
      <c r="M2085" s="221"/>
      <c r="N2085" s="221"/>
      <c r="O2085" s="225"/>
      <c r="P2085" s="118" t="s">
        <v>7582</v>
      </c>
      <c r="Q2085" s="16" t="s">
        <v>20</v>
      </c>
      <c r="R2085" s="17" t="s">
        <v>1605</v>
      </c>
      <c r="S2085" s="121" t="s">
        <v>2711</v>
      </c>
      <c r="T2085" s="122"/>
      <c r="U2085" s="22"/>
      <c r="V2085" s="123" t="s">
        <v>2472</v>
      </c>
      <c r="W2085" s="122">
        <v>80007</v>
      </c>
      <c r="X2085" s="221"/>
      <c r="Y2085" s="221"/>
      <c r="Z2085" s="221"/>
      <c r="AA2085" s="221"/>
      <c r="AB2085" s="223"/>
    </row>
    <row r="2086" spans="1:28" ht="17.100000000000001" customHeight="1" thickTop="1">
      <c r="A2086" s="226" t="s">
        <v>6996</v>
      </c>
      <c r="B2086" s="28">
        <v>45934</v>
      </c>
      <c r="C2086" s="25">
        <v>1513</v>
      </c>
      <c r="D2086" s="13" t="s">
        <v>1935</v>
      </c>
      <c r="E2086" s="228"/>
      <c r="F2086" s="109" t="s">
        <v>7000</v>
      </c>
      <c r="G2086" s="24" t="s">
        <v>2871</v>
      </c>
      <c r="H2086" s="230">
        <v>4.5</v>
      </c>
      <c r="I2086" s="220">
        <v>3000000</v>
      </c>
      <c r="J2086" s="220">
        <f>I2086*0.1</f>
        <v>300000</v>
      </c>
      <c r="K2086" s="220">
        <f>21200+2120</f>
        <v>23320</v>
      </c>
      <c r="L2086" s="220">
        <v>22760</v>
      </c>
      <c r="M2086" s="220">
        <v>27500</v>
      </c>
      <c r="N2086" s="220">
        <f>SUM(I2086:M2087)</f>
        <v>3373580</v>
      </c>
      <c r="O2086" s="224"/>
      <c r="P2086" s="110" t="s">
        <v>7002</v>
      </c>
      <c r="Q2086" s="15" t="s">
        <v>19</v>
      </c>
      <c r="R2086" s="205"/>
      <c r="S2086" s="189" t="s">
        <v>25500</v>
      </c>
      <c r="T2086" s="114"/>
      <c r="U2086" s="21"/>
      <c r="V2086" s="115">
        <v>45939</v>
      </c>
      <c r="W2086" s="116">
        <v>1301</v>
      </c>
      <c r="X2086" s="220">
        <v>3270000</v>
      </c>
      <c r="Y2086" s="220">
        <v>327000</v>
      </c>
      <c r="Z2086" s="220">
        <v>22760</v>
      </c>
      <c r="AA2086" s="220">
        <f>SUM(X2086:Z2086)</f>
        <v>3619760</v>
      </c>
      <c r="AB2086" s="222">
        <v>45940</v>
      </c>
    </row>
    <row r="2087" spans="1:28" ht="17.100000000000001" customHeight="1" thickBot="1">
      <c r="A2087" s="227"/>
      <c r="B2087" s="27" t="s">
        <v>1547</v>
      </c>
      <c r="C2087" s="27">
        <v>83160</v>
      </c>
      <c r="D2087" s="14" t="s">
        <v>273</v>
      </c>
      <c r="E2087" s="229"/>
      <c r="F2087" s="117" t="s">
        <v>7001</v>
      </c>
      <c r="G2087" s="26">
        <v>50273</v>
      </c>
      <c r="H2087" s="231"/>
      <c r="I2087" s="221"/>
      <c r="J2087" s="221"/>
      <c r="K2087" s="221"/>
      <c r="L2087" s="221"/>
      <c r="M2087" s="221"/>
      <c r="N2087" s="221"/>
      <c r="O2087" s="225"/>
      <c r="P2087" s="118" t="s">
        <v>7414</v>
      </c>
      <c r="Q2087" s="16" t="s">
        <v>20</v>
      </c>
      <c r="R2087" s="17" t="s">
        <v>1605</v>
      </c>
      <c r="S2087" s="121" t="s">
        <v>7415</v>
      </c>
      <c r="T2087" s="122"/>
      <c r="U2087" s="22"/>
      <c r="V2087" s="123" t="s">
        <v>7447</v>
      </c>
      <c r="W2087" s="122">
        <v>346</v>
      </c>
      <c r="X2087" s="221"/>
      <c r="Y2087" s="221"/>
      <c r="Z2087" s="221"/>
      <c r="AA2087" s="221"/>
      <c r="AB2087" s="223"/>
    </row>
    <row r="2088" spans="1:28" ht="17.100000000000001" customHeight="1" thickTop="1">
      <c r="A2088" s="226" t="s">
        <v>7014</v>
      </c>
      <c r="B2088" s="28">
        <v>45934</v>
      </c>
      <c r="C2088" s="25">
        <v>1692</v>
      </c>
      <c r="D2088" s="13" t="s">
        <v>2422</v>
      </c>
      <c r="E2088" s="228"/>
      <c r="F2088" s="109" t="s">
        <v>7024</v>
      </c>
      <c r="G2088" s="24" t="s">
        <v>4025</v>
      </c>
      <c r="H2088" s="230">
        <v>4.5</v>
      </c>
      <c r="I2088" s="220">
        <v>2005000</v>
      </c>
      <c r="J2088" s="220">
        <f>I2088*0.1</f>
        <v>200500</v>
      </c>
      <c r="K2088" s="220">
        <f>21200+2120</f>
        <v>23320</v>
      </c>
      <c r="L2088" s="220">
        <v>17430</v>
      </c>
      <c r="M2088" s="220">
        <v>14300</v>
      </c>
      <c r="N2088" s="220">
        <f>SUM(I2088:M2089)</f>
        <v>2260550</v>
      </c>
      <c r="O2088" s="224"/>
      <c r="P2088" s="110" t="s">
        <v>7026</v>
      </c>
      <c r="Q2088" s="15" t="s">
        <v>19</v>
      </c>
      <c r="R2088" s="205"/>
      <c r="S2088" s="189" t="s">
        <v>25501</v>
      </c>
      <c r="T2088" s="114"/>
      <c r="U2088" s="21" t="s">
        <v>11403</v>
      </c>
      <c r="V2088" s="115"/>
      <c r="W2088" s="116"/>
      <c r="X2088" s="220"/>
      <c r="Y2088" s="220">
        <f>X2088*0.1</f>
        <v>0</v>
      </c>
      <c r="Z2088" s="220"/>
      <c r="AA2088" s="220">
        <f>SUM(X2088:Z2088)</f>
        <v>0</v>
      </c>
      <c r="AB2088" s="222"/>
    </row>
    <row r="2089" spans="1:28" ht="17.100000000000001" customHeight="1" thickBot="1">
      <c r="A2089" s="227"/>
      <c r="B2089" s="27" t="s">
        <v>1842</v>
      </c>
      <c r="C2089" s="27">
        <v>309</v>
      </c>
      <c r="D2089" s="14" t="s">
        <v>1627</v>
      </c>
      <c r="E2089" s="229"/>
      <c r="F2089" s="117" t="s">
        <v>7025</v>
      </c>
      <c r="G2089" s="26">
        <v>19289</v>
      </c>
      <c r="H2089" s="231"/>
      <c r="I2089" s="221"/>
      <c r="J2089" s="221"/>
      <c r="K2089" s="221"/>
      <c r="L2089" s="221"/>
      <c r="M2089" s="221"/>
      <c r="N2089" s="221"/>
      <c r="O2089" s="225"/>
      <c r="P2089" s="118" t="s">
        <v>1844</v>
      </c>
      <c r="Q2089" s="16" t="s">
        <v>20</v>
      </c>
      <c r="R2089" s="17" t="s">
        <v>1605</v>
      </c>
      <c r="S2089" s="121" t="s">
        <v>2509</v>
      </c>
      <c r="T2089" s="122"/>
      <c r="U2089" s="22"/>
      <c r="V2089" s="123"/>
      <c r="W2089" s="122"/>
      <c r="X2089" s="221"/>
      <c r="Y2089" s="221"/>
      <c r="Z2089" s="221"/>
      <c r="AA2089" s="221"/>
      <c r="AB2089" s="223"/>
    </row>
    <row r="2090" spans="1:28" ht="17.100000000000001" customHeight="1" thickTop="1">
      <c r="A2090" s="226" t="s">
        <v>7015</v>
      </c>
      <c r="B2090" s="28">
        <v>45934</v>
      </c>
      <c r="C2090" s="25">
        <v>1270</v>
      </c>
      <c r="D2090" s="13" t="s">
        <v>2406</v>
      </c>
      <c r="E2090" s="228"/>
      <c r="F2090" s="109" t="s">
        <v>5386</v>
      </c>
      <c r="G2090" s="24"/>
      <c r="H2090" s="230">
        <v>4</v>
      </c>
      <c r="I2090" s="220">
        <v>390000</v>
      </c>
      <c r="J2090" s="220">
        <f>I2090*0.1</f>
        <v>39000</v>
      </c>
      <c r="K2090" s="220">
        <v>0</v>
      </c>
      <c r="L2090" s="220">
        <v>7170</v>
      </c>
      <c r="M2090" s="220">
        <v>12100</v>
      </c>
      <c r="N2090" s="220">
        <f>SUM(I2090:M2091)</f>
        <v>448270</v>
      </c>
      <c r="O2090" s="224"/>
      <c r="P2090" s="110" t="s">
        <v>7952</v>
      </c>
      <c r="Q2090" s="15" t="s">
        <v>19</v>
      </c>
      <c r="R2090" s="205"/>
      <c r="S2090" s="189" t="s">
        <v>758</v>
      </c>
      <c r="T2090" s="114"/>
      <c r="U2090" s="21"/>
      <c r="V2090" s="115">
        <v>45945</v>
      </c>
      <c r="W2090" s="116">
        <v>988</v>
      </c>
      <c r="X2090" s="220">
        <v>465000</v>
      </c>
      <c r="Y2090" s="220">
        <v>46500</v>
      </c>
      <c r="Z2090" s="220">
        <v>7170</v>
      </c>
      <c r="AA2090" s="220">
        <f>SUM(X2090:Z2090)</f>
        <v>518670</v>
      </c>
      <c r="AB2090" s="222">
        <v>45950</v>
      </c>
    </row>
    <row r="2091" spans="1:28" ht="17.100000000000001" customHeight="1" thickBot="1">
      <c r="A2091" s="227"/>
      <c r="B2091" s="27" t="s">
        <v>2472</v>
      </c>
      <c r="C2091" s="27">
        <v>31092</v>
      </c>
      <c r="D2091" s="14" t="s">
        <v>898</v>
      </c>
      <c r="E2091" s="229"/>
      <c r="F2091" s="117" t="s">
        <v>7033</v>
      </c>
      <c r="G2091" s="26">
        <v>45015</v>
      </c>
      <c r="H2091" s="231"/>
      <c r="I2091" s="221"/>
      <c r="J2091" s="221"/>
      <c r="K2091" s="221"/>
      <c r="L2091" s="221"/>
      <c r="M2091" s="221"/>
      <c r="N2091" s="221"/>
      <c r="O2091" s="225"/>
      <c r="P2091" s="118" t="s">
        <v>3355</v>
      </c>
      <c r="Q2091" s="16" t="s">
        <v>20</v>
      </c>
      <c r="R2091" s="17" t="s">
        <v>7909</v>
      </c>
      <c r="S2091" s="121" t="s">
        <v>7951</v>
      </c>
      <c r="T2091" s="122" t="s">
        <v>7309</v>
      </c>
      <c r="U2091" s="22"/>
      <c r="V2091" s="123" t="s">
        <v>2747</v>
      </c>
      <c r="W2091" s="122">
        <v>2022</v>
      </c>
      <c r="X2091" s="221"/>
      <c r="Y2091" s="221"/>
      <c r="Z2091" s="221"/>
      <c r="AA2091" s="221"/>
      <c r="AB2091" s="223"/>
    </row>
    <row r="2092" spans="1:28" ht="17.100000000000001" customHeight="1" thickTop="1">
      <c r="A2092" s="226" t="s">
        <v>7016</v>
      </c>
      <c r="B2092" s="28">
        <v>45934</v>
      </c>
      <c r="C2092" s="25">
        <v>1270</v>
      </c>
      <c r="D2092" s="13" t="s">
        <v>2637</v>
      </c>
      <c r="E2092" s="228"/>
      <c r="F2092" s="109" t="s">
        <v>7034</v>
      </c>
      <c r="G2092" s="24" t="s">
        <v>7036</v>
      </c>
      <c r="H2092" s="230">
        <v>4</v>
      </c>
      <c r="I2092" s="220">
        <v>800000</v>
      </c>
      <c r="J2092" s="220">
        <f>I2092*0.1</f>
        <v>80000</v>
      </c>
      <c r="K2092" s="220">
        <v>0</v>
      </c>
      <c r="L2092" s="220">
        <v>8550</v>
      </c>
      <c r="M2092" s="220">
        <v>23100</v>
      </c>
      <c r="N2092" s="220">
        <f>SUM(I2092:M2093)</f>
        <v>911650</v>
      </c>
      <c r="O2092" s="224"/>
      <c r="P2092" s="110" t="s">
        <v>7037</v>
      </c>
      <c r="Q2092" s="15" t="s">
        <v>19</v>
      </c>
      <c r="R2092" s="205"/>
      <c r="S2092" s="189" t="s">
        <v>25502</v>
      </c>
      <c r="T2092" s="114"/>
      <c r="U2092" s="21"/>
      <c r="V2092" s="115">
        <v>45938</v>
      </c>
      <c r="W2092" s="116">
        <v>987</v>
      </c>
      <c r="X2092" s="220">
        <v>1000000</v>
      </c>
      <c r="Y2092" s="220">
        <v>100000</v>
      </c>
      <c r="Z2092" s="220">
        <v>8550</v>
      </c>
      <c r="AA2092" s="220">
        <f>SUM(X2092:Z2092)</f>
        <v>1108550</v>
      </c>
      <c r="AB2092" s="222">
        <v>45944</v>
      </c>
    </row>
    <row r="2093" spans="1:28" ht="17.100000000000001" customHeight="1" thickBot="1">
      <c r="A2093" s="227"/>
      <c r="B2093" s="27" t="s">
        <v>2472</v>
      </c>
      <c r="C2093" s="27">
        <v>31094</v>
      </c>
      <c r="D2093" s="14" t="s">
        <v>3792</v>
      </c>
      <c r="E2093" s="229"/>
      <c r="F2093" s="117" t="s">
        <v>7035</v>
      </c>
      <c r="G2093" s="26">
        <v>12889</v>
      </c>
      <c r="H2093" s="231"/>
      <c r="I2093" s="221"/>
      <c r="J2093" s="221"/>
      <c r="K2093" s="221"/>
      <c r="L2093" s="221"/>
      <c r="M2093" s="221"/>
      <c r="N2093" s="221"/>
      <c r="O2093" s="225"/>
      <c r="P2093" s="118" t="s">
        <v>8229</v>
      </c>
      <c r="Q2093" s="16" t="s">
        <v>20</v>
      </c>
      <c r="R2093" s="17" t="s">
        <v>3913</v>
      </c>
      <c r="S2093" s="121" t="s">
        <v>8230</v>
      </c>
      <c r="T2093" s="122" t="s">
        <v>7308</v>
      </c>
      <c r="U2093" s="22"/>
      <c r="V2093" s="123" t="s">
        <v>2747</v>
      </c>
      <c r="W2093" s="122">
        <v>2058</v>
      </c>
      <c r="X2093" s="221"/>
      <c r="Y2093" s="221"/>
      <c r="Z2093" s="221"/>
      <c r="AA2093" s="221"/>
      <c r="AB2093" s="223"/>
    </row>
    <row r="2094" spans="1:28" ht="17.100000000000001" customHeight="1" thickTop="1">
      <c r="A2094" s="226" t="s">
        <v>7017</v>
      </c>
      <c r="B2094" s="28">
        <v>45934</v>
      </c>
      <c r="C2094" s="25">
        <v>1270</v>
      </c>
      <c r="D2094" s="13" t="s">
        <v>1598</v>
      </c>
      <c r="E2094" s="228"/>
      <c r="F2094" s="109" t="s">
        <v>5334</v>
      </c>
      <c r="G2094" s="24"/>
      <c r="H2094" s="230">
        <v>4</v>
      </c>
      <c r="I2094" s="220">
        <v>365000</v>
      </c>
      <c r="J2094" s="220">
        <f>I2094*0.1</f>
        <v>36500</v>
      </c>
      <c r="K2094" s="220">
        <v>0</v>
      </c>
      <c r="L2094" s="220">
        <v>7950</v>
      </c>
      <c r="M2094" s="220">
        <v>12100</v>
      </c>
      <c r="N2094" s="220">
        <f>SUM(I2094:M2095)</f>
        <v>421550</v>
      </c>
      <c r="O2094" s="224"/>
      <c r="P2094" s="110" t="s">
        <v>7956</v>
      </c>
      <c r="Q2094" s="15" t="s">
        <v>19</v>
      </c>
      <c r="R2094" s="205"/>
      <c r="S2094" s="189" t="s">
        <v>25386</v>
      </c>
      <c r="T2094" s="114"/>
      <c r="U2094" s="21"/>
      <c r="V2094" s="115">
        <v>45948</v>
      </c>
      <c r="W2094" s="116">
        <v>1272</v>
      </c>
      <c r="X2094" s="220">
        <v>445000</v>
      </c>
      <c r="Y2094" s="220">
        <f>X2094*0.1</f>
        <v>44500</v>
      </c>
      <c r="Z2094" s="220">
        <v>7950</v>
      </c>
      <c r="AA2094" s="220">
        <f>SUM(X2094:Z2094)</f>
        <v>497450</v>
      </c>
      <c r="AB2094" s="222">
        <v>45952</v>
      </c>
    </row>
    <row r="2095" spans="1:28" ht="17.100000000000001" customHeight="1" thickBot="1">
      <c r="A2095" s="227"/>
      <c r="B2095" s="27" t="s">
        <v>2472</v>
      </c>
      <c r="C2095" s="27">
        <v>31205</v>
      </c>
      <c r="D2095" s="14" t="s">
        <v>3746</v>
      </c>
      <c r="E2095" s="229"/>
      <c r="F2095" s="117" t="s">
        <v>7038</v>
      </c>
      <c r="G2095" s="26">
        <v>60252</v>
      </c>
      <c r="H2095" s="231"/>
      <c r="I2095" s="221"/>
      <c r="J2095" s="221"/>
      <c r="K2095" s="221"/>
      <c r="L2095" s="221"/>
      <c r="M2095" s="221"/>
      <c r="N2095" s="221"/>
      <c r="O2095" s="225"/>
      <c r="P2095" s="118" t="s">
        <v>1972</v>
      </c>
      <c r="Q2095" s="16" t="s">
        <v>20</v>
      </c>
      <c r="R2095" s="17" t="s">
        <v>7909</v>
      </c>
      <c r="S2095" s="121" t="s">
        <v>7704</v>
      </c>
      <c r="T2095" s="122"/>
      <c r="U2095" s="22"/>
      <c r="V2095" s="123" t="s">
        <v>7160</v>
      </c>
      <c r="W2095" s="122">
        <v>60301</v>
      </c>
      <c r="X2095" s="221"/>
      <c r="Y2095" s="221"/>
      <c r="Z2095" s="221"/>
      <c r="AA2095" s="221"/>
      <c r="AB2095" s="223"/>
    </row>
    <row r="2096" spans="1:28" ht="17.100000000000001" customHeight="1" thickTop="1">
      <c r="A2096" s="226" t="s">
        <v>7018</v>
      </c>
      <c r="B2096" s="28">
        <v>45934</v>
      </c>
      <c r="C2096" s="25">
        <v>1270</v>
      </c>
      <c r="D2096" s="13" t="s">
        <v>1974</v>
      </c>
      <c r="E2096" s="228"/>
      <c r="F2096" s="109" t="s">
        <v>2859</v>
      </c>
      <c r="G2096" s="24"/>
      <c r="H2096" s="230">
        <v>4</v>
      </c>
      <c r="I2096" s="220">
        <v>800000</v>
      </c>
      <c r="J2096" s="220">
        <f>I2096*0.1</f>
        <v>80000</v>
      </c>
      <c r="K2096" s="220">
        <v>0</v>
      </c>
      <c r="L2096" s="220">
        <v>9170</v>
      </c>
      <c r="M2096" s="220">
        <v>23100</v>
      </c>
      <c r="N2096" s="220">
        <f>SUM(I2096:M2097)</f>
        <v>912270</v>
      </c>
      <c r="O2096" s="224"/>
      <c r="P2096" s="110"/>
      <c r="Q2096" s="15" t="s">
        <v>19</v>
      </c>
      <c r="R2096" s="205"/>
      <c r="S2096" s="189"/>
      <c r="T2096" s="114"/>
      <c r="U2096" s="21"/>
      <c r="V2096" s="115">
        <v>45938</v>
      </c>
      <c r="W2096" s="116">
        <v>987</v>
      </c>
      <c r="X2096" s="220">
        <v>970000</v>
      </c>
      <c r="Y2096" s="220">
        <v>97000</v>
      </c>
      <c r="Z2096" s="220">
        <v>9170</v>
      </c>
      <c r="AA2096" s="220">
        <f>SUM(X2096:Z2096)</f>
        <v>1076170</v>
      </c>
      <c r="AB2096" s="222">
        <v>45944</v>
      </c>
    </row>
    <row r="2097" spans="1:28" ht="17.100000000000001" customHeight="1" thickBot="1">
      <c r="A2097" s="227"/>
      <c r="B2097" s="27" t="s">
        <v>2472</v>
      </c>
      <c r="C2097" s="27">
        <v>31229</v>
      </c>
      <c r="D2097" s="14" t="s">
        <v>1584</v>
      </c>
      <c r="E2097" s="229"/>
      <c r="F2097" s="117" t="s">
        <v>7039</v>
      </c>
      <c r="G2097" s="26">
        <v>21947</v>
      </c>
      <c r="H2097" s="231"/>
      <c r="I2097" s="221"/>
      <c r="J2097" s="221"/>
      <c r="K2097" s="221"/>
      <c r="L2097" s="221"/>
      <c r="M2097" s="221"/>
      <c r="N2097" s="221"/>
      <c r="O2097" s="225"/>
      <c r="P2097" s="118" t="s">
        <v>8229</v>
      </c>
      <c r="Q2097" s="16" t="s">
        <v>20</v>
      </c>
      <c r="R2097" s="17" t="s">
        <v>3913</v>
      </c>
      <c r="S2097" s="121" t="s">
        <v>8230</v>
      </c>
      <c r="T2097" s="122"/>
      <c r="U2097" s="22"/>
      <c r="V2097" s="123" t="s">
        <v>2747</v>
      </c>
      <c r="W2097" s="122">
        <v>2052</v>
      </c>
      <c r="X2097" s="221"/>
      <c r="Y2097" s="221"/>
      <c r="Z2097" s="221"/>
      <c r="AA2097" s="221"/>
      <c r="AB2097" s="223"/>
    </row>
    <row r="2098" spans="1:28" ht="17.100000000000001" customHeight="1" thickTop="1">
      <c r="A2098" s="226" t="s">
        <v>7019</v>
      </c>
      <c r="B2098" s="28">
        <v>45934</v>
      </c>
      <c r="C2098" s="25">
        <v>1270</v>
      </c>
      <c r="D2098" s="13" t="s">
        <v>7040</v>
      </c>
      <c r="E2098" s="228"/>
      <c r="F2098" s="109" t="s">
        <v>2932</v>
      </c>
      <c r="G2098" s="24" t="s">
        <v>3408</v>
      </c>
      <c r="H2098" s="230">
        <v>4</v>
      </c>
      <c r="I2098" s="220">
        <v>753000</v>
      </c>
      <c r="J2098" s="220">
        <f>I2098*0.1</f>
        <v>75300</v>
      </c>
      <c r="K2098" s="220">
        <v>0</v>
      </c>
      <c r="L2098" s="220">
        <v>9010</v>
      </c>
      <c r="M2098" s="220">
        <v>11000</v>
      </c>
      <c r="N2098" s="220">
        <f>SUM(I2098:M2099)</f>
        <v>848310</v>
      </c>
      <c r="O2098" s="224"/>
      <c r="P2098" s="110" t="s">
        <v>7042</v>
      </c>
      <c r="Q2098" s="15" t="s">
        <v>19</v>
      </c>
      <c r="R2098" s="205"/>
      <c r="S2098" s="189"/>
      <c r="T2098" s="114"/>
      <c r="U2098" s="21"/>
      <c r="V2098" s="115">
        <v>45938</v>
      </c>
      <c r="W2098" s="116">
        <v>987</v>
      </c>
      <c r="X2098" s="220">
        <v>920000</v>
      </c>
      <c r="Y2098" s="220">
        <v>92000</v>
      </c>
      <c r="Z2098" s="220">
        <v>9010</v>
      </c>
      <c r="AA2098" s="220">
        <f>SUM(X2098:Z2098)</f>
        <v>1021010</v>
      </c>
      <c r="AB2098" s="222">
        <v>45944</v>
      </c>
    </row>
    <row r="2099" spans="1:28" ht="17.100000000000001" customHeight="1" thickBot="1">
      <c r="A2099" s="227"/>
      <c r="B2099" s="27" t="s">
        <v>2472</v>
      </c>
      <c r="C2099" s="27">
        <v>62047</v>
      </c>
      <c r="D2099" s="14" t="s">
        <v>273</v>
      </c>
      <c r="E2099" s="229"/>
      <c r="F2099" s="117" t="s">
        <v>7041</v>
      </c>
      <c r="G2099" s="26">
        <v>71010</v>
      </c>
      <c r="H2099" s="231"/>
      <c r="I2099" s="221"/>
      <c r="J2099" s="221"/>
      <c r="K2099" s="221"/>
      <c r="L2099" s="221"/>
      <c r="M2099" s="221"/>
      <c r="N2099" s="221"/>
      <c r="O2099" s="225"/>
      <c r="P2099" s="118" t="s">
        <v>8229</v>
      </c>
      <c r="Q2099" s="16" t="s">
        <v>20</v>
      </c>
      <c r="R2099" s="17" t="s">
        <v>3913</v>
      </c>
      <c r="S2099" s="121" t="s">
        <v>8231</v>
      </c>
      <c r="T2099" s="122"/>
      <c r="U2099" s="22"/>
      <c r="V2099" s="123" t="s">
        <v>2747</v>
      </c>
      <c r="W2099" s="122">
        <v>2047</v>
      </c>
      <c r="X2099" s="221"/>
      <c r="Y2099" s="221"/>
      <c r="Z2099" s="221"/>
      <c r="AA2099" s="221"/>
      <c r="AB2099" s="223"/>
    </row>
    <row r="2100" spans="1:28" ht="17.100000000000001" customHeight="1" thickTop="1">
      <c r="A2100" s="226" t="s">
        <v>7020</v>
      </c>
      <c r="B2100" s="28">
        <v>45934</v>
      </c>
      <c r="C2100" s="25">
        <v>1270</v>
      </c>
      <c r="D2100" s="13" t="s">
        <v>2811</v>
      </c>
      <c r="E2100" s="228"/>
      <c r="F2100" s="109" t="s">
        <v>7043</v>
      </c>
      <c r="G2100" s="24" t="s">
        <v>2810</v>
      </c>
      <c r="H2100" s="230">
        <v>4.5</v>
      </c>
      <c r="I2100" s="220">
        <v>635000</v>
      </c>
      <c r="J2100" s="220">
        <f>I2100*0.1</f>
        <v>63500</v>
      </c>
      <c r="K2100" s="220">
        <v>0</v>
      </c>
      <c r="L2100" s="220">
        <v>8230</v>
      </c>
      <c r="M2100" s="220">
        <v>13200</v>
      </c>
      <c r="N2100" s="220">
        <f>SUM(I2100:M2101)</f>
        <v>719930</v>
      </c>
      <c r="O2100" s="224"/>
      <c r="P2100" s="110" t="s">
        <v>7949</v>
      </c>
      <c r="Q2100" s="15" t="s">
        <v>19</v>
      </c>
      <c r="R2100" s="205"/>
      <c r="S2100" s="189" t="s">
        <v>25432</v>
      </c>
      <c r="T2100" s="114"/>
      <c r="U2100" s="21"/>
      <c r="V2100" s="115">
        <v>45945</v>
      </c>
      <c r="W2100" s="116">
        <v>988</v>
      </c>
      <c r="X2100" s="220">
        <v>700000</v>
      </c>
      <c r="Y2100" s="220">
        <v>70000</v>
      </c>
      <c r="Z2100" s="220">
        <v>8230</v>
      </c>
      <c r="AA2100" s="220">
        <f>SUM(X2100:Z2100)</f>
        <v>778230</v>
      </c>
      <c r="AB2100" s="222">
        <v>45950</v>
      </c>
    </row>
    <row r="2101" spans="1:28" ht="17.100000000000001" customHeight="1" thickBot="1">
      <c r="A2101" s="227"/>
      <c r="B2101" s="27" t="s">
        <v>2472</v>
      </c>
      <c r="C2101" s="27">
        <v>65007</v>
      </c>
      <c r="D2101" s="14" t="s">
        <v>273</v>
      </c>
      <c r="E2101" s="229"/>
      <c r="F2101" s="117" t="s">
        <v>7044</v>
      </c>
      <c r="G2101" s="26">
        <v>76256</v>
      </c>
      <c r="H2101" s="231"/>
      <c r="I2101" s="221"/>
      <c r="J2101" s="221"/>
      <c r="K2101" s="221"/>
      <c r="L2101" s="221"/>
      <c r="M2101" s="221"/>
      <c r="N2101" s="221"/>
      <c r="O2101" s="225"/>
      <c r="P2101" s="118" t="s">
        <v>7950</v>
      </c>
      <c r="Q2101" s="16" t="s">
        <v>20</v>
      </c>
      <c r="R2101" s="17" t="s">
        <v>7909</v>
      </c>
      <c r="S2101" s="121" t="s">
        <v>7948</v>
      </c>
      <c r="T2101" s="122"/>
      <c r="U2101" s="22"/>
      <c r="V2101" s="123" t="s">
        <v>2747</v>
      </c>
      <c r="W2101" s="122">
        <v>2021</v>
      </c>
      <c r="X2101" s="221"/>
      <c r="Y2101" s="221"/>
      <c r="Z2101" s="221"/>
      <c r="AA2101" s="221"/>
      <c r="AB2101" s="223"/>
    </row>
    <row r="2102" spans="1:28" ht="17.100000000000001" customHeight="1" thickTop="1">
      <c r="A2102" s="226" t="s">
        <v>7021</v>
      </c>
      <c r="B2102" s="28">
        <v>45934</v>
      </c>
      <c r="C2102" s="25">
        <v>1270</v>
      </c>
      <c r="D2102" s="13" t="s">
        <v>1816</v>
      </c>
      <c r="E2102" s="228"/>
      <c r="F2102" s="109" t="s">
        <v>2556</v>
      </c>
      <c r="G2102" s="24"/>
      <c r="H2102" s="230">
        <v>4</v>
      </c>
      <c r="I2102" s="220">
        <v>605000</v>
      </c>
      <c r="J2102" s="220">
        <f>I2102*0.1</f>
        <v>60500</v>
      </c>
      <c r="K2102" s="220">
        <v>0</v>
      </c>
      <c r="L2102" s="220">
        <v>9910</v>
      </c>
      <c r="M2102" s="220">
        <v>12100</v>
      </c>
      <c r="N2102" s="220">
        <f>SUM(I2102:M2103)</f>
        <v>687510</v>
      </c>
      <c r="O2102" s="224"/>
      <c r="P2102" s="110" t="s">
        <v>7955</v>
      </c>
      <c r="Q2102" s="15" t="s">
        <v>19</v>
      </c>
      <c r="R2102" s="205"/>
      <c r="S2102" s="189" t="s">
        <v>1072</v>
      </c>
      <c r="T2102" s="114"/>
      <c r="U2102" s="21"/>
      <c r="V2102" s="115">
        <v>45969</v>
      </c>
      <c r="W2102" s="116">
        <v>1275</v>
      </c>
      <c r="X2102" s="220">
        <v>640000</v>
      </c>
      <c r="Y2102" s="220">
        <f>X2102*0.1</f>
        <v>64000</v>
      </c>
      <c r="Z2102" s="220">
        <v>9910</v>
      </c>
      <c r="AA2102" s="220">
        <f>SUM(X2102:Z2102)</f>
        <v>713910</v>
      </c>
      <c r="AB2102" s="222">
        <v>45972</v>
      </c>
    </row>
    <row r="2103" spans="1:28" ht="17.100000000000001" customHeight="1" thickBot="1">
      <c r="A2103" s="227"/>
      <c r="B2103" s="27" t="s">
        <v>2472</v>
      </c>
      <c r="C2103" s="27">
        <v>65124</v>
      </c>
      <c r="D2103" s="14" t="s">
        <v>2559</v>
      </c>
      <c r="E2103" s="229"/>
      <c r="F2103" s="117" t="s">
        <v>7045</v>
      </c>
      <c r="G2103" s="26">
        <v>72454</v>
      </c>
      <c r="H2103" s="231"/>
      <c r="I2103" s="221"/>
      <c r="J2103" s="221"/>
      <c r="K2103" s="221"/>
      <c r="L2103" s="221"/>
      <c r="M2103" s="221"/>
      <c r="N2103" s="221"/>
      <c r="O2103" s="225"/>
      <c r="P2103" s="118" t="s">
        <v>2870</v>
      </c>
      <c r="Q2103" s="16" t="s">
        <v>20</v>
      </c>
      <c r="R2103" s="17" t="s">
        <v>7909</v>
      </c>
      <c r="S2103" s="121" t="s">
        <v>1573</v>
      </c>
      <c r="T2103" s="122"/>
      <c r="U2103" s="22"/>
      <c r="V2103" s="123" t="s">
        <v>7160</v>
      </c>
      <c r="W2103" s="122">
        <v>60249</v>
      </c>
      <c r="X2103" s="221"/>
      <c r="Y2103" s="221"/>
      <c r="Z2103" s="221"/>
      <c r="AA2103" s="221"/>
      <c r="AB2103" s="223"/>
    </row>
    <row r="2104" spans="1:28" ht="17.100000000000001" customHeight="1" thickTop="1">
      <c r="A2104" s="226" t="s">
        <v>7022</v>
      </c>
      <c r="B2104" s="28">
        <v>45934</v>
      </c>
      <c r="C2104" s="25">
        <v>1270</v>
      </c>
      <c r="D2104" s="13" t="s">
        <v>3327</v>
      </c>
      <c r="E2104" s="228"/>
      <c r="F2104" s="109" t="s">
        <v>7046</v>
      </c>
      <c r="G2104" s="24" t="s">
        <v>2813</v>
      </c>
      <c r="H2104" s="230">
        <v>4.5</v>
      </c>
      <c r="I2104" s="220">
        <v>725000</v>
      </c>
      <c r="J2104" s="220">
        <f>I2104*0.1</f>
        <v>72500</v>
      </c>
      <c r="K2104" s="220">
        <v>0</v>
      </c>
      <c r="L2104" s="220">
        <v>7500</v>
      </c>
      <c r="M2104" s="220">
        <v>12100</v>
      </c>
      <c r="N2104" s="220">
        <f>SUM(I2104:M2105)</f>
        <v>817100</v>
      </c>
      <c r="O2104" s="224"/>
      <c r="P2104" s="110" t="s">
        <v>7048</v>
      </c>
      <c r="Q2104" s="15" t="s">
        <v>19</v>
      </c>
      <c r="R2104" s="205"/>
      <c r="S2104" s="189" t="s">
        <v>1072</v>
      </c>
      <c r="T2104" s="114"/>
      <c r="U2104" s="21"/>
      <c r="V2104" s="115">
        <v>46011</v>
      </c>
      <c r="W2104" s="116">
        <v>1281</v>
      </c>
      <c r="X2104" s="220">
        <v>750000</v>
      </c>
      <c r="Y2104" s="220">
        <f>X2104*0.1</f>
        <v>75000</v>
      </c>
      <c r="Z2104" s="220">
        <v>7500</v>
      </c>
      <c r="AA2104" s="220">
        <f>SUM(X2104:Z2104)</f>
        <v>832500</v>
      </c>
      <c r="AB2104" s="222">
        <v>46014</v>
      </c>
    </row>
    <row r="2105" spans="1:28" ht="17.100000000000001" customHeight="1" thickBot="1">
      <c r="A2105" s="227"/>
      <c r="B2105" s="27" t="s">
        <v>2472</v>
      </c>
      <c r="C2105" s="27">
        <v>65300</v>
      </c>
      <c r="D2105" s="14" t="s">
        <v>2559</v>
      </c>
      <c r="E2105" s="229"/>
      <c r="F2105" s="117" t="s">
        <v>7047</v>
      </c>
      <c r="G2105" s="26">
        <v>70431</v>
      </c>
      <c r="H2105" s="231"/>
      <c r="I2105" s="221"/>
      <c r="J2105" s="221"/>
      <c r="K2105" s="221"/>
      <c r="L2105" s="221"/>
      <c r="M2105" s="221"/>
      <c r="N2105" s="221"/>
      <c r="O2105" s="225"/>
      <c r="P2105" s="118" t="s">
        <v>7957</v>
      </c>
      <c r="Q2105" s="16" t="s">
        <v>20</v>
      </c>
      <c r="R2105" s="17" t="s">
        <v>7909</v>
      </c>
      <c r="S2105" s="121" t="s">
        <v>7765</v>
      </c>
      <c r="T2105" s="122"/>
      <c r="U2105" s="22"/>
      <c r="V2105" s="123" t="s">
        <v>2472</v>
      </c>
      <c r="W2105" s="122">
        <v>60203</v>
      </c>
      <c r="X2105" s="221"/>
      <c r="Y2105" s="221"/>
      <c r="Z2105" s="221"/>
      <c r="AA2105" s="221"/>
      <c r="AB2105" s="223"/>
    </row>
    <row r="2106" spans="1:28" ht="17.100000000000001" customHeight="1" thickTop="1">
      <c r="A2106" s="226" t="s">
        <v>7023</v>
      </c>
      <c r="B2106" s="28">
        <v>45934</v>
      </c>
      <c r="C2106" s="25">
        <v>1270</v>
      </c>
      <c r="D2106" s="13" t="s">
        <v>1810</v>
      </c>
      <c r="E2106" s="228"/>
      <c r="F2106" s="109" t="s">
        <v>7049</v>
      </c>
      <c r="G2106" s="24"/>
      <c r="H2106" s="230">
        <v>4.5</v>
      </c>
      <c r="I2106" s="220">
        <v>1170000</v>
      </c>
      <c r="J2106" s="220">
        <f>I2106*0.1</f>
        <v>117000</v>
      </c>
      <c r="K2106" s="220">
        <v>0</v>
      </c>
      <c r="L2106" s="220">
        <v>7150</v>
      </c>
      <c r="M2106" s="220">
        <v>12100</v>
      </c>
      <c r="N2106" s="220">
        <f>SUM(I2106:M2107)</f>
        <v>1306250</v>
      </c>
      <c r="O2106" s="224"/>
      <c r="P2106" s="110" t="s">
        <v>7953</v>
      </c>
      <c r="Q2106" s="15" t="s">
        <v>19</v>
      </c>
      <c r="R2106" s="205"/>
      <c r="S2106" s="189" t="s">
        <v>25372</v>
      </c>
      <c r="T2106" s="114"/>
      <c r="U2106" s="21"/>
      <c r="V2106" s="115">
        <v>45944</v>
      </c>
      <c r="W2106" s="116">
        <v>1913</v>
      </c>
      <c r="X2106" s="220">
        <v>1270000</v>
      </c>
      <c r="Y2106" s="220">
        <v>127000</v>
      </c>
      <c r="Z2106" s="220">
        <v>7150</v>
      </c>
      <c r="AA2106" s="220">
        <f>SUM(X2106:Z2106)</f>
        <v>1404150</v>
      </c>
      <c r="AB2106" s="222">
        <v>45950</v>
      </c>
    </row>
    <row r="2107" spans="1:28" ht="17.100000000000001" customHeight="1" thickBot="1">
      <c r="A2107" s="227"/>
      <c r="B2107" s="27" t="s">
        <v>2472</v>
      </c>
      <c r="C2107" s="27">
        <v>65360</v>
      </c>
      <c r="D2107" s="14" t="s">
        <v>2559</v>
      </c>
      <c r="E2107" s="229"/>
      <c r="F2107" s="117" t="s">
        <v>7050</v>
      </c>
      <c r="G2107" s="26">
        <v>46500</v>
      </c>
      <c r="H2107" s="231"/>
      <c r="I2107" s="221"/>
      <c r="J2107" s="221"/>
      <c r="K2107" s="221"/>
      <c r="L2107" s="221"/>
      <c r="M2107" s="221"/>
      <c r="N2107" s="221"/>
      <c r="O2107" s="225"/>
      <c r="P2107" s="118" t="s">
        <v>7954</v>
      </c>
      <c r="Q2107" s="16" t="s">
        <v>20</v>
      </c>
      <c r="R2107" s="17" t="s">
        <v>7909</v>
      </c>
      <c r="S2107" s="121" t="s">
        <v>4360</v>
      </c>
      <c r="T2107" s="122"/>
      <c r="U2107" s="22"/>
      <c r="V2107" s="123" t="s">
        <v>2103</v>
      </c>
      <c r="W2107" s="122">
        <v>3173</v>
      </c>
      <c r="X2107" s="221"/>
      <c r="Y2107" s="221"/>
      <c r="Z2107" s="221"/>
      <c r="AA2107" s="221"/>
      <c r="AB2107" s="223"/>
    </row>
    <row r="2108" spans="1:28" ht="17.100000000000001" customHeight="1" thickTop="1">
      <c r="A2108" s="226" t="s">
        <v>7027</v>
      </c>
      <c r="B2108" s="28">
        <v>45934</v>
      </c>
      <c r="C2108" s="25">
        <v>1270</v>
      </c>
      <c r="D2108" s="13" t="s">
        <v>2010</v>
      </c>
      <c r="E2108" s="228"/>
      <c r="F2108" s="109" t="s">
        <v>7051</v>
      </c>
      <c r="G2108" s="24" t="s">
        <v>7053</v>
      </c>
      <c r="H2108" s="230">
        <v>4.5</v>
      </c>
      <c r="I2108" s="220">
        <v>1695000</v>
      </c>
      <c r="J2108" s="220">
        <v>169500</v>
      </c>
      <c r="K2108" s="220">
        <f>12700+1270</f>
        <v>13970</v>
      </c>
      <c r="L2108" s="220">
        <v>17310</v>
      </c>
      <c r="M2108" s="220">
        <v>16500</v>
      </c>
      <c r="N2108" s="220">
        <f>SUM(I2108:M2109)</f>
        <v>1912280</v>
      </c>
      <c r="O2108" s="224"/>
      <c r="P2108" s="110" t="s">
        <v>7054</v>
      </c>
      <c r="Q2108" s="15" t="s">
        <v>19</v>
      </c>
      <c r="R2108" s="205"/>
      <c r="S2108" s="189" t="s">
        <v>25418</v>
      </c>
      <c r="T2108" s="114"/>
      <c r="U2108" s="21"/>
      <c r="V2108" s="115">
        <v>45945</v>
      </c>
      <c r="W2108" s="116">
        <v>988</v>
      </c>
      <c r="X2108" s="220">
        <v>1880000</v>
      </c>
      <c r="Y2108" s="220">
        <v>188000</v>
      </c>
      <c r="Z2108" s="220">
        <v>17310</v>
      </c>
      <c r="AA2108" s="220">
        <f>SUM(X2108:Z2108)</f>
        <v>2085310</v>
      </c>
      <c r="AB2108" s="222">
        <v>45950</v>
      </c>
    </row>
    <row r="2109" spans="1:28" ht="17.100000000000001" customHeight="1" thickBot="1">
      <c r="A2109" s="227"/>
      <c r="B2109" s="27" t="s">
        <v>2472</v>
      </c>
      <c r="C2109" s="27">
        <v>82058</v>
      </c>
      <c r="D2109" s="14" t="s">
        <v>1797</v>
      </c>
      <c r="E2109" s="229"/>
      <c r="F2109" s="117" t="s">
        <v>7052</v>
      </c>
      <c r="G2109" s="26">
        <v>18045</v>
      </c>
      <c r="H2109" s="231"/>
      <c r="I2109" s="221"/>
      <c r="J2109" s="221"/>
      <c r="K2109" s="221"/>
      <c r="L2109" s="221"/>
      <c r="M2109" s="221"/>
      <c r="N2109" s="221"/>
      <c r="O2109" s="225"/>
      <c r="P2109" s="118" t="s">
        <v>8233</v>
      </c>
      <c r="Q2109" s="16" t="s">
        <v>20</v>
      </c>
      <c r="R2109" s="17" t="s">
        <v>7909</v>
      </c>
      <c r="S2109" s="121" t="s">
        <v>1625</v>
      </c>
      <c r="T2109" s="122"/>
      <c r="U2109" s="22"/>
      <c r="V2109" s="123" t="s">
        <v>2747</v>
      </c>
      <c r="W2109" s="122">
        <v>6013</v>
      </c>
      <c r="X2109" s="221"/>
      <c r="Y2109" s="221"/>
      <c r="Z2109" s="221"/>
      <c r="AA2109" s="221"/>
      <c r="AB2109" s="223"/>
    </row>
    <row r="2110" spans="1:28" ht="17.100000000000001" customHeight="1" thickTop="1">
      <c r="A2110" s="226" t="s">
        <v>7028</v>
      </c>
      <c r="B2110" s="28">
        <v>45934</v>
      </c>
      <c r="C2110" s="25">
        <v>1270</v>
      </c>
      <c r="D2110" s="13" t="s">
        <v>3422</v>
      </c>
      <c r="E2110" s="228"/>
      <c r="F2110" s="109" t="s">
        <v>7055</v>
      </c>
      <c r="G2110" s="24"/>
      <c r="H2110" s="230">
        <v>4.5</v>
      </c>
      <c r="I2110" s="220">
        <v>480000</v>
      </c>
      <c r="J2110" s="220">
        <f>I2110*0.1</f>
        <v>48000</v>
      </c>
      <c r="K2110" s="220">
        <v>0</v>
      </c>
      <c r="L2110" s="220">
        <v>19120</v>
      </c>
      <c r="M2110" s="220">
        <v>16500</v>
      </c>
      <c r="N2110" s="220">
        <f>SUM(I2110:M2111)</f>
        <v>563620</v>
      </c>
      <c r="O2110" s="224"/>
      <c r="P2110" s="110"/>
      <c r="Q2110" s="15" t="s">
        <v>19</v>
      </c>
      <c r="R2110" s="205"/>
      <c r="S2110" s="189" t="s">
        <v>25503</v>
      </c>
      <c r="T2110" s="114"/>
      <c r="U2110" s="21"/>
      <c r="V2110" s="115">
        <v>45939</v>
      </c>
      <c r="W2110" s="116">
        <v>1301</v>
      </c>
      <c r="X2110" s="220">
        <v>675000</v>
      </c>
      <c r="Y2110" s="220">
        <v>67500</v>
      </c>
      <c r="Z2110" s="220">
        <v>19120</v>
      </c>
      <c r="AA2110" s="220">
        <f>SUM(X2110:Z2110)</f>
        <v>761620</v>
      </c>
      <c r="AB2110" s="222">
        <v>45940</v>
      </c>
    </row>
    <row r="2111" spans="1:28" ht="17.100000000000001" customHeight="1" thickBot="1">
      <c r="A2111" s="227"/>
      <c r="B2111" s="27" t="s">
        <v>2472</v>
      </c>
      <c r="C2111" s="27">
        <v>82125</v>
      </c>
      <c r="D2111" s="14" t="s">
        <v>3274</v>
      </c>
      <c r="E2111" s="229"/>
      <c r="F2111" s="117" t="s">
        <v>7056</v>
      </c>
      <c r="G2111" s="26">
        <v>83866</v>
      </c>
      <c r="H2111" s="231"/>
      <c r="I2111" s="221"/>
      <c r="J2111" s="221"/>
      <c r="K2111" s="221"/>
      <c r="L2111" s="221"/>
      <c r="M2111" s="221"/>
      <c r="N2111" s="221"/>
      <c r="O2111" s="225"/>
      <c r="P2111" s="118" t="s">
        <v>8229</v>
      </c>
      <c r="Q2111" s="16" t="s">
        <v>20</v>
      </c>
      <c r="R2111" s="17" t="s">
        <v>3913</v>
      </c>
      <c r="S2111" s="121" t="s">
        <v>8232</v>
      </c>
      <c r="T2111" s="122"/>
      <c r="U2111" s="22"/>
      <c r="V2111" s="123" t="s">
        <v>7447</v>
      </c>
      <c r="W2111" s="122">
        <v>97</v>
      </c>
      <c r="X2111" s="221"/>
      <c r="Y2111" s="221"/>
      <c r="Z2111" s="221"/>
      <c r="AA2111" s="221"/>
      <c r="AB2111" s="223"/>
    </row>
    <row r="2112" spans="1:28" ht="17.100000000000001" customHeight="1" thickTop="1">
      <c r="A2112" s="226" t="s">
        <v>7029</v>
      </c>
      <c r="B2112" s="28">
        <v>45934</v>
      </c>
      <c r="C2112" s="25">
        <v>1270</v>
      </c>
      <c r="D2112" s="13" t="s">
        <v>2920</v>
      </c>
      <c r="E2112" s="228"/>
      <c r="F2112" s="109" t="s">
        <v>7057</v>
      </c>
      <c r="G2112" s="24" t="s">
        <v>4038</v>
      </c>
      <c r="H2112" s="230">
        <v>4.5</v>
      </c>
      <c r="I2112" s="220">
        <v>1890000</v>
      </c>
      <c r="J2112" s="220">
        <f>I2112*0.1</f>
        <v>189000</v>
      </c>
      <c r="K2112" s="220">
        <f>15000+1500</f>
        <v>16500</v>
      </c>
      <c r="L2112" s="220">
        <v>20630</v>
      </c>
      <c r="M2112" s="220">
        <v>16500</v>
      </c>
      <c r="N2112" s="220">
        <f>SUM(I2112:M2113)</f>
        <v>2132630</v>
      </c>
      <c r="O2112" s="224"/>
      <c r="P2112" s="110" t="s">
        <v>7058</v>
      </c>
      <c r="Q2112" s="15" t="s">
        <v>19</v>
      </c>
      <c r="R2112" s="205"/>
      <c r="S2112" s="189" t="s">
        <v>1312</v>
      </c>
      <c r="T2112" s="114"/>
      <c r="U2112" s="21"/>
      <c r="V2112" s="115">
        <v>45995</v>
      </c>
      <c r="W2112" s="116">
        <v>1309</v>
      </c>
      <c r="X2112" s="220">
        <v>1995000</v>
      </c>
      <c r="Y2112" s="220">
        <f>X2112*0.1</f>
        <v>199500</v>
      </c>
      <c r="Z2112" s="220">
        <v>20630</v>
      </c>
      <c r="AA2112" s="220">
        <f>SUM(X2112:Z2112)</f>
        <v>2215130</v>
      </c>
      <c r="AB2112" s="222">
        <v>45996</v>
      </c>
    </row>
    <row r="2113" spans="1:28" ht="17.100000000000001" customHeight="1" thickBot="1">
      <c r="A2113" s="227"/>
      <c r="B2113" s="27" t="s">
        <v>2472</v>
      </c>
      <c r="C2113" s="27">
        <v>82237</v>
      </c>
      <c r="D2113" s="14" t="s">
        <v>1568</v>
      </c>
      <c r="E2113" s="229"/>
      <c r="F2113" s="117" t="s">
        <v>7066</v>
      </c>
      <c r="G2113" s="26">
        <v>39094</v>
      </c>
      <c r="H2113" s="231"/>
      <c r="I2113" s="221"/>
      <c r="J2113" s="221"/>
      <c r="K2113" s="221"/>
      <c r="L2113" s="221"/>
      <c r="M2113" s="221"/>
      <c r="N2113" s="221"/>
      <c r="O2113" s="225"/>
      <c r="P2113" s="118" t="s">
        <v>8235</v>
      </c>
      <c r="Q2113" s="16" t="s">
        <v>20</v>
      </c>
      <c r="R2113" s="17" t="s">
        <v>7909</v>
      </c>
      <c r="S2113" s="121" t="s">
        <v>1606</v>
      </c>
      <c r="T2113" s="122"/>
      <c r="U2113" s="22" t="s">
        <v>3427</v>
      </c>
      <c r="V2113" s="123" t="s">
        <v>7447</v>
      </c>
      <c r="W2113" s="122">
        <v>314</v>
      </c>
      <c r="X2113" s="221"/>
      <c r="Y2113" s="221"/>
      <c r="Z2113" s="221"/>
      <c r="AA2113" s="221"/>
      <c r="AB2113" s="223"/>
    </row>
    <row r="2114" spans="1:28" ht="17.100000000000001" customHeight="1" thickTop="1">
      <c r="A2114" s="226" t="s">
        <v>7030</v>
      </c>
      <c r="B2114" s="28">
        <v>45934</v>
      </c>
      <c r="C2114" s="25">
        <v>1270</v>
      </c>
      <c r="D2114" s="13" t="s">
        <v>1021</v>
      </c>
      <c r="E2114" s="228"/>
      <c r="F2114" s="109" t="s">
        <v>1916</v>
      </c>
      <c r="G2114" s="24" t="s">
        <v>3968</v>
      </c>
      <c r="H2114" s="230">
        <v>4.5</v>
      </c>
      <c r="I2114" s="220">
        <v>420000</v>
      </c>
      <c r="J2114" s="220">
        <f>I2114*0.1</f>
        <v>42000</v>
      </c>
      <c r="K2114" s="220">
        <f>14300+1430</f>
        <v>15730</v>
      </c>
      <c r="L2114" s="220">
        <v>17700</v>
      </c>
      <c r="M2114" s="220">
        <v>23100</v>
      </c>
      <c r="N2114" s="220">
        <f>SUM(I2114:M2115)</f>
        <v>518530</v>
      </c>
      <c r="O2114" s="224"/>
      <c r="P2114" s="110" t="s">
        <v>7060</v>
      </c>
      <c r="Q2114" s="15" t="s">
        <v>19</v>
      </c>
      <c r="R2114" s="205"/>
      <c r="S2114" s="189" t="s">
        <v>1312</v>
      </c>
      <c r="T2114" s="114"/>
      <c r="U2114" s="21"/>
      <c r="V2114" s="115">
        <v>45955</v>
      </c>
      <c r="W2114" s="116">
        <v>1273</v>
      </c>
      <c r="X2114" s="220">
        <v>525000</v>
      </c>
      <c r="Y2114" s="220">
        <f>X2114*0.1</f>
        <v>52500</v>
      </c>
      <c r="Z2114" s="220">
        <v>17700</v>
      </c>
      <c r="AA2114" s="220">
        <f>SUM(X2114:Z2114)</f>
        <v>595200</v>
      </c>
      <c r="AB2114" s="222">
        <v>45958</v>
      </c>
    </row>
    <row r="2115" spans="1:28" ht="17.100000000000001" customHeight="1" thickBot="1">
      <c r="A2115" s="227"/>
      <c r="B2115" s="27" t="s">
        <v>2472</v>
      </c>
      <c r="C2115" s="27">
        <v>82368</v>
      </c>
      <c r="D2115" s="14" t="s">
        <v>1584</v>
      </c>
      <c r="E2115" s="229"/>
      <c r="F2115" s="117" t="s">
        <v>7059</v>
      </c>
      <c r="G2115" s="26">
        <v>38014</v>
      </c>
      <c r="H2115" s="231"/>
      <c r="I2115" s="221"/>
      <c r="J2115" s="221"/>
      <c r="K2115" s="221"/>
      <c r="L2115" s="221"/>
      <c r="M2115" s="221"/>
      <c r="N2115" s="221"/>
      <c r="O2115" s="225"/>
      <c r="P2115" s="118" t="s">
        <v>8234</v>
      </c>
      <c r="Q2115" s="16" t="s">
        <v>20</v>
      </c>
      <c r="R2115" s="17" t="s">
        <v>7909</v>
      </c>
      <c r="S2115" s="121" t="s">
        <v>1625</v>
      </c>
      <c r="T2115" s="122"/>
      <c r="U2115" s="22"/>
      <c r="V2115" s="123" t="s">
        <v>7160</v>
      </c>
      <c r="W2115" s="122">
        <v>80315</v>
      </c>
      <c r="X2115" s="221"/>
      <c r="Y2115" s="221"/>
      <c r="Z2115" s="221"/>
      <c r="AA2115" s="221"/>
      <c r="AB2115" s="223"/>
    </row>
    <row r="2116" spans="1:28" ht="17.100000000000001" customHeight="1" thickTop="1">
      <c r="A2116" s="226" t="s">
        <v>7031</v>
      </c>
      <c r="B2116" s="28">
        <v>45934</v>
      </c>
      <c r="C2116" s="25">
        <v>1270</v>
      </c>
      <c r="D2116" s="13" t="s">
        <v>1762</v>
      </c>
      <c r="E2116" s="228"/>
      <c r="F2116" s="109" t="s">
        <v>7061</v>
      </c>
      <c r="G2116" s="24" t="s">
        <v>4718</v>
      </c>
      <c r="H2116" s="230">
        <v>4.5</v>
      </c>
      <c r="I2116" s="220">
        <v>990000</v>
      </c>
      <c r="J2116" s="220">
        <f>I2116*0.1</f>
        <v>99000</v>
      </c>
      <c r="K2116" s="220">
        <f>14300+1430</f>
        <v>15730</v>
      </c>
      <c r="L2116" s="220">
        <v>12450</v>
      </c>
      <c r="M2116" s="220">
        <v>16500</v>
      </c>
      <c r="N2116" s="220">
        <f>SUM(I2116:M2117)</f>
        <v>1133680</v>
      </c>
      <c r="O2116" s="224"/>
      <c r="P2116" s="110" t="s">
        <v>7063</v>
      </c>
      <c r="Q2116" s="15" t="s">
        <v>19</v>
      </c>
      <c r="R2116" s="205"/>
      <c r="S2116" s="189" t="s">
        <v>25498</v>
      </c>
      <c r="T2116" s="114"/>
      <c r="U2116" s="21"/>
      <c r="V2116" s="115">
        <v>45941</v>
      </c>
      <c r="W2116" s="116">
        <v>1271</v>
      </c>
      <c r="X2116" s="220">
        <v>1130000</v>
      </c>
      <c r="Y2116" s="220">
        <v>113000</v>
      </c>
      <c r="Z2116" s="220">
        <v>12450</v>
      </c>
      <c r="AA2116" s="220">
        <f>SUM(X2116:Z2116)</f>
        <v>1255450</v>
      </c>
      <c r="AB2116" s="222">
        <v>45945</v>
      </c>
    </row>
    <row r="2117" spans="1:28" ht="17.100000000000001" customHeight="1" thickBot="1">
      <c r="A2117" s="227"/>
      <c r="B2117" s="27" t="s">
        <v>2472</v>
      </c>
      <c r="C2117" s="27">
        <v>82374</v>
      </c>
      <c r="D2117" s="14" t="s">
        <v>1584</v>
      </c>
      <c r="E2117" s="229"/>
      <c r="F2117" s="117" t="s">
        <v>7062</v>
      </c>
      <c r="G2117" s="26">
        <v>51696</v>
      </c>
      <c r="H2117" s="231"/>
      <c r="I2117" s="221"/>
      <c r="J2117" s="221"/>
      <c r="K2117" s="221"/>
      <c r="L2117" s="221"/>
      <c r="M2117" s="221"/>
      <c r="N2117" s="221"/>
      <c r="O2117" s="225"/>
      <c r="P2117" s="118" t="s">
        <v>7908</v>
      </c>
      <c r="Q2117" s="16" t="s">
        <v>20</v>
      </c>
      <c r="R2117" s="17" t="s">
        <v>7909</v>
      </c>
      <c r="S2117" s="121" t="s">
        <v>7910</v>
      </c>
      <c r="T2117" s="122"/>
      <c r="U2117" s="22"/>
      <c r="V2117" s="123" t="s">
        <v>2472</v>
      </c>
      <c r="W2117" s="122">
        <v>80058</v>
      </c>
      <c r="X2117" s="221"/>
      <c r="Y2117" s="221"/>
      <c r="Z2117" s="221"/>
      <c r="AA2117" s="221"/>
      <c r="AB2117" s="223"/>
    </row>
    <row r="2118" spans="1:28" ht="17.100000000000001" customHeight="1" thickTop="1">
      <c r="A2118" s="226" t="s">
        <v>7032</v>
      </c>
      <c r="B2118" s="28">
        <v>45936</v>
      </c>
      <c r="C2118" s="25">
        <v>57</v>
      </c>
      <c r="D2118" s="13" t="s">
        <v>1837</v>
      </c>
      <c r="E2118" s="228"/>
      <c r="F2118" s="109" t="s">
        <v>7064</v>
      </c>
      <c r="G2118" s="24" t="s">
        <v>3968</v>
      </c>
      <c r="H2118" s="230">
        <v>4.5</v>
      </c>
      <c r="I2118" s="220">
        <v>1375000</v>
      </c>
      <c r="J2118" s="220">
        <f>I2118*0.1</f>
        <v>137500</v>
      </c>
      <c r="K2118" s="220">
        <v>15000</v>
      </c>
      <c r="L2118" s="220">
        <v>17800</v>
      </c>
      <c r="M2118" s="220">
        <v>44000</v>
      </c>
      <c r="N2118" s="220">
        <f>SUM(I2118:M2119)</f>
        <v>1589300</v>
      </c>
      <c r="O2118" s="224"/>
      <c r="P2118" s="110" t="s">
        <v>10059</v>
      </c>
      <c r="Q2118" s="15" t="s">
        <v>19</v>
      </c>
      <c r="R2118" s="205"/>
      <c r="S2118" s="189"/>
      <c r="T2118" s="114"/>
      <c r="U2118" s="21"/>
      <c r="V2118" s="115">
        <v>45976</v>
      </c>
      <c r="W2118" s="116">
        <v>1276</v>
      </c>
      <c r="X2118" s="220">
        <v>1665000</v>
      </c>
      <c r="Y2118" s="220">
        <f>X2118*0.1</f>
        <v>166500</v>
      </c>
      <c r="Z2118" s="220">
        <v>17800</v>
      </c>
      <c r="AA2118" s="220">
        <f>SUM(X2118:Z2118)</f>
        <v>1849300</v>
      </c>
      <c r="AB2118" s="222">
        <v>45981</v>
      </c>
    </row>
    <row r="2119" spans="1:28" ht="17.100000000000001" customHeight="1" thickBot="1">
      <c r="A2119" s="227"/>
      <c r="B2119" s="27" t="s">
        <v>4468</v>
      </c>
      <c r="C2119" s="27">
        <v>10006</v>
      </c>
      <c r="D2119" s="14" t="s">
        <v>1584</v>
      </c>
      <c r="E2119" s="229"/>
      <c r="F2119" s="117" t="s">
        <v>7065</v>
      </c>
      <c r="G2119" s="26">
        <v>61403</v>
      </c>
      <c r="H2119" s="231"/>
      <c r="I2119" s="221"/>
      <c r="J2119" s="221"/>
      <c r="K2119" s="221"/>
      <c r="L2119" s="221"/>
      <c r="M2119" s="221"/>
      <c r="N2119" s="221"/>
      <c r="O2119" s="225"/>
      <c r="P2119" s="118" t="s">
        <v>10060</v>
      </c>
      <c r="Q2119" s="16" t="s">
        <v>20</v>
      </c>
      <c r="R2119" s="17" t="s">
        <v>3343</v>
      </c>
      <c r="S2119" s="121" t="s">
        <v>1731</v>
      </c>
      <c r="T2119" s="122"/>
      <c r="U2119" s="22"/>
      <c r="V2119" s="123" t="s">
        <v>7160</v>
      </c>
      <c r="W2119" s="122">
        <v>82165</v>
      </c>
      <c r="X2119" s="221"/>
      <c r="Y2119" s="221"/>
      <c r="Z2119" s="221"/>
      <c r="AA2119" s="221"/>
      <c r="AB2119" s="223"/>
    </row>
    <row r="2120" spans="1:28" ht="17.100000000000001" customHeight="1" thickTop="1">
      <c r="A2120" s="233" t="s">
        <v>7162</v>
      </c>
      <c r="B2120" s="28">
        <v>45936</v>
      </c>
      <c r="C2120" s="25"/>
      <c r="D2120" s="13" t="s">
        <v>7070</v>
      </c>
      <c r="E2120" s="228"/>
      <c r="F2120" s="109" t="s">
        <v>7072</v>
      </c>
      <c r="G2120" s="24" t="s">
        <v>7074</v>
      </c>
      <c r="H2120" s="230">
        <v>4.5</v>
      </c>
      <c r="I2120" s="220">
        <f>1435500/1.1</f>
        <v>1305000</v>
      </c>
      <c r="J2120" s="220">
        <f>I2120*0.1</f>
        <v>130500</v>
      </c>
      <c r="K2120" s="220">
        <v>12700</v>
      </c>
      <c r="L2120" s="220">
        <v>10720</v>
      </c>
      <c r="M2120" s="220">
        <v>90888</v>
      </c>
      <c r="N2120" s="220">
        <f>SUM(I2120:M2121)</f>
        <v>1549808</v>
      </c>
      <c r="O2120" s="224"/>
      <c r="P2120" s="110"/>
      <c r="Q2120" s="15" t="s">
        <v>19</v>
      </c>
      <c r="R2120" s="205"/>
      <c r="S2120" s="189" t="s">
        <v>529</v>
      </c>
      <c r="T2120" s="114" t="s">
        <v>7899</v>
      </c>
      <c r="U2120" s="21"/>
      <c r="V2120" s="115"/>
      <c r="W2120" s="116"/>
      <c r="X2120" s="220"/>
      <c r="Y2120" s="220">
        <f>X2120*0.1</f>
        <v>0</v>
      </c>
      <c r="Z2120" s="220"/>
      <c r="AA2120" s="220">
        <f>SUM(X2120:Z2120)</f>
        <v>0</v>
      </c>
      <c r="AB2120" s="222"/>
    </row>
    <row r="2121" spans="1:28" ht="17.100000000000001" customHeight="1" thickBot="1">
      <c r="A2121" s="234"/>
      <c r="B2121" s="27" t="s">
        <v>1708</v>
      </c>
      <c r="C2121" s="27" t="s">
        <v>7069</v>
      </c>
      <c r="D2121" s="14" t="s">
        <v>7071</v>
      </c>
      <c r="E2121" s="229"/>
      <c r="F2121" s="117" t="s">
        <v>7073</v>
      </c>
      <c r="G2121" s="26">
        <v>28781</v>
      </c>
      <c r="H2121" s="231"/>
      <c r="I2121" s="221"/>
      <c r="J2121" s="221"/>
      <c r="K2121" s="221"/>
      <c r="L2121" s="221"/>
      <c r="M2121" s="221"/>
      <c r="N2121" s="221"/>
      <c r="O2121" s="225"/>
      <c r="P2121" s="118"/>
      <c r="Q2121" s="16" t="s">
        <v>20</v>
      </c>
      <c r="R2121" s="17" t="s">
        <v>10331</v>
      </c>
      <c r="S2121" s="121"/>
      <c r="T2121" s="122"/>
      <c r="U2121" s="22"/>
      <c r="V2121" s="123"/>
      <c r="W2121" s="122"/>
      <c r="X2121" s="221"/>
      <c r="Y2121" s="221"/>
      <c r="Z2121" s="221"/>
      <c r="AA2121" s="221"/>
      <c r="AB2121" s="223"/>
    </row>
    <row r="2122" spans="1:28" ht="17.100000000000001" customHeight="1" thickTop="1">
      <c r="A2122" s="226" t="s">
        <v>7163</v>
      </c>
      <c r="B2122" s="28">
        <v>45936</v>
      </c>
      <c r="C2122" s="25"/>
      <c r="D2122" s="13" t="s">
        <v>7076</v>
      </c>
      <c r="E2122" s="228"/>
      <c r="F2122" s="109" t="s">
        <v>7078</v>
      </c>
      <c r="G2122" s="24" t="s">
        <v>7080</v>
      </c>
      <c r="H2122" s="230">
        <v>4</v>
      </c>
      <c r="I2122" s="220">
        <f>814000/1.1</f>
        <v>739999.99999999988</v>
      </c>
      <c r="J2122" s="220">
        <f>I2122*0.1</f>
        <v>73999.999999999985</v>
      </c>
      <c r="K2122" s="220">
        <v>0</v>
      </c>
      <c r="L2122" s="220">
        <v>11220</v>
      </c>
      <c r="M2122" s="220">
        <v>68896</v>
      </c>
      <c r="N2122" s="220">
        <f>SUM(I2122:M2123)</f>
        <v>894115.99999999988</v>
      </c>
      <c r="O2122" s="224"/>
      <c r="P2122" s="110" t="s">
        <v>8300</v>
      </c>
      <c r="Q2122" s="15" t="s">
        <v>19</v>
      </c>
      <c r="R2122" s="205"/>
      <c r="S2122" s="189" t="s">
        <v>25504</v>
      </c>
      <c r="T2122" s="114"/>
      <c r="U2122" s="21" t="s">
        <v>9322</v>
      </c>
      <c r="V2122" s="115">
        <v>45962</v>
      </c>
      <c r="W2122" s="116">
        <v>1274</v>
      </c>
      <c r="X2122" s="220">
        <v>885000</v>
      </c>
      <c r="Y2122" s="220">
        <f>X2122*0.1</f>
        <v>88500</v>
      </c>
      <c r="Z2122" s="220">
        <v>11220</v>
      </c>
      <c r="AA2122" s="220">
        <f>SUM(X2122:Z2122)</f>
        <v>984720</v>
      </c>
      <c r="AB2122" s="222">
        <v>45965</v>
      </c>
    </row>
    <row r="2123" spans="1:28" ht="17.100000000000001" customHeight="1" thickBot="1">
      <c r="A2123" s="227"/>
      <c r="B2123" s="27" t="s">
        <v>1708</v>
      </c>
      <c r="C2123" s="27" t="s">
        <v>7075</v>
      </c>
      <c r="D2123" s="14" t="s">
        <v>7077</v>
      </c>
      <c r="E2123" s="229"/>
      <c r="F2123" s="117" t="s">
        <v>7079</v>
      </c>
      <c r="G2123" s="26">
        <v>83924</v>
      </c>
      <c r="H2123" s="231"/>
      <c r="I2123" s="221"/>
      <c r="J2123" s="221"/>
      <c r="K2123" s="221"/>
      <c r="L2123" s="221"/>
      <c r="M2123" s="221"/>
      <c r="N2123" s="221"/>
      <c r="O2123" s="225"/>
      <c r="P2123" s="118" t="s">
        <v>8301</v>
      </c>
      <c r="Q2123" s="16" t="s">
        <v>20</v>
      </c>
      <c r="R2123" s="17" t="s">
        <v>1630</v>
      </c>
      <c r="S2123" s="121" t="s">
        <v>9314</v>
      </c>
      <c r="T2123" s="122"/>
      <c r="U2123" s="22"/>
      <c r="V2123" s="123" t="s">
        <v>7160</v>
      </c>
      <c r="W2123" s="122">
        <v>31281</v>
      </c>
      <c r="X2123" s="221"/>
      <c r="Y2123" s="221"/>
      <c r="Z2123" s="221"/>
      <c r="AA2123" s="221"/>
      <c r="AB2123" s="223"/>
    </row>
    <row r="2124" spans="1:28" ht="17.100000000000001" customHeight="1" thickTop="1">
      <c r="A2124" s="226" t="s">
        <v>7164</v>
      </c>
      <c r="B2124" s="28">
        <v>45936</v>
      </c>
      <c r="C2124" s="25"/>
      <c r="D2124" s="13" t="s">
        <v>1931</v>
      </c>
      <c r="E2124" s="228"/>
      <c r="F2124" s="109" t="s">
        <v>7083</v>
      </c>
      <c r="G2124" s="24" t="s">
        <v>7085</v>
      </c>
      <c r="H2124" s="230">
        <v>4</v>
      </c>
      <c r="I2124" s="220">
        <f>1512500/1.1</f>
        <v>1375000</v>
      </c>
      <c r="J2124" s="220">
        <f>I2124*0.1</f>
        <v>137500</v>
      </c>
      <c r="K2124" s="220">
        <v>14300</v>
      </c>
      <c r="L2124" s="220">
        <v>10360</v>
      </c>
      <c r="M2124" s="220">
        <v>92813</v>
      </c>
      <c r="N2124" s="220">
        <f>SUM(I2124:M2125)</f>
        <v>1629973</v>
      </c>
      <c r="O2124" s="224"/>
      <c r="P2124" s="110" t="s">
        <v>8190</v>
      </c>
      <c r="Q2124" s="15" t="s">
        <v>19</v>
      </c>
      <c r="R2124" s="205"/>
      <c r="S2124" s="189" t="s">
        <v>25505</v>
      </c>
      <c r="T2124" s="114"/>
      <c r="U2124" s="21"/>
      <c r="V2124" s="115">
        <v>45955</v>
      </c>
      <c r="W2124" s="116">
        <v>1273</v>
      </c>
      <c r="X2124" s="220">
        <v>1330000</v>
      </c>
      <c r="Y2124" s="220">
        <f>X2124*0.1</f>
        <v>133000</v>
      </c>
      <c r="Z2124" s="220">
        <v>10360</v>
      </c>
      <c r="AA2124" s="220">
        <f>SUM(X2124:Z2124)</f>
        <v>1473360</v>
      </c>
      <c r="AB2124" s="222">
        <v>45960</v>
      </c>
    </row>
    <row r="2125" spans="1:28" ht="17.100000000000001" customHeight="1" thickBot="1">
      <c r="A2125" s="227"/>
      <c r="B2125" s="27" t="s">
        <v>1708</v>
      </c>
      <c r="C2125" s="27" t="s">
        <v>7081</v>
      </c>
      <c r="D2125" s="14" t="s">
        <v>7082</v>
      </c>
      <c r="E2125" s="229"/>
      <c r="F2125" s="117" t="s">
        <v>7084</v>
      </c>
      <c r="G2125" s="26">
        <v>53921</v>
      </c>
      <c r="H2125" s="231"/>
      <c r="I2125" s="221"/>
      <c r="J2125" s="221"/>
      <c r="K2125" s="221"/>
      <c r="L2125" s="221"/>
      <c r="M2125" s="221"/>
      <c r="N2125" s="221"/>
      <c r="O2125" s="225"/>
      <c r="P2125" s="118" t="s">
        <v>8191</v>
      </c>
      <c r="Q2125" s="16" t="s">
        <v>20</v>
      </c>
      <c r="R2125" s="17" t="s">
        <v>1614</v>
      </c>
      <c r="S2125" s="121" t="s">
        <v>9320</v>
      </c>
      <c r="T2125" s="122"/>
      <c r="U2125" s="22"/>
      <c r="V2125" s="123" t="s">
        <v>2472</v>
      </c>
      <c r="W2125" s="122">
        <v>37897</v>
      </c>
      <c r="X2125" s="221"/>
      <c r="Y2125" s="221"/>
      <c r="Z2125" s="221"/>
      <c r="AA2125" s="221"/>
      <c r="AB2125" s="223"/>
    </row>
    <row r="2126" spans="1:28" ht="17.100000000000001" customHeight="1" thickTop="1">
      <c r="A2126" s="233" t="s">
        <v>7165</v>
      </c>
      <c r="B2126" s="28">
        <v>45936</v>
      </c>
      <c r="C2126" s="25"/>
      <c r="D2126" s="13" t="s">
        <v>7087</v>
      </c>
      <c r="E2126" s="228"/>
      <c r="F2126" s="109" t="s">
        <v>7089</v>
      </c>
      <c r="G2126" s="24" t="s">
        <v>7091</v>
      </c>
      <c r="H2126" s="230">
        <v>4</v>
      </c>
      <c r="I2126" s="220">
        <f>968000/1.1</f>
        <v>879999.99999999988</v>
      </c>
      <c r="J2126" s="220">
        <f>I2126*0.1</f>
        <v>88000</v>
      </c>
      <c r="K2126" s="220">
        <v>0</v>
      </c>
      <c r="L2126" s="220">
        <v>8790</v>
      </c>
      <c r="M2126" s="220">
        <v>77000</v>
      </c>
      <c r="N2126" s="220">
        <f>SUM(I2126:M2127)</f>
        <v>1053790</v>
      </c>
      <c r="O2126" s="224"/>
      <c r="P2126" s="110" t="s">
        <v>8292</v>
      </c>
      <c r="Q2126" s="15" t="s">
        <v>19</v>
      </c>
      <c r="R2126" s="205"/>
      <c r="S2126" s="189" t="s">
        <v>25506</v>
      </c>
      <c r="T2126" s="114" t="s">
        <v>7899</v>
      </c>
      <c r="U2126" s="21"/>
      <c r="V2126" s="115"/>
      <c r="W2126" s="116"/>
      <c r="X2126" s="220"/>
      <c r="Y2126" s="220">
        <f>X2126*0.1</f>
        <v>0</v>
      </c>
      <c r="Z2126" s="220"/>
      <c r="AA2126" s="220">
        <f>SUM(X2126:Z2126)</f>
        <v>0</v>
      </c>
      <c r="AB2126" s="222"/>
    </row>
    <row r="2127" spans="1:28" ht="17.100000000000001" customHeight="1" thickBot="1">
      <c r="A2127" s="234"/>
      <c r="B2127" s="27" t="s">
        <v>1708</v>
      </c>
      <c r="C2127" s="27" t="s">
        <v>7086</v>
      </c>
      <c r="D2127" s="14" t="s">
        <v>7088</v>
      </c>
      <c r="E2127" s="229"/>
      <c r="F2127" s="117" t="s">
        <v>7090</v>
      </c>
      <c r="G2127" s="26">
        <v>34943</v>
      </c>
      <c r="H2127" s="231"/>
      <c r="I2127" s="221"/>
      <c r="J2127" s="221"/>
      <c r="K2127" s="221"/>
      <c r="L2127" s="221"/>
      <c r="M2127" s="221"/>
      <c r="N2127" s="221"/>
      <c r="O2127" s="225"/>
      <c r="P2127" s="118" t="s">
        <v>8293</v>
      </c>
      <c r="Q2127" s="16" t="s">
        <v>20</v>
      </c>
      <c r="R2127" s="17" t="s">
        <v>1630</v>
      </c>
      <c r="S2127" s="121" t="s">
        <v>1597</v>
      </c>
      <c r="T2127" s="122" t="s">
        <v>9830</v>
      </c>
      <c r="U2127" s="22"/>
      <c r="V2127" s="123"/>
      <c r="W2127" s="122"/>
      <c r="X2127" s="221"/>
      <c r="Y2127" s="221"/>
      <c r="Z2127" s="221"/>
      <c r="AA2127" s="221"/>
      <c r="AB2127" s="223"/>
    </row>
    <row r="2128" spans="1:28" ht="17.100000000000001" customHeight="1" thickTop="1">
      <c r="A2128" s="226" t="s">
        <v>7166</v>
      </c>
      <c r="B2128" s="28">
        <v>45936</v>
      </c>
      <c r="C2128" s="25"/>
      <c r="D2128" s="13" t="s">
        <v>7093</v>
      </c>
      <c r="E2128" s="228"/>
      <c r="F2128" s="109" t="s">
        <v>7095</v>
      </c>
      <c r="G2128" s="24" t="s">
        <v>7097</v>
      </c>
      <c r="H2128" s="232" t="s">
        <v>7098</v>
      </c>
      <c r="I2128" s="220">
        <f>3239500/1.1</f>
        <v>2944999.9999999995</v>
      </c>
      <c r="J2128" s="220">
        <f>I2128*0.1</f>
        <v>294499.99999999994</v>
      </c>
      <c r="K2128" s="220">
        <v>3100</v>
      </c>
      <c r="L2128" s="220">
        <v>14930</v>
      </c>
      <c r="M2128" s="220">
        <v>135988</v>
      </c>
      <c r="N2128" s="220">
        <f>SUM(I2128:M2129)</f>
        <v>3393517.9999999995</v>
      </c>
      <c r="O2128" s="224"/>
      <c r="P2128" s="110" t="s">
        <v>8940</v>
      </c>
      <c r="Q2128" s="15" t="s">
        <v>19</v>
      </c>
      <c r="R2128" s="205"/>
      <c r="S2128" s="189" t="s">
        <v>529</v>
      </c>
      <c r="T2128" s="114"/>
      <c r="U2128" s="21" t="s">
        <v>9504</v>
      </c>
      <c r="V2128" s="115">
        <v>45969</v>
      </c>
      <c r="W2128" s="116">
        <v>1275</v>
      </c>
      <c r="X2128" s="220">
        <v>3455000</v>
      </c>
      <c r="Y2128" s="220">
        <f>X2128*0.1</f>
        <v>345500</v>
      </c>
      <c r="Z2128" s="220">
        <v>14930</v>
      </c>
      <c r="AA2128" s="220">
        <f>SUM(X2128:Z2128)</f>
        <v>3815430</v>
      </c>
      <c r="AB2128" s="222">
        <v>45972</v>
      </c>
    </row>
    <row r="2129" spans="1:28" ht="17.100000000000001" customHeight="1" thickBot="1">
      <c r="A2129" s="227"/>
      <c r="B2129" s="27" t="s">
        <v>1708</v>
      </c>
      <c r="C2129" s="27" t="s">
        <v>7092</v>
      </c>
      <c r="D2129" s="14" t="s">
        <v>7094</v>
      </c>
      <c r="E2129" s="229"/>
      <c r="F2129" s="117" t="s">
        <v>7096</v>
      </c>
      <c r="G2129" s="26">
        <v>36221</v>
      </c>
      <c r="H2129" s="231"/>
      <c r="I2129" s="221"/>
      <c r="J2129" s="221"/>
      <c r="K2129" s="221"/>
      <c r="L2129" s="221"/>
      <c r="M2129" s="221"/>
      <c r="N2129" s="221"/>
      <c r="O2129" s="225"/>
      <c r="P2129" s="118" t="s">
        <v>8941</v>
      </c>
      <c r="Q2129" s="16" t="s">
        <v>20</v>
      </c>
      <c r="R2129" s="17" t="s">
        <v>8783</v>
      </c>
      <c r="S2129" s="121" t="s">
        <v>8942</v>
      </c>
      <c r="T2129" s="122"/>
      <c r="U2129" s="22"/>
      <c r="V2129" s="123" t="s">
        <v>7160</v>
      </c>
      <c r="W2129" s="122">
        <v>37135</v>
      </c>
      <c r="X2129" s="221"/>
      <c r="Y2129" s="221"/>
      <c r="Z2129" s="221"/>
      <c r="AA2129" s="221"/>
      <c r="AB2129" s="223"/>
    </row>
    <row r="2130" spans="1:28" ht="17.100000000000001" customHeight="1" thickTop="1">
      <c r="A2130" s="233" t="s">
        <v>7167</v>
      </c>
      <c r="B2130" s="28">
        <v>45936</v>
      </c>
      <c r="C2130" s="25"/>
      <c r="D2130" s="13" t="s">
        <v>7100</v>
      </c>
      <c r="E2130" s="228"/>
      <c r="F2130" s="109" t="s">
        <v>7102</v>
      </c>
      <c r="G2130" s="24" t="s">
        <v>7104</v>
      </c>
      <c r="H2130" s="230">
        <v>4</v>
      </c>
      <c r="I2130" s="220">
        <f>324500/1.1</f>
        <v>295000</v>
      </c>
      <c r="J2130" s="220">
        <f>I2130*0.1</f>
        <v>29500</v>
      </c>
      <c r="K2130" s="220">
        <v>0</v>
      </c>
      <c r="L2130" s="220">
        <v>8490</v>
      </c>
      <c r="M2130" s="220">
        <v>43133</v>
      </c>
      <c r="N2130" s="220">
        <f>SUM(I2130:M2131)</f>
        <v>376123</v>
      </c>
      <c r="O2130" s="224"/>
      <c r="P2130" s="110" t="s">
        <v>8310</v>
      </c>
      <c r="Q2130" s="15" t="s">
        <v>19</v>
      </c>
      <c r="R2130" s="205"/>
      <c r="S2130" s="189" t="s">
        <v>283</v>
      </c>
      <c r="T2130" s="114" t="s">
        <v>10768</v>
      </c>
      <c r="U2130" s="21"/>
      <c r="V2130" s="115"/>
      <c r="W2130" s="116"/>
      <c r="X2130" s="220"/>
      <c r="Y2130" s="220">
        <f>X2130*0.1</f>
        <v>0</v>
      </c>
      <c r="Z2130" s="220"/>
      <c r="AA2130" s="220">
        <f>SUM(X2130:Z2130)</f>
        <v>0</v>
      </c>
      <c r="AB2130" s="222"/>
    </row>
    <row r="2131" spans="1:28" ht="17.100000000000001" customHeight="1" thickBot="1">
      <c r="A2131" s="234"/>
      <c r="B2131" s="27" t="s">
        <v>1708</v>
      </c>
      <c r="C2131" s="27" t="s">
        <v>7099</v>
      </c>
      <c r="D2131" s="14" t="s">
        <v>7101</v>
      </c>
      <c r="E2131" s="229"/>
      <c r="F2131" s="117" t="s">
        <v>7103</v>
      </c>
      <c r="G2131" s="26">
        <v>53894</v>
      </c>
      <c r="H2131" s="231"/>
      <c r="I2131" s="221"/>
      <c r="J2131" s="221"/>
      <c r="K2131" s="221"/>
      <c r="L2131" s="221"/>
      <c r="M2131" s="221"/>
      <c r="N2131" s="221"/>
      <c r="O2131" s="225"/>
      <c r="P2131" s="118" t="s">
        <v>8311</v>
      </c>
      <c r="Q2131" s="16" t="s">
        <v>20</v>
      </c>
      <c r="R2131" s="17" t="s">
        <v>1630</v>
      </c>
      <c r="S2131" s="121" t="s">
        <v>1731</v>
      </c>
      <c r="T2131" s="122"/>
      <c r="U2131" s="22"/>
      <c r="V2131" s="123"/>
      <c r="W2131" s="122"/>
      <c r="X2131" s="221"/>
      <c r="Y2131" s="221"/>
      <c r="Z2131" s="221"/>
      <c r="AA2131" s="221"/>
      <c r="AB2131" s="223"/>
    </row>
    <row r="2132" spans="1:28" ht="17.100000000000001" customHeight="1" thickTop="1">
      <c r="A2132" s="226" t="s">
        <v>7168</v>
      </c>
      <c r="B2132" s="28">
        <v>45936</v>
      </c>
      <c r="C2132" s="25"/>
      <c r="D2132" s="13" t="s">
        <v>7106</v>
      </c>
      <c r="E2132" s="228"/>
      <c r="F2132" s="109" t="s">
        <v>7095</v>
      </c>
      <c r="G2132" s="24" t="s">
        <v>7108</v>
      </c>
      <c r="H2132" s="230">
        <v>4.5</v>
      </c>
      <c r="I2132" s="220">
        <v>3360000</v>
      </c>
      <c r="J2132" s="220">
        <v>336000</v>
      </c>
      <c r="K2132" s="220">
        <v>14500</v>
      </c>
      <c r="L2132" s="220">
        <v>14930</v>
      </c>
      <c r="M2132" s="220">
        <v>147400</v>
      </c>
      <c r="N2132" s="220">
        <f>SUM(I2132:M2133)</f>
        <v>3872830</v>
      </c>
      <c r="O2132" s="224"/>
      <c r="P2132" s="110" t="s">
        <v>10181</v>
      </c>
      <c r="Q2132" s="15" t="s">
        <v>19</v>
      </c>
      <c r="R2132" s="205"/>
      <c r="S2132" s="189" t="s">
        <v>25507</v>
      </c>
      <c r="T2132" s="114"/>
      <c r="U2132" s="21"/>
      <c r="V2132" s="115">
        <v>45969</v>
      </c>
      <c r="W2132" s="116">
        <v>1275</v>
      </c>
      <c r="X2132" s="220">
        <v>3615000</v>
      </c>
      <c r="Y2132" s="220">
        <f>X2132*0.1</f>
        <v>361500</v>
      </c>
      <c r="Z2132" s="220">
        <v>14930</v>
      </c>
      <c r="AA2132" s="220">
        <f>SUM(X2132:Z2132)</f>
        <v>3991430</v>
      </c>
      <c r="AB2132" s="222">
        <v>45974</v>
      </c>
    </row>
    <row r="2133" spans="1:28" ht="17.100000000000001" customHeight="1" thickBot="1">
      <c r="A2133" s="227"/>
      <c r="B2133" s="27" t="s">
        <v>1708</v>
      </c>
      <c r="C2133" s="27" t="s">
        <v>7105</v>
      </c>
      <c r="D2133" s="14" t="s">
        <v>7094</v>
      </c>
      <c r="E2133" s="229"/>
      <c r="F2133" s="117" t="s">
        <v>7107</v>
      </c>
      <c r="G2133" s="26">
        <v>22898</v>
      </c>
      <c r="H2133" s="231"/>
      <c r="I2133" s="221"/>
      <c r="J2133" s="221"/>
      <c r="K2133" s="221"/>
      <c r="L2133" s="221"/>
      <c r="M2133" s="221"/>
      <c r="N2133" s="221"/>
      <c r="O2133" s="225"/>
      <c r="P2133" s="118" t="s">
        <v>10182</v>
      </c>
      <c r="Q2133" s="16" t="s">
        <v>20</v>
      </c>
      <c r="R2133" s="17" t="s">
        <v>2165</v>
      </c>
      <c r="S2133" s="121" t="s">
        <v>1606</v>
      </c>
      <c r="T2133" s="122"/>
      <c r="U2133" s="22"/>
      <c r="V2133" s="123" t="s">
        <v>7160</v>
      </c>
      <c r="W2133" s="122">
        <v>37141</v>
      </c>
      <c r="X2133" s="221"/>
      <c r="Y2133" s="221"/>
      <c r="Z2133" s="221"/>
      <c r="AA2133" s="221"/>
      <c r="AB2133" s="223"/>
    </row>
    <row r="2134" spans="1:28" ht="17.100000000000001" customHeight="1" thickTop="1">
      <c r="A2134" s="226" t="s">
        <v>7169</v>
      </c>
      <c r="B2134" s="28">
        <v>45936</v>
      </c>
      <c r="C2134" s="25"/>
      <c r="D2134" s="13" t="s">
        <v>7111</v>
      </c>
      <c r="E2134" s="228"/>
      <c r="F2134" s="109" t="s">
        <v>7113</v>
      </c>
      <c r="G2134" s="24" t="s">
        <v>7115</v>
      </c>
      <c r="H2134" s="230">
        <v>4</v>
      </c>
      <c r="I2134" s="220">
        <f>1094500/1.1</f>
        <v>994999.99999999988</v>
      </c>
      <c r="J2134" s="220">
        <f>I2134*0.1</f>
        <v>99500</v>
      </c>
      <c r="K2134" s="220">
        <v>16400</v>
      </c>
      <c r="L2134" s="220">
        <v>11270</v>
      </c>
      <c r="M2134" s="220">
        <v>82363</v>
      </c>
      <c r="N2134" s="220">
        <f>SUM(I2134:M2135)</f>
        <v>1204533</v>
      </c>
      <c r="O2134" s="224"/>
      <c r="P2134" s="110" t="s">
        <v>8368</v>
      </c>
      <c r="Q2134" s="15" t="s">
        <v>19</v>
      </c>
      <c r="R2134" s="205"/>
      <c r="S2134" s="189" t="s">
        <v>283</v>
      </c>
      <c r="T2134" s="114"/>
      <c r="U2134" s="21"/>
      <c r="V2134" s="115">
        <v>45962</v>
      </c>
      <c r="W2134" s="116">
        <v>1274</v>
      </c>
      <c r="X2134" s="220">
        <v>1185000</v>
      </c>
      <c r="Y2134" s="220">
        <f>X2134*0.1</f>
        <v>118500</v>
      </c>
      <c r="Z2134" s="220">
        <v>22170</v>
      </c>
      <c r="AA2134" s="220">
        <v>1314770</v>
      </c>
      <c r="AB2134" s="222">
        <v>45965</v>
      </c>
    </row>
    <row r="2135" spans="1:28" ht="17.100000000000001" customHeight="1" thickBot="1">
      <c r="A2135" s="227"/>
      <c r="B2135" s="27" t="s">
        <v>1708</v>
      </c>
      <c r="C2135" s="27" t="s">
        <v>7110</v>
      </c>
      <c r="D2135" s="14" t="s">
        <v>7112</v>
      </c>
      <c r="E2135" s="229"/>
      <c r="F2135" s="117" t="s">
        <v>7114</v>
      </c>
      <c r="G2135" s="26">
        <v>130998</v>
      </c>
      <c r="H2135" s="231"/>
      <c r="I2135" s="221"/>
      <c r="J2135" s="221"/>
      <c r="K2135" s="221"/>
      <c r="L2135" s="221"/>
      <c r="M2135" s="221"/>
      <c r="N2135" s="221"/>
      <c r="O2135" s="225"/>
      <c r="P2135" s="118" t="s">
        <v>8369</v>
      </c>
      <c r="Q2135" s="16" t="s">
        <v>20</v>
      </c>
      <c r="R2135" s="17" t="s">
        <v>1639</v>
      </c>
      <c r="S2135" s="121" t="s">
        <v>9319</v>
      </c>
      <c r="T2135" s="122"/>
      <c r="U2135" s="22"/>
      <c r="V2135" s="123" t="s">
        <v>2472</v>
      </c>
      <c r="W2135" s="122">
        <v>31049</v>
      </c>
      <c r="X2135" s="221"/>
      <c r="Y2135" s="221"/>
      <c r="Z2135" s="221"/>
      <c r="AA2135" s="221"/>
      <c r="AB2135" s="223"/>
    </row>
    <row r="2136" spans="1:28" ht="17.100000000000001" customHeight="1" thickTop="1">
      <c r="A2136" s="226" t="s">
        <v>7170</v>
      </c>
      <c r="B2136" s="28">
        <v>45936</v>
      </c>
      <c r="C2136" s="25"/>
      <c r="D2136" s="13" t="s">
        <v>7117</v>
      </c>
      <c r="E2136" s="228"/>
      <c r="F2136" s="109" t="s">
        <v>7118</v>
      </c>
      <c r="G2136" s="24" t="s">
        <v>7120</v>
      </c>
      <c r="H2136" s="230">
        <v>4.5</v>
      </c>
      <c r="I2136" s="220">
        <f>3767500/1.1</f>
        <v>3424999.9999999995</v>
      </c>
      <c r="J2136" s="220">
        <f>I2136*0.1</f>
        <v>342500</v>
      </c>
      <c r="K2136" s="220">
        <v>13100</v>
      </c>
      <c r="L2136" s="220">
        <v>14330</v>
      </c>
      <c r="M2136" s="220">
        <v>149188</v>
      </c>
      <c r="N2136" s="220">
        <f>SUM(I2136:M2137)</f>
        <v>3944117.9999999995</v>
      </c>
      <c r="O2136" s="224"/>
      <c r="P2136" s="110" t="s">
        <v>9753</v>
      </c>
      <c r="Q2136" s="15" t="s">
        <v>19</v>
      </c>
      <c r="R2136" s="205"/>
      <c r="S2136" s="189" t="s">
        <v>25507</v>
      </c>
      <c r="T2136" s="114"/>
      <c r="U2136" s="21"/>
      <c r="V2136" s="115">
        <v>45976</v>
      </c>
      <c r="W2136" s="116">
        <v>1276</v>
      </c>
      <c r="X2136" s="220">
        <v>3610000</v>
      </c>
      <c r="Y2136" s="220">
        <f>X2136*0.1</f>
        <v>361000</v>
      </c>
      <c r="Z2136" s="220">
        <v>14330</v>
      </c>
      <c r="AA2136" s="220">
        <f>SUM(X2136:Z2136)</f>
        <v>3985330</v>
      </c>
      <c r="AB2136" s="222">
        <v>45981</v>
      </c>
    </row>
    <row r="2137" spans="1:28" ht="17.100000000000001" customHeight="1" thickBot="1">
      <c r="A2137" s="227"/>
      <c r="B2137" s="27" t="s">
        <v>1708</v>
      </c>
      <c r="C2137" s="27" t="s">
        <v>7116</v>
      </c>
      <c r="D2137" s="14" t="s">
        <v>7094</v>
      </c>
      <c r="E2137" s="229"/>
      <c r="F2137" s="117" t="s">
        <v>7119</v>
      </c>
      <c r="G2137" s="26">
        <v>42062</v>
      </c>
      <c r="H2137" s="231"/>
      <c r="I2137" s="221"/>
      <c r="J2137" s="221"/>
      <c r="K2137" s="221"/>
      <c r="L2137" s="221"/>
      <c r="M2137" s="221"/>
      <c r="N2137" s="221"/>
      <c r="O2137" s="225"/>
      <c r="P2137" s="118" t="s">
        <v>9754</v>
      </c>
      <c r="Q2137" s="16" t="s">
        <v>20</v>
      </c>
      <c r="R2137" s="17" t="s">
        <v>3337</v>
      </c>
      <c r="S2137" s="121" t="s">
        <v>9755</v>
      </c>
      <c r="T2137" s="122"/>
      <c r="U2137" s="22"/>
      <c r="V2137" s="123" t="s">
        <v>7160</v>
      </c>
      <c r="W2137" s="122">
        <v>37067</v>
      </c>
      <c r="X2137" s="221"/>
      <c r="Y2137" s="221"/>
      <c r="Z2137" s="221"/>
      <c r="AA2137" s="221"/>
      <c r="AB2137" s="223"/>
    </row>
    <row r="2138" spans="1:28" ht="17.100000000000001" customHeight="1" thickTop="1">
      <c r="A2138" s="226" t="s">
        <v>7171</v>
      </c>
      <c r="B2138" s="28">
        <v>45936</v>
      </c>
      <c r="C2138" s="25"/>
      <c r="D2138" s="13" t="s">
        <v>7122</v>
      </c>
      <c r="E2138" s="228"/>
      <c r="F2138" s="109" t="s">
        <v>7124</v>
      </c>
      <c r="G2138" s="24" t="s">
        <v>7126</v>
      </c>
      <c r="H2138" s="230">
        <v>4</v>
      </c>
      <c r="I2138" s="220">
        <f>412500/1.1</f>
        <v>374999.99999999994</v>
      </c>
      <c r="J2138" s="220">
        <f>I2138*0.1</f>
        <v>37499.999999999993</v>
      </c>
      <c r="K2138" s="220">
        <v>0</v>
      </c>
      <c r="L2138" s="220">
        <v>5990</v>
      </c>
      <c r="M2138" s="220">
        <v>47765</v>
      </c>
      <c r="N2138" s="220">
        <f>SUM(I2138:M2139)</f>
        <v>466254.99999999994</v>
      </c>
      <c r="O2138" s="224"/>
      <c r="P2138" s="110" t="s">
        <v>10254</v>
      </c>
      <c r="Q2138" s="15" t="s">
        <v>19</v>
      </c>
      <c r="R2138" s="205"/>
      <c r="S2138" s="189" t="s">
        <v>529</v>
      </c>
      <c r="T2138" s="114"/>
      <c r="U2138" s="21"/>
      <c r="V2138" s="115">
        <v>45976</v>
      </c>
      <c r="W2138" s="116">
        <v>1276</v>
      </c>
      <c r="X2138" s="220">
        <v>450000</v>
      </c>
      <c r="Y2138" s="220">
        <f>X2138*0.1</f>
        <v>45000</v>
      </c>
      <c r="Z2138" s="220">
        <v>5990</v>
      </c>
      <c r="AA2138" s="220">
        <f>SUM(X2138:Z2138)</f>
        <v>500990</v>
      </c>
      <c r="AB2138" s="222">
        <v>45981</v>
      </c>
    </row>
    <row r="2139" spans="1:28" ht="17.100000000000001" customHeight="1" thickBot="1">
      <c r="A2139" s="227"/>
      <c r="B2139" s="27" t="s">
        <v>1708</v>
      </c>
      <c r="C2139" s="27" t="s">
        <v>7121</v>
      </c>
      <c r="D2139" s="14" t="s">
        <v>7123</v>
      </c>
      <c r="E2139" s="229"/>
      <c r="F2139" s="117" t="s">
        <v>7125</v>
      </c>
      <c r="G2139" s="26">
        <v>55789</v>
      </c>
      <c r="H2139" s="231"/>
      <c r="I2139" s="221"/>
      <c r="J2139" s="221"/>
      <c r="K2139" s="221"/>
      <c r="L2139" s="221"/>
      <c r="M2139" s="221"/>
      <c r="N2139" s="221"/>
      <c r="O2139" s="225"/>
      <c r="P2139" s="118" t="s">
        <v>10255</v>
      </c>
      <c r="Q2139" s="16" t="s">
        <v>20</v>
      </c>
      <c r="R2139" s="17" t="s">
        <v>1684</v>
      </c>
      <c r="S2139" s="121" t="s">
        <v>10256</v>
      </c>
      <c r="T2139" s="122"/>
      <c r="U2139" s="22"/>
      <c r="V2139" s="123" t="s">
        <v>7160</v>
      </c>
      <c r="W2139" s="122">
        <v>65399</v>
      </c>
      <c r="X2139" s="221"/>
      <c r="Y2139" s="221"/>
      <c r="Z2139" s="221"/>
      <c r="AA2139" s="221"/>
      <c r="AB2139" s="223"/>
    </row>
    <row r="2140" spans="1:28" ht="17.100000000000001" customHeight="1" thickTop="1">
      <c r="A2140" s="226" t="s">
        <v>7172</v>
      </c>
      <c r="B2140" s="28">
        <v>45936</v>
      </c>
      <c r="C2140" s="25"/>
      <c r="D2140" s="13" t="s">
        <v>7128</v>
      </c>
      <c r="E2140" s="228"/>
      <c r="F2140" s="109" t="s">
        <v>7187</v>
      </c>
      <c r="G2140" s="24" t="s">
        <v>7131</v>
      </c>
      <c r="H2140" s="230">
        <v>4.5</v>
      </c>
      <c r="I2140" s="220">
        <f>1309000/1.1</f>
        <v>1190000</v>
      </c>
      <c r="J2140" s="220">
        <f>I2140*0.1</f>
        <v>119000</v>
      </c>
      <c r="K2140" s="220">
        <v>0</v>
      </c>
      <c r="L2140" s="220">
        <v>6830</v>
      </c>
      <c r="M2140" s="220">
        <v>87725</v>
      </c>
      <c r="N2140" s="220">
        <f>SUM(I2140:M2141)</f>
        <v>1403555</v>
      </c>
      <c r="O2140" s="224"/>
      <c r="P2140" s="110" t="s">
        <v>9669</v>
      </c>
      <c r="Q2140" s="15" t="s">
        <v>19</v>
      </c>
      <c r="R2140" s="205"/>
      <c r="S2140" s="189" t="s">
        <v>25508</v>
      </c>
      <c r="T2140" s="114"/>
      <c r="U2140" s="21"/>
      <c r="V2140" s="115">
        <v>45958</v>
      </c>
      <c r="W2140" s="116">
        <v>1915</v>
      </c>
      <c r="X2140" s="220">
        <v>1430000</v>
      </c>
      <c r="Y2140" s="220">
        <f>X2140*0.1</f>
        <v>143000</v>
      </c>
      <c r="Z2140" s="220">
        <v>6830</v>
      </c>
      <c r="AA2140" s="220">
        <f>SUM(X2140:Z2140)</f>
        <v>1579830</v>
      </c>
      <c r="AB2140" s="222">
        <v>45965</v>
      </c>
    </row>
    <row r="2141" spans="1:28" ht="17.100000000000001" customHeight="1" thickBot="1">
      <c r="A2141" s="227"/>
      <c r="B2141" s="27" t="s">
        <v>1708</v>
      </c>
      <c r="C2141" s="27" t="s">
        <v>7127</v>
      </c>
      <c r="D2141" s="14" t="s">
        <v>7129</v>
      </c>
      <c r="E2141" s="229"/>
      <c r="F2141" s="117" t="s">
        <v>7130</v>
      </c>
      <c r="G2141" s="26">
        <v>46507</v>
      </c>
      <c r="H2141" s="231"/>
      <c r="I2141" s="221"/>
      <c r="J2141" s="221"/>
      <c r="K2141" s="221"/>
      <c r="L2141" s="221"/>
      <c r="M2141" s="221"/>
      <c r="N2141" s="221"/>
      <c r="O2141" s="225"/>
      <c r="P2141" s="118" t="s">
        <v>9670</v>
      </c>
      <c r="Q2141" s="16" t="s">
        <v>20</v>
      </c>
      <c r="R2141" s="17" t="s">
        <v>9666</v>
      </c>
      <c r="S2141" s="121" t="s">
        <v>6932</v>
      </c>
      <c r="T2141" s="122"/>
      <c r="U2141" s="22"/>
      <c r="V2141" s="123" t="s">
        <v>2103</v>
      </c>
      <c r="W2141" s="122">
        <v>3249</v>
      </c>
      <c r="X2141" s="221"/>
      <c r="Y2141" s="221"/>
      <c r="Z2141" s="221"/>
      <c r="AA2141" s="221"/>
      <c r="AB2141" s="223"/>
    </row>
    <row r="2142" spans="1:28" ht="17.100000000000001" customHeight="1" thickTop="1">
      <c r="A2142" s="226" t="s">
        <v>7173</v>
      </c>
      <c r="B2142" s="28">
        <v>45936</v>
      </c>
      <c r="C2142" s="25"/>
      <c r="D2142" s="13" t="s">
        <v>7133</v>
      </c>
      <c r="E2142" s="228"/>
      <c r="F2142" s="109" t="s">
        <v>7134</v>
      </c>
      <c r="G2142" s="24" t="s">
        <v>7136</v>
      </c>
      <c r="H2142" s="230">
        <v>4</v>
      </c>
      <c r="I2142" s="220">
        <f>1727000/1.1</f>
        <v>1569999.9999999998</v>
      </c>
      <c r="J2142" s="220">
        <f>I2142*0.1</f>
        <v>156999.99999999997</v>
      </c>
      <c r="K2142" s="220">
        <v>12700</v>
      </c>
      <c r="L2142" s="220">
        <v>7470</v>
      </c>
      <c r="M2142" s="220">
        <v>98175</v>
      </c>
      <c r="N2142" s="220">
        <f>SUM(I2142:M2143)</f>
        <v>1845344.9999999998</v>
      </c>
      <c r="O2142" s="224"/>
      <c r="P2142" s="110" t="s">
        <v>8366</v>
      </c>
      <c r="Q2142" s="15" t="s">
        <v>19</v>
      </c>
      <c r="R2142" s="205"/>
      <c r="S2142" s="189" t="s">
        <v>455</v>
      </c>
      <c r="T2142" s="114"/>
      <c r="U2142" s="21"/>
      <c r="V2142" s="115">
        <v>45955</v>
      </c>
      <c r="W2142" s="116">
        <v>1273</v>
      </c>
      <c r="X2142" s="220">
        <v>2005000</v>
      </c>
      <c r="Y2142" s="220">
        <f>X2142*0.1</f>
        <v>200500</v>
      </c>
      <c r="Z2142" s="220">
        <v>7470</v>
      </c>
      <c r="AA2142" s="220">
        <f>SUM(X2142:Z2142)</f>
        <v>2212970</v>
      </c>
      <c r="AB2142" s="222">
        <v>45958</v>
      </c>
    </row>
    <row r="2143" spans="1:28" ht="17.100000000000001" customHeight="1" thickBot="1">
      <c r="A2143" s="227"/>
      <c r="B2143" s="27" t="s">
        <v>1708</v>
      </c>
      <c r="C2143" s="27" t="s">
        <v>7132</v>
      </c>
      <c r="D2143" s="14" t="s">
        <v>7094</v>
      </c>
      <c r="E2143" s="229"/>
      <c r="F2143" s="117" t="s">
        <v>7135</v>
      </c>
      <c r="G2143" s="26">
        <v>35552</v>
      </c>
      <c r="H2143" s="231"/>
      <c r="I2143" s="221"/>
      <c r="J2143" s="221"/>
      <c r="K2143" s="221"/>
      <c r="L2143" s="221"/>
      <c r="M2143" s="221"/>
      <c r="N2143" s="221"/>
      <c r="O2143" s="225"/>
      <c r="P2143" s="118" t="s">
        <v>8367</v>
      </c>
      <c r="Q2143" s="16" t="s">
        <v>20</v>
      </c>
      <c r="R2143" s="17" t="s">
        <v>1639</v>
      </c>
      <c r="S2143" s="121" t="s">
        <v>9318</v>
      </c>
      <c r="T2143" s="122"/>
      <c r="U2143" s="22"/>
      <c r="V2143" s="123" t="s">
        <v>7160</v>
      </c>
      <c r="W2143" s="122">
        <v>37610</v>
      </c>
      <c r="X2143" s="221"/>
      <c r="Y2143" s="221"/>
      <c r="Z2143" s="221"/>
      <c r="AA2143" s="221"/>
      <c r="AB2143" s="223"/>
    </row>
    <row r="2144" spans="1:28" ht="17.100000000000001" customHeight="1" thickTop="1">
      <c r="A2144" s="226" t="s">
        <v>7174</v>
      </c>
      <c r="B2144" s="28">
        <v>45936</v>
      </c>
      <c r="C2144" s="25"/>
      <c r="D2144" s="13" t="s">
        <v>7138</v>
      </c>
      <c r="E2144" s="228"/>
      <c r="F2144" s="109" t="s">
        <v>7139</v>
      </c>
      <c r="G2144" s="24" t="s">
        <v>7141</v>
      </c>
      <c r="H2144" s="230">
        <v>4</v>
      </c>
      <c r="I2144" s="220">
        <f>1518000/1.1</f>
        <v>1380000</v>
      </c>
      <c r="J2144" s="220">
        <f>I2144*0.1</f>
        <v>138000</v>
      </c>
      <c r="K2144" s="220">
        <v>14300</v>
      </c>
      <c r="L2144" s="220">
        <v>10360</v>
      </c>
      <c r="M2144" s="220">
        <v>92950</v>
      </c>
      <c r="N2144" s="220">
        <f>SUM(I2144:M2145)</f>
        <v>1635610</v>
      </c>
      <c r="O2144" s="224"/>
      <c r="P2144" s="110" t="s">
        <v>8558</v>
      </c>
      <c r="Q2144" s="15" t="s">
        <v>19</v>
      </c>
      <c r="R2144" s="205"/>
      <c r="S2144" s="189" t="s">
        <v>25507</v>
      </c>
      <c r="T2144" s="114"/>
      <c r="U2144" s="21"/>
      <c r="V2144" s="115">
        <v>45955</v>
      </c>
      <c r="W2144" s="116">
        <v>1273</v>
      </c>
      <c r="X2144" s="220">
        <v>1670000</v>
      </c>
      <c r="Y2144" s="220">
        <f>X2144*0.1</f>
        <v>167000</v>
      </c>
      <c r="Z2144" s="220">
        <v>10360</v>
      </c>
      <c r="AA2144" s="220">
        <f>SUM(X2144:Z2144)</f>
        <v>1847360</v>
      </c>
      <c r="AB2144" s="222">
        <v>45958</v>
      </c>
    </row>
    <row r="2145" spans="1:28" ht="17.100000000000001" customHeight="1" thickBot="1">
      <c r="A2145" s="227"/>
      <c r="B2145" s="27" t="s">
        <v>1708</v>
      </c>
      <c r="C2145" s="27" t="s">
        <v>7137</v>
      </c>
      <c r="D2145" s="14" t="s">
        <v>7094</v>
      </c>
      <c r="E2145" s="229"/>
      <c r="F2145" s="117" t="s">
        <v>7140</v>
      </c>
      <c r="G2145" s="26">
        <v>35320</v>
      </c>
      <c r="H2145" s="231"/>
      <c r="I2145" s="221"/>
      <c r="J2145" s="221"/>
      <c r="K2145" s="221"/>
      <c r="L2145" s="221"/>
      <c r="M2145" s="221"/>
      <c r="N2145" s="221"/>
      <c r="O2145" s="225"/>
      <c r="P2145" s="118" t="s">
        <v>8559</v>
      </c>
      <c r="Q2145" s="16" t="s">
        <v>20</v>
      </c>
      <c r="R2145" s="17" t="s">
        <v>2143</v>
      </c>
      <c r="S2145" s="121" t="s">
        <v>1606</v>
      </c>
      <c r="T2145" s="122"/>
      <c r="U2145" s="22"/>
      <c r="V2145" s="123" t="s">
        <v>2472</v>
      </c>
      <c r="W2145" s="122">
        <v>37608</v>
      </c>
      <c r="X2145" s="221"/>
      <c r="Y2145" s="221"/>
      <c r="Z2145" s="221"/>
      <c r="AA2145" s="221"/>
      <c r="AB2145" s="223"/>
    </row>
    <row r="2146" spans="1:28" ht="17.100000000000001" customHeight="1" thickTop="1">
      <c r="A2146" s="226" t="s">
        <v>7175</v>
      </c>
      <c r="B2146" s="28">
        <v>45936</v>
      </c>
      <c r="C2146" s="25"/>
      <c r="D2146" s="13" t="s">
        <v>7143</v>
      </c>
      <c r="E2146" s="228"/>
      <c r="F2146" s="109" t="s">
        <v>7145</v>
      </c>
      <c r="G2146" s="24" t="s">
        <v>7147</v>
      </c>
      <c r="H2146" s="230">
        <v>4</v>
      </c>
      <c r="I2146" s="220">
        <f>1254000/1.1</f>
        <v>1140000</v>
      </c>
      <c r="J2146" s="220">
        <f>I2146*0.1</f>
        <v>114000</v>
      </c>
      <c r="K2146" s="220">
        <v>18700</v>
      </c>
      <c r="L2146" s="220">
        <v>12570</v>
      </c>
      <c r="M2146" s="220">
        <v>86350</v>
      </c>
      <c r="N2146" s="220">
        <f>SUM(I2146:M2147)</f>
        <v>1371620</v>
      </c>
      <c r="O2146" s="224"/>
      <c r="P2146" s="110" t="s">
        <v>9857</v>
      </c>
      <c r="Q2146" s="15" t="s">
        <v>19</v>
      </c>
      <c r="R2146" s="205"/>
      <c r="S2146" s="189" t="s">
        <v>529</v>
      </c>
      <c r="T2146" s="114"/>
      <c r="U2146" s="21"/>
      <c r="V2146" s="115">
        <v>45983</v>
      </c>
      <c r="W2146" s="116">
        <v>1277</v>
      </c>
      <c r="X2146" s="220">
        <v>1250000</v>
      </c>
      <c r="Y2146" s="220">
        <f>X2146*0.1</f>
        <v>125000</v>
      </c>
      <c r="Z2146" s="220">
        <v>12570</v>
      </c>
      <c r="AA2146" s="220">
        <f>SUM(X2146:Z2146)</f>
        <v>1387570</v>
      </c>
      <c r="AB2146" s="222">
        <v>45992</v>
      </c>
    </row>
    <row r="2147" spans="1:28" ht="17.100000000000001" customHeight="1" thickBot="1">
      <c r="A2147" s="227"/>
      <c r="B2147" s="27" t="s">
        <v>1708</v>
      </c>
      <c r="C2147" s="27" t="s">
        <v>7142</v>
      </c>
      <c r="D2147" s="14" t="s">
        <v>7144</v>
      </c>
      <c r="E2147" s="229"/>
      <c r="F2147" s="117" t="s">
        <v>7146</v>
      </c>
      <c r="G2147" s="26">
        <v>84988</v>
      </c>
      <c r="H2147" s="231"/>
      <c r="I2147" s="221"/>
      <c r="J2147" s="221"/>
      <c r="K2147" s="221"/>
      <c r="L2147" s="221"/>
      <c r="M2147" s="221"/>
      <c r="N2147" s="221"/>
      <c r="O2147" s="225"/>
      <c r="P2147" s="118" t="s">
        <v>9858</v>
      </c>
      <c r="Q2147" s="16" t="s">
        <v>20</v>
      </c>
      <c r="R2147" s="17" t="s">
        <v>1673</v>
      </c>
      <c r="S2147" s="121" t="s">
        <v>9859</v>
      </c>
      <c r="T2147" s="122"/>
      <c r="U2147" s="22"/>
      <c r="V2147" s="123" t="s">
        <v>6642</v>
      </c>
      <c r="W2147" s="122">
        <v>31132</v>
      </c>
      <c r="X2147" s="221"/>
      <c r="Y2147" s="221"/>
      <c r="Z2147" s="221"/>
      <c r="AA2147" s="221"/>
      <c r="AB2147" s="223"/>
    </row>
    <row r="2148" spans="1:28" ht="17.100000000000001" customHeight="1" thickTop="1">
      <c r="A2148" s="226" t="s">
        <v>7176</v>
      </c>
      <c r="B2148" s="28">
        <v>45936</v>
      </c>
      <c r="C2148" s="25"/>
      <c r="D2148" s="13" t="s">
        <v>7149</v>
      </c>
      <c r="E2148" s="228"/>
      <c r="F2148" s="109" t="s">
        <v>7151</v>
      </c>
      <c r="G2148" s="24" t="s">
        <v>7153</v>
      </c>
      <c r="H2148" s="230">
        <v>4</v>
      </c>
      <c r="I2148" s="220">
        <f>1424500/1.1</f>
        <v>1295000</v>
      </c>
      <c r="J2148" s="220">
        <f>I2148*0.1</f>
        <v>129500</v>
      </c>
      <c r="K2148" s="220">
        <v>0</v>
      </c>
      <c r="L2148" s="220">
        <v>7040</v>
      </c>
      <c r="M2148" s="220">
        <v>90613</v>
      </c>
      <c r="N2148" s="220">
        <f>SUM(I2148:M2149)</f>
        <v>1522153</v>
      </c>
      <c r="O2148" s="224"/>
      <c r="P2148" s="110" t="s">
        <v>8302</v>
      </c>
      <c r="Q2148" s="15" t="s">
        <v>19</v>
      </c>
      <c r="R2148" s="205"/>
      <c r="S2148" s="189" t="s">
        <v>529</v>
      </c>
      <c r="T2148" s="114"/>
      <c r="U2148" s="21"/>
      <c r="V2148" s="115">
        <v>45951</v>
      </c>
      <c r="W2148" s="116">
        <v>1914</v>
      </c>
      <c r="X2148" s="220">
        <v>1525000</v>
      </c>
      <c r="Y2148" s="220">
        <f>X2148*0.1</f>
        <v>152500</v>
      </c>
      <c r="Z2148" s="220">
        <v>7040</v>
      </c>
      <c r="AA2148" s="220">
        <f>SUM(X2148:Z2148)</f>
        <v>1684540</v>
      </c>
      <c r="AB2148" s="222">
        <v>45957</v>
      </c>
    </row>
    <row r="2149" spans="1:28" ht="17.100000000000001" customHeight="1" thickBot="1">
      <c r="A2149" s="227"/>
      <c r="B2149" s="27" t="s">
        <v>1708</v>
      </c>
      <c r="C2149" s="27" t="s">
        <v>7148</v>
      </c>
      <c r="D2149" s="14" t="s">
        <v>7150</v>
      </c>
      <c r="E2149" s="229"/>
      <c r="F2149" s="117" t="s">
        <v>7152</v>
      </c>
      <c r="G2149" s="26">
        <v>17106</v>
      </c>
      <c r="H2149" s="231"/>
      <c r="I2149" s="221"/>
      <c r="J2149" s="221"/>
      <c r="K2149" s="221"/>
      <c r="L2149" s="221"/>
      <c r="M2149" s="221"/>
      <c r="N2149" s="221"/>
      <c r="O2149" s="225"/>
      <c r="P2149" s="118" t="s">
        <v>8303</v>
      </c>
      <c r="Q2149" s="16" t="s">
        <v>20</v>
      </c>
      <c r="R2149" s="17" t="s">
        <v>1630</v>
      </c>
      <c r="S2149" s="121" t="s">
        <v>1731</v>
      </c>
      <c r="T2149" s="122"/>
      <c r="U2149" s="22"/>
      <c r="V2149" s="123" t="s">
        <v>7507</v>
      </c>
      <c r="W2149" s="122">
        <v>3295</v>
      </c>
      <c r="X2149" s="221"/>
      <c r="Y2149" s="221"/>
      <c r="Z2149" s="221"/>
      <c r="AA2149" s="221"/>
      <c r="AB2149" s="223"/>
    </row>
    <row r="2150" spans="1:28" ht="17.100000000000001" customHeight="1" thickTop="1">
      <c r="A2150" s="226" t="s">
        <v>7177</v>
      </c>
      <c r="B2150" s="28">
        <v>45936</v>
      </c>
      <c r="C2150" s="25"/>
      <c r="D2150" s="13" t="s">
        <v>7155</v>
      </c>
      <c r="E2150" s="228"/>
      <c r="F2150" s="109" t="s">
        <v>7156</v>
      </c>
      <c r="G2150" s="24" t="s">
        <v>7158</v>
      </c>
      <c r="H2150" s="230">
        <v>4.5</v>
      </c>
      <c r="I2150" s="220">
        <f>2585000/1.1</f>
        <v>2350000</v>
      </c>
      <c r="J2150" s="220">
        <f>I2150*0.1</f>
        <v>235000</v>
      </c>
      <c r="K2150" s="220">
        <v>12700</v>
      </c>
      <c r="L2150" s="220">
        <v>11650</v>
      </c>
      <c r="M2150" s="220">
        <v>119625</v>
      </c>
      <c r="N2150" s="220">
        <f>SUM(I2150:M2151)</f>
        <v>2728975</v>
      </c>
      <c r="O2150" s="224"/>
      <c r="P2150" s="110" t="s">
        <v>8556</v>
      </c>
      <c r="Q2150" s="15" t="s">
        <v>19</v>
      </c>
      <c r="R2150" s="205"/>
      <c r="S2150" s="189" t="s">
        <v>25509</v>
      </c>
      <c r="T2150" s="114"/>
      <c r="U2150" s="21"/>
      <c r="V2150" s="115">
        <v>45955</v>
      </c>
      <c r="W2150" s="116">
        <v>1273</v>
      </c>
      <c r="X2150" s="220">
        <v>2455000</v>
      </c>
      <c r="Y2150" s="220">
        <f>X2150*0.1</f>
        <v>245500</v>
      </c>
      <c r="Z2150" s="220">
        <v>11550</v>
      </c>
      <c r="AA2150" s="220">
        <f>SUM(X2150:Z2150)</f>
        <v>2712050</v>
      </c>
      <c r="AB2150" s="222">
        <v>45958</v>
      </c>
    </row>
    <row r="2151" spans="1:28" ht="17.100000000000001" customHeight="1" thickBot="1">
      <c r="A2151" s="227"/>
      <c r="B2151" s="27" t="s">
        <v>1708</v>
      </c>
      <c r="C2151" s="27" t="s">
        <v>7154</v>
      </c>
      <c r="D2151" s="14" t="s">
        <v>7112</v>
      </c>
      <c r="E2151" s="229"/>
      <c r="F2151" s="117" t="s">
        <v>7157</v>
      </c>
      <c r="G2151" s="26">
        <v>18547</v>
      </c>
      <c r="H2151" s="231"/>
      <c r="I2151" s="221"/>
      <c r="J2151" s="221"/>
      <c r="K2151" s="221"/>
      <c r="L2151" s="221"/>
      <c r="M2151" s="221"/>
      <c r="N2151" s="221"/>
      <c r="O2151" s="225"/>
      <c r="P2151" s="118" t="s">
        <v>8557</v>
      </c>
      <c r="Q2151" s="16" t="s">
        <v>20</v>
      </c>
      <c r="R2151" s="17" t="s">
        <v>2143</v>
      </c>
      <c r="S2151" s="121" t="s">
        <v>1606</v>
      </c>
      <c r="T2151" s="122"/>
      <c r="U2151" s="22"/>
      <c r="V2151" s="123" t="s">
        <v>2472</v>
      </c>
      <c r="W2151" s="122">
        <v>37227</v>
      </c>
      <c r="X2151" s="221"/>
      <c r="Y2151" s="221"/>
      <c r="Z2151" s="221"/>
      <c r="AA2151" s="221"/>
      <c r="AB2151" s="223"/>
    </row>
    <row r="2152" spans="1:28" ht="17.100000000000001" customHeight="1" thickTop="1">
      <c r="A2152" s="226" t="s">
        <v>7178</v>
      </c>
      <c r="B2152" s="28">
        <v>45936</v>
      </c>
      <c r="C2152" s="25"/>
      <c r="D2152" s="13" t="s">
        <v>1733</v>
      </c>
      <c r="E2152" s="228"/>
      <c r="F2152" s="109" t="s">
        <v>7188</v>
      </c>
      <c r="G2152" s="24"/>
      <c r="H2152" s="230">
        <v>4.5</v>
      </c>
      <c r="I2152" s="220">
        <v>1280000</v>
      </c>
      <c r="J2152" s="220">
        <f>I2152*0.1</f>
        <v>128000</v>
      </c>
      <c r="K2152" s="220">
        <v>0</v>
      </c>
      <c r="L2152" s="220">
        <v>19330</v>
      </c>
      <c r="M2152" s="220">
        <v>14850</v>
      </c>
      <c r="N2152" s="220">
        <f>SUM(I2152:M2153)</f>
        <v>1442180</v>
      </c>
      <c r="O2152" s="224"/>
      <c r="P2152" s="110" t="s">
        <v>7849</v>
      </c>
      <c r="Q2152" s="15" t="s">
        <v>19</v>
      </c>
      <c r="R2152" s="205"/>
      <c r="S2152" s="189" t="s">
        <v>758</v>
      </c>
      <c r="T2152" s="114"/>
      <c r="U2152" s="21"/>
      <c r="V2152" s="115">
        <v>45941</v>
      </c>
      <c r="W2152" s="116">
        <v>1271</v>
      </c>
      <c r="X2152" s="220">
        <v>1450000</v>
      </c>
      <c r="Y2152" s="220">
        <v>145000</v>
      </c>
      <c r="Z2152" s="220">
        <v>19330</v>
      </c>
      <c r="AA2152" s="220">
        <f>SUM(X2152:Z2152)</f>
        <v>1614330</v>
      </c>
      <c r="AB2152" s="222">
        <v>45944</v>
      </c>
    </row>
    <row r="2153" spans="1:28" ht="17.100000000000001" customHeight="1" thickBot="1">
      <c r="A2153" s="227"/>
      <c r="B2153" s="27" t="s">
        <v>2727</v>
      </c>
      <c r="C2153" s="27">
        <v>70382</v>
      </c>
      <c r="D2153" s="14" t="s">
        <v>273</v>
      </c>
      <c r="E2153" s="229"/>
      <c r="F2153" s="117" t="s">
        <v>7848</v>
      </c>
      <c r="G2153" s="26">
        <v>16846</v>
      </c>
      <c r="H2153" s="231"/>
      <c r="I2153" s="221"/>
      <c r="J2153" s="221"/>
      <c r="K2153" s="221"/>
      <c r="L2153" s="221"/>
      <c r="M2153" s="221"/>
      <c r="N2153" s="221"/>
      <c r="O2153" s="225"/>
      <c r="P2153" s="118" t="s">
        <v>7850</v>
      </c>
      <c r="Q2153" s="16" t="s">
        <v>20</v>
      </c>
      <c r="R2153" s="17" t="s">
        <v>3236</v>
      </c>
      <c r="S2153" s="121" t="s">
        <v>1731</v>
      </c>
      <c r="T2153" s="122"/>
      <c r="U2153" s="22"/>
      <c r="V2153" s="123" t="s">
        <v>2472</v>
      </c>
      <c r="W2153" s="122">
        <v>80066</v>
      </c>
      <c r="X2153" s="221"/>
      <c r="Y2153" s="221"/>
      <c r="Z2153" s="221"/>
      <c r="AA2153" s="221"/>
      <c r="AB2153" s="223"/>
    </row>
    <row r="2154" spans="1:28" ht="17.100000000000001" customHeight="1" thickTop="1">
      <c r="A2154" s="226" t="s">
        <v>7179</v>
      </c>
      <c r="B2154" s="28">
        <v>45936</v>
      </c>
      <c r="C2154" s="25"/>
      <c r="D2154" s="13" t="s">
        <v>2964</v>
      </c>
      <c r="E2154" s="228"/>
      <c r="F2154" s="109" t="s">
        <v>7614</v>
      </c>
      <c r="G2154" s="24" t="s">
        <v>4120</v>
      </c>
      <c r="H2154" s="230">
        <v>4</v>
      </c>
      <c r="I2154" s="220">
        <v>1794000</v>
      </c>
      <c r="J2154" s="220">
        <f>I2154*0.1</f>
        <v>179400</v>
      </c>
      <c r="K2154" s="220">
        <f>10400+1040</f>
        <v>11440</v>
      </c>
      <c r="L2154" s="220">
        <v>11930</v>
      </c>
      <c r="M2154" s="220">
        <v>14850</v>
      </c>
      <c r="N2154" s="220">
        <f>SUM(I2154:M2155)</f>
        <v>2011620</v>
      </c>
      <c r="O2154" s="224"/>
      <c r="P2154" s="110" t="s">
        <v>7189</v>
      </c>
      <c r="Q2154" s="15" t="s">
        <v>19</v>
      </c>
      <c r="R2154" s="205"/>
      <c r="S2154" s="189"/>
      <c r="T2154" s="114"/>
      <c r="U2154" s="21"/>
      <c r="V2154" s="115">
        <v>45941</v>
      </c>
      <c r="W2154" s="116">
        <v>1271</v>
      </c>
      <c r="X2154" s="220">
        <v>2070000</v>
      </c>
      <c r="Y2154" s="220">
        <v>207000</v>
      </c>
      <c r="Z2154" s="220">
        <v>11930</v>
      </c>
      <c r="AA2154" s="220">
        <f>SUM(X2154:Z2154)</f>
        <v>2288930</v>
      </c>
      <c r="AB2154" s="222">
        <v>45944</v>
      </c>
    </row>
    <row r="2155" spans="1:28" ht="17.100000000000001" customHeight="1" thickBot="1">
      <c r="A2155" s="227"/>
      <c r="B2155" s="27" t="s">
        <v>2727</v>
      </c>
      <c r="C2155" s="27">
        <v>80233</v>
      </c>
      <c r="D2155" s="14" t="s">
        <v>1584</v>
      </c>
      <c r="E2155" s="229"/>
      <c r="F2155" s="117" t="s">
        <v>7847</v>
      </c>
      <c r="G2155" s="26">
        <v>18552</v>
      </c>
      <c r="H2155" s="231"/>
      <c r="I2155" s="221"/>
      <c r="J2155" s="221"/>
      <c r="K2155" s="221"/>
      <c r="L2155" s="221"/>
      <c r="M2155" s="221"/>
      <c r="N2155" s="221"/>
      <c r="O2155" s="225"/>
      <c r="P2155" s="118" t="s">
        <v>2729</v>
      </c>
      <c r="Q2155" s="16" t="s">
        <v>20</v>
      </c>
      <c r="R2155" s="17" t="s">
        <v>3236</v>
      </c>
      <c r="S2155" s="121" t="s">
        <v>3248</v>
      </c>
      <c r="T2155" s="122"/>
      <c r="U2155" s="22"/>
      <c r="V2155" s="123" t="s">
        <v>2472</v>
      </c>
      <c r="W2155" s="122">
        <v>80094</v>
      </c>
      <c r="X2155" s="221"/>
      <c r="Y2155" s="221"/>
      <c r="Z2155" s="221"/>
      <c r="AA2155" s="221"/>
      <c r="AB2155" s="223"/>
    </row>
    <row r="2156" spans="1:28" ht="17.100000000000001" customHeight="1" thickTop="1">
      <c r="A2156" s="226" t="s">
        <v>7180</v>
      </c>
      <c r="B2156" s="28">
        <v>45936</v>
      </c>
      <c r="C2156" s="25"/>
      <c r="D2156" s="13" t="s">
        <v>4050</v>
      </c>
      <c r="E2156" s="228"/>
      <c r="F2156" s="109" t="s">
        <v>7190</v>
      </c>
      <c r="G2156" s="24" t="s">
        <v>4120</v>
      </c>
      <c r="H2156" s="230">
        <v>4</v>
      </c>
      <c r="I2156" s="220">
        <v>1041000</v>
      </c>
      <c r="J2156" s="220">
        <f>I2156*0.1</f>
        <v>104100</v>
      </c>
      <c r="K2156" s="220">
        <f>14300+1430</f>
        <v>15730</v>
      </c>
      <c r="L2156" s="220">
        <v>17600</v>
      </c>
      <c r="M2156" s="220">
        <v>14850</v>
      </c>
      <c r="N2156" s="220">
        <f>SUM(I2156:M2157)</f>
        <v>1193280</v>
      </c>
      <c r="O2156" s="224"/>
      <c r="P2156" s="110" t="s">
        <v>7191</v>
      </c>
      <c r="Q2156" s="15" t="s">
        <v>19</v>
      </c>
      <c r="R2156" s="205"/>
      <c r="S2156" s="189"/>
      <c r="T2156" s="114"/>
      <c r="U2156" s="21"/>
      <c r="V2156" s="115">
        <v>45955</v>
      </c>
      <c r="W2156" s="116">
        <v>1273</v>
      </c>
      <c r="X2156" s="220">
        <v>1225000</v>
      </c>
      <c r="Y2156" s="220">
        <f>X2156*0.1</f>
        <v>122500</v>
      </c>
      <c r="Z2156" s="220">
        <v>17600</v>
      </c>
      <c r="AA2156" s="220">
        <f>SUM(X2156:Z2156)</f>
        <v>1365100</v>
      </c>
      <c r="AB2156" s="222">
        <v>45958</v>
      </c>
    </row>
    <row r="2157" spans="1:28" ht="17.100000000000001" customHeight="1" thickBot="1">
      <c r="A2157" s="227"/>
      <c r="B2157" s="27" t="s">
        <v>2727</v>
      </c>
      <c r="C2157" s="27">
        <v>80235</v>
      </c>
      <c r="D2157" s="14" t="s">
        <v>898</v>
      </c>
      <c r="E2157" s="229"/>
      <c r="F2157" s="117" t="s">
        <v>7846</v>
      </c>
      <c r="G2157" s="26">
        <v>32218</v>
      </c>
      <c r="H2157" s="231"/>
      <c r="I2157" s="221"/>
      <c r="J2157" s="221"/>
      <c r="K2157" s="221"/>
      <c r="L2157" s="221"/>
      <c r="M2157" s="221"/>
      <c r="N2157" s="221"/>
      <c r="O2157" s="225"/>
      <c r="P2157" s="118" t="s">
        <v>2729</v>
      </c>
      <c r="Q2157" s="16" t="s">
        <v>20</v>
      </c>
      <c r="R2157" s="17" t="s">
        <v>3236</v>
      </c>
      <c r="S2157" s="121" t="s">
        <v>2405</v>
      </c>
      <c r="T2157" s="122"/>
      <c r="U2157" s="22"/>
      <c r="V2157" s="123" t="s">
        <v>7160</v>
      </c>
      <c r="W2157" s="122">
        <v>80042</v>
      </c>
      <c r="X2157" s="221"/>
      <c r="Y2157" s="221"/>
      <c r="Z2157" s="221"/>
      <c r="AA2157" s="221"/>
      <c r="AB2157" s="223"/>
    </row>
    <row r="2158" spans="1:28" ht="17.100000000000001" customHeight="1" thickTop="1">
      <c r="A2158" s="226" t="s">
        <v>7181</v>
      </c>
      <c r="B2158" s="28">
        <v>45936</v>
      </c>
      <c r="C2158" s="25"/>
      <c r="D2158" s="13" t="s">
        <v>2920</v>
      </c>
      <c r="E2158" s="228"/>
      <c r="F2158" s="109" t="s">
        <v>7192</v>
      </c>
      <c r="G2158" s="24" t="s">
        <v>4038</v>
      </c>
      <c r="H2158" s="230">
        <v>4.5</v>
      </c>
      <c r="I2158" s="220">
        <v>1813000</v>
      </c>
      <c r="J2158" s="220">
        <f>I2158*0.1</f>
        <v>181300</v>
      </c>
      <c r="K2158" s="220">
        <f>15000+1500</f>
        <v>16500</v>
      </c>
      <c r="L2158" s="220">
        <v>17600</v>
      </c>
      <c r="M2158" s="220">
        <v>14850</v>
      </c>
      <c r="N2158" s="220">
        <f>SUM(I2158:M2159)</f>
        <v>2043250</v>
      </c>
      <c r="O2158" s="224"/>
      <c r="P2158" s="110" t="s">
        <v>7193</v>
      </c>
      <c r="Q2158" s="15" t="s">
        <v>19</v>
      </c>
      <c r="R2158" s="205"/>
      <c r="S2158" s="189" t="s">
        <v>758</v>
      </c>
      <c r="T2158" s="114"/>
      <c r="U2158" s="21"/>
      <c r="V2158" s="115">
        <v>45941</v>
      </c>
      <c r="W2158" s="116">
        <v>1271</v>
      </c>
      <c r="X2158" s="220">
        <v>2410000</v>
      </c>
      <c r="Y2158" s="220">
        <v>241000</v>
      </c>
      <c r="Z2158" s="220">
        <v>17600</v>
      </c>
      <c r="AA2158" s="220">
        <f>SUM(X2158:Z2158)</f>
        <v>2668600</v>
      </c>
      <c r="AB2158" s="222">
        <v>45944</v>
      </c>
    </row>
    <row r="2159" spans="1:28" ht="17.100000000000001" customHeight="1" thickBot="1">
      <c r="A2159" s="227"/>
      <c r="B2159" s="27" t="s">
        <v>2727</v>
      </c>
      <c r="C2159" s="27">
        <v>80399</v>
      </c>
      <c r="D2159" s="14" t="s">
        <v>898</v>
      </c>
      <c r="E2159" s="229"/>
      <c r="F2159" s="117" t="s">
        <v>7845</v>
      </c>
      <c r="G2159" s="26">
        <v>24535</v>
      </c>
      <c r="H2159" s="231"/>
      <c r="I2159" s="221"/>
      <c r="J2159" s="221"/>
      <c r="K2159" s="221"/>
      <c r="L2159" s="221"/>
      <c r="M2159" s="221"/>
      <c r="N2159" s="221"/>
      <c r="O2159" s="225"/>
      <c r="P2159" s="118" t="s">
        <v>3247</v>
      </c>
      <c r="Q2159" s="16" t="s">
        <v>20</v>
      </c>
      <c r="R2159" s="17" t="s">
        <v>3236</v>
      </c>
      <c r="S2159" s="121" t="s">
        <v>3360</v>
      </c>
      <c r="T2159" s="122"/>
      <c r="U2159" s="22"/>
      <c r="V2159" s="123" t="s">
        <v>2472</v>
      </c>
      <c r="W2159" s="122">
        <v>80089</v>
      </c>
      <c r="X2159" s="221"/>
      <c r="Y2159" s="221"/>
      <c r="Z2159" s="221"/>
      <c r="AA2159" s="221"/>
      <c r="AB2159" s="223"/>
    </row>
    <row r="2160" spans="1:28" ht="17.100000000000001" customHeight="1" thickTop="1">
      <c r="A2160" s="226" t="s">
        <v>7182</v>
      </c>
      <c r="B2160" s="28">
        <v>45936</v>
      </c>
      <c r="C2160" s="25"/>
      <c r="D2160" s="13" t="s">
        <v>1715</v>
      </c>
      <c r="E2160" s="228"/>
      <c r="F2160" s="109" t="s">
        <v>7194</v>
      </c>
      <c r="G2160" s="24"/>
      <c r="H2160" s="230">
        <v>4</v>
      </c>
      <c r="I2160" s="220">
        <v>1087000</v>
      </c>
      <c r="J2160" s="220">
        <f>I2160*0.1</f>
        <v>108700</v>
      </c>
      <c r="K2160" s="220">
        <v>0</v>
      </c>
      <c r="L2160" s="220">
        <v>16930</v>
      </c>
      <c r="M2160" s="220">
        <v>14850</v>
      </c>
      <c r="N2160" s="220">
        <f>SUM(I2160:M2161)</f>
        <v>1227480</v>
      </c>
      <c r="O2160" s="224"/>
      <c r="P2160" s="110" t="s">
        <v>7852</v>
      </c>
      <c r="Q2160" s="15" t="s">
        <v>19</v>
      </c>
      <c r="R2160" s="205"/>
      <c r="S2160" s="189"/>
      <c r="T2160" s="114"/>
      <c r="U2160" s="21"/>
      <c r="V2160" s="115">
        <v>45941</v>
      </c>
      <c r="W2160" s="116">
        <v>1271</v>
      </c>
      <c r="X2160" s="220">
        <v>1295000</v>
      </c>
      <c r="Y2160" s="220">
        <v>129500</v>
      </c>
      <c r="Z2160" s="220">
        <v>16930</v>
      </c>
      <c r="AA2160" s="220">
        <f>SUM(X2160:Z2160)</f>
        <v>1441430</v>
      </c>
      <c r="AB2160" s="222">
        <v>45944</v>
      </c>
    </row>
    <row r="2161" spans="1:28" ht="17.100000000000001" customHeight="1" thickBot="1">
      <c r="A2161" s="227"/>
      <c r="B2161" s="27" t="s">
        <v>2727</v>
      </c>
      <c r="C2161" s="27">
        <v>80406</v>
      </c>
      <c r="D2161" s="14" t="s">
        <v>273</v>
      </c>
      <c r="E2161" s="229"/>
      <c r="F2161" s="117" t="s">
        <v>7851</v>
      </c>
      <c r="G2161" s="26">
        <v>44205</v>
      </c>
      <c r="H2161" s="231"/>
      <c r="I2161" s="221"/>
      <c r="J2161" s="221"/>
      <c r="K2161" s="221"/>
      <c r="L2161" s="221"/>
      <c r="M2161" s="221"/>
      <c r="N2161" s="221"/>
      <c r="O2161" s="225"/>
      <c r="P2161" s="118" t="s">
        <v>3247</v>
      </c>
      <c r="Q2161" s="16" t="s">
        <v>20</v>
      </c>
      <c r="R2161" s="17" t="s">
        <v>3236</v>
      </c>
      <c r="S2161" s="121" t="s">
        <v>7705</v>
      </c>
      <c r="T2161" s="122"/>
      <c r="U2161" s="22"/>
      <c r="V2161" s="123" t="s">
        <v>2472</v>
      </c>
      <c r="W2161" s="122">
        <v>80087</v>
      </c>
      <c r="X2161" s="221"/>
      <c r="Y2161" s="221"/>
      <c r="Z2161" s="221"/>
      <c r="AA2161" s="221"/>
      <c r="AB2161" s="223"/>
    </row>
    <row r="2162" spans="1:28" ht="17.100000000000001" customHeight="1" thickTop="1">
      <c r="A2162" s="226" t="s">
        <v>7183</v>
      </c>
      <c r="B2162" s="28">
        <v>45936</v>
      </c>
      <c r="C2162" s="25">
        <v>1181</v>
      </c>
      <c r="D2162" s="13" t="s">
        <v>5508</v>
      </c>
      <c r="E2162" s="228"/>
      <c r="F2162" s="109" t="s">
        <v>6855</v>
      </c>
      <c r="G2162" s="24" t="s">
        <v>2894</v>
      </c>
      <c r="H2162" s="230">
        <v>3.5</v>
      </c>
      <c r="I2162" s="220">
        <v>201000</v>
      </c>
      <c r="J2162" s="220">
        <f>I2162*0.1</f>
        <v>20100</v>
      </c>
      <c r="K2162" s="220">
        <v>0</v>
      </c>
      <c r="L2162" s="220">
        <v>8490</v>
      </c>
      <c r="M2162" s="220">
        <v>15950</v>
      </c>
      <c r="N2162" s="220">
        <f>SUM(I2162:M2163)</f>
        <v>245540</v>
      </c>
      <c r="O2162" s="224"/>
      <c r="P2162" s="110" t="s">
        <v>7196</v>
      </c>
      <c r="Q2162" s="15" t="s">
        <v>19</v>
      </c>
      <c r="R2162" s="205"/>
      <c r="S2162" s="189"/>
      <c r="T2162" s="114"/>
      <c r="U2162" s="21" t="s">
        <v>9848</v>
      </c>
      <c r="V2162" s="115">
        <v>45962</v>
      </c>
      <c r="W2162" s="116">
        <v>1274</v>
      </c>
      <c r="X2162" s="220">
        <v>232000</v>
      </c>
      <c r="Y2162" s="220">
        <f>X2162*0.1</f>
        <v>23200</v>
      </c>
      <c r="Z2162" s="220">
        <v>8490</v>
      </c>
      <c r="AA2162" s="220">
        <f>SUM(X2162:Z2162)</f>
        <v>263690</v>
      </c>
      <c r="AB2162" s="222">
        <v>45967</v>
      </c>
    </row>
    <row r="2163" spans="1:28" ht="17.100000000000001" customHeight="1" thickBot="1">
      <c r="A2163" s="227"/>
      <c r="B2163" s="27" t="s">
        <v>3663</v>
      </c>
      <c r="C2163" s="27">
        <v>55297</v>
      </c>
      <c r="D2163" s="14" t="s">
        <v>1568</v>
      </c>
      <c r="E2163" s="229"/>
      <c r="F2163" s="117" t="s">
        <v>7195</v>
      </c>
      <c r="G2163" s="26">
        <v>44810</v>
      </c>
      <c r="H2163" s="231"/>
      <c r="I2163" s="221"/>
      <c r="J2163" s="221"/>
      <c r="K2163" s="221"/>
      <c r="L2163" s="221"/>
      <c r="M2163" s="221"/>
      <c r="N2163" s="221"/>
      <c r="O2163" s="225"/>
      <c r="P2163" s="118" t="s">
        <v>4094</v>
      </c>
      <c r="Q2163" s="16" t="s">
        <v>20</v>
      </c>
      <c r="R2163" s="17" t="s">
        <v>1614</v>
      </c>
      <c r="S2163" s="121"/>
      <c r="T2163" s="122"/>
      <c r="U2163" s="22"/>
      <c r="V2163" s="123" t="s">
        <v>7160</v>
      </c>
      <c r="W2163" s="122">
        <v>63022</v>
      </c>
      <c r="X2163" s="221"/>
      <c r="Y2163" s="221"/>
      <c r="Z2163" s="221"/>
      <c r="AA2163" s="221"/>
      <c r="AB2163" s="223"/>
    </row>
    <row r="2164" spans="1:28" ht="17.100000000000001" customHeight="1" thickTop="1">
      <c r="A2164" s="226" t="s">
        <v>7184</v>
      </c>
      <c r="B2164" s="28">
        <v>45936</v>
      </c>
      <c r="C2164" s="25">
        <v>2063</v>
      </c>
      <c r="D2164" s="13" t="s">
        <v>1829</v>
      </c>
      <c r="E2164" s="228"/>
      <c r="F2164" s="109" t="s">
        <v>7197</v>
      </c>
      <c r="G2164" s="24" t="s">
        <v>4315</v>
      </c>
      <c r="H2164" s="230">
        <v>3.5</v>
      </c>
      <c r="I2164" s="220">
        <v>804000</v>
      </c>
      <c r="J2164" s="220">
        <f>I2164*0.1</f>
        <v>80400</v>
      </c>
      <c r="K2164" s="220">
        <v>0</v>
      </c>
      <c r="L2164" s="220">
        <v>8390</v>
      </c>
      <c r="M2164" s="220">
        <v>8800</v>
      </c>
      <c r="N2164" s="220">
        <f>SUM(I2164:M2165)</f>
        <v>901590</v>
      </c>
      <c r="O2164" s="224"/>
      <c r="P2164" s="110" t="s">
        <v>7199</v>
      </c>
      <c r="Q2164" s="15" t="s">
        <v>19</v>
      </c>
      <c r="R2164" s="205"/>
      <c r="S2164" s="189" t="s">
        <v>1361</v>
      </c>
      <c r="T2164" s="114"/>
      <c r="U2164" s="21" t="s">
        <v>10198</v>
      </c>
      <c r="V2164" s="115">
        <v>45969</v>
      </c>
      <c r="W2164" s="116">
        <v>1275</v>
      </c>
      <c r="X2164" s="220">
        <v>995000</v>
      </c>
      <c r="Y2164" s="220">
        <f>X2164*0.1</f>
        <v>99500</v>
      </c>
      <c r="Z2164" s="220">
        <v>8390</v>
      </c>
      <c r="AA2164" s="220">
        <f>SUM(X2164:Z2164)</f>
        <v>1102890</v>
      </c>
      <c r="AB2164" s="222">
        <v>45974</v>
      </c>
    </row>
    <row r="2165" spans="1:28" ht="17.100000000000001" customHeight="1" thickBot="1">
      <c r="A2165" s="227"/>
      <c r="B2165" s="27" t="s">
        <v>82</v>
      </c>
      <c r="C2165" s="27">
        <v>11009</v>
      </c>
      <c r="D2165" s="14" t="s">
        <v>273</v>
      </c>
      <c r="E2165" s="229"/>
      <c r="F2165" s="117" t="s">
        <v>7198</v>
      </c>
      <c r="G2165" s="26">
        <v>62531</v>
      </c>
      <c r="H2165" s="231"/>
      <c r="I2165" s="221"/>
      <c r="J2165" s="221"/>
      <c r="K2165" s="221"/>
      <c r="L2165" s="221"/>
      <c r="M2165" s="221"/>
      <c r="N2165" s="221"/>
      <c r="O2165" s="225"/>
      <c r="P2165" s="118" t="s">
        <v>2287</v>
      </c>
      <c r="Q2165" s="16" t="s">
        <v>20</v>
      </c>
      <c r="R2165" s="17" t="s">
        <v>1605</v>
      </c>
      <c r="S2165" s="121" t="s">
        <v>3566</v>
      </c>
      <c r="T2165" s="122"/>
      <c r="U2165" s="22"/>
      <c r="V2165" s="123" t="s">
        <v>7160</v>
      </c>
      <c r="W2165" s="122">
        <v>60267</v>
      </c>
      <c r="X2165" s="221"/>
      <c r="Y2165" s="221"/>
      <c r="Z2165" s="221"/>
      <c r="AA2165" s="221"/>
      <c r="AB2165" s="223"/>
    </row>
    <row r="2166" spans="1:28" ht="17.100000000000001" customHeight="1" thickTop="1">
      <c r="A2166" s="226" t="s">
        <v>7185</v>
      </c>
      <c r="B2166" s="28">
        <v>45936</v>
      </c>
      <c r="C2166" s="25">
        <v>2063</v>
      </c>
      <c r="D2166" s="13" t="s">
        <v>2712</v>
      </c>
      <c r="E2166" s="228"/>
      <c r="F2166" s="109" t="s">
        <v>5101</v>
      </c>
      <c r="G2166" s="24"/>
      <c r="H2166" s="230">
        <v>4</v>
      </c>
      <c r="I2166" s="220">
        <v>324000</v>
      </c>
      <c r="J2166" s="220">
        <f>I2166*0.1</f>
        <v>32400</v>
      </c>
      <c r="K2166" s="220">
        <v>0</v>
      </c>
      <c r="L2166" s="220">
        <v>7140</v>
      </c>
      <c r="M2166" s="220">
        <v>20900</v>
      </c>
      <c r="N2166" s="220">
        <f>SUM(I2166:M2167)</f>
        <v>384440</v>
      </c>
      <c r="O2166" s="224"/>
      <c r="P2166" s="110" t="s">
        <v>7901</v>
      </c>
      <c r="Q2166" s="15" t="s">
        <v>19</v>
      </c>
      <c r="R2166" s="205"/>
      <c r="S2166" s="189"/>
      <c r="T2166" s="114"/>
      <c r="U2166" s="21"/>
      <c r="V2166" s="115">
        <v>45948</v>
      </c>
      <c r="W2166" s="116">
        <v>1272</v>
      </c>
      <c r="X2166" s="220">
        <v>430000</v>
      </c>
      <c r="Y2166" s="220">
        <f>X2166*0.1</f>
        <v>43000</v>
      </c>
      <c r="Z2166" s="220">
        <v>7140</v>
      </c>
      <c r="AA2166" s="220">
        <f>SUM(X2166:Z2166)</f>
        <v>480140</v>
      </c>
      <c r="AB2166" s="222">
        <v>45952</v>
      </c>
    </row>
    <row r="2167" spans="1:28" ht="17.100000000000001" customHeight="1" thickBot="1">
      <c r="A2167" s="227"/>
      <c r="B2167" s="27" t="s">
        <v>82</v>
      </c>
      <c r="C2167" s="27">
        <v>25139</v>
      </c>
      <c r="D2167" s="14" t="s">
        <v>1710</v>
      </c>
      <c r="E2167" s="229"/>
      <c r="F2167" s="117" t="s">
        <v>7200</v>
      </c>
      <c r="G2167" s="26">
        <v>45504</v>
      </c>
      <c r="H2167" s="231"/>
      <c r="I2167" s="221"/>
      <c r="J2167" s="221"/>
      <c r="K2167" s="221"/>
      <c r="L2167" s="221"/>
      <c r="M2167" s="221"/>
      <c r="N2167" s="221"/>
      <c r="O2167" s="225"/>
      <c r="P2167" s="118" t="s">
        <v>2446</v>
      </c>
      <c r="Q2167" s="16" t="s">
        <v>20</v>
      </c>
      <c r="R2167" s="17" t="s">
        <v>3236</v>
      </c>
      <c r="S2167" s="121"/>
      <c r="T2167" s="122"/>
      <c r="U2167" s="22"/>
      <c r="V2167" s="123" t="s">
        <v>2472</v>
      </c>
      <c r="W2167" s="122">
        <v>60353</v>
      </c>
      <c r="X2167" s="221"/>
      <c r="Y2167" s="221"/>
      <c r="Z2167" s="221"/>
      <c r="AA2167" s="221"/>
      <c r="AB2167" s="223"/>
    </row>
    <row r="2168" spans="1:28" ht="17.100000000000001" customHeight="1" thickTop="1">
      <c r="A2168" s="226" t="s">
        <v>7186</v>
      </c>
      <c r="B2168" s="28">
        <v>45936</v>
      </c>
      <c r="C2168" s="25">
        <v>2063</v>
      </c>
      <c r="D2168" s="13" t="s">
        <v>2811</v>
      </c>
      <c r="E2168" s="228"/>
      <c r="F2168" s="109" t="s">
        <v>1763</v>
      </c>
      <c r="G2168" s="24"/>
      <c r="H2168" s="230">
        <v>4</v>
      </c>
      <c r="I2168" s="220">
        <v>485000</v>
      </c>
      <c r="J2168" s="220">
        <f>I2168*0.1</f>
        <v>48500</v>
      </c>
      <c r="K2168" s="220">
        <v>0</v>
      </c>
      <c r="L2168" s="220">
        <v>17600</v>
      </c>
      <c r="M2168" s="220">
        <v>11000</v>
      </c>
      <c r="N2168" s="220">
        <f>SUM(I2168:M2169)</f>
        <v>562100</v>
      </c>
      <c r="O2168" s="224"/>
      <c r="P2168" s="110" t="s">
        <v>7902</v>
      </c>
      <c r="Q2168" s="15" t="s">
        <v>19</v>
      </c>
      <c r="R2168" s="205"/>
      <c r="S2168" s="189" t="s">
        <v>25510</v>
      </c>
      <c r="T2168" s="114"/>
      <c r="U2168" s="21"/>
      <c r="V2168" s="115">
        <v>45941</v>
      </c>
      <c r="W2168" s="116">
        <v>1271</v>
      </c>
      <c r="X2168" s="220">
        <v>625000</v>
      </c>
      <c r="Y2168" s="220">
        <v>62500</v>
      </c>
      <c r="Z2168" s="220">
        <v>17600</v>
      </c>
      <c r="AA2168" s="220">
        <f>SUM(X2168:Z2168)</f>
        <v>705100</v>
      </c>
      <c r="AB2168" s="222">
        <v>45944</v>
      </c>
    </row>
    <row r="2169" spans="1:28" ht="17.100000000000001" customHeight="1" thickBot="1">
      <c r="A2169" s="227"/>
      <c r="B2169" s="27" t="s">
        <v>82</v>
      </c>
      <c r="C2169" s="27">
        <v>34513</v>
      </c>
      <c r="D2169" s="14" t="s">
        <v>1584</v>
      </c>
      <c r="E2169" s="229"/>
      <c r="F2169" s="117" t="s">
        <v>7201</v>
      </c>
      <c r="G2169" s="26">
        <v>121472</v>
      </c>
      <c r="H2169" s="231"/>
      <c r="I2169" s="221"/>
      <c r="J2169" s="221"/>
      <c r="K2169" s="221"/>
      <c r="L2169" s="221"/>
      <c r="M2169" s="221"/>
      <c r="N2169" s="221"/>
      <c r="O2169" s="225"/>
      <c r="P2169" s="118" t="s">
        <v>7903</v>
      </c>
      <c r="Q2169" s="16" t="s">
        <v>20</v>
      </c>
      <c r="R2169" s="17" t="s">
        <v>3236</v>
      </c>
      <c r="S2169" s="121" t="s">
        <v>1731</v>
      </c>
      <c r="T2169" s="122"/>
      <c r="U2169" s="22"/>
      <c r="V2169" s="123" t="s">
        <v>2472</v>
      </c>
      <c r="W2169" s="122">
        <v>80322</v>
      </c>
      <c r="X2169" s="221"/>
      <c r="Y2169" s="221"/>
      <c r="Z2169" s="221"/>
      <c r="AA2169" s="221"/>
      <c r="AB2169" s="223"/>
    </row>
    <row r="2170" spans="1:28" ht="17.100000000000001" customHeight="1" thickTop="1">
      <c r="A2170" s="226" t="s">
        <v>7284</v>
      </c>
      <c r="B2170" s="28">
        <v>45926</v>
      </c>
      <c r="C2170" s="25"/>
      <c r="D2170" s="13" t="s">
        <v>7281</v>
      </c>
      <c r="E2170" s="228"/>
      <c r="F2170" s="109" t="s">
        <v>7282</v>
      </c>
      <c r="G2170" s="24" t="s">
        <v>2778</v>
      </c>
      <c r="H2170" s="230">
        <v>4.5</v>
      </c>
      <c r="I2170" s="220">
        <f>940500/1.1</f>
        <v>854999.99999999988</v>
      </c>
      <c r="J2170" s="220">
        <f>I2170*0.1</f>
        <v>85500</v>
      </c>
      <c r="K2170" s="220">
        <v>0</v>
      </c>
      <c r="L2170" s="220">
        <v>8400</v>
      </c>
      <c r="M2170" s="220">
        <v>75554</v>
      </c>
      <c r="N2170" s="220">
        <f>SUM(I2170:M2171)</f>
        <v>1024453.9999999999</v>
      </c>
      <c r="O2170" s="224"/>
      <c r="P2170" s="110" t="s">
        <v>9273</v>
      </c>
      <c r="Q2170" s="15" t="s">
        <v>19</v>
      </c>
      <c r="R2170" s="205"/>
      <c r="S2170" s="189" t="s">
        <v>1276</v>
      </c>
      <c r="T2170" s="114"/>
      <c r="U2170" s="21"/>
      <c r="V2170" s="115">
        <v>45972</v>
      </c>
      <c r="W2170" s="116">
        <v>1917</v>
      </c>
      <c r="X2170" s="220">
        <v>957000</v>
      </c>
      <c r="Y2170" s="220">
        <f>X2170*0.1</f>
        <v>95700</v>
      </c>
      <c r="Z2170" s="220">
        <v>8400</v>
      </c>
      <c r="AA2170" s="220">
        <f>SUM(X2170:Z2170)</f>
        <v>1061100</v>
      </c>
      <c r="AB2170" s="222"/>
    </row>
    <row r="2171" spans="1:28" ht="17.100000000000001" customHeight="1" thickBot="1">
      <c r="A2171" s="227"/>
      <c r="B2171" s="27" t="s">
        <v>1708</v>
      </c>
      <c r="C2171" s="27" t="s">
        <v>7280</v>
      </c>
      <c r="D2171" s="14" t="s">
        <v>1797</v>
      </c>
      <c r="E2171" s="229"/>
      <c r="F2171" s="117" t="s">
        <v>7283</v>
      </c>
      <c r="G2171" s="26">
        <v>39368</v>
      </c>
      <c r="H2171" s="231"/>
      <c r="I2171" s="221"/>
      <c r="J2171" s="221"/>
      <c r="K2171" s="221"/>
      <c r="L2171" s="221"/>
      <c r="M2171" s="221"/>
      <c r="N2171" s="221"/>
      <c r="O2171" s="225"/>
      <c r="P2171" s="118" t="s">
        <v>9274</v>
      </c>
      <c r="Q2171" s="16" t="s">
        <v>20</v>
      </c>
      <c r="R2171" s="17" t="s">
        <v>9275</v>
      </c>
      <c r="S2171" s="121" t="s">
        <v>9378</v>
      </c>
      <c r="T2171" s="122"/>
      <c r="U2171" s="22"/>
      <c r="V2171" s="123" t="s">
        <v>2103</v>
      </c>
      <c r="W2171" s="122">
        <v>3119</v>
      </c>
      <c r="X2171" s="221"/>
      <c r="Y2171" s="221"/>
      <c r="Z2171" s="221"/>
      <c r="AA2171" s="221"/>
      <c r="AB2171" s="223"/>
    </row>
    <row r="2172" spans="1:28" ht="17.100000000000001" customHeight="1" thickTop="1">
      <c r="A2172" s="226" t="s">
        <v>7288</v>
      </c>
      <c r="B2172" s="28">
        <v>45934</v>
      </c>
      <c r="C2172" s="25"/>
      <c r="D2172" s="13" t="s">
        <v>1947</v>
      </c>
      <c r="E2172" s="228"/>
      <c r="F2172" s="109" t="s">
        <v>4288</v>
      </c>
      <c r="G2172" s="24" t="s">
        <v>7287</v>
      </c>
      <c r="H2172" s="230">
        <v>4.5</v>
      </c>
      <c r="I2172" s="220">
        <f>3905000/1.1</f>
        <v>3549999.9999999995</v>
      </c>
      <c r="J2172" s="220">
        <f>I2172*0.1</f>
        <v>355000</v>
      </c>
      <c r="K2172" s="220">
        <v>0</v>
      </c>
      <c r="L2172" s="220">
        <v>11570</v>
      </c>
      <c r="M2172" s="220">
        <v>152625</v>
      </c>
      <c r="N2172" s="220">
        <f>SUM(I2172:M2173)</f>
        <v>4069194.9999999995</v>
      </c>
      <c r="O2172" s="224"/>
      <c r="P2172" s="110" t="s">
        <v>8227</v>
      </c>
      <c r="Q2172" s="15" t="s">
        <v>19</v>
      </c>
      <c r="R2172" s="205"/>
      <c r="S2172" s="189" t="s">
        <v>1361</v>
      </c>
      <c r="T2172" s="114"/>
      <c r="U2172" s="21" t="s">
        <v>11882</v>
      </c>
      <c r="V2172" s="115"/>
      <c r="W2172" s="116"/>
      <c r="X2172" s="220"/>
      <c r="Y2172" s="220">
        <f>X2172*0.1</f>
        <v>0</v>
      </c>
      <c r="Z2172" s="220"/>
      <c r="AA2172" s="220">
        <f>SUM(X2172:Z2172)</f>
        <v>0</v>
      </c>
      <c r="AB2172" s="222"/>
    </row>
    <row r="2173" spans="1:28" ht="17.100000000000001" customHeight="1" thickBot="1">
      <c r="A2173" s="227"/>
      <c r="B2173" s="27" t="s">
        <v>1708</v>
      </c>
      <c r="C2173" s="27" t="s">
        <v>7285</v>
      </c>
      <c r="D2173" s="14" t="s">
        <v>2559</v>
      </c>
      <c r="E2173" s="229"/>
      <c r="F2173" s="117" t="s">
        <v>7286</v>
      </c>
      <c r="G2173" s="26">
        <v>24221</v>
      </c>
      <c r="H2173" s="231"/>
      <c r="I2173" s="221"/>
      <c r="J2173" s="221"/>
      <c r="K2173" s="221"/>
      <c r="L2173" s="221"/>
      <c r="M2173" s="221"/>
      <c r="N2173" s="221"/>
      <c r="O2173" s="225"/>
      <c r="P2173" s="118" t="s">
        <v>8228</v>
      </c>
      <c r="Q2173" s="16" t="s">
        <v>20</v>
      </c>
      <c r="R2173" s="17" t="s">
        <v>3255</v>
      </c>
      <c r="S2173" s="126" t="s">
        <v>169</v>
      </c>
      <c r="T2173" s="122"/>
      <c r="U2173" s="22"/>
      <c r="V2173" s="123"/>
      <c r="W2173" s="122"/>
      <c r="X2173" s="221"/>
      <c r="Y2173" s="221"/>
      <c r="Z2173" s="221"/>
      <c r="AA2173" s="221"/>
      <c r="AB2173" s="223"/>
    </row>
    <row r="2174" spans="1:28" ht="17.100000000000001" customHeight="1" thickTop="1">
      <c r="A2174" s="226" t="s">
        <v>7328</v>
      </c>
      <c r="B2174" s="28">
        <v>45937</v>
      </c>
      <c r="C2174" s="25">
        <v>1912</v>
      </c>
      <c r="D2174" s="13" t="s">
        <v>7202</v>
      </c>
      <c r="E2174" s="228"/>
      <c r="F2174" s="109" t="s">
        <v>7203</v>
      </c>
      <c r="G2174" s="24"/>
      <c r="H2174" s="230">
        <v>3</v>
      </c>
      <c r="I2174" s="220">
        <v>165000</v>
      </c>
      <c r="J2174" s="220">
        <f>I2174*0.1</f>
        <v>16500</v>
      </c>
      <c r="K2174" s="220">
        <v>0</v>
      </c>
      <c r="L2174" s="220">
        <v>5340</v>
      </c>
      <c r="M2174" s="220">
        <v>15950</v>
      </c>
      <c r="N2174" s="220">
        <f>SUM(I2174:M2175)</f>
        <v>202790</v>
      </c>
      <c r="O2174" s="224"/>
      <c r="P2174" s="110" t="s">
        <v>8115</v>
      </c>
      <c r="Q2174" s="15" t="s">
        <v>19</v>
      </c>
      <c r="R2174" s="205"/>
      <c r="S2174" s="189"/>
      <c r="T2174" s="114"/>
      <c r="U2174" s="21"/>
      <c r="V2174" s="115">
        <v>45969</v>
      </c>
      <c r="W2174" s="116">
        <v>1275</v>
      </c>
      <c r="X2174" s="220">
        <v>160000</v>
      </c>
      <c r="Y2174" s="220">
        <f>X2174*0.1</f>
        <v>16000</v>
      </c>
      <c r="Z2174" s="220">
        <v>5340</v>
      </c>
      <c r="AA2174" s="220">
        <f>SUM(X2174:Z2174)</f>
        <v>181340</v>
      </c>
      <c r="AB2174" s="222">
        <v>45972</v>
      </c>
    </row>
    <row r="2175" spans="1:28" ht="17.100000000000001" customHeight="1" thickBot="1">
      <c r="A2175" s="227"/>
      <c r="B2175" s="27" t="s">
        <v>2103</v>
      </c>
      <c r="C2175" s="27">
        <v>3031</v>
      </c>
      <c r="D2175" s="14" t="s">
        <v>1584</v>
      </c>
      <c r="E2175" s="229"/>
      <c r="F2175" s="117" t="s">
        <v>7204</v>
      </c>
      <c r="G2175" s="26">
        <v>31993</v>
      </c>
      <c r="H2175" s="231"/>
      <c r="I2175" s="221"/>
      <c r="J2175" s="221"/>
      <c r="K2175" s="221"/>
      <c r="L2175" s="221"/>
      <c r="M2175" s="221"/>
      <c r="N2175" s="221"/>
      <c r="O2175" s="225"/>
      <c r="P2175" s="118" t="s">
        <v>8116</v>
      </c>
      <c r="Q2175" s="16" t="s">
        <v>20</v>
      </c>
      <c r="R2175" s="17" t="s">
        <v>1614</v>
      </c>
      <c r="S2175" s="121" t="s">
        <v>7717</v>
      </c>
      <c r="T2175" s="122"/>
      <c r="U2175" s="22"/>
      <c r="V2175" s="123" t="s">
        <v>7160</v>
      </c>
      <c r="W2175" s="122">
        <v>63132</v>
      </c>
      <c r="X2175" s="221"/>
      <c r="Y2175" s="221"/>
      <c r="Z2175" s="221"/>
      <c r="AA2175" s="221"/>
      <c r="AB2175" s="223"/>
    </row>
    <row r="2176" spans="1:28" ht="17.100000000000001" customHeight="1" thickTop="1">
      <c r="A2176" s="226" t="s">
        <v>7329</v>
      </c>
      <c r="B2176" s="28">
        <v>45937</v>
      </c>
      <c r="C2176" s="25">
        <v>1912</v>
      </c>
      <c r="D2176" s="13" t="s">
        <v>4213</v>
      </c>
      <c r="E2176" s="228"/>
      <c r="F2176" s="109" t="s">
        <v>7205</v>
      </c>
      <c r="G2176" s="24"/>
      <c r="H2176" s="230">
        <v>4</v>
      </c>
      <c r="I2176" s="220">
        <v>956000</v>
      </c>
      <c r="J2176" s="220">
        <f>I2176*0.1</f>
        <v>95600</v>
      </c>
      <c r="K2176" s="220">
        <v>0</v>
      </c>
      <c r="L2176" s="220">
        <v>8010</v>
      </c>
      <c r="M2176" s="220">
        <v>15950</v>
      </c>
      <c r="N2176" s="220">
        <f>SUM(I2176:M2177)</f>
        <v>1075560</v>
      </c>
      <c r="O2176" s="224"/>
      <c r="P2176" s="110" t="s">
        <v>7925</v>
      </c>
      <c r="Q2176" s="15" t="s">
        <v>19</v>
      </c>
      <c r="R2176" s="205"/>
      <c r="S2176" s="189" t="s">
        <v>25415</v>
      </c>
      <c r="T2176" s="114"/>
      <c r="U2176" s="21"/>
      <c r="V2176" s="115">
        <v>45969</v>
      </c>
      <c r="W2176" s="116">
        <v>1275</v>
      </c>
      <c r="X2176" s="220">
        <v>995000</v>
      </c>
      <c r="Y2176" s="220">
        <f>X2176*0.1</f>
        <v>99500</v>
      </c>
      <c r="Z2176" s="220">
        <v>8010</v>
      </c>
      <c r="AA2176" s="220">
        <f>SUM(X2176:Z2176)</f>
        <v>1102510</v>
      </c>
      <c r="AB2176" s="222">
        <v>45972</v>
      </c>
    </row>
    <row r="2177" spans="1:28" ht="17.100000000000001" customHeight="1" thickBot="1">
      <c r="A2177" s="227"/>
      <c r="B2177" s="27" t="s">
        <v>2103</v>
      </c>
      <c r="C2177" s="27">
        <v>3037</v>
      </c>
      <c r="D2177" s="14" t="s">
        <v>1710</v>
      </c>
      <c r="E2177" s="229"/>
      <c r="F2177" s="117" t="s">
        <v>7206</v>
      </c>
      <c r="G2177" s="26">
        <v>34500</v>
      </c>
      <c r="H2177" s="231"/>
      <c r="I2177" s="221"/>
      <c r="J2177" s="221"/>
      <c r="K2177" s="221"/>
      <c r="L2177" s="221"/>
      <c r="M2177" s="221"/>
      <c r="N2177" s="221"/>
      <c r="O2177" s="225"/>
      <c r="P2177" s="118" t="s">
        <v>7926</v>
      </c>
      <c r="Q2177" s="16" t="s">
        <v>20</v>
      </c>
      <c r="R2177" s="17" t="s">
        <v>7909</v>
      </c>
      <c r="S2177" s="121" t="s">
        <v>3861</v>
      </c>
      <c r="T2177" s="122"/>
      <c r="U2177" s="22"/>
      <c r="V2177" s="123" t="s">
        <v>7160</v>
      </c>
      <c r="W2177" s="122">
        <v>60200</v>
      </c>
      <c r="X2177" s="221"/>
      <c r="Y2177" s="221"/>
      <c r="Z2177" s="221"/>
      <c r="AA2177" s="221"/>
      <c r="AB2177" s="223"/>
    </row>
    <row r="2178" spans="1:28" ht="17.100000000000001" customHeight="1" thickTop="1">
      <c r="A2178" s="226" t="s">
        <v>7330</v>
      </c>
      <c r="B2178" s="28">
        <v>45937</v>
      </c>
      <c r="C2178" s="25">
        <v>1912</v>
      </c>
      <c r="D2178" s="13" t="s">
        <v>1810</v>
      </c>
      <c r="E2178" s="228"/>
      <c r="F2178" s="109" t="s">
        <v>7207</v>
      </c>
      <c r="G2178" s="24"/>
      <c r="H2178" s="230">
        <v>4</v>
      </c>
      <c r="I2178" s="220">
        <v>644000</v>
      </c>
      <c r="J2178" s="220">
        <f>I2178*0.1</f>
        <v>64400</v>
      </c>
      <c r="K2178" s="220">
        <v>0</v>
      </c>
      <c r="L2178" s="220">
        <v>6610</v>
      </c>
      <c r="M2178" s="220">
        <v>15950</v>
      </c>
      <c r="N2178" s="220">
        <f>SUM(I2178:M2179)</f>
        <v>730960</v>
      </c>
      <c r="O2178" s="224"/>
      <c r="P2178" s="110" t="s">
        <v>8110</v>
      </c>
      <c r="Q2178" s="15" t="s">
        <v>19</v>
      </c>
      <c r="R2178" s="205"/>
      <c r="S2178" s="189" t="s">
        <v>25498</v>
      </c>
      <c r="T2178" s="114"/>
      <c r="U2178" s="21"/>
      <c r="V2178" s="115">
        <v>45948</v>
      </c>
      <c r="W2178" s="116">
        <v>1272</v>
      </c>
      <c r="X2178" s="220">
        <v>670000</v>
      </c>
      <c r="Y2178" s="220">
        <f>X2178*0.1</f>
        <v>67000</v>
      </c>
      <c r="Z2178" s="220">
        <v>6610</v>
      </c>
      <c r="AA2178" s="220">
        <f>SUM(X2178:Z2178)</f>
        <v>743610</v>
      </c>
      <c r="AB2178" s="222">
        <v>45952</v>
      </c>
    </row>
    <row r="2179" spans="1:28" ht="17.100000000000001" customHeight="1" thickBot="1">
      <c r="A2179" s="227"/>
      <c r="B2179" s="27" t="s">
        <v>2103</v>
      </c>
      <c r="C2179" s="27">
        <v>3038</v>
      </c>
      <c r="D2179" s="14" t="s">
        <v>1710</v>
      </c>
      <c r="E2179" s="229"/>
      <c r="F2179" s="117" t="s">
        <v>7208</v>
      </c>
      <c r="G2179" s="26">
        <v>19708</v>
      </c>
      <c r="H2179" s="231"/>
      <c r="I2179" s="221"/>
      <c r="J2179" s="221"/>
      <c r="K2179" s="221"/>
      <c r="L2179" s="221"/>
      <c r="M2179" s="221"/>
      <c r="N2179" s="221"/>
      <c r="O2179" s="225"/>
      <c r="P2179" s="118" t="s">
        <v>8111</v>
      </c>
      <c r="Q2179" s="16" t="s">
        <v>20</v>
      </c>
      <c r="R2179" s="17" t="s">
        <v>1614</v>
      </c>
      <c r="S2179" s="121" t="s">
        <v>8112</v>
      </c>
      <c r="T2179" s="122"/>
      <c r="U2179" s="22"/>
      <c r="V2179" s="123" t="s">
        <v>2472</v>
      </c>
      <c r="W2179" s="122">
        <v>60423</v>
      </c>
      <c r="X2179" s="221"/>
      <c r="Y2179" s="221"/>
      <c r="Z2179" s="221"/>
      <c r="AA2179" s="221"/>
      <c r="AB2179" s="223"/>
    </row>
    <row r="2180" spans="1:28" ht="17.100000000000001" customHeight="1" thickTop="1">
      <c r="A2180" s="226" t="s">
        <v>7331</v>
      </c>
      <c r="B2180" s="28">
        <v>45937</v>
      </c>
      <c r="C2180" s="25">
        <v>1912</v>
      </c>
      <c r="D2180" s="13" t="s">
        <v>2428</v>
      </c>
      <c r="E2180" s="228"/>
      <c r="F2180" s="109" t="s">
        <v>4129</v>
      </c>
      <c r="G2180" s="24" t="s">
        <v>2128</v>
      </c>
      <c r="H2180" s="232" t="s">
        <v>4130</v>
      </c>
      <c r="I2180" s="220">
        <v>1101000</v>
      </c>
      <c r="J2180" s="220">
        <f>I2180*0.1</f>
        <v>110100</v>
      </c>
      <c r="K2180" s="220">
        <v>0</v>
      </c>
      <c r="L2180" s="220">
        <v>7200</v>
      </c>
      <c r="M2180" s="220">
        <v>15950</v>
      </c>
      <c r="N2180" s="220">
        <f>SUM(I2180:M2181)</f>
        <v>1234250</v>
      </c>
      <c r="O2180" s="224"/>
      <c r="P2180" s="110" t="s">
        <v>7210</v>
      </c>
      <c r="Q2180" s="15" t="s">
        <v>19</v>
      </c>
      <c r="R2180" s="205"/>
      <c r="S2180" s="189" t="s">
        <v>1361</v>
      </c>
      <c r="T2180" s="114"/>
      <c r="U2180" s="21" t="s">
        <v>10200</v>
      </c>
      <c r="V2180" s="115">
        <v>45969</v>
      </c>
      <c r="W2180" s="116">
        <v>1275</v>
      </c>
      <c r="X2180" s="220">
        <v>1285000</v>
      </c>
      <c r="Y2180" s="220">
        <f>X2180*0.1</f>
        <v>128500</v>
      </c>
      <c r="Z2180" s="220">
        <v>7200</v>
      </c>
      <c r="AA2180" s="220">
        <f>SUM(X2180:Z2180)</f>
        <v>1420700</v>
      </c>
      <c r="AB2180" s="222">
        <v>45974</v>
      </c>
    </row>
    <row r="2181" spans="1:28" ht="17.100000000000001" customHeight="1" thickBot="1">
      <c r="A2181" s="227"/>
      <c r="B2181" s="27" t="s">
        <v>2103</v>
      </c>
      <c r="C2181" s="27">
        <v>3091</v>
      </c>
      <c r="D2181" s="14" t="s">
        <v>1710</v>
      </c>
      <c r="E2181" s="229"/>
      <c r="F2181" s="117" t="s">
        <v>7209</v>
      </c>
      <c r="G2181" s="26">
        <v>2341</v>
      </c>
      <c r="H2181" s="231"/>
      <c r="I2181" s="221"/>
      <c r="J2181" s="221"/>
      <c r="K2181" s="221"/>
      <c r="L2181" s="221"/>
      <c r="M2181" s="221"/>
      <c r="N2181" s="221"/>
      <c r="O2181" s="225"/>
      <c r="P2181" s="118" t="s">
        <v>7924</v>
      </c>
      <c r="Q2181" s="16" t="s">
        <v>20</v>
      </c>
      <c r="R2181" s="17" t="s">
        <v>7909</v>
      </c>
      <c r="S2181" s="121" t="s">
        <v>8416</v>
      </c>
      <c r="T2181" s="122"/>
      <c r="U2181" s="22"/>
      <c r="V2181" s="123" t="s">
        <v>7160</v>
      </c>
      <c r="W2181" s="122">
        <v>60118</v>
      </c>
      <c r="X2181" s="221"/>
      <c r="Y2181" s="221"/>
      <c r="Z2181" s="221"/>
      <c r="AA2181" s="221"/>
      <c r="AB2181" s="223"/>
    </row>
    <row r="2182" spans="1:28" ht="17.100000000000001" customHeight="1" thickTop="1">
      <c r="A2182" s="226" t="s">
        <v>7332</v>
      </c>
      <c r="B2182" s="28">
        <v>45937</v>
      </c>
      <c r="C2182" s="25">
        <v>1912</v>
      </c>
      <c r="D2182" s="13" t="s">
        <v>1976</v>
      </c>
      <c r="E2182" s="228"/>
      <c r="F2182" s="109" t="s">
        <v>5101</v>
      </c>
      <c r="G2182" s="24"/>
      <c r="H2182" s="230">
        <v>4.5</v>
      </c>
      <c r="I2182" s="220">
        <v>700000</v>
      </c>
      <c r="J2182" s="220">
        <f>I2182*0.1</f>
        <v>70000</v>
      </c>
      <c r="K2182" s="220">
        <v>0</v>
      </c>
      <c r="L2182" s="220">
        <v>6550</v>
      </c>
      <c r="M2182" s="220">
        <v>15950</v>
      </c>
      <c r="N2182" s="220">
        <f>SUM(I2182:M2183)</f>
        <v>792500</v>
      </c>
      <c r="O2182" s="224"/>
      <c r="P2182" s="110" t="s">
        <v>8113</v>
      </c>
      <c r="Q2182" s="15" t="s">
        <v>19</v>
      </c>
      <c r="R2182" s="205"/>
      <c r="S2182" s="189"/>
      <c r="T2182" s="114"/>
      <c r="U2182" s="21"/>
      <c r="V2182" s="115">
        <v>45955</v>
      </c>
      <c r="W2182" s="116">
        <v>1273</v>
      </c>
      <c r="X2182" s="220">
        <v>770000</v>
      </c>
      <c r="Y2182" s="220">
        <f>X2182*0.1</f>
        <v>77000</v>
      </c>
      <c r="Z2182" s="220">
        <v>6550</v>
      </c>
      <c r="AA2182" s="220">
        <f>SUM(X2182:Z2182)</f>
        <v>853550</v>
      </c>
      <c r="AB2182" s="222">
        <v>45960</v>
      </c>
    </row>
    <row r="2183" spans="1:28" ht="17.100000000000001" customHeight="1" thickBot="1">
      <c r="A2183" s="227"/>
      <c r="B2183" s="27" t="s">
        <v>2103</v>
      </c>
      <c r="C2183" s="27">
        <v>3269</v>
      </c>
      <c r="D2183" s="14" t="s">
        <v>273</v>
      </c>
      <c r="E2183" s="229"/>
      <c r="F2183" s="117" t="s">
        <v>7211</v>
      </c>
      <c r="G2183" s="26">
        <v>51449</v>
      </c>
      <c r="H2183" s="231"/>
      <c r="I2183" s="221"/>
      <c r="J2183" s="221"/>
      <c r="K2183" s="221"/>
      <c r="L2183" s="221"/>
      <c r="M2183" s="221"/>
      <c r="N2183" s="221"/>
      <c r="O2183" s="225"/>
      <c r="P2183" s="118" t="s">
        <v>8114</v>
      </c>
      <c r="Q2183" s="16" t="s">
        <v>20</v>
      </c>
      <c r="R2183" s="17" t="s">
        <v>1614</v>
      </c>
      <c r="S2183" s="121" t="s">
        <v>1661</v>
      </c>
      <c r="T2183" s="122"/>
      <c r="U2183" s="22"/>
      <c r="V2183" s="123" t="s">
        <v>2472</v>
      </c>
      <c r="W2183" s="122">
        <v>60307</v>
      </c>
      <c r="X2183" s="221"/>
      <c r="Y2183" s="221"/>
      <c r="Z2183" s="221"/>
      <c r="AA2183" s="221"/>
      <c r="AB2183" s="223"/>
    </row>
    <row r="2184" spans="1:28" ht="17.100000000000001" customHeight="1" thickTop="1">
      <c r="A2184" s="226" t="s">
        <v>7333</v>
      </c>
      <c r="B2184" s="28">
        <v>45937</v>
      </c>
      <c r="C2184" s="25">
        <v>1912</v>
      </c>
      <c r="D2184" s="13" t="s">
        <v>1963</v>
      </c>
      <c r="E2184" s="228"/>
      <c r="F2184" s="109" t="s">
        <v>4728</v>
      </c>
      <c r="G2184" s="24" t="s">
        <v>2084</v>
      </c>
      <c r="H2184" s="230">
        <v>4</v>
      </c>
      <c r="I2184" s="220">
        <v>1357000</v>
      </c>
      <c r="J2184" s="220">
        <f>I2184*0.1</f>
        <v>135700</v>
      </c>
      <c r="K2184" s="220">
        <v>0</v>
      </c>
      <c r="L2184" s="220">
        <v>7150</v>
      </c>
      <c r="M2184" s="220">
        <v>15950</v>
      </c>
      <c r="N2184" s="220">
        <f>SUM(I2184:M2185)</f>
        <v>1515800</v>
      </c>
      <c r="O2184" s="224"/>
      <c r="P2184" s="110" t="s">
        <v>7213</v>
      </c>
      <c r="Q2184" s="15" t="s">
        <v>19</v>
      </c>
      <c r="R2184" s="205"/>
      <c r="S2184" s="189" t="s">
        <v>1361</v>
      </c>
      <c r="T2184" s="114" t="s">
        <v>9395</v>
      </c>
      <c r="U2184" s="21" t="s">
        <v>10843</v>
      </c>
      <c r="V2184" s="115">
        <v>46043</v>
      </c>
      <c r="W2184" s="116">
        <v>1001</v>
      </c>
      <c r="X2184" s="220">
        <v>1360000</v>
      </c>
      <c r="Y2184" s="220">
        <f>X2184*0.1</f>
        <v>136000</v>
      </c>
      <c r="Z2184" s="220">
        <v>7150</v>
      </c>
      <c r="AA2184" s="220">
        <f>SUM(X2184:Z2184)</f>
        <v>1503150</v>
      </c>
      <c r="AB2184" s="222">
        <v>46048</v>
      </c>
    </row>
    <row r="2185" spans="1:28" ht="17.100000000000001" customHeight="1" thickBot="1">
      <c r="A2185" s="227"/>
      <c r="B2185" s="27" t="s">
        <v>2103</v>
      </c>
      <c r="C2185" s="27">
        <v>3281</v>
      </c>
      <c r="D2185" s="14" t="s">
        <v>1710</v>
      </c>
      <c r="E2185" s="229"/>
      <c r="F2185" s="117" t="s">
        <v>7212</v>
      </c>
      <c r="G2185" s="26">
        <v>40260</v>
      </c>
      <c r="H2185" s="231"/>
      <c r="I2185" s="221"/>
      <c r="J2185" s="221"/>
      <c r="K2185" s="221"/>
      <c r="L2185" s="221"/>
      <c r="M2185" s="221"/>
      <c r="N2185" s="221"/>
      <c r="O2185" s="225"/>
      <c r="P2185" s="118" t="s">
        <v>7778</v>
      </c>
      <c r="Q2185" s="16" t="s">
        <v>20</v>
      </c>
      <c r="R2185" s="17" t="s">
        <v>7909</v>
      </c>
      <c r="S2185" s="121" t="s">
        <v>4360</v>
      </c>
      <c r="T2185" s="122"/>
      <c r="U2185" s="22"/>
      <c r="V2185" s="123" t="s">
        <v>2747</v>
      </c>
      <c r="W2185" s="122">
        <v>2035</v>
      </c>
      <c r="X2185" s="221"/>
      <c r="Y2185" s="221"/>
      <c r="Z2185" s="221"/>
      <c r="AA2185" s="221"/>
      <c r="AB2185" s="223"/>
    </row>
    <row r="2186" spans="1:28" ht="17.100000000000001" customHeight="1" thickTop="1">
      <c r="A2186" s="226" t="s">
        <v>7334</v>
      </c>
      <c r="B2186" s="28">
        <v>45937</v>
      </c>
      <c r="C2186" s="25">
        <v>1912</v>
      </c>
      <c r="D2186" s="13" t="s">
        <v>1961</v>
      </c>
      <c r="E2186" s="228"/>
      <c r="F2186" s="109" t="s">
        <v>7257</v>
      </c>
      <c r="G2186" s="24"/>
      <c r="H2186" s="230">
        <v>4.5</v>
      </c>
      <c r="I2186" s="220">
        <v>1565000</v>
      </c>
      <c r="J2186" s="220">
        <f>I2186*0.1</f>
        <v>156500</v>
      </c>
      <c r="K2186" s="220">
        <v>0</v>
      </c>
      <c r="L2186" s="220">
        <v>19090</v>
      </c>
      <c r="M2186" s="220">
        <v>15950</v>
      </c>
      <c r="N2186" s="220">
        <f>SUM(I2186:M2187)</f>
        <v>1756540</v>
      </c>
      <c r="O2186" s="224"/>
      <c r="P2186" s="110" t="s">
        <v>7915</v>
      </c>
      <c r="Q2186" s="15" t="s">
        <v>19</v>
      </c>
      <c r="R2186" s="205"/>
      <c r="S2186" s="189" t="s">
        <v>758</v>
      </c>
      <c r="T2186" s="114"/>
      <c r="U2186" s="21"/>
      <c r="V2186" s="115">
        <v>45941</v>
      </c>
      <c r="W2186" s="116">
        <v>1271</v>
      </c>
      <c r="X2186" s="220">
        <v>1700000</v>
      </c>
      <c r="Y2186" s="220">
        <v>170000</v>
      </c>
      <c r="Z2186" s="220">
        <v>19090</v>
      </c>
      <c r="AA2186" s="220">
        <f>SUM(X2186:Z2186)</f>
        <v>1889090</v>
      </c>
      <c r="AB2186" s="222">
        <v>45945</v>
      </c>
    </row>
    <row r="2187" spans="1:28" ht="17.100000000000001" customHeight="1" thickBot="1">
      <c r="A2187" s="227"/>
      <c r="B2187" s="27" t="s">
        <v>2103</v>
      </c>
      <c r="C2187" s="27">
        <v>5030</v>
      </c>
      <c r="D2187" s="14" t="s">
        <v>2753</v>
      </c>
      <c r="E2187" s="229"/>
      <c r="F2187" s="117" t="s">
        <v>7258</v>
      </c>
      <c r="G2187" s="26">
        <v>54891</v>
      </c>
      <c r="H2187" s="231"/>
      <c r="I2187" s="221"/>
      <c r="J2187" s="221"/>
      <c r="K2187" s="221"/>
      <c r="L2187" s="221"/>
      <c r="M2187" s="221"/>
      <c r="N2187" s="221"/>
      <c r="O2187" s="225"/>
      <c r="P2187" s="118" t="s">
        <v>3310</v>
      </c>
      <c r="Q2187" s="16" t="s">
        <v>20</v>
      </c>
      <c r="R2187" s="17" t="s">
        <v>7909</v>
      </c>
      <c r="S2187" s="121" t="s">
        <v>7916</v>
      </c>
      <c r="T2187" s="122"/>
      <c r="U2187" s="22"/>
      <c r="V2187" s="123" t="s">
        <v>2472</v>
      </c>
      <c r="W2187" s="122">
        <v>80325</v>
      </c>
      <c r="X2187" s="221"/>
      <c r="Y2187" s="221"/>
      <c r="Z2187" s="221"/>
      <c r="AA2187" s="221"/>
      <c r="AB2187" s="223"/>
    </row>
    <row r="2188" spans="1:28" ht="17.100000000000001" customHeight="1" thickTop="1">
      <c r="A2188" s="226" t="s">
        <v>7335</v>
      </c>
      <c r="B2188" s="28">
        <v>45937</v>
      </c>
      <c r="C2188" s="25">
        <v>1912</v>
      </c>
      <c r="D2188" s="13" t="s">
        <v>2637</v>
      </c>
      <c r="E2188" s="228"/>
      <c r="F2188" s="109" t="s">
        <v>7259</v>
      </c>
      <c r="G2188" s="24"/>
      <c r="H2188" s="230">
        <v>4</v>
      </c>
      <c r="I2188" s="220">
        <v>2277000</v>
      </c>
      <c r="J2188" s="220">
        <f>I2188*0.1</f>
        <v>227700</v>
      </c>
      <c r="K2188" s="220">
        <v>0</v>
      </c>
      <c r="L2188" s="220">
        <v>24080</v>
      </c>
      <c r="M2188" s="220">
        <v>15950</v>
      </c>
      <c r="N2188" s="220">
        <f>SUM(I2188:M2189)</f>
        <v>2544730</v>
      </c>
      <c r="O2188" s="224"/>
      <c r="P2188" s="110" t="s">
        <v>7943</v>
      </c>
      <c r="Q2188" s="15" t="s">
        <v>19</v>
      </c>
      <c r="R2188" s="205"/>
      <c r="S2188" s="189" t="s">
        <v>758</v>
      </c>
      <c r="T2188" s="114"/>
      <c r="U2188" s="21"/>
      <c r="V2188" s="115">
        <v>45948</v>
      </c>
      <c r="W2188" s="116">
        <v>1272</v>
      </c>
      <c r="X2188" s="220">
        <v>2565000</v>
      </c>
      <c r="Y2188" s="220">
        <f>X2188*0.1</f>
        <v>256500</v>
      </c>
      <c r="Z2188" s="220">
        <v>24080</v>
      </c>
      <c r="AA2188" s="220">
        <f>SUM(X2188:Z2188)</f>
        <v>2845580</v>
      </c>
      <c r="AB2188" s="222">
        <v>45951</v>
      </c>
    </row>
    <row r="2189" spans="1:28" ht="17.100000000000001" customHeight="1" thickBot="1">
      <c r="A2189" s="227"/>
      <c r="B2189" s="27" t="s">
        <v>2103</v>
      </c>
      <c r="C2189" s="27">
        <v>32054</v>
      </c>
      <c r="D2189" s="14" t="s">
        <v>273</v>
      </c>
      <c r="E2189" s="229"/>
      <c r="F2189" s="117" t="s">
        <v>7260</v>
      </c>
      <c r="G2189" s="26">
        <v>27785</v>
      </c>
      <c r="H2189" s="231"/>
      <c r="I2189" s="221"/>
      <c r="J2189" s="221"/>
      <c r="K2189" s="221"/>
      <c r="L2189" s="221"/>
      <c r="M2189" s="221"/>
      <c r="N2189" s="221"/>
      <c r="O2189" s="225"/>
      <c r="P2189" s="118" t="s">
        <v>7944</v>
      </c>
      <c r="Q2189" s="16" t="s">
        <v>20</v>
      </c>
      <c r="R2189" s="17" t="s">
        <v>7909</v>
      </c>
      <c r="S2189" s="121" t="s">
        <v>7942</v>
      </c>
      <c r="T2189" s="122"/>
      <c r="U2189" s="22"/>
      <c r="V2189" s="123" t="s">
        <v>2472</v>
      </c>
      <c r="W2189" s="122">
        <v>80013</v>
      </c>
      <c r="X2189" s="221"/>
      <c r="Y2189" s="221"/>
      <c r="Z2189" s="221"/>
      <c r="AA2189" s="221"/>
      <c r="AB2189" s="223"/>
    </row>
    <row r="2190" spans="1:28" ht="17.100000000000001" customHeight="1" thickTop="1">
      <c r="A2190" s="226" t="s">
        <v>7336</v>
      </c>
      <c r="B2190" s="28">
        <v>45937</v>
      </c>
      <c r="C2190" s="25">
        <v>1912</v>
      </c>
      <c r="D2190" s="13" t="s">
        <v>4307</v>
      </c>
      <c r="E2190" s="228"/>
      <c r="F2190" s="109" t="s">
        <v>7278</v>
      </c>
      <c r="G2190" s="24"/>
      <c r="H2190" s="230">
        <v>3.5</v>
      </c>
      <c r="I2190" s="220">
        <v>115000</v>
      </c>
      <c r="J2190" s="220">
        <f>I2190*0.1</f>
        <v>11500</v>
      </c>
      <c r="K2190" s="220">
        <v>0</v>
      </c>
      <c r="L2190" s="220">
        <v>10170</v>
      </c>
      <c r="M2190" s="220">
        <v>15950</v>
      </c>
      <c r="N2190" s="220">
        <f>SUM(I2190:M2191)</f>
        <v>152620</v>
      </c>
      <c r="O2190" s="224"/>
      <c r="P2190" s="110" t="s">
        <v>8101</v>
      </c>
      <c r="Q2190" s="15" t="s">
        <v>19</v>
      </c>
      <c r="R2190" s="205"/>
      <c r="S2190" s="189"/>
      <c r="T2190" s="114"/>
      <c r="U2190" s="21"/>
      <c r="V2190" s="115">
        <v>45941</v>
      </c>
      <c r="W2190" s="116">
        <v>1271</v>
      </c>
      <c r="X2190" s="220">
        <v>170000</v>
      </c>
      <c r="Y2190" s="220">
        <v>17000</v>
      </c>
      <c r="Z2190" s="220">
        <v>10170</v>
      </c>
      <c r="AA2190" s="220">
        <f>SUM(X2190:Z2190)</f>
        <v>197170</v>
      </c>
      <c r="AB2190" s="222">
        <v>45950</v>
      </c>
    </row>
    <row r="2191" spans="1:28" ht="17.100000000000001" customHeight="1" thickBot="1">
      <c r="A2191" s="227"/>
      <c r="B2191" s="27" t="s">
        <v>2103</v>
      </c>
      <c r="C2191" s="27">
        <v>77005</v>
      </c>
      <c r="D2191" s="14" t="s">
        <v>1710</v>
      </c>
      <c r="E2191" s="229"/>
      <c r="F2191" s="117" t="s">
        <v>7279</v>
      </c>
      <c r="G2191" s="26">
        <v>56668</v>
      </c>
      <c r="H2191" s="231"/>
      <c r="I2191" s="221"/>
      <c r="J2191" s="221"/>
      <c r="K2191" s="221"/>
      <c r="L2191" s="221"/>
      <c r="M2191" s="221"/>
      <c r="N2191" s="221"/>
      <c r="O2191" s="225"/>
      <c r="P2191" s="118" t="s">
        <v>8102</v>
      </c>
      <c r="Q2191" s="16" t="s">
        <v>20</v>
      </c>
      <c r="R2191" s="17" t="s">
        <v>1614</v>
      </c>
      <c r="S2191" s="121" t="s">
        <v>7719</v>
      </c>
      <c r="T2191" s="122"/>
      <c r="U2191" s="22"/>
      <c r="V2191" s="123" t="s">
        <v>2472</v>
      </c>
      <c r="W2191" s="122">
        <v>60486</v>
      </c>
      <c r="X2191" s="221"/>
      <c r="Y2191" s="221"/>
      <c r="Z2191" s="221"/>
      <c r="AA2191" s="221"/>
      <c r="AB2191" s="223"/>
    </row>
    <row r="2192" spans="1:28" ht="17.100000000000001" customHeight="1" thickTop="1">
      <c r="A2192" s="226" t="s">
        <v>7337</v>
      </c>
      <c r="B2192" s="28">
        <v>45937</v>
      </c>
      <c r="C2192" s="25">
        <v>790</v>
      </c>
      <c r="D2192" s="13" t="s">
        <v>1899</v>
      </c>
      <c r="E2192" s="228"/>
      <c r="F2192" s="109" t="s">
        <v>7214</v>
      </c>
      <c r="G2192" s="24"/>
      <c r="H2192" s="230">
        <v>4</v>
      </c>
      <c r="I2192" s="220">
        <v>524000</v>
      </c>
      <c r="J2192" s="220">
        <f>I2192*0.1</f>
        <v>52400</v>
      </c>
      <c r="K2192" s="220">
        <v>0</v>
      </c>
      <c r="L2192" s="220">
        <v>8400</v>
      </c>
      <c r="M2192" s="220">
        <v>15950</v>
      </c>
      <c r="N2192" s="220">
        <f>SUM(I2192:M2193)</f>
        <v>600750</v>
      </c>
      <c r="O2192" s="224"/>
      <c r="P2192" s="110" t="s">
        <v>7922</v>
      </c>
      <c r="Q2192" s="15" t="s">
        <v>19</v>
      </c>
      <c r="R2192" s="205"/>
      <c r="S2192" s="189"/>
      <c r="T2192" s="114"/>
      <c r="U2192" s="21"/>
      <c r="V2192" s="115">
        <v>45969</v>
      </c>
      <c r="W2192" s="116">
        <v>1275</v>
      </c>
      <c r="X2192" s="220">
        <v>610000</v>
      </c>
      <c r="Y2192" s="220">
        <f>X2192*0.1</f>
        <v>61000</v>
      </c>
      <c r="Z2192" s="220">
        <v>8400</v>
      </c>
      <c r="AA2192" s="220">
        <f>SUM(X2192:Z2192)</f>
        <v>679400</v>
      </c>
      <c r="AB2192" s="222">
        <v>45972</v>
      </c>
    </row>
    <row r="2193" spans="1:28" ht="17.100000000000001" customHeight="1" thickBot="1">
      <c r="A2193" s="227"/>
      <c r="B2193" s="27" t="s">
        <v>3314</v>
      </c>
      <c r="C2193" s="27">
        <v>3062</v>
      </c>
      <c r="D2193" s="14" t="s">
        <v>3792</v>
      </c>
      <c r="E2193" s="229"/>
      <c r="F2193" s="117" t="s">
        <v>7215</v>
      </c>
      <c r="G2193" s="26">
        <v>27090</v>
      </c>
      <c r="H2193" s="231"/>
      <c r="I2193" s="221"/>
      <c r="J2193" s="221"/>
      <c r="K2193" s="221"/>
      <c r="L2193" s="221"/>
      <c r="M2193" s="221"/>
      <c r="N2193" s="221"/>
      <c r="O2193" s="225"/>
      <c r="P2193" s="118" t="s">
        <v>3919</v>
      </c>
      <c r="Q2193" s="16" t="s">
        <v>20</v>
      </c>
      <c r="R2193" s="17" t="s">
        <v>7909</v>
      </c>
      <c r="S2193" s="121" t="s">
        <v>7721</v>
      </c>
      <c r="T2193" s="122"/>
      <c r="U2193" s="22"/>
      <c r="V2193" s="123" t="s">
        <v>7160</v>
      </c>
      <c r="W2193" s="122">
        <v>60300</v>
      </c>
      <c r="X2193" s="221"/>
      <c r="Y2193" s="221"/>
      <c r="Z2193" s="221"/>
      <c r="AA2193" s="221"/>
      <c r="AB2193" s="223"/>
    </row>
    <row r="2194" spans="1:28" ht="17.100000000000001" customHeight="1" thickTop="1">
      <c r="A2194" s="226" t="s">
        <v>7338</v>
      </c>
      <c r="B2194" s="28">
        <v>45937</v>
      </c>
      <c r="C2194" s="25">
        <v>790</v>
      </c>
      <c r="D2194" s="13" t="s">
        <v>2644</v>
      </c>
      <c r="E2194" s="228"/>
      <c r="F2194" s="109" t="s">
        <v>5101</v>
      </c>
      <c r="G2194" s="24" t="s">
        <v>2494</v>
      </c>
      <c r="H2194" s="232" t="s">
        <v>1705</v>
      </c>
      <c r="I2194" s="220">
        <v>379000</v>
      </c>
      <c r="J2194" s="220">
        <f>I2194*0.1</f>
        <v>37900</v>
      </c>
      <c r="K2194" s="220">
        <v>0</v>
      </c>
      <c r="L2194" s="220">
        <v>7140</v>
      </c>
      <c r="M2194" s="220">
        <v>15950</v>
      </c>
      <c r="N2194" s="220">
        <f>SUM(I2194:M2195)</f>
        <v>439990</v>
      </c>
      <c r="O2194" s="224"/>
      <c r="P2194" s="110" t="s">
        <v>7217</v>
      </c>
      <c r="Q2194" s="15" t="s">
        <v>19</v>
      </c>
      <c r="R2194" s="205"/>
      <c r="S2194" s="189" t="s">
        <v>1361</v>
      </c>
      <c r="T2194" s="114"/>
      <c r="U2194" s="21"/>
      <c r="V2194" s="115">
        <v>45941</v>
      </c>
      <c r="W2194" s="116">
        <v>1271</v>
      </c>
      <c r="X2194" s="220">
        <v>570000</v>
      </c>
      <c r="Y2194" s="220">
        <v>57000</v>
      </c>
      <c r="Z2194" s="220">
        <v>7140</v>
      </c>
      <c r="AA2194" s="220">
        <f>SUM(X2194:Z2194)</f>
        <v>634140</v>
      </c>
      <c r="AB2194" s="222">
        <v>45950</v>
      </c>
    </row>
    <row r="2195" spans="1:28" ht="17.100000000000001" customHeight="1" thickBot="1">
      <c r="A2195" s="227"/>
      <c r="B2195" s="27" t="s">
        <v>3314</v>
      </c>
      <c r="C2195" s="27">
        <v>3100</v>
      </c>
      <c r="D2195" s="14" t="s">
        <v>273</v>
      </c>
      <c r="E2195" s="229"/>
      <c r="F2195" s="117" t="s">
        <v>7216</v>
      </c>
      <c r="G2195" s="26">
        <v>32435</v>
      </c>
      <c r="H2195" s="231"/>
      <c r="I2195" s="221"/>
      <c r="J2195" s="221"/>
      <c r="K2195" s="221"/>
      <c r="L2195" s="221"/>
      <c r="M2195" s="221"/>
      <c r="N2195" s="221"/>
      <c r="O2195" s="225"/>
      <c r="P2195" s="118" t="s">
        <v>8104</v>
      </c>
      <c r="Q2195" s="16" t="s">
        <v>20</v>
      </c>
      <c r="R2195" s="17" t="s">
        <v>1614</v>
      </c>
      <c r="S2195" s="121" t="s">
        <v>169</v>
      </c>
      <c r="T2195" s="122"/>
      <c r="U2195" s="22"/>
      <c r="V2195" s="123" t="s">
        <v>2472</v>
      </c>
      <c r="W2195" s="122">
        <v>60461</v>
      </c>
      <c r="X2195" s="221"/>
      <c r="Y2195" s="221"/>
      <c r="Z2195" s="221"/>
      <c r="AA2195" s="221"/>
      <c r="AB2195" s="223"/>
    </row>
    <row r="2196" spans="1:28" ht="17.100000000000001" customHeight="1" thickTop="1">
      <c r="A2196" s="226" t="s">
        <v>7339</v>
      </c>
      <c r="B2196" s="28">
        <v>45937</v>
      </c>
      <c r="C2196" s="25">
        <v>910</v>
      </c>
      <c r="D2196" s="13" t="s">
        <v>1531</v>
      </c>
      <c r="E2196" s="228"/>
      <c r="F2196" s="109" t="s">
        <v>7276</v>
      </c>
      <c r="G2196" s="24"/>
      <c r="H2196" s="230">
        <v>3.5</v>
      </c>
      <c r="I2196" s="220">
        <v>1099000</v>
      </c>
      <c r="J2196" s="220">
        <f>I2196*0.1</f>
        <v>109900</v>
      </c>
      <c r="K2196" s="220">
        <v>0</v>
      </c>
      <c r="L2196" s="220">
        <v>9810</v>
      </c>
      <c r="M2196" s="220">
        <v>17050</v>
      </c>
      <c r="N2196" s="220">
        <f>SUM(I2196:M2197)</f>
        <v>1235760</v>
      </c>
      <c r="O2196" s="224"/>
      <c r="P2196" s="110" t="s">
        <v>8103</v>
      </c>
      <c r="Q2196" s="15" t="s">
        <v>19</v>
      </c>
      <c r="R2196" s="205"/>
      <c r="S2196" s="189"/>
      <c r="T2196" s="114"/>
      <c r="U2196" s="21"/>
      <c r="V2196" s="115">
        <v>45959</v>
      </c>
      <c r="W2196" s="116">
        <v>990</v>
      </c>
      <c r="X2196" s="220">
        <v>1150000</v>
      </c>
      <c r="Y2196" s="220">
        <f>X2196*0.1</f>
        <v>115000</v>
      </c>
      <c r="Z2196" s="220">
        <v>9810</v>
      </c>
      <c r="AA2196" s="220">
        <f>SUM(X2196:Z2196)</f>
        <v>1274810</v>
      </c>
      <c r="AB2196" s="222">
        <v>45965</v>
      </c>
    </row>
    <row r="2197" spans="1:28" ht="17.100000000000001" customHeight="1" thickBot="1">
      <c r="A2197" s="227"/>
      <c r="B2197" s="27" t="s">
        <v>2654</v>
      </c>
      <c r="C2197" s="27">
        <v>2232</v>
      </c>
      <c r="D2197" s="14" t="s">
        <v>273</v>
      </c>
      <c r="E2197" s="229"/>
      <c r="F2197" s="117" t="s">
        <v>7277</v>
      </c>
      <c r="G2197" s="26">
        <v>56014</v>
      </c>
      <c r="H2197" s="231"/>
      <c r="I2197" s="221"/>
      <c r="J2197" s="221"/>
      <c r="K2197" s="221"/>
      <c r="L2197" s="221"/>
      <c r="M2197" s="221"/>
      <c r="N2197" s="221"/>
      <c r="O2197" s="225"/>
      <c r="P2197" s="118" t="s">
        <v>4555</v>
      </c>
      <c r="Q2197" s="16" t="s">
        <v>20</v>
      </c>
      <c r="R2197" s="17" t="s">
        <v>7909</v>
      </c>
      <c r="S2197" s="121"/>
      <c r="T2197" s="122"/>
      <c r="U2197" s="22"/>
      <c r="V2197" s="123" t="s">
        <v>7161</v>
      </c>
      <c r="W2197" s="122">
        <v>6096</v>
      </c>
      <c r="X2197" s="221"/>
      <c r="Y2197" s="221"/>
      <c r="Z2197" s="221"/>
      <c r="AA2197" s="221"/>
      <c r="AB2197" s="223"/>
    </row>
    <row r="2198" spans="1:28" ht="17.100000000000001" customHeight="1" thickTop="1">
      <c r="A2198" s="226" t="s">
        <v>7340</v>
      </c>
      <c r="B2198" s="28">
        <v>45937</v>
      </c>
      <c r="C2198" s="25">
        <v>910</v>
      </c>
      <c r="D2198" s="13" t="s">
        <v>3857</v>
      </c>
      <c r="E2198" s="228"/>
      <c r="F2198" s="109" t="s">
        <v>7230</v>
      </c>
      <c r="G2198" s="24" t="s">
        <v>2494</v>
      </c>
      <c r="H2198" s="230">
        <v>4.5</v>
      </c>
      <c r="I2198" s="220">
        <v>900000</v>
      </c>
      <c r="J2198" s="220">
        <f>I2198*0.1</f>
        <v>90000</v>
      </c>
      <c r="K2198" s="220">
        <v>0</v>
      </c>
      <c r="L2198" s="220">
        <v>8400</v>
      </c>
      <c r="M2198" s="220">
        <v>15950</v>
      </c>
      <c r="N2198" s="220">
        <f>SUM(I2198:M2199)</f>
        <v>1014350</v>
      </c>
      <c r="O2198" s="224"/>
      <c r="P2198" s="110" t="s">
        <v>7232</v>
      </c>
      <c r="Q2198" s="15" t="s">
        <v>19</v>
      </c>
      <c r="R2198" s="205"/>
      <c r="S2198" s="189" t="s">
        <v>1361</v>
      </c>
      <c r="T2198" s="114"/>
      <c r="U2198" s="21"/>
      <c r="V2198" s="115">
        <v>45948</v>
      </c>
      <c r="W2198" s="116">
        <v>1272</v>
      </c>
      <c r="X2198" s="220">
        <v>1005000</v>
      </c>
      <c r="Y2198" s="220">
        <f>X2198*0.1</f>
        <v>100500</v>
      </c>
      <c r="Z2198" s="220">
        <v>8400</v>
      </c>
      <c r="AA2198" s="220">
        <f>SUM(X2198:Z2198)</f>
        <v>1113900</v>
      </c>
      <c r="AB2198" s="222">
        <v>45952</v>
      </c>
    </row>
    <row r="2199" spans="1:28" ht="17.100000000000001" customHeight="1" thickBot="1">
      <c r="A2199" s="227"/>
      <c r="B2199" s="27" t="s">
        <v>2654</v>
      </c>
      <c r="C2199" s="27">
        <v>3008</v>
      </c>
      <c r="D2199" s="14" t="s">
        <v>2753</v>
      </c>
      <c r="E2199" s="229"/>
      <c r="F2199" s="117" t="s">
        <v>7231</v>
      </c>
      <c r="G2199" s="26">
        <v>54126</v>
      </c>
      <c r="H2199" s="231"/>
      <c r="I2199" s="221"/>
      <c r="J2199" s="221"/>
      <c r="K2199" s="221"/>
      <c r="L2199" s="221"/>
      <c r="M2199" s="221"/>
      <c r="N2199" s="221"/>
      <c r="O2199" s="225"/>
      <c r="P2199" s="118" t="s">
        <v>7932</v>
      </c>
      <c r="Q2199" s="16" t="s">
        <v>20</v>
      </c>
      <c r="R2199" s="17" t="s">
        <v>7909</v>
      </c>
      <c r="S2199" s="121" t="s">
        <v>7706</v>
      </c>
      <c r="T2199" s="122"/>
      <c r="U2199" s="22"/>
      <c r="V2199" s="123" t="s">
        <v>2472</v>
      </c>
      <c r="W2199" s="122">
        <v>60204</v>
      </c>
      <c r="X2199" s="221"/>
      <c r="Y2199" s="221"/>
      <c r="Z2199" s="221"/>
      <c r="AA2199" s="221"/>
      <c r="AB2199" s="223"/>
    </row>
    <row r="2200" spans="1:28" ht="17.100000000000001" customHeight="1" thickTop="1">
      <c r="A2200" s="226" t="s">
        <v>7341</v>
      </c>
      <c r="B2200" s="28">
        <v>45937</v>
      </c>
      <c r="C2200" s="25">
        <v>910</v>
      </c>
      <c r="D2200" s="13" t="s">
        <v>1772</v>
      </c>
      <c r="E2200" s="228"/>
      <c r="F2200" s="109" t="s">
        <v>6718</v>
      </c>
      <c r="G2200" s="24" t="s">
        <v>4038</v>
      </c>
      <c r="H2200" s="230">
        <v>4.5</v>
      </c>
      <c r="I2200" s="220">
        <v>1291000</v>
      </c>
      <c r="J2200" s="220">
        <f>I2200*0.1</f>
        <v>129100</v>
      </c>
      <c r="K2200" s="220">
        <v>0</v>
      </c>
      <c r="L2200" s="220">
        <v>9710</v>
      </c>
      <c r="M2200" s="220">
        <v>15950</v>
      </c>
      <c r="N2200" s="220">
        <f>SUM(I2200:M2201)</f>
        <v>1445760</v>
      </c>
      <c r="O2200" s="224"/>
      <c r="P2200" s="110" t="s">
        <v>7234</v>
      </c>
      <c r="Q2200" s="15" t="s">
        <v>19</v>
      </c>
      <c r="R2200" s="205"/>
      <c r="S2200" s="189" t="s">
        <v>25511</v>
      </c>
      <c r="T2200" s="114"/>
      <c r="U2200" s="21"/>
      <c r="V2200" s="115">
        <v>45955</v>
      </c>
      <c r="W2200" s="116">
        <v>1273</v>
      </c>
      <c r="X2200" s="220">
        <v>1295000</v>
      </c>
      <c r="Y2200" s="220">
        <f>X2200*0.1</f>
        <v>129500</v>
      </c>
      <c r="Z2200" s="220">
        <v>9710</v>
      </c>
      <c r="AA2200" s="220">
        <f>SUM(X2200:Z2200)</f>
        <v>1434210</v>
      </c>
      <c r="AB2200" s="222">
        <v>45958</v>
      </c>
    </row>
    <row r="2201" spans="1:28" ht="17.100000000000001" customHeight="1" thickBot="1">
      <c r="A2201" s="227"/>
      <c r="B2201" s="27" t="s">
        <v>2654</v>
      </c>
      <c r="C2201" s="27">
        <v>3015</v>
      </c>
      <c r="D2201" s="14" t="s">
        <v>2559</v>
      </c>
      <c r="E2201" s="229"/>
      <c r="F2201" s="117" t="s">
        <v>7233</v>
      </c>
      <c r="G2201" s="26">
        <v>43682</v>
      </c>
      <c r="H2201" s="231"/>
      <c r="I2201" s="221"/>
      <c r="J2201" s="221"/>
      <c r="K2201" s="221"/>
      <c r="L2201" s="221"/>
      <c r="M2201" s="221"/>
      <c r="N2201" s="221"/>
      <c r="O2201" s="225"/>
      <c r="P2201" s="118" t="s">
        <v>7931</v>
      </c>
      <c r="Q2201" s="16" t="s">
        <v>20</v>
      </c>
      <c r="R2201" s="17" t="s">
        <v>7909</v>
      </c>
      <c r="S2201" s="121" t="s">
        <v>3765</v>
      </c>
      <c r="T2201" s="122"/>
      <c r="U2201" s="22"/>
      <c r="V2201" s="123" t="s">
        <v>7160</v>
      </c>
      <c r="W2201" s="122">
        <v>60213</v>
      </c>
      <c r="X2201" s="221"/>
      <c r="Y2201" s="221"/>
      <c r="Z2201" s="221"/>
      <c r="AA2201" s="221"/>
      <c r="AB2201" s="223"/>
    </row>
    <row r="2202" spans="1:28" ht="17.100000000000001" customHeight="1" thickTop="1">
      <c r="A2202" s="226" t="s">
        <v>7342</v>
      </c>
      <c r="B2202" s="28">
        <v>45937</v>
      </c>
      <c r="C2202" s="25">
        <v>910</v>
      </c>
      <c r="D2202" s="13" t="s">
        <v>3769</v>
      </c>
      <c r="E2202" s="228"/>
      <c r="F2202" s="109" t="s">
        <v>7270</v>
      </c>
      <c r="G2202" s="24"/>
      <c r="H2202" s="230">
        <v>4</v>
      </c>
      <c r="I2202" s="220">
        <v>1180000</v>
      </c>
      <c r="J2202" s="220">
        <f>I2202*0.1</f>
        <v>118000</v>
      </c>
      <c r="K2202" s="220">
        <v>0</v>
      </c>
      <c r="L2202" s="220">
        <v>9140</v>
      </c>
      <c r="M2202" s="220">
        <v>20900</v>
      </c>
      <c r="N2202" s="220">
        <f>SUM(I2202:M2203)</f>
        <v>1328040</v>
      </c>
      <c r="O2202" s="224"/>
      <c r="P2202" s="110" t="s">
        <v>7930</v>
      </c>
      <c r="Q2202" s="15" t="s">
        <v>19</v>
      </c>
      <c r="R2202" s="205"/>
      <c r="S2202" s="189" t="s">
        <v>758</v>
      </c>
      <c r="T2202" s="114"/>
      <c r="U2202" s="21"/>
      <c r="V2202" s="115">
        <v>45948</v>
      </c>
      <c r="W2202" s="116">
        <v>1272</v>
      </c>
      <c r="X2202" s="220">
        <v>1290000</v>
      </c>
      <c r="Y2202" s="220">
        <f>X2202*0.1</f>
        <v>129000</v>
      </c>
      <c r="Z2202" s="220">
        <v>9140</v>
      </c>
      <c r="AA2202" s="220">
        <f>SUM(X2202:Z2202)</f>
        <v>1428140</v>
      </c>
      <c r="AB2202" s="222">
        <v>45952</v>
      </c>
    </row>
    <row r="2203" spans="1:28" ht="17.100000000000001" customHeight="1" thickBot="1">
      <c r="A2203" s="227"/>
      <c r="B2203" s="27" t="s">
        <v>2654</v>
      </c>
      <c r="C2203" s="27">
        <v>3101</v>
      </c>
      <c r="D2203" s="14" t="s">
        <v>273</v>
      </c>
      <c r="E2203" s="229"/>
      <c r="F2203" s="117" t="s">
        <v>7271</v>
      </c>
      <c r="G2203" s="26">
        <v>34695</v>
      </c>
      <c r="H2203" s="231"/>
      <c r="I2203" s="221"/>
      <c r="J2203" s="221"/>
      <c r="K2203" s="221"/>
      <c r="L2203" s="221"/>
      <c r="M2203" s="221"/>
      <c r="N2203" s="221"/>
      <c r="O2203" s="225"/>
      <c r="P2203" s="118" t="s">
        <v>3281</v>
      </c>
      <c r="Q2203" s="16" t="s">
        <v>20</v>
      </c>
      <c r="R2203" s="17" t="s">
        <v>7909</v>
      </c>
      <c r="S2203" s="121" t="s">
        <v>1661</v>
      </c>
      <c r="T2203" s="122"/>
      <c r="U2203" s="22"/>
      <c r="V2203" s="123" t="s">
        <v>2472</v>
      </c>
      <c r="W2203" s="122">
        <v>60243</v>
      </c>
      <c r="X2203" s="221"/>
      <c r="Y2203" s="221"/>
      <c r="Z2203" s="221"/>
      <c r="AA2203" s="221"/>
      <c r="AB2203" s="223"/>
    </row>
    <row r="2204" spans="1:28" ht="17.100000000000001" customHeight="1" thickTop="1">
      <c r="A2204" s="226" t="s">
        <v>7343</v>
      </c>
      <c r="B2204" s="28">
        <v>45937</v>
      </c>
      <c r="C2204" s="25">
        <v>910</v>
      </c>
      <c r="D2204" s="13" t="s">
        <v>1983</v>
      </c>
      <c r="E2204" s="228"/>
      <c r="F2204" s="109" t="s">
        <v>7262</v>
      </c>
      <c r="G2204" s="24"/>
      <c r="H2204" s="230">
        <v>4</v>
      </c>
      <c r="I2204" s="220">
        <v>858000</v>
      </c>
      <c r="J2204" s="220">
        <f>I2204*0.1</f>
        <v>85800</v>
      </c>
      <c r="K2204" s="220">
        <v>0</v>
      </c>
      <c r="L2204" s="220">
        <v>5670</v>
      </c>
      <c r="M2204" s="220">
        <v>15950</v>
      </c>
      <c r="N2204" s="220">
        <f>SUM(I2204:M2205)</f>
        <v>965420</v>
      </c>
      <c r="O2204" s="224"/>
      <c r="P2204" s="110" t="s">
        <v>7913</v>
      </c>
      <c r="Q2204" s="15" t="s">
        <v>19</v>
      </c>
      <c r="R2204" s="205"/>
      <c r="S2204" s="189"/>
      <c r="T2204" s="114"/>
      <c r="U2204" s="21"/>
      <c r="V2204" s="115">
        <v>45941</v>
      </c>
      <c r="W2204" s="116">
        <v>1271</v>
      </c>
      <c r="X2204" s="220">
        <v>1065000</v>
      </c>
      <c r="Y2204" s="220">
        <v>106500</v>
      </c>
      <c r="Z2204" s="220">
        <v>5670</v>
      </c>
      <c r="AA2204" s="220">
        <f>SUM(X2204:Z2204)</f>
        <v>1177170</v>
      </c>
      <c r="AB2204" s="222">
        <v>45945</v>
      </c>
    </row>
    <row r="2205" spans="1:28" ht="17.100000000000001" customHeight="1" thickBot="1">
      <c r="A2205" s="227"/>
      <c r="B2205" s="27" t="s">
        <v>2654</v>
      </c>
      <c r="C2205" s="27">
        <v>3123</v>
      </c>
      <c r="D2205" s="14" t="s">
        <v>3792</v>
      </c>
      <c r="E2205" s="229"/>
      <c r="F2205" s="117" t="s">
        <v>7263</v>
      </c>
      <c r="G2205" s="26">
        <v>7465</v>
      </c>
      <c r="H2205" s="231"/>
      <c r="I2205" s="221"/>
      <c r="J2205" s="221"/>
      <c r="K2205" s="221"/>
      <c r="L2205" s="221"/>
      <c r="M2205" s="221"/>
      <c r="N2205" s="221"/>
      <c r="O2205" s="225"/>
      <c r="P2205" s="118" t="s">
        <v>7914</v>
      </c>
      <c r="Q2205" s="16" t="s">
        <v>20</v>
      </c>
      <c r="R2205" s="17" t="s">
        <v>7909</v>
      </c>
      <c r="S2205" s="121"/>
      <c r="T2205" s="122"/>
      <c r="U2205" s="22"/>
      <c r="V2205" s="123" t="s">
        <v>2472</v>
      </c>
      <c r="W2205" s="122">
        <v>60400</v>
      </c>
      <c r="X2205" s="221"/>
      <c r="Y2205" s="221"/>
      <c r="Z2205" s="221"/>
      <c r="AA2205" s="221"/>
      <c r="AB2205" s="223"/>
    </row>
    <row r="2206" spans="1:28" ht="17.100000000000001" customHeight="1" thickTop="1">
      <c r="A2206" s="226" t="s">
        <v>7344</v>
      </c>
      <c r="B2206" s="28">
        <v>45937</v>
      </c>
      <c r="C2206" s="25">
        <v>910</v>
      </c>
      <c r="D2206" s="13" t="s">
        <v>2712</v>
      </c>
      <c r="E2206" s="228"/>
      <c r="F2206" s="109" t="s">
        <v>7264</v>
      </c>
      <c r="G2206" s="24"/>
      <c r="H2206" s="230">
        <v>4</v>
      </c>
      <c r="I2206" s="220">
        <v>350000</v>
      </c>
      <c r="J2206" s="220">
        <f>I2206*0.1</f>
        <v>35000</v>
      </c>
      <c r="K2206" s="220">
        <v>0</v>
      </c>
      <c r="L2206" s="220">
        <v>7140</v>
      </c>
      <c r="M2206" s="220">
        <v>15950</v>
      </c>
      <c r="N2206" s="220">
        <f>SUM(I2206:M2207)</f>
        <v>408090</v>
      </c>
      <c r="O2206" s="224"/>
      <c r="P2206" s="110" t="s">
        <v>7927</v>
      </c>
      <c r="Q2206" s="15" t="s">
        <v>19</v>
      </c>
      <c r="R2206" s="205"/>
      <c r="S2206" s="189"/>
      <c r="T2206" s="114"/>
      <c r="U2206" s="21"/>
      <c r="V2206" s="115">
        <v>46018</v>
      </c>
      <c r="W2206" s="116">
        <v>1282</v>
      </c>
      <c r="X2206" s="220">
        <v>375000</v>
      </c>
      <c r="Y2206" s="220">
        <f>X2206*0.1</f>
        <v>37500</v>
      </c>
      <c r="Z2206" s="220">
        <v>7140</v>
      </c>
      <c r="AA2206" s="220">
        <f>SUM(X2206:Z2206)</f>
        <v>419640</v>
      </c>
      <c r="AB2206" s="222">
        <v>46028</v>
      </c>
    </row>
    <row r="2207" spans="1:28" ht="17.100000000000001" customHeight="1" thickBot="1">
      <c r="A2207" s="227"/>
      <c r="B2207" s="27" t="s">
        <v>2654</v>
      </c>
      <c r="C2207" s="27">
        <v>3150</v>
      </c>
      <c r="D2207" s="14" t="s">
        <v>1710</v>
      </c>
      <c r="E2207" s="229"/>
      <c r="F2207" s="117" t="s">
        <v>7265</v>
      </c>
      <c r="G2207" s="26">
        <v>29861</v>
      </c>
      <c r="H2207" s="231"/>
      <c r="I2207" s="221"/>
      <c r="J2207" s="221"/>
      <c r="K2207" s="221"/>
      <c r="L2207" s="221"/>
      <c r="M2207" s="221"/>
      <c r="N2207" s="221"/>
      <c r="O2207" s="225"/>
      <c r="P2207" s="118" t="s">
        <v>3919</v>
      </c>
      <c r="Q2207" s="16" t="s">
        <v>20</v>
      </c>
      <c r="R2207" s="17" t="s">
        <v>7909</v>
      </c>
      <c r="S2207" s="121"/>
      <c r="T2207" s="122"/>
      <c r="U2207" s="22"/>
      <c r="V2207" s="123" t="s">
        <v>2472</v>
      </c>
      <c r="W2207" s="122">
        <v>60054</v>
      </c>
      <c r="X2207" s="221"/>
      <c r="Y2207" s="221"/>
      <c r="Z2207" s="221"/>
      <c r="AA2207" s="221"/>
      <c r="AB2207" s="223"/>
    </row>
    <row r="2208" spans="1:28" ht="17.100000000000001" customHeight="1" thickTop="1">
      <c r="A2208" s="226" t="s">
        <v>7345</v>
      </c>
      <c r="B2208" s="28">
        <v>45937</v>
      </c>
      <c r="C2208" s="25">
        <v>910</v>
      </c>
      <c r="D2208" s="13" t="s">
        <v>1746</v>
      </c>
      <c r="E2208" s="228"/>
      <c r="F2208" s="109" t="s">
        <v>5345</v>
      </c>
      <c r="G2208" s="24" t="s">
        <v>2494</v>
      </c>
      <c r="H2208" s="230">
        <v>4</v>
      </c>
      <c r="I2208" s="220">
        <v>582000</v>
      </c>
      <c r="J2208" s="220">
        <f>I2208*0.1</f>
        <v>58200</v>
      </c>
      <c r="K2208" s="220">
        <v>0</v>
      </c>
      <c r="L2208" s="220">
        <v>8400</v>
      </c>
      <c r="M2208" s="220">
        <v>15950</v>
      </c>
      <c r="N2208" s="220">
        <f>SUM(I2208:M2209)</f>
        <v>664550</v>
      </c>
      <c r="O2208" s="224"/>
      <c r="P2208" s="110" t="s">
        <v>7267</v>
      </c>
      <c r="Q2208" s="15" t="s">
        <v>19</v>
      </c>
      <c r="R2208" s="205"/>
      <c r="S2208" s="189"/>
      <c r="T2208" s="114"/>
      <c r="U2208" s="21"/>
      <c r="V2208" s="115">
        <v>45955</v>
      </c>
      <c r="W2208" s="116">
        <v>1273</v>
      </c>
      <c r="X2208" s="220">
        <v>630000</v>
      </c>
      <c r="Y2208" s="220">
        <f>X2208*0.1</f>
        <v>63000</v>
      </c>
      <c r="Z2208" s="220">
        <v>8400</v>
      </c>
      <c r="AA2208" s="220">
        <f>SUM(X2208:Z2208)</f>
        <v>701400</v>
      </c>
      <c r="AB2208" s="222">
        <v>45958</v>
      </c>
    </row>
    <row r="2209" spans="1:28" ht="17.100000000000001" customHeight="1" thickBot="1">
      <c r="A2209" s="227"/>
      <c r="B2209" s="27" t="s">
        <v>2654</v>
      </c>
      <c r="C2209" s="27">
        <v>3161</v>
      </c>
      <c r="D2209" s="14" t="s">
        <v>898</v>
      </c>
      <c r="E2209" s="229"/>
      <c r="F2209" s="117" t="s">
        <v>7266</v>
      </c>
      <c r="G2209" s="26">
        <v>51382</v>
      </c>
      <c r="H2209" s="231"/>
      <c r="I2209" s="221"/>
      <c r="J2209" s="221"/>
      <c r="K2209" s="221"/>
      <c r="L2209" s="221"/>
      <c r="M2209" s="221"/>
      <c r="N2209" s="221"/>
      <c r="O2209" s="225"/>
      <c r="P2209" s="118" t="s">
        <v>2957</v>
      </c>
      <c r="Q2209" s="16" t="s">
        <v>20</v>
      </c>
      <c r="R2209" s="17" t="s">
        <v>7909</v>
      </c>
      <c r="S2209" s="121"/>
      <c r="T2209" s="122"/>
      <c r="U2209" s="22"/>
      <c r="V2209" s="123" t="s">
        <v>2472</v>
      </c>
      <c r="W2209" s="122">
        <v>60149</v>
      </c>
      <c r="X2209" s="221"/>
      <c r="Y2209" s="221"/>
      <c r="Z2209" s="221"/>
      <c r="AA2209" s="221"/>
      <c r="AB2209" s="223"/>
    </row>
    <row r="2210" spans="1:28" ht="17.100000000000001" customHeight="1" thickTop="1">
      <c r="A2210" s="226" t="s">
        <v>7346</v>
      </c>
      <c r="B2210" s="28">
        <v>45937</v>
      </c>
      <c r="C2210" s="25">
        <v>910</v>
      </c>
      <c r="D2210" s="13" t="s">
        <v>1915</v>
      </c>
      <c r="E2210" s="228"/>
      <c r="F2210" s="109" t="s">
        <v>7268</v>
      </c>
      <c r="G2210" s="24"/>
      <c r="H2210" s="230">
        <v>4</v>
      </c>
      <c r="I2210" s="220">
        <v>354000</v>
      </c>
      <c r="J2210" s="220">
        <f>I2210*0.1</f>
        <v>35400</v>
      </c>
      <c r="K2210" s="220">
        <v>0</v>
      </c>
      <c r="L2210" s="220">
        <v>8280</v>
      </c>
      <c r="M2210" s="220">
        <v>15950</v>
      </c>
      <c r="N2210" s="220">
        <f>SUM(I2210:M2211)</f>
        <v>413630</v>
      </c>
      <c r="O2210" s="224"/>
      <c r="P2210" s="110" t="s">
        <v>7928</v>
      </c>
      <c r="Q2210" s="15" t="s">
        <v>19</v>
      </c>
      <c r="R2210" s="205"/>
      <c r="S2210" s="189"/>
      <c r="T2210" s="114"/>
      <c r="U2210" s="21"/>
      <c r="V2210" s="115">
        <v>45945</v>
      </c>
      <c r="W2210" s="116">
        <v>988</v>
      </c>
      <c r="X2210" s="220">
        <v>410000</v>
      </c>
      <c r="Y2210" s="220">
        <f>X2210*0.1</f>
        <v>41000</v>
      </c>
      <c r="Z2210" s="220">
        <v>8280</v>
      </c>
      <c r="AA2210" s="220">
        <f>SUM(X2210:Z2210)</f>
        <v>459280</v>
      </c>
      <c r="AB2210" s="222">
        <v>45952</v>
      </c>
    </row>
    <row r="2211" spans="1:28" ht="17.100000000000001" customHeight="1" thickBot="1">
      <c r="A2211" s="227"/>
      <c r="B2211" s="27" t="s">
        <v>2654</v>
      </c>
      <c r="C2211" s="27">
        <v>3173</v>
      </c>
      <c r="D2211" s="14" t="s">
        <v>3274</v>
      </c>
      <c r="E2211" s="229"/>
      <c r="F2211" s="117" t="s">
        <v>7269</v>
      </c>
      <c r="G2211" s="26">
        <v>30327</v>
      </c>
      <c r="H2211" s="231"/>
      <c r="I2211" s="221"/>
      <c r="J2211" s="221"/>
      <c r="K2211" s="221"/>
      <c r="L2211" s="221"/>
      <c r="M2211" s="221"/>
      <c r="N2211" s="221"/>
      <c r="O2211" s="225"/>
      <c r="P2211" s="118" t="s">
        <v>7929</v>
      </c>
      <c r="Q2211" s="16" t="s">
        <v>20</v>
      </c>
      <c r="R2211" s="17" t="s">
        <v>7909</v>
      </c>
      <c r="S2211" s="121"/>
      <c r="T2211" s="122"/>
      <c r="U2211" s="22"/>
      <c r="V2211" s="123" t="s">
        <v>8648</v>
      </c>
      <c r="W2211" s="122">
        <v>2069</v>
      </c>
      <c r="X2211" s="221"/>
      <c r="Y2211" s="221"/>
      <c r="Z2211" s="221"/>
      <c r="AA2211" s="221"/>
      <c r="AB2211" s="223"/>
    </row>
    <row r="2212" spans="1:28" ht="17.100000000000001" customHeight="1" thickTop="1">
      <c r="A2212" s="226" t="s">
        <v>7347</v>
      </c>
      <c r="B2212" s="28">
        <v>45937</v>
      </c>
      <c r="C2212" s="25">
        <v>910</v>
      </c>
      <c r="D2212" s="13" t="s">
        <v>1607</v>
      </c>
      <c r="E2212" s="228"/>
      <c r="F2212" s="109" t="s">
        <v>7064</v>
      </c>
      <c r="G2212" s="24"/>
      <c r="H2212" s="230">
        <v>4</v>
      </c>
      <c r="I2212" s="220">
        <v>812000</v>
      </c>
      <c r="J2212" s="220">
        <f>I2212*0.1</f>
        <v>81200</v>
      </c>
      <c r="K2212" s="220">
        <v>0</v>
      </c>
      <c r="L2212" s="220">
        <v>19440</v>
      </c>
      <c r="M2212" s="220">
        <v>15950</v>
      </c>
      <c r="N2212" s="220">
        <f>SUM(I2212:M2213)</f>
        <v>928590</v>
      </c>
      <c r="O2212" s="224"/>
      <c r="P2212" s="110" t="s">
        <v>7911</v>
      </c>
      <c r="Q2212" s="15" t="s">
        <v>19</v>
      </c>
      <c r="R2212" s="205"/>
      <c r="S2212" s="189"/>
      <c r="T2212" s="114"/>
      <c r="U2212" s="21"/>
      <c r="V2212" s="115">
        <v>45941</v>
      </c>
      <c r="W2212" s="116">
        <v>1271</v>
      </c>
      <c r="X2212" s="220">
        <v>1005000</v>
      </c>
      <c r="Y2212" s="220">
        <v>100500</v>
      </c>
      <c r="Z2212" s="220">
        <v>19440</v>
      </c>
      <c r="AA2212" s="220">
        <f>SUM(X2212:Z2212)</f>
        <v>1124940</v>
      </c>
      <c r="AB2212" s="222">
        <v>45945</v>
      </c>
    </row>
    <row r="2213" spans="1:28" ht="17.100000000000001" customHeight="1" thickBot="1">
      <c r="A2213" s="227"/>
      <c r="B2213" s="27" t="s">
        <v>2654</v>
      </c>
      <c r="C2213" s="27">
        <v>5005</v>
      </c>
      <c r="D2213" s="14" t="s">
        <v>131</v>
      </c>
      <c r="E2213" s="229"/>
      <c r="F2213" s="117" t="s">
        <v>7297</v>
      </c>
      <c r="G2213" s="26">
        <v>68089</v>
      </c>
      <c r="H2213" s="231"/>
      <c r="I2213" s="221"/>
      <c r="J2213" s="221"/>
      <c r="K2213" s="221"/>
      <c r="L2213" s="221"/>
      <c r="M2213" s="221"/>
      <c r="N2213" s="221"/>
      <c r="O2213" s="225"/>
      <c r="P2213" s="118" t="s">
        <v>3506</v>
      </c>
      <c r="Q2213" s="16" t="s">
        <v>20</v>
      </c>
      <c r="R2213" s="17" t="s">
        <v>7909</v>
      </c>
      <c r="S2213" s="121" t="s">
        <v>5222</v>
      </c>
      <c r="T2213" s="122"/>
      <c r="U2213" s="22"/>
      <c r="V2213" s="123" t="s">
        <v>2472</v>
      </c>
      <c r="W2213" s="122">
        <v>80324</v>
      </c>
      <c r="X2213" s="221"/>
      <c r="Y2213" s="221"/>
      <c r="Z2213" s="221"/>
      <c r="AA2213" s="221"/>
      <c r="AB2213" s="223"/>
    </row>
    <row r="2214" spans="1:28" ht="17.100000000000001" customHeight="1" thickTop="1">
      <c r="A2214" s="226" t="s">
        <v>7348</v>
      </c>
      <c r="B2214" s="28">
        <v>45937</v>
      </c>
      <c r="C2214" s="25">
        <v>910</v>
      </c>
      <c r="D2214" s="13" t="s">
        <v>2295</v>
      </c>
      <c r="E2214" s="228"/>
      <c r="F2214" s="109" t="s">
        <v>7298</v>
      </c>
      <c r="G2214" s="24"/>
      <c r="H2214" s="230">
        <v>4</v>
      </c>
      <c r="I2214" s="220">
        <v>2077000</v>
      </c>
      <c r="J2214" s="220">
        <f>I2214*0.1</f>
        <v>207700</v>
      </c>
      <c r="K2214" s="220">
        <v>0</v>
      </c>
      <c r="L2214" s="220">
        <v>19560</v>
      </c>
      <c r="M2214" s="220">
        <v>15950</v>
      </c>
      <c r="N2214" s="220">
        <f>SUM(I2214:M2215)</f>
        <v>2320210</v>
      </c>
      <c r="O2214" s="224"/>
      <c r="P2214" s="110" t="s">
        <v>7912</v>
      </c>
      <c r="Q2214" s="15" t="s">
        <v>19</v>
      </c>
      <c r="R2214" s="205"/>
      <c r="S2214" s="189"/>
      <c r="T2214" s="114"/>
      <c r="U2214" s="21"/>
      <c r="V2214" s="115">
        <v>45941</v>
      </c>
      <c r="W2214" s="116">
        <v>1271</v>
      </c>
      <c r="X2214" s="220">
        <v>2505000</v>
      </c>
      <c r="Y2214" s="220">
        <v>250500</v>
      </c>
      <c r="Z2214" s="220">
        <v>19560</v>
      </c>
      <c r="AA2214" s="220">
        <f>SUM(X2214:Z2214)</f>
        <v>2775060</v>
      </c>
      <c r="AB2214" s="222">
        <v>45945</v>
      </c>
    </row>
    <row r="2215" spans="1:28" ht="17.100000000000001" customHeight="1" thickBot="1">
      <c r="A2215" s="227"/>
      <c r="B2215" s="27" t="s">
        <v>2654</v>
      </c>
      <c r="C2215" s="27">
        <v>5010</v>
      </c>
      <c r="D2215" s="14" t="s">
        <v>131</v>
      </c>
      <c r="E2215" s="229"/>
      <c r="F2215" s="117" t="s">
        <v>7299</v>
      </c>
      <c r="G2215" s="26">
        <v>69545</v>
      </c>
      <c r="H2215" s="231"/>
      <c r="I2215" s="221"/>
      <c r="J2215" s="221"/>
      <c r="K2215" s="221"/>
      <c r="L2215" s="221"/>
      <c r="M2215" s="221"/>
      <c r="N2215" s="221"/>
      <c r="O2215" s="225"/>
      <c r="P2215" s="118" t="s">
        <v>3506</v>
      </c>
      <c r="Q2215" s="16" t="s">
        <v>20</v>
      </c>
      <c r="R2215" s="17" t="s">
        <v>7909</v>
      </c>
      <c r="S2215" s="121" t="s">
        <v>7718</v>
      </c>
      <c r="T2215" s="122"/>
      <c r="U2215" s="22"/>
      <c r="V2215" s="123" t="s">
        <v>2472</v>
      </c>
      <c r="W2215" s="122">
        <v>80323</v>
      </c>
      <c r="X2215" s="221"/>
      <c r="Y2215" s="221"/>
      <c r="Z2215" s="221"/>
      <c r="AA2215" s="221"/>
      <c r="AB2215" s="223"/>
    </row>
    <row r="2216" spans="1:28" ht="17.100000000000001" customHeight="1" thickTop="1">
      <c r="A2216" s="226" t="s">
        <v>7349</v>
      </c>
      <c r="B2216" s="28">
        <v>45937</v>
      </c>
      <c r="C2216" s="25">
        <v>910</v>
      </c>
      <c r="D2216" s="13" t="s">
        <v>3687</v>
      </c>
      <c r="E2216" s="228"/>
      <c r="F2216" s="109" t="s">
        <v>2556</v>
      </c>
      <c r="G2216" s="24"/>
      <c r="H2216" s="230">
        <v>3.5</v>
      </c>
      <c r="I2216" s="220">
        <v>513000</v>
      </c>
      <c r="J2216" s="220">
        <f>I2216*0.1</f>
        <v>51300</v>
      </c>
      <c r="K2216" s="220">
        <v>0</v>
      </c>
      <c r="L2216" s="220">
        <v>9910</v>
      </c>
      <c r="M2216" s="220">
        <v>15950</v>
      </c>
      <c r="N2216" s="220">
        <f>SUM(I2216:M2217)</f>
        <v>590160</v>
      </c>
      <c r="O2216" s="224"/>
      <c r="P2216" s="110" t="s">
        <v>7933</v>
      </c>
      <c r="Q2216" s="15" t="s">
        <v>19</v>
      </c>
      <c r="R2216" s="205"/>
      <c r="S2216" s="189"/>
      <c r="T2216" s="114"/>
      <c r="U2216" s="21"/>
      <c r="V2216" s="115">
        <v>46004</v>
      </c>
      <c r="W2216" s="116">
        <v>1280</v>
      </c>
      <c r="X2216" s="220">
        <v>600000</v>
      </c>
      <c r="Y2216" s="220">
        <f>X2216*0.1</f>
        <v>60000</v>
      </c>
      <c r="Z2216" s="220">
        <v>9910</v>
      </c>
      <c r="AA2216" s="220">
        <f>SUM(X2216:Z2216)</f>
        <v>669910</v>
      </c>
      <c r="AB2216" s="222">
        <v>46008</v>
      </c>
    </row>
    <row r="2217" spans="1:28" ht="17.100000000000001" customHeight="1" thickBot="1">
      <c r="A2217" s="227"/>
      <c r="B2217" s="27" t="s">
        <v>2654</v>
      </c>
      <c r="C2217" s="27">
        <v>7157</v>
      </c>
      <c r="D2217" s="14" t="s">
        <v>273</v>
      </c>
      <c r="E2217" s="229"/>
      <c r="F2217" s="117" t="s">
        <v>7218</v>
      </c>
      <c r="G2217" s="26">
        <v>77408</v>
      </c>
      <c r="H2217" s="231"/>
      <c r="I2217" s="221"/>
      <c r="J2217" s="221"/>
      <c r="K2217" s="221"/>
      <c r="L2217" s="221"/>
      <c r="M2217" s="221"/>
      <c r="N2217" s="221"/>
      <c r="O2217" s="225"/>
      <c r="P2217" s="118" t="s">
        <v>7934</v>
      </c>
      <c r="Q2217" s="16" t="s">
        <v>20</v>
      </c>
      <c r="R2217" s="17" t="s">
        <v>7909</v>
      </c>
      <c r="S2217" s="121" t="s">
        <v>4360</v>
      </c>
      <c r="T2217" s="122"/>
      <c r="U2217" s="22"/>
      <c r="V2217" s="123" t="s">
        <v>2472</v>
      </c>
      <c r="W2217" s="122">
        <v>60170</v>
      </c>
      <c r="X2217" s="221"/>
      <c r="Y2217" s="221"/>
      <c r="Z2217" s="221"/>
      <c r="AA2217" s="221"/>
      <c r="AB2217" s="223"/>
    </row>
    <row r="2218" spans="1:28" ht="17.100000000000001" customHeight="1" thickTop="1">
      <c r="A2218" s="226" t="s">
        <v>7350</v>
      </c>
      <c r="B2218" s="28">
        <v>45937</v>
      </c>
      <c r="C2218" s="25">
        <v>1211</v>
      </c>
      <c r="D2218" s="13" t="s">
        <v>4739</v>
      </c>
      <c r="E2218" s="228"/>
      <c r="F2218" s="109" t="s">
        <v>1854</v>
      </c>
      <c r="G2218" s="24"/>
      <c r="H2218" s="230">
        <v>4</v>
      </c>
      <c r="I2218" s="220">
        <v>602000</v>
      </c>
      <c r="J2218" s="220">
        <f>I2218*0.1</f>
        <v>60200</v>
      </c>
      <c r="K2218" s="220">
        <v>0</v>
      </c>
      <c r="L2218" s="220">
        <v>18960</v>
      </c>
      <c r="M2218" s="220">
        <v>15950</v>
      </c>
      <c r="N2218" s="220">
        <f>SUM(I2218:M2219)</f>
        <v>697110</v>
      </c>
      <c r="O2218" s="224"/>
      <c r="P2218" s="110" t="s">
        <v>8108</v>
      </c>
      <c r="Q2218" s="15" t="s">
        <v>19</v>
      </c>
      <c r="R2218" s="205"/>
      <c r="S2218" s="189"/>
      <c r="T2218" s="114"/>
      <c r="U2218" s="21"/>
      <c r="V2218" s="115">
        <v>45948</v>
      </c>
      <c r="W2218" s="116">
        <v>1272</v>
      </c>
      <c r="X2218" s="220">
        <v>720000</v>
      </c>
      <c r="Y2218" s="220">
        <f>X2218*0.1</f>
        <v>72000</v>
      </c>
      <c r="Z2218" s="220">
        <v>18960</v>
      </c>
      <c r="AA2218" s="220">
        <f>SUM(X2218:Z2218)</f>
        <v>810960</v>
      </c>
      <c r="AB2218" s="222">
        <v>45951</v>
      </c>
    </row>
    <row r="2219" spans="1:28" ht="17.100000000000001" customHeight="1" thickBot="1">
      <c r="A2219" s="227"/>
      <c r="B2219" s="27" t="s">
        <v>2344</v>
      </c>
      <c r="C2219" s="27">
        <v>5004</v>
      </c>
      <c r="D2219" s="14" t="s">
        <v>131</v>
      </c>
      <c r="E2219" s="229"/>
      <c r="F2219" s="117" t="s">
        <v>7261</v>
      </c>
      <c r="G2219" s="26">
        <v>61151</v>
      </c>
      <c r="H2219" s="231"/>
      <c r="I2219" s="221"/>
      <c r="J2219" s="221"/>
      <c r="K2219" s="221"/>
      <c r="L2219" s="221"/>
      <c r="M2219" s="221"/>
      <c r="N2219" s="221"/>
      <c r="O2219" s="225"/>
      <c r="P2219" s="118" t="s">
        <v>8109</v>
      </c>
      <c r="Q2219" s="16" t="s">
        <v>20</v>
      </c>
      <c r="R2219" s="17" t="s">
        <v>1614</v>
      </c>
      <c r="S2219" s="121" t="s">
        <v>7716</v>
      </c>
      <c r="T2219" s="122"/>
      <c r="U2219" s="22"/>
      <c r="V2219" s="123" t="s">
        <v>2472</v>
      </c>
      <c r="W2219" s="122">
        <v>80018</v>
      </c>
      <c r="X2219" s="221"/>
      <c r="Y2219" s="221"/>
      <c r="Z2219" s="221"/>
      <c r="AA2219" s="221"/>
      <c r="AB2219" s="223"/>
    </row>
    <row r="2220" spans="1:28" ht="17.100000000000001" customHeight="1" thickTop="1">
      <c r="A2220" s="226" t="s">
        <v>7353</v>
      </c>
      <c r="B2220" s="28">
        <v>45937</v>
      </c>
      <c r="C2220" s="25">
        <v>1259</v>
      </c>
      <c r="D2220" s="13" t="s">
        <v>1578</v>
      </c>
      <c r="E2220" s="228"/>
      <c r="F2220" s="109" t="s">
        <v>1916</v>
      </c>
      <c r="G2220" s="24" t="s">
        <v>2487</v>
      </c>
      <c r="H2220" s="230">
        <v>4</v>
      </c>
      <c r="I2220" s="220">
        <v>826000</v>
      </c>
      <c r="J2220" s="220">
        <f>I2220*0.1</f>
        <v>82600</v>
      </c>
      <c r="K2220" s="220">
        <f>14300+1430</f>
        <v>15730</v>
      </c>
      <c r="L2220" s="220">
        <v>17600</v>
      </c>
      <c r="M2220" s="220">
        <v>18150</v>
      </c>
      <c r="N2220" s="220">
        <f>SUM(I2220:M2221)</f>
        <v>960080</v>
      </c>
      <c r="O2220" s="224"/>
      <c r="P2220" s="110" t="s">
        <v>7854</v>
      </c>
      <c r="Q2220" s="15" t="s">
        <v>19</v>
      </c>
      <c r="R2220" s="205"/>
      <c r="S2220" s="189"/>
      <c r="T2220" s="114"/>
      <c r="U2220" s="21"/>
      <c r="V2220" s="115">
        <v>45941</v>
      </c>
      <c r="W2220" s="116">
        <v>1271</v>
      </c>
      <c r="X2220" s="220">
        <v>1035000</v>
      </c>
      <c r="Y2220" s="220">
        <v>103500</v>
      </c>
      <c r="Z2220" s="220">
        <v>17600</v>
      </c>
      <c r="AA2220" s="220">
        <f>SUM(X2220:Z2220)</f>
        <v>1156100</v>
      </c>
      <c r="AB2220" s="222">
        <v>45944</v>
      </c>
    </row>
    <row r="2221" spans="1:28" ht="17.100000000000001" customHeight="1" thickBot="1">
      <c r="A2221" s="227"/>
      <c r="B2221" s="27" t="s">
        <v>7351</v>
      </c>
      <c r="C2221" s="27">
        <v>38127</v>
      </c>
      <c r="D2221" s="14" t="s">
        <v>131</v>
      </c>
      <c r="E2221" s="229"/>
      <c r="F2221" s="117" t="s">
        <v>7352</v>
      </c>
      <c r="G2221" s="26">
        <v>64957</v>
      </c>
      <c r="H2221" s="231"/>
      <c r="I2221" s="221"/>
      <c r="J2221" s="221"/>
      <c r="K2221" s="221"/>
      <c r="L2221" s="221"/>
      <c r="M2221" s="221"/>
      <c r="N2221" s="221"/>
      <c r="O2221" s="225"/>
      <c r="P2221" s="118" t="s">
        <v>7855</v>
      </c>
      <c r="Q2221" s="16" t="s">
        <v>20</v>
      </c>
      <c r="R2221" s="17" t="s">
        <v>3236</v>
      </c>
      <c r="S2221" s="121" t="s">
        <v>4008</v>
      </c>
      <c r="T2221" s="122"/>
      <c r="U2221" s="22"/>
      <c r="V2221" s="123" t="s">
        <v>2472</v>
      </c>
      <c r="W2221" s="122">
        <v>80284</v>
      </c>
      <c r="X2221" s="221"/>
      <c r="Y2221" s="221"/>
      <c r="Z2221" s="221"/>
      <c r="AA2221" s="221"/>
      <c r="AB2221" s="223"/>
    </row>
    <row r="2222" spans="1:28" ht="17.100000000000001" customHeight="1" thickTop="1">
      <c r="A2222" s="226" t="s">
        <v>7354</v>
      </c>
      <c r="B2222" s="28">
        <v>45937</v>
      </c>
      <c r="C2222" s="25">
        <v>960</v>
      </c>
      <c r="D2222" s="13" t="s">
        <v>1634</v>
      </c>
      <c r="E2222" s="228"/>
      <c r="F2222" s="109" t="s">
        <v>6963</v>
      </c>
      <c r="G2222" s="24"/>
      <c r="H2222" s="230">
        <v>3.5</v>
      </c>
      <c r="I2222" s="220">
        <v>949000</v>
      </c>
      <c r="J2222" s="220">
        <f>I2222*0.1</f>
        <v>94900</v>
      </c>
      <c r="K2222" s="220">
        <v>0</v>
      </c>
      <c r="L2222" s="220">
        <v>8550</v>
      </c>
      <c r="M2222" s="220">
        <v>22000</v>
      </c>
      <c r="N2222" s="220">
        <f>SUM(I2222:M2223)</f>
        <v>1074450</v>
      </c>
      <c r="O2222" s="224"/>
      <c r="P2222" s="110" t="s">
        <v>8283</v>
      </c>
      <c r="Q2222" s="15" t="s">
        <v>19</v>
      </c>
      <c r="R2222" s="205"/>
      <c r="S2222" s="189" t="s">
        <v>758</v>
      </c>
      <c r="T2222" s="114"/>
      <c r="U2222" s="21"/>
      <c r="V2222" s="115">
        <v>45951</v>
      </c>
      <c r="W2222" s="116">
        <v>1914</v>
      </c>
      <c r="X2222" s="220">
        <v>1086000</v>
      </c>
      <c r="Y2222" s="220">
        <f>X2222*0.1</f>
        <v>108600</v>
      </c>
      <c r="Z2222" s="220">
        <v>8550</v>
      </c>
      <c r="AA2222" s="220">
        <f>SUM(X2222:Z2222)</f>
        <v>1203150</v>
      </c>
      <c r="AB2222" s="222">
        <v>45957</v>
      </c>
    </row>
    <row r="2223" spans="1:28" ht="17.100000000000001" customHeight="1" thickBot="1">
      <c r="A2223" s="227"/>
      <c r="B2223" s="27" t="s">
        <v>2029</v>
      </c>
      <c r="C2223" s="27">
        <v>124</v>
      </c>
      <c r="D2223" s="14" t="s">
        <v>273</v>
      </c>
      <c r="E2223" s="229"/>
      <c r="F2223" s="117" t="s">
        <v>7357</v>
      </c>
      <c r="G2223" s="26">
        <v>58804</v>
      </c>
      <c r="H2223" s="231"/>
      <c r="I2223" s="221"/>
      <c r="J2223" s="221"/>
      <c r="K2223" s="221"/>
      <c r="L2223" s="221"/>
      <c r="M2223" s="221"/>
      <c r="N2223" s="221"/>
      <c r="O2223" s="225"/>
      <c r="P2223" s="118" t="s">
        <v>2446</v>
      </c>
      <c r="Q2223" s="16" t="s">
        <v>20</v>
      </c>
      <c r="R2223" s="17" t="s">
        <v>1630</v>
      </c>
      <c r="S2223" s="121" t="s">
        <v>8319</v>
      </c>
      <c r="T2223" s="122"/>
      <c r="U2223" s="22"/>
      <c r="V2223" s="123" t="s">
        <v>2103</v>
      </c>
      <c r="W2223" s="122">
        <v>3261</v>
      </c>
      <c r="X2223" s="221"/>
      <c r="Y2223" s="221"/>
      <c r="Z2223" s="221"/>
      <c r="AA2223" s="221"/>
      <c r="AB2223" s="223"/>
    </row>
    <row r="2224" spans="1:28" ht="17.100000000000001" customHeight="1" thickTop="1">
      <c r="A2224" s="226" t="s">
        <v>7355</v>
      </c>
      <c r="B2224" s="28">
        <v>45937</v>
      </c>
      <c r="C2224" s="25">
        <v>960</v>
      </c>
      <c r="D2224" s="13" t="s">
        <v>1589</v>
      </c>
      <c r="E2224" s="228"/>
      <c r="F2224" s="109" t="s">
        <v>7393</v>
      </c>
      <c r="G2224" s="24"/>
      <c r="H2224" s="230">
        <v>4.5</v>
      </c>
      <c r="I2224" s="220">
        <v>899000</v>
      </c>
      <c r="J2224" s="220">
        <f>I2224*0.1</f>
        <v>89900</v>
      </c>
      <c r="K2224" s="220">
        <v>0</v>
      </c>
      <c r="L2224" s="220">
        <v>8110</v>
      </c>
      <c r="M2224" s="220">
        <v>22000</v>
      </c>
      <c r="N2224" s="220">
        <f>SUM(I2224:M2225)</f>
        <v>1019010</v>
      </c>
      <c r="O2224" s="224"/>
      <c r="P2224" s="110" t="s">
        <v>8282</v>
      </c>
      <c r="Q2224" s="15" t="s">
        <v>19</v>
      </c>
      <c r="R2224" s="205"/>
      <c r="S2224" s="189" t="s">
        <v>25387</v>
      </c>
      <c r="T2224" s="114"/>
      <c r="U2224" s="21"/>
      <c r="V2224" s="115">
        <v>45951</v>
      </c>
      <c r="W2224" s="116">
        <v>1914</v>
      </c>
      <c r="X2224" s="220">
        <v>945000</v>
      </c>
      <c r="Y2224" s="220">
        <f>X2224*0.1</f>
        <v>94500</v>
      </c>
      <c r="Z2224" s="220">
        <v>8110</v>
      </c>
      <c r="AA2224" s="220">
        <f>SUM(X2224:Z2224)</f>
        <v>1047610</v>
      </c>
      <c r="AB2224" s="222">
        <v>45957</v>
      </c>
    </row>
    <row r="2225" spans="1:28" ht="17.100000000000001" customHeight="1" thickBot="1">
      <c r="A2225" s="227"/>
      <c r="B2225" s="27" t="s">
        <v>2029</v>
      </c>
      <c r="C2225" s="27">
        <v>138</v>
      </c>
      <c r="D2225" s="14" t="s">
        <v>3274</v>
      </c>
      <c r="E2225" s="229"/>
      <c r="F2225" s="117" t="s">
        <v>7358</v>
      </c>
      <c r="G2225" s="26">
        <v>18139</v>
      </c>
      <c r="H2225" s="231"/>
      <c r="I2225" s="221"/>
      <c r="J2225" s="221"/>
      <c r="K2225" s="221"/>
      <c r="L2225" s="221"/>
      <c r="M2225" s="221"/>
      <c r="N2225" s="221"/>
      <c r="O2225" s="225"/>
      <c r="P2225" s="118" t="s">
        <v>2446</v>
      </c>
      <c r="Q2225" s="16" t="s">
        <v>20</v>
      </c>
      <c r="R2225" s="17" t="s">
        <v>1630</v>
      </c>
      <c r="S2225" s="121" t="s">
        <v>1661</v>
      </c>
      <c r="T2225" s="122"/>
      <c r="U2225" s="22"/>
      <c r="V2225" s="123" t="s">
        <v>2103</v>
      </c>
      <c r="W2225" s="122">
        <v>3053</v>
      </c>
      <c r="X2225" s="221"/>
      <c r="Y2225" s="221"/>
      <c r="Z2225" s="221"/>
      <c r="AA2225" s="221"/>
      <c r="AB2225" s="223"/>
    </row>
    <row r="2226" spans="1:28" ht="17.100000000000001" customHeight="1" thickTop="1">
      <c r="A2226" s="226" t="s">
        <v>7356</v>
      </c>
      <c r="B2226" s="28">
        <v>45937</v>
      </c>
      <c r="C2226" s="25">
        <v>960</v>
      </c>
      <c r="D2226" s="13" t="s">
        <v>4050</v>
      </c>
      <c r="E2226" s="228"/>
      <c r="F2226" s="109" t="s">
        <v>7394</v>
      </c>
      <c r="G2226" s="24"/>
      <c r="H2226" s="230">
        <v>4</v>
      </c>
      <c r="I2226" s="220">
        <v>1058000</v>
      </c>
      <c r="J2226" s="220">
        <f>I2226*0.1</f>
        <v>105800</v>
      </c>
      <c r="K2226" s="220">
        <v>0</v>
      </c>
      <c r="L2226" s="220">
        <v>8790</v>
      </c>
      <c r="M2226" s="220">
        <v>22000</v>
      </c>
      <c r="N2226" s="220">
        <f>SUM(I2226:M2227)</f>
        <v>1194590</v>
      </c>
      <c r="O2226" s="224"/>
      <c r="P2226" s="110" t="s">
        <v>8281</v>
      </c>
      <c r="Q2226" s="15" t="s">
        <v>19</v>
      </c>
      <c r="R2226" s="205"/>
      <c r="S2226" s="189" t="s">
        <v>25491</v>
      </c>
      <c r="T2226" s="114"/>
      <c r="U2226" s="21"/>
      <c r="V2226" s="115">
        <v>45958</v>
      </c>
      <c r="W2226" s="116">
        <v>1915</v>
      </c>
      <c r="X2226" s="220">
        <v>1092000</v>
      </c>
      <c r="Y2226" s="220">
        <f>X2226*0.1</f>
        <v>109200</v>
      </c>
      <c r="Z2226" s="220">
        <v>8790</v>
      </c>
      <c r="AA2226" s="220">
        <f>SUM(X2226:Z2226)</f>
        <v>1209990</v>
      </c>
      <c r="AB2226" s="222">
        <v>45965</v>
      </c>
    </row>
    <row r="2227" spans="1:28" ht="17.100000000000001" customHeight="1" thickBot="1">
      <c r="A2227" s="227"/>
      <c r="B2227" s="27" t="s">
        <v>2029</v>
      </c>
      <c r="C2227" s="27">
        <v>1029</v>
      </c>
      <c r="D2227" s="14" t="s">
        <v>2559</v>
      </c>
      <c r="E2227" s="229"/>
      <c r="F2227" s="117" t="s">
        <v>7359</v>
      </c>
      <c r="G2227" s="26">
        <v>52516</v>
      </c>
      <c r="H2227" s="231"/>
      <c r="I2227" s="221"/>
      <c r="J2227" s="221"/>
      <c r="K2227" s="221"/>
      <c r="L2227" s="221"/>
      <c r="M2227" s="221"/>
      <c r="N2227" s="221"/>
      <c r="O2227" s="225"/>
      <c r="P2227" s="118" t="s">
        <v>4946</v>
      </c>
      <c r="Q2227" s="16" t="s">
        <v>20</v>
      </c>
      <c r="R2227" s="17" t="s">
        <v>1630</v>
      </c>
      <c r="S2227" s="121" t="s">
        <v>7561</v>
      </c>
      <c r="T2227" s="122"/>
      <c r="U2227" s="22"/>
      <c r="V2227" s="123" t="s">
        <v>2103</v>
      </c>
      <c r="W2227" s="122">
        <v>3095</v>
      </c>
      <c r="X2227" s="221"/>
      <c r="Y2227" s="221"/>
      <c r="Z2227" s="221"/>
      <c r="AA2227" s="221"/>
      <c r="AB2227" s="223"/>
    </row>
    <row r="2228" spans="1:28" ht="17.100000000000001" customHeight="1" thickTop="1">
      <c r="A2228" s="226" t="s">
        <v>7360</v>
      </c>
      <c r="B2228" s="28">
        <v>45937</v>
      </c>
      <c r="C2228" s="25">
        <v>1064</v>
      </c>
      <c r="D2228" s="13" t="s">
        <v>1883</v>
      </c>
      <c r="E2228" s="228"/>
      <c r="F2228" s="109" t="s">
        <v>7395</v>
      </c>
      <c r="G2228" s="24" t="s">
        <v>2813</v>
      </c>
      <c r="H2228" s="230">
        <v>4.5</v>
      </c>
      <c r="I2228" s="220">
        <v>2215000</v>
      </c>
      <c r="J2228" s="220">
        <f>I2228*0.1</f>
        <v>221500</v>
      </c>
      <c r="K2228" s="220">
        <f>15000+1500</f>
        <v>16500</v>
      </c>
      <c r="L2228" s="220">
        <v>22000</v>
      </c>
      <c r="M2228" s="220">
        <v>16500</v>
      </c>
      <c r="N2228" s="220">
        <f>SUM(I2228:M2229)</f>
        <v>2491500</v>
      </c>
      <c r="O2228" s="224"/>
      <c r="P2228" s="110" t="s">
        <v>7397</v>
      </c>
      <c r="Q2228" s="15" t="s">
        <v>19</v>
      </c>
      <c r="R2228" s="205"/>
      <c r="S2228" s="189" t="s">
        <v>25386</v>
      </c>
      <c r="T2228" s="114"/>
      <c r="U2228" s="21"/>
      <c r="V2228" s="115">
        <v>45948</v>
      </c>
      <c r="W2228" s="116">
        <v>1272</v>
      </c>
      <c r="X2228" s="220">
        <v>2505000</v>
      </c>
      <c r="Y2228" s="220">
        <f>X2228*0.1</f>
        <v>250500</v>
      </c>
      <c r="Z2228" s="220">
        <v>22000</v>
      </c>
      <c r="AA2228" s="220">
        <f>SUM(X2228:Z2228)</f>
        <v>2777500</v>
      </c>
      <c r="AB2228" s="222">
        <v>45951</v>
      </c>
    </row>
    <row r="2229" spans="1:28" ht="17.100000000000001" customHeight="1" thickBot="1">
      <c r="A2229" s="227"/>
      <c r="B2229" s="27" t="s">
        <v>1583</v>
      </c>
      <c r="C2229" s="27">
        <v>82068</v>
      </c>
      <c r="D2229" s="14" t="s">
        <v>273</v>
      </c>
      <c r="E2229" s="229"/>
      <c r="F2229" s="117" t="s">
        <v>7396</v>
      </c>
      <c r="G2229" s="26">
        <v>29453</v>
      </c>
      <c r="H2229" s="231"/>
      <c r="I2229" s="221"/>
      <c r="J2229" s="221"/>
      <c r="K2229" s="221"/>
      <c r="L2229" s="221"/>
      <c r="M2229" s="221"/>
      <c r="N2229" s="221"/>
      <c r="O2229" s="225"/>
      <c r="P2229" s="118" t="s">
        <v>3457</v>
      </c>
      <c r="Q2229" s="16" t="s">
        <v>20</v>
      </c>
      <c r="R2229" s="17" t="s">
        <v>2136</v>
      </c>
      <c r="S2229" s="121" t="s">
        <v>7109</v>
      </c>
      <c r="T2229" s="122"/>
      <c r="U2229" s="22"/>
      <c r="V2229" s="123" t="s">
        <v>2472</v>
      </c>
      <c r="W2229" s="122">
        <v>80047</v>
      </c>
      <c r="X2229" s="221"/>
      <c r="Y2229" s="221"/>
      <c r="Z2229" s="221"/>
      <c r="AA2229" s="221"/>
      <c r="AB2229" s="223"/>
    </row>
    <row r="2230" spans="1:28" ht="17.100000000000001" customHeight="1" thickTop="1">
      <c r="A2230" s="226" t="s">
        <v>7361</v>
      </c>
      <c r="B2230" s="28">
        <v>45938</v>
      </c>
      <c r="C2230" s="25">
        <v>2325</v>
      </c>
      <c r="D2230" s="13" t="s">
        <v>1808</v>
      </c>
      <c r="E2230" s="228"/>
      <c r="F2230" s="109" t="s">
        <v>7366</v>
      </c>
      <c r="G2230" s="24" t="s">
        <v>4471</v>
      </c>
      <c r="H2230" s="230">
        <v>4</v>
      </c>
      <c r="I2230" s="220">
        <v>315000</v>
      </c>
      <c r="J2230" s="220">
        <f>I2230*0.1</f>
        <v>31500</v>
      </c>
      <c r="K2230" s="220">
        <v>15000</v>
      </c>
      <c r="L2230" s="220">
        <v>9070</v>
      </c>
      <c r="M2230" s="220">
        <v>16500</v>
      </c>
      <c r="N2230" s="220">
        <f>SUM(I2230:M2231)</f>
        <v>387070</v>
      </c>
      <c r="O2230" s="224"/>
      <c r="P2230" s="110" t="s">
        <v>7838</v>
      </c>
      <c r="Q2230" s="15" t="s">
        <v>19</v>
      </c>
      <c r="R2230" s="205"/>
      <c r="S2230" s="189" t="s">
        <v>25485</v>
      </c>
      <c r="T2230" s="114"/>
      <c r="U2230" s="21" t="s">
        <v>10823</v>
      </c>
      <c r="V2230" s="115">
        <v>46057</v>
      </c>
      <c r="W2230" s="116">
        <v>1003</v>
      </c>
      <c r="X2230" s="220">
        <v>380000</v>
      </c>
      <c r="Y2230" s="220">
        <f>X2230*0.1</f>
        <v>38000</v>
      </c>
      <c r="Z2230" s="220">
        <v>9070</v>
      </c>
      <c r="AA2230" s="220">
        <f>SUM(X2230:Z2230)</f>
        <v>427070</v>
      </c>
      <c r="AB2230" s="222">
        <v>46062</v>
      </c>
    </row>
    <row r="2231" spans="1:28" ht="17.100000000000001" customHeight="1" thickBot="1">
      <c r="A2231" s="227"/>
      <c r="B2231" s="27" t="s">
        <v>3367</v>
      </c>
      <c r="C2231" s="27">
        <v>20088</v>
      </c>
      <c r="D2231" s="14" t="s">
        <v>1568</v>
      </c>
      <c r="E2231" s="229"/>
      <c r="F2231" s="117" t="s">
        <v>7367</v>
      </c>
      <c r="G2231" s="26">
        <v>63736</v>
      </c>
      <c r="H2231" s="231"/>
      <c r="I2231" s="221"/>
      <c r="J2231" s="221"/>
      <c r="K2231" s="221"/>
      <c r="L2231" s="221"/>
      <c r="M2231" s="221"/>
      <c r="N2231" s="221"/>
      <c r="O2231" s="225"/>
      <c r="P2231" s="118" t="s">
        <v>7839</v>
      </c>
      <c r="Q2231" s="16" t="s">
        <v>20</v>
      </c>
      <c r="R2231" s="17" t="s">
        <v>3236</v>
      </c>
      <c r="S2231" s="121" t="s">
        <v>1731</v>
      </c>
      <c r="T2231" s="122"/>
      <c r="U2231" s="22"/>
      <c r="V2231" s="123" t="s">
        <v>2747</v>
      </c>
      <c r="W2231" s="122">
        <v>2047</v>
      </c>
      <c r="X2231" s="221"/>
      <c r="Y2231" s="221"/>
      <c r="Z2231" s="221"/>
      <c r="AA2231" s="221"/>
      <c r="AB2231" s="223"/>
    </row>
    <row r="2232" spans="1:28" ht="17.100000000000001" customHeight="1" thickTop="1">
      <c r="A2232" s="226" t="s">
        <v>7362</v>
      </c>
      <c r="B2232" s="28">
        <v>45938</v>
      </c>
      <c r="C2232" s="25">
        <v>2325</v>
      </c>
      <c r="D2232" s="13" t="s">
        <v>7368</v>
      </c>
      <c r="E2232" s="228"/>
      <c r="F2232" s="109" t="s">
        <v>6709</v>
      </c>
      <c r="G2232" s="24" t="s">
        <v>3867</v>
      </c>
      <c r="H2232" s="230">
        <v>4.5</v>
      </c>
      <c r="I2232" s="220">
        <v>345000</v>
      </c>
      <c r="J2232" s="220">
        <f>I2232*0.1</f>
        <v>34500</v>
      </c>
      <c r="K2232" s="220">
        <v>15000</v>
      </c>
      <c r="L2232" s="220">
        <v>9070</v>
      </c>
      <c r="M2232" s="220">
        <v>16500</v>
      </c>
      <c r="N2232" s="220">
        <f>SUM(I2232:M2233)</f>
        <v>420070</v>
      </c>
      <c r="O2232" s="224"/>
      <c r="P2232" s="110" t="s">
        <v>7836</v>
      </c>
      <c r="Q2232" s="15" t="s">
        <v>19</v>
      </c>
      <c r="R2232" s="205"/>
      <c r="S2232" s="189"/>
      <c r="T2232" s="114"/>
      <c r="U2232" s="21" t="s">
        <v>10816</v>
      </c>
      <c r="V2232" s="115">
        <v>46043</v>
      </c>
      <c r="W2232" s="116">
        <v>1001</v>
      </c>
      <c r="X2232" s="220">
        <v>370000</v>
      </c>
      <c r="Y2232" s="220">
        <f>X2232*0.1</f>
        <v>37000</v>
      </c>
      <c r="Z2232" s="220">
        <v>9070</v>
      </c>
      <c r="AA2232" s="220">
        <f>SUM(X2232:Z2232)</f>
        <v>416070</v>
      </c>
      <c r="AB2232" s="222">
        <v>46048</v>
      </c>
    </row>
    <row r="2233" spans="1:28" ht="17.100000000000001" customHeight="1" thickBot="1">
      <c r="A2233" s="227"/>
      <c r="B2233" s="27" t="s">
        <v>3367</v>
      </c>
      <c r="C2233" s="27">
        <v>20101</v>
      </c>
      <c r="D2233" s="14" t="s">
        <v>1797</v>
      </c>
      <c r="E2233" s="229"/>
      <c r="F2233" s="117" t="s">
        <v>7369</v>
      </c>
      <c r="G2233" s="26">
        <v>55539</v>
      </c>
      <c r="H2233" s="231"/>
      <c r="I2233" s="221"/>
      <c r="J2233" s="221"/>
      <c r="K2233" s="221"/>
      <c r="L2233" s="221"/>
      <c r="M2233" s="221"/>
      <c r="N2233" s="221"/>
      <c r="O2233" s="225"/>
      <c r="P2233" s="118" t="s">
        <v>7837</v>
      </c>
      <c r="Q2233" s="16" t="s">
        <v>20</v>
      </c>
      <c r="R2233" s="17" t="s">
        <v>3236</v>
      </c>
      <c r="S2233" s="121" t="s">
        <v>1731</v>
      </c>
      <c r="T2233" s="122"/>
      <c r="U2233" s="22"/>
      <c r="V2233" s="123" t="s">
        <v>2747</v>
      </c>
      <c r="W2233" s="122">
        <v>2028</v>
      </c>
      <c r="X2233" s="221"/>
      <c r="Y2233" s="221"/>
      <c r="Z2233" s="221"/>
      <c r="AA2233" s="221"/>
      <c r="AB2233" s="223"/>
    </row>
    <row r="2234" spans="1:28" ht="17.100000000000001" customHeight="1" thickTop="1">
      <c r="A2234" s="226" t="s">
        <v>7363</v>
      </c>
      <c r="B2234" s="28">
        <v>45938</v>
      </c>
      <c r="C2234" s="25">
        <v>2325</v>
      </c>
      <c r="D2234" s="13" t="s">
        <v>2288</v>
      </c>
      <c r="E2234" s="228"/>
      <c r="F2234" s="109" t="s">
        <v>2556</v>
      </c>
      <c r="G2234" s="24" t="s">
        <v>7399</v>
      </c>
      <c r="H2234" s="230">
        <v>4.5</v>
      </c>
      <c r="I2234" s="220">
        <v>955000</v>
      </c>
      <c r="J2234" s="220">
        <f>I2234*0.1</f>
        <v>95500</v>
      </c>
      <c r="K2234" s="220">
        <v>15000</v>
      </c>
      <c r="L2234" s="220">
        <v>9080</v>
      </c>
      <c r="M2234" s="220">
        <v>16500</v>
      </c>
      <c r="N2234" s="220">
        <f>SUM(I2234:M2235)</f>
        <v>1091080</v>
      </c>
      <c r="O2234" s="224"/>
      <c r="P2234" s="110" t="s">
        <v>7830</v>
      </c>
      <c r="Q2234" s="15" t="s">
        <v>19</v>
      </c>
      <c r="R2234" s="205"/>
      <c r="S2234" s="189"/>
      <c r="T2234" s="114"/>
      <c r="U2234" s="21" t="s">
        <v>10499</v>
      </c>
      <c r="V2234" s="115">
        <v>45973</v>
      </c>
      <c r="W2234" s="116">
        <v>992</v>
      </c>
      <c r="X2234" s="220">
        <v>1035000</v>
      </c>
      <c r="Y2234" s="220">
        <f>X2234*0.1</f>
        <v>103500</v>
      </c>
      <c r="Z2234" s="220">
        <v>9080</v>
      </c>
      <c r="AA2234" s="220">
        <f>SUM(X2234:Z2234)</f>
        <v>1147580</v>
      </c>
      <c r="AB2234" s="222">
        <v>45978</v>
      </c>
    </row>
    <row r="2235" spans="1:28" ht="17.100000000000001" customHeight="1" thickBot="1">
      <c r="A2235" s="227"/>
      <c r="B2235" s="27" t="s">
        <v>3367</v>
      </c>
      <c r="C2235" s="27">
        <v>20185</v>
      </c>
      <c r="D2235" s="14" t="s">
        <v>2014</v>
      </c>
      <c r="E2235" s="229"/>
      <c r="F2235" s="117" t="s">
        <v>7398</v>
      </c>
      <c r="G2235" s="26">
        <v>40183</v>
      </c>
      <c r="H2235" s="231"/>
      <c r="I2235" s="221"/>
      <c r="J2235" s="221"/>
      <c r="K2235" s="221"/>
      <c r="L2235" s="221"/>
      <c r="M2235" s="221"/>
      <c r="N2235" s="221"/>
      <c r="O2235" s="225"/>
      <c r="P2235" s="118" t="s">
        <v>7831</v>
      </c>
      <c r="Q2235" s="16" t="s">
        <v>20</v>
      </c>
      <c r="R2235" s="17" t="s">
        <v>2562</v>
      </c>
      <c r="S2235" s="121" t="s">
        <v>169</v>
      </c>
      <c r="T2235" s="122"/>
      <c r="U2235" s="22"/>
      <c r="V2235" s="123" t="s">
        <v>2747</v>
      </c>
      <c r="W2235" s="122">
        <v>2041</v>
      </c>
      <c r="X2235" s="221"/>
      <c r="Y2235" s="221"/>
      <c r="Z2235" s="221"/>
      <c r="AA2235" s="221"/>
      <c r="AB2235" s="223"/>
    </row>
    <row r="2236" spans="1:28" ht="17.100000000000001" customHeight="1" thickTop="1">
      <c r="A2236" s="226" t="s">
        <v>7364</v>
      </c>
      <c r="B2236" s="28">
        <v>45938</v>
      </c>
      <c r="C2236" s="25">
        <v>2325</v>
      </c>
      <c r="D2236" s="13" t="s">
        <v>1996</v>
      </c>
      <c r="E2236" s="228"/>
      <c r="F2236" s="109" t="s">
        <v>7370</v>
      </c>
      <c r="G2236" s="24" t="s">
        <v>7400</v>
      </c>
      <c r="H2236" s="230">
        <v>4.5</v>
      </c>
      <c r="I2236" s="220">
        <v>765000</v>
      </c>
      <c r="J2236" s="220">
        <f>I2236*0.1</f>
        <v>76500</v>
      </c>
      <c r="K2236" s="220">
        <f>12200+1220</f>
        <v>13420</v>
      </c>
      <c r="L2236" s="220">
        <v>12470</v>
      </c>
      <c r="M2236" s="220">
        <v>16500</v>
      </c>
      <c r="N2236" s="220">
        <f>SUM(I2236:M2237)</f>
        <v>883890</v>
      </c>
      <c r="O2236" s="224"/>
      <c r="P2236" s="110" t="s">
        <v>7853</v>
      </c>
      <c r="Q2236" s="15" t="s">
        <v>19</v>
      </c>
      <c r="R2236" s="205"/>
      <c r="S2236" s="189"/>
      <c r="T2236" s="114"/>
      <c r="U2236" s="21" t="s">
        <v>10185</v>
      </c>
      <c r="V2236" s="115">
        <v>45990</v>
      </c>
      <c r="W2236" s="116">
        <v>1278</v>
      </c>
      <c r="X2236" s="220">
        <v>810000</v>
      </c>
      <c r="Y2236" s="220">
        <f>X2236*0.1</f>
        <v>81000</v>
      </c>
      <c r="Z2236" s="220">
        <v>12470</v>
      </c>
      <c r="AA2236" s="220">
        <f>SUM(X2236:Z2236)</f>
        <v>903470</v>
      </c>
      <c r="AB2236" s="222">
        <v>45994</v>
      </c>
    </row>
    <row r="2237" spans="1:28" ht="17.100000000000001" customHeight="1" thickBot="1">
      <c r="A2237" s="227"/>
      <c r="B2237" s="27" t="s">
        <v>3367</v>
      </c>
      <c r="C2237" s="27">
        <v>60129</v>
      </c>
      <c r="D2237" s="14" t="s">
        <v>1548</v>
      </c>
      <c r="E2237" s="229"/>
      <c r="F2237" s="117" t="s">
        <v>7371</v>
      </c>
      <c r="G2237" s="26">
        <v>58045</v>
      </c>
      <c r="H2237" s="231"/>
      <c r="I2237" s="221"/>
      <c r="J2237" s="221"/>
      <c r="K2237" s="221"/>
      <c r="L2237" s="221"/>
      <c r="M2237" s="221"/>
      <c r="N2237" s="221"/>
      <c r="O2237" s="225"/>
      <c r="P2237" s="118" t="s">
        <v>7818</v>
      </c>
      <c r="Q2237" s="16" t="s">
        <v>20</v>
      </c>
      <c r="R2237" s="17" t="s">
        <v>3236</v>
      </c>
      <c r="S2237" s="121" t="s">
        <v>7720</v>
      </c>
      <c r="T2237" s="122"/>
      <c r="U2237" s="22"/>
      <c r="V2237" s="123" t="s">
        <v>7160</v>
      </c>
      <c r="W2237" s="122">
        <v>80161</v>
      </c>
      <c r="X2237" s="221"/>
      <c r="Y2237" s="221"/>
      <c r="Z2237" s="221"/>
      <c r="AA2237" s="221"/>
      <c r="AB2237" s="223"/>
    </row>
    <row r="2238" spans="1:28" ht="17.100000000000001" customHeight="1" thickTop="1">
      <c r="A2238" s="226" t="s">
        <v>7365</v>
      </c>
      <c r="B2238" s="28">
        <v>45938</v>
      </c>
      <c r="C2238" s="25">
        <v>2325</v>
      </c>
      <c r="D2238" s="13" t="s">
        <v>2392</v>
      </c>
      <c r="E2238" s="228"/>
      <c r="F2238" s="109" t="s">
        <v>7401</v>
      </c>
      <c r="G2238" s="24" t="s">
        <v>7402</v>
      </c>
      <c r="H2238" s="230">
        <v>5</v>
      </c>
      <c r="I2238" s="220">
        <v>1685000</v>
      </c>
      <c r="J2238" s="220">
        <f>I2238*0.1</f>
        <v>168500</v>
      </c>
      <c r="K2238" s="220">
        <f>10400+1040</f>
        <v>11440</v>
      </c>
      <c r="L2238" s="220">
        <v>7450</v>
      </c>
      <c r="M2238" s="220">
        <v>16500</v>
      </c>
      <c r="N2238" s="220">
        <f>SUM(I2238:M2239)</f>
        <v>1888890</v>
      </c>
      <c r="O2238" s="224"/>
      <c r="P2238" s="110" t="s">
        <v>7832</v>
      </c>
      <c r="Q2238" s="15" t="s">
        <v>19</v>
      </c>
      <c r="R2238" s="205"/>
      <c r="S2238" s="189" t="s">
        <v>1361</v>
      </c>
      <c r="T2238" s="114"/>
      <c r="U2238" s="21"/>
      <c r="V2238" s="115">
        <v>45945</v>
      </c>
      <c r="W2238" s="116">
        <v>988</v>
      </c>
      <c r="X2238" s="220">
        <v>1785000</v>
      </c>
      <c r="Y2238" s="220">
        <f>X2238*0.1</f>
        <v>178500</v>
      </c>
      <c r="Z2238" s="220">
        <v>7450</v>
      </c>
      <c r="AA2238" s="220">
        <f>SUM(X2238:Z2238)</f>
        <v>1970950</v>
      </c>
      <c r="AB2238" s="222">
        <v>45952</v>
      </c>
    </row>
    <row r="2239" spans="1:28" ht="17.100000000000001" customHeight="1" thickBot="1">
      <c r="A2239" s="227"/>
      <c r="B2239" s="27" t="s">
        <v>3367</v>
      </c>
      <c r="C2239" s="27">
        <v>60221</v>
      </c>
      <c r="D2239" s="14" t="s">
        <v>898</v>
      </c>
      <c r="E2239" s="229"/>
      <c r="F2239" s="117" t="s">
        <v>7372</v>
      </c>
      <c r="G2239" s="26">
        <v>30414</v>
      </c>
      <c r="H2239" s="231"/>
      <c r="I2239" s="221"/>
      <c r="J2239" s="221"/>
      <c r="K2239" s="221"/>
      <c r="L2239" s="221"/>
      <c r="M2239" s="221"/>
      <c r="N2239" s="221"/>
      <c r="O2239" s="225"/>
      <c r="P2239" s="118" t="s">
        <v>7833</v>
      </c>
      <c r="Q2239" s="16" t="s">
        <v>20</v>
      </c>
      <c r="R2239" s="17" t="s">
        <v>2562</v>
      </c>
      <c r="S2239" s="121" t="s">
        <v>1923</v>
      </c>
      <c r="T2239" s="122"/>
      <c r="U2239" s="22"/>
      <c r="V2239" s="123" t="s">
        <v>7161</v>
      </c>
      <c r="W2239" s="122">
        <v>5052</v>
      </c>
      <c r="X2239" s="221"/>
      <c r="Y2239" s="221"/>
      <c r="Z2239" s="221"/>
      <c r="AA2239" s="221"/>
      <c r="AB2239" s="223"/>
    </row>
    <row r="2240" spans="1:28" ht="17.100000000000001" customHeight="1" thickTop="1">
      <c r="A2240" s="226" t="s">
        <v>7373</v>
      </c>
      <c r="B2240" s="28">
        <v>45938</v>
      </c>
      <c r="C2240" s="25">
        <v>1808</v>
      </c>
      <c r="D2240" s="13" t="s">
        <v>1883</v>
      </c>
      <c r="E2240" s="228"/>
      <c r="F2240" s="109" t="s">
        <v>7378</v>
      </c>
      <c r="G2240" s="24" t="s">
        <v>2813</v>
      </c>
      <c r="H2240" s="230">
        <v>4.5</v>
      </c>
      <c r="I2240" s="220">
        <v>1261000</v>
      </c>
      <c r="J2240" s="220">
        <f>I2240*0.1</f>
        <v>126100</v>
      </c>
      <c r="K2240" s="220">
        <v>0</v>
      </c>
      <c r="L2240" s="220">
        <v>8390</v>
      </c>
      <c r="M2240" s="220">
        <v>18150</v>
      </c>
      <c r="N2240" s="220">
        <f>SUM(I2240:M2241)</f>
        <v>1413640</v>
      </c>
      <c r="O2240" s="224"/>
      <c r="P2240" s="110" t="s">
        <v>7380</v>
      </c>
      <c r="Q2240" s="15" t="s">
        <v>19</v>
      </c>
      <c r="R2240" s="205"/>
      <c r="S2240" s="189"/>
      <c r="T2240" s="114"/>
      <c r="U2240" s="21"/>
      <c r="V2240" s="115">
        <v>45952</v>
      </c>
      <c r="W2240" s="116">
        <v>989</v>
      </c>
      <c r="X2240" s="220">
        <v>1315000</v>
      </c>
      <c r="Y2240" s="220">
        <f>X2240*0.1</f>
        <v>131500</v>
      </c>
      <c r="Z2240" s="220">
        <v>8390</v>
      </c>
      <c r="AA2240" s="220">
        <f>SUM(X2240:Z2240)</f>
        <v>1454890</v>
      </c>
      <c r="AB2240" s="222">
        <v>45957</v>
      </c>
    </row>
    <row r="2241" spans="1:28" ht="17.100000000000001" customHeight="1" thickBot="1">
      <c r="A2241" s="227"/>
      <c r="B2241" s="27" t="s">
        <v>2519</v>
      </c>
      <c r="C2241" s="27">
        <v>3115</v>
      </c>
      <c r="D2241" s="14" t="s">
        <v>2559</v>
      </c>
      <c r="E2241" s="229"/>
      <c r="F2241" s="117" t="s">
        <v>7379</v>
      </c>
      <c r="G2241" s="26">
        <v>41591</v>
      </c>
      <c r="H2241" s="231"/>
      <c r="I2241" s="221"/>
      <c r="J2241" s="221"/>
      <c r="K2241" s="221"/>
      <c r="L2241" s="221"/>
      <c r="M2241" s="221"/>
      <c r="N2241" s="221"/>
      <c r="O2241" s="225"/>
      <c r="P2241" s="118" t="s">
        <v>7840</v>
      </c>
      <c r="Q2241" s="16" t="s">
        <v>20</v>
      </c>
      <c r="R2241" s="17" t="s">
        <v>3236</v>
      </c>
      <c r="S2241" s="121" t="s">
        <v>1731</v>
      </c>
      <c r="T2241" s="122"/>
      <c r="U2241" s="22"/>
      <c r="V2241" s="123" t="s">
        <v>2747</v>
      </c>
      <c r="W2241" s="122">
        <v>2045</v>
      </c>
      <c r="X2241" s="221"/>
      <c r="Y2241" s="221"/>
      <c r="Z2241" s="221"/>
      <c r="AA2241" s="221"/>
      <c r="AB2241" s="223"/>
    </row>
    <row r="2242" spans="1:28" ht="17.100000000000001" customHeight="1" thickTop="1">
      <c r="A2242" s="226" t="s">
        <v>7374</v>
      </c>
      <c r="B2242" s="28">
        <v>45938</v>
      </c>
      <c r="C2242" s="25">
        <v>1808</v>
      </c>
      <c r="D2242" s="13" t="s">
        <v>1531</v>
      </c>
      <c r="E2242" s="228"/>
      <c r="F2242" s="109" t="s">
        <v>5277</v>
      </c>
      <c r="G2242" s="24" t="s">
        <v>2038</v>
      </c>
      <c r="H2242" s="230">
        <v>4</v>
      </c>
      <c r="I2242" s="220">
        <v>506000</v>
      </c>
      <c r="J2242" s="220">
        <f>I2242*0.1</f>
        <v>50600</v>
      </c>
      <c r="K2242" s="220">
        <v>0</v>
      </c>
      <c r="L2242" s="220">
        <v>9290</v>
      </c>
      <c r="M2242" s="220">
        <v>18150</v>
      </c>
      <c r="N2242" s="220">
        <f>SUM(I2242:M2243)</f>
        <v>584040</v>
      </c>
      <c r="O2242" s="224"/>
      <c r="P2242" s="110" t="s">
        <v>7946</v>
      </c>
      <c r="Q2242" s="15" t="s">
        <v>19</v>
      </c>
      <c r="R2242" s="205"/>
      <c r="S2242" s="189" t="s">
        <v>25450</v>
      </c>
      <c r="T2242" s="114"/>
      <c r="U2242" s="21"/>
      <c r="V2242" s="115">
        <v>45941</v>
      </c>
      <c r="W2242" s="116">
        <v>1271</v>
      </c>
      <c r="X2242" s="220">
        <v>585000</v>
      </c>
      <c r="Y2242" s="220">
        <v>58500</v>
      </c>
      <c r="Z2242" s="220">
        <v>9290</v>
      </c>
      <c r="AA2242" s="220">
        <f>SUM(X2242:Z2242)</f>
        <v>652790</v>
      </c>
      <c r="AB2242" s="222">
        <v>45950</v>
      </c>
    </row>
    <row r="2243" spans="1:28" ht="17.100000000000001" customHeight="1" thickBot="1">
      <c r="A2243" s="227"/>
      <c r="B2243" s="27" t="s">
        <v>2519</v>
      </c>
      <c r="C2243" s="27">
        <v>3124</v>
      </c>
      <c r="D2243" s="14" t="s">
        <v>1710</v>
      </c>
      <c r="E2243" s="229"/>
      <c r="F2243" s="117" t="s">
        <v>7381</v>
      </c>
      <c r="G2243" s="26">
        <v>39877</v>
      </c>
      <c r="H2243" s="231"/>
      <c r="I2243" s="221"/>
      <c r="J2243" s="221"/>
      <c r="K2243" s="221"/>
      <c r="L2243" s="221"/>
      <c r="M2243" s="221"/>
      <c r="N2243" s="221"/>
      <c r="O2243" s="225"/>
      <c r="P2243" s="118" t="s">
        <v>7947</v>
      </c>
      <c r="Q2243" s="16" t="s">
        <v>20</v>
      </c>
      <c r="R2243" s="17" t="s">
        <v>7909</v>
      </c>
      <c r="S2243" s="121" t="s">
        <v>7722</v>
      </c>
      <c r="T2243" s="122"/>
      <c r="U2243" s="22"/>
      <c r="V2243" s="123" t="s">
        <v>2472</v>
      </c>
      <c r="W2243" s="122">
        <v>60438</v>
      </c>
      <c r="X2243" s="221"/>
      <c r="Y2243" s="221"/>
      <c r="Z2243" s="221"/>
      <c r="AA2243" s="221"/>
      <c r="AB2243" s="223"/>
    </row>
    <row r="2244" spans="1:28" ht="17.100000000000001" customHeight="1" thickTop="1">
      <c r="A2244" s="226" t="s">
        <v>7375</v>
      </c>
      <c r="B2244" s="28">
        <v>45938</v>
      </c>
      <c r="C2244" s="25">
        <v>1808</v>
      </c>
      <c r="D2244" s="13" t="s">
        <v>3857</v>
      </c>
      <c r="E2244" s="228"/>
      <c r="F2244" s="109" t="s">
        <v>7382</v>
      </c>
      <c r="G2244" s="24" t="s">
        <v>2494</v>
      </c>
      <c r="H2244" s="230">
        <v>4</v>
      </c>
      <c r="I2244" s="220">
        <v>1735000</v>
      </c>
      <c r="J2244" s="220">
        <f>I2244*0.1</f>
        <v>173500</v>
      </c>
      <c r="K2244" s="220">
        <f>16400+1640</f>
        <v>18040</v>
      </c>
      <c r="L2244" s="220">
        <v>21500</v>
      </c>
      <c r="M2244" s="220">
        <v>18150</v>
      </c>
      <c r="N2244" s="220">
        <f>SUM(I2244:M2245)</f>
        <v>1966190</v>
      </c>
      <c r="O2244" s="224"/>
      <c r="P2244" s="110" t="s">
        <v>7384</v>
      </c>
      <c r="Q2244" s="15" t="s">
        <v>19</v>
      </c>
      <c r="R2244" s="205"/>
      <c r="S2244" s="189" t="s">
        <v>25512</v>
      </c>
      <c r="T2244" s="114"/>
      <c r="U2244" s="21"/>
      <c r="V2244" s="115">
        <v>45948</v>
      </c>
      <c r="W2244" s="116">
        <v>1272</v>
      </c>
      <c r="X2244" s="220">
        <v>1950000</v>
      </c>
      <c r="Y2244" s="220">
        <f>X2244*0.1</f>
        <v>195000</v>
      </c>
      <c r="Z2244" s="220">
        <v>21500</v>
      </c>
      <c r="AA2244" s="220">
        <f>SUM(X2244:Z2244)</f>
        <v>2166500</v>
      </c>
      <c r="AB2244" s="222">
        <v>45951</v>
      </c>
    </row>
    <row r="2245" spans="1:28" ht="17.100000000000001" customHeight="1" thickBot="1">
      <c r="A2245" s="227"/>
      <c r="B2245" s="27" t="s">
        <v>2519</v>
      </c>
      <c r="C2245" s="27">
        <v>38064</v>
      </c>
      <c r="D2245" s="14" t="s">
        <v>273</v>
      </c>
      <c r="E2245" s="229"/>
      <c r="F2245" s="117" t="s">
        <v>7383</v>
      </c>
      <c r="G2245" s="26">
        <v>57098</v>
      </c>
      <c r="H2245" s="231"/>
      <c r="I2245" s="221"/>
      <c r="J2245" s="221"/>
      <c r="K2245" s="221"/>
      <c r="L2245" s="221"/>
      <c r="M2245" s="221"/>
      <c r="N2245" s="221"/>
      <c r="O2245" s="225"/>
      <c r="P2245" s="118" t="s">
        <v>7856</v>
      </c>
      <c r="Q2245" s="16" t="s">
        <v>20</v>
      </c>
      <c r="R2245" s="17" t="s">
        <v>3236</v>
      </c>
      <c r="S2245" s="121" t="s">
        <v>8318</v>
      </c>
      <c r="T2245" s="122"/>
      <c r="U2245" s="22"/>
      <c r="V2245" s="123" t="s">
        <v>2472</v>
      </c>
      <c r="W2245" s="122">
        <v>80019</v>
      </c>
      <c r="X2245" s="221"/>
      <c r="Y2245" s="221"/>
      <c r="Z2245" s="221"/>
      <c r="AA2245" s="221"/>
      <c r="AB2245" s="223"/>
    </row>
    <row r="2246" spans="1:28" ht="17.100000000000001" customHeight="1" thickTop="1">
      <c r="A2246" s="226" t="s">
        <v>7376</v>
      </c>
      <c r="B2246" s="28">
        <v>45938</v>
      </c>
      <c r="C2246" s="25">
        <v>1808</v>
      </c>
      <c r="D2246" s="13" t="s">
        <v>2107</v>
      </c>
      <c r="E2246" s="228"/>
      <c r="F2246" s="109" t="s">
        <v>7385</v>
      </c>
      <c r="G2246" s="24" t="s">
        <v>4120</v>
      </c>
      <c r="H2246" s="230">
        <v>4.5</v>
      </c>
      <c r="I2246" s="220">
        <v>500000</v>
      </c>
      <c r="J2246" s="220">
        <f>I2246*0.1</f>
        <v>50000</v>
      </c>
      <c r="K2246" s="220">
        <f>14300+1430</f>
        <v>15730</v>
      </c>
      <c r="L2246" s="220">
        <v>17700</v>
      </c>
      <c r="M2246" s="220">
        <v>18150</v>
      </c>
      <c r="N2246" s="220">
        <f>SUM(I2246:M2247)</f>
        <v>601580</v>
      </c>
      <c r="O2246" s="224"/>
      <c r="P2246" s="110" t="s">
        <v>7387</v>
      </c>
      <c r="Q2246" s="15" t="s">
        <v>19</v>
      </c>
      <c r="R2246" s="205"/>
      <c r="S2246" s="189" t="s">
        <v>25513</v>
      </c>
      <c r="T2246" s="114"/>
      <c r="U2246" s="21"/>
      <c r="V2246" s="115">
        <v>45941</v>
      </c>
      <c r="W2246" s="116">
        <v>1271</v>
      </c>
      <c r="X2246" s="220">
        <v>620000</v>
      </c>
      <c r="Y2246" s="220">
        <v>62000</v>
      </c>
      <c r="Z2246" s="220">
        <v>17700</v>
      </c>
      <c r="AA2246" s="220">
        <f>SUM(X2246:Z2246)</f>
        <v>699700</v>
      </c>
      <c r="AB2246" s="222">
        <v>45951</v>
      </c>
    </row>
    <row r="2247" spans="1:28" ht="17.100000000000001" customHeight="1" thickBot="1">
      <c r="A2247" s="227"/>
      <c r="B2247" s="27" t="s">
        <v>2519</v>
      </c>
      <c r="C2247" s="27">
        <v>38073</v>
      </c>
      <c r="D2247" s="14" t="s">
        <v>273</v>
      </c>
      <c r="E2247" s="229"/>
      <c r="F2247" s="117" t="s">
        <v>7386</v>
      </c>
      <c r="G2247" s="26">
        <v>38054</v>
      </c>
      <c r="H2247" s="231"/>
      <c r="I2247" s="221"/>
      <c r="J2247" s="221"/>
      <c r="K2247" s="221"/>
      <c r="L2247" s="221"/>
      <c r="M2247" s="221"/>
      <c r="N2247" s="221"/>
      <c r="O2247" s="225"/>
      <c r="P2247" s="118" t="s">
        <v>8393</v>
      </c>
      <c r="Q2247" s="16" t="s">
        <v>20</v>
      </c>
      <c r="R2247" s="17" t="s">
        <v>7909</v>
      </c>
      <c r="S2247" s="121" t="s">
        <v>1731</v>
      </c>
      <c r="T2247" s="122"/>
      <c r="U2247" s="22"/>
      <c r="V2247" s="123" t="s">
        <v>6641</v>
      </c>
      <c r="W2247" s="122">
        <v>80296</v>
      </c>
      <c r="X2247" s="221"/>
      <c r="Y2247" s="221"/>
      <c r="Z2247" s="221"/>
      <c r="AA2247" s="221"/>
      <c r="AB2247" s="223"/>
    </row>
    <row r="2248" spans="1:28" ht="17.100000000000001" customHeight="1" thickTop="1">
      <c r="A2248" s="226" t="s">
        <v>7377</v>
      </c>
      <c r="B2248" s="28">
        <v>45938</v>
      </c>
      <c r="C2248" s="25">
        <v>1808</v>
      </c>
      <c r="D2248" s="13" t="s">
        <v>1762</v>
      </c>
      <c r="E2248" s="228"/>
      <c r="F2248" s="109" t="s">
        <v>3168</v>
      </c>
      <c r="G2248" s="24"/>
      <c r="H2248" s="230">
        <v>4.5</v>
      </c>
      <c r="I2248" s="220">
        <v>605000</v>
      </c>
      <c r="J2248" s="220">
        <f>I2248*0.1</f>
        <v>60500</v>
      </c>
      <c r="K2248" s="220">
        <v>0</v>
      </c>
      <c r="L2248" s="220">
        <v>17490</v>
      </c>
      <c r="M2248" s="220">
        <v>18150</v>
      </c>
      <c r="N2248" s="220">
        <f>SUM(I2248:M2249)</f>
        <v>701140</v>
      </c>
      <c r="O2248" s="224"/>
      <c r="P2248" s="110" t="s">
        <v>7921</v>
      </c>
      <c r="Q2248" s="15" t="s">
        <v>19</v>
      </c>
      <c r="R2248" s="205"/>
      <c r="S2248" s="189"/>
      <c r="T2248" s="114"/>
      <c r="U2248" s="21"/>
      <c r="V2248" s="115">
        <v>45941</v>
      </c>
      <c r="W2248" s="116">
        <v>1271</v>
      </c>
      <c r="X2248" s="220">
        <v>710000</v>
      </c>
      <c r="Y2248" s="220">
        <v>71000</v>
      </c>
      <c r="Z2248" s="220">
        <v>17490</v>
      </c>
      <c r="AA2248" s="220">
        <f>SUM(X2248:Z2248)</f>
        <v>798490</v>
      </c>
      <c r="AB2248" s="222">
        <v>45945</v>
      </c>
    </row>
    <row r="2249" spans="1:28" ht="17.100000000000001" customHeight="1" thickBot="1">
      <c r="A2249" s="227"/>
      <c r="B2249" s="27" t="s">
        <v>2519</v>
      </c>
      <c r="C2249" s="27">
        <v>38109</v>
      </c>
      <c r="D2249" s="14" t="s">
        <v>1797</v>
      </c>
      <c r="E2249" s="229"/>
      <c r="F2249" s="117" t="s">
        <v>7388</v>
      </c>
      <c r="G2249" s="26">
        <v>59175</v>
      </c>
      <c r="H2249" s="231"/>
      <c r="I2249" s="221"/>
      <c r="J2249" s="221"/>
      <c r="K2249" s="221"/>
      <c r="L2249" s="221"/>
      <c r="M2249" s="221"/>
      <c r="N2249" s="221"/>
      <c r="O2249" s="225"/>
      <c r="P2249" s="118" t="s">
        <v>2870</v>
      </c>
      <c r="Q2249" s="16" t="s">
        <v>20</v>
      </c>
      <c r="R2249" s="17" t="s">
        <v>7909</v>
      </c>
      <c r="S2249" s="121" t="s">
        <v>7716</v>
      </c>
      <c r="T2249" s="122"/>
      <c r="U2249" s="22"/>
      <c r="V2249" s="123" t="s">
        <v>2472</v>
      </c>
      <c r="W2249" s="122">
        <v>80298</v>
      </c>
      <c r="X2249" s="221"/>
      <c r="Y2249" s="221"/>
      <c r="Z2249" s="221"/>
      <c r="AA2249" s="221"/>
      <c r="AB2249" s="223"/>
    </row>
    <row r="2250" spans="1:28" ht="17.100000000000001" customHeight="1" thickTop="1">
      <c r="A2250" s="226" t="s">
        <v>7389</v>
      </c>
      <c r="B2250" s="28">
        <v>45938</v>
      </c>
      <c r="C2250" s="25">
        <v>1808</v>
      </c>
      <c r="D2250" s="13" t="s">
        <v>1935</v>
      </c>
      <c r="E2250" s="228"/>
      <c r="F2250" s="109" t="s">
        <v>7390</v>
      </c>
      <c r="G2250" s="24" t="s">
        <v>2871</v>
      </c>
      <c r="H2250" s="230">
        <v>4.5</v>
      </c>
      <c r="I2250" s="220">
        <v>1630000</v>
      </c>
      <c r="J2250" s="220">
        <f>I2250*0.1</f>
        <v>163000</v>
      </c>
      <c r="K2250" s="220">
        <f>16400+1640</f>
        <v>18040</v>
      </c>
      <c r="L2250" s="220">
        <v>15790</v>
      </c>
      <c r="M2250" s="220">
        <v>18150</v>
      </c>
      <c r="N2250" s="220">
        <f>SUM(I2250:M2251)</f>
        <v>1844980</v>
      </c>
      <c r="O2250" s="224"/>
      <c r="P2250" s="110" t="s">
        <v>7392</v>
      </c>
      <c r="Q2250" s="15" t="s">
        <v>19</v>
      </c>
      <c r="R2250" s="205"/>
      <c r="S2250" s="189" t="s">
        <v>25415</v>
      </c>
      <c r="T2250" s="114"/>
      <c r="U2250" s="21"/>
      <c r="V2250" s="115">
        <v>45941</v>
      </c>
      <c r="W2250" s="116">
        <v>1271</v>
      </c>
      <c r="X2250" s="220">
        <v>1785000</v>
      </c>
      <c r="Y2250" s="220">
        <v>178500</v>
      </c>
      <c r="Z2250" s="220">
        <v>15790</v>
      </c>
      <c r="AA2250" s="220">
        <f>SUM(X2250:Z2250)</f>
        <v>1979290</v>
      </c>
      <c r="AB2250" s="222">
        <v>45944</v>
      </c>
    </row>
    <row r="2251" spans="1:28" ht="17.100000000000001" customHeight="1" thickBot="1">
      <c r="A2251" s="227"/>
      <c r="B2251" s="27" t="s">
        <v>2519</v>
      </c>
      <c r="C2251" s="27">
        <v>38171</v>
      </c>
      <c r="D2251" s="14" t="s">
        <v>2559</v>
      </c>
      <c r="E2251" s="229"/>
      <c r="F2251" s="117" t="s">
        <v>7391</v>
      </c>
      <c r="G2251" s="26">
        <v>59249</v>
      </c>
      <c r="H2251" s="231"/>
      <c r="I2251" s="221"/>
      <c r="J2251" s="221"/>
      <c r="K2251" s="221"/>
      <c r="L2251" s="221"/>
      <c r="M2251" s="221"/>
      <c r="N2251" s="221"/>
      <c r="O2251" s="225"/>
      <c r="P2251" s="118" t="s">
        <v>2287</v>
      </c>
      <c r="Q2251" s="16" t="s">
        <v>20</v>
      </c>
      <c r="R2251" s="17" t="s">
        <v>3236</v>
      </c>
      <c r="S2251" s="121" t="s">
        <v>1731</v>
      </c>
      <c r="T2251" s="122"/>
      <c r="U2251" s="22"/>
      <c r="V2251" s="123" t="s">
        <v>2472</v>
      </c>
      <c r="W2251" s="122">
        <v>80294</v>
      </c>
      <c r="X2251" s="221"/>
      <c r="Y2251" s="221"/>
      <c r="Z2251" s="221"/>
      <c r="AA2251" s="221"/>
      <c r="AB2251" s="223"/>
    </row>
    <row r="2252" spans="1:28" ht="17.100000000000001" customHeight="1" thickTop="1">
      <c r="A2252" s="226" t="s">
        <v>7508</v>
      </c>
      <c r="B2252" s="28">
        <v>45939</v>
      </c>
      <c r="C2252" s="25">
        <v>1536</v>
      </c>
      <c r="D2252" s="13" t="s">
        <v>1589</v>
      </c>
      <c r="E2252" s="228"/>
      <c r="F2252" s="109" t="s">
        <v>2685</v>
      </c>
      <c r="G2252" s="24"/>
      <c r="H2252" s="230">
        <v>4.5</v>
      </c>
      <c r="I2252" s="220">
        <v>990000</v>
      </c>
      <c r="J2252" s="220">
        <f>I2252*0.1</f>
        <v>99000</v>
      </c>
      <c r="K2252" s="220">
        <v>0</v>
      </c>
      <c r="L2252" s="220">
        <v>19090</v>
      </c>
      <c r="M2252" s="220">
        <v>16500</v>
      </c>
      <c r="N2252" s="220">
        <f>SUM(I2252:M2253)</f>
        <v>1124590</v>
      </c>
      <c r="O2252" s="224"/>
      <c r="P2252" s="110" t="s">
        <v>8312</v>
      </c>
      <c r="Q2252" s="15" t="s">
        <v>19</v>
      </c>
      <c r="R2252" s="205"/>
      <c r="S2252" s="189" t="s">
        <v>283</v>
      </c>
      <c r="T2252" s="114"/>
      <c r="U2252" s="21"/>
      <c r="V2252" s="115">
        <v>46053</v>
      </c>
      <c r="W2252" s="116">
        <v>1286</v>
      </c>
      <c r="X2252" s="220">
        <v>1060000</v>
      </c>
      <c r="Y2252" s="220">
        <f>X2252*0.1</f>
        <v>106000</v>
      </c>
      <c r="Z2252" s="220">
        <v>19090</v>
      </c>
      <c r="AA2252" s="220">
        <f>SUM(X2252:Z2252)</f>
        <v>1185090</v>
      </c>
      <c r="AB2252" s="222">
        <v>46056</v>
      </c>
    </row>
    <row r="2253" spans="1:28" ht="17.100000000000001" customHeight="1" thickBot="1">
      <c r="A2253" s="227"/>
      <c r="B2253" s="27" t="s">
        <v>1592</v>
      </c>
      <c r="C2253" s="27">
        <v>76104</v>
      </c>
      <c r="D2253" s="14" t="s">
        <v>1797</v>
      </c>
      <c r="E2253" s="229"/>
      <c r="F2253" s="117" t="s">
        <v>7510</v>
      </c>
      <c r="G2253" s="26">
        <v>71029</v>
      </c>
      <c r="H2253" s="231"/>
      <c r="I2253" s="221"/>
      <c r="J2253" s="221"/>
      <c r="K2253" s="221"/>
      <c r="L2253" s="221"/>
      <c r="M2253" s="221"/>
      <c r="N2253" s="221"/>
      <c r="O2253" s="225"/>
      <c r="P2253" s="118" t="s">
        <v>8313</v>
      </c>
      <c r="Q2253" s="16" t="s">
        <v>20</v>
      </c>
      <c r="R2253" s="17" t="s">
        <v>1630</v>
      </c>
      <c r="S2253" s="121" t="s">
        <v>8314</v>
      </c>
      <c r="T2253" s="122"/>
      <c r="U2253" s="22"/>
      <c r="V2253" s="123" t="s">
        <v>7160</v>
      </c>
      <c r="W2253" s="122">
        <v>80102</v>
      </c>
      <c r="X2253" s="221"/>
      <c r="Y2253" s="221"/>
      <c r="Z2253" s="221"/>
      <c r="AA2253" s="221"/>
      <c r="AB2253" s="223"/>
    </row>
    <row r="2254" spans="1:28" ht="17.100000000000001" customHeight="1" thickTop="1">
      <c r="A2254" s="226" t="s">
        <v>7509</v>
      </c>
      <c r="B2254" s="28">
        <v>45939</v>
      </c>
      <c r="C2254" s="25">
        <v>1536</v>
      </c>
      <c r="D2254" s="13" t="s">
        <v>2264</v>
      </c>
      <c r="E2254" s="228"/>
      <c r="F2254" s="109" t="s">
        <v>3718</v>
      </c>
      <c r="G2254" s="24" t="s">
        <v>2810</v>
      </c>
      <c r="H2254" s="230">
        <v>4.5</v>
      </c>
      <c r="I2254" s="220">
        <v>2000000</v>
      </c>
      <c r="J2254" s="220">
        <f>I2254*0.1</f>
        <v>200000</v>
      </c>
      <c r="K2254" s="220">
        <f>12700+1270</f>
        <v>13970</v>
      </c>
      <c r="L2254" s="220">
        <v>11740</v>
      </c>
      <c r="M2254" s="220">
        <v>27500</v>
      </c>
      <c r="N2254" s="220">
        <f>SUM(I2254:M2255)</f>
        <v>2253210</v>
      </c>
      <c r="O2254" s="224"/>
      <c r="P2254" s="110" t="s">
        <v>7404</v>
      </c>
      <c r="Q2254" s="15" t="s">
        <v>19</v>
      </c>
      <c r="R2254" s="205"/>
      <c r="S2254" s="189" t="s">
        <v>25514</v>
      </c>
      <c r="T2254" s="114"/>
      <c r="U2254" s="21"/>
      <c r="V2254" s="115"/>
      <c r="W2254" s="116"/>
      <c r="X2254" s="220"/>
      <c r="Y2254" s="220">
        <f>X2254*0.1</f>
        <v>0</v>
      </c>
      <c r="Z2254" s="220"/>
      <c r="AA2254" s="220">
        <f>SUM(X2254:Z2254)</f>
        <v>0</v>
      </c>
      <c r="AB2254" s="222"/>
    </row>
    <row r="2255" spans="1:28" ht="17.100000000000001" customHeight="1" thickBot="1">
      <c r="A2255" s="227"/>
      <c r="B2255" s="27" t="s">
        <v>1592</v>
      </c>
      <c r="C2255" s="27">
        <v>79058</v>
      </c>
      <c r="D2255" s="14" t="s">
        <v>131</v>
      </c>
      <c r="E2255" s="229"/>
      <c r="F2255" s="117" t="s">
        <v>7403</v>
      </c>
      <c r="G2255" s="26">
        <v>34928</v>
      </c>
      <c r="H2255" s="231"/>
      <c r="I2255" s="221"/>
      <c r="J2255" s="221"/>
      <c r="K2255" s="221"/>
      <c r="L2255" s="221"/>
      <c r="M2255" s="221"/>
      <c r="N2255" s="221"/>
      <c r="O2255" s="225"/>
      <c r="P2255" s="118" t="s">
        <v>7941</v>
      </c>
      <c r="Q2255" s="16" t="s">
        <v>20</v>
      </c>
      <c r="R2255" s="17" t="s">
        <v>2136</v>
      </c>
      <c r="S2255" s="121" t="s">
        <v>3861</v>
      </c>
      <c r="T2255" s="122"/>
      <c r="U2255" s="22" t="s">
        <v>3427</v>
      </c>
      <c r="V2255" s="123"/>
      <c r="W2255" s="122"/>
      <c r="X2255" s="221"/>
      <c r="Y2255" s="221"/>
      <c r="Z2255" s="221"/>
      <c r="AA2255" s="221"/>
      <c r="AB2255" s="223"/>
    </row>
    <row r="2256" spans="1:28" ht="17.100000000000001" customHeight="1" thickTop="1">
      <c r="A2256" s="226" t="s">
        <v>7511</v>
      </c>
      <c r="B2256" s="28">
        <v>45939</v>
      </c>
      <c r="C2256" s="25">
        <v>1997</v>
      </c>
      <c r="D2256" s="13" t="s">
        <v>1740</v>
      </c>
      <c r="E2256" s="228"/>
      <c r="F2256" s="109" t="s">
        <v>7516</v>
      </c>
      <c r="G2256" s="24"/>
      <c r="H2256" s="230">
        <v>4</v>
      </c>
      <c r="I2256" s="220">
        <v>1099000</v>
      </c>
      <c r="J2256" s="220">
        <f>I2256*0.1</f>
        <v>109900</v>
      </c>
      <c r="K2256" s="220">
        <v>0</v>
      </c>
      <c r="L2256" s="220">
        <v>14930</v>
      </c>
      <c r="M2256" s="220">
        <v>22000</v>
      </c>
      <c r="N2256" s="220">
        <f>SUM(I2256:M2257)</f>
        <v>1245830</v>
      </c>
      <c r="O2256" s="224"/>
      <c r="P2256" s="110" t="s">
        <v>8290</v>
      </c>
      <c r="Q2256" s="15" t="s">
        <v>19</v>
      </c>
      <c r="R2256" s="205"/>
      <c r="S2256" s="189" t="s">
        <v>25515</v>
      </c>
      <c r="T2256" s="114"/>
      <c r="U2256" s="21"/>
      <c r="V2256" s="115">
        <v>45966</v>
      </c>
      <c r="W2256" s="116">
        <v>991</v>
      </c>
      <c r="X2256" s="220">
        <v>1130000</v>
      </c>
      <c r="Y2256" s="220">
        <f>X2256*0.1</f>
        <v>113000</v>
      </c>
      <c r="Z2256" s="220">
        <v>14930</v>
      </c>
      <c r="AA2256" s="220">
        <f>SUM(X2256:Z2256)</f>
        <v>1257930</v>
      </c>
      <c r="AB2256" s="222">
        <v>45971</v>
      </c>
    </row>
    <row r="2257" spans="1:28" ht="17.100000000000001" customHeight="1" thickBot="1">
      <c r="A2257" s="227"/>
      <c r="B2257" s="27" t="s">
        <v>2171</v>
      </c>
      <c r="C2257" s="27">
        <v>30087</v>
      </c>
      <c r="D2257" s="14" t="s">
        <v>2559</v>
      </c>
      <c r="E2257" s="229"/>
      <c r="F2257" s="117" t="s">
        <v>7515</v>
      </c>
      <c r="G2257" s="26">
        <v>87291</v>
      </c>
      <c r="H2257" s="231"/>
      <c r="I2257" s="221"/>
      <c r="J2257" s="221"/>
      <c r="K2257" s="221"/>
      <c r="L2257" s="221"/>
      <c r="M2257" s="221"/>
      <c r="N2257" s="221"/>
      <c r="O2257" s="225"/>
      <c r="P2257" s="118" t="s">
        <v>8291</v>
      </c>
      <c r="Q2257" s="16" t="s">
        <v>20</v>
      </c>
      <c r="R2257" s="17" t="s">
        <v>1630</v>
      </c>
      <c r="S2257" s="121" t="s">
        <v>3547</v>
      </c>
      <c r="T2257" s="122"/>
      <c r="U2257" s="22"/>
      <c r="V2257" s="123" t="s">
        <v>2747</v>
      </c>
      <c r="W2257" s="122">
        <v>6031</v>
      </c>
      <c r="X2257" s="221"/>
      <c r="Y2257" s="221"/>
      <c r="Z2257" s="221"/>
      <c r="AA2257" s="221"/>
      <c r="AB2257" s="223"/>
    </row>
    <row r="2258" spans="1:28" ht="17.100000000000001" customHeight="1" thickTop="1">
      <c r="A2258" s="226" t="s">
        <v>7512</v>
      </c>
      <c r="B2258" s="28">
        <v>45939</v>
      </c>
      <c r="C2258" s="25">
        <v>1997</v>
      </c>
      <c r="D2258" s="13" t="s">
        <v>2094</v>
      </c>
      <c r="E2258" s="228"/>
      <c r="F2258" s="109" t="s">
        <v>4601</v>
      </c>
      <c r="G2258" s="24" t="s">
        <v>4315</v>
      </c>
      <c r="H2258" s="230">
        <v>4.5</v>
      </c>
      <c r="I2258" s="220">
        <v>1551000</v>
      </c>
      <c r="J2258" s="220">
        <f>I2258*0.1</f>
        <v>155100</v>
      </c>
      <c r="K2258" s="220">
        <v>0</v>
      </c>
      <c r="L2258" s="220">
        <v>8630</v>
      </c>
      <c r="M2258" s="220">
        <v>22000</v>
      </c>
      <c r="N2258" s="220">
        <f>SUM(I2258:M2259)</f>
        <v>1736730</v>
      </c>
      <c r="O2258" s="224"/>
      <c r="P2258" s="110" t="s">
        <v>7406</v>
      </c>
      <c r="Q2258" s="15" t="s">
        <v>19</v>
      </c>
      <c r="R2258" s="205"/>
      <c r="S2258" s="189" t="s">
        <v>1361</v>
      </c>
      <c r="T2258" s="114"/>
      <c r="U2258" s="21"/>
      <c r="V2258" s="115">
        <v>45948</v>
      </c>
      <c r="W2258" s="116">
        <v>1272</v>
      </c>
      <c r="X2258" s="220">
        <v>1625000</v>
      </c>
      <c r="Y2258" s="220">
        <f>X2258*0.1</f>
        <v>162500</v>
      </c>
      <c r="Z2258" s="220">
        <v>8630</v>
      </c>
      <c r="AA2258" s="220">
        <f>SUM(X2258:Z2258)</f>
        <v>1796130</v>
      </c>
      <c r="AB2258" s="222">
        <v>45951</v>
      </c>
    </row>
    <row r="2259" spans="1:28" ht="17.100000000000001" customHeight="1" thickBot="1">
      <c r="A2259" s="227"/>
      <c r="B2259" s="27" t="s">
        <v>2171</v>
      </c>
      <c r="C2259" s="27">
        <v>50053</v>
      </c>
      <c r="D2259" s="14" t="s">
        <v>2559</v>
      </c>
      <c r="E2259" s="229"/>
      <c r="F2259" s="117" t="s">
        <v>7405</v>
      </c>
      <c r="G2259" s="26">
        <v>281</v>
      </c>
      <c r="H2259" s="231"/>
      <c r="I2259" s="221"/>
      <c r="J2259" s="221"/>
      <c r="K2259" s="221"/>
      <c r="L2259" s="221"/>
      <c r="M2259" s="221"/>
      <c r="N2259" s="221"/>
      <c r="O2259" s="225"/>
      <c r="P2259" s="118" t="s">
        <v>2287</v>
      </c>
      <c r="Q2259" s="16" t="s">
        <v>20</v>
      </c>
      <c r="R2259" s="17" t="s">
        <v>1630</v>
      </c>
      <c r="S2259" s="121" t="s">
        <v>1731</v>
      </c>
      <c r="T2259" s="122"/>
      <c r="U2259" s="22"/>
      <c r="V2259" s="123" t="s">
        <v>2472</v>
      </c>
      <c r="W2259" s="122">
        <v>60007</v>
      </c>
      <c r="X2259" s="221"/>
      <c r="Y2259" s="221"/>
      <c r="Z2259" s="221"/>
      <c r="AA2259" s="221"/>
      <c r="AB2259" s="223"/>
    </row>
    <row r="2260" spans="1:28" ht="17.100000000000001" customHeight="1" thickTop="1">
      <c r="A2260" s="226" t="s">
        <v>7513</v>
      </c>
      <c r="B2260" s="28">
        <v>45939</v>
      </c>
      <c r="C2260" s="25">
        <v>1997</v>
      </c>
      <c r="D2260" s="13" t="s">
        <v>3773</v>
      </c>
      <c r="E2260" s="228"/>
      <c r="F2260" s="109" t="s">
        <v>7407</v>
      </c>
      <c r="G2260" s="24"/>
      <c r="H2260" s="230">
        <v>4</v>
      </c>
      <c r="I2260" s="220">
        <v>274000</v>
      </c>
      <c r="J2260" s="220">
        <f>I2260*0.1</f>
        <v>27400</v>
      </c>
      <c r="K2260" s="220">
        <v>0</v>
      </c>
      <c r="L2260" s="220">
        <v>10020</v>
      </c>
      <c r="M2260" s="220">
        <v>22000</v>
      </c>
      <c r="N2260" s="220">
        <f>SUM(I2260:M2261)</f>
        <v>333420</v>
      </c>
      <c r="O2260" s="224"/>
      <c r="P2260" s="110" t="s">
        <v>8630</v>
      </c>
      <c r="Q2260" s="15" t="s">
        <v>19</v>
      </c>
      <c r="R2260" s="205"/>
      <c r="S2260" s="189" t="s">
        <v>25413</v>
      </c>
      <c r="T2260" s="114"/>
      <c r="U2260" s="21"/>
      <c r="V2260" s="115">
        <v>45955</v>
      </c>
      <c r="W2260" s="116">
        <v>1273</v>
      </c>
      <c r="X2260" s="220">
        <v>265000</v>
      </c>
      <c r="Y2260" s="220">
        <f>X2260*0.1</f>
        <v>26500</v>
      </c>
      <c r="Z2260" s="220">
        <v>10020</v>
      </c>
      <c r="AA2260" s="220">
        <f>SUM(X2260:Z2260)</f>
        <v>301520</v>
      </c>
      <c r="AB2260" s="222">
        <v>45958</v>
      </c>
    </row>
    <row r="2261" spans="1:28" ht="17.100000000000001" customHeight="1" thickBot="1">
      <c r="A2261" s="227"/>
      <c r="B2261" s="27" t="s">
        <v>2171</v>
      </c>
      <c r="C2261" s="27">
        <v>50100</v>
      </c>
      <c r="D2261" s="14" t="s">
        <v>2559</v>
      </c>
      <c r="E2261" s="229"/>
      <c r="F2261" s="117" t="s">
        <v>7408</v>
      </c>
      <c r="G2261" s="26">
        <v>52353</v>
      </c>
      <c r="H2261" s="231"/>
      <c r="I2261" s="221"/>
      <c r="J2261" s="221"/>
      <c r="K2261" s="221"/>
      <c r="L2261" s="221"/>
      <c r="M2261" s="221"/>
      <c r="N2261" s="221"/>
      <c r="O2261" s="225"/>
      <c r="P2261" s="118" t="s">
        <v>8631</v>
      </c>
      <c r="Q2261" s="16" t="s">
        <v>20</v>
      </c>
      <c r="R2261" s="17" t="s">
        <v>8602</v>
      </c>
      <c r="S2261" s="121" t="s">
        <v>1731</v>
      </c>
      <c r="T2261" s="122"/>
      <c r="U2261" s="22"/>
      <c r="V2261" s="123" t="s">
        <v>2472</v>
      </c>
      <c r="W2261" s="122">
        <v>60073</v>
      </c>
      <c r="X2261" s="221"/>
      <c r="Y2261" s="221"/>
      <c r="Z2261" s="221"/>
      <c r="AA2261" s="221"/>
      <c r="AB2261" s="223"/>
    </row>
    <row r="2262" spans="1:28" ht="17.100000000000001" customHeight="1" thickTop="1">
      <c r="A2262" s="226" t="s">
        <v>7514</v>
      </c>
      <c r="B2262" s="28">
        <v>45939</v>
      </c>
      <c r="C2262" s="25">
        <v>1997</v>
      </c>
      <c r="D2262" s="13" t="s">
        <v>1615</v>
      </c>
      <c r="E2262" s="228"/>
      <c r="F2262" s="109" t="s">
        <v>4145</v>
      </c>
      <c r="G2262" s="24"/>
      <c r="H2262" s="230">
        <v>3.5</v>
      </c>
      <c r="I2262" s="220">
        <v>102000</v>
      </c>
      <c r="J2262" s="220">
        <f>I2262*0.1</f>
        <v>10200</v>
      </c>
      <c r="K2262" s="220">
        <v>0</v>
      </c>
      <c r="L2262" s="220">
        <v>8930</v>
      </c>
      <c r="M2262" s="220">
        <v>22000</v>
      </c>
      <c r="N2262" s="220">
        <f>SUM(I2262:M2263)</f>
        <v>143130</v>
      </c>
      <c r="O2262" s="224"/>
      <c r="P2262" s="110" t="s">
        <v>8288</v>
      </c>
      <c r="Q2262" s="15" t="s">
        <v>19</v>
      </c>
      <c r="R2262" s="205"/>
      <c r="S2262" s="189"/>
      <c r="T2262" s="114"/>
      <c r="U2262" s="21"/>
      <c r="V2262" s="115">
        <v>45955</v>
      </c>
      <c r="W2262" s="116">
        <v>1273</v>
      </c>
      <c r="X2262" s="220">
        <v>180000</v>
      </c>
      <c r="Y2262" s="220">
        <f>X2262*0.1</f>
        <v>18000</v>
      </c>
      <c r="Z2262" s="220">
        <v>8930</v>
      </c>
      <c r="AA2262" s="220">
        <f>SUM(X2262:Z2262)</f>
        <v>206930</v>
      </c>
      <c r="AB2262" s="222">
        <v>45960</v>
      </c>
    </row>
    <row r="2263" spans="1:28" ht="17.100000000000001" customHeight="1" thickBot="1">
      <c r="A2263" s="227"/>
      <c r="B2263" s="27" t="s">
        <v>2171</v>
      </c>
      <c r="C2263" s="27">
        <v>90347</v>
      </c>
      <c r="D2263" s="14" t="s">
        <v>2559</v>
      </c>
      <c r="E2263" s="229"/>
      <c r="F2263" s="117" t="s">
        <v>7409</v>
      </c>
      <c r="G2263" s="26">
        <v>69898</v>
      </c>
      <c r="H2263" s="231"/>
      <c r="I2263" s="221"/>
      <c r="J2263" s="221"/>
      <c r="K2263" s="221"/>
      <c r="L2263" s="221"/>
      <c r="M2263" s="221"/>
      <c r="N2263" s="221"/>
      <c r="O2263" s="225"/>
      <c r="P2263" s="118" t="s">
        <v>8289</v>
      </c>
      <c r="Q2263" s="16" t="s">
        <v>20</v>
      </c>
      <c r="R2263" s="17" t="s">
        <v>1630</v>
      </c>
      <c r="S2263" s="121"/>
      <c r="T2263" s="122"/>
      <c r="U2263" s="22"/>
      <c r="V2263" s="123" t="s">
        <v>2472</v>
      </c>
      <c r="W2263" s="122">
        <v>60064</v>
      </c>
      <c r="X2263" s="221"/>
      <c r="Y2263" s="221"/>
      <c r="Z2263" s="221"/>
      <c r="AA2263" s="221"/>
      <c r="AB2263" s="223"/>
    </row>
    <row r="2264" spans="1:28" ht="17.100000000000001" customHeight="1" thickTop="1">
      <c r="A2264" s="226" t="s">
        <v>7517</v>
      </c>
      <c r="B2264" s="28">
        <v>45939</v>
      </c>
      <c r="C2264" s="25">
        <v>1953</v>
      </c>
      <c r="D2264" s="13" t="s">
        <v>7427</v>
      </c>
      <c r="E2264" s="228"/>
      <c r="F2264" s="109" t="s">
        <v>7429</v>
      </c>
      <c r="G2264" s="24"/>
      <c r="H2264" s="230">
        <v>4.5</v>
      </c>
      <c r="I2264" s="220">
        <v>654000</v>
      </c>
      <c r="J2264" s="220">
        <f>I2264*0.1</f>
        <v>65400</v>
      </c>
      <c r="K2264" s="220">
        <v>0</v>
      </c>
      <c r="L2264" s="220">
        <v>7860</v>
      </c>
      <c r="M2264" s="220">
        <v>17050</v>
      </c>
      <c r="N2264" s="220">
        <f>SUM(I2264:M2265)</f>
        <v>744310</v>
      </c>
      <c r="O2264" s="224"/>
      <c r="P2264" s="110" t="s">
        <v>7918</v>
      </c>
      <c r="Q2264" s="15" t="s">
        <v>19</v>
      </c>
      <c r="R2264" s="205"/>
      <c r="S2264" s="189" t="s">
        <v>758</v>
      </c>
      <c r="T2264" s="114"/>
      <c r="U2264" s="21"/>
      <c r="V2264" s="115">
        <v>45948</v>
      </c>
      <c r="W2264" s="116">
        <v>1272</v>
      </c>
      <c r="X2264" s="220">
        <v>750000</v>
      </c>
      <c r="Y2264" s="220">
        <f>X2264*0.1</f>
        <v>75000</v>
      </c>
      <c r="Z2264" s="220">
        <v>7860</v>
      </c>
      <c r="AA2264" s="220">
        <f>SUM(X2264:Z2264)</f>
        <v>832860</v>
      </c>
      <c r="AB2264" s="222">
        <v>45951</v>
      </c>
    </row>
    <row r="2265" spans="1:28" ht="17.100000000000001" customHeight="1" thickBot="1">
      <c r="A2265" s="227"/>
      <c r="B2265" s="27" t="s">
        <v>7426</v>
      </c>
      <c r="C2265" s="27">
        <v>3048</v>
      </c>
      <c r="D2265" s="14" t="s">
        <v>7428</v>
      </c>
      <c r="E2265" s="229"/>
      <c r="F2265" s="117" t="s">
        <v>7430</v>
      </c>
      <c r="G2265" s="26">
        <v>52600</v>
      </c>
      <c r="H2265" s="231"/>
      <c r="I2265" s="221"/>
      <c r="J2265" s="221"/>
      <c r="K2265" s="221"/>
      <c r="L2265" s="221"/>
      <c r="M2265" s="221"/>
      <c r="N2265" s="221"/>
      <c r="O2265" s="225"/>
      <c r="P2265" s="118" t="s">
        <v>7919</v>
      </c>
      <c r="Q2265" s="16" t="s">
        <v>20</v>
      </c>
      <c r="R2265" s="17" t="s">
        <v>7909</v>
      </c>
      <c r="S2265" s="121" t="s">
        <v>8320</v>
      </c>
      <c r="T2265" s="122"/>
      <c r="U2265" s="22"/>
      <c r="V2265" s="123" t="s">
        <v>2472</v>
      </c>
      <c r="W2265" s="122">
        <v>60067</v>
      </c>
      <c r="X2265" s="221"/>
      <c r="Y2265" s="221"/>
      <c r="Z2265" s="221"/>
      <c r="AA2265" s="221"/>
      <c r="AB2265" s="223"/>
    </row>
    <row r="2266" spans="1:28" ht="17.100000000000001" customHeight="1" thickTop="1">
      <c r="A2266" s="226" t="s">
        <v>7518</v>
      </c>
      <c r="B2266" s="28">
        <v>45939</v>
      </c>
      <c r="C2266" s="25">
        <v>1953</v>
      </c>
      <c r="D2266" s="13" t="s">
        <v>7431</v>
      </c>
      <c r="E2266" s="228"/>
      <c r="F2266" s="109" t="s">
        <v>7433</v>
      </c>
      <c r="G2266" s="24" t="s">
        <v>7435</v>
      </c>
      <c r="H2266" s="230">
        <v>4.5</v>
      </c>
      <c r="I2266" s="220">
        <v>803000</v>
      </c>
      <c r="J2266" s="220">
        <f>I2266*0.1</f>
        <v>80300</v>
      </c>
      <c r="K2266" s="220">
        <v>0</v>
      </c>
      <c r="L2266" s="220">
        <v>8400</v>
      </c>
      <c r="M2266" s="220">
        <v>15950</v>
      </c>
      <c r="N2266" s="220">
        <f>SUM(I2266:M2267)</f>
        <v>907650</v>
      </c>
      <c r="O2266" s="224"/>
      <c r="P2266" s="110" t="s">
        <v>7436</v>
      </c>
      <c r="Q2266" s="15" t="s">
        <v>19</v>
      </c>
      <c r="R2266" s="205"/>
      <c r="S2266" s="189"/>
      <c r="T2266" s="114"/>
      <c r="U2266" s="21"/>
      <c r="V2266" s="115">
        <v>45948</v>
      </c>
      <c r="W2266" s="116">
        <v>1272</v>
      </c>
      <c r="X2266" s="220">
        <v>930000</v>
      </c>
      <c r="Y2266" s="220">
        <f>X2266*0.1</f>
        <v>93000</v>
      </c>
      <c r="Z2266" s="220">
        <v>8400</v>
      </c>
      <c r="AA2266" s="220">
        <f>SUM(X2266:Z2266)</f>
        <v>1031400</v>
      </c>
      <c r="AB2266" s="222">
        <v>45952</v>
      </c>
    </row>
    <row r="2267" spans="1:28" ht="17.100000000000001" customHeight="1" thickBot="1">
      <c r="A2267" s="227"/>
      <c r="B2267" s="27" t="s">
        <v>7426</v>
      </c>
      <c r="C2267" s="27">
        <v>5402</v>
      </c>
      <c r="D2267" s="14" t="s">
        <v>7432</v>
      </c>
      <c r="E2267" s="229"/>
      <c r="F2267" s="117" t="s">
        <v>7434</v>
      </c>
      <c r="G2267" s="26">
        <v>68259</v>
      </c>
      <c r="H2267" s="231"/>
      <c r="I2267" s="221"/>
      <c r="J2267" s="221"/>
      <c r="K2267" s="221"/>
      <c r="L2267" s="221"/>
      <c r="M2267" s="221"/>
      <c r="N2267" s="221"/>
      <c r="O2267" s="225"/>
      <c r="P2267" s="118" t="s">
        <v>8117</v>
      </c>
      <c r="Q2267" s="16" t="s">
        <v>20</v>
      </c>
      <c r="R2267" s="17" t="s">
        <v>1614</v>
      </c>
      <c r="S2267" s="121" t="s">
        <v>3566</v>
      </c>
      <c r="T2267" s="122"/>
      <c r="U2267" s="22"/>
      <c r="V2267" s="123" t="s">
        <v>2472</v>
      </c>
      <c r="W2267" s="122">
        <v>60063</v>
      </c>
      <c r="X2267" s="221"/>
      <c r="Y2267" s="221"/>
      <c r="Z2267" s="221"/>
      <c r="AA2267" s="221"/>
      <c r="AB2267" s="223"/>
    </row>
    <row r="2268" spans="1:28" ht="17.100000000000001" customHeight="1" thickTop="1">
      <c r="A2268" s="226" t="s">
        <v>7519</v>
      </c>
      <c r="B2268" s="28">
        <v>45939</v>
      </c>
      <c r="C2268" s="25">
        <v>1236</v>
      </c>
      <c r="D2268" s="13" t="s">
        <v>7438</v>
      </c>
      <c r="E2268" s="228"/>
      <c r="F2268" s="109" t="s">
        <v>7439</v>
      </c>
      <c r="G2268" s="24"/>
      <c r="H2268" s="230">
        <v>4</v>
      </c>
      <c r="I2268" s="220">
        <v>878000</v>
      </c>
      <c r="J2268" s="220">
        <f>I2268*0.1</f>
        <v>87800</v>
      </c>
      <c r="K2268" s="220">
        <v>0</v>
      </c>
      <c r="L2268" s="220">
        <v>16240</v>
      </c>
      <c r="M2268" s="220">
        <v>15950</v>
      </c>
      <c r="N2268" s="220">
        <f>SUM(I2268:M2269)</f>
        <v>997990</v>
      </c>
      <c r="O2268" s="224"/>
      <c r="P2268" s="110" t="s">
        <v>8188</v>
      </c>
      <c r="Q2268" s="15" t="s">
        <v>19</v>
      </c>
      <c r="R2268" s="205"/>
      <c r="S2268" s="189"/>
      <c r="T2268" s="114"/>
      <c r="U2268" s="21"/>
      <c r="V2268" s="115">
        <v>45948</v>
      </c>
      <c r="W2268" s="116">
        <v>1694</v>
      </c>
      <c r="X2268" s="220">
        <v>1290000</v>
      </c>
      <c r="Y2268" s="220">
        <f>X2268*0.1</f>
        <v>129000</v>
      </c>
      <c r="Z2268" s="220">
        <v>16240</v>
      </c>
      <c r="AA2268" s="220">
        <f>SUM(X2268:Z2268)</f>
        <v>1435240</v>
      </c>
      <c r="AB2268" s="222">
        <v>45949</v>
      </c>
    </row>
    <row r="2269" spans="1:28" ht="17.100000000000001" customHeight="1" thickBot="1">
      <c r="A2269" s="227"/>
      <c r="B2269" s="27" t="s">
        <v>7437</v>
      </c>
      <c r="C2269" s="27">
        <v>78005</v>
      </c>
      <c r="D2269" s="14" t="s">
        <v>7428</v>
      </c>
      <c r="E2269" s="229"/>
      <c r="F2269" s="117" t="s">
        <v>7440</v>
      </c>
      <c r="G2269" s="26">
        <v>10477</v>
      </c>
      <c r="H2269" s="231"/>
      <c r="I2269" s="221"/>
      <c r="J2269" s="221"/>
      <c r="K2269" s="221"/>
      <c r="L2269" s="221"/>
      <c r="M2269" s="221"/>
      <c r="N2269" s="221"/>
      <c r="O2269" s="225"/>
      <c r="P2269" s="118" t="s">
        <v>8189</v>
      </c>
      <c r="Q2269" s="16" t="s">
        <v>20</v>
      </c>
      <c r="R2269" s="17" t="s">
        <v>1614</v>
      </c>
      <c r="S2269" s="121"/>
      <c r="T2269" s="122"/>
      <c r="U2269" s="22"/>
      <c r="V2269" s="123" t="s">
        <v>1842</v>
      </c>
      <c r="W2269" s="122">
        <v>491</v>
      </c>
      <c r="X2269" s="221"/>
      <c r="Y2269" s="221"/>
      <c r="Z2269" s="221"/>
      <c r="AA2269" s="221"/>
      <c r="AB2269" s="223"/>
    </row>
    <row r="2270" spans="1:28" ht="17.100000000000001" customHeight="1" thickTop="1">
      <c r="A2270" s="226" t="s">
        <v>7520</v>
      </c>
      <c r="B2270" s="28">
        <v>45939</v>
      </c>
      <c r="C2270" s="25">
        <v>1301</v>
      </c>
      <c r="D2270" s="13" t="s">
        <v>7442</v>
      </c>
      <c r="E2270" s="228"/>
      <c r="F2270" s="109" t="s">
        <v>7443</v>
      </c>
      <c r="G2270" s="24" t="s">
        <v>7445</v>
      </c>
      <c r="H2270" s="230">
        <v>4.5</v>
      </c>
      <c r="I2270" s="220">
        <v>6000000</v>
      </c>
      <c r="J2270" s="220">
        <f>I2270*0.1</f>
        <v>600000</v>
      </c>
      <c r="K2270" s="220">
        <v>23320</v>
      </c>
      <c r="L2270" s="220">
        <v>19780</v>
      </c>
      <c r="M2270" s="220">
        <v>14300</v>
      </c>
      <c r="N2270" s="220">
        <f>SUM(I2270:M2271)</f>
        <v>6657400</v>
      </c>
      <c r="O2270" s="224"/>
      <c r="P2270" s="110" t="s">
        <v>7446</v>
      </c>
      <c r="Q2270" s="15" t="s">
        <v>19</v>
      </c>
      <c r="R2270" s="205"/>
      <c r="S2270" s="189" t="s">
        <v>455</v>
      </c>
      <c r="T2270" s="114"/>
      <c r="U2270" s="21"/>
      <c r="V2270" s="115">
        <v>45952</v>
      </c>
      <c r="W2270" s="116">
        <v>989</v>
      </c>
      <c r="X2270" s="220">
        <v>6250000</v>
      </c>
      <c r="Y2270" s="220">
        <f>X2270*0.1</f>
        <v>625000</v>
      </c>
      <c r="Z2270" s="220">
        <v>19780</v>
      </c>
      <c r="AA2270" s="220">
        <f>SUM(X2270:Z2270)</f>
        <v>6894780</v>
      </c>
      <c r="AB2270" s="222">
        <v>45957</v>
      </c>
    </row>
    <row r="2271" spans="1:28" ht="17.100000000000001" customHeight="1" thickBot="1">
      <c r="A2271" s="227"/>
      <c r="B2271" s="27" t="s">
        <v>7441</v>
      </c>
      <c r="C2271" s="27">
        <v>136</v>
      </c>
      <c r="D2271" s="14" t="s">
        <v>7428</v>
      </c>
      <c r="E2271" s="229"/>
      <c r="F2271" s="117" t="s">
        <v>7444</v>
      </c>
      <c r="G2271" s="26">
        <v>65942</v>
      </c>
      <c r="H2271" s="231"/>
      <c r="I2271" s="221"/>
      <c r="J2271" s="221"/>
      <c r="K2271" s="221"/>
      <c r="L2271" s="221"/>
      <c r="M2271" s="221"/>
      <c r="N2271" s="221"/>
      <c r="O2271" s="225"/>
      <c r="P2271" s="118" t="s">
        <v>8392</v>
      </c>
      <c r="Q2271" s="16" t="s">
        <v>20</v>
      </c>
      <c r="R2271" s="17" t="s">
        <v>7909</v>
      </c>
      <c r="S2271" s="121" t="s">
        <v>1731</v>
      </c>
      <c r="T2271" s="122"/>
      <c r="U2271" s="22"/>
      <c r="V2271" s="123" t="s">
        <v>8877</v>
      </c>
      <c r="W2271" s="122">
        <v>5291</v>
      </c>
      <c r="X2271" s="221"/>
      <c r="Y2271" s="221"/>
      <c r="Z2271" s="221"/>
      <c r="AA2271" s="221"/>
      <c r="AB2271" s="223"/>
    </row>
    <row r="2272" spans="1:28" ht="17.100000000000001" customHeight="1" thickTop="1">
      <c r="A2272" s="226" t="s">
        <v>7521</v>
      </c>
      <c r="B2272" s="28">
        <v>45939</v>
      </c>
      <c r="C2272" s="25">
        <v>2129</v>
      </c>
      <c r="D2272" s="13" t="s">
        <v>7448</v>
      </c>
      <c r="E2272" s="228"/>
      <c r="F2272" s="109" t="s">
        <v>7450</v>
      </c>
      <c r="G2272" s="24"/>
      <c r="H2272" s="230">
        <v>3.5</v>
      </c>
      <c r="I2272" s="220">
        <v>279000</v>
      </c>
      <c r="J2272" s="220">
        <f>I2272*0.1</f>
        <v>27900</v>
      </c>
      <c r="K2272" s="220">
        <v>0</v>
      </c>
      <c r="L2272" s="220">
        <v>8460</v>
      </c>
      <c r="M2272" s="220">
        <v>13750</v>
      </c>
      <c r="N2272" s="220">
        <f>SUM(I2272:M2273)</f>
        <v>329110</v>
      </c>
      <c r="O2272" s="224"/>
      <c r="P2272" s="110" t="s">
        <v>8267</v>
      </c>
      <c r="Q2272" s="15" t="s">
        <v>19</v>
      </c>
      <c r="R2272" s="205"/>
      <c r="S2272" s="189"/>
      <c r="T2272" s="114"/>
      <c r="U2272" s="21"/>
      <c r="V2272" s="115">
        <v>45969</v>
      </c>
      <c r="W2272" s="116">
        <v>1275</v>
      </c>
      <c r="X2272" s="220">
        <v>330000</v>
      </c>
      <c r="Y2272" s="220">
        <f>X2272*0.1</f>
        <v>33000</v>
      </c>
      <c r="Z2272" s="220">
        <v>8460</v>
      </c>
      <c r="AA2272" s="220">
        <f>SUM(X2272:Z2272)</f>
        <v>371460</v>
      </c>
      <c r="AB2272" s="222">
        <v>45972</v>
      </c>
    </row>
    <row r="2273" spans="1:28" ht="17.100000000000001" customHeight="1" thickBot="1">
      <c r="A2273" s="227"/>
      <c r="B2273" s="27" t="s">
        <v>3228</v>
      </c>
      <c r="C2273" s="27">
        <v>129</v>
      </c>
      <c r="D2273" s="14" t="s">
        <v>7449</v>
      </c>
      <c r="E2273" s="229"/>
      <c r="F2273" s="117" t="s">
        <v>7451</v>
      </c>
      <c r="G2273" s="26">
        <v>37180</v>
      </c>
      <c r="H2273" s="231"/>
      <c r="I2273" s="221"/>
      <c r="J2273" s="221"/>
      <c r="K2273" s="221"/>
      <c r="L2273" s="221"/>
      <c r="M2273" s="221"/>
      <c r="N2273" s="221"/>
      <c r="O2273" s="225"/>
      <c r="P2273" s="118" t="s">
        <v>3355</v>
      </c>
      <c r="Q2273" s="16" t="s">
        <v>20</v>
      </c>
      <c r="R2273" s="17" t="s">
        <v>1630</v>
      </c>
      <c r="S2273" s="121" t="s">
        <v>169</v>
      </c>
      <c r="T2273" s="122"/>
      <c r="U2273" s="22"/>
      <c r="V2273" s="123" t="s">
        <v>2472</v>
      </c>
      <c r="W2273" s="122">
        <v>60186</v>
      </c>
      <c r="X2273" s="221"/>
      <c r="Y2273" s="221"/>
      <c r="Z2273" s="221"/>
      <c r="AA2273" s="221"/>
      <c r="AB2273" s="223"/>
    </row>
    <row r="2274" spans="1:28" ht="17.100000000000001" customHeight="1" thickTop="1">
      <c r="A2274" s="226" t="s">
        <v>7522</v>
      </c>
      <c r="B2274" s="28">
        <v>45939</v>
      </c>
      <c r="C2274" s="25">
        <v>2129</v>
      </c>
      <c r="D2274" s="13" t="s">
        <v>7452</v>
      </c>
      <c r="E2274" s="228"/>
      <c r="F2274" s="109" t="s">
        <v>7454</v>
      </c>
      <c r="G2274" s="24" t="s">
        <v>7456</v>
      </c>
      <c r="H2274" s="230">
        <v>3.5</v>
      </c>
      <c r="I2274" s="220">
        <v>284000</v>
      </c>
      <c r="J2274" s="220">
        <f>I2274*0.1</f>
        <v>28400</v>
      </c>
      <c r="K2274" s="220">
        <v>0</v>
      </c>
      <c r="L2274" s="220">
        <v>9770</v>
      </c>
      <c r="M2274" s="220">
        <v>13750</v>
      </c>
      <c r="N2274" s="220">
        <f>SUM(I2274:M2275)</f>
        <v>335920</v>
      </c>
      <c r="O2274" s="224"/>
      <c r="P2274" s="110" t="s">
        <v>7503</v>
      </c>
      <c r="Q2274" s="15" t="s">
        <v>19</v>
      </c>
      <c r="R2274" s="205"/>
      <c r="S2274" s="189" t="s">
        <v>25386</v>
      </c>
      <c r="T2274" s="114"/>
      <c r="U2274" s="21"/>
      <c r="V2274" s="115">
        <v>45948</v>
      </c>
      <c r="W2274" s="116">
        <v>1272</v>
      </c>
      <c r="X2274" s="220">
        <v>535000</v>
      </c>
      <c r="Y2274" s="220">
        <f>X2274*0.1</f>
        <v>53500</v>
      </c>
      <c r="Z2274" s="220">
        <v>9770</v>
      </c>
      <c r="AA2274" s="220">
        <f>SUM(X2274:Z2274)</f>
        <v>598270</v>
      </c>
      <c r="AB2274" s="222">
        <v>45951</v>
      </c>
    </row>
    <row r="2275" spans="1:28" ht="17.100000000000001" customHeight="1" thickBot="1">
      <c r="A2275" s="227"/>
      <c r="B2275" s="27" t="s">
        <v>3228</v>
      </c>
      <c r="C2275" s="27">
        <v>144</v>
      </c>
      <c r="D2275" s="14" t="s">
        <v>7453</v>
      </c>
      <c r="E2275" s="229"/>
      <c r="F2275" s="117" t="s">
        <v>7455</v>
      </c>
      <c r="G2275" s="26">
        <v>69969</v>
      </c>
      <c r="H2275" s="231"/>
      <c r="I2275" s="221"/>
      <c r="J2275" s="221"/>
      <c r="K2275" s="221"/>
      <c r="L2275" s="221"/>
      <c r="M2275" s="221"/>
      <c r="N2275" s="221"/>
      <c r="O2275" s="225"/>
      <c r="P2275" s="118" t="s">
        <v>8266</v>
      </c>
      <c r="Q2275" s="16" t="s">
        <v>20</v>
      </c>
      <c r="R2275" s="17" t="s">
        <v>1630</v>
      </c>
      <c r="S2275" s="121" t="s">
        <v>169</v>
      </c>
      <c r="T2275" s="122"/>
      <c r="U2275" s="22"/>
      <c r="V2275" s="123" t="s">
        <v>2472</v>
      </c>
      <c r="W2275" s="122">
        <v>60009</v>
      </c>
      <c r="X2275" s="221"/>
      <c r="Y2275" s="221"/>
      <c r="Z2275" s="221"/>
      <c r="AA2275" s="221"/>
      <c r="AB2275" s="223"/>
    </row>
    <row r="2276" spans="1:28" ht="17.100000000000001" customHeight="1" thickTop="1">
      <c r="A2276" s="226" t="s">
        <v>7523</v>
      </c>
      <c r="B2276" s="28">
        <v>45939</v>
      </c>
      <c r="C2276" s="25">
        <v>2129</v>
      </c>
      <c r="D2276" s="13" t="s">
        <v>7457</v>
      </c>
      <c r="E2276" s="228"/>
      <c r="F2276" s="109" t="s">
        <v>7459</v>
      </c>
      <c r="G2276" s="24"/>
      <c r="H2276" s="230">
        <v>4.5</v>
      </c>
      <c r="I2276" s="220">
        <v>812000</v>
      </c>
      <c r="J2276" s="220">
        <f>I2276*0.1</f>
        <v>81200</v>
      </c>
      <c r="K2276" s="220">
        <v>0</v>
      </c>
      <c r="L2276" s="220">
        <v>8740</v>
      </c>
      <c r="M2276" s="220">
        <v>13750</v>
      </c>
      <c r="N2276" s="220">
        <f>SUM(I2276:M2277)</f>
        <v>915690</v>
      </c>
      <c r="O2276" s="224"/>
      <c r="P2276" s="110" t="s">
        <v>8536</v>
      </c>
      <c r="Q2276" s="15" t="s">
        <v>19</v>
      </c>
      <c r="R2276" s="205"/>
      <c r="S2276" s="189" t="s">
        <v>283</v>
      </c>
      <c r="T2276" s="114"/>
      <c r="U2276" s="21"/>
      <c r="V2276" s="115">
        <v>45962</v>
      </c>
      <c r="W2276" s="116">
        <v>1274</v>
      </c>
      <c r="X2276" s="220">
        <v>865000</v>
      </c>
      <c r="Y2276" s="220">
        <f>X2276*0.1</f>
        <v>86500</v>
      </c>
      <c r="Z2276" s="220">
        <v>8740</v>
      </c>
      <c r="AA2276" s="220">
        <f>SUM(X2276:Z2276)</f>
        <v>960240</v>
      </c>
      <c r="AB2276" s="222">
        <v>45965</v>
      </c>
    </row>
    <row r="2277" spans="1:28" ht="17.100000000000001" customHeight="1" thickBot="1">
      <c r="A2277" s="227"/>
      <c r="B2277" s="27" t="s">
        <v>3228</v>
      </c>
      <c r="C2277" s="27">
        <v>2001</v>
      </c>
      <c r="D2277" s="14" t="s">
        <v>7458</v>
      </c>
      <c r="E2277" s="229"/>
      <c r="F2277" s="117" t="s">
        <v>7460</v>
      </c>
      <c r="G2277" s="26">
        <v>55050</v>
      </c>
      <c r="H2277" s="231"/>
      <c r="I2277" s="221"/>
      <c r="J2277" s="221"/>
      <c r="K2277" s="221"/>
      <c r="L2277" s="221"/>
      <c r="M2277" s="221"/>
      <c r="N2277" s="221"/>
      <c r="O2277" s="225"/>
      <c r="P2277" s="118" t="s">
        <v>2446</v>
      </c>
      <c r="Q2277" s="16" t="s">
        <v>20</v>
      </c>
      <c r="R2277" s="17" t="s">
        <v>2143</v>
      </c>
      <c r="S2277" s="121" t="s">
        <v>8537</v>
      </c>
      <c r="T2277" s="122"/>
      <c r="U2277" s="22"/>
      <c r="V2277" s="123" t="s">
        <v>2472</v>
      </c>
      <c r="W2277" s="122">
        <v>60188</v>
      </c>
      <c r="X2277" s="221"/>
      <c r="Y2277" s="221"/>
      <c r="Z2277" s="221"/>
      <c r="AA2277" s="221"/>
      <c r="AB2277" s="223"/>
    </row>
    <row r="2278" spans="1:28" ht="17.100000000000001" customHeight="1" thickTop="1">
      <c r="A2278" s="226" t="s">
        <v>7524</v>
      </c>
      <c r="B2278" s="28">
        <v>45939</v>
      </c>
      <c r="C2278" s="25">
        <v>2129</v>
      </c>
      <c r="D2278" s="13" t="s">
        <v>7461</v>
      </c>
      <c r="E2278" s="228"/>
      <c r="F2278" s="109" t="s">
        <v>7462</v>
      </c>
      <c r="G2278" s="24"/>
      <c r="H2278" s="230">
        <v>4.5</v>
      </c>
      <c r="I2278" s="220">
        <v>618000</v>
      </c>
      <c r="J2278" s="220">
        <f>I2278*0.1</f>
        <v>61800</v>
      </c>
      <c r="K2278" s="220">
        <v>0</v>
      </c>
      <c r="L2278" s="220">
        <v>8400</v>
      </c>
      <c r="M2278" s="220">
        <v>13750</v>
      </c>
      <c r="N2278" s="220">
        <f>SUM(I2278:M2279)</f>
        <v>701950</v>
      </c>
      <c r="O2278" s="224"/>
      <c r="P2278" s="110" t="s">
        <v>8264</v>
      </c>
      <c r="Q2278" s="15" t="s">
        <v>19</v>
      </c>
      <c r="R2278" s="205"/>
      <c r="S2278" s="189" t="s">
        <v>25516</v>
      </c>
      <c r="T2278" s="114"/>
      <c r="U2278" s="21"/>
      <c r="V2278" s="115">
        <v>45944</v>
      </c>
      <c r="W2278" s="116">
        <v>1913</v>
      </c>
      <c r="X2278" s="220">
        <v>695000</v>
      </c>
      <c r="Y2278" s="220">
        <f>X2278*0.1</f>
        <v>69500</v>
      </c>
      <c r="Z2278" s="220">
        <v>8400</v>
      </c>
      <c r="AA2278" s="220">
        <f>SUM(X2278:Z2278)</f>
        <v>772900</v>
      </c>
      <c r="AB2278" s="222">
        <v>45951</v>
      </c>
    </row>
    <row r="2279" spans="1:28" ht="16.5" customHeight="1" thickBot="1">
      <c r="A2279" s="227"/>
      <c r="B2279" s="27" t="s">
        <v>3228</v>
      </c>
      <c r="C2279" s="27">
        <v>2007</v>
      </c>
      <c r="D2279" s="14" t="s">
        <v>7449</v>
      </c>
      <c r="E2279" s="229"/>
      <c r="F2279" s="117" t="s">
        <v>7463</v>
      </c>
      <c r="G2279" s="26">
        <v>36441</v>
      </c>
      <c r="H2279" s="231"/>
      <c r="I2279" s="221"/>
      <c r="J2279" s="221"/>
      <c r="K2279" s="221"/>
      <c r="L2279" s="221"/>
      <c r="M2279" s="221"/>
      <c r="N2279" s="221"/>
      <c r="O2279" s="225"/>
      <c r="P2279" s="118" t="s">
        <v>8265</v>
      </c>
      <c r="Q2279" s="16" t="s">
        <v>20</v>
      </c>
      <c r="R2279" s="17" t="s">
        <v>1630</v>
      </c>
      <c r="S2279" s="121" t="s">
        <v>169</v>
      </c>
      <c r="T2279" s="122"/>
      <c r="U2279" s="22"/>
      <c r="V2279" s="123" t="s">
        <v>7507</v>
      </c>
      <c r="W2279" s="122">
        <v>3511</v>
      </c>
      <c r="X2279" s="221"/>
      <c r="Y2279" s="221"/>
      <c r="Z2279" s="221"/>
      <c r="AA2279" s="221"/>
      <c r="AB2279" s="223"/>
    </row>
    <row r="2280" spans="1:28" ht="17.100000000000001" customHeight="1" thickTop="1">
      <c r="A2280" s="226" t="s">
        <v>7525</v>
      </c>
      <c r="B2280" s="28">
        <v>45939</v>
      </c>
      <c r="C2280" s="25">
        <v>2129</v>
      </c>
      <c r="D2280" s="13" t="s">
        <v>7464</v>
      </c>
      <c r="E2280" s="228"/>
      <c r="F2280" s="109" t="s">
        <v>7465</v>
      </c>
      <c r="G2280" s="24" t="s">
        <v>7467</v>
      </c>
      <c r="H2280" s="232" t="s">
        <v>7468</v>
      </c>
      <c r="I2280" s="220">
        <v>596000</v>
      </c>
      <c r="J2280" s="220">
        <f>I2280*0.1</f>
        <v>59600</v>
      </c>
      <c r="K2280" s="220">
        <v>0</v>
      </c>
      <c r="L2280" s="220">
        <v>8860</v>
      </c>
      <c r="M2280" s="220">
        <v>13750</v>
      </c>
      <c r="N2280" s="220">
        <f>SUM(I2280:M2281)</f>
        <v>678210</v>
      </c>
      <c r="O2280" s="224"/>
      <c r="P2280" s="110" t="s">
        <v>7504</v>
      </c>
      <c r="Q2280" s="15" t="s">
        <v>19</v>
      </c>
      <c r="R2280" s="205"/>
      <c r="S2280" s="189"/>
      <c r="T2280" s="114"/>
      <c r="U2280" s="21" t="s">
        <v>10842</v>
      </c>
      <c r="V2280" s="115">
        <v>45976</v>
      </c>
      <c r="W2280" s="116">
        <v>1276</v>
      </c>
      <c r="X2280" s="220">
        <v>660000</v>
      </c>
      <c r="Y2280" s="220">
        <f>X2280*0.1</f>
        <v>66000</v>
      </c>
      <c r="Z2280" s="220">
        <v>8860</v>
      </c>
      <c r="AA2280" s="220">
        <f>SUM(X2280:Z2280)</f>
        <v>734860</v>
      </c>
      <c r="AB2280" s="222">
        <v>45981</v>
      </c>
    </row>
    <row r="2281" spans="1:28" ht="17.100000000000001" customHeight="1" thickBot="1">
      <c r="A2281" s="227"/>
      <c r="B2281" s="27" t="s">
        <v>3228</v>
      </c>
      <c r="C2281" s="27">
        <v>2093</v>
      </c>
      <c r="D2281" s="14" t="s">
        <v>7449</v>
      </c>
      <c r="E2281" s="229"/>
      <c r="F2281" s="117" t="s">
        <v>7466</v>
      </c>
      <c r="G2281" s="26">
        <v>76921</v>
      </c>
      <c r="H2281" s="231"/>
      <c r="I2281" s="221"/>
      <c r="J2281" s="221"/>
      <c r="K2281" s="221"/>
      <c r="L2281" s="221"/>
      <c r="M2281" s="221"/>
      <c r="N2281" s="221"/>
      <c r="O2281" s="225"/>
      <c r="P2281" s="118" t="s">
        <v>8543</v>
      </c>
      <c r="Q2281" s="16" t="s">
        <v>20</v>
      </c>
      <c r="R2281" s="17" t="s">
        <v>2143</v>
      </c>
      <c r="S2281" s="121"/>
      <c r="T2281" s="122"/>
      <c r="U2281" s="22"/>
      <c r="V2281" s="123" t="s">
        <v>10781</v>
      </c>
      <c r="W2281" s="122">
        <v>60240</v>
      </c>
      <c r="X2281" s="221"/>
      <c r="Y2281" s="221"/>
      <c r="Z2281" s="221"/>
      <c r="AA2281" s="221"/>
      <c r="AB2281" s="223"/>
    </row>
    <row r="2282" spans="1:28" ht="17.100000000000001" customHeight="1" thickTop="1">
      <c r="A2282" s="226" t="s">
        <v>7526</v>
      </c>
      <c r="B2282" s="28">
        <v>45939</v>
      </c>
      <c r="C2282" s="25">
        <v>2129</v>
      </c>
      <c r="D2282" s="13" t="s">
        <v>7469</v>
      </c>
      <c r="E2282" s="228"/>
      <c r="F2282" s="109" t="s">
        <v>7471</v>
      </c>
      <c r="G2282" s="24" t="s">
        <v>7473</v>
      </c>
      <c r="H2282" s="230">
        <v>4</v>
      </c>
      <c r="I2282" s="220">
        <v>536000</v>
      </c>
      <c r="J2282" s="220">
        <f>I2282*0.1</f>
        <v>53600</v>
      </c>
      <c r="K2282" s="220">
        <v>0</v>
      </c>
      <c r="L2282" s="220">
        <v>8430</v>
      </c>
      <c r="M2282" s="220">
        <v>13750</v>
      </c>
      <c r="N2282" s="220">
        <f>SUM(I2282:M2283)</f>
        <v>611780</v>
      </c>
      <c r="O2282" s="224"/>
      <c r="P2282" s="110" t="s">
        <v>7474</v>
      </c>
      <c r="Q2282" s="15" t="s">
        <v>19</v>
      </c>
      <c r="R2282" s="205"/>
      <c r="S2282" s="189" t="s">
        <v>25517</v>
      </c>
      <c r="T2282" s="114"/>
      <c r="U2282" s="21"/>
      <c r="V2282" s="115">
        <v>45948</v>
      </c>
      <c r="W2282" s="116">
        <v>1272</v>
      </c>
      <c r="X2282" s="220">
        <v>680000</v>
      </c>
      <c r="Y2282" s="220">
        <f>X2282*0.1</f>
        <v>68000</v>
      </c>
      <c r="Z2282" s="220">
        <v>8430</v>
      </c>
      <c r="AA2282" s="220">
        <f>SUM(X2282:Z2282)</f>
        <v>756430</v>
      </c>
      <c r="AB2282" s="222">
        <v>45952</v>
      </c>
    </row>
    <row r="2283" spans="1:28" ht="17.100000000000001" customHeight="1" thickBot="1">
      <c r="A2283" s="227"/>
      <c r="B2283" s="27" t="s">
        <v>3228</v>
      </c>
      <c r="C2283" s="27">
        <v>2202</v>
      </c>
      <c r="D2283" s="14" t="s">
        <v>7470</v>
      </c>
      <c r="E2283" s="229"/>
      <c r="F2283" s="117" t="s">
        <v>7472</v>
      </c>
      <c r="G2283" s="26">
        <v>23875</v>
      </c>
      <c r="H2283" s="231"/>
      <c r="I2283" s="221"/>
      <c r="J2283" s="221"/>
      <c r="K2283" s="221"/>
      <c r="L2283" s="221"/>
      <c r="M2283" s="221"/>
      <c r="N2283" s="221"/>
      <c r="O2283" s="225"/>
      <c r="P2283" s="118" t="s">
        <v>8263</v>
      </c>
      <c r="Q2283" s="16" t="s">
        <v>20</v>
      </c>
      <c r="R2283" s="17" t="s">
        <v>1630</v>
      </c>
      <c r="S2283" s="121" t="s">
        <v>5047</v>
      </c>
      <c r="T2283" s="122" t="s">
        <v>7715</v>
      </c>
      <c r="U2283" s="22"/>
      <c r="V2283" s="123" t="s">
        <v>6641</v>
      </c>
      <c r="W2283" s="122">
        <v>60003</v>
      </c>
      <c r="X2283" s="221"/>
      <c r="Y2283" s="221"/>
      <c r="Z2283" s="221"/>
      <c r="AA2283" s="221"/>
      <c r="AB2283" s="223"/>
    </row>
    <row r="2284" spans="1:28" ht="17.100000000000001" customHeight="1" thickTop="1">
      <c r="A2284" s="226" t="s">
        <v>7527</v>
      </c>
      <c r="B2284" s="28">
        <v>45939</v>
      </c>
      <c r="C2284" s="25">
        <v>2129</v>
      </c>
      <c r="D2284" s="13" t="s">
        <v>7475</v>
      </c>
      <c r="E2284" s="228"/>
      <c r="F2284" s="109" t="s">
        <v>7476</v>
      </c>
      <c r="G2284" s="24" t="s">
        <v>7478</v>
      </c>
      <c r="H2284" s="230">
        <v>4</v>
      </c>
      <c r="I2284" s="220">
        <v>654000</v>
      </c>
      <c r="J2284" s="220">
        <f>I2284*0.1</f>
        <v>65400</v>
      </c>
      <c r="K2284" s="220">
        <v>0</v>
      </c>
      <c r="L2284" s="220">
        <v>8230</v>
      </c>
      <c r="M2284" s="220">
        <v>13750</v>
      </c>
      <c r="N2284" s="220">
        <f>SUM(I2284:M2285)</f>
        <v>741380</v>
      </c>
      <c r="O2284" s="224"/>
      <c r="P2284" s="110" t="s">
        <v>7479</v>
      </c>
      <c r="Q2284" s="15" t="s">
        <v>19</v>
      </c>
      <c r="R2284" s="205"/>
      <c r="S2284" s="189"/>
      <c r="T2284" s="114"/>
      <c r="U2284" s="21" t="s">
        <v>10793</v>
      </c>
      <c r="V2284" s="115">
        <v>45980</v>
      </c>
      <c r="W2284" s="116">
        <v>993</v>
      </c>
      <c r="X2284" s="220">
        <v>700000</v>
      </c>
      <c r="Y2284" s="220">
        <f>X2284*0.1</f>
        <v>70000</v>
      </c>
      <c r="Z2284" s="220">
        <v>8230</v>
      </c>
      <c r="AA2284" s="220">
        <f>SUM(X2284:Z2284)</f>
        <v>778230</v>
      </c>
      <c r="AB2284" s="222">
        <v>45986</v>
      </c>
    </row>
    <row r="2285" spans="1:28" ht="17.100000000000001" customHeight="1" thickBot="1">
      <c r="A2285" s="227"/>
      <c r="B2285" s="27" t="s">
        <v>3228</v>
      </c>
      <c r="C2285" s="27">
        <v>2525</v>
      </c>
      <c r="D2285" s="14" t="s">
        <v>7432</v>
      </c>
      <c r="E2285" s="229"/>
      <c r="F2285" s="117" t="s">
        <v>7477</v>
      </c>
      <c r="G2285" s="26">
        <v>50856</v>
      </c>
      <c r="H2285" s="231"/>
      <c r="I2285" s="221"/>
      <c r="J2285" s="221"/>
      <c r="K2285" s="221"/>
      <c r="L2285" s="221"/>
      <c r="M2285" s="221"/>
      <c r="N2285" s="221"/>
      <c r="O2285" s="225"/>
      <c r="P2285" s="118" t="s">
        <v>8261</v>
      </c>
      <c r="Q2285" s="16" t="s">
        <v>20</v>
      </c>
      <c r="R2285" s="17" t="s">
        <v>1630</v>
      </c>
      <c r="S2285" s="121" t="s">
        <v>8262</v>
      </c>
      <c r="T2285" s="122"/>
      <c r="U2285" s="22"/>
      <c r="V2285" s="123" t="s">
        <v>8877</v>
      </c>
      <c r="W2285" s="122">
        <v>2053</v>
      </c>
      <c r="X2285" s="221"/>
      <c r="Y2285" s="221"/>
      <c r="Z2285" s="221"/>
      <c r="AA2285" s="221"/>
      <c r="AB2285" s="223"/>
    </row>
    <row r="2286" spans="1:28" ht="17.100000000000001" customHeight="1" thickTop="1">
      <c r="A2286" s="226" t="s">
        <v>7528</v>
      </c>
      <c r="B2286" s="28">
        <v>45939</v>
      </c>
      <c r="C2286" s="25">
        <v>2129</v>
      </c>
      <c r="D2286" s="13" t="s">
        <v>7480</v>
      </c>
      <c r="E2286" s="228"/>
      <c r="F2286" s="109" t="s">
        <v>7481</v>
      </c>
      <c r="G2286" s="24"/>
      <c r="H2286" s="230">
        <v>4.5</v>
      </c>
      <c r="I2286" s="220">
        <v>1155000</v>
      </c>
      <c r="J2286" s="220">
        <f>I2286*0.1</f>
        <v>115500</v>
      </c>
      <c r="K2286" s="220">
        <v>0</v>
      </c>
      <c r="L2286" s="220">
        <v>8130</v>
      </c>
      <c r="M2286" s="220">
        <v>13750</v>
      </c>
      <c r="N2286" s="220">
        <f>SUM(I2286:M2287)</f>
        <v>1292380</v>
      </c>
      <c r="O2286" s="224"/>
      <c r="P2286" s="110" t="s">
        <v>8538</v>
      </c>
      <c r="Q2286" s="15" t="s">
        <v>19</v>
      </c>
      <c r="R2286" s="205"/>
      <c r="S2286" s="189"/>
      <c r="T2286" s="114"/>
      <c r="U2286" s="21"/>
      <c r="V2286" s="115">
        <v>45951</v>
      </c>
      <c r="W2286" s="116">
        <v>1914</v>
      </c>
      <c r="X2286" s="220">
        <v>1189000</v>
      </c>
      <c r="Y2286" s="220">
        <f>X2286*0.1</f>
        <v>118900</v>
      </c>
      <c r="Z2286" s="220">
        <v>8130</v>
      </c>
      <c r="AA2286" s="220">
        <f>SUM(X2286:Z2286)</f>
        <v>1316030</v>
      </c>
      <c r="AB2286" s="222">
        <v>45957</v>
      </c>
    </row>
    <row r="2287" spans="1:28" ht="17.100000000000001" customHeight="1" thickBot="1">
      <c r="A2287" s="227"/>
      <c r="B2287" s="27" t="s">
        <v>3228</v>
      </c>
      <c r="C2287" s="27">
        <v>2544</v>
      </c>
      <c r="D2287" s="14" t="s">
        <v>7449</v>
      </c>
      <c r="E2287" s="229"/>
      <c r="F2287" s="117" t="s">
        <v>7482</v>
      </c>
      <c r="G2287" s="26">
        <v>30335</v>
      </c>
      <c r="H2287" s="231"/>
      <c r="I2287" s="221"/>
      <c r="J2287" s="221"/>
      <c r="K2287" s="221"/>
      <c r="L2287" s="221"/>
      <c r="M2287" s="221"/>
      <c r="N2287" s="221"/>
      <c r="O2287" s="225"/>
      <c r="P2287" s="118" t="s">
        <v>8539</v>
      </c>
      <c r="Q2287" s="16" t="s">
        <v>20</v>
      </c>
      <c r="R2287" s="17" t="s">
        <v>2143</v>
      </c>
      <c r="S2287" s="121" t="s">
        <v>2784</v>
      </c>
      <c r="T2287" s="122"/>
      <c r="U2287" s="22"/>
      <c r="V2287" s="123" t="s">
        <v>2103</v>
      </c>
      <c r="W2287" s="122">
        <v>3049</v>
      </c>
      <c r="X2287" s="221"/>
      <c r="Y2287" s="221"/>
      <c r="Z2287" s="221"/>
      <c r="AA2287" s="221"/>
      <c r="AB2287" s="223"/>
    </row>
    <row r="2288" spans="1:28" ht="17.100000000000001" customHeight="1" thickTop="1">
      <c r="A2288" s="226" t="s">
        <v>7529</v>
      </c>
      <c r="B2288" s="28">
        <v>45939</v>
      </c>
      <c r="C2288" s="25">
        <v>2129</v>
      </c>
      <c r="D2288" s="13" t="s">
        <v>7483</v>
      </c>
      <c r="E2288" s="228"/>
      <c r="F2288" s="109" t="s">
        <v>7484</v>
      </c>
      <c r="G2288" s="24"/>
      <c r="H2288" s="230">
        <v>4</v>
      </c>
      <c r="I2288" s="220">
        <v>282000</v>
      </c>
      <c r="J2288" s="220">
        <f>I2288*0.1</f>
        <v>28200</v>
      </c>
      <c r="K2288" s="220">
        <v>0</v>
      </c>
      <c r="L2288" s="220">
        <v>9070</v>
      </c>
      <c r="M2288" s="220">
        <v>13750</v>
      </c>
      <c r="N2288" s="220">
        <f>SUM(I2288:M2289)</f>
        <v>333020</v>
      </c>
      <c r="O2288" s="224"/>
      <c r="P2288" s="110" t="s">
        <v>8540</v>
      </c>
      <c r="Q2288" s="15" t="s">
        <v>19</v>
      </c>
      <c r="R2288" s="205"/>
      <c r="S2288" s="189" t="s">
        <v>25505</v>
      </c>
      <c r="T2288" s="114"/>
      <c r="U2288" s="21"/>
      <c r="V2288" s="115">
        <v>46046</v>
      </c>
      <c r="W2288" s="116">
        <v>1285</v>
      </c>
      <c r="X2288" s="220">
        <v>280000</v>
      </c>
      <c r="Y2288" s="220">
        <f>X2288*0.1</f>
        <v>28000</v>
      </c>
      <c r="Z2288" s="220">
        <v>9070</v>
      </c>
      <c r="AA2288" s="220">
        <f>SUM(X2288:Z2288)</f>
        <v>317070</v>
      </c>
      <c r="AB2288" s="222">
        <v>46049</v>
      </c>
    </row>
    <row r="2289" spans="1:28" ht="17.100000000000001" customHeight="1" thickBot="1">
      <c r="A2289" s="227"/>
      <c r="B2289" s="27" t="s">
        <v>3228</v>
      </c>
      <c r="C2289" s="27">
        <v>2564</v>
      </c>
      <c r="D2289" s="14" t="s">
        <v>7432</v>
      </c>
      <c r="E2289" s="229"/>
      <c r="F2289" s="117" t="s">
        <v>7485</v>
      </c>
      <c r="G2289" s="26">
        <v>44137</v>
      </c>
      <c r="H2289" s="231"/>
      <c r="I2289" s="221"/>
      <c r="J2289" s="221"/>
      <c r="K2289" s="221"/>
      <c r="L2289" s="221"/>
      <c r="M2289" s="221"/>
      <c r="N2289" s="221"/>
      <c r="O2289" s="225"/>
      <c r="P2289" s="118" t="s">
        <v>8541</v>
      </c>
      <c r="Q2289" s="16" t="s">
        <v>20</v>
      </c>
      <c r="R2289" s="17" t="s">
        <v>2143</v>
      </c>
      <c r="S2289" s="121" t="s">
        <v>169</v>
      </c>
      <c r="T2289" s="122"/>
      <c r="U2289" s="22"/>
      <c r="V2289" s="123" t="s">
        <v>7160</v>
      </c>
      <c r="W2289" s="122">
        <v>60401</v>
      </c>
      <c r="X2289" s="221"/>
      <c r="Y2289" s="221"/>
      <c r="Z2289" s="221"/>
      <c r="AA2289" s="221"/>
      <c r="AB2289" s="223"/>
    </row>
    <row r="2290" spans="1:28" ht="17.100000000000001" customHeight="1" thickTop="1">
      <c r="A2290" s="226" t="s">
        <v>7530</v>
      </c>
      <c r="B2290" s="28">
        <v>45939</v>
      </c>
      <c r="C2290" s="25">
        <v>2129</v>
      </c>
      <c r="D2290" s="13" t="s">
        <v>7486</v>
      </c>
      <c r="E2290" s="228"/>
      <c r="F2290" s="109" t="s">
        <v>7488</v>
      </c>
      <c r="G2290" s="24" t="s">
        <v>7490</v>
      </c>
      <c r="H2290" s="230">
        <v>4.5</v>
      </c>
      <c r="I2290" s="220">
        <v>1654000</v>
      </c>
      <c r="J2290" s="220">
        <f>I2290*0.1</f>
        <v>165400</v>
      </c>
      <c r="K2290" s="220">
        <v>0</v>
      </c>
      <c r="L2290" s="220">
        <v>7230</v>
      </c>
      <c r="M2290" s="220">
        <v>13750</v>
      </c>
      <c r="N2290" s="220">
        <f>SUM(I2290:M2291)</f>
        <v>1840380</v>
      </c>
      <c r="O2290" s="224"/>
      <c r="P2290" s="110" t="s">
        <v>8258</v>
      </c>
      <c r="Q2290" s="15" t="s">
        <v>19</v>
      </c>
      <c r="R2290" s="205"/>
      <c r="S2290" s="189" t="s">
        <v>25518</v>
      </c>
      <c r="T2290" s="114"/>
      <c r="U2290" s="21" t="s">
        <v>10822</v>
      </c>
      <c r="V2290" s="115">
        <v>45980</v>
      </c>
      <c r="W2290" s="116">
        <v>993</v>
      </c>
      <c r="X2290" s="220">
        <v>1700000</v>
      </c>
      <c r="Y2290" s="220">
        <f>X2290*0.1</f>
        <v>170000</v>
      </c>
      <c r="Z2290" s="220">
        <v>7230</v>
      </c>
      <c r="AA2290" s="220">
        <f>SUM(X2290:Z2290)</f>
        <v>1877230</v>
      </c>
      <c r="AB2290" s="222">
        <v>45986</v>
      </c>
    </row>
    <row r="2291" spans="1:28" ht="17.100000000000001" customHeight="1" thickBot="1">
      <c r="A2291" s="227"/>
      <c r="B2291" s="27" t="s">
        <v>3228</v>
      </c>
      <c r="C2291" s="27">
        <v>2608</v>
      </c>
      <c r="D2291" s="14" t="s">
        <v>7487</v>
      </c>
      <c r="E2291" s="229"/>
      <c r="F2291" s="117" t="s">
        <v>7489</v>
      </c>
      <c r="G2291" s="26">
        <v>8695</v>
      </c>
      <c r="H2291" s="231"/>
      <c r="I2291" s="221"/>
      <c r="J2291" s="221"/>
      <c r="K2291" s="221"/>
      <c r="L2291" s="221"/>
      <c r="M2291" s="221"/>
      <c r="N2291" s="221"/>
      <c r="O2291" s="225"/>
      <c r="P2291" s="118" t="s">
        <v>2404</v>
      </c>
      <c r="Q2291" s="16" t="s">
        <v>20</v>
      </c>
      <c r="R2291" s="17" t="s">
        <v>1630</v>
      </c>
      <c r="S2291" s="121" t="s">
        <v>5228</v>
      </c>
      <c r="T2291" s="122"/>
      <c r="U2291" s="22"/>
      <c r="V2291" s="123" t="s">
        <v>2747</v>
      </c>
      <c r="W2291" s="122">
        <v>2069</v>
      </c>
      <c r="X2291" s="221"/>
      <c r="Y2291" s="221"/>
      <c r="Z2291" s="221"/>
      <c r="AA2291" s="221"/>
      <c r="AB2291" s="223"/>
    </row>
    <row r="2292" spans="1:28" ht="17.100000000000001" customHeight="1" thickTop="1">
      <c r="A2292" s="226" t="s">
        <v>7531</v>
      </c>
      <c r="B2292" s="28">
        <v>45939</v>
      </c>
      <c r="C2292" s="25">
        <v>2129</v>
      </c>
      <c r="D2292" s="13" t="s">
        <v>7491</v>
      </c>
      <c r="E2292" s="228"/>
      <c r="F2292" s="109" t="s">
        <v>7492</v>
      </c>
      <c r="G2292" s="24"/>
      <c r="H2292" s="230">
        <v>4</v>
      </c>
      <c r="I2292" s="220">
        <v>1080000</v>
      </c>
      <c r="J2292" s="220">
        <f>I2292*0.1</f>
        <v>108000</v>
      </c>
      <c r="K2292" s="220">
        <v>0</v>
      </c>
      <c r="L2292" s="220">
        <v>7150</v>
      </c>
      <c r="M2292" s="220">
        <v>13750</v>
      </c>
      <c r="N2292" s="220">
        <f>SUM(I2292:M2293)</f>
        <v>1208900</v>
      </c>
      <c r="O2292" s="224"/>
      <c r="P2292" s="110" t="s">
        <v>8260</v>
      </c>
      <c r="Q2292" s="15" t="s">
        <v>19</v>
      </c>
      <c r="R2292" s="205"/>
      <c r="S2292" s="189"/>
      <c r="T2292" s="114"/>
      <c r="U2292" s="21"/>
      <c r="V2292" s="115"/>
      <c r="W2292" s="116"/>
      <c r="X2292" s="220"/>
      <c r="Y2292" s="220">
        <f>X2292*0.1</f>
        <v>0</v>
      </c>
      <c r="Z2292" s="220"/>
      <c r="AA2292" s="220">
        <f>SUM(X2292:Z2292)</f>
        <v>0</v>
      </c>
      <c r="AB2292" s="222"/>
    </row>
    <row r="2293" spans="1:28" ht="17.100000000000001" customHeight="1" thickBot="1">
      <c r="A2293" s="227"/>
      <c r="B2293" s="27" t="s">
        <v>3228</v>
      </c>
      <c r="C2293" s="27">
        <v>2665</v>
      </c>
      <c r="D2293" s="14" t="s">
        <v>7487</v>
      </c>
      <c r="E2293" s="229"/>
      <c r="F2293" s="117" t="s">
        <v>7493</v>
      </c>
      <c r="G2293" s="26">
        <v>30538</v>
      </c>
      <c r="H2293" s="231"/>
      <c r="I2293" s="221"/>
      <c r="J2293" s="221"/>
      <c r="K2293" s="221"/>
      <c r="L2293" s="221"/>
      <c r="M2293" s="221"/>
      <c r="N2293" s="221"/>
      <c r="O2293" s="225"/>
      <c r="P2293" s="118" t="s">
        <v>2404</v>
      </c>
      <c r="Q2293" s="16" t="s">
        <v>20</v>
      </c>
      <c r="R2293" s="17" t="s">
        <v>1630</v>
      </c>
      <c r="S2293" s="121"/>
      <c r="T2293" s="122"/>
      <c r="U2293" s="22"/>
      <c r="V2293" s="123"/>
      <c r="W2293" s="122"/>
      <c r="X2293" s="221"/>
      <c r="Y2293" s="221"/>
      <c r="Z2293" s="221"/>
      <c r="AA2293" s="221"/>
      <c r="AB2293" s="223"/>
    </row>
    <row r="2294" spans="1:28" ht="17.100000000000001" customHeight="1" thickTop="1">
      <c r="A2294" s="226" t="s">
        <v>7532</v>
      </c>
      <c r="B2294" s="28">
        <v>45939</v>
      </c>
      <c r="C2294" s="25">
        <v>2129</v>
      </c>
      <c r="D2294" s="13" t="s">
        <v>7427</v>
      </c>
      <c r="E2294" s="228"/>
      <c r="F2294" s="109" t="s">
        <v>7495</v>
      </c>
      <c r="G2294" s="24"/>
      <c r="H2294" s="230">
        <v>4</v>
      </c>
      <c r="I2294" s="220">
        <v>891000</v>
      </c>
      <c r="J2294" s="220">
        <f>I2294*0.1</f>
        <v>89100</v>
      </c>
      <c r="K2294" s="220">
        <v>0</v>
      </c>
      <c r="L2294" s="220">
        <v>5340</v>
      </c>
      <c r="M2294" s="220">
        <v>13750</v>
      </c>
      <c r="N2294" s="220">
        <f>SUM(I2294:M2295)</f>
        <v>999190</v>
      </c>
      <c r="O2294" s="224"/>
      <c r="P2294" s="110" t="s">
        <v>8259</v>
      </c>
      <c r="Q2294" s="15" t="s">
        <v>19</v>
      </c>
      <c r="R2294" s="205"/>
      <c r="S2294" s="189"/>
      <c r="T2294" s="114"/>
      <c r="U2294" s="21"/>
      <c r="V2294" s="115">
        <v>45948</v>
      </c>
      <c r="W2294" s="116">
        <v>1272</v>
      </c>
      <c r="X2294" s="220">
        <v>1015000</v>
      </c>
      <c r="Y2294" s="220">
        <f>X2294*0.1</f>
        <v>101500</v>
      </c>
      <c r="Z2294" s="220">
        <v>5340</v>
      </c>
      <c r="AA2294" s="220">
        <f>SUM(X2294:Z2294)</f>
        <v>1121840</v>
      </c>
      <c r="AB2294" s="222">
        <v>45951</v>
      </c>
    </row>
    <row r="2295" spans="1:28" ht="17.100000000000001" customHeight="1" thickBot="1">
      <c r="A2295" s="227"/>
      <c r="B2295" s="27" t="s">
        <v>3228</v>
      </c>
      <c r="C2295" s="27">
        <v>2666</v>
      </c>
      <c r="D2295" s="14" t="s">
        <v>7494</v>
      </c>
      <c r="E2295" s="229"/>
      <c r="F2295" s="117" t="s">
        <v>7496</v>
      </c>
      <c r="G2295" s="26">
        <v>53488</v>
      </c>
      <c r="H2295" s="231"/>
      <c r="I2295" s="221"/>
      <c r="J2295" s="221"/>
      <c r="K2295" s="221"/>
      <c r="L2295" s="221"/>
      <c r="M2295" s="221"/>
      <c r="N2295" s="221"/>
      <c r="O2295" s="225"/>
      <c r="P2295" s="118" t="s">
        <v>2404</v>
      </c>
      <c r="Q2295" s="16" t="s">
        <v>20</v>
      </c>
      <c r="R2295" s="17" t="s">
        <v>1630</v>
      </c>
      <c r="S2295" s="121"/>
      <c r="T2295" s="122"/>
      <c r="U2295" s="22"/>
      <c r="V2295" s="123" t="s">
        <v>2472</v>
      </c>
      <c r="W2295" s="122">
        <v>60015</v>
      </c>
      <c r="X2295" s="221"/>
      <c r="Y2295" s="221"/>
      <c r="Z2295" s="221"/>
      <c r="AA2295" s="221"/>
      <c r="AB2295" s="223"/>
    </row>
    <row r="2296" spans="1:28" ht="17.100000000000001" customHeight="1" thickTop="1">
      <c r="A2296" s="226" t="s">
        <v>7533</v>
      </c>
      <c r="B2296" s="28">
        <v>45939</v>
      </c>
      <c r="C2296" s="25">
        <v>2129</v>
      </c>
      <c r="D2296" s="13" t="s">
        <v>7497</v>
      </c>
      <c r="E2296" s="228"/>
      <c r="F2296" s="109" t="s">
        <v>7498</v>
      </c>
      <c r="G2296" s="24"/>
      <c r="H2296" s="230">
        <v>4</v>
      </c>
      <c r="I2296" s="220">
        <v>493000</v>
      </c>
      <c r="J2296" s="220">
        <f>I2296*0.1</f>
        <v>49300</v>
      </c>
      <c r="K2296" s="220">
        <v>0</v>
      </c>
      <c r="L2296" s="220">
        <v>9910</v>
      </c>
      <c r="M2296" s="220">
        <v>13750</v>
      </c>
      <c r="N2296" s="220">
        <f>SUM(I2296:M2297)</f>
        <v>565960</v>
      </c>
      <c r="O2296" s="224"/>
      <c r="P2296" s="110" t="s">
        <v>8542</v>
      </c>
      <c r="Q2296" s="15" t="s">
        <v>19</v>
      </c>
      <c r="R2296" s="205"/>
      <c r="S2296" s="189"/>
      <c r="T2296" s="114"/>
      <c r="U2296" s="21"/>
      <c r="V2296" s="115">
        <v>45948</v>
      </c>
      <c r="W2296" s="116">
        <v>1272</v>
      </c>
      <c r="X2296" s="220">
        <v>600000</v>
      </c>
      <c r="Y2296" s="220">
        <f>X2296*0.1</f>
        <v>60000</v>
      </c>
      <c r="Z2296" s="220">
        <v>9910</v>
      </c>
      <c r="AA2296" s="220">
        <f>SUM(X2296:Z2296)</f>
        <v>669910</v>
      </c>
      <c r="AB2296" s="222">
        <v>45958</v>
      </c>
    </row>
    <row r="2297" spans="1:28" ht="17.100000000000001" customHeight="1" thickBot="1">
      <c r="A2297" s="227"/>
      <c r="B2297" s="27" t="s">
        <v>3228</v>
      </c>
      <c r="C2297" s="27">
        <v>2694</v>
      </c>
      <c r="D2297" s="14" t="s">
        <v>7453</v>
      </c>
      <c r="E2297" s="229"/>
      <c r="F2297" s="117" t="s">
        <v>7499</v>
      </c>
      <c r="G2297" s="26">
        <v>67670</v>
      </c>
      <c r="H2297" s="231"/>
      <c r="I2297" s="221"/>
      <c r="J2297" s="221"/>
      <c r="K2297" s="221"/>
      <c r="L2297" s="221"/>
      <c r="M2297" s="221"/>
      <c r="N2297" s="221"/>
      <c r="O2297" s="225"/>
      <c r="P2297" s="118" t="s">
        <v>2615</v>
      </c>
      <c r="Q2297" s="16" t="s">
        <v>20</v>
      </c>
      <c r="R2297" s="17" t="s">
        <v>2143</v>
      </c>
      <c r="S2297" s="121"/>
      <c r="T2297" s="122"/>
      <c r="U2297" s="22"/>
      <c r="V2297" s="123" t="s">
        <v>6641</v>
      </c>
      <c r="W2297" s="122">
        <v>60049</v>
      </c>
      <c r="X2297" s="221"/>
      <c r="Y2297" s="221"/>
      <c r="Z2297" s="221"/>
      <c r="AA2297" s="221"/>
      <c r="AB2297" s="223"/>
    </row>
    <row r="2298" spans="1:28" ht="17.100000000000001" customHeight="1" thickTop="1">
      <c r="A2298" s="226" t="s">
        <v>7534</v>
      </c>
      <c r="B2298" s="28">
        <v>45939</v>
      </c>
      <c r="C2298" s="25">
        <v>2129</v>
      </c>
      <c r="D2298" s="13" t="s">
        <v>7500</v>
      </c>
      <c r="E2298" s="228"/>
      <c r="F2298" s="109" t="s">
        <v>7450</v>
      </c>
      <c r="G2298" s="24" t="s">
        <v>2953</v>
      </c>
      <c r="H2298" s="230">
        <v>3.5</v>
      </c>
      <c r="I2298" s="220">
        <v>413000</v>
      </c>
      <c r="J2298" s="220">
        <f>I2298*0.1</f>
        <v>41300</v>
      </c>
      <c r="K2298" s="220">
        <v>0</v>
      </c>
      <c r="L2298" s="220">
        <v>8460</v>
      </c>
      <c r="M2298" s="220">
        <v>13750</v>
      </c>
      <c r="N2298" s="220">
        <f>SUM(I2298:M2299)</f>
        <v>476510</v>
      </c>
      <c r="O2298" s="224"/>
      <c r="P2298" s="110" t="s">
        <v>7502</v>
      </c>
      <c r="Q2298" s="15" t="s">
        <v>19</v>
      </c>
      <c r="R2298" s="205"/>
      <c r="S2298" s="189" t="s">
        <v>25386</v>
      </c>
      <c r="T2298" s="114"/>
      <c r="U2298" s="21"/>
      <c r="V2298" s="115">
        <v>45976</v>
      </c>
      <c r="W2298" s="116">
        <v>1276</v>
      </c>
      <c r="X2298" s="220">
        <v>480000</v>
      </c>
      <c r="Y2298" s="220">
        <f>X2298*0.1</f>
        <v>48000</v>
      </c>
      <c r="Z2298" s="220">
        <v>8460</v>
      </c>
      <c r="AA2298" s="220">
        <f>SUM(X2298:Z2298)</f>
        <v>536460</v>
      </c>
      <c r="AB2298" s="222">
        <v>45981</v>
      </c>
    </row>
    <row r="2299" spans="1:28" ht="17.100000000000001" customHeight="1" thickBot="1">
      <c r="A2299" s="227"/>
      <c r="B2299" s="27" t="s">
        <v>3228</v>
      </c>
      <c r="C2299" s="27">
        <v>35390</v>
      </c>
      <c r="D2299" s="14" t="s">
        <v>7432</v>
      </c>
      <c r="E2299" s="229"/>
      <c r="F2299" s="117" t="s">
        <v>7501</v>
      </c>
      <c r="G2299" s="26">
        <v>44722</v>
      </c>
      <c r="H2299" s="231"/>
      <c r="I2299" s="221"/>
      <c r="J2299" s="221"/>
      <c r="K2299" s="221"/>
      <c r="L2299" s="221"/>
      <c r="M2299" s="221"/>
      <c r="N2299" s="221"/>
      <c r="O2299" s="225"/>
      <c r="P2299" s="118" t="s">
        <v>8257</v>
      </c>
      <c r="Q2299" s="16" t="s">
        <v>20</v>
      </c>
      <c r="R2299" s="17" t="s">
        <v>1630</v>
      </c>
      <c r="S2299" s="121" t="s">
        <v>184</v>
      </c>
      <c r="T2299" s="122"/>
      <c r="U2299" s="22"/>
      <c r="V2299" s="123" t="s">
        <v>10781</v>
      </c>
      <c r="W2299" s="122">
        <v>60051</v>
      </c>
      <c r="X2299" s="221"/>
      <c r="Y2299" s="221"/>
      <c r="Z2299" s="221"/>
      <c r="AA2299" s="221"/>
      <c r="AB2299" s="223"/>
    </row>
    <row r="2300" spans="1:28" ht="17.100000000000001" customHeight="1" thickTop="1">
      <c r="A2300" s="226" t="s">
        <v>7535</v>
      </c>
      <c r="B2300" s="28">
        <v>45940</v>
      </c>
      <c r="C2300" s="25">
        <v>58</v>
      </c>
      <c r="D2300" s="13" t="s">
        <v>2573</v>
      </c>
      <c r="E2300" s="228"/>
      <c r="F2300" s="109" t="s">
        <v>2943</v>
      </c>
      <c r="G2300" s="24" t="s">
        <v>3453</v>
      </c>
      <c r="H2300" s="230">
        <v>4.5</v>
      </c>
      <c r="I2300" s="220">
        <v>640000</v>
      </c>
      <c r="J2300" s="220">
        <f>I2300*0.1</f>
        <v>64000</v>
      </c>
      <c r="K2300" s="220">
        <v>0</v>
      </c>
      <c r="L2300" s="220">
        <v>8400</v>
      </c>
      <c r="M2300" s="220">
        <v>33000</v>
      </c>
      <c r="N2300" s="220">
        <f>SUM(I2300:M2301)</f>
        <v>745400</v>
      </c>
      <c r="O2300" s="224"/>
      <c r="P2300" s="110" t="s">
        <v>10385</v>
      </c>
      <c r="Q2300" s="15" t="s">
        <v>19</v>
      </c>
      <c r="R2300" s="205"/>
      <c r="S2300" s="189" t="s">
        <v>25519</v>
      </c>
      <c r="T2300" s="114"/>
      <c r="U2300" s="21" t="s">
        <v>10501</v>
      </c>
      <c r="V2300" s="115">
        <v>45965</v>
      </c>
      <c r="W2300" s="116">
        <v>1916</v>
      </c>
      <c r="X2300" s="220">
        <v>770000</v>
      </c>
      <c r="Y2300" s="220">
        <f>X2300*0.1</f>
        <v>77000</v>
      </c>
      <c r="Z2300" s="220">
        <v>8400</v>
      </c>
      <c r="AA2300" s="220">
        <f>SUM(X2300:Z2300)</f>
        <v>855400</v>
      </c>
      <c r="AB2300" s="222"/>
    </row>
    <row r="2301" spans="1:28" ht="17.100000000000001" customHeight="1" thickBot="1">
      <c r="A2301" s="227"/>
      <c r="B2301" s="27" t="s">
        <v>4468</v>
      </c>
      <c r="C2301" s="27">
        <v>1115</v>
      </c>
      <c r="D2301" s="14" t="s">
        <v>273</v>
      </c>
      <c r="E2301" s="229"/>
      <c r="F2301" s="117" t="s">
        <v>7607</v>
      </c>
      <c r="G2301" s="26">
        <v>59487</v>
      </c>
      <c r="H2301" s="231"/>
      <c r="I2301" s="221"/>
      <c r="J2301" s="221"/>
      <c r="K2301" s="221"/>
      <c r="L2301" s="221"/>
      <c r="M2301" s="221"/>
      <c r="N2301" s="221"/>
      <c r="O2301" s="225"/>
      <c r="P2301" s="118" t="s">
        <v>10386</v>
      </c>
      <c r="Q2301" s="16" t="s">
        <v>20</v>
      </c>
      <c r="R2301" s="17" t="s">
        <v>10387</v>
      </c>
      <c r="S2301" s="121" t="s">
        <v>7710</v>
      </c>
      <c r="T2301" s="122"/>
      <c r="U2301" s="22"/>
      <c r="V2301" s="123" t="s">
        <v>2103</v>
      </c>
      <c r="W2301" s="122">
        <v>3141</v>
      </c>
      <c r="X2301" s="221"/>
      <c r="Y2301" s="221"/>
      <c r="Z2301" s="221"/>
      <c r="AA2301" s="221"/>
      <c r="AB2301" s="223"/>
    </row>
    <row r="2302" spans="1:28" ht="17.100000000000001" customHeight="1" thickTop="1">
      <c r="A2302" s="226" t="s">
        <v>7617</v>
      </c>
      <c r="B2302" s="28">
        <v>45940</v>
      </c>
      <c r="C2302" s="25">
        <v>1389</v>
      </c>
      <c r="D2302" s="13" t="s">
        <v>7633</v>
      </c>
      <c r="E2302" s="228"/>
      <c r="F2302" s="109" t="s">
        <v>7635</v>
      </c>
      <c r="G2302" s="24"/>
      <c r="H2302" s="230">
        <v>3.5</v>
      </c>
      <c r="I2302" s="220">
        <v>369000</v>
      </c>
      <c r="J2302" s="220">
        <f>I2302*0.1</f>
        <v>36900</v>
      </c>
      <c r="K2302" s="220">
        <v>0</v>
      </c>
      <c r="L2302" s="220">
        <v>8400</v>
      </c>
      <c r="M2302" s="220">
        <v>13200</v>
      </c>
      <c r="N2302" s="220">
        <f>SUM(I2302:M2303)</f>
        <v>427500</v>
      </c>
      <c r="O2302" s="224"/>
      <c r="P2302" s="110" t="s">
        <v>8256</v>
      </c>
      <c r="Q2302" s="15" t="s">
        <v>19</v>
      </c>
      <c r="R2302" s="205"/>
      <c r="S2302" s="189"/>
      <c r="T2302" s="114"/>
      <c r="U2302" s="21"/>
      <c r="V2302" s="115">
        <v>45948</v>
      </c>
      <c r="W2302" s="116">
        <v>1272</v>
      </c>
      <c r="X2302" s="220">
        <v>450000</v>
      </c>
      <c r="Y2302" s="220">
        <f>X2302*0.1</f>
        <v>45000</v>
      </c>
      <c r="Z2302" s="220">
        <v>8400</v>
      </c>
      <c r="AA2302" s="220">
        <f>SUM(X2302:Z2302)</f>
        <v>503400</v>
      </c>
      <c r="AB2302" s="222">
        <v>45951</v>
      </c>
    </row>
    <row r="2303" spans="1:28" ht="17.100000000000001" customHeight="1" thickBot="1">
      <c r="A2303" s="227"/>
      <c r="B2303" s="27" t="s">
        <v>7616</v>
      </c>
      <c r="C2303" s="27">
        <v>2171</v>
      </c>
      <c r="D2303" s="14" t="s">
        <v>7634</v>
      </c>
      <c r="E2303" s="229"/>
      <c r="F2303" s="117" t="s">
        <v>7636</v>
      </c>
      <c r="G2303" s="26">
        <v>19120</v>
      </c>
      <c r="H2303" s="231"/>
      <c r="I2303" s="221"/>
      <c r="J2303" s="221"/>
      <c r="K2303" s="221"/>
      <c r="L2303" s="221"/>
      <c r="M2303" s="221"/>
      <c r="N2303" s="221"/>
      <c r="O2303" s="225"/>
      <c r="P2303" s="118" t="s">
        <v>1972</v>
      </c>
      <c r="Q2303" s="16" t="s">
        <v>20</v>
      </c>
      <c r="R2303" s="17" t="s">
        <v>1630</v>
      </c>
      <c r="S2303" s="121"/>
      <c r="T2303" s="122"/>
      <c r="U2303" s="22"/>
      <c r="V2303" s="123" t="s">
        <v>2472</v>
      </c>
      <c r="W2303" s="122">
        <v>60053</v>
      </c>
      <c r="X2303" s="221"/>
      <c r="Y2303" s="221"/>
      <c r="Z2303" s="221"/>
      <c r="AA2303" s="221"/>
      <c r="AB2303" s="223"/>
    </row>
    <row r="2304" spans="1:28" ht="17.100000000000001" customHeight="1" thickTop="1">
      <c r="A2304" s="226" t="s">
        <v>7618</v>
      </c>
      <c r="B2304" s="28">
        <v>45940</v>
      </c>
      <c r="C2304" s="25">
        <v>1389</v>
      </c>
      <c r="D2304" s="13" t="s">
        <v>7637</v>
      </c>
      <c r="E2304" s="228"/>
      <c r="F2304" s="109" t="s">
        <v>7638</v>
      </c>
      <c r="G2304" s="24" t="s">
        <v>7640</v>
      </c>
      <c r="H2304" s="230">
        <v>4</v>
      </c>
      <c r="I2304" s="220">
        <v>288000</v>
      </c>
      <c r="J2304" s="220">
        <f>I2304*0.1</f>
        <v>28800</v>
      </c>
      <c r="K2304" s="220">
        <v>0</v>
      </c>
      <c r="L2304" s="220">
        <v>7500</v>
      </c>
      <c r="M2304" s="220">
        <v>13200</v>
      </c>
      <c r="N2304" s="220">
        <f>SUM(I2304:M2305)</f>
        <v>337500</v>
      </c>
      <c r="O2304" s="224"/>
      <c r="P2304" s="110" t="s">
        <v>8385</v>
      </c>
      <c r="Q2304" s="15" t="s">
        <v>19</v>
      </c>
      <c r="R2304" s="205"/>
      <c r="S2304" s="189"/>
      <c r="T2304" s="114"/>
      <c r="U2304" s="21"/>
      <c r="V2304" s="115">
        <v>45948</v>
      </c>
      <c r="W2304" s="116">
        <v>1272</v>
      </c>
      <c r="X2304" s="220">
        <v>465000</v>
      </c>
      <c r="Y2304" s="220">
        <f>X2304*0.1</f>
        <v>46500</v>
      </c>
      <c r="Z2304" s="220">
        <v>7500</v>
      </c>
      <c r="AA2304" s="220">
        <f>SUM(X2304:Z2304)</f>
        <v>519000</v>
      </c>
      <c r="AB2304" s="222">
        <v>45951</v>
      </c>
    </row>
    <row r="2305" spans="1:28" ht="17.100000000000001" customHeight="1" thickBot="1">
      <c r="A2305" s="227"/>
      <c r="B2305" s="27" t="s">
        <v>7616</v>
      </c>
      <c r="C2305" s="27">
        <v>2175</v>
      </c>
      <c r="D2305" s="14" t="s">
        <v>7634</v>
      </c>
      <c r="E2305" s="229"/>
      <c r="F2305" s="117" t="s">
        <v>7639</v>
      </c>
      <c r="G2305" s="26">
        <v>46746</v>
      </c>
      <c r="H2305" s="231"/>
      <c r="I2305" s="221"/>
      <c r="J2305" s="221"/>
      <c r="K2305" s="221"/>
      <c r="L2305" s="221"/>
      <c r="M2305" s="221"/>
      <c r="N2305" s="221"/>
      <c r="O2305" s="225"/>
      <c r="P2305" s="118" t="s">
        <v>8386</v>
      </c>
      <c r="Q2305" s="16" t="s">
        <v>20</v>
      </c>
      <c r="R2305" s="17" t="s">
        <v>1639</v>
      </c>
      <c r="S2305" s="121" t="s">
        <v>8107</v>
      </c>
      <c r="T2305" s="122"/>
      <c r="U2305" s="22"/>
      <c r="V2305" s="123" t="s">
        <v>2472</v>
      </c>
      <c r="W2305" s="122">
        <v>60051</v>
      </c>
      <c r="X2305" s="221"/>
      <c r="Y2305" s="221"/>
      <c r="Z2305" s="221"/>
      <c r="AA2305" s="221"/>
      <c r="AB2305" s="223"/>
    </row>
    <row r="2306" spans="1:28" ht="17.100000000000001" customHeight="1" thickTop="1">
      <c r="A2306" s="226" t="s">
        <v>7619</v>
      </c>
      <c r="B2306" s="28">
        <v>45940</v>
      </c>
      <c r="C2306" s="25">
        <v>1389</v>
      </c>
      <c r="D2306" s="13" t="s">
        <v>7641</v>
      </c>
      <c r="E2306" s="228"/>
      <c r="F2306" s="109" t="s">
        <v>7643</v>
      </c>
      <c r="G2306" s="24" t="s">
        <v>7645</v>
      </c>
      <c r="H2306" s="230">
        <v>4</v>
      </c>
      <c r="I2306" s="220">
        <v>282000</v>
      </c>
      <c r="J2306" s="220">
        <f>I2306*0.1</f>
        <v>28200</v>
      </c>
      <c r="K2306" s="220">
        <v>0</v>
      </c>
      <c r="L2306" s="220">
        <v>9790</v>
      </c>
      <c r="M2306" s="220">
        <v>13200</v>
      </c>
      <c r="N2306" s="220">
        <f>SUM(I2306:M2307)</f>
        <v>333190</v>
      </c>
      <c r="O2306" s="224"/>
      <c r="P2306" s="110" t="s">
        <v>8729</v>
      </c>
      <c r="Q2306" s="15" t="s">
        <v>19</v>
      </c>
      <c r="R2306" s="205"/>
      <c r="S2306" s="189"/>
      <c r="T2306" s="114"/>
      <c r="U2306" s="21"/>
      <c r="V2306" s="115">
        <v>45948</v>
      </c>
      <c r="W2306" s="116">
        <v>1272</v>
      </c>
      <c r="X2306" s="220">
        <v>270000</v>
      </c>
      <c r="Y2306" s="220">
        <f>X2306*0.1</f>
        <v>27000</v>
      </c>
      <c r="Z2306" s="220">
        <v>9790</v>
      </c>
      <c r="AA2306" s="220">
        <f>SUM(X2306:Z2306)</f>
        <v>306790</v>
      </c>
      <c r="AB2306" s="222">
        <v>45953</v>
      </c>
    </row>
    <row r="2307" spans="1:28" ht="17.100000000000001" customHeight="1" thickBot="1">
      <c r="A2307" s="227"/>
      <c r="B2307" s="27" t="s">
        <v>7616</v>
      </c>
      <c r="C2307" s="27">
        <v>2195</v>
      </c>
      <c r="D2307" s="14" t="s">
        <v>7642</v>
      </c>
      <c r="E2307" s="229"/>
      <c r="F2307" s="117" t="s">
        <v>7644</v>
      </c>
      <c r="G2307" s="26">
        <v>147335</v>
      </c>
      <c r="H2307" s="231"/>
      <c r="I2307" s="221"/>
      <c r="J2307" s="221"/>
      <c r="K2307" s="221"/>
      <c r="L2307" s="221"/>
      <c r="M2307" s="221"/>
      <c r="N2307" s="221"/>
      <c r="O2307" s="225"/>
      <c r="P2307" s="118" t="s">
        <v>8730</v>
      </c>
      <c r="Q2307" s="16" t="s">
        <v>20</v>
      </c>
      <c r="R2307" s="17" t="s">
        <v>1656</v>
      </c>
      <c r="S2307" s="121"/>
      <c r="T2307" s="122"/>
      <c r="U2307" s="22"/>
      <c r="V2307" s="123" t="s">
        <v>2472</v>
      </c>
      <c r="W2307" s="122">
        <v>60323</v>
      </c>
      <c r="X2307" s="221"/>
      <c r="Y2307" s="221"/>
      <c r="Z2307" s="221"/>
      <c r="AA2307" s="221"/>
      <c r="AB2307" s="223"/>
    </row>
    <row r="2308" spans="1:28" ht="17.100000000000001" customHeight="1" thickTop="1">
      <c r="A2308" s="226" t="s">
        <v>7620</v>
      </c>
      <c r="B2308" s="28">
        <v>45940</v>
      </c>
      <c r="C2308" s="25">
        <v>1389</v>
      </c>
      <c r="D2308" s="13" t="s">
        <v>7646</v>
      </c>
      <c r="E2308" s="228"/>
      <c r="F2308" s="109" t="s">
        <v>7648</v>
      </c>
      <c r="G2308" s="24" t="s">
        <v>7650</v>
      </c>
      <c r="H2308" s="230">
        <v>3.5</v>
      </c>
      <c r="I2308" s="220">
        <v>426000</v>
      </c>
      <c r="J2308" s="220">
        <f>I2308*0.1</f>
        <v>42600</v>
      </c>
      <c r="K2308" s="220">
        <v>0</v>
      </c>
      <c r="L2308" s="220">
        <v>9790</v>
      </c>
      <c r="M2308" s="220">
        <v>13200</v>
      </c>
      <c r="N2308" s="220">
        <f>SUM(I2308:M2309)</f>
        <v>491590</v>
      </c>
      <c r="O2308" s="224"/>
      <c r="P2308" s="110" t="s">
        <v>8255</v>
      </c>
      <c r="Q2308" s="15" t="s">
        <v>19</v>
      </c>
      <c r="R2308" s="205"/>
      <c r="S2308" s="189"/>
      <c r="T2308" s="114"/>
      <c r="U2308" s="21"/>
      <c r="V2308" s="115">
        <v>45948</v>
      </c>
      <c r="W2308" s="116">
        <v>1272</v>
      </c>
      <c r="X2308" s="220">
        <v>460000</v>
      </c>
      <c r="Y2308" s="220">
        <f>X2308*0.1</f>
        <v>46000</v>
      </c>
      <c r="Z2308" s="220">
        <v>9790</v>
      </c>
      <c r="AA2308" s="220">
        <f>SUM(X2308:Z2308)</f>
        <v>515790</v>
      </c>
      <c r="AB2308" s="222">
        <v>45951</v>
      </c>
    </row>
    <row r="2309" spans="1:28" ht="17.100000000000001" customHeight="1" thickBot="1">
      <c r="A2309" s="227"/>
      <c r="B2309" s="27" t="s">
        <v>7616</v>
      </c>
      <c r="C2309" s="27">
        <v>2199</v>
      </c>
      <c r="D2309" s="14" t="s">
        <v>7647</v>
      </c>
      <c r="E2309" s="229"/>
      <c r="F2309" s="117" t="s">
        <v>7649</v>
      </c>
      <c r="G2309" s="26">
        <v>84971</v>
      </c>
      <c r="H2309" s="231"/>
      <c r="I2309" s="221"/>
      <c r="J2309" s="221"/>
      <c r="K2309" s="221"/>
      <c r="L2309" s="221"/>
      <c r="M2309" s="221"/>
      <c r="N2309" s="221"/>
      <c r="O2309" s="225"/>
      <c r="P2309" s="118" t="s">
        <v>1972</v>
      </c>
      <c r="Q2309" s="16" t="s">
        <v>20</v>
      </c>
      <c r="R2309" s="17" t="s">
        <v>1630</v>
      </c>
      <c r="S2309" s="121"/>
      <c r="T2309" s="122"/>
      <c r="U2309" s="22"/>
      <c r="V2309" s="123" t="s">
        <v>2472</v>
      </c>
      <c r="W2309" s="122">
        <v>60040</v>
      </c>
      <c r="X2309" s="221"/>
      <c r="Y2309" s="221"/>
      <c r="Z2309" s="221"/>
      <c r="AA2309" s="221"/>
      <c r="AB2309" s="223"/>
    </row>
    <row r="2310" spans="1:28" ht="17.100000000000001" customHeight="1" thickTop="1">
      <c r="A2310" s="226" t="s">
        <v>7621</v>
      </c>
      <c r="B2310" s="28">
        <v>45940</v>
      </c>
      <c r="C2310" s="25">
        <v>1389</v>
      </c>
      <c r="D2310" s="13" t="s">
        <v>7651</v>
      </c>
      <c r="E2310" s="228"/>
      <c r="F2310" s="109" t="s">
        <v>7653</v>
      </c>
      <c r="G2310" s="24"/>
      <c r="H2310" s="230">
        <v>4</v>
      </c>
      <c r="I2310" s="220">
        <v>1254000</v>
      </c>
      <c r="J2310" s="220">
        <f>I2310*0.1</f>
        <v>125400</v>
      </c>
      <c r="K2310" s="220">
        <v>0</v>
      </c>
      <c r="L2310" s="220">
        <v>7530</v>
      </c>
      <c r="M2310" s="220">
        <v>13200</v>
      </c>
      <c r="N2310" s="220">
        <f>SUM(I2310:M2311)</f>
        <v>1400130</v>
      </c>
      <c r="O2310" s="224"/>
      <c r="P2310" s="110" t="s">
        <v>8734</v>
      </c>
      <c r="Q2310" s="15" t="s">
        <v>19</v>
      </c>
      <c r="R2310" s="205"/>
      <c r="S2310" s="189"/>
      <c r="T2310" s="114"/>
      <c r="U2310" s="21"/>
      <c r="V2310" s="115">
        <v>45955</v>
      </c>
      <c r="W2310" s="116">
        <v>1273</v>
      </c>
      <c r="X2310" s="220">
        <v>1360000</v>
      </c>
      <c r="Y2310" s="220">
        <f>X2310*0.1</f>
        <v>136000</v>
      </c>
      <c r="Z2310" s="220">
        <v>7530</v>
      </c>
      <c r="AA2310" s="220">
        <f>SUM(X2310:Z2310)</f>
        <v>1503530</v>
      </c>
      <c r="AB2310" s="222">
        <v>45960</v>
      </c>
    </row>
    <row r="2311" spans="1:28" ht="17.100000000000001" customHeight="1" thickBot="1">
      <c r="A2311" s="227"/>
      <c r="B2311" s="27" t="s">
        <v>7616</v>
      </c>
      <c r="C2311" s="27">
        <v>7003</v>
      </c>
      <c r="D2311" s="14" t="s">
        <v>7652</v>
      </c>
      <c r="E2311" s="229"/>
      <c r="F2311" s="117" t="s">
        <v>7654</v>
      </c>
      <c r="G2311" s="26">
        <v>29783</v>
      </c>
      <c r="H2311" s="231"/>
      <c r="I2311" s="221"/>
      <c r="J2311" s="221"/>
      <c r="K2311" s="221"/>
      <c r="L2311" s="221"/>
      <c r="M2311" s="221"/>
      <c r="N2311" s="221"/>
      <c r="O2311" s="225"/>
      <c r="P2311" s="118" t="s">
        <v>8735</v>
      </c>
      <c r="Q2311" s="16" t="s">
        <v>20</v>
      </c>
      <c r="R2311" s="17" t="s">
        <v>1656</v>
      </c>
      <c r="S2311" s="121"/>
      <c r="T2311" s="122"/>
      <c r="U2311" s="22"/>
      <c r="V2311" s="123" t="s">
        <v>2472</v>
      </c>
      <c r="W2311" s="122">
        <v>60277</v>
      </c>
      <c r="X2311" s="221"/>
      <c r="Y2311" s="221"/>
      <c r="Z2311" s="221"/>
      <c r="AA2311" s="221"/>
      <c r="AB2311" s="223"/>
    </row>
    <row r="2312" spans="1:28" ht="17.100000000000001" customHeight="1" thickTop="1">
      <c r="A2312" s="226" t="s">
        <v>7622</v>
      </c>
      <c r="B2312" s="28">
        <v>45940</v>
      </c>
      <c r="C2312" s="25">
        <v>1389</v>
      </c>
      <c r="D2312" s="13" t="s">
        <v>7655</v>
      </c>
      <c r="E2312" s="228"/>
      <c r="F2312" s="109" t="s">
        <v>7657</v>
      </c>
      <c r="G2312" s="24" t="s">
        <v>7659</v>
      </c>
      <c r="H2312" s="230">
        <v>4</v>
      </c>
      <c r="I2312" s="220">
        <v>1077000</v>
      </c>
      <c r="J2312" s="220">
        <f>I2312*0.1</f>
        <v>107700</v>
      </c>
      <c r="K2312" s="220">
        <v>0</v>
      </c>
      <c r="L2312" s="220">
        <v>8200</v>
      </c>
      <c r="M2312" s="220">
        <v>13200</v>
      </c>
      <c r="N2312" s="220">
        <f>SUM(I2312:M2313)</f>
        <v>1206100</v>
      </c>
      <c r="O2312" s="224"/>
      <c r="P2312" s="110" t="s">
        <v>8378</v>
      </c>
      <c r="Q2312" s="15" t="s">
        <v>19</v>
      </c>
      <c r="R2312" s="205"/>
      <c r="S2312" s="189" t="s">
        <v>283</v>
      </c>
      <c r="T2312" s="129" t="s">
        <v>8475</v>
      </c>
      <c r="U2312" s="21"/>
      <c r="V2312" s="115">
        <v>45948</v>
      </c>
      <c r="W2312" s="116">
        <v>1272</v>
      </c>
      <c r="X2312" s="220">
        <v>1130000</v>
      </c>
      <c r="Y2312" s="220">
        <f>X2312*0.1</f>
        <v>113000</v>
      </c>
      <c r="Z2312" s="220">
        <v>8390</v>
      </c>
      <c r="AA2312" s="220">
        <f>SUM(X2312:Z2312)</f>
        <v>1251390</v>
      </c>
      <c r="AB2312" s="222">
        <v>45951</v>
      </c>
    </row>
    <row r="2313" spans="1:28" ht="17.100000000000001" customHeight="1" thickBot="1">
      <c r="A2313" s="227"/>
      <c r="B2313" s="27" t="s">
        <v>7616</v>
      </c>
      <c r="C2313" s="27">
        <v>7517</v>
      </c>
      <c r="D2313" s="14" t="s">
        <v>7656</v>
      </c>
      <c r="E2313" s="229"/>
      <c r="F2313" s="117" t="s">
        <v>7658</v>
      </c>
      <c r="G2313" s="26">
        <v>1726</v>
      </c>
      <c r="H2313" s="231"/>
      <c r="I2313" s="221"/>
      <c r="J2313" s="221"/>
      <c r="K2313" s="221"/>
      <c r="L2313" s="221"/>
      <c r="M2313" s="221"/>
      <c r="N2313" s="221"/>
      <c r="O2313" s="225"/>
      <c r="P2313" s="118" t="s">
        <v>8379</v>
      </c>
      <c r="Q2313" s="16" t="s">
        <v>20</v>
      </c>
      <c r="R2313" s="17" t="s">
        <v>1639</v>
      </c>
      <c r="S2313" s="121" t="s">
        <v>169</v>
      </c>
      <c r="T2313" s="122"/>
      <c r="U2313" s="22"/>
      <c r="V2313" s="123" t="s">
        <v>2472</v>
      </c>
      <c r="W2313" s="122">
        <v>60045</v>
      </c>
      <c r="X2313" s="221"/>
      <c r="Y2313" s="221"/>
      <c r="Z2313" s="221"/>
      <c r="AA2313" s="221"/>
      <c r="AB2313" s="223"/>
    </row>
    <row r="2314" spans="1:28" ht="17.100000000000001" customHeight="1" thickTop="1">
      <c r="A2314" s="226" t="s">
        <v>7623</v>
      </c>
      <c r="B2314" s="28">
        <v>45940</v>
      </c>
      <c r="C2314" s="25">
        <v>1389</v>
      </c>
      <c r="D2314" s="13" t="s">
        <v>1642</v>
      </c>
      <c r="E2314" s="228"/>
      <c r="F2314" s="109" t="s">
        <v>7661</v>
      </c>
      <c r="G2314" s="24"/>
      <c r="H2314" s="230">
        <v>4.5</v>
      </c>
      <c r="I2314" s="220">
        <v>862000</v>
      </c>
      <c r="J2314" s="220">
        <f>I2314*0.1</f>
        <v>86200</v>
      </c>
      <c r="K2314" s="220">
        <v>0</v>
      </c>
      <c r="L2314" s="220">
        <v>8010</v>
      </c>
      <c r="M2314" s="220">
        <v>13200</v>
      </c>
      <c r="N2314" s="220">
        <f>SUM(I2314:M2315)</f>
        <v>969410</v>
      </c>
      <c r="O2314" s="224"/>
      <c r="P2314" s="110" t="s">
        <v>8732</v>
      </c>
      <c r="Q2314" s="15" t="s">
        <v>19</v>
      </c>
      <c r="R2314" s="205"/>
      <c r="S2314" s="189" t="s">
        <v>283</v>
      </c>
      <c r="T2314" s="114"/>
      <c r="U2314" s="21"/>
      <c r="V2314" s="115">
        <v>45966</v>
      </c>
      <c r="W2314" s="116">
        <v>991</v>
      </c>
      <c r="X2314" s="220">
        <v>950000</v>
      </c>
      <c r="Y2314" s="220">
        <f>X2314*0.1</f>
        <v>95000</v>
      </c>
      <c r="Z2314" s="220">
        <v>8010</v>
      </c>
      <c r="AA2314" s="220">
        <f>SUM(X2314:Z2314)</f>
        <v>1053010</v>
      </c>
      <c r="AB2314" s="222">
        <v>45971</v>
      </c>
    </row>
    <row r="2315" spans="1:28" ht="17.100000000000001" customHeight="1" thickBot="1">
      <c r="A2315" s="227"/>
      <c r="B2315" s="27" t="s">
        <v>7616</v>
      </c>
      <c r="C2315" s="27">
        <v>7519</v>
      </c>
      <c r="D2315" s="14" t="s">
        <v>7660</v>
      </c>
      <c r="E2315" s="229"/>
      <c r="F2315" s="117" t="s">
        <v>7662</v>
      </c>
      <c r="G2315" s="26">
        <v>45025</v>
      </c>
      <c r="H2315" s="231"/>
      <c r="I2315" s="221"/>
      <c r="J2315" s="221"/>
      <c r="K2315" s="221"/>
      <c r="L2315" s="221"/>
      <c r="M2315" s="221"/>
      <c r="N2315" s="221"/>
      <c r="O2315" s="225"/>
      <c r="P2315" s="118" t="s">
        <v>3611</v>
      </c>
      <c r="Q2315" s="16" t="s">
        <v>20</v>
      </c>
      <c r="R2315" s="17" t="s">
        <v>1656</v>
      </c>
      <c r="S2315" s="121" t="s">
        <v>169</v>
      </c>
      <c r="T2315" s="122"/>
      <c r="U2315" s="22"/>
      <c r="V2315" s="123" t="s">
        <v>8877</v>
      </c>
      <c r="W2315" s="122">
        <v>2070</v>
      </c>
      <c r="X2315" s="221"/>
      <c r="Y2315" s="221"/>
      <c r="Z2315" s="221"/>
      <c r="AA2315" s="221"/>
      <c r="AB2315" s="223"/>
    </row>
    <row r="2316" spans="1:28" ht="17.100000000000001" customHeight="1" thickTop="1">
      <c r="A2316" s="226" t="s">
        <v>7624</v>
      </c>
      <c r="B2316" s="28">
        <v>45940</v>
      </c>
      <c r="C2316" s="25">
        <v>1389</v>
      </c>
      <c r="D2316" s="13" t="s">
        <v>7655</v>
      </c>
      <c r="E2316" s="228"/>
      <c r="F2316" s="109" t="s">
        <v>7663</v>
      </c>
      <c r="G2316" s="24" t="s">
        <v>7665</v>
      </c>
      <c r="H2316" s="230">
        <v>4</v>
      </c>
      <c r="I2316" s="220">
        <v>855000</v>
      </c>
      <c r="J2316" s="220">
        <f>I2316*0.1</f>
        <v>85500</v>
      </c>
      <c r="K2316" s="220">
        <v>0</v>
      </c>
      <c r="L2316" s="220">
        <v>8200</v>
      </c>
      <c r="M2316" s="220">
        <v>13200</v>
      </c>
      <c r="N2316" s="220">
        <f>SUM(I2316:M2317)</f>
        <v>961900</v>
      </c>
      <c r="O2316" s="224"/>
      <c r="P2316" s="110" t="s">
        <v>8733</v>
      </c>
      <c r="Q2316" s="15" t="s">
        <v>19</v>
      </c>
      <c r="R2316" s="205"/>
      <c r="S2316" s="189" t="s">
        <v>283</v>
      </c>
      <c r="T2316" s="114"/>
      <c r="U2316" s="21" t="s">
        <v>10815</v>
      </c>
      <c r="V2316" s="115">
        <v>45983</v>
      </c>
      <c r="W2316" s="116">
        <v>1277</v>
      </c>
      <c r="X2316" s="220">
        <v>870000</v>
      </c>
      <c r="Y2316" s="220">
        <f>X2316*0.1</f>
        <v>87000</v>
      </c>
      <c r="Z2316" s="220">
        <v>8200</v>
      </c>
      <c r="AA2316" s="220">
        <f>SUM(X2316:Z2316)</f>
        <v>965200</v>
      </c>
      <c r="AB2316" s="222">
        <v>45987</v>
      </c>
    </row>
    <row r="2317" spans="1:28" ht="17.100000000000001" customHeight="1" thickBot="1">
      <c r="A2317" s="227"/>
      <c r="B2317" s="27" t="s">
        <v>7616</v>
      </c>
      <c r="C2317" s="27">
        <v>7526</v>
      </c>
      <c r="D2317" s="14" t="s">
        <v>7656</v>
      </c>
      <c r="E2317" s="229"/>
      <c r="F2317" s="117" t="s">
        <v>7664</v>
      </c>
      <c r="G2317" s="26">
        <v>5004</v>
      </c>
      <c r="H2317" s="231"/>
      <c r="I2317" s="221"/>
      <c r="J2317" s="221"/>
      <c r="K2317" s="221"/>
      <c r="L2317" s="221"/>
      <c r="M2317" s="221"/>
      <c r="N2317" s="221"/>
      <c r="O2317" s="225"/>
      <c r="P2317" s="118" t="s">
        <v>4541</v>
      </c>
      <c r="Q2317" s="16" t="s">
        <v>20</v>
      </c>
      <c r="R2317" s="17" t="s">
        <v>1656</v>
      </c>
      <c r="S2317" s="121" t="s">
        <v>169</v>
      </c>
      <c r="T2317" s="122"/>
      <c r="U2317" s="22"/>
      <c r="V2317" s="123" t="s">
        <v>2472</v>
      </c>
      <c r="W2317" s="122">
        <v>60159</v>
      </c>
      <c r="X2317" s="221"/>
      <c r="Y2317" s="221"/>
      <c r="Z2317" s="221"/>
      <c r="AA2317" s="221"/>
      <c r="AB2317" s="223"/>
    </row>
    <row r="2318" spans="1:28" ht="17.100000000000001" customHeight="1" thickTop="1">
      <c r="A2318" s="226" t="s">
        <v>7625</v>
      </c>
      <c r="B2318" s="28">
        <v>45940</v>
      </c>
      <c r="C2318" s="25">
        <v>1389</v>
      </c>
      <c r="D2318" s="13" t="s">
        <v>7666</v>
      </c>
      <c r="E2318" s="228"/>
      <c r="F2318" s="109" t="s">
        <v>7638</v>
      </c>
      <c r="G2318" s="24"/>
      <c r="H2318" s="230">
        <v>4</v>
      </c>
      <c r="I2318" s="220">
        <v>689000</v>
      </c>
      <c r="J2318" s="220">
        <f>I2318*0.1</f>
        <v>68900</v>
      </c>
      <c r="K2318" s="220">
        <v>0</v>
      </c>
      <c r="L2318" s="220">
        <v>5690</v>
      </c>
      <c r="M2318" s="220">
        <v>13200</v>
      </c>
      <c r="N2318" s="220">
        <f>SUM(I2318:M2319)</f>
        <v>776790</v>
      </c>
      <c r="O2318" s="224"/>
      <c r="P2318" s="110" t="s">
        <v>8376</v>
      </c>
      <c r="Q2318" s="15" t="s">
        <v>19</v>
      </c>
      <c r="R2318" s="205"/>
      <c r="S2318" s="189" t="s">
        <v>283</v>
      </c>
      <c r="T2318" s="114"/>
      <c r="U2318" s="21"/>
      <c r="V2318" s="115">
        <v>45948</v>
      </c>
      <c r="W2318" s="116">
        <v>1272</v>
      </c>
      <c r="X2318" s="220">
        <v>735000</v>
      </c>
      <c r="Y2318" s="220">
        <f>X2318*0.1</f>
        <v>73500</v>
      </c>
      <c r="Z2318" s="220">
        <v>5690</v>
      </c>
      <c r="AA2318" s="220">
        <f>SUM(X2318:Z2318)</f>
        <v>814190</v>
      </c>
      <c r="AB2318" s="222">
        <v>45951</v>
      </c>
    </row>
    <row r="2319" spans="1:28" ht="17.100000000000001" customHeight="1" thickBot="1">
      <c r="A2319" s="227"/>
      <c r="B2319" s="27" t="s">
        <v>7616</v>
      </c>
      <c r="C2319" s="27">
        <v>7548</v>
      </c>
      <c r="D2319" s="14" t="s">
        <v>7656</v>
      </c>
      <c r="E2319" s="229"/>
      <c r="F2319" s="117" t="s">
        <v>7667</v>
      </c>
      <c r="G2319" s="26">
        <v>21109</v>
      </c>
      <c r="H2319" s="231"/>
      <c r="I2319" s="221"/>
      <c r="J2319" s="221"/>
      <c r="K2319" s="221"/>
      <c r="L2319" s="221"/>
      <c r="M2319" s="221"/>
      <c r="N2319" s="221"/>
      <c r="O2319" s="225"/>
      <c r="P2319" s="118" t="s">
        <v>8377</v>
      </c>
      <c r="Q2319" s="16" t="s">
        <v>20</v>
      </c>
      <c r="R2319" s="17" t="s">
        <v>1639</v>
      </c>
      <c r="S2319" s="121" t="s">
        <v>169</v>
      </c>
      <c r="T2319" s="122"/>
      <c r="U2319" s="22"/>
      <c r="V2319" s="123" t="s">
        <v>2472</v>
      </c>
      <c r="W2319" s="122">
        <v>60025</v>
      </c>
      <c r="X2319" s="221"/>
      <c r="Y2319" s="221"/>
      <c r="Z2319" s="221"/>
      <c r="AA2319" s="221"/>
      <c r="AB2319" s="223"/>
    </row>
    <row r="2320" spans="1:28" ht="17.100000000000001" customHeight="1" thickTop="1">
      <c r="A2320" s="226" t="s">
        <v>7626</v>
      </c>
      <c r="B2320" s="28">
        <v>45940</v>
      </c>
      <c r="C2320" s="25">
        <v>1389</v>
      </c>
      <c r="D2320" s="13" t="s">
        <v>7668</v>
      </c>
      <c r="E2320" s="228"/>
      <c r="F2320" s="109" t="s">
        <v>7669</v>
      </c>
      <c r="G2320" s="24" t="s">
        <v>7671</v>
      </c>
      <c r="H2320" s="230">
        <v>5</v>
      </c>
      <c r="I2320" s="220">
        <v>1153000</v>
      </c>
      <c r="J2320" s="220">
        <f>I2320*0.1</f>
        <v>115300</v>
      </c>
      <c r="K2320" s="220">
        <v>0</v>
      </c>
      <c r="L2320" s="220">
        <v>8200</v>
      </c>
      <c r="M2320" s="220">
        <v>13200</v>
      </c>
      <c r="N2320" s="220">
        <f>SUM(I2320:M2321)</f>
        <v>1289700</v>
      </c>
      <c r="O2320" s="224"/>
      <c r="P2320" s="110" t="s">
        <v>8383</v>
      </c>
      <c r="Q2320" s="15" t="s">
        <v>19</v>
      </c>
      <c r="R2320" s="205"/>
      <c r="S2320" s="189" t="s">
        <v>283</v>
      </c>
      <c r="T2320" s="114"/>
      <c r="U2320" s="21"/>
      <c r="V2320" s="115">
        <v>45951</v>
      </c>
      <c r="W2320" s="116">
        <v>1914</v>
      </c>
      <c r="X2320" s="220">
        <v>1270000</v>
      </c>
      <c r="Y2320" s="220">
        <f>X2320*0.1</f>
        <v>127000</v>
      </c>
      <c r="Z2320" s="220">
        <v>8200</v>
      </c>
      <c r="AA2320" s="220">
        <f>SUM(X2320:Z2320)</f>
        <v>1405200</v>
      </c>
      <c r="AB2320" s="222">
        <v>45957</v>
      </c>
    </row>
    <row r="2321" spans="1:28" ht="17.100000000000001" customHeight="1" thickBot="1">
      <c r="A2321" s="227"/>
      <c r="B2321" s="27" t="s">
        <v>7616</v>
      </c>
      <c r="C2321" s="27">
        <v>7549</v>
      </c>
      <c r="D2321" s="14" t="s">
        <v>7656</v>
      </c>
      <c r="E2321" s="229"/>
      <c r="F2321" s="117" t="s">
        <v>7670</v>
      </c>
      <c r="G2321" s="26">
        <v>3702</v>
      </c>
      <c r="H2321" s="231"/>
      <c r="I2321" s="221"/>
      <c r="J2321" s="221"/>
      <c r="K2321" s="221"/>
      <c r="L2321" s="221"/>
      <c r="M2321" s="221"/>
      <c r="N2321" s="221"/>
      <c r="O2321" s="225"/>
      <c r="P2321" s="118" t="s">
        <v>8384</v>
      </c>
      <c r="Q2321" s="16" t="s">
        <v>20</v>
      </c>
      <c r="R2321" s="17" t="s">
        <v>1639</v>
      </c>
      <c r="S2321" s="121" t="s">
        <v>169</v>
      </c>
      <c r="T2321" s="122"/>
      <c r="U2321" s="22"/>
      <c r="V2321" s="123" t="s">
        <v>2103</v>
      </c>
      <c r="W2321" s="122">
        <v>3171</v>
      </c>
      <c r="X2321" s="221"/>
      <c r="Y2321" s="221"/>
      <c r="Z2321" s="221"/>
      <c r="AA2321" s="221"/>
      <c r="AB2321" s="223"/>
    </row>
    <row r="2322" spans="1:28" ht="17.100000000000001" customHeight="1" thickTop="1">
      <c r="A2322" s="226" t="s">
        <v>7627</v>
      </c>
      <c r="B2322" s="28">
        <v>45940</v>
      </c>
      <c r="C2322" s="25">
        <v>1389</v>
      </c>
      <c r="D2322" s="13" t="s">
        <v>7672</v>
      </c>
      <c r="E2322" s="228"/>
      <c r="F2322" s="109" t="s">
        <v>7673</v>
      </c>
      <c r="G2322" s="24" t="s">
        <v>7675</v>
      </c>
      <c r="H2322" s="232">
        <v>4.5</v>
      </c>
      <c r="I2322" s="220">
        <v>640000</v>
      </c>
      <c r="J2322" s="220">
        <f>I2322*0.1</f>
        <v>64000</v>
      </c>
      <c r="K2322" s="220">
        <v>0</v>
      </c>
      <c r="L2322" s="220">
        <v>5690</v>
      </c>
      <c r="M2322" s="220">
        <v>13200</v>
      </c>
      <c r="N2322" s="220">
        <f>SUM(I2322:M2323)</f>
        <v>722890</v>
      </c>
      <c r="O2322" s="224"/>
      <c r="P2322" s="110" t="s">
        <v>8381</v>
      </c>
      <c r="Q2322" s="15" t="s">
        <v>19</v>
      </c>
      <c r="R2322" s="205"/>
      <c r="S2322" s="189" t="s">
        <v>283</v>
      </c>
      <c r="T2322" s="114"/>
      <c r="U2322" s="21" t="s">
        <v>10821</v>
      </c>
      <c r="V2322" s="115">
        <v>45980</v>
      </c>
      <c r="W2322" s="116">
        <v>993</v>
      </c>
      <c r="X2322" s="220">
        <v>695000</v>
      </c>
      <c r="Y2322" s="220">
        <f>X2322*0.1</f>
        <v>69500</v>
      </c>
      <c r="Z2322" s="220">
        <v>5690</v>
      </c>
      <c r="AA2322" s="220">
        <f>SUM(X2322:Z2322)</f>
        <v>770190</v>
      </c>
      <c r="AB2322" s="222">
        <v>45986</v>
      </c>
    </row>
    <row r="2323" spans="1:28" ht="17.100000000000001" customHeight="1" thickBot="1">
      <c r="A2323" s="227"/>
      <c r="B2323" s="27" t="s">
        <v>7616</v>
      </c>
      <c r="C2323" s="27">
        <v>7552</v>
      </c>
      <c r="D2323" s="14" t="s">
        <v>7634</v>
      </c>
      <c r="E2323" s="229"/>
      <c r="F2323" s="117" t="s">
        <v>7674</v>
      </c>
      <c r="G2323" s="26">
        <v>40582</v>
      </c>
      <c r="H2323" s="231"/>
      <c r="I2323" s="221"/>
      <c r="J2323" s="221"/>
      <c r="K2323" s="221"/>
      <c r="L2323" s="221"/>
      <c r="M2323" s="221"/>
      <c r="N2323" s="221"/>
      <c r="O2323" s="225"/>
      <c r="P2323" s="118" t="s">
        <v>8382</v>
      </c>
      <c r="Q2323" s="16" t="s">
        <v>20</v>
      </c>
      <c r="R2323" s="17" t="s">
        <v>1639</v>
      </c>
      <c r="S2323" s="121" t="s">
        <v>169</v>
      </c>
      <c r="T2323" s="122"/>
      <c r="U2323" s="22"/>
      <c r="V2323" s="123" t="s">
        <v>8877</v>
      </c>
      <c r="W2323" s="122">
        <v>2014</v>
      </c>
      <c r="X2323" s="221"/>
      <c r="Y2323" s="221"/>
      <c r="Z2323" s="221"/>
      <c r="AA2323" s="221"/>
      <c r="AB2323" s="223"/>
    </row>
    <row r="2324" spans="1:28" ht="17.100000000000001" customHeight="1" thickTop="1">
      <c r="A2324" s="226" t="s">
        <v>7628</v>
      </c>
      <c r="B2324" s="28">
        <v>45940</v>
      </c>
      <c r="C2324" s="25">
        <v>1389</v>
      </c>
      <c r="D2324" s="13" t="s">
        <v>7676</v>
      </c>
      <c r="E2324" s="228"/>
      <c r="F2324" s="109" t="s">
        <v>7678</v>
      </c>
      <c r="G2324" s="24"/>
      <c r="H2324" s="230">
        <v>4.5</v>
      </c>
      <c r="I2324" s="220">
        <v>784000</v>
      </c>
      <c r="J2324" s="220">
        <f>I2324*0.1</f>
        <v>78400</v>
      </c>
      <c r="K2324" s="220">
        <v>0</v>
      </c>
      <c r="L2324" s="220">
        <v>7950</v>
      </c>
      <c r="M2324" s="220">
        <v>13200</v>
      </c>
      <c r="N2324" s="220">
        <f>SUM(I2324:M2325)</f>
        <v>883550</v>
      </c>
      <c r="O2324" s="224"/>
      <c r="P2324" s="110" t="s">
        <v>8251</v>
      </c>
      <c r="Q2324" s="15" t="s">
        <v>19</v>
      </c>
      <c r="R2324" s="205"/>
      <c r="S2324" s="189" t="s">
        <v>1072</v>
      </c>
      <c r="T2324" s="114"/>
      <c r="U2324" s="21"/>
      <c r="V2324" s="115">
        <v>45966</v>
      </c>
      <c r="W2324" s="116">
        <v>991</v>
      </c>
      <c r="X2324" s="220">
        <v>840000</v>
      </c>
      <c r="Y2324" s="220">
        <f>X2324*0.1</f>
        <v>84000</v>
      </c>
      <c r="Z2324" s="220">
        <v>7950</v>
      </c>
      <c r="AA2324" s="220">
        <f>SUM(X2324:Z2324)</f>
        <v>931950</v>
      </c>
      <c r="AB2324" s="222">
        <v>45971</v>
      </c>
    </row>
    <row r="2325" spans="1:28" ht="17.100000000000001" customHeight="1" thickBot="1">
      <c r="A2325" s="227"/>
      <c r="B2325" s="27" t="s">
        <v>7616</v>
      </c>
      <c r="C2325" s="27">
        <v>7554</v>
      </c>
      <c r="D2325" s="14" t="s">
        <v>7677</v>
      </c>
      <c r="E2325" s="229"/>
      <c r="F2325" s="117" t="s">
        <v>7679</v>
      </c>
      <c r="G2325" s="26">
        <v>29584</v>
      </c>
      <c r="H2325" s="231"/>
      <c r="I2325" s="221"/>
      <c r="J2325" s="221"/>
      <c r="K2325" s="221"/>
      <c r="L2325" s="221"/>
      <c r="M2325" s="221"/>
      <c r="N2325" s="221"/>
      <c r="O2325" s="225"/>
      <c r="P2325" s="118" t="s">
        <v>8252</v>
      </c>
      <c r="Q2325" s="16" t="s">
        <v>20</v>
      </c>
      <c r="R2325" s="17" t="s">
        <v>1630</v>
      </c>
      <c r="S2325" s="121" t="s">
        <v>9614</v>
      </c>
      <c r="T2325" s="122"/>
      <c r="U2325" s="22"/>
      <c r="V2325" s="123" t="s">
        <v>2747</v>
      </c>
      <c r="W2325" s="122">
        <v>2069</v>
      </c>
      <c r="X2325" s="221"/>
      <c r="Y2325" s="221"/>
      <c r="Z2325" s="221"/>
      <c r="AA2325" s="221"/>
      <c r="AB2325" s="223"/>
    </row>
    <row r="2326" spans="1:28" ht="17.100000000000001" customHeight="1" thickTop="1">
      <c r="A2326" s="226" t="s">
        <v>7629</v>
      </c>
      <c r="B2326" s="28">
        <v>45940</v>
      </c>
      <c r="C2326" s="25">
        <v>1389</v>
      </c>
      <c r="D2326" s="13" t="s">
        <v>7680</v>
      </c>
      <c r="E2326" s="228"/>
      <c r="F2326" s="109" t="s">
        <v>7681</v>
      </c>
      <c r="G2326" s="24" t="s">
        <v>7683</v>
      </c>
      <c r="H2326" s="230">
        <v>5</v>
      </c>
      <c r="I2326" s="220">
        <v>982000</v>
      </c>
      <c r="J2326" s="220">
        <f>I2326*0.1</f>
        <v>98200</v>
      </c>
      <c r="K2326" s="220">
        <v>0</v>
      </c>
      <c r="L2326" s="220">
        <v>8200</v>
      </c>
      <c r="M2326" s="220">
        <v>13200</v>
      </c>
      <c r="N2326" s="220">
        <f>SUM(I2326:M2327)</f>
        <v>1101600</v>
      </c>
      <c r="O2326" s="224"/>
      <c r="P2326" s="110" t="s">
        <v>8380</v>
      </c>
      <c r="Q2326" s="15" t="s">
        <v>19</v>
      </c>
      <c r="R2326" s="205"/>
      <c r="S2326" s="189" t="s">
        <v>283</v>
      </c>
      <c r="T2326" s="114"/>
      <c r="U2326" s="21" t="s">
        <v>10814</v>
      </c>
      <c r="V2326" s="115">
        <v>45987</v>
      </c>
      <c r="W2326" s="116">
        <v>994</v>
      </c>
      <c r="X2326" s="220">
        <v>1020000</v>
      </c>
      <c r="Y2326" s="220">
        <f>X2326*0.1</f>
        <v>102000</v>
      </c>
      <c r="Z2326" s="220">
        <v>8200</v>
      </c>
      <c r="AA2326" s="220">
        <f>SUM(X2326:Z2326)</f>
        <v>1130200</v>
      </c>
      <c r="AB2326" s="222">
        <v>45995</v>
      </c>
    </row>
    <row r="2327" spans="1:28" ht="17.100000000000001" customHeight="1" thickBot="1">
      <c r="A2327" s="227"/>
      <c r="B2327" s="27" t="s">
        <v>7616</v>
      </c>
      <c r="C2327" s="27">
        <v>7563</v>
      </c>
      <c r="D2327" s="14" t="s">
        <v>7656</v>
      </c>
      <c r="E2327" s="229"/>
      <c r="F2327" s="117" t="s">
        <v>7682</v>
      </c>
      <c r="G2327" s="26">
        <v>1455</v>
      </c>
      <c r="H2327" s="231"/>
      <c r="I2327" s="221"/>
      <c r="J2327" s="221"/>
      <c r="K2327" s="221"/>
      <c r="L2327" s="221"/>
      <c r="M2327" s="221"/>
      <c r="N2327" s="221"/>
      <c r="O2327" s="225"/>
      <c r="P2327" s="118" t="s">
        <v>8379</v>
      </c>
      <c r="Q2327" s="16" t="s">
        <v>20</v>
      </c>
      <c r="R2327" s="17" t="s">
        <v>1639</v>
      </c>
      <c r="S2327" s="121" t="s">
        <v>169</v>
      </c>
      <c r="T2327" s="122"/>
      <c r="U2327" s="22"/>
      <c r="V2327" s="123" t="s">
        <v>7161</v>
      </c>
      <c r="W2327" s="122">
        <v>2050</v>
      </c>
      <c r="X2327" s="221"/>
      <c r="Y2327" s="221"/>
      <c r="Z2327" s="221"/>
      <c r="AA2327" s="221"/>
      <c r="AB2327" s="223"/>
    </row>
    <row r="2328" spans="1:28" ht="17.100000000000001" customHeight="1" thickTop="1">
      <c r="A2328" s="226" t="s">
        <v>7630</v>
      </c>
      <c r="B2328" s="28">
        <v>45940</v>
      </c>
      <c r="C2328" s="25">
        <v>1389</v>
      </c>
      <c r="D2328" s="13" t="s">
        <v>7684</v>
      </c>
      <c r="E2328" s="228"/>
      <c r="F2328" s="109" t="s">
        <v>7685</v>
      </c>
      <c r="G2328" s="24"/>
      <c r="H2328" s="230">
        <v>3.5</v>
      </c>
      <c r="I2328" s="220">
        <v>172000</v>
      </c>
      <c r="J2328" s="220">
        <f>I2328*0.1</f>
        <v>17200</v>
      </c>
      <c r="K2328" s="220">
        <v>0</v>
      </c>
      <c r="L2328" s="220">
        <v>8930</v>
      </c>
      <c r="M2328" s="220">
        <v>13200</v>
      </c>
      <c r="N2328" s="220">
        <f>SUM(I2328:M2329)</f>
        <v>211330</v>
      </c>
      <c r="O2328" s="224"/>
      <c r="P2328" s="110" t="s">
        <v>8254</v>
      </c>
      <c r="Q2328" s="15" t="s">
        <v>19</v>
      </c>
      <c r="R2328" s="205"/>
      <c r="S2328" s="189"/>
      <c r="T2328" s="114"/>
      <c r="U2328" s="21"/>
      <c r="V2328" s="115">
        <v>45976</v>
      </c>
      <c r="W2328" s="116">
        <v>1276</v>
      </c>
      <c r="X2328" s="220">
        <v>202000</v>
      </c>
      <c r="Y2328" s="220">
        <f>X2328*0.1</f>
        <v>20200</v>
      </c>
      <c r="Z2328" s="220">
        <v>8930</v>
      </c>
      <c r="AA2328" s="220">
        <f>SUM(X2328:Z2328)</f>
        <v>231130</v>
      </c>
      <c r="AB2328" s="222">
        <v>45979</v>
      </c>
    </row>
    <row r="2329" spans="1:28" ht="17.100000000000001" customHeight="1" thickBot="1">
      <c r="A2329" s="227"/>
      <c r="B2329" s="27" t="s">
        <v>7616</v>
      </c>
      <c r="C2329" s="27">
        <v>9058</v>
      </c>
      <c r="D2329" s="14" t="s">
        <v>7656</v>
      </c>
      <c r="E2329" s="229"/>
      <c r="F2329" s="117" t="s">
        <v>7686</v>
      </c>
      <c r="G2329" s="26">
        <v>53923</v>
      </c>
      <c r="H2329" s="231"/>
      <c r="I2329" s="221"/>
      <c r="J2329" s="221"/>
      <c r="K2329" s="221"/>
      <c r="L2329" s="221"/>
      <c r="M2329" s="221"/>
      <c r="N2329" s="221"/>
      <c r="O2329" s="225"/>
      <c r="P2329" s="118" t="s">
        <v>1972</v>
      </c>
      <c r="Q2329" s="16" t="s">
        <v>20</v>
      </c>
      <c r="R2329" s="17" t="s">
        <v>1630</v>
      </c>
      <c r="S2329" s="121" t="s">
        <v>3796</v>
      </c>
      <c r="T2329" s="122"/>
      <c r="U2329" s="22"/>
      <c r="V2329" s="123" t="s">
        <v>10781</v>
      </c>
      <c r="W2329" s="122">
        <v>63108</v>
      </c>
      <c r="X2329" s="221"/>
      <c r="Y2329" s="221"/>
      <c r="Z2329" s="221"/>
      <c r="AA2329" s="221"/>
      <c r="AB2329" s="223"/>
    </row>
    <row r="2330" spans="1:28" ht="17.100000000000001" customHeight="1" thickTop="1">
      <c r="A2330" s="226" t="s">
        <v>7631</v>
      </c>
      <c r="B2330" s="28">
        <v>45940</v>
      </c>
      <c r="C2330" s="25">
        <v>1389</v>
      </c>
      <c r="D2330" s="13" t="s">
        <v>7687</v>
      </c>
      <c r="E2330" s="228"/>
      <c r="F2330" s="109" t="s">
        <v>4398</v>
      </c>
      <c r="G2330" s="24" t="s">
        <v>7689</v>
      </c>
      <c r="H2330" s="232" t="s">
        <v>1705</v>
      </c>
      <c r="I2330" s="220">
        <v>139000</v>
      </c>
      <c r="J2330" s="220">
        <v>13900</v>
      </c>
      <c r="K2330" s="220">
        <v>0</v>
      </c>
      <c r="L2330" s="220">
        <v>9790</v>
      </c>
      <c r="M2330" s="220">
        <v>13200</v>
      </c>
      <c r="N2330" s="220">
        <f>SUM(I2330:M2331)</f>
        <v>175890</v>
      </c>
      <c r="O2330" s="224"/>
      <c r="P2330" s="110" t="s">
        <v>8248</v>
      </c>
      <c r="Q2330" s="15" t="s">
        <v>19</v>
      </c>
      <c r="R2330" s="205"/>
      <c r="S2330" s="189"/>
      <c r="T2330" s="114"/>
      <c r="U2330" s="21" t="s">
        <v>10192</v>
      </c>
      <c r="V2330" s="115">
        <v>45969</v>
      </c>
      <c r="W2330" s="116">
        <v>1275</v>
      </c>
      <c r="X2330" s="220">
        <v>124000</v>
      </c>
      <c r="Y2330" s="220">
        <f>X2330*0.1</f>
        <v>12400</v>
      </c>
      <c r="Z2330" s="220">
        <v>9790</v>
      </c>
      <c r="AA2330" s="220">
        <f>SUM(X2330:Z2330)</f>
        <v>146190</v>
      </c>
      <c r="AB2330" s="222">
        <v>45974</v>
      </c>
    </row>
    <row r="2331" spans="1:28" ht="17.100000000000001" customHeight="1" thickBot="1">
      <c r="A2331" s="227"/>
      <c r="B2331" s="27" t="s">
        <v>7616</v>
      </c>
      <c r="C2331" s="27">
        <v>9076</v>
      </c>
      <c r="D2331" s="14" t="s">
        <v>7688</v>
      </c>
      <c r="E2331" s="229"/>
      <c r="F2331" s="117" t="s">
        <v>7725</v>
      </c>
      <c r="G2331" s="26">
        <v>159285</v>
      </c>
      <c r="H2331" s="231"/>
      <c r="I2331" s="221"/>
      <c r="J2331" s="221"/>
      <c r="K2331" s="221"/>
      <c r="L2331" s="221"/>
      <c r="M2331" s="221"/>
      <c r="N2331" s="221"/>
      <c r="O2331" s="225"/>
      <c r="P2331" s="118" t="s">
        <v>8249</v>
      </c>
      <c r="Q2331" s="16" t="s">
        <v>20</v>
      </c>
      <c r="R2331" s="17" t="s">
        <v>1630</v>
      </c>
      <c r="S2331" s="121" t="s">
        <v>8250</v>
      </c>
      <c r="T2331" s="122"/>
      <c r="U2331" s="22"/>
      <c r="V2331" s="123" t="s">
        <v>2472</v>
      </c>
      <c r="W2331" s="122">
        <v>63174</v>
      </c>
      <c r="X2331" s="221"/>
      <c r="Y2331" s="221"/>
      <c r="Z2331" s="221"/>
      <c r="AA2331" s="221"/>
      <c r="AB2331" s="223"/>
    </row>
    <row r="2332" spans="1:28" ht="17.100000000000001" customHeight="1" thickTop="1">
      <c r="A2332" s="226" t="s">
        <v>7632</v>
      </c>
      <c r="B2332" s="28">
        <v>45940</v>
      </c>
      <c r="C2332" s="25">
        <v>1389</v>
      </c>
      <c r="D2332" s="13" t="s">
        <v>7690</v>
      </c>
      <c r="E2332" s="228"/>
      <c r="F2332" s="109" t="s">
        <v>4398</v>
      </c>
      <c r="G2332" s="24"/>
      <c r="H2332" s="230">
        <v>3.5</v>
      </c>
      <c r="I2332" s="220">
        <v>70000</v>
      </c>
      <c r="J2332" s="220">
        <f>I2332*0.1</f>
        <v>7000</v>
      </c>
      <c r="K2332" s="220">
        <v>0</v>
      </c>
      <c r="L2332" s="220">
        <v>9790</v>
      </c>
      <c r="M2332" s="220">
        <v>13200</v>
      </c>
      <c r="N2332" s="220">
        <f>SUM(I2332:M2333)</f>
        <v>99990</v>
      </c>
      <c r="O2332" s="224"/>
      <c r="P2332" s="110" t="s">
        <v>8253</v>
      </c>
      <c r="Q2332" s="15" t="s">
        <v>19</v>
      </c>
      <c r="R2332" s="205"/>
      <c r="S2332" s="189"/>
      <c r="T2332" s="114"/>
      <c r="U2332" s="21"/>
      <c r="V2332" s="115">
        <v>45948</v>
      </c>
      <c r="W2332" s="116">
        <v>1272</v>
      </c>
      <c r="X2332" s="220">
        <v>69000</v>
      </c>
      <c r="Y2332" s="220">
        <f>X2332*0.1</f>
        <v>6900</v>
      </c>
      <c r="Z2332" s="220">
        <v>9790</v>
      </c>
      <c r="AA2332" s="220">
        <f>SUM(X2332:Z2332)</f>
        <v>85690</v>
      </c>
      <c r="AB2332" s="222">
        <v>45951</v>
      </c>
    </row>
    <row r="2333" spans="1:28" ht="17.100000000000001" customHeight="1" thickBot="1">
      <c r="A2333" s="227"/>
      <c r="B2333" s="27" t="s">
        <v>7616</v>
      </c>
      <c r="C2333" s="27">
        <v>9207</v>
      </c>
      <c r="D2333" s="14" t="s">
        <v>7647</v>
      </c>
      <c r="E2333" s="229"/>
      <c r="F2333" s="117" t="s">
        <v>7691</v>
      </c>
      <c r="G2333" s="26">
        <v>170935</v>
      </c>
      <c r="H2333" s="231"/>
      <c r="I2333" s="221"/>
      <c r="J2333" s="221"/>
      <c r="K2333" s="221"/>
      <c r="L2333" s="221"/>
      <c r="M2333" s="221"/>
      <c r="N2333" s="221"/>
      <c r="O2333" s="225"/>
      <c r="P2333" s="118" t="s">
        <v>1972</v>
      </c>
      <c r="Q2333" s="16" t="s">
        <v>20</v>
      </c>
      <c r="R2333" s="17" t="s">
        <v>1630</v>
      </c>
      <c r="S2333" s="121"/>
      <c r="T2333" s="122"/>
      <c r="U2333" s="22"/>
      <c r="V2333" s="123" t="s">
        <v>2472</v>
      </c>
      <c r="W2333" s="122">
        <v>90264</v>
      </c>
      <c r="X2333" s="221"/>
      <c r="Y2333" s="221"/>
      <c r="Z2333" s="221"/>
      <c r="AA2333" s="221"/>
      <c r="AB2333" s="223"/>
    </row>
    <row r="2334" spans="1:28" ht="17.100000000000001" customHeight="1" thickTop="1">
      <c r="A2334" s="226" t="s">
        <v>7723</v>
      </c>
      <c r="B2334" s="28">
        <v>45940</v>
      </c>
      <c r="C2334" s="25">
        <v>261</v>
      </c>
      <c r="D2334" s="13" t="s">
        <v>3269</v>
      </c>
      <c r="E2334" s="228"/>
      <c r="F2334" s="109" t="s">
        <v>7536</v>
      </c>
      <c r="G2334" s="24"/>
      <c r="H2334" s="230">
        <v>4</v>
      </c>
      <c r="I2334" s="220">
        <v>922000</v>
      </c>
      <c r="J2334" s="220">
        <f>I2334*0.1</f>
        <v>92200</v>
      </c>
      <c r="K2334" s="220">
        <v>0</v>
      </c>
      <c r="L2334" s="220">
        <v>7150</v>
      </c>
      <c r="M2334" s="220">
        <v>22000</v>
      </c>
      <c r="N2334" s="220">
        <f>SUM(I2334:M2335)</f>
        <v>1043350</v>
      </c>
      <c r="O2334" s="224"/>
      <c r="P2334" s="110" t="s">
        <v>8286</v>
      </c>
      <c r="Q2334" s="15" t="s">
        <v>19</v>
      </c>
      <c r="R2334" s="205"/>
      <c r="S2334" s="189" t="s">
        <v>25520</v>
      </c>
      <c r="T2334" s="114"/>
      <c r="U2334" s="21"/>
      <c r="V2334" s="115">
        <v>46053</v>
      </c>
      <c r="W2334" s="116">
        <v>1286</v>
      </c>
      <c r="X2334" s="220">
        <v>940000</v>
      </c>
      <c r="Y2334" s="220">
        <f>X2334*0.1</f>
        <v>94000</v>
      </c>
      <c r="Z2334" s="220">
        <v>7150</v>
      </c>
      <c r="AA2334" s="220">
        <f>SUM(X2334:Z2334)</f>
        <v>1041150</v>
      </c>
      <c r="AB2334" s="222">
        <v>46056</v>
      </c>
    </row>
    <row r="2335" spans="1:28" ht="17.100000000000001" customHeight="1" thickBot="1">
      <c r="A2335" s="227"/>
      <c r="B2335" s="27" t="s">
        <v>3890</v>
      </c>
      <c r="C2335" s="27">
        <v>15</v>
      </c>
      <c r="D2335" s="14" t="s">
        <v>2788</v>
      </c>
      <c r="E2335" s="229"/>
      <c r="F2335" s="117" t="s">
        <v>7537</v>
      </c>
      <c r="G2335" s="26">
        <v>20987</v>
      </c>
      <c r="H2335" s="231"/>
      <c r="I2335" s="221"/>
      <c r="J2335" s="221"/>
      <c r="K2335" s="221"/>
      <c r="L2335" s="221"/>
      <c r="M2335" s="221"/>
      <c r="N2335" s="221"/>
      <c r="O2335" s="225"/>
      <c r="P2335" s="118" t="s">
        <v>3919</v>
      </c>
      <c r="Q2335" s="16" t="s">
        <v>20</v>
      </c>
      <c r="R2335" s="17" t="s">
        <v>1630</v>
      </c>
      <c r="S2335" s="121" t="s">
        <v>8287</v>
      </c>
      <c r="T2335" s="122"/>
      <c r="U2335" s="22"/>
      <c r="V2335" s="123" t="s">
        <v>7160</v>
      </c>
      <c r="W2335" s="122">
        <v>60141</v>
      </c>
      <c r="X2335" s="221"/>
      <c r="Y2335" s="221"/>
      <c r="Z2335" s="221"/>
      <c r="AA2335" s="221"/>
      <c r="AB2335" s="223"/>
    </row>
    <row r="2336" spans="1:28" ht="17.100000000000001" customHeight="1" thickTop="1">
      <c r="A2336" s="226" t="s">
        <v>7724</v>
      </c>
      <c r="B2336" s="28">
        <v>45940</v>
      </c>
      <c r="C2336" s="25">
        <v>261</v>
      </c>
      <c r="D2336" s="13" t="s">
        <v>1816</v>
      </c>
      <c r="E2336" s="228"/>
      <c r="F2336" s="109" t="s">
        <v>4398</v>
      </c>
      <c r="G2336" s="24" t="s">
        <v>2813</v>
      </c>
      <c r="H2336" s="230">
        <v>4.5</v>
      </c>
      <c r="I2336" s="220">
        <v>596000</v>
      </c>
      <c r="J2336" s="220">
        <f>I2336*0.1</f>
        <v>59600</v>
      </c>
      <c r="K2336" s="220">
        <v>0</v>
      </c>
      <c r="L2336" s="220">
        <v>9790</v>
      </c>
      <c r="M2336" s="220">
        <v>22000</v>
      </c>
      <c r="N2336" s="220">
        <f>SUM(I2336:M2337)</f>
        <v>687390</v>
      </c>
      <c r="O2336" s="224"/>
      <c r="P2336" s="110" t="s">
        <v>8375</v>
      </c>
      <c r="Q2336" s="15" t="s">
        <v>19</v>
      </c>
      <c r="R2336" s="205"/>
      <c r="S2336" s="189" t="s">
        <v>25432</v>
      </c>
      <c r="T2336" s="114"/>
      <c r="U2336" s="21"/>
      <c r="V2336" s="115">
        <v>45955</v>
      </c>
      <c r="W2336" s="116">
        <v>1273</v>
      </c>
      <c r="X2336" s="220">
        <v>585000</v>
      </c>
      <c r="Y2336" s="220">
        <f>X2336*0.1</f>
        <v>58500</v>
      </c>
      <c r="Z2336" s="220">
        <v>9790</v>
      </c>
      <c r="AA2336" s="220">
        <f>SUM(X2336:Z2336)</f>
        <v>653290</v>
      </c>
      <c r="AB2336" s="222">
        <v>45958</v>
      </c>
    </row>
    <row r="2337" spans="1:28" ht="17.100000000000001" customHeight="1" thickBot="1">
      <c r="A2337" s="227"/>
      <c r="B2337" s="27" t="s">
        <v>3890</v>
      </c>
      <c r="C2337" s="27">
        <v>99</v>
      </c>
      <c r="D2337" s="14" t="s">
        <v>1568</v>
      </c>
      <c r="E2337" s="229"/>
      <c r="F2337" s="117" t="s">
        <v>7538</v>
      </c>
      <c r="G2337" s="26">
        <v>51591</v>
      </c>
      <c r="H2337" s="231"/>
      <c r="I2337" s="221"/>
      <c r="J2337" s="221"/>
      <c r="K2337" s="221"/>
      <c r="L2337" s="221"/>
      <c r="M2337" s="221"/>
      <c r="N2337" s="221"/>
      <c r="O2337" s="225"/>
      <c r="P2337" s="118" t="s">
        <v>2615</v>
      </c>
      <c r="Q2337" s="16" t="s">
        <v>20</v>
      </c>
      <c r="R2337" s="17" t="s">
        <v>1639</v>
      </c>
      <c r="S2337" s="121" t="s">
        <v>3832</v>
      </c>
      <c r="T2337" s="122"/>
      <c r="U2337" s="22"/>
      <c r="V2337" s="123" t="s">
        <v>2472</v>
      </c>
      <c r="W2337" s="122">
        <v>60217</v>
      </c>
      <c r="X2337" s="221"/>
      <c r="Y2337" s="221"/>
      <c r="Z2337" s="221"/>
      <c r="AA2337" s="221"/>
      <c r="AB2337" s="223"/>
    </row>
    <row r="2338" spans="1:28" ht="17.100000000000001" customHeight="1" thickTop="1">
      <c r="A2338" s="226" t="s">
        <v>7726</v>
      </c>
      <c r="B2338" s="28">
        <v>45940</v>
      </c>
      <c r="C2338" s="25">
        <v>2105</v>
      </c>
      <c r="D2338" s="13" t="s">
        <v>1678</v>
      </c>
      <c r="E2338" s="228"/>
      <c r="F2338" s="109" t="s">
        <v>3958</v>
      </c>
      <c r="G2338" s="24" t="s">
        <v>4333</v>
      </c>
      <c r="H2338" s="230">
        <v>4.5</v>
      </c>
      <c r="I2338" s="220">
        <v>1040000</v>
      </c>
      <c r="J2338" s="220">
        <f>I2338*0.1</f>
        <v>104000</v>
      </c>
      <c r="K2338" s="220">
        <v>0</v>
      </c>
      <c r="L2338" s="220">
        <v>6850</v>
      </c>
      <c r="M2338" s="220">
        <v>16500</v>
      </c>
      <c r="N2338" s="220">
        <f>SUM(I2338:M2339)</f>
        <v>1167350</v>
      </c>
      <c r="O2338" s="224"/>
      <c r="P2338" s="110" t="s">
        <v>7540</v>
      </c>
      <c r="Q2338" s="15" t="s">
        <v>19</v>
      </c>
      <c r="R2338" s="205"/>
      <c r="S2338" s="189" t="s">
        <v>758</v>
      </c>
      <c r="T2338" s="114"/>
      <c r="U2338" s="21" t="s">
        <v>10980</v>
      </c>
      <c r="V2338" s="115">
        <v>45980</v>
      </c>
      <c r="W2338" s="116">
        <v>993</v>
      </c>
      <c r="X2338" s="220">
        <v>1090000</v>
      </c>
      <c r="Y2338" s="220">
        <f>X2338*0.1</f>
        <v>109000</v>
      </c>
      <c r="Z2338" s="220">
        <v>6850</v>
      </c>
      <c r="AA2338" s="220">
        <f>SUM(X2338:Z2338)</f>
        <v>1205850</v>
      </c>
      <c r="AB2338" s="222">
        <v>45986</v>
      </c>
    </row>
    <row r="2339" spans="1:28" ht="17.100000000000001" customHeight="1" thickBot="1">
      <c r="A2339" s="227"/>
      <c r="B2339" s="27" t="s">
        <v>1536</v>
      </c>
      <c r="C2339" s="27">
        <v>55215</v>
      </c>
      <c r="D2339" s="14" t="s">
        <v>1797</v>
      </c>
      <c r="E2339" s="229"/>
      <c r="F2339" s="117" t="s">
        <v>7539</v>
      </c>
      <c r="G2339" s="26">
        <v>45957</v>
      </c>
      <c r="H2339" s="231"/>
      <c r="I2339" s="221"/>
      <c r="J2339" s="221"/>
      <c r="K2339" s="221"/>
      <c r="L2339" s="221"/>
      <c r="M2339" s="221"/>
      <c r="N2339" s="221"/>
      <c r="O2339" s="225"/>
      <c r="P2339" s="118" t="s">
        <v>8535</v>
      </c>
      <c r="Q2339" s="16" t="s">
        <v>20</v>
      </c>
      <c r="R2339" s="17" t="s">
        <v>2143</v>
      </c>
      <c r="S2339" s="121" t="s">
        <v>169</v>
      </c>
      <c r="T2339" s="122"/>
      <c r="U2339" s="22"/>
      <c r="V2339" s="123" t="s">
        <v>8877</v>
      </c>
      <c r="W2339" s="122">
        <v>2027</v>
      </c>
      <c r="X2339" s="221"/>
      <c r="Y2339" s="221"/>
      <c r="Z2339" s="221"/>
      <c r="AA2339" s="221"/>
      <c r="AB2339" s="223"/>
    </row>
    <row r="2340" spans="1:28" ht="17.100000000000001" customHeight="1" thickTop="1">
      <c r="A2340" s="226" t="s">
        <v>7727</v>
      </c>
      <c r="B2340" s="28">
        <v>45940</v>
      </c>
      <c r="C2340" s="25">
        <v>2105</v>
      </c>
      <c r="D2340" s="13" t="s">
        <v>2203</v>
      </c>
      <c r="E2340" s="228"/>
      <c r="F2340" s="109" t="s">
        <v>2943</v>
      </c>
      <c r="G2340" s="24" t="s">
        <v>1551</v>
      </c>
      <c r="H2340" s="230">
        <v>4</v>
      </c>
      <c r="I2340" s="220">
        <v>610000</v>
      </c>
      <c r="J2340" s="220">
        <f>I2340*0.1</f>
        <v>61000</v>
      </c>
      <c r="K2340" s="220">
        <v>0</v>
      </c>
      <c r="L2340" s="220">
        <v>8400</v>
      </c>
      <c r="M2340" s="220">
        <v>16500</v>
      </c>
      <c r="N2340" s="220">
        <f>SUM(I2340:M2341)</f>
        <v>695900</v>
      </c>
      <c r="O2340" s="224"/>
      <c r="P2340" s="110" t="s">
        <v>7542</v>
      </c>
      <c r="Q2340" s="15" t="s">
        <v>19</v>
      </c>
      <c r="R2340" s="205"/>
      <c r="S2340" s="189" t="s">
        <v>25397</v>
      </c>
      <c r="T2340" s="114"/>
      <c r="U2340" s="21" t="s">
        <v>9849</v>
      </c>
      <c r="V2340" s="115">
        <v>45962</v>
      </c>
      <c r="W2340" s="116">
        <v>1274</v>
      </c>
      <c r="X2340" s="220">
        <v>645000</v>
      </c>
      <c r="Y2340" s="220">
        <f>X2340*0.1</f>
        <v>64500</v>
      </c>
      <c r="Z2340" s="220">
        <v>8400</v>
      </c>
      <c r="AA2340" s="220">
        <f>SUM(X2340:Z2340)</f>
        <v>717900</v>
      </c>
      <c r="AB2340" s="222">
        <v>45967</v>
      </c>
    </row>
    <row r="2341" spans="1:28" ht="17.100000000000001" customHeight="1" thickBot="1">
      <c r="A2341" s="227"/>
      <c r="B2341" s="27" t="s">
        <v>1536</v>
      </c>
      <c r="C2341" s="27">
        <v>55317</v>
      </c>
      <c r="D2341" s="14" t="s">
        <v>3792</v>
      </c>
      <c r="E2341" s="229"/>
      <c r="F2341" s="117" t="s">
        <v>7541</v>
      </c>
      <c r="G2341" s="26">
        <v>78407</v>
      </c>
      <c r="H2341" s="231"/>
      <c r="I2341" s="221"/>
      <c r="J2341" s="221"/>
      <c r="K2341" s="221"/>
      <c r="L2341" s="221"/>
      <c r="M2341" s="221"/>
      <c r="N2341" s="221"/>
      <c r="O2341" s="225"/>
      <c r="P2341" s="118" t="s">
        <v>4638</v>
      </c>
      <c r="Q2341" s="16" t="s">
        <v>20</v>
      </c>
      <c r="R2341" s="17" t="s">
        <v>1630</v>
      </c>
      <c r="S2341" s="121" t="s">
        <v>1601</v>
      </c>
      <c r="T2341" s="122"/>
      <c r="U2341" s="22"/>
      <c r="V2341" s="123" t="s">
        <v>2472</v>
      </c>
      <c r="W2341" s="122">
        <v>60223</v>
      </c>
      <c r="X2341" s="221"/>
      <c r="Y2341" s="221"/>
      <c r="Z2341" s="221"/>
      <c r="AA2341" s="221"/>
      <c r="AB2341" s="223"/>
    </row>
    <row r="2342" spans="1:28" ht="17.100000000000001" customHeight="1" thickTop="1">
      <c r="A2342" s="226" t="s">
        <v>7728</v>
      </c>
      <c r="B2342" s="28">
        <v>45940</v>
      </c>
      <c r="C2342" s="25">
        <v>2105</v>
      </c>
      <c r="D2342" s="13" t="s">
        <v>2652</v>
      </c>
      <c r="E2342" s="228"/>
      <c r="F2342" s="109" t="s">
        <v>2556</v>
      </c>
      <c r="G2342" s="24" t="s">
        <v>4412</v>
      </c>
      <c r="H2342" s="230">
        <v>4.5</v>
      </c>
      <c r="I2342" s="220">
        <v>1605000</v>
      </c>
      <c r="J2342" s="220">
        <f>I2342*0.1</f>
        <v>160500</v>
      </c>
      <c r="K2342" s="220">
        <v>0</v>
      </c>
      <c r="L2342" s="220">
        <v>7150</v>
      </c>
      <c r="M2342" s="220">
        <v>16500</v>
      </c>
      <c r="N2342" s="220">
        <f>SUM(I2342:M2343)</f>
        <v>1789150</v>
      </c>
      <c r="O2342" s="224"/>
      <c r="P2342" s="110" t="s">
        <v>7544</v>
      </c>
      <c r="Q2342" s="15" t="s">
        <v>19</v>
      </c>
      <c r="R2342" s="205"/>
      <c r="S2342" s="189" t="s">
        <v>1312</v>
      </c>
      <c r="T2342" s="114"/>
      <c r="U2342" s="21" t="s">
        <v>10820</v>
      </c>
      <c r="V2342" s="115">
        <v>46046</v>
      </c>
      <c r="W2342" s="116">
        <v>1285</v>
      </c>
      <c r="X2342" s="220">
        <v>1610000</v>
      </c>
      <c r="Y2342" s="220">
        <f>X2342*0.1</f>
        <v>161000</v>
      </c>
      <c r="Z2342" s="220">
        <v>7150</v>
      </c>
      <c r="AA2342" s="220">
        <f>SUM(X2342:Z2342)</f>
        <v>1778150</v>
      </c>
      <c r="AB2342" s="222">
        <v>46049</v>
      </c>
    </row>
    <row r="2343" spans="1:28" ht="17.100000000000001" customHeight="1" thickBot="1">
      <c r="A2343" s="227"/>
      <c r="B2343" s="27" t="s">
        <v>1536</v>
      </c>
      <c r="C2343" s="27">
        <v>55406</v>
      </c>
      <c r="D2343" s="14" t="s">
        <v>273</v>
      </c>
      <c r="E2343" s="229"/>
      <c r="F2343" s="117" t="s">
        <v>7543</v>
      </c>
      <c r="G2343" s="26">
        <v>5583</v>
      </c>
      <c r="H2343" s="231"/>
      <c r="I2343" s="221"/>
      <c r="J2343" s="221"/>
      <c r="K2343" s="221"/>
      <c r="L2343" s="221"/>
      <c r="M2343" s="221"/>
      <c r="N2343" s="221"/>
      <c r="O2343" s="225"/>
      <c r="P2343" s="118" t="s">
        <v>8268</v>
      </c>
      <c r="Q2343" s="16" t="s">
        <v>20</v>
      </c>
      <c r="R2343" s="17" t="s">
        <v>1630</v>
      </c>
      <c r="S2343" s="121" t="s">
        <v>8269</v>
      </c>
      <c r="T2343" s="122"/>
      <c r="U2343" s="22"/>
      <c r="V2343" s="123" t="s">
        <v>2472</v>
      </c>
      <c r="W2343" s="122">
        <v>60051</v>
      </c>
      <c r="X2343" s="221"/>
      <c r="Y2343" s="221"/>
      <c r="Z2343" s="221"/>
      <c r="AA2343" s="221"/>
      <c r="AB2343" s="223"/>
    </row>
    <row r="2344" spans="1:28" ht="17.100000000000001" customHeight="1" thickTop="1">
      <c r="A2344" s="233" t="s">
        <v>7729</v>
      </c>
      <c r="B2344" s="28">
        <v>45940</v>
      </c>
      <c r="C2344" s="25">
        <v>2105</v>
      </c>
      <c r="D2344" s="13" t="s">
        <v>1829</v>
      </c>
      <c r="E2344" s="228"/>
      <c r="F2344" s="109" t="s">
        <v>3958</v>
      </c>
      <c r="G2344" s="24"/>
      <c r="H2344" s="230">
        <v>4.5</v>
      </c>
      <c r="I2344" s="220">
        <v>1035000</v>
      </c>
      <c r="J2344" s="220">
        <f>I2344*0.1</f>
        <v>103500</v>
      </c>
      <c r="K2344" s="220">
        <v>0</v>
      </c>
      <c r="L2344" s="220">
        <v>6830</v>
      </c>
      <c r="M2344" s="220">
        <v>16500</v>
      </c>
      <c r="N2344" s="220">
        <f>SUM(I2344:M2345)</f>
        <v>1161830</v>
      </c>
      <c r="O2344" s="224"/>
      <c r="P2344" s="110" t="s">
        <v>8273</v>
      </c>
      <c r="Q2344" s="15" t="s">
        <v>19</v>
      </c>
      <c r="R2344" s="205"/>
      <c r="S2344" s="189" t="s">
        <v>25367</v>
      </c>
      <c r="T2344" s="114" t="s">
        <v>9291</v>
      </c>
      <c r="U2344" s="21"/>
      <c r="V2344" s="115"/>
      <c r="W2344" s="116"/>
      <c r="X2344" s="220"/>
      <c r="Y2344" s="220">
        <f>X2344*0.1</f>
        <v>0</v>
      </c>
      <c r="Z2344" s="220"/>
      <c r="AA2344" s="220">
        <f>SUM(X2344:Z2344)</f>
        <v>0</v>
      </c>
      <c r="AB2344" s="222"/>
    </row>
    <row r="2345" spans="1:28" ht="17.100000000000001" customHeight="1" thickBot="1">
      <c r="A2345" s="234"/>
      <c r="B2345" s="27" t="s">
        <v>1536</v>
      </c>
      <c r="C2345" s="27">
        <v>55451</v>
      </c>
      <c r="D2345" s="14" t="s">
        <v>2788</v>
      </c>
      <c r="E2345" s="229"/>
      <c r="F2345" s="117" t="s">
        <v>7545</v>
      </c>
      <c r="G2345" s="26">
        <v>28779</v>
      </c>
      <c r="H2345" s="231"/>
      <c r="I2345" s="221"/>
      <c r="J2345" s="221"/>
      <c r="K2345" s="221"/>
      <c r="L2345" s="221"/>
      <c r="M2345" s="221"/>
      <c r="N2345" s="221"/>
      <c r="O2345" s="225"/>
      <c r="P2345" s="118" t="s">
        <v>8274</v>
      </c>
      <c r="Q2345" s="16" t="s">
        <v>20</v>
      </c>
      <c r="R2345" s="17" t="s">
        <v>1630</v>
      </c>
      <c r="S2345" s="121" t="s">
        <v>1601</v>
      </c>
      <c r="T2345" s="122"/>
      <c r="U2345" s="22"/>
      <c r="V2345" s="123"/>
      <c r="W2345" s="122"/>
      <c r="X2345" s="221"/>
      <c r="Y2345" s="221"/>
      <c r="Z2345" s="221"/>
      <c r="AA2345" s="221"/>
      <c r="AB2345" s="223"/>
    </row>
    <row r="2346" spans="1:28" ht="17.100000000000001" customHeight="1" thickTop="1">
      <c r="A2346" s="226" t="s">
        <v>7730</v>
      </c>
      <c r="B2346" s="28">
        <v>45940</v>
      </c>
      <c r="C2346" s="25">
        <v>2105</v>
      </c>
      <c r="D2346" s="13" t="s">
        <v>2295</v>
      </c>
      <c r="E2346" s="228"/>
      <c r="F2346" s="109" t="s">
        <v>7546</v>
      </c>
      <c r="G2346" s="24" t="s">
        <v>1540</v>
      </c>
      <c r="H2346" s="230">
        <v>4.5</v>
      </c>
      <c r="I2346" s="220">
        <v>1145000</v>
      </c>
      <c r="J2346" s="220">
        <f>I2346*0.1</f>
        <v>114500</v>
      </c>
      <c r="K2346" s="220">
        <v>0</v>
      </c>
      <c r="L2346" s="220">
        <v>9310</v>
      </c>
      <c r="M2346" s="220">
        <v>16500</v>
      </c>
      <c r="N2346" s="220">
        <f>SUM(I2346:M2347)</f>
        <v>1285310</v>
      </c>
      <c r="O2346" s="224"/>
      <c r="P2346" s="110" t="s">
        <v>8236</v>
      </c>
      <c r="Q2346" s="15" t="s">
        <v>19</v>
      </c>
      <c r="R2346" s="205"/>
      <c r="S2346" s="189" t="s">
        <v>25521</v>
      </c>
      <c r="T2346" s="114"/>
      <c r="U2346" s="21"/>
      <c r="V2346" s="115">
        <v>45944</v>
      </c>
      <c r="W2346" s="116">
        <v>1913</v>
      </c>
      <c r="X2346" s="220">
        <v>1183000</v>
      </c>
      <c r="Y2346" s="220">
        <v>118300</v>
      </c>
      <c r="Z2346" s="220">
        <v>9310</v>
      </c>
      <c r="AA2346" s="220">
        <f>SUM(X2346:Z2346)</f>
        <v>1310610</v>
      </c>
      <c r="AB2346" s="222">
        <v>45950</v>
      </c>
    </row>
    <row r="2347" spans="1:28" ht="17.100000000000001" customHeight="1" thickBot="1">
      <c r="A2347" s="227"/>
      <c r="B2347" s="27" t="s">
        <v>1536</v>
      </c>
      <c r="C2347" s="27">
        <v>55461</v>
      </c>
      <c r="D2347" s="14" t="s">
        <v>2014</v>
      </c>
      <c r="E2347" s="229"/>
      <c r="F2347" s="117" t="s">
        <v>7547</v>
      </c>
      <c r="G2347" s="26">
        <v>38542</v>
      </c>
      <c r="H2347" s="231"/>
      <c r="I2347" s="221"/>
      <c r="J2347" s="221"/>
      <c r="K2347" s="221"/>
      <c r="L2347" s="221"/>
      <c r="M2347" s="221"/>
      <c r="N2347" s="221"/>
      <c r="O2347" s="225"/>
      <c r="P2347" s="118" t="s">
        <v>8237</v>
      </c>
      <c r="Q2347" s="16" t="s">
        <v>20</v>
      </c>
      <c r="R2347" s="17" t="s">
        <v>1630</v>
      </c>
      <c r="S2347" s="121" t="s">
        <v>8238</v>
      </c>
      <c r="T2347" s="122"/>
      <c r="U2347" s="22"/>
      <c r="V2347" s="123" t="s">
        <v>2103</v>
      </c>
      <c r="W2347" s="122">
        <v>3537</v>
      </c>
      <c r="X2347" s="221"/>
      <c r="Y2347" s="221"/>
      <c r="Z2347" s="221"/>
      <c r="AA2347" s="221"/>
      <c r="AB2347" s="223"/>
    </row>
    <row r="2348" spans="1:28" ht="17.100000000000001" customHeight="1" thickTop="1">
      <c r="A2348" s="226" t="s">
        <v>7731</v>
      </c>
      <c r="B2348" s="28">
        <v>45940</v>
      </c>
      <c r="C2348" s="25">
        <v>2105</v>
      </c>
      <c r="D2348" s="13" t="s">
        <v>3385</v>
      </c>
      <c r="E2348" s="228"/>
      <c r="F2348" s="109" t="s">
        <v>2556</v>
      </c>
      <c r="G2348" s="24" t="s">
        <v>7549</v>
      </c>
      <c r="H2348" s="230">
        <v>4</v>
      </c>
      <c r="I2348" s="220">
        <v>425000</v>
      </c>
      <c r="J2348" s="220">
        <f>I2348*0.1</f>
        <v>42500</v>
      </c>
      <c r="K2348" s="220">
        <v>0</v>
      </c>
      <c r="L2348" s="220">
        <v>10010</v>
      </c>
      <c r="M2348" s="220">
        <v>16500</v>
      </c>
      <c r="N2348" s="220">
        <f>SUM(I2348:M2349)</f>
        <v>494010</v>
      </c>
      <c r="O2348" s="224"/>
      <c r="P2348" s="110" t="s">
        <v>7550</v>
      </c>
      <c r="Q2348" s="15" t="s">
        <v>19</v>
      </c>
      <c r="R2348" s="205"/>
      <c r="S2348" s="189"/>
      <c r="T2348" s="114"/>
      <c r="U2348" s="21"/>
      <c r="V2348" s="115">
        <v>46078</v>
      </c>
      <c r="W2348" s="116">
        <v>1006</v>
      </c>
      <c r="X2348" s="220">
        <v>440000</v>
      </c>
      <c r="Y2348" s="220">
        <f>X2348*0.1</f>
        <v>44000</v>
      </c>
      <c r="Z2348" s="220">
        <v>10010</v>
      </c>
      <c r="AA2348" s="220">
        <f>SUM(X2348:Z2348)</f>
        <v>494010</v>
      </c>
      <c r="AB2348" s="222">
        <v>46083</v>
      </c>
    </row>
    <row r="2349" spans="1:28" ht="17.100000000000001" customHeight="1" thickBot="1">
      <c r="A2349" s="227"/>
      <c r="B2349" s="27" t="s">
        <v>1536</v>
      </c>
      <c r="C2349" s="27">
        <v>55571</v>
      </c>
      <c r="D2349" s="14" t="s">
        <v>1710</v>
      </c>
      <c r="E2349" s="229"/>
      <c r="F2349" s="117" t="s">
        <v>7548</v>
      </c>
      <c r="G2349" s="26">
        <v>59838</v>
      </c>
      <c r="H2349" s="231"/>
      <c r="I2349" s="221"/>
      <c r="J2349" s="221"/>
      <c r="K2349" s="221"/>
      <c r="L2349" s="221"/>
      <c r="M2349" s="221"/>
      <c r="N2349" s="221"/>
      <c r="O2349" s="225"/>
      <c r="P2349" s="118" t="s">
        <v>8275</v>
      </c>
      <c r="Q2349" s="16" t="s">
        <v>20</v>
      </c>
      <c r="R2349" s="17" t="s">
        <v>1630</v>
      </c>
      <c r="S2349" s="121" t="s">
        <v>7721</v>
      </c>
      <c r="T2349" s="122"/>
      <c r="U2349" s="22"/>
      <c r="V2349" s="123" t="s">
        <v>8877</v>
      </c>
      <c r="W2349" s="122">
        <v>2033</v>
      </c>
      <c r="X2349" s="221"/>
      <c r="Y2349" s="221"/>
      <c r="Z2349" s="221"/>
      <c r="AA2349" s="221"/>
      <c r="AB2349" s="223"/>
    </row>
    <row r="2350" spans="1:28" ht="17.100000000000001" customHeight="1" thickTop="1">
      <c r="A2350" s="226" t="s">
        <v>7732</v>
      </c>
      <c r="B2350" s="28">
        <v>45940</v>
      </c>
      <c r="C2350" s="25">
        <v>2105</v>
      </c>
      <c r="D2350" s="13" t="s">
        <v>2195</v>
      </c>
      <c r="E2350" s="228"/>
      <c r="F2350" s="109" t="s">
        <v>7551</v>
      </c>
      <c r="G2350" s="24" t="s">
        <v>2871</v>
      </c>
      <c r="H2350" s="230">
        <v>6</v>
      </c>
      <c r="I2350" s="220">
        <v>1255000</v>
      </c>
      <c r="J2350" s="220">
        <f>I2350*0.1</f>
        <v>125500</v>
      </c>
      <c r="K2350" s="220">
        <v>0</v>
      </c>
      <c r="L2350" s="220">
        <v>8200</v>
      </c>
      <c r="M2350" s="220">
        <v>16500</v>
      </c>
      <c r="N2350" s="220">
        <f>SUM(I2350:M2351)</f>
        <v>1405200</v>
      </c>
      <c r="O2350" s="224"/>
      <c r="P2350" s="110" t="s">
        <v>7553</v>
      </c>
      <c r="Q2350" s="15" t="s">
        <v>19</v>
      </c>
      <c r="R2350" s="205"/>
      <c r="S2350" s="189" t="s">
        <v>758</v>
      </c>
      <c r="T2350" s="114"/>
      <c r="U2350" s="21"/>
      <c r="V2350" s="115">
        <v>45951</v>
      </c>
      <c r="W2350" s="116">
        <v>1914</v>
      </c>
      <c r="X2350" s="220">
        <v>1279000</v>
      </c>
      <c r="Y2350" s="220">
        <f>X2350*0.1</f>
        <v>127900</v>
      </c>
      <c r="Z2350" s="220">
        <v>8200</v>
      </c>
      <c r="AA2350" s="220">
        <f>SUM(X2350:Z2350)</f>
        <v>1415100</v>
      </c>
      <c r="AB2350" s="222">
        <v>45957</v>
      </c>
    </row>
    <row r="2351" spans="1:28" ht="17.100000000000001" customHeight="1" thickBot="1">
      <c r="A2351" s="227"/>
      <c r="B2351" s="27" t="s">
        <v>1536</v>
      </c>
      <c r="C2351" s="27">
        <v>55574</v>
      </c>
      <c r="D2351" s="14" t="s">
        <v>2559</v>
      </c>
      <c r="E2351" s="229"/>
      <c r="F2351" s="117" t="s">
        <v>7552</v>
      </c>
      <c r="G2351" s="26">
        <v>5</v>
      </c>
      <c r="H2351" s="231"/>
      <c r="I2351" s="221"/>
      <c r="J2351" s="221"/>
      <c r="K2351" s="221"/>
      <c r="L2351" s="221"/>
      <c r="M2351" s="221"/>
      <c r="N2351" s="221"/>
      <c r="O2351" s="225"/>
      <c r="P2351" s="118" t="s">
        <v>8534</v>
      </c>
      <c r="Q2351" s="16" t="s">
        <v>20</v>
      </c>
      <c r="R2351" s="17" t="s">
        <v>2143</v>
      </c>
      <c r="S2351" s="121" t="s">
        <v>169</v>
      </c>
      <c r="T2351" s="122"/>
      <c r="U2351" s="22"/>
      <c r="V2351" s="123" t="s">
        <v>2103</v>
      </c>
      <c r="W2351" s="122">
        <v>3109</v>
      </c>
      <c r="X2351" s="221"/>
      <c r="Y2351" s="221"/>
      <c r="Z2351" s="221"/>
      <c r="AA2351" s="221"/>
      <c r="AB2351" s="223"/>
    </row>
    <row r="2352" spans="1:28" ht="17.100000000000001" customHeight="1" thickTop="1">
      <c r="A2352" s="226" t="s">
        <v>7733</v>
      </c>
      <c r="B2352" s="28">
        <v>45940</v>
      </c>
      <c r="C2352" s="25">
        <v>2105</v>
      </c>
      <c r="D2352" s="13" t="s">
        <v>1961</v>
      </c>
      <c r="E2352" s="228"/>
      <c r="F2352" s="109" t="s">
        <v>4339</v>
      </c>
      <c r="G2352" s="24" t="s">
        <v>4602</v>
      </c>
      <c r="H2352" s="230">
        <v>4.5</v>
      </c>
      <c r="I2352" s="220">
        <v>1170000</v>
      </c>
      <c r="J2352" s="220">
        <f>I2352*0.1</f>
        <v>117000</v>
      </c>
      <c r="K2352" s="220">
        <v>0</v>
      </c>
      <c r="L2352" s="220">
        <v>6830</v>
      </c>
      <c r="M2352" s="220">
        <v>16500</v>
      </c>
      <c r="N2352" s="220">
        <f>SUM(I2352:M2353)</f>
        <v>1310330</v>
      </c>
      <c r="O2352" s="224"/>
      <c r="P2352" s="110" t="s">
        <v>7555</v>
      </c>
      <c r="Q2352" s="15" t="s">
        <v>19</v>
      </c>
      <c r="R2352" s="205"/>
      <c r="S2352" s="189" t="s">
        <v>1312</v>
      </c>
      <c r="T2352" s="114"/>
      <c r="U2352" s="21"/>
      <c r="V2352" s="115">
        <v>45944</v>
      </c>
      <c r="W2352" s="116">
        <v>1913</v>
      </c>
      <c r="X2352" s="220">
        <v>1262000</v>
      </c>
      <c r="Y2352" s="220">
        <v>126200</v>
      </c>
      <c r="Z2352" s="220">
        <v>6830</v>
      </c>
      <c r="AA2352" s="220">
        <f>SUM(X2352:Z2352)</f>
        <v>1395030</v>
      </c>
      <c r="AB2352" s="222">
        <v>45950</v>
      </c>
    </row>
    <row r="2353" spans="1:28" ht="17.100000000000001" customHeight="1" thickBot="1">
      <c r="A2353" s="227"/>
      <c r="B2353" s="27" t="s">
        <v>1536</v>
      </c>
      <c r="C2353" s="27">
        <v>55580</v>
      </c>
      <c r="D2353" s="14" t="s">
        <v>3731</v>
      </c>
      <c r="E2353" s="229"/>
      <c r="F2353" s="117" t="s">
        <v>7554</v>
      </c>
      <c r="G2353" s="26">
        <v>35406</v>
      </c>
      <c r="H2353" s="231"/>
      <c r="I2353" s="221"/>
      <c r="J2353" s="221"/>
      <c r="K2353" s="221"/>
      <c r="L2353" s="221"/>
      <c r="M2353" s="221"/>
      <c r="N2353" s="221"/>
      <c r="O2353" s="225"/>
      <c r="P2353" s="118" t="s">
        <v>8239</v>
      </c>
      <c r="Q2353" s="16" t="s">
        <v>20</v>
      </c>
      <c r="R2353" s="17" t="s">
        <v>1630</v>
      </c>
      <c r="S2353" s="121" t="s">
        <v>8240</v>
      </c>
      <c r="T2353" s="122"/>
      <c r="U2353" s="22"/>
      <c r="V2353" s="123" t="s">
        <v>2103</v>
      </c>
      <c r="W2353" s="122">
        <v>3541</v>
      </c>
      <c r="X2353" s="221"/>
      <c r="Y2353" s="221"/>
      <c r="Z2353" s="221"/>
      <c r="AA2353" s="221"/>
      <c r="AB2353" s="223"/>
    </row>
    <row r="2354" spans="1:28" ht="17.100000000000001" customHeight="1" thickTop="1">
      <c r="A2354" s="226" t="s">
        <v>7734</v>
      </c>
      <c r="B2354" s="28">
        <v>45940</v>
      </c>
      <c r="C2354" s="25">
        <v>2105</v>
      </c>
      <c r="D2354" s="13" t="s">
        <v>1685</v>
      </c>
      <c r="E2354" s="228"/>
      <c r="F2354" s="109" t="s">
        <v>1916</v>
      </c>
      <c r="G2354" s="24" t="s">
        <v>7557</v>
      </c>
      <c r="H2354" s="230">
        <v>4.5</v>
      </c>
      <c r="I2354" s="220">
        <v>510000</v>
      </c>
      <c r="J2354" s="220">
        <f>I2354*0.1</f>
        <v>51000</v>
      </c>
      <c r="K2354" s="220">
        <f>14300+1430</f>
        <v>15730</v>
      </c>
      <c r="L2354" s="220">
        <v>17700</v>
      </c>
      <c r="M2354" s="220">
        <v>16500</v>
      </c>
      <c r="N2354" s="220">
        <f>SUM(I2354:M2355)</f>
        <v>610930</v>
      </c>
      <c r="O2354" s="224"/>
      <c r="P2354" s="110" t="s">
        <v>7558</v>
      </c>
      <c r="Q2354" s="15" t="s">
        <v>19</v>
      </c>
      <c r="R2354" s="205"/>
      <c r="S2354" s="189" t="s">
        <v>25470</v>
      </c>
      <c r="T2354" s="114"/>
      <c r="U2354" s="21"/>
      <c r="V2354" s="115">
        <v>45946</v>
      </c>
      <c r="W2354" s="116">
        <v>1302</v>
      </c>
      <c r="X2354" s="220">
        <v>660000</v>
      </c>
      <c r="Y2354" s="220">
        <v>66000</v>
      </c>
      <c r="Z2354" s="220">
        <v>17700</v>
      </c>
      <c r="AA2354" s="220">
        <f>SUM(X2354:Z2354)</f>
        <v>743700</v>
      </c>
      <c r="AB2354" s="222">
        <v>45947</v>
      </c>
    </row>
    <row r="2355" spans="1:28" ht="17.100000000000001" customHeight="1" thickBot="1">
      <c r="A2355" s="227"/>
      <c r="B2355" s="27" t="s">
        <v>1536</v>
      </c>
      <c r="C2355" s="27">
        <v>58020</v>
      </c>
      <c r="D2355" s="14" t="s">
        <v>2788</v>
      </c>
      <c r="E2355" s="229"/>
      <c r="F2355" s="117" t="s">
        <v>7556</v>
      </c>
      <c r="G2355" s="26">
        <v>48327</v>
      </c>
      <c r="H2355" s="231"/>
      <c r="I2355" s="221"/>
      <c r="J2355" s="221"/>
      <c r="K2355" s="221"/>
      <c r="L2355" s="221"/>
      <c r="M2355" s="221"/>
      <c r="N2355" s="221"/>
      <c r="O2355" s="225"/>
      <c r="P2355" s="118" t="s">
        <v>7766</v>
      </c>
      <c r="Q2355" s="16" t="s">
        <v>20</v>
      </c>
      <c r="R2355" s="17" t="s">
        <v>1630</v>
      </c>
      <c r="S2355" s="121" t="s">
        <v>1731</v>
      </c>
      <c r="T2355" s="122"/>
      <c r="U2355" s="22"/>
      <c r="V2355" s="123" t="s">
        <v>1735</v>
      </c>
      <c r="W2355" s="122">
        <v>569</v>
      </c>
      <c r="X2355" s="221"/>
      <c r="Y2355" s="221"/>
      <c r="Z2355" s="221"/>
      <c r="AA2355" s="221"/>
      <c r="AB2355" s="223"/>
    </row>
    <row r="2356" spans="1:28" ht="17.100000000000001" customHeight="1" thickTop="1">
      <c r="A2356" s="226" t="s">
        <v>7735</v>
      </c>
      <c r="B2356" s="28">
        <v>45940</v>
      </c>
      <c r="C2356" s="25">
        <v>2105</v>
      </c>
      <c r="D2356" s="13" t="s">
        <v>1829</v>
      </c>
      <c r="E2356" s="228"/>
      <c r="F2356" s="109" t="s">
        <v>7739</v>
      </c>
      <c r="G2356" s="24" t="s">
        <v>4315</v>
      </c>
      <c r="H2356" s="230">
        <v>4.5</v>
      </c>
      <c r="I2356" s="220">
        <v>2080000</v>
      </c>
      <c r="J2356" s="220">
        <f>I2356*0.1</f>
        <v>208000</v>
      </c>
      <c r="K2356" s="220">
        <f>15000+1500</f>
        <v>16500</v>
      </c>
      <c r="L2356" s="220">
        <v>20440</v>
      </c>
      <c r="M2356" s="220">
        <v>16500</v>
      </c>
      <c r="N2356" s="220">
        <f>SUM(I2356:M2357)</f>
        <v>2341440</v>
      </c>
      <c r="O2356" s="224"/>
      <c r="P2356" s="110" t="s">
        <v>7741</v>
      </c>
      <c r="Q2356" s="15" t="s">
        <v>19</v>
      </c>
      <c r="R2356" s="205"/>
      <c r="S2356" s="189" t="s">
        <v>25522</v>
      </c>
      <c r="T2356" s="114"/>
      <c r="U2356" s="21"/>
      <c r="V2356" s="115">
        <v>45962</v>
      </c>
      <c r="W2356" s="116">
        <v>1274</v>
      </c>
      <c r="X2356" s="220">
        <v>2400000</v>
      </c>
      <c r="Y2356" s="220">
        <f>X2356*0.1</f>
        <v>240000</v>
      </c>
      <c r="Z2356" s="220">
        <v>20440</v>
      </c>
      <c r="AA2356" s="220">
        <f>SUM(X2356:Z2356)</f>
        <v>2660440</v>
      </c>
      <c r="AB2356" s="222">
        <v>45971</v>
      </c>
    </row>
    <row r="2357" spans="1:28" ht="17.100000000000001" customHeight="1" thickBot="1">
      <c r="A2357" s="227"/>
      <c r="B2357" s="27" t="s">
        <v>1536</v>
      </c>
      <c r="C2357" s="27">
        <v>58605</v>
      </c>
      <c r="D2357" s="14" t="s">
        <v>1710</v>
      </c>
      <c r="E2357" s="229"/>
      <c r="F2357" s="117" t="s">
        <v>7740</v>
      </c>
      <c r="G2357" s="26">
        <v>47725</v>
      </c>
      <c r="H2357" s="231"/>
      <c r="I2357" s="221"/>
      <c r="J2357" s="221"/>
      <c r="K2357" s="221"/>
      <c r="L2357" s="221"/>
      <c r="M2357" s="221"/>
      <c r="N2357" s="221"/>
      <c r="O2357" s="225"/>
      <c r="P2357" s="118" t="s">
        <v>8245</v>
      </c>
      <c r="Q2357" s="16" t="s">
        <v>20</v>
      </c>
      <c r="R2357" s="17" t="s">
        <v>1630</v>
      </c>
      <c r="S2357" s="121" t="s">
        <v>7305</v>
      </c>
      <c r="T2357" s="122"/>
      <c r="U2357" s="22"/>
      <c r="V2357" s="123" t="s">
        <v>6641</v>
      </c>
      <c r="W2357" s="122">
        <v>80017</v>
      </c>
      <c r="X2357" s="221"/>
      <c r="Y2357" s="221"/>
      <c r="Z2357" s="221"/>
      <c r="AA2357" s="221"/>
      <c r="AB2357" s="223"/>
    </row>
    <row r="2358" spans="1:28" ht="17.100000000000001" customHeight="1" thickTop="1">
      <c r="A2358" s="226" t="s">
        <v>7736</v>
      </c>
      <c r="B2358" s="28">
        <v>45940</v>
      </c>
      <c r="C2358" s="25">
        <v>2105</v>
      </c>
      <c r="D2358" s="13" t="s">
        <v>2167</v>
      </c>
      <c r="E2358" s="228"/>
      <c r="F2358" s="109" t="s">
        <v>7559</v>
      </c>
      <c r="G2358" s="24"/>
      <c r="H2358" s="230">
        <v>4</v>
      </c>
      <c r="I2358" s="220">
        <v>475000</v>
      </c>
      <c r="J2358" s="220">
        <f>I2358*0.1</f>
        <v>47500</v>
      </c>
      <c r="K2358" s="220">
        <v>0</v>
      </c>
      <c r="L2358" s="220">
        <v>8680</v>
      </c>
      <c r="M2358" s="220">
        <v>16500</v>
      </c>
      <c r="N2358" s="220">
        <f>SUM(I2358:M2359)</f>
        <v>547680</v>
      </c>
      <c r="O2358" s="224"/>
      <c r="P2358" s="110" t="s">
        <v>8272</v>
      </c>
      <c r="Q2358" s="15" t="s">
        <v>19</v>
      </c>
      <c r="R2358" s="205"/>
      <c r="S2358" s="189" t="s">
        <v>1113</v>
      </c>
      <c r="T2358" s="114"/>
      <c r="U2358" s="21"/>
      <c r="V2358" s="115">
        <v>45955</v>
      </c>
      <c r="W2358" s="116">
        <v>1273</v>
      </c>
      <c r="X2358" s="220">
        <v>500000</v>
      </c>
      <c r="Y2358" s="220">
        <f>X2358*0.1</f>
        <v>50000</v>
      </c>
      <c r="Z2358" s="220">
        <v>8680</v>
      </c>
      <c r="AA2358" s="220">
        <f>SUM(X2358:Z2358)</f>
        <v>558680</v>
      </c>
      <c r="AB2358" s="222">
        <v>45958</v>
      </c>
    </row>
    <row r="2359" spans="1:28" ht="17.100000000000001" customHeight="1" thickBot="1">
      <c r="A2359" s="227"/>
      <c r="B2359" s="27" t="s">
        <v>1536</v>
      </c>
      <c r="C2359" s="27">
        <v>85009</v>
      </c>
      <c r="D2359" s="14" t="s">
        <v>2559</v>
      </c>
      <c r="E2359" s="229"/>
      <c r="F2359" s="117" t="s">
        <v>7560</v>
      </c>
      <c r="G2359" s="26">
        <v>54750</v>
      </c>
      <c r="H2359" s="231"/>
      <c r="I2359" s="221"/>
      <c r="J2359" s="221"/>
      <c r="K2359" s="221"/>
      <c r="L2359" s="221"/>
      <c r="M2359" s="221"/>
      <c r="N2359" s="221"/>
      <c r="O2359" s="225"/>
      <c r="P2359" s="118" t="s">
        <v>4550</v>
      </c>
      <c r="Q2359" s="16" t="s">
        <v>20</v>
      </c>
      <c r="R2359" s="17" t="s">
        <v>1630</v>
      </c>
      <c r="S2359" s="121" t="s">
        <v>169</v>
      </c>
      <c r="T2359" s="122"/>
      <c r="U2359" s="22"/>
      <c r="V2359" s="123" t="s">
        <v>2472</v>
      </c>
      <c r="W2359" s="122">
        <v>60083</v>
      </c>
      <c r="X2359" s="221"/>
      <c r="Y2359" s="221"/>
      <c r="Z2359" s="221"/>
      <c r="AA2359" s="221"/>
      <c r="AB2359" s="223"/>
    </row>
    <row r="2360" spans="1:28" ht="17.100000000000001" customHeight="1" thickTop="1">
      <c r="A2360" s="226" t="s">
        <v>7737</v>
      </c>
      <c r="B2360" s="28">
        <v>45940</v>
      </c>
      <c r="C2360" s="25">
        <v>2105</v>
      </c>
      <c r="D2360" s="13" t="s">
        <v>2489</v>
      </c>
      <c r="E2360" s="228"/>
      <c r="F2360" s="109" t="s">
        <v>2556</v>
      </c>
      <c r="G2360" s="24"/>
      <c r="H2360" s="230">
        <v>3</v>
      </c>
      <c r="I2360" s="220">
        <v>330000</v>
      </c>
      <c r="J2360" s="220">
        <f>I2360*0.1</f>
        <v>33000</v>
      </c>
      <c r="K2360" s="220">
        <v>0</v>
      </c>
      <c r="L2360" s="220">
        <v>9910</v>
      </c>
      <c r="M2360" s="220">
        <v>16500</v>
      </c>
      <c r="N2360" s="220">
        <f>SUM(I2360:M2361)</f>
        <v>389410</v>
      </c>
      <c r="O2360" s="224"/>
      <c r="P2360" s="110" t="s">
        <v>8278</v>
      </c>
      <c r="Q2360" s="15" t="s">
        <v>19</v>
      </c>
      <c r="R2360" s="205"/>
      <c r="S2360" s="189"/>
      <c r="T2360" s="114"/>
      <c r="U2360" s="21"/>
      <c r="V2360" s="115">
        <v>45983</v>
      </c>
      <c r="W2360" s="116">
        <v>1277</v>
      </c>
      <c r="X2360" s="220">
        <v>535000</v>
      </c>
      <c r="Y2360" s="220">
        <f>X2360*0.1</f>
        <v>53500</v>
      </c>
      <c r="Z2360" s="220">
        <v>9910</v>
      </c>
      <c r="AA2360" s="220">
        <f>SUM(X2360:Z2360)</f>
        <v>598410</v>
      </c>
      <c r="AB2360" s="222">
        <v>45987</v>
      </c>
    </row>
    <row r="2361" spans="1:28" ht="17.100000000000001" customHeight="1" thickBot="1">
      <c r="A2361" s="227"/>
      <c r="B2361" s="27" t="s">
        <v>1536</v>
      </c>
      <c r="C2361" s="27">
        <v>85092</v>
      </c>
      <c r="D2361" s="14" t="s">
        <v>2014</v>
      </c>
      <c r="E2361" s="229"/>
      <c r="F2361" s="117" t="s">
        <v>7562</v>
      </c>
      <c r="G2361" s="26">
        <v>54935</v>
      </c>
      <c r="H2361" s="231"/>
      <c r="I2361" s="221"/>
      <c r="J2361" s="221"/>
      <c r="K2361" s="221"/>
      <c r="L2361" s="221"/>
      <c r="M2361" s="221"/>
      <c r="N2361" s="221"/>
      <c r="O2361" s="225"/>
      <c r="P2361" s="118" t="s">
        <v>8279</v>
      </c>
      <c r="Q2361" s="16" t="s">
        <v>20</v>
      </c>
      <c r="R2361" s="17" t="s">
        <v>1630</v>
      </c>
      <c r="S2361" s="121" t="s">
        <v>8106</v>
      </c>
      <c r="T2361" s="122"/>
      <c r="U2361" s="22"/>
      <c r="V2361" s="123" t="s">
        <v>2472</v>
      </c>
      <c r="W2361" s="122">
        <v>60172</v>
      </c>
      <c r="X2361" s="221"/>
      <c r="Y2361" s="221"/>
      <c r="Z2361" s="221"/>
      <c r="AA2361" s="221"/>
      <c r="AB2361" s="223"/>
    </row>
    <row r="2362" spans="1:28" ht="17.100000000000001" customHeight="1" thickTop="1">
      <c r="A2362" s="226" t="s">
        <v>7738</v>
      </c>
      <c r="B2362" s="28">
        <v>45940</v>
      </c>
      <c r="C2362" s="25">
        <v>2105</v>
      </c>
      <c r="D2362" s="13" t="s">
        <v>7040</v>
      </c>
      <c r="E2362" s="228"/>
      <c r="F2362" s="109" t="s">
        <v>5277</v>
      </c>
      <c r="G2362" s="24"/>
      <c r="H2362" s="230">
        <v>4</v>
      </c>
      <c r="I2362" s="220">
        <v>300000</v>
      </c>
      <c r="J2362" s="220">
        <f>I2362*0.1</f>
        <v>30000</v>
      </c>
      <c r="K2362" s="220">
        <v>0</v>
      </c>
      <c r="L2362" s="220">
        <v>9770</v>
      </c>
      <c r="M2362" s="220">
        <v>16500</v>
      </c>
      <c r="N2362" s="220">
        <f>SUM(I2362:M2363)</f>
        <v>356270</v>
      </c>
      <c r="O2362" s="224"/>
      <c r="P2362" s="110" t="s">
        <v>8270</v>
      </c>
      <c r="Q2362" s="15" t="s">
        <v>19</v>
      </c>
      <c r="R2362" s="205"/>
      <c r="S2362" s="189"/>
      <c r="T2362" s="114"/>
      <c r="U2362" s="21"/>
      <c r="V2362" s="115">
        <v>45948</v>
      </c>
      <c r="W2362" s="116">
        <v>1272</v>
      </c>
      <c r="X2362" s="220">
        <v>370000</v>
      </c>
      <c r="Y2362" s="220">
        <f>X2362*0.1</f>
        <v>37000</v>
      </c>
      <c r="Z2362" s="220">
        <v>9770</v>
      </c>
      <c r="AA2362" s="220">
        <f>SUM(X2362:Z2362)</f>
        <v>416770</v>
      </c>
      <c r="AB2362" s="222">
        <v>45951</v>
      </c>
    </row>
    <row r="2363" spans="1:28" ht="17.100000000000001" customHeight="1" thickBot="1">
      <c r="A2363" s="227"/>
      <c r="B2363" s="27" t="s">
        <v>1536</v>
      </c>
      <c r="C2363" s="27">
        <v>85214</v>
      </c>
      <c r="D2363" s="14" t="s">
        <v>1548</v>
      </c>
      <c r="E2363" s="229"/>
      <c r="F2363" s="117" t="s">
        <v>7563</v>
      </c>
      <c r="G2363" s="26">
        <v>44840</v>
      </c>
      <c r="H2363" s="231"/>
      <c r="I2363" s="221"/>
      <c r="J2363" s="221"/>
      <c r="K2363" s="221"/>
      <c r="L2363" s="221"/>
      <c r="M2363" s="221"/>
      <c r="N2363" s="221"/>
      <c r="O2363" s="225"/>
      <c r="P2363" s="118" t="s">
        <v>8271</v>
      </c>
      <c r="Q2363" s="16" t="s">
        <v>20</v>
      </c>
      <c r="R2363" s="17" t="s">
        <v>1630</v>
      </c>
      <c r="S2363" s="121" t="s">
        <v>169</v>
      </c>
      <c r="T2363" s="122"/>
      <c r="U2363" s="22"/>
      <c r="V2363" s="123" t="s">
        <v>2472</v>
      </c>
      <c r="W2363" s="122">
        <v>60033</v>
      </c>
      <c r="X2363" s="221"/>
      <c r="Y2363" s="221"/>
      <c r="Z2363" s="221"/>
      <c r="AA2363" s="221"/>
      <c r="AB2363" s="223"/>
    </row>
    <row r="2364" spans="1:28" ht="17.100000000000001" customHeight="1" thickTop="1">
      <c r="A2364" s="226" t="s">
        <v>7742</v>
      </c>
      <c r="B2364" s="28">
        <v>45940</v>
      </c>
      <c r="C2364" s="25"/>
      <c r="D2364" s="13" t="s">
        <v>1642</v>
      </c>
      <c r="E2364" s="228"/>
      <c r="F2364" s="109" t="s">
        <v>7748</v>
      </c>
      <c r="G2364" s="24" t="s">
        <v>4265</v>
      </c>
      <c r="H2364" s="230">
        <v>4</v>
      </c>
      <c r="I2364" s="220">
        <f>1083500/1.1</f>
        <v>984999.99999999988</v>
      </c>
      <c r="J2364" s="220">
        <f>I2364*0.1</f>
        <v>98500</v>
      </c>
      <c r="K2364" s="220">
        <v>0</v>
      </c>
      <c r="L2364" s="220">
        <v>7040</v>
      </c>
      <c r="M2364" s="220">
        <v>82088</v>
      </c>
      <c r="N2364" s="220">
        <f>SUM(I2364:M2365)</f>
        <v>1172628</v>
      </c>
      <c r="O2364" s="224"/>
      <c r="P2364" s="110" t="s">
        <v>9736</v>
      </c>
      <c r="Q2364" s="15" t="s">
        <v>19</v>
      </c>
      <c r="R2364" s="205"/>
      <c r="S2364" s="189" t="s">
        <v>1312</v>
      </c>
      <c r="T2364" s="114"/>
      <c r="U2364" s="21"/>
      <c r="V2364" s="115">
        <v>45965</v>
      </c>
      <c r="W2364" s="116">
        <v>1916</v>
      </c>
      <c r="X2364" s="220">
        <v>1103000</v>
      </c>
      <c r="Y2364" s="220">
        <f>X2364*0.1</f>
        <v>110300</v>
      </c>
      <c r="Z2364" s="220">
        <v>7040</v>
      </c>
      <c r="AA2364" s="220">
        <f>SUM(X2364:Z2364)</f>
        <v>1220340</v>
      </c>
      <c r="AB2364" s="222">
        <v>45971</v>
      </c>
    </row>
    <row r="2365" spans="1:28" ht="17.100000000000001" customHeight="1" thickBot="1">
      <c r="A2365" s="227"/>
      <c r="B2365" s="27" t="s">
        <v>1708</v>
      </c>
      <c r="C2365" s="27" t="s">
        <v>7747</v>
      </c>
      <c r="D2365" s="14" t="s">
        <v>273</v>
      </c>
      <c r="E2365" s="229"/>
      <c r="F2365" s="117" t="s">
        <v>7749</v>
      </c>
      <c r="G2365" s="26">
        <v>30679</v>
      </c>
      <c r="H2365" s="231"/>
      <c r="I2365" s="221"/>
      <c r="J2365" s="221"/>
      <c r="K2365" s="221"/>
      <c r="L2365" s="221"/>
      <c r="M2365" s="221"/>
      <c r="N2365" s="221"/>
      <c r="O2365" s="225"/>
      <c r="P2365" s="118" t="s">
        <v>1550</v>
      </c>
      <c r="Q2365" s="16" t="s">
        <v>20</v>
      </c>
      <c r="R2365" s="17" t="s">
        <v>9666</v>
      </c>
      <c r="S2365" s="121" t="s">
        <v>9871</v>
      </c>
      <c r="T2365" s="122"/>
      <c r="U2365" s="22"/>
      <c r="V2365" s="123" t="s">
        <v>2103</v>
      </c>
      <c r="W2365" s="122">
        <v>3145</v>
      </c>
      <c r="X2365" s="221"/>
      <c r="Y2365" s="221"/>
      <c r="Z2365" s="221"/>
      <c r="AA2365" s="221"/>
      <c r="AB2365" s="223"/>
    </row>
    <row r="2366" spans="1:28" ht="17.100000000000001" customHeight="1" thickTop="1">
      <c r="A2366" s="226" t="s">
        <v>7743</v>
      </c>
      <c r="B2366" s="28">
        <v>45940</v>
      </c>
      <c r="C2366" s="25"/>
      <c r="D2366" s="13" t="s">
        <v>1589</v>
      </c>
      <c r="E2366" s="228"/>
      <c r="F2366" s="109" t="s">
        <v>7751</v>
      </c>
      <c r="G2366" s="24" t="s">
        <v>5031</v>
      </c>
      <c r="H2366" s="230">
        <v>3.5</v>
      </c>
      <c r="I2366" s="220">
        <f>555500/1.1</f>
        <v>504999.99999999994</v>
      </c>
      <c r="J2366" s="220">
        <f>I2366*0.1</f>
        <v>50500</v>
      </c>
      <c r="K2366" s="220">
        <v>0</v>
      </c>
      <c r="L2366" s="220">
        <v>8230</v>
      </c>
      <c r="M2366" s="220">
        <v>55291</v>
      </c>
      <c r="N2366" s="220">
        <f>SUM(I2366:M2367)</f>
        <v>619021</v>
      </c>
      <c r="O2366" s="224"/>
      <c r="P2366" s="110" t="s">
        <v>9216</v>
      </c>
      <c r="Q2366" s="15" t="s">
        <v>19</v>
      </c>
      <c r="R2366" s="205"/>
      <c r="S2366" s="189" t="s">
        <v>25471</v>
      </c>
      <c r="T2366" s="114"/>
      <c r="U2366" s="21"/>
      <c r="V2366" s="115">
        <v>45976</v>
      </c>
      <c r="W2366" s="116">
        <v>1276</v>
      </c>
      <c r="X2366" s="220">
        <v>600000</v>
      </c>
      <c r="Y2366" s="220">
        <f>X2366*0.1</f>
        <v>60000</v>
      </c>
      <c r="Z2366" s="220">
        <v>8230</v>
      </c>
      <c r="AA2366" s="220">
        <f>SUM(X2366:Z2366)</f>
        <v>668230</v>
      </c>
      <c r="AB2366" s="222">
        <v>45979</v>
      </c>
    </row>
    <row r="2367" spans="1:28" ht="17.100000000000001" customHeight="1" thickBot="1">
      <c r="A2367" s="227"/>
      <c r="B2367" s="27" t="s">
        <v>1708</v>
      </c>
      <c r="C2367" s="27" t="s">
        <v>7750</v>
      </c>
      <c r="D2367" s="14" t="s">
        <v>131</v>
      </c>
      <c r="E2367" s="229"/>
      <c r="F2367" s="117" t="s">
        <v>7752</v>
      </c>
      <c r="G2367" s="26">
        <v>60166</v>
      </c>
      <c r="H2367" s="231"/>
      <c r="I2367" s="221"/>
      <c r="J2367" s="221"/>
      <c r="K2367" s="221"/>
      <c r="L2367" s="221"/>
      <c r="M2367" s="221"/>
      <c r="N2367" s="221"/>
      <c r="O2367" s="225"/>
      <c r="P2367" s="118" t="s">
        <v>9217</v>
      </c>
      <c r="Q2367" s="16" t="s">
        <v>20</v>
      </c>
      <c r="R2367" s="17" t="s">
        <v>9093</v>
      </c>
      <c r="S2367" s="121" t="s">
        <v>10117</v>
      </c>
      <c r="T2367" s="122"/>
      <c r="U2367" s="22"/>
      <c r="V2367" s="123" t="s">
        <v>10781</v>
      </c>
      <c r="W2367" s="122">
        <v>65194</v>
      </c>
      <c r="X2367" s="221"/>
      <c r="Y2367" s="221"/>
      <c r="Z2367" s="221"/>
      <c r="AA2367" s="221"/>
      <c r="AB2367" s="223"/>
    </row>
    <row r="2368" spans="1:28" ht="17.100000000000001" customHeight="1" thickTop="1">
      <c r="A2368" s="226" t="s">
        <v>7744</v>
      </c>
      <c r="B2368" s="28">
        <v>45940</v>
      </c>
      <c r="C2368" s="25"/>
      <c r="D2368" s="13" t="s">
        <v>2150</v>
      </c>
      <c r="E2368" s="228"/>
      <c r="F2368" s="109" t="s">
        <v>4601</v>
      </c>
      <c r="G2368" s="24" t="s">
        <v>7755</v>
      </c>
      <c r="H2368" s="230">
        <v>4</v>
      </c>
      <c r="I2368" s="220">
        <f>676500/1.1</f>
        <v>615000</v>
      </c>
      <c r="J2368" s="220">
        <f>I2368*0.1</f>
        <v>61500</v>
      </c>
      <c r="K2368" s="220">
        <v>0</v>
      </c>
      <c r="L2368" s="220">
        <v>9200</v>
      </c>
      <c r="M2368" s="220">
        <v>61659</v>
      </c>
      <c r="N2368" s="220">
        <f>SUM(I2368:M2369)</f>
        <v>747359</v>
      </c>
      <c r="O2368" s="224"/>
      <c r="P2368" s="110" t="s">
        <v>8296</v>
      </c>
      <c r="Q2368" s="15" t="s">
        <v>19</v>
      </c>
      <c r="R2368" s="205"/>
      <c r="S2368" s="189" t="s">
        <v>1276</v>
      </c>
      <c r="T2368" s="114"/>
      <c r="U2368" s="21"/>
      <c r="V2368" s="115">
        <v>45976</v>
      </c>
      <c r="W2368" s="116">
        <v>1276</v>
      </c>
      <c r="X2368" s="220">
        <v>655000</v>
      </c>
      <c r="Y2368" s="220">
        <f>X2368*0.1</f>
        <v>65500</v>
      </c>
      <c r="Z2368" s="220">
        <v>9200</v>
      </c>
      <c r="AA2368" s="220">
        <f>SUM(X2368:Z2368)</f>
        <v>729700</v>
      </c>
      <c r="AB2368" s="222">
        <v>45979</v>
      </c>
    </row>
    <row r="2369" spans="1:28" ht="17.100000000000001" customHeight="1" thickBot="1">
      <c r="A2369" s="227"/>
      <c r="B2369" s="27" t="s">
        <v>1708</v>
      </c>
      <c r="C2369" s="27" t="s">
        <v>7753</v>
      </c>
      <c r="D2369" s="14" t="s">
        <v>1584</v>
      </c>
      <c r="E2369" s="229"/>
      <c r="F2369" s="117" t="s">
        <v>7754</v>
      </c>
      <c r="G2369" s="26">
        <v>57990</v>
      </c>
      <c r="H2369" s="231"/>
      <c r="I2369" s="221"/>
      <c r="J2369" s="221"/>
      <c r="K2369" s="221"/>
      <c r="L2369" s="221"/>
      <c r="M2369" s="221"/>
      <c r="N2369" s="221"/>
      <c r="O2369" s="225"/>
      <c r="P2369" s="118" t="s">
        <v>8297</v>
      </c>
      <c r="Q2369" s="16" t="s">
        <v>20</v>
      </c>
      <c r="R2369" s="17" t="s">
        <v>1630</v>
      </c>
      <c r="S2369" s="121" t="s">
        <v>1606</v>
      </c>
      <c r="T2369" s="122"/>
      <c r="U2369" s="22"/>
      <c r="V2369" s="123" t="s">
        <v>10781</v>
      </c>
      <c r="W2369" s="122">
        <v>65198</v>
      </c>
      <c r="X2369" s="221"/>
      <c r="Y2369" s="221"/>
      <c r="Z2369" s="221"/>
      <c r="AA2369" s="221"/>
      <c r="AB2369" s="223"/>
    </row>
    <row r="2370" spans="1:28" ht="17.100000000000001" customHeight="1" thickTop="1">
      <c r="A2370" s="233" t="s">
        <v>7745</v>
      </c>
      <c r="B2370" s="28">
        <v>45940</v>
      </c>
      <c r="C2370" s="25"/>
      <c r="D2370" s="13" t="s">
        <v>2406</v>
      </c>
      <c r="E2370" s="228"/>
      <c r="F2370" s="109" t="s">
        <v>7757</v>
      </c>
      <c r="G2370" s="24" t="s">
        <v>5119</v>
      </c>
      <c r="H2370" s="230">
        <v>3.5</v>
      </c>
      <c r="I2370" s="220">
        <f>456500/1.1</f>
        <v>414999.99999999994</v>
      </c>
      <c r="J2370" s="220">
        <f>I2370*0.1</f>
        <v>41500</v>
      </c>
      <c r="K2370" s="220">
        <v>0</v>
      </c>
      <c r="L2370" s="220">
        <v>7860</v>
      </c>
      <c r="M2370" s="220">
        <v>50080</v>
      </c>
      <c r="N2370" s="220">
        <f>SUM(I2370:M2371)</f>
        <v>514439.99999999994</v>
      </c>
      <c r="O2370" s="224"/>
      <c r="P2370" s="110"/>
      <c r="Q2370" s="15" t="s">
        <v>19</v>
      </c>
      <c r="R2370" s="205"/>
      <c r="S2370" s="189" t="s">
        <v>1276</v>
      </c>
      <c r="T2370" s="114" t="s">
        <v>7899</v>
      </c>
      <c r="U2370" s="21"/>
      <c r="V2370" s="115"/>
      <c r="W2370" s="116"/>
      <c r="X2370" s="220"/>
      <c r="Y2370" s="220">
        <f>X2370*0.1</f>
        <v>0</v>
      </c>
      <c r="Z2370" s="220"/>
      <c r="AA2370" s="220">
        <f>SUM(X2370:Z2370)</f>
        <v>0</v>
      </c>
      <c r="AB2370" s="222"/>
    </row>
    <row r="2371" spans="1:28" ht="17.100000000000001" customHeight="1" thickBot="1">
      <c r="A2371" s="234"/>
      <c r="B2371" s="27" t="s">
        <v>1708</v>
      </c>
      <c r="C2371" s="27" t="s">
        <v>7756</v>
      </c>
      <c r="D2371" s="14" t="s">
        <v>1584</v>
      </c>
      <c r="E2371" s="229"/>
      <c r="F2371" s="117" t="s">
        <v>7758</v>
      </c>
      <c r="G2371" s="26">
        <v>55425</v>
      </c>
      <c r="H2371" s="231"/>
      <c r="I2371" s="221"/>
      <c r="J2371" s="221"/>
      <c r="K2371" s="221"/>
      <c r="L2371" s="221"/>
      <c r="M2371" s="221"/>
      <c r="N2371" s="221"/>
      <c r="O2371" s="225"/>
      <c r="P2371" s="118"/>
      <c r="Q2371" s="16" t="s">
        <v>20</v>
      </c>
      <c r="R2371" s="17" t="s">
        <v>10331</v>
      </c>
      <c r="S2371" s="121"/>
      <c r="T2371" s="122"/>
      <c r="U2371" s="22"/>
      <c r="V2371" s="123"/>
      <c r="W2371" s="122"/>
      <c r="X2371" s="221"/>
      <c r="Y2371" s="221"/>
      <c r="Z2371" s="221"/>
      <c r="AA2371" s="221"/>
      <c r="AB2371" s="223"/>
    </row>
    <row r="2372" spans="1:28" ht="17.100000000000001" customHeight="1" thickTop="1">
      <c r="A2372" s="226" t="s">
        <v>7746</v>
      </c>
      <c r="B2372" s="28">
        <v>45940</v>
      </c>
      <c r="C2372" s="25"/>
      <c r="D2372" s="13" t="s">
        <v>2107</v>
      </c>
      <c r="E2372" s="228"/>
      <c r="F2372" s="109" t="s">
        <v>7760</v>
      </c>
      <c r="G2372" s="24" t="s">
        <v>5301</v>
      </c>
      <c r="H2372" s="230">
        <v>4</v>
      </c>
      <c r="I2372" s="220">
        <f>836000/1.1</f>
        <v>759999.99999999988</v>
      </c>
      <c r="J2372" s="220">
        <f>I2372*0.1</f>
        <v>75999.999999999985</v>
      </c>
      <c r="K2372" s="220">
        <v>0</v>
      </c>
      <c r="L2372" s="220">
        <v>9790</v>
      </c>
      <c r="M2372" s="220">
        <v>70054</v>
      </c>
      <c r="N2372" s="220">
        <f>SUM(I2372:M2373)</f>
        <v>915843.99999999988</v>
      </c>
      <c r="O2372" s="224"/>
      <c r="P2372" s="110" t="s">
        <v>9594</v>
      </c>
      <c r="Q2372" s="15" t="s">
        <v>19</v>
      </c>
      <c r="R2372" s="205"/>
      <c r="S2372" s="189" t="s">
        <v>25383</v>
      </c>
      <c r="T2372" s="114"/>
      <c r="U2372" s="21"/>
      <c r="V2372" s="115">
        <v>45962</v>
      </c>
      <c r="W2372" s="116">
        <v>1274</v>
      </c>
      <c r="X2372" s="220">
        <v>870000</v>
      </c>
      <c r="Y2372" s="220">
        <f>X2372*0.1</f>
        <v>87000</v>
      </c>
      <c r="Z2372" s="220">
        <v>9790</v>
      </c>
      <c r="AA2372" s="220">
        <f>SUM(X2372:Z2372)</f>
        <v>966790</v>
      </c>
      <c r="AB2372" s="222">
        <v>45967</v>
      </c>
    </row>
    <row r="2373" spans="1:28" ht="17.100000000000001" customHeight="1" thickBot="1">
      <c r="A2373" s="227"/>
      <c r="B2373" s="27" t="s">
        <v>1708</v>
      </c>
      <c r="C2373" s="27" t="s">
        <v>7759</v>
      </c>
      <c r="D2373" s="14" t="s">
        <v>2559</v>
      </c>
      <c r="E2373" s="229"/>
      <c r="F2373" s="117" t="s">
        <v>7761</v>
      </c>
      <c r="G2373" s="26">
        <v>30503</v>
      </c>
      <c r="H2373" s="231"/>
      <c r="I2373" s="221"/>
      <c r="J2373" s="221"/>
      <c r="K2373" s="221"/>
      <c r="L2373" s="221"/>
      <c r="M2373" s="221"/>
      <c r="N2373" s="221"/>
      <c r="O2373" s="225"/>
      <c r="P2373" s="118" t="s">
        <v>2287</v>
      </c>
      <c r="Q2373" s="16" t="s">
        <v>20</v>
      </c>
      <c r="R2373" s="17" t="s">
        <v>3282</v>
      </c>
      <c r="S2373" s="121" t="s">
        <v>1731</v>
      </c>
      <c r="T2373" s="122"/>
      <c r="U2373" s="22"/>
      <c r="V2373" s="123" t="s">
        <v>2472</v>
      </c>
      <c r="W2373" s="122">
        <v>65201</v>
      </c>
      <c r="X2373" s="221"/>
      <c r="Y2373" s="221"/>
      <c r="Z2373" s="221"/>
      <c r="AA2373" s="221"/>
      <c r="AB2373" s="223"/>
    </row>
    <row r="2374" spans="1:28" ht="17.100000000000001" customHeight="1" thickTop="1">
      <c r="A2374" s="226" t="s">
        <v>7961</v>
      </c>
      <c r="B2374" s="28">
        <v>45941</v>
      </c>
      <c r="C2374" s="25">
        <v>282</v>
      </c>
      <c r="D2374" s="13" t="s">
        <v>1733</v>
      </c>
      <c r="E2374" s="228"/>
      <c r="F2374" s="109" t="s">
        <v>2943</v>
      </c>
      <c r="G2374" s="24"/>
      <c r="H2374" s="230">
        <v>4.5</v>
      </c>
      <c r="I2374" s="220">
        <v>650000</v>
      </c>
      <c r="J2374" s="220">
        <f>I2374*0.1</f>
        <v>65000</v>
      </c>
      <c r="K2374" s="220">
        <v>0</v>
      </c>
      <c r="L2374" s="220">
        <v>8400</v>
      </c>
      <c r="M2374" s="220">
        <v>20900</v>
      </c>
      <c r="N2374" s="220">
        <f>SUM(I2374:M2375)</f>
        <v>744300</v>
      </c>
      <c r="O2374" s="224"/>
      <c r="P2374" s="110" t="s">
        <v>8276</v>
      </c>
      <c r="Q2374" s="15" t="s">
        <v>19</v>
      </c>
      <c r="R2374" s="205"/>
      <c r="S2374" s="189"/>
      <c r="T2374" s="114"/>
      <c r="U2374" s="21"/>
      <c r="V2374" s="115">
        <v>45955</v>
      </c>
      <c r="W2374" s="116">
        <v>1273</v>
      </c>
      <c r="X2374" s="220">
        <v>710000</v>
      </c>
      <c r="Y2374" s="220">
        <f>X2374*0.1</f>
        <v>71000</v>
      </c>
      <c r="Z2374" s="220">
        <v>8400</v>
      </c>
      <c r="AA2374" s="220">
        <f>SUM(X2374:Z2374)</f>
        <v>789400</v>
      </c>
      <c r="AB2374" s="222">
        <v>45960</v>
      </c>
    </row>
    <row r="2375" spans="1:28" ht="17.100000000000001" customHeight="1" thickBot="1">
      <c r="A2375" s="227"/>
      <c r="B2375" s="27" t="s">
        <v>3518</v>
      </c>
      <c r="C2375" s="27">
        <v>3060</v>
      </c>
      <c r="D2375" s="14" t="s">
        <v>1548</v>
      </c>
      <c r="E2375" s="229"/>
      <c r="F2375" s="117" t="s">
        <v>7857</v>
      </c>
      <c r="G2375" s="26">
        <v>39158</v>
      </c>
      <c r="H2375" s="231"/>
      <c r="I2375" s="221"/>
      <c r="J2375" s="221"/>
      <c r="K2375" s="221"/>
      <c r="L2375" s="221"/>
      <c r="M2375" s="221"/>
      <c r="N2375" s="221"/>
      <c r="O2375" s="225"/>
      <c r="P2375" s="118" t="s">
        <v>8277</v>
      </c>
      <c r="Q2375" s="16" t="s">
        <v>20</v>
      </c>
      <c r="R2375" s="17" t="s">
        <v>1630</v>
      </c>
      <c r="S2375" s="121"/>
      <c r="T2375" s="122"/>
      <c r="U2375" s="22"/>
      <c r="V2375" s="123" t="s">
        <v>2472</v>
      </c>
      <c r="W2375" s="122">
        <v>60300</v>
      </c>
      <c r="X2375" s="221"/>
      <c r="Y2375" s="221"/>
      <c r="Z2375" s="221"/>
      <c r="AA2375" s="221"/>
      <c r="AB2375" s="223"/>
    </row>
    <row r="2376" spans="1:28" ht="17.100000000000001" customHeight="1" thickTop="1">
      <c r="A2376" s="226" t="s">
        <v>7962</v>
      </c>
      <c r="B2376" s="28">
        <v>45941</v>
      </c>
      <c r="C2376" s="25">
        <v>282</v>
      </c>
      <c r="D2376" s="13" t="s">
        <v>1953</v>
      </c>
      <c r="E2376" s="228"/>
      <c r="F2376" s="109" t="s">
        <v>4408</v>
      </c>
      <c r="G2376" s="24"/>
      <c r="H2376" s="230">
        <v>4</v>
      </c>
      <c r="I2376" s="220">
        <v>871000</v>
      </c>
      <c r="J2376" s="220">
        <f>I2376*0.1</f>
        <v>87100</v>
      </c>
      <c r="K2376" s="220">
        <v>0</v>
      </c>
      <c r="L2376" s="220">
        <v>8400</v>
      </c>
      <c r="M2376" s="220">
        <v>15950</v>
      </c>
      <c r="N2376" s="220">
        <f>SUM(I2376:M2377)</f>
        <v>982450</v>
      </c>
      <c r="O2376" s="224"/>
      <c r="P2376" s="110" t="s">
        <v>8373</v>
      </c>
      <c r="Q2376" s="15" t="s">
        <v>19</v>
      </c>
      <c r="R2376" s="205"/>
      <c r="S2376" s="189"/>
      <c r="T2376" s="114"/>
      <c r="U2376" s="21"/>
      <c r="V2376" s="115">
        <v>45997</v>
      </c>
      <c r="W2376" s="116">
        <v>1279</v>
      </c>
      <c r="X2376" s="220">
        <v>880000</v>
      </c>
      <c r="Y2376" s="220">
        <f>X2376*0.1</f>
        <v>88000</v>
      </c>
      <c r="Z2376" s="220">
        <v>8400</v>
      </c>
      <c r="AA2376" s="220">
        <f>SUM(X2376:Z2376)</f>
        <v>976400</v>
      </c>
      <c r="AB2376" s="222">
        <v>46000</v>
      </c>
    </row>
    <row r="2377" spans="1:28" ht="17.100000000000001" customHeight="1" thickBot="1">
      <c r="A2377" s="227"/>
      <c r="B2377" s="27" t="s">
        <v>3518</v>
      </c>
      <c r="C2377" s="27">
        <v>80011</v>
      </c>
      <c r="D2377" s="14" t="s">
        <v>2788</v>
      </c>
      <c r="E2377" s="229"/>
      <c r="F2377" s="117" t="s">
        <v>7858</v>
      </c>
      <c r="G2377" s="26">
        <v>40145</v>
      </c>
      <c r="H2377" s="231"/>
      <c r="I2377" s="221"/>
      <c r="J2377" s="221"/>
      <c r="K2377" s="221"/>
      <c r="L2377" s="221"/>
      <c r="M2377" s="221"/>
      <c r="N2377" s="221"/>
      <c r="O2377" s="225"/>
      <c r="P2377" s="118" t="s">
        <v>8374</v>
      </c>
      <c r="Q2377" s="16" t="s">
        <v>20</v>
      </c>
      <c r="R2377" s="17" t="s">
        <v>1639</v>
      </c>
      <c r="S2377" s="121" t="s">
        <v>7721</v>
      </c>
      <c r="T2377" s="122" t="s">
        <v>8099</v>
      </c>
      <c r="U2377" s="22"/>
      <c r="V2377" s="123" t="s">
        <v>2472</v>
      </c>
      <c r="W2377" s="122">
        <v>60086</v>
      </c>
      <c r="X2377" s="221"/>
      <c r="Y2377" s="221"/>
      <c r="Z2377" s="221"/>
      <c r="AA2377" s="221"/>
      <c r="AB2377" s="223"/>
    </row>
    <row r="2378" spans="1:28" ht="17.100000000000001" customHeight="1" thickTop="1">
      <c r="A2378" s="226" t="s">
        <v>7963</v>
      </c>
      <c r="B2378" s="28">
        <v>45941</v>
      </c>
      <c r="C2378" s="25">
        <v>282</v>
      </c>
      <c r="D2378" s="13" t="s">
        <v>1883</v>
      </c>
      <c r="E2378" s="228"/>
      <c r="F2378" s="109" t="s">
        <v>7859</v>
      </c>
      <c r="G2378" s="24"/>
      <c r="H2378" s="230">
        <v>4</v>
      </c>
      <c r="I2378" s="220">
        <v>731000</v>
      </c>
      <c r="J2378" s="220">
        <f>I2378*0.1</f>
        <v>73100</v>
      </c>
      <c r="K2378" s="220">
        <v>0</v>
      </c>
      <c r="L2378" s="220">
        <v>6470</v>
      </c>
      <c r="M2378" s="220">
        <v>15950</v>
      </c>
      <c r="N2378" s="220">
        <f>SUM(I2378:M2379)</f>
        <v>826520</v>
      </c>
      <c r="O2378" s="224"/>
      <c r="P2378" s="110" t="s">
        <v>8370</v>
      </c>
      <c r="Q2378" s="15" t="s">
        <v>19</v>
      </c>
      <c r="R2378" s="205"/>
      <c r="S2378" s="189" t="s">
        <v>758</v>
      </c>
      <c r="T2378" s="114"/>
      <c r="U2378" s="21"/>
      <c r="V2378" s="115">
        <v>45948</v>
      </c>
      <c r="W2378" s="116">
        <v>1272</v>
      </c>
      <c r="X2378" s="220">
        <v>800000</v>
      </c>
      <c r="Y2378" s="220">
        <f>X2378*0.1</f>
        <v>80000</v>
      </c>
      <c r="Z2378" s="220">
        <v>6470</v>
      </c>
      <c r="AA2378" s="220">
        <f>SUM(X2378:Z2378)</f>
        <v>886470</v>
      </c>
      <c r="AB2378" s="222">
        <v>45951</v>
      </c>
    </row>
    <row r="2379" spans="1:28" ht="17.100000000000001" customHeight="1" thickBot="1">
      <c r="A2379" s="227"/>
      <c r="B2379" s="27" t="s">
        <v>3518</v>
      </c>
      <c r="C2379" s="27">
        <v>80017</v>
      </c>
      <c r="D2379" s="14" t="s">
        <v>273</v>
      </c>
      <c r="E2379" s="229"/>
      <c r="F2379" s="117" t="s">
        <v>7860</v>
      </c>
      <c r="G2379" s="26">
        <v>54309</v>
      </c>
      <c r="H2379" s="231"/>
      <c r="I2379" s="221"/>
      <c r="J2379" s="221"/>
      <c r="K2379" s="221"/>
      <c r="L2379" s="221"/>
      <c r="M2379" s="221"/>
      <c r="N2379" s="221"/>
      <c r="O2379" s="225"/>
      <c r="P2379" s="118" t="s">
        <v>8371</v>
      </c>
      <c r="Q2379" s="16" t="s">
        <v>20</v>
      </c>
      <c r="R2379" s="17" t="s">
        <v>1630</v>
      </c>
      <c r="S2379" s="121" t="s">
        <v>8372</v>
      </c>
      <c r="T2379" s="122"/>
      <c r="U2379" s="22"/>
      <c r="V2379" s="123" t="s">
        <v>2472</v>
      </c>
      <c r="W2379" s="122">
        <v>60066</v>
      </c>
      <c r="X2379" s="221"/>
      <c r="Y2379" s="221"/>
      <c r="Z2379" s="221"/>
      <c r="AA2379" s="221"/>
      <c r="AB2379" s="223"/>
    </row>
    <row r="2380" spans="1:28" ht="17.100000000000001" customHeight="1" thickTop="1">
      <c r="A2380" s="226" t="s">
        <v>7964</v>
      </c>
      <c r="B2380" s="28">
        <v>45941</v>
      </c>
      <c r="C2380" s="25">
        <v>993</v>
      </c>
      <c r="D2380" s="13" t="s">
        <v>1788</v>
      </c>
      <c r="E2380" s="228"/>
      <c r="F2380" s="109" t="s">
        <v>4445</v>
      </c>
      <c r="G2380" s="24" t="s">
        <v>2038</v>
      </c>
      <c r="H2380" s="230">
        <v>4</v>
      </c>
      <c r="I2380" s="220">
        <v>1973000</v>
      </c>
      <c r="J2380" s="220">
        <f>I2380*0.1</f>
        <v>197300</v>
      </c>
      <c r="K2380" s="220">
        <v>18040</v>
      </c>
      <c r="L2380" s="220">
        <v>15570</v>
      </c>
      <c r="M2380" s="220">
        <v>15950</v>
      </c>
      <c r="N2380" s="220">
        <f>SUM(I2380:M2381)</f>
        <v>2219860</v>
      </c>
      <c r="O2380" s="224"/>
      <c r="P2380" s="110" t="s">
        <v>7862</v>
      </c>
      <c r="Q2380" s="15" t="s">
        <v>19</v>
      </c>
      <c r="R2380" s="205"/>
      <c r="S2380" s="189" t="s">
        <v>25523</v>
      </c>
      <c r="T2380" s="114"/>
      <c r="U2380" s="21"/>
      <c r="V2380" s="115">
        <v>45962</v>
      </c>
      <c r="W2380" s="116">
        <v>1274</v>
      </c>
      <c r="X2380" s="220">
        <v>1975000</v>
      </c>
      <c r="Y2380" s="220">
        <f>X2380*0.1</f>
        <v>197500</v>
      </c>
      <c r="Z2380" s="220">
        <v>15570</v>
      </c>
      <c r="AA2380" s="220">
        <f>SUM(X2380:Z2380)</f>
        <v>2188070</v>
      </c>
      <c r="AB2380" s="222">
        <v>45965</v>
      </c>
    </row>
    <row r="2381" spans="1:28" ht="17.100000000000001" customHeight="1" thickBot="1">
      <c r="A2381" s="227"/>
      <c r="B2381" s="27" t="s">
        <v>1697</v>
      </c>
      <c r="C2381" s="27">
        <v>5108</v>
      </c>
      <c r="D2381" s="14" t="s">
        <v>1568</v>
      </c>
      <c r="E2381" s="229"/>
      <c r="F2381" s="117" t="s">
        <v>7861</v>
      </c>
      <c r="G2381" s="26">
        <v>37004</v>
      </c>
      <c r="H2381" s="231"/>
      <c r="I2381" s="221"/>
      <c r="J2381" s="221"/>
      <c r="K2381" s="221"/>
      <c r="L2381" s="221"/>
      <c r="M2381" s="221"/>
      <c r="N2381" s="221"/>
      <c r="O2381" s="225"/>
      <c r="P2381" s="118" t="s">
        <v>1647</v>
      </c>
      <c r="Q2381" s="16" t="s">
        <v>20</v>
      </c>
      <c r="R2381" s="17" t="s">
        <v>8602</v>
      </c>
      <c r="S2381" s="121" t="s">
        <v>8643</v>
      </c>
      <c r="T2381" s="122"/>
      <c r="U2381" s="22"/>
      <c r="V2381" s="123" t="s">
        <v>2472</v>
      </c>
      <c r="W2381" s="122">
        <v>80087</v>
      </c>
      <c r="X2381" s="221"/>
      <c r="Y2381" s="221"/>
      <c r="Z2381" s="221"/>
      <c r="AA2381" s="221"/>
      <c r="AB2381" s="223"/>
    </row>
    <row r="2382" spans="1:28" ht="17.100000000000001" customHeight="1" thickTop="1">
      <c r="A2382" s="226" t="s">
        <v>7965</v>
      </c>
      <c r="B2382" s="28">
        <v>45941</v>
      </c>
      <c r="C2382" s="25">
        <v>1514</v>
      </c>
      <c r="D2382" s="13" t="s">
        <v>1589</v>
      </c>
      <c r="E2382" s="228"/>
      <c r="F2382" s="109" t="s">
        <v>7863</v>
      </c>
      <c r="G2382" s="24"/>
      <c r="H2382" s="230">
        <v>4.5</v>
      </c>
      <c r="I2382" s="220">
        <v>1940000</v>
      </c>
      <c r="J2382" s="220">
        <f>I2382*0.1</f>
        <v>194000</v>
      </c>
      <c r="K2382" s="220">
        <v>0</v>
      </c>
      <c r="L2382" s="220">
        <v>21720</v>
      </c>
      <c r="M2382" s="220">
        <v>16500</v>
      </c>
      <c r="N2382" s="220">
        <f>SUM(I2382:M2383)</f>
        <v>2172220</v>
      </c>
      <c r="O2382" s="224"/>
      <c r="P2382" s="110" t="s">
        <v>8365</v>
      </c>
      <c r="Q2382" s="15" t="s">
        <v>19</v>
      </c>
      <c r="R2382" s="205"/>
      <c r="S2382" s="189" t="s">
        <v>25429</v>
      </c>
      <c r="T2382" s="114"/>
      <c r="U2382" s="21"/>
      <c r="V2382" s="115">
        <v>45953</v>
      </c>
      <c r="W2382" s="116">
        <v>1303</v>
      </c>
      <c r="X2382" s="220">
        <v>2090000</v>
      </c>
      <c r="Y2382" s="220">
        <f>X2382*0.1</f>
        <v>209000</v>
      </c>
      <c r="Z2382" s="220">
        <v>21720</v>
      </c>
      <c r="AA2382" s="220">
        <f>SUM(X2382:Z2382)</f>
        <v>2320720</v>
      </c>
      <c r="AB2382" s="222">
        <v>45954</v>
      </c>
    </row>
    <row r="2383" spans="1:28" ht="17.100000000000001" customHeight="1" thickBot="1">
      <c r="A2383" s="227"/>
      <c r="B2383" s="27" t="s">
        <v>1547</v>
      </c>
      <c r="C2383" s="27">
        <v>83107</v>
      </c>
      <c r="D2383" s="14" t="s">
        <v>1584</v>
      </c>
      <c r="E2383" s="229"/>
      <c r="F2383" s="117" t="s">
        <v>7864</v>
      </c>
      <c r="G2383" s="26">
        <v>45870</v>
      </c>
      <c r="H2383" s="231"/>
      <c r="I2383" s="221"/>
      <c r="J2383" s="221"/>
      <c r="K2383" s="221"/>
      <c r="L2383" s="221"/>
      <c r="M2383" s="221"/>
      <c r="N2383" s="221"/>
      <c r="O2383" s="225"/>
      <c r="P2383" s="118" t="s">
        <v>2782</v>
      </c>
      <c r="Q2383" s="16" t="s">
        <v>20</v>
      </c>
      <c r="R2383" s="17" t="s">
        <v>1639</v>
      </c>
      <c r="S2383" s="121" t="s">
        <v>3071</v>
      </c>
      <c r="T2383" s="122"/>
      <c r="U2383" s="22"/>
      <c r="V2383" s="123" t="s">
        <v>1735</v>
      </c>
      <c r="W2383" s="122">
        <v>88</v>
      </c>
      <c r="X2383" s="221"/>
      <c r="Y2383" s="221"/>
      <c r="Z2383" s="221"/>
      <c r="AA2383" s="221"/>
      <c r="AB2383" s="223"/>
    </row>
    <row r="2384" spans="1:28" ht="17.100000000000001" customHeight="1" thickTop="1">
      <c r="A2384" s="226" t="s">
        <v>7966</v>
      </c>
      <c r="B2384" s="28">
        <v>45941</v>
      </c>
      <c r="C2384" s="25">
        <v>1436</v>
      </c>
      <c r="D2384" s="13" t="s">
        <v>2892</v>
      </c>
      <c r="E2384" s="228"/>
      <c r="F2384" s="109" t="s">
        <v>7904</v>
      </c>
      <c r="G2384" s="24" t="s">
        <v>7906</v>
      </c>
      <c r="H2384" s="230">
        <v>4</v>
      </c>
      <c r="I2384" s="220">
        <v>910000</v>
      </c>
      <c r="J2384" s="220">
        <f>I2384*0.1</f>
        <v>91000</v>
      </c>
      <c r="K2384" s="220">
        <v>0</v>
      </c>
      <c r="L2384" s="220">
        <v>8790</v>
      </c>
      <c r="M2384" s="220">
        <v>16500</v>
      </c>
      <c r="N2384" s="220">
        <f>SUM(I2384:M2385)</f>
        <v>1026290</v>
      </c>
      <c r="O2384" s="224"/>
      <c r="P2384" s="110" t="s">
        <v>7907</v>
      </c>
      <c r="Q2384" s="15" t="s">
        <v>19</v>
      </c>
      <c r="R2384" s="205"/>
      <c r="S2384" s="189" t="s">
        <v>1422</v>
      </c>
      <c r="T2384" s="114"/>
      <c r="U2384" s="21"/>
      <c r="V2384" s="115">
        <v>45955</v>
      </c>
      <c r="W2384" s="116">
        <v>1273</v>
      </c>
      <c r="X2384" s="220">
        <v>1005000</v>
      </c>
      <c r="Y2384" s="220">
        <f>X2384*0.1</f>
        <v>100500</v>
      </c>
      <c r="Z2384" s="220">
        <v>8790</v>
      </c>
      <c r="AA2384" s="220">
        <f>SUM(X2384:Z2384)</f>
        <v>1114290</v>
      </c>
      <c r="AB2384" s="222">
        <v>45958</v>
      </c>
    </row>
    <row r="2385" spans="1:28" ht="17.100000000000001" customHeight="1" thickBot="1">
      <c r="A2385" s="227"/>
      <c r="B2385" s="27" t="s">
        <v>1765</v>
      </c>
      <c r="C2385" s="27">
        <v>7299</v>
      </c>
      <c r="D2385" s="14" t="s">
        <v>1797</v>
      </c>
      <c r="E2385" s="229"/>
      <c r="F2385" s="117" t="s">
        <v>7905</v>
      </c>
      <c r="G2385" s="26">
        <v>31693</v>
      </c>
      <c r="H2385" s="231"/>
      <c r="I2385" s="221"/>
      <c r="J2385" s="221"/>
      <c r="K2385" s="221"/>
      <c r="L2385" s="221"/>
      <c r="M2385" s="221"/>
      <c r="N2385" s="221"/>
      <c r="O2385" s="225"/>
      <c r="P2385" s="118" t="s">
        <v>8280</v>
      </c>
      <c r="Q2385" s="16" t="s">
        <v>20</v>
      </c>
      <c r="R2385" s="17" t="s">
        <v>1630</v>
      </c>
      <c r="S2385" s="121" t="s">
        <v>169</v>
      </c>
      <c r="T2385" s="122"/>
      <c r="U2385" s="22"/>
      <c r="V2385" s="123" t="s">
        <v>2472</v>
      </c>
      <c r="W2385" s="122">
        <v>60243</v>
      </c>
      <c r="X2385" s="221"/>
      <c r="Y2385" s="221"/>
      <c r="Z2385" s="221"/>
      <c r="AA2385" s="221"/>
      <c r="AB2385" s="223"/>
    </row>
    <row r="2386" spans="1:28" ht="17.100000000000001" customHeight="1" thickTop="1">
      <c r="A2386" s="226" t="s">
        <v>7967</v>
      </c>
      <c r="B2386" s="28">
        <v>45941</v>
      </c>
      <c r="C2386" s="25">
        <v>1271</v>
      </c>
      <c r="D2386" s="13" t="s">
        <v>1623</v>
      </c>
      <c r="E2386" s="228"/>
      <c r="F2386" s="109" t="s">
        <v>6963</v>
      </c>
      <c r="G2386" s="24" t="s">
        <v>7866</v>
      </c>
      <c r="H2386" s="230">
        <v>4.5</v>
      </c>
      <c r="I2386" s="220">
        <v>1295000</v>
      </c>
      <c r="J2386" s="220">
        <f>I2386*0.1</f>
        <v>129500</v>
      </c>
      <c r="K2386" s="220">
        <v>0</v>
      </c>
      <c r="L2386" s="220">
        <v>8390</v>
      </c>
      <c r="M2386" s="220">
        <v>12100</v>
      </c>
      <c r="N2386" s="220">
        <f>SUM(I2386:M2387)</f>
        <v>1444990</v>
      </c>
      <c r="O2386" s="224"/>
      <c r="P2386" s="110" t="s">
        <v>7867</v>
      </c>
      <c r="Q2386" s="15" t="s">
        <v>19</v>
      </c>
      <c r="R2386" s="205"/>
      <c r="S2386" s="189"/>
      <c r="T2386" s="114"/>
      <c r="U2386" s="21" t="s">
        <v>10813</v>
      </c>
      <c r="V2386" s="115">
        <v>46092</v>
      </c>
      <c r="W2386" s="116">
        <v>1008</v>
      </c>
      <c r="X2386" s="220">
        <v>1300000</v>
      </c>
      <c r="Y2386" s="220">
        <f>X2386*0.1</f>
        <v>130000</v>
      </c>
      <c r="Z2386" s="220">
        <v>8390</v>
      </c>
      <c r="AA2386" s="220">
        <f>SUM(X2386:Z2386)</f>
        <v>1438390</v>
      </c>
      <c r="AB2386" s="222">
        <v>46100</v>
      </c>
    </row>
    <row r="2387" spans="1:28" ht="17.100000000000001" customHeight="1" thickBot="1">
      <c r="A2387" s="227"/>
      <c r="B2387" s="27" t="s">
        <v>2472</v>
      </c>
      <c r="C2387" s="27">
        <v>31072</v>
      </c>
      <c r="D2387" s="14" t="s">
        <v>1797</v>
      </c>
      <c r="E2387" s="229"/>
      <c r="F2387" s="117" t="s">
        <v>7865</v>
      </c>
      <c r="G2387" s="26">
        <v>17760</v>
      </c>
      <c r="H2387" s="231"/>
      <c r="I2387" s="221"/>
      <c r="J2387" s="221"/>
      <c r="K2387" s="221"/>
      <c r="L2387" s="221"/>
      <c r="M2387" s="221"/>
      <c r="N2387" s="221"/>
      <c r="O2387" s="225"/>
      <c r="P2387" s="118" t="s">
        <v>2870</v>
      </c>
      <c r="Q2387" s="16" t="s">
        <v>20</v>
      </c>
      <c r="R2387" s="17" t="s">
        <v>3295</v>
      </c>
      <c r="S2387" s="121" t="s">
        <v>6727</v>
      </c>
      <c r="T2387" s="122"/>
      <c r="U2387" s="22"/>
      <c r="V2387" s="123" t="s">
        <v>8648</v>
      </c>
      <c r="W2387" s="122">
        <v>2042</v>
      </c>
      <c r="X2387" s="221"/>
      <c r="Y2387" s="221"/>
      <c r="Z2387" s="221"/>
      <c r="AA2387" s="221"/>
      <c r="AB2387" s="223"/>
    </row>
    <row r="2388" spans="1:28" ht="17.100000000000001" customHeight="1" thickTop="1">
      <c r="A2388" s="226" t="s">
        <v>7970</v>
      </c>
      <c r="B2388" s="28">
        <v>45941</v>
      </c>
      <c r="C2388" s="25">
        <v>1271</v>
      </c>
      <c r="D2388" s="13" t="s">
        <v>2610</v>
      </c>
      <c r="E2388" s="228"/>
      <c r="F2388" s="109" t="s">
        <v>7868</v>
      </c>
      <c r="G2388" s="24" t="s">
        <v>5054</v>
      </c>
      <c r="H2388" s="230">
        <v>4</v>
      </c>
      <c r="I2388" s="220">
        <v>1025000</v>
      </c>
      <c r="J2388" s="220">
        <f>I2388*0.1</f>
        <v>102500</v>
      </c>
      <c r="K2388" s="220">
        <v>0</v>
      </c>
      <c r="L2388" s="220">
        <v>9310</v>
      </c>
      <c r="M2388" s="220">
        <v>12100</v>
      </c>
      <c r="N2388" s="220">
        <f>SUM(I2388:M2389)</f>
        <v>1148910</v>
      </c>
      <c r="O2388" s="224"/>
      <c r="P2388" s="110" t="s">
        <v>7870</v>
      </c>
      <c r="Q2388" s="15" t="s">
        <v>19</v>
      </c>
      <c r="R2388" s="205"/>
      <c r="S2388" s="189" t="s">
        <v>1312</v>
      </c>
      <c r="T2388" s="114"/>
      <c r="U2388" s="21" t="s">
        <v>10819</v>
      </c>
      <c r="V2388" s="115">
        <v>45990</v>
      </c>
      <c r="W2388" s="116">
        <v>1278</v>
      </c>
      <c r="X2388" s="220">
        <v>1160000</v>
      </c>
      <c r="Y2388" s="220">
        <f>X2388*0.1</f>
        <v>116000</v>
      </c>
      <c r="Z2388" s="220">
        <v>9310</v>
      </c>
      <c r="AA2388" s="220">
        <f>SUM(X2388:Z2388)</f>
        <v>1285310</v>
      </c>
      <c r="AB2388" s="222">
        <v>45994</v>
      </c>
    </row>
    <row r="2389" spans="1:28" ht="17.100000000000001" customHeight="1" thickBot="1">
      <c r="A2389" s="227"/>
      <c r="B2389" s="27" t="s">
        <v>2472</v>
      </c>
      <c r="C2389" s="27">
        <v>31089</v>
      </c>
      <c r="D2389" s="14" t="s">
        <v>2788</v>
      </c>
      <c r="E2389" s="229"/>
      <c r="F2389" s="117" t="s">
        <v>7869</v>
      </c>
      <c r="G2389" s="26">
        <v>39570</v>
      </c>
      <c r="H2389" s="231"/>
      <c r="I2389" s="221"/>
      <c r="J2389" s="221"/>
      <c r="K2389" s="221"/>
      <c r="L2389" s="221"/>
      <c r="M2389" s="221"/>
      <c r="N2389" s="221"/>
      <c r="O2389" s="225"/>
      <c r="P2389" s="118" t="s">
        <v>8653</v>
      </c>
      <c r="Q2389" s="16" t="s">
        <v>20</v>
      </c>
      <c r="R2389" s="17" t="s">
        <v>3295</v>
      </c>
      <c r="S2389" s="121" t="s">
        <v>2169</v>
      </c>
      <c r="T2389" s="122"/>
      <c r="U2389" s="22"/>
      <c r="V2389" s="123" t="s">
        <v>2472</v>
      </c>
      <c r="W2389" s="122">
        <v>60442</v>
      </c>
      <c r="X2389" s="221"/>
      <c r="Y2389" s="221"/>
      <c r="Z2389" s="221"/>
      <c r="AA2389" s="221"/>
      <c r="AB2389" s="223"/>
    </row>
    <row r="2390" spans="1:28" ht="17.100000000000001" customHeight="1" thickTop="1">
      <c r="A2390" s="226" t="s">
        <v>7971</v>
      </c>
      <c r="B2390" s="28">
        <v>45941</v>
      </c>
      <c r="C2390" s="25">
        <v>1271</v>
      </c>
      <c r="D2390" s="13" t="s">
        <v>4589</v>
      </c>
      <c r="E2390" s="228"/>
      <c r="F2390" s="109" t="s">
        <v>7871</v>
      </c>
      <c r="G2390" s="24" t="s">
        <v>5305</v>
      </c>
      <c r="H2390" s="230">
        <v>4</v>
      </c>
      <c r="I2390" s="220">
        <v>895000</v>
      </c>
      <c r="J2390" s="220">
        <f>I2390*0.1</f>
        <v>89500</v>
      </c>
      <c r="K2390" s="220">
        <f>18700+1870</f>
        <v>20570</v>
      </c>
      <c r="L2390" s="220">
        <v>16260</v>
      </c>
      <c r="M2390" s="220">
        <v>12100</v>
      </c>
      <c r="N2390" s="220">
        <f>SUM(I2390:M2391)</f>
        <v>1033430</v>
      </c>
      <c r="O2390" s="224"/>
      <c r="P2390" s="110" t="s">
        <v>7873</v>
      </c>
      <c r="Q2390" s="15" t="s">
        <v>19</v>
      </c>
      <c r="R2390" s="205"/>
      <c r="S2390" s="189"/>
      <c r="T2390" s="114"/>
      <c r="U2390" s="21" t="s">
        <v>10584</v>
      </c>
      <c r="V2390" s="115">
        <v>45987</v>
      </c>
      <c r="W2390" s="116">
        <v>994</v>
      </c>
      <c r="X2390" s="220">
        <v>915000</v>
      </c>
      <c r="Y2390" s="220">
        <f>X2390*0.1</f>
        <v>91500</v>
      </c>
      <c r="Z2390" s="220">
        <v>16260</v>
      </c>
      <c r="AA2390" s="220">
        <f>SUM(X2390:Z2390)</f>
        <v>1022760</v>
      </c>
      <c r="AB2390" s="222">
        <v>45992</v>
      </c>
    </row>
    <row r="2391" spans="1:28" ht="17.100000000000001" customHeight="1" thickBot="1">
      <c r="A2391" s="227"/>
      <c r="B2391" s="27" t="s">
        <v>2472</v>
      </c>
      <c r="C2391" s="27">
        <v>35254</v>
      </c>
      <c r="D2391" s="14" t="s">
        <v>273</v>
      </c>
      <c r="E2391" s="229"/>
      <c r="F2391" s="117" t="s">
        <v>7872</v>
      </c>
      <c r="G2391" s="26">
        <v>63549</v>
      </c>
      <c r="H2391" s="231"/>
      <c r="I2391" s="221"/>
      <c r="J2391" s="221"/>
      <c r="K2391" s="221"/>
      <c r="L2391" s="221"/>
      <c r="M2391" s="221"/>
      <c r="N2391" s="221"/>
      <c r="O2391" s="225"/>
      <c r="P2391" s="118" t="s">
        <v>8626</v>
      </c>
      <c r="Q2391" s="16" t="s">
        <v>20</v>
      </c>
      <c r="R2391" s="17" t="s">
        <v>8602</v>
      </c>
      <c r="S2391" s="121" t="s">
        <v>8627</v>
      </c>
      <c r="T2391" s="122"/>
      <c r="U2391" s="22"/>
      <c r="V2391" s="123" t="s">
        <v>8877</v>
      </c>
      <c r="W2391" s="122">
        <v>6007</v>
      </c>
      <c r="X2391" s="221"/>
      <c r="Y2391" s="221"/>
      <c r="Z2391" s="221"/>
      <c r="AA2391" s="221"/>
      <c r="AB2391" s="223"/>
    </row>
    <row r="2392" spans="1:28" ht="17.100000000000001" customHeight="1" thickTop="1">
      <c r="A2392" s="226" t="s">
        <v>7972</v>
      </c>
      <c r="B2392" s="28">
        <v>45941</v>
      </c>
      <c r="C2392" s="25">
        <v>1271</v>
      </c>
      <c r="D2392" s="13" t="s">
        <v>1839</v>
      </c>
      <c r="E2392" s="228"/>
      <c r="F2392" s="109" t="s">
        <v>6972</v>
      </c>
      <c r="G2392" s="24" t="s">
        <v>4120</v>
      </c>
      <c r="H2392" s="230">
        <v>4</v>
      </c>
      <c r="I2392" s="220">
        <v>830000</v>
      </c>
      <c r="J2392" s="220">
        <f>I2392*0.1</f>
        <v>83000</v>
      </c>
      <c r="K2392" s="220">
        <v>0</v>
      </c>
      <c r="L2392" s="220">
        <v>9010</v>
      </c>
      <c r="M2392" s="220">
        <v>12100</v>
      </c>
      <c r="N2392" s="220">
        <f>SUM(I2392:M2393)</f>
        <v>934110</v>
      </c>
      <c r="O2392" s="224"/>
      <c r="P2392" s="110" t="s">
        <v>7875</v>
      </c>
      <c r="Q2392" s="15" t="s">
        <v>19</v>
      </c>
      <c r="R2392" s="205"/>
      <c r="S2392" s="189" t="s">
        <v>1113</v>
      </c>
      <c r="T2392" s="114"/>
      <c r="U2392" s="21"/>
      <c r="V2392" s="115">
        <v>45959</v>
      </c>
      <c r="W2392" s="116">
        <v>990</v>
      </c>
      <c r="X2392" s="220">
        <v>970000</v>
      </c>
      <c r="Y2392" s="220">
        <f>X2392*0.1</f>
        <v>97000</v>
      </c>
      <c r="Z2392" s="220">
        <v>9010</v>
      </c>
      <c r="AA2392" s="220">
        <f>SUM(X2392:Z2392)</f>
        <v>1076010</v>
      </c>
      <c r="AB2392" s="222">
        <v>45965</v>
      </c>
    </row>
    <row r="2393" spans="1:28" ht="17.100000000000001" customHeight="1" thickBot="1">
      <c r="A2393" s="227"/>
      <c r="B2393" s="27" t="s">
        <v>2472</v>
      </c>
      <c r="C2393" s="27">
        <v>65130</v>
      </c>
      <c r="D2393" s="14" t="s">
        <v>1627</v>
      </c>
      <c r="E2393" s="229"/>
      <c r="F2393" s="117" t="s">
        <v>7874</v>
      </c>
      <c r="G2393" s="26">
        <v>44386</v>
      </c>
      <c r="H2393" s="231"/>
      <c r="I2393" s="221"/>
      <c r="J2393" s="221"/>
      <c r="K2393" s="221"/>
      <c r="L2393" s="221"/>
      <c r="M2393" s="221"/>
      <c r="N2393" s="221"/>
      <c r="O2393" s="225"/>
      <c r="P2393" s="118" t="s">
        <v>8654</v>
      </c>
      <c r="Q2393" s="16" t="s">
        <v>20</v>
      </c>
      <c r="R2393" s="17" t="s">
        <v>3295</v>
      </c>
      <c r="S2393" s="121" t="s">
        <v>169</v>
      </c>
      <c r="T2393" s="122"/>
      <c r="U2393" s="22"/>
      <c r="V2393" s="123" t="s">
        <v>2747</v>
      </c>
      <c r="W2393" s="122">
        <v>2058</v>
      </c>
      <c r="X2393" s="221"/>
      <c r="Y2393" s="221"/>
      <c r="Z2393" s="221"/>
      <c r="AA2393" s="221"/>
      <c r="AB2393" s="223"/>
    </row>
    <row r="2394" spans="1:28" ht="17.100000000000001" customHeight="1" thickTop="1">
      <c r="A2394" s="226" t="s">
        <v>7973</v>
      </c>
      <c r="B2394" s="28">
        <v>45941</v>
      </c>
      <c r="C2394" s="25">
        <v>1271</v>
      </c>
      <c r="D2394" s="13" t="s">
        <v>3269</v>
      </c>
      <c r="E2394" s="228"/>
      <c r="F2394" s="109" t="s">
        <v>2556</v>
      </c>
      <c r="G2394" s="24" t="s">
        <v>7877</v>
      </c>
      <c r="H2394" s="230">
        <v>4</v>
      </c>
      <c r="I2394" s="220">
        <v>1020000</v>
      </c>
      <c r="J2394" s="220">
        <f>I2394*0.1</f>
        <v>102000</v>
      </c>
      <c r="K2394" s="220">
        <v>0</v>
      </c>
      <c r="L2394" s="220">
        <v>8390</v>
      </c>
      <c r="M2394" s="220">
        <v>12100</v>
      </c>
      <c r="N2394" s="220">
        <f>SUM(I2394:M2395)</f>
        <v>1142490</v>
      </c>
      <c r="O2394" s="224"/>
      <c r="P2394" s="110" t="s">
        <v>7878</v>
      </c>
      <c r="Q2394" s="15" t="s">
        <v>19</v>
      </c>
      <c r="R2394" s="205"/>
      <c r="S2394" s="189"/>
      <c r="T2394" s="114"/>
      <c r="U2394" s="21"/>
      <c r="V2394" s="115">
        <v>45948</v>
      </c>
      <c r="W2394" s="116">
        <v>1272</v>
      </c>
      <c r="X2394" s="220">
        <v>1215000</v>
      </c>
      <c r="Y2394" s="220">
        <f>X2394*0.1</f>
        <v>121500</v>
      </c>
      <c r="Z2394" s="220">
        <v>8390</v>
      </c>
      <c r="AA2394" s="220">
        <f>SUM(X2394:Z2394)</f>
        <v>1344890</v>
      </c>
      <c r="AB2394" s="222">
        <v>45951</v>
      </c>
    </row>
    <row r="2395" spans="1:28" ht="17.100000000000001" customHeight="1" thickBot="1">
      <c r="A2395" s="227"/>
      <c r="B2395" s="27" t="s">
        <v>2472</v>
      </c>
      <c r="C2395" s="27">
        <v>65279</v>
      </c>
      <c r="D2395" s="14" t="s">
        <v>2559</v>
      </c>
      <c r="E2395" s="229"/>
      <c r="F2395" s="117" t="s">
        <v>7876</v>
      </c>
      <c r="G2395" s="26">
        <v>55793</v>
      </c>
      <c r="H2395" s="231"/>
      <c r="I2395" s="221"/>
      <c r="J2395" s="221"/>
      <c r="K2395" s="221"/>
      <c r="L2395" s="221"/>
      <c r="M2395" s="221"/>
      <c r="N2395" s="221"/>
      <c r="O2395" s="225"/>
      <c r="P2395" s="118" t="s">
        <v>8606</v>
      </c>
      <c r="Q2395" s="16" t="s">
        <v>20</v>
      </c>
      <c r="R2395" s="17" t="s">
        <v>8602</v>
      </c>
      <c r="S2395" s="121" t="s">
        <v>8607</v>
      </c>
      <c r="T2395" s="122"/>
      <c r="U2395" s="22"/>
      <c r="V2395" s="123" t="s">
        <v>2472</v>
      </c>
      <c r="W2395" s="122">
        <v>60481</v>
      </c>
      <c r="X2395" s="221"/>
      <c r="Y2395" s="221"/>
      <c r="Z2395" s="221"/>
      <c r="AA2395" s="221"/>
      <c r="AB2395" s="223"/>
    </row>
    <row r="2396" spans="1:28" ht="17.100000000000001" customHeight="1" thickTop="1">
      <c r="A2396" s="226" t="s">
        <v>7974</v>
      </c>
      <c r="B2396" s="28">
        <v>45941</v>
      </c>
      <c r="C2396" s="25">
        <v>1271</v>
      </c>
      <c r="D2396" s="13" t="s">
        <v>1915</v>
      </c>
      <c r="E2396" s="228"/>
      <c r="F2396" s="109" t="s">
        <v>6972</v>
      </c>
      <c r="G2396" s="24"/>
      <c r="H2396" s="230">
        <v>4.5</v>
      </c>
      <c r="I2396" s="220">
        <v>920000</v>
      </c>
      <c r="J2396" s="220">
        <f>I2396*0.1</f>
        <v>92000</v>
      </c>
      <c r="K2396" s="220">
        <v>0</v>
      </c>
      <c r="L2396" s="220">
        <v>9010</v>
      </c>
      <c r="M2396" s="220">
        <v>13200</v>
      </c>
      <c r="N2396" s="220">
        <f>SUM(I2396:M2397)</f>
        <v>1034210</v>
      </c>
      <c r="O2396" s="224"/>
      <c r="P2396" s="110" t="s">
        <v>8600</v>
      </c>
      <c r="Q2396" s="15" t="s">
        <v>19</v>
      </c>
      <c r="R2396" s="205"/>
      <c r="S2396" s="189" t="s">
        <v>1276</v>
      </c>
      <c r="T2396" s="114"/>
      <c r="U2396" s="21"/>
      <c r="V2396" s="115">
        <v>45945</v>
      </c>
      <c r="W2396" s="116">
        <v>988</v>
      </c>
      <c r="X2396" s="220">
        <v>1005000</v>
      </c>
      <c r="Y2396" s="220">
        <v>100500</v>
      </c>
      <c r="Z2396" s="220">
        <v>9010</v>
      </c>
      <c r="AA2396" s="220">
        <f>SUM(X2396:Z2396)</f>
        <v>1114510</v>
      </c>
      <c r="AB2396" s="222">
        <v>45951</v>
      </c>
    </row>
    <row r="2397" spans="1:28" ht="17.100000000000001" customHeight="1" thickBot="1">
      <c r="A2397" s="227"/>
      <c r="B2397" s="27" t="s">
        <v>2472</v>
      </c>
      <c r="C2397" s="27">
        <v>65387</v>
      </c>
      <c r="D2397" s="14" t="s">
        <v>1710</v>
      </c>
      <c r="E2397" s="229"/>
      <c r="F2397" s="117" t="s">
        <v>7879</v>
      </c>
      <c r="G2397" s="26">
        <v>33020</v>
      </c>
      <c r="H2397" s="231"/>
      <c r="I2397" s="221"/>
      <c r="J2397" s="221"/>
      <c r="K2397" s="221"/>
      <c r="L2397" s="221"/>
      <c r="M2397" s="221"/>
      <c r="N2397" s="221"/>
      <c r="O2397" s="225"/>
      <c r="P2397" s="118" t="s">
        <v>8601</v>
      </c>
      <c r="Q2397" s="16" t="s">
        <v>20</v>
      </c>
      <c r="R2397" s="17" t="s">
        <v>8602</v>
      </c>
      <c r="S2397" s="121" t="s">
        <v>169</v>
      </c>
      <c r="T2397" s="122"/>
      <c r="U2397" s="22"/>
      <c r="V2397" s="123" t="s">
        <v>2747</v>
      </c>
      <c r="W2397" s="122">
        <v>2072</v>
      </c>
      <c r="X2397" s="221"/>
      <c r="Y2397" s="221"/>
      <c r="Z2397" s="221"/>
      <c r="AA2397" s="221"/>
      <c r="AB2397" s="223"/>
    </row>
    <row r="2398" spans="1:28" ht="17.100000000000001" customHeight="1" thickTop="1">
      <c r="A2398" s="226" t="s">
        <v>7975</v>
      </c>
      <c r="B2398" s="28">
        <v>45941</v>
      </c>
      <c r="C2398" s="25">
        <v>1271</v>
      </c>
      <c r="D2398" s="13" t="s">
        <v>1772</v>
      </c>
      <c r="E2398" s="228"/>
      <c r="F2398" s="109" t="s">
        <v>7880</v>
      </c>
      <c r="G2398" s="24" t="s">
        <v>4038</v>
      </c>
      <c r="H2398" s="230">
        <v>4</v>
      </c>
      <c r="I2398" s="220">
        <v>485000</v>
      </c>
      <c r="J2398" s="220">
        <f>I2398*0.1</f>
        <v>48500</v>
      </c>
      <c r="K2398" s="220">
        <v>0</v>
      </c>
      <c r="L2398" s="220">
        <v>8010</v>
      </c>
      <c r="M2398" s="220">
        <v>13200</v>
      </c>
      <c r="N2398" s="220">
        <f>SUM(I2398:M2399)</f>
        <v>554710</v>
      </c>
      <c r="O2398" s="224"/>
      <c r="P2398" s="110" t="s">
        <v>7882</v>
      </c>
      <c r="Q2398" s="15" t="s">
        <v>19</v>
      </c>
      <c r="R2398" s="205"/>
      <c r="S2398" s="189" t="s">
        <v>1276</v>
      </c>
      <c r="T2398" s="114"/>
      <c r="U2398" s="85" t="s">
        <v>7882</v>
      </c>
      <c r="V2398" s="115">
        <v>45973</v>
      </c>
      <c r="W2398" s="116">
        <v>992</v>
      </c>
      <c r="X2398" s="220">
        <v>578000</v>
      </c>
      <c r="Y2398" s="220">
        <f>X2398*0.1</f>
        <v>57800</v>
      </c>
      <c r="Z2398" s="220">
        <v>8010</v>
      </c>
      <c r="AA2398" s="220">
        <f>SUM(X2398:Z2398)</f>
        <v>643810</v>
      </c>
      <c r="AB2398" s="222">
        <v>45978</v>
      </c>
    </row>
    <row r="2399" spans="1:28" ht="17.100000000000001" customHeight="1" thickBot="1">
      <c r="A2399" s="227"/>
      <c r="B2399" s="27" t="s">
        <v>2472</v>
      </c>
      <c r="C2399" s="27">
        <v>65484</v>
      </c>
      <c r="D2399" s="14" t="s">
        <v>1584</v>
      </c>
      <c r="E2399" s="229"/>
      <c r="F2399" s="117" t="s">
        <v>7881</v>
      </c>
      <c r="G2399" s="26">
        <v>50472</v>
      </c>
      <c r="H2399" s="231"/>
      <c r="I2399" s="221"/>
      <c r="J2399" s="221"/>
      <c r="K2399" s="221"/>
      <c r="L2399" s="221"/>
      <c r="M2399" s="221"/>
      <c r="N2399" s="221"/>
      <c r="O2399" s="225"/>
      <c r="P2399" s="118" t="s">
        <v>8655</v>
      </c>
      <c r="Q2399" s="16" t="s">
        <v>20</v>
      </c>
      <c r="R2399" s="17" t="s">
        <v>3295</v>
      </c>
      <c r="S2399" s="121" t="s">
        <v>1722</v>
      </c>
      <c r="T2399" s="122"/>
      <c r="U2399" s="22"/>
      <c r="V2399" s="123" t="s">
        <v>7161</v>
      </c>
      <c r="W2399" s="122">
        <v>2054</v>
      </c>
      <c r="X2399" s="221"/>
      <c r="Y2399" s="221"/>
      <c r="Z2399" s="221"/>
      <c r="AA2399" s="221"/>
      <c r="AB2399" s="223"/>
    </row>
    <row r="2400" spans="1:28" ht="17.100000000000001" customHeight="1" thickTop="1">
      <c r="A2400" s="226" t="s">
        <v>7976</v>
      </c>
      <c r="B2400" s="28">
        <v>45941</v>
      </c>
      <c r="C2400" s="25">
        <v>1271</v>
      </c>
      <c r="D2400" s="13" t="s">
        <v>1640</v>
      </c>
      <c r="E2400" s="228"/>
      <c r="F2400" s="109" t="s">
        <v>7883</v>
      </c>
      <c r="G2400" s="24" t="s">
        <v>2810</v>
      </c>
      <c r="H2400" s="230">
        <v>4.5</v>
      </c>
      <c r="I2400" s="220">
        <v>245000</v>
      </c>
      <c r="J2400" s="220">
        <f>I2400*0.1</f>
        <v>24500</v>
      </c>
      <c r="K2400" s="220">
        <f>16400+1640</f>
        <v>18040</v>
      </c>
      <c r="L2400" s="220">
        <v>17490</v>
      </c>
      <c r="M2400" s="220">
        <v>16500</v>
      </c>
      <c r="N2400" s="220">
        <f>SUM(I2400:M2401)</f>
        <v>321530</v>
      </c>
      <c r="O2400" s="224"/>
      <c r="P2400" s="110" t="s">
        <v>7885</v>
      </c>
      <c r="Q2400" s="15" t="s">
        <v>19</v>
      </c>
      <c r="R2400" s="205"/>
      <c r="S2400" s="189" t="s">
        <v>1271</v>
      </c>
      <c r="T2400" s="114"/>
      <c r="U2400" s="21"/>
      <c r="V2400" s="115">
        <v>45952</v>
      </c>
      <c r="W2400" s="116">
        <v>989</v>
      </c>
      <c r="X2400" s="220">
        <v>375000</v>
      </c>
      <c r="Y2400" s="220">
        <f>X2400*0.1</f>
        <v>37500</v>
      </c>
      <c r="Z2400" s="220">
        <v>17490</v>
      </c>
      <c r="AA2400" s="220">
        <f>SUM(X2400:Z2400)</f>
        <v>429990</v>
      </c>
      <c r="AB2400" s="222">
        <v>45957</v>
      </c>
    </row>
    <row r="2401" spans="1:28" ht="17.100000000000001" customHeight="1" thickBot="1">
      <c r="A2401" s="227"/>
      <c r="B2401" s="27" t="s">
        <v>2472</v>
      </c>
      <c r="C2401" s="27">
        <v>72010</v>
      </c>
      <c r="D2401" s="14" t="s">
        <v>2177</v>
      </c>
      <c r="E2401" s="229"/>
      <c r="F2401" s="117" t="s">
        <v>7884</v>
      </c>
      <c r="G2401" s="26">
        <v>55726</v>
      </c>
      <c r="H2401" s="231"/>
      <c r="I2401" s="221"/>
      <c r="J2401" s="221"/>
      <c r="K2401" s="221"/>
      <c r="L2401" s="221"/>
      <c r="M2401" s="221"/>
      <c r="N2401" s="221"/>
      <c r="O2401" s="225"/>
      <c r="P2401" s="118" t="s">
        <v>8647</v>
      </c>
      <c r="Q2401" s="16" t="s">
        <v>20</v>
      </c>
      <c r="R2401" s="17" t="s">
        <v>8602</v>
      </c>
      <c r="S2401" s="121" t="s">
        <v>1606</v>
      </c>
      <c r="T2401" s="122"/>
      <c r="U2401" s="22"/>
      <c r="V2401" s="123" t="s">
        <v>2747</v>
      </c>
      <c r="W2401" s="122">
        <v>5270</v>
      </c>
      <c r="X2401" s="221"/>
      <c r="Y2401" s="221"/>
      <c r="Z2401" s="221"/>
      <c r="AA2401" s="221"/>
      <c r="AB2401" s="223"/>
    </row>
    <row r="2402" spans="1:28" ht="17.100000000000001" customHeight="1" thickTop="1">
      <c r="A2402" s="226" t="s">
        <v>7977</v>
      </c>
      <c r="B2402" s="28">
        <v>45941</v>
      </c>
      <c r="C2402" s="25">
        <v>1271</v>
      </c>
      <c r="D2402" s="13" t="s">
        <v>1871</v>
      </c>
      <c r="E2402" s="228"/>
      <c r="F2402" s="109" t="s">
        <v>7886</v>
      </c>
      <c r="G2402" s="24" t="s">
        <v>5346</v>
      </c>
      <c r="H2402" s="230">
        <v>4</v>
      </c>
      <c r="I2402" s="220">
        <v>1770000</v>
      </c>
      <c r="J2402" s="220">
        <f>I2402*0.1</f>
        <v>177000</v>
      </c>
      <c r="K2402" s="220">
        <f>21200+2120</f>
        <v>23320</v>
      </c>
      <c r="L2402" s="220">
        <v>25460</v>
      </c>
      <c r="M2402" s="220">
        <v>16500</v>
      </c>
      <c r="N2402" s="220">
        <f>SUM(I2402:M2403)</f>
        <v>2012280</v>
      </c>
      <c r="O2402" s="224"/>
      <c r="P2402" s="110" t="s">
        <v>7888</v>
      </c>
      <c r="Q2402" s="15" t="s">
        <v>19</v>
      </c>
      <c r="R2402" s="205"/>
      <c r="S2402" s="189"/>
      <c r="T2402" s="114"/>
      <c r="U2402" s="21"/>
      <c r="V2402" s="115">
        <v>45976</v>
      </c>
      <c r="W2402" s="116">
        <v>1276</v>
      </c>
      <c r="X2402" s="220">
        <v>1960000</v>
      </c>
      <c r="Y2402" s="220">
        <f>X2402*0.1</f>
        <v>196000</v>
      </c>
      <c r="Z2402" s="220">
        <v>25460</v>
      </c>
      <c r="AA2402" s="220">
        <f>SUM(X2402:Z2402)</f>
        <v>2181460</v>
      </c>
      <c r="AB2402" s="222">
        <v>45979</v>
      </c>
    </row>
    <row r="2403" spans="1:28" ht="17.100000000000001" customHeight="1" thickBot="1">
      <c r="A2403" s="227"/>
      <c r="B2403" s="27" t="s">
        <v>2472</v>
      </c>
      <c r="C2403" s="27">
        <v>82318</v>
      </c>
      <c r="D2403" s="14" t="s">
        <v>3274</v>
      </c>
      <c r="E2403" s="229"/>
      <c r="F2403" s="117" t="s">
        <v>7887</v>
      </c>
      <c r="G2403" s="26">
        <v>72130</v>
      </c>
      <c r="H2403" s="231"/>
      <c r="I2403" s="221"/>
      <c r="J2403" s="221"/>
      <c r="K2403" s="221"/>
      <c r="L2403" s="221"/>
      <c r="M2403" s="221"/>
      <c r="N2403" s="221"/>
      <c r="O2403" s="225"/>
      <c r="P2403" s="118" t="s">
        <v>8646</v>
      </c>
      <c r="Q2403" s="16" t="s">
        <v>20</v>
      </c>
      <c r="R2403" s="17" t="s">
        <v>8602</v>
      </c>
      <c r="S2403" s="121" t="s">
        <v>4008</v>
      </c>
      <c r="T2403" s="122"/>
      <c r="U2403" s="22" t="s">
        <v>3427</v>
      </c>
      <c r="V2403" s="123" t="s">
        <v>10781</v>
      </c>
      <c r="W2403" s="122">
        <v>80245</v>
      </c>
      <c r="X2403" s="221"/>
      <c r="Y2403" s="221"/>
      <c r="Z2403" s="221"/>
      <c r="AA2403" s="221"/>
      <c r="AB2403" s="223"/>
    </row>
    <row r="2404" spans="1:28" ht="17.100000000000001" customHeight="1" thickTop="1">
      <c r="A2404" s="226" t="s">
        <v>7978</v>
      </c>
      <c r="B2404" s="28">
        <v>45941</v>
      </c>
      <c r="C2404" s="25">
        <v>1271</v>
      </c>
      <c r="D2404" s="13" t="s">
        <v>2429</v>
      </c>
      <c r="E2404" s="228"/>
      <c r="F2404" s="109" t="s">
        <v>1916</v>
      </c>
      <c r="G2404" s="24" t="s">
        <v>2871</v>
      </c>
      <c r="H2404" s="230">
        <v>4.5</v>
      </c>
      <c r="I2404" s="220">
        <v>620000</v>
      </c>
      <c r="J2404" s="220">
        <f>I2404*0.1</f>
        <v>62000</v>
      </c>
      <c r="K2404" s="220">
        <f>14300+1430</f>
        <v>15730</v>
      </c>
      <c r="L2404" s="220">
        <v>18960</v>
      </c>
      <c r="M2404" s="220">
        <v>16500</v>
      </c>
      <c r="N2404" s="220">
        <f>SUM(I2404:M2405)</f>
        <v>733190</v>
      </c>
      <c r="O2404" s="224"/>
      <c r="P2404" s="110" t="s">
        <v>7890</v>
      </c>
      <c r="Q2404" s="15" t="s">
        <v>19</v>
      </c>
      <c r="R2404" s="205"/>
      <c r="S2404" s="189" t="s">
        <v>25383</v>
      </c>
      <c r="T2404" s="114"/>
      <c r="U2404" s="21"/>
      <c r="V2404" s="115">
        <v>45953</v>
      </c>
      <c r="W2404" s="116">
        <v>1303</v>
      </c>
      <c r="X2404" s="220">
        <v>770000</v>
      </c>
      <c r="Y2404" s="220">
        <f>X2404*0.1</f>
        <v>77000</v>
      </c>
      <c r="Z2404" s="220">
        <v>18960</v>
      </c>
      <c r="AA2404" s="220">
        <f>SUM(X2404:Z2404)</f>
        <v>865960</v>
      </c>
      <c r="AB2404" s="222">
        <v>45954</v>
      </c>
    </row>
    <row r="2405" spans="1:28" ht="17.100000000000001" customHeight="1" thickBot="1">
      <c r="A2405" s="227"/>
      <c r="B2405" s="27" t="s">
        <v>2472</v>
      </c>
      <c r="C2405" s="27">
        <v>82430</v>
      </c>
      <c r="D2405" s="14" t="s">
        <v>898</v>
      </c>
      <c r="E2405" s="229"/>
      <c r="F2405" s="117" t="s">
        <v>7889</v>
      </c>
      <c r="G2405" s="26">
        <v>37919</v>
      </c>
      <c r="H2405" s="231"/>
      <c r="I2405" s="221"/>
      <c r="J2405" s="221"/>
      <c r="K2405" s="221"/>
      <c r="L2405" s="221"/>
      <c r="M2405" s="221"/>
      <c r="N2405" s="221"/>
      <c r="O2405" s="225"/>
      <c r="P2405" s="118" t="s">
        <v>3355</v>
      </c>
      <c r="Q2405" s="16" t="s">
        <v>20</v>
      </c>
      <c r="R2405" s="17" t="s">
        <v>8783</v>
      </c>
      <c r="S2405" s="121" t="s">
        <v>1649</v>
      </c>
      <c r="T2405" s="122"/>
      <c r="U2405" s="22"/>
      <c r="V2405" s="123" t="s">
        <v>1735</v>
      </c>
      <c r="W2405" s="122">
        <v>144</v>
      </c>
      <c r="X2405" s="221"/>
      <c r="Y2405" s="221"/>
      <c r="Z2405" s="221"/>
      <c r="AA2405" s="221"/>
      <c r="AB2405" s="223"/>
    </row>
    <row r="2406" spans="1:28" ht="17.100000000000001" customHeight="1" thickTop="1">
      <c r="A2406" s="226" t="s">
        <v>7979</v>
      </c>
      <c r="B2406" s="28">
        <v>45941</v>
      </c>
      <c r="C2406" s="25">
        <v>1271</v>
      </c>
      <c r="D2406" s="13" t="s">
        <v>1837</v>
      </c>
      <c r="E2406" s="228"/>
      <c r="F2406" s="109" t="s">
        <v>7891</v>
      </c>
      <c r="G2406" s="24"/>
      <c r="H2406" s="230">
        <v>4.5</v>
      </c>
      <c r="I2406" s="220">
        <v>2210000</v>
      </c>
      <c r="J2406" s="220">
        <f>I2406*0.1</f>
        <v>221000</v>
      </c>
      <c r="K2406" s="220">
        <v>0</v>
      </c>
      <c r="L2406" s="220">
        <v>19090</v>
      </c>
      <c r="M2406" s="220">
        <v>16500</v>
      </c>
      <c r="N2406" s="220">
        <f>SUM(I2406:M2407)</f>
        <v>2466590</v>
      </c>
      <c r="O2406" s="224"/>
      <c r="P2406" s="110" t="s">
        <v>8644</v>
      </c>
      <c r="Q2406" s="15" t="s">
        <v>19</v>
      </c>
      <c r="R2406" s="205"/>
      <c r="S2406" s="189" t="s">
        <v>1271</v>
      </c>
      <c r="T2406" s="114"/>
      <c r="U2406" s="21"/>
      <c r="V2406" s="115">
        <v>45976</v>
      </c>
      <c r="W2406" s="116">
        <v>1276</v>
      </c>
      <c r="X2406" s="220">
        <v>2350000</v>
      </c>
      <c r="Y2406" s="220">
        <f>X2406*0.1</f>
        <v>235000</v>
      </c>
      <c r="Z2406" s="220">
        <v>19090</v>
      </c>
      <c r="AA2406" s="220">
        <f>SUM(X2406:Z2406)</f>
        <v>2604090</v>
      </c>
      <c r="AB2406" s="222">
        <v>45979</v>
      </c>
    </row>
    <row r="2407" spans="1:28" ht="17.100000000000001" customHeight="1" thickBot="1">
      <c r="A2407" s="227"/>
      <c r="B2407" s="27" t="s">
        <v>2472</v>
      </c>
      <c r="C2407" s="27">
        <v>82444</v>
      </c>
      <c r="D2407" s="14" t="s">
        <v>1584</v>
      </c>
      <c r="E2407" s="229"/>
      <c r="F2407" s="117" t="s">
        <v>7892</v>
      </c>
      <c r="G2407" s="26">
        <v>50254</v>
      </c>
      <c r="H2407" s="231"/>
      <c r="I2407" s="221"/>
      <c r="J2407" s="221"/>
      <c r="K2407" s="221"/>
      <c r="L2407" s="221"/>
      <c r="M2407" s="221"/>
      <c r="N2407" s="221"/>
      <c r="O2407" s="225"/>
      <c r="P2407" s="118" t="s">
        <v>2839</v>
      </c>
      <c r="Q2407" s="16" t="s">
        <v>20</v>
      </c>
      <c r="R2407" s="17" t="s">
        <v>8602</v>
      </c>
      <c r="S2407" s="121" t="s">
        <v>2053</v>
      </c>
      <c r="T2407" s="122"/>
      <c r="U2407" s="22"/>
      <c r="V2407" s="123" t="s">
        <v>10781</v>
      </c>
      <c r="W2407" s="122">
        <v>80033</v>
      </c>
      <c r="X2407" s="221"/>
      <c r="Y2407" s="221"/>
      <c r="Z2407" s="221"/>
      <c r="AA2407" s="221"/>
      <c r="AB2407" s="223"/>
    </row>
    <row r="2408" spans="1:28" ht="17.100000000000001" customHeight="1" thickTop="1">
      <c r="A2408" s="226" t="s">
        <v>7980</v>
      </c>
      <c r="B2408" s="28">
        <v>45941</v>
      </c>
      <c r="C2408" s="25">
        <v>1271</v>
      </c>
      <c r="D2408" s="13" t="s">
        <v>2712</v>
      </c>
      <c r="E2408" s="228"/>
      <c r="F2408" s="109" t="s">
        <v>1854</v>
      </c>
      <c r="G2408" s="24"/>
      <c r="H2408" s="230">
        <v>4.5</v>
      </c>
      <c r="I2408" s="220">
        <v>1650000</v>
      </c>
      <c r="J2408" s="220">
        <f>I2408*0.1</f>
        <v>165000</v>
      </c>
      <c r="K2408" s="220">
        <v>0</v>
      </c>
      <c r="L2408" s="220">
        <v>17600</v>
      </c>
      <c r="M2408" s="220">
        <v>23100</v>
      </c>
      <c r="N2408" s="220">
        <f>SUM(I2408:M2409)</f>
        <v>1855700</v>
      </c>
      <c r="O2408" s="224"/>
      <c r="P2408" s="110" t="s">
        <v>9364</v>
      </c>
      <c r="Q2408" s="15" t="s">
        <v>19</v>
      </c>
      <c r="R2408" s="205"/>
      <c r="S2408" s="189" t="s">
        <v>25524</v>
      </c>
      <c r="T2408" s="114"/>
      <c r="U2408" s="21"/>
      <c r="V2408" s="115">
        <v>45948</v>
      </c>
      <c r="W2408" s="116">
        <v>1272</v>
      </c>
      <c r="X2408" s="220">
        <v>1800000</v>
      </c>
      <c r="Y2408" s="220">
        <f>X2408*0.1</f>
        <v>180000</v>
      </c>
      <c r="Z2408" s="220">
        <v>17600</v>
      </c>
      <c r="AA2408" s="220">
        <f>SUM(X2408:Z2408)</f>
        <v>1997600</v>
      </c>
      <c r="AB2408" s="222">
        <v>45952</v>
      </c>
    </row>
    <row r="2409" spans="1:28" ht="17.100000000000001" customHeight="1" thickBot="1">
      <c r="A2409" s="227"/>
      <c r="B2409" s="27" t="s">
        <v>2472</v>
      </c>
      <c r="C2409" s="27">
        <v>82489</v>
      </c>
      <c r="D2409" s="14" t="s">
        <v>898</v>
      </c>
      <c r="E2409" s="229"/>
      <c r="F2409" s="117" t="s">
        <v>7968</v>
      </c>
      <c r="G2409" s="26">
        <v>16416</v>
      </c>
      <c r="H2409" s="231"/>
      <c r="I2409" s="221"/>
      <c r="J2409" s="221"/>
      <c r="K2409" s="221"/>
      <c r="L2409" s="221"/>
      <c r="M2409" s="221"/>
      <c r="N2409" s="221"/>
      <c r="O2409" s="225"/>
      <c r="P2409" s="118" t="s">
        <v>439</v>
      </c>
      <c r="Q2409" s="16" t="s">
        <v>20</v>
      </c>
      <c r="R2409" s="17" t="s">
        <v>8602</v>
      </c>
      <c r="S2409" s="121" t="s">
        <v>4798</v>
      </c>
      <c r="T2409" s="122"/>
      <c r="U2409" s="22"/>
      <c r="V2409" s="123" t="s">
        <v>6641</v>
      </c>
      <c r="W2409" s="122">
        <v>80048</v>
      </c>
      <c r="X2409" s="221"/>
      <c r="Y2409" s="221"/>
      <c r="Z2409" s="221"/>
      <c r="AA2409" s="221"/>
      <c r="AB2409" s="223"/>
    </row>
    <row r="2410" spans="1:28" ht="17.100000000000001" customHeight="1" thickTop="1">
      <c r="A2410" s="226" t="s">
        <v>7981</v>
      </c>
      <c r="B2410" s="28">
        <v>45941</v>
      </c>
      <c r="C2410" s="25">
        <v>1271</v>
      </c>
      <c r="D2410" s="13" t="s">
        <v>1754</v>
      </c>
      <c r="E2410" s="228"/>
      <c r="F2410" s="109" t="s">
        <v>7893</v>
      </c>
      <c r="G2410" s="24"/>
      <c r="H2410" s="230">
        <v>4.5</v>
      </c>
      <c r="I2410" s="220">
        <v>710000</v>
      </c>
      <c r="J2410" s="220">
        <f>I2410*0.1</f>
        <v>71000</v>
      </c>
      <c r="K2410" s="220">
        <v>0</v>
      </c>
      <c r="L2410" s="220">
        <v>17700</v>
      </c>
      <c r="M2410" s="220">
        <v>16500</v>
      </c>
      <c r="N2410" s="220">
        <f>SUM(I2410:M2411)</f>
        <v>815200</v>
      </c>
      <c r="O2410" s="224"/>
      <c r="P2410" s="110" t="s">
        <v>8645</v>
      </c>
      <c r="Q2410" s="15" t="s">
        <v>19</v>
      </c>
      <c r="R2410" s="205"/>
      <c r="S2410" s="189" t="s">
        <v>1361</v>
      </c>
      <c r="T2410" s="114"/>
      <c r="U2410" s="21"/>
      <c r="V2410" s="115">
        <v>45990</v>
      </c>
      <c r="W2410" s="116">
        <v>1278</v>
      </c>
      <c r="X2410" s="220">
        <v>850000</v>
      </c>
      <c r="Y2410" s="220">
        <f>X2410*0.1</f>
        <v>85000</v>
      </c>
      <c r="Z2410" s="220">
        <v>17700</v>
      </c>
      <c r="AA2410" s="220">
        <f>SUM(X2410:Z2410)</f>
        <v>952700</v>
      </c>
      <c r="AB2410" s="222">
        <v>45995</v>
      </c>
    </row>
    <row r="2411" spans="1:28" ht="17.100000000000001" customHeight="1" thickBot="1">
      <c r="A2411" s="227"/>
      <c r="B2411" s="27" t="s">
        <v>2472</v>
      </c>
      <c r="C2411" s="27">
        <v>82493</v>
      </c>
      <c r="D2411" s="14" t="s">
        <v>273</v>
      </c>
      <c r="E2411" s="229"/>
      <c r="F2411" s="117" t="s">
        <v>7894</v>
      </c>
      <c r="G2411" s="26">
        <v>59184</v>
      </c>
      <c r="H2411" s="231"/>
      <c r="I2411" s="221"/>
      <c r="J2411" s="221"/>
      <c r="K2411" s="221"/>
      <c r="L2411" s="221"/>
      <c r="M2411" s="221"/>
      <c r="N2411" s="221"/>
      <c r="O2411" s="225"/>
      <c r="P2411" s="118" t="s">
        <v>3355</v>
      </c>
      <c r="Q2411" s="16" t="s">
        <v>20</v>
      </c>
      <c r="R2411" s="17" t="s">
        <v>8602</v>
      </c>
      <c r="S2411" s="121" t="s">
        <v>1731</v>
      </c>
      <c r="T2411" s="122"/>
      <c r="U2411" s="22"/>
      <c r="V2411" s="123" t="s">
        <v>6642</v>
      </c>
      <c r="W2411" s="122">
        <v>80376</v>
      </c>
      <c r="X2411" s="221"/>
      <c r="Y2411" s="221"/>
      <c r="Z2411" s="221"/>
      <c r="AA2411" s="221"/>
      <c r="AB2411" s="223"/>
    </row>
    <row r="2412" spans="1:28" ht="17.100000000000001" customHeight="1" thickTop="1">
      <c r="A2412" s="226" t="s">
        <v>7982</v>
      </c>
      <c r="B2412" s="28">
        <v>45941</v>
      </c>
      <c r="C2412" s="25">
        <v>1271</v>
      </c>
      <c r="D2412" s="13" t="s">
        <v>1931</v>
      </c>
      <c r="E2412" s="228"/>
      <c r="F2412" s="109" t="s">
        <v>3110</v>
      </c>
      <c r="G2412" s="24" t="s">
        <v>3859</v>
      </c>
      <c r="H2412" s="230">
        <v>4.5</v>
      </c>
      <c r="I2412" s="220">
        <v>1550000</v>
      </c>
      <c r="J2412" s="220">
        <f>I2412*0.1</f>
        <v>155000</v>
      </c>
      <c r="K2412" s="220">
        <f>16400+1640</f>
        <v>18040</v>
      </c>
      <c r="L2412" s="220">
        <v>19440</v>
      </c>
      <c r="M2412" s="220">
        <v>16500</v>
      </c>
      <c r="N2412" s="220">
        <f>SUM(I2412:M2413)</f>
        <v>1758980</v>
      </c>
      <c r="O2412" s="224"/>
      <c r="P2412" s="110" t="s">
        <v>7896</v>
      </c>
      <c r="Q2412" s="15" t="s">
        <v>19</v>
      </c>
      <c r="R2412" s="205"/>
      <c r="S2412" s="189" t="s">
        <v>1271</v>
      </c>
      <c r="T2412" s="114"/>
      <c r="U2412" s="21"/>
      <c r="V2412" s="115">
        <v>45948</v>
      </c>
      <c r="W2412" s="116">
        <v>1272</v>
      </c>
      <c r="X2412" s="220">
        <v>1965000</v>
      </c>
      <c r="Y2412" s="220">
        <f>X2412*0.1</f>
        <v>196500</v>
      </c>
      <c r="Z2412" s="220">
        <v>19440</v>
      </c>
      <c r="AA2412" s="220">
        <f>SUM(X2412:Z2412)</f>
        <v>2180940</v>
      </c>
      <c r="AB2412" s="222">
        <v>45951</v>
      </c>
    </row>
    <row r="2413" spans="1:28" ht="17.100000000000001" customHeight="1" thickBot="1">
      <c r="A2413" s="227"/>
      <c r="B2413" s="27" t="s">
        <v>2472</v>
      </c>
      <c r="C2413" s="27">
        <v>82502</v>
      </c>
      <c r="D2413" s="14" t="s">
        <v>7895</v>
      </c>
      <c r="E2413" s="229"/>
      <c r="F2413" s="117" t="s">
        <v>8603</v>
      </c>
      <c r="G2413" s="26">
        <v>38348</v>
      </c>
      <c r="H2413" s="231"/>
      <c r="I2413" s="221"/>
      <c r="J2413" s="221"/>
      <c r="K2413" s="221"/>
      <c r="L2413" s="221"/>
      <c r="M2413" s="221"/>
      <c r="N2413" s="221"/>
      <c r="O2413" s="225"/>
      <c r="P2413" s="118" t="s">
        <v>8604</v>
      </c>
      <c r="Q2413" s="16" t="s">
        <v>20</v>
      </c>
      <c r="R2413" s="17" t="s">
        <v>8602</v>
      </c>
      <c r="S2413" s="121" t="s">
        <v>8605</v>
      </c>
      <c r="T2413" s="122"/>
      <c r="U2413" s="22"/>
      <c r="V2413" s="123" t="s">
        <v>2472</v>
      </c>
      <c r="W2413" s="122">
        <v>80022</v>
      </c>
      <c r="X2413" s="221"/>
      <c r="Y2413" s="221"/>
      <c r="Z2413" s="221"/>
      <c r="AA2413" s="221"/>
      <c r="AB2413" s="223"/>
    </row>
    <row r="2414" spans="1:28" ht="17.100000000000001" customHeight="1" thickTop="1">
      <c r="A2414" s="226" t="s">
        <v>7983</v>
      </c>
      <c r="B2414" s="28">
        <v>45941</v>
      </c>
      <c r="C2414" s="25">
        <v>1271</v>
      </c>
      <c r="D2414" s="13" t="s">
        <v>1598</v>
      </c>
      <c r="E2414" s="228"/>
      <c r="F2414" s="109" t="s">
        <v>4953</v>
      </c>
      <c r="G2414" s="24"/>
      <c r="H2414" s="232" t="s">
        <v>1705</v>
      </c>
      <c r="I2414" s="220">
        <v>134000</v>
      </c>
      <c r="J2414" s="220">
        <f>I2414*0.1</f>
        <v>13400</v>
      </c>
      <c r="K2414" s="220">
        <v>0</v>
      </c>
      <c r="L2414" s="220">
        <v>9790</v>
      </c>
      <c r="M2414" s="220">
        <v>8800</v>
      </c>
      <c r="N2414" s="220">
        <f>SUM(I2414:M2415)</f>
        <v>165990</v>
      </c>
      <c r="O2414" s="224"/>
      <c r="P2414" s="110" t="s">
        <v>8656</v>
      </c>
      <c r="Q2414" s="15" t="s">
        <v>19</v>
      </c>
      <c r="R2414" s="205"/>
      <c r="S2414" s="189" t="s">
        <v>25467</v>
      </c>
      <c r="T2414" s="114"/>
      <c r="U2414" s="21"/>
      <c r="V2414" s="115">
        <v>45955</v>
      </c>
      <c r="W2414" s="116">
        <v>1273</v>
      </c>
      <c r="X2414" s="220">
        <v>157000</v>
      </c>
      <c r="Y2414" s="220">
        <f>X2414*0.1</f>
        <v>15700</v>
      </c>
      <c r="Z2414" s="220">
        <v>9790</v>
      </c>
      <c r="AA2414" s="220">
        <f>SUM(X2414:Z2414)</f>
        <v>182490</v>
      </c>
      <c r="AB2414" s="222">
        <v>45958</v>
      </c>
    </row>
    <row r="2415" spans="1:28" ht="17.100000000000001" customHeight="1" thickBot="1">
      <c r="A2415" s="227"/>
      <c r="B2415" s="27" t="s">
        <v>2472</v>
      </c>
      <c r="C2415" s="27">
        <v>90178</v>
      </c>
      <c r="D2415" s="14" t="s">
        <v>3274</v>
      </c>
      <c r="E2415" s="229"/>
      <c r="F2415" s="117" t="s">
        <v>7897</v>
      </c>
      <c r="G2415" s="26">
        <v>118336</v>
      </c>
      <c r="H2415" s="231"/>
      <c r="I2415" s="221"/>
      <c r="J2415" s="221"/>
      <c r="K2415" s="221"/>
      <c r="L2415" s="221"/>
      <c r="M2415" s="221"/>
      <c r="N2415" s="221"/>
      <c r="O2415" s="225"/>
      <c r="P2415" s="118" t="s">
        <v>1972</v>
      </c>
      <c r="Q2415" s="16" t="s">
        <v>20</v>
      </c>
      <c r="R2415" s="17" t="s">
        <v>3295</v>
      </c>
      <c r="S2415" s="121" t="s">
        <v>8657</v>
      </c>
      <c r="T2415" s="122"/>
      <c r="U2415" s="22"/>
      <c r="V2415" s="123" t="s">
        <v>2472</v>
      </c>
      <c r="W2415" s="122">
        <v>63179</v>
      </c>
      <c r="X2415" s="221"/>
      <c r="Y2415" s="221"/>
      <c r="Z2415" s="221"/>
      <c r="AA2415" s="221"/>
      <c r="AB2415" s="223"/>
    </row>
    <row r="2416" spans="1:28" ht="17.100000000000001" customHeight="1" thickTop="1">
      <c r="A2416" s="226" t="s">
        <v>7984</v>
      </c>
      <c r="B2416" s="28">
        <v>45943</v>
      </c>
      <c r="C2416" s="25"/>
      <c r="D2416" s="13" t="s">
        <v>1615</v>
      </c>
      <c r="E2416" s="228"/>
      <c r="F2416" s="109" t="s">
        <v>7385</v>
      </c>
      <c r="G2416" s="24"/>
      <c r="H2416" s="230">
        <v>4</v>
      </c>
      <c r="I2416" s="220">
        <v>330000</v>
      </c>
      <c r="J2416" s="220">
        <f>I2416*0.1</f>
        <v>33000</v>
      </c>
      <c r="K2416" s="220">
        <v>0</v>
      </c>
      <c r="L2416" s="220">
        <v>17700</v>
      </c>
      <c r="M2416" s="220">
        <v>14850</v>
      </c>
      <c r="N2416" s="220">
        <f>SUM(I2416:M2417)</f>
        <v>395550</v>
      </c>
      <c r="O2416" s="224"/>
      <c r="P2416" s="110" t="s">
        <v>8529</v>
      </c>
      <c r="Q2416" s="15" t="s">
        <v>19</v>
      </c>
      <c r="R2416" s="205"/>
      <c r="S2416" s="189"/>
      <c r="T2416" s="114"/>
      <c r="U2416" s="21"/>
      <c r="V2416" s="115">
        <v>45948</v>
      </c>
      <c r="W2416" s="116">
        <v>1272</v>
      </c>
      <c r="X2416" s="220">
        <v>450000</v>
      </c>
      <c r="Y2416" s="220">
        <f>X2416*0.1</f>
        <v>45000</v>
      </c>
      <c r="Z2416" s="220">
        <v>17700</v>
      </c>
      <c r="AA2416" s="220">
        <f>SUM(X2416:Z2416)</f>
        <v>512700</v>
      </c>
      <c r="AB2416" s="222">
        <v>45951</v>
      </c>
    </row>
    <row r="2417" spans="1:28" ht="17.100000000000001" customHeight="1" thickBot="1">
      <c r="A2417" s="227"/>
      <c r="B2417" s="27" t="s">
        <v>4777</v>
      </c>
      <c r="C2417" s="27">
        <v>55224</v>
      </c>
      <c r="D2417" s="14" t="s">
        <v>1568</v>
      </c>
      <c r="E2417" s="229"/>
      <c r="F2417" s="117" t="s">
        <v>8527</v>
      </c>
      <c r="G2417" s="26">
        <v>43726</v>
      </c>
      <c r="H2417" s="231"/>
      <c r="I2417" s="221"/>
      <c r="J2417" s="221"/>
      <c r="K2417" s="221"/>
      <c r="L2417" s="221"/>
      <c r="M2417" s="221"/>
      <c r="N2417" s="221"/>
      <c r="O2417" s="225"/>
      <c r="P2417" s="118" t="s">
        <v>4094</v>
      </c>
      <c r="Q2417" s="16" t="s">
        <v>20</v>
      </c>
      <c r="R2417" s="17" t="s">
        <v>2143</v>
      </c>
      <c r="S2417" s="121" t="s">
        <v>7720</v>
      </c>
      <c r="T2417" s="122"/>
      <c r="U2417" s="22"/>
      <c r="V2417" s="123" t="s">
        <v>2472</v>
      </c>
      <c r="W2417" s="122">
        <v>80095</v>
      </c>
      <c r="X2417" s="221"/>
      <c r="Y2417" s="221"/>
      <c r="Z2417" s="221"/>
      <c r="AA2417" s="221"/>
      <c r="AB2417" s="223"/>
    </row>
    <row r="2418" spans="1:28" ht="17.100000000000001" customHeight="1" thickTop="1">
      <c r="A2418" s="226" t="s">
        <v>7985</v>
      </c>
      <c r="B2418" s="28">
        <v>45943</v>
      </c>
      <c r="C2418" s="25"/>
      <c r="D2418" s="13" t="s">
        <v>4050</v>
      </c>
      <c r="E2418" s="228"/>
      <c r="F2418" s="109" t="s">
        <v>7988</v>
      </c>
      <c r="G2418" s="24" t="s">
        <v>4120</v>
      </c>
      <c r="H2418" s="230">
        <v>4</v>
      </c>
      <c r="I2418" s="220">
        <v>572000</v>
      </c>
      <c r="J2418" s="220">
        <f>I2418*0.1</f>
        <v>57200</v>
      </c>
      <c r="K2418" s="220">
        <f>12200+1220</f>
        <v>13420</v>
      </c>
      <c r="L2418" s="220">
        <v>12470</v>
      </c>
      <c r="M2418" s="220">
        <v>14850</v>
      </c>
      <c r="N2418" s="220">
        <f>SUM(I2418:M2419)</f>
        <v>669940</v>
      </c>
      <c r="O2418" s="224"/>
      <c r="P2418" s="110" t="s">
        <v>7989</v>
      </c>
      <c r="Q2418" s="15" t="s">
        <v>19</v>
      </c>
      <c r="R2418" s="205"/>
      <c r="S2418" s="189"/>
      <c r="T2418" s="114"/>
      <c r="U2418" s="21" t="s">
        <v>10186</v>
      </c>
      <c r="V2418" s="115">
        <v>45997</v>
      </c>
      <c r="W2418" s="116">
        <v>1279</v>
      </c>
      <c r="X2418" s="220">
        <v>615000</v>
      </c>
      <c r="Y2418" s="220">
        <f>X2418*0.1</f>
        <v>61500</v>
      </c>
      <c r="Z2418" s="220">
        <v>12470</v>
      </c>
      <c r="AA2418" s="220">
        <f>SUM(X2418:Z2418)</f>
        <v>688970</v>
      </c>
      <c r="AB2418" s="222">
        <v>46000</v>
      </c>
    </row>
    <row r="2419" spans="1:28" ht="17.100000000000001" customHeight="1" thickBot="1">
      <c r="A2419" s="227"/>
      <c r="B2419" s="27" t="s">
        <v>2727</v>
      </c>
      <c r="C2419" s="27">
        <v>80237</v>
      </c>
      <c r="D2419" s="14" t="s">
        <v>1548</v>
      </c>
      <c r="E2419" s="229"/>
      <c r="F2419" s="117" t="s">
        <v>8528</v>
      </c>
      <c r="G2419" s="26">
        <v>34038</v>
      </c>
      <c r="H2419" s="231"/>
      <c r="I2419" s="221"/>
      <c r="J2419" s="221"/>
      <c r="K2419" s="221"/>
      <c r="L2419" s="221"/>
      <c r="M2419" s="221"/>
      <c r="N2419" s="221"/>
      <c r="O2419" s="225"/>
      <c r="P2419" s="118" t="s">
        <v>4762</v>
      </c>
      <c r="Q2419" s="16" t="s">
        <v>20</v>
      </c>
      <c r="R2419" s="17" t="s">
        <v>2143</v>
      </c>
      <c r="S2419" s="121" t="s">
        <v>8652</v>
      </c>
      <c r="T2419" s="122"/>
      <c r="U2419" s="22"/>
      <c r="V2419" s="123" t="s">
        <v>2472</v>
      </c>
      <c r="W2419" s="122">
        <v>80084</v>
      </c>
      <c r="X2419" s="221"/>
      <c r="Y2419" s="221"/>
      <c r="Z2419" s="221"/>
      <c r="AA2419" s="221"/>
      <c r="AB2419" s="223"/>
    </row>
    <row r="2420" spans="1:28" ht="17.100000000000001" customHeight="1" thickTop="1">
      <c r="A2420" s="226" t="s">
        <v>7986</v>
      </c>
      <c r="B2420" s="28">
        <v>45943</v>
      </c>
      <c r="C2420" s="25"/>
      <c r="D2420" s="13" t="s">
        <v>1615</v>
      </c>
      <c r="E2420" s="228"/>
      <c r="F2420" s="109" t="s">
        <v>7990</v>
      </c>
      <c r="G2420" s="24"/>
      <c r="H2420" s="230">
        <v>4</v>
      </c>
      <c r="I2420" s="220">
        <v>276000</v>
      </c>
      <c r="J2420" s="220">
        <f>I2420*0.1</f>
        <v>27600</v>
      </c>
      <c r="K2420" s="220">
        <v>0</v>
      </c>
      <c r="L2420" s="220">
        <v>19150</v>
      </c>
      <c r="M2420" s="220">
        <v>14850</v>
      </c>
      <c r="N2420" s="220">
        <f>SUM(I2420:M2421)</f>
        <v>337600</v>
      </c>
      <c r="O2420" s="224"/>
      <c r="P2420" s="110" t="s">
        <v>8649</v>
      </c>
      <c r="Q2420" s="15" t="s">
        <v>19</v>
      </c>
      <c r="R2420" s="205"/>
      <c r="S2420" s="189"/>
      <c r="T2420" s="114"/>
      <c r="U2420" s="21"/>
      <c r="V2420" s="115">
        <v>45948</v>
      </c>
      <c r="W2420" s="116">
        <v>1272</v>
      </c>
      <c r="X2420" s="220">
        <v>296000</v>
      </c>
      <c r="Y2420" s="220">
        <f>X2420*0.1</f>
        <v>29600</v>
      </c>
      <c r="Z2420" s="220">
        <v>19150</v>
      </c>
      <c r="AA2420" s="220">
        <f>SUM(X2420:Z2420)</f>
        <v>344750</v>
      </c>
      <c r="AB2420" s="222">
        <v>45952</v>
      </c>
    </row>
    <row r="2421" spans="1:28" ht="16.5" customHeight="1" thickBot="1">
      <c r="A2421" s="227"/>
      <c r="B2421" s="27" t="s">
        <v>2727</v>
      </c>
      <c r="C2421" s="27">
        <v>80265</v>
      </c>
      <c r="D2421" s="14" t="s">
        <v>1584</v>
      </c>
      <c r="E2421" s="229"/>
      <c r="F2421" s="117" t="s">
        <v>8576</v>
      </c>
      <c r="G2421" s="26">
        <v>94115</v>
      </c>
      <c r="H2421" s="231"/>
      <c r="I2421" s="221"/>
      <c r="J2421" s="221"/>
      <c r="K2421" s="221"/>
      <c r="L2421" s="221"/>
      <c r="M2421" s="221"/>
      <c r="N2421" s="221"/>
      <c r="O2421" s="225"/>
      <c r="P2421" s="118" t="s">
        <v>8650</v>
      </c>
      <c r="Q2421" s="16" t="s">
        <v>20</v>
      </c>
      <c r="R2421" s="17" t="s">
        <v>3295</v>
      </c>
      <c r="S2421" s="121" t="s">
        <v>8651</v>
      </c>
      <c r="T2421" s="122"/>
      <c r="U2421" s="22"/>
      <c r="V2421" s="123" t="s">
        <v>2472</v>
      </c>
      <c r="W2421" s="122">
        <v>53128</v>
      </c>
      <c r="X2421" s="221"/>
      <c r="Y2421" s="221"/>
      <c r="Z2421" s="221"/>
      <c r="AA2421" s="221"/>
      <c r="AB2421" s="223"/>
    </row>
    <row r="2422" spans="1:28" ht="17.100000000000001" customHeight="1" thickTop="1">
      <c r="A2422" s="226" t="s">
        <v>7987</v>
      </c>
      <c r="B2422" s="28">
        <v>45943</v>
      </c>
      <c r="C2422" s="25">
        <v>2064</v>
      </c>
      <c r="D2422" s="13" t="s">
        <v>1837</v>
      </c>
      <c r="E2422" s="228"/>
      <c r="F2422" s="109" t="s">
        <v>8009</v>
      </c>
      <c r="G2422" s="24"/>
      <c r="H2422" s="230">
        <v>4</v>
      </c>
      <c r="I2422" s="220">
        <v>1162000</v>
      </c>
      <c r="J2422" s="220">
        <f>I2422*0.1</f>
        <v>116200</v>
      </c>
      <c r="K2422" s="220">
        <v>0</v>
      </c>
      <c r="L2422" s="220">
        <v>20730</v>
      </c>
      <c r="M2422" s="220">
        <v>11000</v>
      </c>
      <c r="N2422" s="220">
        <f>SUM(I2422:M2423)</f>
        <v>1309930</v>
      </c>
      <c r="O2422" s="224"/>
      <c r="P2422" s="110" t="s">
        <v>8582</v>
      </c>
      <c r="Q2422" s="15" t="s">
        <v>19</v>
      </c>
      <c r="R2422" s="205"/>
      <c r="S2422" s="189" t="s">
        <v>1189</v>
      </c>
      <c r="T2422" s="114"/>
      <c r="U2422" s="21"/>
      <c r="V2422" s="115">
        <v>45948</v>
      </c>
      <c r="W2422" s="116">
        <v>1272</v>
      </c>
      <c r="X2422" s="220">
        <v>1645000</v>
      </c>
      <c r="Y2422" s="220">
        <f>X2422*0.1</f>
        <v>164500</v>
      </c>
      <c r="Z2422" s="220">
        <v>20730</v>
      </c>
      <c r="AA2422" s="220">
        <f>SUM(X2422:Z2422)</f>
        <v>1830230</v>
      </c>
      <c r="AB2422" s="222">
        <v>45951</v>
      </c>
    </row>
    <row r="2423" spans="1:28" ht="17.100000000000001" customHeight="1" thickBot="1">
      <c r="A2423" s="227"/>
      <c r="B2423" s="27" t="s">
        <v>82</v>
      </c>
      <c r="C2423" s="27">
        <v>11001</v>
      </c>
      <c r="D2423" s="14" t="s">
        <v>1568</v>
      </c>
      <c r="E2423" s="229"/>
      <c r="F2423" s="117" t="s">
        <v>8000</v>
      </c>
      <c r="G2423" s="26">
        <v>72944</v>
      </c>
      <c r="H2423" s="231"/>
      <c r="I2423" s="221"/>
      <c r="J2423" s="221"/>
      <c r="K2423" s="221"/>
      <c r="L2423" s="221"/>
      <c r="M2423" s="221"/>
      <c r="N2423" s="221"/>
      <c r="O2423" s="225"/>
      <c r="P2423" s="118" t="s">
        <v>4389</v>
      </c>
      <c r="Q2423" s="16" t="s">
        <v>20</v>
      </c>
      <c r="R2423" s="17" t="s">
        <v>2143</v>
      </c>
      <c r="S2423" s="121" t="s">
        <v>3071</v>
      </c>
      <c r="T2423" s="122"/>
      <c r="U2423" s="22"/>
      <c r="V2423" s="123" t="s">
        <v>2472</v>
      </c>
      <c r="W2423" s="122">
        <v>80097</v>
      </c>
      <c r="X2423" s="221"/>
      <c r="Y2423" s="221"/>
      <c r="Z2423" s="221"/>
      <c r="AA2423" s="221"/>
      <c r="AB2423" s="223"/>
    </row>
    <row r="2424" spans="1:28" ht="17.100000000000001" customHeight="1" thickTop="1">
      <c r="A2424" s="226" t="s">
        <v>7991</v>
      </c>
      <c r="B2424" s="28">
        <v>45943</v>
      </c>
      <c r="C2424" s="25">
        <v>2064</v>
      </c>
      <c r="D2424" s="13" t="s">
        <v>2712</v>
      </c>
      <c r="E2424" s="228"/>
      <c r="F2424" s="109" t="s">
        <v>8010</v>
      </c>
      <c r="G2424" s="24"/>
      <c r="H2424" s="230">
        <v>4</v>
      </c>
      <c r="I2424" s="220">
        <v>710000</v>
      </c>
      <c r="J2424" s="220">
        <f>I2424*0.1</f>
        <v>71000</v>
      </c>
      <c r="K2424" s="220">
        <v>0</v>
      </c>
      <c r="L2424" s="220">
        <v>6470</v>
      </c>
      <c r="M2424" s="220">
        <v>20900</v>
      </c>
      <c r="N2424" s="220">
        <f>SUM(I2424:M2425)</f>
        <v>808370</v>
      </c>
      <c r="O2424" s="224"/>
      <c r="P2424" s="110" t="s">
        <v>8581</v>
      </c>
      <c r="Q2424" s="15" t="s">
        <v>19</v>
      </c>
      <c r="R2424" s="205"/>
      <c r="S2424" s="189"/>
      <c r="T2424" s="114"/>
      <c r="U2424" s="21"/>
      <c r="V2424" s="115">
        <v>45990</v>
      </c>
      <c r="W2424" s="116">
        <v>1278</v>
      </c>
      <c r="X2424" s="220">
        <v>750000</v>
      </c>
      <c r="Y2424" s="220">
        <f>X2424*0.1</f>
        <v>75000</v>
      </c>
      <c r="Z2424" s="220">
        <v>6470</v>
      </c>
      <c r="AA2424" s="220">
        <f>SUM(X2424:Z2424)</f>
        <v>831470</v>
      </c>
      <c r="AB2424" s="222">
        <v>45995</v>
      </c>
    </row>
    <row r="2425" spans="1:28" ht="17.100000000000001" customHeight="1" thickBot="1">
      <c r="A2425" s="227"/>
      <c r="B2425" s="27" t="s">
        <v>82</v>
      </c>
      <c r="C2425" s="27">
        <v>25104</v>
      </c>
      <c r="D2425" s="14" t="s">
        <v>1584</v>
      </c>
      <c r="E2425" s="229"/>
      <c r="F2425" s="117" t="s">
        <v>8001</v>
      </c>
      <c r="G2425" s="26">
        <v>38624</v>
      </c>
      <c r="H2425" s="231"/>
      <c r="I2425" s="221"/>
      <c r="J2425" s="221"/>
      <c r="K2425" s="221"/>
      <c r="L2425" s="221"/>
      <c r="M2425" s="221"/>
      <c r="N2425" s="221"/>
      <c r="O2425" s="225"/>
      <c r="P2425" s="118" t="s">
        <v>2446</v>
      </c>
      <c r="Q2425" s="16" t="s">
        <v>20</v>
      </c>
      <c r="R2425" s="17" t="s">
        <v>2143</v>
      </c>
      <c r="S2425" s="121" t="s">
        <v>7720</v>
      </c>
      <c r="T2425" s="122"/>
      <c r="U2425" s="22"/>
      <c r="V2425" s="123" t="s">
        <v>6641</v>
      </c>
      <c r="W2425" s="122">
        <v>60122</v>
      </c>
      <c r="X2425" s="221"/>
      <c r="Y2425" s="221"/>
      <c r="Z2425" s="221"/>
      <c r="AA2425" s="221"/>
      <c r="AB2425" s="223"/>
    </row>
    <row r="2426" spans="1:28" ht="17.100000000000001" customHeight="1" thickTop="1">
      <c r="A2426" s="226" t="s">
        <v>7992</v>
      </c>
      <c r="B2426" s="28">
        <v>45943</v>
      </c>
      <c r="C2426" s="25">
        <v>2064</v>
      </c>
      <c r="D2426" s="13" t="s">
        <v>2113</v>
      </c>
      <c r="E2426" s="228"/>
      <c r="F2426" s="109" t="s">
        <v>8011</v>
      </c>
      <c r="G2426" s="24" t="s">
        <v>4025</v>
      </c>
      <c r="H2426" s="230">
        <v>4.5</v>
      </c>
      <c r="I2426" s="220">
        <v>830000</v>
      </c>
      <c r="J2426" s="220">
        <f>I2426*0.1</f>
        <v>83000</v>
      </c>
      <c r="K2426" s="220">
        <f>16400+1640</f>
        <v>18040</v>
      </c>
      <c r="L2426" s="220">
        <v>15950</v>
      </c>
      <c r="M2426" s="220">
        <v>17600</v>
      </c>
      <c r="N2426" s="220">
        <f>SUM(I2426:M2427)</f>
        <v>964590</v>
      </c>
      <c r="O2426" s="224"/>
      <c r="P2426" s="110" t="s">
        <v>8012</v>
      </c>
      <c r="Q2426" s="15" t="s">
        <v>19</v>
      </c>
      <c r="R2426" s="205"/>
      <c r="S2426" s="189" t="s">
        <v>1271</v>
      </c>
      <c r="T2426" s="114"/>
      <c r="U2426" s="21"/>
      <c r="V2426" s="115">
        <v>45962</v>
      </c>
      <c r="W2426" s="116">
        <v>1274</v>
      </c>
      <c r="X2426" s="220">
        <v>1040000</v>
      </c>
      <c r="Y2426" s="220">
        <f>X2426*0.1</f>
        <v>104000</v>
      </c>
      <c r="Z2426" s="220">
        <v>15920</v>
      </c>
      <c r="AA2426" s="220">
        <f>SUM(X2426:Z2426)</f>
        <v>1159920</v>
      </c>
      <c r="AB2426" s="222">
        <v>45965</v>
      </c>
    </row>
    <row r="2427" spans="1:28" ht="17.100000000000001" customHeight="1" thickBot="1">
      <c r="A2427" s="227"/>
      <c r="B2427" s="27" t="s">
        <v>82</v>
      </c>
      <c r="C2427" s="27">
        <v>31001</v>
      </c>
      <c r="D2427" s="14" t="s">
        <v>1710</v>
      </c>
      <c r="E2427" s="229"/>
      <c r="F2427" s="117" t="s">
        <v>8002</v>
      </c>
      <c r="G2427" s="26">
        <v>40882</v>
      </c>
      <c r="H2427" s="231"/>
      <c r="I2427" s="221"/>
      <c r="J2427" s="221"/>
      <c r="K2427" s="221"/>
      <c r="L2427" s="221"/>
      <c r="M2427" s="221"/>
      <c r="N2427" s="221"/>
      <c r="O2427" s="225"/>
      <c r="P2427" s="118" t="s">
        <v>8641</v>
      </c>
      <c r="Q2427" s="16" t="s">
        <v>20</v>
      </c>
      <c r="R2427" s="17" t="s">
        <v>8602</v>
      </c>
      <c r="S2427" s="121" t="s">
        <v>8605</v>
      </c>
      <c r="T2427" s="122"/>
      <c r="U2427" s="22"/>
      <c r="V2427" s="123" t="s">
        <v>2472</v>
      </c>
      <c r="W2427" s="122">
        <v>80079</v>
      </c>
      <c r="X2427" s="221"/>
      <c r="Y2427" s="221"/>
      <c r="Z2427" s="221"/>
      <c r="AA2427" s="221"/>
      <c r="AB2427" s="223"/>
    </row>
    <row r="2428" spans="1:28" ht="17.100000000000001" customHeight="1" thickTop="1">
      <c r="A2428" s="226" t="s">
        <v>7993</v>
      </c>
      <c r="B2428" s="28">
        <v>45943</v>
      </c>
      <c r="C2428" s="25">
        <v>2064</v>
      </c>
      <c r="D2428" s="13" t="s">
        <v>1915</v>
      </c>
      <c r="E2428" s="228"/>
      <c r="F2428" s="109" t="s">
        <v>8013</v>
      </c>
      <c r="G2428" s="24"/>
      <c r="H2428" s="230">
        <v>4.5</v>
      </c>
      <c r="I2428" s="220">
        <v>748000</v>
      </c>
      <c r="J2428" s="220">
        <f>I2428*0.1</f>
        <v>74800</v>
      </c>
      <c r="K2428" s="220">
        <v>0</v>
      </c>
      <c r="L2428" s="220">
        <v>11850</v>
      </c>
      <c r="M2428" s="220">
        <v>11000</v>
      </c>
      <c r="N2428" s="220">
        <f>SUM(I2428:M2429)</f>
        <v>845650</v>
      </c>
      <c r="O2428" s="224"/>
      <c r="P2428" s="110" t="s">
        <v>8315</v>
      </c>
      <c r="Q2428" s="15" t="s">
        <v>19</v>
      </c>
      <c r="R2428" s="205"/>
      <c r="S2428" s="189" t="s">
        <v>1361</v>
      </c>
      <c r="T2428" s="114"/>
      <c r="U2428" s="21"/>
      <c r="V2428" s="115">
        <v>45955</v>
      </c>
      <c r="W2428" s="116">
        <v>1273</v>
      </c>
      <c r="X2428" s="220">
        <v>830000</v>
      </c>
      <c r="Y2428" s="220">
        <f>X2428*0.1</f>
        <v>83000</v>
      </c>
      <c r="Z2428" s="220">
        <v>11850</v>
      </c>
      <c r="AA2428" s="220">
        <f>SUM(X2428:Z2428)</f>
        <v>924850</v>
      </c>
      <c r="AB2428" s="222">
        <v>45958</v>
      </c>
    </row>
    <row r="2429" spans="1:28" ht="17.100000000000001" customHeight="1" thickBot="1">
      <c r="A2429" s="227"/>
      <c r="B2429" s="27" t="s">
        <v>82</v>
      </c>
      <c r="C2429" s="27">
        <v>33504</v>
      </c>
      <c r="D2429" s="14" t="s">
        <v>898</v>
      </c>
      <c r="E2429" s="229"/>
      <c r="F2429" s="117" t="s">
        <v>8003</v>
      </c>
      <c r="G2429" s="26">
        <v>43184</v>
      </c>
      <c r="H2429" s="231"/>
      <c r="I2429" s="221"/>
      <c r="J2429" s="221"/>
      <c r="K2429" s="221"/>
      <c r="L2429" s="221"/>
      <c r="M2429" s="221"/>
      <c r="N2429" s="221"/>
      <c r="O2429" s="225"/>
      <c r="P2429" s="118" t="s">
        <v>4735</v>
      </c>
      <c r="Q2429" s="16" t="s">
        <v>20</v>
      </c>
      <c r="R2429" s="17" t="s">
        <v>1630</v>
      </c>
      <c r="S2429" s="121" t="s">
        <v>4991</v>
      </c>
      <c r="T2429" s="122"/>
      <c r="U2429" s="22"/>
      <c r="V2429" s="123" t="s">
        <v>2472</v>
      </c>
      <c r="W2429" s="122">
        <v>80019</v>
      </c>
      <c r="X2429" s="221"/>
      <c r="Y2429" s="221"/>
      <c r="Z2429" s="221"/>
      <c r="AA2429" s="221"/>
      <c r="AB2429" s="223"/>
    </row>
    <row r="2430" spans="1:28" ht="17.100000000000001" customHeight="1" thickTop="1">
      <c r="A2430" s="226" t="s">
        <v>7994</v>
      </c>
      <c r="B2430" s="28">
        <v>45943</v>
      </c>
      <c r="C2430" s="25">
        <v>2064</v>
      </c>
      <c r="D2430" s="13" t="s">
        <v>1531</v>
      </c>
      <c r="E2430" s="228"/>
      <c r="F2430" s="109" t="s">
        <v>8014</v>
      </c>
      <c r="G2430" s="24"/>
      <c r="H2430" s="230">
        <v>4.5</v>
      </c>
      <c r="I2430" s="220">
        <v>1445000</v>
      </c>
      <c r="J2430" s="220">
        <f>I2430*0.1</f>
        <v>144500</v>
      </c>
      <c r="K2430" s="220">
        <v>0</v>
      </c>
      <c r="L2430" s="220">
        <v>16640</v>
      </c>
      <c r="M2430" s="220">
        <v>11000</v>
      </c>
      <c r="N2430" s="220">
        <f>SUM(I2430:M2431)</f>
        <v>1617140</v>
      </c>
      <c r="O2430" s="224"/>
      <c r="P2430" s="110" t="s">
        <v>8387</v>
      </c>
      <c r="Q2430" s="15" t="s">
        <v>19</v>
      </c>
      <c r="R2430" s="205"/>
      <c r="S2430" s="189" t="s">
        <v>1271</v>
      </c>
      <c r="T2430" s="114"/>
      <c r="U2430" s="21"/>
      <c r="V2430" s="115">
        <v>45976</v>
      </c>
      <c r="W2430" s="116">
        <v>1276</v>
      </c>
      <c r="X2430" s="220">
        <v>1575000</v>
      </c>
      <c r="Y2430" s="220">
        <f>X2430*0.1</f>
        <v>157500</v>
      </c>
      <c r="Z2430" s="220">
        <v>16640</v>
      </c>
      <c r="AA2430" s="220">
        <f>SUM(X2430:Z2430)</f>
        <v>1749140</v>
      </c>
      <c r="AB2430" s="222">
        <v>45979</v>
      </c>
    </row>
    <row r="2431" spans="1:28" ht="17.100000000000001" customHeight="1" thickBot="1">
      <c r="A2431" s="227"/>
      <c r="B2431" s="27" t="s">
        <v>82</v>
      </c>
      <c r="C2431" s="27">
        <v>33517</v>
      </c>
      <c r="D2431" s="14" t="s">
        <v>2559</v>
      </c>
      <c r="E2431" s="229"/>
      <c r="F2431" s="117" t="s">
        <v>8004</v>
      </c>
      <c r="G2431" s="26">
        <v>36000</v>
      </c>
      <c r="H2431" s="231"/>
      <c r="I2431" s="221"/>
      <c r="J2431" s="221"/>
      <c r="K2431" s="221"/>
      <c r="L2431" s="221"/>
      <c r="M2431" s="221"/>
      <c r="N2431" s="221"/>
      <c r="O2431" s="225"/>
      <c r="P2431" s="118" t="s">
        <v>4735</v>
      </c>
      <c r="Q2431" s="16" t="s">
        <v>20</v>
      </c>
      <c r="R2431" s="17" t="s">
        <v>1639</v>
      </c>
      <c r="S2431" s="126" t="s">
        <v>3686</v>
      </c>
      <c r="T2431" s="122"/>
      <c r="U2431" s="22"/>
      <c r="V2431" s="123" t="s">
        <v>10782</v>
      </c>
      <c r="W2431" s="122">
        <v>80086</v>
      </c>
      <c r="X2431" s="221"/>
      <c r="Y2431" s="221"/>
      <c r="Z2431" s="221"/>
      <c r="AA2431" s="221"/>
      <c r="AB2431" s="223"/>
    </row>
    <row r="2432" spans="1:28" ht="17.100000000000001" customHeight="1" thickTop="1">
      <c r="A2432" s="226" t="s">
        <v>7995</v>
      </c>
      <c r="B2432" s="28">
        <v>45943</v>
      </c>
      <c r="C2432" s="25">
        <v>2064</v>
      </c>
      <c r="D2432" s="13" t="s">
        <v>1704</v>
      </c>
      <c r="E2432" s="228"/>
      <c r="F2432" s="109" t="s">
        <v>2685</v>
      </c>
      <c r="G2432" s="24" t="s">
        <v>2487</v>
      </c>
      <c r="H2432" s="230">
        <v>4</v>
      </c>
      <c r="I2432" s="220">
        <v>2220000</v>
      </c>
      <c r="J2432" s="220">
        <f>I2432*0.1</f>
        <v>222000</v>
      </c>
      <c r="K2432" s="220">
        <f>15000+1500</f>
        <v>16500</v>
      </c>
      <c r="L2432" s="220">
        <v>18170</v>
      </c>
      <c r="M2432" s="220">
        <v>11000</v>
      </c>
      <c r="N2432" s="220">
        <f>SUM(I2432:M2433)</f>
        <v>2487670</v>
      </c>
      <c r="O2432" s="224"/>
      <c r="P2432" s="110" t="s">
        <v>8246</v>
      </c>
      <c r="Q2432" s="15" t="s">
        <v>19</v>
      </c>
      <c r="R2432" s="205"/>
      <c r="S2432" s="189" t="s">
        <v>1271</v>
      </c>
      <c r="T2432" s="114"/>
      <c r="U2432" s="21"/>
      <c r="V2432" s="115">
        <v>45962</v>
      </c>
      <c r="W2432" s="116">
        <v>1274</v>
      </c>
      <c r="X2432" s="220">
        <v>2415000</v>
      </c>
      <c r="Y2432" s="220">
        <f>X2432*0.1</f>
        <v>241500</v>
      </c>
      <c r="Z2432" s="220">
        <v>18170</v>
      </c>
      <c r="AA2432" s="220">
        <f>SUM(X2432:Z2432)</f>
        <v>2674670</v>
      </c>
      <c r="AB2432" s="222">
        <v>45965</v>
      </c>
    </row>
    <row r="2433" spans="1:28" ht="17.100000000000001" customHeight="1" thickBot="1">
      <c r="A2433" s="227"/>
      <c r="B2433" s="27" t="s">
        <v>82</v>
      </c>
      <c r="C2433" s="27">
        <v>34509</v>
      </c>
      <c r="D2433" s="14" t="s">
        <v>1584</v>
      </c>
      <c r="E2433" s="229"/>
      <c r="F2433" s="117" t="s">
        <v>8005</v>
      </c>
      <c r="G2433" s="26">
        <v>34518</v>
      </c>
      <c r="H2433" s="231"/>
      <c r="I2433" s="221"/>
      <c r="J2433" s="221"/>
      <c r="K2433" s="221"/>
      <c r="L2433" s="221"/>
      <c r="M2433" s="221"/>
      <c r="N2433" s="221"/>
      <c r="O2433" s="225"/>
      <c r="P2433" s="118" t="s">
        <v>8247</v>
      </c>
      <c r="Q2433" s="16" t="s">
        <v>20</v>
      </c>
      <c r="R2433" s="17" t="s">
        <v>1630</v>
      </c>
      <c r="S2433" s="121" t="s">
        <v>9618</v>
      </c>
      <c r="T2433" s="122"/>
      <c r="U2433" s="22"/>
      <c r="V2433" s="123" t="s">
        <v>2472</v>
      </c>
      <c r="W2433" s="122">
        <v>80344</v>
      </c>
      <c r="X2433" s="221"/>
      <c r="Y2433" s="221"/>
      <c r="Z2433" s="221"/>
      <c r="AA2433" s="221"/>
      <c r="AB2433" s="223"/>
    </row>
    <row r="2434" spans="1:28" ht="17.100000000000001" customHeight="1" thickTop="1">
      <c r="A2434" s="226" t="s">
        <v>7996</v>
      </c>
      <c r="B2434" s="28">
        <v>45943</v>
      </c>
      <c r="C2434" s="25">
        <v>2064</v>
      </c>
      <c r="D2434" s="13" t="s">
        <v>1915</v>
      </c>
      <c r="E2434" s="228"/>
      <c r="F2434" s="109" t="s">
        <v>8015</v>
      </c>
      <c r="G2434" s="24" t="s">
        <v>2907</v>
      </c>
      <c r="H2434" s="230">
        <v>4.5</v>
      </c>
      <c r="I2434" s="220">
        <v>1145000</v>
      </c>
      <c r="J2434" s="220">
        <f>I2434*0.1</f>
        <v>114500</v>
      </c>
      <c r="K2434" s="220">
        <f>14300+1430</f>
        <v>15730</v>
      </c>
      <c r="L2434" s="220">
        <v>15160</v>
      </c>
      <c r="M2434" s="220">
        <v>11000</v>
      </c>
      <c r="N2434" s="220">
        <f>SUM(I2434:M2435)</f>
        <v>1301390</v>
      </c>
      <c r="O2434" s="224"/>
      <c r="P2434" s="110" t="s">
        <v>8016</v>
      </c>
      <c r="Q2434" s="15" t="s">
        <v>19</v>
      </c>
      <c r="R2434" s="205"/>
      <c r="S2434" s="189" t="s">
        <v>25410</v>
      </c>
      <c r="T2434" s="114"/>
      <c r="U2434" s="21"/>
      <c r="V2434" s="115">
        <v>45948</v>
      </c>
      <c r="W2434" s="116">
        <v>1272</v>
      </c>
      <c r="X2434" s="220">
        <v>1290000</v>
      </c>
      <c r="Y2434" s="220">
        <f>X2434*0.1</f>
        <v>129000</v>
      </c>
      <c r="Z2434" s="220">
        <v>15160</v>
      </c>
      <c r="AA2434" s="220">
        <f>SUM(X2434:Z2434)</f>
        <v>1434160</v>
      </c>
      <c r="AB2434" s="222">
        <v>45958</v>
      </c>
    </row>
    <row r="2435" spans="1:28" ht="17.100000000000001" customHeight="1" thickBot="1">
      <c r="A2435" s="227"/>
      <c r="B2435" s="27" t="s">
        <v>82</v>
      </c>
      <c r="C2435" s="27">
        <v>36006</v>
      </c>
      <c r="D2435" s="14" t="s">
        <v>273</v>
      </c>
      <c r="E2435" s="229"/>
      <c r="F2435" s="117" t="s">
        <v>8006</v>
      </c>
      <c r="G2435" s="26">
        <v>75982</v>
      </c>
      <c r="H2435" s="231"/>
      <c r="I2435" s="221"/>
      <c r="J2435" s="221"/>
      <c r="K2435" s="221"/>
      <c r="L2435" s="221"/>
      <c r="M2435" s="221"/>
      <c r="N2435" s="221"/>
      <c r="O2435" s="225"/>
      <c r="P2435" s="118" t="s">
        <v>9092</v>
      </c>
      <c r="Q2435" s="16" t="s">
        <v>20</v>
      </c>
      <c r="R2435" s="17" t="s">
        <v>9093</v>
      </c>
      <c r="S2435" s="121" t="s">
        <v>1625</v>
      </c>
      <c r="T2435" s="122"/>
      <c r="U2435" s="22"/>
      <c r="V2435" s="123" t="s">
        <v>2472</v>
      </c>
      <c r="W2435" s="122">
        <v>80138</v>
      </c>
      <c r="X2435" s="221"/>
      <c r="Y2435" s="221"/>
      <c r="Z2435" s="221"/>
      <c r="AA2435" s="221"/>
      <c r="AB2435" s="223"/>
    </row>
    <row r="2436" spans="1:28" ht="17.100000000000001" customHeight="1" thickTop="1">
      <c r="A2436" s="226" t="s">
        <v>7997</v>
      </c>
      <c r="B2436" s="28">
        <v>45943</v>
      </c>
      <c r="C2436" s="25">
        <v>2064</v>
      </c>
      <c r="D2436" s="13" t="s">
        <v>2920</v>
      </c>
      <c r="E2436" s="228"/>
      <c r="F2436" s="109" t="s">
        <v>8007</v>
      </c>
      <c r="G2436" s="24" t="s">
        <v>4038</v>
      </c>
      <c r="H2436" s="230">
        <v>4.5</v>
      </c>
      <c r="I2436" s="220">
        <v>3170000</v>
      </c>
      <c r="J2436" s="220">
        <f>I2436*0.1</f>
        <v>317000</v>
      </c>
      <c r="K2436" s="220">
        <f>15000+1500</f>
        <v>16500</v>
      </c>
      <c r="L2436" s="220">
        <v>14660</v>
      </c>
      <c r="M2436" s="220">
        <v>12100</v>
      </c>
      <c r="N2436" s="220">
        <f>SUM(I2436:M2437)</f>
        <v>3530260</v>
      </c>
      <c r="O2436" s="224"/>
      <c r="P2436" s="110" t="s">
        <v>8017</v>
      </c>
      <c r="Q2436" s="15" t="s">
        <v>19</v>
      </c>
      <c r="R2436" s="205"/>
      <c r="S2436" s="189" t="s">
        <v>25368</v>
      </c>
      <c r="T2436" s="114"/>
      <c r="U2436" s="21"/>
      <c r="V2436" s="115">
        <v>45990</v>
      </c>
      <c r="W2436" s="116">
        <v>1278</v>
      </c>
      <c r="X2436" s="220">
        <v>3225000</v>
      </c>
      <c r="Y2436" s="220">
        <f>X2436*0.1</f>
        <v>322500</v>
      </c>
      <c r="Z2436" s="220">
        <v>14660</v>
      </c>
      <c r="AA2436" s="220">
        <f>SUM(X2436:Z2436)</f>
        <v>3562160</v>
      </c>
      <c r="AB2436" s="222">
        <v>45994</v>
      </c>
    </row>
    <row r="2437" spans="1:28" ht="16.5" customHeight="1" thickBot="1">
      <c r="A2437" s="227"/>
      <c r="B2437" s="27" t="s">
        <v>82</v>
      </c>
      <c r="C2437" s="27">
        <v>36023</v>
      </c>
      <c r="D2437" s="14" t="s">
        <v>2088</v>
      </c>
      <c r="E2437" s="229"/>
      <c r="F2437" s="117" t="s">
        <v>8008</v>
      </c>
      <c r="G2437" s="26">
        <v>41290</v>
      </c>
      <c r="H2437" s="231"/>
      <c r="I2437" s="221"/>
      <c r="J2437" s="221"/>
      <c r="K2437" s="221"/>
      <c r="L2437" s="221"/>
      <c r="M2437" s="221"/>
      <c r="N2437" s="221"/>
      <c r="O2437" s="225"/>
      <c r="P2437" s="118" t="s">
        <v>1647</v>
      </c>
      <c r="Q2437" s="16" t="s">
        <v>20</v>
      </c>
      <c r="R2437" s="17" t="s">
        <v>8602</v>
      </c>
      <c r="S2437" s="121" t="s">
        <v>8642</v>
      </c>
      <c r="T2437" s="122"/>
      <c r="U2437" s="22" t="s">
        <v>3427</v>
      </c>
      <c r="V2437" s="123" t="s">
        <v>2472</v>
      </c>
      <c r="W2437" s="122">
        <v>80211</v>
      </c>
      <c r="X2437" s="221"/>
      <c r="Y2437" s="221"/>
      <c r="Z2437" s="221"/>
      <c r="AA2437" s="221"/>
      <c r="AB2437" s="223"/>
    </row>
    <row r="2438" spans="1:28" ht="17.100000000000001" customHeight="1" thickTop="1">
      <c r="A2438" s="226" t="s">
        <v>7998</v>
      </c>
      <c r="B2438" s="28">
        <v>45943</v>
      </c>
      <c r="C2438" s="25">
        <v>59</v>
      </c>
      <c r="D2438" s="13" t="s">
        <v>2288</v>
      </c>
      <c r="E2438" s="228"/>
      <c r="F2438" s="109" t="s">
        <v>7043</v>
      </c>
      <c r="G2438" s="24" t="s">
        <v>3453</v>
      </c>
      <c r="H2438" s="230">
        <v>4</v>
      </c>
      <c r="I2438" s="220">
        <v>600000</v>
      </c>
      <c r="J2438" s="220">
        <f>I2438*0.1</f>
        <v>60000</v>
      </c>
      <c r="K2438" s="220">
        <v>0</v>
      </c>
      <c r="L2438" s="220">
        <v>8230</v>
      </c>
      <c r="M2438" s="220">
        <v>33000</v>
      </c>
      <c r="N2438" s="220">
        <f>SUM(I2438:M2439)</f>
        <v>701230</v>
      </c>
      <c r="O2438" s="224"/>
      <c r="P2438" s="110" t="s">
        <v>9490</v>
      </c>
      <c r="Q2438" s="15" t="s">
        <v>19</v>
      </c>
      <c r="R2438" s="205"/>
      <c r="S2438" s="189" t="s">
        <v>1113</v>
      </c>
      <c r="T2438" s="114"/>
      <c r="U2438" s="21" t="s">
        <v>9613</v>
      </c>
      <c r="V2438" s="115">
        <v>45972</v>
      </c>
      <c r="W2438" s="116">
        <v>1917</v>
      </c>
      <c r="X2438" s="220">
        <v>608000</v>
      </c>
      <c r="Y2438" s="220">
        <f>X2438*0.1</f>
        <v>60800</v>
      </c>
      <c r="Z2438" s="220">
        <v>8230</v>
      </c>
      <c r="AA2438" s="220">
        <f>SUM(X2438:Z2438)</f>
        <v>677030</v>
      </c>
      <c r="AB2438" s="222"/>
    </row>
    <row r="2439" spans="1:28" ht="17.100000000000001" customHeight="1" thickBot="1">
      <c r="A2439" s="227"/>
      <c r="B2439" s="27" t="s">
        <v>4468</v>
      </c>
      <c r="C2439" s="27">
        <v>1014</v>
      </c>
      <c r="D2439" s="14" t="s">
        <v>1710</v>
      </c>
      <c r="E2439" s="229"/>
      <c r="F2439" s="117" t="s">
        <v>8022</v>
      </c>
      <c r="G2439" s="26">
        <v>49942</v>
      </c>
      <c r="H2439" s="231"/>
      <c r="I2439" s="221"/>
      <c r="J2439" s="221"/>
      <c r="K2439" s="221"/>
      <c r="L2439" s="221"/>
      <c r="M2439" s="221"/>
      <c r="N2439" s="221"/>
      <c r="O2439" s="225"/>
      <c r="P2439" s="118" t="s">
        <v>9491</v>
      </c>
      <c r="Q2439" s="16" t="s">
        <v>20</v>
      </c>
      <c r="R2439" s="17" t="s">
        <v>3306</v>
      </c>
      <c r="S2439" s="121" t="s">
        <v>7710</v>
      </c>
      <c r="T2439" s="122"/>
      <c r="U2439" s="22"/>
      <c r="V2439" s="123" t="s">
        <v>2103</v>
      </c>
      <c r="W2439" s="122">
        <v>3125</v>
      </c>
      <c r="X2439" s="221"/>
      <c r="Y2439" s="221"/>
      <c r="Z2439" s="221"/>
      <c r="AA2439" s="221"/>
      <c r="AB2439" s="223"/>
    </row>
    <row r="2440" spans="1:28" ht="17.100000000000001" customHeight="1" thickTop="1">
      <c r="A2440" s="226" t="s">
        <v>7999</v>
      </c>
      <c r="B2440" s="28">
        <v>45943</v>
      </c>
      <c r="C2440" s="25">
        <v>59</v>
      </c>
      <c r="D2440" s="13" t="s">
        <v>1542</v>
      </c>
      <c r="E2440" s="228"/>
      <c r="F2440" s="109" t="s">
        <v>8029</v>
      </c>
      <c r="G2440" s="24" t="s">
        <v>2894</v>
      </c>
      <c r="H2440" s="230">
        <v>4</v>
      </c>
      <c r="I2440" s="220">
        <v>455000</v>
      </c>
      <c r="J2440" s="220">
        <f>I2440*0.1</f>
        <v>45500</v>
      </c>
      <c r="K2440" s="220">
        <f>18700+1870</f>
        <v>20570</v>
      </c>
      <c r="L2440" s="220">
        <v>11330</v>
      </c>
      <c r="M2440" s="220">
        <v>33000</v>
      </c>
      <c r="N2440" s="220">
        <f>SUM(I2440:M2441)</f>
        <v>565400</v>
      </c>
      <c r="O2440" s="224"/>
      <c r="P2440" s="110" t="s">
        <v>9476</v>
      </c>
      <c r="Q2440" s="15" t="s">
        <v>19</v>
      </c>
      <c r="R2440" s="205"/>
      <c r="S2440" s="189" t="s">
        <v>1361</v>
      </c>
      <c r="T2440" s="114"/>
      <c r="U2440" s="21"/>
      <c r="V2440" s="115">
        <v>45955</v>
      </c>
      <c r="W2440" s="116">
        <v>1273</v>
      </c>
      <c r="X2440" s="220">
        <v>500000</v>
      </c>
      <c r="Y2440" s="220">
        <f>X2440*0.1</f>
        <v>50000</v>
      </c>
      <c r="Z2440" s="220">
        <v>11330</v>
      </c>
      <c r="AA2440" s="220">
        <f>SUM(X2440:Z2440)</f>
        <v>561330</v>
      </c>
      <c r="AB2440" s="222">
        <v>45965</v>
      </c>
    </row>
    <row r="2441" spans="1:28" ht="17.100000000000001" customHeight="1" thickBot="1">
      <c r="A2441" s="227"/>
      <c r="B2441" s="27" t="s">
        <v>4468</v>
      </c>
      <c r="C2441" s="27">
        <v>1035</v>
      </c>
      <c r="D2441" s="14" t="s">
        <v>131</v>
      </c>
      <c r="E2441" s="229"/>
      <c r="F2441" s="117" t="s">
        <v>8023</v>
      </c>
      <c r="G2441" s="26">
        <v>101848</v>
      </c>
      <c r="H2441" s="231"/>
      <c r="I2441" s="221"/>
      <c r="J2441" s="221"/>
      <c r="K2441" s="221"/>
      <c r="L2441" s="221"/>
      <c r="M2441" s="221"/>
      <c r="N2441" s="221"/>
      <c r="O2441" s="225"/>
      <c r="P2441" s="118" t="s">
        <v>9477</v>
      </c>
      <c r="Q2441" s="16" t="s">
        <v>20</v>
      </c>
      <c r="R2441" s="17" t="s">
        <v>9475</v>
      </c>
      <c r="S2441" s="121" t="s">
        <v>4035</v>
      </c>
      <c r="T2441" s="122"/>
      <c r="U2441" s="22"/>
      <c r="V2441" s="123" t="s">
        <v>2472</v>
      </c>
      <c r="W2441" s="122">
        <v>37855</v>
      </c>
      <c r="X2441" s="221"/>
      <c r="Y2441" s="221"/>
      <c r="Z2441" s="221"/>
      <c r="AA2441" s="221"/>
      <c r="AB2441" s="223"/>
    </row>
    <row r="2442" spans="1:28" ht="17.100000000000001" customHeight="1" thickTop="1">
      <c r="A2442" s="226" t="s">
        <v>8018</v>
      </c>
      <c r="B2442" s="28">
        <v>45943</v>
      </c>
      <c r="C2442" s="25">
        <v>59</v>
      </c>
      <c r="D2442" s="13" t="s">
        <v>1555</v>
      </c>
      <c r="E2442" s="228"/>
      <c r="F2442" s="109" t="s">
        <v>8030</v>
      </c>
      <c r="G2442" s="24" t="s">
        <v>2926</v>
      </c>
      <c r="H2442" s="230">
        <v>5</v>
      </c>
      <c r="I2442" s="220">
        <v>2475000</v>
      </c>
      <c r="J2442" s="220">
        <f>I2442*0.1</f>
        <v>247500</v>
      </c>
      <c r="K2442" s="220">
        <f>18100+1810</f>
        <v>19910</v>
      </c>
      <c r="L2442" s="220">
        <v>8080</v>
      </c>
      <c r="M2442" s="220">
        <v>66000</v>
      </c>
      <c r="N2442" s="220">
        <f>SUM(I2442:M2443)</f>
        <v>2816490</v>
      </c>
      <c r="O2442" s="224"/>
      <c r="P2442" s="110" t="s">
        <v>9686</v>
      </c>
      <c r="Q2442" s="15" t="s">
        <v>19</v>
      </c>
      <c r="R2442" s="205"/>
      <c r="S2442" s="189" t="s">
        <v>1113</v>
      </c>
      <c r="T2442" s="114"/>
      <c r="U2442" s="21"/>
      <c r="V2442" s="115">
        <v>45962</v>
      </c>
      <c r="W2442" s="116">
        <v>1274</v>
      </c>
      <c r="X2442" s="220">
        <v>2560000</v>
      </c>
      <c r="Y2442" s="220">
        <f>X2442*0.1</f>
        <v>256000</v>
      </c>
      <c r="Z2442" s="220">
        <v>8080</v>
      </c>
      <c r="AA2442" s="220">
        <f>SUM(X2442:Z2442)</f>
        <v>2824080</v>
      </c>
      <c r="AB2442" s="222">
        <v>45965</v>
      </c>
    </row>
    <row r="2443" spans="1:28" ht="17.100000000000001" customHeight="1" thickBot="1">
      <c r="A2443" s="227"/>
      <c r="B2443" s="27" t="s">
        <v>4468</v>
      </c>
      <c r="C2443" s="27">
        <v>1042</v>
      </c>
      <c r="D2443" s="14" t="s">
        <v>2559</v>
      </c>
      <c r="E2443" s="229"/>
      <c r="F2443" s="117" t="s">
        <v>8024</v>
      </c>
      <c r="G2443" s="26">
        <v>14593</v>
      </c>
      <c r="H2443" s="231"/>
      <c r="I2443" s="221"/>
      <c r="J2443" s="221"/>
      <c r="K2443" s="221"/>
      <c r="L2443" s="221"/>
      <c r="M2443" s="221"/>
      <c r="N2443" s="221"/>
      <c r="O2443" s="225"/>
      <c r="P2443" s="118" t="s">
        <v>9687</v>
      </c>
      <c r="Q2443" s="16" t="s">
        <v>20</v>
      </c>
      <c r="R2443" s="17" t="s">
        <v>9666</v>
      </c>
      <c r="S2443" s="121" t="s">
        <v>1731</v>
      </c>
      <c r="T2443" s="122"/>
      <c r="U2443" s="22"/>
      <c r="V2443" s="123" t="s">
        <v>2472</v>
      </c>
      <c r="W2443" s="122">
        <v>37669</v>
      </c>
      <c r="X2443" s="221"/>
      <c r="Y2443" s="221"/>
      <c r="Z2443" s="221"/>
      <c r="AA2443" s="221"/>
      <c r="AB2443" s="223"/>
    </row>
    <row r="2444" spans="1:28" ht="17.100000000000001" customHeight="1" thickTop="1">
      <c r="A2444" s="226" t="s">
        <v>8019</v>
      </c>
      <c r="B2444" s="28">
        <v>45943</v>
      </c>
      <c r="C2444" s="25">
        <v>59</v>
      </c>
      <c r="D2444" s="13" t="s">
        <v>1623</v>
      </c>
      <c r="E2444" s="228"/>
      <c r="F2444" s="109" t="s">
        <v>8031</v>
      </c>
      <c r="G2444" s="24" t="s">
        <v>2871</v>
      </c>
      <c r="H2444" s="230">
        <v>4.5</v>
      </c>
      <c r="I2444" s="220">
        <v>2700000</v>
      </c>
      <c r="J2444" s="220">
        <f>I2444*0.1</f>
        <v>270000</v>
      </c>
      <c r="K2444" s="220">
        <f>12000+1200</f>
        <v>13200</v>
      </c>
      <c r="L2444" s="220">
        <v>9730</v>
      </c>
      <c r="M2444" s="220">
        <v>66000</v>
      </c>
      <c r="N2444" s="220">
        <f>SUM(I2444:M2445)</f>
        <v>3058930</v>
      </c>
      <c r="O2444" s="224"/>
      <c r="P2444" s="110" t="s">
        <v>11638</v>
      </c>
      <c r="Q2444" s="15" t="s">
        <v>19</v>
      </c>
      <c r="R2444" s="205"/>
      <c r="S2444" s="189" t="s">
        <v>758</v>
      </c>
      <c r="T2444" s="114"/>
      <c r="U2444" s="21"/>
      <c r="V2444" s="115">
        <v>45990</v>
      </c>
      <c r="W2444" s="116">
        <v>1278</v>
      </c>
      <c r="X2444" s="220">
        <v>2800000</v>
      </c>
      <c r="Y2444" s="220">
        <f>X2444*0.1</f>
        <v>280000</v>
      </c>
      <c r="Z2444" s="220">
        <v>9730</v>
      </c>
      <c r="AA2444" s="220">
        <f>SUM(X2444:Z2444)</f>
        <v>3089730</v>
      </c>
      <c r="AB2444" s="222">
        <v>45994</v>
      </c>
    </row>
    <row r="2445" spans="1:28" ht="17.100000000000001" customHeight="1" thickBot="1">
      <c r="A2445" s="227"/>
      <c r="B2445" s="27" t="s">
        <v>4468</v>
      </c>
      <c r="C2445" s="27">
        <v>1048</v>
      </c>
      <c r="D2445" s="14" t="s">
        <v>273</v>
      </c>
      <c r="E2445" s="229"/>
      <c r="F2445" s="117" t="s">
        <v>8025</v>
      </c>
      <c r="G2445" s="26">
        <v>39702</v>
      </c>
      <c r="H2445" s="231"/>
      <c r="I2445" s="221"/>
      <c r="J2445" s="221"/>
      <c r="K2445" s="221"/>
      <c r="L2445" s="221"/>
      <c r="M2445" s="221"/>
      <c r="N2445" s="221"/>
      <c r="O2445" s="225"/>
      <c r="P2445" s="118" t="s">
        <v>11639</v>
      </c>
      <c r="Q2445" s="16" t="s">
        <v>20</v>
      </c>
      <c r="R2445" s="17" t="s">
        <v>1713</v>
      </c>
      <c r="S2445" s="121" t="s">
        <v>1731</v>
      </c>
      <c r="T2445" s="122"/>
      <c r="U2445" s="22"/>
      <c r="V2445" s="123" t="s">
        <v>2472</v>
      </c>
      <c r="W2445" s="122">
        <v>37100</v>
      </c>
      <c r="X2445" s="221"/>
      <c r="Y2445" s="221"/>
      <c r="Z2445" s="221"/>
      <c r="AA2445" s="221"/>
      <c r="AB2445" s="223"/>
    </row>
    <row r="2446" spans="1:28" ht="17.100000000000001" customHeight="1" thickTop="1">
      <c r="A2446" s="226" t="s">
        <v>8020</v>
      </c>
      <c r="B2446" s="28">
        <v>45943</v>
      </c>
      <c r="C2446" s="25">
        <v>59</v>
      </c>
      <c r="D2446" s="13" t="s">
        <v>3406</v>
      </c>
      <c r="E2446" s="228"/>
      <c r="F2446" s="109" t="s">
        <v>8026</v>
      </c>
      <c r="G2446" s="24" t="s">
        <v>2810</v>
      </c>
      <c r="H2446" s="230">
        <v>4</v>
      </c>
      <c r="I2446" s="220">
        <v>2930000</v>
      </c>
      <c r="J2446" s="220">
        <f>I2446*0.1</f>
        <v>293000</v>
      </c>
      <c r="K2446" s="220">
        <f>18100+1810</f>
        <v>19910</v>
      </c>
      <c r="L2446" s="220">
        <v>13400</v>
      </c>
      <c r="M2446" s="220">
        <v>66000</v>
      </c>
      <c r="N2446" s="220">
        <f>SUM(I2446:M2447)</f>
        <v>3322310</v>
      </c>
      <c r="O2446" s="224"/>
      <c r="P2446" s="110" t="s">
        <v>10351</v>
      </c>
      <c r="Q2446" s="15" t="s">
        <v>19</v>
      </c>
      <c r="R2446" s="205"/>
      <c r="S2446" s="189" t="s">
        <v>1276</v>
      </c>
      <c r="T2446" s="114"/>
      <c r="U2446" s="21"/>
      <c r="V2446" s="115">
        <v>45969</v>
      </c>
      <c r="W2446" s="116">
        <v>1275</v>
      </c>
      <c r="X2446" s="220">
        <v>3195000</v>
      </c>
      <c r="Y2446" s="220">
        <f>X2446*0.1</f>
        <v>319500</v>
      </c>
      <c r="Z2446" s="220">
        <v>13400</v>
      </c>
      <c r="AA2446" s="220">
        <f>SUM(X2446:Z2446)</f>
        <v>3527900</v>
      </c>
      <c r="AB2446" s="222">
        <v>45979</v>
      </c>
    </row>
    <row r="2447" spans="1:28" ht="17.100000000000001" customHeight="1" thickBot="1">
      <c r="A2447" s="227"/>
      <c r="B2447" s="27" t="s">
        <v>4468</v>
      </c>
      <c r="C2447" s="27">
        <v>1049</v>
      </c>
      <c r="D2447" s="14" t="s">
        <v>7144</v>
      </c>
      <c r="E2447" s="229"/>
      <c r="F2447" s="117" t="s">
        <v>8027</v>
      </c>
      <c r="G2447" s="26">
        <v>30780</v>
      </c>
      <c r="H2447" s="231"/>
      <c r="I2447" s="221"/>
      <c r="J2447" s="221"/>
      <c r="K2447" s="221"/>
      <c r="L2447" s="221"/>
      <c r="M2447" s="221"/>
      <c r="N2447" s="221"/>
      <c r="O2447" s="225"/>
      <c r="P2447" s="118" t="s">
        <v>10352</v>
      </c>
      <c r="Q2447" s="16" t="s">
        <v>20</v>
      </c>
      <c r="R2447" s="17" t="s">
        <v>10292</v>
      </c>
      <c r="S2447" s="121" t="s">
        <v>1606</v>
      </c>
      <c r="T2447" s="122"/>
      <c r="U2447" s="22"/>
      <c r="V2447" s="123" t="s">
        <v>2472</v>
      </c>
      <c r="W2447" s="122">
        <v>37640</v>
      </c>
      <c r="X2447" s="221"/>
      <c r="Y2447" s="221"/>
      <c r="Z2447" s="221"/>
      <c r="AA2447" s="221"/>
      <c r="AB2447" s="223"/>
    </row>
    <row r="2448" spans="1:28" ht="17.100000000000001" customHeight="1" thickTop="1">
      <c r="A2448" s="235" t="s">
        <v>8021</v>
      </c>
      <c r="B2448" s="28">
        <v>45943</v>
      </c>
      <c r="C2448" s="25">
        <v>59</v>
      </c>
      <c r="D2448" s="13" t="s">
        <v>4120</v>
      </c>
      <c r="E2448" s="228"/>
      <c r="F2448" s="109" t="s">
        <v>8032</v>
      </c>
      <c r="G2448" s="24" t="s">
        <v>4120</v>
      </c>
      <c r="H2448" s="230">
        <v>3.5</v>
      </c>
      <c r="I2448" s="220">
        <v>1340000</v>
      </c>
      <c r="J2448" s="220">
        <f>I2448*0.1</f>
        <v>134000</v>
      </c>
      <c r="K2448" s="220">
        <f>18700+1870</f>
        <v>20570</v>
      </c>
      <c r="L2448" s="220">
        <v>16550</v>
      </c>
      <c r="M2448" s="220">
        <v>44000</v>
      </c>
      <c r="N2448" s="220">
        <f>SUM(I2448:M2449)</f>
        <v>1555120</v>
      </c>
      <c r="O2448" s="224"/>
      <c r="P2448" s="110" t="s">
        <v>10174</v>
      </c>
      <c r="Q2448" s="15" t="s">
        <v>19</v>
      </c>
      <c r="R2448" s="205"/>
      <c r="S2448" s="189" t="s">
        <v>25525</v>
      </c>
      <c r="T2448" s="114" t="s">
        <v>10763</v>
      </c>
      <c r="U2448" s="21" t="s">
        <v>11401</v>
      </c>
      <c r="V2448" s="115">
        <v>45990</v>
      </c>
      <c r="W2448" s="116">
        <v>1278</v>
      </c>
      <c r="X2448" s="220">
        <v>1300000</v>
      </c>
      <c r="Y2448" s="220">
        <f>X2448*0.1</f>
        <v>130000</v>
      </c>
      <c r="Z2448" s="220">
        <v>16550</v>
      </c>
      <c r="AA2448" s="220">
        <f>SUM(X2448:Z2448)</f>
        <v>1446550</v>
      </c>
      <c r="AB2448" s="222">
        <v>45994</v>
      </c>
    </row>
    <row r="2449" spans="1:28" ht="17.100000000000001" customHeight="1" thickBot="1">
      <c r="A2449" s="236"/>
      <c r="B2449" s="27" t="s">
        <v>4468</v>
      </c>
      <c r="C2449" s="27">
        <v>1074</v>
      </c>
      <c r="D2449" s="14" t="s">
        <v>273</v>
      </c>
      <c r="E2449" s="229"/>
      <c r="F2449" s="117" t="s">
        <v>8028</v>
      </c>
      <c r="G2449" s="26">
        <v>76821</v>
      </c>
      <c r="H2449" s="231"/>
      <c r="I2449" s="221"/>
      <c r="J2449" s="221"/>
      <c r="K2449" s="221"/>
      <c r="L2449" s="221"/>
      <c r="M2449" s="221"/>
      <c r="N2449" s="221"/>
      <c r="O2449" s="225"/>
      <c r="P2449" s="118" t="s">
        <v>10175</v>
      </c>
      <c r="Q2449" s="16" t="s">
        <v>20</v>
      </c>
      <c r="R2449" s="17" t="s">
        <v>1684</v>
      </c>
      <c r="S2449" s="121" t="s">
        <v>9528</v>
      </c>
      <c r="T2449" s="122" t="s">
        <v>11101</v>
      </c>
      <c r="U2449" s="22"/>
      <c r="V2449" s="123" t="s">
        <v>2472</v>
      </c>
      <c r="W2449" s="122">
        <v>50254</v>
      </c>
      <c r="X2449" s="221"/>
      <c r="Y2449" s="221"/>
      <c r="Z2449" s="221"/>
      <c r="AA2449" s="221"/>
      <c r="AB2449" s="223"/>
    </row>
    <row r="2450" spans="1:28" ht="17.100000000000001" customHeight="1" thickTop="1">
      <c r="A2450" s="226" t="s">
        <v>8033</v>
      </c>
      <c r="B2450" s="28">
        <v>45943</v>
      </c>
      <c r="C2450" s="25"/>
      <c r="D2450" s="13" t="s">
        <v>2195</v>
      </c>
      <c r="E2450" s="228"/>
      <c r="F2450" s="109" t="s">
        <v>8072</v>
      </c>
      <c r="G2450" s="24" t="s">
        <v>8073</v>
      </c>
      <c r="H2450" s="230">
        <v>5</v>
      </c>
      <c r="I2450" s="220">
        <f>6787000/1.1</f>
        <v>6169999.9999999991</v>
      </c>
      <c r="J2450" s="220">
        <f>I2450*0.1</f>
        <v>616999.99999999988</v>
      </c>
      <c r="K2450" s="220">
        <v>0</v>
      </c>
      <c r="L2450" s="220">
        <v>14230</v>
      </c>
      <c r="M2450" s="220">
        <v>224675</v>
      </c>
      <c r="N2450" s="220">
        <f>SUM(I2450:M2451)</f>
        <v>7025904.9999999991</v>
      </c>
      <c r="O2450" s="224"/>
      <c r="P2450" s="110" t="s">
        <v>10764</v>
      </c>
      <c r="Q2450" s="15" t="s">
        <v>19</v>
      </c>
      <c r="R2450" s="205"/>
      <c r="S2450" s="189" t="s">
        <v>1422</v>
      </c>
      <c r="T2450" s="114"/>
      <c r="U2450" s="21"/>
      <c r="V2450" s="115">
        <v>45976</v>
      </c>
      <c r="W2450" s="116">
        <v>1276</v>
      </c>
      <c r="X2450" s="220">
        <v>6475000</v>
      </c>
      <c r="Y2450" s="220">
        <f>X2450*0.1</f>
        <v>647500</v>
      </c>
      <c r="Z2450" s="220">
        <v>14230</v>
      </c>
      <c r="AA2450" s="220">
        <f>SUM(X2450:Z2450)</f>
        <v>7136730</v>
      </c>
      <c r="AB2450" s="222">
        <v>45981</v>
      </c>
    </row>
    <row r="2451" spans="1:28" ht="17.100000000000001" customHeight="1" thickBot="1">
      <c r="A2451" s="227"/>
      <c r="B2451" s="27" t="s">
        <v>1708</v>
      </c>
      <c r="C2451" s="27" t="s">
        <v>8044</v>
      </c>
      <c r="D2451" s="14" t="s">
        <v>2559</v>
      </c>
      <c r="E2451" s="229"/>
      <c r="F2451" s="117" t="s">
        <v>8045</v>
      </c>
      <c r="G2451" s="26">
        <v>930</v>
      </c>
      <c r="H2451" s="231"/>
      <c r="I2451" s="221"/>
      <c r="J2451" s="221"/>
      <c r="K2451" s="221"/>
      <c r="L2451" s="221"/>
      <c r="M2451" s="221"/>
      <c r="N2451" s="221"/>
      <c r="O2451" s="225"/>
      <c r="P2451" s="118" t="s">
        <v>10765</v>
      </c>
      <c r="Q2451" s="16" t="s">
        <v>20</v>
      </c>
      <c r="R2451" s="17" t="s">
        <v>10766</v>
      </c>
      <c r="S2451" s="121" t="s">
        <v>10767</v>
      </c>
      <c r="T2451" s="122"/>
      <c r="U2451" s="22"/>
      <c r="V2451" s="123" t="s">
        <v>10781</v>
      </c>
      <c r="W2451" s="122">
        <v>37704</v>
      </c>
      <c r="X2451" s="221"/>
      <c r="Y2451" s="221"/>
      <c r="Z2451" s="221"/>
      <c r="AA2451" s="221"/>
      <c r="AB2451" s="223"/>
    </row>
    <row r="2452" spans="1:28" ht="17.100000000000001" customHeight="1" thickTop="1">
      <c r="A2452" s="226" t="s">
        <v>8034</v>
      </c>
      <c r="B2452" s="28">
        <v>45943</v>
      </c>
      <c r="C2452" s="25"/>
      <c r="D2452" s="13" t="s">
        <v>1788</v>
      </c>
      <c r="E2452" s="228"/>
      <c r="F2452" s="109" t="s">
        <v>8074</v>
      </c>
      <c r="G2452" s="24" t="s">
        <v>7675</v>
      </c>
      <c r="H2452" s="230">
        <v>3.5</v>
      </c>
      <c r="I2452" s="220">
        <f>522500/1.1</f>
        <v>474999.99999999994</v>
      </c>
      <c r="J2452" s="220">
        <f>I2452*0.1</f>
        <v>47500</v>
      </c>
      <c r="K2452" s="220">
        <v>0</v>
      </c>
      <c r="L2452" s="220">
        <v>8230</v>
      </c>
      <c r="M2452" s="220">
        <v>53554</v>
      </c>
      <c r="N2452" s="220">
        <f>SUM(I2452:M2453)</f>
        <v>584284</v>
      </c>
      <c r="O2452" s="224"/>
      <c r="P2452" s="110" t="s">
        <v>10725</v>
      </c>
      <c r="Q2452" s="15" t="s">
        <v>19</v>
      </c>
      <c r="R2452" s="205"/>
      <c r="S2452" s="189" t="s">
        <v>25372</v>
      </c>
      <c r="T2452" s="114"/>
      <c r="U2452" s="21"/>
      <c r="V2452" s="115">
        <v>45997</v>
      </c>
      <c r="W2452" s="116">
        <v>1279</v>
      </c>
      <c r="X2452" s="220">
        <v>650000</v>
      </c>
      <c r="Y2452" s="220">
        <f>X2452*0.1</f>
        <v>65000</v>
      </c>
      <c r="Z2452" s="220">
        <v>8230</v>
      </c>
      <c r="AA2452" s="220">
        <f>SUM(X2452:Z2452)</f>
        <v>723230</v>
      </c>
      <c r="AB2452" s="222">
        <v>46000</v>
      </c>
    </row>
    <row r="2453" spans="1:28" ht="17.100000000000001" customHeight="1" thickBot="1">
      <c r="A2453" s="227"/>
      <c r="B2453" s="27" t="s">
        <v>1708</v>
      </c>
      <c r="C2453" s="27" t="s">
        <v>8046</v>
      </c>
      <c r="D2453" s="14" t="s">
        <v>273</v>
      </c>
      <c r="E2453" s="229"/>
      <c r="F2453" s="117" t="s">
        <v>8047</v>
      </c>
      <c r="G2453" s="26">
        <v>53519</v>
      </c>
      <c r="H2453" s="231"/>
      <c r="I2453" s="221"/>
      <c r="J2453" s="221"/>
      <c r="K2453" s="221"/>
      <c r="L2453" s="221"/>
      <c r="M2453" s="221"/>
      <c r="N2453" s="221"/>
      <c r="O2453" s="225"/>
      <c r="P2453" s="118" t="s">
        <v>10726</v>
      </c>
      <c r="Q2453" s="16" t="s">
        <v>20</v>
      </c>
      <c r="R2453" s="17" t="s">
        <v>10694</v>
      </c>
      <c r="S2453" s="121" t="s">
        <v>10878</v>
      </c>
      <c r="T2453" s="122"/>
      <c r="U2453" s="22"/>
      <c r="V2453" s="123" t="s">
        <v>7160</v>
      </c>
      <c r="W2453" s="122">
        <v>31007</v>
      </c>
      <c r="X2453" s="221"/>
      <c r="Y2453" s="221"/>
      <c r="Z2453" s="221"/>
      <c r="AA2453" s="221"/>
      <c r="AB2453" s="223"/>
    </row>
    <row r="2454" spans="1:28" ht="17.100000000000001" customHeight="1" thickTop="1">
      <c r="A2454" s="226" t="s">
        <v>8035</v>
      </c>
      <c r="B2454" s="28">
        <v>45943</v>
      </c>
      <c r="C2454" s="25"/>
      <c r="D2454" s="13" t="s">
        <v>2010</v>
      </c>
      <c r="E2454" s="228"/>
      <c r="F2454" s="109" t="s">
        <v>8075</v>
      </c>
      <c r="G2454" s="24" t="s">
        <v>8076</v>
      </c>
      <c r="H2454" s="230">
        <v>5</v>
      </c>
      <c r="I2454" s="220">
        <f>1413500/1.1</f>
        <v>1285000</v>
      </c>
      <c r="J2454" s="220">
        <f>I2454*0.1</f>
        <v>128500</v>
      </c>
      <c r="K2454" s="220">
        <v>0</v>
      </c>
      <c r="L2454" s="220">
        <v>8630</v>
      </c>
      <c r="M2454" s="220">
        <v>90338</v>
      </c>
      <c r="N2454" s="220">
        <f>SUM(I2454:M2455)</f>
        <v>1512468</v>
      </c>
      <c r="O2454" s="224"/>
      <c r="P2454" s="110" t="s">
        <v>9999</v>
      </c>
      <c r="Q2454" s="15" t="s">
        <v>19</v>
      </c>
      <c r="R2454" s="205"/>
      <c r="S2454" s="189" t="s">
        <v>1276</v>
      </c>
      <c r="T2454" s="114"/>
      <c r="U2454" s="21"/>
      <c r="V2454" s="115">
        <v>45979</v>
      </c>
      <c r="W2454" s="116">
        <v>1918</v>
      </c>
      <c r="X2454" s="220">
        <v>1454000</v>
      </c>
      <c r="Y2454" s="220">
        <f>X2454*0.1</f>
        <v>145400</v>
      </c>
      <c r="Z2454" s="220">
        <v>8630</v>
      </c>
      <c r="AA2454" s="220">
        <f>SUM(X2454:Z2454)</f>
        <v>1608030</v>
      </c>
      <c r="AB2454" s="222">
        <v>45986</v>
      </c>
    </row>
    <row r="2455" spans="1:28" ht="17.100000000000001" customHeight="1" thickBot="1">
      <c r="A2455" s="227"/>
      <c r="B2455" s="27" t="s">
        <v>1708</v>
      </c>
      <c r="C2455" s="27" t="s">
        <v>8048</v>
      </c>
      <c r="D2455" s="14" t="s">
        <v>1568</v>
      </c>
      <c r="E2455" s="229"/>
      <c r="F2455" s="117" t="s">
        <v>8049</v>
      </c>
      <c r="G2455" s="26">
        <v>14814</v>
      </c>
      <c r="H2455" s="231"/>
      <c r="I2455" s="221"/>
      <c r="J2455" s="221"/>
      <c r="K2455" s="221"/>
      <c r="L2455" s="221"/>
      <c r="M2455" s="221"/>
      <c r="N2455" s="221"/>
      <c r="O2455" s="225"/>
      <c r="P2455" s="118" t="s">
        <v>10000</v>
      </c>
      <c r="Q2455" s="16" t="s">
        <v>20</v>
      </c>
      <c r="R2455" s="17" t="s">
        <v>3343</v>
      </c>
      <c r="S2455" s="121" t="s">
        <v>6932</v>
      </c>
      <c r="T2455" s="122"/>
      <c r="U2455" s="22"/>
      <c r="V2455" s="123" t="s">
        <v>2103</v>
      </c>
      <c r="W2455" s="122">
        <v>3131</v>
      </c>
      <c r="X2455" s="221"/>
      <c r="Y2455" s="221"/>
      <c r="Z2455" s="221"/>
      <c r="AA2455" s="221"/>
      <c r="AB2455" s="223"/>
    </row>
    <row r="2456" spans="1:28" ht="17.100000000000001" customHeight="1" thickTop="1">
      <c r="A2456" s="226" t="s">
        <v>8036</v>
      </c>
      <c r="B2456" s="28">
        <v>45943</v>
      </c>
      <c r="C2456" s="25"/>
      <c r="D2456" s="13" t="s">
        <v>1915</v>
      </c>
      <c r="E2456" s="228"/>
      <c r="F2456" s="109" t="s">
        <v>8077</v>
      </c>
      <c r="G2456" s="24" t="s">
        <v>2831</v>
      </c>
      <c r="H2456" s="230">
        <v>4</v>
      </c>
      <c r="I2456" s="220">
        <f>742500/1.1</f>
        <v>675000</v>
      </c>
      <c r="J2456" s="220">
        <f>I2456*0.1</f>
        <v>67500</v>
      </c>
      <c r="K2456" s="220">
        <v>0</v>
      </c>
      <c r="L2456" s="220">
        <v>9790</v>
      </c>
      <c r="M2456" s="220">
        <v>65133</v>
      </c>
      <c r="N2456" s="220">
        <f>SUM(I2456:M2457)</f>
        <v>817423</v>
      </c>
      <c r="O2456" s="224"/>
      <c r="P2456" s="110" t="s">
        <v>9239</v>
      </c>
      <c r="Q2456" s="15" t="s">
        <v>19</v>
      </c>
      <c r="R2456" s="205"/>
      <c r="S2456" s="189" t="s">
        <v>1361</v>
      </c>
      <c r="T2456" s="114"/>
      <c r="U2456" s="21" t="s">
        <v>8183</v>
      </c>
      <c r="V2456" s="115">
        <v>45965</v>
      </c>
      <c r="W2456" s="116">
        <v>1916</v>
      </c>
      <c r="X2456" s="220">
        <v>746000</v>
      </c>
      <c r="Y2456" s="220">
        <f>X2456*0.1</f>
        <v>74600</v>
      </c>
      <c r="Z2456" s="220">
        <v>9790</v>
      </c>
      <c r="AA2456" s="220">
        <f>SUM(X2456:Z2456)</f>
        <v>830390</v>
      </c>
      <c r="AB2456" s="222">
        <v>45971</v>
      </c>
    </row>
    <row r="2457" spans="1:28" ht="17.100000000000001" customHeight="1" thickBot="1">
      <c r="A2457" s="227"/>
      <c r="B2457" s="27" t="s">
        <v>1708</v>
      </c>
      <c r="C2457" s="27" t="s">
        <v>8050</v>
      </c>
      <c r="D2457" s="14" t="s">
        <v>2014</v>
      </c>
      <c r="E2457" s="229"/>
      <c r="F2457" s="117" t="s">
        <v>8051</v>
      </c>
      <c r="G2457" s="26">
        <v>49064</v>
      </c>
      <c r="H2457" s="231"/>
      <c r="I2457" s="221"/>
      <c r="J2457" s="221"/>
      <c r="K2457" s="221"/>
      <c r="L2457" s="221"/>
      <c r="M2457" s="221"/>
      <c r="N2457" s="221"/>
      <c r="O2457" s="225"/>
      <c r="P2457" s="118" t="s">
        <v>9240</v>
      </c>
      <c r="Q2457" s="16" t="s">
        <v>20</v>
      </c>
      <c r="R2457" s="17" t="s">
        <v>3288</v>
      </c>
      <c r="S2457" s="121" t="s">
        <v>9615</v>
      </c>
      <c r="T2457" s="122"/>
      <c r="U2457" s="22"/>
      <c r="V2457" s="123" t="s">
        <v>2103</v>
      </c>
      <c r="W2457" s="122">
        <v>3169</v>
      </c>
      <c r="X2457" s="221"/>
      <c r="Y2457" s="221"/>
      <c r="Z2457" s="221"/>
      <c r="AA2457" s="221"/>
      <c r="AB2457" s="223"/>
    </row>
    <row r="2458" spans="1:28" ht="17.100000000000001" customHeight="1" thickTop="1">
      <c r="A2458" s="233" t="s">
        <v>8037</v>
      </c>
      <c r="B2458" s="28">
        <v>45943</v>
      </c>
      <c r="C2458" s="25"/>
      <c r="D2458" s="13" t="s">
        <v>1837</v>
      </c>
      <c r="E2458" s="228"/>
      <c r="F2458" s="109" t="s">
        <v>8078</v>
      </c>
      <c r="G2458" s="24" t="s">
        <v>4632</v>
      </c>
      <c r="H2458" s="230">
        <v>4</v>
      </c>
      <c r="I2458" s="220">
        <f>3976500/1.1</f>
        <v>3614999.9999999995</v>
      </c>
      <c r="J2458" s="220">
        <f>I2458*0.1</f>
        <v>361500</v>
      </c>
      <c r="K2458" s="220">
        <v>14500</v>
      </c>
      <c r="L2458" s="220">
        <v>14900</v>
      </c>
      <c r="M2458" s="220">
        <v>154413</v>
      </c>
      <c r="N2458" s="220">
        <f>SUM(I2458:M2459)</f>
        <v>4160312.9999999995</v>
      </c>
      <c r="O2458" s="224"/>
      <c r="P2458" s="110"/>
      <c r="Q2458" s="15" t="s">
        <v>19</v>
      </c>
      <c r="R2458" s="205"/>
      <c r="S2458" s="189" t="s">
        <v>25372</v>
      </c>
      <c r="T2458" s="114" t="s">
        <v>10690</v>
      </c>
      <c r="U2458" s="21"/>
      <c r="V2458" s="115"/>
      <c r="W2458" s="116"/>
      <c r="X2458" s="220"/>
      <c r="Y2458" s="220">
        <f>X2458*0.1</f>
        <v>0</v>
      </c>
      <c r="Z2458" s="220"/>
      <c r="AA2458" s="220">
        <f>SUM(X2458:Z2458)</f>
        <v>0</v>
      </c>
      <c r="AB2458" s="222"/>
    </row>
    <row r="2459" spans="1:28" ht="17.100000000000001" customHeight="1" thickBot="1">
      <c r="A2459" s="234"/>
      <c r="B2459" s="27" t="s">
        <v>1708</v>
      </c>
      <c r="C2459" s="27" t="s">
        <v>8052</v>
      </c>
      <c r="D2459" s="14" t="s">
        <v>273</v>
      </c>
      <c r="E2459" s="229"/>
      <c r="F2459" s="117" t="s">
        <v>8053</v>
      </c>
      <c r="G2459" s="26">
        <v>27423</v>
      </c>
      <c r="H2459" s="231"/>
      <c r="I2459" s="221"/>
      <c r="J2459" s="221"/>
      <c r="K2459" s="221"/>
      <c r="L2459" s="221"/>
      <c r="M2459" s="221"/>
      <c r="N2459" s="221"/>
      <c r="O2459" s="225"/>
      <c r="P2459" s="118"/>
      <c r="Q2459" s="16" t="s">
        <v>20</v>
      </c>
      <c r="R2459" s="17" t="s">
        <v>10691</v>
      </c>
      <c r="S2459" s="121"/>
      <c r="T2459" s="122"/>
      <c r="U2459" s="22"/>
      <c r="V2459" s="123"/>
      <c r="W2459" s="122"/>
      <c r="X2459" s="221"/>
      <c r="Y2459" s="221"/>
      <c r="Z2459" s="221"/>
      <c r="AA2459" s="221"/>
      <c r="AB2459" s="223"/>
    </row>
    <row r="2460" spans="1:28" ht="17.100000000000001" customHeight="1" thickTop="1">
      <c r="A2460" s="226" t="s">
        <v>8038</v>
      </c>
      <c r="B2460" s="28">
        <v>45943</v>
      </c>
      <c r="C2460" s="25"/>
      <c r="D2460" s="13" t="s">
        <v>1666</v>
      </c>
      <c r="E2460" s="228"/>
      <c r="F2460" s="109" t="s">
        <v>8079</v>
      </c>
      <c r="G2460" s="24" t="s">
        <v>7141</v>
      </c>
      <c r="H2460" s="230">
        <v>4</v>
      </c>
      <c r="I2460" s="220">
        <f>214500/1.1</f>
        <v>194999.99999999997</v>
      </c>
      <c r="J2460" s="220">
        <f>I2460*0.1</f>
        <v>19499.999999999996</v>
      </c>
      <c r="K2460" s="220">
        <v>0</v>
      </c>
      <c r="L2460" s="220">
        <v>8580</v>
      </c>
      <c r="M2460" s="220">
        <v>37343</v>
      </c>
      <c r="N2460" s="220">
        <f>SUM(I2460:M2461)</f>
        <v>260422.99999999997</v>
      </c>
      <c r="O2460" s="224"/>
      <c r="P2460" s="110" t="s">
        <v>10252</v>
      </c>
      <c r="Q2460" s="15" t="s">
        <v>19</v>
      </c>
      <c r="R2460" s="205"/>
      <c r="S2460" s="189" t="s">
        <v>1361</v>
      </c>
      <c r="T2460" s="114"/>
      <c r="U2460" s="21"/>
      <c r="V2460" s="115">
        <v>45976</v>
      </c>
      <c r="W2460" s="116">
        <v>1276</v>
      </c>
      <c r="X2460" s="220">
        <v>275000</v>
      </c>
      <c r="Y2460" s="220">
        <f>X2460*0.1</f>
        <v>27500</v>
      </c>
      <c r="Z2460" s="220">
        <v>8580</v>
      </c>
      <c r="AA2460" s="220">
        <f>SUM(X2460:Z2460)</f>
        <v>311080</v>
      </c>
      <c r="AB2460" s="222">
        <v>45979</v>
      </c>
    </row>
    <row r="2461" spans="1:28" ht="17.100000000000001" customHeight="1" thickBot="1">
      <c r="A2461" s="227"/>
      <c r="B2461" s="27" t="s">
        <v>1708</v>
      </c>
      <c r="C2461" s="27" t="s">
        <v>8054</v>
      </c>
      <c r="D2461" s="14" t="s">
        <v>3274</v>
      </c>
      <c r="E2461" s="229"/>
      <c r="F2461" s="117" t="s">
        <v>8055</v>
      </c>
      <c r="G2461" s="26">
        <v>88165</v>
      </c>
      <c r="H2461" s="231"/>
      <c r="I2461" s="221"/>
      <c r="J2461" s="221"/>
      <c r="K2461" s="221"/>
      <c r="L2461" s="221"/>
      <c r="M2461" s="221"/>
      <c r="N2461" s="221"/>
      <c r="O2461" s="225"/>
      <c r="P2461" s="118" t="s">
        <v>10253</v>
      </c>
      <c r="Q2461" s="16" t="s">
        <v>20</v>
      </c>
      <c r="R2461" s="17" t="s">
        <v>1684</v>
      </c>
      <c r="S2461" s="121" t="s">
        <v>10515</v>
      </c>
      <c r="T2461" s="122"/>
      <c r="U2461" s="22"/>
      <c r="V2461" s="123" t="s">
        <v>10781</v>
      </c>
      <c r="W2461" s="122">
        <v>65412</v>
      </c>
      <c r="X2461" s="221"/>
      <c r="Y2461" s="221"/>
      <c r="Z2461" s="221"/>
      <c r="AA2461" s="221"/>
      <c r="AB2461" s="223"/>
    </row>
    <row r="2462" spans="1:28" ht="17.100000000000001" customHeight="1" thickTop="1">
      <c r="A2462" s="226" t="s">
        <v>8039</v>
      </c>
      <c r="B2462" s="28">
        <v>45943</v>
      </c>
      <c r="C2462" s="25"/>
      <c r="D2462" s="13" t="s">
        <v>1772</v>
      </c>
      <c r="E2462" s="228"/>
      <c r="F2462" s="109" t="s">
        <v>8080</v>
      </c>
      <c r="G2462" s="24" t="s">
        <v>8081</v>
      </c>
      <c r="H2462" s="230">
        <v>4.5</v>
      </c>
      <c r="I2462" s="220">
        <f>2205500/1.1</f>
        <v>2004999.9999999998</v>
      </c>
      <c r="J2462" s="220">
        <f>I2462*0.1</f>
        <v>200500</v>
      </c>
      <c r="K2462" s="220">
        <v>0</v>
      </c>
      <c r="L2462" s="220">
        <v>10470</v>
      </c>
      <c r="M2462" s="220">
        <v>110138</v>
      </c>
      <c r="N2462" s="220">
        <f>SUM(I2462:M2463)</f>
        <v>2326108</v>
      </c>
      <c r="O2462" s="224"/>
      <c r="P2462" s="110" t="s">
        <v>8781</v>
      </c>
      <c r="Q2462" s="15" t="s">
        <v>19</v>
      </c>
      <c r="R2462" s="205"/>
      <c r="S2462" s="189" t="s">
        <v>25526</v>
      </c>
      <c r="T2462" s="114"/>
      <c r="U2462" s="21" t="s">
        <v>9503</v>
      </c>
      <c r="V2462" s="115">
        <v>45969</v>
      </c>
      <c r="W2462" s="116">
        <v>1275</v>
      </c>
      <c r="X2462" s="220">
        <v>2215000</v>
      </c>
      <c r="Y2462" s="220">
        <f>X2462*0.1</f>
        <v>221500</v>
      </c>
      <c r="Z2462" s="220">
        <v>10470</v>
      </c>
      <c r="AA2462" s="220">
        <f>SUM(X2462:Z2462)</f>
        <v>2446970</v>
      </c>
      <c r="AB2462" s="222">
        <v>45972</v>
      </c>
    </row>
    <row r="2463" spans="1:28" ht="17.100000000000001" customHeight="1" thickBot="1">
      <c r="A2463" s="227"/>
      <c r="B2463" s="27" t="s">
        <v>1708</v>
      </c>
      <c r="C2463" s="27" t="s">
        <v>8056</v>
      </c>
      <c r="D2463" s="14" t="s">
        <v>1568</v>
      </c>
      <c r="E2463" s="229"/>
      <c r="F2463" s="117" t="s">
        <v>8057</v>
      </c>
      <c r="G2463" s="26">
        <v>7546</v>
      </c>
      <c r="H2463" s="231"/>
      <c r="I2463" s="221"/>
      <c r="J2463" s="221"/>
      <c r="K2463" s="221"/>
      <c r="L2463" s="221"/>
      <c r="M2463" s="221"/>
      <c r="N2463" s="221"/>
      <c r="O2463" s="225"/>
      <c r="P2463" s="118" t="s">
        <v>8782</v>
      </c>
      <c r="Q2463" s="16" t="s">
        <v>20</v>
      </c>
      <c r="R2463" s="17" t="s">
        <v>8783</v>
      </c>
      <c r="S2463" s="121" t="s">
        <v>2647</v>
      </c>
      <c r="T2463" s="122"/>
      <c r="U2463" s="22"/>
      <c r="V2463" s="123" t="s">
        <v>2472</v>
      </c>
      <c r="W2463" s="122">
        <v>37139</v>
      </c>
      <c r="X2463" s="221"/>
      <c r="Y2463" s="221"/>
      <c r="Z2463" s="221"/>
      <c r="AA2463" s="221"/>
      <c r="AB2463" s="223"/>
    </row>
    <row r="2464" spans="1:28" ht="17.100000000000001" customHeight="1" thickTop="1">
      <c r="A2464" s="226" t="s">
        <v>8040</v>
      </c>
      <c r="B2464" s="28">
        <v>45943</v>
      </c>
      <c r="C2464" s="25"/>
      <c r="D2464" s="13" t="s">
        <v>2489</v>
      </c>
      <c r="E2464" s="228"/>
      <c r="F2464" s="109" t="s">
        <v>8082</v>
      </c>
      <c r="G2464" s="24" t="s">
        <v>8083</v>
      </c>
      <c r="H2464" s="230">
        <v>3.5</v>
      </c>
      <c r="I2464" s="220">
        <f>676500/1.1</f>
        <v>615000</v>
      </c>
      <c r="J2464" s="220">
        <v>61500</v>
      </c>
      <c r="K2464" s="220">
        <v>14300</v>
      </c>
      <c r="L2464" s="220">
        <v>9130</v>
      </c>
      <c r="M2464" s="220">
        <v>61659</v>
      </c>
      <c r="N2464" s="220">
        <f>SUM(I2464:M2465)</f>
        <v>761589</v>
      </c>
      <c r="O2464" s="224"/>
      <c r="P2464" s="110" t="s">
        <v>9152</v>
      </c>
      <c r="Q2464" s="15" t="s">
        <v>19</v>
      </c>
      <c r="R2464" s="205"/>
      <c r="S2464" s="189" t="s">
        <v>1361</v>
      </c>
      <c r="T2464" s="114"/>
      <c r="U2464" s="21"/>
      <c r="V2464" s="115">
        <v>45962</v>
      </c>
      <c r="W2464" s="116">
        <v>1274</v>
      </c>
      <c r="X2464" s="220">
        <v>700000</v>
      </c>
      <c r="Y2464" s="220">
        <f>X2464*0.1</f>
        <v>70000</v>
      </c>
      <c r="Z2464" s="220">
        <v>9130</v>
      </c>
      <c r="AA2464" s="220">
        <f>SUM(X2464:Z2464)</f>
        <v>779130</v>
      </c>
      <c r="AB2464" s="222">
        <v>45967</v>
      </c>
    </row>
    <row r="2465" spans="1:28" ht="17.100000000000001" customHeight="1" thickBot="1">
      <c r="A2465" s="227"/>
      <c r="B2465" s="27" t="s">
        <v>1708</v>
      </c>
      <c r="C2465" s="27" t="s">
        <v>8060</v>
      </c>
      <c r="D2465" s="14" t="s">
        <v>1710</v>
      </c>
      <c r="E2465" s="229"/>
      <c r="F2465" s="117" t="s">
        <v>8061</v>
      </c>
      <c r="G2465" s="26">
        <v>56348</v>
      </c>
      <c r="H2465" s="231"/>
      <c r="I2465" s="221"/>
      <c r="J2465" s="221"/>
      <c r="K2465" s="221"/>
      <c r="L2465" s="221"/>
      <c r="M2465" s="221"/>
      <c r="N2465" s="221"/>
      <c r="O2465" s="225"/>
      <c r="P2465" s="118" t="s">
        <v>9153</v>
      </c>
      <c r="Q2465" s="16" t="s">
        <v>20</v>
      </c>
      <c r="R2465" s="17" t="s">
        <v>9093</v>
      </c>
      <c r="S2465" s="121" t="s">
        <v>7710</v>
      </c>
      <c r="T2465" s="122"/>
      <c r="U2465" s="22"/>
      <c r="V2465" s="123" t="s">
        <v>2472</v>
      </c>
      <c r="W2465" s="122">
        <v>37373</v>
      </c>
      <c r="X2465" s="221"/>
      <c r="Y2465" s="221"/>
      <c r="Z2465" s="221"/>
      <c r="AA2465" s="221"/>
      <c r="AB2465" s="223"/>
    </row>
    <row r="2466" spans="1:28" ht="17.100000000000001" customHeight="1" thickTop="1">
      <c r="A2466" s="226" t="s">
        <v>8041</v>
      </c>
      <c r="B2466" s="28">
        <v>45943</v>
      </c>
      <c r="C2466" s="25"/>
      <c r="D2466" s="13" t="s">
        <v>7281</v>
      </c>
      <c r="E2466" s="228"/>
      <c r="F2466" s="109" t="s">
        <v>8084</v>
      </c>
      <c r="G2466" s="24" t="s">
        <v>8085</v>
      </c>
      <c r="H2466" s="230">
        <v>4</v>
      </c>
      <c r="I2466" s="220">
        <f>462000/1.1</f>
        <v>419999.99999999994</v>
      </c>
      <c r="J2466" s="220">
        <f>I2466*0.1</f>
        <v>42000</v>
      </c>
      <c r="K2466" s="220">
        <v>0</v>
      </c>
      <c r="L2466" s="220">
        <v>8230</v>
      </c>
      <c r="M2466" s="220">
        <v>50369</v>
      </c>
      <c r="N2466" s="220">
        <f>SUM(I2466:M2467)</f>
        <v>520598.99999999994</v>
      </c>
      <c r="O2466" s="224"/>
      <c r="P2466" s="110" t="s">
        <v>9154</v>
      </c>
      <c r="Q2466" s="15" t="s">
        <v>19</v>
      </c>
      <c r="R2466" s="205"/>
      <c r="S2466" s="189" t="s">
        <v>1361</v>
      </c>
      <c r="T2466" s="114"/>
      <c r="U2466" s="21"/>
      <c r="V2466" s="115">
        <v>45993</v>
      </c>
      <c r="W2466" s="116">
        <v>1920</v>
      </c>
      <c r="X2466" s="220">
        <v>532000</v>
      </c>
      <c r="Y2466" s="220">
        <f>X2466*0.1</f>
        <v>53200</v>
      </c>
      <c r="Z2466" s="220">
        <v>8230</v>
      </c>
      <c r="AA2466" s="220">
        <f>SUM(X2466:Z2466)</f>
        <v>593430</v>
      </c>
      <c r="AB2466" s="222"/>
    </row>
    <row r="2467" spans="1:28" ht="17.100000000000001" customHeight="1" thickBot="1">
      <c r="A2467" s="227"/>
      <c r="B2467" s="27" t="s">
        <v>1708</v>
      </c>
      <c r="C2467" s="27" t="s">
        <v>8062</v>
      </c>
      <c r="D2467" s="14" t="s">
        <v>273</v>
      </c>
      <c r="E2467" s="229"/>
      <c r="F2467" s="117" t="s">
        <v>8063</v>
      </c>
      <c r="G2467" s="26">
        <v>23128</v>
      </c>
      <c r="H2467" s="231"/>
      <c r="I2467" s="221"/>
      <c r="J2467" s="221"/>
      <c r="K2467" s="221"/>
      <c r="L2467" s="221"/>
      <c r="M2467" s="221"/>
      <c r="N2467" s="221"/>
      <c r="O2467" s="225"/>
      <c r="P2467" s="118" t="s">
        <v>9155</v>
      </c>
      <c r="Q2467" s="16" t="s">
        <v>20</v>
      </c>
      <c r="R2467" s="17" t="s">
        <v>9093</v>
      </c>
      <c r="S2467" s="121" t="s">
        <v>1625</v>
      </c>
      <c r="T2467" s="122"/>
      <c r="U2467" s="22"/>
      <c r="V2467" s="123" t="s">
        <v>2103</v>
      </c>
      <c r="W2467" s="122">
        <v>3319</v>
      </c>
      <c r="X2467" s="221"/>
      <c r="Y2467" s="221"/>
      <c r="Z2467" s="221"/>
      <c r="AA2467" s="221"/>
      <c r="AB2467" s="223"/>
    </row>
    <row r="2468" spans="1:28" ht="17.100000000000001" customHeight="1" thickTop="1">
      <c r="A2468" s="226" t="s">
        <v>8042</v>
      </c>
      <c r="B2468" s="28">
        <v>45943</v>
      </c>
      <c r="C2468" s="25"/>
      <c r="D2468" s="13" t="s">
        <v>1687</v>
      </c>
      <c r="E2468" s="228"/>
      <c r="F2468" s="109" t="s">
        <v>8086</v>
      </c>
      <c r="G2468" s="24" t="s">
        <v>8087</v>
      </c>
      <c r="H2468" s="230">
        <v>4</v>
      </c>
      <c r="I2468" s="220">
        <f>2574000/1.1</f>
        <v>2340000</v>
      </c>
      <c r="J2468" s="220">
        <f>I2468*0.1</f>
        <v>234000</v>
      </c>
      <c r="K2468" s="220">
        <v>14500</v>
      </c>
      <c r="L2468" s="220">
        <v>14660</v>
      </c>
      <c r="M2468" s="220">
        <v>119350</v>
      </c>
      <c r="N2468" s="220">
        <f>SUM(I2468:M2469)</f>
        <v>2722510</v>
      </c>
      <c r="O2468" s="224"/>
      <c r="P2468" s="110" t="s">
        <v>10538</v>
      </c>
      <c r="Q2468" s="15" t="s">
        <v>19</v>
      </c>
      <c r="R2468" s="205"/>
      <c r="S2468" s="189" t="s">
        <v>1276</v>
      </c>
      <c r="T2468" s="114"/>
      <c r="U2468" s="21"/>
      <c r="V2468" s="115">
        <v>45969</v>
      </c>
      <c r="W2468" s="116">
        <v>1275</v>
      </c>
      <c r="X2468" s="220">
        <v>2595000</v>
      </c>
      <c r="Y2468" s="220">
        <f>X2468*0.1</f>
        <v>259500</v>
      </c>
      <c r="Z2468" s="220">
        <v>14660</v>
      </c>
      <c r="AA2468" s="220">
        <f>SUM(X2468:Z2468)</f>
        <v>2869160</v>
      </c>
      <c r="AB2468" s="222">
        <v>45979</v>
      </c>
    </row>
    <row r="2469" spans="1:28" ht="17.100000000000001" customHeight="1" thickBot="1">
      <c r="A2469" s="227"/>
      <c r="B2469" s="27" t="s">
        <v>1708</v>
      </c>
      <c r="C2469" s="27" t="s">
        <v>8064</v>
      </c>
      <c r="D2469" s="14" t="s">
        <v>1710</v>
      </c>
      <c r="E2469" s="229"/>
      <c r="F2469" s="117" t="s">
        <v>8065</v>
      </c>
      <c r="G2469" s="26">
        <v>23450</v>
      </c>
      <c r="H2469" s="231"/>
      <c r="I2469" s="221"/>
      <c r="J2469" s="221"/>
      <c r="K2469" s="221"/>
      <c r="L2469" s="221"/>
      <c r="M2469" s="221"/>
      <c r="N2469" s="221"/>
      <c r="O2469" s="225"/>
      <c r="P2469" s="118" t="s">
        <v>8913</v>
      </c>
      <c r="Q2469" s="16" t="s">
        <v>20</v>
      </c>
      <c r="R2469" s="17" t="s">
        <v>3913</v>
      </c>
      <c r="S2469" s="121" t="s">
        <v>7703</v>
      </c>
      <c r="T2469" s="122"/>
      <c r="U2469" s="22"/>
      <c r="V2469" s="123" t="s">
        <v>2472</v>
      </c>
      <c r="W2469" s="122">
        <v>37635</v>
      </c>
      <c r="X2469" s="221"/>
      <c r="Y2469" s="221"/>
      <c r="Z2469" s="221"/>
      <c r="AA2469" s="221"/>
      <c r="AB2469" s="223"/>
    </row>
    <row r="2470" spans="1:28" ht="17.100000000000001" customHeight="1" thickTop="1">
      <c r="A2470" s="226" t="s">
        <v>8043</v>
      </c>
      <c r="B2470" s="28">
        <v>45943</v>
      </c>
      <c r="C2470" s="25"/>
      <c r="D2470" s="13" t="s">
        <v>2010</v>
      </c>
      <c r="E2470" s="228"/>
      <c r="F2470" s="109" t="s">
        <v>5122</v>
      </c>
      <c r="G2470" s="24" t="s">
        <v>8088</v>
      </c>
      <c r="H2470" s="230">
        <v>4.5</v>
      </c>
      <c r="I2470" s="220">
        <f>3135000/1.1</f>
        <v>2850000</v>
      </c>
      <c r="J2470" s="220">
        <f>I2470*0.1</f>
        <v>285000</v>
      </c>
      <c r="K2470" s="220">
        <v>12000</v>
      </c>
      <c r="L2470" s="220">
        <v>12250</v>
      </c>
      <c r="M2470" s="220">
        <v>133375</v>
      </c>
      <c r="N2470" s="220">
        <f>SUM(I2470:M2471)</f>
        <v>3292625</v>
      </c>
      <c r="O2470" s="224"/>
      <c r="P2470" s="110" t="s">
        <v>9276</v>
      </c>
      <c r="Q2470" s="15" t="s">
        <v>19</v>
      </c>
      <c r="R2470" s="205"/>
      <c r="S2470" s="189" t="s">
        <v>1276</v>
      </c>
      <c r="T2470" s="114"/>
      <c r="U2470" s="21"/>
      <c r="V2470" s="115">
        <v>45969</v>
      </c>
      <c r="W2470" s="116">
        <v>1275</v>
      </c>
      <c r="X2470" s="220">
        <v>2935000</v>
      </c>
      <c r="Y2470" s="220">
        <f>X2470*0.1</f>
        <v>293500</v>
      </c>
      <c r="Z2470" s="220">
        <v>12250</v>
      </c>
      <c r="AA2470" s="220">
        <f>SUM(X2470:Z2470)</f>
        <v>3240750</v>
      </c>
      <c r="AB2470" s="222">
        <v>45972</v>
      </c>
    </row>
    <row r="2471" spans="1:28" ht="17.100000000000001" customHeight="1" thickBot="1">
      <c r="A2471" s="227"/>
      <c r="B2471" s="27" t="s">
        <v>1708</v>
      </c>
      <c r="C2471" s="27" t="s">
        <v>8066</v>
      </c>
      <c r="D2471" s="14" t="s">
        <v>273</v>
      </c>
      <c r="E2471" s="229"/>
      <c r="F2471" s="117" t="s">
        <v>8067</v>
      </c>
      <c r="G2471" s="26">
        <v>29452</v>
      </c>
      <c r="H2471" s="231"/>
      <c r="I2471" s="221"/>
      <c r="J2471" s="221"/>
      <c r="K2471" s="221"/>
      <c r="L2471" s="221"/>
      <c r="M2471" s="221"/>
      <c r="N2471" s="221"/>
      <c r="O2471" s="225"/>
      <c r="P2471" s="118" t="s">
        <v>9277</v>
      </c>
      <c r="Q2471" s="16" t="s">
        <v>20</v>
      </c>
      <c r="R2471" s="17" t="s">
        <v>9275</v>
      </c>
      <c r="S2471" s="121" t="s">
        <v>1606</v>
      </c>
      <c r="T2471" s="122"/>
      <c r="U2471" s="22"/>
      <c r="V2471" s="123" t="s">
        <v>2472</v>
      </c>
      <c r="W2471" s="122">
        <v>31028</v>
      </c>
      <c r="X2471" s="221"/>
      <c r="Y2471" s="221"/>
      <c r="Z2471" s="221"/>
      <c r="AA2471" s="221"/>
      <c r="AB2471" s="223"/>
    </row>
    <row r="2472" spans="1:28" ht="17.100000000000001" customHeight="1" thickTop="1">
      <c r="A2472" s="226" t="s">
        <v>8058</v>
      </c>
      <c r="B2472" s="28">
        <v>45943</v>
      </c>
      <c r="C2472" s="25"/>
      <c r="D2472" s="13" t="s">
        <v>2406</v>
      </c>
      <c r="E2472" s="228"/>
      <c r="F2472" s="109" t="s">
        <v>8089</v>
      </c>
      <c r="G2472" s="24" t="s">
        <v>8090</v>
      </c>
      <c r="H2472" s="230">
        <v>4.5</v>
      </c>
      <c r="I2472" s="220">
        <f>1094500/1.1</f>
        <v>994999.99999999988</v>
      </c>
      <c r="J2472" s="220">
        <f>I2472*0.1</f>
        <v>99500</v>
      </c>
      <c r="K2472" s="220">
        <v>11500</v>
      </c>
      <c r="L2472" s="220">
        <v>9130</v>
      </c>
      <c r="M2472" s="220">
        <v>82363</v>
      </c>
      <c r="N2472" s="220">
        <f>SUM(I2472:M2473)</f>
        <v>1197493</v>
      </c>
      <c r="O2472" s="224"/>
      <c r="P2472" s="110" t="s">
        <v>11577</v>
      </c>
      <c r="Q2472" s="15" t="s">
        <v>19</v>
      </c>
      <c r="R2472" s="205"/>
      <c r="S2472" s="189" t="s">
        <v>1361</v>
      </c>
      <c r="T2472" s="114"/>
      <c r="U2472" s="21"/>
      <c r="V2472" s="115">
        <v>45997</v>
      </c>
      <c r="W2472" s="116">
        <v>1279</v>
      </c>
      <c r="X2472" s="220">
        <v>1110000</v>
      </c>
      <c r="Y2472" s="220">
        <f>X2472*0.1</f>
        <v>111000</v>
      </c>
      <c r="Z2472" s="220">
        <v>9130</v>
      </c>
      <c r="AA2472" s="220">
        <f>SUM(X2472:Z2472)</f>
        <v>1230130</v>
      </c>
      <c r="AB2472" s="222">
        <v>46000</v>
      </c>
    </row>
    <row r="2473" spans="1:28" ht="17.100000000000001" customHeight="1" thickBot="1">
      <c r="A2473" s="227"/>
      <c r="B2473" s="27" t="s">
        <v>1708</v>
      </c>
      <c r="C2473" s="27" t="s">
        <v>8068</v>
      </c>
      <c r="D2473" s="14" t="s">
        <v>1797</v>
      </c>
      <c r="E2473" s="229"/>
      <c r="F2473" s="117" t="s">
        <v>8069</v>
      </c>
      <c r="G2473" s="26">
        <v>55988</v>
      </c>
      <c r="H2473" s="231"/>
      <c r="I2473" s="221"/>
      <c r="J2473" s="221"/>
      <c r="K2473" s="221"/>
      <c r="L2473" s="221"/>
      <c r="M2473" s="221"/>
      <c r="N2473" s="221"/>
      <c r="O2473" s="225"/>
      <c r="P2473" s="118" t="s">
        <v>11578</v>
      </c>
      <c r="Q2473" s="16" t="s">
        <v>20</v>
      </c>
      <c r="R2473" s="17" t="s">
        <v>1713</v>
      </c>
      <c r="S2473" s="121" t="s">
        <v>10515</v>
      </c>
      <c r="T2473" s="122"/>
      <c r="U2473" s="22"/>
      <c r="V2473" s="123" t="s">
        <v>7160</v>
      </c>
      <c r="W2473" s="122">
        <v>37785</v>
      </c>
      <c r="X2473" s="221"/>
      <c r="Y2473" s="221"/>
      <c r="Z2473" s="221"/>
      <c r="AA2473" s="221"/>
      <c r="AB2473" s="223"/>
    </row>
    <row r="2474" spans="1:28" ht="17.100000000000001" customHeight="1" thickTop="1">
      <c r="A2474" s="226" t="s">
        <v>8059</v>
      </c>
      <c r="B2474" s="28">
        <v>45943</v>
      </c>
      <c r="C2474" s="25"/>
      <c r="D2474" s="13" t="s">
        <v>1839</v>
      </c>
      <c r="E2474" s="228"/>
      <c r="F2474" s="109" t="s">
        <v>8091</v>
      </c>
      <c r="G2474" s="24" t="s">
        <v>8092</v>
      </c>
      <c r="H2474" s="230">
        <v>3.5</v>
      </c>
      <c r="I2474" s="220">
        <f>2321000/1.1</f>
        <v>2110000</v>
      </c>
      <c r="J2474" s="220">
        <f>I2474*0.1</f>
        <v>211000</v>
      </c>
      <c r="K2474" s="220">
        <v>6600</v>
      </c>
      <c r="L2474" s="220">
        <v>9550</v>
      </c>
      <c r="M2474" s="220">
        <v>113025</v>
      </c>
      <c r="N2474" s="220">
        <f>SUM(I2474:M2475)</f>
        <v>2450175</v>
      </c>
      <c r="O2474" s="224"/>
      <c r="P2474" s="110" t="s">
        <v>9063</v>
      </c>
      <c r="Q2474" s="15" t="s">
        <v>19</v>
      </c>
      <c r="R2474" s="205"/>
      <c r="S2474" s="189" t="s">
        <v>1361</v>
      </c>
      <c r="T2474" s="114"/>
      <c r="U2474" s="21"/>
      <c r="V2474" s="115">
        <v>45969</v>
      </c>
      <c r="W2474" s="116">
        <v>1275</v>
      </c>
      <c r="X2474" s="220">
        <v>2445000</v>
      </c>
      <c r="Y2474" s="220">
        <f>X2474*0.1</f>
        <v>244500</v>
      </c>
      <c r="Z2474" s="220">
        <v>9550</v>
      </c>
      <c r="AA2474" s="220">
        <f>SUM(X2474:Z2474)</f>
        <v>2699050</v>
      </c>
      <c r="AB2474" s="222">
        <v>45972</v>
      </c>
    </row>
    <row r="2475" spans="1:28" ht="17.100000000000001" customHeight="1" thickBot="1">
      <c r="A2475" s="227"/>
      <c r="B2475" s="27" t="s">
        <v>1708</v>
      </c>
      <c r="C2475" s="27" t="s">
        <v>8070</v>
      </c>
      <c r="D2475" s="14" t="s">
        <v>2559</v>
      </c>
      <c r="E2475" s="229"/>
      <c r="F2475" s="117" t="s">
        <v>8071</v>
      </c>
      <c r="G2475" s="26">
        <v>75803</v>
      </c>
      <c r="H2475" s="231"/>
      <c r="I2475" s="221"/>
      <c r="J2475" s="221"/>
      <c r="K2475" s="221"/>
      <c r="L2475" s="221"/>
      <c r="M2475" s="221"/>
      <c r="N2475" s="221"/>
      <c r="O2475" s="225"/>
      <c r="P2475" s="118" t="s">
        <v>9064</v>
      </c>
      <c r="Q2475" s="16" t="s">
        <v>20</v>
      </c>
      <c r="R2475" s="17" t="s">
        <v>8953</v>
      </c>
      <c r="S2475" s="121" t="s">
        <v>2703</v>
      </c>
      <c r="T2475" s="122"/>
      <c r="U2475" s="22"/>
      <c r="V2475" s="123" t="s">
        <v>2472</v>
      </c>
      <c r="W2475" s="122">
        <v>40044</v>
      </c>
      <c r="X2475" s="221"/>
      <c r="Y2475" s="221"/>
      <c r="Z2475" s="221"/>
      <c r="AA2475" s="221"/>
      <c r="AB2475" s="223"/>
    </row>
    <row r="2476" spans="1:28" ht="17.100000000000001" customHeight="1" thickTop="1">
      <c r="A2476" s="226" t="s">
        <v>8093</v>
      </c>
      <c r="B2476" s="28">
        <v>45943</v>
      </c>
      <c r="C2476" s="25"/>
      <c r="D2476" s="13" t="s">
        <v>3385</v>
      </c>
      <c r="E2476" s="228"/>
      <c r="F2476" s="109" t="s">
        <v>8095</v>
      </c>
      <c r="G2476" s="24" t="s">
        <v>2810</v>
      </c>
      <c r="H2476" s="230"/>
      <c r="I2476" s="220">
        <v>50000</v>
      </c>
      <c r="J2476" s="220">
        <v>0</v>
      </c>
      <c r="K2476" s="220">
        <v>0</v>
      </c>
      <c r="L2476" s="220">
        <v>0</v>
      </c>
      <c r="M2476" s="220">
        <v>0</v>
      </c>
      <c r="N2476" s="220">
        <f>SUM(I2476:M2477)</f>
        <v>50000</v>
      </c>
      <c r="O2476" s="224"/>
      <c r="P2476" s="110" t="s">
        <v>8097</v>
      </c>
      <c r="Q2476" s="15" t="s">
        <v>19</v>
      </c>
      <c r="R2476" s="205"/>
      <c r="S2476" s="189"/>
      <c r="T2476" s="114"/>
      <c r="U2476" s="21"/>
      <c r="V2476" s="115">
        <v>45980</v>
      </c>
      <c r="W2476" s="116">
        <v>993</v>
      </c>
      <c r="X2476" s="220">
        <v>48000</v>
      </c>
      <c r="Y2476" s="220">
        <f>X2476*0.1</f>
        <v>4800</v>
      </c>
      <c r="Z2476" s="220">
        <v>8730</v>
      </c>
      <c r="AA2476" s="220">
        <f>SUM(X2476:Z2476)</f>
        <v>61530</v>
      </c>
      <c r="AB2476" s="222">
        <v>45986</v>
      </c>
    </row>
    <row r="2477" spans="1:28" ht="17.100000000000001" customHeight="1" thickBot="1">
      <c r="A2477" s="227"/>
      <c r="B2477" s="27" t="s">
        <v>8094</v>
      </c>
      <c r="C2477" s="27"/>
      <c r="D2477" s="14" t="s">
        <v>2753</v>
      </c>
      <c r="E2477" s="229"/>
      <c r="F2477" s="117" t="s">
        <v>8096</v>
      </c>
      <c r="G2477" s="26">
        <v>208681</v>
      </c>
      <c r="H2477" s="231"/>
      <c r="I2477" s="221"/>
      <c r="J2477" s="221"/>
      <c r="K2477" s="221"/>
      <c r="L2477" s="221"/>
      <c r="M2477" s="221"/>
      <c r="N2477" s="221"/>
      <c r="O2477" s="225"/>
      <c r="P2477" s="118" t="s">
        <v>8098</v>
      </c>
      <c r="Q2477" s="16" t="s">
        <v>20</v>
      </c>
      <c r="R2477" s="17" t="s">
        <v>1614</v>
      </c>
      <c r="S2477" s="121" t="s">
        <v>169</v>
      </c>
      <c r="T2477" s="122"/>
      <c r="U2477" s="22"/>
      <c r="V2477" s="123" t="s">
        <v>2747</v>
      </c>
      <c r="W2477" s="122">
        <v>9065</v>
      </c>
      <c r="X2477" s="221"/>
      <c r="Y2477" s="221"/>
      <c r="Z2477" s="221"/>
      <c r="AA2477" s="221"/>
      <c r="AB2477" s="223"/>
    </row>
    <row r="2478" spans="1:28" ht="17.100000000000001" customHeight="1" thickTop="1">
      <c r="A2478" s="226" t="s">
        <v>8122</v>
      </c>
      <c r="B2478" s="28">
        <v>45943</v>
      </c>
      <c r="C2478" s="25">
        <v>59</v>
      </c>
      <c r="D2478" s="13" t="s">
        <v>2040</v>
      </c>
      <c r="E2478" s="228"/>
      <c r="F2478" s="109" t="s">
        <v>8120</v>
      </c>
      <c r="G2478" s="24" t="s">
        <v>2494</v>
      </c>
      <c r="H2478" s="230">
        <v>4</v>
      </c>
      <c r="I2478" s="220">
        <v>3245000</v>
      </c>
      <c r="J2478" s="220">
        <f>I2478*0.1</f>
        <v>324500</v>
      </c>
      <c r="K2478" s="220">
        <f>6600+660</f>
        <v>7260</v>
      </c>
      <c r="L2478" s="220">
        <v>11570</v>
      </c>
      <c r="M2478" s="220">
        <v>88000</v>
      </c>
      <c r="N2478" s="220">
        <f>SUM(I2478:M2479)</f>
        <v>3676330</v>
      </c>
      <c r="O2478" s="224"/>
      <c r="P2478" s="110" t="s">
        <v>9694</v>
      </c>
      <c r="Q2478" s="15" t="s">
        <v>19</v>
      </c>
      <c r="R2478" s="205"/>
      <c r="S2478" s="189" t="s">
        <v>758</v>
      </c>
      <c r="T2478" s="114"/>
      <c r="U2478" s="21"/>
      <c r="V2478" s="115">
        <v>45962</v>
      </c>
      <c r="W2478" s="116">
        <v>1274</v>
      </c>
      <c r="X2478" s="220">
        <v>3495000</v>
      </c>
      <c r="Y2478" s="220">
        <f>X2478*0.1</f>
        <v>349500</v>
      </c>
      <c r="Z2478" s="220">
        <v>11570</v>
      </c>
      <c r="AA2478" s="220">
        <f>SUM(X2478:Z2478)</f>
        <v>3856070</v>
      </c>
      <c r="AB2478" s="222">
        <v>45965</v>
      </c>
    </row>
    <row r="2479" spans="1:28" ht="17.100000000000001" customHeight="1" thickBot="1">
      <c r="A2479" s="227"/>
      <c r="B2479" s="27" t="s">
        <v>4468</v>
      </c>
      <c r="C2479" s="27">
        <v>1067</v>
      </c>
      <c r="D2479" s="14" t="s">
        <v>2559</v>
      </c>
      <c r="E2479" s="229"/>
      <c r="F2479" s="117" t="s">
        <v>8121</v>
      </c>
      <c r="G2479" s="26">
        <v>39954</v>
      </c>
      <c r="H2479" s="231"/>
      <c r="I2479" s="221"/>
      <c r="J2479" s="221"/>
      <c r="K2479" s="221"/>
      <c r="L2479" s="221"/>
      <c r="M2479" s="221"/>
      <c r="N2479" s="221"/>
      <c r="O2479" s="225"/>
      <c r="P2479" s="118" t="s">
        <v>9695</v>
      </c>
      <c r="Q2479" s="16" t="s">
        <v>20</v>
      </c>
      <c r="R2479" s="17" t="s">
        <v>9666</v>
      </c>
      <c r="S2479" s="121" t="s">
        <v>1731</v>
      </c>
      <c r="T2479" s="122"/>
      <c r="U2479" s="22"/>
      <c r="V2479" s="123" t="s">
        <v>2472</v>
      </c>
      <c r="W2479" s="122">
        <v>40010</v>
      </c>
      <c r="X2479" s="221"/>
      <c r="Y2479" s="221"/>
      <c r="Z2479" s="221"/>
      <c r="AA2479" s="221"/>
      <c r="AB2479" s="223"/>
    </row>
    <row r="2480" spans="1:28" ht="17.100000000000001" customHeight="1" thickTop="1">
      <c r="A2480" s="226" t="s">
        <v>8195</v>
      </c>
      <c r="B2480" s="28">
        <v>45944</v>
      </c>
      <c r="C2480" s="25">
        <v>1913</v>
      </c>
      <c r="D2480" s="13" t="s">
        <v>2564</v>
      </c>
      <c r="E2480" s="228"/>
      <c r="F2480" s="109" t="s">
        <v>2556</v>
      </c>
      <c r="G2480" s="24" t="s">
        <v>4025</v>
      </c>
      <c r="H2480" s="230">
        <v>4.5</v>
      </c>
      <c r="I2480" s="220">
        <v>1086000</v>
      </c>
      <c r="J2480" s="220">
        <f>I2480*0.1</f>
        <v>108600</v>
      </c>
      <c r="K2480" s="220">
        <v>0</v>
      </c>
      <c r="L2480" s="220">
        <v>9080</v>
      </c>
      <c r="M2480" s="220">
        <v>15950</v>
      </c>
      <c r="N2480" s="220">
        <f>SUM(I2480:M2481)</f>
        <v>1219630</v>
      </c>
      <c r="O2480" s="224"/>
      <c r="P2480" s="110" t="s">
        <v>8125</v>
      </c>
      <c r="Q2480" s="15" t="s">
        <v>19</v>
      </c>
      <c r="R2480" s="205"/>
      <c r="S2480" s="189" t="s">
        <v>25372</v>
      </c>
      <c r="T2480" s="114"/>
      <c r="U2480" s="21"/>
      <c r="V2480" s="115">
        <v>45955</v>
      </c>
      <c r="W2480" s="116">
        <v>1273</v>
      </c>
      <c r="X2480" s="220">
        <v>1230000</v>
      </c>
      <c r="Y2480" s="220">
        <f>X2480*0.1</f>
        <v>123000</v>
      </c>
      <c r="Z2480" s="220">
        <v>9080</v>
      </c>
      <c r="AA2480" s="220">
        <f>SUM(X2480:Z2480)</f>
        <v>1362080</v>
      </c>
      <c r="AB2480" s="222">
        <v>45958</v>
      </c>
    </row>
    <row r="2481" spans="1:28" ht="17.100000000000001" customHeight="1" thickBot="1">
      <c r="A2481" s="227"/>
      <c r="B2481" s="27" t="s">
        <v>2103</v>
      </c>
      <c r="C2481" s="27">
        <v>3200</v>
      </c>
      <c r="D2481" s="14" t="s">
        <v>273</v>
      </c>
      <c r="E2481" s="229"/>
      <c r="F2481" s="117" t="s">
        <v>8124</v>
      </c>
      <c r="G2481" s="26">
        <v>26961</v>
      </c>
      <c r="H2481" s="231"/>
      <c r="I2481" s="221"/>
      <c r="J2481" s="221"/>
      <c r="K2481" s="221"/>
      <c r="L2481" s="221"/>
      <c r="M2481" s="221"/>
      <c r="N2481" s="221"/>
      <c r="O2481" s="225"/>
      <c r="P2481" s="118" t="s">
        <v>8635</v>
      </c>
      <c r="Q2481" s="16" t="s">
        <v>20</v>
      </c>
      <c r="R2481" s="17" t="s">
        <v>8602</v>
      </c>
      <c r="S2481" s="121" t="s">
        <v>169</v>
      </c>
      <c r="T2481" s="122"/>
      <c r="U2481" s="22"/>
      <c r="V2481" s="123" t="s">
        <v>2472</v>
      </c>
      <c r="W2481" s="122">
        <v>60125</v>
      </c>
      <c r="X2481" s="221"/>
      <c r="Y2481" s="221"/>
      <c r="Z2481" s="221"/>
      <c r="AA2481" s="221"/>
      <c r="AB2481" s="223"/>
    </row>
    <row r="2482" spans="1:28" ht="17.100000000000001" customHeight="1" thickTop="1">
      <c r="A2482" s="226" t="s">
        <v>8196</v>
      </c>
      <c r="B2482" s="28">
        <v>45944</v>
      </c>
      <c r="C2482" s="25">
        <v>1913</v>
      </c>
      <c r="D2482" s="13" t="s">
        <v>2057</v>
      </c>
      <c r="E2482" s="228"/>
      <c r="F2482" s="109" t="s">
        <v>8126</v>
      </c>
      <c r="G2482" s="24" t="s">
        <v>2038</v>
      </c>
      <c r="H2482" s="230">
        <v>4</v>
      </c>
      <c r="I2482" s="220">
        <v>968000</v>
      </c>
      <c r="J2482" s="220">
        <f>I2482*0.1</f>
        <v>96800</v>
      </c>
      <c r="K2482" s="220">
        <v>0</v>
      </c>
      <c r="L2482" s="220">
        <v>7960</v>
      </c>
      <c r="M2482" s="220">
        <v>15950</v>
      </c>
      <c r="N2482" s="220">
        <f>SUM(I2482:M2483)</f>
        <v>1088710</v>
      </c>
      <c r="O2482" s="224"/>
      <c r="P2482" s="110" t="s">
        <v>8128</v>
      </c>
      <c r="Q2482" s="15" t="s">
        <v>19</v>
      </c>
      <c r="R2482" s="205"/>
      <c r="S2482" s="189" t="s">
        <v>758</v>
      </c>
      <c r="T2482" s="124" t="s">
        <v>8777</v>
      </c>
      <c r="U2482" s="21"/>
      <c r="V2482" s="115">
        <v>45948</v>
      </c>
      <c r="W2482" s="116">
        <v>1272</v>
      </c>
      <c r="X2482" s="220">
        <v>1090000</v>
      </c>
      <c r="Y2482" s="220">
        <f>X2482*0.1</f>
        <v>109000</v>
      </c>
      <c r="Z2482" s="220">
        <v>7960</v>
      </c>
      <c r="AA2482" s="220">
        <f>SUM(X2482:Z2482)</f>
        <v>1206960</v>
      </c>
      <c r="AB2482" s="222">
        <v>45958</v>
      </c>
    </row>
    <row r="2483" spans="1:28" ht="17.100000000000001" customHeight="1" thickBot="1">
      <c r="A2483" s="227"/>
      <c r="B2483" s="27" t="s">
        <v>2103</v>
      </c>
      <c r="C2483" s="27">
        <v>3289</v>
      </c>
      <c r="D2483" s="14" t="s">
        <v>2559</v>
      </c>
      <c r="E2483" s="229"/>
      <c r="F2483" s="117" t="s">
        <v>8127</v>
      </c>
      <c r="G2483" s="26">
        <v>15591</v>
      </c>
      <c r="H2483" s="231"/>
      <c r="I2483" s="221"/>
      <c r="J2483" s="221"/>
      <c r="K2483" s="221"/>
      <c r="L2483" s="221"/>
      <c r="M2483" s="221"/>
      <c r="N2483" s="221"/>
      <c r="O2483" s="225"/>
      <c r="P2483" s="118" t="s">
        <v>5159</v>
      </c>
      <c r="Q2483" s="16" t="s">
        <v>20</v>
      </c>
      <c r="R2483" s="17" t="s">
        <v>1656</v>
      </c>
      <c r="S2483" s="121" t="s">
        <v>8778</v>
      </c>
      <c r="T2483" s="122"/>
      <c r="U2483" s="22"/>
      <c r="V2483" s="123" t="s">
        <v>2472</v>
      </c>
      <c r="W2483" s="122">
        <v>60456</v>
      </c>
      <c r="X2483" s="221"/>
      <c r="Y2483" s="221"/>
      <c r="Z2483" s="221"/>
      <c r="AA2483" s="221"/>
      <c r="AB2483" s="223"/>
    </row>
    <row r="2484" spans="1:28" ht="17.100000000000001" customHeight="1" thickTop="1">
      <c r="A2484" s="226" t="s">
        <v>8197</v>
      </c>
      <c r="B2484" s="28">
        <v>45944</v>
      </c>
      <c r="C2484" s="25">
        <v>1913</v>
      </c>
      <c r="D2484" s="13" t="s">
        <v>2158</v>
      </c>
      <c r="E2484" s="228"/>
      <c r="F2484" s="109" t="s">
        <v>5101</v>
      </c>
      <c r="G2484" s="24"/>
      <c r="H2484" s="230">
        <v>4</v>
      </c>
      <c r="I2484" s="220">
        <v>307000</v>
      </c>
      <c r="J2484" s="220">
        <f>I2484*0.1</f>
        <v>30700</v>
      </c>
      <c r="K2484" s="220">
        <v>0</v>
      </c>
      <c r="L2484" s="220">
        <v>7140</v>
      </c>
      <c r="M2484" s="220">
        <v>15950</v>
      </c>
      <c r="N2484" s="220">
        <f>SUM(I2484:M2485)</f>
        <v>360790</v>
      </c>
      <c r="O2484" s="224"/>
      <c r="P2484" s="110" t="s">
        <v>8544</v>
      </c>
      <c r="Q2484" s="15" t="s">
        <v>19</v>
      </c>
      <c r="R2484" s="205"/>
      <c r="S2484" s="189"/>
      <c r="T2484" s="114"/>
      <c r="U2484" s="21"/>
      <c r="V2484" s="115">
        <v>45976</v>
      </c>
      <c r="W2484" s="116">
        <v>1276</v>
      </c>
      <c r="X2484" s="220">
        <v>365000</v>
      </c>
      <c r="Y2484" s="220">
        <f>X2484*0.1</f>
        <v>36500</v>
      </c>
      <c r="Z2484" s="220">
        <v>7140</v>
      </c>
      <c r="AA2484" s="220">
        <f>SUM(X2484:Z2484)</f>
        <v>408640</v>
      </c>
      <c r="AB2484" s="222">
        <v>45979</v>
      </c>
    </row>
    <row r="2485" spans="1:28" ht="17.100000000000001" customHeight="1" thickBot="1">
      <c r="A2485" s="227"/>
      <c r="B2485" s="27" t="s">
        <v>2103</v>
      </c>
      <c r="C2485" s="27">
        <v>3442</v>
      </c>
      <c r="D2485" s="14" t="s">
        <v>1584</v>
      </c>
      <c r="E2485" s="229"/>
      <c r="F2485" s="117" t="s">
        <v>8129</v>
      </c>
      <c r="G2485" s="26">
        <v>58144</v>
      </c>
      <c r="H2485" s="231"/>
      <c r="I2485" s="221"/>
      <c r="J2485" s="221"/>
      <c r="K2485" s="221"/>
      <c r="L2485" s="221"/>
      <c r="M2485" s="221"/>
      <c r="N2485" s="221"/>
      <c r="O2485" s="225"/>
      <c r="P2485" s="118" t="s">
        <v>8545</v>
      </c>
      <c r="Q2485" s="16" t="s">
        <v>20</v>
      </c>
      <c r="R2485" s="17" t="s">
        <v>2143</v>
      </c>
      <c r="S2485" s="121" t="s">
        <v>3566</v>
      </c>
      <c r="T2485" s="122"/>
      <c r="U2485" s="22"/>
      <c r="V2485" s="123" t="s">
        <v>10781</v>
      </c>
      <c r="W2485" s="122">
        <v>60273</v>
      </c>
      <c r="X2485" s="221"/>
      <c r="Y2485" s="221"/>
      <c r="Z2485" s="221"/>
      <c r="AA2485" s="221"/>
      <c r="AB2485" s="223"/>
    </row>
    <row r="2486" spans="1:28" ht="17.100000000000001" customHeight="1" thickTop="1">
      <c r="A2486" s="226" t="s">
        <v>8198</v>
      </c>
      <c r="B2486" s="28">
        <v>45944</v>
      </c>
      <c r="C2486" s="25">
        <v>1913</v>
      </c>
      <c r="D2486" s="13" t="s">
        <v>2422</v>
      </c>
      <c r="E2486" s="228"/>
      <c r="F2486" s="109" t="s">
        <v>8130</v>
      </c>
      <c r="G2486" s="24"/>
      <c r="H2486" s="230">
        <v>5</v>
      </c>
      <c r="I2486" s="220">
        <v>1749000</v>
      </c>
      <c r="J2486" s="220">
        <f>I2486*0.1</f>
        <v>174900</v>
      </c>
      <c r="K2486" s="220">
        <v>0</v>
      </c>
      <c r="L2486" s="220">
        <v>15180</v>
      </c>
      <c r="M2486" s="220">
        <v>15950</v>
      </c>
      <c r="N2486" s="220">
        <f>SUM(I2486:M2487)</f>
        <v>1955030</v>
      </c>
      <c r="O2486" s="224"/>
      <c r="P2486" s="110" t="s">
        <v>9365</v>
      </c>
      <c r="Q2486" s="15" t="s">
        <v>19</v>
      </c>
      <c r="R2486" s="205"/>
      <c r="S2486" s="189" t="s">
        <v>758</v>
      </c>
      <c r="T2486" s="114"/>
      <c r="U2486" s="21"/>
      <c r="V2486" s="115">
        <v>45955</v>
      </c>
      <c r="W2486" s="116">
        <v>1273</v>
      </c>
      <c r="X2486" s="220">
        <v>1960000</v>
      </c>
      <c r="Y2486" s="220">
        <f>X2486*0.1</f>
        <v>196000</v>
      </c>
      <c r="Z2486" s="220">
        <v>15180</v>
      </c>
      <c r="AA2486" s="220">
        <f>SUM(X2486:Z2486)</f>
        <v>2171180</v>
      </c>
      <c r="AB2486" s="222">
        <v>45960</v>
      </c>
    </row>
    <row r="2487" spans="1:28" ht="17.100000000000001" customHeight="1" thickBot="1">
      <c r="A2487" s="227"/>
      <c r="B2487" s="27" t="s">
        <v>2103</v>
      </c>
      <c r="C2487" s="27">
        <v>5013</v>
      </c>
      <c r="D2487" s="14" t="s">
        <v>1584</v>
      </c>
      <c r="E2487" s="229"/>
      <c r="F2487" s="117" t="s">
        <v>8131</v>
      </c>
      <c r="G2487" s="26">
        <v>40885</v>
      </c>
      <c r="H2487" s="231"/>
      <c r="I2487" s="221"/>
      <c r="J2487" s="221"/>
      <c r="K2487" s="221"/>
      <c r="L2487" s="221"/>
      <c r="M2487" s="221"/>
      <c r="N2487" s="221"/>
      <c r="O2487" s="225"/>
      <c r="P2487" s="118" t="s">
        <v>9366</v>
      </c>
      <c r="Q2487" s="16" t="s">
        <v>20</v>
      </c>
      <c r="R2487" s="17" t="s">
        <v>2143</v>
      </c>
      <c r="S2487" s="121" t="s">
        <v>8880</v>
      </c>
      <c r="T2487" s="122"/>
      <c r="U2487" s="22"/>
      <c r="V2487" s="123" t="s">
        <v>2472</v>
      </c>
      <c r="W2487" s="122">
        <v>80015</v>
      </c>
      <c r="X2487" s="221"/>
      <c r="Y2487" s="221"/>
      <c r="Z2487" s="221"/>
      <c r="AA2487" s="221"/>
      <c r="AB2487" s="223"/>
    </row>
    <row r="2488" spans="1:28" ht="17.100000000000001" customHeight="1" thickTop="1">
      <c r="A2488" s="226" t="s">
        <v>8199</v>
      </c>
      <c r="B2488" s="28">
        <v>45944</v>
      </c>
      <c r="C2488" s="25">
        <v>1913</v>
      </c>
      <c r="D2488" s="13" t="s">
        <v>2158</v>
      </c>
      <c r="E2488" s="228"/>
      <c r="F2488" s="109" t="s">
        <v>4893</v>
      </c>
      <c r="G2488" s="24"/>
      <c r="H2488" s="230">
        <v>4</v>
      </c>
      <c r="I2488" s="220">
        <v>1059000</v>
      </c>
      <c r="J2488" s="220">
        <f>I2488*0.1</f>
        <v>105900</v>
      </c>
      <c r="K2488" s="220">
        <v>0</v>
      </c>
      <c r="L2488" s="220">
        <v>7440</v>
      </c>
      <c r="M2488" s="220">
        <v>15950</v>
      </c>
      <c r="N2488" s="220">
        <f>SUM(I2488:M2489)</f>
        <v>1188290</v>
      </c>
      <c r="O2488" s="224"/>
      <c r="P2488" s="110" t="s">
        <v>9367</v>
      </c>
      <c r="Q2488" s="15" t="s">
        <v>19</v>
      </c>
      <c r="R2488" s="205"/>
      <c r="S2488" s="189"/>
      <c r="T2488" s="114"/>
      <c r="U2488" s="21"/>
      <c r="V2488" s="115">
        <v>46057</v>
      </c>
      <c r="W2488" s="116">
        <v>1003</v>
      </c>
      <c r="X2488" s="220">
        <v>1050000</v>
      </c>
      <c r="Y2488" s="220">
        <f>X2488*0.1</f>
        <v>105000</v>
      </c>
      <c r="Z2488" s="220">
        <v>7440</v>
      </c>
      <c r="AA2488" s="220">
        <f>SUM(X2488:Z2488)</f>
        <v>1162440</v>
      </c>
      <c r="AB2488" s="222">
        <v>46062</v>
      </c>
    </row>
    <row r="2489" spans="1:28" ht="17.100000000000001" customHeight="1" thickBot="1">
      <c r="A2489" s="227"/>
      <c r="B2489" s="27" t="s">
        <v>2103</v>
      </c>
      <c r="C2489" s="27">
        <v>62133</v>
      </c>
      <c r="D2489" s="14" t="s">
        <v>1584</v>
      </c>
      <c r="E2489" s="229"/>
      <c r="F2489" s="117" t="s">
        <v>8192</v>
      </c>
      <c r="G2489" s="26">
        <v>19950</v>
      </c>
      <c r="H2489" s="231"/>
      <c r="I2489" s="221"/>
      <c r="J2489" s="221"/>
      <c r="K2489" s="221"/>
      <c r="L2489" s="221"/>
      <c r="M2489" s="221"/>
      <c r="N2489" s="221"/>
      <c r="O2489" s="225"/>
      <c r="P2489" s="118" t="s">
        <v>7323</v>
      </c>
      <c r="Q2489" s="16" t="s">
        <v>20</v>
      </c>
      <c r="R2489" s="17" t="s">
        <v>2143</v>
      </c>
      <c r="S2489" s="121"/>
      <c r="T2489" s="122"/>
      <c r="U2489" s="22"/>
      <c r="V2489" s="123" t="s">
        <v>2747</v>
      </c>
      <c r="W2489" s="122">
        <v>6049</v>
      </c>
      <c r="X2489" s="221"/>
      <c r="Y2489" s="221"/>
      <c r="Z2489" s="221"/>
      <c r="AA2489" s="221"/>
      <c r="AB2489" s="223"/>
    </row>
    <row r="2490" spans="1:28" ht="17.100000000000001" customHeight="1" thickTop="1">
      <c r="A2490" s="226" t="s">
        <v>8200</v>
      </c>
      <c r="B2490" s="28">
        <v>45944</v>
      </c>
      <c r="C2490" s="25">
        <v>1913</v>
      </c>
      <c r="D2490" s="13" t="s">
        <v>1883</v>
      </c>
      <c r="E2490" s="228"/>
      <c r="F2490" s="109" t="s">
        <v>4844</v>
      </c>
      <c r="G2490" s="24" t="s">
        <v>2813</v>
      </c>
      <c r="H2490" s="230">
        <v>4.5</v>
      </c>
      <c r="I2490" s="220">
        <v>490000</v>
      </c>
      <c r="J2490" s="220">
        <f>I2490*0.1</f>
        <v>49000</v>
      </c>
      <c r="K2490" s="220">
        <v>0</v>
      </c>
      <c r="L2490" s="220">
        <v>7140</v>
      </c>
      <c r="M2490" s="220">
        <v>15950</v>
      </c>
      <c r="N2490" s="220">
        <f>SUM(I2490:M2491)</f>
        <v>562090</v>
      </c>
      <c r="O2490" s="224"/>
      <c r="P2490" s="110" t="s">
        <v>8194</v>
      </c>
      <c r="Q2490" s="15" t="s">
        <v>19</v>
      </c>
      <c r="R2490" s="205"/>
      <c r="S2490" s="189"/>
      <c r="T2490" s="114"/>
      <c r="U2490" s="21" t="s">
        <v>10196</v>
      </c>
      <c r="V2490" s="115">
        <v>45969</v>
      </c>
      <c r="W2490" s="116">
        <v>1275</v>
      </c>
      <c r="X2490" s="220">
        <v>555000</v>
      </c>
      <c r="Y2490" s="220">
        <f>X2490*0.1</f>
        <v>55500</v>
      </c>
      <c r="Z2490" s="220">
        <v>7140</v>
      </c>
      <c r="AA2490" s="220">
        <f>SUM(X2490:Z2490)</f>
        <v>617640</v>
      </c>
      <c r="AB2490" s="222">
        <v>45974</v>
      </c>
    </row>
    <row r="2491" spans="1:28" ht="17.100000000000001" customHeight="1" thickBot="1">
      <c r="A2491" s="227"/>
      <c r="B2491" s="27" t="s">
        <v>2103</v>
      </c>
      <c r="C2491" s="27">
        <v>76029</v>
      </c>
      <c r="D2491" s="14" t="s">
        <v>1710</v>
      </c>
      <c r="E2491" s="229"/>
      <c r="F2491" s="117" t="s">
        <v>8193</v>
      </c>
      <c r="G2491" s="26">
        <v>52181</v>
      </c>
      <c r="H2491" s="231"/>
      <c r="I2491" s="221"/>
      <c r="J2491" s="221"/>
      <c r="K2491" s="221"/>
      <c r="L2491" s="221"/>
      <c r="M2491" s="221"/>
      <c r="N2491" s="221"/>
      <c r="O2491" s="225"/>
      <c r="P2491" s="118" t="s">
        <v>7323</v>
      </c>
      <c r="Q2491" s="16" t="s">
        <v>20</v>
      </c>
      <c r="R2491" s="17" t="s">
        <v>2143</v>
      </c>
      <c r="S2491" s="121"/>
      <c r="T2491" s="122"/>
      <c r="U2491" s="22"/>
      <c r="V2491" s="123" t="s">
        <v>2472</v>
      </c>
      <c r="W2491" s="122">
        <v>60081</v>
      </c>
      <c r="X2491" s="221"/>
      <c r="Y2491" s="221"/>
      <c r="Z2491" s="221"/>
      <c r="AA2491" s="221"/>
      <c r="AB2491" s="223"/>
    </row>
    <row r="2492" spans="1:28" ht="17.100000000000001" customHeight="1" thickTop="1">
      <c r="A2492" s="226" t="s">
        <v>8201</v>
      </c>
      <c r="B2492" s="28">
        <v>45944</v>
      </c>
      <c r="C2492" s="25">
        <v>791</v>
      </c>
      <c r="D2492" s="13" t="s">
        <v>1915</v>
      </c>
      <c r="E2492" s="228"/>
      <c r="F2492" s="109" t="s">
        <v>8132</v>
      </c>
      <c r="G2492" s="24"/>
      <c r="H2492" s="230">
        <v>4</v>
      </c>
      <c r="I2492" s="220">
        <v>681000</v>
      </c>
      <c r="J2492" s="220">
        <f>I2492*0.1</f>
        <v>68100</v>
      </c>
      <c r="K2492" s="220">
        <v>0</v>
      </c>
      <c r="L2492" s="220">
        <v>18570</v>
      </c>
      <c r="M2492" s="220">
        <v>15950</v>
      </c>
      <c r="N2492" s="220">
        <f>SUM(I2492:M2493)</f>
        <v>783620</v>
      </c>
      <c r="O2492" s="224"/>
      <c r="P2492" s="110" t="s">
        <v>8532</v>
      </c>
      <c r="Q2492" s="15" t="s">
        <v>19</v>
      </c>
      <c r="R2492" s="205"/>
      <c r="S2492" s="189"/>
      <c r="T2492" s="114"/>
      <c r="U2492" s="21"/>
      <c r="V2492" s="115">
        <v>45955</v>
      </c>
      <c r="W2492" s="116">
        <v>1273</v>
      </c>
      <c r="X2492" s="220">
        <v>750000</v>
      </c>
      <c r="Y2492" s="220">
        <f>X2492*0.1</f>
        <v>75000</v>
      </c>
      <c r="Z2492" s="220">
        <v>18570</v>
      </c>
      <c r="AA2492" s="220">
        <f>SUM(X2492:Z2492)</f>
        <v>843570</v>
      </c>
      <c r="AB2492" s="222">
        <v>45958</v>
      </c>
    </row>
    <row r="2493" spans="1:28" ht="17.100000000000001" customHeight="1" thickBot="1">
      <c r="A2493" s="227"/>
      <c r="B2493" s="27" t="s">
        <v>3314</v>
      </c>
      <c r="C2493" s="27">
        <v>71108</v>
      </c>
      <c r="D2493" s="14" t="s">
        <v>131</v>
      </c>
      <c r="E2493" s="229"/>
      <c r="F2493" s="117" t="s">
        <v>8133</v>
      </c>
      <c r="G2493" s="26">
        <v>59913</v>
      </c>
      <c r="H2493" s="231"/>
      <c r="I2493" s="221"/>
      <c r="J2493" s="221"/>
      <c r="K2493" s="221"/>
      <c r="L2493" s="221"/>
      <c r="M2493" s="221"/>
      <c r="N2493" s="221"/>
      <c r="O2493" s="225"/>
      <c r="P2493" s="118" t="s">
        <v>8533</v>
      </c>
      <c r="Q2493" s="16" t="s">
        <v>20</v>
      </c>
      <c r="R2493" s="17" t="s">
        <v>2143</v>
      </c>
      <c r="S2493" s="121" t="s">
        <v>2166</v>
      </c>
      <c r="T2493" s="122"/>
      <c r="U2493" s="22"/>
      <c r="V2493" s="123" t="s">
        <v>2472</v>
      </c>
      <c r="W2493" s="122">
        <v>80011</v>
      </c>
      <c r="X2493" s="221"/>
      <c r="Y2493" s="221"/>
      <c r="Z2493" s="221"/>
      <c r="AA2493" s="221"/>
      <c r="AB2493" s="223"/>
    </row>
    <row r="2494" spans="1:28" ht="17.100000000000001" customHeight="1" thickTop="1">
      <c r="A2494" s="226" t="s">
        <v>8202</v>
      </c>
      <c r="B2494" s="28">
        <v>45944</v>
      </c>
      <c r="C2494" s="25">
        <v>911</v>
      </c>
      <c r="D2494" s="13" t="s">
        <v>2892</v>
      </c>
      <c r="E2494" s="228"/>
      <c r="F2494" s="109" t="s">
        <v>8134</v>
      </c>
      <c r="G2494" s="24"/>
      <c r="H2494" s="230">
        <v>4</v>
      </c>
      <c r="I2494" s="220">
        <v>970000</v>
      </c>
      <c r="J2494" s="220">
        <f>I2494*0.1</f>
        <v>97000</v>
      </c>
      <c r="K2494" s="220">
        <v>0</v>
      </c>
      <c r="L2494" s="220">
        <v>9200</v>
      </c>
      <c r="M2494" s="220">
        <v>15950</v>
      </c>
      <c r="N2494" s="220">
        <f>SUM(I2494:M2495)</f>
        <v>1092150</v>
      </c>
      <c r="O2494" s="224"/>
      <c r="P2494" s="110" t="s">
        <v>8549</v>
      </c>
      <c r="Q2494" s="15" t="s">
        <v>19</v>
      </c>
      <c r="R2494" s="205"/>
      <c r="S2494" s="189"/>
      <c r="T2494" s="114"/>
      <c r="U2494" s="21"/>
      <c r="V2494" s="115">
        <v>45969</v>
      </c>
      <c r="W2494" s="116">
        <v>1275</v>
      </c>
      <c r="X2494" s="220">
        <v>1045000</v>
      </c>
      <c r="Y2494" s="220">
        <f>X2494*0.1</f>
        <v>104500</v>
      </c>
      <c r="Z2494" s="220">
        <v>9200</v>
      </c>
      <c r="AA2494" s="220">
        <f>SUM(X2494:Z2494)</f>
        <v>1158700</v>
      </c>
      <c r="AB2494" s="222">
        <v>45972</v>
      </c>
    </row>
    <row r="2495" spans="1:28" ht="17.100000000000001" customHeight="1" thickBot="1">
      <c r="A2495" s="227"/>
      <c r="B2495" s="27" t="s">
        <v>2654</v>
      </c>
      <c r="C2495" s="27">
        <v>3152</v>
      </c>
      <c r="D2495" s="14" t="s">
        <v>273</v>
      </c>
      <c r="E2495" s="229"/>
      <c r="F2495" s="117" t="s">
        <v>8135</v>
      </c>
      <c r="G2495" s="26">
        <v>58129</v>
      </c>
      <c r="H2495" s="231"/>
      <c r="I2495" s="221"/>
      <c r="J2495" s="221"/>
      <c r="K2495" s="221"/>
      <c r="L2495" s="221"/>
      <c r="M2495" s="221"/>
      <c r="N2495" s="221"/>
      <c r="O2495" s="225"/>
      <c r="P2495" s="118" t="s">
        <v>8550</v>
      </c>
      <c r="Q2495" s="16" t="s">
        <v>20</v>
      </c>
      <c r="R2495" s="17" t="s">
        <v>2143</v>
      </c>
      <c r="S2495" s="121"/>
      <c r="T2495" s="122"/>
      <c r="U2495" s="22"/>
      <c r="V2495" s="123" t="s">
        <v>2472</v>
      </c>
      <c r="W2495" s="122">
        <v>60045</v>
      </c>
      <c r="X2495" s="221"/>
      <c r="Y2495" s="221"/>
      <c r="Z2495" s="221"/>
      <c r="AA2495" s="221"/>
      <c r="AB2495" s="223"/>
    </row>
    <row r="2496" spans="1:28" ht="17.100000000000001" customHeight="1" thickTop="1">
      <c r="A2496" s="226" t="s">
        <v>8203</v>
      </c>
      <c r="B2496" s="28">
        <v>45944</v>
      </c>
      <c r="C2496" s="25">
        <v>911</v>
      </c>
      <c r="D2496" s="13" t="s">
        <v>1915</v>
      </c>
      <c r="E2496" s="228"/>
      <c r="F2496" s="109" t="s">
        <v>4145</v>
      </c>
      <c r="G2496" s="24"/>
      <c r="H2496" s="230">
        <v>4</v>
      </c>
      <c r="I2496" s="220">
        <v>448000</v>
      </c>
      <c r="J2496" s="220">
        <f>I2496*0.1</f>
        <v>44800</v>
      </c>
      <c r="K2496" s="220">
        <v>0</v>
      </c>
      <c r="L2496" s="220">
        <v>8460</v>
      </c>
      <c r="M2496" s="220">
        <v>15950</v>
      </c>
      <c r="N2496" s="220">
        <f>SUM(I2496:M2497)</f>
        <v>517210</v>
      </c>
      <c r="O2496" s="224"/>
      <c r="P2496" s="110" t="s">
        <v>8547</v>
      </c>
      <c r="Q2496" s="15" t="s">
        <v>19</v>
      </c>
      <c r="R2496" s="205"/>
      <c r="S2496" s="189"/>
      <c r="T2496" s="114"/>
      <c r="U2496" s="21"/>
      <c r="V2496" s="115">
        <v>45969</v>
      </c>
      <c r="W2496" s="116">
        <v>1275</v>
      </c>
      <c r="X2496" s="220">
        <v>475000</v>
      </c>
      <c r="Y2496" s="220">
        <f>X2496*0.1</f>
        <v>47500</v>
      </c>
      <c r="Z2496" s="220">
        <v>8460</v>
      </c>
      <c r="AA2496" s="220">
        <f>SUM(X2496:Z2496)</f>
        <v>530960</v>
      </c>
      <c r="AB2496" s="222">
        <v>45972</v>
      </c>
    </row>
    <row r="2497" spans="1:28" ht="17.100000000000001" customHeight="1" thickBot="1">
      <c r="A2497" s="227"/>
      <c r="B2497" s="27" t="s">
        <v>2654</v>
      </c>
      <c r="C2497" s="27">
        <v>3164</v>
      </c>
      <c r="D2497" s="14" t="s">
        <v>1710</v>
      </c>
      <c r="E2497" s="229"/>
      <c r="F2497" s="117" t="s">
        <v>8136</v>
      </c>
      <c r="G2497" s="26">
        <v>29941</v>
      </c>
      <c r="H2497" s="231"/>
      <c r="I2497" s="221"/>
      <c r="J2497" s="221"/>
      <c r="K2497" s="221"/>
      <c r="L2497" s="221"/>
      <c r="M2497" s="221"/>
      <c r="N2497" s="221"/>
      <c r="O2497" s="225"/>
      <c r="P2497" s="118" t="s">
        <v>8548</v>
      </c>
      <c r="Q2497" s="16" t="s">
        <v>20</v>
      </c>
      <c r="R2497" s="17" t="s">
        <v>2143</v>
      </c>
      <c r="S2497" s="121" t="s">
        <v>4852</v>
      </c>
      <c r="T2497" s="122"/>
      <c r="U2497" s="22"/>
      <c r="V2497" s="123" t="s">
        <v>2472</v>
      </c>
      <c r="W2497" s="122">
        <v>60155</v>
      </c>
      <c r="X2497" s="221"/>
      <c r="Y2497" s="221"/>
      <c r="Z2497" s="221"/>
      <c r="AA2497" s="221"/>
      <c r="AB2497" s="223"/>
    </row>
    <row r="2498" spans="1:28" ht="17.100000000000001" customHeight="1" thickTop="1">
      <c r="A2498" s="226" t="s">
        <v>8204</v>
      </c>
      <c r="B2498" s="28">
        <v>45944</v>
      </c>
      <c r="C2498" s="25">
        <v>911</v>
      </c>
      <c r="D2498" s="13" t="s">
        <v>1862</v>
      </c>
      <c r="E2498" s="228"/>
      <c r="F2498" s="109" t="s">
        <v>5334</v>
      </c>
      <c r="G2498" s="24" t="s">
        <v>2487</v>
      </c>
      <c r="H2498" s="230">
        <v>4</v>
      </c>
      <c r="I2498" s="220">
        <v>222000</v>
      </c>
      <c r="J2498" s="220">
        <f>I2498*0.1</f>
        <v>22200</v>
      </c>
      <c r="K2498" s="220">
        <v>0</v>
      </c>
      <c r="L2498" s="220">
        <v>9170</v>
      </c>
      <c r="M2498" s="220">
        <v>15950</v>
      </c>
      <c r="N2498" s="220">
        <f>SUM(I2498:M2499)</f>
        <v>269320</v>
      </c>
      <c r="O2498" s="224"/>
      <c r="P2498" s="110" t="s">
        <v>8138</v>
      </c>
      <c r="Q2498" s="15" t="s">
        <v>19</v>
      </c>
      <c r="R2498" s="205"/>
      <c r="S2498" s="189"/>
      <c r="T2498" s="114"/>
      <c r="U2498" s="21" t="s">
        <v>10193</v>
      </c>
      <c r="V2498" s="115">
        <v>45969</v>
      </c>
      <c r="W2498" s="116">
        <v>1275</v>
      </c>
      <c r="X2498" s="220">
        <v>295000</v>
      </c>
      <c r="Y2498" s="220">
        <f>X2498*0.1</f>
        <v>29500</v>
      </c>
      <c r="Z2498" s="220">
        <v>9170</v>
      </c>
      <c r="AA2498" s="220">
        <f>SUM(X2498:Z2498)</f>
        <v>333670</v>
      </c>
      <c r="AB2498" s="222">
        <v>45974</v>
      </c>
    </row>
    <row r="2499" spans="1:28" ht="17.100000000000001" customHeight="1" thickBot="1">
      <c r="A2499" s="227"/>
      <c r="B2499" s="27" t="s">
        <v>2654</v>
      </c>
      <c r="C2499" s="27">
        <v>4031</v>
      </c>
      <c r="D2499" s="14" t="s">
        <v>1568</v>
      </c>
      <c r="E2499" s="229"/>
      <c r="F2499" s="117" t="s">
        <v>8137</v>
      </c>
      <c r="G2499" s="26">
        <v>39504</v>
      </c>
      <c r="H2499" s="231"/>
      <c r="I2499" s="221"/>
      <c r="J2499" s="221"/>
      <c r="K2499" s="221"/>
      <c r="L2499" s="221"/>
      <c r="M2499" s="221"/>
      <c r="N2499" s="221"/>
      <c r="O2499" s="225"/>
      <c r="P2499" s="118" t="s">
        <v>8546</v>
      </c>
      <c r="Q2499" s="16" t="s">
        <v>20</v>
      </c>
      <c r="R2499" s="17" t="s">
        <v>2143</v>
      </c>
      <c r="S2499" s="121"/>
      <c r="T2499" s="122"/>
      <c r="U2499" s="22"/>
      <c r="V2499" s="123" t="s">
        <v>2472</v>
      </c>
      <c r="W2499" s="122">
        <v>60073</v>
      </c>
      <c r="X2499" s="221"/>
      <c r="Y2499" s="221"/>
      <c r="Z2499" s="221"/>
      <c r="AA2499" s="221"/>
      <c r="AB2499" s="223"/>
    </row>
    <row r="2500" spans="1:28" ht="17.100000000000001" customHeight="1" thickTop="1">
      <c r="A2500" s="226" t="s">
        <v>8205</v>
      </c>
      <c r="B2500" s="28">
        <v>45944</v>
      </c>
      <c r="C2500" s="25">
        <v>911</v>
      </c>
      <c r="D2500" s="13" t="s">
        <v>1746</v>
      </c>
      <c r="E2500" s="228"/>
      <c r="F2500" s="109" t="s">
        <v>8139</v>
      </c>
      <c r="G2500" s="24" t="s">
        <v>2494</v>
      </c>
      <c r="H2500" s="230">
        <v>4</v>
      </c>
      <c r="I2500" s="220">
        <v>1801000</v>
      </c>
      <c r="J2500" s="220">
        <f>I2500*0.1</f>
        <v>180100</v>
      </c>
      <c r="K2500" s="220">
        <v>23320</v>
      </c>
      <c r="L2500" s="220">
        <v>25460</v>
      </c>
      <c r="M2500" s="220">
        <v>15950</v>
      </c>
      <c r="N2500" s="220">
        <f>SUM(I2500:M2501)</f>
        <v>2045830</v>
      </c>
      <c r="O2500" s="224"/>
      <c r="P2500" s="110" t="s">
        <v>8141</v>
      </c>
      <c r="Q2500" s="15" t="s">
        <v>19</v>
      </c>
      <c r="R2500" s="205"/>
      <c r="S2500" s="189"/>
      <c r="T2500" s="114"/>
      <c r="U2500" s="21"/>
      <c r="V2500" s="115">
        <v>45969</v>
      </c>
      <c r="W2500" s="116">
        <v>1275</v>
      </c>
      <c r="X2500" s="220">
        <v>1895000</v>
      </c>
      <c r="Y2500" s="220">
        <f>X2500*0.1</f>
        <v>189500</v>
      </c>
      <c r="Z2500" s="220">
        <v>25460</v>
      </c>
      <c r="AA2500" s="220">
        <f>SUM(X2500:Z2500)</f>
        <v>2109960</v>
      </c>
      <c r="AB2500" s="222">
        <v>45972</v>
      </c>
    </row>
    <row r="2501" spans="1:28" ht="17.100000000000001" customHeight="1" thickBot="1">
      <c r="A2501" s="227"/>
      <c r="B2501" s="27" t="s">
        <v>2654</v>
      </c>
      <c r="C2501" s="27">
        <v>5001</v>
      </c>
      <c r="D2501" s="14" t="s">
        <v>273</v>
      </c>
      <c r="E2501" s="229"/>
      <c r="F2501" s="117" t="s">
        <v>8140</v>
      </c>
      <c r="G2501" s="26">
        <v>20816</v>
      </c>
      <c r="H2501" s="231"/>
      <c r="I2501" s="221"/>
      <c r="J2501" s="221"/>
      <c r="K2501" s="221"/>
      <c r="L2501" s="221"/>
      <c r="M2501" s="221"/>
      <c r="N2501" s="221"/>
      <c r="O2501" s="225"/>
      <c r="P2501" s="118" t="s">
        <v>2957</v>
      </c>
      <c r="Q2501" s="16" t="s">
        <v>20</v>
      </c>
      <c r="R2501" s="17" t="s">
        <v>2143</v>
      </c>
      <c r="S2501" s="121" t="s">
        <v>7720</v>
      </c>
      <c r="T2501" s="122"/>
      <c r="U2501" s="22"/>
      <c r="V2501" s="123" t="s">
        <v>2472</v>
      </c>
      <c r="W2501" s="122">
        <v>80052</v>
      </c>
      <c r="X2501" s="221"/>
      <c r="Y2501" s="221"/>
      <c r="Z2501" s="221"/>
      <c r="AA2501" s="221"/>
      <c r="AB2501" s="223"/>
    </row>
    <row r="2502" spans="1:28" ht="17.100000000000001" customHeight="1" thickTop="1">
      <c r="A2502" s="226" t="s">
        <v>8206</v>
      </c>
      <c r="B2502" s="28">
        <v>45944</v>
      </c>
      <c r="C2502" s="25">
        <v>911</v>
      </c>
      <c r="D2502" s="13" t="s">
        <v>1935</v>
      </c>
      <c r="E2502" s="228"/>
      <c r="F2502" s="109" t="s">
        <v>2678</v>
      </c>
      <c r="G2502" s="24"/>
      <c r="H2502" s="230">
        <v>4.5</v>
      </c>
      <c r="I2502" s="220">
        <v>1323000</v>
      </c>
      <c r="J2502" s="220">
        <f>I2502*0.1</f>
        <v>132300</v>
      </c>
      <c r="K2502" s="220">
        <v>0</v>
      </c>
      <c r="L2502" s="220">
        <v>17700</v>
      </c>
      <c r="M2502" s="220">
        <v>15950</v>
      </c>
      <c r="N2502" s="220">
        <f>SUM(I2502:M2503)</f>
        <v>1488950</v>
      </c>
      <c r="O2502" s="224"/>
      <c r="P2502" s="110" t="s">
        <v>8531</v>
      </c>
      <c r="Q2502" s="15" t="s">
        <v>19</v>
      </c>
      <c r="R2502" s="205"/>
      <c r="S2502" s="189"/>
      <c r="T2502" s="114"/>
      <c r="U2502" s="21"/>
      <c r="V2502" s="115">
        <v>45962</v>
      </c>
      <c r="W2502" s="116">
        <v>1274</v>
      </c>
      <c r="X2502" s="220">
        <v>1450000</v>
      </c>
      <c r="Y2502" s="220">
        <f>X2502*0.1</f>
        <v>145000</v>
      </c>
      <c r="Z2502" s="220">
        <v>17700</v>
      </c>
      <c r="AA2502" s="220">
        <f>SUM(X2502:Z2502)</f>
        <v>1612700</v>
      </c>
      <c r="AB2502" s="222">
        <v>45965</v>
      </c>
    </row>
    <row r="2503" spans="1:28" ht="17.100000000000001" customHeight="1" thickBot="1">
      <c r="A2503" s="227"/>
      <c r="B2503" s="27" t="s">
        <v>2654</v>
      </c>
      <c r="C2503" s="27">
        <v>5013</v>
      </c>
      <c r="D2503" s="14" t="s">
        <v>131</v>
      </c>
      <c r="E2503" s="229"/>
      <c r="F2503" s="117" t="s">
        <v>8142</v>
      </c>
      <c r="G2503" s="26">
        <v>52799</v>
      </c>
      <c r="H2503" s="231"/>
      <c r="I2503" s="221"/>
      <c r="J2503" s="221"/>
      <c r="K2503" s="221"/>
      <c r="L2503" s="221"/>
      <c r="M2503" s="221"/>
      <c r="N2503" s="221"/>
      <c r="O2503" s="225"/>
      <c r="P2503" s="118" t="s">
        <v>8530</v>
      </c>
      <c r="Q2503" s="16" t="s">
        <v>20</v>
      </c>
      <c r="R2503" s="17" t="s">
        <v>2143</v>
      </c>
      <c r="S2503" s="121" t="s">
        <v>7722</v>
      </c>
      <c r="T2503" s="122"/>
      <c r="U2503" s="22"/>
      <c r="V2503" s="123" t="s">
        <v>2472</v>
      </c>
      <c r="W2503" s="122">
        <v>80090</v>
      </c>
      <c r="X2503" s="221"/>
      <c r="Y2503" s="221"/>
      <c r="Z2503" s="221"/>
      <c r="AA2503" s="221"/>
      <c r="AB2503" s="223"/>
    </row>
    <row r="2504" spans="1:28" ht="17.100000000000001" customHeight="1" thickTop="1">
      <c r="A2504" s="226" t="s">
        <v>8207</v>
      </c>
      <c r="B2504" s="28">
        <v>45944</v>
      </c>
      <c r="C2504" s="25">
        <v>911</v>
      </c>
      <c r="D2504" s="13" t="s">
        <v>2158</v>
      </c>
      <c r="E2504" s="228"/>
      <c r="F2504" s="109" t="s">
        <v>8143</v>
      </c>
      <c r="G2504" s="24"/>
      <c r="H2504" s="230">
        <v>4</v>
      </c>
      <c r="I2504" s="220">
        <v>1086000</v>
      </c>
      <c r="J2504" s="220">
        <v>0</v>
      </c>
      <c r="K2504" s="220">
        <v>0</v>
      </c>
      <c r="L2504" s="220">
        <v>9120</v>
      </c>
      <c r="M2504" s="220">
        <v>15950</v>
      </c>
      <c r="N2504" s="220">
        <f>SUM(I2504:M2505)</f>
        <v>1111070</v>
      </c>
      <c r="O2504" s="224"/>
      <c r="P2504" s="110" t="s">
        <v>8551</v>
      </c>
      <c r="Q2504" s="15" t="s">
        <v>19</v>
      </c>
      <c r="R2504" s="205"/>
      <c r="S2504" s="189"/>
      <c r="T2504" s="114"/>
      <c r="U2504" s="21"/>
      <c r="V2504" s="115">
        <v>45948</v>
      </c>
      <c r="W2504" s="116">
        <v>1272</v>
      </c>
      <c r="X2504" s="220">
        <v>1105000</v>
      </c>
      <c r="Y2504" s="220">
        <f>X2504*0.1</f>
        <v>110500</v>
      </c>
      <c r="Z2504" s="220">
        <v>9120</v>
      </c>
      <c r="AA2504" s="220">
        <f>SUM(X2504:Z2504)</f>
        <v>1224620</v>
      </c>
      <c r="AB2504" s="222">
        <v>45951</v>
      </c>
    </row>
    <row r="2505" spans="1:28" ht="17.100000000000001" customHeight="1" thickBot="1">
      <c r="A2505" s="227"/>
      <c r="B2505" s="27" t="s">
        <v>2654</v>
      </c>
      <c r="C2505" s="27">
        <v>6904</v>
      </c>
      <c r="D2505" s="14" t="s">
        <v>1710</v>
      </c>
      <c r="E2505" s="229"/>
      <c r="F2505" s="117" t="s">
        <v>8144</v>
      </c>
      <c r="G2505" s="26">
        <v>10253</v>
      </c>
      <c r="H2505" s="231"/>
      <c r="I2505" s="221"/>
      <c r="J2505" s="221"/>
      <c r="K2505" s="221"/>
      <c r="L2505" s="221"/>
      <c r="M2505" s="221"/>
      <c r="N2505" s="221"/>
      <c r="O2505" s="225"/>
      <c r="P2505" s="118" t="s">
        <v>8552</v>
      </c>
      <c r="Q2505" s="16" t="s">
        <v>20</v>
      </c>
      <c r="R2505" s="17" t="s">
        <v>2143</v>
      </c>
      <c r="S2505" s="121" t="s">
        <v>3331</v>
      </c>
      <c r="T2505" s="122"/>
      <c r="U2505" s="22"/>
      <c r="V2505" s="123" t="s">
        <v>2472</v>
      </c>
      <c r="W2505" s="122">
        <v>60475</v>
      </c>
      <c r="X2505" s="221"/>
      <c r="Y2505" s="221"/>
      <c r="Z2505" s="221"/>
      <c r="AA2505" s="221"/>
      <c r="AB2505" s="223"/>
    </row>
    <row r="2506" spans="1:28" ht="17.100000000000001" customHeight="1" thickTop="1">
      <c r="A2506" s="226" t="s">
        <v>8211</v>
      </c>
      <c r="B2506" s="28">
        <v>45944</v>
      </c>
      <c r="C2506" s="25">
        <v>961</v>
      </c>
      <c r="D2506" s="13" t="s">
        <v>2712</v>
      </c>
      <c r="E2506" s="228"/>
      <c r="F2506" s="109" t="s">
        <v>5101</v>
      </c>
      <c r="G2506" s="24"/>
      <c r="H2506" s="230">
        <v>3.5</v>
      </c>
      <c r="I2506" s="220">
        <v>358000</v>
      </c>
      <c r="J2506" s="220">
        <f>I2506*0.1</f>
        <v>35800</v>
      </c>
      <c r="K2506" s="220">
        <v>0</v>
      </c>
      <c r="L2506" s="220">
        <v>7140</v>
      </c>
      <c r="M2506" s="220">
        <v>22000</v>
      </c>
      <c r="N2506" s="220">
        <f>SUM(I2506:M2507)</f>
        <v>422940</v>
      </c>
      <c r="O2506" s="224"/>
      <c r="P2506" s="110" t="s">
        <v>8922</v>
      </c>
      <c r="Q2506" s="15" t="s">
        <v>19</v>
      </c>
      <c r="R2506" s="205"/>
      <c r="S2506" s="189" t="s">
        <v>25387</v>
      </c>
      <c r="T2506" s="114"/>
      <c r="U2506" s="21"/>
      <c r="V2506" s="115">
        <v>45976</v>
      </c>
      <c r="W2506" s="116">
        <v>1276</v>
      </c>
      <c r="X2506" s="220">
        <v>370000</v>
      </c>
      <c r="Y2506" s="220">
        <f>X2506*0.1</f>
        <v>37000</v>
      </c>
      <c r="Z2506" s="220">
        <v>7170</v>
      </c>
      <c r="AA2506" s="220">
        <f>SUM(X2506:Z2506)</f>
        <v>414170</v>
      </c>
      <c r="AB2506" s="222">
        <v>45979</v>
      </c>
    </row>
    <row r="2507" spans="1:28" ht="17.100000000000001" customHeight="1" thickBot="1">
      <c r="A2507" s="227"/>
      <c r="B2507" s="27" t="s">
        <v>2029</v>
      </c>
      <c r="C2507" s="27">
        <v>247</v>
      </c>
      <c r="D2507" s="14" t="s">
        <v>1584</v>
      </c>
      <c r="E2507" s="229"/>
      <c r="F2507" s="117" t="s">
        <v>8208</v>
      </c>
      <c r="G2507" s="26">
        <v>36007</v>
      </c>
      <c r="H2507" s="231"/>
      <c r="I2507" s="221"/>
      <c r="J2507" s="221"/>
      <c r="K2507" s="221"/>
      <c r="L2507" s="221"/>
      <c r="M2507" s="221"/>
      <c r="N2507" s="221"/>
      <c r="O2507" s="225"/>
      <c r="P2507" s="118" t="s">
        <v>2446</v>
      </c>
      <c r="Q2507" s="16" t="s">
        <v>20</v>
      </c>
      <c r="R2507" s="17" t="s">
        <v>8783</v>
      </c>
      <c r="S2507" s="121" t="s">
        <v>1661</v>
      </c>
      <c r="T2507" s="122"/>
      <c r="U2507" s="22"/>
      <c r="V2507" s="123" t="s">
        <v>10781</v>
      </c>
      <c r="W2507" s="122">
        <v>60321</v>
      </c>
      <c r="X2507" s="221"/>
      <c r="Y2507" s="221"/>
      <c r="Z2507" s="221"/>
      <c r="AA2507" s="221"/>
      <c r="AB2507" s="223"/>
    </row>
    <row r="2508" spans="1:28" ht="17.100000000000001" customHeight="1" thickTop="1">
      <c r="A2508" s="233" t="s">
        <v>8212</v>
      </c>
      <c r="B2508" s="28">
        <v>45944</v>
      </c>
      <c r="C2508" s="25">
        <v>779</v>
      </c>
      <c r="D2508" s="13" t="s">
        <v>1634</v>
      </c>
      <c r="E2508" s="228"/>
      <c r="F2508" s="109" t="s">
        <v>8209</v>
      </c>
      <c r="G2508" s="24"/>
      <c r="H2508" s="230">
        <v>4</v>
      </c>
      <c r="I2508" s="220">
        <v>1098000</v>
      </c>
      <c r="J2508" s="220">
        <f>I2508*0.1</f>
        <v>109800</v>
      </c>
      <c r="K2508" s="220">
        <v>0</v>
      </c>
      <c r="L2508" s="220">
        <v>6860</v>
      </c>
      <c r="M2508" s="220">
        <v>22000</v>
      </c>
      <c r="N2508" s="220">
        <f>SUM(I2508:M2509)</f>
        <v>1236660</v>
      </c>
      <c r="O2508" s="224"/>
      <c r="P2508" s="110" t="s">
        <v>8632</v>
      </c>
      <c r="Q2508" s="15" t="s">
        <v>19</v>
      </c>
      <c r="R2508" s="205"/>
      <c r="S2508" s="189" t="s">
        <v>1113</v>
      </c>
      <c r="T2508" s="114"/>
      <c r="U2508" s="21"/>
      <c r="V2508" s="115">
        <v>46038</v>
      </c>
      <c r="W2508" s="116"/>
      <c r="X2508" s="220">
        <v>1190000</v>
      </c>
      <c r="Y2508" s="220">
        <f>X2508*0.1</f>
        <v>119000</v>
      </c>
      <c r="Z2508" s="220">
        <v>6860</v>
      </c>
      <c r="AA2508" s="220">
        <f>SUM(X2508:Z2508)</f>
        <v>1315860</v>
      </c>
      <c r="AB2508" s="222"/>
    </row>
    <row r="2509" spans="1:28" ht="17.100000000000001" customHeight="1" thickBot="1">
      <c r="A2509" s="234"/>
      <c r="B2509" s="27" t="s">
        <v>4416</v>
      </c>
      <c r="C2509" s="27">
        <v>168</v>
      </c>
      <c r="D2509" s="14" t="s">
        <v>1710</v>
      </c>
      <c r="E2509" s="229"/>
      <c r="F2509" s="117" t="s">
        <v>8210</v>
      </c>
      <c r="G2509" s="26">
        <v>46770</v>
      </c>
      <c r="H2509" s="231"/>
      <c r="I2509" s="221"/>
      <c r="J2509" s="221"/>
      <c r="K2509" s="221"/>
      <c r="L2509" s="221"/>
      <c r="M2509" s="221"/>
      <c r="N2509" s="221"/>
      <c r="O2509" s="225"/>
      <c r="P2509" s="118" t="s">
        <v>2446</v>
      </c>
      <c r="Q2509" s="16" t="s">
        <v>20</v>
      </c>
      <c r="R2509" s="17" t="s">
        <v>8602</v>
      </c>
      <c r="S2509" s="121" t="s">
        <v>1661</v>
      </c>
      <c r="T2509" s="122"/>
      <c r="U2509" s="22"/>
      <c r="V2509" s="123" t="s">
        <v>6682</v>
      </c>
      <c r="W2509" s="122">
        <v>52793</v>
      </c>
      <c r="X2509" s="221"/>
      <c r="Y2509" s="221"/>
      <c r="Z2509" s="221"/>
      <c r="AA2509" s="221"/>
      <c r="AB2509" s="223"/>
    </row>
    <row r="2510" spans="1:28" ht="17.100000000000001" customHeight="1" thickTop="1">
      <c r="A2510" s="226" t="s">
        <v>8213</v>
      </c>
      <c r="B2510" s="28">
        <v>45945</v>
      </c>
      <c r="C2510" s="25">
        <v>2326</v>
      </c>
      <c r="D2510" s="13" t="s">
        <v>2113</v>
      </c>
      <c r="E2510" s="228"/>
      <c r="F2510" s="109" t="s">
        <v>4431</v>
      </c>
      <c r="G2510" s="24" t="s">
        <v>8217</v>
      </c>
      <c r="H2510" s="230">
        <v>4.5</v>
      </c>
      <c r="I2510" s="220">
        <v>560000</v>
      </c>
      <c r="J2510" s="220">
        <f>I2510*0.1</f>
        <v>56000</v>
      </c>
      <c r="K2510" s="220">
        <v>15000</v>
      </c>
      <c r="L2510" s="220">
        <v>8140</v>
      </c>
      <c r="M2510" s="220">
        <v>16500</v>
      </c>
      <c r="N2510" s="220">
        <f>SUM(I2510:M2511)</f>
        <v>655640</v>
      </c>
      <c r="O2510" s="224"/>
      <c r="P2510" s="110" t="s">
        <v>8633</v>
      </c>
      <c r="Q2510" s="15" t="s">
        <v>19</v>
      </c>
      <c r="R2510" s="205"/>
      <c r="S2510" s="189"/>
      <c r="T2510" s="114"/>
      <c r="U2510" s="21" t="s">
        <v>10800</v>
      </c>
      <c r="V2510" s="115">
        <v>45987</v>
      </c>
      <c r="W2510" s="116">
        <v>994</v>
      </c>
      <c r="X2510" s="220">
        <v>610000</v>
      </c>
      <c r="Y2510" s="220">
        <f>X2510*0.1</f>
        <v>61000</v>
      </c>
      <c r="Z2510" s="220">
        <v>8140</v>
      </c>
      <c r="AA2510" s="220">
        <f>SUM(X2510:Z2510)</f>
        <v>679140</v>
      </c>
      <c r="AB2510" s="222">
        <v>45992</v>
      </c>
    </row>
    <row r="2511" spans="1:28" ht="17.100000000000001" customHeight="1" thickBot="1">
      <c r="A2511" s="227"/>
      <c r="B2511" s="27" t="s">
        <v>3367</v>
      </c>
      <c r="C2511" s="27">
        <v>20029</v>
      </c>
      <c r="D2511" s="14" t="s">
        <v>3792</v>
      </c>
      <c r="E2511" s="229"/>
      <c r="F2511" s="117" t="s">
        <v>8216</v>
      </c>
      <c r="G2511" s="26">
        <v>14884</v>
      </c>
      <c r="H2511" s="231"/>
      <c r="I2511" s="221"/>
      <c r="J2511" s="221"/>
      <c r="K2511" s="221"/>
      <c r="L2511" s="221"/>
      <c r="M2511" s="221"/>
      <c r="N2511" s="221"/>
      <c r="O2511" s="225"/>
      <c r="P2511" s="118" t="s">
        <v>8634</v>
      </c>
      <c r="Q2511" s="16" t="s">
        <v>20</v>
      </c>
      <c r="R2511" s="17" t="s">
        <v>8602</v>
      </c>
      <c r="S2511" s="121" t="s">
        <v>1923</v>
      </c>
      <c r="T2511" s="122"/>
      <c r="U2511" s="22"/>
      <c r="V2511" s="123" t="s">
        <v>11555</v>
      </c>
      <c r="W2511" s="122">
        <v>2048</v>
      </c>
      <c r="X2511" s="221"/>
      <c r="Y2511" s="221"/>
      <c r="Z2511" s="221"/>
      <c r="AA2511" s="221"/>
      <c r="AB2511" s="223"/>
    </row>
    <row r="2512" spans="1:28" ht="17.100000000000001" customHeight="1" thickTop="1">
      <c r="A2512" s="226" t="s">
        <v>8214</v>
      </c>
      <c r="B2512" s="28">
        <v>45945</v>
      </c>
      <c r="C2512" s="25">
        <v>2326</v>
      </c>
      <c r="D2512" s="13" t="s">
        <v>1598</v>
      </c>
      <c r="E2512" s="228"/>
      <c r="F2512" s="109" t="s">
        <v>8077</v>
      </c>
      <c r="G2512" s="24"/>
      <c r="H2512" s="230">
        <v>4.5</v>
      </c>
      <c r="I2512" s="220">
        <v>595000</v>
      </c>
      <c r="J2512" s="220">
        <f>I2512*0.1</f>
        <v>59500</v>
      </c>
      <c r="K2512" s="220">
        <v>0</v>
      </c>
      <c r="L2512" s="220">
        <v>9790</v>
      </c>
      <c r="M2512" s="220">
        <v>16500</v>
      </c>
      <c r="N2512" s="220">
        <f>SUM(I2512:M2513)</f>
        <v>680790</v>
      </c>
      <c r="O2512" s="224"/>
      <c r="P2512" s="110" t="s">
        <v>8553</v>
      </c>
      <c r="Q2512" s="15" t="s">
        <v>19</v>
      </c>
      <c r="R2512" s="205"/>
      <c r="S2512" s="189" t="s">
        <v>25487</v>
      </c>
      <c r="T2512" s="114"/>
      <c r="U2512" s="21"/>
      <c r="V2512" s="115">
        <v>45973</v>
      </c>
      <c r="W2512" s="116">
        <v>992</v>
      </c>
      <c r="X2512" s="220">
        <v>655000</v>
      </c>
      <c r="Y2512" s="220">
        <f>X2512*0.1</f>
        <v>65500</v>
      </c>
      <c r="Z2512" s="220">
        <v>9790</v>
      </c>
      <c r="AA2512" s="220">
        <f>SUM(X2512:Z2512)</f>
        <v>730290</v>
      </c>
      <c r="AB2512" s="222">
        <v>45978</v>
      </c>
    </row>
    <row r="2513" spans="1:28" ht="17.100000000000001" customHeight="1" thickBot="1">
      <c r="A2513" s="227"/>
      <c r="B2513" s="27" t="s">
        <v>3367</v>
      </c>
      <c r="C2513" s="27">
        <v>20350</v>
      </c>
      <c r="D2513" s="14" t="s">
        <v>273</v>
      </c>
      <c r="E2513" s="229"/>
      <c r="F2513" s="117" t="s">
        <v>8218</v>
      </c>
      <c r="G2513" s="26">
        <v>76115</v>
      </c>
      <c r="H2513" s="231"/>
      <c r="I2513" s="221"/>
      <c r="J2513" s="221"/>
      <c r="K2513" s="221"/>
      <c r="L2513" s="221"/>
      <c r="M2513" s="221"/>
      <c r="N2513" s="221"/>
      <c r="O2513" s="225"/>
      <c r="P2513" s="118" t="s">
        <v>8554</v>
      </c>
      <c r="Q2513" s="16" t="s">
        <v>20</v>
      </c>
      <c r="R2513" s="17" t="s">
        <v>2143</v>
      </c>
      <c r="S2513" s="121" t="s">
        <v>8555</v>
      </c>
      <c r="T2513" s="122"/>
      <c r="U2513" s="22"/>
      <c r="V2513" s="123" t="s">
        <v>2747</v>
      </c>
      <c r="W2513" s="122">
        <v>2055</v>
      </c>
      <c r="X2513" s="221"/>
      <c r="Y2513" s="221"/>
      <c r="Z2513" s="221"/>
      <c r="AA2513" s="221"/>
      <c r="AB2513" s="223"/>
    </row>
    <row r="2514" spans="1:28" ht="17.100000000000001" customHeight="1" thickTop="1">
      <c r="A2514" s="226" t="s">
        <v>8215</v>
      </c>
      <c r="B2514" s="28">
        <v>45945</v>
      </c>
      <c r="C2514" s="25">
        <v>2326</v>
      </c>
      <c r="D2514" s="13" t="s">
        <v>1824</v>
      </c>
      <c r="E2514" s="228"/>
      <c r="F2514" s="109" t="s">
        <v>4308</v>
      </c>
      <c r="G2514" s="24"/>
      <c r="H2514" s="230">
        <v>4.5</v>
      </c>
      <c r="I2514" s="220">
        <v>355000</v>
      </c>
      <c r="J2514" s="220">
        <f>I2514*0.1</f>
        <v>35500</v>
      </c>
      <c r="K2514" s="220">
        <v>15000</v>
      </c>
      <c r="L2514" s="220">
        <v>9070</v>
      </c>
      <c r="M2514" s="220">
        <v>16500</v>
      </c>
      <c r="N2514" s="220">
        <f>SUM(I2514:M2515)</f>
        <v>431070</v>
      </c>
      <c r="O2514" s="224"/>
      <c r="P2514" s="110" t="s">
        <v>8919</v>
      </c>
      <c r="Q2514" s="15" t="s">
        <v>19</v>
      </c>
      <c r="R2514" s="205"/>
      <c r="S2514" s="189"/>
      <c r="T2514" s="114"/>
      <c r="U2514" s="21"/>
      <c r="V2514" s="115">
        <v>45994</v>
      </c>
      <c r="W2514" s="116">
        <v>995</v>
      </c>
      <c r="X2514" s="220">
        <v>380000</v>
      </c>
      <c r="Y2514" s="220">
        <f>X2514*0.1</f>
        <v>38000</v>
      </c>
      <c r="Z2514" s="220">
        <v>9070</v>
      </c>
      <c r="AA2514" s="220">
        <f>SUM(X2514:Z2514)</f>
        <v>427070</v>
      </c>
      <c r="AB2514" s="222">
        <v>45999</v>
      </c>
    </row>
    <row r="2515" spans="1:28" ht="17.100000000000001" customHeight="1" thickBot="1">
      <c r="A2515" s="227"/>
      <c r="B2515" s="27" t="s">
        <v>3367</v>
      </c>
      <c r="C2515" s="27">
        <v>20368</v>
      </c>
      <c r="D2515" s="14" t="s">
        <v>2559</v>
      </c>
      <c r="E2515" s="229"/>
      <c r="F2515" s="117" t="s">
        <v>8219</v>
      </c>
      <c r="G2515" s="26">
        <v>47330</v>
      </c>
      <c r="H2515" s="231"/>
      <c r="I2515" s="221"/>
      <c r="J2515" s="221"/>
      <c r="K2515" s="221"/>
      <c r="L2515" s="221"/>
      <c r="M2515" s="221"/>
      <c r="N2515" s="221"/>
      <c r="O2515" s="225"/>
      <c r="P2515" s="118" t="s">
        <v>8920</v>
      </c>
      <c r="Q2515" s="16" t="s">
        <v>20</v>
      </c>
      <c r="R2515" s="17" t="s">
        <v>8783</v>
      </c>
      <c r="S2515" s="121" t="s">
        <v>8921</v>
      </c>
      <c r="T2515" s="122"/>
      <c r="U2515" s="22"/>
      <c r="V2515" s="123" t="s">
        <v>2747</v>
      </c>
      <c r="W2515" s="122">
        <v>2042</v>
      </c>
      <c r="X2515" s="221"/>
      <c r="Y2515" s="221"/>
      <c r="Z2515" s="221"/>
      <c r="AA2515" s="221"/>
      <c r="AB2515" s="223"/>
    </row>
    <row r="2516" spans="1:28" ht="17.100000000000001" customHeight="1" thickTop="1">
      <c r="A2516" s="226" t="s">
        <v>8220</v>
      </c>
      <c r="B2516" s="28">
        <v>45945</v>
      </c>
      <c r="C2516" s="25">
        <v>1809</v>
      </c>
      <c r="D2516" s="13" t="s">
        <v>1615</v>
      </c>
      <c r="E2516" s="228"/>
      <c r="F2516" s="109" t="s">
        <v>8222</v>
      </c>
      <c r="G2516" s="24"/>
      <c r="H2516" s="230">
        <v>4.5</v>
      </c>
      <c r="I2516" s="220">
        <v>525000</v>
      </c>
      <c r="J2516" s="220">
        <f>I2516*0.1</f>
        <v>52500</v>
      </c>
      <c r="K2516" s="220">
        <v>0</v>
      </c>
      <c r="L2516" s="220">
        <v>8140</v>
      </c>
      <c r="M2516" s="220">
        <v>18150</v>
      </c>
      <c r="N2516" s="220">
        <f>SUM(I2516:M2517)</f>
        <v>603790</v>
      </c>
      <c r="O2516" s="224"/>
      <c r="P2516" s="110" t="s">
        <v>8937</v>
      </c>
      <c r="Q2516" s="15" t="s">
        <v>19</v>
      </c>
      <c r="R2516" s="205"/>
      <c r="S2516" s="189" t="s">
        <v>25527</v>
      </c>
      <c r="T2516" s="114"/>
      <c r="U2516" s="21"/>
      <c r="V2516" s="115">
        <v>45962</v>
      </c>
      <c r="W2516" s="116">
        <v>1274</v>
      </c>
      <c r="X2516" s="220">
        <v>605000</v>
      </c>
      <c r="Y2516" s="220">
        <v>60500</v>
      </c>
      <c r="Z2516" s="220">
        <v>8140</v>
      </c>
      <c r="AA2516" s="220">
        <f>SUM(X2516:Z2516)</f>
        <v>673640</v>
      </c>
      <c r="AB2516" s="222">
        <v>45965</v>
      </c>
    </row>
    <row r="2517" spans="1:28" ht="17.100000000000001" customHeight="1" thickBot="1">
      <c r="A2517" s="227"/>
      <c r="B2517" s="27" t="s">
        <v>2519</v>
      </c>
      <c r="C2517" s="27">
        <v>9167</v>
      </c>
      <c r="D2517" s="14" t="s">
        <v>3955</v>
      </c>
      <c r="E2517" s="229"/>
      <c r="F2517" s="117" t="s">
        <v>8223</v>
      </c>
      <c r="G2517" s="26">
        <v>43078</v>
      </c>
      <c r="H2517" s="231"/>
      <c r="I2517" s="221"/>
      <c r="J2517" s="221"/>
      <c r="K2517" s="221"/>
      <c r="L2517" s="221"/>
      <c r="M2517" s="221"/>
      <c r="N2517" s="221"/>
      <c r="O2517" s="225"/>
      <c r="P2517" s="118" t="s">
        <v>8938</v>
      </c>
      <c r="Q2517" s="16" t="s">
        <v>20</v>
      </c>
      <c r="R2517" s="17" t="s">
        <v>8783</v>
      </c>
      <c r="S2517" s="121" t="s">
        <v>8943</v>
      </c>
      <c r="T2517" s="122"/>
      <c r="U2517" s="22"/>
      <c r="V2517" s="123" t="s">
        <v>2472</v>
      </c>
      <c r="W2517" s="122">
        <v>60073</v>
      </c>
      <c r="X2517" s="221"/>
      <c r="Y2517" s="221"/>
      <c r="Z2517" s="221"/>
      <c r="AA2517" s="221"/>
      <c r="AB2517" s="223"/>
    </row>
    <row r="2518" spans="1:28" ht="17.100000000000001" customHeight="1" thickTop="1">
      <c r="A2518" s="226" t="s">
        <v>8221</v>
      </c>
      <c r="B2518" s="28">
        <v>45945</v>
      </c>
      <c r="C2518" s="25">
        <v>1809</v>
      </c>
      <c r="D2518" s="13" t="s">
        <v>3332</v>
      </c>
      <c r="E2518" s="228"/>
      <c r="F2518" s="109" t="s">
        <v>8224</v>
      </c>
      <c r="G2518" s="24" t="s">
        <v>4025</v>
      </c>
      <c r="H2518" s="230">
        <v>4.5</v>
      </c>
      <c r="I2518" s="220">
        <v>2040000</v>
      </c>
      <c r="J2518" s="220">
        <f>I2518*0.1</f>
        <v>204000</v>
      </c>
      <c r="K2518" s="220">
        <f>12700+1270</f>
        <v>13970</v>
      </c>
      <c r="L2518" s="220">
        <v>15220</v>
      </c>
      <c r="M2518" s="220">
        <v>18150</v>
      </c>
      <c r="N2518" s="220">
        <f>SUM(I2518:M2519)</f>
        <v>2291340</v>
      </c>
      <c r="O2518" s="224"/>
      <c r="P2518" s="110" t="s">
        <v>8226</v>
      </c>
      <c r="Q2518" s="15" t="s">
        <v>19</v>
      </c>
      <c r="R2518" s="205"/>
      <c r="S2518" s="189" t="s">
        <v>758</v>
      </c>
      <c r="T2518" s="114"/>
      <c r="U2518" s="21"/>
      <c r="V2518" s="115">
        <v>45955</v>
      </c>
      <c r="W2518" s="116">
        <v>1273</v>
      </c>
      <c r="X2518" s="220">
        <v>2245000</v>
      </c>
      <c r="Y2518" s="220">
        <f>X2518*0.1</f>
        <v>224500</v>
      </c>
      <c r="Z2518" s="220">
        <v>15220</v>
      </c>
      <c r="AA2518" s="220">
        <f>SUM(X2518:Z2518)</f>
        <v>2484720</v>
      </c>
      <c r="AB2518" s="222">
        <v>45958</v>
      </c>
    </row>
    <row r="2519" spans="1:28" ht="17.100000000000001" customHeight="1" thickBot="1">
      <c r="A2519" s="227"/>
      <c r="B2519" s="27" t="s">
        <v>2519</v>
      </c>
      <c r="C2519" s="27">
        <v>38115</v>
      </c>
      <c r="D2519" s="14" t="s">
        <v>1568</v>
      </c>
      <c r="E2519" s="229"/>
      <c r="F2519" s="117" t="s">
        <v>8225</v>
      </c>
      <c r="G2519" s="26">
        <v>41456</v>
      </c>
      <c r="H2519" s="231"/>
      <c r="I2519" s="221"/>
      <c r="J2519" s="221"/>
      <c r="K2519" s="221"/>
      <c r="L2519" s="221"/>
      <c r="M2519" s="221"/>
      <c r="N2519" s="221"/>
      <c r="O2519" s="225"/>
      <c r="P2519" s="118" t="s">
        <v>3400</v>
      </c>
      <c r="Q2519" s="16" t="s">
        <v>20</v>
      </c>
      <c r="R2519" s="17" t="s">
        <v>8783</v>
      </c>
      <c r="S2519" s="121" t="s">
        <v>8880</v>
      </c>
      <c r="T2519" s="122"/>
      <c r="U2519" s="22"/>
      <c r="V2519" s="123" t="s">
        <v>2472</v>
      </c>
      <c r="W2519" s="122">
        <v>80058</v>
      </c>
      <c r="X2519" s="221"/>
      <c r="Y2519" s="221"/>
      <c r="Z2519" s="221"/>
      <c r="AA2519" s="221"/>
      <c r="AB2519" s="223"/>
    </row>
    <row r="2520" spans="1:28" ht="17.100000000000001" customHeight="1" thickTop="1">
      <c r="A2520" s="226" t="s">
        <v>8304</v>
      </c>
      <c r="B2520" s="28">
        <v>45946</v>
      </c>
      <c r="C2520" s="25"/>
      <c r="D2520" s="13" t="s">
        <v>2524</v>
      </c>
      <c r="E2520" s="228"/>
      <c r="F2520" s="109" t="s">
        <v>8306</v>
      </c>
      <c r="G2520" s="24" t="s">
        <v>7287</v>
      </c>
      <c r="H2520" s="230"/>
      <c r="I2520" s="220">
        <v>1500000</v>
      </c>
      <c r="J2520" s="220">
        <v>0</v>
      </c>
      <c r="K2520" s="220">
        <v>0</v>
      </c>
      <c r="L2520" s="220">
        <v>0</v>
      </c>
      <c r="M2520" s="220">
        <v>0</v>
      </c>
      <c r="N2520" s="220">
        <f>SUM(I2520:M2521)</f>
        <v>1500000</v>
      </c>
      <c r="O2520" s="224"/>
      <c r="P2520" s="110" t="s">
        <v>8308</v>
      </c>
      <c r="Q2520" s="15" t="s">
        <v>19</v>
      </c>
      <c r="R2520" s="205"/>
      <c r="S2520" s="189"/>
      <c r="T2520" s="114"/>
      <c r="U2520" s="21"/>
      <c r="V2520" s="115">
        <v>45955</v>
      </c>
      <c r="W2520" s="116">
        <v>1273</v>
      </c>
      <c r="X2520" s="220">
        <v>1485000</v>
      </c>
      <c r="Y2520" s="220">
        <f>X2520*0.1</f>
        <v>148500</v>
      </c>
      <c r="Z2520" s="220">
        <v>17880</v>
      </c>
      <c r="AA2520" s="220">
        <f>SUM(X2520:Z2520)</f>
        <v>1651380</v>
      </c>
      <c r="AB2520" s="222">
        <v>45958</v>
      </c>
    </row>
    <row r="2521" spans="1:28" ht="17.100000000000001" customHeight="1" thickBot="1">
      <c r="A2521" s="227"/>
      <c r="B2521" s="27" t="s">
        <v>8305</v>
      </c>
      <c r="C2521" s="27"/>
      <c r="D2521" s="14"/>
      <c r="E2521" s="229"/>
      <c r="F2521" s="117" t="s">
        <v>8307</v>
      </c>
      <c r="G2521" s="26">
        <v>51209</v>
      </c>
      <c r="H2521" s="231"/>
      <c r="I2521" s="221"/>
      <c r="J2521" s="221"/>
      <c r="K2521" s="221"/>
      <c r="L2521" s="221"/>
      <c r="M2521" s="221"/>
      <c r="N2521" s="221"/>
      <c r="O2521" s="225"/>
      <c r="P2521" s="118" t="s">
        <v>8309</v>
      </c>
      <c r="Q2521" s="16" t="s">
        <v>20</v>
      </c>
      <c r="R2521" s="17" t="s">
        <v>1630</v>
      </c>
      <c r="S2521" s="121" t="s">
        <v>1731</v>
      </c>
      <c r="T2521" s="122"/>
      <c r="U2521" s="22"/>
      <c r="V2521" s="123" t="s">
        <v>2472</v>
      </c>
      <c r="W2521" s="122">
        <v>82080</v>
      </c>
      <c r="X2521" s="221"/>
      <c r="Y2521" s="221"/>
      <c r="Z2521" s="221"/>
      <c r="AA2521" s="221"/>
      <c r="AB2521" s="223"/>
    </row>
    <row r="2522" spans="1:28" ht="17.100000000000001" customHeight="1" thickTop="1">
      <c r="A2522" s="226" t="s">
        <v>8321</v>
      </c>
      <c r="B2522" s="28">
        <v>45946</v>
      </c>
      <c r="C2522" s="25">
        <v>1954</v>
      </c>
      <c r="D2522" s="13" t="s">
        <v>2712</v>
      </c>
      <c r="E2522" s="228"/>
      <c r="F2522" s="109" t="s">
        <v>5336</v>
      </c>
      <c r="G2522" s="24"/>
      <c r="H2522" s="230">
        <v>4</v>
      </c>
      <c r="I2522" s="220">
        <v>685000</v>
      </c>
      <c r="J2522" s="220">
        <f>I2522*0.1</f>
        <v>68500</v>
      </c>
      <c r="K2522" s="220">
        <v>0</v>
      </c>
      <c r="L2522" s="220">
        <v>7140</v>
      </c>
      <c r="M2522" s="220">
        <v>17050</v>
      </c>
      <c r="N2522" s="220">
        <f>SUM(I2522:M2523)</f>
        <v>777690</v>
      </c>
      <c r="O2522" s="224"/>
      <c r="P2522" s="110" t="s">
        <v>8638</v>
      </c>
      <c r="Q2522" s="15" t="s">
        <v>19</v>
      </c>
      <c r="R2522" s="205"/>
      <c r="S2522" s="189"/>
      <c r="T2522" s="114"/>
      <c r="U2522" s="21"/>
      <c r="V2522" s="115">
        <v>45955</v>
      </c>
      <c r="W2522" s="116">
        <v>1273</v>
      </c>
      <c r="X2522" s="220">
        <v>765000</v>
      </c>
      <c r="Y2522" s="220">
        <f>X2522*0.1</f>
        <v>76500</v>
      </c>
      <c r="Z2522" s="220">
        <v>7140</v>
      </c>
      <c r="AA2522" s="220">
        <f>SUM(X2522:Z2522)</f>
        <v>848640</v>
      </c>
      <c r="AB2522" s="222">
        <v>45958</v>
      </c>
    </row>
    <row r="2523" spans="1:28" ht="17.100000000000001" customHeight="1" thickBot="1">
      <c r="A2523" s="227"/>
      <c r="B2523" s="27" t="s">
        <v>3730</v>
      </c>
      <c r="C2523" s="27">
        <v>3038</v>
      </c>
      <c r="D2523" s="14" t="s">
        <v>3274</v>
      </c>
      <c r="E2523" s="229"/>
      <c r="F2523" s="117" t="s">
        <v>8242</v>
      </c>
      <c r="G2523" s="26">
        <v>48725</v>
      </c>
      <c r="H2523" s="231"/>
      <c r="I2523" s="221"/>
      <c r="J2523" s="221"/>
      <c r="K2523" s="221"/>
      <c r="L2523" s="221"/>
      <c r="M2523" s="221"/>
      <c r="N2523" s="221"/>
      <c r="O2523" s="225"/>
      <c r="P2523" s="118" t="s">
        <v>8639</v>
      </c>
      <c r="Q2523" s="16" t="s">
        <v>20</v>
      </c>
      <c r="R2523" s="17" t="s">
        <v>8602</v>
      </c>
      <c r="S2523" s="121"/>
      <c r="T2523" s="122"/>
      <c r="U2523" s="22"/>
      <c r="V2523" s="123" t="s">
        <v>2472</v>
      </c>
      <c r="W2523" s="122">
        <v>60037</v>
      </c>
      <c r="X2523" s="221"/>
      <c r="Y2523" s="221"/>
      <c r="Z2523" s="221"/>
      <c r="AA2523" s="221"/>
      <c r="AB2523" s="223"/>
    </row>
    <row r="2524" spans="1:28" ht="17.100000000000001" customHeight="1" thickTop="1">
      <c r="A2524" s="226" t="s">
        <v>8939</v>
      </c>
      <c r="B2524" s="28">
        <v>45946</v>
      </c>
      <c r="C2524" s="25">
        <v>1954</v>
      </c>
      <c r="D2524" s="13" t="s">
        <v>3474</v>
      </c>
      <c r="E2524" s="228"/>
      <c r="F2524" s="109" t="s">
        <v>4893</v>
      </c>
      <c r="G2524" s="24" t="s">
        <v>2894</v>
      </c>
      <c r="H2524" s="230">
        <v>4.5</v>
      </c>
      <c r="I2524" s="220">
        <v>950000</v>
      </c>
      <c r="J2524" s="220">
        <f>I2524*0.1</f>
        <v>95000</v>
      </c>
      <c r="K2524" s="220">
        <v>6490</v>
      </c>
      <c r="L2524" s="220">
        <v>7440</v>
      </c>
      <c r="M2524" s="220">
        <v>15950</v>
      </c>
      <c r="N2524" s="220">
        <f>SUM(I2524:M2525)</f>
        <v>1074880</v>
      </c>
      <c r="O2524" s="224"/>
      <c r="P2524" s="110" t="s">
        <v>8244</v>
      </c>
      <c r="Q2524" s="15" t="s">
        <v>19</v>
      </c>
      <c r="R2524" s="205"/>
      <c r="S2524" s="189"/>
      <c r="T2524" s="114"/>
      <c r="U2524" s="21"/>
      <c r="V2524" s="115">
        <v>45962</v>
      </c>
      <c r="W2524" s="116">
        <v>1274</v>
      </c>
      <c r="X2524" s="220">
        <v>1075000</v>
      </c>
      <c r="Y2524" s="220">
        <f>X2524*0.1</f>
        <v>107500</v>
      </c>
      <c r="Z2524" s="220">
        <v>7440</v>
      </c>
      <c r="AA2524" s="220">
        <f>SUM(X2524:Z2524)</f>
        <v>1189940</v>
      </c>
      <c r="AB2524" s="222">
        <v>45965</v>
      </c>
    </row>
    <row r="2525" spans="1:28" ht="17.100000000000001" customHeight="1" thickBot="1">
      <c r="A2525" s="227"/>
      <c r="B2525" s="27" t="s">
        <v>3730</v>
      </c>
      <c r="C2525" s="27">
        <v>62003</v>
      </c>
      <c r="D2525" s="14" t="s">
        <v>1584</v>
      </c>
      <c r="E2525" s="229"/>
      <c r="F2525" s="117" t="s">
        <v>8243</v>
      </c>
      <c r="G2525" s="26">
        <v>30979</v>
      </c>
      <c r="H2525" s="231"/>
      <c r="I2525" s="221"/>
      <c r="J2525" s="221"/>
      <c r="K2525" s="221"/>
      <c r="L2525" s="221"/>
      <c r="M2525" s="221"/>
      <c r="N2525" s="221"/>
      <c r="O2525" s="225"/>
      <c r="P2525" s="118" t="s">
        <v>7323</v>
      </c>
      <c r="Q2525" s="16" t="s">
        <v>20</v>
      </c>
      <c r="R2525" s="17" t="s">
        <v>8783</v>
      </c>
      <c r="S2525" s="121" t="s">
        <v>7703</v>
      </c>
      <c r="T2525" s="122"/>
      <c r="U2525" s="22"/>
      <c r="V2525" s="123" t="s">
        <v>2472</v>
      </c>
      <c r="W2525" s="122">
        <v>41032</v>
      </c>
      <c r="X2525" s="221"/>
      <c r="Y2525" s="221"/>
      <c r="Z2525" s="221"/>
      <c r="AA2525" s="221"/>
      <c r="AB2525" s="223"/>
    </row>
    <row r="2526" spans="1:28" ht="17.100000000000001" customHeight="1" thickTop="1">
      <c r="A2526" s="226" t="s">
        <v>8322</v>
      </c>
      <c r="B2526" s="28">
        <v>45946</v>
      </c>
      <c r="C2526" s="25">
        <v>1302</v>
      </c>
      <c r="D2526" s="13" t="s">
        <v>4775</v>
      </c>
      <c r="E2526" s="228"/>
      <c r="F2526" s="109" t="s">
        <v>8333</v>
      </c>
      <c r="G2526" s="24" t="s">
        <v>2871</v>
      </c>
      <c r="H2526" s="230">
        <v>4</v>
      </c>
      <c r="I2526" s="220">
        <v>785000</v>
      </c>
      <c r="J2526" s="220">
        <f>I2526*0.1</f>
        <v>78500</v>
      </c>
      <c r="K2526" s="220">
        <f>16400+1640</f>
        <v>18040</v>
      </c>
      <c r="L2526" s="220">
        <v>18960</v>
      </c>
      <c r="M2526" s="220">
        <v>16500</v>
      </c>
      <c r="N2526" s="220">
        <f>SUM(I2526:M2527)</f>
        <v>917000</v>
      </c>
      <c r="O2526" s="224"/>
      <c r="P2526" s="110" t="s">
        <v>8335</v>
      </c>
      <c r="Q2526" s="15" t="s">
        <v>19</v>
      </c>
      <c r="R2526" s="205"/>
      <c r="S2526" s="189" t="s">
        <v>25528</v>
      </c>
      <c r="T2526" s="114"/>
      <c r="U2526" s="21"/>
      <c r="V2526" s="115">
        <v>45955</v>
      </c>
      <c r="W2526" s="116">
        <v>1273</v>
      </c>
      <c r="X2526" s="220">
        <v>950000</v>
      </c>
      <c r="Y2526" s="220">
        <f>X2526*0.1</f>
        <v>95000</v>
      </c>
      <c r="Z2526" s="220">
        <v>18960</v>
      </c>
      <c r="AA2526" s="220">
        <f>SUM(X2526:Z2526)</f>
        <v>1063960</v>
      </c>
      <c r="AB2526" s="222">
        <v>45958</v>
      </c>
    </row>
    <row r="2527" spans="1:28" ht="17.100000000000001" customHeight="1" thickBot="1">
      <c r="A2527" s="227"/>
      <c r="B2527" s="27" t="s">
        <v>1735</v>
      </c>
      <c r="C2527" s="27">
        <v>611</v>
      </c>
      <c r="D2527" s="14" t="s">
        <v>1568</v>
      </c>
      <c r="E2527" s="229"/>
      <c r="F2527" s="117" t="s">
        <v>8334</v>
      </c>
      <c r="G2527" s="26">
        <v>41829</v>
      </c>
      <c r="H2527" s="231"/>
      <c r="I2527" s="221"/>
      <c r="J2527" s="221"/>
      <c r="K2527" s="221"/>
      <c r="L2527" s="221"/>
      <c r="M2527" s="221"/>
      <c r="N2527" s="221"/>
      <c r="O2527" s="225"/>
      <c r="P2527" s="118" t="s">
        <v>4583</v>
      </c>
      <c r="Q2527" s="16" t="s">
        <v>20</v>
      </c>
      <c r="R2527" s="17" t="s">
        <v>1656</v>
      </c>
      <c r="S2527" s="121" t="s">
        <v>1649</v>
      </c>
      <c r="T2527" s="122"/>
      <c r="U2527" s="22"/>
      <c r="V2527" s="123" t="s">
        <v>2472</v>
      </c>
      <c r="W2527" s="122">
        <v>80010</v>
      </c>
      <c r="X2527" s="221"/>
      <c r="Y2527" s="221"/>
      <c r="Z2527" s="221"/>
      <c r="AA2527" s="221"/>
      <c r="AB2527" s="223"/>
    </row>
    <row r="2528" spans="1:28" ht="17.100000000000001" customHeight="1" thickTop="1">
      <c r="A2528" s="226" t="s">
        <v>8323</v>
      </c>
      <c r="B2528" s="28">
        <v>45946</v>
      </c>
      <c r="C2528" s="25">
        <v>2130</v>
      </c>
      <c r="D2528" s="13" t="s">
        <v>1878</v>
      </c>
      <c r="E2528" s="228"/>
      <c r="F2528" s="109" t="s">
        <v>4998</v>
      </c>
      <c r="G2528" s="24"/>
      <c r="H2528" s="230">
        <v>3.5</v>
      </c>
      <c r="I2528" s="220">
        <v>531000</v>
      </c>
      <c r="J2528" s="220">
        <f>I2528*0.1</f>
        <v>53100</v>
      </c>
      <c r="K2528" s="220">
        <v>0</v>
      </c>
      <c r="L2528" s="220">
        <v>10070</v>
      </c>
      <c r="M2528" s="220">
        <v>13750</v>
      </c>
      <c r="N2528" s="220">
        <f>SUM(I2528:M2529)</f>
        <v>607920</v>
      </c>
      <c r="O2528" s="224"/>
      <c r="P2528" s="110" t="s">
        <v>8932</v>
      </c>
      <c r="Q2528" s="15" t="s">
        <v>19</v>
      </c>
      <c r="R2528" s="205"/>
      <c r="S2528" s="189" t="s">
        <v>1406</v>
      </c>
      <c r="T2528" s="114"/>
      <c r="U2528" s="21"/>
      <c r="V2528" s="115">
        <v>45962</v>
      </c>
      <c r="W2528" s="116">
        <v>1274</v>
      </c>
      <c r="X2528" s="220">
        <v>585000</v>
      </c>
      <c r="Y2528" s="220">
        <f>X2528*0.1</f>
        <v>58500</v>
      </c>
      <c r="Z2528" s="220">
        <v>10070</v>
      </c>
      <c r="AA2528" s="220">
        <f>SUM(X2528:Z2528)</f>
        <v>653570</v>
      </c>
      <c r="AB2528" s="222">
        <v>45965</v>
      </c>
    </row>
    <row r="2529" spans="1:28" ht="17.100000000000001" customHeight="1" thickBot="1">
      <c r="A2529" s="227"/>
      <c r="B2529" s="27" t="s">
        <v>3228</v>
      </c>
      <c r="C2529" s="27">
        <v>146</v>
      </c>
      <c r="D2529" s="14" t="s">
        <v>1627</v>
      </c>
      <c r="E2529" s="229"/>
      <c r="F2529" s="117" t="s">
        <v>8338</v>
      </c>
      <c r="G2529" s="26">
        <v>52521</v>
      </c>
      <c r="H2529" s="231"/>
      <c r="I2529" s="221"/>
      <c r="J2529" s="221"/>
      <c r="K2529" s="221"/>
      <c r="L2529" s="221"/>
      <c r="M2529" s="221"/>
      <c r="N2529" s="221"/>
      <c r="O2529" s="225"/>
      <c r="P2529" s="118" t="s">
        <v>8933</v>
      </c>
      <c r="Q2529" s="16" t="s">
        <v>20</v>
      </c>
      <c r="R2529" s="17" t="s">
        <v>8783</v>
      </c>
      <c r="S2529" s="121" t="s">
        <v>8934</v>
      </c>
      <c r="T2529" s="122"/>
      <c r="U2529" s="22"/>
      <c r="V2529" s="123" t="s">
        <v>2472</v>
      </c>
      <c r="W2529" s="122">
        <v>60053</v>
      </c>
      <c r="X2529" s="221"/>
      <c r="Y2529" s="221"/>
      <c r="Z2529" s="221"/>
      <c r="AA2529" s="221"/>
      <c r="AB2529" s="223"/>
    </row>
    <row r="2530" spans="1:28" ht="17.100000000000001" customHeight="1" thickTop="1">
      <c r="A2530" s="226" t="s">
        <v>8324</v>
      </c>
      <c r="B2530" s="28">
        <v>45946</v>
      </c>
      <c r="C2530" s="25">
        <v>2130</v>
      </c>
      <c r="D2530" s="13" t="s">
        <v>3769</v>
      </c>
      <c r="E2530" s="228"/>
      <c r="F2530" s="109" t="s">
        <v>4635</v>
      </c>
      <c r="G2530" s="24" t="s">
        <v>8349</v>
      </c>
      <c r="H2530" s="230">
        <v>4</v>
      </c>
      <c r="I2530" s="220">
        <v>1180000</v>
      </c>
      <c r="J2530" s="220">
        <f>I2530*0.1</f>
        <v>118000</v>
      </c>
      <c r="K2530" s="220">
        <v>0</v>
      </c>
      <c r="L2530" s="220">
        <v>6830</v>
      </c>
      <c r="M2530" s="220">
        <v>13750</v>
      </c>
      <c r="N2530" s="220">
        <f>SUM(I2530:M2531)</f>
        <v>1318580</v>
      </c>
      <c r="O2530" s="224"/>
      <c r="P2530" s="110" t="s">
        <v>9165</v>
      </c>
      <c r="Q2530" s="15" t="s">
        <v>19</v>
      </c>
      <c r="R2530" s="205"/>
      <c r="S2530" s="189" t="s">
        <v>25397</v>
      </c>
      <c r="T2530" s="114"/>
      <c r="U2530" s="21" t="s">
        <v>10194</v>
      </c>
      <c r="V2530" s="115">
        <v>45969</v>
      </c>
      <c r="W2530" s="116">
        <v>1275</v>
      </c>
      <c r="X2530" s="220">
        <v>1240000</v>
      </c>
      <c r="Y2530" s="220">
        <f>X2530*0.1</f>
        <v>124000</v>
      </c>
      <c r="Z2530" s="220">
        <v>6830</v>
      </c>
      <c r="AA2530" s="220">
        <f>SUM(X2530:Z2530)</f>
        <v>1370830</v>
      </c>
      <c r="AB2530" s="222">
        <v>45974</v>
      </c>
    </row>
    <row r="2531" spans="1:28" ht="17.100000000000001" customHeight="1" thickBot="1">
      <c r="A2531" s="227"/>
      <c r="B2531" s="27" t="s">
        <v>3228</v>
      </c>
      <c r="C2531" s="27">
        <v>2141</v>
      </c>
      <c r="D2531" s="14" t="s">
        <v>1797</v>
      </c>
      <c r="E2531" s="229"/>
      <c r="F2531" s="117" t="s">
        <v>8339</v>
      </c>
      <c r="G2531" s="26">
        <v>45086</v>
      </c>
      <c r="H2531" s="231"/>
      <c r="I2531" s="221"/>
      <c r="J2531" s="221"/>
      <c r="K2531" s="221"/>
      <c r="L2531" s="221"/>
      <c r="M2531" s="221"/>
      <c r="N2531" s="221"/>
      <c r="O2531" s="225"/>
      <c r="P2531" s="118" t="s">
        <v>9164</v>
      </c>
      <c r="Q2531" s="16" t="s">
        <v>20</v>
      </c>
      <c r="R2531" s="17" t="s">
        <v>9093</v>
      </c>
      <c r="S2531" s="121" t="s">
        <v>4035</v>
      </c>
      <c r="T2531" s="122"/>
      <c r="U2531" s="22"/>
      <c r="V2531" s="123" t="s">
        <v>2472</v>
      </c>
      <c r="W2531" s="122">
        <v>60089</v>
      </c>
      <c r="X2531" s="221"/>
      <c r="Y2531" s="221"/>
      <c r="Z2531" s="221"/>
      <c r="AA2531" s="221"/>
      <c r="AB2531" s="223"/>
    </row>
    <row r="2532" spans="1:28" ht="17.100000000000001" customHeight="1" thickTop="1">
      <c r="A2532" s="226" t="s">
        <v>8325</v>
      </c>
      <c r="B2532" s="28">
        <v>45946</v>
      </c>
      <c r="C2532" s="25">
        <v>2130</v>
      </c>
      <c r="D2532" s="13" t="s">
        <v>1531</v>
      </c>
      <c r="E2532" s="228"/>
      <c r="F2532" s="109" t="s">
        <v>8350</v>
      </c>
      <c r="G2532" s="24" t="s">
        <v>4804</v>
      </c>
      <c r="H2532" s="230">
        <v>4.5</v>
      </c>
      <c r="I2532" s="220">
        <v>883000</v>
      </c>
      <c r="J2532" s="220">
        <f>I2532*0.1</f>
        <v>88300</v>
      </c>
      <c r="K2532" s="220">
        <v>0</v>
      </c>
      <c r="L2532" s="220">
        <v>8400</v>
      </c>
      <c r="M2532" s="220">
        <v>13750</v>
      </c>
      <c r="N2532" s="220">
        <f>SUM(I2532:M2533)</f>
        <v>993450</v>
      </c>
      <c r="O2532" s="224"/>
      <c r="P2532" s="110" t="s">
        <v>8872</v>
      </c>
      <c r="Q2532" s="15" t="s">
        <v>19</v>
      </c>
      <c r="R2532" s="205"/>
      <c r="S2532" s="189"/>
      <c r="T2532" s="114"/>
      <c r="U2532" s="21"/>
      <c r="V2532" s="115">
        <v>45951</v>
      </c>
      <c r="W2532" s="116">
        <v>1914</v>
      </c>
      <c r="X2532" s="220">
        <v>955000</v>
      </c>
      <c r="Y2532" s="220">
        <f>X2532*0.1</f>
        <v>95500</v>
      </c>
      <c r="Z2532" s="220">
        <v>8400</v>
      </c>
      <c r="AA2532" s="220">
        <f>SUM(X2532:Z2532)</f>
        <v>1058900</v>
      </c>
      <c r="AB2532" s="222">
        <v>45957</v>
      </c>
    </row>
    <row r="2533" spans="1:28" ht="17.100000000000001" customHeight="1" thickBot="1">
      <c r="A2533" s="227"/>
      <c r="B2533" s="27" t="s">
        <v>3228</v>
      </c>
      <c r="C2533" s="27">
        <v>2142</v>
      </c>
      <c r="D2533" s="14" t="s">
        <v>2788</v>
      </c>
      <c r="E2533" s="229"/>
      <c r="F2533" s="117" t="s">
        <v>8340</v>
      </c>
      <c r="G2533" s="26">
        <v>12900</v>
      </c>
      <c r="H2533" s="231"/>
      <c r="I2533" s="221"/>
      <c r="J2533" s="221"/>
      <c r="K2533" s="221"/>
      <c r="L2533" s="221"/>
      <c r="M2533" s="221"/>
      <c r="N2533" s="221"/>
      <c r="O2533" s="225"/>
      <c r="P2533" s="118" t="s">
        <v>8873</v>
      </c>
      <c r="Q2533" s="16" t="s">
        <v>20</v>
      </c>
      <c r="R2533" s="17" t="s">
        <v>8783</v>
      </c>
      <c r="S2533" s="121"/>
      <c r="T2533" s="122"/>
      <c r="U2533" s="22"/>
      <c r="V2533" s="123" t="s">
        <v>2103</v>
      </c>
      <c r="W2533" s="122">
        <v>3369</v>
      </c>
      <c r="X2533" s="221"/>
      <c r="Y2533" s="221"/>
      <c r="Z2533" s="221"/>
      <c r="AA2533" s="221"/>
      <c r="AB2533" s="223"/>
    </row>
    <row r="2534" spans="1:28" ht="17.100000000000001" customHeight="1" thickTop="1">
      <c r="A2534" s="226" t="s">
        <v>8326</v>
      </c>
      <c r="B2534" s="28">
        <v>45946</v>
      </c>
      <c r="C2534" s="25">
        <v>2130</v>
      </c>
      <c r="D2534" s="13" t="s">
        <v>5521</v>
      </c>
      <c r="E2534" s="228"/>
      <c r="F2534" s="109" t="s">
        <v>8351</v>
      </c>
      <c r="G2534" s="24" t="s">
        <v>8352</v>
      </c>
      <c r="H2534" s="230">
        <v>4.5</v>
      </c>
      <c r="I2534" s="220">
        <v>561000</v>
      </c>
      <c r="J2534" s="220">
        <f>I2534*0.1</f>
        <v>56100</v>
      </c>
      <c r="K2534" s="220">
        <v>0</v>
      </c>
      <c r="L2534" s="220">
        <v>9670</v>
      </c>
      <c r="M2534" s="220">
        <v>13750</v>
      </c>
      <c r="N2534" s="220">
        <f>SUM(I2534:M2535)</f>
        <v>640520</v>
      </c>
      <c r="O2534" s="224"/>
      <c r="P2534" s="110" t="s">
        <v>8930</v>
      </c>
      <c r="Q2534" s="15" t="s">
        <v>19</v>
      </c>
      <c r="R2534" s="205"/>
      <c r="S2534" s="189" t="s">
        <v>25529</v>
      </c>
      <c r="T2534" s="114"/>
      <c r="U2534" s="21"/>
      <c r="V2534" s="115">
        <v>45955</v>
      </c>
      <c r="W2534" s="116">
        <v>1273</v>
      </c>
      <c r="X2534" s="220">
        <v>615000</v>
      </c>
      <c r="Y2534" s="220">
        <f>X2534*0.1</f>
        <v>61500</v>
      </c>
      <c r="Z2534" s="220">
        <v>9670</v>
      </c>
      <c r="AA2534" s="220">
        <f>SUM(X2534:Z2534)</f>
        <v>686170</v>
      </c>
      <c r="AB2534" s="222">
        <v>45958</v>
      </c>
    </row>
    <row r="2535" spans="1:28" ht="17.100000000000001" customHeight="1" thickBot="1">
      <c r="A2535" s="227"/>
      <c r="B2535" s="27" t="s">
        <v>3228</v>
      </c>
      <c r="C2535" s="27">
        <v>2549</v>
      </c>
      <c r="D2535" s="14" t="s">
        <v>131</v>
      </c>
      <c r="E2535" s="229"/>
      <c r="F2535" s="117" t="s">
        <v>8341</v>
      </c>
      <c r="G2535" s="26">
        <v>19600</v>
      </c>
      <c r="H2535" s="231"/>
      <c r="I2535" s="221"/>
      <c r="J2535" s="221"/>
      <c r="K2535" s="221"/>
      <c r="L2535" s="221"/>
      <c r="M2535" s="221"/>
      <c r="N2535" s="221"/>
      <c r="O2535" s="225"/>
      <c r="P2535" s="118" t="s">
        <v>8931</v>
      </c>
      <c r="Q2535" s="16" t="s">
        <v>20</v>
      </c>
      <c r="R2535" s="17" t="s">
        <v>8783</v>
      </c>
      <c r="S2535" s="121" t="s">
        <v>1601</v>
      </c>
      <c r="T2535" s="122"/>
      <c r="U2535" s="22"/>
      <c r="V2535" s="123" t="s">
        <v>2472</v>
      </c>
      <c r="W2535" s="122">
        <v>60005</v>
      </c>
      <c r="X2535" s="221"/>
      <c r="Y2535" s="221"/>
      <c r="Z2535" s="221"/>
      <c r="AA2535" s="221"/>
      <c r="AB2535" s="223"/>
    </row>
    <row r="2536" spans="1:28" ht="17.100000000000001" customHeight="1" thickTop="1">
      <c r="A2536" s="226" t="s">
        <v>8327</v>
      </c>
      <c r="B2536" s="28">
        <v>45946</v>
      </c>
      <c r="C2536" s="25">
        <v>2130</v>
      </c>
      <c r="D2536" s="13" t="s">
        <v>1589</v>
      </c>
      <c r="E2536" s="228"/>
      <c r="F2536" s="109" t="s">
        <v>8353</v>
      </c>
      <c r="G2536" s="24"/>
      <c r="H2536" s="230">
        <v>4</v>
      </c>
      <c r="I2536" s="220">
        <v>452000</v>
      </c>
      <c r="J2536" s="220">
        <f>I2536*0.1</f>
        <v>45200</v>
      </c>
      <c r="K2536" s="220">
        <v>0</v>
      </c>
      <c r="L2536" s="220">
        <v>7140</v>
      </c>
      <c r="M2536" s="220">
        <v>13750</v>
      </c>
      <c r="N2536" s="220">
        <f>SUM(I2536:M2537)</f>
        <v>518090</v>
      </c>
      <c r="O2536" s="224"/>
      <c r="P2536" s="110" t="s">
        <v>8926</v>
      </c>
      <c r="Q2536" s="15" t="s">
        <v>19</v>
      </c>
      <c r="R2536" s="205"/>
      <c r="S2536" s="189" t="s">
        <v>25530</v>
      </c>
      <c r="T2536" s="114"/>
      <c r="U2536" s="21"/>
      <c r="V2536" s="115">
        <v>45955</v>
      </c>
      <c r="W2536" s="116">
        <v>1273</v>
      </c>
      <c r="X2536" s="220">
        <v>495000</v>
      </c>
      <c r="Y2536" s="220">
        <f>X2536*0.1</f>
        <v>49500</v>
      </c>
      <c r="Z2536" s="220">
        <v>7140</v>
      </c>
      <c r="AA2536" s="220">
        <f>SUM(X2536:Z2536)</f>
        <v>551640</v>
      </c>
      <c r="AB2536" s="222">
        <v>45958</v>
      </c>
    </row>
    <row r="2537" spans="1:28" ht="17.100000000000001" customHeight="1" thickBot="1">
      <c r="A2537" s="227"/>
      <c r="B2537" s="27" t="s">
        <v>3228</v>
      </c>
      <c r="C2537" s="27">
        <v>2568</v>
      </c>
      <c r="D2537" s="14" t="s">
        <v>3731</v>
      </c>
      <c r="E2537" s="229"/>
      <c r="F2537" s="117" t="s">
        <v>8342</v>
      </c>
      <c r="G2537" s="26">
        <v>38300</v>
      </c>
      <c r="H2537" s="231"/>
      <c r="I2537" s="221"/>
      <c r="J2537" s="221"/>
      <c r="K2537" s="221"/>
      <c r="L2537" s="221"/>
      <c r="M2537" s="221"/>
      <c r="N2537" s="221"/>
      <c r="O2537" s="225"/>
      <c r="P2537" s="118" t="s">
        <v>8928</v>
      </c>
      <c r="Q2537" s="16" t="s">
        <v>20</v>
      </c>
      <c r="R2537" s="17" t="s">
        <v>8783</v>
      </c>
      <c r="S2537" s="121" t="s">
        <v>8929</v>
      </c>
      <c r="T2537" s="122"/>
      <c r="U2537" s="22"/>
      <c r="V2537" s="123" t="s">
        <v>2472</v>
      </c>
      <c r="W2537" s="122">
        <v>60001</v>
      </c>
      <c r="X2537" s="221"/>
      <c r="Y2537" s="221"/>
      <c r="Z2537" s="221"/>
      <c r="AA2537" s="221"/>
      <c r="AB2537" s="223"/>
    </row>
    <row r="2538" spans="1:28" ht="17.100000000000001" customHeight="1" thickTop="1">
      <c r="A2538" s="226" t="s">
        <v>8328</v>
      </c>
      <c r="B2538" s="28">
        <v>45946</v>
      </c>
      <c r="C2538" s="25">
        <v>2130</v>
      </c>
      <c r="D2538" s="13" t="s">
        <v>2811</v>
      </c>
      <c r="E2538" s="228"/>
      <c r="F2538" s="109" t="s">
        <v>8354</v>
      </c>
      <c r="G2538" s="24" t="s">
        <v>8355</v>
      </c>
      <c r="H2538" s="230">
        <v>4</v>
      </c>
      <c r="I2538" s="220">
        <v>797000</v>
      </c>
      <c r="J2538" s="220">
        <f>I2538*0.1</f>
        <v>79700</v>
      </c>
      <c r="K2538" s="220">
        <v>0</v>
      </c>
      <c r="L2538" s="220">
        <v>9200</v>
      </c>
      <c r="M2538" s="220">
        <v>13750</v>
      </c>
      <c r="N2538" s="220">
        <f>SUM(I2538:M2539)</f>
        <v>899650</v>
      </c>
      <c r="O2538" s="224"/>
      <c r="P2538" s="110" t="s">
        <v>8927</v>
      </c>
      <c r="Q2538" s="15" t="s">
        <v>19</v>
      </c>
      <c r="R2538" s="205"/>
      <c r="S2538" s="189"/>
      <c r="T2538" s="114"/>
      <c r="U2538" s="21"/>
      <c r="V2538" s="115">
        <v>45990</v>
      </c>
      <c r="W2538" s="116">
        <v>1278</v>
      </c>
      <c r="X2538" s="220">
        <v>750000</v>
      </c>
      <c r="Y2538" s="220">
        <f>X2538*0.1</f>
        <v>75000</v>
      </c>
      <c r="Z2538" s="220">
        <v>9200</v>
      </c>
      <c r="AA2538" s="220">
        <f>SUM(X2538:Z2538)</f>
        <v>834200</v>
      </c>
      <c r="AB2538" s="222">
        <v>45994</v>
      </c>
    </row>
    <row r="2539" spans="1:28" ht="17.100000000000001" customHeight="1" thickBot="1">
      <c r="A2539" s="227"/>
      <c r="B2539" s="27" t="s">
        <v>3228</v>
      </c>
      <c r="C2539" s="27">
        <v>2577</v>
      </c>
      <c r="D2539" s="14" t="s">
        <v>273</v>
      </c>
      <c r="E2539" s="229"/>
      <c r="F2539" s="117" t="s">
        <v>8343</v>
      </c>
      <c r="G2539" s="26">
        <v>65331</v>
      </c>
      <c r="H2539" s="231"/>
      <c r="I2539" s="221"/>
      <c r="J2539" s="221"/>
      <c r="K2539" s="221"/>
      <c r="L2539" s="221"/>
      <c r="M2539" s="221"/>
      <c r="N2539" s="221"/>
      <c r="O2539" s="225"/>
      <c r="P2539" s="118" t="s">
        <v>8925</v>
      </c>
      <c r="Q2539" s="16" t="s">
        <v>20</v>
      </c>
      <c r="R2539" s="17" t="s">
        <v>8783</v>
      </c>
      <c r="S2539" s="121" t="s">
        <v>7721</v>
      </c>
      <c r="T2539" s="122"/>
      <c r="U2539" s="22"/>
      <c r="V2539" s="123" t="s">
        <v>2472</v>
      </c>
      <c r="W2539" s="122">
        <v>60194</v>
      </c>
      <c r="X2539" s="221"/>
      <c r="Y2539" s="221"/>
      <c r="Z2539" s="221"/>
      <c r="AA2539" s="221"/>
      <c r="AB2539" s="223"/>
    </row>
    <row r="2540" spans="1:28" ht="17.100000000000001" customHeight="1" thickTop="1">
      <c r="A2540" s="226" t="s">
        <v>8329</v>
      </c>
      <c r="B2540" s="28">
        <v>45946</v>
      </c>
      <c r="C2540" s="25">
        <v>2130</v>
      </c>
      <c r="D2540" s="13" t="s">
        <v>4775</v>
      </c>
      <c r="E2540" s="228"/>
      <c r="F2540" s="109" t="s">
        <v>2943</v>
      </c>
      <c r="G2540" s="24" t="s">
        <v>8356</v>
      </c>
      <c r="H2540" s="230">
        <v>4.5</v>
      </c>
      <c r="I2540" s="220">
        <v>581000</v>
      </c>
      <c r="J2540" s="220">
        <f>I2540*0.1</f>
        <v>58100</v>
      </c>
      <c r="K2540" s="220">
        <v>0</v>
      </c>
      <c r="L2540" s="220">
        <v>8400</v>
      </c>
      <c r="M2540" s="220">
        <v>13750</v>
      </c>
      <c r="N2540" s="220">
        <f>SUM(I2540:M2541)</f>
        <v>661250</v>
      </c>
      <c r="O2540" s="224"/>
      <c r="P2540" s="110" t="s">
        <v>9053</v>
      </c>
      <c r="Q2540" s="15" t="s">
        <v>19</v>
      </c>
      <c r="R2540" s="205"/>
      <c r="S2540" s="189" t="s">
        <v>25531</v>
      </c>
      <c r="T2540" s="114"/>
      <c r="U2540" s="21"/>
      <c r="V2540" s="115">
        <v>45965</v>
      </c>
      <c r="W2540" s="116">
        <v>1916</v>
      </c>
      <c r="X2540" s="220">
        <v>596000</v>
      </c>
      <c r="Y2540" s="220">
        <f>X2540*0.1</f>
        <v>59600</v>
      </c>
      <c r="Z2540" s="220">
        <v>8400</v>
      </c>
      <c r="AA2540" s="220">
        <f>SUM(X2540:Z2540)</f>
        <v>664000</v>
      </c>
      <c r="AB2540" s="222">
        <v>45971</v>
      </c>
    </row>
    <row r="2541" spans="1:28" ht="17.100000000000001" customHeight="1" thickBot="1">
      <c r="A2541" s="227"/>
      <c r="B2541" s="27" t="s">
        <v>3228</v>
      </c>
      <c r="C2541" s="27">
        <v>2603</v>
      </c>
      <c r="D2541" s="14" t="s">
        <v>3792</v>
      </c>
      <c r="E2541" s="229"/>
      <c r="F2541" s="117" t="s">
        <v>8344</v>
      </c>
      <c r="G2541" s="26">
        <v>53514</v>
      </c>
      <c r="H2541" s="231"/>
      <c r="I2541" s="221"/>
      <c r="J2541" s="221"/>
      <c r="K2541" s="221"/>
      <c r="L2541" s="221"/>
      <c r="M2541" s="221"/>
      <c r="N2541" s="221"/>
      <c r="O2541" s="225"/>
      <c r="P2541" s="118" t="s">
        <v>9054</v>
      </c>
      <c r="Q2541" s="16" t="s">
        <v>20</v>
      </c>
      <c r="R2541" s="17" t="s">
        <v>8953</v>
      </c>
      <c r="S2541" s="121" t="s">
        <v>9055</v>
      </c>
      <c r="T2541" s="122"/>
      <c r="U2541" s="22"/>
      <c r="V2541" s="123" t="s">
        <v>2103</v>
      </c>
      <c r="W2541" s="122">
        <v>3113</v>
      </c>
      <c r="X2541" s="221"/>
      <c r="Y2541" s="221"/>
      <c r="Z2541" s="221"/>
      <c r="AA2541" s="221"/>
      <c r="AB2541" s="223"/>
    </row>
    <row r="2542" spans="1:28" ht="17.100000000000001" customHeight="1" thickTop="1">
      <c r="A2542" s="226" t="s">
        <v>8330</v>
      </c>
      <c r="B2542" s="28">
        <v>45946</v>
      </c>
      <c r="C2542" s="25">
        <v>2130</v>
      </c>
      <c r="D2542" s="13" t="s">
        <v>1899</v>
      </c>
      <c r="E2542" s="228"/>
      <c r="F2542" s="109" t="s">
        <v>8357</v>
      </c>
      <c r="G2542" s="24" t="s">
        <v>8358</v>
      </c>
      <c r="H2542" s="230">
        <v>4</v>
      </c>
      <c r="I2542" s="220">
        <v>749000</v>
      </c>
      <c r="J2542" s="220">
        <f>I2542*0.1</f>
        <v>74900</v>
      </c>
      <c r="K2542" s="220">
        <v>0</v>
      </c>
      <c r="L2542" s="220">
        <v>6220</v>
      </c>
      <c r="M2542" s="220">
        <v>13750</v>
      </c>
      <c r="N2542" s="220">
        <f>SUM(I2542:M2543)</f>
        <v>843870</v>
      </c>
      <c r="O2542" s="224"/>
      <c r="P2542" s="110" t="s">
        <v>9163</v>
      </c>
      <c r="Q2542" s="15" t="s">
        <v>19</v>
      </c>
      <c r="R2542" s="205"/>
      <c r="S2542" s="189" t="s">
        <v>1276</v>
      </c>
      <c r="T2542" s="114"/>
      <c r="U2542" s="21" t="s">
        <v>10202</v>
      </c>
      <c r="V2542" s="115">
        <v>45969</v>
      </c>
      <c r="W2542" s="116">
        <v>1275</v>
      </c>
      <c r="X2542" s="220">
        <v>790000</v>
      </c>
      <c r="Y2542" s="220">
        <f>X2542*0.1</f>
        <v>79000</v>
      </c>
      <c r="Z2542" s="220">
        <v>6220</v>
      </c>
      <c r="AA2542" s="220">
        <f>SUM(X2542:Z2542)</f>
        <v>875220</v>
      </c>
      <c r="AB2542" s="222">
        <v>45974</v>
      </c>
    </row>
    <row r="2543" spans="1:28" ht="17.100000000000001" customHeight="1" thickBot="1">
      <c r="A2543" s="227"/>
      <c r="B2543" s="27" t="s">
        <v>3228</v>
      </c>
      <c r="C2543" s="27">
        <v>2607</v>
      </c>
      <c r="D2543" s="14" t="s">
        <v>273</v>
      </c>
      <c r="E2543" s="229"/>
      <c r="F2543" s="117" t="s">
        <v>8345</v>
      </c>
      <c r="G2543" s="26">
        <v>67988</v>
      </c>
      <c r="H2543" s="231"/>
      <c r="I2543" s="221"/>
      <c r="J2543" s="221"/>
      <c r="K2543" s="221"/>
      <c r="L2543" s="221"/>
      <c r="M2543" s="221"/>
      <c r="N2543" s="221"/>
      <c r="O2543" s="225"/>
      <c r="P2543" s="118" t="s">
        <v>9164</v>
      </c>
      <c r="Q2543" s="16" t="s">
        <v>20</v>
      </c>
      <c r="R2543" s="17" t="s">
        <v>9093</v>
      </c>
      <c r="S2543" s="121" t="s">
        <v>1923</v>
      </c>
      <c r="T2543" s="122"/>
      <c r="U2543" s="22"/>
      <c r="V2543" s="123" t="s">
        <v>2472</v>
      </c>
      <c r="W2543" s="122">
        <v>60047</v>
      </c>
      <c r="X2543" s="221"/>
      <c r="Y2543" s="221"/>
      <c r="Z2543" s="221"/>
      <c r="AA2543" s="221"/>
      <c r="AB2543" s="223"/>
    </row>
    <row r="2544" spans="1:28" ht="17.100000000000001" customHeight="1" thickTop="1">
      <c r="A2544" s="226" t="s">
        <v>8331</v>
      </c>
      <c r="B2544" s="28">
        <v>45946</v>
      </c>
      <c r="C2544" s="25">
        <v>2130</v>
      </c>
      <c r="D2544" s="13" t="s">
        <v>4707</v>
      </c>
      <c r="E2544" s="228"/>
      <c r="F2544" s="109" t="s">
        <v>8359</v>
      </c>
      <c r="G2544" s="24"/>
      <c r="H2544" s="230">
        <v>4</v>
      </c>
      <c r="I2544" s="220">
        <v>325000</v>
      </c>
      <c r="J2544" s="220">
        <f>I2544*0.1</f>
        <v>32500</v>
      </c>
      <c r="K2544" s="220">
        <v>0</v>
      </c>
      <c r="L2544" s="220">
        <v>10010</v>
      </c>
      <c r="M2544" s="220">
        <v>13750</v>
      </c>
      <c r="N2544" s="220">
        <f>SUM(I2544:M2545)</f>
        <v>381260</v>
      </c>
      <c r="O2544" s="224"/>
      <c r="P2544" s="110" t="s">
        <v>9161</v>
      </c>
      <c r="Q2544" s="15" t="s">
        <v>19</v>
      </c>
      <c r="R2544" s="205"/>
      <c r="S2544" s="189"/>
      <c r="T2544" s="114"/>
      <c r="U2544" s="21"/>
      <c r="V2544" s="115">
        <v>45955</v>
      </c>
      <c r="W2544" s="116">
        <v>1273</v>
      </c>
      <c r="X2544" s="220">
        <v>420000</v>
      </c>
      <c r="Y2544" s="220">
        <f>X2544*0.1</f>
        <v>42000</v>
      </c>
      <c r="Z2544" s="220">
        <v>10010</v>
      </c>
      <c r="AA2544" s="220">
        <f>SUM(X2544:Z2544)</f>
        <v>472010</v>
      </c>
      <c r="AB2544" s="222">
        <v>45958</v>
      </c>
    </row>
    <row r="2545" spans="1:28" ht="17.100000000000001" customHeight="1" thickBot="1">
      <c r="A2545" s="227"/>
      <c r="B2545" s="27" t="s">
        <v>3228</v>
      </c>
      <c r="C2545" s="27">
        <v>2609</v>
      </c>
      <c r="D2545" s="14" t="s">
        <v>273</v>
      </c>
      <c r="E2545" s="229"/>
      <c r="F2545" s="117" t="s">
        <v>8346</v>
      </c>
      <c r="G2545" s="26">
        <v>59267</v>
      </c>
      <c r="H2545" s="231"/>
      <c r="I2545" s="221"/>
      <c r="J2545" s="221"/>
      <c r="K2545" s="221"/>
      <c r="L2545" s="221"/>
      <c r="M2545" s="221"/>
      <c r="N2545" s="221"/>
      <c r="O2545" s="225"/>
      <c r="P2545" s="118" t="s">
        <v>9162</v>
      </c>
      <c r="Q2545" s="16" t="s">
        <v>20</v>
      </c>
      <c r="R2545" s="17" t="s">
        <v>9093</v>
      </c>
      <c r="S2545" s="121" t="s">
        <v>2166</v>
      </c>
      <c r="T2545" s="122"/>
      <c r="U2545" s="22"/>
      <c r="V2545" s="123" t="s">
        <v>2472</v>
      </c>
      <c r="W2545" s="122">
        <v>60003</v>
      </c>
      <c r="X2545" s="221"/>
      <c r="Y2545" s="221"/>
      <c r="Z2545" s="221"/>
      <c r="AA2545" s="221"/>
      <c r="AB2545" s="223"/>
    </row>
    <row r="2546" spans="1:28" ht="17.100000000000001" customHeight="1" thickTop="1">
      <c r="A2546" s="226" t="s">
        <v>8332</v>
      </c>
      <c r="B2546" s="28">
        <v>45946</v>
      </c>
      <c r="C2546" s="25">
        <v>2130</v>
      </c>
      <c r="D2546" s="13" t="s">
        <v>1829</v>
      </c>
      <c r="E2546" s="228"/>
      <c r="F2546" s="109" t="s">
        <v>7264</v>
      </c>
      <c r="G2546" s="24"/>
      <c r="H2546" s="230">
        <v>4</v>
      </c>
      <c r="I2546" s="220">
        <v>369000</v>
      </c>
      <c r="J2546" s="220">
        <f>I2546*0.1</f>
        <v>36900</v>
      </c>
      <c r="K2546" s="220">
        <v>0</v>
      </c>
      <c r="L2546" s="220">
        <v>7140</v>
      </c>
      <c r="M2546" s="220">
        <v>13750</v>
      </c>
      <c r="N2546" s="220">
        <f>SUM(I2546:M2547)</f>
        <v>426790</v>
      </c>
      <c r="O2546" s="224"/>
      <c r="P2546" s="110" t="s">
        <v>8923</v>
      </c>
      <c r="Q2546" s="15" t="s">
        <v>19</v>
      </c>
      <c r="R2546" s="205"/>
      <c r="S2546" s="189"/>
      <c r="T2546" s="114"/>
      <c r="U2546" s="21"/>
      <c r="V2546" s="115">
        <v>45955</v>
      </c>
      <c r="W2546" s="116">
        <v>1273</v>
      </c>
      <c r="X2546" s="220">
        <v>465000</v>
      </c>
      <c r="Y2546" s="220">
        <f>X2546*0.1</f>
        <v>46500</v>
      </c>
      <c r="Z2546" s="220">
        <v>7140</v>
      </c>
      <c r="AA2546" s="220">
        <f>SUM(X2546:Z2546)</f>
        <v>518640</v>
      </c>
      <c r="AB2546" s="222">
        <v>45958</v>
      </c>
    </row>
    <row r="2547" spans="1:28" ht="17.100000000000001" customHeight="1" thickBot="1">
      <c r="A2547" s="227"/>
      <c r="B2547" s="27" t="s">
        <v>3228</v>
      </c>
      <c r="C2547" s="27">
        <v>35292</v>
      </c>
      <c r="D2547" s="14" t="s">
        <v>898</v>
      </c>
      <c r="E2547" s="229"/>
      <c r="F2547" s="117" t="s">
        <v>8347</v>
      </c>
      <c r="G2547" s="26">
        <v>28815</v>
      </c>
      <c r="H2547" s="231"/>
      <c r="I2547" s="221"/>
      <c r="J2547" s="221"/>
      <c r="K2547" s="221"/>
      <c r="L2547" s="221"/>
      <c r="M2547" s="221"/>
      <c r="N2547" s="221"/>
      <c r="O2547" s="225"/>
      <c r="P2547" s="118" t="s">
        <v>8924</v>
      </c>
      <c r="Q2547" s="16" t="s">
        <v>20</v>
      </c>
      <c r="R2547" s="17" t="s">
        <v>8783</v>
      </c>
      <c r="S2547" s="121"/>
      <c r="T2547" s="122"/>
      <c r="U2547" s="22"/>
      <c r="V2547" s="123" t="s">
        <v>2472</v>
      </c>
      <c r="W2547" s="122">
        <v>60013</v>
      </c>
      <c r="X2547" s="221"/>
      <c r="Y2547" s="221"/>
      <c r="Z2547" s="221"/>
      <c r="AA2547" s="221"/>
      <c r="AB2547" s="223"/>
    </row>
    <row r="2548" spans="1:28" ht="17.100000000000001" customHeight="1" thickTop="1">
      <c r="A2548" s="226" t="s">
        <v>8336</v>
      </c>
      <c r="B2548" s="28">
        <v>45946</v>
      </c>
      <c r="C2548" s="25">
        <v>2143</v>
      </c>
      <c r="D2548" s="13" t="s">
        <v>3269</v>
      </c>
      <c r="E2548" s="228"/>
      <c r="F2548" s="109" t="s">
        <v>8360</v>
      </c>
      <c r="G2548" s="24"/>
      <c r="H2548" s="230">
        <v>4.5</v>
      </c>
      <c r="I2548" s="220">
        <v>1299000</v>
      </c>
      <c r="J2548" s="220">
        <f>I2548*0.1</f>
        <v>129900</v>
      </c>
      <c r="K2548" s="220">
        <v>0</v>
      </c>
      <c r="L2548" s="220">
        <v>19090</v>
      </c>
      <c r="M2548" s="220">
        <v>13750</v>
      </c>
      <c r="N2548" s="220">
        <f>SUM(I2548:M2549)</f>
        <v>1461740</v>
      </c>
      <c r="O2548" s="224"/>
      <c r="P2548" s="110" t="s">
        <v>8878</v>
      </c>
      <c r="Q2548" s="15" t="s">
        <v>19</v>
      </c>
      <c r="R2548" s="205"/>
      <c r="S2548" s="189" t="s">
        <v>1276</v>
      </c>
      <c r="T2548" s="114"/>
      <c r="U2548" s="21"/>
      <c r="V2548" s="115">
        <v>45969</v>
      </c>
      <c r="W2548" s="116">
        <v>1275</v>
      </c>
      <c r="X2548" s="220">
        <v>1625000</v>
      </c>
      <c r="Y2548" s="220">
        <f>X2548*0.1</f>
        <v>162500</v>
      </c>
      <c r="Z2548" s="220">
        <v>19090</v>
      </c>
      <c r="AA2548" s="220">
        <f>SUM(X2548:Z2548)</f>
        <v>1806590</v>
      </c>
      <c r="AB2548" s="222">
        <v>45972</v>
      </c>
    </row>
    <row r="2549" spans="1:28" ht="17.100000000000001" customHeight="1" thickBot="1">
      <c r="A2549" s="227"/>
      <c r="B2549" s="27" t="s">
        <v>8337</v>
      </c>
      <c r="C2549" s="27">
        <v>6542</v>
      </c>
      <c r="D2549" s="14" t="s">
        <v>3274</v>
      </c>
      <c r="E2549" s="229"/>
      <c r="F2549" s="117" t="s">
        <v>8348</v>
      </c>
      <c r="G2549" s="26">
        <v>50347</v>
      </c>
      <c r="H2549" s="231"/>
      <c r="I2549" s="221"/>
      <c r="J2549" s="221"/>
      <c r="K2549" s="221"/>
      <c r="L2549" s="221"/>
      <c r="M2549" s="221"/>
      <c r="N2549" s="221"/>
      <c r="O2549" s="225"/>
      <c r="P2549" s="118" t="s">
        <v>8879</v>
      </c>
      <c r="Q2549" s="16" t="s">
        <v>20</v>
      </c>
      <c r="R2549" s="17" t="s">
        <v>8783</v>
      </c>
      <c r="S2549" s="121" t="s">
        <v>1606</v>
      </c>
      <c r="T2549" s="122"/>
      <c r="U2549" s="22"/>
      <c r="V2549" s="123" t="s">
        <v>2472</v>
      </c>
      <c r="W2549" s="122">
        <v>80292</v>
      </c>
      <c r="X2549" s="221"/>
      <c r="Y2549" s="221"/>
      <c r="Z2549" s="221"/>
      <c r="AA2549" s="221"/>
      <c r="AB2549" s="223"/>
    </row>
    <row r="2550" spans="1:28" ht="17.100000000000001" customHeight="1" thickTop="1">
      <c r="A2550" s="226" t="s">
        <v>8394</v>
      </c>
      <c r="B2550" s="28">
        <v>45947</v>
      </c>
      <c r="C2550" s="25">
        <v>60</v>
      </c>
      <c r="D2550" s="13" t="s">
        <v>2392</v>
      </c>
      <c r="E2550" s="228"/>
      <c r="F2550" s="109" t="s">
        <v>8399</v>
      </c>
      <c r="G2550" s="24" t="s">
        <v>4239</v>
      </c>
      <c r="H2550" s="230">
        <v>5</v>
      </c>
      <c r="I2550" s="220">
        <v>1390000</v>
      </c>
      <c r="J2550" s="220">
        <f>I2550*0.1</f>
        <v>139000</v>
      </c>
      <c r="K2550" s="220">
        <v>0</v>
      </c>
      <c r="L2550" s="220">
        <v>6880</v>
      </c>
      <c r="M2550" s="220">
        <v>44000</v>
      </c>
      <c r="N2550" s="220">
        <f>SUM(I2550:M2551)</f>
        <v>1579880</v>
      </c>
      <c r="O2550" s="224"/>
      <c r="P2550" s="110" t="s">
        <v>9690</v>
      </c>
      <c r="Q2550" s="15" t="s">
        <v>19</v>
      </c>
      <c r="R2550" s="205"/>
      <c r="S2550" s="189" t="s">
        <v>25532</v>
      </c>
      <c r="T2550" s="114"/>
      <c r="U2550" s="21" t="s">
        <v>9969</v>
      </c>
      <c r="V2550" s="115">
        <v>45965</v>
      </c>
      <c r="W2550" s="116">
        <v>1916</v>
      </c>
      <c r="X2550" s="220">
        <v>1607000</v>
      </c>
      <c r="Y2550" s="220">
        <f>X2550*0.1</f>
        <v>160700</v>
      </c>
      <c r="Z2550" s="220">
        <v>6880</v>
      </c>
      <c r="AA2550" s="220">
        <f>SUM(X2550:Z2550)</f>
        <v>1774580</v>
      </c>
      <c r="AB2550" s="222">
        <v>45971</v>
      </c>
    </row>
    <row r="2551" spans="1:28" ht="17.100000000000001" customHeight="1" thickBot="1">
      <c r="A2551" s="227"/>
      <c r="B2551" s="27" t="s">
        <v>4468</v>
      </c>
      <c r="C2551" s="27">
        <v>1018</v>
      </c>
      <c r="D2551" s="14" t="s">
        <v>2559</v>
      </c>
      <c r="E2551" s="229"/>
      <c r="F2551" s="117" t="s">
        <v>8400</v>
      </c>
      <c r="G2551" s="26">
        <v>8496</v>
      </c>
      <c r="H2551" s="231"/>
      <c r="I2551" s="221"/>
      <c r="J2551" s="221"/>
      <c r="K2551" s="221"/>
      <c r="L2551" s="221"/>
      <c r="M2551" s="221"/>
      <c r="N2551" s="221"/>
      <c r="O2551" s="225"/>
      <c r="P2551" s="118" t="s">
        <v>9691</v>
      </c>
      <c r="Q2551" s="16" t="s">
        <v>20</v>
      </c>
      <c r="R2551" s="17" t="s">
        <v>9666</v>
      </c>
      <c r="S2551" s="121" t="s">
        <v>1625</v>
      </c>
      <c r="T2551" s="122"/>
      <c r="U2551" s="22"/>
      <c r="V2551" s="123" t="s">
        <v>2103</v>
      </c>
      <c r="W2551" s="122">
        <v>3243</v>
      </c>
      <c r="X2551" s="221"/>
      <c r="Y2551" s="221"/>
      <c r="Z2551" s="221"/>
      <c r="AA2551" s="221"/>
      <c r="AB2551" s="223"/>
    </row>
    <row r="2552" spans="1:28" ht="17.100000000000001" customHeight="1" thickTop="1">
      <c r="A2552" s="226" t="s">
        <v>8395</v>
      </c>
      <c r="B2552" s="28">
        <v>45947</v>
      </c>
      <c r="C2552" s="25">
        <v>60</v>
      </c>
      <c r="D2552" s="13" t="s">
        <v>2406</v>
      </c>
      <c r="E2552" s="228"/>
      <c r="F2552" s="109" t="s">
        <v>8401</v>
      </c>
      <c r="G2552" s="24" t="s">
        <v>2810</v>
      </c>
      <c r="H2552" s="230">
        <v>4</v>
      </c>
      <c r="I2552" s="220">
        <v>2000000</v>
      </c>
      <c r="J2552" s="220">
        <f>I2552*0.1</f>
        <v>200000</v>
      </c>
      <c r="K2552" s="220">
        <f>15000+1500</f>
        <v>16500</v>
      </c>
      <c r="L2552" s="220">
        <v>16550</v>
      </c>
      <c r="M2552" s="220">
        <v>66000</v>
      </c>
      <c r="N2552" s="220">
        <f>SUM(I2552:M2553)</f>
        <v>2299050</v>
      </c>
      <c r="O2552" s="224"/>
      <c r="P2552" s="110" t="s">
        <v>11264</v>
      </c>
      <c r="Q2552" s="15" t="s">
        <v>19</v>
      </c>
      <c r="R2552" s="205"/>
      <c r="S2552" s="189" t="s">
        <v>25533</v>
      </c>
      <c r="T2552" s="114"/>
      <c r="U2552" s="21"/>
      <c r="V2552" s="115">
        <v>45990</v>
      </c>
      <c r="W2552" s="116">
        <v>1278</v>
      </c>
      <c r="X2552" s="220">
        <v>1895000</v>
      </c>
      <c r="Y2552" s="220">
        <f>X2552*0.1</f>
        <v>189500</v>
      </c>
      <c r="Z2552" s="220">
        <v>16550</v>
      </c>
      <c r="AA2552" s="220">
        <f>SUM(X2552:Z2552)</f>
        <v>2101050</v>
      </c>
      <c r="AB2552" s="222">
        <v>45995</v>
      </c>
    </row>
    <row r="2553" spans="1:28" ht="17.100000000000001" customHeight="1" thickBot="1">
      <c r="A2553" s="227"/>
      <c r="B2553" s="27" t="s">
        <v>4468</v>
      </c>
      <c r="C2553" s="27">
        <v>1026</v>
      </c>
      <c r="D2553" s="14" t="s">
        <v>2559</v>
      </c>
      <c r="E2553" s="229"/>
      <c r="F2553" s="117" t="s">
        <v>8402</v>
      </c>
      <c r="G2553" s="26">
        <v>112607</v>
      </c>
      <c r="H2553" s="231"/>
      <c r="I2553" s="221"/>
      <c r="J2553" s="221"/>
      <c r="K2553" s="221"/>
      <c r="L2553" s="221"/>
      <c r="M2553" s="221"/>
      <c r="N2553" s="221"/>
      <c r="O2553" s="225"/>
      <c r="P2553" s="118" t="s">
        <v>11265</v>
      </c>
      <c r="Q2553" s="16" t="s">
        <v>20</v>
      </c>
      <c r="R2553" s="17" t="s">
        <v>2174</v>
      </c>
      <c r="S2553" s="121" t="s">
        <v>2312</v>
      </c>
      <c r="T2553" s="122"/>
      <c r="U2553" s="22"/>
      <c r="V2553" s="123" t="s">
        <v>2472</v>
      </c>
      <c r="W2553" s="122">
        <v>31085</v>
      </c>
      <c r="X2553" s="221"/>
      <c r="Y2553" s="221"/>
      <c r="Z2553" s="221"/>
      <c r="AA2553" s="221"/>
      <c r="AB2553" s="223"/>
    </row>
    <row r="2554" spans="1:28" ht="17.100000000000001" customHeight="1" thickTop="1">
      <c r="A2554" s="226" t="s">
        <v>8396</v>
      </c>
      <c r="B2554" s="28">
        <v>45947</v>
      </c>
      <c r="C2554" s="25">
        <v>60</v>
      </c>
      <c r="D2554" s="13" t="s">
        <v>2158</v>
      </c>
      <c r="E2554" s="228"/>
      <c r="F2554" s="109" t="s">
        <v>8403</v>
      </c>
      <c r="G2554" s="24" t="s">
        <v>2953</v>
      </c>
      <c r="H2554" s="230">
        <v>4</v>
      </c>
      <c r="I2554" s="220">
        <v>1145000</v>
      </c>
      <c r="J2554" s="220">
        <f>I2554*0.1</f>
        <v>114500</v>
      </c>
      <c r="K2554" s="220">
        <v>0</v>
      </c>
      <c r="L2554" s="220">
        <v>9830</v>
      </c>
      <c r="M2554" s="220">
        <v>44000</v>
      </c>
      <c r="N2554" s="220">
        <f>SUM(I2554:M2555)</f>
        <v>1313330</v>
      </c>
      <c r="O2554" s="224"/>
      <c r="P2554" s="110" t="s">
        <v>10388</v>
      </c>
      <c r="Q2554" s="15" t="s">
        <v>19</v>
      </c>
      <c r="R2554" s="205"/>
      <c r="S2554" s="189" t="s">
        <v>25534</v>
      </c>
      <c r="T2554" s="114"/>
      <c r="U2554" s="21"/>
      <c r="V2554" s="115">
        <v>45969</v>
      </c>
      <c r="W2554" s="116">
        <v>1275</v>
      </c>
      <c r="X2554" s="220">
        <v>1280000</v>
      </c>
      <c r="Y2554" s="220">
        <f>X2554*0.1</f>
        <v>128000</v>
      </c>
      <c r="Z2554" s="220">
        <v>9830</v>
      </c>
      <c r="AA2554" s="220">
        <f>SUM(X2554:Z2554)</f>
        <v>1417830</v>
      </c>
      <c r="AB2554" s="222">
        <v>45979</v>
      </c>
    </row>
    <row r="2555" spans="1:28" ht="17.100000000000001" customHeight="1" thickBot="1">
      <c r="A2555" s="227"/>
      <c r="B2555" s="27" t="s">
        <v>4468</v>
      </c>
      <c r="C2555" s="27">
        <v>1049</v>
      </c>
      <c r="D2555" s="14" t="s">
        <v>898</v>
      </c>
      <c r="E2555" s="229"/>
      <c r="F2555" s="117" t="s">
        <v>8404</v>
      </c>
      <c r="G2555" s="26">
        <v>53987</v>
      </c>
      <c r="H2555" s="231"/>
      <c r="I2555" s="221"/>
      <c r="J2555" s="221"/>
      <c r="K2555" s="221"/>
      <c r="L2555" s="221"/>
      <c r="M2555" s="221"/>
      <c r="N2555" s="221"/>
      <c r="O2555" s="225"/>
      <c r="P2555" s="118" t="s">
        <v>10389</v>
      </c>
      <c r="Q2555" s="16" t="s">
        <v>20</v>
      </c>
      <c r="R2555" s="17" t="s">
        <v>10387</v>
      </c>
      <c r="S2555" s="121" t="s">
        <v>2025</v>
      </c>
      <c r="T2555" s="122"/>
      <c r="U2555" s="22"/>
      <c r="V2555" s="123" t="s">
        <v>2472</v>
      </c>
      <c r="W2555" s="122">
        <v>37110</v>
      </c>
      <c r="X2555" s="221"/>
      <c r="Y2555" s="221"/>
      <c r="Z2555" s="221"/>
      <c r="AA2555" s="221"/>
      <c r="AB2555" s="223"/>
    </row>
    <row r="2556" spans="1:28" ht="17.100000000000001" customHeight="1" thickTop="1">
      <c r="A2556" s="226" t="s">
        <v>8397</v>
      </c>
      <c r="B2556" s="28">
        <v>45947</v>
      </c>
      <c r="C2556" s="25">
        <v>60</v>
      </c>
      <c r="D2556" s="13" t="s">
        <v>1666</v>
      </c>
      <c r="E2556" s="228"/>
      <c r="F2556" s="109" t="s">
        <v>8405</v>
      </c>
      <c r="G2556" s="24" t="s">
        <v>3345</v>
      </c>
      <c r="H2556" s="230">
        <v>4</v>
      </c>
      <c r="I2556" s="220">
        <v>495000</v>
      </c>
      <c r="J2556" s="220">
        <f>I2556*0.1</f>
        <v>49500</v>
      </c>
      <c r="K2556" s="220">
        <f>13100+1310</f>
        <v>14410</v>
      </c>
      <c r="L2556" s="220">
        <v>11810</v>
      </c>
      <c r="M2556" s="220">
        <v>33000</v>
      </c>
      <c r="N2556" s="220">
        <f>SUM(I2556:M2557)</f>
        <v>603720</v>
      </c>
      <c r="O2556" s="224"/>
      <c r="P2556" s="110" t="s">
        <v>11803</v>
      </c>
      <c r="Q2556" s="15" t="s">
        <v>19</v>
      </c>
      <c r="R2556" s="205"/>
      <c r="S2556" s="189" t="s">
        <v>25535</v>
      </c>
      <c r="T2556" s="114"/>
      <c r="U2556" s="21"/>
      <c r="V2556" s="115">
        <v>45990</v>
      </c>
      <c r="W2556" s="116">
        <v>1278</v>
      </c>
      <c r="X2556" s="220">
        <v>685000</v>
      </c>
      <c r="Y2556" s="220">
        <f>X2556*0.1</f>
        <v>68500</v>
      </c>
      <c r="Z2556" s="220">
        <v>11810</v>
      </c>
      <c r="AA2556" s="220">
        <f>SUM(X2556:Z2556)</f>
        <v>765310</v>
      </c>
      <c r="AB2556" s="222">
        <v>45994</v>
      </c>
    </row>
    <row r="2557" spans="1:28" ht="17.100000000000001" customHeight="1" thickBot="1">
      <c r="A2557" s="227"/>
      <c r="B2557" s="27" t="s">
        <v>4468</v>
      </c>
      <c r="C2557" s="27">
        <v>2001</v>
      </c>
      <c r="D2557" s="14" t="s">
        <v>273</v>
      </c>
      <c r="E2557" s="229"/>
      <c r="F2557" s="117" t="s">
        <v>8406</v>
      </c>
      <c r="G2557" s="26">
        <v>78066</v>
      </c>
      <c r="H2557" s="231"/>
      <c r="I2557" s="221"/>
      <c r="J2557" s="221"/>
      <c r="K2557" s="221"/>
      <c r="L2557" s="221"/>
      <c r="M2557" s="221"/>
      <c r="N2557" s="221"/>
      <c r="O2557" s="225"/>
      <c r="P2557" s="118" t="s">
        <v>11804</v>
      </c>
      <c r="Q2557" s="16" t="s">
        <v>20</v>
      </c>
      <c r="R2557" s="17" t="s">
        <v>11800</v>
      </c>
      <c r="S2557" s="121" t="s">
        <v>11869</v>
      </c>
      <c r="T2557" s="122"/>
      <c r="U2557" s="22"/>
      <c r="V2557" s="123" t="s">
        <v>2472</v>
      </c>
      <c r="W2557" s="122">
        <v>37817</v>
      </c>
      <c r="X2557" s="221"/>
      <c r="Y2557" s="221"/>
      <c r="Z2557" s="221"/>
      <c r="AA2557" s="221"/>
      <c r="AB2557" s="223"/>
    </row>
    <row r="2558" spans="1:28" ht="17.100000000000001" customHeight="1" thickTop="1">
      <c r="A2558" s="226" t="s">
        <v>8398</v>
      </c>
      <c r="B2558" s="28">
        <v>45947</v>
      </c>
      <c r="C2558" s="25">
        <v>60</v>
      </c>
      <c r="D2558" s="13" t="s">
        <v>2073</v>
      </c>
      <c r="E2558" s="228"/>
      <c r="F2558" s="109" t="s">
        <v>8407</v>
      </c>
      <c r="G2558" s="24" t="s">
        <v>4239</v>
      </c>
      <c r="H2558" s="230">
        <v>4.5</v>
      </c>
      <c r="I2558" s="220">
        <v>2010000</v>
      </c>
      <c r="J2558" s="220">
        <f>I2558*0.1</f>
        <v>201000</v>
      </c>
      <c r="K2558" s="220">
        <f>13100+1310</f>
        <v>14410</v>
      </c>
      <c r="L2558" s="220">
        <v>12470</v>
      </c>
      <c r="M2558" s="220">
        <v>66000</v>
      </c>
      <c r="N2558" s="220">
        <f>SUM(I2558:M2559)</f>
        <v>2303880</v>
      </c>
      <c r="O2558" s="224"/>
      <c r="P2558" s="110" t="s">
        <v>12073</v>
      </c>
      <c r="Q2558" s="15" t="s">
        <v>19</v>
      </c>
      <c r="R2558" s="205"/>
      <c r="S2558" s="189" t="s">
        <v>25535</v>
      </c>
      <c r="T2558" s="114"/>
      <c r="U2558" s="21"/>
      <c r="V2558" s="115">
        <v>45994</v>
      </c>
      <c r="W2558" s="116">
        <v>995</v>
      </c>
      <c r="X2558" s="220">
        <v>2220000</v>
      </c>
      <c r="Y2558" s="220">
        <f>X2558*0.1</f>
        <v>222000</v>
      </c>
      <c r="Z2558" s="220">
        <v>12470</v>
      </c>
      <c r="AA2558" s="220">
        <f>SUM(X2558:Z2558)</f>
        <v>2454470</v>
      </c>
      <c r="AB2558" s="222">
        <v>45999</v>
      </c>
    </row>
    <row r="2559" spans="1:28" ht="17.100000000000001" customHeight="1" thickBot="1">
      <c r="A2559" s="227"/>
      <c r="B2559" s="27" t="s">
        <v>4468</v>
      </c>
      <c r="C2559" s="27">
        <v>2012</v>
      </c>
      <c r="D2559" s="14" t="s">
        <v>2559</v>
      </c>
      <c r="E2559" s="229"/>
      <c r="F2559" s="117" t="s">
        <v>8408</v>
      </c>
      <c r="G2559" s="26">
        <v>34683</v>
      </c>
      <c r="H2559" s="231"/>
      <c r="I2559" s="221"/>
      <c r="J2559" s="221"/>
      <c r="K2559" s="221"/>
      <c r="L2559" s="221"/>
      <c r="M2559" s="221"/>
      <c r="N2559" s="221"/>
      <c r="O2559" s="225"/>
      <c r="P2559" s="118" t="s">
        <v>12074</v>
      </c>
      <c r="Q2559" s="16" t="s">
        <v>20</v>
      </c>
      <c r="R2559" s="17" t="s">
        <v>2216</v>
      </c>
      <c r="S2559" s="121" t="s">
        <v>12075</v>
      </c>
      <c r="T2559" s="122"/>
      <c r="U2559" s="22"/>
      <c r="V2559" s="123" t="s">
        <v>2747</v>
      </c>
      <c r="W2559" s="122">
        <v>1080</v>
      </c>
      <c r="X2559" s="221"/>
      <c r="Y2559" s="221"/>
      <c r="Z2559" s="221"/>
      <c r="AA2559" s="221"/>
      <c r="AB2559" s="223"/>
    </row>
    <row r="2560" spans="1:28" ht="17.100000000000001" customHeight="1" thickTop="1">
      <c r="A2560" s="226" t="s">
        <v>8417</v>
      </c>
      <c r="B2560" s="28">
        <v>45947</v>
      </c>
      <c r="C2560" s="25">
        <v>262</v>
      </c>
      <c r="D2560" s="13" t="s">
        <v>4755</v>
      </c>
      <c r="E2560" s="228"/>
      <c r="F2560" s="109" t="s">
        <v>8409</v>
      </c>
      <c r="G2560" s="24"/>
      <c r="H2560" s="230">
        <v>4</v>
      </c>
      <c r="I2560" s="220">
        <v>192000</v>
      </c>
      <c r="J2560" s="220">
        <f>I2560*0.1</f>
        <v>19200</v>
      </c>
      <c r="K2560" s="220">
        <v>0</v>
      </c>
      <c r="L2560" s="220">
        <v>8930</v>
      </c>
      <c r="M2560" s="220">
        <v>22000</v>
      </c>
      <c r="N2560" s="220">
        <f>SUM(I2560:M2561)</f>
        <v>242130</v>
      </c>
      <c r="O2560" s="224"/>
      <c r="P2560" s="110" t="s">
        <v>8731</v>
      </c>
      <c r="Q2560" s="15" t="s">
        <v>19</v>
      </c>
      <c r="R2560" s="205"/>
      <c r="S2560" s="189"/>
      <c r="T2560" s="114"/>
      <c r="U2560" s="21"/>
      <c r="V2560" s="115">
        <v>45955</v>
      </c>
      <c r="W2560" s="116">
        <v>1273</v>
      </c>
      <c r="X2560" s="220">
        <v>270000</v>
      </c>
      <c r="Y2560" s="220">
        <f>X2560*0.1</f>
        <v>27000</v>
      </c>
      <c r="Z2560" s="220">
        <v>8930</v>
      </c>
      <c r="AA2560" s="220">
        <f>SUM(X2560:Z2560)</f>
        <v>305930</v>
      </c>
      <c r="AB2560" s="222">
        <v>45958</v>
      </c>
    </row>
    <row r="2561" spans="1:28" ht="17.100000000000001" customHeight="1" thickBot="1">
      <c r="A2561" s="227"/>
      <c r="B2561" s="27" t="s">
        <v>3890</v>
      </c>
      <c r="C2561" s="27">
        <v>1</v>
      </c>
      <c r="D2561" s="14" t="s">
        <v>3274</v>
      </c>
      <c r="E2561" s="229"/>
      <c r="F2561" s="117" t="s">
        <v>8410</v>
      </c>
      <c r="G2561" s="26">
        <v>38806</v>
      </c>
      <c r="H2561" s="231"/>
      <c r="I2561" s="221"/>
      <c r="J2561" s="221"/>
      <c r="K2561" s="221"/>
      <c r="L2561" s="221"/>
      <c r="M2561" s="221"/>
      <c r="N2561" s="221"/>
      <c r="O2561" s="225"/>
      <c r="P2561" s="118" t="s">
        <v>4425</v>
      </c>
      <c r="Q2561" s="16" t="s">
        <v>20</v>
      </c>
      <c r="R2561" s="17" t="s">
        <v>1656</v>
      </c>
      <c r="S2561" s="121" t="s">
        <v>2360</v>
      </c>
      <c r="T2561" s="122"/>
      <c r="U2561" s="22"/>
      <c r="V2561" s="123" t="s">
        <v>2472</v>
      </c>
      <c r="W2561" s="122">
        <v>60023</v>
      </c>
      <c r="X2561" s="221"/>
      <c r="Y2561" s="221"/>
      <c r="Z2561" s="221"/>
      <c r="AA2561" s="221"/>
      <c r="AB2561" s="223"/>
    </row>
    <row r="2562" spans="1:28" ht="17.100000000000001" customHeight="1" thickTop="1">
      <c r="A2562" s="226" t="s">
        <v>8418</v>
      </c>
      <c r="B2562" s="28">
        <v>45947</v>
      </c>
      <c r="C2562" s="25">
        <v>262</v>
      </c>
      <c r="D2562" s="13" t="s">
        <v>1746</v>
      </c>
      <c r="E2562" s="228"/>
      <c r="F2562" s="109" t="s">
        <v>3844</v>
      </c>
      <c r="G2562" s="24" t="s">
        <v>1540</v>
      </c>
      <c r="H2562" s="230">
        <v>4.5</v>
      </c>
      <c r="I2562" s="220">
        <v>462000</v>
      </c>
      <c r="J2562" s="220">
        <f>I2562*0.1</f>
        <v>46200</v>
      </c>
      <c r="K2562" s="220">
        <v>0</v>
      </c>
      <c r="L2562" s="220">
        <v>7950</v>
      </c>
      <c r="M2562" s="220">
        <v>22000</v>
      </c>
      <c r="N2562" s="220">
        <f>SUM(I2562:M2563)</f>
        <v>538150</v>
      </c>
      <c r="O2562" s="224"/>
      <c r="P2562" s="110" t="s">
        <v>8412</v>
      </c>
      <c r="Q2562" s="15" t="s">
        <v>19</v>
      </c>
      <c r="R2562" s="205"/>
      <c r="S2562" s="189" t="s">
        <v>1113</v>
      </c>
      <c r="T2562" s="114"/>
      <c r="U2562" s="21"/>
      <c r="V2562" s="115">
        <v>45958</v>
      </c>
      <c r="W2562" s="116">
        <v>1915</v>
      </c>
      <c r="X2562" s="220">
        <v>505000</v>
      </c>
      <c r="Y2562" s="220">
        <f>X2562*0.1</f>
        <v>50500</v>
      </c>
      <c r="Z2562" s="220">
        <v>7950</v>
      </c>
      <c r="AA2562" s="220">
        <f>SUM(X2562:Z2562)</f>
        <v>563450</v>
      </c>
      <c r="AB2562" s="222">
        <v>45965</v>
      </c>
    </row>
    <row r="2563" spans="1:28" ht="17.100000000000001" customHeight="1" thickBot="1">
      <c r="A2563" s="227"/>
      <c r="B2563" s="27" t="s">
        <v>3890</v>
      </c>
      <c r="C2563" s="27">
        <v>82</v>
      </c>
      <c r="D2563" s="14" t="s">
        <v>3274</v>
      </c>
      <c r="E2563" s="229"/>
      <c r="F2563" s="117" t="s">
        <v>8411</v>
      </c>
      <c r="G2563" s="26">
        <v>50322</v>
      </c>
      <c r="H2563" s="231"/>
      <c r="I2563" s="221"/>
      <c r="J2563" s="221"/>
      <c r="K2563" s="221"/>
      <c r="L2563" s="221"/>
      <c r="M2563" s="221"/>
      <c r="N2563" s="221"/>
      <c r="O2563" s="225"/>
      <c r="P2563" s="118" t="s">
        <v>9050</v>
      </c>
      <c r="Q2563" s="16" t="s">
        <v>20</v>
      </c>
      <c r="R2563" s="17" t="s">
        <v>8953</v>
      </c>
      <c r="S2563" s="121" t="s">
        <v>169</v>
      </c>
      <c r="T2563" s="122"/>
      <c r="U2563" s="22"/>
      <c r="V2563" s="123" t="s">
        <v>2103</v>
      </c>
      <c r="W2563" s="122">
        <v>3049</v>
      </c>
      <c r="X2563" s="221"/>
      <c r="Y2563" s="221"/>
      <c r="Z2563" s="221"/>
      <c r="AA2563" s="221"/>
      <c r="AB2563" s="223"/>
    </row>
    <row r="2564" spans="1:28" ht="17.100000000000001" customHeight="1" thickTop="1">
      <c r="A2564" s="226" t="s">
        <v>8419</v>
      </c>
      <c r="B2564" s="28">
        <v>45947</v>
      </c>
      <c r="C2564" s="25">
        <v>262</v>
      </c>
      <c r="D2564" s="13" t="s">
        <v>812</v>
      </c>
      <c r="E2564" s="228"/>
      <c r="F2564" s="109" t="s">
        <v>8413</v>
      </c>
      <c r="G2564" s="24" t="s">
        <v>3345</v>
      </c>
      <c r="H2564" s="230">
        <v>4.5</v>
      </c>
      <c r="I2564" s="220">
        <v>706000</v>
      </c>
      <c r="J2564" s="220">
        <f>I2564*0.1</f>
        <v>70600</v>
      </c>
      <c r="K2564" s="220">
        <v>0</v>
      </c>
      <c r="L2564" s="220">
        <v>8400</v>
      </c>
      <c r="M2564" s="220">
        <v>22000</v>
      </c>
      <c r="N2564" s="220">
        <f>SUM(I2564:M2565)</f>
        <v>807000</v>
      </c>
      <c r="O2564" s="224"/>
      <c r="P2564" s="110" t="s">
        <v>8415</v>
      </c>
      <c r="Q2564" s="15" t="s">
        <v>19</v>
      </c>
      <c r="R2564" s="205"/>
      <c r="S2564" s="189" t="s">
        <v>758</v>
      </c>
      <c r="T2564" s="114"/>
      <c r="U2564" s="21"/>
      <c r="V2564" s="115">
        <v>45951</v>
      </c>
      <c r="W2564" s="116">
        <v>1914</v>
      </c>
      <c r="X2564" s="220">
        <v>797000</v>
      </c>
      <c r="Y2564" s="220">
        <f>X2564*0.1</f>
        <v>79700</v>
      </c>
      <c r="Z2564" s="220">
        <v>8400</v>
      </c>
      <c r="AA2564" s="220">
        <f>SUM(X2564:Z2564)</f>
        <v>885100</v>
      </c>
      <c r="AB2564" s="222">
        <v>45957</v>
      </c>
    </row>
    <row r="2565" spans="1:28" ht="17.100000000000001" customHeight="1" thickBot="1">
      <c r="A2565" s="227"/>
      <c r="B2565" s="27" t="s">
        <v>3890</v>
      </c>
      <c r="C2565" s="27">
        <v>87</v>
      </c>
      <c r="D2565" s="14" t="s">
        <v>1710</v>
      </c>
      <c r="E2565" s="229"/>
      <c r="F2565" s="117" t="s">
        <v>8414</v>
      </c>
      <c r="G2565" s="26">
        <v>27146</v>
      </c>
      <c r="H2565" s="231"/>
      <c r="I2565" s="221"/>
      <c r="J2565" s="221"/>
      <c r="K2565" s="221"/>
      <c r="L2565" s="221"/>
      <c r="M2565" s="221"/>
      <c r="N2565" s="221"/>
      <c r="O2565" s="225"/>
      <c r="P2565" s="118" t="s">
        <v>3733</v>
      </c>
      <c r="Q2565" s="16" t="s">
        <v>20</v>
      </c>
      <c r="R2565" s="17" t="s">
        <v>1656</v>
      </c>
      <c r="S2565" s="121" t="s">
        <v>8112</v>
      </c>
      <c r="T2565" s="122"/>
      <c r="U2565" s="22"/>
      <c r="V2565" s="123" t="s">
        <v>2103</v>
      </c>
      <c r="W2565" s="122">
        <v>3227</v>
      </c>
      <c r="X2565" s="221"/>
      <c r="Y2565" s="221"/>
      <c r="Z2565" s="221"/>
      <c r="AA2565" s="221"/>
      <c r="AB2565" s="223"/>
    </row>
    <row r="2566" spans="1:28" ht="17.100000000000001" customHeight="1" thickTop="1">
      <c r="A2566" s="226" t="s">
        <v>8420</v>
      </c>
      <c r="B2566" s="28">
        <v>45947</v>
      </c>
      <c r="C2566" s="25">
        <v>2106</v>
      </c>
      <c r="D2566" s="13" t="s">
        <v>1702</v>
      </c>
      <c r="E2566" s="228"/>
      <c r="F2566" s="109" t="s">
        <v>8428</v>
      </c>
      <c r="G2566" s="24" t="s">
        <v>2487</v>
      </c>
      <c r="H2566" s="230">
        <v>4.5</v>
      </c>
      <c r="I2566" s="220">
        <v>810000</v>
      </c>
      <c r="J2566" s="220">
        <f>I2566*0.1</f>
        <v>81000</v>
      </c>
      <c r="K2566" s="220">
        <f>16400+1640</f>
        <v>18040</v>
      </c>
      <c r="L2566" s="220">
        <v>19440</v>
      </c>
      <c r="M2566" s="220">
        <v>16500</v>
      </c>
      <c r="N2566" s="220">
        <f>SUM(I2566:M2567)</f>
        <v>944980</v>
      </c>
      <c r="O2566" s="224"/>
      <c r="P2566" s="110" t="s">
        <v>8477</v>
      </c>
      <c r="Q2566" s="15" t="s">
        <v>19</v>
      </c>
      <c r="R2566" s="205"/>
      <c r="S2566" s="189"/>
      <c r="T2566" s="114"/>
      <c r="U2566" s="21"/>
      <c r="V2566" s="115">
        <v>45953</v>
      </c>
      <c r="W2566" s="116">
        <v>1303</v>
      </c>
      <c r="X2566" s="220">
        <v>955000</v>
      </c>
      <c r="Y2566" s="220">
        <f>X2566*0.1</f>
        <v>95500</v>
      </c>
      <c r="Z2566" s="220">
        <v>19440</v>
      </c>
      <c r="AA2566" s="220">
        <f>SUM(X2566:Z2566)</f>
        <v>1069940</v>
      </c>
      <c r="AB2566" s="222">
        <v>45954</v>
      </c>
    </row>
    <row r="2567" spans="1:28" ht="17.100000000000001" customHeight="1" thickBot="1">
      <c r="A2567" s="227"/>
      <c r="B2567" s="27" t="s">
        <v>1536</v>
      </c>
      <c r="C2567" s="27">
        <v>13067</v>
      </c>
      <c r="D2567" s="14" t="s">
        <v>1627</v>
      </c>
      <c r="E2567" s="229"/>
      <c r="F2567" s="117" t="s">
        <v>8476</v>
      </c>
      <c r="G2567" s="26">
        <v>75127</v>
      </c>
      <c r="H2567" s="231"/>
      <c r="I2567" s="221"/>
      <c r="J2567" s="221"/>
      <c r="K2567" s="221"/>
      <c r="L2567" s="221"/>
      <c r="M2567" s="221"/>
      <c r="N2567" s="221"/>
      <c r="O2567" s="225"/>
      <c r="P2567" s="118" t="s">
        <v>8888</v>
      </c>
      <c r="Q2567" s="16" t="s">
        <v>20</v>
      </c>
      <c r="R2567" s="17" t="s">
        <v>8783</v>
      </c>
      <c r="S2567" s="121" t="s">
        <v>169</v>
      </c>
      <c r="T2567" s="122"/>
      <c r="U2567" s="22"/>
      <c r="V2567" s="123" t="s">
        <v>1735</v>
      </c>
      <c r="W2567" s="122">
        <v>50</v>
      </c>
      <c r="X2567" s="221"/>
      <c r="Y2567" s="221"/>
      <c r="Z2567" s="221"/>
      <c r="AA2567" s="221"/>
      <c r="AB2567" s="223"/>
    </row>
    <row r="2568" spans="1:28" ht="17.100000000000001" customHeight="1" thickTop="1">
      <c r="A2568" s="226" t="s">
        <v>8421</v>
      </c>
      <c r="B2568" s="28">
        <v>45947</v>
      </c>
      <c r="C2568" s="25">
        <v>2106</v>
      </c>
      <c r="D2568" s="13" t="s">
        <v>2324</v>
      </c>
      <c r="E2568" s="228"/>
      <c r="F2568" s="109" t="s">
        <v>8429</v>
      </c>
      <c r="G2568" s="24"/>
      <c r="H2568" s="230">
        <v>4</v>
      </c>
      <c r="I2568" s="220">
        <v>800000</v>
      </c>
      <c r="J2568" s="220">
        <f>I2568*0.1</f>
        <v>80000</v>
      </c>
      <c r="K2568" s="220">
        <v>0</v>
      </c>
      <c r="L2568" s="220">
        <v>8550</v>
      </c>
      <c r="M2568" s="220">
        <v>16500</v>
      </c>
      <c r="N2568" s="220">
        <f>SUM(I2568:M2569)</f>
        <v>905050</v>
      </c>
      <c r="O2568" s="224"/>
      <c r="P2568" s="110" t="s">
        <v>8917</v>
      </c>
      <c r="Q2568" s="15" t="s">
        <v>19</v>
      </c>
      <c r="R2568" s="205"/>
      <c r="S2568" s="189" t="s">
        <v>25536</v>
      </c>
      <c r="T2568" s="114"/>
      <c r="U2568" s="21"/>
      <c r="V2568" s="115">
        <v>45955</v>
      </c>
      <c r="W2568" s="116">
        <v>1273</v>
      </c>
      <c r="X2568" s="220">
        <v>910000</v>
      </c>
      <c r="Y2568" s="220">
        <f>X2568*0.1</f>
        <v>91000</v>
      </c>
      <c r="Z2568" s="220">
        <v>8550</v>
      </c>
      <c r="AA2568" s="220">
        <f>SUM(X2568:Z2568)</f>
        <v>1009550</v>
      </c>
      <c r="AB2568" s="222">
        <v>45958</v>
      </c>
    </row>
    <row r="2569" spans="1:28" ht="17.100000000000001" customHeight="1" thickBot="1">
      <c r="A2569" s="227"/>
      <c r="B2569" s="27" t="s">
        <v>1536</v>
      </c>
      <c r="C2569" s="27">
        <v>55248</v>
      </c>
      <c r="D2569" s="14" t="s">
        <v>54</v>
      </c>
      <c r="E2569" s="229"/>
      <c r="F2569" s="117" t="s">
        <v>8430</v>
      </c>
      <c r="G2569" s="26">
        <v>43007</v>
      </c>
      <c r="H2569" s="231"/>
      <c r="I2569" s="221"/>
      <c r="J2569" s="221"/>
      <c r="K2569" s="221"/>
      <c r="L2569" s="221"/>
      <c r="M2569" s="221"/>
      <c r="N2569" s="221"/>
      <c r="O2569" s="225"/>
      <c r="P2569" s="118" t="s">
        <v>8918</v>
      </c>
      <c r="Q2569" s="16" t="s">
        <v>20</v>
      </c>
      <c r="R2569" s="17" t="s">
        <v>8783</v>
      </c>
      <c r="S2569" s="121" t="s">
        <v>9316</v>
      </c>
      <c r="T2569" s="122"/>
      <c r="U2569" s="22"/>
      <c r="V2569" s="123" t="s">
        <v>2472</v>
      </c>
      <c r="W2569" s="122">
        <v>60025</v>
      </c>
      <c r="X2569" s="221"/>
      <c r="Y2569" s="221"/>
      <c r="Z2569" s="221"/>
      <c r="AA2569" s="221"/>
      <c r="AB2569" s="223"/>
    </row>
    <row r="2570" spans="1:28" ht="17.100000000000001" customHeight="1" thickTop="1">
      <c r="A2570" s="226" t="s">
        <v>8422</v>
      </c>
      <c r="B2570" s="28">
        <v>45947</v>
      </c>
      <c r="C2570" s="25">
        <v>2106</v>
      </c>
      <c r="D2570" s="13" t="s">
        <v>2010</v>
      </c>
      <c r="E2570" s="228"/>
      <c r="F2570" s="109" t="s">
        <v>8431</v>
      </c>
      <c r="G2570" s="24" t="s">
        <v>3345</v>
      </c>
      <c r="H2570" s="230">
        <v>4.5</v>
      </c>
      <c r="I2570" s="220">
        <v>1045000</v>
      </c>
      <c r="J2570" s="220">
        <f>I2570*0.1</f>
        <v>104500</v>
      </c>
      <c r="K2570" s="220">
        <v>0</v>
      </c>
      <c r="L2570" s="220">
        <v>8130</v>
      </c>
      <c r="M2570" s="220">
        <v>16500</v>
      </c>
      <c r="N2570" s="220">
        <f>SUM(I2570:M2571)</f>
        <v>1174130</v>
      </c>
      <c r="O2570" s="224"/>
      <c r="P2570" s="110" t="s">
        <v>8479</v>
      </c>
      <c r="Q2570" s="15" t="s">
        <v>19</v>
      </c>
      <c r="R2570" s="205"/>
      <c r="S2570" s="189" t="s">
        <v>25392</v>
      </c>
      <c r="T2570" s="114"/>
      <c r="U2570" s="21"/>
      <c r="V2570" s="115">
        <v>45951</v>
      </c>
      <c r="W2570" s="116">
        <v>1914</v>
      </c>
      <c r="X2570" s="220">
        <v>1122000</v>
      </c>
      <c r="Y2570" s="220">
        <f>X2570*0.1</f>
        <v>112200</v>
      </c>
      <c r="Z2570" s="220">
        <v>8130</v>
      </c>
      <c r="AA2570" s="220">
        <f>SUM(X2570:Z2570)</f>
        <v>1242330</v>
      </c>
      <c r="AB2570" s="222">
        <v>45957</v>
      </c>
    </row>
    <row r="2571" spans="1:28" ht="16.5" customHeight="1" thickBot="1">
      <c r="A2571" s="227"/>
      <c r="B2571" s="27" t="s">
        <v>1536</v>
      </c>
      <c r="C2571" s="27">
        <v>55463</v>
      </c>
      <c r="D2571" s="14" t="s">
        <v>8478</v>
      </c>
      <c r="E2571" s="229"/>
      <c r="F2571" s="117" t="s">
        <v>8432</v>
      </c>
      <c r="G2571" s="26">
        <v>53300</v>
      </c>
      <c r="H2571" s="231"/>
      <c r="I2571" s="221"/>
      <c r="J2571" s="221"/>
      <c r="K2571" s="221"/>
      <c r="L2571" s="221"/>
      <c r="M2571" s="221"/>
      <c r="N2571" s="221"/>
      <c r="O2571" s="225"/>
      <c r="P2571" s="118" t="s">
        <v>8874</v>
      </c>
      <c r="Q2571" s="16" t="s">
        <v>20</v>
      </c>
      <c r="R2571" s="17" t="s">
        <v>8783</v>
      </c>
      <c r="S2571" s="121" t="s">
        <v>6932</v>
      </c>
      <c r="T2571" s="122"/>
      <c r="U2571" s="22"/>
      <c r="V2571" s="123" t="s">
        <v>2103</v>
      </c>
      <c r="W2571" s="122">
        <v>3385</v>
      </c>
      <c r="X2571" s="221"/>
      <c r="Y2571" s="221"/>
      <c r="Z2571" s="221"/>
      <c r="AA2571" s="221"/>
      <c r="AB2571" s="223"/>
    </row>
    <row r="2572" spans="1:28" ht="17.100000000000001" customHeight="1" thickTop="1">
      <c r="A2572" s="226" t="s">
        <v>8423</v>
      </c>
      <c r="B2572" s="28">
        <v>45947</v>
      </c>
      <c r="C2572" s="25">
        <v>2106</v>
      </c>
      <c r="D2572" s="13" t="s">
        <v>1883</v>
      </c>
      <c r="E2572" s="228"/>
      <c r="F2572" s="109" t="s">
        <v>2159</v>
      </c>
      <c r="G2572" s="24" t="s">
        <v>8481</v>
      </c>
      <c r="H2572" s="230">
        <v>4.5</v>
      </c>
      <c r="I2572" s="220">
        <v>1480000</v>
      </c>
      <c r="J2572" s="220">
        <f>I2572*0.1</f>
        <v>148000</v>
      </c>
      <c r="K2572" s="220">
        <f>12700+1270</f>
        <v>13970</v>
      </c>
      <c r="L2572" s="220">
        <v>16250</v>
      </c>
      <c r="M2572" s="220">
        <v>16500</v>
      </c>
      <c r="N2572" s="220">
        <f>SUM(I2572:M2573)</f>
        <v>1674720</v>
      </c>
      <c r="O2572" s="224"/>
      <c r="P2572" s="110" t="s">
        <v>8482</v>
      </c>
      <c r="Q2572" s="15" t="s">
        <v>19</v>
      </c>
      <c r="R2572" s="205"/>
      <c r="S2572" s="189" t="s">
        <v>1271</v>
      </c>
      <c r="T2572" s="114"/>
      <c r="U2572" s="21"/>
      <c r="V2572" s="115">
        <v>45980</v>
      </c>
      <c r="W2572" s="116">
        <v>993</v>
      </c>
      <c r="X2572" s="220">
        <v>1550000</v>
      </c>
      <c r="Y2572" s="220">
        <f>X2572*0.1</f>
        <v>155000</v>
      </c>
      <c r="Z2572" s="220">
        <v>16250</v>
      </c>
      <c r="AA2572" s="220">
        <v>1721250</v>
      </c>
      <c r="AB2572" s="222">
        <v>45986</v>
      </c>
    </row>
    <row r="2573" spans="1:28" ht="17.100000000000001" customHeight="1" thickBot="1">
      <c r="A2573" s="227"/>
      <c r="B2573" s="27" t="s">
        <v>1536</v>
      </c>
      <c r="C2573" s="27">
        <v>58499</v>
      </c>
      <c r="D2573" s="14" t="s">
        <v>2788</v>
      </c>
      <c r="E2573" s="229"/>
      <c r="F2573" s="117" t="s">
        <v>8480</v>
      </c>
      <c r="G2573" s="26">
        <v>16616</v>
      </c>
      <c r="H2573" s="231"/>
      <c r="I2573" s="221"/>
      <c r="J2573" s="221"/>
      <c r="K2573" s="221"/>
      <c r="L2573" s="221"/>
      <c r="M2573" s="221"/>
      <c r="N2573" s="221"/>
      <c r="O2573" s="225"/>
      <c r="P2573" s="118" t="s">
        <v>8887</v>
      </c>
      <c r="Q2573" s="16" t="s">
        <v>20</v>
      </c>
      <c r="R2573" s="17" t="s">
        <v>8783</v>
      </c>
      <c r="S2573" s="121" t="s">
        <v>1606</v>
      </c>
      <c r="T2573" s="122"/>
      <c r="U2573" s="22"/>
      <c r="V2573" s="123" t="s">
        <v>2747</v>
      </c>
      <c r="W2573" s="122">
        <v>6095</v>
      </c>
      <c r="X2573" s="221"/>
      <c r="Y2573" s="221"/>
      <c r="Z2573" s="221"/>
      <c r="AA2573" s="221"/>
      <c r="AB2573" s="223"/>
    </row>
    <row r="2574" spans="1:28" ht="17.100000000000001" customHeight="1" thickTop="1">
      <c r="A2574" s="226" t="s">
        <v>8424</v>
      </c>
      <c r="B2574" s="28">
        <v>45947</v>
      </c>
      <c r="C2574" s="25">
        <v>2106</v>
      </c>
      <c r="D2574" s="13" t="s">
        <v>1953</v>
      </c>
      <c r="E2574" s="228"/>
      <c r="F2574" s="109" t="s">
        <v>8433</v>
      </c>
      <c r="G2574" s="24" t="s">
        <v>4868</v>
      </c>
      <c r="H2574" s="230">
        <v>4.5</v>
      </c>
      <c r="I2574" s="220">
        <v>860000</v>
      </c>
      <c r="J2574" s="220">
        <f>I2574*0.1</f>
        <v>86000</v>
      </c>
      <c r="K2574" s="220">
        <f>14300+1430</f>
        <v>15730</v>
      </c>
      <c r="L2574" s="220">
        <v>12370</v>
      </c>
      <c r="M2574" s="220">
        <v>16500</v>
      </c>
      <c r="N2574" s="220">
        <f>SUM(I2574:M2575)</f>
        <v>990600</v>
      </c>
      <c r="O2574" s="224"/>
      <c r="P2574" s="110" t="s">
        <v>8886</v>
      </c>
      <c r="Q2574" s="15" t="s">
        <v>19</v>
      </c>
      <c r="R2574" s="205"/>
      <c r="S2574" s="189"/>
      <c r="T2574" s="114"/>
      <c r="U2574" s="21"/>
      <c r="V2574" s="115">
        <v>45953</v>
      </c>
      <c r="W2574" s="116">
        <v>1303</v>
      </c>
      <c r="X2574" s="220">
        <v>1075000</v>
      </c>
      <c r="Y2574" s="220">
        <f>X2574*0.1</f>
        <v>107500</v>
      </c>
      <c r="Z2574" s="220">
        <v>12370</v>
      </c>
      <c r="AA2574" s="220">
        <f>SUM(X2574:Z2574)</f>
        <v>1194870</v>
      </c>
      <c r="AB2574" s="222">
        <v>45954</v>
      </c>
    </row>
    <row r="2575" spans="1:28" ht="17.100000000000001" customHeight="1" thickBot="1">
      <c r="A2575" s="227"/>
      <c r="B2575" s="27" t="s">
        <v>1536</v>
      </c>
      <c r="C2575" s="27">
        <v>58612</v>
      </c>
      <c r="D2575" s="14" t="s">
        <v>1584</v>
      </c>
      <c r="E2575" s="229"/>
      <c r="F2575" s="117" t="s">
        <v>8483</v>
      </c>
      <c r="G2575" s="26">
        <v>21061</v>
      </c>
      <c r="H2575" s="231"/>
      <c r="I2575" s="221"/>
      <c r="J2575" s="221"/>
      <c r="K2575" s="221"/>
      <c r="L2575" s="221"/>
      <c r="M2575" s="221"/>
      <c r="N2575" s="221"/>
      <c r="O2575" s="225"/>
      <c r="P2575" s="118" t="s">
        <v>8889</v>
      </c>
      <c r="Q2575" s="16" t="s">
        <v>20</v>
      </c>
      <c r="R2575" s="17" t="s">
        <v>8783</v>
      </c>
      <c r="S2575" s="121" t="s">
        <v>1625</v>
      </c>
      <c r="T2575" s="122"/>
      <c r="U2575" s="22"/>
      <c r="V2575" s="123" t="s">
        <v>1735</v>
      </c>
      <c r="W2575" s="122">
        <v>19</v>
      </c>
      <c r="X2575" s="221"/>
      <c r="Y2575" s="221"/>
      <c r="Z2575" s="221"/>
      <c r="AA2575" s="221"/>
      <c r="AB2575" s="223"/>
    </row>
    <row r="2576" spans="1:28" ht="17.100000000000001" customHeight="1" thickTop="1">
      <c r="A2576" s="226" t="s">
        <v>8425</v>
      </c>
      <c r="B2576" s="28">
        <v>45947</v>
      </c>
      <c r="C2576" s="25">
        <v>2106</v>
      </c>
      <c r="D2576" s="13" t="s">
        <v>1810</v>
      </c>
      <c r="E2576" s="228"/>
      <c r="F2576" s="109" t="s">
        <v>8484</v>
      </c>
      <c r="G2576" s="24"/>
      <c r="H2576" s="230">
        <v>4.5</v>
      </c>
      <c r="I2576" s="220">
        <v>1150000</v>
      </c>
      <c r="J2576" s="220">
        <f>I2576*0.1</f>
        <v>115000</v>
      </c>
      <c r="K2576" s="220">
        <v>0</v>
      </c>
      <c r="L2576" s="220">
        <v>12470</v>
      </c>
      <c r="M2576" s="220">
        <v>27500</v>
      </c>
      <c r="N2576" s="220">
        <f>SUM(I2576:M2577)</f>
        <v>1304970</v>
      </c>
      <c r="O2576" s="224"/>
      <c r="P2576" s="110" t="s">
        <v>8885</v>
      </c>
      <c r="Q2576" s="15" t="s">
        <v>19</v>
      </c>
      <c r="R2576" s="205"/>
      <c r="S2576" s="189" t="s">
        <v>758</v>
      </c>
      <c r="T2576" s="114"/>
      <c r="U2576" s="21"/>
      <c r="V2576" s="115">
        <v>45953</v>
      </c>
      <c r="W2576" s="116">
        <v>1303</v>
      </c>
      <c r="X2576" s="220">
        <v>1295000</v>
      </c>
      <c r="Y2576" s="220">
        <f>X2576*0.1</f>
        <v>129500</v>
      </c>
      <c r="Z2576" s="220">
        <v>12470</v>
      </c>
      <c r="AA2576" s="220">
        <f>SUM(X2576:Z2576)</f>
        <v>1436970</v>
      </c>
      <c r="AB2576" s="222">
        <v>45954</v>
      </c>
    </row>
    <row r="2577" spans="1:28" ht="17.100000000000001" customHeight="1" thickBot="1">
      <c r="A2577" s="227"/>
      <c r="B2577" s="27" t="s">
        <v>1536</v>
      </c>
      <c r="C2577" s="27">
        <v>58648</v>
      </c>
      <c r="D2577" s="14" t="s">
        <v>898</v>
      </c>
      <c r="E2577" s="229"/>
      <c r="F2577" s="117" t="s">
        <v>8485</v>
      </c>
      <c r="G2577" s="26">
        <v>29456</v>
      </c>
      <c r="H2577" s="231"/>
      <c r="I2577" s="221"/>
      <c r="J2577" s="221"/>
      <c r="K2577" s="221"/>
      <c r="L2577" s="221"/>
      <c r="M2577" s="221"/>
      <c r="N2577" s="221"/>
      <c r="O2577" s="225"/>
      <c r="P2577" s="118" t="s">
        <v>1972</v>
      </c>
      <c r="Q2577" s="16" t="s">
        <v>20</v>
      </c>
      <c r="R2577" s="17" t="s">
        <v>8783</v>
      </c>
      <c r="S2577" s="121" t="s">
        <v>169</v>
      </c>
      <c r="T2577" s="122"/>
      <c r="U2577" s="22"/>
      <c r="V2577" s="123" t="s">
        <v>1735</v>
      </c>
      <c r="W2577" s="122">
        <v>30</v>
      </c>
      <c r="X2577" s="221"/>
      <c r="Y2577" s="221"/>
      <c r="Z2577" s="221"/>
      <c r="AA2577" s="221"/>
      <c r="AB2577" s="223"/>
    </row>
    <row r="2578" spans="1:28" ht="17.100000000000001" customHeight="1" thickTop="1">
      <c r="A2578" s="226" t="s">
        <v>8426</v>
      </c>
      <c r="B2578" s="28">
        <v>45947</v>
      </c>
      <c r="C2578" s="25">
        <v>2106</v>
      </c>
      <c r="D2578" s="13" t="s">
        <v>1740</v>
      </c>
      <c r="E2578" s="228"/>
      <c r="F2578" s="109" t="s">
        <v>8077</v>
      </c>
      <c r="G2578" s="24" t="s">
        <v>8486</v>
      </c>
      <c r="H2578" s="230">
        <v>3.5</v>
      </c>
      <c r="I2578" s="220">
        <v>295000</v>
      </c>
      <c r="J2578" s="220">
        <f>I2578*0.1</f>
        <v>29500</v>
      </c>
      <c r="K2578" s="220">
        <v>0</v>
      </c>
      <c r="L2578" s="220">
        <v>9790</v>
      </c>
      <c r="M2578" s="220">
        <v>16500</v>
      </c>
      <c r="N2578" s="220">
        <f>SUM(I2578:M2579)</f>
        <v>350790</v>
      </c>
      <c r="O2578" s="224"/>
      <c r="P2578" s="110" t="s">
        <v>8487</v>
      </c>
      <c r="Q2578" s="15" t="s">
        <v>19</v>
      </c>
      <c r="R2578" s="205"/>
      <c r="S2578" s="189"/>
      <c r="T2578" s="114"/>
      <c r="U2578" s="21"/>
      <c r="V2578" s="115">
        <v>45955</v>
      </c>
      <c r="W2578" s="116">
        <v>1273</v>
      </c>
      <c r="X2578" s="220">
        <v>455000</v>
      </c>
      <c r="Y2578" s="220">
        <f>X2578*0.1</f>
        <v>45500</v>
      </c>
      <c r="Z2578" s="220">
        <v>9790</v>
      </c>
      <c r="AA2578" s="220">
        <f>SUM(X2578:Z2578)</f>
        <v>510290</v>
      </c>
      <c r="AB2578" s="222">
        <v>45958</v>
      </c>
    </row>
    <row r="2579" spans="1:28" ht="17.100000000000001" customHeight="1" thickBot="1">
      <c r="A2579" s="227"/>
      <c r="B2579" s="27" t="s">
        <v>1536</v>
      </c>
      <c r="C2579" s="27">
        <v>85007</v>
      </c>
      <c r="D2579" s="14" t="s">
        <v>3274</v>
      </c>
      <c r="E2579" s="229"/>
      <c r="F2579" s="117" t="s">
        <v>8434</v>
      </c>
      <c r="G2579" s="26">
        <v>48225</v>
      </c>
      <c r="H2579" s="231"/>
      <c r="I2579" s="221"/>
      <c r="J2579" s="221"/>
      <c r="K2579" s="221"/>
      <c r="L2579" s="221"/>
      <c r="M2579" s="221"/>
      <c r="N2579" s="221"/>
      <c r="O2579" s="225"/>
      <c r="P2579" s="118" t="s">
        <v>8916</v>
      </c>
      <c r="Q2579" s="16" t="s">
        <v>20</v>
      </c>
      <c r="R2579" s="17" t="s">
        <v>8783</v>
      </c>
      <c r="S2579" s="121" t="s">
        <v>1601</v>
      </c>
      <c r="T2579" s="122"/>
      <c r="U2579" s="22"/>
      <c r="V2579" s="123" t="s">
        <v>2472</v>
      </c>
      <c r="W2579" s="122">
        <v>60029</v>
      </c>
      <c r="X2579" s="221"/>
      <c r="Y2579" s="221"/>
      <c r="Z2579" s="221"/>
      <c r="AA2579" s="221"/>
      <c r="AB2579" s="223"/>
    </row>
    <row r="2580" spans="1:28" ht="17.100000000000001" customHeight="1" thickTop="1">
      <c r="A2580" s="233" t="s">
        <v>8427</v>
      </c>
      <c r="B2580" s="28">
        <v>45947</v>
      </c>
      <c r="C2580" s="25">
        <v>2106</v>
      </c>
      <c r="D2580" s="13" t="s">
        <v>1740</v>
      </c>
      <c r="E2580" s="228"/>
      <c r="F2580" s="109" t="s">
        <v>5345</v>
      </c>
      <c r="G2580" s="24" t="s">
        <v>2530</v>
      </c>
      <c r="H2580" s="230">
        <v>4</v>
      </c>
      <c r="I2580" s="220">
        <v>375000</v>
      </c>
      <c r="J2580" s="220">
        <f>I2580*0.1</f>
        <v>37500</v>
      </c>
      <c r="K2580" s="220">
        <v>0</v>
      </c>
      <c r="L2580" s="220">
        <v>8860</v>
      </c>
      <c r="M2580" s="220">
        <v>16500</v>
      </c>
      <c r="N2580" s="220">
        <f>SUM(I2580:M2581)</f>
        <v>437860</v>
      </c>
      <c r="O2580" s="224"/>
      <c r="P2580" s="110" t="s">
        <v>8488</v>
      </c>
      <c r="Q2580" s="15" t="s">
        <v>19</v>
      </c>
      <c r="R2580" s="205"/>
      <c r="S2580" s="189"/>
      <c r="T2580" s="114" t="s">
        <v>7899</v>
      </c>
      <c r="U2580" s="21"/>
      <c r="V2580" s="115"/>
      <c r="W2580" s="116"/>
      <c r="X2580" s="220"/>
      <c r="Y2580" s="220">
        <f>X2580*0.1</f>
        <v>0</v>
      </c>
      <c r="Z2580" s="220"/>
      <c r="AA2580" s="220">
        <f>SUM(X2580:Z2580)</f>
        <v>0</v>
      </c>
      <c r="AB2580" s="222"/>
    </row>
    <row r="2581" spans="1:28" ht="17.100000000000001" customHeight="1" thickBot="1">
      <c r="A2581" s="234"/>
      <c r="B2581" s="27" t="s">
        <v>1536</v>
      </c>
      <c r="C2581" s="27">
        <v>85265</v>
      </c>
      <c r="D2581" s="14" t="s">
        <v>1548</v>
      </c>
      <c r="E2581" s="229"/>
      <c r="F2581" s="117" t="s">
        <v>8435</v>
      </c>
      <c r="G2581" s="26">
        <v>59018</v>
      </c>
      <c r="H2581" s="231"/>
      <c r="I2581" s="221"/>
      <c r="J2581" s="221"/>
      <c r="K2581" s="221"/>
      <c r="L2581" s="221"/>
      <c r="M2581" s="221"/>
      <c r="N2581" s="221"/>
      <c r="O2581" s="225"/>
      <c r="P2581" s="118" t="s">
        <v>8640</v>
      </c>
      <c r="Q2581" s="16" t="s">
        <v>20</v>
      </c>
      <c r="R2581" s="17" t="s">
        <v>8602</v>
      </c>
      <c r="S2581" s="121"/>
      <c r="T2581" s="122" t="s">
        <v>9323</v>
      </c>
      <c r="U2581" s="22"/>
      <c r="V2581" s="123"/>
      <c r="W2581" s="122"/>
      <c r="X2581" s="221"/>
      <c r="Y2581" s="221"/>
      <c r="Z2581" s="221"/>
      <c r="AA2581" s="221"/>
      <c r="AB2581" s="223"/>
    </row>
    <row r="2582" spans="1:28" ht="17.100000000000001" customHeight="1" thickTop="1">
      <c r="A2582" s="226" t="s">
        <v>8436</v>
      </c>
      <c r="B2582" s="28">
        <v>45947</v>
      </c>
      <c r="C2582" s="25">
        <v>1390</v>
      </c>
      <c r="D2582" s="13" t="s">
        <v>2866</v>
      </c>
      <c r="E2582" s="228"/>
      <c r="F2582" s="109" t="s">
        <v>8451</v>
      </c>
      <c r="G2582" s="24" t="s">
        <v>8489</v>
      </c>
      <c r="H2582" s="230">
        <v>4</v>
      </c>
      <c r="I2582" s="220">
        <v>399000</v>
      </c>
      <c r="J2582" s="220">
        <f>I2582*0.1</f>
        <v>39900</v>
      </c>
      <c r="K2582" s="220">
        <v>0</v>
      </c>
      <c r="L2582" s="220">
        <v>7500</v>
      </c>
      <c r="M2582" s="220">
        <v>13200</v>
      </c>
      <c r="N2582" s="220">
        <f>SUM(I2582:M2583)</f>
        <v>459600</v>
      </c>
      <c r="O2582" s="224"/>
      <c r="P2582" s="110" t="s">
        <v>8907</v>
      </c>
      <c r="Q2582" s="15" t="s">
        <v>19</v>
      </c>
      <c r="R2582" s="205"/>
      <c r="S2582" s="189"/>
      <c r="T2582" s="114"/>
      <c r="U2582" s="21" t="s">
        <v>10812</v>
      </c>
      <c r="V2582" s="115">
        <v>45990</v>
      </c>
      <c r="W2582" s="116">
        <v>1278</v>
      </c>
      <c r="X2582" s="220">
        <v>370000</v>
      </c>
      <c r="Y2582" s="220">
        <f>X2582*0.1</f>
        <v>37000</v>
      </c>
      <c r="Z2582" s="220">
        <v>7500</v>
      </c>
      <c r="AA2582" s="220">
        <f>SUM(X2582:Z2582)</f>
        <v>414500</v>
      </c>
      <c r="AB2582" s="222">
        <v>45994</v>
      </c>
    </row>
    <row r="2583" spans="1:28" ht="17.100000000000001" customHeight="1" thickBot="1">
      <c r="A2583" s="227"/>
      <c r="B2583" s="27" t="s">
        <v>2597</v>
      </c>
      <c r="C2583" s="27">
        <v>2171</v>
      </c>
      <c r="D2583" s="14" t="s">
        <v>2559</v>
      </c>
      <c r="E2583" s="229"/>
      <c r="F2583" s="117" t="s">
        <v>8452</v>
      </c>
      <c r="G2583" s="26">
        <v>25625</v>
      </c>
      <c r="H2583" s="231"/>
      <c r="I2583" s="221"/>
      <c r="J2583" s="221"/>
      <c r="K2583" s="221"/>
      <c r="L2583" s="221"/>
      <c r="M2583" s="221"/>
      <c r="N2583" s="221"/>
      <c r="O2583" s="225"/>
      <c r="P2583" s="118" t="s">
        <v>8908</v>
      </c>
      <c r="Q2583" s="16" t="s">
        <v>20</v>
      </c>
      <c r="R2583" s="17" t="s">
        <v>8783</v>
      </c>
      <c r="S2583" s="121" t="s">
        <v>1661</v>
      </c>
      <c r="T2583" s="122"/>
      <c r="U2583" s="22"/>
      <c r="V2583" s="123" t="s">
        <v>2472</v>
      </c>
      <c r="W2583" s="122">
        <v>60293</v>
      </c>
      <c r="X2583" s="221"/>
      <c r="Y2583" s="221"/>
      <c r="Z2583" s="221"/>
      <c r="AA2583" s="221"/>
      <c r="AB2583" s="223"/>
    </row>
    <row r="2584" spans="1:28" ht="17.100000000000001" customHeight="1" thickTop="1">
      <c r="A2584" s="226" t="s">
        <v>8437</v>
      </c>
      <c r="B2584" s="28">
        <v>45947</v>
      </c>
      <c r="C2584" s="25">
        <v>1390</v>
      </c>
      <c r="D2584" s="13" t="s">
        <v>4948</v>
      </c>
      <c r="E2584" s="228"/>
      <c r="F2584" s="109" t="s">
        <v>5389</v>
      </c>
      <c r="G2584" s="24"/>
      <c r="H2584" s="230">
        <v>3.5</v>
      </c>
      <c r="I2584" s="220">
        <v>309000</v>
      </c>
      <c r="J2584" s="220">
        <f>I2584*0.1</f>
        <v>30900</v>
      </c>
      <c r="K2584" s="220">
        <v>0</v>
      </c>
      <c r="L2584" s="220">
        <v>9310</v>
      </c>
      <c r="M2584" s="220">
        <v>13200</v>
      </c>
      <c r="N2584" s="220">
        <f>SUM(I2584:M2585)</f>
        <v>362410</v>
      </c>
      <c r="O2584" s="224"/>
      <c r="P2584" s="110" t="s">
        <v>8914</v>
      </c>
      <c r="Q2584" s="15" t="s">
        <v>19</v>
      </c>
      <c r="R2584" s="205"/>
      <c r="S2584" s="189"/>
      <c r="T2584" s="114"/>
      <c r="U2584" s="21"/>
      <c r="V2584" s="115">
        <v>45955</v>
      </c>
      <c r="W2584" s="116">
        <v>1273</v>
      </c>
      <c r="X2584" s="220">
        <v>365000</v>
      </c>
      <c r="Y2584" s="220">
        <f>X2584*0.1</f>
        <v>36500</v>
      </c>
      <c r="Z2584" s="220">
        <v>9310</v>
      </c>
      <c r="AA2584" s="220">
        <f>SUM(X2584:Z2584)</f>
        <v>410810</v>
      </c>
      <c r="AB2584" s="222">
        <v>45960</v>
      </c>
    </row>
    <row r="2585" spans="1:28" ht="17.100000000000001" customHeight="1" thickBot="1">
      <c r="A2585" s="227"/>
      <c r="B2585" s="27" t="s">
        <v>2597</v>
      </c>
      <c r="C2585" s="27">
        <v>2189</v>
      </c>
      <c r="D2585" s="14" t="s">
        <v>1568</v>
      </c>
      <c r="E2585" s="229"/>
      <c r="F2585" s="117" t="s">
        <v>8453</v>
      </c>
      <c r="G2585" s="26">
        <v>20283</v>
      </c>
      <c r="H2585" s="231"/>
      <c r="I2585" s="221"/>
      <c r="J2585" s="221"/>
      <c r="K2585" s="221"/>
      <c r="L2585" s="221"/>
      <c r="M2585" s="221"/>
      <c r="N2585" s="221"/>
      <c r="O2585" s="225"/>
      <c r="P2585" s="118" t="s">
        <v>8915</v>
      </c>
      <c r="Q2585" s="16" t="s">
        <v>20</v>
      </c>
      <c r="R2585" s="17" t="s">
        <v>8783</v>
      </c>
      <c r="S2585" s="121"/>
      <c r="T2585" s="122"/>
      <c r="U2585" s="22"/>
      <c r="V2585" s="123" t="s">
        <v>2472</v>
      </c>
      <c r="W2585" s="122">
        <v>60386</v>
      </c>
      <c r="X2585" s="221"/>
      <c r="Y2585" s="221"/>
      <c r="Z2585" s="221"/>
      <c r="AA2585" s="221"/>
      <c r="AB2585" s="223"/>
    </row>
    <row r="2586" spans="1:28" ht="17.100000000000001" customHeight="1" thickTop="1">
      <c r="A2586" s="233" t="s">
        <v>8438</v>
      </c>
      <c r="B2586" s="28">
        <v>45947</v>
      </c>
      <c r="C2586" s="25">
        <v>1390</v>
      </c>
      <c r="D2586" s="13" t="s">
        <v>2470</v>
      </c>
      <c r="E2586" s="228"/>
      <c r="F2586" s="109" t="s">
        <v>8454</v>
      </c>
      <c r="G2586" s="24" t="s">
        <v>8490</v>
      </c>
      <c r="H2586" s="230">
        <v>4.5</v>
      </c>
      <c r="I2586" s="220">
        <v>1926000</v>
      </c>
      <c r="J2586" s="220">
        <f>I2586*0.1</f>
        <v>192600</v>
      </c>
      <c r="K2586" s="220">
        <f>12700+1270</f>
        <v>13970</v>
      </c>
      <c r="L2586" s="220">
        <v>14730</v>
      </c>
      <c r="M2586" s="220">
        <v>13200</v>
      </c>
      <c r="N2586" s="220">
        <f>SUM(I2586:M2587)</f>
        <v>2160500</v>
      </c>
      <c r="O2586" s="224"/>
      <c r="P2586" s="110" t="s">
        <v>8909</v>
      </c>
      <c r="Q2586" s="15" t="s">
        <v>19</v>
      </c>
      <c r="R2586" s="205"/>
      <c r="S2586" s="189"/>
      <c r="T2586" s="114" t="s">
        <v>9384</v>
      </c>
      <c r="U2586" s="21"/>
      <c r="V2586" s="115"/>
      <c r="W2586" s="116"/>
      <c r="X2586" s="220"/>
      <c r="Y2586" s="220">
        <f>X2586*0.1</f>
        <v>0</v>
      </c>
      <c r="Z2586" s="220"/>
      <c r="AA2586" s="220">
        <f>SUM(X2586:Z2586)</f>
        <v>0</v>
      </c>
      <c r="AB2586" s="222"/>
    </row>
    <row r="2587" spans="1:28" ht="17.100000000000001" customHeight="1" thickBot="1">
      <c r="A2587" s="234"/>
      <c r="B2587" s="27" t="s">
        <v>2597</v>
      </c>
      <c r="C2587" s="27">
        <v>3039</v>
      </c>
      <c r="D2587" s="14" t="s">
        <v>2559</v>
      </c>
      <c r="E2587" s="229"/>
      <c r="F2587" s="117" t="s">
        <v>8455</v>
      </c>
      <c r="G2587" s="26">
        <v>88</v>
      </c>
      <c r="H2587" s="231"/>
      <c r="I2587" s="221"/>
      <c r="J2587" s="221"/>
      <c r="K2587" s="221"/>
      <c r="L2587" s="221"/>
      <c r="M2587" s="221"/>
      <c r="N2587" s="221"/>
      <c r="O2587" s="225"/>
      <c r="P2587" s="118" t="s">
        <v>4161</v>
      </c>
      <c r="Q2587" s="16" t="s">
        <v>20</v>
      </c>
      <c r="R2587" s="17" t="s">
        <v>8783</v>
      </c>
      <c r="S2587" s="121" t="s">
        <v>1661</v>
      </c>
      <c r="T2587" s="122"/>
      <c r="U2587" s="22"/>
      <c r="V2587" s="123"/>
      <c r="W2587" s="122"/>
      <c r="X2587" s="221"/>
      <c r="Y2587" s="221"/>
      <c r="Z2587" s="221"/>
      <c r="AA2587" s="221"/>
      <c r="AB2587" s="223"/>
    </row>
    <row r="2588" spans="1:28" ht="17.100000000000001" customHeight="1" thickTop="1">
      <c r="A2588" s="226" t="s">
        <v>8439</v>
      </c>
      <c r="B2588" s="28">
        <v>45947</v>
      </c>
      <c r="C2588" s="25">
        <v>1390</v>
      </c>
      <c r="D2588" s="13" t="s">
        <v>2712</v>
      </c>
      <c r="E2588" s="228"/>
      <c r="F2588" s="109" t="s">
        <v>8456</v>
      </c>
      <c r="G2588" s="24"/>
      <c r="H2588" s="230">
        <v>4</v>
      </c>
      <c r="I2588" s="220">
        <v>1892000</v>
      </c>
      <c r="J2588" s="220">
        <f>I2588*0.1</f>
        <v>189200</v>
      </c>
      <c r="K2588" s="220">
        <v>0</v>
      </c>
      <c r="L2588" s="220">
        <v>14240</v>
      </c>
      <c r="M2588" s="220">
        <v>13200</v>
      </c>
      <c r="N2588" s="220">
        <f>SUM(I2588:M2589)</f>
        <v>2108640</v>
      </c>
      <c r="O2588" s="224"/>
      <c r="P2588" s="110" t="s">
        <v>8912</v>
      </c>
      <c r="Q2588" s="15" t="s">
        <v>19</v>
      </c>
      <c r="R2588" s="205"/>
      <c r="S2588" s="189"/>
      <c r="T2588" s="114"/>
      <c r="U2588" s="21"/>
      <c r="V2588" s="115">
        <v>45962</v>
      </c>
      <c r="W2588" s="116">
        <v>1274</v>
      </c>
      <c r="X2588" s="220">
        <v>2015000</v>
      </c>
      <c r="Y2588" s="220">
        <f>X2588*0.1</f>
        <v>201500</v>
      </c>
      <c r="Z2588" s="220">
        <v>14240</v>
      </c>
      <c r="AA2588" s="220">
        <f>SUM(X2588:Z2588)</f>
        <v>2230740</v>
      </c>
      <c r="AB2588" s="222">
        <v>45965</v>
      </c>
    </row>
    <row r="2589" spans="1:28" ht="17.100000000000001" customHeight="1" thickBot="1">
      <c r="A2589" s="227"/>
      <c r="B2589" s="27" t="s">
        <v>2597</v>
      </c>
      <c r="C2589" s="27">
        <v>3067</v>
      </c>
      <c r="D2589" s="14" t="s">
        <v>2559</v>
      </c>
      <c r="E2589" s="229"/>
      <c r="F2589" s="117" t="s">
        <v>8457</v>
      </c>
      <c r="G2589" s="26">
        <v>20306</v>
      </c>
      <c r="H2589" s="231"/>
      <c r="I2589" s="221"/>
      <c r="J2589" s="221"/>
      <c r="K2589" s="221"/>
      <c r="L2589" s="221"/>
      <c r="M2589" s="221"/>
      <c r="N2589" s="221"/>
      <c r="O2589" s="225"/>
      <c r="P2589" s="118" t="s">
        <v>8913</v>
      </c>
      <c r="Q2589" s="16" t="s">
        <v>20</v>
      </c>
      <c r="R2589" s="17" t="s">
        <v>8783</v>
      </c>
      <c r="S2589" s="121" t="s">
        <v>7703</v>
      </c>
      <c r="T2589" s="122"/>
      <c r="U2589" s="22"/>
      <c r="V2589" s="123" t="s">
        <v>2472</v>
      </c>
      <c r="W2589" s="122">
        <v>13185</v>
      </c>
      <c r="X2589" s="221"/>
      <c r="Y2589" s="221"/>
      <c r="Z2589" s="221"/>
      <c r="AA2589" s="221"/>
      <c r="AB2589" s="223"/>
    </row>
    <row r="2590" spans="1:28" ht="17.100000000000001" customHeight="1" thickTop="1">
      <c r="A2590" s="226" t="s">
        <v>8440</v>
      </c>
      <c r="B2590" s="28">
        <v>45947</v>
      </c>
      <c r="C2590" s="25">
        <v>1390</v>
      </c>
      <c r="D2590" s="13" t="s">
        <v>1632</v>
      </c>
      <c r="E2590" s="228"/>
      <c r="F2590" s="109" t="s">
        <v>8458</v>
      </c>
      <c r="G2590" s="24" t="s">
        <v>8088</v>
      </c>
      <c r="H2590" s="230">
        <v>3.5</v>
      </c>
      <c r="I2590" s="220">
        <v>476000</v>
      </c>
      <c r="J2590" s="220">
        <f>I2590*0.1</f>
        <v>47600</v>
      </c>
      <c r="K2590" s="220">
        <f>14300+1430</f>
        <v>15730</v>
      </c>
      <c r="L2590" s="220">
        <v>9380</v>
      </c>
      <c r="M2590" s="220">
        <v>13200</v>
      </c>
      <c r="N2590" s="220">
        <f>SUM(I2590:M2591)</f>
        <v>561910</v>
      </c>
      <c r="O2590" s="224"/>
      <c r="P2590" s="110" t="s">
        <v>8901</v>
      </c>
      <c r="Q2590" s="15" t="s">
        <v>19</v>
      </c>
      <c r="R2590" s="205"/>
      <c r="S2590" s="189" t="s">
        <v>1072</v>
      </c>
      <c r="T2590" s="114"/>
      <c r="U2590" s="21"/>
      <c r="V2590" s="115">
        <v>45987</v>
      </c>
      <c r="W2590" s="116">
        <v>994</v>
      </c>
      <c r="X2590" s="220">
        <v>580000</v>
      </c>
      <c r="Y2590" s="220">
        <f>X2590*0.1</f>
        <v>58000</v>
      </c>
      <c r="Z2590" s="220">
        <v>9380</v>
      </c>
      <c r="AA2590" s="220">
        <f>SUM(X2590:Z2590)</f>
        <v>647380</v>
      </c>
      <c r="AB2590" s="222">
        <v>45992</v>
      </c>
    </row>
    <row r="2591" spans="1:28" ht="17.100000000000001" customHeight="1" thickBot="1">
      <c r="A2591" s="227"/>
      <c r="B2591" s="27" t="s">
        <v>2597</v>
      </c>
      <c r="C2591" s="27">
        <v>3129</v>
      </c>
      <c r="D2591" s="14" t="s">
        <v>273</v>
      </c>
      <c r="E2591" s="229"/>
      <c r="F2591" s="117" t="s">
        <v>8459</v>
      </c>
      <c r="G2591" s="26">
        <v>50700</v>
      </c>
      <c r="H2591" s="231"/>
      <c r="I2591" s="221"/>
      <c r="J2591" s="221"/>
      <c r="K2591" s="221"/>
      <c r="L2591" s="221"/>
      <c r="M2591" s="221"/>
      <c r="N2591" s="221"/>
      <c r="O2591" s="225"/>
      <c r="P2591" s="118" t="s">
        <v>8902</v>
      </c>
      <c r="Q2591" s="16" t="s">
        <v>20</v>
      </c>
      <c r="R2591" s="17" t="s">
        <v>8783</v>
      </c>
      <c r="S2591" s="121" t="s">
        <v>9317</v>
      </c>
      <c r="T2591" s="122" t="s">
        <v>8658</v>
      </c>
      <c r="U2591" s="22"/>
      <c r="V2591" s="123" t="s">
        <v>11555</v>
      </c>
      <c r="W2591" s="122">
        <v>5169</v>
      </c>
      <c r="X2591" s="221"/>
      <c r="Y2591" s="221"/>
      <c r="Z2591" s="221"/>
      <c r="AA2591" s="221"/>
      <c r="AB2591" s="223"/>
    </row>
    <row r="2592" spans="1:28" ht="17.100000000000001" customHeight="1" thickTop="1">
      <c r="A2592" s="226" t="s">
        <v>8441</v>
      </c>
      <c r="B2592" s="28">
        <v>45947</v>
      </c>
      <c r="C2592" s="25">
        <v>1390</v>
      </c>
      <c r="D2592" s="13" t="s">
        <v>2324</v>
      </c>
      <c r="E2592" s="228"/>
      <c r="F2592" s="109" t="s">
        <v>4526</v>
      </c>
      <c r="G2592" s="24" t="s">
        <v>6967</v>
      </c>
      <c r="H2592" s="230">
        <v>4</v>
      </c>
      <c r="I2592" s="220">
        <v>1001000</v>
      </c>
      <c r="J2592" s="220">
        <f>I2592*0.1</f>
        <v>100100</v>
      </c>
      <c r="K2592" s="220">
        <v>0</v>
      </c>
      <c r="L2592" s="220">
        <v>8640</v>
      </c>
      <c r="M2592" s="220">
        <v>13200</v>
      </c>
      <c r="N2592" s="220">
        <f>SUM(I2592:M2593)</f>
        <v>1122940</v>
      </c>
      <c r="O2592" s="224"/>
      <c r="P2592" s="110" t="s">
        <v>8911</v>
      </c>
      <c r="Q2592" s="15" t="s">
        <v>19</v>
      </c>
      <c r="R2592" s="205"/>
      <c r="S2592" s="189"/>
      <c r="T2592" s="114"/>
      <c r="U2592" s="21" t="s">
        <v>10824</v>
      </c>
      <c r="V2592" s="115">
        <v>45976</v>
      </c>
      <c r="W2592" s="116">
        <v>1276</v>
      </c>
      <c r="X2592" s="220">
        <v>1020000</v>
      </c>
      <c r="Y2592" s="220">
        <f>X2592*0.1</f>
        <v>102000</v>
      </c>
      <c r="Z2592" s="220">
        <v>8640</v>
      </c>
      <c r="AA2592" s="220">
        <f>SUM(X2592:Z2592)</f>
        <v>1130640</v>
      </c>
      <c r="AB2592" s="222">
        <v>45981</v>
      </c>
    </row>
    <row r="2593" spans="1:28" ht="17.100000000000001" customHeight="1" thickBot="1">
      <c r="A2593" s="227"/>
      <c r="B2593" s="27" t="s">
        <v>2597</v>
      </c>
      <c r="C2593" s="27">
        <v>3142</v>
      </c>
      <c r="D2593" s="14" t="s">
        <v>2753</v>
      </c>
      <c r="E2593" s="229"/>
      <c r="F2593" s="117" t="s">
        <v>8460</v>
      </c>
      <c r="G2593" s="26">
        <v>50579</v>
      </c>
      <c r="H2593" s="231"/>
      <c r="I2593" s="221"/>
      <c r="J2593" s="221"/>
      <c r="K2593" s="221"/>
      <c r="L2593" s="221"/>
      <c r="M2593" s="221"/>
      <c r="N2593" s="221"/>
      <c r="O2593" s="225"/>
      <c r="P2593" s="118" t="s">
        <v>2749</v>
      </c>
      <c r="Q2593" s="16" t="s">
        <v>20</v>
      </c>
      <c r="R2593" s="17" t="s">
        <v>8783</v>
      </c>
      <c r="S2593" s="121" t="s">
        <v>3566</v>
      </c>
      <c r="T2593" s="122"/>
      <c r="U2593" s="22"/>
      <c r="V2593" s="123" t="s">
        <v>10781</v>
      </c>
      <c r="W2593" s="122">
        <v>60112</v>
      </c>
      <c r="X2593" s="221"/>
      <c r="Y2593" s="221"/>
      <c r="Z2593" s="221"/>
      <c r="AA2593" s="221"/>
      <c r="AB2593" s="223"/>
    </row>
    <row r="2594" spans="1:28" ht="17.100000000000001" customHeight="1" thickTop="1">
      <c r="A2594" s="226" t="s">
        <v>8442</v>
      </c>
      <c r="B2594" s="28">
        <v>45947</v>
      </c>
      <c r="C2594" s="25">
        <v>1390</v>
      </c>
      <c r="D2594" s="13" t="s">
        <v>1883</v>
      </c>
      <c r="E2594" s="228"/>
      <c r="F2594" s="109" t="s">
        <v>8461</v>
      </c>
      <c r="G2594" s="24" t="s">
        <v>8491</v>
      </c>
      <c r="H2594" s="230">
        <v>4</v>
      </c>
      <c r="I2594" s="220">
        <v>1157000</v>
      </c>
      <c r="J2594" s="220">
        <f>I2594*0.1</f>
        <v>115700</v>
      </c>
      <c r="K2594" s="220">
        <v>0</v>
      </c>
      <c r="L2594" s="220">
        <v>8550</v>
      </c>
      <c r="M2594" s="220">
        <v>13200</v>
      </c>
      <c r="N2594" s="220">
        <f>SUM(I2594:M2595)</f>
        <v>1294450</v>
      </c>
      <c r="O2594" s="224"/>
      <c r="P2594" s="110" t="s">
        <v>8903</v>
      </c>
      <c r="Q2594" s="15" t="s">
        <v>19</v>
      </c>
      <c r="R2594" s="205"/>
      <c r="S2594" s="189" t="s">
        <v>1072</v>
      </c>
      <c r="T2594" s="114"/>
      <c r="U2594" s="21"/>
      <c r="V2594" s="115">
        <v>45955</v>
      </c>
      <c r="W2594" s="116">
        <v>1273</v>
      </c>
      <c r="X2594" s="220">
        <v>1230000</v>
      </c>
      <c r="Y2594" s="220">
        <f>X2594*0.1</f>
        <v>123000</v>
      </c>
      <c r="Z2594" s="220">
        <v>8550</v>
      </c>
      <c r="AA2594" s="220">
        <f>SUM(X2594:Z2594)</f>
        <v>1361550</v>
      </c>
      <c r="AB2594" s="222">
        <v>45958</v>
      </c>
    </row>
    <row r="2595" spans="1:28" ht="17.100000000000001" customHeight="1" thickBot="1">
      <c r="A2595" s="227"/>
      <c r="B2595" s="27" t="s">
        <v>2597</v>
      </c>
      <c r="C2595" s="27">
        <v>3216</v>
      </c>
      <c r="D2595" s="14" t="s">
        <v>3274</v>
      </c>
      <c r="E2595" s="229"/>
      <c r="F2595" s="117" t="s">
        <v>8462</v>
      </c>
      <c r="G2595" s="26">
        <v>42648</v>
      </c>
      <c r="H2595" s="231"/>
      <c r="I2595" s="221"/>
      <c r="J2595" s="221"/>
      <c r="K2595" s="221"/>
      <c r="L2595" s="221"/>
      <c r="M2595" s="221"/>
      <c r="N2595" s="221"/>
      <c r="O2595" s="225"/>
      <c r="P2595" s="118" t="s">
        <v>8904</v>
      </c>
      <c r="Q2595" s="16" t="s">
        <v>20</v>
      </c>
      <c r="R2595" s="17" t="s">
        <v>8783</v>
      </c>
      <c r="S2595" s="121" t="s">
        <v>8905</v>
      </c>
      <c r="T2595" s="122"/>
      <c r="U2595" s="22"/>
      <c r="V2595" s="123" t="s">
        <v>2472</v>
      </c>
      <c r="W2595" s="122">
        <v>60021</v>
      </c>
      <c r="X2595" s="221"/>
      <c r="Y2595" s="221"/>
      <c r="Z2595" s="221"/>
      <c r="AA2595" s="221"/>
      <c r="AB2595" s="223"/>
    </row>
    <row r="2596" spans="1:28" ht="17.100000000000001" customHeight="1" thickTop="1">
      <c r="A2596" s="226" t="s">
        <v>8443</v>
      </c>
      <c r="B2596" s="28">
        <v>45947</v>
      </c>
      <c r="C2596" s="25">
        <v>1390</v>
      </c>
      <c r="D2596" s="13" t="s">
        <v>8492</v>
      </c>
      <c r="E2596" s="228"/>
      <c r="F2596" s="109" t="s">
        <v>8463</v>
      </c>
      <c r="G2596" s="24" t="s">
        <v>8493</v>
      </c>
      <c r="H2596" s="230">
        <v>4</v>
      </c>
      <c r="I2596" s="220">
        <v>764000</v>
      </c>
      <c r="J2596" s="220">
        <f>I2596*0.1</f>
        <v>76400</v>
      </c>
      <c r="K2596" s="220">
        <v>0</v>
      </c>
      <c r="L2596" s="220">
        <v>8790</v>
      </c>
      <c r="M2596" s="220">
        <v>13200</v>
      </c>
      <c r="N2596" s="220">
        <f>SUM(I2596:M2597)</f>
        <v>862390</v>
      </c>
      <c r="O2596" s="224"/>
      <c r="P2596" s="110" t="s">
        <v>8896</v>
      </c>
      <c r="Q2596" s="15" t="s">
        <v>19</v>
      </c>
      <c r="R2596" s="205"/>
      <c r="S2596" s="189" t="s">
        <v>25537</v>
      </c>
      <c r="T2596" s="114"/>
      <c r="U2596" s="21"/>
      <c r="V2596" s="115">
        <v>45955</v>
      </c>
      <c r="W2596" s="116">
        <v>1273</v>
      </c>
      <c r="X2596" s="220">
        <v>840000</v>
      </c>
      <c r="Y2596" s="220">
        <f>X2596*0.1</f>
        <v>84000</v>
      </c>
      <c r="Z2596" s="220">
        <v>8790</v>
      </c>
      <c r="AA2596" s="220">
        <f>SUM(X2596:Z2596)</f>
        <v>932790</v>
      </c>
      <c r="AB2596" s="222">
        <v>45958</v>
      </c>
    </row>
    <row r="2597" spans="1:28" ht="17.100000000000001" customHeight="1" thickBot="1">
      <c r="A2597" s="227"/>
      <c r="B2597" s="27" t="s">
        <v>2597</v>
      </c>
      <c r="C2597" s="27">
        <v>3265</v>
      </c>
      <c r="D2597" s="14" t="s">
        <v>5400</v>
      </c>
      <c r="E2597" s="229"/>
      <c r="F2597" s="117" t="s">
        <v>8464</v>
      </c>
      <c r="G2597" s="26">
        <v>50545</v>
      </c>
      <c r="H2597" s="231"/>
      <c r="I2597" s="221"/>
      <c r="J2597" s="221"/>
      <c r="K2597" s="221"/>
      <c r="L2597" s="221"/>
      <c r="M2597" s="221"/>
      <c r="N2597" s="221"/>
      <c r="O2597" s="225"/>
      <c r="P2597" s="118" t="s">
        <v>8898</v>
      </c>
      <c r="Q2597" s="16" t="s">
        <v>20</v>
      </c>
      <c r="R2597" s="17" t="s">
        <v>8783</v>
      </c>
      <c r="S2597" s="121" t="s">
        <v>10332</v>
      </c>
      <c r="T2597" s="122" t="s">
        <v>8628</v>
      </c>
      <c r="U2597" s="22"/>
      <c r="V2597" s="123" t="s">
        <v>2472</v>
      </c>
      <c r="W2597" s="122">
        <v>60019</v>
      </c>
      <c r="X2597" s="221"/>
      <c r="Y2597" s="221"/>
      <c r="Z2597" s="221"/>
      <c r="AA2597" s="221"/>
      <c r="AB2597" s="223"/>
    </row>
    <row r="2598" spans="1:28" ht="17.100000000000001" customHeight="1" thickTop="1">
      <c r="A2598" s="226" t="s">
        <v>8444</v>
      </c>
      <c r="B2598" s="28">
        <v>45947</v>
      </c>
      <c r="C2598" s="25">
        <v>1390</v>
      </c>
      <c r="D2598" s="13" t="s">
        <v>3374</v>
      </c>
      <c r="E2598" s="228"/>
      <c r="F2598" s="109" t="s">
        <v>8494</v>
      </c>
      <c r="G2598" s="24" t="s">
        <v>8073</v>
      </c>
      <c r="H2598" s="232" t="s">
        <v>1705</v>
      </c>
      <c r="I2598" s="220">
        <v>302000</v>
      </c>
      <c r="J2598" s="220">
        <f>I2598*0.1</f>
        <v>30200</v>
      </c>
      <c r="K2598" s="220">
        <f>21500+2150</f>
        <v>23650</v>
      </c>
      <c r="L2598" s="220">
        <v>13360</v>
      </c>
      <c r="M2598" s="220">
        <v>13200</v>
      </c>
      <c r="N2598" s="220">
        <f>SUM(I2598:M2599)</f>
        <v>382410</v>
      </c>
      <c r="O2598" s="224"/>
      <c r="P2598" s="110" t="s">
        <v>8894</v>
      </c>
      <c r="Q2598" s="15" t="s">
        <v>19</v>
      </c>
      <c r="R2598" s="205"/>
      <c r="S2598" s="189" t="s">
        <v>25538</v>
      </c>
      <c r="T2598" s="114"/>
      <c r="U2598" s="21" t="s">
        <v>10834</v>
      </c>
      <c r="V2598" s="115">
        <v>45997</v>
      </c>
      <c r="W2598" s="116">
        <v>1279</v>
      </c>
      <c r="X2598" s="220">
        <v>305000</v>
      </c>
      <c r="Y2598" s="220">
        <f>X2598*0.1</f>
        <v>30500</v>
      </c>
      <c r="Z2598" s="220">
        <v>13360</v>
      </c>
      <c r="AA2598" s="220">
        <f>SUM(X2598:Z2598)</f>
        <v>348860</v>
      </c>
      <c r="AB2598" s="222">
        <v>46000</v>
      </c>
    </row>
    <row r="2599" spans="1:28" ht="17.100000000000001" customHeight="1" thickBot="1">
      <c r="A2599" s="227"/>
      <c r="B2599" s="27" t="s">
        <v>2597</v>
      </c>
      <c r="C2599" s="27">
        <v>3286</v>
      </c>
      <c r="D2599" s="14" t="s">
        <v>1710</v>
      </c>
      <c r="E2599" s="229"/>
      <c r="F2599" s="117" t="s">
        <v>8465</v>
      </c>
      <c r="G2599" s="26">
        <v>143809</v>
      </c>
      <c r="H2599" s="231"/>
      <c r="I2599" s="221"/>
      <c r="J2599" s="221"/>
      <c r="K2599" s="221"/>
      <c r="L2599" s="221"/>
      <c r="M2599" s="221"/>
      <c r="N2599" s="221"/>
      <c r="O2599" s="225"/>
      <c r="P2599" s="118" t="s">
        <v>8895</v>
      </c>
      <c r="Q2599" s="16" t="s">
        <v>20</v>
      </c>
      <c r="R2599" s="17" t="s">
        <v>8783</v>
      </c>
      <c r="S2599" s="121" t="s">
        <v>8495</v>
      </c>
      <c r="T2599" s="122"/>
      <c r="U2599" s="22"/>
      <c r="V2599" s="123" t="s">
        <v>2472</v>
      </c>
      <c r="W2599" s="122">
        <v>50123</v>
      </c>
      <c r="X2599" s="221"/>
      <c r="Y2599" s="221"/>
      <c r="Z2599" s="221"/>
      <c r="AA2599" s="221"/>
      <c r="AB2599" s="223"/>
    </row>
    <row r="2600" spans="1:28" ht="17.100000000000001" customHeight="1" thickTop="1">
      <c r="A2600" s="233" t="s">
        <v>8445</v>
      </c>
      <c r="B2600" s="28">
        <v>45947</v>
      </c>
      <c r="C2600" s="25">
        <v>1390</v>
      </c>
      <c r="D2600" s="13" t="s">
        <v>853</v>
      </c>
      <c r="E2600" s="228"/>
      <c r="F2600" s="109" t="s">
        <v>8466</v>
      </c>
      <c r="G2600" s="24" t="s">
        <v>4340</v>
      </c>
      <c r="H2600" s="230">
        <v>4</v>
      </c>
      <c r="I2600" s="220">
        <v>1202000</v>
      </c>
      <c r="J2600" s="220">
        <f>I2600*0.1</f>
        <v>120200</v>
      </c>
      <c r="K2600" s="220">
        <v>0</v>
      </c>
      <c r="L2600" s="220">
        <v>8740</v>
      </c>
      <c r="M2600" s="220">
        <v>13200</v>
      </c>
      <c r="N2600" s="220">
        <f>SUM(I2600:M2601)</f>
        <v>1344140</v>
      </c>
      <c r="O2600" s="224"/>
      <c r="P2600" s="110" t="s">
        <v>8906</v>
      </c>
      <c r="Q2600" s="15" t="s">
        <v>19</v>
      </c>
      <c r="R2600" s="205"/>
      <c r="S2600" s="189" t="s">
        <v>25371</v>
      </c>
      <c r="T2600" s="114" t="s">
        <v>9384</v>
      </c>
      <c r="U2600" s="21"/>
      <c r="V2600" s="115"/>
      <c r="W2600" s="116"/>
      <c r="X2600" s="220"/>
      <c r="Y2600" s="220">
        <f>X2600*0.1</f>
        <v>0</v>
      </c>
      <c r="Z2600" s="220"/>
      <c r="AA2600" s="220">
        <f>SUM(X2600:Z2600)</f>
        <v>0</v>
      </c>
      <c r="AB2600" s="222"/>
    </row>
    <row r="2601" spans="1:28" ht="17.100000000000001" customHeight="1" thickBot="1">
      <c r="A2601" s="234"/>
      <c r="B2601" s="27" t="s">
        <v>2597</v>
      </c>
      <c r="C2601" s="27">
        <v>7002</v>
      </c>
      <c r="D2601" s="14" t="s">
        <v>273</v>
      </c>
      <c r="E2601" s="229"/>
      <c r="F2601" s="117" t="s">
        <v>8467</v>
      </c>
      <c r="G2601" s="26">
        <v>18594</v>
      </c>
      <c r="H2601" s="231"/>
      <c r="I2601" s="221"/>
      <c r="J2601" s="221"/>
      <c r="K2601" s="221"/>
      <c r="L2601" s="221"/>
      <c r="M2601" s="221"/>
      <c r="N2601" s="221"/>
      <c r="O2601" s="225"/>
      <c r="P2601" s="118" t="s">
        <v>6773</v>
      </c>
      <c r="Q2601" s="16" t="s">
        <v>20</v>
      </c>
      <c r="R2601" s="17" t="s">
        <v>8783</v>
      </c>
      <c r="S2601" s="121" t="s">
        <v>1601</v>
      </c>
      <c r="T2601" s="122"/>
      <c r="U2601" s="22"/>
      <c r="V2601" s="123"/>
      <c r="W2601" s="122"/>
      <c r="X2601" s="221"/>
      <c r="Y2601" s="221"/>
      <c r="Z2601" s="221"/>
      <c r="AA2601" s="221"/>
      <c r="AB2601" s="223"/>
    </row>
    <row r="2602" spans="1:28" ht="17.100000000000001" customHeight="1" thickTop="1">
      <c r="A2602" s="226" t="s">
        <v>8446</v>
      </c>
      <c r="B2602" s="28">
        <v>45947</v>
      </c>
      <c r="C2602" s="25">
        <v>1390</v>
      </c>
      <c r="D2602" s="13" t="s">
        <v>1816</v>
      </c>
      <c r="E2602" s="228"/>
      <c r="F2602" s="109" t="s">
        <v>8496</v>
      </c>
      <c r="G2602" s="24"/>
      <c r="H2602" s="230">
        <v>4.5</v>
      </c>
      <c r="I2602" s="220">
        <v>387000</v>
      </c>
      <c r="J2602" s="220">
        <f>I2602*0.1</f>
        <v>38700</v>
      </c>
      <c r="K2602" s="220">
        <v>0</v>
      </c>
      <c r="L2602" s="220">
        <v>8040</v>
      </c>
      <c r="M2602" s="220">
        <v>13200</v>
      </c>
      <c r="N2602" s="220">
        <f>SUM(I2602:M2603)</f>
        <v>446940</v>
      </c>
      <c r="O2602" s="224"/>
      <c r="P2602" s="110" t="s">
        <v>8899</v>
      </c>
      <c r="Q2602" s="15" t="s">
        <v>19</v>
      </c>
      <c r="R2602" s="205"/>
      <c r="S2602" s="189"/>
      <c r="T2602" s="114"/>
      <c r="U2602" s="21"/>
      <c r="V2602" s="115">
        <v>45969</v>
      </c>
      <c r="W2602" s="116">
        <v>1275</v>
      </c>
      <c r="X2602" s="220">
        <v>470000</v>
      </c>
      <c r="Y2602" s="220">
        <f>X2602*0.1</f>
        <v>47000</v>
      </c>
      <c r="Z2602" s="220">
        <v>8040</v>
      </c>
      <c r="AA2602" s="220">
        <f>SUM(X2602:Z2602)</f>
        <v>525040</v>
      </c>
      <c r="AB2602" s="222">
        <v>45972</v>
      </c>
    </row>
    <row r="2603" spans="1:28" ht="17.100000000000001" customHeight="1" thickBot="1">
      <c r="A2603" s="227"/>
      <c r="B2603" s="27" t="s">
        <v>2597</v>
      </c>
      <c r="C2603" s="27">
        <v>7015</v>
      </c>
      <c r="D2603" s="14" t="s">
        <v>3792</v>
      </c>
      <c r="E2603" s="229"/>
      <c r="F2603" s="117" t="s">
        <v>8468</v>
      </c>
      <c r="G2603" s="26">
        <v>22162</v>
      </c>
      <c r="H2603" s="231"/>
      <c r="I2603" s="221"/>
      <c r="J2603" s="221"/>
      <c r="K2603" s="221"/>
      <c r="L2603" s="221"/>
      <c r="M2603" s="221"/>
      <c r="N2603" s="221"/>
      <c r="O2603" s="225"/>
      <c r="P2603" s="118" t="s">
        <v>8900</v>
      </c>
      <c r="Q2603" s="16" t="s">
        <v>20</v>
      </c>
      <c r="R2603" s="17" t="s">
        <v>8783</v>
      </c>
      <c r="S2603" s="121" t="s">
        <v>169</v>
      </c>
      <c r="T2603" s="122"/>
      <c r="U2603" s="22"/>
      <c r="V2603" s="123" t="s">
        <v>2472</v>
      </c>
      <c r="W2603" s="122">
        <v>55041</v>
      </c>
      <c r="X2603" s="221"/>
      <c r="Y2603" s="221"/>
      <c r="Z2603" s="221"/>
      <c r="AA2603" s="221"/>
      <c r="AB2603" s="223"/>
    </row>
    <row r="2604" spans="1:28" ht="17.100000000000001" customHeight="1" thickTop="1">
      <c r="A2604" s="226" t="s">
        <v>8447</v>
      </c>
      <c r="B2604" s="28">
        <v>45947</v>
      </c>
      <c r="C2604" s="25">
        <v>1390</v>
      </c>
      <c r="D2604" s="13" t="s">
        <v>2644</v>
      </c>
      <c r="E2604" s="228"/>
      <c r="F2604" s="109" t="s">
        <v>8469</v>
      </c>
      <c r="G2604" s="24"/>
      <c r="H2604" s="230">
        <v>4</v>
      </c>
      <c r="I2604" s="220">
        <v>2274000</v>
      </c>
      <c r="J2604" s="220">
        <f>I2604*0.1</f>
        <v>227400</v>
      </c>
      <c r="K2604" s="220">
        <v>0</v>
      </c>
      <c r="L2604" s="220">
        <v>11740</v>
      </c>
      <c r="M2604" s="220">
        <v>13200</v>
      </c>
      <c r="N2604" s="220">
        <f>SUM(I2604:M2605)</f>
        <v>2526340</v>
      </c>
      <c r="O2604" s="224"/>
      <c r="P2604" s="110" t="s">
        <v>8910</v>
      </c>
      <c r="Q2604" s="15" t="s">
        <v>19</v>
      </c>
      <c r="R2604" s="205"/>
      <c r="S2604" s="189"/>
      <c r="T2604" s="114"/>
      <c r="U2604" s="21"/>
      <c r="V2604" s="115">
        <v>45955</v>
      </c>
      <c r="W2604" s="116">
        <v>1273</v>
      </c>
      <c r="X2604" s="220">
        <v>2380000</v>
      </c>
      <c r="Y2604" s="220">
        <f>X2604*0.1</f>
        <v>238000</v>
      </c>
      <c r="Z2604" s="220">
        <v>11740</v>
      </c>
      <c r="AA2604" s="220">
        <f>SUM(X2604:Z2604)</f>
        <v>2629740</v>
      </c>
      <c r="AB2604" s="222">
        <v>45958</v>
      </c>
    </row>
    <row r="2605" spans="1:28" ht="17.100000000000001" customHeight="1" thickBot="1">
      <c r="A2605" s="227"/>
      <c r="B2605" s="27" t="s">
        <v>2597</v>
      </c>
      <c r="C2605" s="27">
        <v>7016</v>
      </c>
      <c r="D2605" s="14" t="s">
        <v>273</v>
      </c>
      <c r="E2605" s="229"/>
      <c r="F2605" s="117" t="s">
        <v>8470</v>
      </c>
      <c r="G2605" s="26">
        <v>40014</v>
      </c>
      <c r="H2605" s="231"/>
      <c r="I2605" s="221"/>
      <c r="J2605" s="221"/>
      <c r="K2605" s="221"/>
      <c r="L2605" s="221"/>
      <c r="M2605" s="221"/>
      <c r="N2605" s="221"/>
      <c r="O2605" s="225"/>
      <c r="P2605" s="118" t="s">
        <v>2729</v>
      </c>
      <c r="Q2605" s="16" t="s">
        <v>20</v>
      </c>
      <c r="R2605" s="17" t="s">
        <v>8783</v>
      </c>
      <c r="S2605" s="121" t="s">
        <v>1661</v>
      </c>
      <c r="T2605" s="122"/>
      <c r="U2605" s="22"/>
      <c r="V2605" s="123" t="s">
        <v>2472</v>
      </c>
      <c r="W2605" s="122">
        <v>15</v>
      </c>
      <c r="X2605" s="221"/>
      <c r="Y2605" s="221"/>
      <c r="Z2605" s="221"/>
      <c r="AA2605" s="221"/>
      <c r="AB2605" s="223"/>
    </row>
    <row r="2606" spans="1:28" ht="17.100000000000001" customHeight="1" thickTop="1">
      <c r="A2606" s="226" t="s">
        <v>8448</v>
      </c>
      <c r="B2606" s="28">
        <v>45947</v>
      </c>
      <c r="C2606" s="25">
        <v>1390</v>
      </c>
      <c r="D2606" s="13" t="s">
        <v>1810</v>
      </c>
      <c r="E2606" s="228"/>
      <c r="F2606" s="109" t="s">
        <v>8497</v>
      </c>
      <c r="G2606" s="24"/>
      <c r="H2606" s="230">
        <v>4</v>
      </c>
      <c r="I2606" s="220">
        <v>802000</v>
      </c>
      <c r="J2606" s="220">
        <f>I2606*0.1</f>
        <v>80200</v>
      </c>
      <c r="K2606" s="220">
        <v>0</v>
      </c>
      <c r="L2606" s="220">
        <v>7060</v>
      </c>
      <c r="M2606" s="220">
        <v>13200</v>
      </c>
      <c r="N2606" s="220">
        <f>SUM(I2606:M2607)</f>
        <v>902460</v>
      </c>
      <c r="O2606" s="224"/>
      <c r="P2606" s="110" t="s">
        <v>9362</v>
      </c>
      <c r="Q2606" s="15" t="s">
        <v>19</v>
      </c>
      <c r="R2606" s="205"/>
      <c r="S2606" s="189"/>
      <c r="T2606" s="114"/>
      <c r="U2606" s="21"/>
      <c r="V2606" s="115">
        <v>46057</v>
      </c>
      <c r="W2606" s="116">
        <v>1003</v>
      </c>
      <c r="X2606" s="220">
        <v>705000</v>
      </c>
      <c r="Y2606" s="220">
        <f>X2606*0.1</f>
        <v>70500</v>
      </c>
      <c r="Z2606" s="220">
        <v>7060</v>
      </c>
      <c r="AA2606" s="220">
        <f>SUM(X2606:Z2606)</f>
        <v>782560</v>
      </c>
      <c r="AB2606" s="222">
        <v>46062</v>
      </c>
    </row>
    <row r="2607" spans="1:28" ht="17.100000000000001" customHeight="1" thickBot="1">
      <c r="A2607" s="227"/>
      <c r="B2607" s="27" t="s">
        <v>2597</v>
      </c>
      <c r="C2607" s="27">
        <v>7020</v>
      </c>
      <c r="D2607" s="14" t="s">
        <v>898</v>
      </c>
      <c r="E2607" s="229"/>
      <c r="F2607" s="117" t="s">
        <v>8471</v>
      </c>
      <c r="G2607" s="26">
        <v>36156</v>
      </c>
      <c r="H2607" s="231"/>
      <c r="I2607" s="221"/>
      <c r="J2607" s="221"/>
      <c r="K2607" s="221"/>
      <c r="L2607" s="221"/>
      <c r="M2607" s="221"/>
      <c r="N2607" s="221"/>
      <c r="O2607" s="225"/>
      <c r="P2607" s="118" t="s">
        <v>4608</v>
      </c>
      <c r="Q2607" s="16" t="s">
        <v>20</v>
      </c>
      <c r="R2607" s="17" t="s">
        <v>1665</v>
      </c>
      <c r="S2607" s="121" t="s">
        <v>9309</v>
      </c>
      <c r="T2607" s="122" t="s">
        <v>8659</v>
      </c>
      <c r="U2607" s="22"/>
      <c r="V2607" s="123" t="s">
        <v>2747</v>
      </c>
      <c r="W2607" s="122">
        <v>2037</v>
      </c>
      <c r="X2607" s="221"/>
      <c r="Y2607" s="221"/>
      <c r="Z2607" s="221"/>
      <c r="AA2607" s="221"/>
      <c r="AB2607" s="223"/>
    </row>
    <row r="2608" spans="1:28" ht="17.100000000000001" customHeight="1" thickTop="1">
      <c r="A2608" s="226" t="s">
        <v>8449</v>
      </c>
      <c r="B2608" s="28">
        <v>45947</v>
      </c>
      <c r="C2608" s="25">
        <v>1390</v>
      </c>
      <c r="D2608" s="13" t="s">
        <v>5235</v>
      </c>
      <c r="E2608" s="228"/>
      <c r="F2608" s="109" t="s">
        <v>8472</v>
      </c>
      <c r="G2608" s="24" t="s">
        <v>4446</v>
      </c>
      <c r="H2608" s="230">
        <v>3.5</v>
      </c>
      <c r="I2608" s="220">
        <v>153000</v>
      </c>
      <c r="J2608" s="220">
        <f>I2608*0.1</f>
        <v>15300</v>
      </c>
      <c r="K2608" s="220">
        <v>0</v>
      </c>
      <c r="L2608" s="220">
        <v>9790</v>
      </c>
      <c r="M2608" s="220">
        <v>13200</v>
      </c>
      <c r="N2608" s="220">
        <f>SUM(I2608:M2609)</f>
        <v>191290</v>
      </c>
      <c r="O2608" s="224"/>
      <c r="P2608" s="110" t="s">
        <v>9051</v>
      </c>
      <c r="Q2608" s="15" t="s">
        <v>19</v>
      </c>
      <c r="R2608" s="205"/>
      <c r="S2608" s="189" t="s">
        <v>1361</v>
      </c>
      <c r="T2608" s="114"/>
      <c r="U2608" s="21" t="s">
        <v>10798</v>
      </c>
      <c r="V2608" s="115">
        <v>45990</v>
      </c>
      <c r="W2608" s="116">
        <v>1278</v>
      </c>
      <c r="X2608" s="220">
        <v>220000</v>
      </c>
      <c r="Y2608" s="220">
        <f>X2608*0.1</f>
        <v>22000</v>
      </c>
      <c r="Z2608" s="220">
        <v>9790</v>
      </c>
      <c r="AA2608" s="220">
        <f>SUM(X2608:Z2608)</f>
        <v>251790</v>
      </c>
      <c r="AB2608" s="222">
        <v>46000</v>
      </c>
    </row>
    <row r="2609" spans="1:28" ht="17.100000000000001" customHeight="1" thickBot="1">
      <c r="A2609" s="227"/>
      <c r="B2609" s="27" t="s">
        <v>2597</v>
      </c>
      <c r="C2609" s="27">
        <v>8383</v>
      </c>
      <c r="D2609" s="14" t="s">
        <v>273</v>
      </c>
      <c r="E2609" s="229"/>
      <c r="F2609" s="117" t="s">
        <v>8473</v>
      </c>
      <c r="G2609" s="26">
        <v>79701</v>
      </c>
      <c r="H2609" s="231"/>
      <c r="I2609" s="221"/>
      <c r="J2609" s="221"/>
      <c r="K2609" s="221"/>
      <c r="L2609" s="221"/>
      <c r="M2609" s="221"/>
      <c r="N2609" s="221"/>
      <c r="O2609" s="225"/>
      <c r="P2609" s="118" t="s">
        <v>9052</v>
      </c>
      <c r="Q2609" s="16" t="s">
        <v>20</v>
      </c>
      <c r="R2609" s="17" t="s">
        <v>8953</v>
      </c>
      <c r="S2609" s="121" t="s">
        <v>169</v>
      </c>
      <c r="T2609" s="122"/>
      <c r="U2609" s="22"/>
      <c r="V2609" s="123" t="s">
        <v>6641</v>
      </c>
      <c r="W2609" s="122">
        <v>63197</v>
      </c>
      <c r="X2609" s="221"/>
      <c r="Y2609" s="221"/>
      <c r="Z2609" s="221"/>
      <c r="AA2609" s="221"/>
      <c r="AB2609" s="223"/>
    </row>
    <row r="2610" spans="1:28" ht="17.100000000000001" customHeight="1" thickTop="1">
      <c r="A2610" s="226" t="s">
        <v>8450</v>
      </c>
      <c r="B2610" s="28">
        <v>45947</v>
      </c>
      <c r="C2610" s="25">
        <v>1390</v>
      </c>
      <c r="D2610" s="13" t="s">
        <v>1829</v>
      </c>
      <c r="E2610" s="228"/>
      <c r="F2610" s="109" t="s">
        <v>8498</v>
      </c>
      <c r="G2610" s="24" t="s">
        <v>8499</v>
      </c>
      <c r="H2610" s="230">
        <v>4.5</v>
      </c>
      <c r="I2610" s="220">
        <v>699000</v>
      </c>
      <c r="J2610" s="220">
        <f>I2610*0.1</f>
        <v>69900</v>
      </c>
      <c r="K2610" s="220">
        <v>0</v>
      </c>
      <c r="L2610" s="220">
        <v>5870</v>
      </c>
      <c r="M2610" s="220">
        <v>13200</v>
      </c>
      <c r="N2610" s="220">
        <f>SUM(I2610:M2611)</f>
        <v>787970</v>
      </c>
      <c r="O2610" s="224"/>
      <c r="P2610" s="110" t="s">
        <v>8875</v>
      </c>
      <c r="Q2610" s="15" t="s">
        <v>19</v>
      </c>
      <c r="R2610" s="205"/>
      <c r="S2610" s="189" t="s">
        <v>1276</v>
      </c>
      <c r="T2610" s="114"/>
      <c r="U2610" s="21" t="s">
        <v>9839</v>
      </c>
      <c r="V2610" s="115">
        <v>45962</v>
      </c>
      <c r="W2610" s="116">
        <v>1274</v>
      </c>
      <c r="X2610" s="220">
        <v>740000</v>
      </c>
      <c r="Y2610" s="220">
        <f>X2610*0.1</f>
        <v>74000</v>
      </c>
      <c r="Z2610" s="220">
        <v>5870</v>
      </c>
      <c r="AA2610" s="220">
        <f>SUM(X2610:Z2610)</f>
        <v>819870</v>
      </c>
      <c r="AB2610" s="222">
        <v>45971</v>
      </c>
    </row>
    <row r="2611" spans="1:28" ht="17.100000000000001" customHeight="1" thickBot="1">
      <c r="A2611" s="227"/>
      <c r="B2611" s="27" t="s">
        <v>2597</v>
      </c>
      <c r="C2611" s="27">
        <v>8411</v>
      </c>
      <c r="D2611" s="14" t="s">
        <v>1548</v>
      </c>
      <c r="E2611" s="229"/>
      <c r="F2611" s="117" t="s">
        <v>8474</v>
      </c>
      <c r="G2611" s="26">
        <v>66733</v>
      </c>
      <c r="H2611" s="231"/>
      <c r="I2611" s="221"/>
      <c r="J2611" s="221"/>
      <c r="K2611" s="221"/>
      <c r="L2611" s="221"/>
      <c r="M2611" s="221"/>
      <c r="N2611" s="221"/>
      <c r="O2611" s="225"/>
      <c r="P2611" s="118" t="s">
        <v>8876</v>
      </c>
      <c r="Q2611" s="16" t="s">
        <v>20</v>
      </c>
      <c r="R2611" s="17" t="s">
        <v>8783</v>
      </c>
      <c r="S2611" s="121" t="s">
        <v>169</v>
      </c>
      <c r="T2611" s="122"/>
      <c r="U2611" s="22"/>
      <c r="V2611" s="123" t="s">
        <v>2472</v>
      </c>
      <c r="W2611" s="122">
        <v>60267</v>
      </c>
      <c r="X2611" s="221"/>
      <c r="Y2611" s="221"/>
      <c r="Z2611" s="221"/>
      <c r="AA2611" s="221"/>
      <c r="AB2611" s="223"/>
    </row>
    <row r="2612" spans="1:28" ht="17.100000000000001" customHeight="1" thickTop="1">
      <c r="A2612" s="233" t="s">
        <v>8500</v>
      </c>
      <c r="B2612" s="28">
        <v>45947</v>
      </c>
      <c r="C2612" s="25"/>
      <c r="D2612" s="13" t="s">
        <v>1887</v>
      </c>
      <c r="E2612" s="228"/>
      <c r="F2612" s="109" t="s">
        <v>4192</v>
      </c>
      <c r="G2612" s="24" t="s">
        <v>3528</v>
      </c>
      <c r="H2612" s="230">
        <v>4</v>
      </c>
      <c r="I2612" s="220">
        <f>2434300/1.1</f>
        <v>2213000</v>
      </c>
      <c r="J2612" s="220">
        <f>I2612*0.1</f>
        <v>221300</v>
      </c>
      <c r="K2612" s="220">
        <v>10100</v>
      </c>
      <c r="L2612" s="220">
        <v>11740</v>
      </c>
      <c r="M2612" s="220">
        <v>0</v>
      </c>
      <c r="N2612" s="220">
        <f>SUM(I2612:M2613)</f>
        <v>2456140</v>
      </c>
      <c r="O2612" s="224"/>
      <c r="P2612" s="110" t="s">
        <v>11237</v>
      </c>
      <c r="Q2612" s="15" t="s">
        <v>19</v>
      </c>
      <c r="R2612" s="205"/>
      <c r="S2612" s="189" t="s">
        <v>25539</v>
      </c>
      <c r="T2612" s="114" t="s">
        <v>11994</v>
      </c>
      <c r="U2612" s="21"/>
      <c r="V2612" s="115"/>
      <c r="W2612" s="116"/>
      <c r="X2612" s="220"/>
      <c r="Y2612" s="220">
        <f>X2612*0.1</f>
        <v>0</v>
      </c>
      <c r="Z2612" s="220"/>
      <c r="AA2612" s="220">
        <f>SUM(X2612:Z2612)</f>
        <v>0</v>
      </c>
      <c r="AB2612" s="222"/>
    </row>
    <row r="2613" spans="1:28" ht="17.100000000000001" customHeight="1" thickBot="1">
      <c r="A2613" s="234"/>
      <c r="B2613" s="27" t="s">
        <v>1708</v>
      </c>
      <c r="C2613" s="27" t="s">
        <v>8507</v>
      </c>
      <c r="D2613" s="14" t="s">
        <v>273</v>
      </c>
      <c r="E2613" s="229"/>
      <c r="F2613" s="117" t="s">
        <v>8508</v>
      </c>
      <c r="G2613" s="26">
        <v>19409</v>
      </c>
      <c r="H2613" s="231"/>
      <c r="I2613" s="221"/>
      <c r="J2613" s="221"/>
      <c r="K2613" s="221"/>
      <c r="L2613" s="221"/>
      <c r="M2613" s="221"/>
      <c r="N2613" s="221"/>
      <c r="O2613" s="225"/>
      <c r="P2613" s="118" t="s">
        <v>11238</v>
      </c>
      <c r="Q2613" s="16" t="s">
        <v>20</v>
      </c>
      <c r="R2613" s="17" t="s">
        <v>2188</v>
      </c>
      <c r="S2613" s="121" t="s">
        <v>1606</v>
      </c>
      <c r="T2613" s="122"/>
      <c r="U2613" s="22"/>
      <c r="V2613" s="123"/>
      <c r="W2613" s="122"/>
      <c r="X2613" s="221"/>
      <c r="Y2613" s="221"/>
      <c r="Z2613" s="221"/>
      <c r="AA2613" s="221"/>
      <c r="AB2613" s="223"/>
    </row>
    <row r="2614" spans="1:28" ht="17.100000000000001" customHeight="1" thickTop="1">
      <c r="A2614" s="226" t="s">
        <v>8501</v>
      </c>
      <c r="B2614" s="28">
        <v>45947</v>
      </c>
      <c r="C2614" s="25"/>
      <c r="D2614" s="13" t="s">
        <v>2491</v>
      </c>
      <c r="E2614" s="228"/>
      <c r="F2614" s="109" t="s">
        <v>8120</v>
      </c>
      <c r="G2614" s="24" t="s">
        <v>8511</v>
      </c>
      <c r="H2614" s="230">
        <v>5</v>
      </c>
      <c r="I2614" s="220">
        <f>4842200/1.1</f>
        <v>4402000</v>
      </c>
      <c r="J2614" s="220">
        <f>I2614*0.1</f>
        <v>440200</v>
      </c>
      <c r="K2614" s="220">
        <v>0</v>
      </c>
      <c r="L2614" s="220">
        <v>11570</v>
      </c>
      <c r="M2614" s="220">
        <v>0</v>
      </c>
      <c r="N2614" s="220">
        <f>SUM(I2614:M2615)</f>
        <v>4853770</v>
      </c>
      <c r="O2614" s="224"/>
      <c r="P2614" s="110" t="s">
        <v>10876</v>
      </c>
      <c r="Q2614" s="15" t="s">
        <v>19</v>
      </c>
      <c r="R2614" s="205"/>
      <c r="S2614" s="189" t="s">
        <v>1276</v>
      </c>
      <c r="T2614" s="114"/>
      <c r="U2614" s="21"/>
      <c r="V2614" s="115">
        <v>46001</v>
      </c>
      <c r="W2614" s="116">
        <v>996</v>
      </c>
      <c r="X2614" s="220">
        <v>4465000</v>
      </c>
      <c r="Y2614" s="220">
        <f>X2614*0.1</f>
        <v>446500</v>
      </c>
      <c r="Z2614" s="220">
        <v>11570</v>
      </c>
      <c r="AA2614" s="220">
        <f>SUM(X2614:Z2614)</f>
        <v>4923070</v>
      </c>
      <c r="AB2614" s="222">
        <v>46006</v>
      </c>
    </row>
    <row r="2615" spans="1:28" ht="17.100000000000001" customHeight="1" thickBot="1">
      <c r="A2615" s="227"/>
      <c r="B2615" s="27" t="s">
        <v>1708</v>
      </c>
      <c r="C2615" s="27" t="s">
        <v>8509</v>
      </c>
      <c r="D2615" s="14" t="s">
        <v>1584</v>
      </c>
      <c r="E2615" s="229"/>
      <c r="F2615" s="117" t="s">
        <v>8510</v>
      </c>
      <c r="G2615" s="26">
        <v>9935</v>
      </c>
      <c r="H2615" s="231"/>
      <c r="I2615" s="221"/>
      <c r="J2615" s="221"/>
      <c r="K2615" s="221"/>
      <c r="L2615" s="221"/>
      <c r="M2615" s="221"/>
      <c r="N2615" s="221"/>
      <c r="O2615" s="225"/>
      <c r="P2615" s="118" t="s">
        <v>10877</v>
      </c>
      <c r="Q2615" s="16" t="s">
        <v>20</v>
      </c>
      <c r="R2615" s="17" t="s">
        <v>10856</v>
      </c>
      <c r="S2615" s="121" t="s">
        <v>1606</v>
      </c>
      <c r="T2615" s="122"/>
      <c r="U2615" s="22"/>
      <c r="V2615" s="123" t="s">
        <v>2747</v>
      </c>
      <c r="W2615" s="122">
        <v>5066</v>
      </c>
      <c r="X2615" s="221"/>
      <c r="Y2615" s="221"/>
      <c r="Z2615" s="221"/>
      <c r="AA2615" s="221"/>
      <c r="AB2615" s="223"/>
    </row>
    <row r="2616" spans="1:28" ht="17.100000000000001" customHeight="1" thickTop="1">
      <c r="A2616" s="226" t="s">
        <v>8502</v>
      </c>
      <c r="B2616" s="28">
        <v>45947</v>
      </c>
      <c r="C2616" s="25"/>
      <c r="D2616" s="13" t="s">
        <v>2900</v>
      </c>
      <c r="E2616" s="228"/>
      <c r="F2616" s="109" t="s">
        <v>4214</v>
      </c>
      <c r="G2616" s="24" t="s">
        <v>3607</v>
      </c>
      <c r="H2616" s="230">
        <v>4.5</v>
      </c>
      <c r="I2616" s="220">
        <f>1232000/1.1</f>
        <v>1120000</v>
      </c>
      <c r="J2616" s="220">
        <f>I2616*0.1</f>
        <v>112000</v>
      </c>
      <c r="K2616" s="220">
        <v>0</v>
      </c>
      <c r="L2616" s="220">
        <v>7150</v>
      </c>
      <c r="M2616" s="220">
        <v>0</v>
      </c>
      <c r="N2616" s="220">
        <f>SUM(I2616:M2617)</f>
        <v>1239150</v>
      </c>
      <c r="O2616" s="224"/>
      <c r="P2616" s="110" t="s">
        <v>9595</v>
      </c>
      <c r="Q2616" s="15" t="s">
        <v>19</v>
      </c>
      <c r="R2616" s="205"/>
      <c r="S2616" s="189" t="s">
        <v>1312</v>
      </c>
      <c r="T2616" s="114"/>
      <c r="U2616" s="21"/>
      <c r="V2616" s="115">
        <v>45972</v>
      </c>
      <c r="W2616" s="116">
        <v>1917</v>
      </c>
      <c r="X2616" s="220">
        <v>1171000</v>
      </c>
      <c r="Y2616" s="220">
        <f>X2616*0.1</f>
        <v>117100</v>
      </c>
      <c r="Z2616" s="220">
        <v>7150</v>
      </c>
      <c r="AA2616" s="220">
        <f>SUM(X2616:Z2616)</f>
        <v>1295250</v>
      </c>
      <c r="AB2616" s="222"/>
    </row>
    <row r="2617" spans="1:28" ht="17.100000000000001" customHeight="1" thickBot="1">
      <c r="A2617" s="227"/>
      <c r="B2617" s="27" t="s">
        <v>1708</v>
      </c>
      <c r="C2617" s="27" t="s">
        <v>8512</v>
      </c>
      <c r="D2617" s="14" t="s">
        <v>273</v>
      </c>
      <c r="E2617" s="229"/>
      <c r="F2617" s="117" t="s">
        <v>8513</v>
      </c>
      <c r="G2617" s="26">
        <v>49251</v>
      </c>
      <c r="H2617" s="231"/>
      <c r="I2617" s="221"/>
      <c r="J2617" s="221"/>
      <c r="K2617" s="221"/>
      <c r="L2617" s="221"/>
      <c r="M2617" s="221"/>
      <c r="N2617" s="221"/>
      <c r="O2617" s="225"/>
      <c r="P2617" s="118" t="s">
        <v>9596</v>
      </c>
      <c r="Q2617" s="16" t="s">
        <v>20</v>
      </c>
      <c r="R2617" s="17" t="s">
        <v>3282</v>
      </c>
      <c r="S2617" s="121" t="s">
        <v>1606</v>
      </c>
      <c r="T2617" s="122"/>
      <c r="U2617" s="22"/>
      <c r="V2617" s="123" t="s">
        <v>2103</v>
      </c>
      <c r="W2617" s="122">
        <v>3245</v>
      </c>
      <c r="X2617" s="221"/>
      <c r="Y2617" s="221"/>
      <c r="Z2617" s="221"/>
      <c r="AA2617" s="221"/>
      <c r="AB2617" s="223"/>
    </row>
    <row r="2618" spans="1:28" ht="17.100000000000001" customHeight="1" thickTop="1">
      <c r="A2618" s="226" t="s">
        <v>8503</v>
      </c>
      <c r="B2618" s="28">
        <v>45947</v>
      </c>
      <c r="C2618" s="25"/>
      <c r="D2618" s="13" t="s">
        <v>1053</v>
      </c>
      <c r="E2618" s="228"/>
      <c r="F2618" s="109" t="s">
        <v>4288</v>
      </c>
      <c r="G2618" s="24" t="s">
        <v>8516</v>
      </c>
      <c r="H2618" s="230">
        <v>4.5</v>
      </c>
      <c r="I2618" s="220">
        <f>3198800/1.1</f>
        <v>2907999.9999999995</v>
      </c>
      <c r="J2618" s="220">
        <f>I2618*0.1</f>
        <v>290799.99999999994</v>
      </c>
      <c r="K2618" s="220">
        <v>3300</v>
      </c>
      <c r="L2618" s="220">
        <v>9550</v>
      </c>
      <c r="M2618" s="220">
        <v>0</v>
      </c>
      <c r="N2618" s="220">
        <f>SUM(I2618:M2619)</f>
        <v>3211649.9999999995</v>
      </c>
      <c r="O2618" s="224"/>
      <c r="P2618" s="110" t="s">
        <v>10466</v>
      </c>
      <c r="Q2618" s="15" t="s">
        <v>19</v>
      </c>
      <c r="R2618" s="205"/>
      <c r="S2618" s="189" t="s">
        <v>1276</v>
      </c>
      <c r="T2618" s="114"/>
      <c r="U2618" s="21"/>
      <c r="V2618" s="115">
        <v>45976</v>
      </c>
      <c r="W2618" s="116">
        <v>1276</v>
      </c>
      <c r="X2618" s="220">
        <v>2875000</v>
      </c>
      <c r="Y2618" s="220">
        <f>X2618*0.1</f>
        <v>287500</v>
      </c>
      <c r="Z2618" s="220">
        <v>9550</v>
      </c>
      <c r="AA2618" s="220">
        <f>SUM(X2618:Z2618)</f>
        <v>3172050</v>
      </c>
      <c r="AB2618" s="222">
        <v>45979</v>
      </c>
    </row>
    <row r="2619" spans="1:28" ht="17.100000000000001" customHeight="1" thickBot="1">
      <c r="A2619" s="227"/>
      <c r="B2619" s="27" t="s">
        <v>1708</v>
      </c>
      <c r="C2619" s="27" t="s">
        <v>8514</v>
      </c>
      <c r="D2619" s="14" t="s">
        <v>2559</v>
      </c>
      <c r="E2619" s="229"/>
      <c r="F2619" s="117" t="s">
        <v>8515</v>
      </c>
      <c r="G2619" s="26">
        <v>76174</v>
      </c>
      <c r="H2619" s="231"/>
      <c r="I2619" s="221"/>
      <c r="J2619" s="221"/>
      <c r="K2619" s="221"/>
      <c r="L2619" s="221"/>
      <c r="M2619" s="221"/>
      <c r="N2619" s="221"/>
      <c r="O2619" s="225"/>
      <c r="P2619" s="118" t="s">
        <v>10467</v>
      </c>
      <c r="Q2619" s="16" t="s">
        <v>20</v>
      </c>
      <c r="R2619" s="17" t="s">
        <v>10387</v>
      </c>
      <c r="S2619" s="121" t="s">
        <v>9317</v>
      </c>
      <c r="T2619" s="122"/>
      <c r="U2619" s="22"/>
      <c r="V2619" s="123" t="s">
        <v>10781</v>
      </c>
      <c r="W2619" s="122">
        <v>40106</v>
      </c>
      <c r="X2619" s="221"/>
      <c r="Y2619" s="221"/>
      <c r="Z2619" s="221"/>
      <c r="AA2619" s="221"/>
      <c r="AB2619" s="223"/>
    </row>
    <row r="2620" spans="1:28" ht="17.100000000000001" customHeight="1" thickTop="1">
      <c r="A2620" s="226" t="s">
        <v>8504</v>
      </c>
      <c r="B2620" s="28">
        <v>45947</v>
      </c>
      <c r="C2620" s="25"/>
      <c r="D2620" s="13" t="s">
        <v>2790</v>
      </c>
      <c r="E2620" s="228"/>
      <c r="F2620" s="109" t="s">
        <v>8518</v>
      </c>
      <c r="G2620" s="24" t="s">
        <v>8520</v>
      </c>
      <c r="H2620" s="230">
        <v>5</v>
      </c>
      <c r="I2620" s="220">
        <f>3696000/1.1</f>
        <v>3359999.9999999995</v>
      </c>
      <c r="J2620" s="220">
        <f>I2620*0.1</f>
        <v>336000</v>
      </c>
      <c r="K2620" s="220">
        <v>15000</v>
      </c>
      <c r="L2620" s="220">
        <v>13400</v>
      </c>
      <c r="M2620" s="220">
        <v>0</v>
      </c>
      <c r="N2620" s="220">
        <f>SUM(I2620:M2621)</f>
        <v>3724399.9999999995</v>
      </c>
      <c r="O2620" s="224"/>
      <c r="P2620" s="110" t="s">
        <v>10183</v>
      </c>
      <c r="Q2620" s="15" t="s">
        <v>19</v>
      </c>
      <c r="R2620" s="205"/>
      <c r="S2620" s="189" t="s">
        <v>1312</v>
      </c>
      <c r="T2620" s="114"/>
      <c r="U2620" s="21"/>
      <c r="V2620" s="115">
        <v>45969</v>
      </c>
      <c r="W2620" s="116">
        <v>1275</v>
      </c>
      <c r="X2620" s="220">
        <v>3545000</v>
      </c>
      <c r="Y2620" s="220">
        <f>X2620*0.1</f>
        <v>354500</v>
      </c>
      <c r="Z2620" s="220">
        <v>13400</v>
      </c>
      <c r="AA2620" s="220">
        <f>SUM(X2620:Z2620)</f>
        <v>3912900</v>
      </c>
      <c r="AB2620" s="222">
        <v>45974</v>
      </c>
    </row>
    <row r="2621" spans="1:28" ht="17.100000000000001" customHeight="1" thickBot="1">
      <c r="A2621" s="227"/>
      <c r="B2621" s="27" t="s">
        <v>1708</v>
      </c>
      <c r="C2621" s="27" t="s">
        <v>8517</v>
      </c>
      <c r="D2621" s="14" t="s">
        <v>273</v>
      </c>
      <c r="E2621" s="229"/>
      <c r="F2621" s="117" t="s">
        <v>8519</v>
      </c>
      <c r="G2621" s="26">
        <v>4422</v>
      </c>
      <c r="H2621" s="231"/>
      <c r="I2621" s="221"/>
      <c r="J2621" s="221"/>
      <c r="K2621" s="221"/>
      <c r="L2621" s="221"/>
      <c r="M2621" s="221"/>
      <c r="N2621" s="221"/>
      <c r="O2621" s="225"/>
      <c r="P2621" s="118" t="s">
        <v>10184</v>
      </c>
      <c r="Q2621" s="16" t="s">
        <v>20</v>
      </c>
      <c r="R2621" s="17" t="s">
        <v>2165</v>
      </c>
      <c r="S2621" s="121" t="s">
        <v>1606</v>
      </c>
      <c r="T2621" s="122"/>
      <c r="U2621" s="22"/>
      <c r="V2621" s="123" t="s">
        <v>2472</v>
      </c>
      <c r="W2621" s="122">
        <v>37119</v>
      </c>
      <c r="X2621" s="221"/>
      <c r="Y2621" s="221"/>
      <c r="Z2621" s="221"/>
      <c r="AA2621" s="221"/>
      <c r="AB2621" s="223"/>
    </row>
    <row r="2622" spans="1:28" ht="17.100000000000001" customHeight="1" thickTop="1">
      <c r="A2622" s="226" t="s">
        <v>8505</v>
      </c>
      <c r="B2622" s="28">
        <v>45947</v>
      </c>
      <c r="C2622" s="25"/>
      <c r="D2622" s="13" t="s">
        <v>2107</v>
      </c>
      <c r="E2622" s="228"/>
      <c r="F2622" s="109" t="s">
        <v>8522</v>
      </c>
      <c r="G2622" s="24" t="s">
        <v>8524</v>
      </c>
      <c r="H2622" s="230">
        <v>4</v>
      </c>
      <c r="I2622" s="220">
        <f>609400/1.1</f>
        <v>554000</v>
      </c>
      <c r="J2622" s="220">
        <f>I2622*0.1</f>
        <v>55400</v>
      </c>
      <c r="K2622" s="220">
        <v>0</v>
      </c>
      <c r="L2622" s="220">
        <v>9200</v>
      </c>
      <c r="M2622" s="220">
        <v>0</v>
      </c>
      <c r="N2622" s="220">
        <f>SUM(I2622:M2623)</f>
        <v>618600</v>
      </c>
      <c r="O2622" s="224"/>
      <c r="P2622" s="110" t="s">
        <v>9061</v>
      </c>
      <c r="Q2622" s="15" t="s">
        <v>19</v>
      </c>
      <c r="R2622" s="205"/>
      <c r="S2622" s="189" t="s">
        <v>1276</v>
      </c>
      <c r="T2622" s="114"/>
      <c r="U2622" s="21"/>
      <c r="V2622" s="115">
        <v>45983</v>
      </c>
      <c r="W2622" s="116">
        <v>1277</v>
      </c>
      <c r="X2622" s="220">
        <v>625000</v>
      </c>
      <c r="Y2622" s="220">
        <f>X2622*0.1</f>
        <v>62500</v>
      </c>
      <c r="Z2622" s="220">
        <v>9200</v>
      </c>
      <c r="AA2622" s="220">
        <f>SUM(X2622:Z2622)</f>
        <v>696700</v>
      </c>
      <c r="AB2622" s="222">
        <v>45987</v>
      </c>
    </row>
    <row r="2623" spans="1:28" ht="17.100000000000001" customHeight="1" thickBot="1">
      <c r="A2623" s="227"/>
      <c r="B2623" s="27" t="s">
        <v>1708</v>
      </c>
      <c r="C2623" s="27" t="s">
        <v>8521</v>
      </c>
      <c r="D2623" s="14" t="s">
        <v>2559</v>
      </c>
      <c r="E2623" s="229"/>
      <c r="F2623" s="117" t="s">
        <v>8523</v>
      </c>
      <c r="G2623" s="26">
        <v>80391</v>
      </c>
      <c r="H2623" s="231"/>
      <c r="I2623" s="221"/>
      <c r="J2623" s="221"/>
      <c r="K2623" s="221"/>
      <c r="L2623" s="221"/>
      <c r="M2623" s="221"/>
      <c r="N2623" s="221"/>
      <c r="O2623" s="225"/>
      <c r="P2623" s="118" t="s">
        <v>9062</v>
      </c>
      <c r="Q2623" s="16" t="s">
        <v>20</v>
      </c>
      <c r="R2623" s="17" t="s">
        <v>8953</v>
      </c>
      <c r="S2623" s="121" t="s">
        <v>1722</v>
      </c>
      <c r="T2623" s="122"/>
      <c r="U2623" s="22"/>
      <c r="V2623" s="123" t="s">
        <v>2472</v>
      </c>
      <c r="W2623" s="122">
        <v>65098</v>
      </c>
      <c r="X2623" s="221"/>
      <c r="Y2623" s="221"/>
      <c r="Z2623" s="221"/>
      <c r="AA2623" s="221"/>
      <c r="AB2623" s="223"/>
    </row>
    <row r="2624" spans="1:28" ht="17.100000000000001" customHeight="1" thickTop="1">
      <c r="A2624" s="226" t="s">
        <v>8506</v>
      </c>
      <c r="B2624" s="28">
        <v>45947</v>
      </c>
      <c r="C2624" s="25"/>
      <c r="D2624" s="13" t="s">
        <v>1702</v>
      </c>
      <c r="E2624" s="228"/>
      <c r="F2624" s="109" t="s">
        <v>7043</v>
      </c>
      <c r="G2624" s="24" t="s">
        <v>3482</v>
      </c>
      <c r="H2624" s="230">
        <v>3.5</v>
      </c>
      <c r="I2624" s="220">
        <f>517000/1.1</f>
        <v>469999.99999999994</v>
      </c>
      <c r="J2624" s="220">
        <f>I2624*0.1</f>
        <v>47000</v>
      </c>
      <c r="K2624" s="220">
        <v>0</v>
      </c>
      <c r="L2624" s="220">
        <v>8230</v>
      </c>
      <c r="M2624" s="220">
        <v>0</v>
      </c>
      <c r="N2624" s="220">
        <f>SUM(I2624:M2625)</f>
        <v>525230</v>
      </c>
      <c r="O2624" s="224"/>
      <c r="P2624" s="110" t="s">
        <v>10343</v>
      </c>
      <c r="Q2624" s="15" t="s">
        <v>19</v>
      </c>
      <c r="R2624" s="205"/>
      <c r="S2624" s="189" t="s">
        <v>1361</v>
      </c>
      <c r="T2624" s="114"/>
      <c r="U2624" s="21"/>
      <c r="V2624" s="115">
        <v>45976</v>
      </c>
      <c r="W2624" s="116">
        <v>1276</v>
      </c>
      <c r="X2624" s="220">
        <v>710000</v>
      </c>
      <c r="Y2624" s="220">
        <f>X2624*0.1</f>
        <v>71000</v>
      </c>
      <c r="Z2624" s="220">
        <v>8230</v>
      </c>
      <c r="AA2624" s="220">
        <f>SUM(X2624:Z2624)</f>
        <v>789230</v>
      </c>
      <c r="AB2624" s="222">
        <v>45979</v>
      </c>
    </row>
    <row r="2625" spans="1:28" ht="17.100000000000001" customHeight="1" thickBot="1">
      <c r="A2625" s="227"/>
      <c r="B2625" s="27" t="s">
        <v>1708</v>
      </c>
      <c r="C2625" s="27" t="s">
        <v>8525</v>
      </c>
      <c r="D2625" s="14" t="s">
        <v>1584</v>
      </c>
      <c r="E2625" s="229"/>
      <c r="F2625" s="117" t="s">
        <v>8526</v>
      </c>
      <c r="G2625" s="26">
        <v>51171</v>
      </c>
      <c r="H2625" s="231"/>
      <c r="I2625" s="221"/>
      <c r="J2625" s="221"/>
      <c r="K2625" s="221"/>
      <c r="L2625" s="221"/>
      <c r="M2625" s="221"/>
      <c r="N2625" s="221"/>
      <c r="O2625" s="225"/>
      <c r="P2625" s="118" t="s">
        <v>10344</v>
      </c>
      <c r="Q2625" s="16" t="s">
        <v>20</v>
      </c>
      <c r="R2625" s="17" t="s">
        <v>10292</v>
      </c>
      <c r="S2625" s="121" t="s">
        <v>1731</v>
      </c>
      <c r="T2625" s="122"/>
      <c r="U2625" s="22"/>
      <c r="V2625" s="123" t="s">
        <v>10781</v>
      </c>
      <c r="W2625" s="122">
        <v>65533</v>
      </c>
      <c r="X2625" s="221"/>
      <c r="Y2625" s="221"/>
      <c r="Z2625" s="221"/>
      <c r="AA2625" s="221"/>
      <c r="AB2625" s="223"/>
    </row>
    <row r="2626" spans="1:28" ht="17.100000000000001" customHeight="1" thickTop="1">
      <c r="A2626" s="226" t="s">
        <v>8608</v>
      </c>
      <c r="B2626" s="28">
        <v>45948</v>
      </c>
      <c r="C2626" s="25">
        <v>1437</v>
      </c>
      <c r="D2626" s="13" t="s">
        <v>1953</v>
      </c>
      <c r="E2626" s="228"/>
      <c r="F2626" s="109" t="s">
        <v>1141</v>
      </c>
      <c r="G2626" s="24" t="s">
        <v>2038</v>
      </c>
      <c r="H2626" s="230">
        <v>4.5</v>
      </c>
      <c r="I2626" s="220">
        <v>910000</v>
      </c>
      <c r="J2626" s="220">
        <f>I2626*0.1</f>
        <v>91000</v>
      </c>
      <c r="K2626" s="220">
        <f>16400+1640</f>
        <v>18040</v>
      </c>
      <c r="L2626" s="220">
        <v>17600</v>
      </c>
      <c r="M2626" s="220">
        <v>16500</v>
      </c>
      <c r="N2626" s="220">
        <f>SUM(I2626:M2627)</f>
        <v>1053140</v>
      </c>
      <c r="O2626" s="224"/>
      <c r="P2626" s="110" t="s">
        <v>8561</v>
      </c>
      <c r="Q2626" s="15" t="s">
        <v>19</v>
      </c>
      <c r="R2626" s="205"/>
      <c r="S2626" s="189"/>
      <c r="T2626" s="114"/>
      <c r="U2626" s="21"/>
      <c r="V2626" s="115">
        <v>45960</v>
      </c>
      <c r="W2626" s="116">
        <v>1304</v>
      </c>
      <c r="X2626" s="220">
        <v>1100000</v>
      </c>
      <c r="Y2626" s="220">
        <f>X2626*0.1</f>
        <v>110000</v>
      </c>
      <c r="Z2626" s="220">
        <v>17600</v>
      </c>
      <c r="AA2626" s="220">
        <f>SUM(X2626:Z2626)</f>
        <v>1227600</v>
      </c>
      <c r="AB2626" s="222">
        <v>45961</v>
      </c>
    </row>
    <row r="2627" spans="1:28" ht="17.100000000000001" customHeight="1" thickBot="1">
      <c r="A2627" s="227"/>
      <c r="B2627" s="27" t="s">
        <v>1765</v>
      </c>
      <c r="C2627" s="27">
        <v>7056</v>
      </c>
      <c r="D2627" s="14" t="s">
        <v>1584</v>
      </c>
      <c r="E2627" s="229"/>
      <c r="F2627" s="117" t="s">
        <v>8560</v>
      </c>
      <c r="G2627" s="26">
        <v>71817</v>
      </c>
      <c r="H2627" s="231"/>
      <c r="I2627" s="221"/>
      <c r="J2627" s="221"/>
      <c r="K2627" s="221"/>
      <c r="L2627" s="221"/>
      <c r="M2627" s="221"/>
      <c r="N2627" s="221"/>
      <c r="O2627" s="225"/>
      <c r="P2627" s="118" t="s">
        <v>1647</v>
      </c>
      <c r="Q2627" s="16" t="s">
        <v>20</v>
      </c>
      <c r="R2627" s="17" t="s">
        <v>8783</v>
      </c>
      <c r="S2627" s="121" t="s">
        <v>1731</v>
      </c>
      <c r="T2627" s="122"/>
      <c r="U2627" s="22"/>
      <c r="V2627" s="123" t="s">
        <v>1735</v>
      </c>
      <c r="W2627" s="122">
        <v>975</v>
      </c>
      <c r="X2627" s="221"/>
      <c r="Y2627" s="221"/>
      <c r="Z2627" s="221"/>
      <c r="AA2627" s="221"/>
      <c r="AB2627" s="223"/>
    </row>
    <row r="2628" spans="1:28" ht="17.100000000000001" customHeight="1" thickTop="1">
      <c r="A2628" s="226" t="s">
        <v>8609</v>
      </c>
      <c r="B2628" s="28">
        <v>45948</v>
      </c>
      <c r="C2628" s="25">
        <v>1515</v>
      </c>
      <c r="D2628" s="13" t="s">
        <v>2422</v>
      </c>
      <c r="E2628" s="228"/>
      <c r="F2628" s="109" t="s">
        <v>1916</v>
      </c>
      <c r="G2628" s="24" t="s">
        <v>4025</v>
      </c>
      <c r="H2628" s="230">
        <v>4</v>
      </c>
      <c r="I2628" s="220">
        <v>575000</v>
      </c>
      <c r="J2628" s="220">
        <f>I2628*0.1</f>
        <v>57500</v>
      </c>
      <c r="K2628" s="220">
        <f>14300+1430</f>
        <v>15730</v>
      </c>
      <c r="L2628" s="220">
        <v>18960</v>
      </c>
      <c r="M2628" s="220">
        <v>16500</v>
      </c>
      <c r="N2628" s="220">
        <f>SUM(I2628:M2629)</f>
        <v>683690</v>
      </c>
      <c r="O2628" s="224"/>
      <c r="P2628" s="110" t="s">
        <v>8593</v>
      </c>
      <c r="Q2628" s="15" t="s">
        <v>19</v>
      </c>
      <c r="R2628" s="205"/>
      <c r="S2628" s="189" t="s">
        <v>1271</v>
      </c>
      <c r="T2628" s="114"/>
      <c r="U2628" s="21"/>
      <c r="V2628" s="115">
        <v>45955</v>
      </c>
      <c r="W2628" s="116">
        <v>1273</v>
      </c>
      <c r="X2628" s="220">
        <v>705000</v>
      </c>
      <c r="Y2628" s="220">
        <f>X2628*0.1</f>
        <v>70500</v>
      </c>
      <c r="Z2628" s="220">
        <v>18960</v>
      </c>
      <c r="AA2628" s="220">
        <f>SUM(X2628:Z2628)</f>
        <v>794460</v>
      </c>
      <c r="AB2628" s="222">
        <v>45958</v>
      </c>
    </row>
    <row r="2629" spans="1:28" ht="17.100000000000001" customHeight="1" thickBot="1">
      <c r="A2629" s="227"/>
      <c r="B2629" s="27" t="s">
        <v>1547</v>
      </c>
      <c r="C2629" s="27">
        <v>83193</v>
      </c>
      <c r="D2629" s="14" t="s">
        <v>1584</v>
      </c>
      <c r="E2629" s="229"/>
      <c r="F2629" s="117" t="s">
        <v>8592</v>
      </c>
      <c r="G2629" s="26">
        <v>51526</v>
      </c>
      <c r="H2629" s="231"/>
      <c r="I2629" s="221"/>
      <c r="J2629" s="221"/>
      <c r="K2629" s="221"/>
      <c r="L2629" s="221"/>
      <c r="M2629" s="221"/>
      <c r="N2629" s="221"/>
      <c r="O2629" s="225"/>
      <c r="P2629" s="118" t="s">
        <v>8881</v>
      </c>
      <c r="Q2629" s="16" t="s">
        <v>20</v>
      </c>
      <c r="R2629" s="17" t="s">
        <v>8783</v>
      </c>
      <c r="S2629" s="121" t="s">
        <v>1731</v>
      </c>
      <c r="T2629" s="122"/>
      <c r="U2629" s="22"/>
      <c r="V2629" s="123" t="s">
        <v>2472</v>
      </c>
      <c r="W2629" s="122">
        <v>80266</v>
      </c>
      <c r="X2629" s="221"/>
      <c r="Y2629" s="221"/>
      <c r="Z2629" s="221"/>
      <c r="AA2629" s="221"/>
      <c r="AB2629" s="223"/>
    </row>
    <row r="2630" spans="1:28" ht="17.100000000000001" customHeight="1" thickTop="1">
      <c r="A2630" s="233" t="s">
        <v>8610</v>
      </c>
      <c r="B2630" s="28">
        <v>45948</v>
      </c>
      <c r="C2630" s="25">
        <v>1515</v>
      </c>
      <c r="D2630" s="13" t="s">
        <v>1915</v>
      </c>
      <c r="E2630" s="228"/>
      <c r="F2630" s="109" t="s">
        <v>8594</v>
      </c>
      <c r="G2630" s="24" t="s">
        <v>5031</v>
      </c>
      <c r="H2630" s="230">
        <v>4.5</v>
      </c>
      <c r="I2630" s="220">
        <v>1170000</v>
      </c>
      <c r="J2630" s="220">
        <f>I2630*0.1</f>
        <v>117000</v>
      </c>
      <c r="K2630" s="220">
        <f>16400+1640</f>
        <v>18040</v>
      </c>
      <c r="L2630" s="220">
        <v>22590</v>
      </c>
      <c r="M2630" s="220">
        <v>16500</v>
      </c>
      <c r="N2630" s="220">
        <f>SUM(I2630:M2631)</f>
        <v>1344130</v>
      </c>
      <c r="O2630" s="224"/>
      <c r="P2630" s="110" t="s">
        <v>8596</v>
      </c>
      <c r="Q2630" s="15" t="s">
        <v>19</v>
      </c>
      <c r="R2630" s="205"/>
      <c r="S2630" s="189" t="s">
        <v>25367</v>
      </c>
      <c r="T2630" s="114" t="s">
        <v>7899</v>
      </c>
      <c r="U2630" s="21"/>
      <c r="V2630" s="115"/>
      <c r="W2630" s="116"/>
      <c r="X2630" s="220"/>
      <c r="Y2630" s="220">
        <f>X2630*0.1</f>
        <v>0</v>
      </c>
      <c r="Z2630" s="220"/>
      <c r="AA2630" s="220">
        <f>SUM(X2630:Z2630)</f>
        <v>0</v>
      </c>
      <c r="AB2630" s="222"/>
    </row>
    <row r="2631" spans="1:28" ht="17.100000000000001" customHeight="1" thickBot="1">
      <c r="A2631" s="234"/>
      <c r="B2631" s="27" t="s">
        <v>1547</v>
      </c>
      <c r="C2631" s="27">
        <v>83199</v>
      </c>
      <c r="D2631" s="14" t="s">
        <v>273</v>
      </c>
      <c r="E2631" s="229"/>
      <c r="F2631" s="117" t="s">
        <v>8595</v>
      </c>
      <c r="G2631" s="26">
        <v>56780</v>
      </c>
      <c r="H2631" s="231"/>
      <c r="I2631" s="221"/>
      <c r="J2631" s="221"/>
      <c r="K2631" s="221"/>
      <c r="L2631" s="221"/>
      <c r="M2631" s="221"/>
      <c r="N2631" s="221"/>
      <c r="O2631" s="225"/>
      <c r="P2631" s="118" t="s">
        <v>8884</v>
      </c>
      <c r="Q2631" s="16" t="s">
        <v>20</v>
      </c>
      <c r="R2631" s="17" t="s">
        <v>8783</v>
      </c>
      <c r="S2631" s="121" t="s">
        <v>4031</v>
      </c>
      <c r="T2631" s="122" t="s">
        <v>9308</v>
      </c>
      <c r="U2631" s="22"/>
      <c r="V2631" s="123"/>
      <c r="W2631" s="122"/>
      <c r="X2631" s="221"/>
      <c r="Y2631" s="221"/>
      <c r="Z2631" s="221"/>
      <c r="AA2631" s="221"/>
      <c r="AB2631" s="223"/>
    </row>
    <row r="2632" spans="1:28" ht="17.100000000000001" customHeight="1" thickTop="1">
      <c r="A2632" s="226" t="s">
        <v>8611</v>
      </c>
      <c r="B2632" s="28">
        <v>45948</v>
      </c>
      <c r="C2632" s="25">
        <v>1515</v>
      </c>
      <c r="D2632" s="13" t="s">
        <v>1772</v>
      </c>
      <c r="E2632" s="228"/>
      <c r="F2632" s="109" t="s">
        <v>5402</v>
      </c>
      <c r="G2632" s="24" t="s">
        <v>8598</v>
      </c>
      <c r="H2632" s="230">
        <v>4.5</v>
      </c>
      <c r="I2632" s="220">
        <v>2620000</v>
      </c>
      <c r="J2632" s="220">
        <f>I2632*0.1</f>
        <v>262000</v>
      </c>
      <c r="K2632" s="220">
        <f>15000+1500</f>
        <v>16500</v>
      </c>
      <c r="L2632" s="220">
        <v>16360</v>
      </c>
      <c r="M2632" s="220">
        <v>16500</v>
      </c>
      <c r="N2632" s="220">
        <f>SUM(I2632:M2633)</f>
        <v>2931360</v>
      </c>
      <c r="O2632" s="224"/>
      <c r="P2632" s="110" t="s">
        <v>8599</v>
      </c>
      <c r="Q2632" s="15" t="s">
        <v>19</v>
      </c>
      <c r="R2632" s="205"/>
      <c r="S2632" s="189" t="s">
        <v>1361</v>
      </c>
      <c r="T2632" s="114"/>
      <c r="U2632" s="21" t="s">
        <v>10979</v>
      </c>
      <c r="V2632" s="115">
        <v>46011</v>
      </c>
      <c r="W2632" s="116">
        <v>1281</v>
      </c>
      <c r="X2632" s="220">
        <v>2750000</v>
      </c>
      <c r="Y2632" s="220">
        <f>X2632*0.1</f>
        <v>275000</v>
      </c>
      <c r="Z2632" s="220">
        <v>16360</v>
      </c>
      <c r="AA2632" s="220">
        <f>SUM(X2632:Z2632)</f>
        <v>3041360</v>
      </c>
      <c r="AB2632" s="222">
        <v>46014</v>
      </c>
    </row>
    <row r="2633" spans="1:28" ht="17.100000000000001" customHeight="1" thickBot="1">
      <c r="A2633" s="227"/>
      <c r="B2633" s="27" t="s">
        <v>1547</v>
      </c>
      <c r="C2633" s="27">
        <v>83240</v>
      </c>
      <c r="D2633" s="14" t="s">
        <v>1568</v>
      </c>
      <c r="E2633" s="229"/>
      <c r="F2633" s="117" t="s">
        <v>8597</v>
      </c>
      <c r="G2633" s="26">
        <v>29671</v>
      </c>
      <c r="H2633" s="231"/>
      <c r="I2633" s="221"/>
      <c r="J2633" s="221"/>
      <c r="K2633" s="221"/>
      <c r="L2633" s="221"/>
      <c r="M2633" s="221"/>
      <c r="N2633" s="221"/>
      <c r="O2633" s="225"/>
      <c r="P2633" s="118" t="s">
        <v>2870</v>
      </c>
      <c r="Q2633" s="16" t="s">
        <v>20</v>
      </c>
      <c r="R2633" s="17" t="s">
        <v>8953</v>
      </c>
      <c r="S2633" s="121" t="s">
        <v>2844</v>
      </c>
      <c r="T2633" s="122"/>
      <c r="U2633" s="22"/>
      <c r="V2633" s="123" t="s">
        <v>2472</v>
      </c>
      <c r="W2633" s="122">
        <v>80133</v>
      </c>
      <c r="X2633" s="221"/>
      <c r="Y2633" s="221"/>
      <c r="Z2633" s="221"/>
      <c r="AA2633" s="221"/>
      <c r="AB2633" s="223"/>
    </row>
    <row r="2634" spans="1:28" ht="17.100000000000001" customHeight="1" thickTop="1">
      <c r="A2634" s="226" t="s">
        <v>8612</v>
      </c>
      <c r="B2634" s="28">
        <v>45948</v>
      </c>
      <c r="C2634" s="25">
        <v>1694</v>
      </c>
      <c r="D2634" s="13" t="s">
        <v>2712</v>
      </c>
      <c r="E2634" s="228"/>
      <c r="F2634" s="109" t="s">
        <v>8613</v>
      </c>
      <c r="G2634" s="24"/>
      <c r="H2634" s="230">
        <v>4.5</v>
      </c>
      <c r="I2634" s="220">
        <v>1895000</v>
      </c>
      <c r="J2634" s="220">
        <f>I2634*0.1</f>
        <v>189500</v>
      </c>
      <c r="K2634" s="220">
        <v>0</v>
      </c>
      <c r="L2634" s="220">
        <v>19040</v>
      </c>
      <c r="M2634" s="220">
        <v>14300</v>
      </c>
      <c r="N2634" s="220">
        <f>SUM(I2634:M2635)</f>
        <v>2117840</v>
      </c>
      <c r="O2634" s="224"/>
      <c r="P2634" s="110" t="s">
        <v>8882</v>
      </c>
      <c r="Q2634" s="15" t="s">
        <v>19</v>
      </c>
      <c r="R2634" s="205"/>
      <c r="S2634" s="189" t="s">
        <v>1312</v>
      </c>
      <c r="T2634" s="114"/>
      <c r="U2634" s="21"/>
      <c r="V2634" s="115">
        <v>45955</v>
      </c>
      <c r="W2634" s="116">
        <v>1273</v>
      </c>
      <c r="X2634" s="220">
        <v>2300000</v>
      </c>
      <c r="Y2634" s="220">
        <f>X2634*0.1</f>
        <v>230000</v>
      </c>
      <c r="Z2634" s="220">
        <v>19040</v>
      </c>
      <c r="AA2634" s="220">
        <f>SUM(X2634:Z2634)</f>
        <v>2549040</v>
      </c>
      <c r="AB2634" s="222">
        <v>45958</v>
      </c>
    </row>
    <row r="2635" spans="1:28" ht="17.100000000000001" customHeight="1" thickBot="1">
      <c r="A2635" s="227"/>
      <c r="B2635" s="27" t="s">
        <v>1842</v>
      </c>
      <c r="C2635" s="27">
        <v>188</v>
      </c>
      <c r="D2635" s="14" t="s">
        <v>898</v>
      </c>
      <c r="E2635" s="229"/>
      <c r="F2635" s="117" t="s">
        <v>8614</v>
      </c>
      <c r="G2635" s="26">
        <v>10956</v>
      </c>
      <c r="H2635" s="231"/>
      <c r="I2635" s="221"/>
      <c r="J2635" s="221"/>
      <c r="K2635" s="221"/>
      <c r="L2635" s="221"/>
      <c r="M2635" s="221"/>
      <c r="N2635" s="221"/>
      <c r="O2635" s="225"/>
      <c r="P2635" s="118" t="s">
        <v>8883</v>
      </c>
      <c r="Q2635" s="16" t="s">
        <v>20</v>
      </c>
      <c r="R2635" s="17" t="s">
        <v>8783</v>
      </c>
      <c r="S2635" s="121" t="s">
        <v>1606</v>
      </c>
      <c r="T2635" s="122"/>
      <c r="U2635" s="22"/>
      <c r="V2635" s="123" t="s">
        <v>2472</v>
      </c>
      <c r="W2635" s="122">
        <v>80221</v>
      </c>
      <c r="X2635" s="221"/>
      <c r="Y2635" s="221"/>
      <c r="Z2635" s="221"/>
      <c r="AA2635" s="221"/>
      <c r="AB2635" s="223"/>
    </row>
    <row r="2636" spans="1:28" ht="17.100000000000001" customHeight="1" thickTop="1">
      <c r="A2636" s="226" t="s">
        <v>8615</v>
      </c>
      <c r="B2636" s="28">
        <v>45948</v>
      </c>
      <c r="C2636" s="25">
        <v>1272</v>
      </c>
      <c r="D2636" s="13" t="s">
        <v>4739</v>
      </c>
      <c r="E2636" s="228"/>
      <c r="F2636" s="109" t="s">
        <v>8562</v>
      </c>
      <c r="G2636" s="24"/>
      <c r="H2636" s="230">
        <v>4.5</v>
      </c>
      <c r="I2636" s="220">
        <v>860000</v>
      </c>
      <c r="J2636" s="220">
        <f>I2636*0.1</f>
        <v>86000</v>
      </c>
      <c r="K2636" s="220">
        <v>0</v>
      </c>
      <c r="L2636" s="220">
        <v>10780</v>
      </c>
      <c r="M2636" s="220">
        <v>12100</v>
      </c>
      <c r="N2636" s="220">
        <f>SUM(I2636:M2637)</f>
        <v>968880</v>
      </c>
      <c r="O2636" s="224"/>
      <c r="P2636" s="110" t="s">
        <v>9267</v>
      </c>
      <c r="Q2636" s="15" t="s">
        <v>19</v>
      </c>
      <c r="R2636" s="205"/>
      <c r="S2636" s="189"/>
      <c r="T2636" s="114"/>
      <c r="U2636" s="21"/>
      <c r="V2636" s="115">
        <v>45959</v>
      </c>
      <c r="W2636" s="116">
        <v>990</v>
      </c>
      <c r="X2636" s="220">
        <v>940000</v>
      </c>
      <c r="Y2636" s="220">
        <f>X2636*0.1</f>
        <v>94000</v>
      </c>
      <c r="Z2636" s="220">
        <v>10780</v>
      </c>
      <c r="AA2636" s="220">
        <f>SUM(X2636:Z2636)</f>
        <v>1044780</v>
      </c>
      <c r="AB2636" s="222">
        <v>45965</v>
      </c>
    </row>
    <row r="2637" spans="1:28" ht="17.100000000000001" customHeight="1" thickBot="1">
      <c r="A2637" s="227"/>
      <c r="B2637" s="27" t="s">
        <v>2472</v>
      </c>
      <c r="C2637" s="27">
        <v>30082</v>
      </c>
      <c r="D2637" s="14" t="s">
        <v>2559</v>
      </c>
      <c r="E2637" s="229"/>
      <c r="F2637" s="117" t="s">
        <v>8563</v>
      </c>
      <c r="G2637" s="26">
        <v>57261</v>
      </c>
      <c r="H2637" s="231"/>
      <c r="I2637" s="221"/>
      <c r="J2637" s="221"/>
      <c r="K2637" s="221"/>
      <c r="L2637" s="221"/>
      <c r="M2637" s="221"/>
      <c r="N2637" s="221"/>
      <c r="O2637" s="225"/>
      <c r="P2637" s="118" t="s">
        <v>9268</v>
      </c>
      <c r="Q2637" s="16" t="s">
        <v>20</v>
      </c>
      <c r="R2637" s="17" t="s">
        <v>3288</v>
      </c>
      <c r="S2637" s="121" t="s">
        <v>7708</v>
      </c>
      <c r="T2637" s="122"/>
      <c r="U2637" s="22"/>
      <c r="V2637" s="123" t="s">
        <v>2747</v>
      </c>
      <c r="W2637" s="122">
        <v>6081</v>
      </c>
      <c r="X2637" s="221"/>
      <c r="Y2637" s="221"/>
      <c r="Z2637" s="221"/>
      <c r="AA2637" s="221"/>
      <c r="AB2637" s="223"/>
    </row>
    <row r="2638" spans="1:28" ht="17.100000000000001" customHeight="1" thickTop="1">
      <c r="A2638" s="226" t="s">
        <v>8616</v>
      </c>
      <c r="B2638" s="28">
        <v>45948</v>
      </c>
      <c r="C2638" s="25">
        <v>1272</v>
      </c>
      <c r="D2638" s="13" t="s">
        <v>3474</v>
      </c>
      <c r="E2638" s="228"/>
      <c r="F2638" s="109" t="s">
        <v>8564</v>
      </c>
      <c r="G2638" s="24"/>
      <c r="H2638" s="230">
        <v>4</v>
      </c>
      <c r="I2638" s="220">
        <v>1075000</v>
      </c>
      <c r="J2638" s="220">
        <f>I2638*0.1</f>
        <v>107500</v>
      </c>
      <c r="K2638" s="220">
        <v>0</v>
      </c>
      <c r="L2638" s="220">
        <v>8790</v>
      </c>
      <c r="M2638" s="220">
        <v>12100</v>
      </c>
      <c r="N2638" s="220">
        <f>SUM(I2638:M2639)</f>
        <v>1203390</v>
      </c>
      <c r="O2638" s="224"/>
      <c r="P2638" s="110" t="s">
        <v>9271</v>
      </c>
      <c r="Q2638" s="15" t="s">
        <v>19</v>
      </c>
      <c r="R2638" s="205"/>
      <c r="S2638" s="189"/>
      <c r="T2638" s="114"/>
      <c r="U2638" s="21"/>
      <c r="V2638" s="115">
        <v>45952</v>
      </c>
      <c r="W2638" s="116">
        <v>989</v>
      </c>
      <c r="X2638" s="220">
        <v>1170000</v>
      </c>
      <c r="Y2638" s="220">
        <f>X2638*0.1</f>
        <v>117000</v>
      </c>
      <c r="Z2638" s="220">
        <v>8790</v>
      </c>
      <c r="AA2638" s="220">
        <f>SUM(X2638:Z2638)</f>
        <v>1295790</v>
      </c>
      <c r="AB2638" s="222">
        <v>45958</v>
      </c>
    </row>
    <row r="2639" spans="1:28" ht="17.100000000000001" customHeight="1" thickBot="1">
      <c r="A2639" s="227"/>
      <c r="B2639" s="27" t="s">
        <v>2472</v>
      </c>
      <c r="C2639" s="27">
        <v>31091</v>
      </c>
      <c r="D2639" s="14" t="s">
        <v>3274</v>
      </c>
      <c r="E2639" s="229"/>
      <c r="F2639" s="117" t="s">
        <v>8565</v>
      </c>
      <c r="G2639" s="26">
        <v>29774</v>
      </c>
      <c r="H2639" s="231"/>
      <c r="I2639" s="221"/>
      <c r="J2639" s="221"/>
      <c r="K2639" s="221"/>
      <c r="L2639" s="221"/>
      <c r="M2639" s="221"/>
      <c r="N2639" s="221"/>
      <c r="O2639" s="225"/>
      <c r="P2639" s="118" t="s">
        <v>9272</v>
      </c>
      <c r="Q2639" s="16" t="s">
        <v>20</v>
      </c>
      <c r="R2639" s="17" t="s">
        <v>3913</v>
      </c>
      <c r="S2639" s="121"/>
      <c r="T2639" s="122"/>
      <c r="U2639" s="22"/>
      <c r="V2639" s="123" t="s">
        <v>2747</v>
      </c>
      <c r="W2639" s="122">
        <v>2120</v>
      </c>
      <c r="X2639" s="221"/>
      <c r="Y2639" s="221"/>
      <c r="Z2639" s="221"/>
      <c r="AA2639" s="221"/>
      <c r="AB2639" s="223"/>
    </row>
    <row r="2640" spans="1:28" ht="17.100000000000001" customHeight="1" thickTop="1">
      <c r="A2640" s="226" t="s">
        <v>8617</v>
      </c>
      <c r="B2640" s="28">
        <v>45948</v>
      </c>
      <c r="C2640" s="25">
        <v>1272</v>
      </c>
      <c r="D2640" s="13" t="s">
        <v>2441</v>
      </c>
      <c r="E2640" s="228"/>
      <c r="F2640" s="109" t="s">
        <v>2556</v>
      </c>
      <c r="G2640" s="24" t="s">
        <v>8584</v>
      </c>
      <c r="H2640" s="232" t="s">
        <v>4130</v>
      </c>
      <c r="I2640" s="220">
        <v>1560000</v>
      </c>
      <c r="J2640" s="220">
        <f>I2640*0.1</f>
        <v>156000</v>
      </c>
      <c r="K2640" s="220">
        <v>0</v>
      </c>
      <c r="L2640" s="220">
        <v>7150</v>
      </c>
      <c r="M2640" s="220">
        <v>9900</v>
      </c>
      <c r="N2640" s="220">
        <f>SUM(I2640:M2641)</f>
        <v>1733050</v>
      </c>
      <c r="O2640" s="224"/>
      <c r="P2640" s="110" t="s">
        <v>8585</v>
      </c>
      <c r="Q2640" s="15" t="s">
        <v>19</v>
      </c>
      <c r="R2640" s="205"/>
      <c r="S2640" s="189" t="s">
        <v>1271</v>
      </c>
      <c r="T2640" s="114"/>
      <c r="U2640" s="21"/>
      <c r="V2640" s="115">
        <v>45958</v>
      </c>
      <c r="W2640" s="116">
        <v>1915</v>
      </c>
      <c r="X2640" s="220">
        <v>1635000</v>
      </c>
      <c r="Y2640" s="220">
        <f>X2640*0.1</f>
        <v>163500</v>
      </c>
      <c r="Z2640" s="220">
        <v>7150</v>
      </c>
      <c r="AA2640" s="220">
        <f>SUM(X2640:Z2640)</f>
        <v>1805650</v>
      </c>
      <c r="AB2640" s="222">
        <v>45971</v>
      </c>
    </row>
    <row r="2641" spans="1:28" ht="17.100000000000001" customHeight="1" thickBot="1">
      <c r="A2641" s="227"/>
      <c r="B2641" s="27" t="s">
        <v>2472</v>
      </c>
      <c r="C2641" s="27">
        <v>60397</v>
      </c>
      <c r="D2641" s="14" t="s">
        <v>2559</v>
      </c>
      <c r="E2641" s="229"/>
      <c r="F2641" s="117" t="s">
        <v>8583</v>
      </c>
      <c r="G2641" s="26">
        <v>3093</v>
      </c>
      <c r="H2641" s="231"/>
      <c r="I2641" s="221"/>
      <c r="J2641" s="221"/>
      <c r="K2641" s="221"/>
      <c r="L2641" s="221"/>
      <c r="M2641" s="221"/>
      <c r="N2641" s="221"/>
      <c r="O2641" s="225"/>
      <c r="P2641" s="118" t="s">
        <v>9235</v>
      </c>
      <c r="Q2641" s="16" t="s">
        <v>20</v>
      </c>
      <c r="R2641" s="17" t="s">
        <v>3288</v>
      </c>
      <c r="S2641" s="121" t="s">
        <v>3861</v>
      </c>
      <c r="T2641" s="122"/>
      <c r="U2641" s="22"/>
      <c r="V2641" s="123" t="s">
        <v>7507</v>
      </c>
      <c r="W2641" s="122">
        <v>3051</v>
      </c>
      <c r="X2641" s="221"/>
      <c r="Y2641" s="221"/>
      <c r="Z2641" s="221"/>
      <c r="AA2641" s="221"/>
      <c r="AB2641" s="223"/>
    </row>
    <row r="2642" spans="1:28" ht="17.100000000000001" customHeight="1" thickTop="1">
      <c r="A2642" s="226" t="s">
        <v>8618</v>
      </c>
      <c r="B2642" s="28">
        <v>45948</v>
      </c>
      <c r="C2642" s="25">
        <v>1272</v>
      </c>
      <c r="D2642" s="13" t="s">
        <v>1824</v>
      </c>
      <c r="E2642" s="228"/>
      <c r="F2642" s="109" t="s">
        <v>2943</v>
      </c>
      <c r="G2642" s="24" t="s">
        <v>8587</v>
      </c>
      <c r="H2642" s="230">
        <v>3.5</v>
      </c>
      <c r="I2642" s="220">
        <v>93000</v>
      </c>
      <c r="J2642" s="220">
        <f>I2642*0.1</f>
        <v>9300</v>
      </c>
      <c r="K2642" s="220">
        <v>0</v>
      </c>
      <c r="L2642" s="220">
        <v>8860</v>
      </c>
      <c r="M2642" s="220">
        <v>9900</v>
      </c>
      <c r="N2642" s="220">
        <f>SUM(I2642:M2643)</f>
        <v>121060</v>
      </c>
      <c r="O2642" s="224"/>
      <c r="P2642" s="110" t="s">
        <v>8588</v>
      </c>
      <c r="Q2642" s="15" t="s">
        <v>19</v>
      </c>
      <c r="R2642" s="205"/>
      <c r="S2642" s="189" t="s">
        <v>758</v>
      </c>
      <c r="T2642" s="114"/>
      <c r="U2642" s="21"/>
      <c r="V2642" s="115">
        <v>45955</v>
      </c>
      <c r="W2642" s="116">
        <v>1273</v>
      </c>
      <c r="X2642" s="220">
        <v>144000</v>
      </c>
      <c r="Y2642" s="220">
        <f>X2642*0.1</f>
        <v>14400</v>
      </c>
      <c r="Z2642" s="220">
        <v>8860</v>
      </c>
      <c r="AA2642" s="220">
        <f>SUM(X2642:Z2642)</f>
        <v>167260</v>
      </c>
      <c r="AB2642" s="222">
        <v>45958</v>
      </c>
    </row>
    <row r="2643" spans="1:28" ht="17.100000000000001" customHeight="1" thickBot="1">
      <c r="A2643" s="227"/>
      <c r="B2643" s="27" t="s">
        <v>2472</v>
      </c>
      <c r="C2643" s="27">
        <v>63202</v>
      </c>
      <c r="D2643" s="14" t="s">
        <v>1568</v>
      </c>
      <c r="E2643" s="229"/>
      <c r="F2643" s="117" t="s">
        <v>8586</v>
      </c>
      <c r="G2643" s="26">
        <v>160148</v>
      </c>
      <c r="H2643" s="231"/>
      <c r="I2643" s="221"/>
      <c r="J2643" s="221"/>
      <c r="K2643" s="221"/>
      <c r="L2643" s="221"/>
      <c r="M2643" s="221"/>
      <c r="N2643" s="221"/>
      <c r="O2643" s="225"/>
      <c r="P2643" s="118" t="s">
        <v>9233</v>
      </c>
      <c r="Q2643" s="16" t="s">
        <v>20</v>
      </c>
      <c r="R2643" s="17" t="s">
        <v>3288</v>
      </c>
      <c r="S2643" s="121" t="s">
        <v>7951</v>
      </c>
      <c r="T2643" s="122"/>
      <c r="U2643" s="22"/>
      <c r="V2643" s="123" t="s">
        <v>2472</v>
      </c>
      <c r="W2643" s="122">
        <v>90254</v>
      </c>
      <c r="X2643" s="221"/>
      <c r="Y2643" s="221"/>
      <c r="Z2643" s="221"/>
      <c r="AA2643" s="221"/>
      <c r="AB2643" s="223"/>
    </row>
    <row r="2644" spans="1:28" ht="17.100000000000001" customHeight="1" thickTop="1">
      <c r="A2644" s="226" t="s">
        <v>8619</v>
      </c>
      <c r="B2644" s="28">
        <v>45948</v>
      </c>
      <c r="C2644" s="25">
        <v>1272</v>
      </c>
      <c r="D2644" s="13" t="s">
        <v>1996</v>
      </c>
      <c r="E2644" s="228"/>
      <c r="F2644" s="109" t="s">
        <v>8566</v>
      </c>
      <c r="G2644" s="24"/>
      <c r="H2644" s="230">
        <v>4</v>
      </c>
      <c r="I2644" s="220">
        <v>585000</v>
      </c>
      <c r="J2644" s="220">
        <f>I2644*0.1</f>
        <v>58500</v>
      </c>
      <c r="K2644" s="220">
        <v>0</v>
      </c>
      <c r="L2644" s="220">
        <v>8230</v>
      </c>
      <c r="M2644" s="220">
        <v>13200</v>
      </c>
      <c r="N2644" s="220">
        <f>SUM(I2644:M2645)</f>
        <v>664930</v>
      </c>
      <c r="O2644" s="224"/>
      <c r="P2644" s="110" t="s">
        <v>9231</v>
      </c>
      <c r="Q2644" s="15" t="s">
        <v>19</v>
      </c>
      <c r="R2644" s="205"/>
      <c r="S2644" s="189" t="s">
        <v>25540</v>
      </c>
      <c r="T2644" s="114"/>
      <c r="U2644" s="21"/>
      <c r="V2644" s="115">
        <v>45966</v>
      </c>
      <c r="W2644" s="116">
        <v>991</v>
      </c>
      <c r="X2644" s="220">
        <v>655000</v>
      </c>
      <c r="Y2644" s="220">
        <f>X2644*0.1</f>
        <v>65500</v>
      </c>
      <c r="Z2644" s="220">
        <v>8230</v>
      </c>
      <c r="AA2644" s="220">
        <f>SUM(X2644:Z2644)</f>
        <v>728730</v>
      </c>
      <c r="AB2644" s="222">
        <v>45971</v>
      </c>
    </row>
    <row r="2645" spans="1:28" ht="17.100000000000001" customHeight="1" thickBot="1">
      <c r="A2645" s="227"/>
      <c r="B2645" s="27" t="s">
        <v>2472</v>
      </c>
      <c r="C2645" s="27">
        <v>65193</v>
      </c>
      <c r="D2645" s="14" t="s">
        <v>273</v>
      </c>
      <c r="E2645" s="229"/>
      <c r="F2645" s="117" t="s">
        <v>8567</v>
      </c>
      <c r="G2645" s="26">
        <v>76076</v>
      </c>
      <c r="H2645" s="231"/>
      <c r="I2645" s="221"/>
      <c r="J2645" s="221"/>
      <c r="K2645" s="221"/>
      <c r="L2645" s="221"/>
      <c r="M2645" s="221"/>
      <c r="N2645" s="221"/>
      <c r="O2645" s="225"/>
      <c r="P2645" s="118" t="s">
        <v>2870</v>
      </c>
      <c r="Q2645" s="16" t="s">
        <v>20</v>
      </c>
      <c r="R2645" s="17" t="s">
        <v>3288</v>
      </c>
      <c r="S2645" s="121" t="s">
        <v>9232</v>
      </c>
      <c r="T2645" s="122"/>
      <c r="U2645" s="22"/>
      <c r="V2645" s="123" t="s">
        <v>2747</v>
      </c>
      <c r="W2645" s="122">
        <v>2025</v>
      </c>
      <c r="X2645" s="221"/>
      <c r="Y2645" s="221"/>
      <c r="Z2645" s="221"/>
      <c r="AA2645" s="221"/>
      <c r="AB2645" s="223"/>
    </row>
    <row r="2646" spans="1:28" ht="17.100000000000001" customHeight="1" thickTop="1">
      <c r="A2646" s="226" t="s">
        <v>8620</v>
      </c>
      <c r="B2646" s="28">
        <v>45948</v>
      </c>
      <c r="C2646" s="25">
        <v>1272</v>
      </c>
      <c r="D2646" s="13" t="s">
        <v>2429</v>
      </c>
      <c r="E2646" s="228"/>
      <c r="F2646" s="109" t="s">
        <v>8568</v>
      </c>
      <c r="G2646" s="24" t="s">
        <v>8570</v>
      </c>
      <c r="H2646" s="230">
        <v>4</v>
      </c>
      <c r="I2646" s="220">
        <v>515000</v>
      </c>
      <c r="J2646" s="220">
        <f>I2646*0.1</f>
        <v>51500</v>
      </c>
      <c r="K2646" s="220">
        <v>0</v>
      </c>
      <c r="L2646" s="220">
        <v>9290</v>
      </c>
      <c r="M2646" s="220">
        <v>12100</v>
      </c>
      <c r="N2646" s="220">
        <f>SUM(I2646:M2647)</f>
        <v>587890</v>
      </c>
      <c r="O2646" s="224"/>
      <c r="P2646" s="110" t="s">
        <v>8571</v>
      </c>
      <c r="Q2646" s="15" t="s">
        <v>19</v>
      </c>
      <c r="R2646" s="205"/>
      <c r="S2646" s="189"/>
      <c r="T2646" s="114"/>
      <c r="U2646" s="21" t="s">
        <v>10818</v>
      </c>
      <c r="V2646" s="115">
        <v>45980</v>
      </c>
      <c r="W2646" s="116">
        <v>993</v>
      </c>
      <c r="X2646" s="220">
        <v>580000</v>
      </c>
      <c r="Y2646" s="220">
        <f>X2646*0.1</f>
        <v>58000</v>
      </c>
      <c r="Z2646" s="220">
        <v>9290</v>
      </c>
      <c r="AA2646" s="220">
        <f>SUM(X2646:Z2646)</f>
        <v>647290</v>
      </c>
      <c r="AB2646" s="222">
        <v>45986</v>
      </c>
    </row>
    <row r="2647" spans="1:28" ht="17.100000000000001" customHeight="1" thickBot="1">
      <c r="A2647" s="227"/>
      <c r="B2647" s="27" t="s">
        <v>2472</v>
      </c>
      <c r="C2647" s="27">
        <v>65278</v>
      </c>
      <c r="D2647" s="14" t="s">
        <v>273</v>
      </c>
      <c r="E2647" s="229"/>
      <c r="F2647" s="117" t="s">
        <v>8569</v>
      </c>
      <c r="G2647" s="26">
        <v>74057</v>
      </c>
      <c r="H2647" s="231"/>
      <c r="I2647" s="221"/>
      <c r="J2647" s="221"/>
      <c r="K2647" s="221"/>
      <c r="L2647" s="221"/>
      <c r="M2647" s="221"/>
      <c r="N2647" s="221"/>
      <c r="O2647" s="225"/>
      <c r="P2647" s="118" t="s">
        <v>9236</v>
      </c>
      <c r="Q2647" s="16" t="s">
        <v>20</v>
      </c>
      <c r="R2647" s="17" t="s">
        <v>3288</v>
      </c>
      <c r="S2647" s="121" t="s">
        <v>3861</v>
      </c>
      <c r="T2647" s="122"/>
      <c r="U2647" s="22"/>
      <c r="V2647" s="123" t="s">
        <v>2747</v>
      </c>
      <c r="W2647" s="122">
        <v>2090</v>
      </c>
      <c r="X2647" s="221"/>
      <c r="Y2647" s="221"/>
      <c r="Z2647" s="221"/>
      <c r="AA2647" s="221"/>
      <c r="AB2647" s="223"/>
    </row>
    <row r="2648" spans="1:28" ht="17.100000000000001" customHeight="1" thickTop="1">
      <c r="A2648" s="226" t="s">
        <v>8621</v>
      </c>
      <c r="B2648" s="28">
        <v>45948</v>
      </c>
      <c r="C2648" s="25">
        <v>1272</v>
      </c>
      <c r="D2648" s="13" t="s">
        <v>2892</v>
      </c>
      <c r="E2648" s="228"/>
      <c r="F2648" s="109" t="s">
        <v>2943</v>
      </c>
      <c r="G2648" s="24"/>
      <c r="H2648" s="230">
        <v>4.5</v>
      </c>
      <c r="I2648" s="220">
        <v>520000</v>
      </c>
      <c r="J2648" s="220">
        <f>I2648*0.1</f>
        <v>52000</v>
      </c>
      <c r="K2648" s="220">
        <v>0</v>
      </c>
      <c r="L2648" s="220">
        <v>8400</v>
      </c>
      <c r="M2648" s="220">
        <v>12100</v>
      </c>
      <c r="N2648" s="220">
        <f>SUM(I2648:M2649)</f>
        <v>592500</v>
      </c>
      <c r="O2648" s="224"/>
      <c r="P2648" s="110" t="s">
        <v>9237</v>
      </c>
      <c r="Q2648" s="15" t="s">
        <v>19</v>
      </c>
      <c r="R2648" s="205"/>
      <c r="S2648" s="189" t="s">
        <v>1312</v>
      </c>
      <c r="T2648" s="114"/>
      <c r="U2648" s="21"/>
      <c r="V2648" s="115">
        <v>45966</v>
      </c>
      <c r="W2648" s="116">
        <v>991</v>
      </c>
      <c r="X2648" s="220">
        <v>595000</v>
      </c>
      <c r="Y2648" s="220">
        <f>X2648*0.1</f>
        <v>59500</v>
      </c>
      <c r="Z2648" s="220">
        <v>8400</v>
      </c>
      <c r="AA2648" s="220">
        <f>SUM(X2648:Z2648)</f>
        <v>662900</v>
      </c>
      <c r="AB2648" s="222">
        <v>45971</v>
      </c>
    </row>
    <row r="2649" spans="1:28" ht="17.100000000000001" customHeight="1" thickBot="1">
      <c r="A2649" s="227"/>
      <c r="B2649" s="27" t="s">
        <v>2472</v>
      </c>
      <c r="C2649" s="27">
        <v>65461</v>
      </c>
      <c r="D2649" s="14" t="s">
        <v>2788</v>
      </c>
      <c r="E2649" s="229"/>
      <c r="F2649" s="117" t="s">
        <v>8572</v>
      </c>
      <c r="G2649" s="26">
        <v>75714</v>
      </c>
      <c r="H2649" s="231"/>
      <c r="I2649" s="221"/>
      <c r="J2649" s="221"/>
      <c r="K2649" s="221"/>
      <c r="L2649" s="221"/>
      <c r="M2649" s="221"/>
      <c r="N2649" s="221"/>
      <c r="O2649" s="225"/>
      <c r="P2649" s="118" t="s">
        <v>9238</v>
      </c>
      <c r="Q2649" s="16" t="s">
        <v>20</v>
      </c>
      <c r="R2649" s="17" t="s">
        <v>3288</v>
      </c>
      <c r="S2649" s="121" t="s">
        <v>3765</v>
      </c>
      <c r="T2649" s="122"/>
      <c r="U2649" s="22"/>
      <c r="V2649" s="123" t="s">
        <v>2747</v>
      </c>
      <c r="W2649" s="122">
        <v>2016</v>
      </c>
      <c r="X2649" s="221"/>
      <c r="Y2649" s="221"/>
      <c r="Z2649" s="221"/>
      <c r="AA2649" s="221"/>
      <c r="AB2649" s="223"/>
    </row>
    <row r="2650" spans="1:28" ht="17.100000000000001" customHeight="1" thickTop="1">
      <c r="A2650" s="226" t="s">
        <v>8622</v>
      </c>
      <c r="B2650" s="28">
        <v>45948</v>
      </c>
      <c r="C2650" s="25">
        <v>1272</v>
      </c>
      <c r="D2650" s="13" t="s">
        <v>1578</v>
      </c>
      <c r="E2650" s="228"/>
      <c r="F2650" s="109" t="s">
        <v>8573</v>
      </c>
      <c r="G2650" s="24" t="s">
        <v>6678</v>
      </c>
      <c r="H2650" s="230">
        <v>4.5</v>
      </c>
      <c r="I2650" s="220">
        <v>2280000</v>
      </c>
      <c r="J2650" s="220">
        <f>I2650*0.1</f>
        <v>228000</v>
      </c>
      <c r="K2650" s="220">
        <f>16400+1640</f>
        <v>18040</v>
      </c>
      <c r="L2650" s="220">
        <v>21480</v>
      </c>
      <c r="M2650" s="220">
        <v>16500</v>
      </c>
      <c r="N2650" s="220">
        <f>SUM(I2650:M2651)</f>
        <v>2564020</v>
      </c>
      <c r="O2650" s="224"/>
      <c r="P2650" s="110" t="s">
        <v>8575</v>
      </c>
      <c r="Q2650" s="15" t="s">
        <v>19</v>
      </c>
      <c r="R2650" s="205"/>
      <c r="S2650" s="189" t="s">
        <v>25421</v>
      </c>
      <c r="T2650" s="114"/>
      <c r="U2650" s="21"/>
      <c r="V2650" s="115">
        <v>45995</v>
      </c>
      <c r="W2650" s="116">
        <v>1309</v>
      </c>
      <c r="X2650" s="220">
        <v>2495000</v>
      </c>
      <c r="Y2650" s="220">
        <f>X2650*0.1</f>
        <v>249500</v>
      </c>
      <c r="Z2650" s="220">
        <v>21480</v>
      </c>
      <c r="AA2650" s="220">
        <f>SUM(X2650:Z2650)</f>
        <v>2765980</v>
      </c>
      <c r="AB2650" s="222">
        <v>45996</v>
      </c>
    </row>
    <row r="2651" spans="1:28" ht="17.100000000000001" customHeight="1" thickBot="1">
      <c r="A2651" s="227"/>
      <c r="B2651" s="27" t="s">
        <v>2472</v>
      </c>
      <c r="C2651" s="27">
        <v>82008</v>
      </c>
      <c r="D2651" s="14" t="s">
        <v>54</v>
      </c>
      <c r="E2651" s="229"/>
      <c r="F2651" s="117" t="s">
        <v>8574</v>
      </c>
      <c r="G2651" s="26">
        <v>47080</v>
      </c>
      <c r="H2651" s="231"/>
      <c r="I2651" s="221"/>
      <c r="J2651" s="221"/>
      <c r="K2651" s="221"/>
      <c r="L2651" s="221"/>
      <c r="M2651" s="221"/>
      <c r="N2651" s="221"/>
      <c r="O2651" s="225"/>
      <c r="P2651" s="118" t="s">
        <v>9263</v>
      </c>
      <c r="Q2651" s="16" t="s">
        <v>20</v>
      </c>
      <c r="R2651" s="17" t="s">
        <v>3288</v>
      </c>
      <c r="S2651" s="121" t="s">
        <v>9264</v>
      </c>
      <c r="T2651" s="122"/>
      <c r="U2651" s="22" t="s">
        <v>3427</v>
      </c>
      <c r="V2651" s="123" t="s">
        <v>1735</v>
      </c>
      <c r="W2651" s="122">
        <v>24</v>
      </c>
      <c r="X2651" s="221"/>
      <c r="Y2651" s="221"/>
      <c r="Z2651" s="221"/>
      <c r="AA2651" s="221"/>
      <c r="AB2651" s="223"/>
    </row>
    <row r="2652" spans="1:28" ht="17.100000000000001" customHeight="1" thickTop="1">
      <c r="A2652" s="226" t="s">
        <v>8623</v>
      </c>
      <c r="B2652" s="28">
        <v>45948</v>
      </c>
      <c r="C2652" s="25">
        <v>1272</v>
      </c>
      <c r="D2652" s="13" t="s">
        <v>2811</v>
      </c>
      <c r="E2652" s="228"/>
      <c r="F2652" s="109" t="s">
        <v>8577</v>
      </c>
      <c r="G2652" s="24"/>
      <c r="H2652" s="230">
        <v>4</v>
      </c>
      <c r="I2652" s="220">
        <v>750000</v>
      </c>
      <c r="J2652" s="220">
        <f>I2652*0.1</f>
        <v>75000</v>
      </c>
      <c r="K2652" s="220">
        <v>0</v>
      </c>
      <c r="L2652" s="220">
        <v>20170</v>
      </c>
      <c r="M2652" s="220">
        <v>16500</v>
      </c>
      <c r="N2652" s="220">
        <f>SUM(I2652:M2653)</f>
        <v>861670</v>
      </c>
      <c r="O2652" s="224"/>
      <c r="P2652" s="110" t="s">
        <v>9229</v>
      </c>
      <c r="Q2652" s="15" t="s">
        <v>19</v>
      </c>
      <c r="R2652" s="205"/>
      <c r="S2652" s="189" t="s">
        <v>1271</v>
      </c>
      <c r="T2652" s="114"/>
      <c r="U2652" s="21"/>
      <c r="V2652" s="115">
        <v>45955</v>
      </c>
      <c r="W2652" s="116">
        <v>1273</v>
      </c>
      <c r="X2652" s="220">
        <v>860000</v>
      </c>
      <c r="Y2652" s="220">
        <f>X2652*0.1</f>
        <v>86000</v>
      </c>
      <c r="Z2652" s="220">
        <v>20170</v>
      </c>
      <c r="AA2652" s="220">
        <f>SUM(X2652:Z2652)</f>
        <v>966170</v>
      </c>
      <c r="AB2652" s="222">
        <v>45958</v>
      </c>
    </row>
    <row r="2653" spans="1:28" ht="17.100000000000001" customHeight="1" thickBot="1">
      <c r="A2653" s="227"/>
      <c r="B2653" s="27" t="s">
        <v>2472</v>
      </c>
      <c r="C2653" s="27">
        <v>82148</v>
      </c>
      <c r="D2653" s="14" t="s">
        <v>1568</v>
      </c>
      <c r="E2653" s="229"/>
      <c r="F2653" s="117" t="s">
        <v>8578</v>
      </c>
      <c r="G2653" s="26">
        <v>59468</v>
      </c>
      <c r="H2653" s="231"/>
      <c r="I2653" s="221"/>
      <c r="J2653" s="221"/>
      <c r="K2653" s="221"/>
      <c r="L2653" s="221"/>
      <c r="M2653" s="221"/>
      <c r="N2653" s="221"/>
      <c r="O2653" s="225"/>
      <c r="P2653" s="118" t="s">
        <v>9230</v>
      </c>
      <c r="Q2653" s="16" t="s">
        <v>20</v>
      </c>
      <c r="R2653" s="17" t="s">
        <v>3288</v>
      </c>
      <c r="S2653" s="121" t="s">
        <v>3861</v>
      </c>
      <c r="T2653" s="122"/>
      <c r="U2653" s="22"/>
      <c r="V2653" s="123" t="s">
        <v>2472</v>
      </c>
      <c r="W2653" s="122">
        <v>80076</v>
      </c>
      <c r="X2653" s="221"/>
      <c r="Y2653" s="221"/>
      <c r="Z2653" s="221"/>
      <c r="AA2653" s="221"/>
      <c r="AB2653" s="223"/>
    </row>
    <row r="2654" spans="1:28" ht="17.100000000000001" customHeight="1" thickTop="1">
      <c r="A2654" s="226" t="s">
        <v>8624</v>
      </c>
      <c r="B2654" s="28">
        <v>45948</v>
      </c>
      <c r="C2654" s="25">
        <v>1272</v>
      </c>
      <c r="D2654" s="13" t="s">
        <v>3269</v>
      </c>
      <c r="E2654" s="228"/>
      <c r="F2654" s="109" t="s">
        <v>5430</v>
      </c>
      <c r="G2654" s="24" t="s">
        <v>2530</v>
      </c>
      <c r="H2654" s="230">
        <v>4.5</v>
      </c>
      <c r="I2654" s="220">
        <v>915000</v>
      </c>
      <c r="J2654" s="220">
        <f>I2654*0.1</f>
        <v>91500</v>
      </c>
      <c r="K2654" s="220">
        <f>12700+1270</f>
        <v>13970</v>
      </c>
      <c r="L2654" s="220">
        <v>16240</v>
      </c>
      <c r="M2654" s="220">
        <v>16500</v>
      </c>
      <c r="N2654" s="220">
        <f>SUM(I2654:M2655)</f>
        <v>1053210</v>
      </c>
      <c r="O2654" s="224"/>
      <c r="P2654" s="110" t="s">
        <v>8580</v>
      </c>
      <c r="Q2654" s="15" t="s">
        <v>19</v>
      </c>
      <c r="R2654" s="205"/>
      <c r="S2654" s="189" t="s">
        <v>1312</v>
      </c>
      <c r="T2654" s="114"/>
      <c r="U2654" s="21" t="s">
        <v>10188</v>
      </c>
      <c r="V2654" s="115">
        <v>45997</v>
      </c>
      <c r="W2654" s="116">
        <v>1279</v>
      </c>
      <c r="X2654" s="220">
        <v>1020000</v>
      </c>
      <c r="Y2654" s="220">
        <f>X2654*0.1</f>
        <v>102000</v>
      </c>
      <c r="Z2654" s="220">
        <v>16240</v>
      </c>
      <c r="AA2654" s="220">
        <f>SUM(X2654:Z2654)</f>
        <v>1138240</v>
      </c>
      <c r="AB2654" s="222">
        <v>46000</v>
      </c>
    </row>
    <row r="2655" spans="1:28" ht="17.100000000000001" customHeight="1" thickBot="1">
      <c r="A2655" s="227"/>
      <c r="B2655" s="27" t="s">
        <v>2472</v>
      </c>
      <c r="C2655" s="27">
        <v>82172</v>
      </c>
      <c r="D2655" s="14" t="s">
        <v>898</v>
      </c>
      <c r="E2655" s="229"/>
      <c r="F2655" s="117" t="s">
        <v>8579</v>
      </c>
      <c r="G2655" s="26">
        <v>49323</v>
      </c>
      <c r="H2655" s="231"/>
      <c r="I2655" s="221"/>
      <c r="J2655" s="221"/>
      <c r="K2655" s="221"/>
      <c r="L2655" s="221"/>
      <c r="M2655" s="221"/>
      <c r="N2655" s="221"/>
      <c r="O2655" s="225"/>
      <c r="P2655" s="118" t="s">
        <v>1586</v>
      </c>
      <c r="Q2655" s="16" t="s">
        <v>20</v>
      </c>
      <c r="R2655" s="17" t="s">
        <v>3288</v>
      </c>
      <c r="S2655" s="121" t="s">
        <v>1606</v>
      </c>
      <c r="T2655" s="122"/>
      <c r="U2655" s="22"/>
      <c r="V2655" s="123" t="s">
        <v>2472</v>
      </c>
      <c r="W2655" s="122">
        <v>80086</v>
      </c>
      <c r="X2655" s="221"/>
      <c r="Y2655" s="221"/>
      <c r="Z2655" s="221"/>
      <c r="AA2655" s="221"/>
      <c r="AB2655" s="223"/>
    </row>
    <row r="2656" spans="1:28" ht="17.100000000000001" customHeight="1" thickTop="1">
      <c r="A2656" s="226" t="s">
        <v>8625</v>
      </c>
      <c r="B2656" s="28">
        <v>45948</v>
      </c>
      <c r="C2656" s="25">
        <v>1272</v>
      </c>
      <c r="D2656" s="13" t="s">
        <v>1788</v>
      </c>
      <c r="E2656" s="228"/>
      <c r="F2656" s="109" t="s">
        <v>8589</v>
      </c>
      <c r="G2656" s="24" t="s">
        <v>4868</v>
      </c>
      <c r="H2656" s="230">
        <v>4.5</v>
      </c>
      <c r="I2656" s="220">
        <v>1810000</v>
      </c>
      <c r="J2656" s="220">
        <f>I2656*0.1</f>
        <v>181000</v>
      </c>
      <c r="K2656" s="220">
        <f>21200+2120</f>
        <v>23320</v>
      </c>
      <c r="L2656" s="220">
        <v>27730</v>
      </c>
      <c r="M2656" s="220">
        <v>16500</v>
      </c>
      <c r="N2656" s="220">
        <f>SUM(I2656:M2657)</f>
        <v>2058550</v>
      </c>
      <c r="O2656" s="224"/>
      <c r="P2656" s="110" t="s">
        <v>8591</v>
      </c>
      <c r="Q2656" s="15" t="s">
        <v>19</v>
      </c>
      <c r="R2656" s="205"/>
      <c r="S2656" s="189"/>
      <c r="T2656" s="114"/>
      <c r="U2656" s="21"/>
      <c r="V2656" s="115">
        <v>46065</v>
      </c>
      <c r="W2656" s="116">
        <v>1318</v>
      </c>
      <c r="X2656" s="220">
        <v>1920000</v>
      </c>
      <c r="Y2656" s="220">
        <f>X2656*0.1</f>
        <v>192000</v>
      </c>
      <c r="Z2656" s="220">
        <v>27730</v>
      </c>
      <c r="AA2656" s="220">
        <f>SUM(X2656:Z2656)</f>
        <v>2139730</v>
      </c>
      <c r="AB2656" s="222">
        <v>46066</v>
      </c>
    </row>
    <row r="2657" spans="1:28" ht="17.100000000000001" customHeight="1" thickBot="1">
      <c r="A2657" s="227"/>
      <c r="B2657" s="27" t="s">
        <v>2472</v>
      </c>
      <c r="C2657" s="27">
        <v>82447</v>
      </c>
      <c r="D2657" s="14" t="s">
        <v>273</v>
      </c>
      <c r="E2657" s="229"/>
      <c r="F2657" s="117" t="s">
        <v>8590</v>
      </c>
      <c r="G2657" s="26">
        <v>78110</v>
      </c>
      <c r="H2657" s="231"/>
      <c r="I2657" s="221"/>
      <c r="J2657" s="221"/>
      <c r="K2657" s="221"/>
      <c r="L2657" s="221"/>
      <c r="M2657" s="221"/>
      <c r="N2657" s="221"/>
      <c r="O2657" s="225"/>
      <c r="P2657" s="118" t="s">
        <v>5155</v>
      </c>
      <c r="Q2657" s="16" t="s">
        <v>20</v>
      </c>
      <c r="R2657" s="17" t="s">
        <v>3288</v>
      </c>
      <c r="S2657" s="121" t="s">
        <v>1649</v>
      </c>
      <c r="T2657" s="122"/>
      <c r="U2657" s="22"/>
      <c r="V2657" s="123" t="s">
        <v>1735</v>
      </c>
      <c r="W2657" s="122">
        <v>13</v>
      </c>
      <c r="X2657" s="221"/>
      <c r="Y2657" s="221"/>
      <c r="Z2657" s="221"/>
      <c r="AA2657" s="221"/>
      <c r="AB2657" s="223"/>
    </row>
    <row r="2658" spans="1:28" ht="17.100000000000001" customHeight="1" thickTop="1">
      <c r="A2658" s="233" t="s">
        <v>8660</v>
      </c>
      <c r="B2658" s="28">
        <v>45950</v>
      </c>
      <c r="C2658" s="25">
        <v>61</v>
      </c>
      <c r="D2658" s="13" t="s">
        <v>1963</v>
      </c>
      <c r="E2658" s="228"/>
      <c r="F2658" s="109" t="s">
        <v>4967</v>
      </c>
      <c r="G2658" s="24" t="s">
        <v>2084</v>
      </c>
      <c r="H2658" s="230">
        <v>5</v>
      </c>
      <c r="I2658" s="220">
        <v>1795000</v>
      </c>
      <c r="J2658" s="220">
        <f>I2658*0.1</f>
        <v>179500</v>
      </c>
      <c r="K2658" s="220">
        <v>0</v>
      </c>
      <c r="L2658" s="220">
        <v>7340</v>
      </c>
      <c r="M2658" s="220">
        <v>44000</v>
      </c>
      <c r="N2658" s="220">
        <f>SUM(I2658:M2659)</f>
        <v>2025840</v>
      </c>
      <c r="O2658" s="224"/>
      <c r="P2658" s="110"/>
      <c r="Q2658" s="15" t="s">
        <v>19</v>
      </c>
      <c r="R2658" s="205"/>
      <c r="S2658" s="189" t="s">
        <v>25541</v>
      </c>
      <c r="T2658" s="114" t="s">
        <v>7899</v>
      </c>
      <c r="U2658" s="21"/>
      <c r="V2658" s="115"/>
      <c r="W2658" s="116"/>
      <c r="X2658" s="220"/>
      <c r="Y2658" s="220">
        <f>X2658*0.1</f>
        <v>0</v>
      </c>
      <c r="Z2658" s="220"/>
      <c r="AA2658" s="220">
        <f>SUM(X2658:Z2658)</f>
        <v>0</v>
      </c>
      <c r="AB2658" s="222"/>
    </row>
    <row r="2659" spans="1:28" ht="17.100000000000001" customHeight="1" thickBot="1">
      <c r="A2659" s="234"/>
      <c r="B2659" s="27" t="s">
        <v>4468</v>
      </c>
      <c r="C2659" s="27">
        <v>1007</v>
      </c>
      <c r="D2659" s="14" t="s">
        <v>2559</v>
      </c>
      <c r="E2659" s="229"/>
      <c r="F2659" s="117" t="s">
        <v>8669</v>
      </c>
      <c r="G2659" s="26">
        <v>8847</v>
      </c>
      <c r="H2659" s="231"/>
      <c r="I2659" s="221"/>
      <c r="J2659" s="221"/>
      <c r="K2659" s="221"/>
      <c r="L2659" s="221"/>
      <c r="M2659" s="221"/>
      <c r="N2659" s="221"/>
      <c r="O2659" s="225"/>
      <c r="P2659" s="118"/>
      <c r="Q2659" s="16" t="s">
        <v>20</v>
      </c>
      <c r="R2659" s="17" t="s">
        <v>10331</v>
      </c>
      <c r="S2659" s="121"/>
      <c r="T2659" s="122"/>
      <c r="U2659" s="22"/>
      <c r="V2659" s="123"/>
      <c r="W2659" s="122"/>
      <c r="X2659" s="221"/>
      <c r="Y2659" s="221"/>
      <c r="Z2659" s="221"/>
      <c r="AA2659" s="221"/>
      <c r="AB2659" s="223"/>
    </row>
    <row r="2660" spans="1:28" ht="17.100000000000001" customHeight="1" thickTop="1">
      <c r="A2660" s="226" t="s">
        <v>8661</v>
      </c>
      <c r="B2660" s="28">
        <v>45950</v>
      </c>
      <c r="C2660" s="25">
        <v>61</v>
      </c>
      <c r="D2660" s="13" t="s">
        <v>2489</v>
      </c>
      <c r="E2660" s="228"/>
      <c r="F2660" s="109" t="s">
        <v>8678</v>
      </c>
      <c r="G2660" s="24" t="s">
        <v>3968</v>
      </c>
      <c r="H2660" s="230">
        <v>3.5</v>
      </c>
      <c r="I2660" s="220">
        <v>450000</v>
      </c>
      <c r="J2660" s="220">
        <f>I2660*0.1</f>
        <v>45000</v>
      </c>
      <c r="K2660" s="220">
        <f>13100+1310</f>
        <v>14410</v>
      </c>
      <c r="L2660" s="220">
        <v>11810</v>
      </c>
      <c r="M2660" s="220">
        <v>33000</v>
      </c>
      <c r="N2660" s="220">
        <f>SUM(I2660:M2661)</f>
        <v>554220</v>
      </c>
      <c r="O2660" s="224"/>
      <c r="P2660" s="110" t="s">
        <v>13953</v>
      </c>
      <c r="Q2660" s="15" t="s">
        <v>19</v>
      </c>
      <c r="R2660" s="205"/>
      <c r="S2660" s="189" t="s">
        <v>25542</v>
      </c>
      <c r="T2660" s="114"/>
      <c r="U2660" s="21"/>
      <c r="V2660" s="115">
        <v>46015</v>
      </c>
      <c r="W2660" s="116">
        <v>998</v>
      </c>
      <c r="X2660" s="220">
        <v>545000</v>
      </c>
      <c r="Y2660" s="220">
        <f>X2660*0.1</f>
        <v>54500</v>
      </c>
      <c r="Z2660" s="220">
        <v>11810</v>
      </c>
      <c r="AA2660" s="220">
        <f>SUM(X2660:Z2660)</f>
        <v>611310</v>
      </c>
      <c r="AB2660" s="222">
        <v>46028</v>
      </c>
    </row>
    <row r="2661" spans="1:28" ht="17.100000000000001" customHeight="1" thickBot="1">
      <c r="A2661" s="227"/>
      <c r="B2661" s="27" t="s">
        <v>4468</v>
      </c>
      <c r="C2661" s="27">
        <v>1026</v>
      </c>
      <c r="D2661" s="14" t="s">
        <v>273</v>
      </c>
      <c r="E2661" s="229"/>
      <c r="F2661" s="117" t="s">
        <v>8670</v>
      </c>
      <c r="G2661" s="26">
        <v>77792</v>
      </c>
      <c r="H2661" s="231"/>
      <c r="I2661" s="221"/>
      <c r="J2661" s="221"/>
      <c r="K2661" s="221"/>
      <c r="L2661" s="221"/>
      <c r="M2661" s="221"/>
      <c r="N2661" s="221"/>
      <c r="O2661" s="225"/>
      <c r="P2661" s="118" t="s">
        <v>13954</v>
      </c>
      <c r="Q2661" s="16" t="s">
        <v>20</v>
      </c>
      <c r="R2661" s="17" t="s">
        <v>3432</v>
      </c>
      <c r="S2661" s="121" t="s">
        <v>13955</v>
      </c>
      <c r="T2661" s="122"/>
      <c r="U2661" s="22"/>
      <c r="V2661" s="123" t="s">
        <v>2747</v>
      </c>
      <c r="W2661" s="122">
        <v>1069</v>
      </c>
      <c r="X2661" s="221"/>
      <c r="Y2661" s="221"/>
      <c r="Z2661" s="221"/>
      <c r="AA2661" s="221"/>
      <c r="AB2661" s="223"/>
    </row>
    <row r="2662" spans="1:28" ht="17.100000000000001" customHeight="1" thickTop="1">
      <c r="A2662" s="226" t="s">
        <v>8662</v>
      </c>
      <c r="B2662" s="28">
        <v>45950</v>
      </c>
      <c r="C2662" s="25">
        <v>61</v>
      </c>
      <c r="D2662" s="13" t="s">
        <v>1702</v>
      </c>
      <c r="E2662" s="228"/>
      <c r="F2662" s="109" t="s">
        <v>5449</v>
      </c>
      <c r="G2662" s="24" t="s">
        <v>2813</v>
      </c>
      <c r="H2662" s="230">
        <v>4</v>
      </c>
      <c r="I2662" s="220">
        <v>1595000</v>
      </c>
      <c r="J2662" s="220">
        <f>I2662*0.1</f>
        <v>159500</v>
      </c>
      <c r="K2662" s="220">
        <f>14300+1430</f>
        <v>15730</v>
      </c>
      <c r="L2662" s="220">
        <v>10230</v>
      </c>
      <c r="M2662" s="220">
        <v>44000</v>
      </c>
      <c r="N2662" s="220">
        <f>SUM(I2662:M2663)</f>
        <v>1824460</v>
      </c>
      <c r="O2662" s="224"/>
      <c r="P2662" s="110" t="s">
        <v>9692</v>
      </c>
      <c r="Q2662" s="15" t="s">
        <v>19</v>
      </c>
      <c r="R2662" s="205"/>
      <c r="S2662" s="189" t="s">
        <v>25543</v>
      </c>
      <c r="T2662" s="114"/>
      <c r="U2662" s="21"/>
      <c r="V2662" s="115">
        <v>45976</v>
      </c>
      <c r="W2662" s="116">
        <v>1276</v>
      </c>
      <c r="X2662" s="220">
        <v>1680000</v>
      </c>
      <c r="Y2662" s="220">
        <f>X2662*0.1</f>
        <v>168000</v>
      </c>
      <c r="Z2662" s="220">
        <v>10290</v>
      </c>
      <c r="AA2662" s="220">
        <f>SUM(X2662:Z2662)</f>
        <v>1858290</v>
      </c>
      <c r="AB2662" s="222">
        <v>45981</v>
      </c>
    </row>
    <row r="2663" spans="1:28" ht="17.100000000000001" customHeight="1" thickBot="1">
      <c r="A2663" s="227"/>
      <c r="B2663" s="27" t="s">
        <v>4468</v>
      </c>
      <c r="C2663" s="27">
        <v>1027</v>
      </c>
      <c r="D2663" s="14" t="s">
        <v>3955</v>
      </c>
      <c r="E2663" s="229"/>
      <c r="F2663" s="117" t="s">
        <v>8671</v>
      </c>
      <c r="G2663" s="26">
        <v>46947</v>
      </c>
      <c r="H2663" s="231"/>
      <c r="I2663" s="221"/>
      <c r="J2663" s="221"/>
      <c r="K2663" s="221"/>
      <c r="L2663" s="221"/>
      <c r="M2663" s="221"/>
      <c r="N2663" s="221"/>
      <c r="O2663" s="225"/>
      <c r="P2663" s="118" t="s">
        <v>9693</v>
      </c>
      <c r="Q2663" s="16" t="s">
        <v>20</v>
      </c>
      <c r="R2663" s="17" t="s">
        <v>9666</v>
      </c>
      <c r="S2663" s="121" t="s">
        <v>10516</v>
      </c>
      <c r="T2663" s="122"/>
      <c r="U2663" s="22"/>
      <c r="V2663" s="123" t="s">
        <v>2472</v>
      </c>
      <c r="W2663" s="122">
        <v>37499</v>
      </c>
      <c r="X2663" s="221"/>
      <c r="Y2663" s="221"/>
      <c r="Z2663" s="221"/>
      <c r="AA2663" s="221"/>
      <c r="AB2663" s="223"/>
    </row>
    <row r="2664" spans="1:28" ht="17.100000000000001" customHeight="1" thickTop="1">
      <c r="A2664" s="226" t="s">
        <v>8663</v>
      </c>
      <c r="B2664" s="28">
        <v>45950</v>
      </c>
      <c r="C2664" s="25">
        <v>61</v>
      </c>
      <c r="D2664" s="13" t="s">
        <v>1883</v>
      </c>
      <c r="E2664" s="228"/>
      <c r="F2664" s="109" t="s">
        <v>8679</v>
      </c>
      <c r="G2664" s="24" t="s">
        <v>2813</v>
      </c>
      <c r="H2664" s="230">
        <v>4.5</v>
      </c>
      <c r="I2664" s="220">
        <v>1285000</v>
      </c>
      <c r="J2664" s="220">
        <f>I2664*0.1</f>
        <v>128500</v>
      </c>
      <c r="K2664" s="220">
        <v>0</v>
      </c>
      <c r="L2664" s="220">
        <v>6830</v>
      </c>
      <c r="M2664" s="220">
        <v>44000</v>
      </c>
      <c r="N2664" s="220">
        <f>SUM(I2664:M2665)</f>
        <v>1464330</v>
      </c>
      <c r="O2664" s="224"/>
      <c r="P2664" s="110" t="s">
        <v>9688</v>
      </c>
      <c r="Q2664" s="15" t="s">
        <v>19</v>
      </c>
      <c r="R2664" s="205"/>
      <c r="S2664" s="189" t="s">
        <v>25541</v>
      </c>
      <c r="T2664" s="114"/>
      <c r="U2664" s="85" t="s">
        <v>9688</v>
      </c>
      <c r="V2664" s="115">
        <v>45972</v>
      </c>
      <c r="W2664" s="116">
        <v>1917</v>
      </c>
      <c r="X2664" s="220">
        <v>1293000</v>
      </c>
      <c r="Y2664" s="220">
        <f>X2664*0.1</f>
        <v>129300</v>
      </c>
      <c r="Z2664" s="220">
        <v>6830</v>
      </c>
      <c r="AA2664" s="220">
        <f>SUM(X2664:Z2664)</f>
        <v>1429130</v>
      </c>
      <c r="AB2664" s="222"/>
    </row>
    <row r="2665" spans="1:28" ht="17.100000000000001" customHeight="1" thickBot="1">
      <c r="A2665" s="227"/>
      <c r="B2665" s="27" t="s">
        <v>4468</v>
      </c>
      <c r="C2665" s="27">
        <v>1029</v>
      </c>
      <c r="D2665" s="14" t="s">
        <v>1568</v>
      </c>
      <c r="E2665" s="229"/>
      <c r="F2665" s="117" t="s">
        <v>8672</v>
      </c>
      <c r="G2665" s="26">
        <v>31746</v>
      </c>
      <c r="H2665" s="231"/>
      <c r="I2665" s="221"/>
      <c r="J2665" s="221"/>
      <c r="K2665" s="221"/>
      <c r="L2665" s="221"/>
      <c r="M2665" s="221"/>
      <c r="N2665" s="221"/>
      <c r="O2665" s="225"/>
      <c r="P2665" s="118" t="s">
        <v>9689</v>
      </c>
      <c r="Q2665" s="16" t="s">
        <v>20</v>
      </c>
      <c r="R2665" s="17" t="s">
        <v>9666</v>
      </c>
      <c r="S2665" s="121" t="s">
        <v>1731</v>
      </c>
      <c r="T2665" s="122"/>
      <c r="U2665" s="22"/>
      <c r="V2665" s="123" t="s">
        <v>2103</v>
      </c>
      <c r="W2665" s="122">
        <v>3177</v>
      </c>
      <c r="X2665" s="221"/>
      <c r="Y2665" s="221"/>
      <c r="Z2665" s="221"/>
      <c r="AA2665" s="221"/>
      <c r="AB2665" s="223"/>
    </row>
    <row r="2666" spans="1:28" ht="17.100000000000001" customHeight="1" thickTop="1">
      <c r="A2666" s="226" t="s">
        <v>8664</v>
      </c>
      <c r="B2666" s="28">
        <v>45950</v>
      </c>
      <c r="C2666" s="25">
        <v>61</v>
      </c>
      <c r="D2666" s="13" t="s">
        <v>1883</v>
      </c>
      <c r="E2666" s="228"/>
      <c r="F2666" s="109" t="s">
        <v>8680</v>
      </c>
      <c r="G2666" s="24" t="s">
        <v>2813</v>
      </c>
      <c r="H2666" s="230">
        <v>4.5</v>
      </c>
      <c r="I2666" s="220">
        <v>2030000</v>
      </c>
      <c r="J2666" s="220">
        <f>I2666*0.1</f>
        <v>203000</v>
      </c>
      <c r="K2666" s="220">
        <f>10100+1010</f>
        <v>11110</v>
      </c>
      <c r="L2666" s="220">
        <v>8340</v>
      </c>
      <c r="M2666" s="220">
        <v>66000</v>
      </c>
      <c r="N2666" s="220">
        <f>SUM(I2666:M2667)</f>
        <v>2318450</v>
      </c>
      <c r="O2666" s="224"/>
      <c r="P2666" s="110" t="s">
        <v>11226</v>
      </c>
      <c r="Q2666" s="15" t="s">
        <v>19</v>
      </c>
      <c r="R2666" s="205"/>
      <c r="S2666" s="189" t="s">
        <v>25541</v>
      </c>
      <c r="T2666" s="114"/>
      <c r="U2666" s="21"/>
      <c r="V2666" s="115">
        <v>45976</v>
      </c>
      <c r="W2666" s="116">
        <v>1276</v>
      </c>
      <c r="X2666" s="220">
        <v>2055000</v>
      </c>
      <c r="Y2666" s="220">
        <f>X2666*0.1</f>
        <v>205500</v>
      </c>
      <c r="Z2666" s="220">
        <v>8340</v>
      </c>
      <c r="AA2666" s="220">
        <f>SUM(X2666:Z2666)</f>
        <v>2268840</v>
      </c>
      <c r="AB2666" s="222">
        <v>45986</v>
      </c>
    </row>
    <row r="2667" spans="1:28" ht="17.100000000000001" customHeight="1" thickBot="1">
      <c r="A2667" s="227"/>
      <c r="B2667" s="27" t="s">
        <v>4468</v>
      </c>
      <c r="C2667" s="27">
        <v>1045</v>
      </c>
      <c r="D2667" s="14" t="s">
        <v>2559</v>
      </c>
      <c r="E2667" s="229"/>
      <c r="F2667" s="117" t="s">
        <v>8673</v>
      </c>
      <c r="G2667" s="26">
        <v>45074</v>
      </c>
      <c r="H2667" s="231"/>
      <c r="I2667" s="221"/>
      <c r="J2667" s="221"/>
      <c r="K2667" s="221"/>
      <c r="L2667" s="221"/>
      <c r="M2667" s="221"/>
      <c r="N2667" s="221"/>
      <c r="O2667" s="225"/>
      <c r="P2667" s="118" t="s">
        <v>9505</v>
      </c>
      <c r="Q2667" s="16" t="s">
        <v>20</v>
      </c>
      <c r="R2667" s="17" t="s">
        <v>2188</v>
      </c>
      <c r="S2667" s="121" t="s">
        <v>1731</v>
      </c>
      <c r="T2667" s="122"/>
      <c r="U2667" s="22"/>
      <c r="V2667" s="123" t="s">
        <v>10781</v>
      </c>
      <c r="W2667" s="122">
        <v>37754</v>
      </c>
      <c r="X2667" s="221"/>
      <c r="Y2667" s="221"/>
      <c r="Z2667" s="221"/>
      <c r="AA2667" s="221"/>
      <c r="AB2667" s="223"/>
    </row>
    <row r="2668" spans="1:28" ht="17.100000000000001" customHeight="1" thickTop="1">
      <c r="A2668" s="226" t="s">
        <v>8665</v>
      </c>
      <c r="B2668" s="28">
        <v>45950</v>
      </c>
      <c r="C2668" s="25">
        <v>61</v>
      </c>
      <c r="D2668" s="13" t="s">
        <v>2892</v>
      </c>
      <c r="E2668" s="228"/>
      <c r="F2668" s="109" t="s">
        <v>8681</v>
      </c>
      <c r="G2668" s="24" t="s">
        <v>2894</v>
      </c>
      <c r="H2668" s="230">
        <v>4.5</v>
      </c>
      <c r="I2668" s="220">
        <v>705000</v>
      </c>
      <c r="J2668" s="220">
        <f>I2668*0.1</f>
        <v>70500</v>
      </c>
      <c r="K2668" s="220">
        <v>0</v>
      </c>
      <c r="L2668" s="220">
        <v>8550</v>
      </c>
      <c r="M2668" s="220">
        <v>33000</v>
      </c>
      <c r="N2668" s="220">
        <f>SUM(I2668:M2669)</f>
        <v>817050</v>
      </c>
      <c r="O2668" s="224"/>
      <c r="P2668" s="110" t="s">
        <v>10459</v>
      </c>
      <c r="Q2668" s="15" t="s">
        <v>19</v>
      </c>
      <c r="R2668" s="205"/>
      <c r="S2668" s="189" t="s">
        <v>25544</v>
      </c>
      <c r="T2668" s="114"/>
      <c r="U2668" s="21" t="s">
        <v>11556</v>
      </c>
      <c r="V2668" s="115">
        <v>45997</v>
      </c>
      <c r="W2668" s="116">
        <v>1279</v>
      </c>
      <c r="X2668" s="220">
        <v>820000</v>
      </c>
      <c r="Y2668" s="220">
        <f>X2668*0.1</f>
        <v>82000</v>
      </c>
      <c r="Z2668" s="220">
        <v>8550</v>
      </c>
      <c r="AA2668" s="220">
        <f>SUM(X2668:Z2668)</f>
        <v>910550</v>
      </c>
      <c r="AB2668" s="222">
        <v>46000</v>
      </c>
    </row>
    <row r="2669" spans="1:28" ht="17.100000000000001" customHeight="1" thickBot="1">
      <c r="A2669" s="227"/>
      <c r="B2669" s="27" t="s">
        <v>4468</v>
      </c>
      <c r="C2669" s="27">
        <v>1062</v>
      </c>
      <c r="D2669" s="14" t="s">
        <v>898</v>
      </c>
      <c r="E2669" s="229"/>
      <c r="F2669" s="117" t="s">
        <v>8674</v>
      </c>
      <c r="G2669" s="26">
        <v>41970</v>
      </c>
      <c r="H2669" s="231"/>
      <c r="I2669" s="221"/>
      <c r="J2669" s="221"/>
      <c r="K2669" s="221"/>
      <c r="L2669" s="221"/>
      <c r="M2669" s="221"/>
      <c r="N2669" s="221"/>
      <c r="O2669" s="225"/>
      <c r="P2669" s="118" t="s">
        <v>3349</v>
      </c>
      <c r="Q2669" s="16" t="s">
        <v>20</v>
      </c>
      <c r="R2669" s="17" t="s">
        <v>10387</v>
      </c>
      <c r="S2669" s="121" t="s">
        <v>10460</v>
      </c>
      <c r="T2669" s="122"/>
      <c r="U2669" s="22"/>
      <c r="V2669" s="123" t="s">
        <v>2472</v>
      </c>
      <c r="W2669" s="122">
        <v>60061</v>
      </c>
      <c r="X2669" s="221"/>
      <c r="Y2669" s="221"/>
      <c r="Z2669" s="221"/>
      <c r="AA2669" s="221"/>
      <c r="AB2669" s="223"/>
    </row>
    <row r="2670" spans="1:28" ht="17.100000000000001" customHeight="1" thickTop="1">
      <c r="A2670" s="226" t="s">
        <v>8666</v>
      </c>
      <c r="B2670" s="28">
        <v>45950</v>
      </c>
      <c r="C2670" s="25">
        <v>61</v>
      </c>
      <c r="D2670" s="13" t="s">
        <v>1983</v>
      </c>
      <c r="E2670" s="228"/>
      <c r="F2670" s="109" t="s">
        <v>8682</v>
      </c>
      <c r="G2670" s="24" t="s">
        <v>2038</v>
      </c>
      <c r="H2670" s="230">
        <v>4.5</v>
      </c>
      <c r="I2670" s="220">
        <v>2365000</v>
      </c>
      <c r="J2670" s="220">
        <f>I2670*0.1</f>
        <v>236500</v>
      </c>
      <c r="K2670" s="220">
        <f>12700+1270</f>
        <v>13970</v>
      </c>
      <c r="L2670" s="220">
        <v>11650</v>
      </c>
      <c r="M2670" s="220">
        <v>66000</v>
      </c>
      <c r="N2670" s="220">
        <f>SUM(I2670:M2671)</f>
        <v>2693120</v>
      </c>
      <c r="O2670" s="224"/>
      <c r="P2670" s="110" t="s">
        <v>10461</v>
      </c>
      <c r="Q2670" s="15" t="s">
        <v>19</v>
      </c>
      <c r="R2670" s="205"/>
      <c r="S2670" s="189" t="s">
        <v>25543</v>
      </c>
      <c r="T2670" s="114"/>
      <c r="U2670" s="21"/>
      <c r="V2670" s="115">
        <v>45976</v>
      </c>
      <c r="W2670" s="116">
        <v>1276</v>
      </c>
      <c r="X2670" s="220">
        <v>2460000</v>
      </c>
      <c r="Y2670" s="220">
        <f>X2670*0.1</f>
        <v>246000</v>
      </c>
      <c r="Z2670" s="220">
        <v>11650</v>
      </c>
      <c r="AA2670" s="220">
        <f>SUM(X2670:Z2670)</f>
        <v>2717650</v>
      </c>
      <c r="AB2670" s="222">
        <v>45981</v>
      </c>
    </row>
    <row r="2671" spans="1:28" ht="17.100000000000001" customHeight="1" thickBot="1">
      <c r="A2671" s="227"/>
      <c r="B2671" s="27" t="s">
        <v>4468</v>
      </c>
      <c r="C2671" s="27">
        <v>1080</v>
      </c>
      <c r="D2671" s="14" t="s">
        <v>131</v>
      </c>
      <c r="E2671" s="229"/>
      <c r="F2671" s="117" t="s">
        <v>8675</v>
      </c>
      <c r="G2671" s="26">
        <v>23770</v>
      </c>
      <c r="H2671" s="231"/>
      <c r="I2671" s="221"/>
      <c r="J2671" s="221"/>
      <c r="K2671" s="221"/>
      <c r="L2671" s="221"/>
      <c r="M2671" s="221"/>
      <c r="N2671" s="221"/>
      <c r="O2671" s="225"/>
      <c r="P2671" s="118" t="s">
        <v>10462</v>
      </c>
      <c r="Q2671" s="16" t="s">
        <v>20</v>
      </c>
      <c r="R2671" s="17" t="s">
        <v>10387</v>
      </c>
      <c r="S2671" s="121" t="s">
        <v>10460</v>
      </c>
      <c r="T2671" s="122"/>
      <c r="U2671" s="22"/>
      <c r="V2671" s="123" t="s">
        <v>10781</v>
      </c>
      <c r="W2671" s="122">
        <v>37276</v>
      </c>
      <c r="X2671" s="221"/>
      <c r="Y2671" s="221"/>
      <c r="Z2671" s="221"/>
      <c r="AA2671" s="221"/>
      <c r="AB2671" s="223"/>
    </row>
    <row r="2672" spans="1:28" ht="17.100000000000001" customHeight="1" thickTop="1">
      <c r="A2672" s="226" t="s">
        <v>8667</v>
      </c>
      <c r="B2672" s="28">
        <v>45950</v>
      </c>
      <c r="C2672" s="25">
        <v>61</v>
      </c>
      <c r="D2672" s="13" t="s">
        <v>2637</v>
      </c>
      <c r="E2672" s="228"/>
      <c r="F2672" s="109" t="s">
        <v>7868</v>
      </c>
      <c r="G2672" s="24" t="s">
        <v>2038</v>
      </c>
      <c r="H2672" s="230">
        <v>5</v>
      </c>
      <c r="I2672" s="220">
        <v>1330000</v>
      </c>
      <c r="J2672" s="220">
        <f>I2672*0.1</f>
        <v>133000</v>
      </c>
      <c r="K2672" s="220">
        <v>0</v>
      </c>
      <c r="L2672" s="220">
        <v>8740</v>
      </c>
      <c r="M2672" s="220">
        <v>44000</v>
      </c>
      <c r="N2672" s="220">
        <f>SUM(I2672:M2673)</f>
        <v>1515740</v>
      </c>
      <c r="O2672" s="224"/>
      <c r="P2672" s="110" t="s">
        <v>11747</v>
      </c>
      <c r="Q2672" s="15" t="s">
        <v>19</v>
      </c>
      <c r="R2672" s="205"/>
      <c r="S2672" s="189" t="s">
        <v>25541</v>
      </c>
      <c r="T2672" s="114"/>
      <c r="U2672" s="85" t="s">
        <v>11747</v>
      </c>
      <c r="V2672" s="115">
        <v>45993</v>
      </c>
      <c r="W2672" s="116">
        <v>1920</v>
      </c>
      <c r="X2672" s="220">
        <v>1472000</v>
      </c>
      <c r="Y2672" s="220">
        <f>X2672*0.1</f>
        <v>147200</v>
      </c>
      <c r="Z2672" s="220">
        <v>8740</v>
      </c>
      <c r="AA2672" s="220">
        <f>SUM(X2672:Z2672)</f>
        <v>1627940</v>
      </c>
      <c r="AB2672" s="222"/>
    </row>
    <row r="2673" spans="1:28" ht="17.100000000000001" customHeight="1" thickBot="1">
      <c r="A2673" s="227"/>
      <c r="B2673" s="27" t="s">
        <v>4468</v>
      </c>
      <c r="C2673" s="27">
        <v>2017</v>
      </c>
      <c r="D2673" s="14" t="s">
        <v>2559</v>
      </c>
      <c r="E2673" s="229"/>
      <c r="F2673" s="117" t="s">
        <v>8676</v>
      </c>
      <c r="G2673" s="26">
        <v>17585</v>
      </c>
      <c r="H2673" s="231"/>
      <c r="I2673" s="221"/>
      <c r="J2673" s="221"/>
      <c r="K2673" s="221"/>
      <c r="L2673" s="221"/>
      <c r="M2673" s="221"/>
      <c r="N2673" s="221"/>
      <c r="O2673" s="225"/>
      <c r="P2673" s="118" t="s">
        <v>11748</v>
      </c>
      <c r="Q2673" s="16" t="s">
        <v>20</v>
      </c>
      <c r="R2673" s="17" t="s">
        <v>11749</v>
      </c>
      <c r="S2673" s="121" t="s">
        <v>1731</v>
      </c>
      <c r="T2673" s="122"/>
      <c r="U2673" s="22"/>
      <c r="V2673" s="123" t="s">
        <v>2103</v>
      </c>
      <c r="W2673" s="122">
        <v>3199</v>
      </c>
      <c r="X2673" s="221"/>
      <c r="Y2673" s="221"/>
      <c r="Z2673" s="221"/>
      <c r="AA2673" s="221"/>
      <c r="AB2673" s="223"/>
    </row>
    <row r="2674" spans="1:28" ht="17.100000000000001" customHeight="1" thickTop="1">
      <c r="A2674" s="233" t="s">
        <v>8668</v>
      </c>
      <c r="B2674" s="28">
        <v>45950</v>
      </c>
      <c r="C2674" s="25">
        <v>61</v>
      </c>
      <c r="D2674" s="13" t="s">
        <v>1824</v>
      </c>
      <c r="E2674" s="228"/>
      <c r="F2674" s="109" t="s">
        <v>8683</v>
      </c>
      <c r="G2674" s="24" t="s">
        <v>2084</v>
      </c>
      <c r="H2674" s="230">
        <v>4</v>
      </c>
      <c r="I2674" s="220">
        <v>1285000</v>
      </c>
      <c r="J2674" s="220">
        <f>I2674*0.1</f>
        <v>128500</v>
      </c>
      <c r="K2674" s="220">
        <f>9800+980</f>
        <v>10780</v>
      </c>
      <c r="L2674" s="220">
        <v>13600</v>
      </c>
      <c r="M2674" s="220">
        <v>44000</v>
      </c>
      <c r="N2674" s="220">
        <f>SUM(I2674:M2675)</f>
        <v>1481880</v>
      </c>
      <c r="O2674" s="224"/>
      <c r="P2674" s="110" t="s">
        <v>14122</v>
      </c>
      <c r="Q2674" s="15" t="s">
        <v>19</v>
      </c>
      <c r="R2674" s="205"/>
      <c r="S2674" s="189" t="s">
        <v>25545</v>
      </c>
      <c r="T2674" s="114"/>
      <c r="U2674" s="21"/>
      <c r="V2674" s="115">
        <v>46032</v>
      </c>
      <c r="W2674" s="116">
        <v>1283</v>
      </c>
      <c r="X2674" s="220">
        <v>1405000</v>
      </c>
      <c r="Y2674" s="220">
        <f>X2674*0.1</f>
        <v>140500</v>
      </c>
      <c r="Z2674" s="220">
        <v>13600</v>
      </c>
      <c r="AA2674" s="220">
        <f>SUM(X2674:Z2674)</f>
        <v>1559100</v>
      </c>
      <c r="AB2674" s="222">
        <v>46036</v>
      </c>
    </row>
    <row r="2675" spans="1:28" ht="17.100000000000001" customHeight="1" thickBot="1">
      <c r="A2675" s="234"/>
      <c r="B2675" s="27" t="s">
        <v>4468</v>
      </c>
      <c r="C2675" s="27">
        <v>2022</v>
      </c>
      <c r="D2675" s="14" t="s">
        <v>2559</v>
      </c>
      <c r="E2675" s="229"/>
      <c r="F2675" s="117" t="s">
        <v>8677</v>
      </c>
      <c r="G2675" s="26">
        <v>59177</v>
      </c>
      <c r="H2675" s="231"/>
      <c r="I2675" s="221"/>
      <c r="J2675" s="221"/>
      <c r="K2675" s="221"/>
      <c r="L2675" s="221"/>
      <c r="M2675" s="221"/>
      <c r="N2675" s="221"/>
      <c r="O2675" s="225"/>
      <c r="P2675" s="118" t="s">
        <v>14123</v>
      </c>
      <c r="Q2675" s="16" t="s">
        <v>20</v>
      </c>
      <c r="R2675" s="17" t="s">
        <v>14101</v>
      </c>
      <c r="S2675" s="121" t="s">
        <v>14124</v>
      </c>
      <c r="T2675" s="122"/>
      <c r="U2675" s="22"/>
      <c r="V2675" s="123" t="s">
        <v>2472</v>
      </c>
      <c r="W2675" s="122">
        <v>37652</v>
      </c>
      <c r="X2675" s="221"/>
      <c r="Y2675" s="221"/>
      <c r="Z2675" s="221"/>
      <c r="AA2675" s="221"/>
      <c r="AB2675" s="223"/>
    </row>
    <row r="2676" spans="1:28" ht="17.100000000000001" customHeight="1" thickTop="1">
      <c r="A2676" s="226" t="s">
        <v>8714</v>
      </c>
      <c r="B2676" s="28">
        <v>45950</v>
      </c>
      <c r="C2676" s="25">
        <v>2065</v>
      </c>
      <c r="D2676" s="13" t="s">
        <v>2033</v>
      </c>
      <c r="E2676" s="228"/>
      <c r="F2676" s="109" t="s">
        <v>8711</v>
      </c>
      <c r="G2676" s="24" t="s">
        <v>2926</v>
      </c>
      <c r="H2676" s="230">
        <v>4</v>
      </c>
      <c r="I2676" s="220">
        <v>935000</v>
      </c>
      <c r="J2676" s="220">
        <f>I2676*0.1</f>
        <v>93500</v>
      </c>
      <c r="K2676" s="220">
        <f>16400+1640</f>
        <v>18040</v>
      </c>
      <c r="L2676" s="220">
        <v>23940</v>
      </c>
      <c r="M2676" s="220">
        <v>11000</v>
      </c>
      <c r="N2676" s="220">
        <f>SUM(I2676:M2677)</f>
        <v>1081480</v>
      </c>
      <c r="O2676" s="224"/>
      <c r="P2676" s="110" t="s">
        <v>8713</v>
      </c>
      <c r="Q2676" s="15" t="s">
        <v>19</v>
      </c>
      <c r="R2676" s="205"/>
      <c r="S2676" s="189" t="s">
        <v>1271</v>
      </c>
      <c r="T2676" s="114"/>
      <c r="U2676" s="21" t="s">
        <v>10189</v>
      </c>
      <c r="V2676" s="115">
        <v>45983</v>
      </c>
      <c r="W2676" s="116">
        <v>1277</v>
      </c>
      <c r="X2676" s="220">
        <v>1060000</v>
      </c>
      <c r="Y2676" s="220">
        <f>X2676*0.1</f>
        <v>106000</v>
      </c>
      <c r="Z2676" s="220">
        <v>23940</v>
      </c>
      <c r="AA2676" s="220">
        <f>SUM(X2676:Z2676)</f>
        <v>1189940</v>
      </c>
      <c r="AB2676" s="222">
        <v>45987</v>
      </c>
    </row>
    <row r="2677" spans="1:28" ht="17.100000000000001" customHeight="1" thickBot="1">
      <c r="A2677" s="227"/>
      <c r="B2677" s="27" t="s">
        <v>82</v>
      </c>
      <c r="C2677" s="27">
        <v>32025</v>
      </c>
      <c r="D2677" s="14" t="s">
        <v>273</v>
      </c>
      <c r="E2677" s="229"/>
      <c r="F2677" s="117" t="s">
        <v>8712</v>
      </c>
      <c r="G2677" s="26">
        <v>64342</v>
      </c>
      <c r="H2677" s="231"/>
      <c r="I2677" s="221"/>
      <c r="J2677" s="221"/>
      <c r="K2677" s="221"/>
      <c r="L2677" s="221"/>
      <c r="M2677" s="221"/>
      <c r="N2677" s="221"/>
      <c r="O2677" s="225"/>
      <c r="P2677" s="118" t="s">
        <v>8949</v>
      </c>
      <c r="Q2677" s="16" t="s">
        <v>20</v>
      </c>
      <c r="R2677" s="17" t="s">
        <v>8783</v>
      </c>
      <c r="S2677" s="121" t="s">
        <v>1731</v>
      </c>
      <c r="T2677" s="122"/>
      <c r="U2677" s="22"/>
      <c r="V2677" s="123" t="s">
        <v>2472</v>
      </c>
      <c r="W2677" s="122">
        <v>80247</v>
      </c>
      <c r="X2677" s="221"/>
      <c r="Y2677" s="221"/>
      <c r="Z2677" s="221"/>
      <c r="AA2677" s="221"/>
      <c r="AB2677" s="223"/>
    </row>
    <row r="2678" spans="1:28" ht="17.100000000000001" customHeight="1" thickTop="1">
      <c r="A2678" s="226" t="s">
        <v>8715</v>
      </c>
      <c r="B2678" s="28">
        <v>45950</v>
      </c>
      <c r="C2678" s="25">
        <v>2065</v>
      </c>
      <c r="D2678" s="13" t="s">
        <v>1589</v>
      </c>
      <c r="E2678" s="228"/>
      <c r="F2678" s="109" t="s">
        <v>8684</v>
      </c>
      <c r="G2678" s="24"/>
      <c r="H2678" s="230">
        <v>4</v>
      </c>
      <c r="I2678" s="220">
        <v>940000</v>
      </c>
      <c r="J2678" s="220">
        <f>I2678*0.1</f>
        <v>94000</v>
      </c>
      <c r="K2678" s="220">
        <v>0</v>
      </c>
      <c r="L2678" s="220">
        <v>16580</v>
      </c>
      <c r="M2678" s="220">
        <v>11000</v>
      </c>
      <c r="N2678" s="220">
        <f>SUM(I2678:M2679)</f>
        <v>1061580</v>
      </c>
      <c r="O2678" s="224"/>
      <c r="P2678" s="110" t="s">
        <v>9379</v>
      </c>
      <c r="Q2678" s="15" t="s">
        <v>19</v>
      </c>
      <c r="R2678" s="205"/>
      <c r="S2678" s="189" t="s">
        <v>25431</v>
      </c>
      <c r="T2678" s="114"/>
      <c r="U2678" s="21"/>
      <c r="V2678" s="115">
        <v>45976</v>
      </c>
      <c r="W2678" s="116">
        <v>1276</v>
      </c>
      <c r="X2678" s="220">
        <v>1050000</v>
      </c>
      <c r="Y2678" s="220">
        <f>X2678*0.1</f>
        <v>105000</v>
      </c>
      <c r="Z2678" s="220">
        <v>16580</v>
      </c>
      <c r="AA2678" s="220">
        <f>SUM(X2678:Z2678)</f>
        <v>1171580</v>
      </c>
      <c r="AB2678" s="222">
        <v>45979</v>
      </c>
    </row>
    <row r="2679" spans="1:28" ht="17.100000000000001" customHeight="1" thickBot="1">
      <c r="A2679" s="227"/>
      <c r="B2679" s="27" t="s">
        <v>82</v>
      </c>
      <c r="C2679" s="27">
        <v>34567</v>
      </c>
      <c r="D2679" s="14" t="s">
        <v>131</v>
      </c>
      <c r="E2679" s="229"/>
      <c r="F2679" s="117" t="s">
        <v>8685</v>
      </c>
      <c r="G2679" s="26">
        <v>30882</v>
      </c>
      <c r="H2679" s="231"/>
      <c r="I2679" s="221"/>
      <c r="J2679" s="221"/>
      <c r="K2679" s="221"/>
      <c r="L2679" s="221"/>
      <c r="M2679" s="221"/>
      <c r="N2679" s="221"/>
      <c r="O2679" s="225"/>
      <c r="P2679" s="118" t="s">
        <v>3989</v>
      </c>
      <c r="Q2679" s="16" t="s">
        <v>20</v>
      </c>
      <c r="R2679" s="17" t="s">
        <v>1665</v>
      </c>
      <c r="S2679" s="121" t="s">
        <v>2872</v>
      </c>
      <c r="T2679" s="122"/>
      <c r="U2679" s="22"/>
      <c r="V2679" s="123" t="s">
        <v>10781</v>
      </c>
      <c r="W2679" s="122">
        <v>80216</v>
      </c>
      <c r="X2679" s="221"/>
      <c r="Y2679" s="221"/>
      <c r="Z2679" s="221"/>
      <c r="AA2679" s="221"/>
      <c r="AB2679" s="223"/>
    </row>
    <row r="2680" spans="1:28" ht="17.100000000000001" customHeight="1" thickTop="1">
      <c r="A2680" s="226" t="s">
        <v>8716</v>
      </c>
      <c r="B2680" s="28">
        <v>45950</v>
      </c>
      <c r="C2680" s="25">
        <v>2065</v>
      </c>
      <c r="D2680" s="13" t="s">
        <v>4050</v>
      </c>
      <c r="E2680" s="228"/>
      <c r="F2680" s="109" t="s">
        <v>8686</v>
      </c>
      <c r="G2680" s="24"/>
      <c r="H2680" s="230">
        <v>4</v>
      </c>
      <c r="I2680" s="220">
        <v>1530000</v>
      </c>
      <c r="J2680" s="220">
        <f>I2680*0.1</f>
        <v>153000</v>
      </c>
      <c r="K2680" s="220">
        <v>0</v>
      </c>
      <c r="L2680" s="220">
        <v>18130</v>
      </c>
      <c r="M2680" s="220">
        <v>11000</v>
      </c>
      <c r="N2680" s="220">
        <f>SUM(I2680:M2681)</f>
        <v>1712130</v>
      </c>
      <c r="O2680" s="224"/>
      <c r="P2680" s="110" t="s">
        <v>8950</v>
      </c>
      <c r="Q2680" s="15" t="s">
        <v>19</v>
      </c>
      <c r="R2680" s="205"/>
      <c r="S2680" s="189" t="s">
        <v>25546</v>
      </c>
      <c r="T2680" s="114"/>
      <c r="U2680" s="21"/>
      <c r="V2680" s="115">
        <v>46053</v>
      </c>
      <c r="W2680" s="116">
        <v>1286</v>
      </c>
      <c r="X2680" s="220">
        <v>1600000</v>
      </c>
      <c r="Y2680" s="220">
        <f>X2680*0.1</f>
        <v>160000</v>
      </c>
      <c r="Z2680" s="220">
        <v>18130</v>
      </c>
      <c r="AA2680" s="220">
        <f>SUM(X2680:Z2680)</f>
        <v>1778130</v>
      </c>
      <c r="AB2680" s="222">
        <v>46058</v>
      </c>
    </row>
    <row r="2681" spans="1:28" ht="17.100000000000001" customHeight="1" thickBot="1">
      <c r="A2681" s="227"/>
      <c r="B2681" s="27" t="s">
        <v>82</v>
      </c>
      <c r="C2681" s="27">
        <v>36023</v>
      </c>
      <c r="D2681" s="14" t="s">
        <v>131</v>
      </c>
      <c r="E2681" s="229"/>
      <c r="F2681" s="117" t="s">
        <v>8687</v>
      </c>
      <c r="G2681" s="26">
        <v>51381</v>
      </c>
      <c r="H2681" s="231"/>
      <c r="I2681" s="221"/>
      <c r="J2681" s="221"/>
      <c r="K2681" s="221"/>
      <c r="L2681" s="221"/>
      <c r="M2681" s="221"/>
      <c r="N2681" s="221"/>
      <c r="O2681" s="225"/>
      <c r="P2681" s="118" t="s">
        <v>8951</v>
      </c>
      <c r="Q2681" s="16" t="s">
        <v>20</v>
      </c>
      <c r="R2681" s="17" t="s">
        <v>8783</v>
      </c>
      <c r="S2681" s="121" t="s">
        <v>9091</v>
      </c>
      <c r="T2681" s="122"/>
      <c r="U2681" s="22"/>
      <c r="V2681" s="123" t="s">
        <v>6641</v>
      </c>
      <c r="W2681" s="122">
        <v>80112</v>
      </c>
      <c r="X2681" s="221"/>
      <c r="Y2681" s="221"/>
      <c r="Z2681" s="221"/>
      <c r="AA2681" s="221"/>
      <c r="AB2681" s="223"/>
    </row>
    <row r="2682" spans="1:28" ht="17.100000000000001" customHeight="1" thickTop="1">
      <c r="A2682" s="226" t="s">
        <v>8717</v>
      </c>
      <c r="B2682" s="28">
        <v>45950</v>
      </c>
      <c r="C2682" s="25"/>
      <c r="D2682" s="13" t="s">
        <v>1846</v>
      </c>
      <c r="E2682" s="228"/>
      <c r="F2682" s="109" t="s">
        <v>4642</v>
      </c>
      <c r="G2682" s="24" t="s">
        <v>2894</v>
      </c>
      <c r="H2682" s="230">
        <v>3.5</v>
      </c>
      <c r="I2682" s="220">
        <v>792000</v>
      </c>
      <c r="J2682" s="220">
        <f>I2682*0.1</f>
        <v>79200</v>
      </c>
      <c r="K2682" s="220">
        <f>14300+1430</f>
        <v>15730</v>
      </c>
      <c r="L2682" s="220">
        <v>19090</v>
      </c>
      <c r="M2682" s="220">
        <v>14850</v>
      </c>
      <c r="N2682" s="220">
        <f>SUM(I2682:M2683)</f>
        <v>920870</v>
      </c>
      <c r="O2682" s="224"/>
      <c r="P2682" s="110" t="s">
        <v>8688</v>
      </c>
      <c r="Q2682" s="15" t="s">
        <v>19</v>
      </c>
      <c r="R2682" s="205"/>
      <c r="S2682" s="189"/>
      <c r="T2682" s="114"/>
      <c r="U2682" s="21"/>
      <c r="V2682" s="115">
        <v>45962</v>
      </c>
      <c r="W2682" s="116">
        <v>1274</v>
      </c>
      <c r="X2682" s="220">
        <v>940000</v>
      </c>
      <c r="Y2682" s="220">
        <f>X2682*0.1</f>
        <v>94000</v>
      </c>
      <c r="Z2682" s="220">
        <v>19090</v>
      </c>
      <c r="AA2682" s="220">
        <f>SUM(X2682:Z2682)</f>
        <v>1053090</v>
      </c>
      <c r="AB2682" s="222">
        <v>45965</v>
      </c>
    </row>
    <row r="2683" spans="1:28" ht="17.100000000000001" customHeight="1" thickBot="1">
      <c r="A2683" s="227"/>
      <c r="B2683" s="27" t="s">
        <v>2727</v>
      </c>
      <c r="C2683" s="27">
        <v>80030</v>
      </c>
      <c r="D2683" s="14" t="s">
        <v>3274</v>
      </c>
      <c r="E2683" s="229"/>
      <c r="F2683" s="117" t="s">
        <v>9148</v>
      </c>
      <c r="G2683" s="26">
        <v>58524</v>
      </c>
      <c r="H2683" s="231"/>
      <c r="I2683" s="221"/>
      <c r="J2683" s="221"/>
      <c r="K2683" s="221"/>
      <c r="L2683" s="221"/>
      <c r="M2683" s="221"/>
      <c r="N2683" s="221"/>
      <c r="O2683" s="225"/>
      <c r="P2683" s="118" t="s">
        <v>9149</v>
      </c>
      <c r="Q2683" s="16" t="s">
        <v>20</v>
      </c>
      <c r="R2683" s="17" t="s">
        <v>9093</v>
      </c>
      <c r="S2683" s="121" t="s">
        <v>9307</v>
      </c>
      <c r="T2683" s="122"/>
      <c r="U2683" s="22"/>
      <c r="V2683" s="123" t="s">
        <v>2472</v>
      </c>
      <c r="W2683" s="122">
        <v>80089</v>
      </c>
      <c r="X2683" s="221"/>
      <c r="Y2683" s="221"/>
      <c r="Z2683" s="221"/>
      <c r="AA2683" s="221"/>
      <c r="AB2683" s="223"/>
    </row>
    <row r="2684" spans="1:28" ht="17.100000000000001" customHeight="1" thickTop="1">
      <c r="A2684" s="226" t="s">
        <v>8718</v>
      </c>
      <c r="B2684" s="28">
        <v>45950</v>
      </c>
      <c r="C2684" s="25"/>
      <c r="D2684" s="13" t="s">
        <v>3857</v>
      </c>
      <c r="E2684" s="228"/>
      <c r="F2684" s="109" t="s">
        <v>8689</v>
      </c>
      <c r="G2684" s="24" t="s">
        <v>2494</v>
      </c>
      <c r="H2684" s="230">
        <v>4</v>
      </c>
      <c r="I2684" s="220">
        <v>751000</v>
      </c>
      <c r="J2684" s="220">
        <f>I2684*0.1</f>
        <v>75100</v>
      </c>
      <c r="K2684" s="220">
        <f>14300+1430</f>
        <v>15730</v>
      </c>
      <c r="L2684" s="220">
        <v>18390</v>
      </c>
      <c r="M2684" s="220">
        <v>14850</v>
      </c>
      <c r="N2684" s="220">
        <f>SUM(I2684:M2685)</f>
        <v>875070</v>
      </c>
      <c r="O2684" s="224"/>
      <c r="P2684" s="110" t="s">
        <v>8690</v>
      </c>
      <c r="Q2684" s="15" t="s">
        <v>19</v>
      </c>
      <c r="R2684" s="205"/>
      <c r="S2684" s="189"/>
      <c r="T2684" s="114"/>
      <c r="U2684" s="21"/>
      <c r="V2684" s="115">
        <v>45955</v>
      </c>
      <c r="W2684" s="116">
        <v>1273</v>
      </c>
      <c r="X2684" s="220">
        <v>840000</v>
      </c>
      <c r="Y2684" s="220">
        <f>X2684*0.1</f>
        <v>84000</v>
      </c>
      <c r="Z2684" s="220">
        <v>18390</v>
      </c>
      <c r="AA2684" s="220">
        <f>SUM(X2684:Z2684)</f>
        <v>942390</v>
      </c>
      <c r="AB2684" s="222">
        <v>45960</v>
      </c>
    </row>
    <row r="2685" spans="1:28" ht="17.100000000000001" customHeight="1" thickBot="1">
      <c r="A2685" s="227"/>
      <c r="B2685" s="27" t="s">
        <v>2727</v>
      </c>
      <c r="C2685" s="27">
        <v>80237</v>
      </c>
      <c r="D2685" s="14" t="s">
        <v>1710</v>
      </c>
      <c r="E2685" s="229"/>
      <c r="F2685" s="117" t="s">
        <v>9269</v>
      </c>
      <c r="G2685" s="26">
        <v>31068</v>
      </c>
      <c r="H2685" s="231"/>
      <c r="I2685" s="221"/>
      <c r="J2685" s="221"/>
      <c r="K2685" s="221"/>
      <c r="L2685" s="221"/>
      <c r="M2685" s="221"/>
      <c r="N2685" s="221"/>
      <c r="O2685" s="225"/>
      <c r="P2685" s="118" t="s">
        <v>9270</v>
      </c>
      <c r="Q2685" s="16" t="s">
        <v>20</v>
      </c>
      <c r="R2685" s="17" t="s">
        <v>3288</v>
      </c>
      <c r="S2685" s="121" t="s">
        <v>1680</v>
      </c>
      <c r="T2685" s="122"/>
      <c r="U2685" s="22"/>
      <c r="V2685" s="123" t="s">
        <v>2472</v>
      </c>
      <c r="W2685" s="122">
        <v>80081</v>
      </c>
      <c r="X2685" s="221"/>
      <c r="Y2685" s="221"/>
      <c r="Z2685" s="221"/>
      <c r="AA2685" s="221"/>
      <c r="AB2685" s="223"/>
    </row>
    <row r="2686" spans="1:28" ht="17.100000000000001" customHeight="1" thickTop="1">
      <c r="A2686" s="226" t="s">
        <v>8719</v>
      </c>
      <c r="B2686" s="28">
        <v>45950</v>
      </c>
      <c r="C2686" s="25"/>
      <c r="D2686" s="13" t="s">
        <v>1623</v>
      </c>
      <c r="E2686" s="228"/>
      <c r="F2686" s="109" t="s">
        <v>8692</v>
      </c>
      <c r="G2686" s="24" t="s">
        <v>2871</v>
      </c>
      <c r="H2686" s="230">
        <v>4</v>
      </c>
      <c r="I2686" s="220">
        <v>1823000</v>
      </c>
      <c r="J2686" s="220">
        <f>I2686*0.1</f>
        <v>182300</v>
      </c>
      <c r="K2686" s="220">
        <f>12700+1270</f>
        <v>13970</v>
      </c>
      <c r="L2686" s="220">
        <v>15180</v>
      </c>
      <c r="M2686" s="220">
        <v>14850</v>
      </c>
      <c r="N2686" s="220">
        <f>SUM(I2686:M2687)</f>
        <v>2049300</v>
      </c>
      <c r="O2686" s="224"/>
      <c r="P2686" s="110" t="s">
        <v>8694</v>
      </c>
      <c r="Q2686" s="15" t="s">
        <v>19</v>
      </c>
      <c r="R2686" s="205"/>
      <c r="S2686" s="189"/>
      <c r="T2686" s="114"/>
      <c r="U2686" s="21"/>
      <c r="V2686" s="115">
        <v>45969</v>
      </c>
      <c r="W2686" s="116">
        <v>1275</v>
      </c>
      <c r="X2686" s="220">
        <v>2095000</v>
      </c>
      <c r="Y2686" s="220">
        <f>X2686*0.1</f>
        <v>209500</v>
      </c>
      <c r="Z2686" s="220">
        <v>15180</v>
      </c>
      <c r="AA2686" s="220">
        <f>SUM(X2686:Z2686)</f>
        <v>2319680</v>
      </c>
      <c r="AB2686" s="222">
        <v>45972</v>
      </c>
    </row>
    <row r="2687" spans="1:28" ht="17.100000000000001" customHeight="1" thickBot="1">
      <c r="A2687" s="227"/>
      <c r="B2687" s="27" t="s">
        <v>8691</v>
      </c>
      <c r="C2687" s="27">
        <v>60141</v>
      </c>
      <c r="D2687" s="14" t="s">
        <v>131</v>
      </c>
      <c r="E2687" s="229"/>
      <c r="F2687" s="117" t="s">
        <v>8693</v>
      </c>
      <c r="G2687" s="26">
        <v>29652</v>
      </c>
      <c r="H2687" s="231"/>
      <c r="I2687" s="221"/>
      <c r="J2687" s="221"/>
      <c r="K2687" s="221"/>
      <c r="L2687" s="221"/>
      <c r="M2687" s="221"/>
      <c r="N2687" s="221"/>
      <c r="O2687" s="225"/>
      <c r="P2687" s="118" t="s">
        <v>2898</v>
      </c>
      <c r="Q2687" s="16" t="s">
        <v>20</v>
      </c>
      <c r="R2687" s="17" t="s">
        <v>3288</v>
      </c>
      <c r="S2687" s="121" t="s">
        <v>9265</v>
      </c>
      <c r="T2687" s="122"/>
      <c r="U2687" s="22"/>
      <c r="V2687" s="123" t="s">
        <v>2472</v>
      </c>
      <c r="W2687" s="122">
        <v>80040</v>
      </c>
      <c r="X2687" s="221"/>
      <c r="Y2687" s="221"/>
      <c r="Z2687" s="221"/>
      <c r="AA2687" s="221"/>
      <c r="AB2687" s="223"/>
    </row>
    <row r="2688" spans="1:28" ht="17.100000000000001" customHeight="1" thickTop="1">
      <c r="A2688" s="226" t="s">
        <v>8720</v>
      </c>
      <c r="B2688" s="28">
        <v>45950</v>
      </c>
      <c r="C2688" s="25"/>
      <c r="D2688" s="13" t="s">
        <v>1658</v>
      </c>
      <c r="E2688" s="228"/>
      <c r="F2688" s="109" t="s">
        <v>8705</v>
      </c>
      <c r="G2688" s="24" t="s">
        <v>8706</v>
      </c>
      <c r="H2688" s="230">
        <v>4</v>
      </c>
      <c r="I2688" s="220">
        <f>1375000/1.1</f>
        <v>1250000</v>
      </c>
      <c r="J2688" s="220">
        <f>I2688*0.1</f>
        <v>125000</v>
      </c>
      <c r="K2688" s="220">
        <v>15000</v>
      </c>
      <c r="L2688" s="220">
        <v>16550</v>
      </c>
      <c r="M2688" s="220">
        <v>0</v>
      </c>
      <c r="N2688" s="220">
        <f>SUM(I2688:M2689)</f>
        <v>1406550</v>
      </c>
      <c r="O2688" s="224"/>
      <c r="P2688" s="110" t="s">
        <v>11399</v>
      </c>
      <c r="Q2688" s="15" t="s">
        <v>19</v>
      </c>
      <c r="R2688" s="205"/>
      <c r="S2688" s="189" t="s">
        <v>1276</v>
      </c>
      <c r="T2688" s="114"/>
      <c r="U2688" s="21"/>
      <c r="V2688" s="115">
        <v>45997</v>
      </c>
      <c r="W2688" s="116">
        <v>1279</v>
      </c>
      <c r="X2688" s="220">
        <v>1295000</v>
      </c>
      <c r="Y2688" s="220">
        <f>X2688*0.1</f>
        <v>129500</v>
      </c>
      <c r="Z2688" s="220">
        <v>16550</v>
      </c>
      <c r="AA2688" s="220">
        <f>SUM(X2688:Z2688)</f>
        <v>1441050</v>
      </c>
      <c r="AB2688" s="222">
        <v>46000</v>
      </c>
    </row>
    <row r="2689" spans="1:28" ht="17.100000000000001" customHeight="1" thickBot="1">
      <c r="A2689" s="227"/>
      <c r="B2689" s="27" t="s">
        <v>1708</v>
      </c>
      <c r="C2689" s="27" t="s">
        <v>8695</v>
      </c>
      <c r="D2689" s="14" t="s">
        <v>2014</v>
      </c>
      <c r="E2689" s="229"/>
      <c r="F2689" s="117" t="s">
        <v>8696</v>
      </c>
      <c r="G2689" s="26">
        <v>116998</v>
      </c>
      <c r="H2689" s="231"/>
      <c r="I2689" s="221"/>
      <c r="J2689" s="221"/>
      <c r="K2689" s="221"/>
      <c r="L2689" s="221"/>
      <c r="M2689" s="221"/>
      <c r="N2689" s="221"/>
      <c r="O2689" s="225"/>
      <c r="P2689" s="118" t="s">
        <v>11400</v>
      </c>
      <c r="Q2689" s="16" t="s">
        <v>20</v>
      </c>
      <c r="R2689" s="17" t="s">
        <v>2193</v>
      </c>
      <c r="S2689" s="121" t="s">
        <v>1606</v>
      </c>
      <c r="T2689" s="122"/>
      <c r="U2689" s="22"/>
      <c r="V2689" s="123" t="s">
        <v>2472</v>
      </c>
      <c r="W2689" s="122">
        <v>37500</v>
      </c>
      <c r="X2689" s="221"/>
      <c r="Y2689" s="221"/>
      <c r="Z2689" s="221"/>
      <c r="AA2689" s="221"/>
      <c r="AB2689" s="223"/>
    </row>
    <row r="2690" spans="1:28" ht="17.100000000000001" customHeight="1" thickTop="1">
      <c r="A2690" s="226" t="s">
        <v>8721</v>
      </c>
      <c r="B2690" s="28">
        <v>45950</v>
      </c>
      <c r="C2690" s="25"/>
      <c r="D2690" s="13" t="s">
        <v>2644</v>
      </c>
      <c r="E2690" s="228"/>
      <c r="F2690" s="109" t="s">
        <v>8680</v>
      </c>
      <c r="G2690" s="24" t="s">
        <v>8707</v>
      </c>
      <c r="H2690" s="230">
        <v>4.5</v>
      </c>
      <c r="I2690" s="220">
        <f>2348500/1.1</f>
        <v>2135000</v>
      </c>
      <c r="J2690" s="220">
        <f>I2690*0.1</f>
        <v>213500</v>
      </c>
      <c r="K2690" s="220">
        <v>10100</v>
      </c>
      <c r="L2690" s="220">
        <v>8340</v>
      </c>
      <c r="M2690" s="220">
        <v>0</v>
      </c>
      <c r="N2690" s="220">
        <f>SUM(I2690:M2691)</f>
        <v>2366940</v>
      </c>
      <c r="O2690" s="224"/>
      <c r="P2690" s="110" t="s">
        <v>9735</v>
      </c>
      <c r="Q2690" s="15" t="s">
        <v>19</v>
      </c>
      <c r="R2690" s="205"/>
      <c r="S2690" s="189" t="s">
        <v>1312</v>
      </c>
      <c r="T2690" s="114" t="s">
        <v>11087</v>
      </c>
      <c r="U2690" s="21"/>
      <c r="V2690" s="115">
        <v>45969</v>
      </c>
      <c r="W2690" s="116">
        <v>1275</v>
      </c>
      <c r="X2690" s="220">
        <v>2300000</v>
      </c>
      <c r="Y2690" s="220">
        <f>X2690*0.1</f>
        <v>230000</v>
      </c>
      <c r="Z2690" s="220">
        <v>8340</v>
      </c>
      <c r="AA2690" s="220">
        <f>SUM(X2690:Z2690)</f>
        <v>2538340</v>
      </c>
      <c r="AB2690" s="222">
        <v>45972</v>
      </c>
    </row>
    <row r="2691" spans="1:28" ht="17.100000000000001" customHeight="1" thickBot="1">
      <c r="A2691" s="227"/>
      <c r="B2691" s="27" t="s">
        <v>1708</v>
      </c>
      <c r="C2691" s="27" t="s">
        <v>8697</v>
      </c>
      <c r="D2691" s="14" t="s">
        <v>1584</v>
      </c>
      <c r="E2691" s="229"/>
      <c r="F2691" s="117" t="s">
        <v>8698</v>
      </c>
      <c r="G2691" s="26">
        <v>27078</v>
      </c>
      <c r="H2691" s="231"/>
      <c r="I2691" s="221"/>
      <c r="J2691" s="221"/>
      <c r="K2691" s="221"/>
      <c r="L2691" s="221"/>
      <c r="M2691" s="221"/>
      <c r="N2691" s="221"/>
      <c r="O2691" s="225"/>
      <c r="P2691" s="118" t="s">
        <v>8546</v>
      </c>
      <c r="Q2691" s="16" t="s">
        <v>20</v>
      </c>
      <c r="R2691" s="17" t="s">
        <v>9666</v>
      </c>
      <c r="S2691" s="121" t="s">
        <v>3861</v>
      </c>
      <c r="T2691" s="122" t="s">
        <v>10948</v>
      </c>
      <c r="U2691" s="22"/>
      <c r="V2691" s="123" t="s">
        <v>2472</v>
      </c>
      <c r="W2691" s="122">
        <v>37121</v>
      </c>
      <c r="X2691" s="221"/>
      <c r="Y2691" s="221"/>
      <c r="Z2691" s="221"/>
      <c r="AA2691" s="221"/>
      <c r="AB2691" s="223"/>
    </row>
    <row r="2692" spans="1:28" ht="17.100000000000001" customHeight="1" thickTop="1">
      <c r="A2692" s="226" t="s">
        <v>8722</v>
      </c>
      <c r="B2692" s="28">
        <v>45950</v>
      </c>
      <c r="C2692" s="25"/>
      <c r="D2692" s="13" t="s">
        <v>4050</v>
      </c>
      <c r="E2692" s="228"/>
      <c r="F2692" s="109" t="s">
        <v>7868</v>
      </c>
      <c r="G2692" s="24" t="s">
        <v>4380</v>
      </c>
      <c r="H2692" s="230">
        <v>4</v>
      </c>
      <c r="I2692" s="220">
        <f>1056000/1.1</f>
        <v>959999.99999999988</v>
      </c>
      <c r="J2692" s="220">
        <f>I2692*0.1</f>
        <v>96000</v>
      </c>
      <c r="K2692" s="220">
        <v>0</v>
      </c>
      <c r="L2692" s="220">
        <v>9310</v>
      </c>
      <c r="M2692" s="220">
        <v>0</v>
      </c>
      <c r="N2692" s="220">
        <f>SUM(I2692:M2693)</f>
        <v>1065310</v>
      </c>
      <c r="O2692" s="224"/>
      <c r="P2692" s="110" t="s">
        <v>10390</v>
      </c>
      <c r="Q2692" s="15" t="s">
        <v>19</v>
      </c>
      <c r="R2692" s="205"/>
      <c r="S2692" s="189" t="s">
        <v>1276</v>
      </c>
      <c r="T2692" s="114"/>
      <c r="U2692" s="21"/>
      <c r="V2692" s="115">
        <v>45972</v>
      </c>
      <c r="W2692" s="116">
        <v>1917</v>
      </c>
      <c r="X2692" s="220">
        <v>1004000</v>
      </c>
      <c r="Y2692" s="220">
        <f>X2692*0.1</f>
        <v>100400</v>
      </c>
      <c r="Z2692" s="220">
        <v>9310</v>
      </c>
      <c r="AA2692" s="220">
        <f>SUM(X2692:Z2692)</f>
        <v>1113710</v>
      </c>
      <c r="AB2692" s="222"/>
    </row>
    <row r="2693" spans="1:28" ht="17.100000000000001" customHeight="1" thickBot="1">
      <c r="A2693" s="227"/>
      <c r="B2693" s="27" t="s">
        <v>1708</v>
      </c>
      <c r="C2693" s="27" t="s">
        <v>8699</v>
      </c>
      <c r="D2693" s="14" t="s">
        <v>2559</v>
      </c>
      <c r="E2693" s="229"/>
      <c r="F2693" s="117" t="s">
        <v>8700</v>
      </c>
      <c r="G2693" s="26">
        <v>53969</v>
      </c>
      <c r="H2693" s="231"/>
      <c r="I2693" s="221"/>
      <c r="J2693" s="221"/>
      <c r="K2693" s="221"/>
      <c r="L2693" s="221"/>
      <c r="M2693" s="221"/>
      <c r="N2693" s="221"/>
      <c r="O2693" s="225"/>
      <c r="P2693" s="118" t="s">
        <v>10386</v>
      </c>
      <c r="Q2693" s="16" t="s">
        <v>20</v>
      </c>
      <c r="R2693" s="17" t="s">
        <v>10387</v>
      </c>
      <c r="S2693" s="121" t="s">
        <v>1606</v>
      </c>
      <c r="T2693" s="122"/>
      <c r="U2693" s="22"/>
      <c r="V2693" s="123" t="s">
        <v>2103</v>
      </c>
      <c r="W2693" s="122">
        <v>3247</v>
      </c>
      <c r="X2693" s="221"/>
      <c r="Y2693" s="221"/>
      <c r="Z2693" s="221"/>
      <c r="AA2693" s="221"/>
      <c r="AB2693" s="223"/>
    </row>
    <row r="2694" spans="1:28" ht="17.100000000000001" customHeight="1" thickTop="1">
      <c r="A2694" s="233" t="s">
        <v>8723</v>
      </c>
      <c r="B2694" s="28">
        <v>45950</v>
      </c>
      <c r="C2694" s="25"/>
      <c r="D2694" s="13" t="s">
        <v>1666</v>
      </c>
      <c r="E2694" s="228"/>
      <c r="F2694" s="109" t="s">
        <v>8708</v>
      </c>
      <c r="G2694" s="24" t="s">
        <v>8709</v>
      </c>
      <c r="H2694" s="230">
        <v>4</v>
      </c>
      <c r="I2694" s="220">
        <f>1980000/1.1</f>
        <v>1799999.9999999998</v>
      </c>
      <c r="J2694" s="220">
        <f>I2694*0.1</f>
        <v>180000</v>
      </c>
      <c r="K2694" s="220">
        <v>11200</v>
      </c>
      <c r="L2694" s="220">
        <v>12710</v>
      </c>
      <c r="M2694" s="220">
        <v>0</v>
      </c>
      <c r="N2694" s="220">
        <f>SUM(I2694:M2695)</f>
        <v>2003909.9999999998</v>
      </c>
      <c r="O2694" s="224"/>
      <c r="P2694" s="110" t="s">
        <v>11207</v>
      </c>
      <c r="Q2694" s="15" t="s">
        <v>19</v>
      </c>
      <c r="R2694" s="205"/>
      <c r="S2694" s="189" t="s">
        <v>25372</v>
      </c>
      <c r="T2694" s="114" t="s">
        <v>7899</v>
      </c>
      <c r="U2694" s="21"/>
      <c r="V2694" s="115"/>
      <c r="W2694" s="116"/>
      <c r="X2694" s="220"/>
      <c r="Y2694" s="220">
        <f>X2694*0.1</f>
        <v>0</v>
      </c>
      <c r="Z2694" s="220"/>
      <c r="AA2694" s="220">
        <f>SUM(X2694:Z2694)</f>
        <v>0</v>
      </c>
      <c r="AB2694" s="222"/>
    </row>
    <row r="2695" spans="1:28" ht="17.100000000000001" customHeight="1" thickBot="1">
      <c r="A2695" s="234"/>
      <c r="B2695" s="27" t="s">
        <v>1708</v>
      </c>
      <c r="C2695" s="27" t="s">
        <v>8701</v>
      </c>
      <c r="D2695" s="14" t="s">
        <v>1584</v>
      </c>
      <c r="E2695" s="229"/>
      <c r="F2695" s="117" t="s">
        <v>8702</v>
      </c>
      <c r="G2695" s="26">
        <v>59966</v>
      </c>
      <c r="H2695" s="231"/>
      <c r="I2695" s="221"/>
      <c r="J2695" s="221"/>
      <c r="K2695" s="221"/>
      <c r="L2695" s="221"/>
      <c r="M2695" s="221"/>
      <c r="N2695" s="221"/>
      <c r="O2695" s="225"/>
      <c r="P2695" s="118" t="s">
        <v>5183</v>
      </c>
      <c r="Q2695" s="16" t="s">
        <v>20</v>
      </c>
      <c r="R2695" s="17" t="s">
        <v>2188</v>
      </c>
      <c r="S2695" s="121" t="s">
        <v>11208</v>
      </c>
      <c r="T2695" s="122" t="s">
        <v>12377</v>
      </c>
      <c r="U2695" s="22"/>
      <c r="V2695" s="123"/>
      <c r="W2695" s="122"/>
      <c r="X2695" s="221"/>
      <c r="Y2695" s="221"/>
      <c r="Z2695" s="221"/>
      <c r="AA2695" s="221"/>
      <c r="AB2695" s="223"/>
    </row>
    <row r="2696" spans="1:28" ht="17.100000000000001" customHeight="1" thickTop="1">
      <c r="A2696" s="226" t="s">
        <v>8724</v>
      </c>
      <c r="B2696" s="28">
        <v>45950</v>
      </c>
      <c r="C2696" s="25"/>
      <c r="D2696" s="13" t="s">
        <v>1053</v>
      </c>
      <c r="E2696" s="228"/>
      <c r="F2696" s="109" t="s">
        <v>8710</v>
      </c>
      <c r="G2696" s="24" t="s">
        <v>5054</v>
      </c>
      <c r="H2696" s="230">
        <v>4</v>
      </c>
      <c r="I2696" s="220">
        <f>2354000/1.1</f>
        <v>2140000</v>
      </c>
      <c r="J2696" s="220">
        <f>I2696*0.1</f>
        <v>214000</v>
      </c>
      <c r="K2696" s="220">
        <v>12000</v>
      </c>
      <c r="L2696" s="220">
        <v>11160</v>
      </c>
      <c r="M2696" s="220">
        <v>0</v>
      </c>
      <c r="N2696" s="220">
        <f>SUM(I2696:M2697)</f>
        <v>2377160</v>
      </c>
      <c r="O2696" s="224"/>
      <c r="P2696" s="110" t="s">
        <v>10721</v>
      </c>
      <c r="Q2696" s="15" t="s">
        <v>19</v>
      </c>
      <c r="R2696" s="205"/>
      <c r="S2696" s="189" t="s">
        <v>1312</v>
      </c>
      <c r="T2696" s="114"/>
      <c r="U2696" s="21"/>
      <c r="V2696" s="115">
        <v>45983</v>
      </c>
      <c r="W2696" s="116">
        <v>1277</v>
      </c>
      <c r="X2696" s="220">
        <v>2325000</v>
      </c>
      <c r="Y2696" s="220">
        <f>X2696*0.1</f>
        <v>232500</v>
      </c>
      <c r="Z2696" s="220">
        <v>11160</v>
      </c>
      <c r="AA2696" s="220">
        <f>SUM(X2696:Z2696)</f>
        <v>2568660</v>
      </c>
      <c r="AB2696" s="222">
        <v>45987</v>
      </c>
    </row>
    <row r="2697" spans="1:28" ht="17.100000000000001" customHeight="1" thickBot="1">
      <c r="A2697" s="227"/>
      <c r="B2697" s="27" t="s">
        <v>1708</v>
      </c>
      <c r="C2697" s="27" t="s">
        <v>8703</v>
      </c>
      <c r="D2697" s="14" t="s">
        <v>1584</v>
      </c>
      <c r="E2697" s="229"/>
      <c r="F2697" s="117" t="s">
        <v>8704</v>
      </c>
      <c r="G2697" s="26">
        <v>143221</v>
      </c>
      <c r="H2697" s="231"/>
      <c r="I2697" s="221"/>
      <c r="J2697" s="221"/>
      <c r="K2697" s="221"/>
      <c r="L2697" s="221"/>
      <c r="M2697" s="221"/>
      <c r="N2697" s="221"/>
      <c r="O2697" s="225"/>
      <c r="P2697" s="118" t="s">
        <v>10722</v>
      </c>
      <c r="Q2697" s="16" t="s">
        <v>20</v>
      </c>
      <c r="R2697" s="17" t="s">
        <v>10694</v>
      </c>
      <c r="S2697" s="121" t="s">
        <v>10705</v>
      </c>
      <c r="T2697" s="122"/>
      <c r="U2697" s="22"/>
      <c r="V2697" s="123" t="s">
        <v>2472</v>
      </c>
      <c r="W2697" s="122">
        <v>31115</v>
      </c>
      <c r="X2697" s="221"/>
      <c r="Y2697" s="221"/>
      <c r="Z2697" s="221"/>
      <c r="AA2697" s="221"/>
      <c r="AB2697" s="223"/>
    </row>
    <row r="2698" spans="1:28" ht="17.100000000000001" customHeight="1" thickTop="1">
      <c r="A2698" s="233" t="s">
        <v>8767</v>
      </c>
      <c r="B2698" s="28">
        <v>45950</v>
      </c>
      <c r="C2698" s="25">
        <v>61</v>
      </c>
      <c r="D2698" s="13" t="s">
        <v>1578</v>
      </c>
      <c r="E2698" s="228"/>
      <c r="F2698" s="109" t="s">
        <v>8725</v>
      </c>
      <c r="G2698" s="24" t="s">
        <v>2487</v>
      </c>
      <c r="H2698" s="230">
        <v>4.5</v>
      </c>
      <c r="I2698" s="220">
        <v>1325000</v>
      </c>
      <c r="J2698" s="220">
        <f>I2698*0.1</f>
        <v>132500</v>
      </c>
      <c r="K2698" s="220">
        <f>15000+1500</f>
        <v>16500</v>
      </c>
      <c r="L2698" s="220">
        <v>12340</v>
      </c>
      <c r="M2698" s="220">
        <v>44000</v>
      </c>
      <c r="N2698" s="220">
        <f>SUM(I2698:M2699)</f>
        <v>1530340</v>
      </c>
      <c r="O2698" s="224"/>
      <c r="P2698" s="110" t="s">
        <v>11251</v>
      </c>
      <c r="Q2698" s="15" t="s">
        <v>19</v>
      </c>
      <c r="R2698" s="205"/>
      <c r="S2698" s="189" t="s">
        <v>25547</v>
      </c>
      <c r="T2698" s="114" t="s">
        <v>7899</v>
      </c>
      <c r="U2698" s="21"/>
      <c r="V2698" s="115"/>
      <c r="W2698" s="116"/>
      <c r="X2698" s="220"/>
      <c r="Y2698" s="220">
        <f>X2698*0.1</f>
        <v>0</v>
      </c>
      <c r="Z2698" s="220"/>
      <c r="AA2698" s="220">
        <f>SUM(X2698:Z2698)</f>
        <v>0</v>
      </c>
      <c r="AB2698" s="222"/>
    </row>
    <row r="2699" spans="1:28" ht="17.100000000000001" customHeight="1" thickBot="1">
      <c r="A2699" s="234"/>
      <c r="B2699" s="27" t="s">
        <v>4468</v>
      </c>
      <c r="C2699" s="27">
        <v>1032</v>
      </c>
      <c r="D2699" s="14" t="s">
        <v>131</v>
      </c>
      <c r="E2699" s="229"/>
      <c r="F2699" s="117" t="s">
        <v>8770</v>
      </c>
      <c r="G2699" s="26">
        <v>84988</v>
      </c>
      <c r="H2699" s="231"/>
      <c r="I2699" s="221"/>
      <c r="J2699" s="221"/>
      <c r="K2699" s="221"/>
      <c r="L2699" s="221"/>
      <c r="M2699" s="221"/>
      <c r="N2699" s="221"/>
      <c r="O2699" s="225"/>
      <c r="P2699" s="118" t="s">
        <v>11252</v>
      </c>
      <c r="Q2699" s="16" t="s">
        <v>20</v>
      </c>
      <c r="R2699" s="17" t="s">
        <v>2174</v>
      </c>
      <c r="S2699" s="121" t="s">
        <v>4378</v>
      </c>
      <c r="T2699" s="122" t="s">
        <v>11393</v>
      </c>
      <c r="U2699" s="22"/>
      <c r="V2699" s="123"/>
      <c r="W2699" s="122"/>
      <c r="X2699" s="221"/>
      <c r="Y2699" s="221"/>
      <c r="Z2699" s="221"/>
      <c r="AA2699" s="221"/>
      <c r="AB2699" s="223"/>
    </row>
    <row r="2700" spans="1:28" ht="17.100000000000001" customHeight="1" thickTop="1">
      <c r="A2700" s="226" t="s">
        <v>8768</v>
      </c>
      <c r="B2700" s="28">
        <v>45950</v>
      </c>
      <c r="C2700" s="25">
        <v>61</v>
      </c>
      <c r="D2700" s="13" t="s">
        <v>1996</v>
      </c>
      <c r="E2700" s="228"/>
      <c r="F2700" s="109" t="s">
        <v>8726</v>
      </c>
      <c r="G2700" s="24" t="s">
        <v>2084</v>
      </c>
      <c r="H2700" s="230">
        <v>4</v>
      </c>
      <c r="I2700" s="220">
        <v>2800000</v>
      </c>
      <c r="J2700" s="220">
        <f>I2700*0.1</f>
        <v>280000</v>
      </c>
      <c r="K2700" s="220">
        <v>0</v>
      </c>
      <c r="L2700" s="220">
        <v>16550</v>
      </c>
      <c r="M2700" s="220">
        <v>66000</v>
      </c>
      <c r="N2700" s="220">
        <f>SUM(I2700:M2701)</f>
        <v>3162550</v>
      </c>
      <c r="O2700" s="224"/>
      <c r="P2700" s="110" t="s">
        <v>11801</v>
      </c>
      <c r="Q2700" s="15" t="s">
        <v>19</v>
      </c>
      <c r="R2700" s="205"/>
      <c r="S2700" s="189" t="s">
        <v>25547</v>
      </c>
      <c r="T2700" s="114"/>
      <c r="U2700" s="21"/>
      <c r="V2700" s="115">
        <v>45990</v>
      </c>
      <c r="W2700" s="116">
        <v>1278</v>
      </c>
      <c r="X2700" s="220">
        <v>2830000</v>
      </c>
      <c r="Y2700" s="220">
        <f>X2700*0.1</f>
        <v>283000</v>
      </c>
      <c r="Z2700" s="220">
        <v>16550</v>
      </c>
      <c r="AA2700" s="220">
        <f>SUM(X2700:Z2700)</f>
        <v>3129550</v>
      </c>
      <c r="AB2700" s="222">
        <v>45994</v>
      </c>
    </row>
    <row r="2701" spans="1:28" ht="17.100000000000001" customHeight="1" thickBot="1">
      <c r="A2701" s="227"/>
      <c r="B2701" s="27" t="s">
        <v>4468</v>
      </c>
      <c r="C2701" s="27">
        <v>1070</v>
      </c>
      <c r="D2701" s="14" t="s">
        <v>273</v>
      </c>
      <c r="E2701" s="229"/>
      <c r="F2701" s="117" t="s">
        <v>8771</v>
      </c>
      <c r="G2701" s="26">
        <v>32908</v>
      </c>
      <c r="H2701" s="231"/>
      <c r="I2701" s="221"/>
      <c r="J2701" s="221"/>
      <c r="K2701" s="221"/>
      <c r="L2701" s="221"/>
      <c r="M2701" s="221"/>
      <c r="N2701" s="221"/>
      <c r="O2701" s="225"/>
      <c r="P2701" s="118" t="s">
        <v>11802</v>
      </c>
      <c r="Q2701" s="16" t="s">
        <v>20</v>
      </c>
      <c r="R2701" s="17" t="s">
        <v>11800</v>
      </c>
      <c r="S2701" s="121" t="s">
        <v>4984</v>
      </c>
      <c r="T2701" s="122"/>
      <c r="U2701" s="22"/>
      <c r="V2701" s="123" t="s">
        <v>2472</v>
      </c>
      <c r="W2701" s="122">
        <v>37098</v>
      </c>
      <c r="X2701" s="221"/>
      <c r="Y2701" s="221"/>
      <c r="Z2701" s="221"/>
      <c r="AA2701" s="221"/>
      <c r="AB2701" s="223"/>
    </row>
    <row r="2702" spans="1:28" ht="17.100000000000001" customHeight="1" thickTop="1">
      <c r="A2702" s="226" t="s">
        <v>8769</v>
      </c>
      <c r="B2702" s="28">
        <v>45950</v>
      </c>
      <c r="C2702" s="25">
        <v>61</v>
      </c>
      <c r="D2702" s="13" t="s">
        <v>1983</v>
      </c>
      <c r="E2702" s="228"/>
      <c r="F2702" s="109" t="s">
        <v>8727</v>
      </c>
      <c r="G2702" s="24" t="s">
        <v>2038</v>
      </c>
      <c r="H2702" s="230">
        <v>4.5</v>
      </c>
      <c r="I2702" s="220">
        <v>2310000</v>
      </c>
      <c r="J2702" s="220">
        <f>I2702*0.1</f>
        <v>231000</v>
      </c>
      <c r="K2702" s="220">
        <v>9900</v>
      </c>
      <c r="L2702" s="220">
        <v>12250</v>
      </c>
      <c r="M2702" s="220">
        <v>66000</v>
      </c>
      <c r="N2702" s="220">
        <f>SUM(I2702:M2703)</f>
        <v>2629150</v>
      </c>
      <c r="O2702" s="224"/>
      <c r="P2702" s="110" t="s">
        <v>12610</v>
      </c>
      <c r="Q2702" s="15" t="s">
        <v>19</v>
      </c>
      <c r="R2702" s="205"/>
      <c r="S2702" s="189" t="s">
        <v>25548</v>
      </c>
      <c r="T2702" s="114"/>
      <c r="U2702" s="21"/>
      <c r="V2702" s="115">
        <v>46008</v>
      </c>
      <c r="W2702" s="116">
        <v>997</v>
      </c>
      <c r="X2702" s="220">
        <v>2365000</v>
      </c>
      <c r="Y2702" s="220">
        <f>X2702*0.1</f>
        <v>236500</v>
      </c>
      <c r="Z2702" s="220">
        <v>12250</v>
      </c>
      <c r="AA2702" s="220">
        <f>SUM(X2702:Z2702)</f>
        <v>2613750</v>
      </c>
      <c r="AB2702" s="222">
        <v>46015</v>
      </c>
    </row>
    <row r="2703" spans="1:28" ht="17.100000000000001" customHeight="1" thickBot="1">
      <c r="A2703" s="227"/>
      <c r="B2703" s="27" t="s">
        <v>4468</v>
      </c>
      <c r="C2703" s="27">
        <v>2009</v>
      </c>
      <c r="D2703" s="14" t="s">
        <v>1710</v>
      </c>
      <c r="E2703" s="229"/>
      <c r="F2703" s="117" t="s">
        <v>8772</v>
      </c>
      <c r="G2703" s="26">
        <v>8118</v>
      </c>
      <c r="H2703" s="231"/>
      <c r="I2703" s="221"/>
      <c r="J2703" s="221"/>
      <c r="K2703" s="221"/>
      <c r="L2703" s="221"/>
      <c r="M2703" s="221"/>
      <c r="N2703" s="221"/>
      <c r="O2703" s="225"/>
      <c r="P2703" s="118" t="s">
        <v>12611</v>
      </c>
      <c r="Q2703" s="16" t="s">
        <v>20</v>
      </c>
      <c r="R2703" s="17" t="s">
        <v>12584</v>
      </c>
      <c r="S2703" s="121" t="s">
        <v>1606</v>
      </c>
      <c r="T2703" s="122"/>
      <c r="U2703" s="22"/>
      <c r="V2703" s="123" t="s">
        <v>8877</v>
      </c>
      <c r="W2703" s="122">
        <v>4001</v>
      </c>
      <c r="X2703" s="221"/>
      <c r="Y2703" s="221"/>
      <c r="Z2703" s="221"/>
      <c r="AA2703" s="221"/>
      <c r="AB2703" s="223"/>
    </row>
    <row r="2704" spans="1:28" ht="17.100000000000001" customHeight="1" thickTop="1">
      <c r="A2704" s="226" t="s">
        <v>8784</v>
      </c>
      <c r="B2704" s="28">
        <v>45951</v>
      </c>
      <c r="C2704" s="25">
        <v>1914</v>
      </c>
      <c r="D2704" s="13" t="s">
        <v>2167</v>
      </c>
      <c r="E2704" s="228"/>
      <c r="F2704" s="109" t="s">
        <v>4809</v>
      </c>
      <c r="G2704" s="24"/>
      <c r="H2704" s="230">
        <v>4</v>
      </c>
      <c r="I2704" s="220">
        <v>727000</v>
      </c>
      <c r="J2704" s="220">
        <f>I2704*0.1</f>
        <v>72700</v>
      </c>
      <c r="K2704" s="220">
        <v>0</v>
      </c>
      <c r="L2704" s="220">
        <v>9200</v>
      </c>
      <c r="M2704" s="220">
        <v>15950</v>
      </c>
      <c r="N2704" s="220">
        <f>SUM(I2704:M2705)</f>
        <v>824850</v>
      </c>
      <c r="O2704" s="224"/>
      <c r="P2704" s="110" t="s">
        <v>9180</v>
      </c>
      <c r="Q2704" s="15" t="s">
        <v>19</v>
      </c>
      <c r="R2704" s="205"/>
      <c r="S2704" s="189" t="s">
        <v>25549</v>
      </c>
      <c r="T2704" s="114"/>
      <c r="U2704" s="21"/>
      <c r="V2704" s="115">
        <v>45962</v>
      </c>
      <c r="W2704" s="116">
        <v>1274</v>
      </c>
      <c r="X2704" s="220">
        <v>820000</v>
      </c>
      <c r="Y2704" s="220">
        <f>X2704*0.1</f>
        <v>82000</v>
      </c>
      <c r="Z2704" s="220">
        <v>9200</v>
      </c>
      <c r="AA2704" s="220">
        <f>SUM(X2704:Z2704)</f>
        <v>911200</v>
      </c>
      <c r="AB2704" s="222">
        <v>45965</v>
      </c>
    </row>
    <row r="2705" spans="1:28" ht="17.100000000000001" customHeight="1" thickBot="1">
      <c r="A2705" s="227"/>
      <c r="B2705" s="27" t="s">
        <v>2103</v>
      </c>
      <c r="C2705" s="27">
        <v>3023</v>
      </c>
      <c r="D2705" s="14" t="s">
        <v>273</v>
      </c>
      <c r="E2705" s="229"/>
      <c r="F2705" s="117" t="s">
        <v>8740</v>
      </c>
      <c r="G2705" s="26">
        <v>63985</v>
      </c>
      <c r="H2705" s="231"/>
      <c r="I2705" s="221"/>
      <c r="J2705" s="221"/>
      <c r="K2705" s="221"/>
      <c r="L2705" s="221"/>
      <c r="M2705" s="221"/>
      <c r="N2705" s="221"/>
      <c r="O2705" s="225"/>
      <c r="P2705" s="118" t="s">
        <v>9181</v>
      </c>
      <c r="Q2705" s="16" t="s">
        <v>20</v>
      </c>
      <c r="R2705" s="17" t="s">
        <v>9093</v>
      </c>
      <c r="S2705" s="121" t="s">
        <v>2350</v>
      </c>
      <c r="T2705" s="122"/>
      <c r="U2705" s="22"/>
      <c r="V2705" s="123" t="s">
        <v>2472</v>
      </c>
      <c r="W2705" s="122">
        <v>60003</v>
      </c>
      <c r="X2705" s="221"/>
      <c r="Y2705" s="221"/>
      <c r="Z2705" s="221"/>
      <c r="AA2705" s="221"/>
      <c r="AB2705" s="223"/>
    </row>
    <row r="2706" spans="1:28" ht="17.100000000000001" customHeight="1" thickTop="1">
      <c r="A2706" s="226" t="s">
        <v>8785</v>
      </c>
      <c r="B2706" s="28">
        <v>45951</v>
      </c>
      <c r="C2706" s="25">
        <v>1914</v>
      </c>
      <c r="D2706" s="13" t="s">
        <v>2065</v>
      </c>
      <c r="E2706" s="228"/>
      <c r="F2706" s="109" t="s">
        <v>4728</v>
      </c>
      <c r="G2706" s="24"/>
      <c r="H2706" s="230">
        <v>4.5</v>
      </c>
      <c r="I2706" s="220">
        <v>1418000</v>
      </c>
      <c r="J2706" s="220">
        <f>I2706*0.1</f>
        <v>141800</v>
      </c>
      <c r="K2706" s="220">
        <v>0</v>
      </c>
      <c r="L2706" s="220">
        <v>6850</v>
      </c>
      <c r="M2706" s="220">
        <v>15950</v>
      </c>
      <c r="N2706" s="220">
        <f>SUM(I2706:M2707)</f>
        <v>1582600</v>
      </c>
      <c r="O2706" s="224"/>
      <c r="P2706" s="110" t="s">
        <v>9178</v>
      </c>
      <c r="Q2706" s="15" t="s">
        <v>19</v>
      </c>
      <c r="R2706" s="205"/>
      <c r="S2706" s="189" t="s">
        <v>1361</v>
      </c>
      <c r="T2706" s="114"/>
      <c r="U2706" s="21"/>
      <c r="V2706" s="115">
        <v>45997</v>
      </c>
      <c r="W2706" s="116">
        <v>1279</v>
      </c>
      <c r="X2706" s="220">
        <v>1460000</v>
      </c>
      <c r="Y2706" s="220">
        <f>X2706*0.1</f>
        <v>146000</v>
      </c>
      <c r="Z2706" s="220">
        <v>6850</v>
      </c>
      <c r="AA2706" s="220">
        <f>SUM(X2706:Z2706)</f>
        <v>1612850</v>
      </c>
      <c r="AB2706" s="222">
        <v>46000</v>
      </c>
    </row>
    <row r="2707" spans="1:28" ht="17.100000000000001" customHeight="1" thickBot="1">
      <c r="A2707" s="227"/>
      <c r="B2707" s="27" t="s">
        <v>2103</v>
      </c>
      <c r="C2707" s="27">
        <v>3143</v>
      </c>
      <c r="D2707" s="14" t="s">
        <v>2559</v>
      </c>
      <c r="E2707" s="229"/>
      <c r="F2707" s="117" t="s">
        <v>8741</v>
      </c>
      <c r="G2707" s="26">
        <v>22349</v>
      </c>
      <c r="H2707" s="231"/>
      <c r="I2707" s="221"/>
      <c r="J2707" s="221"/>
      <c r="K2707" s="221"/>
      <c r="L2707" s="221"/>
      <c r="M2707" s="221"/>
      <c r="N2707" s="221"/>
      <c r="O2707" s="225"/>
      <c r="P2707" s="118" t="s">
        <v>9179</v>
      </c>
      <c r="Q2707" s="16" t="s">
        <v>20</v>
      </c>
      <c r="R2707" s="17" t="s">
        <v>9093</v>
      </c>
      <c r="S2707" s="121" t="s">
        <v>169</v>
      </c>
      <c r="T2707" s="122"/>
      <c r="U2707" s="22"/>
      <c r="V2707" s="123" t="s">
        <v>2472</v>
      </c>
      <c r="W2707" s="122">
        <v>60163</v>
      </c>
      <c r="X2707" s="221"/>
      <c r="Y2707" s="221"/>
      <c r="Z2707" s="221"/>
      <c r="AA2707" s="221"/>
      <c r="AB2707" s="223"/>
    </row>
    <row r="2708" spans="1:28" ht="17.100000000000001" customHeight="1" thickTop="1">
      <c r="A2708" s="226" t="s">
        <v>8786</v>
      </c>
      <c r="B2708" s="28">
        <v>45951</v>
      </c>
      <c r="C2708" s="25">
        <v>1914</v>
      </c>
      <c r="D2708" s="13" t="s">
        <v>2900</v>
      </c>
      <c r="E2708" s="228"/>
      <c r="F2708" s="109" t="s">
        <v>8742</v>
      </c>
      <c r="G2708" s="24"/>
      <c r="H2708" s="230">
        <v>4.5</v>
      </c>
      <c r="I2708" s="220">
        <v>726000</v>
      </c>
      <c r="J2708" s="220">
        <f>I2708*0.1</f>
        <v>72600</v>
      </c>
      <c r="K2708" s="220">
        <v>0</v>
      </c>
      <c r="L2708" s="220">
        <v>7950</v>
      </c>
      <c r="M2708" s="220">
        <v>15950</v>
      </c>
      <c r="N2708" s="220">
        <f>SUM(I2708:M2709)</f>
        <v>822500</v>
      </c>
      <c r="O2708" s="224"/>
      <c r="P2708" s="110" t="s">
        <v>9176</v>
      </c>
      <c r="Q2708" s="15" t="s">
        <v>19</v>
      </c>
      <c r="R2708" s="205"/>
      <c r="S2708" s="189" t="s">
        <v>696</v>
      </c>
      <c r="T2708" s="114"/>
      <c r="U2708" s="21"/>
      <c r="V2708" s="115">
        <v>45994</v>
      </c>
      <c r="W2708" s="116">
        <v>995</v>
      </c>
      <c r="X2708" s="220">
        <v>835000</v>
      </c>
      <c r="Y2708" s="220">
        <f>X2708*0.1</f>
        <v>83500</v>
      </c>
      <c r="Z2708" s="220">
        <v>7950</v>
      </c>
      <c r="AA2708" s="220">
        <f>SUM(X2708:Z2708)</f>
        <v>926450</v>
      </c>
      <c r="AB2708" s="222">
        <v>46001</v>
      </c>
    </row>
    <row r="2709" spans="1:28" ht="17.100000000000001" customHeight="1" thickBot="1">
      <c r="A2709" s="227"/>
      <c r="B2709" s="27" t="s">
        <v>2103</v>
      </c>
      <c r="C2709" s="27">
        <v>3241</v>
      </c>
      <c r="D2709" s="14" t="s">
        <v>2559</v>
      </c>
      <c r="E2709" s="229"/>
      <c r="F2709" s="117" t="s">
        <v>8743</v>
      </c>
      <c r="G2709" s="26">
        <v>42177</v>
      </c>
      <c r="H2709" s="231"/>
      <c r="I2709" s="221"/>
      <c r="J2709" s="221"/>
      <c r="K2709" s="221"/>
      <c r="L2709" s="221"/>
      <c r="M2709" s="221"/>
      <c r="N2709" s="221"/>
      <c r="O2709" s="225"/>
      <c r="P2709" s="118" t="s">
        <v>9177</v>
      </c>
      <c r="Q2709" s="16" t="s">
        <v>20</v>
      </c>
      <c r="R2709" s="17" t="s">
        <v>9093</v>
      </c>
      <c r="S2709" s="121" t="s">
        <v>3429</v>
      </c>
      <c r="T2709" s="122"/>
      <c r="U2709" s="22"/>
      <c r="V2709" s="122" t="s">
        <v>8648</v>
      </c>
      <c r="W2709" s="122">
        <v>2044</v>
      </c>
      <c r="X2709" s="221"/>
      <c r="Y2709" s="221"/>
      <c r="Z2709" s="221"/>
      <c r="AA2709" s="221"/>
      <c r="AB2709" s="223"/>
    </row>
    <row r="2710" spans="1:28" ht="17.100000000000001" customHeight="1" thickTop="1">
      <c r="A2710" s="226" t="s">
        <v>8787</v>
      </c>
      <c r="B2710" s="28">
        <v>45951</v>
      </c>
      <c r="C2710" s="25">
        <v>1914</v>
      </c>
      <c r="D2710" s="13" t="s">
        <v>1788</v>
      </c>
      <c r="E2710" s="228"/>
      <c r="F2710" s="109" t="s">
        <v>5345</v>
      </c>
      <c r="G2710" s="24" t="s">
        <v>4038</v>
      </c>
      <c r="H2710" s="230">
        <v>4</v>
      </c>
      <c r="I2710" s="220">
        <v>705000</v>
      </c>
      <c r="J2710" s="220">
        <f>I2710*0.1</f>
        <v>70500</v>
      </c>
      <c r="K2710" s="220">
        <v>0</v>
      </c>
      <c r="L2710" s="220">
        <v>8400</v>
      </c>
      <c r="M2710" s="220">
        <v>15950</v>
      </c>
      <c r="N2710" s="220">
        <f>SUM(I2710:M2711)</f>
        <v>799850</v>
      </c>
      <c r="O2710" s="224"/>
      <c r="P2710" s="110" t="s">
        <v>9175</v>
      </c>
      <c r="Q2710" s="15" t="s">
        <v>19</v>
      </c>
      <c r="R2710" s="205"/>
      <c r="S2710" s="189" t="s">
        <v>25432</v>
      </c>
      <c r="T2710" s="114"/>
      <c r="U2710" s="21" t="s">
        <v>9843</v>
      </c>
      <c r="V2710" s="115">
        <v>45962</v>
      </c>
      <c r="W2710" s="116">
        <v>1274</v>
      </c>
      <c r="X2710" s="220">
        <v>780000</v>
      </c>
      <c r="Y2710" s="220">
        <v>78000</v>
      </c>
      <c r="Z2710" s="220">
        <v>8400</v>
      </c>
      <c r="AA2710" s="220">
        <f>SUM(X2710:Z2710)</f>
        <v>866400</v>
      </c>
      <c r="AB2710" s="222">
        <v>45971</v>
      </c>
    </row>
    <row r="2711" spans="1:28" ht="17.100000000000001" customHeight="1" thickBot="1">
      <c r="A2711" s="227"/>
      <c r="B2711" s="27" t="s">
        <v>2103</v>
      </c>
      <c r="C2711" s="27">
        <v>5402</v>
      </c>
      <c r="D2711" s="14" t="s">
        <v>273</v>
      </c>
      <c r="E2711" s="229"/>
      <c r="F2711" s="117" t="s">
        <v>8744</v>
      </c>
      <c r="G2711" s="26">
        <v>19213</v>
      </c>
      <c r="H2711" s="231"/>
      <c r="I2711" s="221"/>
      <c r="J2711" s="221"/>
      <c r="K2711" s="221"/>
      <c r="L2711" s="221"/>
      <c r="M2711" s="221"/>
      <c r="N2711" s="221"/>
      <c r="O2711" s="225"/>
      <c r="P2711" s="118" t="s">
        <v>9167</v>
      </c>
      <c r="Q2711" s="16" t="s">
        <v>20</v>
      </c>
      <c r="R2711" s="17" t="s">
        <v>9093</v>
      </c>
      <c r="S2711" s="121" t="s">
        <v>9311</v>
      </c>
      <c r="T2711" s="122"/>
      <c r="U2711" s="22"/>
      <c r="V2711" s="123" t="s">
        <v>2472</v>
      </c>
      <c r="W2711" s="122">
        <v>60079</v>
      </c>
      <c r="X2711" s="221"/>
      <c r="Y2711" s="221"/>
      <c r="Z2711" s="221"/>
      <c r="AA2711" s="221"/>
      <c r="AB2711" s="223"/>
    </row>
    <row r="2712" spans="1:28" ht="17.100000000000001" customHeight="1" thickTop="1">
      <c r="A2712" s="226" t="s">
        <v>8788</v>
      </c>
      <c r="B2712" s="28">
        <v>45951</v>
      </c>
      <c r="C2712" s="25">
        <v>1914</v>
      </c>
      <c r="D2712" s="13" t="s">
        <v>2040</v>
      </c>
      <c r="E2712" s="228"/>
      <c r="F2712" s="109" t="s">
        <v>5389</v>
      </c>
      <c r="G2712" s="24" t="s">
        <v>4315</v>
      </c>
      <c r="H2712" s="230">
        <v>5</v>
      </c>
      <c r="I2712" s="220">
        <v>1053000</v>
      </c>
      <c r="J2712" s="220">
        <f>I2712*0.1</f>
        <v>105300</v>
      </c>
      <c r="K2712" s="220">
        <v>0</v>
      </c>
      <c r="L2712" s="220">
        <v>8010</v>
      </c>
      <c r="M2712" s="220">
        <v>15950</v>
      </c>
      <c r="N2712" s="220">
        <f>SUM(I2712:M2713)</f>
        <v>1182260</v>
      </c>
      <c r="O2712" s="224"/>
      <c r="P2712" s="110" t="s">
        <v>9166</v>
      </c>
      <c r="Q2712" s="15" t="s">
        <v>19</v>
      </c>
      <c r="R2712" s="205"/>
      <c r="S2712" s="189" t="s">
        <v>25550</v>
      </c>
      <c r="T2712" s="114"/>
      <c r="U2712" s="21" t="s">
        <v>10810</v>
      </c>
      <c r="V2712" s="115">
        <v>45983</v>
      </c>
      <c r="W2712" s="116">
        <v>1277</v>
      </c>
      <c r="X2712" s="220">
        <v>1125000</v>
      </c>
      <c r="Y2712" s="220">
        <f>X2712*0.1</f>
        <v>112500</v>
      </c>
      <c r="Z2712" s="220">
        <v>8010</v>
      </c>
      <c r="AA2712" s="220">
        <f>SUM(X2712:Z2712)</f>
        <v>1245510</v>
      </c>
      <c r="AB2712" s="222">
        <v>45987</v>
      </c>
    </row>
    <row r="2713" spans="1:28" ht="17.100000000000001" customHeight="1" thickBot="1">
      <c r="A2713" s="227"/>
      <c r="B2713" s="27" t="s">
        <v>2103</v>
      </c>
      <c r="C2713" s="27">
        <v>5416</v>
      </c>
      <c r="D2713" s="14" t="s">
        <v>1710</v>
      </c>
      <c r="E2713" s="229"/>
      <c r="F2713" s="117" t="s">
        <v>8745</v>
      </c>
      <c r="G2713" s="26">
        <v>17083</v>
      </c>
      <c r="H2713" s="231"/>
      <c r="I2713" s="221"/>
      <c r="J2713" s="221"/>
      <c r="K2713" s="221"/>
      <c r="L2713" s="221"/>
      <c r="M2713" s="221"/>
      <c r="N2713" s="221"/>
      <c r="O2713" s="225"/>
      <c r="P2713" s="118" t="s">
        <v>9167</v>
      </c>
      <c r="Q2713" s="16" t="s">
        <v>20</v>
      </c>
      <c r="R2713" s="17" t="s">
        <v>9093</v>
      </c>
      <c r="S2713" s="121" t="s">
        <v>8746</v>
      </c>
      <c r="T2713" s="122"/>
      <c r="U2713" s="22"/>
      <c r="V2713" s="123" t="s">
        <v>2472</v>
      </c>
      <c r="W2713" s="122">
        <v>60195</v>
      </c>
      <c r="X2713" s="221"/>
      <c r="Y2713" s="221"/>
      <c r="Z2713" s="221"/>
      <c r="AA2713" s="221"/>
      <c r="AB2713" s="223"/>
    </row>
    <row r="2714" spans="1:28" ht="17.100000000000001" customHeight="1" thickTop="1">
      <c r="A2714" s="226" t="s">
        <v>8789</v>
      </c>
      <c r="B2714" s="28">
        <v>45951</v>
      </c>
      <c r="C2714" s="25">
        <v>1914</v>
      </c>
      <c r="D2714" s="13" t="s">
        <v>1678</v>
      </c>
      <c r="E2714" s="228"/>
      <c r="F2714" s="109" t="s">
        <v>8399</v>
      </c>
      <c r="G2714" s="24"/>
      <c r="H2714" s="230">
        <v>4.5</v>
      </c>
      <c r="I2714" s="220">
        <v>1104000</v>
      </c>
      <c r="J2714" s="220">
        <f>I2714*0.1</f>
        <v>110400</v>
      </c>
      <c r="K2714" s="220">
        <v>0</v>
      </c>
      <c r="L2714" s="220">
        <v>6880</v>
      </c>
      <c r="M2714" s="220">
        <v>15950</v>
      </c>
      <c r="N2714" s="220">
        <f>SUM(I2714:M2715)</f>
        <v>1237230</v>
      </c>
      <c r="O2714" s="224"/>
      <c r="P2714" s="110" t="s">
        <v>9174</v>
      </c>
      <c r="Q2714" s="15" t="s">
        <v>19</v>
      </c>
      <c r="R2714" s="205"/>
      <c r="S2714" s="189" t="s">
        <v>758</v>
      </c>
      <c r="T2714" s="114"/>
      <c r="U2714" s="21"/>
      <c r="V2714" s="115">
        <v>45962</v>
      </c>
      <c r="W2714" s="116">
        <v>1274</v>
      </c>
      <c r="X2714" s="220">
        <v>1185000</v>
      </c>
      <c r="Y2714" s="220">
        <f>X2714*0.1</f>
        <v>118500</v>
      </c>
      <c r="Z2714" s="220">
        <v>6880</v>
      </c>
      <c r="AA2714" s="220">
        <f>SUM(X2714:Z2714)</f>
        <v>1310380</v>
      </c>
      <c r="AB2714" s="222">
        <v>45965</v>
      </c>
    </row>
    <row r="2715" spans="1:28" ht="17.100000000000001" customHeight="1" thickBot="1">
      <c r="A2715" s="227"/>
      <c r="B2715" s="27" t="s">
        <v>2103</v>
      </c>
      <c r="C2715" s="27">
        <v>5418</v>
      </c>
      <c r="D2715" s="14" t="s">
        <v>1548</v>
      </c>
      <c r="E2715" s="229"/>
      <c r="F2715" s="117" t="s">
        <v>8747</v>
      </c>
      <c r="G2715" s="26">
        <v>29507</v>
      </c>
      <c r="H2715" s="231"/>
      <c r="I2715" s="221"/>
      <c r="J2715" s="221"/>
      <c r="K2715" s="221"/>
      <c r="L2715" s="221"/>
      <c r="M2715" s="221"/>
      <c r="N2715" s="221"/>
      <c r="O2715" s="225"/>
      <c r="P2715" s="118" t="s">
        <v>9167</v>
      </c>
      <c r="Q2715" s="16" t="s">
        <v>20</v>
      </c>
      <c r="R2715" s="17" t="s">
        <v>9093</v>
      </c>
      <c r="S2715" s="121" t="s">
        <v>1661</v>
      </c>
      <c r="T2715" s="122"/>
      <c r="U2715" s="22"/>
      <c r="V2715" s="123" t="s">
        <v>2472</v>
      </c>
      <c r="W2715" s="122">
        <v>60315</v>
      </c>
      <c r="X2715" s="221"/>
      <c r="Y2715" s="221"/>
      <c r="Z2715" s="221"/>
      <c r="AA2715" s="221"/>
      <c r="AB2715" s="223"/>
    </row>
    <row r="2716" spans="1:28" ht="17.100000000000001" customHeight="1" thickTop="1">
      <c r="A2716" s="226" t="s">
        <v>8790</v>
      </c>
      <c r="B2716" s="28">
        <v>45951</v>
      </c>
      <c r="C2716" s="25">
        <v>1914</v>
      </c>
      <c r="D2716" s="13" t="s">
        <v>2295</v>
      </c>
      <c r="E2716" s="228"/>
      <c r="F2716" s="109" t="s">
        <v>3606</v>
      </c>
      <c r="G2716" s="24" t="s">
        <v>1540</v>
      </c>
      <c r="H2716" s="230">
        <v>4.5</v>
      </c>
      <c r="I2716" s="220">
        <v>1194000</v>
      </c>
      <c r="J2716" s="220">
        <f>I2716*0.1</f>
        <v>119400</v>
      </c>
      <c r="K2716" s="220">
        <v>11440</v>
      </c>
      <c r="L2716" s="220">
        <v>9750</v>
      </c>
      <c r="M2716" s="220">
        <v>15950</v>
      </c>
      <c r="N2716" s="220">
        <f>SUM(I2716:M2717)</f>
        <v>1350540</v>
      </c>
      <c r="O2716" s="224"/>
      <c r="P2716" s="110" t="s">
        <v>8749</v>
      </c>
      <c r="Q2716" s="15" t="s">
        <v>19</v>
      </c>
      <c r="R2716" s="205"/>
      <c r="S2716" s="189"/>
      <c r="T2716" s="114"/>
      <c r="U2716" s="21" t="s">
        <v>10582</v>
      </c>
      <c r="V2716" s="115">
        <v>45987</v>
      </c>
      <c r="W2716" s="116">
        <v>994</v>
      </c>
      <c r="X2716" s="220">
        <v>1290000</v>
      </c>
      <c r="Y2716" s="220">
        <f>X2716*0.1</f>
        <v>129000</v>
      </c>
      <c r="Z2716" s="220">
        <v>9750</v>
      </c>
      <c r="AA2716" s="220">
        <f>SUM(X2716:Z2716)</f>
        <v>1428750</v>
      </c>
      <c r="AB2716" s="222">
        <v>45992</v>
      </c>
    </row>
    <row r="2717" spans="1:28" ht="17.100000000000001" customHeight="1" thickBot="1">
      <c r="A2717" s="227"/>
      <c r="B2717" s="27" t="s">
        <v>2103</v>
      </c>
      <c r="C2717" s="27">
        <v>5432</v>
      </c>
      <c r="D2717" s="14" t="s">
        <v>1568</v>
      </c>
      <c r="E2717" s="229"/>
      <c r="F2717" s="117" t="s">
        <v>8748</v>
      </c>
      <c r="G2717" s="26">
        <v>56636</v>
      </c>
      <c r="H2717" s="231"/>
      <c r="I2717" s="221"/>
      <c r="J2717" s="221"/>
      <c r="K2717" s="221"/>
      <c r="L2717" s="221"/>
      <c r="M2717" s="221"/>
      <c r="N2717" s="221"/>
      <c r="O2717" s="225"/>
      <c r="P2717" s="118" t="s">
        <v>9167</v>
      </c>
      <c r="Q2717" s="16" t="s">
        <v>20</v>
      </c>
      <c r="R2717" s="17" t="s">
        <v>9093</v>
      </c>
      <c r="S2717" s="121" t="s">
        <v>2236</v>
      </c>
      <c r="T2717" s="122"/>
      <c r="U2717" s="22"/>
      <c r="V2717" s="123" t="s">
        <v>11555</v>
      </c>
      <c r="W2717" s="122">
        <v>6029</v>
      </c>
      <c r="X2717" s="221"/>
      <c r="Y2717" s="221"/>
      <c r="Z2717" s="221"/>
      <c r="AA2717" s="221"/>
      <c r="AB2717" s="223"/>
    </row>
    <row r="2718" spans="1:28" ht="17.100000000000001" customHeight="1" thickTop="1">
      <c r="A2718" s="226" t="s">
        <v>8791</v>
      </c>
      <c r="B2718" s="28">
        <v>45951</v>
      </c>
      <c r="C2718" s="25">
        <v>1914</v>
      </c>
      <c r="D2718" s="13" t="s">
        <v>2336</v>
      </c>
      <c r="E2718" s="228"/>
      <c r="F2718" s="109" t="s">
        <v>4958</v>
      </c>
      <c r="G2718" s="24"/>
      <c r="H2718" s="230">
        <v>3.5</v>
      </c>
      <c r="I2718" s="220">
        <v>112000</v>
      </c>
      <c r="J2718" s="220">
        <f>I2718*0.1</f>
        <v>11200</v>
      </c>
      <c r="K2718" s="220">
        <v>0</v>
      </c>
      <c r="L2718" s="220">
        <v>9880</v>
      </c>
      <c r="M2718" s="220">
        <v>15950</v>
      </c>
      <c r="N2718" s="220">
        <f>SUM(I2718:M2719)</f>
        <v>149030</v>
      </c>
      <c r="O2718" s="224"/>
      <c r="P2718" s="110" t="s">
        <v>9172</v>
      </c>
      <c r="Q2718" s="15" t="s">
        <v>19</v>
      </c>
      <c r="R2718" s="205"/>
      <c r="S2718" s="189"/>
      <c r="T2718" s="114"/>
      <c r="U2718" s="21"/>
      <c r="V2718" s="115">
        <v>45962</v>
      </c>
      <c r="W2718" s="116">
        <v>1274</v>
      </c>
      <c r="X2718" s="220">
        <v>219000</v>
      </c>
      <c r="Y2718" s="220">
        <f>X2718*0.1</f>
        <v>21900</v>
      </c>
      <c r="Z2718" s="220">
        <v>9880</v>
      </c>
      <c r="AA2718" s="220">
        <f>SUM(X2718:Z2718)</f>
        <v>250780</v>
      </c>
      <c r="AB2718" s="222">
        <v>45965</v>
      </c>
    </row>
    <row r="2719" spans="1:28" ht="17.100000000000001" customHeight="1" thickBot="1">
      <c r="A2719" s="227"/>
      <c r="B2719" s="27" t="s">
        <v>2103</v>
      </c>
      <c r="C2719" s="27">
        <v>7210</v>
      </c>
      <c r="D2719" s="14" t="s">
        <v>1710</v>
      </c>
      <c r="E2719" s="229"/>
      <c r="F2719" s="117" t="s">
        <v>8773</v>
      </c>
      <c r="G2719" s="26">
        <v>38349</v>
      </c>
      <c r="H2719" s="231"/>
      <c r="I2719" s="221"/>
      <c r="J2719" s="221"/>
      <c r="K2719" s="221"/>
      <c r="L2719" s="221"/>
      <c r="M2719" s="221"/>
      <c r="N2719" s="221"/>
      <c r="O2719" s="225"/>
      <c r="P2719" s="118" t="s">
        <v>9173</v>
      </c>
      <c r="Q2719" s="16" t="s">
        <v>20</v>
      </c>
      <c r="R2719" s="17" t="s">
        <v>9093</v>
      </c>
      <c r="S2719" s="121"/>
      <c r="T2719" s="122"/>
      <c r="U2719" s="22"/>
      <c r="V2719" s="123" t="s">
        <v>2472</v>
      </c>
      <c r="W2719" s="122">
        <v>63080</v>
      </c>
      <c r="X2719" s="221"/>
      <c r="Y2719" s="221"/>
      <c r="Z2719" s="221"/>
      <c r="AA2719" s="221"/>
      <c r="AB2719" s="223"/>
    </row>
    <row r="2720" spans="1:28" ht="17.100000000000001" customHeight="1" thickTop="1">
      <c r="A2720" s="226" t="s">
        <v>8792</v>
      </c>
      <c r="B2720" s="28">
        <v>45951</v>
      </c>
      <c r="C2720" s="25">
        <v>1914</v>
      </c>
      <c r="D2720" s="13" t="s">
        <v>3332</v>
      </c>
      <c r="E2720" s="228"/>
      <c r="F2720" s="109" t="s">
        <v>9850</v>
      </c>
      <c r="G2720" s="24"/>
      <c r="H2720" s="230">
        <v>4</v>
      </c>
      <c r="I2720" s="220">
        <v>1493000</v>
      </c>
      <c r="J2720" s="220">
        <f>I2720*0.1</f>
        <v>149300</v>
      </c>
      <c r="K2720" s="220">
        <v>0</v>
      </c>
      <c r="L2720" s="220">
        <v>15100</v>
      </c>
      <c r="M2720" s="220">
        <v>15950</v>
      </c>
      <c r="N2720" s="220">
        <f>SUM(I2720:M2721)</f>
        <v>1673350</v>
      </c>
      <c r="O2720" s="224"/>
      <c r="P2720" s="110" t="s">
        <v>9266</v>
      </c>
      <c r="Q2720" s="15" t="s">
        <v>19</v>
      </c>
      <c r="R2720" s="205"/>
      <c r="S2720" s="189"/>
      <c r="T2720" s="114"/>
      <c r="U2720" s="21"/>
      <c r="V2720" s="115">
        <v>45962</v>
      </c>
      <c r="W2720" s="116">
        <v>1274</v>
      </c>
      <c r="X2720" s="220">
        <v>1630000</v>
      </c>
      <c r="Y2720" s="220">
        <f>X2720*0.1</f>
        <v>163000</v>
      </c>
      <c r="Z2720" s="220">
        <v>15100</v>
      </c>
      <c r="AA2720" s="220">
        <f>SUM(X2720:Z2720)</f>
        <v>1808100</v>
      </c>
      <c r="AB2720" s="222">
        <v>45965</v>
      </c>
    </row>
    <row r="2721" spans="1:28" ht="17.100000000000001" customHeight="1" thickBot="1">
      <c r="A2721" s="227"/>
      <c r="B2721" s="27" t="s">
        <v>2103</v>
      </c>
      <c r="C2721" s="27">
        <v>32042</v>
      </c>
      <c r="D2721" s="14" t="s">
        <v>2753</v>
      </c>
      <c r="E2721" s="229"/>
      <c r="F2721" s="117" t="s">
        <v>8750</v>
      </c>
      <c r="G2721" s="26">
        <v>20894</v>
      </c>
      <c r="H2721" s="231"/>
      <c r="I2721" s="221"/>
      <c r="J2721" s="221"/>
      <c r="K2721" s="221"/>
      <c r="L2721" s="221"/>
      <c r="M2721" s="221"/>
      <c r="N2721" s="221"/>
      <c r="O2721" s="225"/>
      <c r="P2721" s="118" t="s">
        <v>3336</v>
      </c>
      <c r="Q2721" s="16" t="s">
        <v>20</v>
      </c>
      <c r="R2721" s="17" t="s">
        <v>3288</v>
      </c>
      <c r="S2721" s="121" t="s">
        <v>9265</v>
      </c>
      <c r="T2721" s="122"/>
      <c r="U2721" s="22"/>
      <c r="V2721" s="123" t="s">
        <v>2472</v>
      </c>
      <c r="W2721" s="122">
        <v>80011</v>
      </c>
      <c r="X2721" s="221"/>
      <c r="Y2721" s="221"/>
      <c r="Z2721" s="221"/>
      <c r="AA2721" s="221"/>
      <c r="AB2721" s="223"/>
    </row>
    <row r="2722" spans="1:28" ht="17.100000000000001" customHeight="1" thickTop="1">
      <c r="A2722" s="226" t="s">
        <v>8793</v>
      </c>
      <c r="B2722" s="28">
        <v>45951</v>
      </c>
      <c r="C2722" s="25">
        <v>1914</v>
      </c>
      <c r="D2722" s="13" t="s">
        <v>1908</v>
      </c>
      <c r="E2722" s="228"/>
      <c r="F2722" s="109" t="s">
        <v>8751</v>
      </c>
      <c r="G2722" s="24"/>
      <c r="H2722" s="230">
        <v>3.5</v>
      </c>
      <c r="I2722" s="220">
        <v>439000</v>
      </c>
      <c r="J2722" s="220">
        <f>I2722*0.1</f>
        <v>43900</v>
      </c>
      <c r="K2722" s="220">
        <v>0</v>
      </c>
      <c r="L2722" s="220">
        <v>8860</v>
      </c>
      <c r="M2722" s="220">
        <v>15950</v>
      </c>
      <c r="N2722" s="220">
        <f>SUM(I2722:M2723)</f>
        <v>507710</v>
      </c>
      <c r="O2722" s="224"/>
      <c r="P2722" s="110" t="s">
        <v>9170</v>
      </c>
      <c r="Q2722" s="15" t="s">
        <v>19</v>
      </c>
      <c r="R2722" s="205"/>
      <c r="S2722" s="189"/>
      <c r="T2722" s="114"/>
      <c r="U2722" s="21"/>
      <c r="V2722" s="115">
        <v>45955</v>
      </c>
      <c r="W2722" s="116">
        <v>1273</v>
      </c>
      <c r="X2722" s="220">
        <v>530000</v>
      </c>
      <c r="Y2722" s="220">
        <f>X2722*0.1</f>
        <v>53000</v>
      </c>
      <c r="Z2722" s="220">
        <v>8860</v>
      </c>
      <c r="AA2722" s="220">
        <f>SUM(X2722:Z2722)</f>
        <v>591860</v>
      </c>
      <c r="AB2722" s="222">
        <v>45965</v>
      </c>
    </row>
    <row r="2723" spans="1:28" ht="17.100000000000001" customHeight="1" thickBot="1">
      <c r="A2723" s="227"/>
      <c r="B2723" s="27" t="s">
        <v>2103</v>
      </c>
      <c r="C2723" s="27">
        <v>32104</v>
      </c>
      <c r="D2723" s="14" t="s">
        <v>1548</v>
      </c>
      <c r="E2723" s="229"/>
      <c r="F2723" s="117" t="s">
        <v>8752</v>
      </c>
      <c r="G2723" s="26">
        <v>46454</v>
      </c>
      <c r="H2723" s="231"/>
      <c r="I2723" s="221"/>
      <c r="J2723" s="221"/>
      <c r="K2723" s="221"/>
      <c r="L2723" s="221"/>
      <c r="M2723" s="221"/>
      <c r="N2723" s="221"/>
      <c r="O2723" s="225"/>
      <c r="P2723" s="118" t="s">
        <v>9171</v>
      </c>
      <c r="Q2723" s="16" t="s">
        <v>20</v>
      </c>
      <c r="R2723" s="17" t="s">
        <v>9093</v>
      </c>
      <c r="S2723" s="121"/>
      <c r="T2723" s="122"/>
      <c r="U2723" s="22"/>
      <c r="V2723" s="123" t="s">
        <v>6641</v>
      </c>
      <c r="W2723" s="122">
        <v>60471</v>
      </c>
      <c r="X2723" s="221"/>
      <c r="Y2723" s="221"/>
      <c r="Z2723" s="221"/>
      <c r="AA2723" s="221"/>
      <c r="AB2723" s="223"/>
    </row>
    <row r="2724" spans="1:28" ht="17.100000000000001" customHeight="1" thickTop="1">
      <c r="A2724" s="226" t="s">
        <v>8794</v>
      </c>
      <c r="B2724" s="28">
        <v>45951</v>
      </c>
      <c r="C2724" s="25">
        <v>792</v>
      </c>
      <c r="D2724" s="13" t="s">
        <v>8755</v>
      </c>
      <c r="E2724" s="228"/>
      <c r="F2724" s="109" t="s">
        <v>8756</v>
      </c>
      <c r="G2724" s="24"/>
      <c r="H2724" s="230">
        <v>4</v>
      </c>
      <c r="I2724" s="220">
        <v>533000</v>
      </c>
      <c r="J2724" s="220">
        <f>I2724*0.1</f>
        <v>53300</v>
      </c>
      <c r="K2724" s="220">
        <v>0</v>
      </c>
      <c r="L2724" s="220">
        <v>8540</v>
      </c>
      <c r="M2724" s="220">
        <v>15950</v>
      </c>
      <c r="N2724" s="220">
        <f>SUM(I2724:M2725)</f>
        <v>610790</v>
      </c>
      <c r="O2724" s="224"/>
      <c r="P2724" s="110" t="s">
        <v>9157</v>
      </c>
      <c r="Q2724" s="15" t="s">
        <v>19</v>
      </c>
      <c r="R2724" s="205"/>
      <c r="S2724" s="189"/>
      <c r="T2724" s="114"/>
      <c r="U2724" s="21"/>
      <c r="V2724" s="115">
        <v>45969</v>
      </c>
      <c r="W2724" s="116">
        <v>1275</v>
      </c>
      <c r="X2724" s="220">
        <v>660000</v>
      </c>
      <c r="Y2724" s="220">
        <f>X2724*0.1</f>
        <v>66000</v>
      </c>
      <c r="Z2724" s="220">
        <v>8540</v>
      </c>
      <c r="AA2724" s="220">
        <f>SUM(X2724:Z2724)</f>
        <v>734540</v>
      </c>
      <c r="AB2724" s="222">
        <v>45972</v>
      </c>
    </row>
    <row r="2725" spans="1:28" ht="17.100000000000001" customHeight="1" thickBot="1">
      <c r="A2725" s="227"/>
      <c r="B2725" s="27" t="s">
        <v>3314</v>
      </c>
      <c r="C2725" s="27">
        <v>3008</v>
      </c>
      <c r="D2725" s="14" t="s">
        <v>898</v>
      </c>
      <c r="E2725" s="229"/>
      <c r="F2725" s="117" t="s">
        <v>8757</v>
      </c>
      <c r="G2725" s="26">
        <v>63460</v>
      </c>
      <c r="H2725" s="231"/>
      <c r="I2725" s="221"/>
      <c r="J2725" s="221"/>
      <c r="K2725" s="221"/>
      <c r="L2725" s="221"/>
      <c r="M2725" s="221"/>
      <c r="N2725" s="221"/>
      <c r="O2725" s="225"/>
      <c r="P2725" s="118" t="s">
        <v>2031</v>
      </c>
      <c r="Q2725" s="16" t="s">
        <v>20</v>
      </c>
      <c r="R2725" s="17" t="s">
        <v>9093</v>
      </c>
      <c r="S2725" s="121"/>
      <c r="T2725" s="122"/>
      <c r="U2725" s="22"/>
      <c r="V2725" s="123" t="s">
        <v>2472</v>
      </c>
      <c r="W2725" s="122">
        <v>60233</v>
      </c>
      <c r="X2725" s="221"/>
      <c r="Y2725" s="221"/>
      <c r="Z2725" s="221"/>
      <c r="AA2725" s="221"/>
      <c r="AB2725" s="223"/>
    </row>
    <row r="2726" spans="1:28" ht="17.100000000000001" customHeight="1" thickTop="1">
      <c r="A2726" s="226" t="s">
        <v>8795</v>
      </c>
      <c r="B2726" s="28">
        <v>45951</v>
      </c>
      <c r="C2726" s="25">
        <v>792</v>
      </c>
      <c r="D2726" s="13" t="s">
        <v>1947</v>
      </c>
      <c r="E2726" s="228"/>
      <c r="F2726" s="109" t="s">
        <v>7868</v>
      </c>
      <c r="G2726" s="24" t="s">
        <v>2536</v>
      </c>
      <c r="H2726" s="230">
        <v>4.5</v>
      </c>
      <c r="I2726" s="220">
        <v>1576000</v>
      </c>
      <c r="J2726" s="220">
        <f>I2726*0.1</f>
        <v>157600</v>
      </c>
      <c r="K2726" s="220">
        <v>0</v>
      </c>
      <c r="L2726" s="220">
        <v>7040</v>
      </c>
      <c r="M2726" s="220">
        <v>15950</v>
      </c>
      <c r="N2726" s="220">
        <f>SUM(I2726:M2727)</f>
        <v>1756590</v>
      </c>
      <c r="O2726" s="224"/>
      <c r="P2726" s="110" t="s">
        <v>8754</v>
      </c>
      <c r="Q2726" s="15" t="s">
        <v>19</v>
      </c>
      <c r="R2726" s="205"/>
      <c r="S2726" s="189" t="s">
        <v>25551</v>
      </c>
      <c r="T2726" s="114"/>
      <c r="U2726" s="21" t="s">
        <v>9846</v>
      </c>
      <c r="V2726" s="115">
        <v>45962</v>
      </c>
      <c r="W2726" s="116">
        <v>1274</v>
      </c>
      <c r="X2726" s="220">
        <v>1575000</v>
      </c>
      <c r="Y2726" s="220">
        <f>X2726*0.1</f>
        <v>157500</v>
      </c>
      <c r="Z2726" s="220">
        <v>7040</v>
      </c>
      <c r="AA2726" s="220">
        <f>SUM(X2726:Z2726)</f>
        <v>1739540</v>
      </c>
      <c r="AB2726" s="222">
        <v>45967</v>
      </c>
    </row>
    <row r="2727" spans="1:28" ht="17.100000000000001" customHeight="1" thickBot="1">
      <c r="A2727" s="227"/>
      <c r="B2727" s="27" t="s">
        <v>3314</v>
      </c>
      <c r="C2727" s="27">
        <v>3036</v>
      </c>
      <c r="D2727" s="14" t="s">
        <v>2559</v>
      </c>
      <c r="E2727" s="229"/>
      <c r="F2727" s="117" t="s">
        <v>8753</v>
      </c>
      <c r="G2727" s="26">
        <v>17020</v>
      </c>
      <c r="H2727" s="231"/>
      <c r="I2727" s="221"/>
      <c r="J2727" s="221"/>
      <c r="K2727" s="221"/>
      <c r="L2727" s="221"/>
      <c r="M2727" s="221"/>
      <c r="N2727" s="221"/>
      <c r="O2727" s="225"/>
      <c r="P2727" s="118" t="s">
        <v>9221</v>
      </c>
      <c r="Q2727" s="16" t="s">
        <v>20</v>
      </c>
      <c r="R2727" s="17" t="s">
        <v>3288</v>
      </c>
      <c r="S2727" s="121" t="s">
        <v>3861</v>
      </c>
      <c r="T2727" s="122"/>
      <c r="U2727" s="22"/>
      <c r="V2727" s="123" t="s">
        <v>2472</v>
      </c>
      <c r="W2727" s="122">
        <v>60056</v>
      </c>
      <c r="X2727" s="221"/>
      <c r="Y2727" s="221"/>
      <c r="Z2727" s="221"/>
      <c r="AA2727" s="221"/>
      <c r="AB2727" s="223"/>
    </row>
    <row r="2728" spans="1:28" ht="17.100000000000001" customHeight="1" thickTop="1">
      <c r="A2728" s="226" t="s">
        <v>8796</v>
      </c>
      <c r="B2728" s="28">
        <v>45951</v>
      </c>
      <c r="C2728" s="25">
        <v>792</v>
      </c>
      <c r="D2728" s="13" t="s">
        <v>2913</v>
      </c>
      <c r="E2728" s="228"/>
      <c r="F2728" s="109" t="s">
        <v>6884</v>
      </c>
      <c r="G2728" s="24" t="s">
        <v>1540</v>
      </c>
      <c r="H2728" s="230">
        <v>4</v>
      </c>
      <c r="I2728" s="220">
        <v>1179000</v>
      </c>
      <c r="J2728" s="220">
        <f>I2728*0.1</f>
        <v>117900</v>
      </c>
      <c r="K2728" s="220">
        <v>0</v>
      </c>
      <c r="L2728" s="220">
        <v>8640</v>
      </c>
      <c r="M2728" s="220">
        <v>15950</v>
      </c>
      <c r="N2728" s="220">
        <f>SUM(I2728:M2729)</f>
        <v>1321490</v>
      </c>
      <c r="O2728" s="224"/>
      <c r="P2728" s="110" t="s">
        <v>8759</v>
      </c>
      <c r="Q2728" s="15" t="s">
        <v>19</v>
      </c>
      <c r="R2728" s="205"/>
      <c r="S2728" s="189" t="s">
        <v>25415</v>
      </c>
      <c r="T2728" s="114"/>
      <c r="U2728" s="21" t="s">
        <v>10046</v>
      </c>
      <c r="V2728" s="115">
        <v>45966</v>
      </c>
      <c r="W2728" s="116">
        <v>991</v>
      </c>
      <c r="X2728" s="220">
        <v>1250000</v>
      </c>
      <c r="Y2728" s="220">
        <f>X2728*0.1</f>
        <v>125000</v>
      </c>
      <c r="Z2728" s="220">
        <v>8640</v>
      </c>
      <c r="AA2728" s="220">
        <f>SUM(X2728:Z2728)</f>
        <v>1383640</v>
      </c>
      <c r="AB2728" s="222">
        <v>45971</v>
      </c>
    </row>
    <row r="2729" spans="1:28" ht="17.100000000000001" customHeight="1" thickBot="1">
      <c r="A2729" s="227"/>
      <c r="B2729" s="27" t="s">
        <v>3314</v>
      </c>
      <c r="C2729" s="27">
        <v>3110</v>
      </c>
      <c r="D2729" s="14" t="s">
        <v>2753</v>
      </c>
      <c r="E2729" s="229"/>
      <c r="F2729" s="117" t="s">
        <v>8758</v>
      </c>
      <c r="G2729" s="26">
        <v>28409</v>
      </c>
      <c r="H2729" s="231"/>
      <c r="I2729" s="221"/>
      <c r="J2729" s="221"/>
      <c r="K2729" s="221"/>
      <c r="L2729" s="221"/>
      <c r="M2729" s="221"/>
      <c r="N2729" s="221"/>
      <c r="O2729" s="225"/>
      <c r="P2729" s="118" t="s">
        <v>9156</v>
      </c>
      <c r="Q2729" s="16" t="s">
        <v>20</v>
      </c>
      <c r="R2729" s="17" t="s">
        <v>9093</v>
      </c>
      <c r="S2729" s="121" t="s">
        <v>2025</v>
      </c>
      <c r="T2729" s="122"/>
      <c r="U2729" s="22"/>
      <c r="V2729" s="123" t="s">
        <v>7161</v>
      </c>
      <c r="W2729" s="122">
        <v>2014</v>
      </c>
      <c r="X2729" s="221"/>
      <c r="Y2729" s="221"/>
      <c r="Z2729" s="221"/>
      <c r="AA2729" s="221"/>
      <c r="AB2729" s="223"/>
    </row>
    <row r="2730" spans="1:28" ht="17.100000000000001" customHeight="1" thickTop="1">
      <c r="A2730" s="226" t="s">
        <v>8797</v>
      </c>
      <c r="B2730" s="28">
        <v>45951</v>
      </c>
      <c r="C2730" s="25">
        <v>792</v>
      </c>
      <c r="D2730" s="13" t="s">
        <v>812</v>
      </c>
      <c r="E2730" s="228"/>
      <c r="F2730" s="109" t="s">
        <v>8760</v>
      </c>
      <c r="G2730" s="24" t="s">
        <v>1551</v>
      </c>
      <c r="H2730" s="230">
        <v>4</v>
      </c>
      <c r="I2730" s="220">
        <v>1356000</v>
      </c>
      <c r="J2730" s="220">
        <f>I2730*0.1</f>
        <v>135600</v>
      </c>
      <c r="K2730" s="220">
        <v>11440</v>
      </c>
      <c r="L2730" s="220">
        <v>15250</v>
      </c>
      <c r="M2730" s="220">
        <v>19250</v>
      </c>
      <c r="N2730" s="220">
        <f>SUM(I2730:M2731)</f>
        <v>1537540</v>
      </c>
      <c r="O2730" s="224"/>
      <c r="P2730" s="110" t="s">
        <v>8762</v>
      </c>
      <c r="Q2730" s="15" t="s">
        <v>19</v>
      </c>
      <c r="R2730" s="205"/>
      <c r="S2730" s="189" t="s">
        <v>1189</v>
      </c>
      <c r="T2730" s="114"/>
      <c r="U2730" s="21"/>
      <c r="V2730" s="115">
        <v>45962</v>
      </c>
      <c r="W2730" s="116">
        <v>1274</v>
      </c>
      <c r="X2730" s="220">
        <v>1535000</v>
      </c>
      <c r="Y2730" s="220">
        <f>X2730*0.1</f>
        <v>153500</v>
      </c>
      <c r="Z2730" s="220">
        <v>15250</v>
      </c>
      <c r="AA2730" s="220">
        <f>SUM(X2730:Z2730)</f>
        <v>1703750</v>
      </c>
      <c r="AB2730" s="222">
        <v>45965</v>
      </c>
    </row>
    <row r="2731" spans="1:28" ht="17.100000000000001" customHeight="1" thickBot="1">
      <c r="A2731" s="227"/>
      <c r="B2731" s="27" t="s">
        <v>3314</v>
      </c>
      <c r="C2731" s="27">
        <v>5011</v>
      </c>
      <c r="D2731" s="14" t="s">
        <v>1584</v>
      </c>
      <c r="E2731" s="229"/>
      <c r="F2731" s="117" t="s">
        <v>8761</v>
      </c>
      <c r="G2731" s="26">
        <v>49649</v>
      </c>
      <c r="H2731" s="231"/>
      <c r="I2731" s="221"/>
      <c r="J2731" s="221"/>
      <c r="K2731" s="221"/>
      <c r="L2731" s="221"/>
      <c r="M2731" s="221"/>
      <c r="N2731" s="221"/>
      <c r="O2731" s="225"/>
      <c r="P2731" s="118" t="s">
        <v>9499</v>
      </c>
      <c r="Q2731" s="16" t="s">
        <v>20</v>
      </c>
      <c r="R2731" s="17" t="s">
        <v>9475</v>
      </c>
      <c r="S2731" s="121" t="s">
        <v>7305</v>
      </c>
      <c r="T2731" s="122"/>
      <c r="U2731" s="22"/>
      <c r="V2731" s="123" t="s">
        <v>2472</v>
      </c>
      <c r="W2731" s="122">
        <v>80013</v>
      </c>
      <c r="X2731" s="221"/>
      <c r="Y2731" s="221"/>
      <c r="Z2731" s="221"/>
      <c r="AA2731" s="221"/>
      <c r="AB2731" s="223"/>
    </row>
    <row r="2732" spans="1:28" ht="17.100000000000001" customHeight="1" thickTop="1">
      <c r="A2732" s="226" t="s">
        <v>8798</v>
      </c>
      <c r="B2732" s="28">
        <v>45951</v>
      </c>
      <c r="C2732" s="25">
        <v>912</v>
      </c>
      <c r="D2732" s="13" t="s">
        <v>1976</v>
      </c>
      <c r="E2732" s="228"/>
      <c r="F2732" s="109" t="s">
        <v>8763</v>
      </c>
      <c r="G2732" s="24" t="s">
        <v>4239</v>
      </c>
      <c r="H2732" s="230">
        <v>4.5</v>
      </c>
      <c r="I2732" s="220">
        <v>915000</v>
      </c>
      <c r="J2732" s="220">
        <f>I2732*0.1</f>
        <v>91500</v>
      </c>
      <c r="K2732" s="220">
        <v>0</v>
      </c>
      <c r="L2732" s="220">
        <v>8010</v>
      </c>
      <c r="M2732" s="220">
        <v>15950</v>
      </c>
      <c r="N2732" s="220">
        <f>SUM(I2732:M2733)</f>
        <v>1030460</v>
      </c>
      <c r="O2732" s="224"/>
      <c r="P2732" s="110" t="s">
        <v>9159</v>
      </c>
      <c r="Q2732" s="15" t="s">
        <v>19</v>
      </c>
      <c r="R2732" s="205"/>
      <c r="S2732" s="189" t="s">
        <v>25552</v>
      </c>
      <c r="T2732" s="114"/>
      <c r="U2732" s="21" t="s">
        <v>9838</v>
      </c>
      <c r="V2732" s="115">
        <v>45962</v>
      </c>
      <c r="W2732" s="116">
        <v>1274</v>
      </c>
      <c r="X2732" s="220">
        <v>910000</v>
      </c>
      <c r="Y2732" s="220">
        <f>X2732*0.1</f>
        <v>91000</v>
      </c>
      <c r="Z2732" s="220">
        <v>8010</v>
      </c>
      <c r="AA2732" s="220">
        <f>SUM(X2732:Z2732)</f>
        <v>1009010</v>
      </c>
      <c r="AB2732" s="222">
        <v>45967</v>
      </c>
    </row>
    <row r="2733" spans="1:28" ht="17.100000000000001" customHeight="1" thickBot="1">
      <c r="A2733" s="227"/>
      <c r="B2733" s="27" t="s">
        <v>2654</v>
      </c>
      <c r="C2733" s="27">
        <v>3145</v>
      </c>
      <c r="D2733" s="14" t="s">
        <v>1710</v>
      </c>
      <c r="E2733" s="229"/>
      <c r="F2733" s="117" t="s">
        <v>8764</v>
      </c>
      <c r="G2733" s="26">
        <v>23572</v>
      </c>
      <c r="H2733" s="231"/>
      <c r="I2733" s="221"/>
      <c r="J2733" s="221"/>
      <c r="K2733" s="221"/>
      <c r="L2733" s="221"/>
      <c r="M2733" s="221"/>
      <c r="N2733" s="221"/>
      <c r="O2733" s="225"/>
      <c r="P2733" s="118" t="s">
        <v>9160</v>
      </c>
      <c r="Q2733" s="16" t="s">
        <v>20</v>
      </c>
      <c r="R2733" s="17" t="s">
        <v>9093</v>
      </c>
      <c r="S2733" s="121" t="s">
        <v>5228</v>
      </c>
      <c r="T2733" s="122"/>
      <c r="U2733" s="22"/>
      <c r="V2733" s="123" t="s">
        <v>2472</v>
      </c>
      <c r="W2733" s="122">
        <v>60052</v>
      </c>
      <c r="X2733" s="221"/>
      <c r="Y2733" s="221"/>
      <c r="Z2733" s="221"/>
      <c r="AA2733" s="221"/>
      <c r="AB2733" s="223"/>
    </row>
    <row r="2734" spans="1:28" ht="17.100000000000001" customHeight="1" thickTop="1">
      <c r="A2734" s="226" t="s">
        <v>8799</v>
      </c>
      <c r="B2734" s="28">
        <v>45951</v>
      </c>
      <c r="C2734" s="25">
        <v>912</v>
      </c>
      <c r="D2734" s="13" t="s">
        <v>3687</v>
      </c>
      <c r="E2734" s="228"/>
      <c r="F2734" s="109" t="s">
        <v>4178</v>
      </c>
      <c r="G2734" s="24"/>
      <c r="H2734" s="230">
        <v>3.5</v>
      </c>
      <c r="I2734" s="220">
        <v>436000</v>
      </c>
      <c r="J2734" s="220">
        <f>I2734*0.1</f>
        <v>43600</v>
      </c>
      <c r="K2734" s="220">
        <v>0</v>
      </c>
      <c r="L2734" s="220">
        <v>9790</v>
      </c>
      <c r="M2734" s="220">
        <v>15950</v>
      </c>
      <c r="N2734" s="220">
        <f>SUM(I2734:M2735)</f>
        <v>505340</v>
      </c>
      <c r="O2734" s="224"/>
      <c r="P2734" s="110" t="s">
        <v>9158</v>
      </c>
      <c r="Q2734" s="15" t="s">
        <v>19</v>
      </c>
      <c r="R2734" s="205"/>
      <c r="S2734" s="189"/>
      <c r="T2734" s="114"/>
      <c r="U2734" s="21"/>
      <c r="V2734" s="115">
        <v>45955</v>
      </c>
      <c r="W2734" s="116">
        <v>1273</v>
      </c>
      <c r="X2734" s="220">
        <v>495000</v>
      </c>
      <c r="Y2734" s="220">
        <f>X2734*0.1</f>
        <v>49500</v>
      </c>
      <c r="Z2734" s="220">
        <v>9790</v>
      </c>
      <c r="AA2734" s="220">
        <f>SUM(X2734:Z2734)</f>
        <v>554290</v>
      </c>
      <c r="AB2734" s="222">
        <v>45960</v>
      </c>
    </row>
    <row r="2735" spans="1:28" ht="17.100000000000001" customHeight="1" thickBot="1">
      <c r="A2735" s="227"/>
      <c r="B2735" s="27" t="s">
        <v>2654</v>
      </c>
      <c r="C2735" s="27">
        <v>7168</v>
      </c>
      <c r="D2735" s="14" t="s">
        <v>2559</v>
      </c>
      <c r="E2735" s="229"/>
      <c r="F2735" s="117" t="s">
        <v>8765</v>
      </c>
      <c r="G2735" s="26">
        <v>53256</v>
      </c>
      <c r="H2735" s="231"/>
      <c r="I2735" s="221"/>
      <c r="J2735" s="221"/>
      <c r="K2735" s="221"/>
      <c r="L2735" s="221"/>
      <c r="M2735" s="221"/>
      <c r="N2735" s="221"/>
      <c r="O2735" s="225"/>
      <c r="P2735" s="118" t="s">
        <v>8530</v>
      </c>
      <c r="Q2735" s="16" t="s">
        <v>20</v>
      </c>
      <c r="R2735" s="17" t="s">
        <v>9093</v>
      </c>
      <c r="S2735" s="121"/>
      <c r="T2735" s="122"/>
      <c r="U2735" s="22"/>
      <c r="V2735" s="123" t="s">
        <v>2472</v>
      </c>
      <c r="W2735" s="122">
        <v>60504</v>
      </c>
      <c r="X2735" s="221"/>
      <c r="Y2735" s="221"/>
      <c r="Z2735" s="221"/>
      <c r="AA2735" s="221"/>
      <c r="AB2735" s="223"/>
    </row>
    <row r="2736" spans="1:28" ht="17.100000000000001" customHeight="1" thickTop="1">
      <c r="A2736" s="226" t="s">
        <v>8800</v>
      </c>
      <c r="B2736" s="28">
        <v>45951</v>
      </c>
      <c r="C2736" s="25">
        <v>1213</v>
      </c>
      <c r="D2736" s="13" t="s">
        <v>2920</v>
      </c>
      <c r="E2736" s="228"/>
      <c r="F2736" s="109" t="s">
        <v>8774</v>
      </c>
      <c r="G2736" s="24" t="s">
        <v>4038</v>
      </c>
      <c r="H2736" s="230">
        <v>4</v>
      </c>
      <c r="I2736" s="220">
        <v>1725000</v>
      </c>
      <c r="J2736" s="220">
        <f>I2736*0.1</f>
        <v>172500</v>
      </c>
      <c r="K2736" s="220">
        <v>16500</v>
      </c>
      <c r="L2736" s="220">
        <v>13450</v>
      </c>
      <c r="M2736" s="220">
        <v>15950</v>
      </c>
      <c r="N2736" s="220">
        <f>SUM(I2736:M2737)</f>
        <v>1943400</v>
      </c>
      <c r="O2736" s="224"/>
      <c r="P2736" s="110" t="s">
        <v>8776</v>
      </c>
      <c r="Q2736" s="15" t="s">
        <v>19</v>
      </c>
      <c r="R2736" s="205"/>
      <c r="S2736" s="189" t="s">
        <v>758</v>
      </c>
      <c r="T2736" s="114"/>
      <c r="U2736" s="21"/>
      <c r="V2736" s="115">
        <v>45962</v>
      </c>
      <c r="W2736" s="116">
        <v>1274</v>
      </c>
      <c r="X2736" s="220">
        <v>1835000</v>
      </c>
      <c r="Y2736" s="220">
        <f>X2736*0.1</f>
        <v>183500</v>
      </c>
      <c r="Z2736" s="220">
        <v>13450</v>
      </c>
      <c r="AA2736" s="220">
        <f>SUM(X2736:Z2736)</f>
        <v>2031950</v>
      </c>
      <c r="AB2736" s="222">
        <v>45965</v>
      </c>
    </row>
    <row r="2737" spans="1:28" ht="17.100000000000001" customHeight="1" thickBot="1">
      <c r="A2737" s="227"/>
      <c r="B2737" s="27" t="s">
        <v>2344</v>
      </c>
      <c r="C2737" s="27">
        <v>5030</v>
      </c>
      <c r="D2737" s="14" t="s">
        <v>898</v>
      </c>
      <c r="E2737" s="229"/>
      <c r="F2737" s="117" t="s">
        <v>8775</v>
      </c>
      <c r="G2737" s="26">
        <v>52332</v>
      </c>
      <c r="H2737" s="231"/>
      <c r="I2737" s="221"/>
      <c r="J2737" s="221"/>
      <c r="K2737" s="221"/>
      <c r="L2737" s="221"/>
      <c r="M2737" s="221"/>
      <c r="N2737" s="221"/>
      <c r="O2737" s="225"/>
      <c r="P2737" s="118" t="s">
        <v>4563</v>
      </c>
      <c r="Q2737" s="16" t="s">
        <v>20</v>
      </c>
      <c r="R2737" s="17" t="s">
        <v>9475</v>
      </c>
      <c r="S2737" s="121" t="s">
        <v>1731</v>
      </c>
      <c r="T2737" s="122"/>
      <c r="U2737" s="22"/>
      <c r="V2737" s="123" t="s">
        <v>2472</v>
      </c>
      <c r="W2737" s="122">
        <v>80009</v>
      </c>
      <c r="X2737" s="221"/>
      <c r="Y2737" s="221"/>
      <c r="Z2737" s="221"/>
      <c r="AA2737" s="221"/>
      <c r="AB2737" s="223"/>
    </row>
    <row r="2738" spans="1:28" ht="17.100000000000001" customHeight="1" thickTop="1">
      <c r="A2738" s="226" t="s">
        <v>8802</v>
      </c>
      <c r="B2738" s="28">
        <v>45951</v>
      </c>
      <c r="C2738" s="25">
        <v>1049</v>
      </c>
      <c r="D2738" s="13" t="s">
        <v>1615</v>
      </c>
      <c r="E2738" s="228"/>
      <c r="F2738" s="109" t="s">
        <v>8806</v>
      </c>
      <c r="G2738" s="24"/>
      <c r="H2738" s="230">
        <v>4</v>
      </c>
      <c r="I2738" s="220">
        <v>216000</v>
      </c>
      <c r="J2738" s="220">
        <f>I2738*0.1</f>
        <v>21600</v>
      </c>
      <c r="K2738" s="220">
        <v>0</v>
      </c>
      <c r="L2738" s="220">
        <v>8490</v>
      </c>
      <c r="M2738" s="220">
        <v>16500</v>
      </c>
      <c r="N2738" s="220">
        <f>SUM(I2738:M2739)</f>
        <v>262590</v>
      </c>
      <c r="O2738" s="224"/>
      <c r="P2738" s="110" t="s">
        <v>9336</v>
      </c>
      <c r="Q2738" s="15" t="s">
        <v>19</v>
      </c>
      <c r="R2738" s="205"/>
      <c r="S2738" s="189"/>
      <c r="T2738" s="114"/>
      <c r="U2738" s="21"/>
      <c r="V2738" s="115">
        <v>45955</v>
      </c>
      <c r="W2738" s="116">
        <v>1273</v>
      </c>
      <c r="X2738" s="220">
        <v>276000</v>
      </c>
      <c r="Y2738" s="220">
        <f>X2738*0.1</f>
        <v>27600</v>
      </c>
      <c r="Z2738" s="220">
        <v>8490</v>
      </c>
      <c r="AA2738" s="220">
        <f>SUM(X2738:Z2738)</f>
        <v>312090</v>
      </c>
      <c r="AB2738" s="222">
        <v>45960</v>
      </c>
    </row>
    <row r="2739" spans="1:28" ht="17.100000000000001" customHeight="1" thickBot="1">
      <c r="A2739" s="227"/>
      <c r="B2739" s="27" t="s">
        <v>8801</v>
      </c>
      <c r="C2739" s="27">
        <v>92</v>
      </c>
      <c r="D2739" s="14" t="s">
        <v>1568</v>
      </c>
      <c r="E2739" s="229"/>
      <c r="F2739" s="117" t="s">
        <v>8807</v>
      </c>
      <c r="G2739" s="26">
        <v>19455</v>
      </c>
      <c r="H2739" s="231"/>
      <c r="I2739" s="221"/>
      <c r="J2739" s="221"/>
      <c r="K2739" s="221"/>
      <c r="L2739" s="221"/>
      <c r="M2739" s="221"/>
      <c r="N2739" s="221"/>
      <c r="O2739" s="225"/>
      <c r="P2739" s="118" t="s">
        <v>9337</v>
      </c>
      <c r="Q2739" s="16" t="s">
        <v>20</v>
      </c>
      <c r="R2739" s="17" t="s">
        <v>1665</v>
      </c>
      <c r="S2739" s="121"/>
      <c r="T2739" s="122"/>
      <c r="U2739" s="22"/>
      <c r="V2739" s="123" t="s">
        <v>2472</v>
      </c>
      <c r="W2739" s="122">
        <v>63203</v>
      </c>
      <c r="X2739" s="221"/>
      <c r="Y2739" s="221"/>
      <c r="Z2739" s="221"/>
      <c r="AA2739" s="221"/>
      <c r="AB2739" s="223"/>
    </row>
    <row r="2740" spans="1:28" ht="17.100000000000001" customHeight="1" thickTop="1">
      <c r="A2740" s="226" t="s">
        <v>8803</v>
      </c>
      <c r="B2740" s="28">
        <v>45951</v>
      </c>
      <c r="C2740" s="25">
        <v>1049</v>
      </c>
      <c r="D2740" s="13" t="s">
        <v>2441</v>
      </c>
      <c r="E2740" s="228"/>
      <c r="F2740" s="109" t="s">
        <v>8808</v>
      </c>
      <c r="G2740" s="24" t="s">
        <v>2124</v>
      </c>
      <c r="H2740" s="230">
        <v>5</v>
      </c>
      <c r="I2740" s="220">
        <v>1356000</v>
      </c>
      <c r="J2740" s="220">
        <f>I2740*0.1</f>
        <v>135600</v>
      </c>
      <c r="K2740" s="220">
        <v>0</v>
      </c>
      <c r="L2740" s="220">
        <v>6470</v>
      </c>
      <c r="M2740" s="220">
        <v>16500</v>
      </c>
      <c r="N2740" s="220">
        <f>SUM(I2740:M2741)</f>
        <v>1514570</v>
      </c>
      <c r="O2740" s="224"/>
      <c r="P2740" s="110" t="s">
        <v>9357</v>
      </c>
      <c r="Q2740" s="15" t="s">
        <v>19</v>
      </c>
      <c r="R2740" s="205"/>
      <c r="S2740" s="189" t="s">
        <v>25476</v>
      </c>
      <c r="T2740" s="114"/>
      <c r="U2740" s="21"/>
      <c r="V2740" s="115">
        <v>45958</v>
      </c>
      <c r="W2740" s="116">
        <v>1915</v>
      </c>
      <c r="X2740" s="220">
        <v>1376000</v>
      </c>
      <c r="Y2740" s="220">
        <f>X2740*0.1</f>
        <v>137600</v>
      </c>
      <c r="Z2740" s="220">
        <v>6470</v>
      </c>
      <c r="AA2740" s="220">
        <f>SUM(X2740:Z2740)</f>
        <v>1520070</v>
      </c>
      <c r="AB2740" s="222">
        <v>45965</v>
      </c>
    </row>
    <row r="2741" spans="1:28" ht="17.100000000000001" customHeight="1" thickBot="1">
      <c r="A2741" s="227"/>
      <c r="B2741" s="27" t="s">
        <v>8801</v>
      </c>
      <c r="C2741" s="27">
        <v>112</v>
      </c>
      <c r="D2741" s="14" t="s">
        <v>2559</v>
      </c>
      <c r="E2741" s="229"/>
      <c r="F2741" s="117" t="s">
        <v>8809</v>
      </c>
      <c r="G2741" s="26">
        <v>1369</v>
      </c>
      <c r="H2741" s="231"/>
      <c r="I2741" s="221"/>
      <c r="J2741" s="221"/>
      <c r="K2741" s="221"/>
      <c r="L2741" s="221"/>
      <c r="M2741" s="221"/>
      <c r="N2741" s="221"/>
      <c r="O2741" s="225"/>
      <c r="P2741" s="118" t="s">
        <v>9358</v>
      </c>
      <c r="Q2741" s="16" t="s">
        <v>20</v>
      </c>
      <c r="R2741" s="17" t="s">
        <v>1665</v>
      </c>
      <c r="S2741" s="121" t="s">
        <v>9359</v>
      </c>
      <c r="T2741" s="122"/>
      <c r="U2741" s="22"/>
      <c r="V2741" s="123" t="s">
        <v>2103</v>
      </c>
      <c r="W2741" s="122">
        <v>3251</v>
      </c>
      <c r="X2741" s="221"/>
      <c r="Y2741" s="221"/>
      <c r="Z2741" s="221"/>
      <c r="AA2741" s="221"/>
      <c r="AB2741" s="223"/>
    </row>
    <row r="2742" spans="1:28" ht="17.100000000000001" customHeight="1" thickTop="1">
      <c r="A2742" s="226" t="s">
        <v>8804</v>
      </c>
      <c r="B2742" s="28">
        <v>45951</v>
      </c>
      <c r="C2742" s="25">
        <v>1049</v>
      </c>
      <c r="D2742" s="13" t="s">
        <v>5415</v>
      </c>
      <c r="E2742" s="228"/>
      <c r="F2742" s="109" t="s">
        <v>8810</v>
      </c>
      <c r="G2742" s="24" t="s">
        <v>8855</v>
      </c>
      <c r="H2742" s="230">
        <v>4</v>
      </c>
      <c r="I2742" s="220">
        <v>300000</v>
      </c>
      <c r="J2742" s="220">
        <f>I2742*0.1</f>
        <v>30000</v>
      </c>
      <c r="K2742" s="220">
        <v>0</v>
      </c>
      <c r="L2742" s="220">
        <v>9170</v>
      </c>
      <c r="M2742" s="220">
        <v>16500</v>
      </c>
      <c r="N2742" s="220">
        <f>SUM(I2742:M2743)</f>
        <v>355670</v>
      </c>
      <c r="O2742" s="224"/>
      <c r="P2742" s="110" t="s">
        <v>8856</v>
      </c>
      <c r="Q2742" s="15" t="s">
        <v>19</v>
      </c>
      <c r="R2742" s="205"/>
      <c r="S2742" s="189" t="s">
        <v>25371</v>
      </c>
      <c r="T2742" s="114"/>
      <c r="U2742" s="21"/>
      <c r="V2742" s="115">
        <v>46046</v>
      </c>
      <c r="W2742" s="116">
        <v>1285</v>
      </c>
      <c r="X2742" s="220">
        <v>265000</v>
      </c>
      <c r="Y2742" s="220">
        <f>X2742*0.1</f>
        <v>26500</v>
      </c>
      <c r="Z2742" s="220">
        <v>9170</v>
      </c>
      <c r="AA2742" s="220">
        <f>SUM(X2742:Z2742)</f>
        <v>300670</v>
      </c>
      <c r="AB2742" s="222">
        <v>46049</v>
      </c>
    </row>
    <row r="2743" spans="1:28" ht="17.100000000000001" customHeight="1" thickBot="1">
      <c r="A2743" s="227"/>
      <c r="B2743" s="27" t="s">
        <v>8801</v>
      </c>
      <c r="C2743" s="27">
        <v>127</v>
      </c>
      <c r="D2743" s="14" t="s">
        <v>1568</v>
      </c>
      <c r="E2743" s="229"/>
      <c r="F2743" s="117" t="s">
        <v>8811</v>
      </c>
      <c r="G2743" s="26">
        <v>51655</v>
      </c>
      <c r="H2743" s="231"/>
      <c r="I2743" s="221"/>
      <c r="J2743" s="221"/>
      <c r="K2743" s="221"/>
      <c r="L2743" s="221"/>
      <c r="M2743" s="221"/>
      <c r="N2743" s="221"/>
      <c r="O2743" s="225"/>
      <c r="P2743" s="118" t="s">
        <v>9223</v>
      </c>
      <c r="Q2743" s="16" t="s">
        <v>20</v>
      </c>
      <c r="R2743" s="17" t="s">
        <v>3288</v>
      </c>
      <c r="S2743" s="121" t="s">
        <v>9224</v>
      </c>
      <c r="T2743" s="122"/>
      <c r="U2743" s="22"/>
      <c r="V2743" s="123" t="s">
        <v>2472</v>
      </c>
      <c r="W2743" s="122">
        <v>60147</v>
      </c>
      <c r="X2743" s="221"/>
      <c r="Y2743" s="221"/>
      <c r="Z2743" s="221"/>
      <c r="AA2743" s="221"/>
      <c r="AB2743" s="223"/>
    </row>
    <row r="2744" spans="1:28" ht="17.100000000000001" customHeight="1" thickTop="1">
      <c r="A2744" s="233" t="s">
        <v>8805</v>
      </c>
      <c r="B2744" s="28">
        <v>45951</v>
      </c>
      <c r="C2744" s="25">
        <v>1049</v>
      </c>
      <c r="D2744" s="13" t="s">
        <v>1702</v>
      </c>
      <c r="E2744" s="228"/>
      <c r="F2744" s="109" t="s">
        <v>3844</v>
      </c>
      <c r="G2744" s="24"/>
      <c r="H2744" s="230">
        <v>4.5</v>
      </c>
      <c r="I2744" s="220">
        <v>546000</v>
      </c>
      <c r="J2744" s="220">
        <f>I2744*0.1</f>
        <v>54600</v>
      </c>
      <c r="K2744" s="220">
        <v>0</v>
      </c>
      <c r="L2744" s="220">
        <v>7950</v>
      </c>
      <c r="M2744" s="220">
        <v>16500</v>
      </c>
      <c r="N2744" s="220">
        <f>SUM(I2744:M2745)</f>
        <v>625050</v>
      </c>
      <c r="O2744" s="224"/>
      <c r="P2744" s="110" t="s">
        <v>9182</v>
      </c>
      <c r="Q2744" s="15" t="s">
        <v>19</v>
      </c>
      <c r="R2744" s="205"/>
      <c r="S2744" s="189"/>
      <c r="T2744" s="114" t="s">
        <v>7899</v>
      </c>
      <c r="U2744" s="21"/>
      <c r="V2744" s="115"/>
      <c r="W2744" s="116"/>
      <c r="X2744" s="220"/>
      <c r="Y2744" s="220">
        <f>X2744*0.1</f>
        <v>0</v>
      </c>
      <c r="Z2744" s="220"/>
      <c r="AA2744" s="220">
        <f>SUM(X2744:Z2744)</f>
        <v>0</v>
      </c>
      <c r="AB2744" s="222"/>
    </row>
    <row r="2745" spans="1:28" ht="17.100000000000001" customHeight="1" thickBot="1">
      <c r="A2745" s="234"/>
      <c r="B2745" s="27" t="s">
        <v>8801</v>
      </c>
      <c r="C2745" s="27">
        <v>30065</v>
      </c>
      <c r="D2745" s="14" t="s">
        <v>2753</v>
      </c>
      <c r="E2745" s="229"/>
      <c r="F2745" s="117" t="s">
        <v>8812</v>
      </c>
      <c r="G2745" s="26">
        <v>35837</v>
      </c>
      <c r="H2745" s="231"/>
      <c r="I2745" s="221"/>
      <c r="J2745" s="221"/>
      <c r="K2745" s="221"/>
      <c r="L2745" s="221"/>
      <c r="M2745" s="221"/>
      <c r="N2745" s="221"/>
      <c r="O2745" s="225"/>
      <c r="P2745" s="118" t="s">
        <v>3820</v>
      </c>
      <c r="Q2745" s="16" t="s">
        <v>20</v>
      </c>
      <c r="R2745" s="17" t="s">
        <v>9093</v>
      </c>
      <c r="S2745" s="121"/>
      <c r="T2745" s="122" t="s">
        <v>9324</v>
      </c>
      <c r="U2745" s="22"/>
      <c r="V2745" s="123"/>
      <c r="W2745" s="122"/>
      <c r="X2745" s="221"/>
      <c r="Y2745" s="221"/>
      <c r="Z2745" s="221"/>
      <c r="AA2745" s="221"/>
      <c r="AB2745" s="223"/>
    </row>
    <row r="2746" spans="1:28" ht="17.100000000000001" customHeight="1" thickTop="1">
      <c r="A2746" s="226" t="s">
        <v>8813</v>
      </c>
      <c r="B2746" s="28">
        <v>45951</v>
      </c>
      <c r="C2746" s="25">
        <v>359</v>
      </c>
      <c r="D2746" s="13" t="s">
        <v>2306</v>
      </c>
      <c r="E2746" s="228"/>
      <c r="F2746" s="109" t="s">
        <v>8409</v>
      </c>
      <c r="G2746" s="24"/>
      <c r="H2746" s="230">
        <v>4</v>
      </c>
      <c r="I2746" s="220">
        <v>189000</v>
      </c>
      <c r="J2746" s="220">
        <f>I2746*0.1</f>
        <v>18900</v>
      </c>
      <c r="K2746" s="220">
        <v>0</v>
      </c>
      <c r="L2746" s="220">
        <v>9030</v>
      </c>
      <c r="M2746" s="220">
        <v>22000</v>
      </c>
      <c r="N2746" s="220">
        <f>SUM(I2746:M2747)</f>
        <v>238930</v>
      </c>
      <c r="O2746" s="224"/>
      <c r="P2746" s="110" t="s">
        <v>9168</v>
      </c>
      <c r="Q2746" s="15" t="s">
        <v>19</v>
      </c>
      <c r="R2746" s="205"/>
      <c r="S2746" s="189" t="s">
        <v>1271</v>
      </c>
      <c r="T2746" s="114"/>
      <c r="U2746" s="21"/>
      <c r="V2746" s="115">
        <v>45969</v>
      </c>
      <c r="W2746" s="116">
        <v>1275</v>
      </c>
      <c r="X2746" s="220">
        <v>213000</v>
      </c>
      <c r="Y2746" s="220">
        <f>X2746*0.1</f>
        <v>21300</v>
      </c>
      <c r="Z2746" s="220">
        <v>9030</v>
      </c>
      <c r="AA2746" s="220">
        <f>SUM(X2746:Z2746)</f>
        <v>243330</v>
      </c>
      <c r="AB2746" s="222">
        <v>45972</v>
      </c>
    </row>
    <row r="2747" spans="1:28" ht="17.100000000000001" customHeight="1" thickBot="1">
      <c r="A2747" s="227"/>
      <c r="B2747" s="27" t="s">
        <v>8817</v>
      </c>
      <c r="C2747" s="27">
        <v>1124</v>
      </c>
      <c r="D2747" s="14" t="s">
        <v>2559</v>
      </c>
      <c r="E2747" s="229"/>
      <c r="F2747" s="117" t="s">
        <v>8818</v>
      </c>
      <c r="G2747" s="26">
        <v>38110</v>
      </c>
      <c r="H2747" s="231"/>
      <c r="I2747" s="221"/>
      <c r="J2747" s="221"/>
      <c r="K2747" s="221"/>
      <c r="L2747" s="221"/>
      <c r="M2747" s="221"/>
      <c r="N2747" s="221"/>
      <c r="O2747" s="225"/>
      <c r="P2747" s="118" t="s">
        <v>9169</v>
      </c>
      <c r="Q2747" s="16" t="s">
        <v>20</v>
      </c>
      <c r="R2747" s="17" t="s">
        <v>9093</v>
      </c>
      <c r="S2747" s="126" t="s">
        <v>3566</v>
      </c>
      <c r="T2747" s="122"/>
      <c r="U2747" s="22"/>
      <c r="V2747" s="123" t="s">
        <v>2472</v>
      </c>
      <c r="W2747" s="122">
        <v>63188</v>
      </c>
      <c r="X2747" s="221"/>
      <c r="Y2747" s="221"/>
      <c r="Z2747" s="221"/>
      <c r="AA2747" s="221"/>
      <c r="AB2747" s="223"/>
    </row>
    <row r="2748" spans="1:28" ht="17.100000000000001" customHeight="1" thickTop="1">
      <c r="A2748" s="226" t="s">
        <v>8814</v>
      </c>
      <c r="B2748" s="28">
        <v>45951</v>
      </c>
      <c r="C2748" s="25">
        <v>962</v>
      </c>
      <c r="D2748" s="13" t="s">
        <v>2712</v>
      </c>
      <c r="E2748" s="228"/>
      <c r="F2748" s="109" t="s">
        <v>8846</v>
      </c>
      <c r="G2748" s="24"/>
      <c r="H2748" s="230">
        <v>3.5</v>
      </c>
      <c r="I2748" s="220">
        <v>1219000</v>
      </c>
      <c r="J2748" s="220">
        <f>I2748*0.1</f>
        <v>121900</v>
      </c>
      <c r="K2748" s="220">
        <v>0</v>
      </c>
      <c r="L2748" s="220">
        <v>7440</v>
      </c>
      <c r="M2748" s="220">
        <v>22000</v>
      </c>
      <c r="N2748" s="220">
        <f>SUM(I2748:M2749)</f>
        <v>1370340</v>
      </c>
      <c r="O2748" s="224"/>
      <c r="P2748" s="110" t="s">
        <v>9507</v>
      </c>
      <c r="Q2748" s="15" t="s">
        <v>19</v>
      </c>
      <c r="R2748" s="205"/>
      <c r="S2748" s="189" t="s">
        <v>25387</v>
      </c>
      <c r="T2748" s="114"/>
      <c r="U2748" s="21"/>
      <c r="V2748" s="115">
        <v>45962</v>
      </c>
      <c r="W2748" s="116">
        <v>1274</v>
      </c>
      <c r="X2748" s="220">
        <v>1305000</v>
      </c>
      <c r="Y2748" s="220">
        <f>X2748*0.1</f>
        <v>130500</v>
      </c>
      <c r="Z2748" s="220">
        <v>7440</v>
      </c>
      <c r="AA2748" s="220">
        <f>SUM(X2748:Z2748)</f>
        <v>1442940</v>
      </c>
      <c r="AB2748" s="222">
        <v>45965</v>
      </c>
    </row>
    <row r="2749" spans="1:28" ht="17.100000000000001" customHeight="1" thickBot="1">
      <c r="A2749" s="227"/>
      <c r="B2749" s="27" t="s">
        <v>2029</v>
      </c>
      <c r="C2749" s="27">
        <v>18</v>
      </c>
      <c r="D2749" s="14" t="s">
        <v>1710</v>
      </c>
      <c r="E2749" s="229"/>
      <c r="F2749" s="117" t="s">
        <v>8823</v>
      </c>
      <c r="G2749" s="26">
        <v>34954</v>
      </c>
      <c r="H2749" s="231"/>
      <c r="I2749" s="221"/>
      <c r="J2749" s="221"/>
      <c r="K2749" s="221"/>
      <c r="L2749" s="221"/>
      <c r="M2749" s="221"/>
      <c r="N2749" s="221"/>
      <c r="O2749" s="225"/>
      <c r="P2749" s="118" t="s">
        <v>2031</v>
      </c>
      <c r="Q2749" s="16" t="s">
        <v>20</v>
      </c>
      <c r="R2749" s="17" t="s">
        <v>9475</v>
      </c>
      <c r="S2749" s="121" t="s">
        <v>9304</v>
      </c>
      <c r="T2749" s="122"/>
      <c r="U2749" s="22"/>
      <c r="V2749" s="123" t="s">
        <v>2472</v>
      </c>
      <c r="W2749" s="122">
        <v>40060</v>
      </c>
      <c r="X2749" s="221"/>
      <c r="Y2749" s="221"/>
      <c r="Z2749" s="221"/>
      <c r="AA2749" s="221"/>
      <c r="AB2749" s="223"/>
    </row>
    <row r="2750" spans="1:28" ht="17.100000000000001" customHeight="1" thickTop="1">
      <c r="A2750" s="226" t="s">
        <v>8815</v>
      </c>
      <c r="B2750" s="28">
        <v>45951</v>
      </c>
      <c r="C2750" s="25">
        <v>962</v>
      </c>
      <c r="D2750" s="13" t="s">
        <v>2712</v>
      </c>
      <c r="E2750" s="228"/>
      <c r="F2750" s="109" t="s">
        <v>8847</v>
      </c>
      <c r="G2750" s="24"/>
      <c r="H2750" s="230">
        <v>4</v>
      </c>
      <c r="I2750" s="220">
        <v>439000</v>
      </c>
      <c r="J2750" s="220">
        <f>I2750*0.1</f>
        <v>43900</v>
      </c>
      <c r="K2750" s="220">
        <v>0</v>
      </c>
      <c r="L2750" s="220">
        <v>7140</v>
      </c>
      <c r="M2750" s="220">
        <v>22000</v>
      </c>
      <c r="N2750" s="220">
        <f>SUM(I2750:M2751)</f>
        <v>512040</v>
      </c>
      <c r="O2750" s="224"/>
      <c r="P2750" s="110" t="s">
        <v>9522</v>
      </c>
      <c r="Q2750" s="15" t="s">
        <v>19</v>
      </c>
      <c r="R2750" s="205"/>
      <c r="S2750" s="189" t="s">
        <v>25387</v>
      </c>
      <c r="T2750" s="114"/>
      <c r="U2750" s="21"/>
      <c r="V2750" s="115">
        <v>45980</v>
      </c>
      <c r="W2750" s="116">
        <v>993</v>
      </c>
      <c r="X2750" s="220">
        <v>565000</v>
      </c>
      <c r="Y2750" s="220">
        <f>X2750*0.1</f>
        <v>56500</v>
      </c>
      <c r="Z2750" s="220">
        <v>7140</v>
      </c>
      <c r="AA2750" s="220">
        <f>SUM(X2750:Z2750)</f>
        <v>628640</v>
      </c>
      <c r="AB2750" s="222">
        <v>45986</v>
      </c>
    </row>
    <row r="2751" spans="1:28" ht="17.100000000000001" customHeight="1" thickBot="1">
      <c r="A2751" s="227"/>
      <c r="B2751" s="27" t="s">
        <v>2029</v>
      </c>
      <c r="C2751" s="27">
        <v>71</v>
      </c>
      <c r="D2751" s="14" t="s">
        <v>273</v>
      </c>
      <c r="E2751" s="229"/>
      <c r="F2751" s="117" t="s">
        <v>8824</v>
      </c>
      <c r="G2751" s="26">
        <v>27978</v>
      </c>
      <c r="H2751" s="231"/>
      <c r="I2751" s="221"/>
      <c r="J2751" s="221"/>
      <c r="K2751" s="221"/>
      <c r="L2751" s="221"/>
      <c r="M2751" s="221"/>
      <c r="N2751" s="221"/>
      <c r="O2751" s="225"/>
      <c r="P2751" s="118" t="s">
        <v>2031</v>
      </c>
      <c r="Q2751" s="16" t="s">
        <v>20</v>
      </c>
      <c r="R2751" s="17" t="s">
        <v>9475</v>
      </c>
      <c r="S2751" s="121" t="s">
        <v>9305</v>
      </c>
      <c r="T2751" s="122"/>
      <c r="U2751" s="22"/>
      <c r="V2751" s="123" t="s">
        <v>2747</v>
      </c>
      <c r="W2751" s="122">
        <v>2044</v>
      </c>
      <c r="X2751" s="221"/>
      <c r="Y2751" s="221"/>
      <c r="Z2751" s="221"/>
      <c r="AA2751" s="221"/>
      <c r="AB2751" s="223"/>
    </row>
    <row r="2752" spans="1:28" ht="17.100000000000001" customHeight="1" thickTop="1">
      <c r="A2752" s="226" t="s">
        <v>8816</v>
      </c>
      <c r="B2752" s="28">
        <v>45951</v>
      </c>
      <c r="C2752" s="25">
        <v>962</v>
      </c>
      <c r="D2752" s="13" t="s">
        <v>2328</v>
      </c>
      <c r="E2752" s="228"/>
      <c r="F2752" s="109" t="s">
        <v>8848</v>
      </c>
      <c r="G2752" s="24"/>
      <c r="H2752" s="230">
        <v>4</v>
      </c>
      <c r="I2752" s="220">
        <v>1618000</v>
      </c>
      <c r="J2752" s="220">
        <f>I2752*0.1</f>
        <v>161800</v>
      </c>
      <c r="K2752" s="220">
        <v>0</v>
      </c>
      <c r="L2752" s="220">
        <v>14200</v>
      </c>
      <c r="M2752" s="220">
        <v>22000</v>
      </c>
      <c r="N2752" s="220">
        <f>SUM(I2752:M2753)</f>
        <v>1816000</v>
      </c>
      <c r="O2752" s="224"/>
      <c r="P2752" s="110" t="s">
        <v>9521</v>
      </c>
      <c r="Q2752" s="15" t="s">
        <v>19</v>
      </c>
      <c r="R2752" s="205"/>
      <c r="S2752" s="189" t="s">
        <v>758</v>
      </c>
      <c r="T2752" s="114"/>
      <c r="U2752" s="21"/>
      <c r="V2752" s="115">
        <v>45973</v>
      </c>
      <c r="W2752" s="116">
        <v>992</v>
      </c>
      <c r="X2752" s="220">
        <v>1670000</v>
      </c>
      <c r="Y2752" s="220">
        <f>X2752*0.1</f>
        <v>167000</v>
      </c>
      <c r="Z2752" s="220">
        <v>14200</v>
      </c>
      <c r="AA2752" s="220">
        <f>SUM(X2752:Z2752)</f>
        <v>1851200</v>
      </c>
      <c r="AB2752" s="222">
        <v>45978</v>
      </c>
    </row>
    <row r="2753" spans="1:28" ht="17.100000000000001" customHeight="1" thickBot="1">
      <c r="A2753" s="227"/>
      <c r="B2753" s="27" t="s">
        <v>2029</v>
      </c>
      <c r="C2753" s="27">
        <v>190</v>
      </c>
      <c r="D2753" s="14" t="s">
        <v>131</v>
      </c>
      <c r="E2753" s="229"/>
      <c r="F2753" s="117" t="s">
        <v>8825</v>
      </c>
      <c r="G2753" s="26">
        <v>11765</v>
      </c>
      <c r="H2753" s="231"/>
      <c r="I2753" s="221"/>
      <c r="J2753" s="221"/>
      <c r="K2753" s="221"/>
      <c r="L2753" s="221"/>
      <c r="M2753" s="221"/>
      <c r="N2753" s="221"/>
      <c r="O2753" s="225"/>
      <c r="P2753" s="118" t="s">
        <v>2031</v>
      </c>
      <c r="Q2753" s="16" t="s">
        <v>20</v>
      </c>
      <c r="R2753" s="17" t="s">
        <v>9475</v>
      </c>
      <c r="S2753" s="121" t="s">
        <v>8880</v>
      </c>
      <c r="T2753" s="122"/>
      <c r="U2753" s="22"/>
      <c r="V2753" s="123" t="s">
        <v>2747</v>
      </c>
      <c r="W2753" s="122">
        <v>2003</v>
      </c>
      <c r="X2753" s="221"/>
      <c r="Y2753" s="221"/>
      <c r="Z2753" s="221"/>
      <c r="AA2753" s="221"/>
      <c r="AB2753" s="223"/>
    </row>
    <row r="2754" spans="1:28" ht="17.100000000000001" customHeight="1" thickTop="1">
      <c r="A2754" s="226" t="s">
        <v>8819</v>
      </c>
      <c r="B2754" s="28">
        <v>45951</v>
      </c>
      <c r="C2754" s="25">
        <v>962</v>
      </c>
      <c r="D2754" s="13" t="s">
        <v>2652</v>
      </c>
      <c r="E2754" s="228"/>
      <c r="F2754" s="109" t="s">
        <v>5133</v>
      </c>
      <c r="G2754" s="24"/>
      <c r="H2754" s="230">
        <v>4.5</v>
      </c>
      <c r="I2754" s="220">
        <v>1189000</v>
      </c>
      <c r="J2754" s="220">
        <f>I2754*0.1</f>
        <v>118900</v>
      </c>
      <c r="K2754" s="220">
        <v>0</v>
      </c>
      <c r="L2754" s="220">
        <v>14200</v>
      </c>
      <c r="M2754" s="220">
        <v>22000</v>
      </c>
      <c r="N2754" s="220">
        <f>SUM(I2754:M2755)</f>
        <v>1344100</v>
      </c>
      <c r="O2754" s="224"/>
      <c r="P2754" s="110" t="s">
        <v>9520</v>
      </c>
      <c r="Q2754" s="15" t="s">
        <v>19</v>
      </c>
      <c r="R2754" s="205"/>
      <c r="S2754" s="189" t="s">
        <v>758</v>
      </c>
      <c r="T2754" s="114"/>
      <c r="U2754" s="21"/>
      <c r="V2754" s="115">
        <v>45965</v>
      </c>
      <c r="W2754" s="116">
        <v>1916</v>
      </c>
      <c r="X2754" s="220">
        <v>1255000</v>
      </c>
      <c r="Y2754" s="220">
        <f>X2754*0.1</f>
        <v>125500</v>
      </c>
      <c r="Z2754" s="220">
        <v>14200</v>
      </c>
      <c r="AA2754" s="220">
        <f>SUM(X2754:Z2754)</f>
        <v>1394700</v>
      </c>
      <c r="AB2754" s="222">
        <v>45971</v>
      </c>
    </row>
    <row r="2755" spans="1:28" ht="17.100000000000001" customHeight="1" thickBot="1">
      <c r="A2755" s="227"/>
      <c r="B2755" s="27" t="s">
        <v>2029</v>
      </c>
      <c r="C2755" s="27">
        <v>1016</v>
      </c>
      <c r="D2755" s="14" t="s">
        <v>1710</v>
      </c>
      <c r="E2755" s="229"/>
      <c r="F2755" s="117" t="s">
        <v>8826</v>
      </c>
      <c r="G2755" s="26">
        <v>18479</v>
      </c>
      <c r="H2755" s="231"/>
      <c r="I2755" s="221"/>
      <c r="J2755" s="221"/>
      <c r="K2755" s="221"/>
      <c r="L2755" s="221"/>
      <c r="M2755" s="221"/>
      <c r="N2755" s="221"/>
      <c r="O2755" s="225"/>
      <c r="P2755" s="118" t="s">
        <v>2031</v>
      </c>
      <c r="Q2755" s="16" t="s">
        <v>20</v>
      </c>
      <c r="R2755" s="17" t="s">
        <v>9475</v>
      </c>
      <c r="S2755" s="121" t="s">
        <v>9278</v>
      </c>
      <c r="T2755" s="122"/>
      <c r="U2755" s="22"/>
      <c r="V2755" s="123" t="s">
        <v>2103</v>
      </c>
      <c r="W2755" s="122">
        <v>3149</v>
      </c>
      <c r="X2755" s="221"/>
      <c r="Y2755" s="221"/>
      <c r="Z2755" s="221"/>
      <c r="AA2755" s="221"/>
      <c r="AB2755" s="223"/>
    </row>
    <row r="2756" spans="1:28" ht="17.100000000000001" customHeight="1" thickTop="1">
      <c r="A2756" s="226" t="s">
        <v>8820</v>
      </c>
      <c r="B2756" s="28">
        <v>45951</v>
      </c>
      <c r="C2756" s="25">
        <v>962</v>
      </c>
      <c r="D2756" s="13" t="s">
        <v>1564</v>
      </c>
      <c r="E2756" s="228"/>
      <c r="F2756" s="109" t="s">
        <v>8849</v>
      </c>
      <c r="G2756" s="24"/>
      <c r="H2756" s="230">
        <v>4</v>
      </c>
      <c r="I2756" s="220">
        <v>398000</v>
      </c>
      <c r="J2756" s="220">
        <f>I2756*0.1</f>
        <v>39800</v>
      </c>
      <c r="K2756" s="220">
        <v>0</v>
      </c>
      <c r="L2756" s="220">
        <v>8060</v>
      </c>
      <c r="M2756" s="220">
        <v>22000</v>
      </c>
      <c r="N2756" s="220">
        <f>SUM(I2756:M2757)</f>
        <v>467860</v>
      </c>
      <c r="O2756" s="224"/>
      <c r="P2756" s="110" t="s">
        <v>9519</v>
      </c>
      <c r="Q2756" s="15" t="s">
        <v>19</v>
      </c>
      <c r="R2756" s="205"/>
      <c r="S2756" s="189" t="s">
        <v>25387</v>
      </c>
      <c r="T2756" s="114"/>
      <c r="U2756" s="21"/>
      <c r="V2756" s="115">
        <v>46004</v>
      </c>
      <c r="W2756" s="116">
        <v>1280</v>
      </c>
      <c r="X2756" s="220">
        <v>435000</v>
      </c>
      <c r="Y2756" s="220">
        <f>X2756*0.1</f>
        <v>43500</v>
      </c>
      <c r="Z2756" s="220">
        <v>8060</v>
      </c>
      <c r="AA2756" s="220">
        <f>SUM(X2756:Z2756)</f>
        <v>486560</v>
      </c>
      <c r="AB2756" s="222">
        <v>46008</v>
      </c>
    </row>
    <row r="2757" spans="1:28" ht="17.100000000000001" customHeight="1" thickBot="1">
      <c r="A2757" s="227"/>
      <c r="B2757" s="27" t="s">
        <v>2029</v>
      </c>
      <c r="C2757" s="27">
        <v>1017</v>
      </c>
      <c r="D2757" s="14" t="s">
        <v>3955</v>
      </c>
      <c r="E2757" s="229"/>
      <c r="F2757" s="117" t="s">
        <v>8827</v>
      </c>
      <c r="G2757" s="26">
        <v>36326</v>
      </c>
      <c r="H2757" s="231"/>
      <c r="I2757" s="221"/>
      <c r="J2757" s="221"/>
      <c r="K2757" s="221"/>
      <c r="L2757" s="221"/>
      <c r="M2757" s="221"/>
      <c r="N2757" s="221"/>
      <c r="O2757" s="225"/>
      <c r="P2757" s="118" t="s">
        <v>2031</v>
      </c>
      <c r="Q2757" s="16" t="s">
        <v>20</v>
      </c>
      <c r="R2757" s="17" t="s">
        <v>9475</v>
      </c>
      <c r="S2757" s="121" t="s">
        <v>9310</v>
      </c>
      <c r="T2757" s="122"/>
      <c r="U2757" s="22"/>
      <c r="V2757" s="123" t="s">
        <v>2472</v>
      </c>
      <c r="W2757" s="122">
        <v>60104</v>
      </c>
      <c r="X2757" s="221"/>
      <c r="Y2757" s="221"/>
      <c r="Z2757" s="221"/>
      <c r="AA2757" s="221"/>
      <c r="AB2757" s="223"/>
    </row>
    <row r="2758" spans="1:28" ht="17.100000000000001" customHeight="1" thickTop="1">
      <c r="A2758" s="226" t="s">
        <v>8821</v>
      </c>
      <c r="B2758" s="28">
        <v>45951</v>
      </c>
      <c r="C2758" s="25">
        <v>780</v>
      </c>
      <c r="D2758" s="13" t="s">
        <v>1909</v>
      </c>
      <c r="E2758" s="228"/>
      <c r="F2758" s="109" t="s">
        <v>5133</v>
      </c>
      <c r="G2758" s="24" t="s">
        <v>2487</v>
      </c>
      <c r="H2758" s="230">
        <v>4.5</v>
      </c>
      <c r="I2758" s="220">
        <v>1298000</v>
      </c>
      <c r="J2758" s="220">
        <f>I2758*0.1</f>
        <v>129800</v>
      </c>
      <c r="K2758" s="220">
        <v>0</v>
      </c>
      <c r="L2758" s="220">
        <v>11100</v>
      </c>
      <c r="M2758" s="220">
        <v>22000</v>
      </c>
      <c r="N2758" s="220">
        <f>SUM(I2758:M2759)</f>
        <v>1460900</v>
      </c>
      <c r="O2758" s="224"/>
      <c r="P2758" s="110" t="s">
        <v>8850</v>
      </c>
      <c r="Q2758" s="15" t="s">
        <v>19</v>
      </c>
      <c r="R2758" s="205"/>
      <c r="S2758" s="189" t="s">
        <v>25461</v>
      </c>
      <c r="T2758" s="114"/>
      <c r="U2758" s="21" t="s">
        <v>9966</v>
      </c>
      <c r="V2758" s="115">
        <v>45965</v>
      </c>
      <c r="W2758" s="116">
        <v>1916</v>
      </c>
      <c r="X2758" s="220">
        <v>1325000</v>
      </c>
      <c r="Y2758" s="220">
        <f>X2758*0.1</f>
        <v>132500</v>
      </c>
      <c r="Z2758" s="220">
        <v>11100</v>
      </c>
      <c r="AA2758" s="220">
        <f>SUM(X2758:Z2758)</f>
        <v>1468600</v>
      </c>
      <c r="AB2758" s="222">
        <v>45971</v>
      </c>
    </row>
    <row r="2759" spans="1:28" ht="17.100000000000001" customHeight="1" thickBot="1">
      <c r="A2759" s="227"/>
      <c r="B2759" s="27" t="s">
        <v>4416</v>
      </c>
      <c r="C2759" s="27">
        <v>81</v>
      </c>
      <c r="D2759" s="14" t="s">
        <v>273</v>
      </c>
      <c r="E2759" s="229"/>
      <c r="F2759" s="117" t="s">
        <v>8828</v>
      </c>
      <c r="G2759" s="26">
        <v>7195</v>
      </c>
      <c r="H2759" s="231"/>
      <c r="I2759" s="221"/>
      <c r="J2759" s="221"/>
      <c r="K2759" s="221"/>
      <c r="L2759" s="221"/>
      <c r="M2759" s="221"/>
      <c r="N2759" s="221"/>
      <c r="O2759" s="225"/>
      <c r="P2759" s="118" t="s">
        <v>2031</v>
      </c>
      <c r="Q2759" s="16" t="s">
        <v>20</v>
      </c>
      <c r="R2759" s="17" t="s">
        <v>9475</v>
      </c>
      <c r="S2759" s="121" t="s">
        <v>9617</v>
      </c>
      <c r="T2759" s="122"/>
      <c r="U2759" s="22"/>
      <c r="V2759" s="123" t="s">
        <v>2103</v>
      </c>
      <c r="W2759" s="122">
        <v>3255</v>
      </c>
      <c r="X2759" s="221"/>
      <c r="Y2759" s="221"/>
      <c r="Z2759" s="221"/>
      <c r="AA2759" s="221"/>
      <c r="AB2759" s="223"/>
    </row>
    <row r="2760" spans="1:28" ht="17.100000000000001" customHeight="1" thickTop="1">
      <c r="A2760" s="226" t="s">
        <v>8822</v>
      </c>
      <c r="B2760" s="28">
        <v>45951</v>
      </c>
      <c r="C2760" s="25">
        <v>780</v>
      </c>
      <c r="D2760" s="13" t="s">
        <v>1909</v>
      </c>
      <c r="E2760" s="228"/>
      <c r="F2760" s="109" t="s">
        <v>2673</v>
      </c>
      <c r="G2760" s="24" t="s">
        <v>2487</v>
      </c>
      <c r="H2760" s="230">
        <v>4.5</v>
      </c>
      <c r="I2760" s="220">
        <v>1298000</v>
      </c>
      <c r="J2760" s="220">
        <f>I2760*0.1</f>
        <v>129800</v>
      </c>
      <c r="K2760" s="220">
        <v>0</v>
      </c>
      <c r="L2760" s="220">
        <v>11100</v>
      </c>
      <c r="M2760" s="220">
        <v>22000</v>
      </c>
      <c r="N2760" s="220">
        <f>SUM(I2760:M2761)</f>
        <v>1460900</v>
      </c>
      <c r="O2760" s="224"/>
      <c r="P2760" s="110" t="s">
        <v>8851</v>
      </c>
      <c r="Q2760" s="15" t="s">
        <v>19</v>
      </c>
      <c r="R2760" s="205"/>
      <c r="S2760" s="189" t="s">
        <v>25461</v>
      </c>
      <c r="T2760" s="114"/>
      <c r="U2760" s="21" t="s">
        <v>10500</v>
      </c>
      <c r="V2760" s="115">
        <v>45972</v>
      </c>
      <c r="W2760" s="116">
        <v>1917</v>
      </c>
      <c r="X2760" s="220">
        <v>1364000</v>
      </c>
      <c r="Y2760" s="220">
        <f>X2760*0.1</f>
        <v>136400</v>
      </c>
      <c r="Z2760" s="220">
        <v>11100</v>
      </c>
      <c r="AA2760" s="220">
        <f>SUM(X2760:Z2760)</f>
        <v>1511500</v>
      </c>
      <c r="AB2760" s="222"/>
    </row>
    <row r="2761" spans="1:28" ht="17.100000000000001" customHeight="1" thickBot="1">
      <c r="A2761" s="227"/>
      <c r="B2761" s="27" t="s">
        <v>4416</v>
      </c>
      <c r="C2761" s="27">
        <v>83</v>
      </c>
      <c r="D2761" s="14" t="s">
        <v>2559</v>
      </c>
      <c r="E2761" s="229"/>
      <c r="F2761" s="117" t="s">
        <v>8829</v>
      </c>
      <c r="G2761" s="26">
        <v>4029</v>
      </c>
      <c r="H2761" s="231"/>
      <c r="I2761" s="221"/>
      <c r="J2761" s="221"/>
      <c r="K2761" s="221"/>
      <c r="L2761" s="221"/>
      <c r="M2761" s="221"/>
      <c r="N2761" s="221"/>
      <c r="O2761" s="225"/>
      <c r="P2761" s="118" t="s">
        <v>2031</v>
      </c>
      <c r="Q2761" s="16" t="s">
        <v>20</v>
      </c>
      <c r="R2761" s="17" t="s">
        <v>9475</v>
      </c>
      <c r="S2761" s="121" t="s">
        <v>9617</v>
      </c>
      <c r="T2761" s="122"/>
      <c r="U2761" s="22"/>
      <c r="V2761" s="123" t="s">
        <v>2103</v>
      </c>
      <c r="W2761" s="122">
        <v>3153</v>
      </c>
      <c r="X2761" s="221"/>
      <c r="Y2761" s="221"/>
      <c r="Z2761" s="221"/>
      <c r="AA2761" s="221"/>
      <c r="AB2761" s="223"/>
    </row>
    <row r="2762" spans="1:28" ht="17.100000000000001" customHeight="1" thickTop="1">
      <c r="A2762" s="226" t="s">
        <v>8830</v>
      </c>
      <c r="B2762" s="28">
        <v>45951</v>
      </c>
      <c r="C2762" s="25">
        <v>1066</v>
      </c>
      <c r="D2762" s="13" t="s">
        <v>1589</v>
      </c>
      <c r="E2762" s="228"/>
      <c r="F2762" s="109" t="s">
        <v>8852</v>
      </c>
      <c r="G2762" s="24"/>
      <c r="H2762" s="230">
        <v>4.5</v>
      </c>
      <c r="I2762" s="220">
        <v>905000</v>
      </c>
      <c r="J2762" s="220">
        <f>I2762*0.1</f>
        <v>90500</v>
      </c>
      <c r="K2762" s="220">
        <v>0</v>
      </c>
      <c r="L2762" s="220">
        <v>19880</v>
      </c>
      <c r="M2762" s="220">
        <v>16500</v>
      </c>
      <c r="N2762" s="220">
        <f>SUM(I2762:M2763)</f>
        <v>1031880</v>
      </c>
      <c r="O2762" s="224"/>
      <c r="P2762" s="110" t="s">
        <v>9500</v>
      </c>
      <c r="Q2762" s="15" t="s">
        <v>19</v>
      </c>
      <c r="R2762" s="205"/>
      <c r="S2762" s="189" t="s">
        <v>1276</v>
      </c>
      <c r="T2762" s="114"/>
      <c r="U2762" s="21"/>
      <c r="V2762" s="115">
        <v>45990</v>
      </c>
      <c r="W2762" s="116">
        <v>1278</v>
      </c>
      <c r="X2762" s="220">
        <v>1015000</v>
      </c>
      <c r="Y2762" s="220">
        <f>X2762*0.1</f>
        <v>101500</v>
      </c>
      <c r="Z2762" s="220">
        <v>19880</v>
      </c>
      <c r="AA2762" s="220">
        <f>SUM(X2762:Z2762)</f>
        <v>1136380</v>
      </c>
      <c r="AB2762" s="222">
        <v>45994</v>
      </c>
    </row>
    <row r="2763" spans="1:28" ht="17.100000000000001" customHeight="1" thickBot="1">
      <c r="A2763" s="227"/>
      <c r="B2763" s="27" t="s">
        <v>1583</v>
      </c>
      <c r="C2763" s="27">
        <v>84277</v>
      </c>
      <c r="D2763" s="14" t="s">
        <v>2753</v>
      </c>
      <c r="E2763" s="229"/>
      <c r="F2763" s="117" t="s">
        <v>8853</v>
      </c>
      <c r="G2763" s="26">
        <v>47026</v>
      </c>
      <c r="H2763" s="231"/>
      <c r="I2763" s="221"/>
      <c r="J2763" s="221"/>
      <c r="K2763" s="221"/>
      <c r="L2763" s="221"/>
      <c r="M2763" s="221"/>
      <c r="N2763" s="221"/>
      <c r="O2763" s="225"/>
      <c r="P2763" s="118" t="s">
        <v>9501</v>
      </c>
      <c r="Q2763" s="16" t="s">
        <v>20</v>
      </c>
      <c r="R2763" s="17" t="s">
        <v>9475</v>
      </c>
      <c r="S2763" s="121" t="s">
        <v>1923</v>
      </c>
      <c r="T2763" s="122"/>
      <c r="U2763" s="22"/>
      <c r="V2763" s="123" t="s">
        <v>2472</v>
      </c>
      <c r="W2763" s="122">
        <v>80224</v>
      </c>
      <c r="X2763" s="221"/>
      <c r="Y2763" s="221"/>
      <c r="Z2763" s="221"/>
      <c r="AA2763" s="221"/>
      <c r="AB2763" s="223"/>
    </row>
    <row r="2764" spans="1:28" ht="17.100000000000001" customHeight="1" thickTop="1">
      <c r="A2764" s="226" t="s">
        <v>8833</v>
      </c>
      <c r="B2764" s="28">
        <v>45952</v>
      </c>
      <c r="C2764" s="25">
        <v>2327</v>
      </c>
      <c r="D2764" s="13" t="s">
        <v>2320</v>
      </c>
      <c r="E2764" s="228"/>
      <c r="F2764" s="109" t="s">
        <v>8831</v>
      </c>
      <c r="G2764" s="24" t="s">
        <v>8854</v>
      </c>
      <c r="H2764" s="230">
        <v>4.5</v>
      </c>
      <c r="I2764" s="220">
        <v>1030000</v>
      </c>
      <c r="J2764" s="220">
        <f>I2764*0.1</f>
        <v>103000</v>
      </c>
      <c r="K2764" s="220">
        <v>15000</v>
      </c>
      <c r="L2764" s="220">
        <v>6550</v>
      </c>
      <c r="M2764" s="220">
        <v>16500</v>
      </c>
      <c r="N2764" s="220">
        <f>SUM(I2764:M2765)</f>
        <v>1171050</v>
      </c>
      <c r="O2764" s="224"/>
      <c r="P2764" s="110" t="s">
        <v>9225</v>
      </c>
      <c r="Q2764" s="15" t="s">
        <v>19</v>
      </c>
      <c r="R2764" s="205"/>
      <c r="S2764" s="189"/>
      <c r="T2764" s="114"/>
      <c r="U2764" s="21" t="s">
        <v>10497</v>
      </c>
      <c r="V2764" s="115">
        <v>45969</v>
      </c>
      <c r="W2764" s="116">
        <v>1275</v>
      </c>
      <c r="X2764" s="220">
        <v>1100000</v>
      </c>
      <c r="Y2764" s="220">
        <f>X2764*0.1</f>
        <v>110000</v>
      </c>
      <c r="Z2764" s="220">
        <v>6550</v>
      </c>
      <c r="AA2764" s="220">
        <f>SUM(X2764:Z2764)</f>
        <v>1216550</v>
      </c>
      <c r="AB2764" s="222">
        <v>45979</v>
      </c>
    </row>
    <row r="2765" spans="1:28" ht="17.100000000000001" customHeight="1" thickBot="1">
      <c r="A2765" s="227"/>
      <c r="B2765" s="27" t="s">
        <v>3367</v>
      </c>
      <c r="C2765" s="27">
        <v>20038</v>
      </c>
      <c r="D2765" s="14" t="s">
        <v>1710</v>
      </c>
      <c r="E2765" s="229"/>
      <c r="F2765" s="117" t="s">
        <v>8832</v>
      </c>
      <c r="G2765" s="26">
        <v>6744</v>
      </c>
      <c r="H2765" s="231"/>
      <c r="I2765" s="221"/>
      <c r="J2765" s="221"/>
      <c r="K2765" s="221"/>
      <c r="L2765" s="221"/>
      <c r="M2765" s="221"/>
      <c r="N2765" s="221"/>
      <c r="O2765" s="225"/>
      <c r="P2765" s="118" t="s">
        <v>9226</v>
      </c>
      <c r="Q2765" s="16" t="s">
        <v>20</v>
      </c>
      <c r="R2765" s="17" t="s">
        <v>3288</v>
      </c>
      <c r="S2765" s="121" t="s">
        <v>9227</v>
      </c>
      <c r="T2765" s="122"/>
      <c r="U2765" s="22"/>
      <c r="V2765" s="123" t="s">
        <v>6641</v>
      </c>
      <c r="W2765" s="122">
        <v>60031</v>
      </c>
      <c r="X2765" s="221"/>
      <c r="Y2765" s="221"/>
      <c r="Z2765" s="221"/>
      <c r="AA2765" s="221"/>
      <c r="AB2765" s="223"/>
    </row>
    <row r="2766" spans="1:28" ht="17.100000000000001" customHeight="1" thickTop="1">
      <c r="A2766" s="226" t="s">
        <v>8834</v>
      </c>
      <c r="B2766" s="28">
        <v>45952</v>
      </c>
      <c r="C2766" s="25">
        <v>1810</v>
      </c>
      <c r="D2766" s="13" t="s">
        <v>3385</v>
      </c>
      <c r="E2766" s="228"/>
      <c r="F2766" s="109" t="s">
        <v>4828</v>
      </c>
      <c r="G2766" s="24" t="s">
        <v>2810</v>
      </c>
      <c r="H2766" s="230">
        <v>4</v>
      </c>
      <c r="I2766" s="220">
        <v>228000</v>
      </c>
      <c r="J2766" s="220">
        <f>I2766*0.1</f>
        <v>22800</v>
      </c>
      <c r="K2766" s="220">
        <v>0</v>
      </c>
      <c r="L2766" s="220">
        <v>9170</v>
      </c>
      <c r="M2766" s="220">
        <v>18150</v>
      </c>
      <c r="N2766" s="220">
        <f>SUM(I2766:M2767)</f>
        <v>278120</v>
      </c>
      <c r="O2766" s="224"/>
      <c r="P2766" s="110" t="s">
        <v>8842</v>
      </c>
      <c r="Q2766" s="15" t="s">
        <v>19</v>
      </c>
      <c r="R2766" s="205"/>
      <c r="S2766" s="189" t="s">
        <v>1289</v>
      </c>
      <c r="T2766" s="114"/>
      <c r="U2766" s="21"/>
      <c r="V2766" s="115">
        <v>45955</v>
      </c>
      <c r="W2766" s="116">
        <v>1273</v>
      </c>
      <c r="X2766" s="220">
        <v>300000</v>
      </c>
      <c r="Y2766" s="220">
        <f>X2766*0.1</f>
        <v>30000</v>
      </c>
      <c r="Z2766" s="220">
        <v>9170</v>
      </c>
      <c r="AA2766" s="220">
        <f>SUM(X2766:Z2766)</f>
        <v>339170</v>
      </c>
      <c r="AB2766" s="222">
        <v>45958</v>
      </c>
    </row>
    <row r="2767" spans="1:28" ht="17.100000000000001" customHeight="1" thickBot="1">
      <c r="A2767" s="227"/>
      <c r="B2767" s="27" t="s">
        <v>2519</v>
      </c>
      <c r="C2767" s="27">
        <v>3012</v>
      </c>
      <c r="D2767" s="14" t="s">
        <v>1568</v>
      </c>
      <c r="E2767" s="229"/>
      <c r="F2767" s="117" t="s">
        <v>8838</v>
      </c>
      <c r="G2767" s="26">
        <v>60433</v>
      </c>
      <c r="H2767" s="231"/>
      <c r="I2767" s="221"/>
      <c r="J2767" s="221"/>
      <c r="K2767" s="221"/>
      <c r="L2767" s="221"/>
      <c r="M2767" s="221"/>
      <c r="N2767" s="221"/>
      <c r="O2767" s="225"/>
      <c r="P2767" s="118" t="s">
        <v>9234</v>
      </c>
      <c r="Q2767" s="16" t="s">
        <v>20</v>
      </c>
      <c r="R2767" s="17" t="s">
        <v>3288</v>
      </c>
      <c r="S2767" s="121" t="s">
        <v>3861</v>
      </c>
      <c r="T2767" s="122"/>
      <c r="U2767" s="22"/>
      <c r="V2767" s="123" t="s">
        <v>2472</v>
      </c>
      <c r="W2767" s="122">
        <v>60499</v>
      </c>
      <c r="X2767" s="221"/>
      <c r="Y2767" s="221"/>
      <c r="Z2767" s="221"/>
      <c r="AA2767" s="221"/>
      <c r="AB2767" s="223"/>
    </row>
    <row r="2768" spans="1:28" ht="17.100000000000001" customHeight="1" thickTop="1">
      <c r="A2768" s="226" t="s">
        <v>8835</v>
      </c>
      <c r="B2768" s="28">
        <v>45952</v>
      </c>
      <c r="C2768" s="25">
        <v>1810</v>
      </c>
      <c r="D2768" s="13" t="s">
        <v>3327</v>
      </c>
      <c r="E2768" s="228"/>
      <c r="F2768" s="109" t="s">
        <v>8843</v>
      </c>
      <c r="G2768" s="24"/>
      <c r="H2768" s="230">
        <v>4.5</v>
      </c>
      <c r="I2768" s="220">
        <v>879000</v>
      </c>
      <c r="J2768" s="220">
        <f>I2768*0.1</f>
        <v>87900</v>
      </c>
      <c r="K2768" s="220">
        <v>0</v>
      </c>
      <c r="L2768" s="220">
        <v>9140</v>
      </c>
      <c r="M2768" s="220">
        <v>18150</v>
      </c>
      <c r="N2768" s="220">
        <f>SUM(I2768:M2769)</f>
        <v>994190</v>
      </c>
      <c r="O2768" s="224"/>
      <c r="P2768" s="110" t="s">
        <v>9591</v>
      </c>
      <c r="Q2768" s="15" t="s">
        <v>19</v>
      </c>
      <c r="R2768" s="205"/>
      <c r="S2768" s="189"/>
      <c r="T2768" s="114"/>
      <c r="U2768" s="21"/>
      <c r="V2768" s="115">
        <v>45969</v>
      </c>
      <c r="W2768" s="116">
        <v>1275</v>
      </c>
      <c r="X2768" s="220">
        <v>950000</v>
      </c>
      <c r="Y2768" s="220">
        <f>X2768*0.1</f>
        <v>95000</v>
      </c>
      <c r="Z2768" s="220">
        <v>9140</v>
      </c>
      <c r="AA2768" s="220">
        <f>SUM(X2768:Z2768)</f>
        <v>1054140</v>
      </c>
      <c r="AB2768" s="222">
        <v>45972</v>
      </c>
    </row>
    <row r="2769" spans="1:28" ht="17.100000000000001" customHeight="1" thickBot="1">
      <c r="A2769" s="227"/>
      <c r="B2769" s="27" t="s">
        <v>2519</v>
      </c>
      <c r="C2769" s="27">
        <v>3310</v>
      </c>
      <c r="D2769" s="14" t="s">
        <v>273</v>
      </c>
      <c r="E2769" s="229"/>
      <c r="F2769" s="117" t="s">
        <v>8839</v>
      </c>
      <c r="G2769" s="26">
        <v>54026</v>
      </c>
      <c r="H2769" s="231"/>
      <c r="I2769" s="221"/>
      <c r="J2769" s="221"/>
      <c r="K2769" s="221"/>
      <c r="L2769" s="221"/>
      <c r="M2769" s="221"/>
      <c r="N2769" s="221"/>
      <c r="O2769" s="225"/>
      <c r="P2769" s="118" t="s">
        <v>4348</v>
      </c>
      <c r="Q2769" s="16" t="s">
        <v>20</v>
      </c>
      <c r="R2769" s="17" t="s">
        <v>3282</v>
      </c>
      <c r="S2769" s="121" t="s">
        <v>9312</v>
      </c>
      <c r="T2769" s="122"/>
      <c r="U2769" s="22"/>
      <c r="V2769" s="123" t="s">
        <v>2472</v>
      </c>
      <c r="W2769" s="122">
        <v>60243</v>
      </c>
      <c r="X2769" s="221"/>
      <c r="Y2769" s="221"/>
      <c r="Z2769" s="221"/>
      <c r="AA2769" s="221"/>
      <c r="AB2769" s="223"/>
    </row>
    <row r="2770" spans="1:28" ht="17.100000000000001" customHeight="1" thickTop="1">
      <c r="A2770" s="226" t="s">
        <v>8836</v>
      </c>
      <c r="B2770" s="28">
        <v>45952</v>
      </c>
      <c r="C2770" s="25">
        <v>1810</v>
      </c>
      <c r="D2770" s="13" t="s">
        <v>1658</v>
      </c>
      <c r="E2770" s="228"/>
      <c r="F2770" s="109" t="s">
        <v>1599</v>
      </c>
      <c r="G2770" s="24" t="s">
        <v>2530</v>
      </c>
      <c r="H2770" s="230">
        <v>4</v>
      </c>
      <c r="I2770" s="220">
        <v>350000</v>
      </c>
      <c r="J2770" s="220">
        <f>I2770*0.1</f>
        <v>35000</v>
      </c>
      <c r="K2770" s="220">
        <f>14300+1430</f>
        <v>15730</v>
      </c>
      <c r="L2770" s="220">
        <v>18960</v>
      </c>
      <c r="M2770" s="220">
        <v>18150</v>
      </c>
      <c r="N2770" s="220">
        <f>SUM(I2770:M2771)</f>
        <v>437840</v>
      </c>
      <c r="O2770" s="224"/>
      <c r="P2770" s="110" t="s">
        <v>8844</v>
      </c>
      <c r="Q2770" s="15" t="s">
        <v>19</v>
      </c>
      <c r="R2770" s="205"/>
      <c r="S2770" s="189" t="s">
        <v>25553</v>
      </c>
      <c r="T2770" s="114"/>
      <c r="U2770" s="21"/>
      <c r="V2770" s="115">
        <v>45955</v>
      </c>
      <c r="W2770" s="116">
        <v>1273</v>
      </c>
      <c r="X2770" s="220">
        <v>470000</v>
      </c>
      <c r="Y2770" s="220">
        <f>X2770*0.1</f>
        <v>47000</v>
      </c>
      <c r="Z2770" s="220">
        <v>18960</v>
      </c>
      <c r="AA2770" s="220">
        <f>SUM(X2770:Z2770)</f>
        <v>535960</v>
      </c>
      <c r="AB2770" s="222">
        <v>45960</v>
      </c>
    </row>
    <row r="2771" spans="1:28" ht="17.100000000000001" customHeight="1" thickBot="1">
      <c r="A2771" s="227"/>
      <c r="B2771" s="27" t="s">
        <v>2519</v>
      </c>
      <c r="C2771" s="27">
        <v>38068</v>
      </c>
      <c r="D2771" s="14" t="s">
        <v>2753</v>
      </c>
      <c r="E2771" s="229"/>
      <c r="F2771" s="117" t="s">
        <v>8840</v>
      </c>
      <c r="G2771" s="26">
        <v>58962</v>
      </c>
      <c r="H2771" s="231"/>
      <c r="I2771" s="221"/>
      <c r="J2771" s="221"/>
      <c r="K2771" s="221"/>
      <c r="L2771" s="221"/>
      <c r="M2771" s="221"/>
      <c r="N2771" s="221"/>
      <c r="O2771" s="225"/>
      <c r="P2771" s="118" t="s">
        <v>9334</v>
      </c>
      <c r="Q2771" s="16" t="s">
        <v>20</v>
      </c>
      <c r="R2771" s="17" t="s">
        <v>1665</v>
      </c>
      <c r="S2771" s="121" t="s">
        <v>9335</v>
      </c>
      <c r="T2771" s="122"/>
      <c r="U2771" s="22"/>
      <c r="V2771" s="123" t="s">
        <v>2472</v>
      </c>
      <c r="W2771" s="122">
        <v>80292</v>
      </c>
      <c r="X2771" s="221"/>
      <c r="Y2771" s="221"/>
      <c r="Z2771" s="221"/>
      <c r="AA2771" s="221"/>
      <c r="AB2771" s="223"/>
    </row>
    <row r="2772" spans="1:28" ht="17.100000000000001" customHeight="1" thickTop="1">
      <c r="A2772" s="226" t="s">
        <v>8837</v>
      </c>
      <c r="B2772" s="28">
        <v>45952</v>
      </c>
      <c r="C2772" s="25">
        <v>1810</v>
      </c>
      <c r="D2772" s="13" t="s">
        <v>1589</v>
      </c>
      <c r="E2772" s="228"/>
      <c r="F2772" s="109" t="s">
        <v>1916</v>
      </c>
      <c r="G2772" s="24" t="s">
        <v>4120</v>
      </c>
      <c r="H2772" s="230">
        <v>4.5</v>
      </c>
      <c r="I2772" s="220">
        <v>595000</v>
      </c>
      <c r="J2772" s="220">
        <f>I2772*0.1</f>
        <v>59500</v>
      </c>
      <c r="K2772" s="220">
        <f>14300+1430</f>
        <v>15730</v>
      </c>
      <c r="L2772" s="220">
        <v>17600</v>
      </c>
      <c r="M2772" s="220">
        <v>18150</v>
      </c>
      <c r="N2772" s="220">
        <f>SUM(I2772:M2773)</f>
        <v>705980</v>
      </c>
      <c r="O2772" s="224"/>
      <c r="P2772" s="110" t="s">
        <v>8845</v>
      </c>
      <c r="Q2772" s="15" t="s">
        <v>19</v>
      </c>
      <c r="R2772" s="205"/>
      <c r="S2772" s="189"/>
      <c r="T2772" s="114"/>
      <c r="U2772" s="21"/>
      <c r="V2772" s="115">
        <v>45962</v>
      </c>
      <c r="W2772" s="116">
        <v>1274</v>
      </c>
      <c r="X2772" s="220">
        <v>715000</v>
      </c>
      <c r="Y2772" s="220">
        <f>X2772*0.1</f>
        <v>71500</v>
      </c>
      <c r="Z2772" s="220">
        <v>17600</v>
      </c>
      <c r="AA2772" s="220">
        <f>SUM(X2772:Z2772)</f>
        <v>804100</v>
      </c>
      <c r="AB2772" s="222">
        <v>45965</v>
      </c>
    </row>
    <row r="2773" spans="1:28" ht="17.100000000000001" customHeight="1" thickBot="1">
      <c r="A2773" s="227"/>
      <c r="B2773" s="27" t="s">
        <v>2519</v>
      </c>
      <c r="C2773" s="27">
        <v>38084</v>
      </c>
      <c r="D2773" s="14" t="s">
        <v>1568</v>
      </c>
      <c r="E2773" s="229"/>
      <c r="F2773" s="117" t="s">
        <v>8841</v>
      </c>
      <c r="G2773" s="26">
        <v>71484</v>
      </c>
      <c r="H2773" s="231"/>
      <c r="I2773" s="221"/>
      <c r="J2773" s="221"/>
      <c r="K2773" s="221"/>
      <c r="L2773" s="221"/>
      <c r="M2773" s="221"/>
      <c r="N2773" s="221"/>
      <c r="O2773" s="225"/>
      <c r="P2773" s="118" t="s">
        <v>9151</v>
      </c>
      <c r="Q2773" s="16" t="s">
        <v>20</v>
      </c>
      <c r="R2773" s="17" t="s">
        <v>9093</v>
      </c>
      <c r="S2773" s="121" t="s">
        <v>9306</v>
      </c>
      <c r="T2773" s="122"/>
      <c r="U2773" s="22"/>
      <c r="V2773" s="123" t="s">
        <v>2472</v>
      </c>
      <c r="W2773" s="122">
        <v>80016</v>
      </c>
      <c r="X2773" s="221"/>
      <c r="Y2773" s="221"/>
      <c r="Z2773" s="221"/>
      <c r="AA2773" s="221"/>
      <c r="AB2773" s="223"/>
    </row>
    <row r="2774" spans="1:28" ht="17.100000000000001" customHeight="1" thickTop="1">
      <c r="A2774" s="226" t="s">
        <v>8857</v>
      </c>
      <c r="B2774" s="28">
        <v>45952</v>
      </c>
      <c r="C2774" s="25">
        <v>989</v>
      </c>
      <c r="D2774" s="13" t="s">
        <v>1564</v>
      </c>
      <c r="E2774" s="228"/>
      <c r="F2774" s="109" t="s">
        <v>8861</v>
      </c>
      <c r="G2774" s="24"/>
      <c r="H2774" s="230">
        <v>4.5</v>
      </c>
      <c r="I2774" s="220">
        <v>1200000</v>
      </c>
      <c r="J2774" s="220">
        <f>I2774*0.1</f>
        <v>120000</v>
      </c>
      <c r="K2774" s="220">
        <v>0</v>
      </c>
      <c r="L2774" s="220">
        <v>9010</v>
      </c>
      <c r="M2774" s="220">
        <v>12100</v>
      </c>
      <c r="N2774" s="220">
        <f>SUM(I2774:M2775)</f>
        <v>1341110</v>
      </c>
      <c r="O2774" s="224"/>
      <c r="P2774" s="110" t="s">
        <v>9534</v>
      </c>
      <c r="Q2774" s="15" t="s">
        <v>19</v>
      </c>
      <c r="R2774" s="205"/>
      <c r="S2774" s="189" t="s">
        <v>25554</v>
      </c>
      <c r="T2774" s="114"/>
      <c r="U2774" s="21"/>
      <c r="V2774" s="115">
        <v>45969</v>
      </c>
      <c r="W2774" s="116">
        <v>1275</v>
      </c>
      <c r="X2774" s="220">
        <v>1295000</v>
      </c>
      <c r="Y2774" s="220">
        <f>X2774*0.1</f>
        <v>129500</v>
      </c>
      <c r="Z2774" s="220">
        <v>9010</v>
      </c>
      <c r="AA2774" s="220">
        <f>SUM(X2774:Z2774)</f>
        <v>1433510</v>
      </c>
      <c r="AB2774" s="222">
        <v>45972</v>
      </c>
    </row>
    <row r="2775" spans="1:28" ht="17.100000000000001" customHeight="1" thickBot="1">
      <c r="A2775" s="227"/>
      <c r="B2775" s="27" t="s">
        <v>2747</v>
      </c>
      <c r="C2775" s="27">
        <v>1176</v>
      </c>
      <c r="D2775" s="14" t="s">
        <v>1710</v>
      </c>
      <c r="E2775" s="229"/>
      <c r="F2775" s="117" t="s">
        <v>8862</v>
      </c>
      <c r="G2775" s="26">
        <v>32495</v>
      </c>
      <c r="H2775" s="231"/>
      <c r="I2775" s="221"/>
      <c r="J2775" s="221"/>
      <c r="K2775" s="221"/>
      <c r="L2775" s="221"/>
      <c r="M2775" s="221"/>
      <c r="N2775" s="221"/>
      <c r="O2775" s="225"/>
      <c r="P2775" s="118" t="s">
        <v>9535</v>
      </c>
      <c r="Q2775" s="16" t="s">
        <v>20</v>
      </c>
      <c r="R2775" s="17" t="s">
        <v>9475</v>
      </c>
      <c r="S2775" s="121" t="s">
        <v>1625</v>
      </c>
      <c r="T2775" s="122"/>
      <c r="U2775" s="22"/>
      <c r="V2775" s="123" t="s">
        <v>2472</v>
      </c>
      <c r="W2775" s="122">
        <v>60246</v>
      </c>
      <c r="X2775" s="221"/>
      <c r="Y2775" s="221"/>
      <c r="Z2775" s="221"/>
      <c r="AA2775" s="221"/>
      <c r="AB2775" s="223"/>
    </row>
    <row r="2776" spans="1:28" ht="17.100000000000001" customHeight="1" thickTop="1">
      <c r="A2776" s="226" t="s">
        <v>8858</v>
      </c>
      <c r="B2776" s="28">
        <v>45952</v>
      </c>
      <c r="C2776" s="25">
        <v>989</v>
      </c>
      <c r="D2776" s="13" t="s">
        <v>2428</v>
      </c>
      <c r="E2776" s="228"/>
      <c r="F2776" s="109" t="s">
        <v>8863</v>
      </c>
      <c r="G2776" s="24" t="s">
        <v>8865</v>
      </c>
      <c r="H2776" s="230">
        <v>4</v>
      </c>
      <c r="I2776" s="220">
        <v>1305000</v>
      </c>
      <c r="J2776" s="220">
        <f>I2776*0.1</f>
        <v>130500</v>
      </c>
      <c r="K2776" s="220">
        <v>0</v>
      </c>
      <c r="L2776" s="220">
        <v>8350</v>
      </c>
      <c r="M2776" s="220">
        <v>12100</v>
      </c>
      <c r="N2776" s="220">
        <f>SUM(I2776:M2777)</f>
        <v>1455950</v>
      </c>
      <c r="O2776" s="224"/>
      <c r="P2776" s="110" t="s">
        <v>9352</v>
      </c>
      <c r="Q2776" s="15" t="s">
        <v>19</v>
      </c>
      <c r="R2776" s="205"/>
      <c r="S2776" s="189" t="s">
        <v>1341</v>
      </c>
      <c r="T2776" s="114"/>
      <c r="U2776" s="21" t="s">
        <v>10345</v>
      </c>
      <c r="V2776" s="115">
        <v>45969</v>
      </c>
      <c r="W2776" s="116">
        <v>1275</v>
      </c>
      <c r="X2776" s="220">
        <v>1450000</v>
      </c>
      <c r="Y2776" s="220">
        <f>X2776*0.1</f>
        <v>145000</v>
      </c>
      <c r="Z2776" s="220">
        <v>8350</v>
      </c>
      <c r="AA2776" s="220">
        <f>SUM(X2776:Z2776)</f>
        <v>1603350</v>
      </c>
      <c r="AB2776" s="222">
        <v>45974</v>
      </c>
    </row>
    <row r="2777" spans="1:28" ht="17.100000000000001" customHeight="1" thickBot="1">
      <c r="A2777" s="227"/>
      <c r="B2777" s="27" t="s">
        <v>2747</v>
      </c>
      <c r="C2777" s="27">
        <v>1493</v>
      </c>
      <c r="D2777" s="14" t="s">
        <v>273</v>
      </c>
      <c r="E2777" s="229"/>
      <c r="F2777" s="117" t="s">
        <v>8864</v>
      </c>
      <c r="G2777" s="26">
        <v>5337</v>
      </c>
      <c r="H2777" s="231"/>
      <c r="I2777" s="221"/>
      <c r="J2777" s="221"/>
      <c r="K2777" s="221"/>
      <c r="L2777" s="221"/>
      <c r="M2777" s="221"/>
      <c r="N2777" s="221"/>
      <c r="O2777" s="225"/>
      <c r="P2777" s="118" t="s">
        <v>2870</v>
      </c>
      <c r="Q2777" s="16" t="s">
        <v>20</v>
      </c>
      <c r="R2777" s="17" t="s">
        <v>1665</v>
      </c>
      <c r="S2777" s="121" t="s">
        <v>2360</v>
      </c>
      <c r="T2777" s="122"/>
      <c r="U2777" s="22"/>
      <c r="V2777" s="123" t="s">
        <v>6641</v>
      </c>
      <c r="W2777" s="122">
        <v>60009</v>
      </c>
      <c r="X2777" s="221"/>
      <c r="Y2777" s="221"/>
      <c r="Z2777" s="221"/>
      <c r="AA2777" s="221"/>
      <c r="AB2777" s="223"/>
    </row>
    <row r="2778" spans="1:28" ht="17.100000000000001" customHeight="1" thickTop="1">
      <c r="A2778" s="226" t="s">
        <v>8859</v>
      </c>
      <c r="B2778" s="28">
        <v>45952</v>
      </c>
      <c r="C2778" s="25">
        <v>989</v>
      </c>
      <c r="D2778" s="13" t="s">
        <v>4050</v>
      </c>
      <c r="E2778" s="228"/>
      <c r="F2778" s="109" t="s">
        <v>8866</v>
      </c>
      <c r="G2778" s="24" t="s">
        <v>4120</v>
      </c>
      <c r="H2778" s="230">
        <v>4.5</v>
      </c>
      <c r="I2778" s="220">
        <v>1020000</v>
      </c>
      <c r="J2778" s="220">
        <f>I2778*0.1</f>
        <v>102000</v>
      </c>
      <c r="K2778" s="220">
        <v>0</v>
      </c>
      <c r="L2778" s="220">
        <v>9080</v>
      </c>
      <c r="M2778" s="220">
        <v>12100</v>
      </c>
      <c r="N2778" s="220">
        <f>SUM(I2778:M2779)</f>
        <v>1143180</v>
      </c>
      <c r="O2778" s="224"/>
      <c r="P2778" s="110" t="s">
        <v>8868</v>
      </c>
      <c r="Q2778" s="15" t="s">
        <v>19</v>
      </c>
      <c r="R2778" s="205"/>
      <c r="S2778" s="189" t="s">
        <v>25555</v>
      </c>
      <c r="T2778" s="114"/>
      <c r="U2778" s="85" t="s">
        <v>8868</v>
      </c>
      <c r="V2778" s="115">
        <v>45976</v>
      </c>
      <c r="W2778" s="116">
        <v>1276</v>
      </c>
      <c r="X2778" s="220">
        <v>1175000</v>
      </c>
      <c r="Y2778" s="220">
        <f>X2778*0.1</f>
        <v>117500</v>
      </c>
      <c r="Z2778" s="220">
        <v>9080</v>
      </c>
      <c r="AA2778" s="220">
        <f>SUM(X2778:Z2778)</f>
        <v>1301580</v>
      </c>
      <c r="AB2778" s="222">
        <v>45979</v>
      </c>
    </row>
    <row r="2779" spans="1:28" ht="17.100000000000001" customHeight="1" thickBot="1">
      <c r="A2779" s="227"/>
      <c r="B2779" s="27" t="s">
        <v>2747</v>
      </c>
      <c r="C2779" s="27">
        <v>4012</v>
      </c>
      <c r="D2779" s="14" t="s">
        <v>273</v>
      </c>
      <c r="E2779" s="229"/>
      <c r="F2779" s="117" t="s">
        <v>8867</v>
      </c>
      <c r="G2779" s="26">
        <v>47335</v>
      </c>
      <c r="H2779" s="231"/>
      <c r="I2779" s="221"/>
      <c r="J2779" s="221"/>
      <c r="K2779" s="221"/>
      <c r="L2779" s="221"/>
      <c r="M2779" s="221"/>
      <c r="N2779" s="221"/>
      <c r="O2779" s="225"/>
      <c r="P2779" s="118" t="s">
        <v>9353</v>
      </c>
      <c r="Q2779" s="16" t="s">
        <v>20</v>
      </c>
      <c r="R2779" s="17" t="s">
        <v>1665</v>
      </c>
      <c r="S2779" s="121" t="s">
        <v>9354</v>
      </c>
      <c r="T2779" s="122"/>
      <c r="U2779" s="22"/>
      <c r="V2779" s="123" t="s">
        <v>10781</v>
      </c>
      <c r="W2779" s="122">
        <v>60184</v>
      </c>
      <c r="X2779" s="221"/>
      <c r="Y2779" s="221"/>
      <c r="Z2779" s="221"/>
      <c r="AA2779" s="221"/>
      <c r="AB2779" s="223"/>
    </row>
    <row r="2780" spans="1:28" ht="17.100000000000001" customHeight="1" thickTop="1">
      <c r="A2780" s="226" t="s">
        <v>8860</v>
      </c>
      <c r="B2780" s="28">
        <v>45952</v>
      </c>
      <c r="C2780" s="25">
        <v>989</v>
      </c>
      <c r="D2780" s="13" t="s">
        <v>1676</v>
      </c>
      <c r="E2780" s="228"/>
      <c r="F2780" s="109" t="s">
        <v>8869</v>
      </c>
      <c r="G2780" s="24"/>
      <c r="H2780" s="230">
        <v>4.5</v>
      </c>
      <c r="I2780" s="220">
        <v>475000</v>
      </c>
      <c r="J2780" s="220">
        <f>I2780*0.1</f>
        <v>47500</v>
      </c>
      <c r="K2780" s="220">
        <v>0</v>
      </c>
      <c r="L2780" s="220">
        <v>6540</v>
      </c>
      <c r="M2780" s="220">
        <v>12100</v>
      </c>
      <c r="N2780" s="220">
        <f>SUM(I2780:M2781)</f>
        <v>541140</v>
      </c>
      <c r="O2780" s="224"/>
      <c r="P2780" s="110" t="s">
        <v>9355</v>
      </c>
      <c r="Q2780" s="15" t="s">
        <v>19</v>
      </c>
      <c r="R2780" s="205"/>
      <c r="S2780" s="189"/>
      <c r="T2780" s="114"/>
      <c r="U2780" s="21"/>
      <c r="V2780" s="115">
        <v>45983</v>
      </c>
      <c r="W2780" s="116">
        <v>1277</v>
      </c>
      <c r="X2780" s="220">
        <v>500000</v>
      </c>
      <c r="Y2780" s="220">
        <f>X2780*0.1</f>
        <v>50000</v>
      </c>
      <c r="Z2780" s="220">
        <v>6540</v>
      </c>
      <c r="AA2780" s="220">
        <f>SUM(X2780:Z2780)</f>
        <v>556540</v>
      </c>
      <c r="AB2780" s="222">
        <v>45987</v>
      </c>
    </row>
    <row r="2781" spans="1:28" ht="17.100000000000001" customHeight="1" thickBot="1">
      <c r="A2781" s="227"/>
      <c r="B2781" s="27" t="s">
        <v>2747</v>
      </c>
      <c r="C2781" s="27">
        <v>8026</v>
      </c>
      <c r="D2781" s="14" t="s">
        <v>1584</v>
      </c>
      <c r="E2781" s="229"/>
      <c r="F2781" s="117" t="s">
        <v>8870</v>
      </c>
      <c r="G2781" s="26">
        <v>16405</v>
      </c>
      <c r="H2781" s="231"/>
      <c r="I2781" s="221"/>
      <c r="J2781" s="221"/>
      <c r="K2781" s="221"/>
      <c r="L2781" s="221"/>
      <c r="M2781" s="221"/>
      <c r="N2781" s="221"/>
      <c r="O2781" s="225"/>
      <c r="P2781" s="118" t="s">
        <v>9356</v>
      </c>
      <c r="Q2781" s="16" t="s">
        <v>20</v>
      </c>
      <c r="R2781" s="17" t="s">
        <v>1665</v>
      </c>
      <c r="S2781" s="121" t="s">
        <v>3566</v>
      </c>
      <c r="T2781" s="122"/>
      <c r="U2781" s="22"/>
      <c r="V2781" s="123" t="s">
        <v>2472</v>
      </c>
      <c r="W2781" s="122">
        <v>60249</v>
      </c>
      <c r="X2781" s="221"/>
      <c r="Y2781" s="221"/>
      <c r="Z2781" s="221"/>
      <c r="AA2781" s="221"/>
      <c r="AB2781" s="223"/>
    </row>
    <row r="2782" spans="1:28" ht="17.100000000000001" customHeight="1" thickTop="1">
      <c r="A2782" s="226" t="s">
        <v>8956</v>
      </c>
      <c r="B2782" s="28">
        <v>45953</v>
      </c>
      <c r="C2782" s="25">
        <v>1999</v>
      </c>
      <c r="D2782" s="13" t="s">
        <v>1883</v>
      </c>
      <c r="E2782" s="228"/>
      <c r="F2782" s="109" t="s">
        <v>4635</v>
      </c>
      <c r="G2782" s="24" t="s">
        <v>2813</v>
      </c>
      <c r="H2782" s="230">
        <v>4</v>
      </c>
      <c r="I2782" s="220">
        <v>1231000</v>
      </c>
      <c r="J2782" s="220">
        <f>I2782*0.1</f>
        <v>123100</v>
      </c>
      <c r="K2782" s="220">
        <v>0</v>
      </c>
      <c r="L2782" s="220">
        <v>6830</v>
      </c>
      <c r="M2782" s="220">
        <v>22000</v>
      </c>
      <c r="N2782" s="220">
        <f>SUM(I2782:M2783)</f>
        <v>1382930</v>
      </c>
      <c r="O2782" s="224"/>
      <c r="P2782" s="110" t="s">
        <v>8891</v>
      </c>
      <c r="Q2782" s="15" t="s">
        <v>19</v>
      </c>
      <c r="R2782" s="205"/>
      <c r="S2782" s="189" t="s">
        <v>25467</v>
      </c>
      <c r="T2782" s="114"/>
      <c r="U2782" s="21" t="s">
        <v>9844</v>
      </c>
      <c r="V2782" s="115">
        <v>45962</v>
      </c>
      <c r="W2782" s="116">
        <v>1274</v>
      </c>
      <c r="X2782" s="220">
        <v>1310000</v>
      </c>
      <c r="Y2782" s="220">
        <f>X2782*0.1</f>
        <v>131000</v>
      </c>
      <c r="Z2782" s="220">
        <v>6830</v>
      </c>
      <c r="AA2782" s="220">
        <f>SUM(X2782:Z2782)</f>
        <v>1447830</v>
      </c>
      <c r="AB2782" s="222">
        <v>45967</v>
      </c>
    </row>
    <row r="2783" spans="1:28" ht="17.100000000000001" customHeight="1" thickBot="1">
      <c r="A2783" s="227"/>
      <c r="B2783" s="27" t="s">
        <v>2171</v>
      </c>
      <c r="C2783" s="27">
        <v>50002</v>
      </c>
      <c r="D2783" s="14" t="s">
        <v>54</v>
      </c>
      <c r="E2783" s="229"/>
      <c r="F2783" s="117" t="s">
        <v>8890</v>
      </c>
      <c r="G2783" s="26">
        <v>36900</v>
      </c>
      <c r="H2783" s="231"/>
      <c r="I2783" s="221"/>
      <c r="J2783" s="221"/>
      <c r="K2783" s="221"/>
      <c r="L2783" s="221"/>
      <c r="M2783" s="221"/>
      <c r="N2783" s="221"/>
      <c r="O2783" s="225"/>
      <c r="P2783" s="118" t="s">
        <v>9523</v>
      </c>
      <c r="Q2783" s="16" t="s">
        <v>20</v>
      </c>
      <c r="R2783" s="17" t="s">
        <v>1665</v>
      </c>
      <c r="S2783" s="121" t="s">
        <v>4984</v>
      </c>
      <c r="T2783" s="122"/>
      <c r="U2783" s="22"/>
      <c r="V2783" s="123" t="s">
        <v>2472</v>
      </c>
      <c r="W2783" s="122">
        <v>60001</v>
      </c>
      <c r="X2783" s="221"/>
      <c r="Y2783" s="221"/>
      <c r="Z2783" s="221"/>
      <c r="AA2783" s="221"/>
      <c r="AB2783" s="223"/>
    </row>
    <row r="2784" spans="1:28" ht="17.100000000000001" customHeight="1" thickTop="1">
      <c r="A2784" s="226" t="s">
        <v>8957</v>
      </c>
      <c r="B2784" s="28">
        <v>45953</v>
      </c>
      <c r="C2784" s="25">
        <v>1999</v>
      </c>
      <c r="D2784" s="13" t="s">
        <v>3269</v>
      </c>
      <c r="E2784" s="228"/>
      <c r="F2784" s="109" t="s">
        <v>8892</v>
      </c>
      <c r="G2784" s="24"/>
      <c r="H2784" s="230">
        <v>4</v>
      </c>
      <c r="I2784" s="220">
        <v>405000</v>
      </c>
      <c r="J2784" s="220">
        <f>I2784*0.1</f>
        <v>40500</v>
      </c>
      <c r="K2784" s="220">
        <v>0</v>
      </c>
      <c r="L2784" s="220">
        <v>7500</v>
      </c>
      <c r="M2784" s="220">
        <v>22000</v>
      </c>
      <c r="N2784" s="220">
        <f>SUM(I2784:M2785)</f>
        <v>475000</v>
      </c>
      <c r="O2784" s="224"/>
      <c r="P2784" s="110" t="s">
        <v>9524</v>
      </c>
      <c r="Q2784" s="15" t="s">
        <v>19</v>
      </c>
      <c r="R2784" s="205"/>
      <c r="S2784" s="189" t="s">
        <v>1113</v>
      </c>
      <c r="T2784" s="114"/>
      <c r="U2784" s="21"/>
      <c r="V2784" s="115">
        <v>45962</v>
      </c>
      <c r="W2784" s="116">
        <v>1274</v>
      </c>
      <c r="X2784" s="220">
        <v>500000</v>
      </c>
      <c r="Y2784" s="220">
        <f>X2784*0.1</f>
        <v>50000</v>
      </c>
      <c r="Z2784" s="220">
        <v>7500</v>
      </c>
      <c r="AA2784" s="220">
        <f>SUM(X2784:Z2784)</f>
        <v>557500</v>
      </c>
      <c r="AB2784" s="222">
        <v>45965</v>
      </c>
    </row>
    <row r="2785" spans="1:28" ht="17.100000000000001" customHeight="1" thickBot="1">
      <c r="A2785" s="227"/>
      <c r="B2785" s="27" t="s">
        <v>2171</v>
      </c>
      <c r="C2785" s="27">
        <v>50176</v>
      </c>
      <c r="D2785" s="14" t="s">
        <v>1584</v>
      </c>
      <c r="E2785" s="229"/>
      <c r="F2785" s="117" t="s">
        <v>8893</v>
      </c>
      <c r="G2785" s="26">
        <v>9117</v>
      </c>
      <c r="H2785" s="231"/>
      <c r="I2785" s="221"/>
      <c r="J2785" s="221"/>
      <c r="K2785" s="221"/>
      <c r="L2785" s="221"/>
      <c r="M2785" s="221"/>
      <c r="N2785" s="221"/>
      <c r="O2785" s="225"/>
      <c r="P2785" s="118" t="s">
        <v>3919</v>
      </c>
      <c r="Q2785" s="16" t="s">
        <v>20</v>
      </c>
      <c r="R2785" s="17" t="s">
        <v>9475</v>
      </c>
      <c r="S2785" s="121" t="s">
        <v>1661</v>
      </c>
      <c r="T2785" s="122"/>
      <c r="U2785" s="22"/>
      <c r="V2785" s="123" t="s">
        <v>2472</v>
      </c>
      <c r="W2785" s="122">
        <v>60011</v>
      </c>
      <c r="X2785" s="221"/>
      <c r="Y2785" s="221"/>
      <c r="Z2785" s="221"/>
      <c r="AA2785" s="221"/>
      <c r="AB2785" s="223"/>
    </row>
    <row r="2786" spans="1:28" ht="17.100000000000001" customHeight="1" thickTop="1">
      <c r="A2786" s="233" t="s">
        <v>8958</v>
      </c>
      <c r="B2786" s="28">
        <v>45953</v>
      </c>
      <c r="C2786" s="25">
        <v>1955</v>
      </c>
      <c r="D2786" s="13" t="s">
        <v>1810</v>
      </c>
      <c r="E2786" s="228"/>
      <c r="F2786" s="109" t="s">
        <v>5332</v>
      </c>
      <c r="G2786" s="24"/>
      <c r="H2786" s="230">
        <v>4.5</v>
      </c>
      <c r="I2786" s="220">
        <v>1173000</v>
      </c>
      <c r="J2786" s="220">
        <f>I2786*0.1</f>
        <v>117300</v>
      </c>
      <c r="K2786" s="220">
        <v>0</v>
      </c>
      <c r="L2786" s="220">
        <v>8990</v>
      </c>
      <c r="M2786" s="220">
        <v>15950</v>
      </c>
      <c r="N2786" s="220">
        <f>SUM(I2786:M2787)</f>
        <v>1315240</v>
      </c>
      <c r="O2786" s="224"/>
      <c r="P2786" s="110" t="s">
        <v>9222</v>
      </c>
      <c r="Q2786" s="15" t="s">
        <v>19</v>
      </c>
      <c r="R2786" s="205"/>
      <c r="S2786" s="189" t="s">
        <v>758</v>
      </c>
      <c r="T2786" s="114"/>
      <c r="U2786" s="21"/>
      <c r="V2786" s="115">
        <v>46039</v>
      </c>
      <c r="W2786" s="116">
        <v>1284</v>
      </c>
      <c r="X2786" s="220">
        <v>1240000</v>
      </c>
      <c r="Y2786" s="220">
        <f>X2786*0.1</f>
        <v>124000</v>
      </c>
      <c r="Z2786" s="220">
        <v>8990</v>
      </c>
      <c r="AA2786" s="220">
        <f>SUM(X2786:Z2786)</f>
        <v>1372990</v>
      </c>
      <c r="AB2786" s="222">
        <v>46042</v>
      </c>
    </row>
    <row r="2787" spans="1:28" ht="17.100000000000001" customHeight="1" thickBot="1">
      <c r="A2787" s="234"/>
      <c r="B2787" s="27" t="s">
        <v>3730</v>
      </c>
      <c r="C2787" s="27">
        <v>62021</v>
      </c>
      <c r="D2787" s="14" t="s">
        <v>1584</v>
      </c>
      <c r="E2787" s="229"/>
      <c r="F2787" s="117" t="s">
        <v>8944</v>
      </c>
      <c r="G2787" s="26">
        <v>49330</v>
      </c>
      <c r="H2787" s="231"/>
      <c r="I2787" s="221"/>
      <c r="J2787" s="221"/>
      <c r="K2787" s="221"/>
      <c r="L2787" s="221"/>
      <c r="M2787" s="221"/>
      <c r="N2787" s="221"/>
      <c r="O2787" s="225"/>
      <c r="P2787" s="118" t="s">
        <v>3733</v>
      </c>
      <c r="Q2787" s="16" t="s">
        <v>20</v>
      </c>
      <c r="R2787" s="17" t="s">
        <v>3288</v>
      </c>
      <c r="S2787" s="121" t="s">
        <v>1661</v>
      </c>
      <c r="T2787" s="122"/>
      <c r="U2787" s="22"/>
      <c r="V2787" s="123" t="s">
        <v>2472</v>
      </c>
      <c r="W2787" s="122">
        <v>41053</v>
      </c>
      <c r="X2787" s="221"/>
      <c r="Y2787" s="221"/>
      <c r="Z2787" s="221"/>
      <c r="AA2787" s="221"/>
      <c r="AB2787" s="223"/>
    </row>
    <row r="2788" spans="1:28" ht="17.100000000000001" customHeight="1" thickTop="1">
      <c r="A2788" s="226" t="s">
        <v>8959</v>
      </c>
      <c r="B2788" s="28">
        <v>45953</v>
      </c>
      <c r="C2788" s="25">
        <v>1238</v>
      </c>
      <c r="D2788" s="13" t="s">
        <v>2564</v>
      </c>
      <c r="E2788" s="228"/>
      <c r="F2788" s="109" t="s">
        <v>8945</v>
      </c>
      <c r="G2788" s="24" t="s">
        <v>4025</v>
      </c>
      <c r="H2788" s="230">
        <v>4</v>
      </c>
      <c r="I2788" s="220">
        <v>2000000</v>
      </c>
      <c r="J2788" s="220">
        <f>I2788*0.1</f>
        <v>200000</v>
      </c>
      <c r="K2788" s="220">
        <v>16500</v>
      </c>
      <c r="L2788" s="220">
        <v>19090</v>
      </c>
      <c r="M2788" s="220">
        <v>15950</v>
      </c>
      <c r="N2788" s="220">
        <f>SUM(I2788:M2789)</f>
        <v>2251540</v>
      </c>
      <c r="O2788" s="224"/>
      <c r="P2788" s="110" t="s">
        <v>8947</v>
      </c>
      <c r="Q2788" s="15" t="s">
        <v>19</v>
      </c>
      <c r="R2788" s="205"/>
      <c r="S2788" s="189"/>
      <c r="T2788" s="114"/>
      <c r="U2788" s="21" t="s">
        <v>11402</v>
      </c>
      <c r="V2788" s="115">
        <v>46037</v>
      </c>
      <c r="W2788" s="116"/>
      <c r="X2788" s="220">
        <v>3180000</v>
      </c>
      <c r="Y2788" s="220">
        <v>0</v>
      </c>
      <c r="Z2788" s="220">
        <v>0</v>
      </c>
      <c r="AA2788" s="220">
        <f>SUM(X2788:Z2788)</f>
        <v>3180000</v>
      </c>
      <c r="AB2788" s="222">
        <v>46075</v>
      </c>
    </row>
    <row r="2789" spans="1:28" ht="17.100000000000001" customHeight="1" thickBot="1">
      <c r="A2789" s="227"/>
      <c r="B2789" s="27" t="s">
        <v>7437</v>
      </c>
      <c r="C2789" s="27">
        <v>78063</v>
      </c>
      <c r="D2789" s="14" t="s">
        <v>1627</v>
      </c>
      <c r="E2789" s="229"/>
      <c r="F2789" s="117" t="s">
        <v>8946</v>
      </c>
      <c r="G2789" s="26">
        <v>41584</v>
      </c>
      <c r="H2789" s="231"/>
      <c r="I2789" s="221"/>
      <c r="J2789" s="221"/>
      <c r="K2789" s="221"/>
      <c r="L2789" s="221"/>
      <c r="M2789" s="221"/>
      <c r="N2789" s="221"/>
      <c r="O2789" s="225"/>
      <c r="P2789" s="118" t="s">
        <v>8189</v>
      </c>
      <c r="Q2789" s="16" t="s">
        <v>20</v>
      </c>
      <c r="R2789" s="17" t="s">
        <v>9475</v>
      </c>
      <c r="S2789" s="121" t="s">
        <v>9855</v>
      </c>
      <c r="T2789" s="122"/>
      <c r="U2789" s="22"/>
      <c r="V2789" s="123" t="s">
        <v>21088</v>
      </c>
      <c r="W2789" s="122"/>
      <c r="X2789" s="221"/>
      <c r="Y2789" s="221"/>
      <c r="Z2789" s="221"/>
      <c r="AA2789" s="221"/>
      <c r="AB2789" s="223"/>
    </row>
    <row r="2790" spans="1:28" ht="17.100000000000001" customHeight="1" thickTop="1">
      <c r="A2790" s="226" t="s">
        <v>8960</v>
      </c>
      <c r="B2790" s="28">
        <v>45953</v>
      </c>
      <c r="C2790" s="25">
        <v>1303</v>
      </c>
      <c r="D2790" s="13" t="s">
        <v>3422</v>
      </c>
      <c r="E2790" s="228"/>
      <c r="F2790" s="109" t="s">
        <v>8972</v>
      </c>
      <c r="G2790" s="24"/>
      <c r="H2790" s="230">
        <v>4.5</v>
      </c>
      <c r="I2790" s="220">
        <v>1640000</v>
      </c>
      <c r="J2790" s="220">
        <f>I2790*0.1</f>
        <v>164000</v>
      </c>
      <c r="K2790" s="220">
        <v>0</v>
      </c>
      <c r="L2790" s="220">
        <v>21500</v>
      </c>
      <c r="M2790" s="220">
        <v>16500</v>
      </c>
      <c r="N2790" s="220">
        <f>SUM(I2790:M2791)</f>
        <v>1842000</v>
      </c>
      <c r="O2790" s="224"/>
      <c r="P2790" s="110" t="s">
        <v>9588</v>
      </c>
      <c r="Q2790" s="15" t="s">
        <v>19</v>
      </c>
      <c r="R2790" s="205"/>
      <c r="S2790" s="189" t="s">
        <v>25394</v>
      </c>
      <c r="T2790" s="114"/>
      <c r="U2790" s="21"/>
      <c r="V2790" s="115">
        <v>45983</v>
      </c>
      <c r="W2790" s="116">
        <v>1277</v>
      </c>
      <c r="X2790" s="220">
        <v>1760000</v>
      </c>
      <c r="Y2790" s="220">
        <f>X2790*0.1</f>
        <v>176000</v>
      </c>
      <c r="Z2790" s="220">
        <v>21500</v>
      </c>
      <c r="AA2790" s="220">
        <f>SUM(X2790:Z2790)</f>
        <v>1957500</v>
      </c>
      <c r="AB2790" s="222">
        <v>45987</v>
      </c>
    </row>
    <row r="2791" spans="1:28" ht="17.100000000000001" customHeight="1" thickBot="1">
      <c r="A2791" s="227"/>
      <c r="B2791" s="27" t="s">
        <v>1735</v>
      </c>
      <c r="C2791" s="27">
        <v>38</v>
      </c>
      <c r="D2791" s="14" t="s">
        <v>2753</v>
      </c>
      <c r="E2791" s="229"/>
      <c r="F2791" s="117" t="s">
        <v>8973</v>
      </c>
      <c r="G2791" s="26">
        <v>58613</v>
      </c>
      <c r="H2791" s="231"/>
      <c r="I2791" s="221"/>
      <c r="J2791" s="221"/>
      <c r="K2791" s="221"/>
      <c r="L2791" s="221"/>
      <c r="M2791" s="221"/>
      <c r="N2791" s="221"/>
      <c r="O2791" s="225"/>
      <c r="P2791" s="118" t="s">
        <v>2835</v>
      </c>
      <c r="Q2791" s="16" t="s">
        <v>20</v>
      </c>
      <c r="R2791" s="17" t="s">
        <v>3282</v>
      </c>
      <c r="S2791" s="121" t="s">
        <v>1731</v>
      </c>
      <c r="T2791" s="122"/>
      <c r="U2791" s="22"/>
      <c r="V2791" s="123" t="s">
        <v>2472</v>
      </c>
      <c r="W2791" s="122">
        <v>80138</v>
      </c>
      <c r="X2791" s="221"/>
      <c r="Y2791" s="221"/>
      <c r="Z2791" s="221"/>
      <c r="AA2791" s="221"/>
      <c r="AB2791" s="223"/>
    </row>
    <row r="2792" spans="1:28" ht="17.100000000000001" customHeight="1" thickTop="1">
      <c r="A2792" s="226" t="s">
        <v>8961</v>
      </c>
      <c r="B2792" s="28">
        <v>45953</v>
      </c>
      <c r="C2792" s="25">
        <v>1303</v>
      </c>
      <c r="D2792" s="13" t="s">
        <v>1733</v>
      </c>
      <c r="E2792" s="228"/>
      <c r="F2792" s="109" t="s">
        <v>9000</v>
      </c>
      <c r="G2792" s="24"/>
      <c r="H2792" s="230">
        <v>4.5</v>
      </c>
      <c r="I2792" s="220">
        <v>3180000</v>
      </c>
      <c r="J2792" s="220">
        <f>I2792*0.1</f>
        <v>318000</v>
      </c>
      <c r="K2792" s="220">
        <v>0</v>
      </c>
      <c r="L2792" s="220">
        <v>21420</v>
      </c>
      <c r="M2792" s="220">
        <v>16500</v>
      </c>
      <c r="N2792" s="220">
        <f>SUM(I2792:M2793)</f>
        <v>3535920</v>
      </c>
      <c r="O2792" s="224"/>
      <c r="P2792" s="110" t="s">
        <v>9492</v>
      </c>
      <c r="Q2792" s="15" t="s">
        <v>19</v>
      </c>
      <c r="R2792" s="205"/>
      <c r="S2792" s="189" t="s">
        <v>25367</v>
      </c>
      <c r="T2792" s="114"/>
      <c r="U2792" s="21"/>
      <c r="V2792" s="115">
        <v>45962</v>
      </c>
      <c r="W2792" s="116">
        <v>1274</v>
      </c>
      <c r="X2792" s="220">
        <v>3205000</v>
      </c>
      <c r="Y2792" s="220">
        <f>X2792*0.1</f>
        <v>320500</v>
      </c>
      <c r="Z2792" s="220">
        <v>21420</v>
      </c>
      <c r="AA2792" s="220">
        <f>SUM(X2792:Z2792)</f>
        <v>3546920</v>
      </c>
      <c r="AB2792" s="222">
        <v>45965</v>
      </c>
    </row>
    <row r="2793" spans="1:28" ht="17.100000000000001" customHeight="1" thickBot="1">
      <c r="A2793" s="227"/>
      <c r="B2793" s="27" t="s">
        <v>1735</v>
      </c>
      <c r="C2793" s="27">
        <v>210</v>
      </c>
      <c r="D2793" s="14" t="s">
        <v>273</v>
      </c>
      <c r="E2793" s="229"/>
      <c r="F2793" s="117" t="s">
        <v>8974</v>
      </c>
      <c r="G2793" s="26">
        <v>14335</v>
      </c>
      <c r="H2793" s="231"/>
      <c r="I2793" s="221"/>
      <c r="J2793" s="221"/>
      <c r="K2793" s="221"/>
      <c r="L2793" s="221"/>
      <c r="M2793" s="221"/>
      <c r="N2793" s="221"/>
      <c r="O2793" s="225"/>
      <c r="P2793" s="118" t="s">
        <v>9493</v>
      </c>
      <c r="Q2793" s="16" t="s">
        <v>20</v>
      </c>
      <c r="R2793" s="17" t="s">
        <v>9475</v>
      </c>
      <c r="S2793" s="121" t="s">
        <v>1606</v>
      </c>
      <c r="T2793" s="122"/>
      <c r="U2793" s="22"/>
      <c r="V2793" s="123" t="s">
        <v>2472</v>
      </c>
      <c r="W2793" s="122">
        <v>80056</v>
      </c>
      <c r="X2793" s="221"/>
      <c r="Y2793" s="221"/>
      <c r="Z2793" s="221"/>
      <c r="AA2793" s="221"/>
      <c r="AB2793" s="223"/>
    </row>
    <row r="2794" spans="1:28" ht="17.100000000000001" customHeight="1" thickTop="1">
      <c r="A2794" s="226" t="s">
        <v>8962</v>
      </c>
      <c r="B2794" s="28">
        <v>45953</v>
      </c>
      <c r="C2794" s="25">
        <v>1303</v>
      </c>
      <c r="D2794" s="13" t="s">
        <v>1704</v>
      </c>
      <c r="E2794" s="228"/>
      <c r="F2794" s="109" t="s">
        <v>8975</v>
      </c>
      <c r="G2794" s="24"/>
      <c r="H2794" s="230">
        <v>4.5</v>
      </c>
      <c r="I2794" s="220">
        <v>1950000</v>
      </c>
      <c r="J2794" s="220">
        <v>195000</v>
      </c>
      <c r="K2794" s="220">
        <v>0</v>
      </c>
      <c r="L2794" s="220">
        <v>19880</v>
      </c>
      <c r="M2794" s="220">
        <v>16500</v>
      </c>
      <c r="N2794" s="220">
        <f>SUM(I2794:M2795)</f>
        <v>2181380</v>
      </c>
      <c r="O2794" s="224"/>
      <c r="P2794" s="110" t="s">
        <v>9150</v>
      </c>
      <c r="Q2794" s="15" t="s">
        <v>19</v>
      </c>
      <c r="R2794" s="205"/>
      <c r="S2794" s="189" t="s">
        <v>1306</v>
      </c>
      <c r="T2794" s="114"/>
      <c r="U2794" s="21"/>
      <c r="V2794" s="115">
        <v>45955</v>
      </c>
      <c r="W2794" s="116">
        <v>1273</v>
      </c>
      <c r="X2794" s="220">
        <v>2125000</v>
      </c>
      <c r="Y2794" s="220">
        <f>X2794*0.1</f>
        <v>212500</v>
      </c>
      <c r="Z2794" s="220">
        <v>19880</v>
      </c>
      <c r="AA2794" s="220">
        <f>SUM(X2794:Z2794)</f>
        <v>2357380</v>
      </c>
      <c r="AB2794" s="222">
        <v>45958</v>
      </c>
    </row>
    <row r="2795" spans="1:28" ht="17.100000000000001" customHeight="1" thickBot="1">
      <c r="A2795" s="227"/>
      <c r="B2795" s="27" t="s">
        <v>1735</v>
      </c>
      <c r="C2795" s="27">
        <v>304</v>
      </c>
      <c r="D2795" s="14" t="s">
        <v>2559</v>
      </c>
      <c r="E2795" s="229"/>
      <c r="F2795" s="117" t="s">
        <v>8976</v>
      </c>
      <c r="G2795" s="26">
        <v>25603</v>
      </c>
      <c r="H2795" s="231"/>
      <c r="I2795" s="221"/>
      <c r="J2795" s="221"/>
      <c r="K2795" s="221"/>
      <c r="L2795" s="221"/>
      <c r="M2795" s="221"/>
      <c r="N2795" s="221"/>
      <c r="O2795" s="225"/>
      <c r="P2795" s="118" t="s">
        <v>6833</v>
      </c>
      <c r="Q2795" s="16" t="s">
        <v>20</v>
      </c>
      <c r="R2795" s="17" t="s">
        <v>9093</v>
      </c>
      <c r="S2795" s="121" t="s">
        <v>1606</v>
      </c>
      <c r="T2795" s="122"/>
      <c r="U2795" s="22"/>
      <c r="V2795" s="123" t="s">
        <v>2472</v>
      </c>
      <c r="W2795" s="122">
        <v>80319</v>
      </c>
      <c r="X2795" s="221"/>
      <c r="Y2795" s="221"/>
      <c r="Z2795" s="221"/>
      <c r="AA2795" s="221"/>
      <c r="AB2795" s="223"/>
    </row>
    <row r="2796" spans="1:28" ht="17.100000000000001" customHeight="1" thickTop="1">
      <c r="A2796" s="226" t="s">
        <v>8963</v>
      </c>
      <c r="B2796" s="28">
        <v>45953</v>
      </c>
      <c r="C2796" s="25">
        <v>1303</v>
      </c>
      <c r="D2796" s="13" t="s">
        <v>3857</v>
      </c>
      <c r="E2796" s="228"/>
      <c r="F2796" s="109" t="s">
        <v>8977</v>
      </c>
      <c r="G2796" s="24" t="s">
        <v>2494</v>
      </c>
      <c r="H2796" s="230">
        <v>4</v>
      </c>
      <c r="I2796" s="220">
        <v>2520000</v>
      </c>
      <c r="J2796" s="220">
        <f>I2796*0.1</f>
        <v>252000</v>
      </c>
      <c r="K2796" s="220">
        <f>18700+1870</f>
        <v>20570</v>
      </c>
      <c r="L2796" s="220">
        <v>17820</v>
      </c>
      <c r="M2796" s="220">
        <v>16500</v>
      </c>
      <c r="N2796" s="220">
        <f>SUM(I2796:M2797)</f>
        <v>2826890</v>
      </c>
      <c r="O2796" s="224"/>
      <c r="P2796" s="110" t="s">
        <v>9001</v>
      </c>
      <c r="Q2796" s="15" t="s">
        <v>19</v>
      </c>
      <c r="R2796" s="205"/>
      <c r="S2796" s="189" t="s">
        <v>1312</v>
      </c>
      <c r="T2796" s="114"/>
      <c r="U2796" s="21"/>
      <c r="V2796" s="115">
        <v>45955</v>
      </c>
      <c r="W2796" s="116">
        <v>1273</v>
      </c>
      <c r="X2796" s="220">
        <v>2710000</v>
      </c>
      <c r="Y2796" s="220">
        <f>X2796*0.1</f>
        <v>271000</v>
      </c>
      <c r="Z2796" s="220">
        <v>17820</v>
      </c>
      <c r="AA2796" s="220">
        <f>SUM(X2796:Z2796)</f>
        <v>2998820</v>
      </c>
      <c r="AB2796" s="222">
        <v>45960</v>
      </c>
    </row>
    <row r="2797" spans="1:28" ht="17.100000000000001" customHeight="1" thickBot="1">
      <c r="A2797" s="227"/>
      <c r="B2797" s="27" t="s">
        <v>1735</v>
      </c>
      <c r="C2797" s="27">
        <v>525</v>
      </c>
      <c r="D2797" s="14" t="s">
        <v>2559</v>
      </c>
      <c r="E2797" s="229"/>
      <c r="F2797" s="117" t="s">
        <v>8978</v>
      </c>
      <c r="G2797" s="26">
        <v>46769</v>
      </c>
      <c r="H2797" s="231"/>
      <c r="I2797" s="221"/>
      <c r="J2797" s="221"/>
      <c r="K2797" s="221"/>
      <c r="L2797" s="221"/>
      <c r="M2797" s="221"/>
      <c r="N2797" s="221"/>
      <c r="O2797" s="225"/>
      <c r="P2797" s="118" t="s">
        <v>9333</v>
      </c>
      <c r="Q2797" s="16" t="s">
        <v>20</v>
      </c>
      <c r="R2797" s="17" t="s">
        <v>1665</v>
      </c>
      <c r="S2797" s="121" t="s">
        <v>4798</v>
      </c>
      <c r="T2797" s="122"/>
      <c r="U2797" s="22"/>
      <c r="V2797" s="123" t="s">
        <v>2472</v>
      </c>
      <c r="W2797" s="122">
        <v>80318</v>
      </c>
      <c r="X2797" s="221"/>
      <c r="Y2797" s="221"/>
      <c r="Z2797" s="221"/>
      <c r="AA2797" s="221"/>
      <c r="AB2797" s="223"/>
    </row>
    <row r="2798" spans="1:28" ht="17.100000000000001" customHeight="1" thickTop="1">
      <c r="A2798" s="226" t="s">
        <v>8964</v>
      </c>
      <c r="B2798" s="28">
        <v>45953</v>
      </c>
      <c r="C2798" s="25">
        <v>1303</v>
      </c>
      <c r="D2798" s="13" t="s">
        <v>2406</v>
      </c>
      <c r="E2798" s="228"/>
      <c r="F2798" s="109" t="s">
        <v>8979</v>
      </c>
      <c r="G2798" s="24"/>
      <c r="H2798" s="230">
        <v>4.5</v>
      </c>
      <c r="I2798" s="220">
        <v>2000000</v>
      </c>
      <c r="J2798" s="220">
        <v>200000</v>
      </c>
      <c r="K2798" s="220">
        <v>0</v>
      </c>
      <c r="L2798" s="220">
        <v>16710</v>
      </c>
      <c r="M2798" s="220">
        <v>16500</v>
      </c>
      <c r="N2798" s="220">
        <f>SUM(I2798:M2799)</f>
        <v>2233210</v>
      </c>
      <c r="O2798" s="224"/>
      <c r="P2798" s="110" t="s">
        <v>9474</v>
      </c>
      <c r="Q2798" s="15" t="s">
        <v>19</v>
      </c>
      <c r="R2798" s="205"/>
      <c r="S2798" s="189" t="s">
        <v>1271</v>
      </c>
      <c r="T2798" s="114"/>
      <c r="U2798" s="21"/>
      <c r="V2798" s="115">
        <v>45955</v>
      </c>
      <c r="W2798" s="116">
        <v>1273</v>
      </c>
      <c r="X2798" s="220">
        <v>2370000</v>
      </c>
      <c r="Y2798" s="220">
        <f>X2798*0.1</f>
        <v>237000</v>
      </c>
      <c r="Z2798" s="220">
        <v>16710</v>
      </c>
      <c r="AA2798" s="220">
        <f>SUM(X2798:Z2798)</f>
        <v>2623710</v>
      </c>
      <c r="AB2798" s="222">
        <v>45965</v>
      </c>
    </row>
    <row r="2799" spans="1:28" ht="17.100000000000001" customHeight="1" thickBot="1">
      <c r="A2799" s="227"/>
      <c r="B2799" s="27" t="s">
        <v>1735</v>
      </c>
      <c r="C2799" s="27">
        <v>651</v>
      </c>
      <c r="D2799" s="14" t="s">
        <v>273</v>
      </c>
      <c r="E2799" s="229"/>
      <c r="F2799" s="117" t="s">
        <v>8980</v>
      </c>
      <c r="G2799" s="26">
        <v>22427</v>
      </c>
      <c r="H2799" s="231"/>
      <c r="I2799" s="221"/>
      <c r="J2799" s="221"/>
      <c r="K2799" s="221"/>
      <c r="L2799" s="221"/>
      <c r="M2799" s="221"/>
      <c r="N2799" s="221"/>
      <c r="O2799" s="225"/>
      <c r="P2799" s="118" t="s">
        <v>1844</v>
      </c>
      <c r="Q2799" s="16" t="s">
        <v>20</v>
      </c>
      <c r="R2799" s="17" t="s">
        <v>9475</v>
      </c>
      <c r="S2799" s="121" t="s">
        <v>1625</v>
      </c>
      <c r="T2799" s="122"/>
      <c r="U2799" s="22"/>
      <c r="V2799" s="123" t="s">
        <v>2472</v>
      </c>
      <c r="W2799" s="122">
        <v>80323</v>
      </c>
      <c r="X2799" s="221"/>
      <c r="Y2799" s="221"/>
      <c r="Z2799" s="221"/>
      <c r="AA2799" s="221"/>
      <c r="AB2799" s="223"/>
    </row>
    <row r="2800" spans="1:28" ht="17.100000000000001" customHeight="1" thickTop="1">
      <c r="A2800" s="226" t="s">
        <v>8965</v>
      </c>
      <c r="B2800" s="28">
        <v>45953</v>
      </c>
      <c r="C2800" s="25">
        <v>1303</v>
      </c>
      <c r="D2800" s="13" t="s">
        <v>2406</v>
      </c>
      <c r="E2800" s="228"/>
      <c r="F2800" s="109" t="s">
        <v>8981</v>
      </c>
      <c r="G2800" s="24" t="s">
        <v>2810</v>
      </c>
      <c r="H2800" s="230">
        <v>4.5</v>
      </c>
      <c r="I2800" s="220">
        <v>955000</v>
      </c>
      <c r="J2800" s="220">
        <f>I2800*0.1</f>
        <v>95500</v>
      </c>
      <c r="K2800" s="220">
        <f>14300+1430</f>
        <v>15730</v>
      </c>
      <c r="L2800" s="220">
        <v>11810</v>
      </c>
      <c r="M2800" s="220">
        <v>16500</v>
      </c>
      <c r="N2800" s="220">
        <f>SUM(I2800:M2801)</f>
        <v>1094540</v>
      </c>
      <c r="O2800" s="224"/>
      <c r="P2800" s="110" t="s">
        <v>9002</v>
      </c>
      <c r="Q2800" s="15" t="s">
        <v>19</v>
      </c>
      <c r="R2800" s="205"/>
      <c r="S2800" s="189" t="s">
        <v>1271</v>
      </c>
      <c r="T2800" s="114"/>
      <c r="U2800" s="21"/>
      <c r="V2800" s="115">
        <v>45969</v>
      </c>
      <c r="W2800" s="116">
        <v>1275</v>
      </c>
      <c r="X2800" s="220">
        <v>1100000</v>
      </c>
      <c r="Y2800" s="220">
        <f>X2800*0.1</f>
        <v>110000</v>
      </c>
      <c r="Z2800" s="220">
        <v>11810</v>
      </c>
      <c r="AA2800" s="220">
        <f>SUM(X2800:Z2800)</f>
        <v>1221810</v>
      </c>
      <c r="AB2800" s="222">
        <v>45972</v>
      </c>
    </row>
    <row r="2801" spans="1:28" ht="17.100000000000001" customHeight="1" thickBot="1">
      <c r="A2801" s="227"/>
      <c r="B2801" s="27" t="s">
        <v>1735</v>
      </c>
      <c r="C2801" s="27">
        <v>660</v>
      </c>
      <c r="D2801" s="14" t="s">
        <v>898</v>
      </c>
      <c r="E2801" s="229"/>
      <c r="F2801" s="117" t="s">
        <v>8982</v>
      </c>
      <c r="G2801" s="26">
        <v>28124</v>
      </c>
      <c r="H2801" s="231"/>
      <c r="I2801" s="221"/>
      <c r="J2801" s="221"/>
      <c r="K2801" s="221"/>
      <c r="L2801" s="221"/>
      <c r="M2801" s="221"/>
      <c r="N2801" s="221"/>
      <c r="O2801" s="225"/>
      <c r="P2801" s="118" t="s">
        <v>1844</v>
      </c>
      <c r="Q2801" s="16" t="s">
        <v>20</v>
      </c>
      <c r="R2801" s="17" t="s">
        <v>9475</v>
      </c>
      <c r="S2801" s="121" t="s">
        <v>1625</v>
      </c>
      <c r="T2801" s="122"/>
      <c r="U2801" s="22"/>
      <c r="V2801" s="123" t="s">
        <v>2472</v>
      </c>
      <c r="W2801" s="122">
        <v>80022</v>
      </c>
      <c r="X2801" s="221"/>
      <c r="Y2801" s="221"/>
      <c r="Z2801" s="221"/>
      <c r="AA2801" s="221"/>
      <c r="AB2801" s="223"/>
    </row>
    <row r="2802" spans="1:28" ht="17.100000000000001" customHeight="1" thickTop="1">
      <c r="A2802" s="226" t="s">
        <v>8966</v>
      </c>
      <c r="B2802" s="28">
        <v>45953</v>
      </c>
      <c r="C2802" s="25">
        <v>1303</v>
      </c>
      <c r="D2802" s="13" t="s">
        <v>2158</v>
      </c>
      <c r="E2802" s="228"/>
      <c r="F2802" s="109" t="s">
        <v>8983</v>
      </c>
      <c r="G2802" s="24"/>
      <c r="H2802" s="230">
        <v>4.5</v>
      </c>
      <c r="I2802" s="220">
        <v>1680000</v>
      </c>
      <c r="J2802" s="220">
        <f>I2802*0.1</f>
        <v>168000</v>
      </c>
      <c r="K2802" s="220">
        <v>0</v>
      </c>
      <c r="L2802" s="220">
        <v>21650</v>
      </c>
      <c r="M2802" s="220">
        <v>16500</v>
      </c>
      <c r="N2802" s="220">
        <f>SUM(I2802:M2803)</f>
        <v>1886150</v>
      </c>
      <c r="O2802" s="224"/>
      <c r="P2802" s="110" t="s">
        <v>9496</v>
      </c>
      <c r="Q2802" s="15" t="s">
        <v>19</v>
      </c>
      <c r="R2802" s="205"/>
      <c r="S2802" s="189" t="s">
        <v>1271</v>
      </c>
      <c r="T2802" s="114"/>
      <c r="U2802" s="21"/>
      <c r="V2802" s="115">
        <v>45969</v>
      </c>
      <c r="W2802" s="116">
        <v>1275</v>
      </c>
      <c r="X2802" s="220">
        <v>1850000</v>
      </c>
      <c r="Y2802" s="220">
        <f>X2802*0.1</f>
        <v>185000</v>
      </c>
      <c r="Z2802" s="220">
        <v>21650</v>
      </c>
      <c r="AA2802" s="220">
        <f>SUM(X2802:Z2802)</f>
        <v>2056650</v>
      </c>
      <c r="AB2802" s="222">
        <v>45972</v>
      </c>
    </row>
    <row r="2803" spans="1:28" ht="17.100000000000001" customHeight="1" thickBot="1">
      <c r="A2803" s="227"/>
      <c r="B2803" s="27" t="s">
        <v>1735</v>
      </c>
      <c r="C2803" s="27">
        <v>673</v>
      </c>
      <c r="D2803" s="14" t="s">
        <v>1584</v>
      </c>
      <c r="E2803" s="229"/>
      <c r="F2803" s="117" t="s">
        <v>8984</v>
      </c>
      <c r="G2803" s="26">
        <v>67945</v>
      </c>
      <c r="H2803" s="231"/>
      <c r="I2803" s="221"/>
      <c r="J2803" s="221"/>
      <c r="K2803" s="221"/>
      <c r="L2803" s="221"/>
      <c r="M2803" s="221"/>
      <c r="N2803" s="221"/>
      <c r="O2803" s="225"/>
      <c r="P2803" s="118" t="s">
        <v>1844</v>
      </c>
      <c r="Q2803" s="16" t="s">
        <v>20</v>
      </c>
      <c r="R2803" s="17" t="s">
        <v>9475</v>
      </c>
      <c r="S2803" s="121" t="s">
        <v>1731</v>
      </c>
      <c r="T2803" s="122"/>
      <c r="U2803" s="22"/>
      <c r="V2803" s="123" t="s">
        <v>2472</v>
      </c>
      <c r="W2803" s="122">
        <v>80071</v>
      </c>
      <c r="X2803" s="221"/>
      <c r="Y2803" s="221"/>
      <c r="Z2803" s="221"/>
      <c r="AA2803" s="221"/>
      <c r="AB2803" s="223"/>
    </row>
    <row r="2804" spans="1:28" ht="17.100000000000001" customHeight="1" thickTop="1">
      <c r="A2804" s="226" t="s">
        <v>8967</v>
      </c>
      <c r="B2804" s="28">
        <v>45953</v>
      </c>
      <c r="C2804" s="25">
        <v>1303</v>
      </c>
      <c r="D2804" s="13" t="s">
        <v>2203</v>
      </c>
      <c r="E2804" s="228"/>
      <c r="F2804" s="109" t="s">
        <v>4483</v>
      </c>
      <c r="G2804" s="24" t="s">
        <v>1551</v>
      </c>
      <c r="H2804" s="230">
        <v>4</v>
      </c>
      <c r="I2804" s="220">
        <v>375000</v>
      </c>
      <c r="J2804" s="220">
        <f>I2804*0.1</f>
        <v>37500</v>
      </c>
      <c r="K2804" s="220">
        <f>14300+1430</f>
        <v>15730</v>
      </c>
      <c r="L2804" s="220">
        <v>18960</v>
      </c>
      <c r="M2804" s="220">
        <v>16500</v>
      </c>
      <c r="N2804" s="220">
        <f>SUM(I2804:M2805)</f>
        <v>463690</v>
      </c>
      <c r="O2804" s="224"/>
      <c r="P2804" s="110" t="s">
        <v>9003</v>
      </c>
      <c r="Q2804" s="15" t="s">
        <v>19</v>
      </c>
      <c r="R2804" s="205"/>
      <c r="S2804" s="189" t="s">
        <v>25367</v>
      </c>
      <c r="T2804" s="114"/>
      <c r="U2804" s="21"/>
      <c r="V2804" s="115">
        <v>45955</v>
      </c>
      <c r="W2804" s="116">
        <v>1273</v>
      </c>
      <c r="X2804" s="220">
        <v>480000</v>
      </c>
      <c r="Y2804" s="220">
        <f>X2804*0.1</f>
        <v>48000</v>
      </c>
      <c r="Z2804" s="220">
        <v>18960</v>
      </c>
      <c r="AA2804" s="220">
        <f>SUM(X2804:Z2804)</f>
        <v>546960</v>
      </c>
      <c r="AB2804" s="222">
        <v>45958</v>
      </c>
    </row>
    <row r="2805" spans="1:28" ht="17.100000000000001" customHeight="1" thickBot="1">
      <c r="A2805" s="227"/>
      <c r="B2805" s="27" t="s">
        <v>1735</v>
      </c>
      <c r="C2805" s="27">
        <v>866</v>
      </c>
      <c r="D2805" s="14" t="s">
        <v>273</v>
      </c>
      <c r="E2805" s="229"/>
      <c r="F2805" s="117" t="s">
        <v>8985</v>
      </c>
      <c r="G2805" s="26">
        <v>88039</v>
      </c>
      <c r="H2805" s="231"/>
      <c r="I2805" s="221"/>
      <c r="J2805" s="221"/>
      <c r="K2805" s="221"/>
      <c r="L2805" s="221"/>
      <c r="M2805" s="221"/>
      <c r="N2805" s="221"/>
      <c r="O2805" s="225"/>
      <c r="P2805" s="118" t="s">
        <v>9228</v>
      </c>
      <c r="Q2805" s="16" t="s">
        <v>20</v>
      </c>
      <c r="R2805" s="17" t="s">
        <v>3288</v>
      </c>
      <c r="S2805" s="121" t="s">
        <v>3861</v>
      </c>
      <c r="T2805" s="122"/>
      <c r="U2805" s="22"/>
      <c r="V2805" s="123" t="s">
        <v>2472</v>
      </c>
      <c r="W2805" s="122">
        <v>80320</v>
      </c>
      <c r="X2805" s="221"/>
      <c r="Y2805" s="221"/>
      <c r="Z2805" s="221"/>
      <c r="AA2805" s="221"/>
      <c r="AB2805" s="223"/>
    </row>
    <row r="2806" spans="1:28" ht="17.100000000000001" customHeight="1" thickTop="1">
      <c r="A2806" s="226" t="s">
        <v>8968</v>
      </c>
      <c r="B2806" s="28">
        <v>45953</v>
      </c>
      <c r="C2806" s="25">
        <v>2131</v>
      </c>
      <c r="D2806" s="13" t="s">
        <v>1996</v>
      </c>
      <c r="E2806" s="228"/>
      <c r="F2806" s="109" t="s">
        <v>9045</v>
      </c>
      <c r="G2806" s="24"/>
      <c r="H2806" s="230">
        <v>4.5</v>
      </c>
      <c r="I2806" s="220">
        <v>938000</v>
      </c>
      <c r="J2806" s="220">
        <f>I2806*0.1</f>
        <v>93800</v>
      </c>
      <c r="K2806" s="220">
        <v>0</v>
      </c>
      <c r="L2806" s="220">
        <v>9310</v>
      </c>
      <c r="M2806" s="220">
        <v>13750</v>
      </c>
      <c r="N2806" s="220">
        <f>SUM(I2806:M2807)</f>
        <v>1054860</v>
      </c>
      <c r="O2806" s="224"/>
      <c r="P2806" s="110" t="s">
        <v>9518</v>
      </c>
      <c r="Q2806" s="15" t="s">
        <v>19</v>
      </c>
      <c r="R2806" s="205"/>
      <c r="S2806" s="189"/>
      <c r="T2806" s="114"/>
      <c r="U2806" s="21"/>
      <c r="V2806" s="115">
        <v>45966</v>
      </c>
      <c r="W2806" s="116">
        <v>991</v>
      </c>
      <c r="X2806" s="220">
        <v>1005000</v>
      </c>
      <c r="Y2806" s="220">
        <f>X2806*0.1</f>
        <v>100500</v>
      </c>
      <c r="Z2806" s="220">
        <v>9310</v>
      </c>
      <c r="AA2806" s="220">
        <f>SUM(X2806:Z2806)</f>
        <v>1114810</v>
      </c>
      <c r="AB2806" s="222">
        <v>45971</v>
      </c>
    </row>
    <row r="2807" spans="1:28" ht="17.100000000000001" customHeight="1" thickBot="1">
      <c r="A2807" s="227"/>
      <c r="B2807" s="27" t="s">
        <v>3228</v>
      </c>
      <c r="C2807" s="27">
        <v>2103</v>
      </c>
      <c r="D2807" s="14" t="s">
        <v>1568</v>
      </c>
      <c r="E2807" s="229"/>
      <c r="F2807" s="117" t="s">
        <v>8991</v>
      </c>
      <c r="G2807" s="26">
        <v>38823</v>
      </c>
      <c r="H2807" s="231"/>
      <c r="I2807" s="221"/>
      <c r="J2807" s="221"/>
      <c r="K2807" s="221"/>
      <c r="L2807" s="221"/>
      <c r="M2807" s="221"/>
      <c r="N2807" s="221"/>
      <c r="O2807" s="225"/>
      <c r="P2807" s="118" t="s">
        <v>2615</v>
      </c>
      <c r="Q2807" s="16" t="s">
        <v>20</v>
      </c>
      <c r="R2807" s="17" t="s">
        <v>9475</v>
      </c>
      <c r="S2807" s="121" t="s">
        <v>5207</v>
      </c>
      <c r="T2807" s="122"/>
      <c r="U2807" s="22"/>
      <c r="V2807" s="123" t="s">
        <v>2747</v>
      </c>
      <c r="W2807" s="122">
        <v>2071</v>
      </c>
      <c r="X2807" s="221"/>
      <c r="Y2807" s="221"/>
      <c r="Z2807" s="221"/>
      <c r="AA2807" s="221"/>
      <c r="AB2807" s="223"/>
    </row>
    <row r="2808" spans="1:28" ht="17.100000000000001" customHeight="1" thickTop="1">
      <c r="A2808" s="226" t="s">
        <v>8969</v>
      </c>
      <c r="B2808" s="28">
        <v>45953</v>
      </c>
      <c r="C2808" s="25">
        <v>2131</v>
      </c>
      <c r="D2808" s="13" t="s">
        <v>2040</v>
      </c>
      <c r="E2808" s="228"/>
      <c r="F2808" s="109" t="s">
        <v>4601</v>
      </c>
      <c r="G2808" s="24"/>
      <c r="H2808" s="230">
        <v>4</v>
      </c>
      <c r="I2808" s="220">
        <v>1010000</v>
      </c>
      <c r="J2808" s="220">
        <f>I2808*0.1</f>
        <v>101000</v>
      </c>
      <c r="K2808" s="220">
        <v>0</v>
      </c>
      <c r="L2808" s="220">
        <v>8630</v>
      </c>
      <c r="M2808" s="220">
        <v>13750</v>
      </c>
      <c r="N2808" s="220">
        <f>SUM(I2808:M2809)</f>
        <v>1133380</v>
      </c>
      <c r="O2808" s="224"/>
      <c r="P2808" s="110" t="s">
        <v>9512</v>
      </c>
      <c r="Q2808" s="15" t="s">
        <v>19</v>
      </c>
      <c r="R2808" s="205"/>
      <c r="S2808" s="189" t="s">
        <v>1312</v>
      </c>
      <c r="T2808" s="114"/>
      <c r="U2808" s="21"/>
      <c r="V2808" s="115">
        <v>45976</v>
      </c>
      <c r="W2808" s="116">
        <v>1276</v>
      </c>
      <c r="X2808" s="220">
        <v>1265000</v>
      </c>
      <c r="Y2808" s="220">
        <f>X2808*0.1</f>
        <v>126500</v>
      </c>
      <c r="Z2808" s="220">
        <v>8670</v>
      </c>
      <c r="AA2808" s="220">
        <f>SUM(X2808:Z2808)</f>
        <v>1400170</v>
      </c>
      <c r="AB2808" s="222">
        <v>45979</v>
      </c>
    </row>
    <row r="2809" spans="1:28" ht="17.100000000000001" customHeight="1" thickBot="1">
      <c r="A2809" s="227"/>
      <c r="B2809" s="27" t="s">
        <v>3228</v>
      </c>
      <c r="C2809" s="27">
        <v>2513</v>
      </c>
      <c r="D2809" s="14" t="s">
        <v>2014</v>
      </c>
      <c r="E2809" s="229"/>
      <c r="F2809" s="117" t="s">
        <v>8992</v>
      </c>
      <c r="G2809" s="26">
        <v>47185</v>
      </c>
      <c r="H2809" s="231"/>
      <c r="I2809" s="221"/>
      <c r="J2809" s="221"/>
      <c r="K2809" s="221"/>
      <c r="L2809" s="221"/>
      <c r="M2809" s="221"/>
      <c r="N2809" s="221"/>
      <c r="O2809" s="225"/>
      <c r="P2809" s="118" t="s">
        <v>2404</v>
      </c>
      <c r="Q2809" s="16" t="s">
        <v>20</v>
      </c>
      <c r="R2809" s="17" t="s">
        <v>9475</v>
      </c>
      <c r="S2809" s="121" t="s">
        <v>1606</v>
      </c>
      <c r="T2809" s="122"/>
      <c r="U2809" s="22"/>
      <c r="V2809" s="123" t="s">
        <v>10781</v>
      </c>
      <c r="W2809" s="122">
        <v>60245</v>
      </c>
      <c r="X2809" s="221"/>
      <c r="Y2809" s="221"/>
      <c r="Z2809" s="221"/>
      <c r="AA2809" s="221"/>
      <c r="AB2809" s="223"/>
    </row>
    <row r="2810" spans="1:28" ht="17.100000000000001" customHeight="1" thickTop="1">
      <c r="A2810" s="226" t="s">
        <v>8970</v>
      </c>
      <c r="B2810" s="28">
        <v>45953</v>
      </c>
      <c r="C2810" s="25">
        <v>2131</v>
      </c>
      <c r="D2810" s="13" t="s">
        <v>853</v>
      </c>
      <c r="E2810" s="228"/>
      <c r="F2810" s="109" t="s">
        <v>4635</v>
      </c>
      <c r="G2810" s="24" t="s">
        <v>9046</v>
      </c>
      <c r="H2810" s="230">
        <v>4.5</v>
      </c>
      <c r="I2810" s="220">
        <v>1238000</v>
      </c>
      <c r="J2810" s="220">
        <f>I2810*0.1</f>
        <v>123800</v>
      </c>
      <c r="K2810" s="220">
        <v>0</v>
      </c>
      <c r="L2810" s="220">
        <v>6830</v>
      </c>
      <c r="M2810" s="220">
        <v>13750</v>
      </c>
      <c r="N2810" s="220">
        <f>SUM(I2810:M2811)</f>
        <v>1382380</v>
      </c>
      <c r="O2810" s="224"/>
      <c r="P2810" s="110" t="s">
        <v>9592</v>
      </c>
      <c r="Q2810" s="15" t="s">
        <v>19</v>
      </c>
      <c r="R2810" s="205"/>
      <c r="S2810" s="189"/>
      <c r="T2810" s="114"/>
      <c r="U2810" s="21" t="s">
        <v>10811</v>
      </c>
      <c r="V2810" s="115">
        <v>45987</v>
      </c>
      <c r="W2810" s="116">
        <v>994</v>
      </c>
      <c r="X2810" s="220">
        <v>1260000</v>
      </c>
      <c r="Y2810" s="220">
        <f>X2810*0.1</f>
        <v>126000</v>
      </c>
      <c r="Z2810" s="220">
        <v>6830</v>
      </c>
      <c r="AA2810" s="220">
        <f>SUM(X2810:Z2810)</f>
        <v>1392830</v>
      </c>
      <c r="AB2810" s="222">
        <v>45992</v>
      </c>
    </row>
    <row r="2811" spans="1:28" ht="17.100000000000001" customHeight="1" thickBot="1">
      <c r="A2811" s="227"/>
      <c r="B2811" s="27" t="s">
        <v>3228</v>
      </c>
      <c r="C2811" s="27">
        <v>2515</v>
      </c>
      <c r="D2811" s="14" t="s">
        <v>898</v>
      </c>
      <c r="E2811" s="229"/>
      <c r="F2811" s="117" t="s">
        <v>8993</v>
      </c>
      <c r="G2811" s="26">
        <v>44102</v>
      </c>
      <c r="H2811" s="231"/>
      <c r="I2811" s="221"/>
      <c r="J2811" s="221"/>
      <c r="K2811" s="221"/>
      <c r="L2811" s="221"/>
      <c r="M2811" s="221"/>
      <c r="N2811" s="221"/>
      <c r="O2811" s="225"/>
      <c r="P2811" s="118" t="s">
        <v>1647</v>
      </c>
      <c r="Q2811" s="16" t="s">
        <v>20</v>
      </c>
      <c r="R2811" s="17" t="s">
        <v>3282</v>
      </c>
      <c r="S2811" s="121" t="s">
        <v>2366</v>
      </c>
      <c r="T2811" s="122" t="s">
        <v>11408</v>
      </c>
      <c r="U2811" s="22"/>
      <c r="V2811" s="123" t="s">
        <v>2747</v>
      </c>
      <c r="W2811" s="122">
        <v>2019</v>
      </c>
      <c r="X2811" s="221"/>
      <c r="Y2811" s="221"/>
      <c r="Z2811" s="221"/>
      <c r="AA2811" s="221"/>
      <c r="AB2811" s="223"/>
    </row>
    <row r="2812" spans="1:28" ht="17.100000000000001" customHeight="1" thickTop="1" thickBot="1">
      <c r="A2812" s="226" t="s">
        <v>8971</v>
      </c>
      <c r="B2812" s="28">
        <v>45953</v>
      </c>
      <c r="C2812" s="25">
        <v>2131</v>
      </c>
      <c r="D2812" s="13" t="s">
        <v>1678</v>
      </c>
      <c r="E2812" s="228"/>
      <c r="F2812" s="109" t="s">
        <v>7868</v>
      </c>
      <c r="G2812" s="24"/>
      <c r="H2812" s="230">
        <v>4</v>
      </c>
      <c r="I2812" s="220">
        <v>1469000</v>
      </c>
      <c r="J2812" s="220">
        <f>I2812*0.1</f>
        <v>146900</v>
      </c>
      <c r="K2812" s="220">
        <v>0</v>
      </c>
      <c r="L2812" s="220">
        <v>7040</v>
      </c>
      <c r="M2812" s="220">
        <v>13750</v>
      </c>
      <c r="N2812" s="220">
        <f>SUM(I2812:M2813)</f>
        <v>1636690</v>
      </c>
      <c r="O2812" s="224"/>
      <c r="P2812" s="110" t="s">
        <v>9513</v>
      </c>
      <c r="Q2812" s="15" t="s">
        <v>19</v>
      </c>
      <c r="R2812" s="205"/>
      <c r="S2812" s="189" t="s">
        <v>1271</v>
      </c>
      <c r="T2812" s="122"/>
      <c r="U2812" s="21"/>
      <c r="V2812" s="115">
        <v>45969</v>
      </c>
      <c r="W2812" s="116">
        <v>1275</v>
      </c>
      <c r="X2812" s="220">
        <v>1480000</v>
      </c>
      <c r="Y2812" s="220">
        <f>X2812*0.1</f>
        <v>148000</v>
      </c>
      <c r="Z2812" s="220">
        <v>7040</v>
      </c>
      <c r="AA2812" s="220">
        <f>SUM(X2812:Z2812)</f>
        <v>1635040</v>
      </c>
      <c r="AB2812" s="222">
        <v>45972</v>
      </c>
    </row>
    <row r="2813" spans="1:28" ht="17.100000000000001" customHeight="1" thickBot="1">
      <c r="A2813" s="227"/>
      <c r="B2813" s="27" t="s">
        <v>3228</v>
      </c>
      <c r="C2813" s="27">
        <v>2520</v>
      </c>
      <c r="D2813" s="14" t="s">
        <v>273</v>
      </c>
      <c r="E2813" s="229"/>
      <c r="F2813" s="117" t="s">
        <v>8994</v>
      </c>
      <c r="G2813" s="26">
        <v>27839</v>
      </c>
      <c r="H2813" s="231"/>
      <c r="I2813" s="221"/>
      <c r="J2813" s="221"/>
      <c r="K2813" s="221"/>
      <c r="L2813" s="221"/>
      <c r="M2813" s="221"/>
      <c r="N2813" s="221"/>
      <c r="O2813" s="225"/>
      <c r="P2813" s="118" t="s">
        <v>2404</v>
      </c>
      <c r="Q2813" s="16" t="s">
        <v>20</v>
      </c>
      <c r="R2813" s="17" t="s">
        <v>9475</v>
      </c>
      <c r="S2813" s="121" t="s">
        <v>4035</v>
      </c>
      <c r="T2813" s="122"/>
      <c r="U2813" s="22"/>
      <c r="V2813" s="123" t="s">
        <v>2472</v>
      </c>
      <c r="W2813" s="122">
        <v>60286</v>
      </c>
      <c r="X2813" s="221"/>
      <c r="Y2813" s="221"/>
      <c r="Z2813" s="221"/>
      <c r="AA2813" s="221"/>
      <c r="AB2813" s="223"/>
    </row>
    <row r="2814" spans="1:28" ht="17.100000000000001" customHeight="1" thickTop="1">
      <c r="A2814" s="226" t="s">
        <v>8986</v>
      </c>
      <c r="B2814" s="28">
        <v>45953</v>
      </c>
      <c r="C2814" s="25">
        <v>2131</v>
      </c>
      <c r="D2814" s="13" t="s">
        <v>1733</v>
      </c>
      <c r="E2814" s="228"/>
      <c r="F2814" s="109" t="s">
        <v>9047</v>
      </c>
      <c r="G2814" s="24"/>
      <c r="H2814" s="230">
        <v>4</v>
      </c>
      <c r="I2814" s="220">
        <v>682000</v>
      </c>
      <c r="J2814" s="220">
        <f>I2814*0.1</f>
        <v>68200</v>
      </c>
      <c r="K2814" s="220">
        <v>0</v>
      </c>
      <c r="L2814" s="220">
        <v>8400</v>
      </c>
      <c r="M2814" s="220">
        <v>13750</v>
      </c>
      <c r="N2814" s="220">
        <f>SUM(I2814:M2815)</f>
        <v>772350</v>
      </c>
      <c r="O2814" s="224"/>
      <c r="P2814" s="110" t="s">
        <v>9516</v>
      </c>
      <c r="Q2814" s="15" t="s">
        <v>19</v>
      </c>
      <c r="R2814" s="205"/>
      <c r="S2814" s="189"/>
      <c r="T2814" s="114"/>
      <c r="U2814" s="21"/>
      <c r="V2814" s="115">
        <v>45976</v>
      </c>
      <c r="W2814" s="116">
        <v>1276</v>
      </c>
      <c r="X2814" s="220">
        <v>735000</v>
      </c>
      <c r="Y2814" s="220">
        <f>X2814*0.1</f>
        <v>73500</v>
      </c>
      <c r="Z2814" s="220">
        <v>8400</v>
      </c>
      <c r="AA2814" s="220">
        <f>SUM(X2814:Z2814)</f>
        <v>816900</v>
      </c>
      <c r="AB2814" s="222">
        <v>45979</v>
      </c>
    </row>
    <row r="2815" spans="1:28" ht="17.100000000000001" customHeight="1" thickBot="1">
      <c r="A2815" s="227"/>
      <c r="B2815" s="27" t="s">
        <v>3228</v>
      </c>
      <c r="C2815" s="27">
        <v>2525</v>
      </c>
      <c r="D2815" s="14" t="s">
        <v>2177</v>
      </c>
      <c r="E2815" s="229"/>
      <c r="F2815" s="117" t="s">
        <v>8995</v>
      </c>
      <c r="G2815" s="26">
        <v>31983</v>
      </c>
      <c r="H2815" s="231"/>
      <c r="I2815" s="221"/>
      <c r="J2815" s="221"/>
      <c r="K2815" s="221"/>
      <c r="L2815" s="221"/>
      <c r="M2815" s="221"/>
      <c r="N2815" s="221"/>
      <c r="O2815" s="225"/>
      <c r="P2815" s="118" t="s">
        <v>9517</v>
      </c>
      <c r="Q2815" s="16" t="s">
        <v>20</v>
      </c>
      <c r="R2815" s="17" t="s">
        <v>9475</v>
      </c>
      <c r="S2815" s="121"/>
      <c r="T2815" s="122"/>
      <c r="U2815" s="22"/>
      <c r="V2815" s="123" t="s">
        <v>10781</v>
      </c>
      <c r="W2815" s="122">
        <v>60223</v>
      </c>
      <c r="X2815" s="221"/>
      <c r="Y2815" s="221"/>
      <c r="Z2815" s="221"/>
      <c r="AA2815" s="221"/>
      <c r="AB2815" s="223"/>
    </row>
    <row r="2816" spans="1:28" ht="17.100000000000001" customHeight="1" thickTop="1">
      <c r="A2816" s="226" t="s">
        <v>8987</v>
      </c>
      <c r="B2816" s="28">
        <v>45953</v>
      </c>
      <c r="C2816" s="25">
        <v>2131</v>
      </c>
      <c r="D2816" s="13" t="s">
        <v>1634</v>
      </c>
      <c r="E2816" s="228"/>
      <c r="F2816" s="109" t="s">
        <v>4635</v>
      </c>
      <c r="G2816" s="24" t="s">
        <v>2536</v>
      </c>
      <c r="H2816" s="230">
        <v>4.5</v>
      </c>
      <c r="I2816" s="220">
        <v>1386000</v>
      </c>
      <c r="J2816" s="220">
        <f>I2816*0.1</f>
        <v>138600</v>
      </c>
      <c r="K2816" s="220">
        <v>0</v>
      </c>
      <c r="L2816" s="220">
        <v>6830</v>
      </c>
      <c r="M2816" s="220">
        <v>13750</v>
      </c>
      <c r="N2816" s="220">
        <f>SUM(I2816:M2817)</f>
        <v>1545180</v>
      </c>
      <c r="O2816" s="224"/>
      <c r="P2816" s="110" t="s">
        <v>9478</v>
      </c>
      <c r="Q2816" s="15" t="s">
        <v>19</v>
      </c>
      <c r="R2816" s="205"/>
      <c r="S2816" s="189" t="s">
        <v>758</v>
      </c>
      <c r="T2816" s="114"/>
      <c r="U2816" s="21"/>
      <c r="V2816" s="115">
        <v>45958</v>
      </c>
      <c r="W2816" s="116">
        <v>1915</v>
      </c>
      <c r="X2816" s="220">
        <v>1425000</v>
      </c>
      <c r="Y2816" s="220">
        <f>X2816*0.1</f>
        <v>142500</v>
      </c>
      <c r="Z2816" s="220">
        <v>6830</v>
      </c>
      <c r="AA2816" s="220">
        <f>SUM(X2816:Z2816)</f>
        <v>1574330</v>
      </c>
      <c r="AB2816" s="222">
        <v>45965</v>
      </c>
    </row>
    <row r="2817" spans="1:28" ht="17.100000000000001" customHeight="1" thickBot="1">
      <c r="A2817" s="227"/>
      <c r="B2817" s="27" t="s">
        <v>3228</v>
      </c>
      <c r="C2817" s="27">
        <v>2555</v>
      </c>
      <c r="D2817" s="14" t="s">
        <v>2559</v>
      </c>
      <c r="E2817" s="229"/>
      <c r="F2817" s="117" t="s">
        <v>8996</v>
      </c>
      <c r="G2817" s="26">
        <v>43538</v>
      </c>
      <c r="H2817" s="231"/>
      <c r="I2817" s="221"/>
      <c r="J2817" s="221"/>
      <c r="K2817" s="221"/>
      <c r="L2817" s="221"/>
      <c r="M2817" s="221"/>
      <c r="N2817" s="221"/>
      <c r="O2817" s="225"/>
      <c r="P2817" s="118" t="s">
        <v>9479</v>
      </c>
      <c r="Q2817" s="16" t="s">
        <v>20</v>
      </c>
      <c r="R2817" s="17" t="s">
        <v>9475</v>
      </c>
      <c r="S2817" s="121" t="s">
        <v>7608</v>
      </c>
      <c r="T2817" s="122"/>
      <c r="U2817" s="22"/>
      <c r="V2817" s="123" t="s">
        <v>2103</v>
      </c>
      <c r="W2817" s="122">
        <v>3255</v>
      </c>
      <c r="X2817" s="221"/>
      <c r="Y2817" s="221"/>
      <c r="Z2817" s="221"/>
      <c r="AA2817" s="221"/>
      <c r="AB2817" s="223"/>
    </row>
    <row r="2818" spans="1:28" ht="17.100000000000001" customHeight="1" thickTop="1">
      <c r="A2818" s="226" t="s">
        <v>8988</v>
      </c>
      <c r="B2818" s="28">
        <v>45953</v>
      </c>
      <c r="C2818" s="25">
        <v>2131</v>
      </c>
      <c r="D2818" s="13" t="s">
        <v>2712</v>
      </c>
      <c r="E2818" s="228"/>
      <c r="F2818" s="109" t="s">
        <v>9048</v>
      </c>
      <c r="G2818" s="24"/>
      <c r="H2818" s="230">
        <v>4.5</v>
      </c>
      <c r="I2818" s="220">
        <v>1000000</v>
      </c>
      <c r="J2818" s="220">
        <f>I2818*0.1</f>
        <v>100000</v>
      </c>
      <c r="K2818" s="220">
        <v>0</v>
      </c>
      <c r="L2818" s="220">
        <v>8740</v>
      </c>
      <c r="M2818" s="220">
        <v>13750</v>
      </c>
      <c r="N2818" s="220">
        <f>SUM(I2818:M2819)</f>
        <v>1122490</v>
      </c>
      <c r="O2818" s="224"/>
      <c r="P2818" s="110" t="s">
        <v>9481</v>
      </c>
      <c r="Q2818" s="15" t="s">
        <v>19</v>
      </c>
      <c r="R2818" s="205"/>
      <c r="S2818" s="189"/>
      <c r="T2818" s="114"/>
      <c r="U2818" s="21"/>
      <c r="V2818" s="115">
        <v>45958</v>
      </c>
      <c r="W2818" s="116">
        <v>1915</v>
      </c>
      <c r="X2818" s="220">
        <v>1121000</v>
      </c>
      <c r="Y2818" s="220">
        <f>X2818*0.1</f>
        <v>112100</v>
      </c>
      <c r="Z2818" s="220">
        <v>8740</v>
      </c>
      <c r="AA2818" s="220">
        <f>SUM(X2818:Z2818)</f>
        <v>1241840</v>
      </c>
      <c r="AB2818" s="222">
        <v>45965</v>
      </c>
    </row>
    <row r="2819" spans="1:28" ht="17.100000000000001" customHeight="1" thickBot="1">
      <c r="A2819" s="227"/>
      <c r="B2819" s="27" t="s">
        <v>3228</v>
      </c>
      <c r="C2819" s="27">
        <v>2594</v>
      </c>
      <c r="D2819" s="14" t="s">
        <v>2177</v>
      </c>
      <c r="E2819" s="229"/>
      <c r="F2819" s="117" t="s">
        <v>8997</v>
      </c>
      <c r="G2819" s="26">
        <v>35638</v>
      </c>
      <c r="H2819" s="231"/>
      <c r="I2819" s="221"/>
      <c r="J2819" s="221"/>
      <c r="K2819" s="221"/>
      <c r="L2819" s="221"/>
      <c r="M2819" s="221"/>
      <c r="N2819" s="221"/>
      <c r="O2819" s="225"/>
      <c r="P2819" s="118" t="s">
        <v>2404</v>
      </c>
      <c r="Q2819" s="16" t="s">
        <v>20</v>
      </c>
      <c r="R2819" s="17" t="s">
        <v>9475</v>
      </c>
      <c r="S2819" s="121"/>
      <c r="T2819" s="122"/>
      <c r="U2819" s="22"/>
      <c r="V2819" s="123" t="s">
        <v>2103</v>
      </c>
      <c r="W2819" s="122">
        <v>3247</v>
      </c>
      <c r="X2819" s="221"/>
      <c r="Y2819" s="221"/>
      <c r="Z2819" s="221"/>
      <c r="AA2819" s="221"/>
      <c r="AB2819" s="223"/>
    </row>
    <row r="2820" spans="1:28" ht="17.100000000000001" customHeight="1" thickTop="1">
      <c r="A2820" s="226" t="s">
        <v>8989</v>
      </c>
      <c r="B2820" s="28">
        <v>45953</v>
      </c>
      <c r="C2820" s="25">
        <v>2131</v>
      </c>
      <c r="D2820" s="13" t="s">
        <v>2195</v>
      </c>
      <c r="E2820" s="228"/>
      <c r="F2820" s="109" t="s">
        <v>7868</v>
      </c>
      <c r="G2820" s="24" t="s">
        <v>8073</v>
      </c>
      <c r="H2820" s="230">
        <v>5</v>
      </c>
      <c r="I2820" s="220">
        <v>1678000</v>
      </c>
      <c r="J2820" s="220">
        <f>I2820*0.1</f>
        <v>167800</v>
      </c>
      <c r="K2820" s="220">
        <v>0</v>
      </c>
      <c r="L2820" s="220">
        <v>7230</v>
      </c>
      <c r="M2820" s="220">
        <v>13750</v>
      </c>
      <c r="N2820" s="220">
        <f>SUM(I2820:M2821)</f>
        <v>1866780</v>
      </c>
      <c r="O2820" s="224"/>
      <c r="P2820" s="110" t="s">
        <v>9593</v>
      </c>
      <c r="Q2820" s="15" t="s">
        <v>19</v>
      </c>
      <c r="R2820" s="205"/>
      <c r="S2820" s="189" t="s">
        <v>1312</v>
      </c>
      <c r="T2820" s="114"/>
      <c r="U2820" s="21"/>
      <c r="V2820" s="115">
        <v>45958</v>
      </c>
      <c r="W2820" s="116">
        <v>1915</v>
      </c>
      <c r="X2820" s="220">
        <v>1752000</v>
      </c>
      <c r="Y2820" s="220">
        <f>X2820*0.1</f>
        <v>175200</v>
      </c>
      <c r="Z2820" s="220">
        <v>7230</v>
      </c>
      <c r="AA2820" s="220">
        <f>SUM(X2820:Z2820)</f>
        <v>1934430</v>
      </c>
      <c r="AB2820" s="222">
        <v>45965</v>
      </c>
    </row>
    <row r="2821" spans="1:28" ht="17.100000000000001" customHeight="1" thickBot="1">
      <c r="A2821" s="227"/>
      <c r="B2821" s="27" t="s">
        <v>3228</v>
      </c>
      <c r="C2821" s="27">
        <v>2595</v>
      </c>
      <c r="D2821" s="14" t="s">
        <v>131</v>
      </c>
      <c r="E2821" s="229"/>
      <c r="F2821" s="117" t="s">
        <v>8998</v>
      </c>
      <c r="G2821" s="26">
        <v>2610</v>
      </c>
      <c r="H2821" s="231"/>
      <c r="I2821" s="221"/>
      <c r="J2821" s="221"/>
      <c r="K2821" s="221"/>
      <c r="L2821" s="221"/>
      <c r="M2821" s="221"/>
      <c r="N2821" s="221"/>
      <c r="O2821" s="225"/>
      <c r="P2821" s="118" t="s">
        <v>4599</v>
      </c>
      <c r="Q2821" s="16" t="s">
        <v>20</v>
      </c>
      <c r="R2821" s="17" t="s">
        <v>3282</v>
      </c>
      <c r="S2821" s="121" t="s">
        <v>1606</v>
      </c>
      <c r="T2821" s="122"/>
      <c r="U2821" s="22"/>
      <c r="V2821" s="123" t="s">
        <v>2103</v>
      </c>
      <c r="W2821" s="122">
        <v>3269</v>
      </c>
      <c r="X2821" s="221"/>
      <c r="Y2821" s="221"/>
      <c r="Z2821" s="221"/>
      <c r="AA2821" s="221"/>
      <c r="AB2821" s="223"/>
    </row>
    <row r="2822" spans="1:28" ht="17.100000000000001" customHeight="1" thickTop="1">
      <c r="A2822" s="226" t="s">
        <v>8990</v>
      </c>
      <c r="B2822" s="28">
        <v>45953</v>
      </c>
      <c r="C2822" s="25">
        <v>2131</v>
      </c>
      <c r="D2822" s="13" t="s">
        <v>4755</v>
      </c>
      <c r="E2822" s="228"/>
      <c r="F2822" s="109" t="s">
        <v>9049</v>
      </c>
      <c r="G2822" s="24"/>
      <c r="H2822" s="230">
        <v>4</v>
      </c>
      <c r="I2822" s="220">
        <v>115000</v>
      </c>
      <c r="J2822" s="220">
        <f>I2822*0.1</f>
        <v>11500</v>
      </c>
      <c r="K2822" s="220">
        <v>0</v>
      </c>
      <c r="L2822" s="220">
        <v>9460</v>
      </c>
      <c r="M2822" s="220">
        <v>13750</v>
      </c>
      <c r="N2822" s="220">
        <f>SUM(I2822:M2823)</f>
        <v>149710</v>
      </c>
      <c r="O2822" s="224"/>
      <c r="P2822" s="110" t="s">
        <v>9514</v>
      </c>
      <c r="Q2822" s="15" t="s">
        <v>19</v>
      </c>
      <c r="R2822" s="205"/>
      <c r="S2822" s="189"/>
      <c r="T2822" s="114"/>
      <c r="U2822" s="21"/>
      <c r="V2822" s="115">
        <v>45962</v>
      </c>
      <c r="W2822" s="116">
        <v>1274</v>
      </c>
      <c r="X2822" s="220">
        <v>200000</v>
      </c>
      <c r="Y2822" s="220">
        <f>X2822*0.1</f>
        <v>20000</v>
      </c>
      <c r="Z2822" s="220">
        <v>9460</v>
      </c>
      <c r="AA2822" s="220">
        <f>SUM(X2822:Z2822)</f>
        <v>229460</v>
      </c>
      <c r="AB2822" s="222">
        <v>45965</v>
      </c>
    </row>
    <row r="2823" spans="1:28" ht="17.100000000000001" customHeight="1" thickBot="1">
      <c r="A2823" s="227"/>
      <c r="B2823" s="27" t="s">
        <v>3228</v>
      </c>
      <c r="C2823" s="27">
        <v>35312</v>
      </c>
      <c r="D2823" s="14" t="s">
        <v>3792</v>
      </c>
      <c r="E2823" s="229"/>
      <c r="F2823" s="117" t="s">
        <v>8999</v>
      </c>
      <c r="G2823" s="26">
        <v>54801</v>
      </c>
      <c r="H2823" s="231"/>
      <c r="I2823" s="221"/>
      <c r="J2823" s="221"/>
      <c r="K2823" s="221"/>
      <c r="L2823" s="221"/>
      <c r="M2823" s="221"/>
      <c r="N2823" s="221"/>
      <c r="O2823" s="225"/>
      <c r="P2823" s="118" t="s">
        <v>9515</v>
      </c>
      <c r="Q2823" s="16" t="s">
        <v>20</v>
      </c>
      <c r="R2823" s="17" t="s">
        <v>9475</v>
      </c>
      <c r="S2823" s="121" t="s">
        <v>3566</v>
      </c>
      <c r="T2823" s="122"/>
      <c r="U2823" s="22"/>
      <c r="V2823" s="123" t="s">
        <v>2472</v>
      </c>
      <c r="W2823" s="122">
        <v>60043</v>
      </c>
      <c r="X2823" s="221"/>
      <c r="Y2823" s="221"/>
      <c r="Z2823" s="221"/>
      <c r="AA2823" s="221"/>
      <c r="AB2823" s="223"/>
    </row>
    <row r="2824" spans="1:28" ht="17.100000000000001" customHeight="1" thickTop="1">
      <c r="A2824" s="226" t="s">
        <v>9056</v>
      </c>
      <c r="B2824" s="28">
        <v>45953</v>
      </c>
      <c r="C2824" s="25"/>
      <c r="D2824" s="13" t="s">
        <v>1837</v>
      </c>
      <c r="E2824" s="228"/>
      <c r="F2824" s="109" t="s">
        <v>9058</v>
      </c>
      <c r="G2824" s="24" t="s">
        <v>2953</v>
      </c>
      <c r="H2824" s="230"/>
      <c r="I2824" s="220">
        <v>2400000</v>
      </c>
      <c r="J2824" s="220">
        <v>0</v>
      </c>
      <c r="K2824" s="220">
        <v>0</v>
      </c>
      <c r="L2824" s="220">
        <v>0</v>
      </c>
      <c r="M2824" s="220">
        <v>0</v>
      </c>
      <c r="N2824" s="220">
        <f>SUM(I2824:M2825)</f>
        <v>2400000</v>
      </c>
      <c r="O2824" s="224"/>
      <c r="P2824" s="110" t="s">
        <v>9060</v>
      </c>
      <c r="Q2824" s="15" t="s">
        <v>19</v>
      </c>
      <c r="R2824" s="205"/>
      <c r="S2824" s="189"/>
      <c r="T2824" s="114"/>
      <c r="U2824" s="21"/>
      <c r="V2824" s="115">
        <v>46067</v>
      </c>
      <c r="W2824" s="116"/>
      <c r="X2824" s="220">
        <v>3450000</v>
      </c>
      <c r="Y2824" s="220">
        <v>0</v>
      </c>
      <c r="Z2824" s="220">
        <v>0</v>
      </c>
      <c r="AA2824" s="220">
        <f>SUM(X2824:Z2824)</f>
        <v>3450000</v>
      </c>
      <c r="AB2824" s="222">
        <v>46096</v>
      </c>
    </row>
    <row r="2825" spans="1:28" ht="17.100000000000001" customHeight="1" thickBot="1">
      <c r="A2825" s="227"/>
      <c r="B2825" s="27" t="s">
        <v>9057</v>
      </c>
      <c r="C2825" s="27"/>
      <c r="D2825" s="14" t="s">
        <v>1584</v>
      </c>
      <c r="E2825" s="229"/>
      <c r="F2825" s="117" t="s">
        <v>9059</v>
      </c>
      <c r="G2825" s="26"/>
      <c r="H2825" s="231"/>
      <c r="I2825" s="221"/>
      <c r="J2825" s="221"/>
      <c r="K2825" s="221"/>
      <c r="L2825" s="221"/>
      <c r="M2825" s="221"/>
      <c r="N2825" s="221"/>
      <c r="O2825" s="225"/>
      <c r="P2825" s="118" t="s">
        <v>2715</v>
      </c>
      <c r="Q2825" s="16" t="s">
        <v>20</v>
      </c>
      <c r="R2825" s="17" t="s">
        <v>8953</v>
      </c>
      <c r="S2825" s="121" t="s">
        <v>1731</v>
      </c>
      <c r="T2825" s="122"/>
      <c r="U2825" s="22" t="s">
        <v>3427</v>
      </c>
      <c r="V2825" s="123" t="s">
        <v>19820</v>
      </c>
      <c r="W2825" s="122"/>
      <c r="X2825" s="221"/>
      <c r="Y2825" s="221"/>
      <c r="Z2825" s="221"/>
      <c r="AA2825" s="221"/>
      <c r="AB2825" s="223"/>
    </row>
    <row r="2826" spans="1:28" ht="17.100000000000001" customHeight="1" thickTop="1">
      <c r="A2826" s="226" t="s">
        <v>9065</v>
      </c>
      <c r="B2826" s="28">
        <v>45954</v>
      </c>
      <c r="C2826" s="25">
        <v>62</v>
      </c>
      <c r="D2826" s="13" t="s">
        <v>2392</v>
      </c>
      <c r="E2826" s="228"/>
      <c r="F2826" s="109" t="s">
        <v>9075</v>
      </c>
      <c r="G2826" s="24" t="s">
        <v>4239</v>
      </c>
      <c r="H2826" s="230">
        <v>5</v>
      </c>
      <c r="I2826" s="220">
        <v>2790000</v>
      </c>
      <c r="J2826" s="220">
        <f>I2826*0.1</f>
        <v>279000</v>
      </c>
      <c r="K2826" s="220">
        <f>14500+1450</f>
        <v>15950</v>
      </c>
      <c r="L2826" s="220">
        <v>10660</v>
      </c>
      <c r="M2826" s="220">
        <v>66000</v>
      </c>
      <c r="N2826" s="220">
        <f>SUM(I2826:M2827)</f>
        <v>3161610</v>
      </c>
      <c r="O2826" s="224"/>
      <c r="P2826" s="110" t="s">
        <v>11798</v>
      </c>
      <c r="Q2826" s="15" t="s">
        <v>19</v>
      </c>
      <c r="R2826" s="205"/>
      <c r="S2826" s="189" t="s">
        <v>25541</v>
      </c>
      <c r="T2826" s="114"/>
      <c r="U2826" s="21"/>
      <c r="V2826" s="115">
        <v>45990</v>
      </c>
      <c r="W2826" s="116">
        <v>1278</v>
      </c>
      <c r="X2826" s="220">
        <v>2960000</v>
      </c>
      <c r="Y2826" s="220">
        <f>X2826*0.1</f>
        <v>296000</v>
      </c>
      <c r="Z2826" s="220">
        <v>10660</v>
      </c>
      <c r="AA2826" s="220">
        <f>SUM(X2826:Z2826)</f>
        <v>3266660</v>
      </c>
      <c r="AB2826" s="222">
        <v>45994</v>
      </c>
    </row>
    <row r="2827" spans="1:28" ht="17.100000000000001" customHeight="1" thickBot="1">
      <c r="A2827" s="227"/>
      <c r="B2827" s="27" t="s">
        <v>4468</v>
      </c>
      <c r="C2827" s="27">
        <v>1004</v>
      </c>
      <c r="D2827" s="14" t="s">
        <v>273</v>
      </c>
      <c r="E2827" s="229"/>
      <c r="F2827" s="117" t="s">
        <v>9070</v>
      </c>
      <c r="G2827" s="26">
        <v>10409</v>
      </c>
      <c r="H2827" s="231"/>
      <c r="I2827" s="221"/>
      <c r="J2827" s="221"/>
      <c r="K2827" s="221"/>
      <c r="L2827" s="221"/>
      <c r="M2827" s="221"/>
      <c r="N2827" s="221"/>
      <c r="O2827" s="225"/>
      <c r="P2827" s="118" t="s">
        <v>11799</v>
      </c>
      <c r="Q2827" s="16" t="s">
        <v>20</v>
      </c>
      <c r="R2827" s="17" t="s">
        <v>11800</v>
      </c>
      <c r="S2827" s="121" t="s">
        <v>1625</v>
      </c>
      <c r="T2827" s="122"/>
      <c r="U2827" s="22"/>
      <c r="V2827" s="123" t="s">
        <v>2472</v>
      </c>
      <c r="W2827" s="122">
        <v>37822</v>
      </c>
      <c r="X2827" s="221"/>
      <c r="Y2827" s="221"/>
      <c r="Z2827" s="221"/>
      <c r="AA2827" s="221"/>
      <c r="AB2827" s="223"/>
    </row>
    <row r="2828" spans="1:28" ht="17.100000000000001" customHeight="1" thickTop="1">
      <c r="A2828" s="226" t="s">
        <v>9066</v>
      </c>
      <c r="B2828" s="28">
        <v>45954</v>
      </c>
      <c r="C2828" s="25">
        <v>62</v>
      </c>
      <c r="D2828" s="13" t="s">
        <v>1973</v>
      </c>
      <c r="E2828" s="228"/>
      <c r="F2828" s="109" t="s">
        <v>9076</v>
      </c>
      <c r="G2828" s="24" t="s">
        <v>1551</v>
      </c>
      <c r="H2828" s="230">
        <v>4.5</v>
      </c>
      <c r="I2828" s="220">
        <v>3790000</v>
      </c>
      <c r="J2828" s="220">
        <v>379000</v>
      </c>
      <c r="K2828" s="220">
        <f>12700+1270</f>
        <v>13970</v>
      </c>
      <c r="L2828" s="220">
        <v>11970</v>
      </c>
      <c r="M2828" s="220">
        <v>88000</v>
      </c>
      <c r="N2828" s="220">
        <f>SUM(I2828:M2829)</f>
        <v>4282940</v>
      </c>
      <c r="O2828" s="224"/>
      <c r="P2828" s="110" t="s">
        <v>10884</v>
      </c>
      <c r="Q2828" s="15" t="s">
        <v>19</v>
      </c>
      <c r="R2828" s="205"/>
      <c r="S2828" s="189" t="s">
        <v>25556</v>
      </c>
      <c r="T2828" s="114"/>
      <c r="U2828" s="21"/>
      <c r="V2828" s="115">
        <v>45976</v>
      </c>
      <c r="W2828" s="116">
        <v>1276</v>
      </c>
      <c r="X2828" s="220">
        <v>4215000</v>
      </c>
      <c r="Y2828" s="220">
        <f>X2828*0.1</f>
        <v>421500</v>
      </c>
      <c r="Z2828" s="220">
        <v>11970</v>
      </c>
      <c r="AA2828" s="220">
        <f>SUM(X2828:Z2828)</f>
        <v>4648470</v>
      </c>
      <c r="AB2828" s="222">
        <v>45986</v>
      </c>
    </row>
    <row r="2829" spans="1:28" ht="17.100000000000001" customHeight="1" thickBot="1">
      <c r="A2829" s="227"/>
      <c r="B2829" s="27" t="s">
        <v>4468</v>
      </c>
      <c r="C2829" s="27">
        <v>1025</v>
      </c>
      <c r="D2829" s="14" t="s">
        <v>2559</v>
      </c>
      <c r="E2829" s="229"/>
      <c r="F2829" s="117" t="s">
        <v>9071</v>
      </c>
      <c r="G2829" s="26">
        <v>8145</v>
      </c>
      <c r="H2829" s="231"/>
      <c r="I2829" s="221"/>
      <c r="J2829" s="221"/>
      <c r="K2829" s="221"/>
      <c r="L2829" s="221"/>
      <c r="M2829" s="221"/>
      <c r="N2829" s="221"/>
      <c r="O2829" s="225"/>
      <c r="P2829" s="118" t="s">
        <v>4281</v>
      </c>
      <c r="Q2829" s="16" t="s">
        <v>20</v>
      </c>
      <c r="R2829" s="17" t="s">
        <v>10885</v>
      </c>
      <c r="S2829" s="121" t="s">
        <v>10886</v>
      </c>
      <c r="T2829" s="122"/>
      <c r="U2829" s="22"/>
      <c r="V2829" s="123" t="s">
        <v>10781</v>
      </c>
      <c r="W2829" s="122">
        <v>37075</v>
      </c>
      <c r="X2829" s="221"/>
      <c r="Y2829" s="221"/>
      <c r="Z2829" s="221"/>
      <c r="AA2829" s="221"/>
      <c r="AB2829" s="223"/>
    </row>
    <row r="2830" spans="1:28" ht="17.100000000000001" customHeight="1" thickTop="1">
      <c r="A2830" s="226" t="s">
        <v>9067</v>
      </c>
      <c r="B2830" s="28">
        <v>45954</v>
      </c>
      <c r="C2830" s="25">
        <v>62</v>
      </c>
      <c r="D2830" s="13" t="s">
        <v>2182</v>
      </c>
      <c r="E2830" s="228"/>
      <c r="F2830" s="109" t="s">
        <v>9077</v>
      </c>
      <c r="G2830" s="24" t="s">
        <v>2038</v>
      </c>
      <c r="H2830" s="230">
        <v>4</v>
      </c>
      <c r="I2830" s="220">
        <v>3785000</v>
      </c>
      <c r="J2830" s="220">
        <f>I2830*0.1</f>
        <v>378500</v>
      </c>
      <c r="K2830" s="220">
        <f>6600+660</f>
        <v>7260</v>
      </c>
      <c r="L2830" s="220">
        <v>11570</v>
      </c>
      <c r="M2830" s="220">
        <v>88000</v>
      </c>
      <c r="N2830" s="220">
        <f>SUM(I2830:M2831)</f>
        <v>4270330</v>
      </c>
      <c r="O2830" s="224"/>
      <c r="P2830" s="110" t="s">
        <v>11987</v>
      </c>
      <c r="Q2830" s="15" t="s">
        <v>19</v>
      </c>
      <c r="R2830" s="205"/>
      <c r="S2830" s="189" t="s">
        <v>25557</v>
      </c>
      <c r="T2830" s="114"/>
      <c r="U2830" s="21"/>
      <c r="V2830" s="115">
        <v>45976</v>
      </c>
      <c r="W2830" s="116">
        <v>1276</v>
      </c>
      <c r="X2830" s="220">
        <v>3970000</v>
      </c>
      <c r="Y2830" s="220">
        <f>X2830*0.1</f>
        <v>397000</v>
      </c>
      <c r="Z2830" s="220">
        <v>11570</v>
      </c>
      <c r="AA2830" s="220">
        <f>SUM(X2830:Z2830)</f>
        <v>4378570</v>
      </c>
      <c r="AB2830" s="222">
        <v>45987</v>
      </c>
    </row>
    <row r="2831" spans="1:28" ht="17.100000000000001" customHeight="1" thickBot="1">
      <c r="A2831" s="227"/>
      <c r="B2831" s="27" t="s">
        <v>4468</v>
      </c>
      <c r="C2831" s="27">
        <v>1069</v>
      </c>
      <c r="D2831" s="14" t="s">
        <v>2559</v>
      </c>
      <c r="E2831" s="229"/>
      <c r="F2831" s="117" t="s">
        <v>9072</v>
      </c>
      <c r="G2831" s="26">
        <v>16539</v>
      </c>
      <c r="H2831" s="231"/>
      <c r="I2831" s="221"/>
      <c r="J2831" s="221"/>
      <c r="K2831" s="221"/>
      <c r="L2831" s="221"/>
      <c r="M2831" s="221"/>
      <c r="N2831" s="221"/>
      <c r="O2831" s="225"/>
      <c r="P2831" s="118" t="s">
        <v>11988</v>
      </c>
      <c r="Q2831" s="16" t="s">
        <v>20</v>
      </c>
      <c r="R2831" s="17" t="s">
        <v>2174</v>
      </c>
      <c r="S2831" s="121" t="s">
        <v>7708</v>
      </c>
      <c r="T2831" s="122"/>
      <c r="U2831" s="22"/>
      <c r="V2831" s="123" t="s">
        <v>10781</v>
      </c>
      <c r="W2831" s="122">
        <v>40006</v>
      </c>
      <c r="X2831" s="221"/>
      <c r="Y2831" s="221"/>
      <c r="Z2831" s="221"/>
      <c r="AA2831" s="221"/>
      <c r="AB2831" s="223"/>
    </row>
    <row r="2832" spans="1:28" ht="17.100000000000001" customHeight="1" thickTop="1">
      <c r="A2832" s="226" t="s">
        <v>9068</v>
      </c>
      <c r="B2832" s="28">
        <v>45954</v>
      </c>
      <c r="C2832" s="25">
        <v>62</v>
      </c>
      <c r="D2832" s="13" t="s">
        <v>2712</v>
      </c>
      <c r="E2832" s="228"/>
      <c r="F2832" s="109" t="s">
        <v>9078</v>
      </c>
      <c r="G2832" s="24" t="s">
        <v>2017</v>
      </c>
      <c r="H2832" s="230">
        <v>4.5</v>
      </c>
      <c r="I2832" s="220">
        <v>930000</v>
      </c>
      <c r="J2832" s="220">
        <f>I2832*0.1</f>
        <v>93000</v>
      </c>
      <c r="K2832" s="220">
        <v>0</v>
      </c>
      <c r="L2832" s="220">
        <v>8430</v>
      </c>
      <c r="M2832" s="220">
        <v>33000</v>
      </c>
      <c r="N2832" s="220">
        <f>SUM(I2832:M2833)</f>
        <v>1064430</v>
      </c>
      <c r="O2832" s="224"/>
      <c r="P2832" s="110" t="s">
        <v>10715</v>
      </c>
      <c r="Q2832" s="15" t="s">
        <v>19</v>
      </c>
      <c r="R2832" s="205"/>
      <c r="S2832" s="189" t="s">
        <v>25558</v>
      </c>
      <c r="T2832" s="114"/>
      <c r="U2832" s="21"/>
      <c r="V2832" s="115">
        <v>45979</v>
      </c>
      <c r="W2832" s="116">
        <v>1918</v>
      </c>
      <c r="X2832" s="220">
        <v>1037000</v>
      </c>
      <c r="Y2832" s="220">
        <f>X2832*0.1</f>
        <v>103700</v>
      </c>
      <c r="Z2832" s="220">
        <v>8430</v>
      </c>
      <c r="AA2832" s="220">
        <f>SUM(X2832:Z2832)</f>
        <v>1149130</v>
      </c>
      <c r="AB2832" s="222">
        <v>45986</v>
      </c>
    </row>
    <row r="2833" spans="1:28" ht="17.100000000000001" customHeight="1" thickBot="1">
      <c r="A2833" s="227"/>
      <c r="B2833" s="27" t="s">
        <v>4468</v>
      </c>
      <c r="C2833" s="27">
        <v>1098</v>
      </c>
      <c r="D2833" s="14" t="s">
        <v>2559</v>
      </c>
      <c r="E2833" s="229"/>
      <c r="F2833" s="117" t="s">
        <v>9073</v>
      </c>
      <c r="G2833" s="26">
        <v>29648</v>
      </c>
      <c r="H2833" s="231"/>
      <c r="I2833" s="221"/>
      <c r="J2833" s="221"/>
      <c r="K2833" s="221"/>
      <c r="L2833" s="221"/>
      <c r="M2833" s="221"/>
      <c r="N2833" s="221"/>
      <c r="O2833" s="225"/>
      <c r="P2833" s="118" t="s">
        <v>10716</v>
      </c>
      <c r="Q2833" s="16" t="s">
        <v>20</v>
      </c>
      <c r="R2833" s="17" t="s">
        <v>10694</v>
      </c>
      <c r="S2833" s="121" t="s">
        <v>10717</v>
      </c>
      <c r="T2833" s="122"/>
      <c r="U2833" s="22"/>
      <c r="V2833" s="123" t="s">
        <v>2103</v>
      </c>
      <c r="W2833" s="122">
        <v>3091</v>
      </c>
      <c r="X2833" s="221"/>
      <c r="Y2833" s="221"/>
      <c r="Z2833" s="221"/>
      <c r="AA2833" s="221"/>
      <c r="AB2833" s="223"/>
    </row>
    <row r="2834" spans="1:28" ht="17.100000000000001" customHeight="1" thickTop="1">
      <c r="A2834" s="226" t="s">
        <v>9069</v>
      </c>
      <c r="B2834" s="28">
        <v>45954</v>
      </c>
      <c r="C2834" s="25">
        <v>62</v>
      </c>
      <c r="D2834" s="13" t="s">
        <v>2920</v>
      </c>
      <c r="E2834" s="228"/>
      <c r="F2834" s="109" t="s">
        <v>9079</v>
      </c>
      <c r="G2834" s="24" t="s">
        <v>4038</v>
      </c>
      <c r="H2834" s="230">
        <v>4</v>
      </c>
      <c r="I2834" s="220">
        <v>1935000</v>
      </c>
      <c r="J2834" s="220">
        <f>I2834*0.1</f>
        <v>193500</v>
      </c>
      <c r="K2834" s="220">
        <f>10100+1010</f>
        <v>11110</v>
      </c>
      <c r="L2834" s="220">
        <v>8340</v>
      </c>
      <c r="M2834" s="220">
        <v>44000</v>
      </c>
      <c r="N2834" s="220">
        <f>SUM(I2834:M2835)</f>
        <v>2191950</v>
      </c>
      <c r="O2834" s="224"/>
      <c r="P2834" s="110" t="s">
        <v>11102</v>
      </c>
      <c r="Q2834" s="15" t="s">
        <v>19</v>
      </c>
      <c r="R2834" s="205"/>
      <c r="S2834" s="189" t="s">
        <v>25558</v>
      </c>
      <c r="T2834" s="114"/>
      <c r="U2834" s="21"/>
      <c r="V2834" s="115">
        <v>45983</v>
      </c>
      <c r="W2834" s="116">
        <v>1277</v>
      </c>
      <c r="X2834" s="220">
        <v>2100000</v>
      </c>
      <c r="Y2834" s="220">
        <f>X2834*0.1</f>
        <v>210000</v>
      </c>
      <c r="Z2834" s="220">
        <v>8340</v>
      </c>
      <c r="AA2834" s="220">
        <f>SUM(X2834:Z2834)</f>
        <v>2318340</v>
      </c>
      <c r="AB2834" s="222">
        <v>45987</v>
      </c>
    </row>
    <row r="2835" spans="1:28" ht="17.100000000000001" customHeight="1" thickBot="1">
      <c r="A2835" s="227"/>
      <c r="B2835" s="27" t="s">
        <v>4468</v>
      </c>
      <c r="C2835" s="27">
        <v>1125</v>
      </c>
      <c r="D2835" s="14" t="s">
        <v>273</v>
      </c>
      <c r="E2835" s="229"/>
      <c r="F2835" s="117" t="s">
        <v>9074</v>
      </c>
      <c r="G2835" s="26">
        <v>34273</v>
      </c>
      <c r="H2835" s="231"/>
      <c r="I2835" s="221"/>
      <c r="J2835" s="221"/>
      <c r="K2835" s="221"/>
      <c r="L2835" s="221"/>
      <c r="M2835" s="221"/>
      <c r="N2835" s="221"/>
      <c r="O2835" s="225"/>
      <c r="P2835" s="118" t="s">
        <v>11103</v>
      </c>
      <c r="Q2835" s="16" t="s">
        <v>20</v>
      </c>
      <c r="R2835" s="17" t="s">
        <v>2586</v>
      </c>
      <c r="S2835" s="121" t="s">
        <v>4035</v>
      </c>
      <c r="T2835" s="122"/>
      <c r="U2835" s="22"/>
      <c r="V2835" s="123" t="s">
        <v>2472</v>
      </c>
      <c r="W2835" s="122">
        <v>37706</v>
      </c>
      <c r="X2835" s="221"/>
      <c r="Y2835" s="221"/>
      <c r="Z2835" s="221"/>
      <c r="AA2835" s="221"/>
      <c r="AB2835" s="223"/>
    </row>
    <row r="2836" spans="1:28" ht="17.100000000000001" customHeight="1" thickTop="1">
      <c r="A2836" s="226" t="s">
        <v>9095</v>
      </c>
      <c r="B2836" s="28">
        <v>45954</v>
      </c>
      <c r="C2836" s="25">
        <v>62</v>
      </c>
      <c r="D2836" s="13" t="s">
        <v>1901</v>
      </c>
      <c r="E2836" s="228"/>
      <c r="F2836" s="109" t="s">
        <v>9094</v>
      </c>
      <c r="G2836" s="24" t="s">
        <v>3867</v>
      </c>
      <c r="H2836" s="230">
        <v>5</v>
      </c>
      <c r="I2836" s="220">
        <v>3775000</v>
      </c>
      <c r="J2836" s="220">
        <f>I2836*0.1</f>
        <v>377500</v>
      </c>
      <c r="K2836" s="220">
        <f>14500+1450</f>
        <v>15950</v>
      </c>
      <c r="L2836" s="220">
        <v>18470</v>
      </c>
      <c r="M2836" s="220">
        <v>88000</v>
      </c>
      <c r="N2836" s="220">
        <f>SUM(I2836:M2837)</f>
        <v>4274920</v>
      </c>
      <c r="O2836" s="224"/>
      <c r="P2836" s="110" t="s">
        <v>11642</v>
      </c>
      <c r="Q2836" s="15" t="s">
        <v>19</v>
      </c>
      <c r="R2836" s="205"/>
      <c r="S2836" s="189" t="s">
        <v>25541</v>
      </c>
      <c r="T2836" s="114"/>
      <c r="U2836" s="21"/>
      <c r="V2836" s="115">
        <v>45990</v>
      </c>
      <c r="W2836" s="116">
        <v>1278</v>
      </c>
      <c r="X2836" s="220">
        <v>4220000</v>
      </c>
      <c r="Y2836" s="220">
        <f>X2836*0.1</f>
        <v>422000</v>
      </c>
      <c r="Z2836" s="220">
        <v>18470</v>
      </c>
      <c r="AA2836" s="220">
        <f>SUM(X2836:Z2836)</f>
        <v>4660470</v>
      </c>
      <c r="AB2836" s="222">
        <v>45994</v>
      </c>
    </row>
    <row r="2837" spans="1:28" ht="17.100000000000001" customHeight="1" thickBot="1">
      <c r="A2837" s="227"/>
      <c r="B2837" s="27" t="s">
        <v>4468</v>
      </c>
      <c r="C2837" s="27">
        <v>1049</v>
      </c>
      <c r="D2837" s="14" t="s">
        <v>2559</v>
      </c>
      <c r="E2837" s="229"/>
      <c r="F2837" s="117" t="s">
        <v>9183</v>
      </c>
      <c r="G2837" s="26">
        <v>15955</v>
      </c>
      <c r="H2837" s="231"/>
      <c r="I2837" s="221"/>
      <c r="J2837" s="221"/>
      <c r="K2837" s="221"/>
      <c r="L2837" s="221"/>
      <c r="M2837" s="221"/>
      <c r="N2837" s="221"/>
      <c r="O2837" s="225"/>
      <c r="P2837" s="118" t="s">
        <v>11643</v>
      </c>
      <c r="Q2837" s="16" t="s">
        <v>20</v>
      </c>
      <c r="R2837" s="17" t="s">
        <v>1713</v>
      </c>
      <c r="S2837" s="121" t="s">
        <v>1731</v>
      </c>
      <c r="T2837" s="122"/>
      <c r="U2837" s="22"/>
      <c r="V2837" s="123" t="s">
        <v>2472</v>
      </c>
      <c r="W2837" s="122">
        <v>37314</v>
      </c>
      <c r="X2837" s="221"/>
      <c r="Y2837" s="221"/>
      <c r="Z2837" s="221"/>
      <c r="AA2837" s="221"/>
      <c r="AB2837" s="223"/>
    </row>
    <row r="2838" spans="1:28" ht="17.100000000000001" customHeight="1" thickTop="1">
      <c r="A2838" s="226" t="s">
        <v>9096</v>
      </c>
      <c r="B2838" s="28">
        <v>45954</v>
      </c>
      <c r="C2838" s="25">
        <v>263</v>
      </c>
      <c r="D2838" s="13" t="s">
        <v>7368</v>
      </c>
      <c r="E2838" s="228"/>
      <c r="F2838" s="109" t="s">
        <v>9004</v>
      </c>
      <c r="G2838" s="24"/>
      <c r="H2838" s="230">
        <v>4</v>
      </c>
      <c r="I2838" s="220">
        <v>78000</v>
      </c>
      <c r="J2838" s="220">
        <v>7800</v>
      </c>
      <c r="K2838" s="220">
        <v>0</v>
      </c>
      <c r="L2838" s="220">
        <v>10020</v>
      </c>
      <c r="M2838" s="220">
        <v>22000</v>
      </c>
      <c r="N2838" s="220">
        <f>SUM(I2838:M2839)</f>
        <v>117820</v>
      </c>
      <c r="O2838" s="224"/>
      <c r="P2838" s="110" t="s">
        <v>9380</v>
      </c>
      <c r="Q2838" s="15" t="s">
        <v>19</v>
      </c>
      <c r="R2838" s="205"/>
      <c r="S2838" s="189"/>
      <c r="T2838" s="114"/>
      <c r="U2838" s="21"/>
      <c r="V2838" s="115">
        <v>45969</v>
      </c>
      <c r="W2838" s="116">
        <v>1275</v>
      </c>
      <c r="X2838" s="220">
        <v>150000</v>
      </c>
      <c r="Y2838" s="220">
        <f>X2838*0.1</f>
        <v>15000</v>
      </c>
      <c r="Z2838" s="220">
        <v>10020</v>
      </c>
      <c r="AA2838" s="220">
        <f>SUM(X2838:Z2838)</f>
        <v>175020</v>
      </c>
      <c r="AB2838" s="222">
        <v>45972</v>
      </c>
    </row>
    <row r="2839" spans="1:28" ht="17.100000000000001" customHeight="1" thickBot="1">
      <c r="A2839" s="227"/>
      <c r="B2839" s="27" t="s">
        <v>4960</v>
      </c>
      <c r="C2839" s="27">
        <v>9</v>
      </c>
      <c r="D2839" s="14" t="s">
        <v>1568</v>
      </c>
      <c r="E2839" s="229"/>
      <c r="F2839" s="117" t="s">
        <v>9005</v>
      </c>
      <c r="G2839" s="26">
        <v>47817</v>
      </c>
      <c r="H2839" s="231"/>
      <c r="I2839" s="221"/>
      <c r="J2839" s="221"/>
      <c r="K2839" s="221"/>
      <c r="L2839" s="221"/>
      <c r="M2839" s="221"/>
      <c r="N2839" s="221"/>
      <c r="O2839" s="225"/>
      <c r="P2839" s="118" t="s">
        <v>9381</v>
      </c>
      <c r="Q2839" s="16" t="s">
        <v>20</v>
      </c>
      <c r="R2839" s="17" t="s">
        <v>1665</v>
      </c>
      <c r="S2839" s="121" t="s">
        <v>169</v>
      </c>
      <c r="T2839" s="122"/>
      <c r="U2839" s="22"/>
      <c r="V2839" s="123" t="s">
        <v>2472</v>
      </c>
      <c r="W2839" s="122">
        <v>60260</v>
      </c>
      <c r="X2839" s="221"/>
      <c r="Y2839" s="221"/>
      <c r="Z2839" s="221"/>
      <c r="AA2839" s="221"/>
      <c r="AB2839" s="223"/>
    </row>
    <row r="2840" spans="1:28" ht="17.100000000000001" customHeight="1" thickTop="1">
      <c r="A2840" s="226" t="s">
        <v>9097</v>
      </c>
      <c r="B2840" s="28">
        <v>45954</v>
      </c>
      <c r="C2840" s="25">
        <v>263</v>
      </c>
      <c r="D2840" s="13" t="s">
        <v>1678</v>
      </c>
      <c r="E2840" s="228"/>
      <c r="F2840" s="109" t="s">
        <v>5114</v>
      </c>
      <c r="G2840" s="24" t="s">
        <v>2536</v>
      </c>
      <c r="H2840" s="230">
        <v>4.5</v>
      </c>
      <c r="I2840" s="220">
        <v>1530000</v>
      </c>
      <c r="J2840" s="220">
        <f>I2840*0.1</f>
        <v>153000</v>
      </c>
      <c r="K2840" s="220">
        <v>0</v>
      </c>
      <c r="L2840" s="220">
        <v>7040</v>
      </c>
      <c r="M2840" s="220">
        <v>22000</v>
      </c>
      <c r="N2840" s="220">
        <f>SUM(I2840:M2841)</f>
        <v>1712040</v>
      </c>
      <c r="O2840" s="224"/>
      <c r="P2840" s="110" t="s">
        <v>9007</v>
      </c>
      <c r="Q2840" s="15" t="s">
        <v>19</v>
      </c>
      <c r="R2840" s="205"/>
      <c r="S2840" s="189" t="s">
        <v>25559</v>
      </c>
      <c r="T2840" s="114" t="s">
        <v>10112</v>
      </c>
      <c r="U2840" s="21" t="s">
        <v>9970</v>
      </c>
      <c r="V2840" s="115">
        <v>45965</v>
      </c>
      <c r="W2840" s="116">
        <v>1916</v>
      </c>
      <c r="X2840" s="220">
        <v>1570000</v>
      </c>
      <c r="Y2840" s="220">
        <f>X2840*0.1</f>
        <v>157000</v>
      </c>
      <c r="Z2840" s="220">
        <v>7040</v>
      </c>
      <c r="AA2840" s="220">
        <f>SUM(X2840:Z2840)</f>
        <v>1734040</v>
      </c>
      <c r="AB2840" s="222"/>
    </row>
    <row r="2841" spans="1:28" ht="17.100000000000001" customHeight="1" thickBot="1">
      <c r="A2841" s="227"/>
      <c r="B2841" s="27" t="s">
        <v>4960</v>
      </c>
      <c r="C2841" s="27">
        <v>95</v>
      </c>
      <c r="D2841" s="14" t="s">
        <v>3274</v>
      </c>
      <c r="E2841" s="229"/>
      <c r="F2841" s="117" t="s">
        <v>9006</v>
      </c>
      <c r="G2841" s="26">
        <v>23811</v>
      </c>
      <c r="H2841" s="231"/>
      <c r="I2841" s="221"/>
      <c r="J2841" s="221"/>
      <c r="K2841" s="221"/>
      <c r="L2841" s="221"/>
      <c r="M2841" s="221"/>
      <c r="N2841" s="221"/>
      <c r="O2841" s="225"/>
      <c r="P2841" s="118" t="s">
        <v>9382</v>
      </c>
      <c r="Q2841" s="16" t="s">
        <v>20</v>
      </c>
      <c r="R2841" s="17" t="s">
        <v>1665</v>
      </c>
      <c r="S2841" s="121" t="s">
        <v>9008</v>
      </c>
      <c r="T2841" s="122" t="s">
        <v>10113</v>
      </c>
      <c r="U2841" s="22"/>
      <c r="V2841" s="123" t="s">
        <v>2103</v>
      </c>
      <c r="W2841" s="122">
        <v>3227</v>
      </c>
      <c r="X2841" s="221"/>
      <c r="Y2841" s="221"/>
      <c r="Z2841" s="221"/>
      <c r="AA2841" s="221"/>
      <c r="AB2841" s="223"/>
    </row>
    <row r="2842" spans="1:28" ht="17.100000000000001" customHeight="1" thickTop="1">
      <c r="A2842" s="226" t="s">
        <v>9098</v>
      </c>
      <c r="B2842" s="28">
        <v>45954</v>
      </c>
      <c r="C2842" s="25">
        <v>263</v>
      </c>
      <c r="D2842" s="13" t="s">
        <v>2441</v>
      </c>
      <c r="E2842" s="228"/>
      <c r="F2842" s="109" t="s">
        <v>9009</v>
      </c>
      <c r="G2842" s="24" t="s">
        <v>2536</v>
      </c>
      <c r="H2842" s="230">
        <v>5</v>
      </c>
      <c r="I2842" s="220">
        <v>1193000</v>
      </c>
      <c r="J2842" s="220">
        <f>I2842*0.1</f>
        <v>119300</v>
      </c>
      <c r="K2842" s="220">
        <v>0</v>
      </c>
      <c r="L2842" s="220">
        <v>7230</v>
      </c>
      <c r="M2842" s="220">
        <v>22000</v>
      </c>
      <c r="N2842" s="220">
        <f>SUM(I2842:M2843)</f>
        <v>1341530</v>
      </c>
      <c r="O2842" s="224"/>
      <c r="P2842" s="110" t="s">
        <v>9011</v>
      </c>
      <c r="Q2842" s="15" t="s">
        <v>19</v>
      </c>
      <c r="R2842" s="205"/>
      <c r="S2842" s="189"/>
      <c r="T2842" s="114"/>
      <c r="U2842" s="21" t="s">
        <v>9968</v>
      </c>
      <c r="V2842" s="115">
        <v>45965</v>
      </c>
      <c r="W2842" s="116">
        <v>1916</v>
      </c>
      <c r="X2842" s="220">
        <v>1210000</v>
      </c>
      <c r="Y2842" s="220">
        <f>X2842*0.1</f>
        <v>121000</v>
      </c>
      <c r="Z2842" s="220">
        <v>7230</v>
      </c>
      <c r="AA2842" s="220">
        <f>SUM(X2842:Z2842)</f>
        <v>1338230</v>
      </c>
      <c r="AB2842" s="222">
        <v>45971</v>
      </c>
    </row>
    <row r="2843" spans="1:28" ht="17.100000000000001" customHeight="1" thickBot="1">
      <c r="A2843" s="227"/>
      <c r="B2843" s="27" t="s">
        <v>4960</v>
      </c>
      <c r="C2843" s="27">
        <v>116</v>
      </c>
      <c r="D2843" s="14" t="s">
        <v>131</v>
      </c>
      <c r="E2843" s="229"/>
      <c r="F2843" s="117" t="s">
        <v>9010</v>
      </c>
      <c r="G2843" s="26">
        <v>2260</v>
      </c>
      <c r="H2843" s="231"/>
      <c r="I2843" s="221"/>
      <c r="J2843" s="221"/>
      <c r="K2843" s="221"/>
      <c r="L2843" s="221"/>
      <c r="M2843" s="221"/>
      <c r="N2843" s="221"/>
      <c r="O2843" s="225"/>
      <c r="P2843" s="118" t="s">
        <v>9383</v>
      </c>
      <c r="Q2843" s="16" t="s">
        <v>20</v>
      </c>
      <c r="R2843" s="17" t="s">
        <v>1665</v>
      </c>
      <c r="S2843" s="121"/>
      <c r="T2843" s="122"/>
      <c r="U2843" s="22"/>
      <c r="V2843" s="123" t="s">
        <v>2103</v>
      </c>
      <c r="W2843" s="122">
        <v>3071</v>
      </c>
      <c r="X2843" s="221"/>
      <c r="Y2843" s="221"/>
      <c r="Z2843" s="221"/>
      <c r="AA2843" s="221"/>
      <c r="AB2843" s="223"/>
    </row>
    <row r="2844" spans="1:28" ht="17.100000000000001" customHeight="1" thickTop="1">
      <c r="A2844" s="226" t="s">
        <v>9099</v>
      </c>
      <c r="B2844" s="28">
        <v>45954</v>
      </c>
      <c r="C2844" s="25">
        <v>2107</v>
      </c>
      <c r="D2844" s="13" t="s">
        <v>1564</v>
      </c>
      <c r="E2844" s="228"/>
      <c r="F2844" s="109" t="s">
        <v>9012</v>
      </c>
      <c r="G2844" s="24" t="s">
        <v>9014</v>
      </c>
      <c r="H2844" s="230">
        <v>4</v>
      </c>
      <c r="I2844" s="220">
        <v>1290000</v>
      </c>
      <c r="J2844" s="220">
        <f>I2844*0.1</f>
        <v>129000</v>
      </c>
      <c r="K2844" s="220">
        <f>16400+1640</f>
        <v>18040</v>
      </c>
      <c r="L2844" s="220">
        <v>14760</v>
      </c>
      <c r="M2844" s="220">
        <v>16500</v>
      </c>
      <c r="N2844" s="220">
        <f>SUM(I2844:M2845)</f>
        <v>1468300</v>
      </c>
      <c r="O2844" s="224"/>
      <c r="P2844" s="110" t="s">
        <v>9015</v>
      </c>
      <c r="Q2844" s="15" t="s">
        <v>19</v>
      </c>
      <c r="R2844" s="205"/>
      <c r="S2844" s="189"/>
      <c r="T2844" s="114"/>
      <c r="U2844" s="21"/>
      <c r="V2844" s="115">
        <v>45960</v>
      </c>
      <c r="W2844" s="116">
        <v>1304</v>
      </c>
      <c r="X2844" s="220">
        <v>1805000</v>
      </c>
      <c r="Y2844" s="220">
        <f>X2844*0.1</f>
        <v>180500</v>
      </c>
      <c r="Z2844" s="220">
        <v>14760</v>
      </c>
      <c r="AA2844" s="220">
        <f>SUM(X2844:Z2844)</f>
        <v>2000260</v>
      </c>
      <c r="AB2844" s="222">
        <v>45961</v>
      </c>
    </row>
    <row r="2845" spans="1:28" ht="17.100000000000001" customHeight="1" thickBot="1">
      <c r="A2845" s="227"/>
      <c r="B2845" s="27" t="s">
        <v>1536</v>
      </c>
      <c r="C2845" s="27">
        <v>13133</v>
      </c>
      <c r="D2845" s="14" t="s">
        <v>2559</v>
      </c>
      <c r="E2845" s="229"/>
      <c r="F2845" s="117" t="s">
        <v>9013</v>
      </c>
      <c r="G2845" s="26">
        <v>53499</v>
      </c>
      <c r="H2845" s="231"/>
      <c r="I2845" s="221"/>
      <c r="J2845" s="221"/>
      <c r="K2845" s="221"/>
      <c r="L2845" s="221"/>
      <c r="M2845" s="221"/>
      <c r="N2845" s="221"/>
      <c r="O2845" s="225"/>
      <c r="P2845" s="118" t="s">
        <v>9505</v>
      </c>
      <c r="Q2845" s="16" t="s">
        <v>20</v>
      </c>
      <c r="R2845" s="17" t="s">
        <v>9475</v>
      </c>
      <c r="S2845" s="121" t="s">
        <v>9506</v>
      </c>
      <c r="T2845" s="122"/>
      <c r="U2845" s="22"/>
      <c r="V2845" s="123" t="s">
        <v>1735</v>
      </c>
      <c r="W2845" s="122">
        <v>27</v>
      </c>
      <c r="X2845" s="221"/>
      <c r="Y2845" s="221"/>
      <c r="Z2845" s="221"/>
      <c r="AA2845" s="221"/>
      <c r="AB2845" s="223"/>
    </row>
    <row r="2846" spans="1:28" ht="17.100000000000001" customHeight="1" thickTop="1">
      <c r="A2846" s="233" t="s">
        <v>9100</v>
      </c>
      <c r="B2846" s="28">
        <v>45954</v>
      </c>
      <c r="C2846" s="25">
        <v>2107</v>
      </c>
      <c r="D2846" s="13" t="s">
        <v>2158</v>
      </c>
      <c r="E2846" s="228"/>
      <c r="F2846" s="109" t="s">
        <v>4009</v>
      </c>
      <c r="G2846" s="24"/>
      <c r="H2846" s="230">
        <v>4</v>
      </c>
      <c r="I2846" s="220">
        <v>1155000</v>
      </c>
      <c r="J2846" s="220">
        <f>I2846*0.1</f>
        <v>115500</v>
      </c>
      <c r="K2846" s="220">
        <v>0</v>
      </c>
      <c r="L2846" s="220">
        <v>16850</v>
      </c>
      <c r="M2846" s="220">
        <v>16500</v>
      </c>
      <c r="N2846" s="220">
        <f>SUM(I2846:M2847)</f>
        <v>1303850</v>
      </c>
      <c r="O2846" s="224"/>
      <c r="P2846" s="110"/>
      <c r="Q2846" s="15" t="s">
        <v>19</v>
      </c>
      <c r="R2846" s="205"/>
      <c r="S2846" s="189" t="s">
        <v>25554</v>
      </c>
      <c r="T2846" s="114" t="s">
        <v>7899</v>
      </c>
      <c r="U2846" s="21"/>
      <c r="V2846" s="115"/>
      <c r="W2846" s="116"/>
      <c r="X2846" s="220"/>
      <c r="Y2846" s="220">
        <f>X2846*0.1</f>
        <v>0</v>
      </c>
      <c r="Z2846" s="220"/>
      <c r="AA2846" s="220">
        <f>SUM(X2846:Z2846)</f>
        <v>0</v>
      </c>
      <c r="AB2846" s="222"/>
    </row>
    <row r="2847" spans="1:28" ht="17.100000000000001" customHeight="1" thickBot="1">
      <c r="A2847" s="234"/>
      <c r="B2847" s="27" t="s">
        <v>1536</v>
      </c>
      <c r="C2847" s="27">
        <v>35019</v>
      </c>
      <c r="D2847" s="14" t="s">
        <v>1584</v>
      </c>
      <c r="E2847" s="229"/>
      <c r="F2847" s="117" t="s">
        <v>9016</v>
      </c>
      <c r="G2847" s="26">
        <v>38103</v>
      </c>
      <c r="H2847" s="231"/>
      <c r="I2847" s="221"/>
      <c r="J2847" s="221"/>
      <c r="K2847" s="221"/>
      <c r="L2847" s="221"/>
      <c r="M2847" s="221"/>
      <c r="N2847" s="221"/>
      <c r="O2847" s="225"/>
      <c r="P2847" s="118"/>
      <c r="Q2847" s="16" t="s">
        <v>20</v>
      </c>
      <c r="R2847" s="17" t="s">
        <v>10331</v>
      </c>
      <c r="S2847" s="121"/>
      <c r="T2847" s="122"/>
      <c r="U2847" s="22"/>
      <c r="V2847" s="123"/>
      <c r="W2847" s="122"/>
      <c r="X2847" s="221"/>
      <c r="Y2847" s="221"/>
      <c r="Z2847" s="221"/>
      <c r="AA2847" s="221"/>
      <c r="AB2847" s="223"/>
    </row>
    <row r="2848" spans="1:28" ht="17.100000000000001" customHeight="1" thickTop="1">
      <c r="A2848" s="233" t="s">
        <v>9101</v>
      </c>
      <c r="B2848" s="28">
        <v>45954</v>
      </c>
      <c r="C2848" s="25">
        <v>2107</v>
      </c>
      <c r="D2848" s="13" t="s">
        <v>2150</v>
      </c>
      <c r="E2848" s="228"/>
      <c r="F2848" s="109" t="s">
        <v>9017</v>
      </c>
      <c r="G2848" s="24" t="s">
        <v>5528</v>
      </c>
      <c r="H2848" s="230">
        <v>4</v>
      </c>
      <c r="I2848" s="220">
        <v>1465000</v>
      </c>
      <c r="J2848" s="220">
        <v>146500</v>
      </c>
      <c r="K2848" s="220">
        <f>16400+1640</f>
        <v>18040</v>
      </c>
      <c r="L2848" s="220">
        <v>13210</v>
      </c>
      <c r="M2848" s="220">
        <v>16500</v>
      </c>
      <c r="N2848" s="220">
        <f>SUM(I2848:M2849)</f>
        <v>1659250</v>
      </c>
      <c r="O2848" s="224"/>
      <c r="P2848" s="110" t="s">
        <v>9019</v>
      </c>
      <c r="Q2848" s="15" t="s">
        <v>19</v>
      </c>
      <c r="R2848" s="205"/>
      <c r="S2848" s="189" t="s">
        <v>1113</v>
      </c>
      <c r="T2848" s="114" t="s">
        <v>9597</v>
      </c>
      <c r="U2848" s="21"/>
      <c r="V2848" s="115"/>
      <c r="W2848" s="116"/>
      <c r="X2848" s="220"/>
      <c r="Y2848" s="220">
        <f>X2848*0.1</f>
        <v>0</v>
      </c>
      <c r="Z2848" s="220"/>
      <c r="AA2848" s="220">
        <f>SUM(X2848:Z2848)</f>
        <v>0</v>
      </c>
      <c r="AB2848" s="222"/>
    </row>
    <row r="2849" spans="1:28" ht="17.100000000000001" customHeight="1" thickBot="1">
      <c r="A2849" s="234"/>
      <c r="B2849" s="27" t="s">
        <v>1536</v>
      </c>
      <c r="C2849" s="27">
        <v>35109</v>
      </c>
      <c r="D2849" s="14" t="s">
        <v>1568</v>
      </c>
      <c r="E2849" s="229"/>
      <c r="F2849" s="117" t="s">
        <v>9018</v>
      </c>
      <c r="G2849" s="26">
        <v>58826</v>
      </c>
      <c r="H2849" s="231"/>
      <c r="I2849" s="221"/>
      <c r="J2849" s="221"/>
      <c r="K2849" s="221"/>
      <c r="L2849" s="221"/>
      <c r="M2849" s="221"/>
      <c r="N2849" s="221"/>
      <c r="O2849" s="225"/>
      <c r="P2849" s="118" t="s">
        <v>3355</v>
      </c>
      <c r="Q2849" s="16" t="s">
        <v>20</v>
      </c>
      <c r="R2849" s="17" t="s">
        <v>9475</v>
      </c>
      <c r="S2849" s="121" t="s">
        <v>1606</v>
      </c>
      <c r="T2849" s="122"/>
      <c r="U2849" s="22"/>
      <c r="V2849" s="123"/>
      <c r="W2849" s="122"/>
      <c r="X2849" s="221"/>
      <c r="Y2849" s="221"/>
      <c r="Z2849" s="221"/>
      <c r="AA2849" s="221"/>
      <c r="AB2849" s="223"/>
    </row>
    <row r="2850" spans="1:28" ht="17.100000000000001" customHeight="1" thickTop="1">
      <c r="A2850" s="226" t="s">
        <v>9102</v>
      </c>
      <c r="B2850" s="28">
        <v>45954</v>
      </c>
      <c r="C2850" s="25">
        <v>2107</v>
      </c>
      <c r="D2850" s="13" t="s">
        <v>1632</v>
      </c>
      <c r="E2850" s="228"/>
      <c r="F2850" s="109" t="s">
        <v>8679</v>
      </c>
      <c r="G2850" s="24"/>
      <c r="H2850" s="230">
        <v>4.5</v>
      </c>
      <c r="I2850" s="220">
        <v>695000</v>
      </c>
      <c r="J2850" s="220">
        <f>I2850*0.1</f>
        <v>69500</v>
      </c>
      <c r="K2850" s="220">
        <v>0</v>
      </c>
      <c r="L2850" s="220">
        <v>8400</v>
      </c>
      <c r="M2850" s="220">
        <v>16500</v>
      </c>
      <c r="N2850" s="220">
        <f>SUM(I2850:M2851)</f>
        <v>789400</v>
      </c>
      <c r="O2850" s="224"/>
      <c r="P2850" s="110" t="s">
        <v>9539</v>
      </c>
      <c r="Q2850" s="15" t="s">
        <v>19</v>
      </c>
      <c r="R2850" s="205"/>
      <c r="S2850" s="189" t="s">
        <v>758</v>
      </c>
      <c r="T2850" s="114"/>
      <c r="U2850" s="21"/>
      <c r="V2850" s="115">
        <v>45997</v>
      </c>
      <c r="W2850" s="116">
        <v>1279</v>
      </c>
      <c r="X2850" s="220">
        <v>775000</v>
      </c>
      <c r="Y2850" s="220">
        <f>X2850*0.1</f>
        <v>77500</v>
      </c>
      <c r="Z2850" s="220">
        <v>8400</v>
      </c>
      <c r="AA2850" s="220">
        <f>SUM(X2850:Z2850)</f>
        <v>860900</v>
      </c>
      <c r="AB2850" s="222">
        <v>46000</v>
      </c>
    </row>
    <row r="2851" spans="1:28" ht="17.100000000000001" customHeight="1" thickBot="1">
      <c r="A2851" s="227"/>
      <c r="B2851" s="27" t="s">
        <v>1536</v>
      </c>
      <c r="C2851" s="27">
        <v>55184</v>
      </c>
      <c r="D2851" s="14" t="s">
        <v>898</v>
      </c>
      <c r="E2851" s="229"/>
      <c r="F2851" s="117" t="s">
        <v>9020</v>
      </c>
      <c r="G2851" s="26">
        <v>53560</v>
      </c>
      <c r="H2851" s="231"/>
      <c r="I2851" s="221"/>
      <c r="J2851" s="221"/>
      <c r="K2851" s="221"/>
      <c r="L2851" s="221"/>
      <c r="M2851" s="221"/>
      <c r="N2851" s="221"/>
      <c r="O2851" s="225"/>
      <c r="P2851" s="118" t="s">
        <v>9540</v>
      </c>
      <c r="Q2851" s="16" t="s">
        <v>20</v>
      </c>
      <c r="R2851" s="17" t="s">
        <v>9475</v>
      </c>
      <c r="S2851" s="121" t="s">
        <v>169</v>
      </c>
      <c r="T2851" s="122"/>
      <c r="U2851" s="22"/>
      <c r="V2851" s="123" t="s">
        <v>7160</v>
      </c>
      <c r="W2851" s="122">
        <v>60098</v>
      </c>
      <c r="X2851" s="221"/>
      <c r="Y2851" s="221"/>
      <c r="Z2851" s="221"/>
      <c r="AA2851" s="221"/>
      <c r="AB2851" s="223"/>
    </row>
    <row r="2852" spans="1:28" ht="17.100000000000001" customHeight="1" thickTop="1">
      <c r="A2852" s="226" t="s">
        <v>9103</v>
      </c>
      <c r="B2852" s="28">
        <v>45954</v>
      </c>
      <c r="C2852" s="25">
        <v>2107</v>
      </c>
      <c r="D2852" s="13" t="s">
        <v>1740</v>
      </c>
      <c r="E2852" s="228"/>
      <c r="F2852" s="109" t="s">
        <v>4763</v>
      </c>
      <c r="G2852" s="24" t="s">
        <v>2530</v>
      </c>
      <c r="H2852" s="230">
        <v>4.5</v>
      </c>
      <c r="I2852" s="220">
        <v>430000</v>
      </c>
      <c r="J2852" s="220">
        <f>I2852*0.1</f>
        <v>43000</v>
      </c>
      <c r="K2852" s="220">
        <v>0</v>
      </c>
      <c r="L2852" s="220">
        <v>9790</v>
      </c>
      <c r="M2852" s="220">
        <v>16500</v>
      </c>
      <c r="N2852" s="220">
        <f>SUM(I2852:M2853)</f>
        <v>499290</v>
      </c>
      <c r="O2852" s="224"/>
      <c r="P2852" s="110" t="s">
        <v>9022</v>
      </c>
      <c r="Q2852" s="15" t="s">
        <v>19</v>
      </c>
      <c r="R2852" s="205"/>
      <c r="S2852" s="189"/>
      <c r="T2852" s="114"/>
      <c r="U2852" s="21"/>
      <c r="V2852" s="115">
        <v>45958</v>
      </c>
      <c r="W2852" s="116">
        <v>1915</v>
      </c>
      <c r="X2852" s="220">
        <v>510000</v>
      </c>
      <c r="Y2852" s="220">
        <f>X2852*0.1</f>
        <v>51000</v>
      </c>
      <c r="Z2852" s="220">
        <v>9790</v>
      </c>
      <c r="AA2852" s="220">
        <f>SUM(X2852:Z2852)</f>
        <v>570790</v>
      </c>
      <c r="AB2852" s="222">
        <v>45965</v>
      </c>
    </row>
    <row r="2853" spans="1:28" ht="17.100000000000001" customHeight="1" thickBot="1">
      <c r="A2853" s="227"/>
      <c r="B2853" s="27" t="s">
        <v>1536</v>
      </c>
      <c r="C2853" s="27">
        <v>55359</v>
      </c>
      <c r="D2853" s="14" t="s">
        <v>1710</v>
      </c>
      <c r="E2853" s="229"/>
      <c r="F2853" s="117" t="s">
        <v>9021</v>
      </c>
      <c r="G2853" s="26">
        <v>51667</v>
      </c>
      <c r="H2853" s="231"/>
      <c r="I2853" s="221"/>
      <c r="J2853" s="221"/>
      <c r="K2853" s="221"/>
      <c r="L2853" s="221"/>
      <c r="M2853" s="221"/>
      <c r="N2853" s="221"/>
      <c r="O2853" s="225"/>
      <c r="P2853" s="118" t="s">
        <v>7792</v>
      </c>
      <c r="Q2853" s="16" t="s">
        <v>20</v>
      </c>
      <c r="R2853" s="17" t="s">
        <v>9475</v>
      </c>
      <c r="S2853" s="121"/>
      <c r="T2853" s="122"/>
      <c r="U2853" s="22"/>
      <c r="V2853" s="123" t="s">
        <v>2103</v>
      </c>
      <c r="W2853" s="122">
        <v>3355</v>
      </c>
      <c r="X2853" s="221"/>
      <c r="Y2853" s="221"/>
      <c r="Z2853" s="221"/>
      <c r="AA2853" s="221"/>
      <c r="AB2853" s="223"/>
    </row>
    <row r="2854" spans="1:28" ht="17.100000000000001" customHeight="1" thickTop="1">
      <c r="A2854" s="226" t="s">
        <v>9104</v>
      </c>
      <c r="B2854" s="28">
        <v>45954</v>
      </c>
      <c r="C2854" s="25">
        <v>2107</v>
      </c>
      <c r="D2854" s="13" t="s">
        <v>1931</v>
      </c>
      <c r="E2854" s="228"/>
      <c r="F2854" s="109" t="s">
        <v>9023</v>
      </c>
      <c r="G2854" s="24" t="s">
        <v>3859</v>
      </c>
      <c r="H2854" s="230">
        <v>4.5</v>
      </c>
      <c r="I2854" s="220">
        <v>815000</v>
      </c>
      <c r="J2854" s="220">
        <f>I2854*0.1</f>
        <v>81500</v>
      </c>
      <c r="K2854" s="220">
        <v>0</v>
      </c>
      <c r="L2854" s="220">
        <v>8400</v>
      </c>
      <c r="M2854" s="220">
        <v>16500</v>
      </c>
      <c r="N2854" s="220">
        <f>SUM(I2854:M2855)</f>
        <v>921400</v>
      </c>
      <c r="O2854" s="224"/>
      <c r="P2854" s="110" t="s">
        <v>9025</v>
      </c>
      <c r="Q2854" s="15" t="s">
        <v>19</v>
      </c>
      <c r="R2854" s="205"/>
      <c r="S2854" s="189" t="s">
        <v>1312</v>
      </c>
      <c r="T2854" s="114"/>
      <c r="U2854" s="21" t="s">
        <v>9967</v>
      </c>
      <c r="V2854" s="115">
        <v>45965</v>
      </c>
      <c r="W2854" s="116">
        <v>1916</v>
      </c>
      <c r="X2854" s="220">
        <v>864000</v>
      </c>
      <c r="Y2854" s="220">
        <f>X2854*0.1</f>
        <v>86400</v>
      </c>
      <c r="Z2854" s="220">
        <v>8400</v>
      </c>
      <c r="AA2854" s="220">
        <f>SUM(X2854:Z2854)</f>
        <v>958800</v>
      </c>
      <c r="AB2854" s="222">
        <v>45971</v>
      </c>
    </row>
    <row r="2855" spans="1:28" ht="17.100000000000001" customHeight="1" thickBot="1">
      <c r="A2855" s="227"/>
      <c r="B2855" s="27" t="s">
        <v>1536</v>
      </c>
      <c r="C2855" s="27">
        <v>55375</v>
      </c>
      <c r="D2855" s="14" t="s">
        <v>273</v>
      </c>
      <c r="E2855" s="229"/>
      <c r="F2855" s="117" t="s">
        <v>9024</v>
      </c>
      <c r="G2855" s="26">
        <v>41758</v>
      </c>
      <c r="H2855" s="231"/>
      <c r="I2855" s="221"/>
      <c r="J2855" s="221"/>
      <c r="K2855" s="221"/>
      <c r="L2855" s="221"/>
      <c r="M2855" s="221"/>
      <c r="N2855" s="221"/>
      <c r="O2855" s="225"/>
      <c r="P2855" s="118" t="s">
        <v>9548</v>
      </c>
      <c r="Q2855" s="16" t="s">
        <v>20</v>
      </c>
      <c r="R2855" s="17" t="s">
        <v>9475</v>
      </c>
      <c r="S2855" s="121" t="s">
        <v>1722</v>
      </c>
      <c r="T2855" s="122"/>
      <c r="U2855" s="22"/>
      <c r="V2855" s="123" t="s">
        <v>2103</v>
      </c>
      <c r="W2855" s="122">
        <v>3105</v>
      </c>
      <c r="X2855" s="221"/>
      <c r="Y2855" s="221"/>
      <c r="Z2855" s="221"/>
      <c r="AA2855" s="221"/>
      <c r="AB2855" s="223"/>
    </row>
    <row r="2856" spans="1:28" ht="17.100000000000001" customHeight="1" thickTop="1">
      <c r="A2856" s="226" t="s">
        <v>9105</v>
      </c>
      <c r="B2856" s="28">
        <v>45954</v>
      </c>
      <c r="C2856" s="25">
        <v>2107</v>
      </c>
      <c r="D2856" s="13" t="s">
        <v>2913</v>
      </c>
      <c r="E2856" s="228"/>
      <c r="F2856" s="109" t="s">
        <v>7868</v>
      </c>
      <c r="G2856" s="24"/>
      <c r="H2856" s="230">
        <v>4.5</v>
      </c>
      <c r="I2856" s="220">
        <v>1385000</v>
      </c>
      <c r="J2856" s="220">
        <f>I2856*0.1</f>
        <v>138500</v>
      </c>
      <c r="K2856" s="220">
        <v>0</v>
      </c>
      <c r="L2856" s="220">
        <v>7040</v>
      </c>
      <c r="M2856" s="220">
        <v>16500</v>
      </c>
      <c r="N2856" s="220">
        <f>SUM(I2856:M2857)</f>
        <v>1547040</v>
      </c>
      <c r="O2856" s="224"/>
      <c r="P2856" s="110" t="s">
        <v>9543</v>
      </c>
      <c r="Q2856" s="15" t="s">
        <v>19</v>
      </c>
      <c r="R2856" s="205"/>
      <c r="S2856" s="189" t="s">
        <v>25467</v>
      </c>
      <c r="T2856" s="114"/>
      <c r="U2856" s="21"/>
      <c r="V2856" s="115">
        <v>45986</v>
      </c>
      <c r="W2856" s="116">
        <v>1919</v>
      </c>
      <c r="X2856" s="220">
        <v>1386000</v>
      </c>
      <c r="Y2856" s="220">
        <f>X2856*0.1</f>
        <v>138600</v>
      </c>
      <c r="Z2856" s="220">
        <v>7040</v>
      </c>
      <c r="AA2856" s="220">
        <f>SUM(X2856:Z2856)</f>
        <v>1531640</v>
      </c>
      <c r="AB2856" s="222"/>
    </row>
    <row r="2857" spans="1:28" ht="17.100000000000001" customHeight="1" thickBot="1">
      <c r="A2857" s="227"/>
      <c r="B2857" s="27" t="s">
        <v>1536</v>
      </c>
      <c r="C2857" s="27">
        <v>55432</v>
      </c>
      <c r="D2857" s="14" t="s">
        <v>2559</v>
      </c>
      <c r="E2857" s="229"/>
      <c r="F2857" s="117" t="s">
        <v>9026</v>
      </c>
      <c r="G2857" s="26">
        <v>52160</v>
      </c>
      <c r="H2857" s="231"/>
      <c r="I2857" s="221"/>
      <c r="J2857" s="221"/>
      <c r="K2857" s="221"/>
      <c r="L2857" s="221"/>
      <c r="M2857" s="221"/>
      <c r="N2857" s="221"/>
      <c r="O2857" s="225"/>
      <c r="P2857" s="118" t="s">
        <v>9544</v>
      </c>
      <c r="Q2857" s="16" t="s">
        <v>20</v>
      </c>
      <c r="R2857" s="17" t="s">
        <v>9475</v>
      </c>
      <c r="S2857" s="121" t="s">
        <v>9545</v>
      </c>
      <c r="T2857" s="122"/>
      <c r="U2857" s="22"/>
      <c r="V2857" s="123" t="s">
        <v>2103</v>
      </c>
      <c r="W2857" s="122">
        <v>3113</v>
      </c>
      <c r="X2857" s="221"/>
      <c r="Y2857" s="221"/>
      <c r="Z2857" s="221"/>
      <c r="AA2857" s="221"/>
      <c r="AB2857" s="223"/>
    </row>
    <row r="2858" spans="1:28" ht="17.100000000000001" customHeight="1" thickTop="1">
      <c r="A2858" s="226" t="s">
        <v>9106</v>
      </c>
      <c r="B2858" s="28">
        <v>45954</v>
      </c>
      <c r="C2858" s="25">
        <v>2107</v>
      </c>
      <c r="D2858" s="13" t="s">
        <v>1676</v>
      </c>
      <c r="E2858" s="228"/>
      <c r="F2858" s="109" t="s">
        <v>8079</v>
      </c>
      <c r="G2858" s="24" t="s">
        <v>1551</v>
      </c>
      <c r="H2858" s="230">
        <v>4</v>
      </c>
      <c r="I2858" s="220">
        <v>495000</v>
      </c>
      <c r="J2858" s="220">
        <f>I2858*0.1</f>
        <v>49500</v>
      </c>
      <c r="K2858" s="220">
        <v>0</v>
      </c>
      <c r="L2858" s="220">
        <v>8580</v>
      </c>
      <c r="M2858" s="220">
        <v>16500</v>
      </c>
      <c r="N2858" s="220">
        <f>SUM(I2858:M2859)</f>
        <v>569580</v>
      </c>
      <c r="O2858" s="224"/>
      <c r="P2858" s="110" t="s">
        <v>9028</v>
      </c>
      <c r="Q2858" s="15" t="s">
        <v>19</v>
      </c>
      <c r="R2858" s="205"/>
      <c r="S2858" s="189" t="s">
        <v>25560</v>
      </c>
      <c r="T2858" s="114"/>
      <c r="U2858" s="21" t="s">
        <v>10794</v>
      </c>
      <c r="V2858" s="115">
        <v>46004</v>
      </c>
      <c r="W2858" s="116">
        <v>1280</v>
      </c>
      <c r="X2858" s="220">
        <v>510000</v>
      </c>
      <c r="Y2858" s="220">
        <f>X2858*0.1</f>
        <v>51000</v>
      </c>
      <c r="Z2858" s="220">
        <v>8580</v>
      </c>
      <c r="AA2858" s="220">
        <f>SUM(X2858:Z2858)</f>
        <v>569580</v>
      </c>
      <c r="AB2858" s="222">
        <v>46008</v>
      </c>
    </row>
    <row r="2859" spans="1:28" ht="17.100000000000001" customHeight="1" thickBot="1">
      <c r="A2859" s="227"/>
      <c r="B2859" s="27" t="s">
        <v>1536</v>
      </c>
      <c r="C2859" s="27">
        <v>55462</v>
      </c>
      <c r="D2859" s="14" t="s">
        <v>3274</v>
      </c>
      <c r="E2859" s="229"/>
      <c r="F2859" s="117" t="s">
        <v>9027</v>
      </c>
      <c r="G2859" s="26">
        <v>35660</v>
      </c>
      <c r="H2859" s="231"/>
      <c r="I2859" s="221"/>
      <c r="J2859" s="221"/>
      <c r="K2859" s="221"/>
      <c r="L2859" s="221"/>
      <c r="M2859" s="221"/>
      <c r="N2859" s="221"/>
      <c r="O2859" s="225"/>
      <c r="P2859" s="118" t="s">
        <v>9536</v>
      </c>
      <c r="Q2859" s="16" t="s">
        <v>20</v>
      </c>
      <c r="R2859" s="17" t="s">
        <v>9475</v>
      </c>
      <c r="S2859" s="121" t="s">
        <v>9029</v>
      </c>
      <c r="T2859" s="122"/>
      <c r="U2859" s="22"/>
      <c r="V2859" s="123" t="s">
        <v>2472</v>
      </c>
      <c r="W2859" s="122">
        <v>60135</v>
      </c>
      <c r="X2859" s="221"/>
      <c r="Y2859" s="221"/>
      <c r="Z2859" s="221"/>
      <c r="AA2859" s="221"/>
      <c r="AB2859" s="223"/>
    </row>
    <row r="2860" spans="1:28" ht="17.100000000000001" customHeight="1" thickTop="1">
      <c r="A2860" s="226" t="s">
        <v>9107</v>
      </c>
      <c r="B2860" s="28">
        <v>45954</v>
      </c>
      <c r="C2860" s="25">
        <v>2107</v>
      </c>
      <c r="D2860" s="13" t="s">
        <v>1702</v>
      </c>
      <c r="E2860" s="228"/>
      <c r="F2860" s="109" t="s">
        <v>9030</v>
      </c>
      <c r="G2860" s="24" t="s">
        <v>2487</v>
      </c>
      <c r="H2860" s="230">
        <v>4</v>
      </c>
      <c r="I2860" s="220">
        <v>815000</v>
      </c>
      <c r="J2860" s="220">
        <f>I2860*0.1</f>
        <v>81500</v>
      </c>
      <c r="K2860" s="220">
        <v>0</v>
      </c>
      <c r="L2860" s="220">
        <v>9790</v>
      </c>
      <c r="M2860" s="220">
        <v>16500</v>
      </c>
      <c r="N2860" s="220">
        <f>SUM(I2860:M2861)</f>
        <v>922790</v>
      </c>
      <c r="O2860" s="224"/>
      <c r="P2860" s="110" t="s">
        <v>9032</v>
      </c>
      <c r="Q2860" s="15" t="s">
        <v>19</v>
      </c>
      <c r="R2860" s="205"/>
      <c r="S2860" s="189" t="s">
        <v>25561</v>
      </c>
      <c r="T2860" s="114"/>
      <c r="U2860" s="21" t="s">
        <v>9842</v>
      </c>
      <c r="V2860" s="115">
        <v>45962</v>
      </c>
      <c r="W2860" s="116">
        <v>1274</v>
      </c>
      <c r="X2860" s="220">
        <v>900000</v>
      </c>
      <c r="Y2860" s="220">
        <f>X2860*0.1</f>
        <v>90000</v>
      </c>
      <c r="Z2860" s="220">
        <v>9790</v>
      </c>
      <c r="AA2860" s="220">
        <f>SUM(X2860:Z2860)</f>
        <v>999790</v>
      </c>
      <c r="AB2860" s="222">
        <v>45967</v>
      </c>
    </row>
    <row r="2861" spans="1:28" ht="17.100000000000001" customHeight="1" thickBot="1">
      <c r="A2861" s="227"/>
      <c r="B2861" s="27" t="s">
        <v>1536</v>
      </c>
      <c r="C2861" s="27">
        <v>55469</v>
      </c>
      <c r="D2861" s="14" t="s">
        <v>131</v>
      </c>
      <c r="E2861" s="229"/>
      <c r="F2861" s="117" t="s">
        <v>9031</v>
      </c>
      <c r="G2861" s="26">
        <v>41179</v>
      </c>
      <c r="H2861" s="231"/>
      <c r="I2861" s="221"/>
      <c r="J2861" s="221"/>
      <c r="K2861" s="221"/>
      <c r="L2861" s="221"/>
      <c r="M2861" s="221"/>
      <c r="N2861" s="221"/>
      <c r="O2861" s="225"/>
      <c r="P2861" s="118" t="s">
        <v>9546</v>
      </c>
      <c r="Q2861" s="16" t="s">
        <v>20</v>
      </c>
      <c r="R2861" s="17" t="s">
        <v>9475</v>
      </c>
      <c r="S2861" s="121" t="s">
        <v>9547</v>
      </c>
      <c r="T2861" s="122"/>
      <c r="U2861" s="22"/>
      <c r="V2861" s="123" t="s">
        <v>2472</v>
      </c>
      <c r="W2861" s="122">
        <v>60025</v>
      </c>
      <c r="X2861" s="221"/>
      <c r="Y2861" s="221"/>
      <c r="Z2861" s="221"/>
      <c r="AA2861" s="221"/>
      <c r="AB2861" s="223"/>
    </row>
    <row r="2862" spans="1:28" ht="17.100000000000001" customHeight="1" thickTop="1">
      <c r="A2862" s="226" t="s">
        <v>9108</v>
      </c>
      <c r="B2862" s="28">
        <v>45954</v>
      </c>
      <c r="C2862" s="25">
        <v>2107</v>
      </c>
      <c r="D2862" s="13" t="s">
        <v>163</v>
      </c>
      <c r="E2862" s="228"/>
      <c r="F2862" s="109" t="s">
        <v>9033</v>
      </c>
      <c r="G2862" s="24"/>
      <c r="H2862" s="230">
        <v>4.5</v>
      </c>
      <c r="I2862" s="220">
        <v>590000</v>
      </c>
      <c r="J2862" s="220">
        <f>I2862*0.1</f>
        <v>59000</v>
      </c>
      <c r="K2862" s="220">
        <v>0</v>
      </c>
      <c r="L2862" s="220">
        <v>8540</v>
      </c>
      <c r="M2862" s="220">
        <v>16500</v>
      </c>
      <c r="N2862" s="220">
        <f>SUM(I2862:M2863)</f>
        <v>674040</v>
      </c>
      <c r="O2862" s="224"/>
      <c r="P2862" s="110" t="s">
        <v>9480</v>
      </c>
      <c r="Q2862" s="15" t="s">
        <v>19</v>
      </c>
      <c r="R2862" s="205"/>
      <c r="S2862" s="189" t="s">
        <v>1271</v>
      </c>
      <c r="T2862" s="114"/>
      <c r="U2862" s="21"/>
      <c r="V2862" s="115">
        <v>45958</v>
      </c>
      <c r="W2862" s="116">
        <v>1915</v>
      </c>
      <c r="X2862" s="220">
        <v>694000</v>
      </c>
      <c r="Y2862" s="220">
        <f>X2862*0.1</f>
        <v>69400</v>
      </c>
      <c r="Z2862" s="220">
        <v>8540</v>
      </c>
      <c r="AA2862" s="220">
        <f>SUM(X2862:Z2862)</f>
        <v>771940</v>
      </c>
      <c r="AB2862" s="222">
        <v>45965</v>
      </c>
    </row>
    <row r="2863" spans="1:28" ht="17.100000000000001" customHeight="1" thickBot="1">
      <c r="A2863" s="227"/>
      <c r="B2863" s="27" t="s">
        <v>1536</v>
      </c>
      <c r="C2863" s="27">
        <v>55473</v>
      </c>
      <c r="D2863" s="14" t="s">
        <v>131</v>
      </c>
      <c r="E2863" s="229"/>
      <c r="F2863" s="117" t="s">
        <v>9034</v>
      </c>
      <c r="G2863" s="26">
        <v>57948</v>
      </c>
      <c r="H2863" s="231"/>
      <c r="I2863" s="221"/>
      <c r="J2863" s="221"/>
      <c r="K2863" s="221"/>
      <c r="L2863" s="221"/>
      <c r="M2863" s="221"/>
      <c r="N2863" s="221"/>
      <c r="O2863" s="225"/>
      <c r="P2863" s="118" t="s">
        <v>8271</v>
      </c>
      <c r="Q2863" s="16" t="s">
        <v>20</v>
      </c>
      <c r="R2863" s="17" t="s">
        <v>9475</v>
      </c>
      <c r="S2863" s="121" t="s">
        <v>1625</v>
      </c>
      <c r="T2863" s="122"/>
      <c r="U2863" s="22"/>
      <c r="V2863" s="123" t="s">
        <v>2103</v>
      </c>
      <c r="W2863" s="122">
        <v>3359</v>
      </c>
      <c r="X2863" s="221"/>
      <c r="Y2863" s="221"/>
      <c r="Z2863" s="221"/>
      <c r="AA2863" s="221"/>
      <c r="AB2863" s="223"/>
    </row>
    <row r="2864" spans="1:28" ht="17.100000000000001" customHeight="1" thickTop="1">
      <c r="A2864" s="226" t="s">
        <v>9109</v>
      </c>
      <c r="B2864" s="28">
        <v>45954</v>
      </c>
      <c r="C2864" s="25">
        <v>2107</v>
      </c>
      <c r="D2864" s="13" t="s">
        <v>1687</v>
      </c>
      <c r="E2864" s="228"/>
      <c r="F2864" s="109" t="s">
        <v>7868</v>
      </c>
      <c r="G2864" s="24" t="s">
        <v>2536</v>
      </c>
      <c r="H2864" s="230">
        <v>4</v>
      </c>
      <c r="I2864" s="220">
        <v>1245000</v>
      </c>
      <c r="J2864" s="220">
        <f>I2864*0.1</f>
        <v>124500</v>
      </c>
      <c r="K2864" s="220">
        <v>0</v>
      </c>
      <c r="L2864" s="220">
        <v>7040</v>
      </c>
      <c r="M2864" s="220">
        <v>16500</v>
      </c>
      <c r="N2864" s="220">
        <f>SUM(I2864:M2865)</f>
        <v>1393040</v>
      </c>
      <c r="O2864" s="224"/>
      <c r="P2864" s="110" t="s">
        <v>9036</v>
      </c>
      <c r="Q2864" s="15" t="s">
        <v>19</v>
      </c>
      <c r="R2864" s="205"/>
      <c r="S2864" s="189" t="s">
        <v>1113</v>
      </c>
      <c r="T2864" s="114" t="s">
        <v>9554</v>
      </c>
      <c r="U2864" s="21" t="s">
        <v>10075</v>
      </c>
      <c r="V2864" s="115">
        <v>45962</v>
      </c>
      <c r="W2864" s="116">
        <v>1274</v>
      </c>
      <c r="X2864" s="220">
        <v>1320000</v>
      </c>
      <c r="Y2864" s="220">
        <f>X2864*0.1</f>
        <v>132000</v>
      </c>
      <c r="Z2864" s="220">
        <v>7040</v>
      </c>
      <c r="AA2864" s="220">
        <f>SUM(X2864:Z2864)</f>
        <v>1459040</v>
      </c>
      <c r="AB2864" s="222">
        <v>45971</v>
      </c>
    </row>
    <row r="2865" spans="1:28" ht="17.100000000000001" customHeight="1" thickBot="1">
      <c r="A2865" s="227"/>
      <c r="B2865" s="27" t="s">
        <v>1536</v>
      </c>
      <c r="C2865" s="27">
        <v>55490</v>
      </c>
      <c r="D2865" s="14" t="s">
        <v>2559</v>
      </c>
      <c r="E2865" s="229"/>
      <c r="F2865" s="117" t="s">
        <v>9035</v>
      </c>
      <c r="G2865" s="26">
        <v>25864</v>
      </c>
      <c r="H2865" s="231"/>
      <c r="I2865" s="221"/>
      <c r="J2865" s="221"/>
      <c r="K2865" s="221"/>
      <c r="L2865" s="221"/>
      <c r="M2865" s="221"/>
      <c r="N2865" s="221"/>
      <c r="O2865" s="225"/>
      <c r="P2865" s="118" t="s">
        <v>9553</v>
      </c>
      <c r="Q2865" s="16" t="s">
        <v>20</v>
      </c>
      <c r="R2865" s="17" t="s">
        <v>9475</v>
      </c>
      <c r="S2865" s="121" t="s">
        <v>2360</v>
      </c>
      <c r="T2865" s="122"/>
      <c r="U2865" s="22"/>
      <c r="V2865" s="123" t="s">
        <v>6641</v>
      </c>
      <c r="W2865" s="122">
        <v>60013</v>
      </c>
      <c r="X2865" s="221"/>
      <c r="Y2865" s="221"/>
      <c r="Z2865" s="221"/>
      <c r="AA2865" s="221"/>
      <c r="AB2865" s="223"/>
    </row>
    <row r="2866" spans="1:28" ht="17.100000000000001" customHeight="1" thickTop="1">
      <c r="A2866" s="226" t="s">
        <v>9110</v>
      </c>
      <c r="B2866" s="28">
        <v>45954</v>
      </c>
      <c r="C2866" s="25">
        <v>2107</v>
      </c>
      <c r="D2866" s="13" t="s">
        <v>1553</v>
      </c>
      <c r="E2866" s="228"/>
      <c r="F2866" s="109" t="s">
        <v>3790</v>
      </c>
      <c r="G2866" s="24"/>
      <c r="H2866" s="230">
        <v>4</v>
      </c>
      <c r="I2866" s="220">
        <v>475000</v>
      </c>
      <c r="J2866" s="220">
        <f>I2866*0.1</f>
        <v>47500</v>
      </c>
      <c r="K2866" s="220">
        <v>0</v>
      </c>
      <c r="L2866" s="220">
        <v>9070</v>
      </c>
      <c r="M2866" s="220">
        <v>16500</v>
      </c>
      <c r="N2866" s="220">
        <f>SUM(I2866:M2867)</f>
        <v>548070</v>
      </c>
      <c r="O2866" s="224"/>
      <c r="P2866" s="110" t="s">
        <v>9684</v>
      </c>
      <c r="Q2866" s="15" t="s">
        <v>19</v>
      </c>
      <c r="R2866" s="205"/>
      <c r="S2866" s="189" t="s">
        <v>25538</v>
      </c>
      <c r="T2866" s="114"/>
      <c r="U2866" s="21"/>
      <c r="V2866" s="115">
        <v>45987</v>
      </c>
      <c r="W2866" s="116">
        <v>994</v>
      </c>
      <c r="X2866" s="220">
        <v>470000</v>
      </c>
      <c r="Y2866" s="220">
        <f>X2866*0.1</f>
        <v>47000</v>
      </c>
      <c r="Z2866" s="220">
        <v>9070</v>
      </c>
      <c r="AA2866" s="220">
        <f>SUM(X2866:Z2866)</f>
        <v>526070</v>
      </c>
      <c r="AB2866" s="222">
        <v>45992</v>
      </c>
    </row>
    <row r="2867" spans="1:28" ht="17.100000000000001" customHeight="1" thickBot="1">
      <c r="A2867" s="227"/>
      <c r="B2867" s="27" t="s">
        <v>1536</v>
      </c>
      <c r="C2867" s="27">
        <v>55498</v>
      </c>
      <c r="D2867" s="14" t="s">
        <v>2559</v>
      </c>
      <c r="E2867" s="229"/>
      <c r="F2867" s="117" t="s">
        <v>9037</v>
      </c>
      <c r="G2867" s="26">
        <v>48447</v>
      </c>
      <c r="H2867" s="231"/>
      <c r="I2867" s="221"/>
      <c r="J2867" s="221"/>
      <c r="K2867" s="221"/>
      <c r="L2867" s="221"/>
      <c r="M2867" s="221"/>
      <c r="N2867" s="221"/>
      <c r="O2867" s="225"/>
      <c r="P2867" s="118" t="s">
        <v>2870</v>
      </c>
      <c r="Q2867" s="16" t="s">
        <v>20</v>
      </c>
      <c r="R2867" s="17" t="s">
        <v>9666</v>
      </c>
      <c r="S2867" s="121" t="s">
        <v>9685</v>
      </c>
      <c r="T2867" s="122"/>
      <c r="U2867" s="22"/>
      <c r="V2867" s="123" t="s">
        <v>11555</v>
      </c>
      <c r="W2867" s="122">
        <v>2102</v>
      </c>
      <c r="X2867" s="221"/>
      <c r="Y2867" s="221"/>
      <c r="Z2867" s="221"/>
      <c r="AA2867" s="221"/>
      <c r="AB2867" s="223"/>
    </row>
    <row r="2868" spans="1:28" ht="17.100000000000001" customHeight="1" thickTop="1">
      <c r="A2868" s="226" t="s">
        <v>9111</v>
      </c>
      <c r="B2868" s="28">
        <v>45954</v>
      </c>
      <c r="C2868" s="25">
        <v>2107</v>
      </c>
      <c r="D2868" s="13" t="s">
        <v>2182</v>
      </c>
      <c r="E2868" s="228"/>
      <c r="F2868" s="109" t="s">
        <v>2556</v>
      </c>
      <c r="G2868" s="24"/>
      <c r="H2868" s="230">
        <v>4</v>
      </c>
      <c r="I2868" s="220">
        <v>1435000</v>
      </c>
      <c r="J2868" s="220">
        <f>I2868*0.1</f>
        <v>143500</v>
      </c>
      <c r="K2868" s="220">
        <v>0</v>
      </c>
      <c r="L2868" s="220">
        <v>7150</v>
      </c>
      <c r="M2868" s="220">
        <v>16500</v>
      </c>
      <c r="N2868" s="220">
        <f>SUM(I2868:M2869)</f>
        <v>1602150</v>
      </c>
      <c r="O2868" s="224"/>
      <c r="P2868" s="110" t="s">
        <v>9552</v>
      </c>
      <c r="Q2868" s="15" t="s">
        <v>19</v>
      </c>
      <c r="R2868" s="205"/>
      <c r="S2868" s="189"/>
      <c r="T2868" s="114"/>
      <c r="U2868" s="21"/>
      <c r="V2868" s="115">
        <v>45969</v>
      </c>
      <c r="W2868" s="116">
        <v>1275</v>
      </c>
      <c r="X2868" s="220">
        <v>1510000</v>
      </c>
      <c r="Y2868" s="220">
        <f>X2868*0.1</f>
        <v>151000</v>
      </c>
      <c r="Z2868" s="220">
        <v>7150</v>
      </c>
      <c r="AA2868" s="220">
        <f>SUM(X2868:Z2868)</f>
        <v>1668150</v>
      </c>
      <c r="AB2868" s="222">
        <v>45972</v>
      </c>
    </row>
    <row r="2869" spans="1:28" ht="17.100000000000001" customHeight="1" thickBot="1">
      <c r="A2869" s="227"/>
      <c r="B2869" s="27" t="s">
        <v>1536</v>
      </c>
      <c r="C2869" s="27">
        <v>55541</v>
      </c>
      <c r="D2869" s="14" t="s">
        <v>2559</v>
      </c>
      <c r="E2869" s="229"/>
      <c r="F2869" s="117" t="s">
        <v>9038</v>
      </c>
      <c r="G2869" s="26">
        <v>7306</v>
      </c>
      <c r="H2869" s="231"/>
      <c r="I2869" s="221"/>
      <c r="J2869" s="221"/>
      <c r="K2869" s="221"/>
      <c r="L2869" s="221"/>
      <c r="M2869" s="221"/>
      <c r="N2869" s="221"/>
      <c r="O2869" s="225"/>
      <c r="P2869" s="118" t="s">
        <v>1972</v>
      </c>
      <c r="Q2869" s="16" t="s">
        <v>20</v>
      </c>
      <c r="R2869" s="17" t="s">
        <v>9475</v>
      </c>
      <c r="S2869" s="121" t="s">
        <v>2350</v>
      </c>
      <c r="T2869" s="122"/>
      <c r="U2869" s="22"/>
      <c r="V2869" s="123" t="s">
        <v>2472</v>
      </c>
      <c r="W2869" s="122">
        <v>60257</v>
      </c>
      <c r="X2869" s="221"/>
      <c r="Y2869" s="221"/>
      <c r="Z2869" s="221"/>
      <c r="AA2869" s="221"/>
      <c r="AB2869" s="223"/>
    </row>
    <row r="2870" spans="1:28" ht="17.100000000000001" customHeight="1" thickTop="1">
      <c r="A2870" s="226" t="s">
        <v>9112</v>
      </c>
      <c r="B2870" s="28">
        <v>45954</v>
      </c>
      <c r="C2870" s="25">
        <v>2107</v>
      </c>
      <c r="D2870" s="13" t="s">
        <v>2267</v>
      </c>
      <c r="E2870" s="228"/>
      <c r="F2870" s="109" t="s">
        <v>9039</v>
      </c>
      <c r="G2870" s="24"/>
      <c r="H2870" s="230">
        <v>4.5</v>
      </c>
      <c r="I2870" s="220">
        <v>785000</v>
      </c>
      <c r="J2870" s="220">
        <f>I2870*0.1</f>
        <v>78500</v>
      </c>
      <c r="K2870" s="220">
        <v>0</v>
      </c>
      <c r="L2870" s="220">
        <v>8230</v>
      </c>
      <c r="M2870" s="220">
        <v>16500</v>
      </c>
      <c r="N2870" s="220">
        <f>SUM(I2870:M2871)</f>
        <v>888230</v>
      </c>
      <c r="O2870" s="224"/>
      <c r="P2870" s="110" t="s">
        <v>9541</v>
      </c>
      <c r="Q2870" s="15" t="s">
        <v>19</v>
      </c>
      <c r="R2870" s="205"/>
      <c r="S2870" s="189"/>
      <c r="T2870" s="114"/>
      <c r="U2870" s="21"/>
      <c r="V2870" s="115">
        <v>45976</v>
      </c>
      <c r="W2870" s="116">
        <v>1276</v>
      </c>
      <c r="X2870" s="220">
        <v>975000</v>
      </c>
      <c r="Y2870" s="220">
        <f>X2870*0.1</f>
        <v>97500</v>
      </c>
      <c r="Z2870" s="220">
        <v>8230</v>
      </c>
      <c r="AA2870" s="220">
        <f>SUM(X2870:Z2870)</f>
        <v>1080730</v>
      </c>
      <c r="AB2870" s="222">
        <v>45979</v>
      </c>
    </row>
    <row r="2871" spans="1:28" ht="17.100000000000001" customHeight="1" thickBot="1">
      <c r="A2871" s="227"/>
      <c r="B2871" s="27" t="s">
        <v>1536</v>
      </c>
      <c r="C2871" s="27">
        <v>55580</v>
      </c>
      <c r="D2871" s="14" t="s">
        <v>273</v>
      </c>
      <c r="E2871" s="229"/>
      <c r="F2871" s="117" t="s">
        <v>9040</v>
      </c>
      <c r="G2871" s="26">
        <v>48813</v>
      </c>
      <c r="H2871" s="231"/>
      <c r="I2871" s="221"/>
      <c r="J2871" s="221"/>
      <c r="K2871" s="221"/>
      <c r="L2871" s="221"/>
      <c r="M2871" s="221"/>
      <c r="N2871" s="221"/>
      <c r="O2871" s="225"/>
      <c r="P2871" s="118" t="s">
        <v>9536</v>
      </c>
      <c r="Q2871" s="16" t="s">
        <v>20</v>
      </c>
      <c r="R2871" s="17" t="s">
        <v>9475</v>
      </c>
      <c r="S2871" s="121" t="s">
        <v>9542</v>
      </c>
      <c r="T2871" s="122"/>
      <c r="U2871" s="22"/>
      <c r="V2871" s="123" t="s">
        <v>10781</v>
      </c>
      <c r="W2871" s="122">
        <v>60224</v>
      </c>
      <c r="X2871" s="221"/>
      <c r="Y2871" s="221"/>
      <c r="Z2871" s="221"/>
      <c r="AA2871" s="221"/>
      <c r="AB2871" s="223"/>
    </row>
    <row r="2872" spans="1:28" ht="17.100000000000001" customHeight="1" thickTop="1">
      <c r="A2872" s="226" t="s">
        <v>9113</v>
      </c>
      <c r="B2872" s="28">
        <v>45954</v>
      </c>
      <c r="C2872" s="25">
        <v>2107</v>
      </c>
      <c r="D2872" s="13" t="s">
        <v>2406</v>
      </c>
      <c r="E2872" s="228"/>
      <c r="F2872" s="109" t="s">
        <v>4427</v>
      </c>
      <c r="G2872" s="24"/>
      <c r="H2872" s="230">
        <v>4</v>
      </c>
      <c r="I2872" s="220">
        <v>1490000</v>
      </c>
      <c r="J2872" s="220">
        <f>I2872*0.1</f>
        <v>149000</v>
      </c>
      <c r="K2872" s="220">
        <v>0</v>
      </c>
      <c r="L2872" s="220">
        <v>19040</v>
      </c>
      <c r="M2872" s="220">
        <v>16500</v>
      </c>
      <c r="N2872" s="220">
        <f>SUM(I2872:M2873)</f>
        <v>1674540</v>
      </c>
      <c r="O2872" s="224"/>
      <c r="P2872" s="110" t="s">
        <v>9711</v>
      </c>
      <c r="Q2872" s="15" t="s">
        <v>19</v>
      </c>
      <c r="R2872" s="205"/>
      <c r="S2872" s="189" t="s">
        <v>758</v>
      </c>
      <c r="T2872" s="114"/>
      <c r="U2872" s="21"/>
      <c r="V2872" s="115">
        <v>45997</v>
      </c>
      <c r="W2872" s="116">
        <v>1279</v>
      </c>
      <c r="X2872" s="220">
        <v>1710000</v>
      </c>
      <c r="Y2872" s="220">
        <f>X2872*0.1</f>
        <v>171000</v>
      </c>
      <c r="Z2872" s="220">
        <v>19040</v>
      </c>
      <c r="AA2872" s="220">
        <f>SUM(X2872:Z2872)</f>
        <v>1900040</v>
      </c>
      <c r="AB2872" s="222">
        <v>46000</v>
      </c>
    </row>
    <row r="2873" spans="1:28" ht="17.100000000000001" customHeight="1" thickBot="1">
      <c r="A2873" s="227"/>
      <c r="B2873" s="27" t="s">
        <v>1536</v>
      </c>
      <c r="C2873" s="27">
        <v>58861</v>
      </c>
      <c r="D2873" s="14" t="s">
        <v>131</v>
      </c>
      <c r="E2873" s="229"/>
      <c r="F2873" s="117" t="s">
        <v>9080</v>
      </c>
      <c r="G2873" s="26">
        <v>67608</v>
      </c>
      <c r="H2873" s="231"/>
      <c r="I2873" s="221"/>
      <c r="J2873" s="221"/>
      <c r="K2873" s="221"/>
      <c r="L2873" s="221"/>
      <c r="M2873" s="221"/>
      <c r="N2873" s="221"/>
      <c r="O2873" s="225"/>
      <c r="P2873" s="118" t="s">
        <v>1972</v>
      </c>
      <c r="Q2873" s="16" t="s">
        <v>20</v>
      </c>
      <c r="R2873" s="17" t="s">
        <v>9666</v>
      </c>
      <c r="S2873" s="121" t="s">
        <v>1923</v>
      </c>
      <c r="T2873" s="122"/>
      <c r="U2873" s="22"/>
      <c r="V2873" s="123" t="s">
        <v>2472</v>
      </c>
      <c r="W2873" s="122">
        <v>80071</v>
      </c>
      <c r="X2873" s="221"/>
      <c r="Y2873" s="221"/>
      <c r="Z2873" s="221"/>
      <c r="AA2873" s="221"/>
      <c r="AB2873" s="223"/>
    </row>
    <row r="2874" spans="1:28" ht="17.100000000000001" customHeight="1" thickTop="1">
      <c r="A2874" s="226" t="s">
        <v>9114</v>
      </c>
      <c r="B2874" s="28">
        <v>45954</v>
      </c>
      <c r="C2874" s="25">
        <v>2107</v>
      </c>
      <c r="D2874" s="13" t="s">
        <v>4755</v>
      </c>
      <c r="E2874" s="228"/>
      <c r="F2874" s="109" t="s">
        <v>9041</v>
      </c>
      <c r="G2874" s="24"/>
      <c r="H2874" s="230">
        <v>4</v>
      </c>
      <c r="I2874" s="220">
        <v>165000</v>
      </c>
      <c r="J2874" s="220">
        <f>I2874*0.1</f>
        <v>16500</v>
      </c>
      <c r="K2874" s="220">
        <v>0</v>
      </c>
      <c r="L2874" s="220">
        <v>10170</v>
      </c>
      <c r="M2874" s="220">
        <v>16500</v>
      </c>
      <c r="N2874" s="220">
        <f>SUM(I2874:M2875)</f>
        <v>208170</v>
      </c>
      <c r="O2874" s="224"/>
      <c r="P2874" s="110" t="s">
        <v>9549</v>
      </c>
      <c r="Q2874" s="15" t="s">
        <v>19</v>
      </c>
      <c r="R2874" s="205"/>
      <c r="S2874" s="189" t="s">
        <v>1361</v>
      </c>
      <c r="T2874" s="114"/>
      <c r="U2874" s="21"/>
      <c r="V2874" s="115">
        <v>45990</v>
      </c>
      <c r="W2874" s="116">
        <v>1278</v>
      </c>
      <c r="X2874" s="220">
        <v>250000</v>
      </c>
      <c r="Y2874" s="220">
        <f>X2874*0.1</f>
        <v>25000</v>
      </c>
      <c r="Z2874" s="220">
        <v>10170</v>
      </c>
      <c r="AA2874" s="220">
        <f>SUM(X2874:Z2874)</f>
        <v>285170</v>
      </c>
      <c r="AB2874" s="222">
        <v>45995</v>
      </c>
    </row>
    <row r="2875" spans="1:28" ht="17.100000000000001" customHeight="1" thickBot="1">
      <c r="A2875" s="227"/>
      <c r="B2875" s="27" t="s">
        <v>1536</v>
      </c>
      <c r="C2875" s="27">
        <v>85111</v>
      </c>
      <c r="D2875" s="14" t="s">
        <v>273</v>
      </c>
      <c r="E2875" s="229"/>
      <c r="F2875" s="117" t="s">
        <v>9042</v>
      </c>
      <c r="G2875" s="26">
        <v>59186</v>
      </c>
      <c r="H2875" s="231"/>
      <c r="I2875" s="221"/>
      <c r="J2875" s="221"/>
      <c r="K2875" s="221"/>
      <c r="L2875" s="221"/>
      <c r="M2875" s="221"/>
      <c r="N2875" s="221"/>
      <c r="O2875" s="225"/>
      <c r="P2875" s="118" t="s">
        <v>9550</v>
      </c>
      <c r="Q2875" s="16" t="s">
        <v>20</v>
      </c>
      <c r="R2875" s="17" t="s">
        <v>9475</v>
      </c>
      <c r="S2875" s="121" t="s">
        <v>9551</v>
      </c>
      <c r="T2875" s="122"/>
      <c r="U2875" s="22"/>
      <c r="V2875" s="123" t="s">
        <v>6642</v>
      </c>
      <c r="W2875" s="122">
        <v>63051</v>
      </c>
      <c r="X2875" s="221"/>
      <c r="Y2875" s="221"/>
      <c r="Z2875" s="221"/>
      <c r="AA2875" s="221"/>
      <c r="AB2875" s="223"/>
    </row>
    <row r="2876" spans="1:28" ht="17.100000000000001" customHeight="1" thickTop="1">
      <c r="A2876" s="226" t="s">
        <v>9115</v>
      </c>
      <c r="B2876" s="28">
        <v>45954</v>
      </c>
      <c r="C2876" s="25">
        <v>2107</v>
      </c>
      <c r="D2876" s="13" t="s">
        <v>2422</v>
      </c>
      <c r="E2876" s="228"/>
      <c r="F2876" s="109" t="s">
        <v>9043</v>
      </c>
      <c r="G2876" s="24" t="s">
        <v>4025</v>
      </c>
      <c r="H2876" s="232" t="s">
        <v>1705</v>
      </c>
      <c r="I2876" s="220">
        <v>305000</v>
      </c>
      <c r="J2876" s="220">
        <f>I2876*0.1</f>
        <v>30500</v>
      </c>
      <c r="K2876" s="220">
        <v>0</v>
      </c>
      <c r="L2876" s="220">
        <v>7950</v>
      </c>
      <c r="M2876" s="220">
        <v>16500</v>
      </c>
      <c r="N2876" s="220">
        <f>SUM(I2876:M2877)</f>
        <v>359950</v>
      </c>
      <c r="O2876" s="224"/>
      <c r="P2876" s="110" t="s">
        <v>9537</v>
      </c>
      <c r="Q2876" s="15" t="s">
        <v>19</v>
      </c>
      <c r="R2876" s="205"/>
      <c r="S2876" s="189" t="s">
        <v>25432</v>
      </c>
      <c r="T2876" s="114"/>
      <c r="U2876" s="21" t="s">
        <v>9845</v>
      </c>
      <c r="V2876" s="115">
        <v>45962</v>
      </c>
      <c r="W2876" s="116">
        <v>1274</v>
      </c>
      <c r="X2876" s="220">
        <v>305000</v>
      </c>
      <c r="Y2876" s="220">
        <f>X2876*0.1</f>
        <v>30500</v>
      </c>
      <c r="Z2876" s="220">
        <v>7950</v>
      </c>
      <c r="AA2876" s="220">
        <f>SUM(X2876:Z2876)</f>
        <v>343450</v>
      </c>
      <c r="AB2876" s="222">
        <v>45967</v>
      </c>
    </row>
    <row r="2877" spans="1:28" ht="17.100000000000001" customHeight="1" thickBot="1">
      <c r="A2877" s="227"/>
      <c r="B2877" s="27" t="s">
        <v>1536</v>
      </c>
      <c r="C2877" s="27">
        <v>85202</v>
      </c>
      <c r="D2877" s="14" t="s">
        <v>3746</v>
      </c>
      <c r="E2877" s="229"/>
      <c r="F2877" s="117" t="s">
        <v>9044</v>
      </c>
      <c r="G2877" s="26">
        <v>32300</v>
      </c>
      <c r="H2877" s="231"/>
      <c r="I2877" s="221"/>
      <c r="J2877" s="221"/>
      <c r="K2877" s="221"/>
      <c r="L2877" s="221"/>
      <c r="M2877" s="221"/>
      <c r="N2877" s="221"/>
      <c r="O2877" s="225"/>
      <c r="P2877" s="118" t="s">
        <v>9538</v>
      </c>
      <c r="Q2877" s="16" t="s">
        <v>20</v>
      </c>
      <c r="R2877" s="17" t="s">
        <v>9475</v>
      </c>
      <c r="S2877" s="121" t="s">
        <v>3832</v>
      </c>
      <c r="T2877" s="122"/>
      <c r="U2877" s="22"/>
      <c r="V2877" s="123" t="s">
        <v>2472</v>
      </c>
      <c r="W2877" s="122">
        <v>60023</v>
      </c>
      <c r="X2877" s="221"/>
      <c r="Y2877" s="221"/>
      <c r="Z2877" s="221"/>
      <c r="AA2877" s="221"/>
      <c r="AB2877" s="223"/>
    </row>
    <row r="2878" spans="1:28" ht="17.100000000000001" customHeight="1" thickTop="1">
      <c r="A2878" s="226" t="s">
        <v>9116</v>
      </c>
      <c r="B2878" s="28">
        <v>45954</v>
      </c>
      <c r="C2878" s="25"/>
      <c r="D2878" s="13" t="s">
        <v>1772</v>
      </c>
      <c r="E2878" s="228"/>
      <c r="F2878" s="109" t="s">
        <v>9082</v>
      </c>
      <c r="G2878" s="24" t="s">
        <v>3434</v>
      </c>
      <c r="H2878" s="230">
        <v>4.5</v>
      </c>
      <c r="I2878" s="220">
        <f>3641000/1.1</f>
        <v>3309999.9999999995</v>
      </c>
      <c r="J2878" s="220">
        <f>I2878*0.1</f>
        <v>331000</v>
      </c>
      <c r="K2878" s="220">
        <v>5300</v>
      </c>
      <c r="L2878" s="220">
        <v>11570</v>
      </c>
      <c r="M2878" s="220">
        <v>0</v>
      </c>
      <c r="N2878" s="220">
        <f>SUM(I2878:M2879)</f>
        <v>3657869.9999999995</v>
      </c>
      <c r="O2878" s="224"/>
      <c r="P2878" s="110" t="s">
        <v>11076</v>
      </c>
      <c r="Q2878" s="15" t="s">
        <v>19</v>
      </c>
      <c r="R2878" s="205"/>
      <c r="S2878" s="189" t="s">
        <v>1276</v>
      </c>
      <c r="T2878" s="114"/>
      <c r="U2878" s="21"/>
      <c r="V2878" s="115">
        <v>45976</v>
      </c>
      <c r="W2878" s="116">
        <v>1276</v>
      </c>
      <c r="X2878" s="220">
        <v>3445000</v>
      </c>
      <c r="Y2878" s="220">
        <f>X2878*0.1</f>
        <v>344500</v>
      </c>
      <c r="Z2878" s="220">
        <v>11570</v>
      </c>
      <c r="AA2878" s="220">
        <f>SUM(X2878:Z2878)</f>
        <v>3801070</v>
      </c>
      <c r="AB2878" s="222">
        <v>45986</v>
      </c>
    </row>
    <row r="2879" spans="1:28" ht="17.100000000000001" customHeight="1" thickBot="1">
      <c r="A2879" s="227"/>
      <c r="B2879" s="27" t="s">
        <v>1708</v>
      </c>
      <c r="C2879" s="27" t="s">
        <v>9081</v>
      </c>
      <c r="D2879" s="14" t="s">
        <v>1584</v>
      </c>
      <c r="E2879" s="229"/>
      <c r="F2879" s="117" t="s">
        <v>9083</v>
      </c>
      <c r="G2879" s="26">
        <v>14791</v>
      </c>
      <c r="H2879" s="231"/>
      <c r="I2879" s="221"/>
      <c r="J2879" s="221"/>
      <c r="K2879" s="221"/>
      <c r="L2879" s="221"/>
      <c r="M2879" s="221"/>
      <c r="N2879" s="221"/>
      <c r="O2879" s="225"/>
      <c r="P2879" s="118" t="s">
        <v>11077</v>
      </c>
      <c r="Q2879" s="16" t="s">
        <v>20</v>
      </c>
      <c r="R2879" s="17" t="s">
        <v>3913</v>
      </c>
      <c r="S2879" s="121" t="s">
        <v>2169</v>
      </c>
      <c r="T2879" s="122"/>
      <c r="U2879" s="22"/>
      <c r="V2879" s="123" t="s">
        <v>10781</v>
      </c>
      <c r="W2879" s="122">
        <v>40110</v>
      </c>
      <c r="X2879" s="221"/>
      <c r="Y2879" s="221"/>
      <c r="Z2879" s="221"/>
      <c r="AA2879" s="221"/>
      <c r="AB2879" s="223"/>
    </row>
    <row r="2880" spans="1:28" ht="17.100000000000001" customHeight="1" thickTop="1">
      <c r="A2880" s="226" t="s">
        <v>9117</v>
      </c>
      <c r="B2880" s="28">
        <v>45954</v>
      </c>
      <c r="C2880" s="25"/>
      <c r="D2880" s="13" t="s">
        <v>9085</v>
      </c>
      <c r="E2880" s="228"/>
      <c r="F2880" s="109" t="s">
        <v>4809</v>
      </c>
      <c r="G2880" s="24" t="s">
        <v>3756</v>
      </c>
      <c r="H2880" s="230">
        <v>4</v>
      </c>
      <c r="I2880" s="220">
        <f>946000/1.1</f>
        <v>859999.99999999988</v>
      </c>
      <c r="J2880" s="220">
        <f>I2880*0.1</f>
        <v>86000</v>
      </c>
      <c r="K2880" s="220">
        <v>0</v>
      </c>
      <c r="L2880" s="220">
        <v>9200</v>
      </c>
      <c r="M2880" s="220">
        <v>0</v>
      </c>
      <c r="N2880" s="220">
        <f>SUM(I2880:M2881)</f>
        <v>955199.99999999988</v>
      </c>
      <c r="O2880" s="224"/>
      <c r="P2880" s="110" t="s">
        <v>12125</v>
      </c>
      <c r="Q2880" s="15" t="s">
        <v>19</v>
      </c>
      <c r="R2880" s="205"/>
      <c r="S2880" s="189" t="s">
        <v>1276</v>
      </c>
      <c r="T2880" s="114" t="s">
        <v>12909</v>
      </c>
      <c r="U2880" s="21"/>
      <c r="V2880" s="115">
        <v>46000</v>
      </c>
      <c r="W2880" s="116">
        <v>1921</v>
      </c>
      <c r="X2880" s="220">
        <v>902000</v>
      </c>
      <c r="Y2880" s="220">
        <f>X2880*0.1</f>
        <v>90200</v>
      </c>
      <c r="Z2880" s="220">
        <v>9200</v>
      </c>
      <c r="AA2880" s="220">
        <f>SUM(X2880:Z2880)</f>
        <v>1001400</v>
      </c>
      <c r="AB2880" s="222"/>
    </row>
    <row r="2881" spans="1:28" ht="17.100000000000001" customHeight="1" thickBot="1">
      <c r="A2881" s="227"/>
      <c r="B2881" s="27" t="s">
        <v>1708</v>
      </c>
      <c r="C2881" s="27" t="s">
        <v>9084</v>
      </c>
      <c r="D2881" s="14" t="s">
        <v>1568</v>
      </c>
      <c r="E2881" s="229"/>
      <c r="F2881" s="117" t="s">
        <v>9086</v>
      </c>
      <c r="G2881" s="26">
        <v>53551</v>
      </c>
      <c r="H2881" s="231"/>
      <c r="I2881" s="221"/>
      <c r="J2881" s="221"/>
      <c r="K2881" s="221"/>
      <c r="L2881" s="221"/>
      <c r="M2881" s="221"/>
      <c r="N2881" s="221"/>
      <c r="O2881" s="225"/>
      <c r="P2881" s="118" t="s">
        <v>12126</v>
      </c>
      <c r="Q2881" s="16" t="s">
        <v>20</v>
      </c>
      <c r="R2881" s="17" t="s">
        <v>2216</v>
      </c>
      <c r="S2881" s="121" t="s">
        <v>12484</v>
      </c>
      <c r="T2881" s="122"/>
      <c r="U2881" s="22"/>
      <c r="V2881" s="123" t="s">
        <v>2103</v>
      </c>
      <c r="W2881" s="122">
        <v>3447</v>
      </c>
      <c r="X2881" s="221"/>
      <c r="Y2881" s="221"/>
      <c r="Z2881" s="221"/>
      <c r="AA2881" s="221"/>
      <c r="AB2881" s="223"/>
    </row>
    <row r="2882" spans="1:28" ht="17.100000000000001" customHeight="1" thickTop="1">
      <c r="A2882" s="226" t="s">
        <v>9118</v>
      </c>
      <c r="B2882" s="28">
        <v>45954</v>
      </c>
      <c r="C2882" s="25"/>
      <c r="D2882" s="13" t="s">
        <v>2573</v>
      </c>
      <c r="E2882" s="228"/>
      <c r="F2882" s="109" t="s">
        <v>9088</v>
      </c>
      <c r="G2882" s="24" t="s">
        <v>9090</v>
      </c>
      <c r="H2882" s="230">
        <v>4</v>
      </c>
      <c r="I2882" s="220">
        <f>1903000/1.1</f>
        <v>1729999.9999999998</v>
      </c>
      <c r="J2882" s="220">
        <f>I2882*0.1</f>
        <v>173000</v>
      </c>
      <c r="K2882" s="220">
        <v>0</v>
      </c>
      <c r="L2882" s="220">
        <v>9620</v>
      </c>
      <c r="M2882" s="220">
        <v>0</v>
      </c>
      <c r="N2882" s="220">
        <f>SUM(I2882:M2883)</f>
        <v>1912619.9999999998</v>
      </c>
      <c r="O2882" s="224"/>
      <c r="P2882" s="110" t="s">
        <v>10692</v>
      </c>
      <c r="Q2882" s="15" t="s">
        <v>19</v>
      </c>
      <c r="R2882" s="205"/>
      <c r="S2882" s="189" t="s">
        <v>1276</v>
      </c>
      <c r="T2882" s="114"/>
      <c r="U2882" s="21"/>
      <c r="V2882" s="115">
        <v>45976</v>
      </c>
      <c r="W2882" s="116">
        <v>1276</v>
      </c>
      <c r="X2882" s="220">
        <v>1885000</v>
      </c>
      <c r="Y2882" s="220">
        <f>X2882*0.1</f>
        <v>188500</v>
      </c>
      <c r="Z2882" s="220">
        <v>9620</v>
      </c>
      <c r="AA2882" s="220">
        <f>SUM(X2882:Z2882)</f>
        <v>2083120</v>
      </c>
      <c r="AB2882" s="222">
        <v>45981</v>
      </c>
    </row>
    <row r="2883" spans="1:28" ht="17.100000000000001" customHeight="1" thickBot="1">
      <c r="A2883" s="227"/>
      <c r="B2883" s="27" t="s">
        <v>1708</v>
      </c>
      <c r="C2883" s="27" t="s">
        <v>9087</v>
      </c>
      <c r="D2883" s="14" t="s">
        <v>273</v>
      </c>
      <c r="E2883" s="229"/>
      <c r="F2883" s="117" t="s">
        <v>9089</v>
      </c>
      <c r="G2883" s="26">
        <v>49702</v>
      </c>
      <c r="H2883" s="231"/>
      <c r="I2883" s="221"/>
      <c r="J2883" s="221"/>
      <c r="K2883" s="221"/>
      <c r="L2883" s="221"/>
      <c r="M2883" s="221"/>
      <c r="N2883" s="221"/>
      <c r="O2883" s="225"/>
      <c r="P2883" s="118" t="s">
        <v>10693</v>
      </c>
      <c r="Q2883" s="16" t="s">
        <v>20</v>
      </c>
      <c r="R2883" s="17" t="s">
        <v>10694</v>
      </c>
      <c r="S2883" s="121" t="s">
        <v>10695</v>
      </c>
      <c r="T2883" s="122"/>
      <c r="U2883" s="22"/>
      <c r="V2883" s="123" t="s">
        <v>10781</v>
      </c>
      <c r="W2883" s="122">
        <v>37687</v>
      </c>
      <c r="X2883" s="221"/>
      <c r="Y2883" s="221"/>
      <c r="Z2883" s="221"/>
      <c r="AA2883" s="221"/>
      <c r="AB2883" s="223"/>
    </row>
    <row r="2884" spans="1:28" ht="17.100000000000001" customHeight="1" thickTop="1">
      <c r="A2884" s="226" t="s">
        <v>9119</v>
      </c>
      <c r="B2884" s="28">
        <v>45954</v>
      </c>
      <c r="C2884" s="25">
        <v>1391</v>
      </c>
      <c r="D2884" s="13" t="s">
        <v>1632</v>
      </c>
      <c r="E2884" s="228"/>
      <c r="F2884" s="109" t="s">
        <v>9135</v>
      </c>
      <c r="G2884" s="24" t="s">
        <v>9136</v>
      </c>
      <c r="H2884" s="230">
        <v>3.5</v>
      </c>
      <c r="I2884" s="220">
        <v>279000</v>
      </c>
      <c r="J2884" s="220">
        <f>I2884*0.1</f>
        <v>27900</v>
      </c>
      <c r="K2884" s="220">
        <v>0</v>
      </c>
      <c r="L2884" s="220">
        <v>8040</v>
      </c>
      <c r="M2884" s="220">
        <v>13200</v>
      </c>
      <c r="N2884" s="220">
        <f>SUM(I2884:M2885)</f>
        <v>328140</v>
      </c>
      <c r="O2884" s="224"/>
      <c r="P2884" s="110" t="s">
        <v>9529</v>
      </c>
      <c r="Q2884" s="15" t="s">
        <v>19</v>
      </c>
      <c r="R2884" s="205"/>
      <c r="S2884" s="189"/>
      <c r="T2884" s="114"/>
      <c r="U2884" s="21"/>
      <c r="V2884" s="115">
        <v>46067</v>
      </c>
      <c r="W2884" s="116">
        <v>1288</v>
      </c>
      <c r="X2884" s="220">
        <v>405000</v>
      </c>
      <c r="Y2884" s="220">
        <f>X2884*0.1</f>
        <v>40500</v>
      </c>
      <c r="Z2884" s="220">
        <v>8040</v>
      </c>
      <c r="AA2884" s="220">
        <f>SUM(X2884:Z2884)</f>
        <v>453540</v>
      </c>
      <c r="AB2884" s="222">
        <v>46070</v>
      </c>
    </row>
    <row r="2885" spans="1:28" ht="17.100000000000001" customHeight="1" thickBot="1">
      <c r="A2885" s="227"/>
      <c r="B2885" s="27" t="s">
        <v>2597</v>
      </c>
      <c r="C2885" s="27">
        <v>2001</v>
      </c>
      <c r="D2885" s="14" t="s">
        <v>898</v>
      </c>
      <c r="E2885" s="229"/>
      <c r="F2885" s="117" t="s">
        <v>9127</v>
      </c>
      <c r="G2885" s="26">
        <v>59132</v>
      </c>
      <c r="H2885" s="231"/>
      <c r="I2885" s="221"/>
      <c r="J2885" s="221"/>
      <c r="K2885" s="221"/>
      <c r="L2885" s="221"/>
      <c r="M2885" s="221"/>
      <c r="N2885" s="221"/>
      <c r="O2885" s="225"/>
      <c r="P2885" s="118" t="s">
        <v>9530</v>
      </c>
      <c r="Q2885" s="16" t="s">
        <v>20</v>
      </c>
      <c r="R2885" s="17" t="s">
        <v>9475</v>
      </c>
      <c r="S2885" s="121" t="s">
        <v>7703</v>
      </c>
      <c r="T2885" s="122"/>
      <c r="U2885" s="22"/>
      <c r="V2885" s="123" t="s">
        <v>2472</v>
      </c>
      <c r="W2885" s="122">
        <v>62058</v>
      </c>
      <c r="X2885" s="221"/>
      <c r="Y2885" s="221"/>
      <c r="Z2885" s="221"/>
      <c r="AA2885" s="221"/>
      <c r="AB2885" s="223"/>
    </row>
    <row r="2886" spans="1:28" ht="17.100000000000001" customHeight="1" thickTop="1">
      <c r="A2886" s="226" t="s">
        <v>9120</v>
      </c>
      <c r="B2886" s="28">
        <v>45954</v>
      </c>
      <c r="C2886" s="25">
        <v>1391</v>
      </c>
      <c r="D2886" s="13" t="s">
        <v>1615</v>
      </c>
      <c r="E2886" s="228"/>
      <c r="F2886" s="109" t="s">
        <v>5277</v>
      </c>
      <c r="G2886" s="24"/>
      <c r="H2886" s="230">
        <v>3.5</v>
      </c>
      <c r="I2886" s="220">
        <v>255000</v>
      </c>
      <c r="J2886" s="220">
        <f>I2886*0.1</f>
        <v>25500</v>
      </c>
      <c r="K2886" s="220">
        <v>0</v>
      </c>
      <c r="L2886" s="220">
        <v>9770</v>
      </c>
      <c r="M2886" s="220">
        <v>13200</v>
      </c>
      <c r="N2886" s="220">
        <f>SUM(I2886:M2887)</f>
        <v>303470</v>
      </c>
      <c r="O2886" s="224"/>
      <c r="P2886" s="110" t="s">
        <v>9682</v>
      </c>
      <c r="Q2886" s="15" t="s">
        <v>19</v>
      </c>
      <c r="R2886" s="205"/>
      <c r="S2886" s="189"/>
      <c r="T2886" s="114"/>
      <c r="U2886" s="21"/>
      <c r="V2886" s="115">
        <v>45962</v>
      </c>
      <c r="W2886" s="116">
        <v>1274</v>
      </c>
      <c r="X2886" s="220">
        <v>410000</v>
      </c>
      <c r="Y2886" s="220">
        <f>X2886*0.1</f>
        <v>41000</v>
      </c>
      <c r="Z2886" s="220">
        <v>9770</v>
      </c>
      <c r="AA2886" s="220">
        <f>SUM(X2886:Z2886)</f>
        <v>460770</v>
      </c>
      <c r="AB2886" s="222">
        <v>45971</v>
      </c>
    </row>
    <row r="2887" spans="1:28" ht="17.100000000000001" customHeight="1" thickBot="1">
      <c r="A2887" s="227"/>
      <c r="B2887" s="27" t="s">
        <v>2597</v>
      </c>
      <c r="C2887" s="27">
        <v>2079</v>
      </c>
      <c r="D2887" s="14" t="s">
        <v>1568</v>
      </c>
      <c r="E2887" s="229"/>
      <c r="F2887" s="117" t="s">
        <v>9128</v>
      </c>
      <c r="G2887" s="26">
        <v>56341</v>
      </c>
      <c r="H2887" s="231"/>
      <c r="I2887" s="221"/>
      <c r="J2887" s="221"/>
      <c r="K2887" s="221"/>
      <c r="L2887" s="221"/>
      <c r="M2887" s="221"/>
      <c r="N2887" s="221"/>
      <c r="O2887" s="225"/>
      <c r="P2887" s="118" t="s">
        <v>9683</v>
      </c>
      <c r="Q2887" s="16" t="s">
        <v>20</v>
      </c>
      <c r="R2887" s="17" t="s">
        <v>9666</v>
      </c>
      <c r="S2887" s="121"/>
      <c r="T2887" s="122"/>
      <c r="U2887" s="22"/>
      <c r="V2887" s="123" t="s">
        <v>6641</v>
      </c>
      <c r="W2887" s="122">
        <v>60321</v>
      </c>
      <c r="X2887" s="221"/>
      <c r="Y2887" s="221"/>
      <c r="Z2887" s="221"/>
      <c r="AA2887" s="221"/>
      <c r="AB2887" s="223"/>
    </row>
    <row r="2888" spans="1:28" ht="17.100000000000001" customHeight="1" thickTop="1">
      <c r="A2888" s="226" t="s">
        <v>9121</v>
      </c>
      <c r="B2888" s="28">
        <v>45954</v>
      </c>
      <c r="C2888" s="25">
        <v>1391</v>
      </c>
      <c r="D2888" s="13" t="s">
        <v>1901</v>
      </c>
      <c r="E2888" s="228"/>
      <c r="F2888" s="109" t="s">
        <v>5389</v>
      </c>
      <c r="G2888" s="24" t="s">
        <v>9137</v>
      </c>
      <c r="H2888" s="230">
        <v>4</v>
      </c>
      <c r="I2888" s="220">
        <v>756000</v>
      </c>
      <c r="J2888" s="220">
        <f>I2888*0.1</f>
        <v>75600</v>
      </c>
      <c r="K2888" s="220">
        <v>0</v>
      </c>
      <c r="L2888" s="220">
        <v>8010</v>
      </c>
      <c r="M2888" s="220">
        <v>13200</v>
      </c>
      <c r="N2888" s="220">
        <f>SUM(I2888:M2889)</f>
        <v>852810</v>
      </c>
      <c r="O2888" s="224"/>
      <c r="P2888" s="110" t="s">
        <v>9531</v>
      </c>
      <c r="Q2888" s="15" t="s">
        <v>19</v>
      </c>
      <c r="R2888" s="205"/>
      <c r="S2888" s="189"/>
      <c r="T2888" s="114"/>
      <c r="U2888" s="21" t="s">
        <v>10841</v>
      </c>
      <c r="V2888" s="115">
        <v>45976</v>
      </c>
      <c r="W2888" s="116">
        <v>1276</v>
      </c>
      <c r="X2888" s="220">
        <v>845000</v>
      </c>
      <c r="Y2888" s="220">
        <f>X2888*0.1</f>
        <v>84500</v>
      </c>
      <c r="Z2888" s="220">
        <v>8010</v>
      </c>
      <c r="AA2888" s="220">
        <f>SUM(X2888:Z2888)</f>
        <v>937510</v>
      </c>
      <c r="AB2888" s="222">
        <v>45981</v>
      </c>
    </row>
    <row r="2889" spans="1:28" ht="17.100000000000001" customHeight="1" thickBot="1">
      <c r="A2889" s="227"/>
      <c r="B2889" s="27" t="s">
        <v>2597</v>
      </c>
      <c r="C2889" s="27">
        <v>3006</v>
      </c>
      <c r="D2889" s="14" t="s">
        <v>1797</v>
      </c>
      <c r="E2889" s="229"/>
      <c r="F2889" s="117" t="s">
        <v>9129</v>
      </c>
      <c r="G2889" s="26">
        <v>62738</v>
      </c>
      <c r="H2889" s="231"/>
      <c r="I2889" s="221"/>
      <c r="J2889" s="221"/>
      <c r="K2889" s="221"/>
      <c r="L2889" s="221"/>
      <c r="M2889" s="221"/>
      <c r="N2889" s="221"/>
      <c r="O2889" s="225"/>
      <c r="P2889" s="118" t="s">
        <v>9532</v>
      </c>
      <c r="Q2889" s="16" t="s">
        <v>20</v>
      </c>
      <c r="R2889" s="17" t="s">
        <v>9475</v>
      </c>
      <c r="S2889" s="121" t="s">
        <v>9533</v>
      </c>
      <c r="T2889" s="122"/>
      <c r="U2889" s="22"/>
      <c r="V2889" s="123" t="s">
        <v>10781</v>
      </c>
      <c r="W2889" s="122">
        <v>60234</v>
      </c>
      <c r="X2889" s="221"/>
      <c r="Y2889" s="221"/>
      <c r="Z2889" s="221"/>
      <c r="AA2889" s="221"/>
      <c r="AB2889" s="223"/>
    </row>
    <row r="2890" spans="1:28" ht="17.100000000000001" customHeight="1" thickTop="1">
      <c r="A2890" s="226" t="s">
        <v>9122</v>
      </c>
      <c r="B2890" s="28">
        <v>45954</v>
      </c>
      <c r="C2890" s="25">
        <v>1391</v>
      </c>
      <c r="D2890" s="13" t="s">
        <v>1947</v>
      </c>
      <c r="E2890" s="228"/>
      <c r="F2890" s="109" t="s">
        <v>9138</v>
      </c>
      <c r="G2890" s="24" t="s">
        <v>5378</v>
      </c>
      <c r="H2890" s="230">
        <v>4.5</v>
      </c>
      <c r="I2890" s="220">
        <v>1396000</v>
      </c>
      <c r="J2890" s="220">
        <f>I2890*0.1</f>
        <v>139600</v>
      </c>
      <c r="K2890" s="220">
        <v>0</v>
      </c>
      <c r="L2890" s="220">
        <v>8630</v>
      </c>
      <c r="M2890" s="220">
        <v>13200</v>
      </c>
      <c r="N2890" s="220">
        <f>SUM(I2890:M2891)</f>
        <v>1557430</v>
      </c>
      <c r="O2890" s="224"/>
      <c r="P2890" s="110" t="s">
        <v>9680</v>
      </c>
      <c r="Q2890" s="15" t="s">
        <v>19</v>
      </c>
      <c r="R2890" s="205"/>
      <c r="S2890" s="189"/>
      <c r="T2890" s="114"/>
      <c r="U2890" s="21" t="s">
        <v>9841</v>
      </c>
      <c r="V2890" s="115">
        <v>45962</v>
      </c>
      <c r="W2890" s="116">
        <v>1274</v>
      </c>
      <c r="X2890" s="220">
        <v>1685000</v>
      </c>
      <c r="Y2890" s="220">
        <f>X2890*0.1</f>
        <v>168500</v>
      </c>
      <c r="Z2890" s="220">
        <v>8630</v>
      </c>
      <c r="AA2890" s="220">
        <f>SUM(X2890:Z2890)</f>
        <v>1862130</v>
      </c>
      <c r="AB2890" s="222">
        <v>45967</v>
      </c>
    </row>
    <row r="2891" spans="1:28" ht="17.100000000000001" customHeight="1" thickBot="1">
      <c r="A2891" s="227"/>
      <c r="B2891" s="27" t="s">
        <v>2597</v>
      </c>
      <c r="C2891" s="27">
        <v>3010</v>
      </c>
      <c r="D2891" s="14" t="s">
        <v>2559</v>
      </c>
      <c r="E2891" s="229"/>
      <c r="F2891" s="117" t="s">
        <v>9130</v>
      </c>
      <c r="G2891" s="26">
        <v>34574</v>
      </c>
      <c r="H2891" s="231"/>
      <c r="I2891" s="221"/>
      <c r="J2891" s="221"/>
      <c r="K2891" s="221"/>
      <c r="L2891" s="221"/>
      <c r="M2891" s="221"/>
      <c r="N2891" s="221"/>
      <c r="O2891" s="225"/>
      <c r="P2891" s="118" t="s">
        <v>3281</v>
      </c>
      <c r="Q2891" s="16" t="s">
        <v>20</v>
      </c>
      <c r="R2891" s="17" t="s">
        <v>9666</v>
      </c>
      <c r="S2891" s="121" t="s">
        <v>9681</v>
      </c>
      <c r="T2891" s="122"/>
      <c r="U2891" s="22"/>
      <c r="V2891" s="123" t="s">
        <v>2472</v>
      </c>
      <c r="W2891" s="122">
        <v>60021</v>
      </c>
      <c r="X2891" s="221"/>
      <c r="Y2891" s="221"/>
      <c r="Z2891" s="221"/>
      <c r="AA2891" s="221"/>
      <c r="AB2891" s="223"/>
    </row>
    <row r="2892" spans="1:28" ht="17.100000000000001" customHeight="1" thickTop="1">
      <c r="A2892" s="226" t="s">
        <v>9123</v>
      </c>
      <c r="B2892" s="28">
        <v>45954</v>
      </c>
      <c r="C2892" s="25">
        <v>1391</v>
      </c>
      <c r="D2892" s="13" t="s">
        <v>1846</v>
      </c>
      <c r="E2892" s="228"/>
      <c r="F2892" s="109" t="s">
        <v>9139</v>
      </c>
      <c r="G2892" s="24" t="s">
        <v>8085</v>
      </c>
      <c r="H2892" s="230">
        <v>4</v>
      </c>
      <c r="I2892" s="220">
        <v>1002000</v>
      </c>
      <c r="J2892" s="220">
        <f>I2892*0.1</f>
        <v>100200</v>
      </c>
      <c r="K2892" s="220">
        <f>16400+1640</f>
        <v>18040</v>
      </c>
      <c r="L2892" s="220">
        <v>11480</v>
      </c>
      <c r="M2892" s="220">
        <v>13200</v>
      </c>
      <c r="N2892" s="220">
        <f>SUM(I2892:M2893)</f>
        <v>1144920</v>
      </c>
      <c r="O2892" s="224"/>
      <c r="P2892" s="110" t="s">
        <v>9590</v>
      </c>
      <c r="Q2892" s="15" t="s">
        <v>19</v>
      </c>
      <c r="R2892" s="205"/>
      <c r="S2892" s="189" t="s">
        <v>25562</v>
      </c>
      <c r="T2892" s="114"/>
      <c r="U2892" s="21"/>
      <c r="V2892" s="115">
        <v>45962</v>
      </c>
      <c r="W2892" s="116">
        <v>1274</v>
      </c>
      <c r="X2892" s="220">
        <v>1100000</v>
      </c>
      <c r="Y2892" s="220">
        <f>X2892*0.1</f>
        <v>110000</v>
      </c>
      <c r="Z2892" s="220">
        <v>11480</v>
      </c>
      <c r="AA2892" s="220">
        <f>SUM(X2892:Z2892)</f>
        <v>1221480</v>
      </c>
      <c r="AB2892" s="222">
        <v>45965</v>
      </c>
    </row>
    <row r="2893" spans="1:28" ht="17.100000000000001" customHeight="1" thickBot="1">
      <c r="A2893" s="227"/>
      <c r="B2893" s="27" t="s">
        <v>2597</v>
      </c>
      <c r="C2893" s="27">
        <v>3038</v>
      </c>
      <c r="D2893" s="14" t="s">
        <v>2559</v>
      </c>
      <c r="E2893" s="229"/>
      <c r="F2893" s="117" t="s">
        <v>9131</v>
      </c>
      <c r="G2893" s="26">
        <v>126225</v>
      </c>
      <c r="H2893" s="231"/>
      <c r="I2893" s="221"/>
      <c r="J2893" s="221"/>
      <c r="K2893" s="221"/>
      <c r="L2893" s="221"/>
      <c r="M2893" s="221"/>
      <c r="N2893" s="221"/>
      <c r="O2893" s="225"/>
      <c r="P2893" s="118" t="s">
        <v>3281</v>
      </c>
      <c r="Q2893" s="16" t="s">
        <v>20</v>
      </c>
      <c r="R2893" s="17" t="s">
        <v>3282</v>
      </c>
      <c r="S2893" s="121" t="s">
        <v>10294</v>
      </c>
      <c r="T2893" s="122"/>
      <c r="U2893" s="22"/>
      <c r="V2893" s="123" t="s">
        <v>2472</v>
      </c>
      <c r="W2893" s="122">
        <v>3</v>
      </c>
      <c r="X2893" s="221"/>
      <c r="Y2893" s="221"/>
      <c r="Z2893" s="221"/>
      <c r="AA2893" s="221"/>
      <c r="AB2893" s="223"/>
    </row>
    <row r="2894" spans="1:28" ht="17.100000000000001" customHeight="1" thickTop="1">
      <c r="A2894" s="226" t="s">
        <v>9124</v>
      </c>
      <c r="B2894" s="28">
        <v>45954</v>
      </c>
      <c r="C2894" s="25">
        <v>1391</v>
      </c>
      <c r="D2894" s="13" t="s">
        <v>1810</v>
      </c>
      <c r="E2894" s="228"/>
      <c r="F2894" s="109" t="s">
        <v>8031</v>
      </c>
      <c r="G2894" s="24"/>
      <c r="H2894" s="230">
        <v>4.5</v>
      </c>
      <c r="I2894" s="220">
        <v>2812000</v>
      </c>
      <c r="J2894" s="220">
        <f>I2894*0.1</f>
        <v>281200</v>
      </c>
      <c r="K2894" s="220">
        <v>0</v>
      </c>
      <c r="L2894" s="220">
        <v>12160</v>
      </c>
      <c r="M2894" s="220">
        <v>13200</v>
      </c>
      <c r="N2894" s="220">
        <f>SUM(I2894:M2895)</f>
        <v>3118560</v>
      </c>
      <c r="O2894" s="224"/>
      <c r="P2894" s="110" t="s">
        <v>9511</v>
      </c>
      <c r="Q2894" s="15" t="s">
        <v>19</v>
      </c>
      <c r="R2894" s="205"/>
      <c r="S2894" s="189" t="s">
        <v>1361</v>
      </c>
      <c r="T2894" s="114"/>
      <c r="U2894" s="21"/>
      <c r="V2894" s="115">
        <v>45976</v>
      </c>
      <c r="W2894" s="116">
        <v>1276</v>
      </c>
      <c r="X2894" s="220">
        <v>2895000</v>
      </c>
      <c r="Y2894" s="220">
        <f>X2894*0.1</f>
        <v>289500</v>
      </c>
      <c r="Z2894" s="220">
        <v>12160</v>
      </c>
      <c r="AA2894" s="220">
        <f>SUM(X2894:Z2894)</f>
        <v>3196660</v>
      </c>
      <c r="AB2894" s="222">
        <v>45979</v>
      </c>
    </row>
    <row r="2895" spans="1:28" ht="17.100000000000001" customHeight="1" thickBot="1">
      <c r="A2895" s="227"/>
      <c r="B2895" s="27" t="s">
        <v>2597</v>
      </c>
      <c r="C2895" s="27">
        <v>3050</v>
      </c>
      <c r="D2895" s="14" t="s">
        <v>273</v>
      </c>
      <c r="E2895" s="229"/>
      <c r="F2895" s="117" t="s">
        <v>9132</v>
      </c>
      <c r="G2895" s="26">
        <v>29478</v>
      </c>
      <c r="H2895" s="231"/>
      <c r="I2895" s="221"/>
      <c r="J2895" s="221"/>
      <c r="K2895" s="221"/>
      <c r="L2895" s="221"/>
      <c r="M2895" s="221"/>
      <c r="N2895" s="221"/>
      <c r="O2895" s="225"/>
      <c r="P2895" s="118" t="s">
        <v>2359</v>
      </c>
      <c r="Q2895" s="16" t="s">
        <v>20</v>
      </c>
      <c r="R2895" s="17" t="s">
        <v>9475</v>
      </c>
      <c r="S2895" s="121" t="s">
        <v>2360</v>
      </c>
      <c r="T2895" s="122"/>
      <c r="U2895" s="22"/>
      <c r="V2895" s="123" t="s">
        <v>10781</v>
      </c>
      <c r="W2895" s="122">
        <v>13116</v>
      </c>
      <c r="X2895" s="221"/>
      <c r="Y2895" s="221"/>
      <c r="Z2895" s="221"/>
      <c r="AA2895" s="221"/>
      <c r="AB2895" s="223"/>
    </row>
    <row r="2896" spans="1:28" ht="17.100000000000001" customHeight="1" thickTop="1">
      <c r="A2896" s="226" t="s">
        <v>9125</v>
      </c>
      <c r="B2896" s="28">
        <v>45954</v>
      </c>
      <c r="C2896" s="25">
        <v>1391</v>
      </c>
      <c r="D2896" s="13" t="s">
        <v>2406</v>
      </c>
      <c r="E2896" s="228"/>
      <c r="F2896" s="109" t="s">
        <v>2556</v>
      </c>
      <c r="G2896" s="24"/>
      <c r="H2896" s="230">
        <v>4</v>
      </c>
      <c r="I2896" s="220">
        <v>916000</v>
      </c>
      <c r="J2896" s="220">
        <f>I2896*0.1</f>
        <v>91600</v>
      </c>
      <c r="K2896" s="220">
        <v>0</v>
      </c>
      <c r="L2896" s="220">
        <v>9080</v>
      </c>
      <c r="M2896" s="220">
        <v>13200</v>
      </c>
      <c r="N2896" s="220">
        <f>SUM(I2896:M2897)</f>
        <v>1029880</v>
      </c>
      <c r="O2896" s="224"/>
      <c r="P2896" s="110" t="s">
        <v>9525</v>
      </c>
      <c r="Q2896" s="15" t="s">
        <v>19</v>
      </c>
      <c r="R2896" s="205"/>
      <c r="S2896" s="189"/>
      <c r="T2896" s="114"/>
      <c r="U2896" s="21"/>
      <c r="V2896" s="115">
        <v>45969</v>
      </c>
      <c r="W2896" s="116">
        <v>1275</v>
      </c>
      <c r="X2896" s="220">
        <v>1000000</v>
      </c>
      <c r="Y2896" s="220">
        <f>X2896*0.1</f>
        <v>100000</v>
      </c>
      <c r="Z2896" s="220">
        <v>9080</v>
      </c>
      <c r="AA2896" s="220">
        <f>SUM(X2896:Z2896)</f>
        <v>1109080</v>
      </c>
      <c r="AB2896" s="222">
        <v>45972</v>
      </c>
    </row>
    <row r="2897" spans="1:28" ht="17.100000000000001" customHeight="1" thickBot="1">
      <c r="A2897" s="227"/>
      <c r="B2897" s="27" t="s">
        <v>2597</v>
      </c>
      <c r="C2897" s="27">
        <v>3152</v>
      </c>
      <c r="D2897" s="14" t="s">
        <v>2559</v>
      </c>
      <c r="E2897" s="229"/>
      <c r="F2897" s="117" t="s">
        <v>9133</v>
      </c>
      <c r="G2897" s="26">
        <v>51884</v>
      </c>
      <c r="H2897" s="231"/>
      <c r="I2897" s="221"/>
      <c r="J2897" s="221"/>
      <c r="K2897" s="221"/>
      <c r="L2897" s="221"/>
      <c r="M2897" s="221"/>
      <c r="N2897" s="221"/>
      <c r="O2897" s="225"/>
      <c r="P2897" s="118" t="s">
        <v>1972</v>
      </c>
      <c r="Q2897" s="16" t="s">
        <v>20</v>
      </c>
      <c r="R2897" s="17" t="s">
        <v>9475</v>
      </c>
      <c r="S2897" s="121" t="s">
        <v>2405</v>
      </c>
      <c r="T2897" s="122"/>
      <c r="U2897" s="22"/>
      <c r="V2897" s="123" t="s">
        <v>2472</v>
      </c>
      <c r="W2897" s="122">
        <v>60195</v>
      </c>
      <c r="X2897" s="221"/>
      <c r="Y2897" s="221"/>
      <c r="Z2897" s="221"/>
      <c r="AA2897" s="221"/>
      <c r="AB2897" s="223"/>
    </row>
    <row r="2898" spans="1:28" ht="17.100000000000001" customHeight="1" thickTop="1">
      <c r="A2898" s="226" t="s">
        <v>9126</v>
      </c>
      <c r="B2898" s="28">
        <v>45954</v>
      </c>
      <c r="C2898" s="25">
        <v>1391</v>
      </c>
      <c r="D2898" s="13" t="s">
        <v>1640</v>
      </c>
      <c r="E2898" s="228"/>
      <c r="F2898" s="109" t="s">
        <v>9140</v>
      </c>
      <c r="G2898" s="24"/>
      <c r="H2898" s="230">
        <v>4</v>
      </c>
      <c r="I2898" s="220">
        <v>317000</v>
      </c>
      <c r="J2898" s="220">
        <v>0</v>
      </c>
      <c r="K2898" s="220">
        <v>0</v>
      </c>
      <c r="L2898" s="220">
        <v>9790</v>
      </c>
      <c r="M2898" s="220">
        <v>13200</v>
      </c>
      <c r="N2898" s="220">
        <f>SUM(I2898:M2899)</f>
        <v>339990</v>
      </c>
      <c r="O2898" s="224"/>
      <c r="P2898" s="110" t="s">
        <v>9526</v>
      </c>
      <c r="Q2898" s="15" t="s">
        <v>19</v>
      </c>
      <c r="R2898" s="205"/>
      <c r="S2898" s="189" t="s">
        <v>25563</v>
      </c>
      <c r="T2898" s="114"/>
      <c r="U2898" s="21"/>
      <c r="V2898" s="115">
        <v>45962</v>
      </c>
      <c r="W2898" s="116">
        <v>1274</v>
      </c>
      <c r="X2898" s="220">
        <v>420000</v>
      </c>
      <c r="Y2898" s="220">
        <v>0</v>
      </c>
      <c r="Z2898" s="220">
        <v>9790</v>
      </c>
      <c r="AA2898" s="220">
        <f>SUM(X2898:Z2898)</f>
        <v>429790</v>
      </c>
      <c r="AB2898" s="222">
        <v>45971</v>
      </c>
    </row>
    <row r="2899" spans="1:28" ht="17.100000000000001" customHeight="1" thickBot="1">
      <c r="A2899" s="227"/>
      <c r="B2899" s="27" t="s">
        <v>2597</v>
      </c>
      <c r="C2899" s="27">
        <v>7142</v>
      </c>
      <c r="D2899" s="14" t="s">
        <v>3731</v>
      </c>
      <c r="E2899" s="229"/>
      <c r="F2899" s="117" t="s">
        <v>9134</v>
      </c>
      <c r="G2899" s="26">
        <v>49522</v>
      </c>
      <c r="H2899" s="231"/>
      <c r="I2899" s="221"/>
      <c r="J2899" s="221"/>
      <c r="K2899" s="221"/>
      <c r="L2899" s="221"/>
      <c r="M2899" s="221"/>
      <c r="N2899" s="221"/>
      <c r="O2899" s="225"/>
      <c r="P2899" s="118" t="s">
        <v>9527</v>
      </c>
      <c r="Q2899" s="16" t="s">
        <v>20</v>
      </c>
      <c r="R2899" s="17" t="s">
        <v>9475</v>
      </c>
      <c r="S2899" s="121" t="s">
        <v>9528</v>
      </c>
      <c r="T2899" s="122"/>
      <c r="U2899" s="22"/>
      <c r="V2899" s="123" t="s">
        <v>6641</v>
      </c>
      <c r="W2899" s="122">
        <v>60317</v>
      </c>
      <c r="X2899" s="221"/>
      <c r="Y2899" s="221"/>
      <c r="Z2899" s="221"/>
      <c r="AA2899" s="221"/>
      <c r="AB2899" s="223"/>
    </row>
    <row r="2900" spans="1:28" ht="17.100000000000001" customHeight="1" thickTop="1">
      <c r="A2900" s="226" t="s">
        <v>9244</v>
      </c>
      <c r="B2900" s="28">
        <v>45955</v>
      </c>
      <c r="C2900" s="25">
        <v>284</v>
      </c>
      <c r="D2900" s="13" t="s">
        <v>1780</v>
      </c>
      <c r="E2900" s="228"/>
      <c r="F2900" s="109" t="s">
        <v>9143</v>
      </c>
      <c r="G2900" s="24" t="s">
        <v>2871</v>
      </c>
      <c r="H2900" s="230">
        <v>4.5</v>
      </c>
      <c r="I2900" s="220">
        <v>992000</v>
      </c>
      <c r="J2900" s="220">
        <f>I2900*0.1</f>
        <v>99200</v>
      </c>
      <c r="K2900" s="220">
        <v>0</v>
      </c>
      <c r="L2900" s="220">
        <v>6860</v>
      </c>
      <c r="M2900" s="220">
        <v>15950</v>
      </c>
      <c r="N2900" s="220">
        <f>SUM(I2900:M2901)</f>
        <v>1114010</v>
      </c>
      <c r="O2900" s="224"/>
      <c r="P2900" s="110" t="s">
        <v>9145</v>
      </c>
      <c r="Q2900" s="15" t="s">
        <v>19</v>
      </c>
      <c r="R2900" s="205"/>
      <c r="S2900" s="189" t="s">
        <v>1361</v>
      </c>
      <c r="T2900" s="114"/>
      <c r="U2900" s="21" t="s">
        <v>10797</v>
      </c>
      <c r="V2900" s="115">
        <v>46053</v>
      </c>
      <c r="W2900" s="116">
        <v>1286</v>
      </c>
      <c r="X2900" s="220">
        <v>1060000</v>
      </c>
      <c r="Y2900" s="220">
        <f>X2900*0.1</f>
        <v>106000</v>
      </c>
      <c r="Z2900" s="220">
        <v>6860</v>
      </c>
      <c r="AA2900" s="220">
        <f>SUM(X2900:Z2900)</f>
        <v>1172860</v>
      </c>
      <c r="AB2900" s="222">
        <v>46056</v>
      </c>
    </row>
    <row r="2901" spans="1:28" ht="17.100000000000001" customHeight="1" thickBot="1">
      <c r="A2901" s="227"/>
      <c r="B2901" s="27" t="s">
        <v>3518</v>
      </c>
      <c r="C2901" s="27">
        <v>3138</v>
      </c>
      <c r="D2901" s="14" t="s">
        <v>1584</v>
      </c>
      <c r="E2901" s="229"/>
      <c r="F2901" s="117" t="s">
        <v>9144</v>
      </c>
      <c r="G2901" s="26">
        <v>6507</v>
      </c>
      <c r="H2901" s="231"/>
      <c r="I2901" s="221"/>
      <c r="J2901" s="221"/>
      <c r="K2901" s="221"/>
      <c r="L2901" s="221"/>
      <c r="M2901" s="221"/>
      <c r="N2901" s="221"/>
      <c r="O2901" s="225"/>
      <c r="P2901" s="118" t="s">
        <v>6823</v>
      </c>
      <c r="Q2901" s="16" t="s">
        <v>20</v>
      </c>
      <c r="R2901" s="17" t="s">
        <v>3282</v>
      </c>
      <c r="S2901" s="121" t="s">
        <v>169</v>
      </c>
      <c r="T2901" s="122"/>
      <c r="U2901" s="22"/>
      <c r="V2901" s="123" t="s">
        <v>2472</v>
      </c>
      <c r="W2901" s="122">
        <v>60254</v>
      </c>
      <c r="X2901" s="221"/>
      <c r="Y2901" s="221"/>
      <c r="Z2901" s="221"/>
      <c r="AA2901" s="221"/>
      <c r="AB2901" s="223"/>
    </row>
    <row r="2902" spans="1:28" ht="17.100000000000001" customHeight="1" thickTop="1">
      <c r="A2902" s="226" t="s">
        <v>9245</v>
      </c>
      <c r="B2902" s="28">
        <v>45955</v>
      </c>
      <c r="C2902" s="25">
        <v>284</v>
      </c>
      <c r="D2902" s="13" t="s">
        <v>2158</v>
      </c>
      <c r="E2902" s="228"/>
      <c r="F2902" s="109" t="s">
        <v>9146</v>
      </c>
      <c r="G2902" s="24"/>
      <c r="H2902" s="230">
        <v>4</v>
      </c>
      <c r="I2902" s="220">
        <v>1153000</v>
      </c>
      <c r="J2902" s="220">
        <f>I2902*0.1</f>
        <v>115300</v>
      </c>
      <c r="K2902" s="220">
        <v>0</v>
      </c>
      <c r="L2902" s="220">
        <v>7440</v>
      </c>
      <c r="M2902" s="220">
        <v>15950</v>
      </c>
      <c r="N2902" s="220">
        <f>SUM(I2902:M2903)</f>
        <v>1291690</v>
      </c>
      <c r="O2902" s="224"/>
      <c r="P2902" s="110" t="s">
        <v>9589</v>
      </c>
      <c r="Q2902" s="15" t="s">
        <v>19</v>
      </c>
      <c r="R2902" s="205"/>
      <c r="S2902" s="189"/>
      <c r="T2902" s="114"/>
      <c r="U2902" s="21"/>
      <c r="V2902" s="115">
        <v>45962</v>
      </c>
      <c r="W2902" s="116">
        <v>1274</v>
      </c>
      <c r="X2902" s="220">
        <v>1285000</v>
      </c>
      <c r="Y2902" s="220">
        <f>X2902*0.1</f>
        <v>128500</v>
      </c>
      <c r="Z2902" s="220">
        <v>7440</v>
      </c>
      <c r="AA2902" s="220">
        <f>SUM(X2902:Z2902)</f>
        <v>1420940</v>
      </c>
      <c r="AB2902" s="222">
        <v>45965</v>
      </c>
    </row>
    <row r="2903" spans="1:28" ht="17.100000000000001" customHeight="1" thickBot="1">
      <c r="A2903" s="227"/>
      <c r="B2903" s="27" t="s">
        <v>3518</v>
      </c>
      <c r="C2903" s="27">
        <v>62014</v>
      </c>
      <c r="D2903" s="14" t="s">
        <v>1584</v>
      </c>
      <c r="E2903" s="229"/>
      <c r="F2903" s="117" t="s">
        <v>9147</v>
      </c>
      <c r="G2903" s="26">
        <v>45613</v>
      </c>
      <c r="H2903" s="231"/>
      <c r="I2903" s="221"/>
      <c r="J2903" s="221"/>
      <c r="K2903" s="221"/>
      <c r="L2903" s="221"/>
      <c r="M2903" s="221"/>
      <c r="N2903" s="221"/>
      <c r="O2903" s="225"/>
      <c r="P2903" s="118" t="s">
        <v>7323</v>
      </c>
      <c r="Q2903" s="16" t="s">
        <v>20</v>
      </c>
      <c r="R2903" s="17" t="s">
        <v>3282</v>
      </c>
      <c r="S2903" s="121"/>
      <c r="T2903" s="122"/>
      <c r="U2903" s="22"/>
      <c r="V2903" s="123" t="s">
        <v>2472</v>
      </c>
      <c r="W2903" s="122">
        <v>41020</v>
      </c>
      <c r="X2903" s="221"/>
      <c r="Y2903" s="221"/>
      <c r="Z2903" s="221"/>
      <c r="AA2903" s="221"/>
      <c r="AB2903" s="223"/>
    </row>
    <row r="2904" spans="1:28" ht="17.100000000000001" customHeight="1" thickTop="1">
      <c r="A2904" s="226" t="s">
        <v>9246</v>
      </c>
      <c r="B2904" s="28">
        <v>45955</v>
      </c>
      <c r="C2904" s="25">
        <v>995</v>
      </c>
      <c r="D2904" s="13" t="s">
        <v>1623</v>
      </c>
      <c r="E2904" s="228"/>
      <c r="F2904" s="109" t="s">
        <v>9141</v>
      </c>
      <c r="G2904" s="24"/>
      <c r="H2904" s="230">
        <v>4.5</v>
      </c>
      <c r="I2904" s="220">
        <v>1402000</v>
      </c>
      <c r="J2904" s="220">
        <f>I2904*0.1</f>
        <v>140200</v>
      </c>
      <c r="K2904" s="220">
        <v>0</v>
      </c>
      <c r="L2904" s="220">
        <v>17600</v>
      </c>
      <c r="M2904" s="220">
        <v>15950</v>
      </c>
      <c r="N2904" s="220">
        <f>SUM(I2904:M2905)</f>
        <v>1575750</v>
      </c>
      <c r="O2904" s="224"/>
      <c r="P2904" s="110" t="s">
        <v>9713</v>
      </c>
      <c r="Q2904" s="15" t="s">
        <v>19</v>
      </c>
      <c r="R2904" s="205"/>
      <c r="S2904" s="189"/>
      <c r="T2904" s="114"/>
      <c r="U2904" s="21"/>
      <c r="V2904" s="115">
        <v>45962</v>
      </c>
      <c r="W2904" s="116">
        <v>1274</v>
      </c>
      <c r="X2904" s="220">
        <v>1565000</v>
      </c>
      <c r="Y2904" s="220">
        <f>X2904*0.1</f>
        <v>156500</v>
      </c>
      <c r="Z2904" s="220">
        <v>17600</v>
      </c>
      <c r="AA2904" s="220">
        <f>SUM(X2904:Z2904)</f>
        <v>1739100</v>
      </c>
      <c r="AB2904" s="222">
        <v>45965</v>
      </c>
    </row>
    <row r="2905" spans="1:28" ht="17.100000000000001" customHeight="1" thickBot="1">
      <c r="A2905" s="227"/>
      <c r="B2905" s="27" t="s">
        <v>1697</v>
      </c>
      <c r="C2905" s="27">
        <v>5084</v>
      </c>
      <c r="D2905" s="14" t="s">
        <v>2753</v>
      </c>
      <c r="E2905" s="229"/>
      <c r="F2905" s="117" t="s">
        <v>9142</v>
      </c>
      <c r="G2905" s="26">
        <v>59477</v>
      </c>
      <c r="H2905" s="231"/>
      <c r="I2905" s="221"/>
      <c r="J2905" s="221"/>
      <c r="K2905" s="221"/>
      <c r="L2905" s="221"/>
      <c r="M2905" s="221"/>
      <c r="N2905" s="221"/>
      <c r="O2905" s="225"/>
      <c r="P2905" s="118" t="s">
        <v>9714</v>
      </c>
      <c r="Q2905" s="16" t="s">
        <v>20</v>
      </c>
      <c r="R2905" s="17" t="s">
        <v>9666</v>
      </c>
      <c r="S2905" s="121" t="s">
        <v>4008</v>
      </c>
      <c r="T2905" s="122"/>
      <c r="U2905" s="22"/>
      <c r="V2905" s="123" t="s">
        <v>2472</v>
      </c>
      <c r="W2905" s="122">
        <v>80234</v>
      </c>
      <c r="X2905" s="221"/>
      <c r="Y2905" s="221"/>
      <c r="Z2905" s="221"/>
      <c r="AA2905" s="221"/>
      <c r="AB2905" s="223"/>
    </row>
    <row r="2906" spans="1:28" ht="17.100000000000001" customHeight="1" thickTop="1">
      <c r="A2906" s="226" t="s">
        <v>9247</v>
      </c>
      <c r="B2906" s="28">
        <v>45955</v>
      </c>
      <c r="C2906" s="25">
        <v>1516</v>
      </c>
      <c r="D2906" s="13" t="s">
        <v>2644</v>
      </c>
      <c r="E2906" s="228"/>
      <c r="F2906" s="109" t="s">
        <v>9184</v>
      </c>
      <c r="G2906" s="24" t="s">
        <v>2494</v>
      </c>
      <c r="H2906" s="230">
        <v>4.5</v>
      </c>
      <c r="I2906" s="220">
        <v>1055000</v>
      </c>
      <c r="J2906" s="220">
        <f>I2906*0.1</f>
        <v>105500</v>
      </c>
      <c r="K2906" s="220">
        <f>12700+1270</f>
        <v>13970</v>
      </c>
      <c r="L2906" s="220">
        <v>12270</v>
      </c>
      <c r="M2906" s="220">
        <v>16500</v>
      </c>
      <c r="N2906" s="220">
        <f>SUM(I2906:M2907)</f>
        <v>1203240</v>
      </c>
      <c r="O2906" s="224"/>
      <c r="P2906" s="110" t="s">
        <v>9186</v>
      </c>
      <c r="Q2906" s="15" t="s">
        <v>19</v>
      </c>
      <c r="R2906" s="205"/>
      <c r="S2906" s="189" t="s">
        <v>1312</v>
      </c>
      <c r="T2906" s="114"/>
      <c r="U2906" s="21"/>
      <c r="V2906" s="115">
        <v>45974</v>
      </c>
      <c r="W2906" s="116">
        <v>1306</v>
      </c>
      <c r="X2906" s="220">
        <v>1230000</v>
      </c>
      <c r="Y2906" s="220">
        <f>X2906*0.1</f>
        <v>123000</v>
      </c>
      <c r="Z2906" s="220">
        <v>12270</v>
      </c>
      <c r="AA2906" s="220">
        <f>SUM(X2906:Z2906)</f>
        <v>1365270</v>
      </c>
      <c r="AB2906" s="222">
        <v>45975</v>
      </c>
    </row>
    <row r="2907" spans="1:28" ht="17.100000000000001" customHeight="1" thickBot="1">
      <c r="A2907" s="227"/>
      <c r="B2907" s="27" t="s">
        <v>1547</v>
      </c>
      <c r="C2907" s="27">
        <v>50019</v>
      </c>
      <c r="D2907" s="14" t="s">
        <v>898</v>
      </c>
      <c r="E2907" s="229"/>
      <c r="F2907" s="117" t="s">
        <v>9185</v>
      </c>
      <c r="G2907" s="26">
        <v>11916</v>
      </c>
      <c r="H2907" s="231"/>
      <c r="I2907" s="221"/>
      <c r="J2907" s="221"/>
      <c r="K2907" s="221"/>
      <c r="L2907" s="221"/>
      <c r="M2907" s="221"/>
      <c r="N2907" s="221"/>
      <c r="O2907" s="225"/>
      <c r="P2907" s="118" t="s">
        <v>9587</v>
      </c>
      <c r="Q2907" s="16" t="s">
        <v>20</v>
      </c>
      <c r="R2907" s="17" t="s">
        <v>3282</v>
      </c>
      <c r="S2907" s="121" t="s">
        <v>1606</v>
      </c>
      <c r="T2907" s="122"/>
      <c r="U2907" s="22"/>
      <c r="V2907" s="123" t="s">
        <v>1735</v>
      </c>
      <c r="W2907" s="122">
        <v>972</v>
      </c>
      <c r="X2907" s="221"/>
      <c r="Y2907" s="221"/>
      <c r="Z2907" s="221"/>
      <c r="AA2907" s="221"/>
      <c r="AB2907" s="223"/>
    </row>
    <row r="2908" spans="1:28" ht="17.100000000000001" customHeight="1" thickTop="1">
      <c r="A2908" s="226" t="s">
        <v>9249</v>
      </c>
      <c r="B2908" s="28">
        <v>45955</v>
      </c>
      <c r="C2908" s="25">
        <v>1273</v>
      </c>
      <c r="D2908" s="13" t="s">
        <v>1702</v>
      </c>
      <c r="E2908" s="228"/>
      <c r="F2908" s="109" t="s">
        <v>5334</v>
      </c>
      <c r="G2908" s="24" t="s">
        <v>5019</v>
      </c>
      <c r="H2908" s="232" t="s">
        <v>1705</v>
      </c>
      <c r="I2908" s="220">
        <v>285000</v>
      </c>
      <c r="J2908" s="220">
        <f>I2908*0.1</f>
        <v>28500</v>
      </c>
      <c r="K2908" s="220">
        <v>0</v>
      </c>
      <c r="L2908" s="220">
        <v>7950</v>
      </c>
      <c r="M2908" s="220">
        <v>9900</v>
      </c>
      <c r="N2908" s="220">
        <f>SUM(I2908:M2909)</f>
        <v>331350</v>
      </c>
      <c r="O2908" s="224"/>
      <c r="P2908" s="110" t="s">
        <v>9220</v>
      </c>
      <c r="Q2908" s="15" t="s">
        <v>19</v>
      </c>
      <c r="R2908" s="205"/>
      <c r="S2908" s="189"/>
      <c r="T2908" s="114"/>
      <c r="U2908" s="21"/>
      <c r="V2908" s="115">
        <v>46102</v>
      </c>
      <c r="W2908" s="116">
        <v>1293</v>
      </c>
      <c r="X2908" s="220">
        <v>245000</v>
      </c>
      <c r="Y2908" s="220">
        <f>X2908*0.1</f>
        <v>24500</v>
      </c>
      <c r="Z2908" s="220">
        <v>7950</v>
      </c>
      <c r="AA2908" s="220">
        <f>SUM(X2908:Z2908)</f>
        <v>277450</v>
      </c>
      <c r="AB2908" s="222">
        <v>46105</v>
      </c>
    </row>
    <row r="2909" spans="1:28" ht="17.100000000000001" customHeight="1" thickBot="1">
      <c r="A2909" s="227"/>
      <c r="B2909" s="27" t="s">
        <v>2472</v>
      </c>
      <c r="C2909" s="27">
        <v>60403</v>
      </c>
      <c r="D2909" s="14" t="s">
        <v>3274</v>
      </c>
      <c r="E2909" s="229"/>
      <c r="F2909" s="117" t="s">
        <v>9219</v>
      </c>
      <c r="G2909" s="26">
        <v>99425</v>
      </c>
      <c r="H2909" s="231"/>
      <c r="I2909" s="221"/>
      <c r="J2909" s="221"/>
      <c r="K2909" s="221"/>
      <c r="L2909" s="221"/>
      <c r="M2909" s="221"/>
      <c r="N2909" s="221"/>
      <c r="O2909" s="225"/>
      <c r="P2909" s="118" t="s">
        <v>9696</v>
      </c>
      <c r="Q2909" s="16" t="s">
        <v>20</v>
      </c>
      <c r="R2909" s="17" t="s">
        <v>9666</v>
      </c>
      <c r="S2909" s="121" t="s">
        <v>169</v>
      </c>
      <c r="T2909" s="122"/>
      <c r="U2909" s="22"/>
      <c r="V2909" s="123" t="s">
        <v>2472</v>
      </c>
      <c r="W2909" s="122">
        <v>60275</v>
      </c>
      <c r="X2909" s="221"/>
      <c r="Y2909" s="221"/>
      <c r="Z2909" s="221"/>
      <c r="AA2909" s="221"/>
      <c r="AB2909" s="223"/>
    </row>
    <row r="2910" spans="1:28" ht="17.100000000000001" customHeight="1" thickTop="1">
      <c r="A2910" s="226" t="s">
        <v>9250</v>
      </c>
      <c r="B2910" s="28">
        <v>45955</v>
      </c>
      <c r="C2910" s="25">
        <v>1273</v>
      </c>
      <c r="D2910" s="13" t="s">
        <v>1598</v>
      </c>
      <c r="E2910" s="228"/>
      <c r="F2910" s="109" t="s">
        <v>2943</v>
      </c>
      <c r="G2910" s="24"/>
      <c r="H2910" s="230">
        <v>3.5</v>
      </c>
      <c r="I2910" s="220">
        <v>142000</v>
      </c>
      <c r="J2910" s="220">
        <f>I2910*0.1</f>
        <v>14200</v>
      </c>
      <c r="K2910" s="220">
        <v>0</v>
      </c>
      <c r="L2910" s="220">
        <v>8400</v>
      </c>
      <c r="M2910" s="220">
        <v>9900</v>
      </c>
      <c r="N2910" s="220">
        <f>SUM(I2910:M2911)</f>
        <v>174500</v>
      </c>
      <c r="O2910" s="224"/>
      <c r="P2910" s="110" t="s">
        <v>9957</v>
      </c>
      <c r="Q2910" s="15" t="s">
        <v>19</v>
      </c>
      <c r="R2910" s="205"/>
      <c r="S2910" s="189" t="s">
        <v>758</v>
      </c>
      <c r="T2910" s="114"/>
      <c r="U2910" s="21"/>
      <c r="V2910" s="115">
        <v>45983</v>
      </c>
      <c r="W2910" s="116">
        <v>1277</v>
      </c>
      <c r="X2910" s="220">
        <v>135000</v>
      </c>
      <c r="Y2910" s="220">
        <f>X2910*0.1</f>
        <v>13500</v>
      </c>
      <c r="Z2910" s="220">
        <v>8400</v>
      </c>
      <c r="AA2910" s="220">
        <f>SUM(X2910:Z2910)</f>
        <v>156900</v>
      </c>
      <c r="AB2910" s="222">
        <v>45987</v>
      </c>
    </row>
    <row r="2911" spans="1:28" ht="17.100000000000001" customHeight="1" thickBot="1">
      <c r="A2911" s="227"/>
      <c r="B2911" s="27" t="s">
        <v>2472</v>
      </c>
      <c r="C2911" s="27">
        <v>63172</v>
      </c>
      <c r="D2911" s="14" t="s">
        <v>1568</v>
      </c>
      <c r="E2911" s="229"/>
      <c r="F2911" s="117" t="s">
        <v>9187</v>
      </c>
      <c r="G2911" s="26">
        <v>171230</v>
      </c>
      <c r="H2911" s="231"/>
      <c r="I2911" s="221"/>
      <c r="J2911" s="221"/>
      <c r="K2911" s="221"/>
      <c r="L2911" s="221"/>
      <c r="M2911" s="221"/>
      <c r="N2911" s="221"/>
      <c r="O2911" s="225"/>
      <c r="P2911" s="118" t="s">
        <v>9958</v>
      </c>
      <c r="Q2911" s="16" t="s">
        <v>20</v>
      </c>
      <c r="R2911" s="17" t="s">
        <v>9944</v>
      </c>
      <c r="S2911" s="121" t="s">
        <v>1661</v>
      </c>
      <c r="T2911" s="122"/>
      <c r="U2911" s="22"/>
      <c r="V2911" s="123" t="s">
        <v>2472</v>
      </c>
      <c r="W2911" s="122">
        <v>90131</v>
      </c>
      <c r="X2911" s="221"/>
      <c r="Y2911" s="221"/>
      <c r="Z2911" s="221"/>
      <c r="AA2911" s="221"/>
      <c r="AB2911" s="223"/>
    </row>
    <row r="2912" spans="1:28" ht="17.100000000000001" customHeight="1" thickTop="1">
      <c r="A2912" s="226" t="s">
        <v>9251</v>
      </c>
      <c r="B2912" s="28">
        <v>45955</v>
      </c>
      <c r="C2912" s="25">
        <v>1273</v>
      </c>
      <c r="D2912" s="13" t="s">
        <v>2371</v>
      </c>
      <c r="E2912" s="228"/>
      <c r="F2912" s="109" t="s">
        <v>9188</v>
      </c>
      <c r="G2912" s="24"/>
      <c r="H2912" s="230">
        <v>4</v>
      </c>
      <c r="I2912" s="220">
        <v>156000</v>
      </c>
      <c r="J2912" s="220">
        <f>I2912*0.1</f>
        <v>15600</v>
      </c>
      <c r="K2912" s="220">
        <v>0</v>
      </c>
      <c r="L2912" s="220">
        <v>9790</v>
      </c>
      <c r="M2912" s="220">
        <v>9900</v>
      </c>
      <c r="N2912" s="220">
        <f>SUM(I2912:M2913)</f>
        <v>191290</v>
      </c>
      <c r="O2912" s="224"/>
      <c r="P2912" s="110" t="s">
        <v>9702</v>
      </c>
      <c r="Q2912" s="15" t="s">
        <v>19</v>
      </c>
      <c r="R2912" s="205"/>
      <c r="S2912" s="189"/>
      <c r="T2912" s="114"/>
      <c r="U2912" s="21"/>
      <c r="V2912" s="115">
        <v>45969</v>
      </c>
      <c r="W2912" s="116">
        <v>1275</v>
      </c>
      <c r="X2912" s="220">
        <v>139000</v>
      </c>
      <c r="Y2912" s="220">
        <v>13900</v>
      </c>
      <c r="Z2912" s="220">
        <v>9790</v>
      </c>
      <c r="AA2912" s="220">
        <f>SUM(X2912:Z2912)</f>
        <v>162690</v>
      </c>
      <c r="AB2912" s="222">
        <v>45972</v>
      </c>
    </row>
    <row r="2913" spans="1:28" ht="17.100000000000001" customHeight="1" thickBot="1">
      <c r="A2913" s="227"/>
      <c r="B2913" s="27" t="s">
        <v>2472</v>
      </c>
      <c r="C2913" s="27">
        <v>63201</v>
      </c>
      <c r="D2913" s="14" t="s">
        <v>131</v>
      </c>
      <c r="E2913" s="229"/>
      <c r="F2913" s="117" t="s">
        <v>9189</v>
      </c>
      <c r="G2913" s="26">
        <v>149631</v>
      </c>
      <c r="H2913" s="231"/>
      <c r="I2913" s="221"/>
      <c r="J2913" s="221"/>
      <c r="K2913" s="221"/>
      <c r="L2913" s="221"/>
      <c r="M2913" s="221"/>
      <c r="N2913" s="221"/>
      <c r="O2913" s="225"/>
      <c r="P2913" s="118" t="s">
        <v>6729</v>
      </c>
      <c r="Q2913" s="16" t="s">
        <v>20</v>
      </c>
      <c r="R2913" s="17" t="s">
        <v>9666</v>
      </c>
      <c r="S2913" s="121"/>
      <c r="T2913" s="122"/>
      <c r="U2913" s="22"/>
      <c r="V2913" s="123" t="s">
        <v>2472</v>
      </c>
      <c r="W2913" s="122">
        <v>63145</v>
      </c>
      <c r="X2913" s="221"/>
      <c r="Y2913" s="221"/>
      <c r="Z2913" s="221"/>
      <c r="AA2913" s="221"/>
      <c r="AB2913" s="223"/>
    </row>
    <row r="2914" spans="1:28" ht="17.100000000000001" customHeight="1" thickTop="1">
      <c r="A2914" s="226" t="s">
        <v>9252</v>
      </c>
      <c r="B2914" s="28">
        <v>45955</v>
      </c>
      <c r="C2914" s="25">
        <v>1273</v>
      </c>
      <c r="D2914" s="13" t="s">
        <v>1634</v>
      </c>
      <c r="E2914" s="228"/>
      <c r="F2914" s="109" t="s">
        <v>2556</v>
      </c>
      <c r="G2914" s="24" t="s">
        <v>1551</v>
      </c>
      <c r="H2914" s="230">
        <v>4.5</v>
      </c>
      <c r="I2914" s="220">
        <v>1230000</v>
      </c>
      <c r="J2914" s="220">
        <f>I2914*0.1</f>
        <v>123000</v>
      </c>
      <c r="K2914" s="220">
        <v>0</v>
      </c>
      <c r="L2914" s="220">
        <v>8550</v>
      </c>
      <c r="M2914" s="220">
        <v>13200</v>
      </c>
      <c r="N2914" s="220">
        <f>SUM(I2914:M2915)</f>
        <v>1374750</v>
      </c>
      <c r="O2914" s="224"/>
      <c r="P2914" s="110" t="s">
        <v>9191</v>
      </c>
      <c r="Q2914" s="15" t="s">
        <v>19</v>
      </c>
      <c r="R2914" s="205"/>
      <c r="S2914" s="189" t="s">
        <v>25564</v>
      </c>
      <c r="T2914" s="114"/>
      <c r="U2914" s="21" t="s">
        <v>10817</v>
      </c>
      <c r="V2914" s="115">
        <v>45983</v>
      </c>
      <c r="W2914" s="116">
        <v>1277</v>
      </c>
      <c r="X2914" s="220">
        <v>1350000</v>
      </c>
      <c r="Y2914" s="220">
        <f>X2914*0.1</f>
        <v>135000</v>
      </c>
      <c r="Z2914" s="220">
        <v>8550</v>
      </c>
      <c r="AA2914" s="220">
        <f>SUM(X2914:Z2914)</f>
        <v>1493550</v>
      </c>
      <c r="AB2914" s="222">
        <v>45992</v>
      </c>
    </row>
    <row r="2915" spans="1:28" ht="17.100000000000001" customHeight="1" thickBot="1">
      <c r="A2915" s="227"/>
      <c r="B2915" s="27" t="s">
        <v>2472</v>
      </c>
      <c r="C2915" s="27">
        <v>65070</v>
      </c>
      <c r="D2915" s="14" t="s">
        <v>2559</v>
      </c>
      <c r="E2915" s="229"/>
      <c r="F2915" s="117" t="s">
        <v>9190</v>
      </c>
      <c r="G2915" s="26">
        <v>52239</v>
      </c>
      <c r="H2915" s="231"/>
      <c r="I2915" s="221"/>
      <c r="J2915" s="221"/>
      <c r="K2915" s="221"/>
      <c r="L2915" s="221"/>
      <c r="M2915" s="221"/>
      <c r="N2915" s="221"/>
      <c r="O2915" s="225"/>
      <c r="P2915" s="118" t="s">
        <v>9700</v>
      </c>
      <c r="Q2915" s="16" t="s">
        <v>20</v>
      </c>
      <c r="R2915" s="17" t="s">
        <v>9666</v>
      </c>
      <c r="S2915" s="121" t="s">
        <v>9701</v>
      </c>
      <c r="T2915" s="122"/>
      <c r="U2915" s="22"/>
      <c r="V2915" s="123" t="s">
        <v>11526</v>
      </c>
      <c r="W2915" s="122">
        <v>60487</v>
      </c>
      <c r="X2915" s="221"/>
      <c r="Y2915" s="221"/>
      <c r="Z2915" s="221"/>
      <c r="AA2915" s="221"/>
      <c r="AB2915" s="223"/>
    </row>
    <row r="2916" spans="1:28" ht="17.100000000000001" customHeight="1" thickTop="1">
      <c r="A2916" s="226" t="s">
        <v>9253</v>
      </c>
      <c r="B2916" s="28">
        <v>45955</v>
      </c>
      <c r="C2916" s="25">
        <v>1273</v>
      </c>
      <c r="D2916" s="13" t="s">
        <v>3269</v>
      </c>
      <c r="E2916" s="228"/>
      <c r="F2916" s="109" t="s">
        <v>9192</v>
      </c>
      <c r="G2916" s="24"/>
      <c r="H2916" s="230">
        <v>4.5</v>
      </c>
      <c r="I2916" s="220">
        <v>630000</v>
      </c>
      <c r="J2916" s="220">
        <f>I2916*0.1</f>
        <v>63000</v>
      </c>
      <c r="K2916" s="220">
        <v>0</v>
      </c>
      <c r="L2916" s="220">
        <v>5870</v>
      </c>
      <c r="M2916" s="220">
        <v>12100</v>
      </c>
      <c r="N2916" s="220">
        <f>SUM(I2916:M2917)</f>
        <v>710970</v>
      </c>
      <c r="O2916" s="224"/>
      <c r="P2916" s="110" t="s">
        <v>9697</v>
      </c>
      <c r="Q2916" s="15" t="s">
        <v>19</v>
      </c>
      <c r="R2916" s="205"/>
      <c r="S2916" s="189"/>
      <c r="T2916" s="114"/>
      <c r="U2916" s="21"/>
      <c r="V2916" s="115">
        <v>45966</v>
      </c>
      <c r="W2916" s="116">
        <v>991</v>
      </c>
      <c r="X2916" s="220">
        <v>670000</v>
      </c>
      <c r="Y2916" s="220">
        <f>X2916*0.1</f>
        <v>67000</v>
      </c>
      <c r="Z2916" s="220">
        <v>5870</v>
      </c>
      <c r="AA2916" s="220">
        <f>SUM(X2916:Z2916)</f>
        <v>742870</v>
      </c>
      <c r="AB2916" s="222">
        <v>45971</v>
      </c>
    </row>
    <row r="2917" spans="1:28" ht="17.100000000000001" customHeight="1" thickBot="1">
      <c r="A2917" s="227"/>
      <c r="B2917" s="27" t="s">
        <v>2472</v>
      </c>
      <c r="C2917" s="27">
        <v>65267</v>
      </c>
      <c r="D2917" s="14" t="s">
        <v>273</v>
      </c>
      <c r="E2917" s="229"/>
      <c r="F2917" s="117" t="s">
        <v>9193</v>
      </c>
      <c r="G2917" s="26">
        <v>13937</v>
      </c>
      <c r="H2917" s="231"/>
      <c r="I2917" s="221"/>
      <c r="J2917" s="221"/>
      <c r="K2917" s="221"/>
      <c r="L2917" s="221"/>
      <c r="M2917" s="221"/>
      <c r="N2917" s="221"/>
      <c r="O2917" s="225"/>
      <c r="P2917" s="118" t="s">
        <v>2870</v>
      </c>
      <c r="Q2917" s="16" t="s">
        <v>20</v>
      </c>
      <c r="R2917" s="17" t="s">
        <v>9666</v>
      </c>
      <c r="S2917" s="121" t="s">
        <v>1625</v>
      </c>
      <c r="T2917" s="122"/>
      <c r="U2917" s="22"/>
      <c r="V2917" s="123" t="s">
        <v>2747</v>
      </c>
      <c r="W2917" s="122">
        <v>2033</v>
      </c>
      <c r="X2917" s="221"/>
      <c r="Y2917" s="221"/>
      <c r="Z2917" s="221"/>
      <c r="AA2917" s="221"/>
      <c r="AB2917" s="223"/>
    </row>
    <row r="2918" spans="1:28" ht="17.100000000000001" customHeight="1" thickTop="1">
      <c r="A2918" s="226" t="s">
        <v>9254</v>
      </c>
      <c r="B2918" s="28">
        <v>45955</v>
      </c>
      <c r="C2918" s="25">
        <v>1273</v>
      </c>
      <c r="D2918" s="13" t="s">
        <v>2306</v>
      </c>
      <c r="E2918" s="228"/>
      <c r="F2918" s="109" t="s">
        <v>2556</v>
      </c>
      <c r="G2918" s="24" t="s">
        <v>9195</v>
      </c>
      <c r="H2918" s="230">
        <v>4</v>
      </c>
      <c r="I2918" s="220">
        <v>455000</v>
      </c>
      <c r="J2918" s="220">
        <f>I2918*0.1</f>
        <v>45500</v>
      </c>
      <c r="K2918" s="220">
        <v>0</v>
      </c>
      <c r="L2918" s="220">
        <v>10010</v>
      </c>
      <c r="M2918" s="220">
        <v>13200</v>
      </c>
      <c r="N2918" s="220">
        <f>SUM(I2918:M2919)</f>
        <v>523710</v>
      </c>
      <c r="O2918" s="224"/>
      <c r="P2918" s="110" t="s">
        <v>9196</v>
      </c>
      <c r="Q2918" s="15" t="s">
        <v>19</v>
      </c>
      <c r="R2918" s="205"/>
      <c r="S2918" s="189" t="s">
        <v>758</v>
      </c>
      <c r="T2918" s="114"/>
      <c r="U2918" s="21" t="s">
        <v>10191</v>
      </c>
      <c r="V2918" s="115">
        <v>45969</v>
      </c>
      <c r="W2918" s="116">
        <v>1275</v>
      </c>
      <c r="X2918" s="220">
        <v>550000</v>
      </c>
      <c r="Y2918" s="220">
        <f>X2918*0.1</f>
        <v>55000</v>
      </c>
      <c r="Z2918" s="220">
        <v>10010</v>
      </c>
      <c r="AA2918" s="220">
        <f>SUM(X2918:Z2918)</f>
        <v>615010</v>
      </c>
      <c r="AB2918" s="222">
        <v>45974</v>
      </c>
    </row>
    <row r="2919" spans="1:28" ht="17.100000000000001" customHeight="1" thickBot="1">
      <c r="A2919" s="227"/>
      <c r="B2919" s="27" t="s">
        <v>2472</v>
      </c>
      <c r="C2919" s="27">
        <v>65305</v>
      </c>
      <c r="D2919" s="14" t="s">
        <v>273</v>
      </c>
      <c r="E2919" s="229"/>
      <c r="F2919" s="117" t="s">
        <v>9194</v>
      </c>
      <c r="G2919" s="26">
        <v>75522</v>
      </c>
      <c r="H2919" s="231"/>
      <c r="I2919" s="221"/>
      <c r="J2919" s="221"/>
      <c r="K2919" s="221"/>
      <c r="L2919" s="221"/>
      <c r="M2919" s="221"/>
      <c r="N2919" s="221"/>
      <c r="O2919" s="225"/>
      <c r="P2919" s="118" t="s">
        <v>9698</v>
      </c>
      <c r="Q2919" s="16" t="s">
        <v>20</v>
      </c>
      <c r="R2919" s="17" t="s">
        <v>9666</v>
      </c>
      <c r="S2919" s="121" t="s">
        <v>9699</v>
      </c>
      <c r="T2919" s="122"/>
      <c r="U2919" s="22"/>
      <c r="V2919" s="123" t="s">
        <v>2472</v>
      </c>
      <c r="W2919" s="122">
        <v>60190</v>
      </c>
      <c r="X2919" s="221"/>
      <c r="Y2919" s="221"/>
      <c r="Z2919" s="221"/>
      <c r="AA2919" s="221"/>
      <c r="AB2919" s="223"/>
    </row>
    <row r="2920" spans="1:28" ht="17.100000000000001" customHeight="1" thickTop="1">
      <c r="A2920" s="226" t="s">
        <v>9255</v>
      </c>
      <c r="B2920" s="28">
        <v>45955</v>
      </c>
      <c r="C2920" s="25">
        <v>1273</v>
      </c>
      <c r="D2920" s="13" t="s">
        <v>1988</v>
      </c>
      <c r="E2920" s="228"/>
      <c r="F2920" s="109" t="s">
        <v>9211</v>
      </c>
      <c r="G2920" s="24" t="s">
        <v>4120</v>
      </c>
      <c r="H2920" s="230">
        <v>6</v>
      </c>
      <c r="I2920" s="220">
        <v>1230000</v>
      </c>
      <c r="J2920" s="220">
        <f>I2920*0.1</f>
        <v>123000</v>
      </c>
      <c r="K2920" s="220">
        <v>0</v>
      </c>
      <c r="L2920" s="220">
        <v>8200</v>
      </c>
      <c r="M2920" s="220">
        <v>12100</v>
      </c>
      <c r="N2920" s="220">
        <f>SUM(I2920:M2921)</f>
        <v>1373300</v>
      </c>
      <c r="O2920" s="224"/>
      <c r="P2920" s="110" t="s">
        <v>9213</v>
      </c>
      <c r="Q2920" s="15" t="s">
        <v>19</v>
      </c>
      <c r="R2920" s="205"/>
      <c r="S2920" s="189" t="s">
        <v>1361</v>
      </c>
      <c r="T2920" s="114"/>
      <c r="U2920" s="21"/>
      <c r="V2920" s="115">
        <v>45958</v>
      </c>
      <c r="W2920" s="116">
        <v>1915</v>
      </c>
      <c r="X2920" s="220">
        <v>1380000</v>
      </c>
      <c r="Y2920" s="220">
        <f>X2920*0.1</f>
        <v>138000</v>
      </c>
      <c r="Z2920" s="220">
        <v>8200</v>
      </c>
      <c r="AA2920" s="220">
        <f>SUM(X2920:Z2920)</f>
        <v>1526200</v>
      </c>
      <c r="AB2920" s="222">
        <v>45965</v>
      </c>
    </row>
    <row r="2921" spans="1:28" ht="17.100000000000001" customHeight="1" thickBot="1">
      <c r="A2921" s="227"/>
      <c r="B2921" s="27" t="s">
        <v>2472</v>
      </c>
      <c r="C2921" s="27">
        <v>65372</v>
      </c>
      <c r="D2921" s="14" t="s">
        <v>1710</v>
      </c>
      <c r="E2921" s="229"/>
      <c r="F2921" s="117" t="s">
        <v>9212</v>
      </c>
      <c r="G2921" s="26">
        <v>2910</v>
      </c>
      <c r="H2921" s="231"/>
      <c r="I2921" s="221"/>
      <c r="J2921" s="221"/>
      <c r="K2921" s="221"/>
      <c r="L2921" s="221"/>
      <c r="M2921" s="221"/>
      <c r="N2921" s="221"/>
      <c r="O2921" s="225"/>
      <c r="P2921" s="118" t="s">
        <v>5163</v>
      </c>
      <c r="Q2921" s="16" t="s">
        <v>20</v>
      </c>
      <c r="R2921" s="17" t="s">
        <v>9666</v>
      </c>
      <c r="S2921" s="121" t="s">
        <v>169</v>
      </c>
      <c r="T2921" s="122"/>
      <c r="U2921" s="22"/>
      <c r="V2921" s="123" t="s">
        <v>2103</v>
      </c>
      <c r="W2921" s="122">
        <v>3356</v>
      </c>
      <c r="X2921" s="221"/>
      <c r="Y2921" s="221"/>
      <c r="Z2921" s="221"/>
      <c r="AA2921" s="221"/>
      <c r="AB2921" s="223"/>
    </row>
    <row r="2922" spans="1:28" ht="17.100000000000001" customHeight="1" thickTop="1">
      <c r="A2922" s="226" t="s">
        <v>9256</v>
      </c>
      <c r="B2922" s="28">
        <v>45955</v>
      </c>
      <c r="C2922" s="25">
        <v>1273</v>
      </c>
      <c r="D2922" s="13" t="s">
        <v>2203</v>
      </c>
      <c r="E2922" s="228"/>
      <c r="F2922" s="109" t="s">
        <v>9197</v>
      </c>
      <c r="G2922" s="24" t="s">
        <v>9199</v>
      </c>
      <c r="H2922" s="230">
        <v>4.5</v>
      </c>
      <c r="I2922" s="220">
        <v>590000</v>
      </c>
      <c r="J2922" s="220">
        <f>I2922*0.1</f>
        <v>59000</v>
      </c>
      <c r="K2922" s="220">
        <v>0</v>
      </c>
      <c r="L2922" s="220">
        <v>7950</v>
      </c>
      <c r="M2922" s="220">
        <v>13200</v>
      </c>
      <c r="N2922" s="220">
        <f>SUM(I2922:M2923)</f>
        <v>670150</v>
      </c>
      <c r="O2922" s="224"/>
      <c r="P2922" s="110" t="s">
        <v>9200</v>
      </c>
      <c r="Q2922" s="15" t="s">
        <v>19</v>
      </c>
      <c r="R2922" s="205"/>
      <c r="S2922" s="189"/>
      <c r="T2922" s="114"/>
      <c r="U2922" s="21"/>
      <c r="V2922" s="115">
        <v>45959</v>
      </c>
      <c r="W2922" s="116">
        <v>990</v>
      </c>
      <c r="X2922" s="220">
        <v>680000</v>
      </c>
      <c r="Y2922" s="220">
        <f>X2922*0.1</f>
        <v>68000</v>
      </c>
      <c r="Z2922" s="220">
        <v>7950</v>
      </c>
      <c r="AA2922" s="220">
        <f>SUM(X2922:Z2922)</f>
        <v>755950</v>
      </c>
      <c r="AB2922" s="222">
        <v>45965</v>
      </c>
    </row>
    <row r="2923" spans="1:28" ht="17.100000000000001" customHeight="1" thickBot="1">
      <c r="A2923" s="227"/>
      <c r="B2923" s="27" t="s">
        <v>2472</v>
      </c>
      <c r="C2923" s="27">
        <v>65521</v>
      </c>
      <c r="D2923" s="14" t="s">
        <v>1627</v>
      </c>
      <c r="E2923" s="229"/>
      <c r="F2923" s="117" t="s">
        <v>9198</v>
      </c>
      <c r="G2923" s="26">
        <v>70259</v>
      </c>
      <c r="H2923" s="231"/>
      <c r="I2923" s="221"/>
      <c r="J2923" s="221"/>
      <c r="K2923" s="221"/>
      <c r="L2923" s="221"/>
      <c r="M2923" s="221"/>
      <c r="N2923" s="221"/>
      <c r="O2923" s="225"/>
      <c r="P2923" s="118" t="s">
        <v>6729</v>
      </c>
      <c r="Q2923" s="16" t="s">
        <v>20</v>
      </c>
      <c r="R2923" s="17" t="s">
        <v>9666</v>
      </c>
      <c r="S2923" s="121" t="s">
        <v>3071</v>
      </c>
      <c r="T2923" s="122"/>
      <c r="U2923" s="22"/>
      <c r="V2923" s="123" t="s">
        <v>2747</v>
      </c>
      <c r="W2923" s="122">
        <v>2115</v>
      </c>
      <c r="X2923" s="221"/>
      <c r="Y2923" s="221"/>
      <c r="Z2923" s="221"/>
      <c r="AA2923" s="221"/>
      <c r="AB2923" s="223"/>
    </row>
    <row r="2924" spans="1:28" ht="17.100000000000001" customHeight="1" thickTop="1">
      <c r="A2924" s="226" t="s">
        <v>9257</v>
      </c>
      <c r="B2924" s="28">
        <v>45955</v>
      </c>
      <c r="C2924" s="25">
        <v>1273</v>
      </c>
      <c r="D2924" s="13" t="s">
        <v>3269</v>
      </c>
      <c r="E2924" s="228"/>
      <c r="F2924" s="109" t="s">
        <v>1763</v>
      </c>
      <c r="G2924" s="24"/>
      <c r="H2924" s="230">
        <v>4.5</v>
      </c>
      <c r="I2924" s="220">
        <v>1290000</v>
      </c>
      <c r="J2924" s="220">
        <f>I2924*0.1</f>
        <v>129000</v>
      </c>
      <c r="K2924" s="220">
        <v>0</v>
      </c>
      <c r="L2924" s="220">
        <v>16240</v>
      </c>
      <c r="M2924" s="220">
        <v>16500</v>
      </c>
      <c r="N2924" s="220">
        <f>SUM(I2924:M2925)</f>
        <v>1451740</v>
      </c>
      <c r="O2924" s="224"/>
      <c r="P2924" s="110" t="s">
        <v>9706</v>
      </c>
      <c r="Q2924" s="15" t="s">
        <v>19</v>
      </c>
      <c r="R2924" s="205"/>
      <c r="S2924" s="189" t="s">
        <v>1271</v>
      </c>
      <c r="T2924" s="114"/>
      <c r="U2924" s="21"/>
      <c r="V2924" s="115">
        <v>46004</v>
      </c>
      <c r="W2924" s="116">
        <v>1280</v>
      </c>
      <c r="X2924" s="220">
        <v>1410000</v>
      </c>
      <c r="Y2924" s="220">
        <f>X2924*0.1</f>
        <v>141000</v>
      </c>
      <c r="Z2924" s="220">
        <v>16240</v>
      </c>
      <c r="AA2924" s="220">
        <f>SUM(X2924:Z2924)</f>
        <v>1567240</v>
      </c>
      <c r="AB2924" s="222">
        <v>46007</v>
      </c>
    </row>
    <row r="2925" spans="1:28" ht="17.100000000000001" customHeight="1" thickBot="1">
      <c r="A2925" s="227"/>
      <c r="B2925" s="27" t="s">
        <v>2472</v>
      </c>
      <c r="C2925" s="27">
        <v>81088</v>
      </c>
      <c r="D2925" s="14" t="s">
        <v>898</v>
      </c>
      <c r="E2925" s="229"/>
      <c r="F2925" s="117" t="s">
        <v>9201</v>
      </c>
      <c r="G2925" s="26">
        <v>39682</v>
      </c>
      <c r="H2925" s="231"/>
      <c r="I2925" s="221"/>
      <c r="J2925" s="221"/>
      <c r="K2925" s="221"/>
      <c r="L2925" s="221"/>
      <c r="M2925" s="221"/>
      <c r="N2925" s="221"/>
      <c r="O2925" s="225"/>
      <c r="P2925" s="118" t="s">
        <v>1570</v>
      </c>
      <c r="Q2925" s="16" t="s">
        <v>20</v>
      </c>
      <c r="R2925" s="17" t="s">
        <v>9666</v>
      </c>
      <c r="S2925" s="121" t="s">
        <v>1731</v>
      </c>
      <c r="T2925" s="122"/>
      <c r="U2925" s="22"/>
      <c r="V2925" s="123" t="s">
        <v>2472</v>
      </c>
      <c r="W2925" s="122">
        <v>80145</v>
      </c>
      <c r="X2925" s="221"/>
      <c r="Y2925" s="221"/>
      <c r="Z2925" s="221"/>
      <c r="AA2925" s="221"/>
      <c r="AB2925" s="223"/>
    </row>
    <row r="2926" spans="1:28" ht="17.100000000000001" customHeight="1" thickTop="1">
      <c r="A2926" s="226" t="s">
        <v>9258</v>
      </c>
      <c r="B2926" s="28">
        <v>45955</v>
      </c>
      <c r="C2926" s="25">
        <v>1273</v>
      </c>
      <c r="D2926" s="13" t="s">
        <v>2324</v>
      </c>
      <c r="E2926" s="228"/>
      <c r="F2926" s="109" t="s">
        <v>9202</v>
      </c>
      <c r="G2926" s="24"/>
      <c r="H2926" s="230">
        <v>4</v>
      </c>
      <c r="I2926" s="220">
        <v>1085000</v>
      </c>
      <c r="J2926" s="220">
        <f>I2926*0.1</f>
        <v>108500</v>
      </c>
      <c r="K2926" s="220">
        <v>0</v>
      </c>
      <c r="L2926" s="220">
        <v>17250</v>
      </c>
      <c r="M2926" s="220">
        <v>16500</v>
      </c>
      <c r="N2926" s="220">
        <f>SUM(I2926:M2927)</f>
        <v>1227250</v>
      </c>
      <c r="O2926" s="224"/>
      <c r="P2926" s="110" t="s">
        <v>9717</v>
      </c>
      <c r="Q2926" s="15" t="s">
        <v>19</v>
      </c>
      <c r="R2926" s="205"/>
      <c r="S2926" s="189"/>
      <c r="T2926" s="114"/>
      <c r="U2926" s="21"/>
      <c r="V2926" s="115">
        <v>45967</v>
      </c>
      <c r="W2926" s="116">
        <v>1305</v>
      </c>
      <c r="X2926" s="220">
        <v>1350000</v>
      </c>
      <c r="Y2926" s="220">
        <f>X2926*0.1</f>
        <v>135000</v>
      </c>
      <c r="Z2926" s="220">
        <v>17250</v>
      </c>
      <c r="AA2926" s="220">
        <f>SUM(X2926:Z2926)</f>
        <v>1502250</v>
      </c>
      <c r="AB2926" s="222">
        <v>45968</v>
      </c>
    </row>
    <row r="2927" spans="1:28" ht="17.100000000000001" customHeight="1" thickBot="1">
      <c r="A2927" s="227"/>
      <c r="B2927" s="27" t="s">
        <v>2472</v>
      </c>
      <c r="C2927" s="27">
        <v>82057</v>
      </c>
      <c r="D2927" s="14" t="s">
        <v>2753</v>
      </c>
      <c r="E2927" s="229"/>
      <c r="F2927" s="117" t="s">
        <v>9203</v>
      </c>
      <c r="G2927" s="26">
        <v>25655</v>
      </c>
      <c r="H2927" s="231"/>
      <c r="I2927" s="221"/>
      <c r="J2927" s="221"/>
      <c r="K2927" s="221"/>
      <c r="L2927" s="221"/>
      <c r="M2927" s="221"/>
      <c r="N2927" s="221"/>
      <c r="O2927" s="225"/>
      <c r="P2927" s="118" t="s">
        <v>2649</v>
      </c>
      <c r="Q2927" s="16" t="s">
        <v>20</v>
      </c>
      <c r="R2927" s="17" t="s">
        <v>9666</v>
      </c>
      <c r="S2927" s="121" t="s">
        <v>9265</v>
      </c>
      <c r="T2927" s="122"/>
      <c r="U2927" s="22"/>
      <c r="V2927" s="123" t="s">
        <v>1735</v>
      </c>
      <c r="W2927" s="122">
        <v>57</v>
      </c>
      <c r="X2927" s="221"/>
      <c r="Y2927" s="221"/>
      <c r="Z2927" s="221"/>
      <c r="AA2927" s="221"/>
      <c r="AB2927" s="223"/>
    </row>
    <row r="2928" spans="1:28" ht="17.100000000000001" customHeight="1" thickTop="1">
      <c r="A2928" s="226" t="s">
        <v>9259</v>
      </c>
      <c r="B2928" s="28">
        <v>45955</v>
      </c>
      <c r="C2928" s="25">
        <v>1273</v>
      </c>
      <c r="D2928" s="13" t="s">
        <v>2866</v>
      </c>
      <c r="E2928" s="228"/>
      <c r="F2928" s="109" t="s">
        <v>9204</v>
      </c>
      <c r="G2928" s="24" t="s">
        <v>2038</v>
      </c>
      <c r="H2928" s="230">
        <v>4.5</v>
      </c>
      <c r="I2928" s="220">
        <v>1900000</v>
      </c>
      <c r="J2928" s="220">
        <f>I2928*0.1</f>
        <v>190000</v>
      </c>
      <c r="K2928" s="220">
        <f>21200+2120</f>
        <v>23320</v>
      </c>
      <c r="L2928" s="220">
        <v>26010</v>
      </c>
      <c r="M2928" s="220">
        <v>16500</v>
      </c>
      <c r="N2928" s="220">
        <f>SUM(I2928:M2929)</f>
        <v>2155830</v>
      </c>
      <c r="O2928" s="224"/>
      <c r="P2928" s="110" t="s">
        <v>9206</v>
      </c>
      <c r="Q2928" s="15" t="s">
        <v>19</v>
      </c>
      <c r="R2928" s="205"/>
      <c r="S2928" s="189" t="s">
        <v>1312</v>
      </c>
      <c r="T2928" s="114"/>
      <c r="U2928" s="21"/>
      <c r="V2928" s="115">
        <v>45960</v>
      </c>
      <c r="W2928" s="116">
        <v>1304</v>
      </c>
      <c r="X2928" s="220">
        <v>2100000</v>
      </c>
      <c r="Y2928" s="220">
        <f>X2928*0.1</f>
        <v>210000</v>
      </c>
      <c r="Z2928" s="220">
        <v>26010</v>
      </c>
      <c r="AA2928" s="220">
        <f>SUM(X2928:Z2928)</f>
        <v>2336010</v>
      </c>
      <c r="AB2928" s="222">
        <v>45961</v>
      </c>
    </row>
    <row r="2929" spans="1:28" ht="17.100000000000001" customHeight="1" thickBot="1">
      <c r="A2929" s="227"/>
      <c r="B2929" s="27" t="s">
        <v>2472</v>
      </c>
      <c r="C2929" s="27">
        <v>82190</v>
      </c>
      <c r="D2929" s="14" t="s">
        <v>131</v>
      </c>
      <c r="E2929" s="229"/>
      <c r="F2929" s="117" t="s">
        <v>9205</v>
      </c>
      <c r="G2929" s="26">
        <v>55248</v>
      </c>
      <c r="H2929" s="231"/>
      <c r="I2929" s="221"/>
      <c r="J2929" s="221"/>
      <c r="K2929" s="221"/>
      <c r="L2929" s="221"/>
      <c r="M2929" s="221"/>
      <c r="N2929" s="221"/>
      <c r="O2929" s="225"/>
      <c r="P2929" s="118" t="s">
        <v>9667</v>
      </c>
      <c r="Q2929" s="16" t="s">
        <v>20</v>
      </c>
      <c r="R2929" s="17" t="s">
        <v>9666</v>
      </c>
      <c r="S2929" s="121" t="s">
        <v>9668</v>
      </c>
      <c r="T2929" s="122"/>
      <c r="U2929" s="22"/>
      <c r="V2929" s="123" t="s">
        <v>1735</v>
      </c>
      <c r="W2929" s="122">
        <v>336</v>
      </c>
      <c r="X2929" s="221"/>
      <c r="Y2929" s="221"/>
      <c r="Z2929" s="221"/>
      <c r="AA2929" s="221"/>
      <c r="AB2929" s="223"/>
    </row>
    <row r="2930" spans="1:28" ht="17.100000000000001" customHeight="1" thickTop="1">
      <c r="A2930" s="226" t="s">
        <v>9260</v>
      </c>
      <c r="B2930" s="28">
        <v>45955</v>
      </c>
      <c r="C2930" s="25">
        <v>1273</v>
      </c>
      <c r="D2930" s="13" t="s">
        <v>4050</v>
      </c>
      <c r="E2930" s="228"/>
      <c r="F2930" s="109" t="s">
        <v>9208</v>
      </c>
      <c r="G2930" s="24" t="s">
        <v>4120</v>
      </c>
      <c r="H2930" s="230">
        <v>4.5</v>
      </c>
      <c r="I2930" s="220">
        <v>2700000</v>
      </c>
      <c r="J2930" s="220">
        <f>I2930*0.1</f>
        <v>270000</v>
      </c>
      <c r="K2930" s="220">
        <f>16400+1640</f>
        <v>18040</v>
      </c>
      <c r="L2930" s="220">
        <v>17600</v>
      </c>
      <c r="M2930" s="220">
        <v>23100</v>
      </c>
      <c r="N2930" s="220">
        <f>SUM(I2930:M2931)</f>
        <v>3028740</v>
      </c>
      <c r="O2930" s="224"/>
      <c r="P2930" s="110" t="s">
        <v>9210</v>
      </c>
      <c r="Q2930" s="15" t="s">
        <v>19</v>
      </c>
      <c r="R2930" s="205"/>
      <c r="S2930" s="189" t="s">
        <v>1312</v>
      </c>
      <c r="T2930" s="114"/>
      <c r="U2930" s="21"/>
      <c r="V2930" s="115">
        <v>45967</v>
      </c>
      <c r="W2930" s="116">
        <v>1305</v>
      </c>
      <c r="X2930" s="220">
        <v>2930000</v>
      </c>
      <c r="Y2930" s="220">
        <f>X2930*0.1</f>
        <v>293000</v>
      </c>
      <c r="Z2930" s="220">
        <v>17600</v>
      </c>
      <c r="AA2930" s="220">
        <f>SUM(X2930:Z2930)</f>
        <v>3240600</v>
      </c>
      <c r="AB2930" s="222">
        <v>45968</v>
      </c>
    </row>
    <row r="2931" spans="1:28" ht="17.100000000000001" customHeight="1" thickBot="1">
      <c r="A2931" s="227"/>
      <c r="B2931" s="27" t="s">
        <v>2472</v>
      </c>
      <c r="C2931" s="27">
        <v>82202</v>
      </c>
      <c r="D2931" s="14" t="s">
        <v>9207</v>
      </c>
      <c r="E2931" s="229"/>
      <c r="F2931" s="117" t="s">
        <v>9209</v>
      </c>
      <c r="G2931" s="26">
        <v>14499</v>
      </c>
      <c r="H2931" s="231"/>
      <c r="I2931" s="221"/>
      <c r="J2931" s="221"/>
      <c r="K2931" s="221"/>
      <c r="L2931" s="221"/>
      <c r="M2931" s="221"/>
      <c r="N2931" s="221"/>
      <c r="O2931" s="225"/>
      <c r="P2931" s="118" t="s">
        <v>9705</v>
      </c>
      <c r="Q2931" s="16" t="s">
        <v>20</v>
      </c>
      <c r="R2931" s="17" t="s">
        <v>9666</v>
      </c>
      <c r="S2931" s="121" t="s">
        <v>1606</v>
      </c>
      <c r="T2931" s="122"/>
      <c r="U2931" s="22"/>
      <c r="V2931" s="123" t="s">
        <v>8954</v>
      </c>
      <c r="W2931" s="122">
        <v>971</v>
      </c>
      <c r="X2931" s="221"/>
      <c r="Y2931" s="221"/>
      <c r="Z2931" s="221"/>
      <c r="AA2931" s="221"/>
      <c r="AB2931" s="223"/>
    </row>
    <row r="2932" spans="1:28" ht="17.100000000000001" customHeight="1" thickTop="1">
      <c r="A2932" s="226" t="s">
        <v>9261</v>
      </c>
      <c r="B2932" s="28">
        <v>45955</v>
      </c>
      <c r="C2932" s="25">
        <v>1273</v>
      </c>
      <c r="D2932" s="13" t="s">
        <v>1762</v>
      </c>
      <c r="E2932" s="228"/>
      <c r="F2932" s="109" t="s">
        <v>9214</v>
      </c>
      <c r="G2932" s="24"/>
      <c r="H2932" s="230">
        <v>4.5</v>
      </c>
      <c r="I2932" s="220">
        <v>855000</v>
      </c>
      <c r="J2932" s="220">
        <f>I2932*0.1</f>
        <v>85500</v>
      </c>
      <c r="K2932" s="220">
        <v>0</v>
      </c>
      <c r="L2932" s="220">
        <v>17700</v>
      </c>
      <c r="M2932" s="220">
        <v>16500</v>
      </c>
      <c r="N2932" s="220">
        <f>SUM(I2932:M2933)</f>
        <v>974700</v>
      </c>
      <c r="O2932" s="224"/>
      <c r="P2932" s="110" t="s">
        <v>9703</v>
      </c>
      <c r="Q2932" s="15" t="s">
        <v>19</v>
      </c>
      <c r="R2932" s="205"/>
      <c r="S2932" s="189" t="s">
        <v>1306</v>
      </c>
      <c r="T2932" s="114" t="s">
        <v>10420</v>
      </c>
      <c r="U2932" s="21"/>
      <c r="V2932" s="115">
        <v>45967</v>
      </c>
      <c r="W2932" s="116">
        <v>1305</v>
      </c>
      <c r="X2932" s="220">
        <v>1010000</v>
      </c>
      <c r="Y2932" s="220">
        <f>X2932*0.1</f>
        <v>101000</v>
      </c>
      <c r="Z2932" s="220">
        <v>17700</v>
      </c>
      <c r="AA2932" s="220">
        <f>SUM(X2932:Z2932)</f>
        <v>1128700</v>
      </c>
      <c r="AB2932" s="222">
        <v>45968</v>
      </c>
    </row>
    <row r="2933" spans="1:28" ht="17.100000000000001" customHeight="1" thickBot="1">
      <c r="A2933" s="227"/>
      <c r="B2933" s="27" t="s">
        <v>2472</v>
      </c>
      <c r="C2933" s="27">
        <v>82544</v>
      </c>
      <c r="D2933" s="14" t="s">
        <v>1584</v>
      </c>
      <c r="E2933" s="229"/>
      <c r="F2933" s="117" t="s">
        <v>9215</v>
      </c>
      <c r="G2933" s="26">
        <v>8635</v>
      </c>
      <c r="H2933" s="231"/>
      <c r="I2933" s="221"/>
      <c r="J2933" s="221"/>
      <c r="K2933" s="221"/>
      <c r="L2933" s="221"/>
      <c r="M2933" s="221"/>
      <c r="N2933" s="221"/>
      <c r="O2933" s="225"/>
      <c r="P2933" s="118" t="s">
        <v>9704</v>
      </c>
      <c r="Q2933" s="16" t="s">
        <v>20</v>
      </c>
      <c r="R2933" s="17" t="s">
        <v>9666</v>
      </c>
      <c r="S2933" s="121" t="s">
        <v>7305</v>
      </c>
      <c r="T2933" s="122" t="s">
        <v>10423</v>
      </c>
      <c r="U2933" s="22"/>
      <c r="V2933" s="123" t="s">
        <v>1735</v>
      </c>
      <c r="W2933" s="122">
        <v>323</v>
      </c>
      <c r="X2933" s="221"/>
      <c r="Y2933" s="221"/>
      <c r="Z2933" s="221"/>
      <c r="AA2933" s="221"/>
      <c r="AB2933" s="223"/>
    </row>
    <row r="2934" spans="1:28" ht="17.100000000000001" customHeight="1" thickTop="1">
      <c r="A2934" s="226" t="s">
        <v>9262</v>
      </c>
      <c r="B2934" s="28">
        <v>45955</v>
      </c>
      <c r="C2934" s="25">
        <v>1695</v>
      </c>
      <c r="D2934" s="13" t="s">
        <v>2158</v>
      </c>
      <c r="E2934" s="228"/>
      <c r="F2934" s="109" t="s">
        <v>2685</v>
      </c>
      <c r="G2934" s="24"/>
      <c r="H2934" s="230">
        <v>4</v>
      </c>
      <c r="I2934" s="220">
        <v>1730000</v>
      </c>
      <c r="J2934" s="220">
        <f>I2934*0.1</f>
        <v>173000</v>
      </c>
      <c r="K2934" s="220">
        <v>0</v>
      </c>
      <c r="L2934" s="220">
        <v>18170</v>
      </c>
      <c r="M2934" s="220">
        <v>14300</v>
      </c>
      <c r="N2934" s="220">
        <f>SUM(I2934:M2935)</f>
        <v>1935470</v>
      </c>
      <c r="O2934" s="224"/>
      <c r="P2934" s="110" t="s">
        <v>9494</v>
      </c>
      <c r="Q2934" s="15" t="s">
        <v>19</v>
      </c>
      <c r="R2934" s="205"/>
      <c r="S2934" s="189" t="s">
        <v>1361</v>
      </c>
      <c r="T2934" s="114"/>
      <c r="U2934" s="21"/>
      <c r="V2934" s="115">
        <v>45969</v>
      </c>
      <c r="W2934" s="116">
        <v>1275</v>
      </c>
      <c r="X2934" s="220">
        <v>2150000</v>
      </c>
      <c r="Y2934" s="220">
        <f>X2934*0.1</f>
        <v>215000</v>
      </c>
      <c r="Z2934" s="220">
        <v>18170</v>
      </c>
      <c r="AA2934" s="220">
        <f>SUM(X2934:Z2934)</f>
        <v>2383170</v>
      </c>
      <c r="AB2934" s="222">
        <v>45972</v>
      </c>
    </row>
    <row r="2935" spans="1:28" ht="17.100000000000001" customHeight="1" thickBot="1">
      <c r="A2935" s="227"/>
      <c r="B2935" s="27" t="s">
        <v>1842</v>
      </c>
      <c r="C2935" s="27">
        <v>190</v>
      </c>
      <c r="D2935" s="14" t="s">
        <v>1797</v>
      </c>
      <c r="E2935" s="229"/>
      <c r="F2935" s="117" t="s">
        <v>9248</v>
      </c>
      <c r="G2935" s="26">
        <v>39961</v>
      </c>
      <c r="H2935" s="231"/>
      <c r="I2935" s="221"/>
      <c r="J2935" s="221"/>
      <c r="K2935" s="221"/>
      <c r="L2935" s="221"/>
      <c r="M2935" s="221"/>
      <c r="N2935" s="221"/>
      <c r="O2935" s="225"/>
      <c r="P2935" s="118" t="s">
        <v>9495</v>
      </c>
      <c r="Q2935" s="16" t="s">
        <v>20</v>
      </c>
      <c r="R2935" s="17" t="s">
        <v>9475</v>
      </c>
      <c r="S2935" s="121" t="s">
        <v>169</v>
      </c>
      <c r="T2935" s="122"/>
      <c r="U2935" s="22"/>
      <c r="V2935" s="123" t="s">
        <v>2472</v>
      </c>
      <c r="W2935" s="122">
        <v>80019</v>
      </c>
      <c r="X2935" s="221"/>
      <c r="Y2935" s="221"/>
      <c r="Z2935" s="221"/>
      <c r="AA2935" s="221"/>
      <c r="AB2935" s="223"/>
    </row>
    <row r="2936" spans="1:28" ht="17.100000000000001" customHeight="1" thickTop="1">
      <c r="A2936" s="226" t="s">
        <v>9282</v>
      </c>
      <c r="B2936" s="28">
        <v>45955</v>
      </c>
      <c r="C2936" s="25"/>
      <c r="D2936" s="13" t="s">
        <v>4213</v>
      </c>
      <c r="E2936" s="228"/>
      <c r="F2936" s="109" t="s">
        <v>9280</v>
      </c>
      <c r="G2936" s="24" t="s">
        <v>4459</v>
      </c>
      <c r="H2936" s="230">
        <v>5</v>
      </c>
      <c r="I2936" s="220">
        <f>2750000/1.1</f>
        <v>2500000</v>
      </c>
      <c r="J2936" s="220">
        <f>I2936*0.1</f>
        <v>250000</v>
      </c>
      <c r="K2936" s="220">
        <v>14500</v>
      </c>
      <c r="L2936" s="220">
        <v>11710</v>
      </c>
      <c r="M2936" s="220">
        <v>0</v>
      </c>
      <c r="N2936" s="220">
        <f>SUM(I2936:M2937)</f>
        <v>2776210</v>
      </c>
      <c r="O2936" s="224"/>
      <c r="P2936" s="110" t="s">
        <v>11808</v>
      </c>
      <c r="Q2936" s="15" t="s">
        <v>19</v>
      </c>
      <c r="R2936" s="205"/>
      <c r="S2936" s="189" t="s">
        <v>25386</v>
      </c>
      <c r="T2936" s="114"/>
      <c r="U2936" s="21"/>
      <c r="V2936" s="115">
        <v>45997</v>
      </c>
      <c r="W2936" s="116">
        <v>1279</v>
      </c>
      <c r="X2936" s="220">
        <v>2550000</v>
      </c>
      <c r="Y2936" s="220">
        <f>X2936*0.1</f>
        <v>255000</v>
      </c>
      <c r="Z2936" s="220">
        <v>11710</v>
      </c>
      <c r="AA2936" s="220">
        <f>SUM(X2936:Z2936)</f>
        <v>2816710</v>
      </c>
      <c r="AB2936" s="222">
        <v>46001</v>
      </c>
    </row>
    <row r="2937" spans="1:28" ht="17.100000000000001" customHeight="1" thickBot="1">
      <c r="A2937" s="227"/>
      <c r="B2937" s="27" t="s">
        <v>1708</v>
      </c>
      <c r="C2937" s="27" t="s">
        <v>9279</v>
      </c>
      <c r="D2937" s="14" t="s">
        <v>898</v>
      </c>
      <c r="E2937" s="229"/>
      <c r="F2937" s="117" t="s">
        <v>9281</v>
      </c>
      <c r="G2937" s="26">
        <v>6287</v>
      </c>
      <c r="H2937" s="231"/>
      <c r="I2937" s="221"/>
      <c r="J2937" s="221"/>
      <c r="K2937" s="221"/>
      <c r="L2937" s="221"/>
      <c r="M2937" s="221"/>
      <c r="N2937" s="221"/>
      <c r="O2937" s="225"/>
      <c r="P2937" s="118" t="s">
        <v>11809</v>
      </c>
      <c r="Q2937" s="16" t="s">
        <v>20</v>
      </c>
      <c r="R2937" s="17" t="s">
        <v>11800</v>
      </c>
      <c r="S2937" s="121" t="s">
        <v>12278</v>
      </c>
      <c r="T2937" s="122"/>
      <c r="U2937" s="22"/>
      <c r="V2937" s="123" t="s">
        <v>2472</v>
      </c>
      <c r="W2937" s="122">
        <v>37485</v>
      </c>
      <c r="X2937" s="221"/>
      <c r="Y2937" s="221"/>
      <c r="Z2937" s="221"/>
      <c r="AA2937" s="221"/>
      <c r="AB2937" s="223"/>
    </row>
    <row r="2938" spans="1:28" ht="17.100000000000001" customHeight="1" thickTop="1">
      <c r="A2938" s="226" t="s">
        <v>9283</v>
      </c>
      <c r="B2938" s="28">
        <v>45957</v>
      </c>
      <c r="C2938" s="25">
        <v>63</v>
      </c>
      <c r="D2938" s="13" t="s">
        <v>2073</v>
      </c>
      <c r="E2938" s="228"/>
      <c r="F2938" s="109" t="s">
        <v>9288</v>
      </c>
      <c r="G2938" s="24" t="s">
        <v>4239</v>
      </c>
      <c r="H2938" s="230">
        <v>4</v>
      </c>
      <c r="I2938" s="220">
        <v>885000</v>
      </c>
      <c r="J2938" s="220">
        <f>I2938*0.1</f>
        <v>88500</v>
      </c>
      <c r="K2938" s="220">
        <v>0</v>
      </c>
      <c r="L2938" s="220">
        <v>9010</v>
      </c>
      <c r="M2938" s="220">
        <v>33000</v>
      </c>
      <c r="N2938" s="220">
        <f>SUM(I2938:M2939)</f>
        <v>1015510</v>
      </c>
      <c r="O2938" s="224"/>
      <c r="P2938" s="110" t="s">
        <v>10577</v>
      </c>
      <c r="Q2938" s="15" t="s">
        <v>19</v>
      </c>
      <c r="R2938" s="205"/>
      <c r="S2938" s="189" t="s">
        <v>25558</v>
      </c>
      <c r="T2938" s="114"/>
      <c r="U2938" s="21"/>
      <c r="V2938" s="115">
        <v>45976</v>
      </c>
      <c r="W2938" s="116">
        <v>1276</v>
      </c>
      <c r="X2938" s="220">
        <v>1050000</v>
      </c>
      <c r="Y2938" s="220">
        <f>X2938*0.1</f>
        <v>105000</v>
      </c>
      <c r="Z2938" s="220">
        <v>9010</v>
      </c>
      <c r="AA2938" s="220">
        <f>SUM(X2938:Z2938)</f>
        <v>1164010</v>
      </c>
      <c r="AB2938" s="222">
        <v>45979</v>
      </c>
    </row>
    <row r="2939" spans="1:28" ht="17.100000000000001" customHeight="1" thickBot="1">
      <c r="A2939" s="227"/>
      <c r="B2939" s="27" t="s">
        <v>4468</v>
      </c>
      <c r="C2939" s="27">
        <v>1058</v>
      </c>
      <c r="D2939" s="14" t="s">
        <v>1797</v>
      </c>
      <c r="E2939" s="229"/>
      <c r="F2939" s="117" t="s">
        <v>9285</v>
      </c>
      <c r="G2939" s="26">
        <v>72242</v>
      </c>
      <c r="H2939" s="231"/>
      <c r="I2939" s="221"/>
      <c r="J2939" s="221"/>
      <c r="K2939" s="221"/>
      <c r="L2939" s="221"/>
      <c r="M2939" s="221"/>
      <c r="N2939" s="221"/>
      <c r="O2939" s="225"/>
      <c r="P2939" s="118" t="s">
        <v>10578</v>
      </c>
      <c r="Q2939" s="16" t="s">
        <v>20</v>
      </c>
      <c r="R2939" s="17" t="s">
        <v>10519</v>
      </c>
      <c r="S2939" s="121" t="s">
        <v>4798</v>
      </c>
      <c r="T2939" s="122"/>
      <c r="U2939" s="22"/>
      <c r="V2939" s="123" t="s">
        <v>10781</v>
      </c>
      <c r="W2939" s="122">
        <v>65404</v>
      </c>
      <c r="X2939" s="221"/>
      <c r="Y2939" s="221"/>
      <c r="Z2939" s="221"/>
      <c r="AA2939" s="221"/>
      <c r="AB2939" s="223"/>
    </row>
    <row r="2940" spans="1:28" ht="17.100000000000001" customHeight="1" thickTop="1">
      <c r="A2940" s="226" t="s">
        <v>12509</v>
      </c>
      <c r="B2940" s="28">
        <v>45957</v>
      </c>
      <c r="C2940" s="25">
        <v>63</v>
      </c>
      <c r="D2940" s="13" t="s">
        <v>3773</v>
      </c>
      <c r="E2940" s="228"/>
      <c r="F2940" s="109" t="s">
        <v>4651</v>
      </c>
      <c r="G2940" s="24" t="s">
        <v>2813</v>
      </c>
      <c r="H2940" s="230">
        <v>4</v>
      </c>
      <c r="I2940" s="220">
        <v>290000</v>
      </c>
      <c r="J2940" s="220">
        <f>I2940*0.1</f>
        <v>29000</v>
      </c>
      <c r="K2940" s="220">
        <v>0</v>
      </c>
      <c r="L2940" s="220">
        <v>9460</v>
      </c>
      <c r="M2940" s="220">
        <v>33000</v>
      </c>
      <c r="N2940" s="220">
        <f>SUM(I2940:M2941)</f>
        <v>361460</v>
      </c>
      <c r="O2940" s="224"/>
      <c r="P2940" s="110" t="s">
        <v>12487</v>
      </c>
      <c r="Q2940" s="15" t="s">
        <v>19</v>
      </c>
      <c r="R2940" s="205"/>
      <c r="S2940" s="189" t="s">
        <v>25541</v>
      </c>
      <c r="T2940" s="114"/>
      <c r="U2940" s="21"/>
      <c r="V2940" s="115">
        <v>45997</v>
      </c>
      <c r="W2940" s="116">
        <v>1279</v>
      </c>
      <c r="X2940" s="220">
        <v>410000</v>
      </c>
      <c r="Y2940" s="220">
        <f>X2940*0.1</f>
        <v>41000</v>
      </c>
      <c r="Z2940" s="220">
        <v>9460</v>
      </c>
      <c r="AA2940" s="220">
        <f>SUM(X2940:Z2940)</f>
        <v>460460</v>
      </c>
      <c r="AB2940" s="222">
        <v>46002</v>
      </c>
    </row>
    <row r="2941" spans="1:28" ht="17.100000000000001" customHeight="1" thickBot="1">
      <c r="A2941" s="227"/>
      <c r="B2941" s="27" t="s">
        <v>4468</v>
      </c>
      <c r="C2941" s="27">
        <v>1063</v>
      </c>
      <c r="D2941" s="14" t="s">
        <v>2014</v>
      </c>
      <c r="E2941" s="229"/>
      <c r="F2941" s="117" t="s">
        <v>9286</v>
      </c>
      <c r="G2941" s="26">
        <v>55459</v>
      </c>
      <c r="H2941" s="231"/>
      <c r="I2941" s="221"/>
      <c r="J2941" s="221"/>
      <c r="K2941" s="221"/>
      <c r="L2941" s="221"/>
      <c r="M2941" s="221"/>
      <c r="N2941" s="221"/>
      <c r="O2941" s="225"/>
      <c r="P2941" s="118" t="s">
        <v>12488</v>
      </c>
      <c r="Q2941" s="16" t="s">
        <v>20</v>
      </c>
      <c r="R2941" s="17" t="s">
        <v>1752</v>
      </c>
      <c r="S2941" s="121" t="s">
        <v>12489</v>
      </c>
      <c r="T2941" s="122"/>
      <c r="U2941" s="22"/>
      <c r="V2941" s="123" t="s">
        <v>2472</v>
      </c>
      <c r="W2941" s="122">
        <v>65453</v>
      </c>
      <c r="X2941" s="221"/>
      <c r="Y2941" s="221"/>
      <c r="Z2941" s="221"/>
      <c r="AA2941" s="221"/>
      <c r="AB2941" s="223"/>
    </row>
    <row r="2942" spans="1:28" ht="17.100000000000001" customHeight="1" thickTop="1">
      <c r="A2942" s="226" t="s">
        <v>9284</v>
      </c>
      <c r="B2942" s="28">
        <v>45957</v>
      </c>
      <c r="C2942" s="25">
        <v>63</v>
      </c>
      <c r="D2942" s="13" t="s">
        <v>1883</v>
      </c>
      <c r="E2942" s="228"/>
      <c r="F2942" s="109" t="s">
        <v>9289</v>
      </c>
      <c r="G2942" s="24" t="s">
        <v>2813</v>
      </c>
      <c r="H2942" s="230">
        <v>4.5</v>
      </c>
      <c r="I2942" s="220">
        <v>1095000</v>
      </c>
      <c r="J2942" s="220">
        <f>I2942*0.1</f>
        <v>109500</v>
      </c>
      <c r="K2942" s="220">
        <v>0</v>
      </c>
      <c r="L2942" s="220">
        <v>6830</v>
      </c>
      <c r="M2942" s="220">
        <v>44000</v>
      </c>
      <c r="N2942" s="220">
        <f>SUM(I2942:M2943)</f>
        <v>1255330</v>
      </c>
      <c r="O2942" s="224"/>
      <c r="P2942" s="110" t="s">
        <v>11957</v>
      </c>
      <c r="Q2942" s="15" t="s">
        <v>19</v>
      </c>
      <c r="R2942" s="205"/>
      <c r="S2942" s="189" t="s">
        <v>25541</v>
      </c>
      <c r="T2942" s="114"/>
      <c r="U2942" s="21"/>
      <c r="V2942" s="115">
        <v>45993</v>
      </c>
      <c r="W2942" s="116">
        <v>1920</v>
      </c>
      <c r="X2942" s="220">
        <v>1228000</v>
      </c>
      <c r="Y2942" s="220">
        <f>X2942*0.1</f>
        <v>122800</v>
      </c>
      <c r="Z2942" s="220">
        <v>6830</v>
      </c>
      <c r="AA2942" s="220">
        <f>SUM(X2942:Z2942)</f>
        <v>1357630</v>
      </c>
      <c r="AB2942" s="222"/>
    </row>
    <row r="2943" spans="1:28" ht="17.100000000000001" customHeight="1" thickBot="1">
      <c r="A2943" s="227"/>
      <c r="B2943" s="27" t="s">
        <v>4468</v>
      </c>
      <c r="C2943" s="27">
        <v>1077</v>
      </c>
      <c r="D2943" s="14" t="s">
        <v>2088</v>
      </c>
      <c r="E2943" s="229"/>
      <c r="F2943" s="117" t="s">
        <v>9287</v>
      </c>
      <c r="G2943" s="26">
        <v>15967</v>
      </c>
      <c r="H2943" s="231"/>
      <c r="I2943" s="221"/>
      <c r="J2943" s="221"/>
      <c r="K2943" s="221"/>
      <c r="L2943" s="221"/>
      <c r="M2943" s="221"/>
      <c r="N2943" s="221"/>
      <c r="O2943" s="225"/>
      <c r="P2943" s="118" t="s">
        <v>11958</v>
      </c>
      <c r="Q2943" s="16" t="s">
        <v>20</v>
      </c>
      <c r="R2943" s="17" t="s">
        <v>1730</v>
      </c>
      <c r="S2943" s="121" t="s">
        <v>10516</v>
      </c>
      <c r="T2943" s="122"/>
      <c r="U2943" s="22"/>
      <c r="V2943" s="123" t="s">
        <v>2103</v>
      </c>
      <c r="W2943" s="122">
        <v>3305</v>
      </c>
      <c r="X2943" s="221"/>
      <c r="Y2943" s="221"/>
      <c r="Z2943" s="221"/>
      <c r="AA2943" s="221"/>
      <c r="AB2943" s="223"/>
    </row>
    <row r="2944" spans="1:28" ht="17.100000000000001" customHeight="1" thickTop="1">
      <c r="A2944" s="226" t="s">
        <v>9325</v>
      </c>
      <c r="B2944" s="28">
        <v>45957</v>
      </c>
      <c r="C2944" s="25">
        <v>63</v>
      </c>
      <c r="D2944" s="13" t="s">
        <v>2158</v>
      </c>
      <c r="E2944" s="228"/>
      <c r="F2944" s="109" t="s">
        <v>7859</v>
      </c>
      <c r="G2944" s="24" t="s">
        <v>2494</v>
      </c>
      <c r="H2944" s="230">
        <v>4.5</v>
      </c>
      <c r="I2944" s="220">
        <v>695000</v>
      </c>
      <c r="J2944" s="220">
        <f>I2944*0.1</f>
        <v>69500</v>
      </c>
      <c r="K2944" s="220">
        <v>0</v>
      </c>
      <c r="L2944" s="220">
        <v>6470</v>
      </c>
      <c r="M2944" s="220">
        <v>33000</v>
      </c>
      <c r="N2944" s="220">
        <f>SUM(I2944:M2945)</f>
        <v>803970</v>
      </c>
      <c r="O2944" s="224"/>
      <c r="P2944" s="110" t="s">
        <v>11379</v>
      </c>
      <c r="Q2944" s="15" t="s">
        <v>19</v>
      </c>
      <c r="R2944" s="205"/>
      <c r="S2944" s="189" t="s">
        <v>25535</v>
      </c>
      <c r="T2944" s="114"/>
      <c r="U2944" s="21"/>
      <c r="V2944" s="115">
        <v>45986</v>
      </c>
      <c r="W2944" s="116">
        <v>1919</v>
      </c>
      <c r="X2944" s="220">
        <v>928000</v>
      </c>
      <c r="Y2944" s="220">
        <f>X2944*0.1</f>
        <v>92800</v>
      </c>
      <c r="Z2944" s="220">
        <v>6470</v>
      </c>
      <c r="AA2944" s="220">
        <f>SUM(X2944:Z2944)</f>
        <v>1027270</v>
      </c>
      <c r="AB2944" s="222"/>
    </row>
    <row r="2945" spans="1:28" ht="17.100000000000001" customHeight="1" thickBot="1">
      <c r="A2945" s="227"/>
      <c r="B2945" s="27" t="s">
        <v>4468</v>
      </c>
      <c r="C2945" s="27">
        <v>1093</v>
      </c>
      <c r="D2945" s="14" t="s">
        <v>273</v>
      </c>
      <c r="E2945" s="229"/>
      <c r="F2945" s="117" t="s">
        <v>9376</v>
      </c>
      <c r="G2945" s="26">
        <v>40131</v>
      </c>
      <c r="H2945" s="231"/>
      <c r="I2945" s="221"/>
      <c r="J2945" s="221"/>
      <c r="K2945" s="221"/>
      <c r="L2945" s="221"/>
      <c r="M2945" s="221"/>
      <c r="N2945" s="221"/>
      <c r="O2945" s="225"/>
      <c r="P2945" s="118" t="s">
        <v>11380</v>
      </c>
      <c r="Q2945" s="16" t="s">
        <v>20</v>
      </c>
      <c r="R2945" s="17" t="s">
        <v>2193</v>
      </c>
      <c r="S2945" s="121" t="s">
        <v>11381</v>
      </c>
      <c r="T2945" s="122"/>
      <c r="U2945" s="22"/>
      <c r="V2945" s="123" t="s">
        <v>11417</v>
      </c>
      <c r="W2945" s="122">
        <v>3259</v>
      </c>
      <c r="X2945" s="221"/>
      <c r="Y2945" s="221"/>
      <c r="Z2945" s="221"/>
      <c r="AA2945" s="221"/>
      <c r="AB2945" s="223"/>
    </row>
    <row r="2946" spans="1:28" ht="17.100000000000001" customHeight="1" thickTop="1">
      <c r="A2946" s="226" t="s">
        <v>9326</v>
      </c>
      <c r="B2946" s="28">
        <v>45957</v>
      </c>
      <c r="C2946" s="25"/>
      <c r="D2946" s="13" t="s">
        <v>1754</v>
      </c>
      <c r="E2946" s="228"/>
      <c r="F2946" s="109" t="s">
        <v>9290</v>
      </c>
      <c r="G2946" s="24"/>
      <c r="H2946" s="230">
        <v>4</v>
      </c>
      <c r="I2946" s="220">
        <v>596000</v>
      </c>
      <c r="J2946" s="220">
        <f>I2946*0.1</f>
        <v>59600</v>
      </c>
      <c r="K2946" s="220">
        <v>0</v>
      </c>
      <c r="L2946" s="220">
        <v>17490</v>
      </c>
      <c r="M2946" s="220">
        <v>14850</v>
      </c>
      <c r="N2946" s="220">
        <f>SUM(I2946:M2947)</f>
        <v>687940</v>
      </c>
      <c r="O2946" s="224"/>
      <c r="P2946" s="110" t="s">
        <v>9751</v>
      </c>
      <c r="Q2946" s="15" t="s">
        <v>19</v>
      </c>
      <c r="R2946" s="205"/>
      <c r="S2946" s="189" t="s">
        <v>758</v>
      </c>
      <c r="T2946" s="114"/>
      <c r="U2946" s="21"/>
      <c r="V2946" s="115">
        <v>46001</v>
      </c>
      <c r="W2946" s="116">
        <v>996</v>
      </c>
      <c r="X2946" s="220">
        <v>710000</v>
      </c>
      <c r="Y2946" s="220">
        <f>X2946*0.1</f>
        <v>71000</v>
      </c>
      <c r="Z2946" s="220">
        <v>17490</v>
      </c>
      <c r="AA2946" s="220">
        <f>SUM(X2946:Z2946)</f>
        <v>798490</v>
      </c>
      <c r="AB2946" s="222">
        <v>46006</v>
      </c>
    </row>
    <row r="2947" spans="1:28" ht="17.100000000000001" customHeight="1" thickBot="1">
      <c r="A2947" s="227"/>
      <c r="B2947" s="27" t="s">
        <v>4777</v>
      </c>
      <c r="C2947" s="27">
        <v>55311</v>
      </c>
      <c r="D2947" s="14" t="s">
        <v>1710</v>
      </c>
      <c r="E2947" s="229"/>
      <c r="F2947" s="117" t="s">
        <v>9750</v>
      </c>
      <c r="G2947" s="26">
        <v>46835</v>
      </c>
      <c r="H2947" s="231"/>
      <c r="I2947" s="221"/>
      <c r="J2947" s="221"/>
      <c r="K2947" s="221"/>
      <c r="L2947" s="221"/>
      <c r="M2947" s="221"/>
      <c r="N2947" s="221"/>
      <c r="O2947" s="225"/>
      <c r="P2947" s="118" t="s">
        <v>4094</v>
      </c>
      <c r="Q2947" s="16" t="s">
        <v>20</v>
      </c>
      <c r="R2947" s="17" t="s">
        <v>3337</v>
      </c>
      <c r="S2947" s="121" t="s">
        <v>9752</v>
      </c>
      <c r="T2947" s="122"/>
      <c r="U2947" s="22"/>
      <c r="V2947" s="123" t="s">
        <v>2747</v>
      </c>
      <c r="W2947" s="122">
        <v>6029</v>
      </c>
      <c r="X2947" s="221"/>
      <c r="Y2947" s="221"/>
      <c r="Z2947" s="221"/>
      <c r="AA2947" s="221"/>
      <c r="AB2947" s="223"/>
    </row>
    <row r="2948" spans="1:28" ht="17.100000000000001" customHeight="1" thickTop="1">
      <c r="A2948" s="226" t="s">
        <v>9327</v>
      </c>
      <c r="B2948" s="28">
        <v>45957</v>
      </c>
      <c r="C2948" s="25"/>
      <c r="D2948" s="13" t="s">
        <v>1733</v>
      </c>
      <c r="E2948" s="228"/>
      <c r="F2948" s="109" t="s">
        <v>9292</v>
      </c>
      <c r="G2948" s="24"/>
      <c r="H2948" s="230">
        <v>4.5</v>
      </c>
      <c r="I2948" s="220">
        <v>699000</v>
      </c>
      <c r="J2948" s="220">
        <f>I2948*0.1</f>
        <v>69900</v>
      </c>
      <c r="K2948" s="220">
        <v>0</v>
      </c>
      <c r="L2948" s="220">
        <v>20170</v>
      </c>
      <c r="M2948" s="220">
        <v>14850</v>
      </c>
      <c r="N2948" s="220">
        <f>SUM(I2948:M2949)</f>
        <v>803920</v>
      </c>
      <c r="O2948" s="224"/>
      <c r="P2948" s="110" t="s">
        <v>9715</v>
      </c>
      <c r="Q2948" s="15" t="s">
        <v>19</v>
      </c>
      <c r="R2948" s="205"/>
      <c r="S2948" s="189"/>
      <c r="T2948" s="114"/>
      <c r="U2948" s="21"/>
      <c r="V2948" s="115">
        <v>45969</v>
      </c>
      <c r="W2948" s="116">
        <v>1275</v>
      </c>
      <c r="X2948" s="220">
        <v>1005000</v>
      </c>
      <c r="Y2948" s="220">
        <f>X2948*0.1</f>
        <v>100500</v>
      </c>
      <c r="Z2948" s="220">
        <v>20170</v>
      </c>
      <c r="AA2948" s="220">
        <f>SUM(X2948:Z2948)</f>
        <v>1125670</v>
      </c>
      <c r="AB2948" s="222">
        <v>45972</v>
      </c>
    </row>
    <row r="2949" spans="1:28" ht="17.100000000000001" customHeight="1" thickBot="1">
      <c r="A2949" s="227"/>
      <c r="B2949" s="27" t="s">
        <v>2727</v>
      </c>
      <c r="C2949" s="27">
        <v>80281</v>
      </c>
      <c r="D2949" s="14" t="s">
        <v>1568</v>
      </c>
      <c r="E2949" s="229"/>
      <c r="F2949" s="117" t="s">
        <v>9671</v>
      </c>
      <c r="G2949" s="26">
        <v>21317</v>
      </c>
      <c r="H2949" s="231"/>
      <c r="I2949" s="221"/>
      <c r="J2949" s="221"/>
      <c r="K2949" s="221"/>
      <c r="L2949" s="221"/>
      <c r="M2949" s="221"/>
      <c r="N2949" s="221"/>
      <c r="O2949" s="225"/>
      <c r="P2949" s="118" t="s">
        <v>9716</v>
      </c>
      <c r="Q2949" s="16" t="s">
        <v>20</v>
      </c>
      <c r="R2949" s="17" t="s">
        <v>9666</v>
      </c>
      <c r="S2949" s="121" t="s">
        <v>9377</v>
      </c>
      <c r="T2949" s="122"/>
      <c r="U2949" s="22"/>
      <c r="V2949" s="123" t="s">
        <v>2472</v>
      </c>
      <c r="W2949" s="122">
        <v>80056</v>
      </c>
      <c r="X2949" s="221"/>
      <c r="Y2949" s="221"/>
      <c r="Z2949" s="221"/>
      <c r="AA2949" s="221"/>
      <c r="AB2949" s="223"/>
    </row>
    <row r="2950" spans="1:28" ht="17.100000000000001" customHeight="1" thickTop="1">
      <c r="A2950" s="226" t="s">
        <v>9328</v>
      </c>
      <c r="B2950" s="28">
        <v>45957</v>
      </c>
      <c r="C2950" s="25">
        <v>2066</v>
      </c>
      <c r="D2950" s="13" t="s">
        <v>1908</v>
      </c>
      <c r="E2950" s="228"/>
      <c r="F2950" s="109" t="s">
        <v>9293</v>
      </c>
      <c r="G2950" s="24"/>
      <c r="H2950" s="230">
        <v>4</v>
      </c>
      <c r="I2950" s="220">
        <v>261000</v>
      </c>
      <c r="J2950" s="220">
        <f>I2950*0.1</f>
        <v>26100</v>
      </c>
      <c r="K2950" s="220">
        <v>0</v>
      </c>
      <c r="L2950" s="220">
        <v>19790</v>
      </c>
      <c r="M2950" s="220">
        <v>11000</v>
      </c>
      <c r="N2950" s="220">
        <f>SUM(I2950:M2951)</f>
        <v>317890</v>
      </c>
      <c r="O2950" s="224"/>
      <c r="P2950" s="110" t="s">
        <v>9497</v>
      </c>
      <c r="Q2950" s="15" t="s">
        <v>19</v>
      </c>
      <c r="R2950" s="205"/>
      <c r="S2950" s="189" t="s">
        <v>25494</v>
      </c>
      <c r="T2950" s="114"/>
      <c r="U2950" s="21"/>
      <c r="V2950" s="115">
        <v>45969</v>
      </c>
      <c r="W2950" s="116">
        <v>1275</v>
      </c>
      <c r="X2950" s="220">
        <v>370000</v>
      </c>
      <c r="Y2950" s="220">
        <f>X2950*0.1</f>
        <v>37000</v>
      </c>
      <c r="Z2950" s="220">
        <v>19790</v>
      </c>
      <c r="AA2950" s="220">
        <f>SUM(X2950:Z2950)</f>
        <v>426790</v>
      </c>
      <c r="AB2950" s="222">
        <v>45972</v>
      </c>
    </row>
    <row r="2951" spans="1:28" ht="17.100000000000001" customHeight="1" thickBot="1">
      <c r="A2951" s="227"/>
      <c r="B2951" s="27" t="s">
        <v>82</v>
      </c>
      <c r="C2951" s="27">
        <v>31009</v>
      </c>
      <c r="D2951" s="14" t="s">
        <v>1627</v>
      </c>
      <c r="E2951" s="229"/>
      <c r="F2951" s="117" t="s">
        <v>9294</v>
      </c>
      <c r="G2951" s="26">
        <v>20015</v>
      </c>
      <c r="H2951" s="231"/>
      <c r="I2951" s="221"/>
      <c r="J2951" s="221"/>
      <c r="K2951" s="221"/>
      <c r="L2951" s="221"/>
      <c r="M2951" s="221"/>
      <c r="N2951" s="221"/>
      <c r="O2951" s="225"/>
      <c r="P2951" s="118" t="s">
        <v>9498</v>
      </c>
      <c r="Q2951" s="16" t="s">
        <v>20</v>
      </c>
      <c r="R2951" s="17" t="s">
        <v>9475</v>
      </c>
      <c r="S2951" s="121" t="s">
        <v>2405</v>
      </c>
      <c r="T2951" s="122"/>
      <c r="U2951" s="22"/>
      <c r="V2951" s="123" t="s">
        <v>2472</v>
      </c>
      <c r="W2951" s="122">
        <v>80092</v>
      </c>
      <c r="X2951" s="221"/>
      <c r="Y2951" s="221"/>
      <c r="Z2951" s="221"/>
      <c r="AA2951" s="221"/>
      <c r="AB2951" s="223"/>
    </row>
    <row r="2952" spans="1:28" ht="17.100000000000001" customHeight="1" thickTop="1">
      <c r="A2952" s="226" t="s">
        <v>9329</v>
      </c>
      <c r="B2952" s="28">
        <v>45957</v>
      </c>
      <c r="C2952" s="25">
        <v>2066</v>
      </c>
      <c r="D2952" s="13" t="s">
        <v>1704</v>
      </c>
      <c r="E2952" s="228"/>
      <c r="F2952" s="109" t="s">
        <v>2685</v>
      </c>
      <c r="G2952" s="24"/>
      <c r="H2952" s="230">
        <v>4</v>
      </c>
      <c r="I2952" s="220">
        <v>1155000</v>
      </c>
      <c r="J2952" s="220">
        <f>I2952*0.1</f>
        <v>115500</v>
      </c>
      <c r="K2952" s="220">
        <v>0</v>
      </c>
      <c r="L2952" s="220">
        <v>18170</v>
      </c>
      <c r="M2952" s="220">
        <v>11000</v>
      </c>
      <c r="N2952" s="220">
        <f>SUM(I2952:M2953)</f>
        <v>1299670</v>
      </c>
      <c r="O2952" s="224"/>
      <c r="P2952" s="110" t="s">
        <v>9747</v>
      </c>
      <c r="Q2952" s="15" t="s">
        <v>19</v>
      </c>
      <c r="R2952" s="205"/>
      <c r="S2952" s="189"/>
      <c r="T2952" s="114"/>
      <c r="U2952" s="21"/>
      <c r="V2952" s="115">
        <v>45969</v>
      </c>
      <c r="W2952" s="116">
        <v>1275</v>
      </c>
      <c r="X2952" s="220">
        <v>1445000</v>
      </c>
      <c r="Y2952" s="220">
        <f>X2952*0.1</f>
        <v>144500</v>
      </c>
      <c r="Z2952" s="220">
        <v>18170</v>
      </c>
      <c r="AA2952" s="220">
        <f>SUM(X2952:Z2952)</f>
        <v>1607670</v>
      </c>
      <c r="AB2952" s="222">
        <v>45972</v>
      </c>
    </row>
    <row r="2953" spans="1:28" ht="17.100000000000001" customHeight="1" thickBot="1">
      <c r="A2953" s="227"/>
      <c r="B2953" s="27" t="s">
        <v>82</v>
      </c>
      <c r="C2953" s="27">
        <v>35450</v>
      </c>
      <c r="D2953" s="14" t="s">
        <v>1627</v>
      </c>
      <c r="E2953" s="229"/>
      <c r="F2953" s="117" t="s">
        <v>9295</v>
      </c>
      <c r="G2953" s="26">
        <v>75598</v>
      </c>
      <c r="H2953" s="231"/>
      <c r="I2953" s="221"/>
      <c r="J2953" s="221"/>
      <c r="K2953" s="221"/>
      <c r="L2953" s="221"/>
      <c r="M2953" s="221"/>
      <c r="N2953" s="221"/>
      <c r="O2953" s="225"/>
      <c r="P2953" s="118" t="s">
        <v>9748</v>
      </c>
      <c r="Q2953" s="16" t="s">
        <v>20</v>
      </c>
      <c r="R2953" s="17" t="s">
        <v>9744</v>
      </c>
      <c r="S2953" s="121" t="s">
        <v>1731</v>
      </c>
      <c r="T2953" s="122"/>
      <c r="U2953" s="22"/>
      <c r="V2953" s="123" t="s">
        <v>2472</v>
      </c>
      <c r="W2953" s="122">
        <v>80097</v>
      </c>
      <c r="X2953" s="221"/>
      <c r="Y2953" s="221"/>
      <c r="Z2953" s="221"/>
      <c r="AA2953" s="221"/>
      <c r="AB2953" s="223"/>
    </row>
    <row r="2954" spans="1:28" ht="17.100000000000001" customHeight="1" thickTop="1">
      <c r="A2954" s="226" t="s">
        <v>9330</v>
      </c>
      <c r="B2954" s="28">
        <v>45957</v>
      </c>
      <c r="C2954" s="25">
        <v>2066</v>
      </c>
      <c r="D2954" s="13" t="s">
        <v>2264</v>
      </c>
      <c r="E2954" s="228"/>
      <c r="F2954" s="109" t="s">
        <v>9296</v>
      </c>
      <c r="G2954" s="24"/>
      <c r="H2954" s="230">
        <v>4</v>
      </c>
      <c r="I2954" s="220">
        <v>1425000</v>
      </c>
      <c r="J2954" s="220">
        <f>I2954*0.1</f>
        <v>142500</v>
      </c>
      <c r="K2954" s="220">
        <v>0</v>
      </c>
      <c r="L2954" s="220">
        <v>14070</v>
      </c>
      <c r="M2954" s="220">
        <v>11000</v>
      </c>
      <c r="N2954" s="220">
        <f>SUM(I2954:M2955)</f>
        <v>1592570</v>
      </c>
      <c r="O2954" s="224"/>
      <c r="P2954" s="110" t="s">
        <v>9741</v>
      </c>
      <c r="Q2954" s="15" t="s">
        <v>19</v>
      </c>
      <c r="R2954" s="205"/>
      <c r="S2954" s="189" t="s">
        <v>25565</v>
      </c>
      <c r="T2954" s="114"/>
      <c r="U2954" s="21"/>
      <c r="V2954" s="115">
        <v>45962</v>
      </c>
      <c r="W2954" s="116">
        <v>1274</v>
      </c>
      <c r="X2954" s="220">
        <v>1625000</v>
      </c>
      <c r="Y2954" s="220">
        <f>X2954*0.1</f>
        <v>162500</v>
      </c>
      <c r="Z2954" s="220">
        <v>14070</v>
      </c>
      <c r="AA2954" s="220">
        <f>SUM(X2954:Z2954)</f>
        <v>1801570</v>
      </c>
      <c r="AB2954" s="222">
        <v>45965</v>
      </c>
    </row>
    <row r="2955" spans="1:28" ht="17.100000000000001" customHeight="1" thickBot="1">
      <c r="A2955" s="227"/>
      <c r="B2955" s="27" t="s">
        <v>82</v>
      </c>
      <c r="C2955" s="27">
        <v>36015</v>
      </c>
      <c r="D2955" s="14" t="s">
        <v>2559</v>
      </c>
      <c r="E2955" s="229"/>
      <c r="F2955" s="117" t="s">
        <v>9297</v>
      </c>
      <c r="G2955" s="26">
        <v>60974</v>
      </c>
      <c r="H2955" s="231"/>
      <c r="I2955" s="221"/>
      <c r="J2955" s="221"/>
      <c r="K2955" s="221"/>
      <c r="L2955" s="221"/>
      <c r="M2955" s="221"/>
      <c r="N2955" s="221"/>
      <c r="O2955" s="225"/>
      <c r="P2955" s="118" t="s">
        <v>9742</v>
      </c>
      <c r="Q2955" s="16" t="s">
        <v>20</v>
      </c>
      <c r="R2955" s="17" t="s">
        <v>9666</v>
      </c>
      <c r="S2955" s="121" t="s">
        <v>3861</v>
      </c>
      <c r="T2955" s="122"/>
      <c r="U2955" s="22"/>
      <c r="V2955" s="123" t="s">
        <v>2472</v>
      </c>
      <c r="W2955" s="122">
        <v>80233</v>
      </c>
      <c r="X2955" s="221"/>
      <c r="Y2955" s="221"/>
      <c r="Z2955" s="221"/>
      <c r="AA2955" s="221"/>
      <c r="AB2955" s="223"/>
    </row>
    <row r="2956" spans="1:28" ht="17.100000000000001" customHeight="1" thickTop="1">
      <c r="A2956" s="226" t="s">
        <v>9331</v>
      </c>
      <c r="B2956" s="28">
        <v>45957</v>
      </c>
      <c r="C2956" s="25"/>
      <c r="D2956" s="13" t="s">
        <v>2422</v>
      </c>
      <c r="E2956" s="228"/>
      <c r="F2956" s="109" t="s">
        <v>5438</v>
      </c>
      <c r="G2956" s="24" t="s">
        <v>5571</v>
      </c>
      <c r="H2956" s="230">
        <v>4</v>
      </c>
      <c r="I2956" s="220">
        <f>1881000/1.1</f>
        <v>1709999.9999999998</v>
      </c>
      <c r="J2956" s="220">
        <f>I2956*0.1</f>
        <v>171000</v>
      </c>
      <c r="K2956" s="220">
        <v>15000</v>
      </c>
      <c r="L2956" s="220">
        <v>16550</v>
      </c>
      <c r="M2956" s="220">
        <v>0</v>
      </c>
      <c r="N2956" s="220">
        <f>SUM(I2956:M2957)</f>
        <v>1912549.9999999998</v>
      </c>
      <c r="O2956" s="224"/>
      <c r="P2956" s="110" t="s">
        <v>11099</v>
      </c>
      <c r="Q2956" s="15" t="s">
        <v>19</v>
      </c>
      <c r="R2956" s="205"/>
      <c r="S2956" s="189" t="s">
        <v>1276</v>
      </c>
      <c r="T2956" s="114"/>
      <c r="U2956" s="21"/>
      <c r="V2956" s="115">
        <v>45983</v>
      </c>
      <c r="W2956" s="116">
        <v>1277</v>
      </c>
      <c r="X2956" s="220">
        <v>1900000</v>
      </c>
      <c r="Y2956" s="220">
        <f>X2956*0.1</f>
        <v>190000</v>
      </c>
      <c r="Z2956" s="220">
        <v>16550</v>
      </c>
      <c r="AA2956" s="220">
        <f>SUM(X2956:Z2956)</f>
        <v>2106550</v>
      </c>
      <c r="AB2956" s="222">
        <v>45987</v>
      </c>
    </row>
    <row r="2957" spans="1:28" ht="17.100000000000001" customHeight="1" thickBot="1">
      <c r="A2957" s="227"/>
      <c r="B2957" s="27" t="s">
        <v>1708</v>
      </c>
      <c r="C2957" s="27" t="s">
        <v>9299</v>
      </c>
      <c r="D2957" s="14" t="s">
        <v>131</v>
      </c>
      <c r="E2957" s="229"/>
      <c r="F2957" s="117" t="s">
        <v>9300</v>
      </c>
      <c r="G2957" s="26">
        <v>80659</v>
      </c>
      <c r="H2957" s="231"/>
      <c r="I2957" s="221"/>
      <c r="J2957" s="221"/>
      <c r="K2957" s="221"/>
      <c r="L2957" s="221"/>
      <c r="M2957" s="221"/>
      <c r="N2957" s="221"/>
      <c r="O2957" s="225"/>
      <c r="P2957" s="118" t="s">
        <v>11100</v>
      </c>
      <c r="Q2957" s="16" t="s">
        <v>20</v>
      </c>
      <c r="R2957" s="17" t="s">
        <v>2586</v>
      </c>
      <c r="S2957" s="121" t="s">
        <v>1923</v>
      </c>
      <c r="T2957" s="122"/>
      <c r="U2957" s="22"/>
      <c r="V2957" s="123" t="s">
        <v>2472</v>
      </c>
      <c r="W2957" s="122">
        <v>37427</v>
      </c>
      <c r="X2957" s="221"/>
      <c r="Y2957" s="221"/>
      <c r="Z2957" s="221"/>
      <c r="AA2957" s="221"/>
      <c r="AB2957" s="223"/>
    </row>
    <row r="2958" spans="1:28" ht="17.100000000000001" customHeight="1" thickTop="1">
      <c r="A2958" s="226" t="s">
        <v>9332</v>
      </c>
      <c r="B2958" s="28">
        <v>45957</v>
      </c>
      <c r="C2958" s="25"/>
      <c r="D2958" s="13" t="s">
        <v>3332</v>
      </c>
      <c r="E2958" s="228"/>
      <c r="F2958" s="109" t="s">
        <v>9302</v>
      </c>
      <c r="G2958" s="24" t="s">
        <v>4864</v>
      </c>
      <c r="H2958" s="230">
        <v>4.5</v>
      </c>
      <c r="I2958" s="220">
        <f>1688500/1.1</f>
        <v>1534999.9999999998</v>
      </c>
      <c r="J2958" s="220">
        <f>I2958*0.1</f>
        <v>153499.99999999997</v>
      </c>
      <c r="K2958" s="220">
        <v>10100</v>
      </c>
      <c r="L2958" s="220">
        <v>7470</v>
      </c>
      <c r="M2958" s="220">
        <v>0</v>
      </c>
      <c r="N2958" s="220">
        <f>SUM(I2958:M2959)</f>
        <v>1706069.9999999998</v>
      </c>
      <c r="O2958" s="224"/>
      <c r="P2958" s="110" t="s">
        <v>10138</v>
      </c>
      <c r="Q2958" s="15" t="s">
        <v>19</v>
      </c>
      <c r="R2958" s="205"/>
      <c r="S2958" s="189" t="s">
        <v>1312</v>
      </c>
      <c r="T2958" s="114"/>
      <c r="U2958" s="21"/>
      <c r="V2958" s="115">
        <v>45976</v>
      </c>
      <c r="W2958" s="116">
        <v>1276</v>
      </c>
      <c r="X2958" s="220">
        <v>1725000</v>
      </c>
      <c r="Y2958" s="220">
        <f>X2958*0.1</f>
        <v>172500</v>
      </c>
      <c r="Z2958" s="220">
        <v>7470</v>
      </c>
      <c r="AA2958" s="220">
        <f>SUM(X2958:Z2958)</f>
        <v>1904970</v>
      </c>
      <c r="AB2958" s="222">
        <v>45979</v>
      </c>
    </row>
    <row r="2959" spans="1:28" ht="17.100000000000001" customHeight="1" thickBot="1">
      <c r="A2959" s="227"/>
      <c r="B2959" s="27" t="s">
        <v>1708</v>
      </c>
      <c r="C2959" s="27" t="s">
        <v>9301</v>
      </c>
      <c r="D2959" s="14" t="s">
        <v>273</v>
      </c>
      <c r="E2959" s="229"/>
      <c r="F2959" s="117" t="s">
        <v>9303</v>
      </c>
      <c r="G2959" s="26">
        <v>21454</v>
      </c>
      <c r="H2959" s="231"/>
      <c r="I2959" s="221"/>
      <c r="J2959" s="221"/>
      <c r="K2959" s="221"/>
      <c r="L2959" s="221"/>
      <c r="M2959" s="221"/>
      <c r="N2959" s="221"/>
      <c r="O2959" s="225"/>
      <c r="P2959" s="118" t="s">
        <v>10139</v>
      </c>
      <c r="Q2959" s="16" t="s">
        <v>20</v>
      </c>
      <c r="R2959" s="17" t="s">
        <v>3325</v>
      </c>
      <c r="S2959" s="121" t="s">
        <v>10140</v>
      </c>
      <c r="T2959" s="122"/>
      <c r="U2959" s="22"/>
      <c r="V2959" s="123" t="s">
        <v>10781</v>
      </c>
      <c r="W2959" s="122">
        <v>37746</v>
      </c>
      <c r="X2959" s="221"/>
      <c r="Y2959" s="221"/>
      <c r="Z2959" s="221"/>
      <c r="AA2959" s="221"/>
      <c r="AB2959" s="223"/>
    </row>
    <row r="2960" spans="1:28" ht="17.100000000000001" customHeight="1" thickTop="1">
      <c r="A2960" s="226" t="s">
        <v>9385</v>
      </c>
      <c r="B2960" s="28">
        <v>45958</v>
      </c>
      <c r="C2960" s="25">
        <v>1915</v>
      </c>
      <c r="D2960" s="13" t="s">
        <v>4213</v>
      </c>
      <c r="E2960" s="228"/>
      <c r="F2960" s="109" t="s">
        <v>9048</v>
      </c>
      <c r="G2960" s="24" t="s">
        <v>4120</v>
      </c>
      <c r="H2960" s="230">
        <v>4</v>
      </c>
      <c r="I2960" s="220">
        <v>1116000</v>
      </c>
      <c r="J2960" s="220">
        <f>I2960*0.1</f>
        <v>111600</v>
      </c>
      <c r="K2960" s="220">
        <v>0</v>
      </c>
      <c r="L2960" s="220">
        <v>7040</v>
      </c>
      <c r="M2960" s="220">
        <v>15950</v>
      </c>
      <c r="N2960" s="220">
        <f>SUM(I2960:M2961)</f>
        <v>1250590</v>
      </c>
      <c r="O2960" s="224"/>
      <c r="P2960" s="110" t="s">
        <v>9339</v>
      </c>
      <c r="Q2960" s="15" t="s">
        <v>19</v>
      </c>
      <c r="R2960" s="205"/>
      <c r="S2960" s="189"/>
      <c r="T2960" s="114"/>
      <c r="U2960" s="21" t="s">
        <v>10190</v>
      </c>
      <c r="V2960" s="115">
        <v>45969</v>
      </c>
      <c r="W2960" s="116">
        <v>1275</v>
      </c>
      <c r="X2960" s="220">
        <v>1165000</v>
      </c>
      <c r="Y2960" s="220">
        <f>X2960*0.1</f>
        <v>116500</v>
      </c>
      <c r="Z2960" s="220">
        <v>7040</v>
      </c>
      <c r="AA2960" s="220">
        <f>SUM(X2960:Z2960)</f>
        <v>1288540</v>
      </c>
      <c r="AB2960" s="222">
        <v>45974</v>
      </c>
    </row>
    <row r="2961" spans="1:28" ht="17.100000000000001" customHeight="1" thickBot="1">
      <c r="A2961" s="227"/>
      <c r="B2961" s="27" t="s">
        <v>2103</v>
      </c>
      <c r="C2961" s="27">
        <v>3207</v>
      </c>
      <c r="D2961" s="14" t="s">
        <v>273</v>
      </c>
      <c r="E2961" s="229"/>
      <c r="F2961" s="117" t="s">
        <v>9338</v>
      </c>
      <c r="G2961" s="26">
        <v>26218</v>
      </c>
      <c r="H2961" s="231"/>
      <c r="I2961" s="221"/>
      <c r="J2961" s="221"/>
      <c r="K2961" s="221"/>
      <c r="L2961" s="221"/>
      <c r="M2961" s="221"/>
      <c r="N2961" s="221"/>
      <c r="O2961" s="225"/>
      <c r="P2961" s="118" t="s">
        <v>4875</v>
      </c>
      <c r="Q2961" s="16" t="s">
        <v>20</v>
      </c>
      <c r="R2961" s="17" t="s">
        <v>9666</v>
      </c>
      <c r="S2961" s="121"/>
      <c r="T2961" s="122"/>
      <c r="U2961" s="22" t="s">
        <v>3125</v>
      </c>
      <c r="V2961" s="123" t="s">
        <v>2472</v>
      </c>
      <c r="W2961" s="122">
        <v>60176</v>
      </c>
      <c r="X2961" s="221"/>
      <c r="Y2961" s="221"/>
      <c r="Z2961" s="221"/>
      <c r="AA2961" s="221"/>
      <c r="AB2961" s="223"/>
    </row>
    <row r="2962" spans="1:28" ht="17.100000000000001" customHeight="1" thickTop="1">
      <c r="A2962" s="226" t="s">
        <v>9386</v>
      </c>
      <c r="B2962" s="28">
        <v>45958</v>
      </c>
      <c r="C2962" s="25">
        <v>1915</v>
      </c>
      <c r="D2962" s="13" t="s">
        <v>2264</v>
      </c>
      <c r="E2962" s="228"/>
      <c r="F2962" s="109" t="s">
        <v>9370</v>
      </c>
      <c r="G2962" s="24"/>
      <c r="H2962" s="230">
        <v>4.5</v>
      </c>
      <c r="I2962" s="220">
        <v>1800000</v>
      </c>
      <c r="J2962" s="220">
        <f>I2962*0.1</f>
        <v>180000</v>
      </c>
      <c r="K2962" s="220">
        <v>0</v>
      </c>
      <c r="L2962" s="220">
        <v>15780</v>
      </c>
      <c r="M2962" s="220">
        <v>20900</v>
      </c>
      <c r="N2962" s="220">
        <f>SUM(I2962:M2963)</f>
        <v>2016680</v>
      </c>
      <c r="O2962" s="224"/>
      <c r="P2962" s="110" t="s">
        <v>9737</v>
      </c>
      <c r="Q2962" s="15" t="s">
        <v>19</v>
      </c>
      <c r="R2962" s="205"/>
      <c r="S2962" s="189"/>
      <c r="T2962" s="114"/>
      <c r="U2962" s="21"/>
      <c r="V2962" s="115">
        <v>45962</v>
      </c>
      <c r="W2962" s="116">
        <v>1274</v>
      </c>
      <c r="X2962" s="220">
        <v>2020000</v>
      </c>
      <c r="Y2962" s="220">
        <f>X2962*0.1</f>
        <v>202000</v>
      </c>
      <c r="Z2962" s="220">
        <v>15780</v>
      </c>
      <c r="AA2962" s="220">
        <f>SUM(X2962:Z2962)</f>
        <v>2237780</v>
      </c>
      <c r="AB2962" s="222">
        <v>45965</v>
      </c>
    </row>
    <row r="2963" spans="1:28" ht="17.100000000000001" customHeight="1" thickBot="1">
      <c r="A2963" s="227"/>
      <c r="B2963" s="27" t="s">
        <v>2103</v>
      </c>
      <c r="C2963" s="27">
        <v>5006</v>
      </c>
      <c r="D2963" s="14" t="s">
        <v>131</v>
      </c>
      <c r="E2963" s="229"/>
      <c r="F2963" s="117" t="s">
        <v>9371</v>
      </c>
      <c r="G2963" s="26">
        <v>58814</v>
      </c>
      <c r="H2963" s="231"/>
      <c r="I2963" s="221"/>
      <c r="J2963" s="221"/>
      <c r="K2963" s="221"/>
      <c r="L2963" s="221"/>
      <c r="M2963" s="221"/>
      <c r="N2963" s="221"/>
      <c r="O2963" s="225"/>
      <c r="P2963" s="118" t="s">
        <v>9738</v>
      </c>
      <c r="Q2963" s="16" t="s">
        <v>20</v>
      </c>
      <c r="R2963" s="17" t="s">
        <v>9666</v>
      </c>
      <c r="S2963" s="121" t="s">
        <v>7720</v>
      </c>
      <c r="T2963" s="122"/>
      <c r="U2963" s="22"/>
      <c r="V2963" s="123" t="s">
        <v>2472</v>
      </c>
      <c r="W2963" s="122">
        <v>80315</v>
      </c>
      <c r="X2963" s="221"/>
      <c r="Y2963" s="221"/>
      <c r="Z2963" s="221"/>
      <c r="AA2963" s="221"/>
      <c r="AB2963" s="223"/>
    </row>
    <row r="2964" spans="1:28" ht="17.100000000000001" customHeight="1" thickTop="1">
      <c r="A2964" s="226" t="s">
        <v>9387</v>
      </c>
      <c r="B2964" s="28">
        <v>45958</v>
      </c>
      <c r="C2964" s="25">
        <v>1915</v>
      </c>
      <c r="D2964" s="13" t="s">
        <v>1632</v>
      </c>
      <c r="E2964" s="228"/>
      <c r="F2964" s="109" t="s">
        <v>1854</v>
      </c>
      <c r="G2964" s="24"/>
      <c r="H2964" s="230">
        <v>4.5</v>
      </c>
      <c r="I2964" s="220">
        <v>447000</v>
      </c>
      <c r="J2964" s="220">
        <f>I2964*0.1</f>
        <v>44700</v>
      </c>
      <c r="K2964" s="220">
        <v>0</v>
      </c>
      <c r="L2964" s="220">
        <v>18960</v>
      </c>
      <c r="M2964" s="220">
        <v>15950</v>
      </c>
      <c r="N2964" s="220">
        <f>SUM(I2964:M2965)</f>
        <v>526610</v>
      </c>
      <c r="O2964" s="224"/>
      <c r="P2964" s="110" t="s">
        <v>9950</v>
      </c>
      <c r="Q2964" s="15" t="s">
        <v>19</v>
      </c>
      <c r="R2964" s="205"/>
      <c r="S2964" s="189"/>
      <c r="T2964" s="114"/>
      <c r="U2964" s="21"/>
      <c r="V2964" s="115">
        <v>45969</v>
      </c>
      <c r="W2964" s="116">
        <v>1275</v>
      </c>
      <c r="X2964" s="220">
        <v>575000</v>
      </c>
      <c r="Y2964" s="220">
        <f>X2964*0.1</f>
        <v>57500</v>
      </c>
      <c r="Z2964" s="220">
        <v>18960</v>
      </c>
      <c r="AA2964" s="220">
        <f>SUM(X2964:Z2964)</f>
        <v>651460</v>
      </c>
      <c r="AB2964" s="222">
        <v>45972</v>
      </c>
    </row>
    <row r="2965" spans="1:28" ht="17.100000000000001" customHeight="1" thickBot="1">
      <c r="A2965" s="227"/>
      <c r="B2965" s="27" t="s">
        <v>2103</v>
      </c>
      <c r="C2965" s="27">
        <v>5010</v>
      </c>
      <c r="D2965" s="14" t="s">
        <v>131</v>
      </c>
      <c r="E2965" s="229"/>
      <c r="F2965" s="117" t="s">
        <v>9363</v>
      </c>
      <c r="G2965" s="26">
        <v>95143</v>
      </c>
      <c r="H2965" s="231"/>
      <c r="I2965" s="221"/>
      <c r="J2965" s="221"/>
      <c r="K2965" s="221"/>
      <c r="L2965" s="221"/>
      <c r="M2965" s="221"/>
      <c r="N2965" s="221"/>
      <c r="O2965" s="225"/>
      <c r="P2965" s="118" t="s">
        <v>9951</v>
      </c>
      <c r="Q2965" s="16" t="s">
        <v>20</v>
      </c>
      <c r="R2965" s="17" t="s">
        <v>9944</v>
      </c>
      <c r="S2965" s="121" t="s">
        <v>2166</v>
      </c>
      <c r="T2965" s="122"/>
      <c r="U2965" s="22"/>
      <c r="V2965" s="123" t="s">
        <v>2472</v>
      </c>
      <c r="W2965" s="122">
        <v>80241</v>
      </c>
      <c r="X2965" s="221"/>
      <c r="Y2965" s="221"/>
      <c r="Z2965" s="221"/>
      <c r="AA2965" s="221"/>
      <c r="AB2965" s="223"/>
    </row>
    <row r="2966" spans="1:28" ht="17.100000000000001" customHeight="1" thickTop="1">
      <c r="A2966" s="226" t="s">
        <v>9388</v>
      </c>
      <c r="B2966" s="28">
        <v>45958</v>
      </c>
      <c r="C2966" s="25">
        <v>1915</v>
      </c>
      <c r="D2966" s="13" t="s">
        <v>8755</v>
      </c>
      <c r="E2966" s="228"/>
      <c r="F2966" s="109" t="s">
        <v>5334</v>
      </c>
      <c r="G2966" s="24"/>
      <c r="H2966" s="230">
        <v>3.5</v>
      </c>
      <c r="I2966" s="220">
        <v>151000</v>
      </c>
      <c r="J2966" s="220">
        <f>I2966*0.1</f>
        <v>15100</v>
      </c>
      <c r="K2966" s="220">
        <v>0</v>
      </c>
      <c r="L2966" s="220">
        <v>9170</v>
      </c>
      <c r="M2966" s="220">
        <v>15950</v>
      </c>
      <c r="N2966" s="220">
        <f>SUM(I2966:M2967)</f>
        <v>191220</v>
      </c>
      <c r="O2966" s="224"/>
      <c r="P2966" s="110" t="s">
        <v>9677</v>
      </c>
      <c r="Q2966" s="15" t="s">
        <v>19</v>
      </c>
      <c r="R2966" s="205"/>
      <c r="S2966" s="189"/>
      <c r="T2966" s="114"/>
      <c r="U2966" s="21"/>
      <c r="V2966" s="115">
        <v>45983</v>
      </c>
      <c r="W2966" s="116">
        <v>1277</v>
      </c>
      <c r="X2966" s="220">
        <v>183000</v>
      </c>
      <c r="Y2966" s="220">
        <f>X2966*0.1</f>
        <v>18300</v>
      </c>
      <c r="Z2966" s="220">
        <v>9170</v>
      </c>
      <c r="AA2966" s="220">
        <f>SUM(X2966:Z2966)</f>
        <v>210470</v>
      </c>
      <c r="AB2966" s="222">
        <v>45987</v>
      </c>
    </row>
    <row r="2967" spans="1:28" ht="17.100000000000001" customHeight="1" thickBot="1">
      <c r="A2967" s="227"/>
      <c r="B2967" s="27" t="s">
        <v>2103</v>
      </c>
      <c r="C2967" s="27">
        <v>77036</v>
      </c>
      <c r="D2967" s="14" t="s">
        <v>3792</v>
      </c>
      <c r="E2967" s="229"/>
      <c r="F2967" s="117" t="s">
        <v>9368</v>
      </c>
      <c r="G2967" s="26">
        <v>50793</v>
      </c>
      <c r="H2967" s="231"/>
      <c r="I2967" s="221"/>
      <c r="J2967" s="221"/>
      <c r="K2967" s="221"/>
      <c r="L2967" s="221"/>
      <c r="M2967" s="221"/>
      <c r="N2967" s="221"/>
      <c r="O2967" s="225"/>
      <c r="P2967" s="118" t="s">
        <v>9678</v>
      </c>
      <c r="Q2967" s="16" t="s">
        <v>20</v>
      </c>
      <c r="R2967" s="17" t="s">
        <v>9666</v>
      </c>
      <c r="S2967" s="121" t="s">
        <v>2236</v>
      </c>
      <c r="T2967" s="122"/>
      <c r="U2967" s="22"/>
      <c r="V2967" s="123" t="s">
        <v>2472</v>
      </c>
      <c r="W2967" s="122">
        <v>63094</v>
      </c>
      <c r="X2967" s="221"/>
      <c r="Y2967" s="221"/>
      <c r="Z2967" s="221"/>
      <c r="AA2967" s="221"/>
      <c r="AB2967" s="223"/>
    </row>
    <row r="2968" spans="1:28" ht="17.100000000000001" customHeight="1" thickTop="1">
      <c r="A2968" s="226" t="s">
        <v>9389</v>
      </c>
      <c r="B2968" s="28">
        <v>45958</v>
      </c>
      <c r="C2968" s="25">
        <v>793</v>
      </c>
      <c r="D2968" s="13" t="s">
        <v>1632</v>
      </c>
      <c r="E2968" s="228"/>
      <c r="F2968" s="109" t="s">
        <v>9340</v>
      </c>
      <c r="G2968" s="24"/>
      <c r="H2968" s="230">
        <v>4.5</v>
      </c>
      <c r="I2968" s="220">
        <v>645000</v>
      </c>
      <c r="J2968" s="220">
        <f>I2968*0.1</f>
        <v>64500</v>
      </c>
      <c r="K2968" s="220">
        <v>0</v>
      </c>
      <c r="L2968" s="220">
        <v>8850</v>
      </c>
      <c r="M2968" s="220">
        <v>15950</v>
      </c>
      <c r="N2968" s="220">
        <f>SUM(I2968:M2969)</f>
        <v>734300</v>
      </c>
      <c r="O2968" s="224"/>
      <c r="P2968" s="110" t="s">
        <v>9679</v>
      </c>
      <c r="Q2968" s="15" t="s">
        <v>19</v>
      </c>
      <c r="R2968" s="205"/>
      <c r="S2968" s="189"/>
      <c r="T2968" s="114"/>
      <c r="U2968" s="21"/>
      <c r="V2968" s="115">
        <v>45983</v>
      </c>
      <c r="W2968" s="116">
        <v>1277</v>
      </c>
      <c r="X2968" s="220">
        <v>720000</v>
      </c>
      <c r="Y2968" s="220">
        <f>X2968*0.1</f>
        <v>72000</v>
      </c>
      <c r="Z2968" s="220">
        <v>8850</v>
      </c>
      <c r="AA2968" s="220">
        <f>SUM(X2968:Z2968)</f>
        <v>800850</v>
      </c>
      <c r="AB2968" s="222">
        <v>45987</v>
      </c>
    </row>
    <row r="2969" spans="1:28" ht="17.100000000000001" customHeight="1" thickBot="1">
      <c r="A2969" s="227"/>
      <c r="B2969" s="27" t="s">
        <v>3314</v>
      </c>
      <c r="C2969" s="27">
        <v>3020</v>
      </c>
      <c r="D2969" s="14" t="s">
        <v>3274</v>
      </c>
      <c r="E2969" s="229"/>
      <c r="F2969" s="117" t="s">
        <v>9341</v>
      </c>
      <c r="G2969" s="26">
        <v>37811</v>
      </c>
      <c r="H2969" s="231"/>
      <c r="I2969" s="221"/>
      <c r="J2969" s="221"/>
      <c r="K2969" s="221"/>
      <c r="L2969" s="221"/>
      <c r="M2969" s="221"/>
      <c r="N2969" s="221"/>
      <c r="O2969" s="225"/>
      <c r="P2969" s="118" t="s">
        <v>4487</v>
      </c>
      <c r="Q2969" s="16" t="s">
        <v>20</v>
      </c>
      <c r="R2969" s="17" t="s">
        <v>9666</v>
      </c>
      <c r="S2969" s="121" t="s">
        <v>2166</v>
      </c>
      <c r="T2969" s="122"/>
      <c r="U2969" s="22"/>
      <c r="V2969" s="123" t="s">
        <v>2472</v>
      </c>
      <c r="W2969" s="122">
        <v>60078</v>
      </c>
      <c r="X2969" s="221"/>
      <c r="Y2969" s="221"/>
      <c r="Z2969" s="221"/>
      <c r="AA2969" s="221"/>
      <c r="AB2969" s="223"/>
    </row>
    <row r="2970" spans="1:28" ht="17.100000000000001" customHeight="1" thickTop="1">
      <c r="A2970" s="226" t="s">
        <v>9390</v>
      </c>
      <c r="B2970" s="28">
        <v>45958</v>
      </c>
      <c r="C2970" s="25">
        <v>793</v>
      </c>
      <c r="D2970" s="13" t="s">
        <v>2637</v>
      </c>
      <c r="E2970" s="228"/>
      <c r="F2970" s="109" t="s">
        <v>9734</v>
      </c>
      <c r="G2970" s="24" t="s">
        <v>2038</v>
      </c>
      <c r="H2970" s="230">
        <v>4.5</v>
      </c>
      <c r="I2970" s="220">
        <v>1402000</v>
      </c>
      <c r="J2970" s="220">
        <f>I2970*0.1</f>
        <v>140200</v>
      </c>
      <c r="K2970" s="220">
        <v>0</v>
      </c>
      <c r="L2970" s="220">
        <v>8120</v>
      </c>
      <c r="M2970" s="220">
        <v>15950</v>
      </c>
      <c r="N2970" s="220">
        <f>SUM(I2970:M2971)</f>
        <v>1566270</v>
      </c>
      <c r="O2970" s="224"/>
      <c r="P2970" s="110" t="s">
        <v>9343</v>
      </c>
      <c r="Q2970" s="15" t="s">
        <v>19</v>
      </c>
      <c r="R2970" s="205"/>
      <c r="S2970" s="189" t="s">
        <v>1361</v>
      </c>
      <c r="T2970" s="114"/>
      <c r="U2970" s="21" t="s">
        <v>10199</v>
      </c>
      <c r="V2970" s="115">
        <v>45969</v>
      </c>
      <c r="W2970" s="116">
        <v>1275</v>
      </c>
      <c r="X2970" s="220">
        <v>1480000</v>
      </c>
      <c r="Y2970" s="220">
        <f>X2970*0.1</f>
        <v>148000</v>
      </c>
      <c r="Z2970" s="220">
        <v>8120</v>
      </c>
      <c r="AA2970" s="220">
        <f>SUM(X2970:Z2970)</f>
        <v>1636120</v>
      </c>
      <c r="AB2970" s="222">
        <v>45974</v>
      </c>
    </row>
    <row r="2971" spans="1:28" ht="17.100000000000001" customHeight="1" thickBot="1">
      <c r="A2971" s="227"/>
      <c r="B2971" s="27" t="s">
        <v>3314</v>
      </c>
      <c r="C2971" s="27">
        <v>3047</v>
      </c>
      <c r="D2971" s="14" t="s">
        <v>2788</v>
      </c>
      <c r="E2971" s="229"/>
      <c r="F2971" s="117" t="s">
        <v>9342</v>
      </c>
      <c r="G2971" s="26">
        <v>59541</v>
      </c>
      <c r="H2971" s="231"/>
      <c r="I2971" s="221"/>
      <c r="J2971" s="221"/>
      <c r="K2971" s="221"/>
      <c r="L2971" s="221"/>
      <c r="M2971" s="221"/>
      <c r="N2971" s="221"/>
      <c r="O2971" s="225"/>
      <c r="P2971" s="118" t="s">
        <v>3316</v>
      </c>
      <c r="Q2971" s="16" t="s">
        <v>20</v>
      </c>
      <c r="R2971" s="17" t="s">
        <v>9666</v>
      </c>
      <c r="S2971" s="121" t="s">
        <v>169</v>
      </c>
      <c r="T2971" s="122"/>
      <c r="U2971" s="22"/>
      <c r="V2971" s="123" t="s">
        <v>2472</v>
      </c>
      <c r="W2971" s="122">
        <v>60181</v>
      </c>
      <c r="X2971" s="221"/>
      <c r="Y2971" s="221"/>
      <c r="Z2971" s="221"/>
      <c r="AA2971" s="221"/>
      <c r="AB2971" s="223"/>
    </row>
    <row r="2972" spans="1:28" ht="17.100000000000001" customHeight="1" thickTop="1">
      <c r="A2972" s="226" t="s">
        <v>9391</v>
      </c>
      <c r="B2972" s="28">
        <v>45958</v>
      </c>
      <c r="C2972" s="25">
        <v>913</v>
      </c>
      <c r="D2972" s="13" t="s">
        <v>2524</v>
      </c>
      <c r="E2972" s="228"/>
      <c r="F2972" s="109" t="s">
        <v>9344</v>
      </c>
      <c r="G2972" s="24" t="s">
        <v>4038</v>
      </c>
      <c r="H2972" s="230">
        <v>4</v>
      </c>
      <c r="I2972" s="220">
        <v>460000</v>
      </c>
      <c r="J2972" s="220">
        <f>I2972*0.1</f>
        <v>46000</v>
      </c>
      <c r="K2972" s="220">
        <v>0</v>
      </c>
      <c r="L2972" s="220">
        <v>9200</v>
      </c>
      <c r="M2972" s="220">
        <v>15950</v>
      </c>
      <c r="N2972" s="220">
        <f>SUM(I2972:M2973)</f>
        <v>531150</v>
      </c>
      <c r="O2972" s="224"/>
      <c r="P2972" s="110" t="s">
        <v>9346</v>
      </c>
      <c r="Q2972" s="15" t="s">
        <v>19</v>
      </c>
      <c r="R2972" s="205"/>
      <c r="S2972" s="189" t="s">
        <v>25442</v>
      </c>
      <c r="T2972" s="114"/>
      <c r="U2972" s="21" t="s">
        <v>10048</v>
      </c>
      <c r="V2972" s="115">
        <v>45962</v>
      </c>
      <c r="W2972" s="116">
        <v>1274</v>
      </c>
      <c r="X2972" s="220">
        <v>550000</v>
      </c>
      <c r="Y2972" s="220">
        <f>X2972*0.1</f>
        <v>55000</v>
      </c>
      <c r="Z2972" s="220">
        <v>9200</v>
      </c>
      <c r="AA2972" s="220">
        <f>SUM(X2972:Z2972)</f>
        <v>614200</v>
      </c>
      <c r="AB2972" s="222">
        <v>45971</v>
      </c>
    </row>
    <row r="2973" spans="1:28" ht="17.100000000000001" customHeight="1" thickBot="1">
      <c r="A2973" s="227"/>
      <c r="B2973" s="27" t="s">
        <v>2654</v>
      </c>
      <c r="C2973" s="27">
        <v>3078</v>
      </c>
      <c r="D2973" s="14" t="s">
        <v>1710</v>
      </c>
      <c r="E2973" s="229"/>
      <c r="F2973" s="117" t="s">
        <v>9345</v>
      </c>
      <c r="G2973" s="26">
        <v>45351</v>
      </c>
      <c r="H2973" s="231"/>
      <c r="I2973" s="221"/>
      <c r="J2973" s="221"/>
      <c r="K2973" s="221"/>
      <c r="L2973" s="221"/>
      <c r="M2973" s="221"/>
      <c r="N2973" s="221"/>
      <c r="O2973" s="225"/>
      <c r="P2973" s="118" t="s">
        <v>9674</v>
      </c>
      <c r="Q2973" s="16" t="s">
        <v>20</v>
      </c>
      <c r="R2973" s="17" t="s">
        <v>9666</v>
      </c>
      <c r="S2973" s="121" t="s">
        <v>9675</v>
      </c>
      <c r="T2973" s="122"/>
      <c r="U2973" s="22"/>
      <c r="V2973" s="123" t="s">
        <v>6641</v>
      </c>
      <c r="W2973" s="122">
        <v>60482</v>
      </c>
      <c r="X2973" s="221"/>
      <c r="Y2973" s="221"/>
      <c r="Z2973" s="221"/>
      <c r="AA2973" s="221"/>
      <c r="AB2973" s="223"/>
    </row>
    <row r="2974" spans="1:28" ht="17.100000000000001" customHeight="1" thickTop="1">
      <c r="A2974" s="226" t="s">
        <v>9392</v>
      </c>
      <c r="B2974" s="28">
        <v>45958</v>
      </c>
      <c r="C2974" s="25">
        <v>913</v>
      </c>
      <c r="D2974" s="13" t="s">
        <v>1837</v>
      </c>
      <c r="E2974" s="228"/>
      <c r="F2974" s="109" t="s">
        <v>9347</v>
      </c>
      <c r="G2974" s="24" t="s">
        <v>4412</v>
      </c>
      <c r="H2974" s="230">
        <v>4.5</v>
      </c>
      <c r="I2974" s="220">
        <v>1028000</v>
      </c>
      <c r="J2974" s="220">
        <f>I2974*0.1</f>
        <v>102800</v>
      </c>
      <c r="K2974" s="220">
        <v>0</v>
      </c>
      <c r="L2974" s="220">
        <v>9140</v>
      </c>
      <c r="M2974" s="220">
        <v>15950</v>
      </c>
      <c r="N2974" s="220">
        <f>SUM(I2974:M2975)</f>
        <v>1155890</v>
      </c>
      <c r="O2974" s="224"/>
      <c r="P2974" s="110" t="s">
        <v>9349</v>
      </c>
      <c r="Q2974" s="15" t="s">
        <v>19</v>
      </c>
      <c r="R2974" s="205"/>
      <c r="S2974" s="189" t="s">
        <v>1289</v>
      </c>
      <c r="T2974" s="114"/>
      <c r="U2974" s="21" t="s">
        <v>10796</v>
      </c>
      <c r="V2974" s="115">
        <v>45983</v>
      </c>
      <c r="W2974" s="116">
        <v>1277</v>
      </c>
      <c r="X2974" s="220">
        <v>1185000</v>
      </c>
      <c r="Y2974" s="220">
        <f>X2974*0.1</f>
        <v>118500</v>
      </c>
      <c r="Z2974" s="220">
        <v>9140</v>
      </c>
      <c r="AA2974" s="220">
        <f>SUM(X2974:Z2974)</f>
        <v>1312640</v>
      </c>
      <c r="AB2974" s="222">
        <v>45992</v>
      </c>
    </row>
    <row r="2975" spans="1:28" ht="17.100000000000001" customHeight="1" thickBot="1">
      <c r="A2975" s="227"/>
      <c r="B2975" s="27" t="s">
        <v>2654</v>
      </c>
      <c r="C2975" s="27">
        <v>3142</v>
      </c>
      <c r="D2975" s="14" t="s">
        <v>3274</v>
      </c>
      <c r="E2975" s="229"/>
      <c r="F2975" s="117" t="s">
        <v>9348</v>
      </c>
      <c r="G2975" s="26">
        <v>58125</v>
      </c>
      <c r="H2975" s="231"/>
      <c r="I2975" s="221"/>
      <c r="J2975" s="221"/>
      <c r="K2975" s="221"/>
      <c r="L2975" s="221"/>
      <c r="M2975" s="221"/>
      <c r="N2975" s="221"/>
      <c r="O2975" s="225"/>
      <c r="P2975" s="118" t="s">
        <v>1664</v>
      </c>
      <c r="Q2975" s="16" t="s">
        <v>20</v>
      </c>
      <c r="R2975" s="17" t="s">
        <v>9666</v>
      </c>
      <c r="S2975" s="121" t="s">
        <v>9676</v>
      </c>
      <c r="T2975" s="122"/>
      <c r="U2975" s="22"/>
      <c r="V2975" s="123" t="s">
        <v>2472</v>
      </c>
      <c r="W2975" s="122">
        <v>60161</v>
      </c>
      <c r="X2975" s="221"/>
      <c r="Y2975" s="221"/>
      <c r="Z2975" s="221"/>
      <c r="AA2975" s="221"/>
      <c r="AB2975" s="223"/>
    </row>
    <row r="2976" spans="1:28" ht="17.100000000000001" customHeight="1" thickTop="1">
      <c r="A2976" s="226" t="s">
        <v>9393</v>
      </c>
      <c r="B2976" s="28">
        <v>45958</v>
      </c>
      <c r="C2976" s="25">
        <v>1214</v>
      </c>
      <c r="D2976" s="13" t="s">
        <v>2324</v>
      </c>
      <c r="E2976" s="228"/>
      <c r="F2976" s="109" t="s">
        <v>2678</v>
      </c>
      <c r="G2976" s="24"/>
      <c r="H2976" s="230">
        <v>4</v>
      </c>
      <c r="I2976" s="220">
        <v>1444000</v>
      </c>
      <c r="J2976" s="220">
        <f>I2976*0.1</f>
        <v>144400</v>
      </c>
      <c r="K2976" s="220">
        <v>0</v>
      </c>
      <c r="L2976" s="220">
        <v>17600</v>
      </c>
      <c r="M2976" s="220">
        <v>20900</v>
      </c>
      <c r="N2976" s="220">
        <f>SUM(I2976:M2977)</f>
        <v>1626900</v>
      </c>
      <c r="O2976" s="224"/>
      <c r="P2976" s="110" t="s">
        <v>9712</v>
      </c>
      <c r="Q2976" s="15" t="s">
        <v>19</v>
      </c>
      <c r="R2976" s="205"/>
      <c r="S2976" s="189"/>
      <c r="T2976" s="114"/>
      <c r="U2976" s="21"/>
      <c r="V2976" s="115">
        <v>45962</v>
      </c>
      <c r="W2976" s="116">
        <v>1274</v>
      </c>
      <c r="X2976" s="220">
        <v>1615000</v>
      </c>
      <c r="Y2976" s="220">
        <f>X2976*0.1</f>
        <v>161500</v>
      </c>
      <c r="Z2976" s="220">
        <v>17600</v>
      </c>
      <c r="AA2976" s="220">
        <f>SUM(X2976:Z2976)</f>
        <v>1794100</v>
      </c>
      <c r="AB2976" s="222">
        <v>45965</v>
      </c>
    </row>
    <row r="2977" spans="1:28" ht="17.100000000000001" customHeight="1" thickBot="1">
      <c r="A2977" s="227"/>
      <c r="B2977" s="27" t="s">
        <v>2344</v>
      </c>
      <c r="C2977" s="27">
        <v>5028</v>
      </c>
      <c r="D2977" s="14" t="s">
        <v>1584</v>
      </c>
      <c r="E2977" s="229"/>
      <c r="F2977" s="117" t="s">
        <v>9369</v>
      </c>
      <c r="G2977" s="26">
        <v>40932</v>
      </c>
      <c r="H2977" s="231"/>
      <c r="I2977" s="221"/>
      <c r="J2977" s="221"/>
      <c r="K2977" s="221"/>
      <c r="L2977" s="221"/>
      <c r="M2977" s="221"/>
      <c r="N2977" s="221"/>
      <c r="O2977" s="225"/>
      <c r="P2977" s="118" t="s">
        <v>5183</v>
      </c>
      <c r="Q2977" s="16" t="s">
        <v>20</v>
      </c>
      <c r="R2977" s="17" t="s">
        <v>9666</v>
      </c>
      <c r="S2977" s="121" t="s">
        <v>9616</v>
      </c>
      <c r="T2977" s="122"/>
      <c r="U2977" s="22"/>
      <c r="V2977" s="123" t="s">
        <v>2472</v>
      </c>
      <c r="W2977" s="122">
        <v>80324</v>
      </c>
      <c r="X2977" s="221"/>
      <c r="Y2977" s="221"/>
      <c r="Z2977" s="221"/>
      <c r="AA2977" s="221"/>
      <c r="AB2977" s="223"/>
    </row>
    <row r="2978" spans="1:28" ht="17.100000000000001" customHeight="1" thickTop="1">
      <c r="A2978" s="226" t="s">
        <v>9394</v>
      </c>
      <c r="B2978" s="28">
        <v>45958</v>
      </c>
      <c r="C2978" s="25">
        <v>1214</v>
      </c>
      <c r="D2978" s="13" t="s">
        <v>3857</v>
      </c>
      <c r="E2978" s="228"/>
      <c r="F2978" s="109" t="s">
        <v>9350</v>
      </c>
      <c r="G2978" s="24"/>
      <c r="H2978" s="230">
        <v>4</v>
      </c>
      <c r="I2978" s="220">
        <v>695000</v>
      </c>
      <c r="J2978" s="220">
        <f>I2978*0.1</f>
        <v>69500</v>
      </c>
      <c r="K2978" s="220">
        <v>0</v>
      </c>
      <c r="L2978" s="220">
        <v>17250</v>
      </c>
      <c r="M2978" s="220">
        <v>15950</v>
      </c>
      <c r="N2978" s="220">
        <f>SUM(I2978:M2979)</f>
        <v>797700</v>
      </c>
      <c r="O2978" s="224"/>
      <c r="P2978" s="110" t="s">
        <v>9739</v>
      </c>
      <c r="Q2978" s="15" t="s">
        <v>19</v>
      </c>
      <c r="R2978" s="205"/>
      <c r="S2978" s="189"/>
      <c r="T2978" s="114"/>
      <c r="U2978" s="21"/>
      <c r="V2978" s="115">
        <v>45962</v>
      </c>
      <c r="W2978" s="116">
        <v>1274</v>
      </c>
      <c r="X2978" s="220">
        <v>870000</v>
      </c>
      <c r="Y2978" s="220">
        <f>X2978*0.1</f>
        <v>87000</v>
      </c>
      <c r="Z2978" s="220">
        <v>17250</v>
      </c>
      <c r="AA2978" s="220">
        <f>SUM(X2978:Z2978)</f>
        <v>974250</v>
      </c>
      <c r="AB2978" s="222">
        <v>45965</v>
      </c>
    </row>
    <row r="2979" spans="1:28" ht="17.100000000000001" customHeight="1" thickBot="1">
      <c r="A2979" s="227"/>
      <c r="B2979" s="27" t="s">
        <v>2344</v>
      </c>
      <c r="C2979" s="27">
        <v>32016</v>
      </c>
      <c r="D2979" s="14" t="s">
        <v>1584</v>
      </c>
      <c r="E2979" s="229"/>
      <c r="F2979" s="117" t="s">
        <v>9351</v>
      </c>
      <c r="G2979" s="26">
        <v>35463</v>
      </c>
      <c r="H2979" s="231"/>
      <c r="I2979" s="221"/>
      <c r="J2979" s="221"/>
      <c r="K2979" s="221"/>
      <c r="L2979" s="221"/>
      <c r="M2979" s="221"/>
      <c r="N2979" s="221"/>
      <c r="O2979" s="225"/>
      <c r="P2979" s="118" t="s">
        <v>9740</v>
      </c>
      <c r="Q2979" s="16" t="s">
        <v>20</v>
      </c>
      <c r="R2979" s="17" t="s">
        <v>9666</v>
      </c>
      <c r="S2979" s="121" t="s">
        <v>7722</v>
      </c>
      <c r="T2979" s="122"/>
      <c r="U2979" s="22"/>
      <c r="V2979" s="123" t="s">
        <v>2472</v>
      </c>
      <c r="W2979" s="122">
        <v>80312</v>
      </c>
      <c r="X2979" s="221"/>
      <c r="Y2979" s="221"/>
      <c r="Z2979" s="221"/>
      <c r="AA2979" s="221"/>
      <c r="AB2979" s="223"/>
    </row>
    <row r="2980" spans="1:28" ht="17.100000000000001" customHeight="1" thickTop="1">
      <c r="A2980" s="226" t="s">
        <v>9396</v>
      </c>
      <c r="B2980" s="28">
        <v>45958</v>
      </c>
      <c r="C2980" s="25">
        <v>963</v>
      </c>
      <c r="D2980" s="13" t="s">
        <v>2158</v>
      </c>
      <c r="E2980" s="228"/>
      <c r="F2980" s="109" t="s">
        <v>9468</v>
      </c>
      <c r="G2980" s="24"/>
      <c r="H2980" s="230">
        <v>3.5</v>
      </c>
      <c r="I2980" s="220">
        <v>258000</v>
      </c>
      <c r="J2980" s="220">
        <f>I2980*0.1</f>
        <v>25800</v>
      </c>
      <c r="K2980" s="220">
        <v>0</v>
      </c>
      <c r="L2980" s="220">
        <v>7500</v>
      </c>
      <c r="M2980" s="220">
        <v>22000</v>
      </c>
      <c r="N2980" s="220">
        <f>SUM(I2980:M2981)</f>
        <v>313300</v>
      </c>
      <c r="O2980" s="224"/>
      <c r="P2980" s="110" t="s">
        <v>10025</v>
      </c>
      <c r="Q2980" s="15" t="s">
        <v>19</v>
      </c>
      <c r="R2980" s="205"/>
      <c r="S2980" s="189" t="s">
        <v>25387</v>
      </c>
      <c r="T2980" s="114"/>
      <c r="U2980" s="21"/>
      <c r="V2980" s="115">
        <v>45983</v>
      </c>
      <c r="W2980" s="116">
        <v>1277</v>
      </c>
      <c r="X2980" s="220">
        <v>340000</v>
      </c>
      <c r="Y2980" s="220">
        <f>X2980*0.1</f>
        <v>34000</v>
      </c>
      <c r="Z2980" s="220">
        <v>7500</v>
      </c>
      <c r="AA2980" s="220">
        <f>SUM(X2980:Z2980)</f>
        <v>381500</v>
      </c>
      <c r="AB2980" s="222">
        <v>45987</v>
      </c>
    </row>
    <row r="2981" spans="1:28" ht="17.100000000000001" customHeight="1" thickBot="1">
      <c r="A2981" s="227"/>
      <c r="B2981" s="27" t="s">
        <v>2029</v>
      </c>
      <c r="C2981" s="27">
        <v>8</v>
      </c>
      <c r="D2981" s="14" t="s">
        <v>1584</v>
      </c>
      <c r="E2981" s="229"/>
      <c r="F2981" s="117" t="s">
        <v>9428</v>
      </c>
      <c r="G2981" s="26">
        <v>58924</v>
      </c>
      <c r="H2981" s="231"/>
      <c r="I2981" s="221"/>
      <c r="J2981" s="221"/>
      <c r="K2981" s="221"/>
      <c r="L2981" s="221"/>
      <c r="M2981" s="221"/>
      <c r="N2981" s="221"/>
      <c r="O2981" s="225"/>
      <c r="P2981" s="118" t="s">
        <v>2031</v>
      </c>
      <c r="Q2981" s="16" t="s">
        <v>20</v>
      </c>
      <c r="R2981" s="17" t="s">
        <v>3343</v>
      </c>
      <c r="S2981" s="121" t="s">
        <v>1661</v>
      </c>
      <c r="T2981" s="122"/>
      <c r="U2981" s="22"/>
      <c r="V2981" s="123" t="s">
        <v>2472</v>
      </c>
      <c r="W2981" s="122">
        <v>60400</v>
      </c>
      <c r="X2981" s="221"/>
      <c r="Y2981" s="221"/>
      <c r="Z2981" s="221"/>
      <c r="AA2981" s="221"/>
      <c r="AB2981" s="223"/>
    </row>
    <row r="2982" spans="1:28" ht="17.100000000000001" customHeight="1" thickTop="1">
      <c r="A2982" s="226" t="s">
        <v>9397</v>
      </c>
      <c r="B2982" s="28">
        <v>45958</v>
      </c>
      <c r="C2982" s="25">
        <v>963</v>
      </c>
      <c r="D2982" s="13" t="s">
        <v>1733</v>
      </c>
      <c r="E2982" s="228"/>
      <c r="F2982" s="109" t="s">
        <v>4552</v>
      </c>
      <c r="G2982" s="24"/>
      <c r="H2982" s="230">
        <v>4</v>
      </c>
      <c r="I2982" s="220">
        <v>268000</v>
      </c>
      <c r="J2982" s="220">
        <f>I2982*0.1</f>
        <v>26800</v>
      </c>
      <c r="K2982" s="220">
        <v>0</v>
      </c>
      <c r="L2982" s="220">
        <v>7140</v>
      </c>
      <c r="M2982" s="220">
        <v>22000</v>
      </c>
      <c r="N2982" s="220">
        <f>SUM(I2982:M2983)</f>
        <v>323940</v>
      </c>
      <c r="O2982" s="224"/>
      <c r="P2982" s="110" t="s">
        <v>10026</v>
      </c>
      <c r="Q2982" s="15" t="s">
        <v>19</v>
      </c>
      <c r="R2982" s="205"/>
      <c r="S2982" s="189" t="s">
        <v>25387</v>
      </c>
      <c r="T2982" s="114"/>
      <c r="U2982" s="21"/>
      <c r="V2982" s="115">
        <v>45969</v>
      </c>
      <c r="W2982" s="116">
        <v>1275</v>
      </c>
      <c r="X2982" s="220">
        <v>390000</v>
      </c>
      <c r="Y2982" s="220">
        <f>X2982*0.1</f>
        <v>39000</v>
      </c>
      <c r="Z2982" s="220">
        <v>7140</v>
      </c>
      <c r="AA2982" s="220">
        <f>SUM(X2982:Z2982)</f>
        <v>436140</v>
      </c>
      <c r="AB2982" s="222">
        <v>45972</v>
      </c>
    </row>
    <row r="2983" spans="1:28" ht="17.100000000000001" customHeight="1" thickBot="1">
      <c r="A2983" s="227"/>
      <c r="B2983" s="27" t="s">
        <v>2029</v>
      </c>
      <c r="C2983" s="27">
        <v>14</v>
      </c>
      <c r="D2983" s="14" t="s">
        <v>1584</v>
      </c>
      <c r="E2983" s="229"/>
      <c r="F2983" s="117" t="s">
        <v>9429</v>
      </c>
      <c r="G2983" s="26">
        <v>59079</v>
      </c>
      <c r="H2983" s="231"/>
      <c r="I2983" s="221"/>
      <c r="J2983" s="221"/>
      <c r="K2983" s="221"/>
      <c r="L2983" s="221"/>
      <c r="M2983" s="221"/>
      <c r="N2983" s="221"/>
      <c r="O2983" s="225"/>
      <c r="P2983" s="118" t="s">
        <v>2031</v>
      </c>
      <c r="Q2983" s="16" t="s">
        <v>20</v>
      </c>
      <c r="R2983" s="17" t="s">
        <v>3343</v>
      </c>
      <c r="S2983" s="121" t="s">
        <v>1661</v>
      </c>
      <c r="T2983" s="122"/>
      <c r="U2983" s="22"/>
      <c r="V2983" s="123" t="s">
        <v>2472</v>
      </c>
      <c r="W2983" s="122">
        <v>62051</v>
      </c>
      <c r="X2983" s="221"/>
      <c r="Y2983" s="221"/>
      <c r="Z2983" s="221"/>
      <c r="AA2983" s="221"/>
      <c r="AB2983" s="223"/>
    </row>
    <row r="2984" spans="1:28" ht="17.100000000000001" customHeight="1" thickTop="1">
      <c r="A2984" s="226" t="s">
        <v>9398</v>
      </c>
      <c r="B2984" s="28">
        <v>45958</v>
      </c>
      <c r="C2984" s="25">
        <v>963</v>
      </c>
      <c r="D2984" s="13" t="s">
        <v>2158</v>
      </c>
      <c r="E2984" s="228"/>
      <c r="F2984" s="109" t="s">
        <v>10027</v>
      </c>
      <c r="G2984" s="24"/>
      <c r="H2984" s="230">
        <v>3.5</v>
      </c>
      <c r="I2984" s="220">
        <v>258000</v>
      </c>
      <c r="J2984" s="220">
        <f>I2984*0.1</f>
        <v>25800</v>
      </c>
      <c r="K2984" s="220">
        <v>0</v>
      </c>
      <c r="L2984" s="220">
        <v>7500</v>
      </c>
      <c r="M2984" s="220">
        <v>22000</v>
      </c>
      <c r="N2984" s="220">
        <f>SUM(I2984:M2985)</f>
        <v>313300</v>
      </c>
      <c r="O2984" s="224"/>
      <c r="P2984" s="110" t="s">
        <v>10028</v>
      </c>
      <c r="Q2984" s="15" t="s">
        <v>19</v>
      </c>
      <c r="R2984" s="205"/>
      <c r="S2984" s="189" t="s">
        <v>25387</v>
      </c>
      <c r="T2984" s="114"/>
      <c r="U2984" s="21"/>
      <c r="V2984" s="115">
        <v>45969</v>
      </c>
      <c r="W2984" s="116">
        <v>1275</v>
      </c>
      <c r="X2984" s="220">
        <v>280000</v>
      </c>
      <c r="Y2984" s="220">
        <f>X2984*0.1</f>
        <v>28000</v>
      </c>
      <c r="Z2984" s="220">
        <v>7500</v>
      </c>
      <c r="AA2984" s="220">
        <f>SUM(X2984:Z2984)</f>
        <v>315500</v>
      </c>
      <c r="AB2984" s="222">
        <v>45972</v>
      </c>
    </row>
    <row r="2985" spans="1:28" ht="17.100000000000001" customHeight="1" thickBot="1">
      <c r="A2985" s="227"/>
      <c r="B2985" s="27" t="s">
        <v>2029</v>
      </c>
      <c r="C2985" s="27">
        <v>29</v>
      </c>
      <c r="D2985" s="14" t="s">
        <v>1584</v>
      </c>
      <c r="E2985" s="229"/>
      <c r="F2985" s="117" t="s">
        <v>9430</v>
      </c>
      <c r="G2985" s="26">
        <v>55952</v>
      </c>
      <c r="H2985" s="231"/>
      <c r="I2985" s="221"/>
      <c r="J2985" s="221"/>
      <c r="K2985" s="221"/>
      <c r="L2985" s="221"/>
      <c r="M2985" s="221"/>
      <c r="N2985" s="221"/>
      <c r="O2985" s="225"/>
      <c r="P2985" s="118" t="s">
        <v>2031</v>
      </c>
      <c r="Q2985" s="16" t="s">
        <v>20</v>
      </c>
      <c r="R2985" s="17" t="s">
        <v>3343</v>
      </c>
      <c r="S2985" s="121" t="s">
        <v>1661</v>
      </c>
      <c r="T2985" s="122"/>
      <c r="U2985" s="22"/>
      <c r="V2985" s="123" t="s">
        <v>2472</v>
      </c>
      <c r="W2985" s="122">
        <v>62028</v>
      </c>
      <c r="X2985" s="221"/>
      <c r="Y2985" s="221"/>
      <c r="Z2985" s="221"/>
      <c r="AA2985" s="221"/>
      <c r="AB2985" s="223"/>
    </row>
    <row r="2986" spans="1:28" ht="17.100000000000001" customHeight="1" thickTop="1">
      <c r="A2986" s="226" t="s">
        <v>9405</v>
      </c>
      <c r="B2986" s="28">
        <v>45958</v>
      </c>
      <c r="C2986" s="25">
        <v>963</v>
      </c>
      <c r="D2986" s="13" t="s">
        <v>2158</v>
      </c>
      <c r="E2986" s="228"/>
      <c r="F2986" s="109" t="s">
        <v>4552</v>
      </c>
      <c r="G2986" s="24"/>
      <c r="H2986" s="230">
        <v>4</v>
      </c>
      <c r="I2986" s="220">
        <v>398000</v>
      </c>
      <c r="J2986" s="220">
        <f>I2986*0.1</f>
        <v>39800</v>
      </c>
      <c r="K2986" s="220">
        <v>0</v>
      </c>
      <c r="L2986" s="220">
        <v>7140</v>
      </c>
      <c r="M2986" s="220">
        <v>22000</v>
      </c>
      <c r="N2986" s="220">
        <f>SUM(I2986:M2987)</f>
        <v>466940</v>
      </c>
      <c r="O2986" s="224"/>
      <c r="P2986" s="110" t="s">
        <v>10029</v>
      </c>
      <c r="Q2986" s="15" t="s">
        <v>19</v>
      </c>
      <c r="R2986" s="205"/>
      <c r="S2986" s="189" t="s">
        <v>25387</v>
      </c>
      <c r="T2986" s="114"/>
      <c r="U2986" s="21"/>
      <c r="V2986" s="115">
        <v>45972</v>
      </c>
      <c r="W2986" s="116">
        <v>1917</v>
      </c>
      <c r="X2986" s="220">
        <v>465000</v>
      </c>
      <c r="Y2986" s="220">
        <f>X2986*0.1</f>
        <v>46500</v>
      </c>
      <c r="Z2986" s="220">
        <v>7140</v>
      </c>
      <c r="AA2986" s="220">
        <f>SUM(X2986:Z2986)</f>
        <v>518640</v>
      </c>
      <c r="AB2986" s="222">
        <v>45979</v>
      </c>
    </row>
    <row r="2987" spans="1:28" ht="17.100000000000001" customHeight="1" thickBot="1">
      <c r="A2987" s="227"/>
      <c r="B2987" s="27" t="s">
        <v>2029</v>
      </c>
      <c r="C2987" s="27">
        <v>53</v>
      </c>
      <c r="D2987" s="14" t="s">
        <v>1584</v>
      </c>
      <c r="E2987" s="229"/>
      <c r="F2987" s="117" t="s">
        <v>9431</v>
      </c>
      <c r="G2987" s="26">
        <v>13058</v>
      </c>
      <c r="H2987" s="231"/>
      <c r="I2987" s="221"/>
      <c r="J2987" s="221"/>
      <c r="K2987" s="221"/>
      <c r="L2987" s="221"/>
      <c r="M2987" s="221"/>
      <c r="N2987" s="221"/>
      <c r="O2987" s="225"/>
      <c r="P2987" s="118" t="s">
        <v>2031</v>
      </c>
      <c r="Q2987" s="16" t="s">
        <v>20</v>
      </c>
      <c r="R2987" s="17" t="s">
        <v>3343</v>
      </c>
      <c r="S2987" s="121" t="s">
        <v>8372</v>
      </c>
      <c r="T2987" s="122"/>
      <c r="U2987" s="22"/>
      <c r="V2987" s="123" t="s">
        <v>7507</v>
      </c>
      <c r="W2987" s="122">
        <v>3175</v>
      </c>
      <c r="X2987" s="221"/>
      <c r="Y2987" s="221"/>
      <c r="Z2987" s="221"/>
      <c r="AA2987" s="221"/>
      <c r="AB2987" s="223"/>
    </row>
    <row r="2988" spans="1:28" ht="17.100000000000001" customHeight="1" thickTop="1">
      <c r="A2988" s="226" t="s">
        <v>9406</v>
      </c>
      <c r="B2988" s="28">
        <v>45958</v>
      </c>
      <c r="C2988" s="25">
        <v>963</v>
      </c>
      <c r="D2988" s="13" t="s">
        <v>2158</v>
      </c>
      <c r="E2988" s="228"/>
      <c r="F2988" s="109" t="s">
        <v>9468</v>
      </c>
      <c r="G2988" s="24"/>
      <c r="H2988" s="230">
        <v>3.5</v>
      </c>
      <c r="I2988" s="220">
        <v>338000</v>
      </c>
      <c r="J2988" s="220">
        <f>I2988*0.1</f>
        <v>33800</v>
      </c>
      <c r="K2988" s="220">
        <v>0</v>
      </c>
      <c r="L2988" s="220">
        <v>7500</v>
      </c>
      <c r="M2988" s="220">
        <v>22000</v>
      </c>
      <c r="N2988" s="220">
        <f>SUM(I2988:M2989)</f>
        <v>401300</v>
      </c>
      <c r="O2988" s="224"/>
      <c r="P2988" s="110" t="s">
        <v>10030</v>
      </c>
      <c r="Q2988" s="15" t="s">
        <v>19</v>
      </c>
      <c r="R2988" s="205"/>
      <c r="S2988" s="189" t="s">
        <v>25387</v>
      </c>
      <c r="T2988" s="114"/>
      <c r="U2988" s="21"/>
      <c r="V2988" s="115">
        <v>45997</v>
      </c>
      <c r="W2988" s="116">
        <v>1279</v>
      </c>
      <c r="X2988" s="220">
        <v>350000</v>
      </c>
      <c r="Y2988" s="220">
        <f>X2988*0.1</f>
        <v>35000</v>
      </c>
      <c r="Z2988" s="220">
        <v>7500</v>
      </c>
      <c r="AA2988" s="220">
        <f>SUM(X2988:Z2988)</f>
        <v>392500</v>
      </c>
      <c r="AB2988" s="222">
        <v>46000</v>
      </c>
    </row>
    <row r="2989" spans="1:28" ht="17.100000000000001" customHeight="1" thickBot="1">
      <c r="A2989" s="227"/>
      <c r="B2989" s="27" t="s">
        <v>2029</v>
      </c>
      <c r="C2989" s="27">
        <v>59</v>
      </c>
      <c r="D2989" s="14" t="s">
        <v>1584</v>
      </c>
      <c r="E2989" s="229"/>
      <c r="F2989" s="117" t="s">
        <v>9432</v>
      </c>
      <c r="G2989" s="26">
        <v>46985</v>
      </c>
      <c r="H2989" s="231"/>
      <c r="I2989" s="221"/>
      <c r="J2989" s="221"/>
      <c r="K2989" s="221"/>
      <c r="L2989" s="221"/>
      <c r="M2989" s="221"/>
      <c r="N2989" s="221"/>
      <c r="O2989" s="225"/>
      <c r="P2989" s="118" t="s">
        <v>2031</v>
      </c>
      <c r="Q2989" s="16" t="s">
        <v>20</v>
      </c>
      <c r="R2989" s="17" t="s">
        <v>3343</v>
      </c>
      <c r="S2989" s="121" t="s">
        <v>1661</v>
      </c>
      <c r="T2989" s="122"/>
      <c r="U2989" s="22"/>
      <c r="V2989" s="123" t="s">
        <v>2472</v>
      </c>
      <c r="W2989" s="122">
        <v>60094</v>
      </c>
      <c r="X2989" s="221"/>
      <c r="Y2989" s="221"/>
      <c r="Z2989" s="221"/>
      <c r="AA2989" s="221"/>
      <c r="AB2989" s="223"/>
    </row>
    <row r="2990" spans="1:28" ht="17.100000000000001" customHeight="1" thickTop="1">
      <c r="A2990" s="226" t="s">
        <v>9407</v>
      </c>
      <c r="B2990" s="28">
        <v>45958</v>
      </c>
      <c r="C2990" s="25">
        <v>963</v>
      </c>
      <c r="D2990" s="13" t="s">
        <v>2158</v>
      </c>
      <c r="E2990" s="228"/>
      <c r="F2990" s="109" t="s">
        <v>9468</v>
      </c>
      <c r="G2990" s="24"/>
      <c r="H2990" s="230">
        <v>3.5</v>
      </c>
      <c r="I2990" s="220">
        <v>338000</v>
      </c>
      <c r="J2990" s="220">
        <f>I2990*0.1</f>
        <v>33800</v>
      </c>
      <c r="K2990" s="220">
        <v>0</v>
      </c>
      <c r="L2990" s="220">
        <v>7500</v>
      </c>
      <c r="M2990" s="220">
        <v>22000</v>
      </c>
      <c r="N2990" s="220">
        <f>SUM(I2990:M2991)</f>
        <v>401300</v>
      </c>
      <c r="O2990" s="224"/>
      <c r="P2990" s="110" t="s">
        <v>10015</v>
      </c>
      <c r="Q2990" s="15" t="s">
        <v>19</v>
      </c>
      <c r="R2990" s="205"/>
      <c r="S2990" s="189" t="s">
        <v>25387</v>
      </c>
      <c r="T2990" s="114"/>
      <c r="U2990" s="21"/>
      <c r="V2990" s="115">
        <v>45965</v>
      </c>
      <c r="W2990" s="116">
        <v>1916</v>
      </c>
      <c r="X2990" s="220">
        <v>379000</v>
      </c>
      <c r="Y2990" s="220">
        <f>X2990*0.1</f>
        <v>37900</v>
      </c>
      <c r="Z2990" s="220">
        <v>7500</v>
      </c>
      <c r="AA2990" s="220">
        <f>SUM(X2990:Z2990)</f>
        <v>424400</v>
      </c>
      <c r="AB2990" s="222">
        <v>45971</v>
      </c>
    </row>
    <row r="2991" spans="1:28" ht="17.100000000000001" customHeight="1" thickBot="1">
      <c r="A2991" s="227"/>
      <c r="B2991" s="27" t="s">
        <v>2029</v>
      </c>
      <c r="C2991" s="27">
        <v>60</v>
      </c>
      <c r="D2991" s="14" t="s">
        <v>1584</v>
      </c>
      <c r="E2991" s="229"/>
      <c r="F2991" s="117" t="s">
        <v>9433</v>
      </c>
      <c r="G2991" s="26">
        <v>45507</v>
      </c>
      <c r="H2991" s="231"/>
      <c r="I2991" s="221"/>
      <c r="J2991" s="221"/>
      <c r="K2991" s="221"/>
      <c r="L2991" s="221"/>
      <c r="M2991" s="221"/>
      <c r="N2991" s="221"/>
      <c r="O2991" s="225"/>
      <c r="P2991" s="118" t="s">
        <v>2031</v>
      </c>
      <c r="Q2991" s="16" t="s">
        <v>20</v>
      </c>
      <c r="R2991" s="17" t="s">
        <v>3343</v>
      </c>
      <c r="S2991" s="121" t="s">
        <v>8372</v>
      </c>
      <c r="T2991" s="122"/>
      <c r="U2991" s="22"/>
      <c r="V2991" s="123" t="s">
        <v>2103</v>
      </c>
      <c r="W2991" s="122">
        <v>3381</v>
      </c>
      <c r="X2991" s="221"/>
      <c r="Y2991" s="221"/>
      <c r="Z2991" s="221"/>
      <c r="AA2991" s="221"/>
      <c r="AB2991" s="223"/>
    </row>
    <row r="2992" spans="1:28" ht="17.100000000000001" customHeight="1" thickTop="1">
      <c r="A2992" s="226" t="s">
        <v>9408</v>
      </c>
      <c r="B2992" s="28">
        <v>45958</v>
      </c>
      <c r="C2992" s="25">
        <v>963</v>
      </c>
      <c r="D2992" s="13" t="s">
        <v>2158</v>
      </c>
      <c r="E2992" s="228"/>
      <c r="F2992" s="109" t="s">
        <v>9468</v>
      </c>
      <c r="G2992" s="24"/>
      <c r="H2992" s="230">
        <v>3.5</v>
      </c>
      <c r="I2992" s="220">
        <v>338000</v>
      </c>
      <c r="J2992" s="220">
        <f>I2992*0.1</f>
        <v>33800</v>
      </c>
      <c r="K2992" s="220">
        <v>0</v>
      </c>
      <c r="L2992" s="220">
        <v>7500</v>
      </c>
      <c r="M2992" s="220">
        <v>22000</v>
      </c>
      <c r="N2992" s="220">
        <f>SUM(I2992:M2993)</f>
        <v>401300</v>
      </c>
      <c r="O2992" s="224"/>
      <c r="P2992" s="110" t="s">
        <v>10031</v>
      </c>
      <c r="Q2992" s="15" t="s">
        <v>19</v>
      </c>
      <c r="R2992" s="205"/>
      <c r="S2992" s="189" t="s">
        <v>25387</v>
      </c>
      <c r="T2992" s="114"/>
      <c r="U2992" s="21"/>
      <c r="V2992" s="115">
        <v>46004</v>
      </c>
      <c r="W2992" s="116">
        <v>1280</v>
      </c>
      <c r="X2992" s="220">
        <v>350000</v>
      </c>
      <c r="Y2992" s="220">
        <f>X2992*0.1</f>
        <v>35000</v>
      </c>
      <c r="Z2992" s="220">
        <v>7500</v>
      </c>
      <c r="AA2992" s="220">
        <f>SUM(X2992:Z2992)</f>
        <v>392500</v>
      </c>
      <c r="AB2992" s="222">
        <v>46008</v>
      </c>
    </row>
    <row r="2993" spans="1:28" ht="17.100000000000001" customHeight="1" thickBot="1">
      <c r="A2993" s="227"/>
      <c r="B2993" s="27" t="s">
        <v>2029</v>
      </c>
      <c r="C2993" s="27">
        <v>92</v>
      </c>
      <c r="D2993" s="14" t="s">
        <v>1584</v>
      </c>
      <c r="E2993" s="229"/>
      <c r="F2993" s="117" t="s">
        <v>9434</v>
      </c>
      <c r="G2993" s="26">
        <v>47045</v>
      </c>
      <c r="H2993" s="231"/>
      <c r="I2993" s="221"/>
      <c r="J2993" s="221"/>
      <c r="K2993" s="221"/>
      <c r="L2993" s="221"/>
      <c r="M2993" s="221"/>
      <c r="N2993" s="221"/>
      <c r="O2993" s="225"/>
      <c r="P2993" s="118" t="s">
        <v>2031</v>
      </c>
      <c r="Q2993" s="16" t="s">
        <v>20</v>
      </c>
      <c r="R2993" s="17" t="s">
        <v>3343</v>
      </c>
      <c r="S2993" s="121" t="s">
        <v>1661</v>
      </c>
      <c r="T2993" s="122"/>
      <c r="U2993" s="22"/>
      <c r="V2993" s="123" t="s">
        <v>2472</v>
      </c>
      <c r="W2993" s="122">
        <v>60088</v>
      </c>
      <c r="X2993" s="221"/>
      <c r="Y2993" s="221"/>
      <c r="Z2993" s="221"/>
      <c r="AA2993" s="221"/>
      <c r="AB2993" s="223"/>
    </row>
    <row r="2994" spans="1:28" ht="17.100000000000001" customHeight="1" thickTop="1">
      <c r="A2994" s="226" t="s">
        <v>9409</v>
      </c>
      <c r="B2994" s="28">
        <v>45958</v>
      </c>
      <c r="C2994" s="25">
        <v>963</v>
      </c>
      <c r="D2994" s="13" t="s">
        <v>2158</v>
      </c>
      <c r="E2994" s="228"/>
      <c r="F2994" s="109" t="s">
        <v>9468</v>
      </c>
      <c r="G2994" s="24"/>
      <c r="H2994" s="230">
        <v>3.5</v>
      </c>
      <c r="I2994" s="220">
        <v>338000</v>
      </c>
      <c r="J2994" s="220">
        <f>I2994*0.1</f>
        <v>33800</v>
      </c>
      <c r="K2994" s="220">
        <v>0</v>
      </c>
      <c r="L2994" s="220">
        <v>7500</v>
      </c>
      <c r="M2994" s="220">
        <v>22000</v>
      </c>
      <c r="N2994" s="220">
        <f>SUM(I2994:M2995)</f>
        <v>401300</v>
      </c>
      <c r="O2994" s="224"/>
      <c r="P2994" s="110" t="s">
        <v>10014</v>
      </c>
      <c r="Q2994" s="15" t="s">
        <v>19</v>
      </c>
      <c r="R2994" s="205"/>
      <c r="S2994" s="189" t="s">
        <v>25387</v>
      </c>
      <c r="T2994" s="114"/>
      <c r="U2994" s="21"/>
      <c r="V2994" s="115">
        <v>45965</v>
      </c>
      <c r="W2994" s="116">
        <v>1916</v>
      </c>
      <c r="X2994" s="220">
        <v>343000</v>
      </c>
      <c r="Y2994" s="220">
        <f>X2994*0.1</f>
        <v>34300</v>
      </c>
      <c r="Z2994" s="220">
        <v>7500</v>
      </c>
      <c r="AA2994" s="220">
        <f>SUM(X2994:Z2994)</f>
        <v>384800</v>
      </c>
      <c r="AB2994" s="222">
        <v>45971</v>
      </c>
    </row>
    <row r="2995" spans="1:28" ht="17.100000000000001" customHeight="1" thickBot="1">
      <c r="A2995" s="227"/>
      <c r="B2995" s="27" t="s">
        <v>2029</v>
      </c>
      <c r="C2995" s="27">
        <v>103</v>
      </c>
      <c r="D2995" s="14" t="s">
        <v>1584</v>
      </c>
      <c r="E2995" s="229"/>
      <c r="F2995" s="117" t="s">
        <v>9435</v>
      </c>
      <c r="G2995" s="26">
        <v>45813</v>
      </c>
      <c r="H2995" s="231"/>
      <c r="I2995" s="221"/>
      <c r="J2995" s="221"/>
      <c r="K2995" s="221"/>
      <c r="L2995" s="221"/>
      <c r="M2995" s="221"/>
      <c r="N2995" s="221"/>
      <c r="O2995" s="225"/>
      <c r="P2995" s="118" t="s">
        <v>2031</v>
      </c>
      <c r="Q2995" s="16" t="s">
        <v>20</v>
      </c>
      <c r="R2995" s="17" t="s">
        <v>3343</v>
      </c>
      <c r="S2995" s="121" t="s">
        <v>1661</v>
      </c>
      <c r="T2995" s="122"/>
      <c r="U2995" s="22"/>
      <c r="V2995" s="123" t="s">
        <v>2103</v>
      </c>
      <c r="W2995" s="122">
        <v>3259</v>
      </c>
      <c r="X2995" s="221"/>
      <c r="Y2995" s="221"/>
      <c r="Z2995" s="221"/>
      <c r="AA2995" s="221"/>
      <c r="AB2995" s="223"/>
    </row>
    <row r="2996" spans="1:28" ht="17.100000000000001" customHeight="1" thickTop="1">
      <c r="A2996" s="226" t="s">
        <v>9410</v>
      </c>
      <c r="B2996" s="28">
        <v>45958</v>
      </c>
      <c r="C2996" s="25">
        <v>963</v>
      </c>
      <c r="D2996" s="13" t="s">
        <v>2158</v>
      </c>
      <c r="E2996" s="228"/>
      <c r="F2996" s="109" t="s">
        <v>9468</v>
      </c>
      <c r="G2996" s="24"/>
      <c r="H2996" s="230">
        <v>3.5</v>
      </c>
      <c r="I2996" s="220">
        <v>298000</v>
      </c>
      <c r="J2996" s="220">
        <f>I2996*0.1</f>
        <v>29800</v>
      </c>
      <c r="K2996" s="220">
        <v>0</v>
      </c>
      <c r="L2996" s="220">
        <v>7500</v>
      </c>
      <c r="M2996" s="220">
        <v>22000</v>
      </c>
      <c r="N2996" s="220">
        <f>SUM(I2996:M2997)</f>
        <v>357300</v>
      </c>
      <c r="O2996" s="224"/>
      <c r="P2996" s="110" t="s">
        <v>10017</v>
      </c>
      <c r="Q2996" s="15" t="s">
        <v>19</v>
      </c>
      <c r="R2996" s="205"/>
      <c r="S2996" s="189" t="s">
        <v>25387</v>
      </c>
      <c r="T2996" s="114"/>
      <c r="U2996" s="21"/>
      <c r="V2996" s="115">
        <v>45965</v>
      </c>
      <c r="W2996" s="116">
        <v>1916</v>
      </c>
      <c r="X2996" s="220">
        <v>358000</v>
      </c>
      <c r="Y2996" s="220">
        <f>X2996*0.1</f>
        <v>35800</v>
      </c>
      <c r="Z2996" s="220">
        <v>7500</v>
      </c>
      <c r="AA2996" s="220">
        <f>SUM(X2996:Z2996)</f>
        <v>401300</v>
      </c>
      <c r="AB2996" s="222">
        <v>45971</v>
      </c>
    </row>
    <row r="2997" spans="1:28" ht="17.100000000000001" customHeight="1" thickBot="1">
      <c r="A2997" s="227"/>
      <c r="B2997" s="27" t="s">
        <v>2029</v>
      </c>
      <c r="C2997" s="27">
        <v>104</v>
      </c>
      <c r="D2997" s="14" t="s">
        <v>1584</v>
      </c>
      <c r="E2997" s="229"/>
      <c r="F2997" s="117" t="s">
        <v>9436</v>
      </c>
      <c r="G2997" s="26">
        <v>41121</v>
      </c>
      <c r="H2997" s="231"/>
      <c r="I2997" s="221"/>
      <c r="J2997" s="221"/>
      <c r="K2997" s="221"/>
      <c r="L2997" s="221"/>
      <c r="M2997" s="221"/>
      <c r="N2997" s="221"/>
      <c r="O2997" s="225"/>
      <c r="P2997" s="118" t="s">
        <v>2031</v>
      </c>
      <c r="Q2997" s="16" t="s">
        <v>20</v>
      </c>
      <c r="R2997" s="17" t="s">
        <v>3343</v>
      </c>
      <c r="S2997" s="121" t="s">
        <v>1661</v>
      </c>
      <c r="T2997" s="122"/>
      <c r="U2997" s="22"/>
      <c r="V2997" s="123" t="s">
        <v>2103</v>
      </c>
      <c r="W2997" s="122">
        <v>3307</v>
      </c>
      <c r="X2997" s="221"/>
      <c r="Y2997" s="221"/>
      <c r="Z2997" s="221"/>
      <c r="AA2997" s="221"/>
      <c r="AB2997" s="223"/>
    </row>
    <row r="2998" spans="1:28" ht="17.100000000000001" customHeight="1" thickTop="1">
      <c r="A2998" s="226" t="s">
        <v>9411</v>
      </c>
      <c r="B2998" s="28">
        <v>45958</v>
      </c>
      <c r="C2998" s="25">
        <v>963</v>
      </c>
      <c r="D2998" s="13" t="s">
        <v>2158</v>
      </c>
      <c r="E2998" s="228"/>
      <c r="F2998" s="109" t="s">
        <v>9468</v>
      </c>
      <c r="G2998" s="24"/>
      <c r="H2998" s="230">
        <v>3.5</v>
      </c>
      <c r="I2998" s="220">
        <v>389000</v>
      </c>
      <c r="J2998" s="220">
        <f>I2998*0.1</f>
        <v>38900</v>
      </c>
      <c r="K2998" s="220">
        <v>0</v>
      </c>
      <c r="L2998" s="220">
        <v>7500</v>
      </c>
      <c r="M2998" s="220">
        <v>22000</v>
      </c>
      <c r="N2998" s="220">
        <f>SUM(I2998:M2999)</f>
        <v>457400</v>
      </c>
      <c r="O2998" s="224"/>
      <c r="P2998" s="110" t="s">
        <v>10032</v>
      </c>
      <c r="Q2998" s="15" t="s">
        <v>19</v>
      </c>
      <c r="R2998" s="205"/>
      <c r="S2998" s="189" t="s">
        <v>25387</v>
      </c>
      <c r="T2998" s="114"/>
      <c r="U2998" s="21"/>
      <c r="V2998" s="115">
        <v>46004</v>
      </c>
      <c r="W2998" s="116">
        <v>1280</v>
      </c>
      <c r="X2998" s="220">
        <v>415000</v>
      </c>
      <c r="Y2998" s="220">
        <f>X2998*0.1</f>
        <v>41500</v>
      </c>
      <c r="Z2998" s="220">
        <v>7500</v>
      </c>
      <c r="AA2998" s="220">
        <f>SUM(X2998:Z2998)</f>
        <v>464000</v>
      </c>
      <c r="AB2998" s="222">
        <v>46008</v>
      </c>
    </row>
    <row r="2999" spans="1:28" ht="17.100000000000001" customHeight="1" thickBot="1">
      <c r="A2999" s="227"/>
      <c r="B2999" s="27" t="s">
        <v>2029</v>
      </c>
      <c r="C2999" s="27">
        <v>115</v>
      </c>
      <c r="D2999" s="14" t="s">
        <v>1584</v>
      </c>
      <c r="E2999" s="229"/>
      <c r="F2999" s="117" t="s">
        <v>9437</v>
      </c>
      <c r="G2999" s="26">
        <v>58152</v>
      </c>
      <c r="H2999" s="231"/>
      <c r="I2999" s="221"/>
      <c r="J2999" s="221"/>
      <c r="K2999" s="221"/>
      <c r="L2999" s="221"/>
      <c r="M2999" s="221"/>
      <c r="N2999" s="221"/>
      <c r="O2999" s="225"/>
      <c r="P2999" s="118" t="s">
        <v>2031</v>
      </c>
      <c r="Q2999" s="16" t="s">
        <v>20</v>
      </c>
      <c r="R2999" s="17" t="s">
        <v>3343</v>
      </c>
      <c r="S2999" s="121" t="s">
        <v>1661</v>
      </c>
      <c r="T2999" s="122"/>
      <c r="U2999" s="22"/>
      <c r="V2999" s="123" t="s">
        <v>7160</v>
      </c>
      <c r="W2999" s="122">
        <v>60160</v>
      </c>
      <c r="X2999" s="221"/>
      <c r="Y2999" s="221"/>
      <c r="Z2999" s="221"/>
      <c r="AA2999" s="221"/>
      <c r="AB2999" s="223"/>
    </row>
    <row r="3000" spans="1:28" ht="17.100000000000001" customHeight="1" thickTop="1">
      <c r="A3000" s="226" t="s">
        <v>9412</v>
      </c>
      <c r="B3000" s="28">
        <v>45958</v>
      </c>
      <c r="C3000" s="25">
        <v>963</v>
      </c>
      <c r="D3000" s="13" t="s">
        <v>2158</v>
      </c>
      <c r="E3000" s="228"/>
      <c r="F3000" s="109" t="s">
        <v>9468</v>
      </c>
      <c r="G3000" s="24"/>
      <c r="H3000" s="230">
        <v>3.5</v>
      </c>
      <c r="I3000" s="220">
        <v>338000</v>
      </c>
      <c r="J3000" s="220">
        <f>I3000*0.1</f>
        <v>33800</v>
      </c>
      <c r="K3000" s="220">
        <v>0</v>
      </c>
      <c r="L3000" s="220">
        <v>7500</v>
      </c>
      <c r="M3000" s="220">
        <v>22000</v>
      </c>
      <c r="N3000" s="220">
        <f>SUM(I3000:M3001)</f>
        <v>401300</v>
      </c>
      <c r="O3000" s="224"/>
      <c r="P3000" s="110" t="s">
        <v>10016</v>
      </c>
      <c r="Q3000" s="15" t="s">
        <v>19</v>
      </c>
      <c r="R3000" s="205"/>
      <c r="S3000" s="189" t="s">
        <v>25387</v>
      </c>
      <c r="T3000" s="114"/>
      <c r="U3000" s="21"/>
      <c r="V3000" s="115">
        <v>45965</v>
      </c>
      <c r="W3000" s="116">
        <v>1916</v>
      </c>
      <c r="X3000" s="220">
        <v>379000</v>
      </c>
      <c r="Y3000" s="220">
        <f>X3000*0.1</f>
        <v>37900</v>
      </c>
      <c r="Z3000" s="220">
        <v>7500</v>
      </c>
      <c r="AA3000" s="220">
        <f>SUM(X3000:Z3000)</f>
        <v>424400</v>
      </c>
      <c r="AB3000" s="222">
        <v>45971</v>
      </c>
    </row>
    <row r="3001" spans="1:28" ht="17.100000000000001" customHeight="1" thickBot="1">
      <c r="A3001" s="227"/>
      <c r="B3001" s="27" t="s">
        <v>2029</v>
      </c>
      <c r="C3001" s="27">
        <v>116</v>
      </c>
      <c r="D3001" s="14" t="s">
        <v>1584</v>
      </c>
      <c r="E3001" s="229"/>
      <c r="F3001" s="117" t="s">
        <v>9438</v>
      </c>
      <c r="G3001" s="26">
        <v>45282</v>
      </c>
      <c r="H3001" s="231"/>
      <c r="I3001" s="221"/>
      <c r="J3001" s="221"/>
      <c r="K3001" s="221"/>
      <c r="L3001" s="221"/>
      <c r="M3001" s="221"/>
      <c r="N3001" s="221"/>
      <c r="O3001" s="225"/>
      <c r="P3001" s="118" t="s">
        <v>2031</v>
      </c>
      <c r="Q3001" s="16" t="s">
        <v>20</v>
      </c>
      <c r="R3001" s="17" t="s">
        <v>3343</v>
      </c>
      <c r="S3001" s="121" t="s">
        <v>1661</v>
      </c>
      <c r="T3001" s="122"/>
      <c r="U3001" s="22"/>
      <c r="V3001" s="123" t="s">
        <v>2103</v>
      </c>
      <c r="W3001" s="122">
        <v>3380</v>
      </c>
      <c r="X3001" s="221"/>
      <c r="Y3001" s="221"/>
      <c r="Z3001" s="221"/>
      <c r="AA3001" s="221"/>
      <c r="AB3001" s="223"/>
    </row>
    <row r="3002" spans="1:28" ht="17.100000000000001" customHeight="1" thickTop="1">
      <c r="A3002" s="226" t="s">
        <v>9413</v>
      </c>
      <c r="B3002" s="28">
        <v>45958</v>
      </c>
      <c r="C3002" s="25">
        <v>963</v>
      </c>
      <c r="D3002" s="13" t="s">
        <v>2900</v>
      </c>
      <c r="E3002" s="228"/>
      <c r="F3002" s="109" t="s">
        <v>9468</v>
      </c>
      <c r="G3002" s="24"/>
      <c r="H3002" s="230">
        <v>3.5</v>
      </c>
      <c r="I3002" s="220">
        <v>318000</v>
      </c>
      <c r="J3002" s="220">
        <f>I3002*0.1</f>
        <v>31800</v>
      </c>
      <c r="K3002" s="220">
        <v>0</v>
      </c>
      <c r="L3002" s="220">
        <v>7500</v>
      </c>
      <c r="M3002" s="220">
        <v>22000</v>
      </c>
      <c r="N3002" s="220">
        <f>SUM(I3002:M3003)</f>
        <v>379300</v>
      </c>
      <c r="O3002" s="224"/>
      <c r="P3002" s="110" t="s">
        <v>10033</v>
      </c>
      <c r="Q3002" s="15" t="s">
        <v>19</v>
      </c>
      <c r="R3002" s="205"/>
      <c r="S3002" s="189" t="s">
        <v>25387</v>
      </c>
      <c r="T3002" s="114"/>
      <c r="U3002" s="21"/>
      <c r="V3002" s="115">
        <v>46011</v>
      </c>
      <c r="W3002" s="116">
        <v>1281</v>
      </c>
      <c r="X3002" s="220">
        <v>400000</v>
      </c>
      <c r="Y3002" s="220">
        <f>X3002*0.1</f>
        <v>40000</v>
      </c>
      <c r="Z3002" s="220">
        <v>7500</v>
      </c>
      <c r="AA3002" s="220">
        <f>SUM(X3002:Z3002)</f>
        <v>447500</v>
      </c>
      <c r="AB3002" s="222">
        <v>46016</v>
      </c>
    </row>
    <row r="3003" spans="1:28" ht="17.100000000000001" customHeight="1" thickBot="1">
      <c r="A3003" s="227"/>
      <c r="B3003" s="27" t="s">
        <v>2029</v>
      </c>
      <c r="C3003" s="27">
        <v>117</v>
      </c>
      <c r="D3003" s="14" t="s">
        <v>1584</v>
      </c>
      <c r="E3003" s="229"/>
      <c r="F3003" s="117" t="s">
        <v>9439</v>
      </c>
      <c r="G3003" s="26">
        <v>35792</v>
      </c>
      <c r="H3003" s="231"/>
      <c r="I3003" s="221"/>
      <c r="J3003" s="221"/>
      <c r="K3003" s="221"/>
      <c r="L3003" s="221"/>
      <c r="M3003" s="221"/>
      <c r="N3003" s="221"/>
      <c r="O3003" s="225"/>
      <c r="P3003" s="118" t="s">
        <v>2031</v>
      </c>
      <c r="Q3003" s="16" t="s">
        <v>20</v>
      </c>
      <c r="R3003" s="17" t="s">
        <v>3343</v>
      </c>
      <c r="S3003" s="121" t="s">
        <v>1661</v>
      </c>
      <c r="T3003" s="122"/>
      <c r="U3003" s="22"/>
      <c r="V3003" s="123" t="s">
        <v>6641</v>
      </c>
      <c r="W3003" s="122">
        <v>60170</v>
      </c>
      <c r="X3003" s="221"/>
      <c r="Y3003" s="221"/>
      <c r="Z3003" s="221"/>
      <c r="AA3003" s="221"/>
      <c r="AB3003" s="223"/>
    </row>
    <row r="3004" spans="1:28" ht="17.100000000000001" customHeight="1" thickTop="1">
      <c r="A3004" s="226" t="s">
        <v>9414</v>
      </c>
      <c r="B3004" s="28">
        <v>45958</v>
      </c>
      <c r="C3004" s="25">
        <v>963</v>
      </c>
      <c r="D3004" s="13" t="s">
        <v>2158</v>
      </c>
      <c r="E3004" s="228"/>
      <c r="F3004" s="109" t="s">
        <v>9468</v>
      </c>
      <c r="G3004" s="24"/>
      <c r="H3004" s="230">
        <v>3.5</v>
      </c>
      <c r="I3004" s="220">
        <v>338000</v>
      </c>
      <c r="J3004" s="220">
        <f>I3004*0.1</f>
        <v>33800</v>
      </c>
      <c r="K3004" s="220">
        <v>0</v>
      </c>
      <c r="L3004" s="220">
        <v>7500</v>
      </c>
      <c r="M3004" s="220">
        <v>22000</v>
      </c>
      <c r="N3004" s="220">
        <f>SUM(I3004:M3005)</f>
        <v>401300</v>
      </c>
      <c r="O3004" s="224"/>
      <c r="P3004" s="110" t="s">
        <v>10018</v>
      </c>
      <c r="Q3004" s="15" t="s">
        <v>19</v>
      </c>
      <c r="R3004" s="205"/>
      <c r="S3004" s="189" t="s">
        <v>25387</v>
      </c>
      <c r="T3004" s="114"/>
      <c r="U3004" s="21"/>
      <c r="V3004" s="115">
        <v>45965</v>
      </c>
      <c r="W3004" s="116">
        <v>1916</v>
      </c>
      <c r="X3004" s="220">
        <v>367000</v>
      </c>
      <c r="Y3004" s="220">
        <f>X3004*0.1</f>
        <v>36700</v>
      </c>
      <c r="Z3004" s="220">
        <v>7500</v>
      </c>
      <c r="AA3004" s="220">
        <f>SUM(X3004:Z3004)</f>
        <v>411200</v>
      </c>
      <c r="AB3004" s="222">
        <v>45971</v>
      </c>
    </row>
    <row r="3005" spans="1:28" ht="17.100000000000001" customHeight="1" thickBot="1">
      <c r="A3005" s="227"/>
      <c r="B3005" s="27" t="s">
        <v>2029</v>
      </c>
      <c r="C3005" s="27">
        <v>127</v>
      </c>
      <c r="D3005" s="14" t="s">
        <v>1584</v>
      </c>
      <c r="E3005" s="229"/>
      <c r="F3005" s="117" t="s">
        <v>9440</v>
      </c>
      <c r="G3005" s="26">
        <v>44128</v>
      </c>
      <c r="H3005" s="231"/>
      <c r="I3005" s="221"/>
      <c r="J3005" s="221"/>
      <c r="K3005" s="221"/>
      <c r="L3005" s="221"/>
      <c r="M3005" s="221"/>
      <c r="N3005" s="221"/>
      <c r="O3005" s="225"/>
      <c r="P3005" s="118" t="s">
        <v>2031</v>
      </c>
      <c r="Q3005" s="16" t="s">
        <v>20</v>
      </c>
      <c r="R3005" s="17" t="s">
        <v>3343</v>
      </c>
      <c r="S3005" s="121" t="s">
        <v>1661</v>
      </c>
      <c r="T3005" s="122"/>
      <c r="U3005" s="22"/>
      <c r="V3005" s="123" t="s">
        <v>2103</v>
      </c>
      <c r="W3005" s="122">
        <v>3379</v>
      </c>
      <c r="X3005" s="221"/>
      <c r="Y3005" s="221"/>
      <c r="Z3005" s="221"/>
      <c r="AA3005" s="221"/>
      <c r="AB3005" s="223"/>
    </row>
    <row r="3006" spans="1:28" ht="17.100000000000001" customHeight="1" thickTop="1">
      <c r="A3006" s="226" t="s">
        <v>9415</v>
      </c>
      <c r="B3006" s="28">
        <v>45958</v>
      </c>
      <c r="C3006" s="25">
        <v>963</v>
      </c>
      <c r="D3006" s="13" t="s">
        <v>3474</v>
      </c>
      <c r="E3006" s="228"/>
      <c r="F3006" s="109" t="s">
        <v>9468</v>
      </c>
      <c r="G3006" s="24"/>
      <c r="H3006" s="230">
        <v>3.5</v>
      </c>
      <c r="I3006" s="220">
        <v>338000</v>
      </c>
      <c r="J3006" s="220">
        <f>I3006*0.1</f>
        <v>33800</v>
      </c>
      <c r="K3006" s="220">
        <v>0</v>
      </c>
      <c r="L3006" s="220">
        <v>7500</v>
      </c>
      <c r="M3006" s="220">
        <v>22000</v>
      </c>
      <c r="N3006" s="220">
        <f>SUM(I3006:M3007)</f>
        <v>401300</v>
      </c>
      <c r="O3006" s="224"/>
      <c r="P3006" s="110" t="s">
        <v>10034</v>
      </c>
      <c r="Q3006" s="15" t="s">
        <v>19</v>
      </c>
      <c r="R3006" s="205"/>
      <c r="S3006" s="189" t="s">
        <v>25387</v>
      </c>
      <c r="T3006" s="114"/>
      <c r="U3006" s="21"/>
      <c r="V3006" s="115">
        <v>45979</v>
      </c>
      <c r="W3006" s="116">
        <v>1918</v>
      </c>
      <c r="X3006" s="220">
        <v>421000</v>
      </c>
      <c r="Y3006" s="220">
        <f>X3006*0.1</f>
        <v>42100</v>
      </c>
      <c r="Z3006" s="220">
        <v>7500</v>
      </c>
      <c r="AA3006" s="220">
        <f>SUM(X3006:Z3006)</f>
        <v>470600</v>
      </c>
      <c r="AB3006" s="222">
        <v>45986</v>
      </c>
    </row>
    <row r="3007" spans="1:28" ht="17.100000000000001" customHeight="1" thickBot="1">
      <c r="A3007" s="227"/>
      <c r="B3007" s="27" t="s">
        <v>2029</v>
      </c>
      <c r="C3007" s="27">
        <v>128</v>
      </c>
      <c r="D3007" s="14" t="s">
        <v>1584</v>
      </c>
      <c r="E3007" s="229"/>
      <c r="F3007" s="117" t="s">
        <v>9441</v>
      </c>
      <c r="G3007" s="26">
        <v>41270</v>
      </c>
      <c r="H3007" s="231"/>
      <c r="I3007" s="221"/>
      <c r="J3007" s="221"/>
      <c r="K3007" s="221"/>
      <c r="L3007" s="221"/>
      <c r="M3007" s="221"/>
      <c r="N3007" s="221"/>
      <c r="O3007" s="225"/>
      <c r="P3007" s="118" t="s">
        <v>2031</v>
      </c>
      <c r="Q3007" s="16" t="s">
        <v>20</v>
      </c>
      <c r="R3007" s="17" t="s">
        <v>3343</v>
      </c>
      <c r="S3007" s="121" t="s">
        <v>1661</v>
      </c>
      <c r="T3007" s="122"/>
      <c r="U3007" s="22"/>
      <c r="V3007" s="123" t="s">
        <v>2103</v>
      </c>
      <c r="W3007" s="122">
        <v>3051</v>
      </c>
      <c r="X3007" s="221"/>
      <c r="Y3007" s="221"/>
      <c r="Z3007" s="221"/>
      <c r="AA3007" s="221"/>
      <c r="AB3007" s="223"/>
    </row>
    <row r="3008" spans="1:28" ht="17.100000000000001" customHeight="1" thickTop="1">
      <c r="A3008" s="226" t="s">
        <v>9416</v>
      </c>
      <c r="B3008" s="28">
        <v>45958</v>
      </c>
      <c r="C3008" s="25">
        <v>963</v>
      </c>
      <c r="D3008" s="13" t="s">
        <v>2158</v>
      </c>
      <c r="E3008" s="228"/>
      <c r="F3008" s="109" t="s">
        <v>9468</v>
      </c>
      <c r="G3008" s="24"/>
      <c r="H3008" s="230">
        <v>3.5</v>
      </c>
      <c r="I3008" s="220">
        <v>268000</v>
      </c>
      <c r="J3008" s="220">
        <f>I3008*0.1</f>
        <v>26800</v>
      </c>
      <c r="K3008" s="220">
        <v>0</v>
      </c>
      <c r="L3008" s="220">
        <v>7500</v>
      </c>
      <c r="M3008" s="220">
        <v>22000</v>
      </c>
      <c r="N3008" s="220">
        <f>SUM(I3008:M3009)</f>
        <v>324300</v>
      </c>
      <c r="O3008" s="224"/>
      <c r="P3008" s="110" t="s">
        <v>10022</v>
      </c>
      <c r="Q3008" s="15" t="s">
        <v>19</v>
      </c>
      <c r="R3008" s="205"/>
      <c r="S3008" s="189" t="s">
        <v>25387</v>
      </c>
      <c r="T3008" s="114"/>
      <c r="U3008" s="21"/>
      <c r="V3008" s="115">
        <v>45965</v>
      </c>
      <c r="W3008" s="116">
        <v>1916</v>
      </c>
      <c r="X3008" s="220">
        <v>367000</v>
      </c>
      <c r="Y3008" s="220">
        <f>X3008*0.1</f>
        <v>36700</v>
      </c>
      <c r="Z3008" s="220">
        <v>7500</v>
      </c>
      <c r="AA3008" s="220">
        <f>SUM(X3008:Z3008)</f>
        <v>411200</v>
      </c>
      <c r="AB3008" s="222">
        <v>45971</v>
      </c>
    </row>
    <row r="3009" spans="1:28" ht="17.100000000000001" customHeight="1" thickBot="1">
      <c r="A3009" s="227"/>
      <c r="B3009" s="27" t="s">
        <v>2029</v>
      </c>
      <c r="C3009" s="27">
        <v>154</v>
      </c>
      <c r="D3009" s="14" t="s">
        <v>1584</v>
      </c>
      <c r="E3009" s="229"/>
      <c r="F3009" s="117" t="s">
        <v>9442</v>
      </c>
      <c r="G3009" s="26">
        <v>59274</v>
      </c>
      <c r="H3009" s="231"/>
      <c r="I3009" s="221"/>
      <c r="J3009" s="221"/>
      <c r="K3009" s="221"/>
      <c r="L3009" s="221"/>
      <c r="M3009" s="221"/>
      <c r="N3009" s="221"/>
      <c r="O3009" s="225"/>
      <c r="P3009" s="118" t="s">
        <v>2031</v>
      </c>
      <c r="Q3009" s="16" t="s">
        <v>20</v>
      </c>
      <c r="R3009" s="17" t="s">
        <v>3343</v>
      </c>
      <c r="S3009" s="121" t="s">
        <v>1661</v>
      </c>
      <c r="T3009" s="122"/>
      <c r="U3009" s="22"/>
      <c r="V3009" s="123" t="s">
        <v>2103</v>
      </c>
      <c r="W3009" s="122">
        <v>3267</v>
      </c>
      <c r="X3009" s="221"/>
      <c r="Y3009" s="221"/>
      <c r="Z3009" s="221"/>
      <c r="AA3009" s="221"/>
      <c r="AB3009" s="223"/>
    </row>
    <row r="3010" spans="1:28" ht="17.100000000000001" customHeight="1" thickTop="1">
      <c r="A3010" s="226" t="s">
        <v>9417</v>
      </c>
      <c r="B3010" s="28">
        <v>45958</v>
      </c>
      <c r="C3010" s="25">
        <v>963</v>
      </c>
      <c r="D3010" s="13" t="s">
        <v>1658</v>
      </c>
      <c r="E3010" s="228"/>
      <c r="F3010" s="109" t="s">
        <v>9469</v>
      </c>
      <c r="G3010" s="24"/>
      <c r="H3010" s="230">
        <v>4</v>
      </c>
      <c r="I3010" s="220">
        <v>319000</v>
      </c>
      <c r="J3010" s="220">
        <f>I3010*0.1</f>
        <v>31900</v>
      </c>
      <c r="K3010" s="220">
        <v>0</v>
      </c>
      <c r="L3010" s="220">
        <v>9290</v>
      </c>
      <c r="M3010" s="220">
        <v>22000</v>
      </c>
      <c r="N3010" s="220">
        <f>SUM(I3010:M3011)</f>
        <v>382190</v>
      </c>
      <c r="O3010" s="224"/>
      <c r="P3010" s="110" t="s">
        <v>10013</v>
      </c>
      <c r="Q3010" s="15" t="s">
        <v>19</v>
      </c>
      <c r="R3010" s="205"/>
      <c r="S3010" s="189" t="s">
        <v>25387</v>
      </c>
      <c r="T3010" s="114"/>
      <c r="U3010" s="21"/>
      <c r="V3010" s="115">
        <v>45962</v>
      </c>
      <c r="W3010" s="116">
        <v>1274</v>
      </c>
      <c r="X3010" s="220">
        <v>425000</v>
      </c>
      <c r="Y3010" s="220">
        <f>X3010*0.1</f>
        <v>42500</v>
      </c>
      <c r="Z3010" s="220">
        <v>9290</v>
      </c>
      <c r="AA3010" s="220">
        <f>SUM(X3010:Z3010)</f>
        <v>476790</v>
      </c>
      <c r="AB3010" s="222">
        <v>45971</v>
      </c>
    </row>
    <row r="3011" spans="1:28" ht="17.100000000000001" customHeight="1" thickBot="1">
      <c r="A3011" s="227"/>
      <c r="B3011" s="27" t="s">
        <v>2029</v>
      </c>
      <c r="C3011" s="27">
        <v>162</v>
      </c>
      <c r="D3011" s="14" t="s">
        <v>2177</v>
      </c>
      <c r="E3011" s="229"/>
      <c r="F3011" s="117" t="s">
        <v>9443</v>
      </c>
      <c r="G3011" s="26">
        <v>56756</v>
      </c>
      <c r="H3011" s="231"/>
      <c r="I3011" s="221"/>
      <c r="J3011" s="221"/>
      <c r="K3011" s="221"/>
      <c r="L3011" s="221"/>
      <c r="M3011" s="221"/>
      <c r="N3011" s="221"/>
      <c r="O3011" s="225"/>
      <c r="P3011" s="118" t="s">
        <v>2031</v>
      </c>
      <c r="Q3011" s="16" t="s">
        <v>20</v>
      </c>
      <c r="R3011" s="17" t="s">
        <v>3343</v>
      </c>
      <c r="S3011" s="121" t="s">
        <v>1661</v>
      </c>
      <c r="T3011" s="122"/>
      <c r="U3011" s="22"/>
      <c r="V3011" s="123" t="s">
        <v>2472</v>
      </c>
      <c r="W3011" s="122">
        <v>62062</v>
      </c>
      <c r="X3011" s="221"/>
      <c r="Y3011" s="221"/>
      <c r="Z3011" s="221"/>
      <c r="AA3011" s="221"/>
      <c r="AB3011" s="223"/>
    </row>
    <row r="3012" spans="1:28" ht="17.100000000000001" customHeight="1" thickTop="1">
      <c r="A3012" s="226" t="s">
        <v>9418</v>
      </c>
      <c r="B3012" s="28">
        <v>45958</v>
      </c>
      <c r="C3012" s="25">
        <v>963</v>
      </c>
      <c r="D3012" s="13" t="s">
        <v>2158</v>
      </c>
      <c r="E3012" s="228"/>
      <c r="F3012" s="109" t="s">
        <v>9468</v>
      </c>
      <c r="G3012" s="24"/>
      <c r="H3012" s="230">
        <v>3.5</v>
      </c>
      <c r="I3012" s="220">
        <v>398000</v>
      </c>
      <c r="J3012" s="220">
        <f>I3012*0.1</f>
        <v>39800</v>
      </c>
      <c r="K3012" s="220">
        <v>0</v>
      </c>
      <c r="L3012" s="220">
        <v>7500</v>
      </c>
      <c r="M3012" s="220">
        <v>22000</v>
      </c>
      <c r="N3012" s="220">
        <f>SUM(I3012:M3013)</f>
        <v>467300</v>
      </c>
      <c r="O3012" s="224"/>
      <c r="P3012" s="110" t="s">
        <v>10021</v>
      </c>
      <c r="Q3012" s="15" t="s">
        <v>19</v>
      </c>
      <c r="R3012" s="205"/>
      <c r="S3012" s="189" t="s">
        <v>25387</v>
      </c>
      <c r="T3012" s="114"/>
      <c r="U3012" s="21"/>
      <c r="V3012" s="115">
        <v>45965</v>
      </c>
      <c r="W3012" s="116">
        <v>1916</v>
      </c>
      <c r="X3012" s="220">
        <v>439000</v>
      </c>
      <c r="Y3012" s="220">
        <f>X3012*0.1</f>
        <v>43900</v>
      </c>
      <c r="Z3012" s="220">
        <v>7500</v>
      </c>
      <c r="AA3012" s="220">
        <f>SUM(X3012:Z3012)</f>
        <v>490400</v>
      </c>
      <c r="AB3012" s="222">
        <v>45971</v>
      </c>
    </row>
    <row r="3013" spans="1:28" ht="17.100000000000001" customHeight="1" thickBot="1">
      <c r="A3013" s="227"/>
      <c r="B3013" s="27" t="s">
        <v>2029</v>
      </c>
      <c r="C3013" s="27">
        <v>163</v>
      </c>
      <c r="D3013" s="14" t="s">
        <v>1584</v>
      </c>
      <c r="E3013" s="229"/>
      <c r="F3013" s="117" t="s">
        <v>9444</v>
      </c>
      <c r="G3013" s="26">
        <v>22567</v>
      </c>
      <c r="H3013" s="231"/>
      <c r="I3013" s="221"/>
      <c r="J3013" s="221"/>
      <c r="K3013" s="221"/>
      <c r="L3013" s="221"/>
      <c r="M3013" s="221"/>
      <c r="N3013" s="221"/>
      <c r="O3013" s="225"/>
      <c r="P3013" s="118" t="s">
        <v>2031</v>
      </c>
      <c r="Q3013" s="16" t="s">
        <v>20</v>
      </c>
      <c r="R3013" s="17" t="s">
        <v>3343</v>
      </c>
      <c r="S3013" s="121" t="s">
        <v>1661</v>
      </c>
      <c r="T3013" s="122"/>
      <c r="U3013" s="22"/>
      <c r="V3013" s="123" t="s">
        <v>2103</v>
      </c>
      <c r="W3013" s="122">
        <v>3167</v>
      </c>
      <c r="X3013" s="221"/>
      <c r="Y3013" s="221"/>
      <c r="Z3013" s="221"/>
      <c r="AA3013" s="221"/>
      <c r="AB3013" s="223"/>
    </row>
    <row r="3014" spans="1:28" ht="17.100000000000001" customHeight="1" thickTop="1">
      <c r="A3014" s="226" t="s">
        <v>9419</v>
      </c>
      <c r="B3014" s="28">
        <v>45958</v>
      </c>
      <c r="C3014" s="25">
        <v>963</v>
      </c>
      <c r="D3014" s="13" t="s">
        <v>2158</v>
      </c>
      <c r="E3014" s="228"/>
      <c r="F3014" s="109" t="s">
        <v>9468</v>
      </c>
      <c r="G3014" s="24"/>
      <c r="H3014" s="230">
        <v>3.5</v>
      </c>
      <c r="I3014" s="220">
        <v>358000</v>
      </c>
      <c r="J3014" s="220">
        <f>I3014*0.1</f>
        <v>35800</v>
      </c>
      <c r="K3014" s="220">
        <v>0</v>
      </c>
      <c r="L3014" s="220">
        <v>7500</v>
      </c>
      <c r="M3014" s="220">
        <v>22000</v>
      </c>
      <c r="N3014" s="220">
        <f>SUM(I3014:M3015)</f>
        <v>423300</v>
      </c>
      <c r="O3014" s="224"/>
      <c r="P3014" s="110" t="s">
        <v>10035</v>
      </c>
      <c r="Q3014" s="15" t="s">
        <v>19</v>
      </c>
      <c r="R3014" s="205"/>
      <c r="S3014" s="189" t="s">
        <v>25387</v>
      </c>
      <c r="T3014" s="114"/>
      <c r="U3014" s="21"/>
      <c r="V3014" s="115">
        <v>45972</v>
      </c>
      <c r="W3014" s="116">
        <v>1917</v>
      </c>
      <c r="X3014" s="220">
        <v>406000</v>
      </c>
      <c r="Y3014" s="220">
        <f>X3014*0.1</f>
        <v>40600</v>
      </c>
      <c r="Z3014" s="220">
        <v>7500</v>
      </c>
      <c r="AA3014" s="220">
        <f>SUM(X3014:Z3014)</f>
        <v>454100</v>
      </c>
      <c r="AB3014" s="222"/>
    </row>
    <row r="3015" spans="1:28" ht="17.100000000000001" customHeight="1" thickBot="1">
      <c r="A3015" s="227"/>
      <c r="B3015" s="27" t="s">
        <v>2029</v>
      </c>
      <c r="C3015" s="27">
        <v>171</v>
      </c>
      <c r="D3015" s="14" t="s">
        <v>1584</v>
      </c>
      <c r="E3015" s="229"/>
      <c r="F3015" s="117" t="s">
        <v>9445</v>
      </c>
      <c r="G3015" s="26">
        <v>39007</v>
      </c>
      <c r="H3015" s="231"/>
      <c r="I3015" s="221"/>
      <c r="J3015" s="221"/>
      <c r="K3015" s="221"/>
      <c r="L3015" s="221"/>
      <c r="M3015" s="221"/>
      <c r="N3015" s="221"/>
      <c r="O3015" s="225"/>
      <c r="P3015" s="118" t="s">
        <v>2031</v>
      </c>
      <c r="Q3015" s="16" t="s">
        <v>20</v>
      </c>
      <c r="R3015" s="17" t="s">
        <v>3343</v>
      </c>
      <c r="S3015" s="121" t="s">
        <v>1661</v>
      </c>
      <c r="T3015" s="122"/>
      <c r="U3015" s="22"/>
      <c r="V3015" s="123" t="s">
        <v>2103</v>
      </c>
      <c r="W3015" s="122">
        <v>3135</v>
      </c>
      <c r="X3015" s="221"/>
      <c r="Y3015" s="221"/>
      <c r="Z3015" s="221"/>
      <c r="AA3015" s="221"/>
      <c r="AB3015" s="223"/>
    </row>
    <row r="3016" spans="1:28" ht="17.100000000000001" customHeight="1" thickTop="1">
      <c r="A3016" s="226" t="s">
        <v>9420</v>
      </c>
      <c r="B3016" s="28">
        <v>45958</v>
      </c>
      <c r="C3016" s="25">
        <v>963</v>
      </c>
      <c r="D3016" s="13" t="s">
        <v>2158</v>
      </c>
      <c r="E3016" s="228"/>
      <c r="F3016" s="109" t="s">
        <v>9470</v>
      </c>
      <c r="G3016" s="24"/>
      <c r="H3016" s="230">
        <v>3.5</v>
      </c>
      <c r="I3016" s="220">
        <v>258000</v>
      </c>
      <c r="J3016" s="220">
        <f>I3016*0.1</f>
        <v>25800</v>
      </c>
      <c r="K3016" s="220">
        <v>0</v>
      </c>
      <c r="L3016" s="220">
        <v>7140</v>
      </c>
      <c r="M3016" s="220">
        <v>22000</v>
      </c>
      <c r="N3016" s="220">
        <f>SUM(I3016:M3017)</f>
        <v>312940</v>
      </c>
      <c r="O3016" s="224"/>
      <c r="P3016" s="110" t="s">
        <v>10036</v>
      </c>
      <c r="Q3016" s="15" t="s">
        <v>19</v>
      </c>
      <c r="R3016" s="205"/>
      <c r="S3016" s="189" t="s">
        <v>25387</v>
      </c>
      <c r="T3016" s="114"/>
      <c r="U3016" s="21"/>
      <c r="V3016" s="115">
        <v>45969</v>
      </c>
      <c r="W3016" s="116">
        <v>1275</v>
      </c>
      <c r="X3016" s="220">
        <v>303000</v>
      </c>
      <c r="Y3016" s="220">
        <f>X3016*0.1</f>
        <v>30300</v>
      </c>
      <c r="Z3016" s="220">
        <v>7140</v>
      </c>
      <c r="AA3016" s="220">
        <f>SUM(X3016:Z3016)</f>
        <v>340440</v>
      </c>
      <c r="AB3016" s="222">
        <v>45972</v>
      </c>
    </row>
    <row r="3017" spans="1:28" ht="17.100000000000001" customHeight="1" thickBot="1">
      <c r="A3017" s="227"/>
      <c r="B3017" s="27" t="s">
        <v>2029</v>
      </c>
      <c r="C3017" s="27">
        <v>193</v>
      </c>
      <c r="D3017" s="14" t="s">
        <v>1584</v>
      </c>
      <c r="E3017" s="229"/>
      <c r="F3017" s="117" t="s">
        <v>9446</v>
      </c>
      <c r="G3017" s="26">
        <v>56625</v>
      </c>
      <c r="H3017" s="231"/>
      <c r="I3017" s="221"/>
      <c r="J3017" s="221"/>
      <c r="K3017" s="221"/>
      <c r="L3017" s="221"/>
      <c r="M3017" s="221"/>
      <c r="N3017" s="221"/>
      <c r="O3017" s="225"/>
      <c r="P3017" s="118" t="s">
        <v>2031</v>
      </c>
      <c r="Q3017" s="16" t="s">
        <v>20</v>
      </c>
      <c r="R3017" s="17" t="s">
        <v>3343</v>
      </c>
      <c r="S3017" s="121" t="s">
        <v>1661</v>
      </c>
      <c r="T3017" s="122"/>
      <c r="U3017" s="22"/>
      <c r="V3017" s="123" t="s">
        <v>2472</v>
      </c>
      <c r="W3017" s="122">
        <v>63200</v>
      </c>
      <c r="X3017" s="221"/>
      <c r="Y3017" s="221"/>
      <c r="Z3017" s="221"/>
      <c r="AA3017" s="221"/>
      <c r="AB3017" s="223"/>
    </row>
    <row r="3018" spans="1:28" ht="17.100000000000001" customHeight="1" thickTop="1">
      <c r="A3018" s="226" t="s">
        <v>9421</v>
      </c>
      <c r="B3018" s="28">
        <v>45958</v>
      </c>
      <c r="C3018" s="25">
        <v>963</v>
      </c>
      <c r="D3018" s="13" t="s">
        <v>2158</v>
      </c>
      <c r="E3018" s="228"/>
      <c r="F3018" s="109" t="s">
        <v>9468</v>
      </c>
      <c r="G3018" s="24"/>
      <c r="H3018" s="230">
        <v>3.5</v>
      </c>
      <c r="I3018" s="220">
        <v>358000</v>
      </c>
      <c r="J3018" s="220">
        <f>I3018*0.1</f>
        <v>35800</v>
      </c>
      <c r="K3018" s="220">
        <v>0</v>
      </c>
      <c r="L3018" s="220">
        <v>7500</v>
      </c>
      <c r="M3018" s="220">
        <v>22000</v>
      </c>
      <c r="N3018" s="220">
        <f>SUM(I3018:M3019)</f>
        <v>423300</v>
      </c>
      <c r="O3018" s="224"/>
      <c r="P3018" s="110" t="s">
        <v>10037</v>
      </c>
      <c r="Q3018" s="15" t="s">
        <v>19</v>
      </c>
      <c r="R3018" s="205"/>
      <c r="S3018" s="189" t="s">
        <v>25387</v>
      </c>
      <c r="T3018" s="114"/>
      <c r="U3018" s="21"/>
      <c r="V3018" s="115">
        <v>45972</v>
      </c>
      <c r="W3018" s="116">
        <v>1917</v>
      </c>
      <c r="X3018" s="220">
        <v>397000</v>
      </c>
      <c r="Y3018" s="220">
        <f>X3018*0.1</f>
        <v>39700</v>
      </c>
      <c r="Z3018" s="220">
        <v>7500</v>
      </c>
      <c r="AA3018" s="220">
        <f>SUM(X3018:Z3018)</f>
        <v>444200</v>
      </c>
      <c r="AB3018" s="222"/>
    </row>
    <row r="3019" spans="1:28" ht="17.100000000000001" customHeight="1" thickBot="1">
      <c r="A3019" s="227"/>
      <c r="B3019" s="27" t="s">
        <v>2029</v>
      </c>
      <c r="C3019" s="27">
        <v>200</v>
      </c>
      <c r="D3019" s="14" t="s">
        <v>1584</v>
      </c>
      <c r="E3019" s="229"/>
      <c r="F3019" s="117" t="s">
        <v>9447</v>
      </c>
      <c r="G3019" s="26">
        <v>30712</v>
      </c>
      <c r="H3019" s="231"/>
      <c r="I3019" s="221"/>
      <c r="J3019" s="221"/>
      <c r="K3019" s="221"/>
      <c r="L3019" s="221"/>
      <c r="M3019" s="221"/>
      <c r="N3019" s="221"/>
      <c r="O3019" s="225"/>
      <c r="P3019" s="118" t="s">
        <v>2031</v>
      </c>
      <c r="Q3019" s="16" t="s">
        <v>20</v>
      </c>
      <c r="R3019" s="17" t="s">
        <v>3343</v>
      </c>
      <c r="S3019" s="121" t="s">
        <v>1661</v>
      </c>
      <c r="T3019" s="122"/>
      <c r="U3019" s="22"/>
      <c r="V3019" s="123" t="s">
        <v>2103</v>
      </c>
      <c r="W3019" s="122">
        <v>3149</v>
      </c>
      <c r="X3019" s="221"/>
      <c r="Y3019" s="221"/>
      <c r="Z3019" s="221"/>
      <c r="AA3019" s="221"/>
      <c r="AB3019" s="223"/>
    </row>
    <row r="3020" spans="1:28" ht="17.100000000000001" customHeight="1" thickTop="1">
      <c r="A3020" s="226" t="s">
        <v>9422</v>
      </c>
      <c r="B3020" s="28">
        <v>45958</v>
      </c>
      <c r="C3020" s="25">
        <v>963</v>
      </c>
      <c r="D3020" s="13" t="s">
        <v>1021</v>
      </c>
      <c r="E3020" s="228"/>
      <c r="F3020" s="109" t="s">
        <v>9471</v>
      </c>
      <c r="G3020" s="24"/>
      <c r="H3020" s="230">
        <v>4</v>
      </c>
      <c r="I3020" s="220">
        <v>258000</v>
      </c>
      <c r="J3020" s="220">
        <f>I3020*0.1</f>
        <v>25800</v>
      </c>
      <c r="K3020" s="220">
        <v>0</v>
      </c>
      <c r="L3020" s="220">
        <v>8460</v>
      </c>
      <c r="M3020" s="220">
        <v>22000</v>
      </c>
      <c r="N3020" s="220">
        <f>SUM(I3020:M3021)</f>
        <v>314260</v>
      </c>
      <c r="O3020" s="224"/>
      <c r="P3020" s="110" t="s">
        <v>10019</v>
      </c>
      <c r="Q3020" s="15" t="s">
        <v>19</v>
      </c>
      <c r="R3020" s="205"/>
      <c r="S3020" s="189" t="s">
        <v>25387</v>
      </c>
      <c r="T3020" s="114"/>
      <c r="U3020" s="21"/>
      <c r="V3020" s="115">
        <v>45965</v>
      </c>
      <c r="W3020" s="116">
        <v>1916</v>
      </c>
      <c r="X3020" s="220">
        <v>331000</v>
      </c>
      <c r="Y3020" s="220">
        <f>X3020*0.1</f>
        <v>33100</v>
      </c>
      <c r="Z3020" s="220">
        <v>8460</v>
      </c>
      <c r="AA3020" s="220">
        <f>SUM(X3020:Z3020)</f>
        <v>372560</v>
      </c>
      <c r="AB3020" s="222">
        <v>45971</v>
      </c>
    </row>
    <row r="3021" spans="1:28" ht="17.100000000000001" customHeight="1" thickBot="1">
      <c r="A3021" s="227"/>
      <c r="B3021" s="27" t="s">
        <v>2029</v>
      </c>
      <c r="C3021" s="27">
        <v>1042</v>
      </c>
      <c r="D3021" s="14" t="s">
        <v>273</v>
      </c>
      <c r="E3021" s="229"/>
      <c r="F3021" s="117" t="s">
        <v>9448</v>
      </c>
      <c r="G3021" s="26">
        <v>59714</v>
      </c>
      <c r="H3021" s="231"/>
      <c r="I3021" s="221"/>
      <c r="J3021" s="221"/>
      <c r="K3021" s="221"/>
      <c r="L3021" s="221"/>
      <c r="M3021" s="221"/>
      <c r="N3021" s="221"/>
      <c r="O3021" s="225"/>
      <c r="P3021" s="118" t="s">
        <v>10020</v>
      </c>
      <c r="Q3021" s="16" t="s">
        <v>20</v>
      </c>
      <c r="R3021" s="17" t="s">
        <v>3343</v>
      </c>
      <c r="S3021" s="121" t="s">
        <v>1782</v>
      </c>
      <c r="T3021" s="122"/>
      <c r="U3021" s="22"/>
      <c r="V3021" s="123" t="s">
        <v>2103</v>
      </c>
      <c r="W3021" s="122">
        <v>3249</v>
      </c>
      <c r="X3021" s="221"/>
      <c r="Y3021" s="221"/>
      <c r="Z3021" s="221"/>
      <c r="AA3021" s="221"/>
      <c r="AB3021" s="223"/>
    </row>
    <row r="3022" spans="1:28" ht="17.100000000000001" customHeight="1" thickTop="1">
      <c r="A3022" s="226" t="s">
        <v>9423</v>
      </c>
      <c r="B3022" s="28">
        <v>45958</v>
      </c>
      <c r="C3022" s="25">
        <v>963</v>
      </c>
      <c r="D3022" s="13" t="s">
        <v>2900</v>
      </c>
      <c r="E3022" s="228"/>
      <c r="F3022" s="109" t="s">
        <v>3270</v>
      </c>
      <c r="G3022" s="24"/>
      <c r="H3022" s="230">
        <v>4</v>
      </c>
      <c r="I3022" s="220">
        <v>1048000</v>
      </c>
      <c r="J3022" s="220">
        <f>I3022*0.1</f>
        <v>104800</v>
      </c>
      <c r="K3022" s="220">
        <v>0</v>
      </c>
      <c r="L3022" s="220">
        <v>8110</v>
      </c>
      <c r="M3022" s="220">
        <v>22000</v>
      </c>
      <c r="N3022" s="220">
        <f>SUM(I3022:M3023)</f>
        <v>1182910</v>
      </c>
      <c r="O3022" s="224"/>
      <c r="P3022" s="110" t="s">
        <v>10038</v>
      </c>
      <c r="Q3022" s="15" t="s">
        <v>19</v>
      </c>
      <c r="R3022" s="205"/>
      <c r="S3022" s="189" t="s">
        <v>25491</v>
      </c>
      <c r="T3022" s="114"/>
      <c r="U3022" s="21"/>
      <c r="V3022" s="115">
        <v>45972</v>
      </c>
      <c r="W3022" s="116">
        <v>1917</v>
      </c>
      <c r="X3022" s="220">
        <v>1068000</v>
      </c>
      <c r="Y3022" s="220">
        <f>X3022*0.1</f>
        <v>106800</v>
      </c>
      <c r="Z3022" s="220">
        <v>8110</v>
      </c>
      <c r="AA3022" s="220">
        <f>SUM(X3022:Z3022)</f>
        <v>1182910</v>
      </c>
      <c r="AB3022" s="222"/>
    </row>
    <row r="3023" spans="1:28" ht="17.100000000000001" customHeight="1" thickBot="1">
      <c r="A3023" s="227"/>
      <c r="B3023" s="27" t="s">
        <v>2029</v>
      </c>
      <c r="C3023" s="27">
        <v>1047</v>
      </c>
      <c r="D3023" s="14" t="s">
        <v>1710</v>
      </c>
      <c r="E3023" s="229"/>
      <c r="F3023" s="117" t="s">
        <v>9449</v>
      </c>
      <c r="G3023" s="26">
        <v>55366</v>
      </c>
      <c r="H3023" s="231"/>
      <c r="I3023" s="221"/>
      <c r="J3023" s="221"/>
      <c r="K3023" s="221"/>
      <c r="L3023" s="221"/>
      <c r="M3023" s="221"/>
      <c r="N3023" s="221"/>
      <c r="O3023" s="225"/>
      <c r="P3023" s="118" t="s">
        <v>4946</v>
      </c>
      <c r="Q3023" s="16" t="s">
        <v>20</v>
      </c>
      <c r="R3023" s="17" t="s">
        <v>3343</v>
      </c>
      <c r="S3023" s="121" t="s">
        <v>9586</v>
      </c>
      <c r="T3023" s="122"/>
      <c r="U3023" s="22"/>
      <c r="V3023" s="123" t="s">
        <v>2103</v>
      </c>
      <c r="W3023" s="122">
        <v>3139</v>
      </c>
      <c r="X3023" s="221"/>
      <c r="Y3023" s="221"/>
      <c r="Z3023" s="221"/>
      <c r="AA3023" s="221"/>
      <c r="AB3023" s="223"/>
    </row>
    <row r="3024" spans="1:28" ht="17.100000000000001" customHeight="1" thickTop="1">
      <c r="A3024" s="226" t="s">
        <v>9424</v>
      </c>
      <c r="B3024" s="28">
        <v>45958</v>
      </c>
      <c r="C3024" s="25">
        <v>963</v>
      </c>
      <c r="D3024" s="13" t="s">
        <v>2900</v>
      </c>
      <c r="E3024" s="228"/>
      <c r="F3024" s="109" t="s">
        <v>3270</v>
      </c>
      <c r="G3024" s="24"/>
      <c r="H3024" s="230">
        <v>4</v>
      </c>
      <c r="I3024" s="220">
        <v>1048000</v>
      </c>
      <c r="J3024" s="220">
        <f>I3024*0.1</f>
        <v>104800</v>
      </c>
      <c r="K3024" s="220">
        <v>0</v>
      </c>
      <c r="L3024" s="220">
        <v>8110</v>
      </c>
      <c r="M3024" s="220">
        <v>22000</v>
      </c>
      <c r="N3024" s="220">
        <f>SUM(I3024:M3025)</f>
        <v>1182910</v>
      </c>
      <c r="O3024" s="224"/>
      <c r="P3024" s="110" t="s">
        <v>10023</v>
      </c>
      <c r="Q3024" s="15" t="s">
        <v>19</v>
      </c>
      <c r="R3024" s="205"/>
      <c r="S3024" s="189" t="s">
        <v>25491</v>
      </c>
      <c r="T3024" s="114"/>
      <c r="U3024" s="21"/>
      <c r="V3024" s="115">
        <v>45965</v>
      </c>
      <c r="W3024" s="116">
        <v>1916</v>
      </c>
      <c r="X3024" s="220">
        <v>1113000</v>
      </c>
      <c r="Y3024" s="220">
        <f>X3024*0.1</f>
        <v>111300</v>
      </c>
      <c r="Z3024" s="220">
        <v>8110</v>
      </c>
      <c r="AA3024" s="220">
        <f>SUM(X3024:Z3024)</f>
        <v>1232410</v>
      </c>
      <c r="AB3024" s="222">
        <v>45971</v>
      </c>
    </row>
    <row r="3025" spans="1:28" ht="17.100000000000001" customHeight="1" thickBot="1">
      <c r="A3025" s="227"/>
      <c r="B3025" s="27" t="s">
        <v>2029</v>
      </c>
      <c r="C3025" s="27">
        <v>1049</v>
      </c>
      <c r="D3025" s="14" t="s">
        <v>131</v>
      </c>
      <c r="E3025" s="229"/>
      <c r="F3025" s="117" t="s">
        <v>9450</v>
      </c>
      <c r="G3025" s="26">
        <v>56255</v>
      </c>
      <c r="H3025" s="231"/>
      <c r="I3025" s="221"/>
      <c r="J3025" s="221"/>
      <c r="K3025" s="221"/>
      <c r="L3025" s="221"/>
      <c r="M3025" s="221"/>
      <c r="N3025" s="221"/>
      <c r="O3025" s="225"/>
      <c r="P3025" s="118" t="s">
        <v>4946</v>
      </c>
      <c r="Q3025" s="16" t="s">
        <v>20</v>
      </c>
      <c r="R3025" s="17" t="s">
        <v>3343</v>
      </c>
      <c r="S3025" s="121" t="s">
        <v>9586</v>
      </c>
      <c r="T3025" s="122"/>
      <c r="U3025" s="22"/>
      <c r="V3025" s="123" t="s">
        <v>2103</v>
      </c>
      <c r="W3025" s="122">
        <v>3253</v>
      </c>
      <c r="X3025" s="221"/>
      <c r="Y3025" s="221"/>
      <c r="Z3025" s="221"/>
      <c r="AA3025" s="221"/>
      <c r="AB3025" s="223"/>
    </row>
    <row r="3026" spans="1:28" ht="17.100000000000001" customHeight="1" thickTop="1">
      <c r="A3026" s="226" t="s">
        <v>9425</v>
      </c>
      <c r="B3026" s="28">
        <v>45959</v>
      </c>
      <c r="C3026" s="25">
        <v>2328</v>
      </c>
      <c r="D3026" s="13" t="s">
        <v>1996</v>
      </c>
      <c r="E3026" s="228"/>
      <c r="F3026" s="109" t="s">
        <v>9399</v>
      </c>
      <c r="G3026" s="24" t="s">
        <v>4940</v>
      </c>
      <c r="H3026" s="230">
        <v>4.5</v>
      </c>
      <c r="I3026" s="220">
        <v>1315000</v>
      </c>
      <c r="J3026" s="220">
        <f>I3026*0.1</f>
        <v>131500</v>
      </c>
      <c r="K3026" s="220">
        <f>14300+1430</f>
        <v>15730</v>
      </c>
      <c r="L3026" s="220">
        <v>12450</v>
      </c>
      <c r="M3026" s="220">
        <v>16500</v>
      </c>
      <c r="N3026" s="220">
        <f>SUM(I3026:M3027)</f>
        <v>1491180</v>
      </c>
      <c r="O3026" s="224"/>
      <c r="P3026" s="110" t="s">
        <v>9707</v>
      </c>
      <c r="Q3026" s="15" t="s">
        <v>19</v>
      </c>
      <c r="R3026" s="205"/>
      <c r="S3026" s="189" t="s">
        <v>1406</v>
      </c>
      <c r="T3026" s="114"/>
      <c r="U3026" s="21" t="s">
        <v>10187</v>
      </c>
      <c r="V3026" s="115">
        <v>45983</v>
      </c>
      <c r="W3026" s="116">
        <v>1277</v>
      </c>
      <c r="X3026" s="220">
        <v>1465000</v>
      </c>
      <c r="Y3026" s="220">
        <f>X3026*0.1</f>
        <v>146500</v>
      </c>
      <c r="Z3026" s="220">
        <v>12450</v>
      </c>
      <c r="AA3026" s="220">
        <f>SUM(X3026:Z3026)</f>
        <v>1623950</v>
      </c>
      <c r="AB3026" s="222">
        <v>45987</v>
      </c>
    </row>
    <row r="3027" spans="1:28" ht="17.100000000000001" customHeight="1" thickBot="1">
      <c r="A3027" s="227"/>
      <c r="B3027" s="27" t="s">
        <v>3367</v>
      </c>
      <c r="C3027" s="27">
        <v>60060</v>
      </c>
      <c r="D3027" s="14" t="s">
        <v>898</v>
      </c>
      <c r="E3027" s="229"/>
      <c r="F3027" s="117" t="s">
        <v>9400</v>
      </c>
      <c r="G3027" s="26">
        <v>33073</v>
      </c>
      <c r="H3027" s="231"/>
      <c r="I3027" s="221"/>
      <c r="J3027" s="221"/>
      <c r="K3027" s="221"/>
      <c r="L3027" s="221"/>
      <c r="M3027" s="221"/>
      <c r="N3027" s="221"/>
      <c r="O3027" s="225"/>
      <c r="P3027" s="118" t="s">
        <v>2287</v>
      </c>
      <c r="Q3027" s="16" t="s">
        <v>20</v>
      </c>
      <c r="R3027" s="17" t="s">
        <v>9666</v>
      </c>
      <c r="S3027" s="121" t="s">
        <v>9708</v>
      </c>
      <c r="T3027" s="122"/>
      <c r="U3027" s="22"/>
      <c r="V3027" s="123" t="s">
        <v>2472</v>
      </c>
      <c r="W3027" s="122">
        <v>80156</v>
      </c>
      <c r="X3027" s="221"/>
      <c r="Y3027" s="221"/>
      <c r="Z3027" s="221"/>
      <c r="AA3027" s="221"/>
      <c r="AB3027" s="223"/>
    </row>
    <row r="3028" spans="1:28" ht="17.100000000000001" customHeight="1" thickTop="1">
      <c r="A3028" s="226" t="s">
        <v>9426</v>
      </c>
      <c r="B3028" s="28">
        <v>45959</v>
      </c>
      <c r="C3028" s="25">
        <v>2328</v>
      </c>
      <c r="D3028" s="13" t="s">
        <v>1915</v>
      </c>
      <c r="E3028" s="228"/>
      <c r="F3028" s="109" t="s">
        <v>9401</v>
      </c>
      <c r="G3028" s="24"/>
      <c r="H3028" s="230">
        <v>4.5</v>
      </c>
      <c r="I3028" s="220">
        <v>675000</v>
      </c>
      <c r="J3028" s="220">
        <f>I3028*0.1</f>
        <v>67500</v>
      </c>
      <c r="K3028" s="220">
        <v>0</v>
      </c>
      <c r="L3028" s="220">
        <v>19440</v>
      </c>
      <c r="M3028" s="220">
        <v>16500</v>
      </c>
      <c r="N3028" s="220">
        <f>SUM(I3028:M3029)</f>
        <v>778440</v>
      </c>
      <c r="O3028" s="224"/>
      <c r="P3028" s="110" t="s">
        <v>9745</v>
      </c>
      <c r="Q3028" s="15" t="s">
        <v>19</v>
      </c>
      <c r="R3028" s="205"/>
      <c r="S3028" s="189" t="s">
        <v>1406</v>
      </c>
      <c r="T3028" s="114"/>
      <c r="U3028" s="21"/>
      <c r="V3028" s="115">
        <v>46018</v>
      </c>
      <c r="W3028" s="116">
        <v>1282</v>
      </c>
      <c r="X3028" s="220">
        <v>730000</v>
      </c>
      <c r="Y3028" s="220">
        <f>X3028*0.1</f>
        <v>73000</v>
      </c>
      <c r="Z3028" s="220">
        <v>19440</v>
      </c>
      <c r="AA3028" s="220">
        <f>SUM(X3028:Z3028)</f>
        <v>822440</v>
      </c>
      <c r="AB3028" s="222">
        <v>46028</v>
      </c>
    </row>
    <row r="3029" spans="1:28" ht="17.100000000000001" customHeight="1" thickBot="1">
      <c r="A3029" s="227"/>
      <c r="B3029" s="27" t="s">
        <v>3367</v>
      </c>
      <c r="C3029" s="27">
        <v>60085</v>
      </c>
      <c r="D3029" s="14" t="s">
        <v>273</v>
      </c>
      <c r="E3029" s="229"/>
      <c r="F3029" s="117" t="s">
        <v>9402</v>
      </c>
      <c r="G3029" s="26">
        <v>81854</v>
      </c>
      <c r="H3029" s="231"/>
      <c r="I3029" s="221"/>
      <c r="J3029" s="221"/>
      <c r="K3029" s="221"/>
      <c r="L3029" s="221"/>
      <c r="M3029" s="221"/>
      <c r="N3029" s="221"/>
      <c r="O3029" s="225"/>
      <c r="P3029" s="118" t="s">
        <v>4711</v>
      </c>
      <c r="Q3029" s="16" t="s">
        <v>20</v>
      </c>
      <c r="R3029" s="17" t="s">
        <v>9744</v>
      </c>
      <c r="S3029" s="126" t="s">
        <v>2784</v>
      </c>
      <c r="T3029" s="122"/>
      <c r="U3029" s="22"/>
      <c r="V3029" s="123" t="s">
        <v>7160</v>
      </c>
      <c r="W3029" s="122">
        <v>80135</v>
      </c>
      <c r="X3029" s="221"/>
      <c r="Y3029" s="221"/>
      <c r="Z3029" s="221"/>
      <c r="AA3029" s="221"/>
      <c r="AB3029" s="223"/>
    </row>
    <row r="3030" spans="1:28" ht="17.100000000000001" customHeight="1" thickTop="1">
      <c r="A3030" s="226" t="s">
        <v>9427</v>
      </c>
      <c r="B3030" s="28">
        <v>45959</v>
      </c>
      <c r="C3030" s="25">
        <v>2328</v>
      </c>
      <c r="D3030" s="13" t="s">
        <v>1871</v>
      </c>
      <c r="E3030" s="228"/>
      <c r="F3030" s="109" t="s">
        <v>9403</v>
      </c>
      <c r="G3030" s="24"/>
      <c r="H3030" s="230">
        <v>4</v>
      </c>
      <c r="I3030" s="220">
        <v>930000</v>
      </c>
      <c r="J3030" s="220">
        <f>I3030*0.1</f>
        <v>93000</v>
      </c>
      <c r="K3030" s="220">
        <v>0</v>
      </c>
      <c r="L3030" s="220">
        <v>12370</v>
      </c>
      <c r="M3030" s="220">
        <v>16500</v>
      </c>
      <c r="N3030" s="220">
        <f>SUM(I3030:M3031)</f>
        <v>1051870</v>
      </c>
      <c r="O3030" s="224"/>
      <c r="P3030" s="110" t="s">
        <v>9709</v>
      </c>
      <c r="Q3030" s="15" t="s">
        <v>19</v>
      </c>
      <c r="R3030" s="205"/>
      <c r="S3030" s="189"/>
      <c r="T3030" s="114"/>
      <c r="U3030" s="21"/>
      <c r="V3030" s="115"/>
      <c r="W3030" s="116"/>
      <c r="X3030" s="220"/>
      <c r="Y3030" s="220">
        <f>X3030*0.1</f>
        <v>0</v>
      </c>
      <c r="Z3030" s="220"/>
      <c r="AA3030" s="220">
        <f>SUM(X3030:Z3030)</f>
        <v>0</v>
      </c>
      <c r="AB3030" s="222"/>
    </row>
    <row r="3031" spans="1:28" ht="17.100000000000001" customHeight="1" thickBot="1">
      <c r="A3031" s="227"/>
      <c r="B3031" s="27" t="s">
        <v>3367</v>
      </c>
      <c r="C3031" s="27">
        <v>60109</v>
      </c>
      <c r="D3031" s="14" t="s">
        <v>1584</v>
      </c>
      <c r="E3031" s="229"/>
      <c r="F3031" s="117" t="s">
        <v>9404</v>
      </c>
      <c r="G3031" s="26">
        <v>47393</v>
      </c>
      <c r="H3031" s="231"/>
      <c r="I3031" s="221"/>
      <c r="J3031" s="221"/>
      <c r="K3031" s="221"/>
      <c r="L3031" s="221"/>
      <c r="M3031" s="221"/>
      <c r="N3031" s="221"/>
      <c r="O3031" s="225"/>
      <c r="P3031" s="118" t="s">
        <v>9710</v>
      </c>
      <c r="Q3031" s="16" t="s">
        <v>20</v>
      </c>
      <c r="R3031" s="17" t="s">
        <v>9666</v>
      </c>
      <c r="S3031" s="121" t="s">
        <v>9831</v>
      </c>
      <c r="T3031" s="122"/>
      <c r="U3031" s="22"/>
      <c r="V3031" s="123"/>
      <c r="W3031" s="122"/>
      <c r="X3031" s="221"/>
      <c r="Y3031" s="221"/>
      <c r="Z3031" s="221"/>
      <c r="AA3031" s="221"/>
      <c r="AB3031" s="223"/>
    </row>
    <row r="3032" spans="1:28" ht="17.100000000000001" customHeight="1" thickTop="1">
      <c r="A3032" s="226" t="s">
        <v>9482</v>
      </c>
      <c r="B3032" s="28">
        <v>45959</v>
      </c>
      <c r="C3032" s="25">
        <v>990</v>
      </c>
      <c r="D3032" s="13" t="s">
        <v>1839</v>
      </c>
      <c r="E3032" s="228"/>
      <c r="F3032" s="109" t="s">
        <v>5334</v>
      </c>
      <c r="G3032" s="24" t="s">
        <v>3582</v>
      </c>
      <c r="H3032" s="230">
        <v>4</v>
      </c>
      <c r="I3032" s="220">
        <v>238000</v>
      </c>
      <c r="J3032" s="220">
        <f>I3032*0.1</f>
        <v>23800</v>
      </c>
      <c r="K3032" s="220">
        <v>0</v>
      </c>
      <c r="L3032" s="220">
        <v>7950</v>
      </c>
      <c r="M3032" s="220">
        <v>9900</v>
      </c>
      <c r="N3032" s="220">
        <f>SUM(I3032:M3033)</f>
        <v>279650</v>
      </c>
      <c r="O3032" s="224"/>
      <c r="P3032" s="110" t="s">
        <v>9485</v>
      </c>
      <c r="Q3032" s="15" t="s">
        <v>19</v>
      </c>
      <c r="R3032" s="205"/>
      <c r="S3032" s="189"/>
      <c r="T3032" s="114"/>
      <c r="U3032" s="85" t="s">
        <v>9485</v>
      </c>
      <c r="V3032" s="115">
        <v>45976</v>
      </c>
      <c r="W3032" s="116">
        <v>1276</v>
      </c>
      <c r="X3032" s="220">
        <v>280000</v>
      </c>
      <c r="Y3032" s="220">
        <f>X3032*0.1</f>
        <v>28000</v>
      </c>
      <c r="Z3032" s="220">
        <v>7950</v>
      </c>
      <c r="AA3032" s="220">
        <f>SUM(X3032:Z3032)</f>
        <v>315950</v>
      </c>
      <c r="AB3032" s="222">
        <v>45986</v>
      </c>
    </row>
    <row r="3033" spans="1:28" ht="17.100000000000001" customHeight="1" thickBot="1">
      <c r="A3033" s="227"/>
      <c r="B3033" s="27" t="s">
        <v>2747</v>
      </c>
      <c r="C3033" s="27">
        <v>10164</v>
      </c>
      <c r="D3033" s="14" t="s">
        <v>3792</v>
      </c>
      <c r="E3033" s="229"/>
      <c r="F3033" s="117" t="s">
        <v>9484</v>
      </c>
      <c r="G3033" s="26">
        <v>134908</v>
      </c>
      <c r="H3033" s="231"/>
      <c r="I3033" s="221"/>
      <c r="J3033" s="221"/>
      <c r="K3033" s="221"/>
      <c r="L3033" s="221"/>
      <c r="M3033" s="221"/>
      <c r="N3033" s="221"/>
      <c r="O3033" s="225"/>
      <c r="P3033" s="118" t="s">
        <v>9960</v>
      </c>
      <c r="Q3033" s="16" t="s">
        <v>20</v>
      </c>
      <c r="R3033" s="17" t="s">
        <v>9944</v>
      </c>
      <c r="S3033" s="121" t="s">
        <v>169</v>
      </c>
      <c r="T3033" s="122"/>
      <c r="U3033" s="22"/>
      <c r="V3033" s="123" t="s">
        <v>6641</v>
      </c>
      <c r="W3033" s="122">
        <v>63080</v>
      </c>
      <c r="X3033" s="221"/>
      <c r="Y3033" s="221"/>
      <c r="Z3033" s="221"/>
      <c r="AA3033" s="221"/>
      <c r="AB3033" s="223"/>
    </row>
    <row r="3034" spans="1:28" ht="17.100000000000001" customHeight="1" thickTop="1">
      <c r="A3034" s="226" t="s">
        <v>9483</v>
      </c>
      <c r="B3034" s="28">
        <v>45959</v>
      </c>
      <c r="C3034" s="25">
        <v>990</v>
      </c>
      <c r="D3034" s="13" t="s">
        <v>1816</v>
      </c>
      <c r="E3034" s="228"/>
      <c r="F3034" s="109" t="s">
        <v>9486</v>
      </c>
      <c r="G3034" s="24" t="s">
        <v>9488</v>
      </c>
      <c r="H3034" s="230">
        <v>4</v>
      </c>
      <c r="I3034" s="220">
        <v>154000</v>
      </c>
      <c r="J3034" s="220">
        <f>I3034*0.1</f>
        <v>15400</v>
      </c>
      <c r="K3034" s="220">
        <v>0</v>
      </c>
      <c r="L3034" s="220">
        <v>9790</v>
      </c>
      <c r="M3034" s="220">
        <v>9900</v>
      </c>
      <c r="N3034" s="220">
        <f>SUM(I3034:M3035)</f>
        <v>189090</v>
      </c>
      <c r="O3034" s="224"/>
      <c r="P3034" s="110" t="s">
        <v>9489</v>
      </c>
      <c r="Q3034" s="15" t="s">
        <v>19</v>
      </c>
      <c r="R3034" s="205"/>
      <c r="S3034" s="189" t="s">
        <v>1276</v>
      </c>
      <c r="T3034" s="114"/>
      <c r="U3034" s="85" t="s">
        <v>9489</v>
      </c>
      <c r="V3034" s="115">
        <v>45976</v>
      </c>
      <c r="W3034" s="116">
        <v>1276</v>
      </c>
      <c r="X3034" s="220">
        <v>262000</v>
      </c>
      <c r="Y3034" s="220">
        <f>X3034*0.1</f>
        <v>26200</v>
      </c>
      <c r="Z3034" s="220">
        <v>9790</v>
      </c>
      <c r="AA3034" s="220">
        <f>SUM(X3034:Z3034)</f>
        <v>297990</v>
      </c>
      <c r="AB3034" s="222">
        <v>45980</v>
      </c>
    </row>
    <row r="3035" spans="1:28" ht="17.100000000000001" customHeight="1" thickBot="1">
      <c r="A3035" s="227"/>
      <c r="B3035" s="27" t="s">
        <v>2747</v>
      </c>
      <c r="C3035" s="27">
        <v>10298</v>
      </c>
      <c r="D3035" s="14" t="s">
        <v>3274</v>
      </c>
      <c r="E3035" s="229"/>
      <c r="F3035" s="117" t="s">
        <v>9487</v>
      </c>
      <c r="G3035" s="26">
        <v>109640</v>
      </c>
      <c r="H3035" s="231"/>
      <c r="I3035" s="221"/>
      <c r="J3035" s="221"/>
      <c r="K3035" s="221"/>
      <c r="L3035" s="221"/>
      <c r="M3035" s="221"/>
      <c r="N3035" s="221"/>
      <c r="O3035" s="225"/>
      <c r="P3035" s="118" t="s">
        <v>9961</v>
      </c>
      <c r="Q3035" s="16" t="s">
        <v>20</v>
      </c>
      <c r="R3035" s="17" t="s">
        <v>9944</v>
      </c>
      <c r="S3035" s="121" t="s">
        <v>1923</v>
      </c>
      <c r="T3035" s="122"/>
      <c r="U3035" s="22"/>
      <c r="V3035" s="123" t="s">
        <v>10781</v>
      </c>
      <c r="W3035" s="122">
        <v>90345</v>
      </c>
      <c r="X3035" s="221"/>
      <c r="Y3035" s="221"/>
      <c r="Z3035" s="221"/>
      <c r="AA3035" s="221"/>
      <c r="AB3035" s="223"/>
    </row>
    <row r="3036" spans="1:28" ht="17.100000000000001" customHeight="1" thickTop="1">
      <c r="A3036" s="226" t="s">
        <v>9508</v>
      </c>
      <c r="B3036" s="28">
        <v>45960</v>
      </c>
      <c r="C3036" s="25">
        <v>1304</v>
      </c>
      <c r="D3036" s="13" t="s">
        <v>2892</v>
      </c>
      <c r="E3036" s="228"/>
      <c r="F3036" s="109" t="s">
        <v>1916</v>
      </c>
      <c r="G3036" s="24" t="s">
        <v>2894</v>
      </c>
      <c r="H3036" s="230">
        <v>4.5</v>
      </c>
      <c r="I3036" s="220">
        <v>1250000</v>
      </c>
      <c r="J3036" s="220">
        <f>I3036*0.1</f>
        <v>125000</v>
      </c>
      <c r="K3036" s="220">
        <f>14300+1430</f>
        <v>15730</v>
      </c>
      <c r="L3036" s="220">
        <v>17600</v>
      </c>
      <c r="M3036" s="220">
        <v>14300</v>
      </c>
      <c r="N3036" s="220">
        <f>SUM(I3036:M3037)</f>
        <v>1422630</v>
      </c>
      <c r="O3036" s="224"/>
      <c r="P3036" s="110" t="s">
        <v>9510</v>
      </c>
      <c r="Q3036" s="15" t="s">
        <v>19</v>
      </c>
      <c r="R3036" s="205"/>
      <c r="S3036" s="189" t="s">
        <v>1306</v>
      </c>
      <c r="T3036" s="114"/>
      <c r="U3036" s="21"/>
      <c r="V3036" s="115">
        <v>45976</v>
      </c>
      <c r="W3036" s="116">
        <v>1276</v>
      </c>
      <c r="X3036" s="220">
        <v>1355000</v>
      </c>
      <c r="Y3036" s="220">
        <f>X3036*0.1</f>
        <v>135500</v>
      </c>
      <c r="Z3036" s="220">
        <v>17600</v>
      </c>
      <c r="AA3036" s="220">
        <f>SUM(X3036:Z3036)</f>
        <v>1508100</v>
      </c>
      <c r="AB3036" s="222">
        <v>45979</v>
      </c>
    </row>
    <row r="3037" spans="1:28" ht="17.100000000000001" customHeight="1" thickBot="1">
      <c r="A3037" s="227"/>
      <c r="B3037" s="27" t="s">
        <v>1735</v>
      </c>
      <c r="C3037" s="27">
        <v>342</v>
      </c>
      <c r="D3037" s="14" t="s">
        <v>1568</v>
      </c>
      <c r="E3037" s="229"/>
      <c r="F3037" s="117" t="s">
        <v>9509</v>
      </c>
      <c r="G3037" s="26">
        <v>21298</v>
      </c>
      <c r="H3037" s="231"/>
      <c r="I3037" s="221"/>
      <c r="J3037" s="221"/>
      <c r="K3037" s="221"/>
      <c r="L3037" s="221"/>
      <c r="M3037" s="221"/>
      <c r="N3037" s="221"/>
      <c r="O3037" s="225"/>
      <c r="P3037" s="118" t="s">
        <v>9743</v>
      </c>
      <c r="Q3037" s="16" t="s">
        <v>20</v>
      </c>
      <c r="R3037" s="17" t="s">
        <v>9744</v>
      </c>
      <c r="S3037" s="121" t="s">
        <v>1606</v>
      </c>
      <c r="T3037" s="122"/>
      <c r="U3037" s="22" t="s">
        <v>3427</v>
      </c>
      <c r="V3037" s="123" t="s">
        <v>10781</v>
      </c>
      <c r="W3037" s="122">
        <v>80244</v>
      </c>
      <c r="X3037" s="221"/>
      <c r="Y3037" s="221"/>
      <c r="Z3037" s="221"/>
      <c r="AA3037" s="221"/>
      <c r="AB3037" s="223"/>
    </row>
    <row r="3038" spans="1:28" ht="17.100000000000001" customHeight="1" thickTop="1">
      <c r="A3038" s="233" t="s">
        <v>9555</v>
      </c>
      <c r="B3038" s="28">
        <v>45960</v>
      </c>
      <c r="C3038" s="25"/>
      <c r="D3038" s="13" t="s">
        <v>1908</v>
      </c>
      <c r="E3038" s="228"/>
      <c r="F3038" s="109" t="s">
        <v>9557</v>
      </c>
      <c r="G3038" s="24"/>
      <c r="H3038" s="230"/>
      <c r="I3038" s="220">
        <v>700000</v>
      </c>
      <c r="J3038" s="220">
        <v>0</v>
      </c>
      <c r="K3038" s="220">
        <v>0</v>
      </c>
      <c r="L3038" s="220">
        <v>0</v>
      </c>
      <c r="M3038" s="220">
        <v>0</v>
      </c>
      <c r="N3038" s="220">
        <f>SUM(I3038:M3039)</f>
        <v>700000</v>
      </c>
      <c r="O3038" s="224"/>
      <c r="P3038" s="110" t="s">
        <v>9559</v>
      </c>
      <c r="Q3038" s="15" t="s">
        <v>19</v>
      </c>
      <c r="R3038" s="205"/>
      <c r="S3038" s="189"/>
      <c r="T3038" s="114"/>
      <c r="U3038" s="21"/>
      <c r="V3038" s="115">
        <v>46039</v>
      </c>
      <c r="W3038" s="116">
        <v>1284</v>
      </c>
      <c r="X3038" s="220">
        <v>965000</v>
      </c>
      <c r="Y3038" s="220">
        <f>X3038*0.1</f>
        <v>96500</v>
      </c>
      <c r="Z3038" s="220">
        <v>20320</v>
      </c>
      <c r="AA3038" s="220">
        <f>SUM(X3038:Z3038)</f>
        <v>1081820</v>
      </c>
      <c r="AB3038" s="222">
        <v>46042</v>
      </c>
    </row>
    <row r="3039" spans="1:28" ht="17.100000000000001" customHeight="1" thickBot="1">
      <c r="A3039" s="234"/>
      <c r="B3039" s="27" t="s">
        <v>9556</v>
      </c>
      <c r="C3039" s="27"/>
      <c r="D3039" s="14"/>
      <c r="E3039" s="229"/>
      <c r="F3039" s="117" t="s">
        <v>9558</v>
      </c>
      <c r="G3039" s="26"/>
      <c r="H3039" s="231"/>
      <c r="I3039" s="221"/>
      <c r="J3039" s="221"/>
      <c r="K3039" s="221"/>
      <c r="L3039" s="221"/>
      <c r="M3039" s="221"/>
      <c r="N3039" s="221"/>
      <c r="O3039" s="225"/>
      <c r="P3039" s="118" t="s">
        <v>9560</v>
      </c>
      <c r="Q3039" s="16" t="s">
        <v>20</v>
      </c>
      <c r="R3039" s="17" t="s">
        <v>9475</v>
      </c>
      <c r="S3039" s="121" t="s">
        <v>169</v>
      </c>
      <c r="T3039" s="122"/>
      <c r="U3039" s="22" t="s">
        <v>50</v>
      </c>
      <c r="V3039" s="123" t="s">
        <v>7160</v>
      </c>
      <c r="W3039" s="122">
        <v>81038</v>
      </c>
      <c r="X3039" s="221"/>
      <c r="Y3039" s="221"/>
      <c r="Z3039" s="221"/>
      <c r="AA3039" s="221"/>
      <c r="AB3039" s="223"/>
    </row>
    <row r="3040" spans="1:28" ht="17.100000000000001" customHeight="1" thickTop="1">
      <c r="A3040" s="226" t="s">
        <v>9561</v>
      </c>
      <c r="B3040" s="28">
        <v>45960</v>
      </c>
      <c r="C3040" s="25">
        <v>2000</v>
      </c>
      <c r="D3040" s="13" t="s">
        <v>3327</v>
      </c>
      <c r="E3040" s="228"/>
      <c r="F3040" s="109" t="s">
        <v>6672</v>
      </c>
      <c r="G3040" s="24" t="s">
        <v>3345</v>
      </c>
      <c r="H3040" s="232" t="s">
        <v>1705</v>
      </c>
      <c r="I3040" s="220">
        <v>692000</v>
      </c>
      <c r="J3040" s="220">
        <f>I3040*0.1</f>
        <v>69200</v>
      </c>
      <c r="K3040" s="220">
        <v>0</v>
      </c>
      <c r="L3040" s="220">
        <v>9080</v>
      </c>
      <c r="M3040" s="220">
        <v>22000</v>
      </c>
      <c r="N3040" s="220">
        <f>SUM(I3040:M3041)</f>
        <v>792280</v>
      </c>
      <c r="O3040" s="224"/>
      <c r="P3040" s="110" t="s">
        <v>9452</v>
      </c>
      <c r="Q3040" s="15" t="s">
        <v>19</v>
      </c>
      <c r="R3040" s="205"/>
      <c r="S3040" s="189" t="s">
        <v>25566</v>
      </c>
      <c r="T3040" s="114"/>
      <c r="U3040" s="21"/>
      <c r="V3040" s="115">
        <v>46004</v>
      </c>
      <c r="W3040" s="116">
        <v>1280</v>
      </c>
      <c r="X3040" s="220">
        <v>760000</v>
      </c>
      <c r="Y3040" s="220">
        <f>X3040*0.1</f>
        <v>76000</v>
      </c>
      <c r="Z3040" s="220">
        <v>9080</v>
      </c>
      <c r="AA3040" s="220">
        <f>SUM(X3040:Z3040)</f>
        <v>845080</v>
      </c>
      <c r="AB3040" s="222">
        <v>46008</v>
      </c>
    </row>
    <row r="3041" spans="1:28" ht="17.100000000000001" customHeight="1" thickBot="1">
      <c r="A3041" s="227"/>
      <c r="B3041" s="27" t="s">
        <v>2171</v>
      </c>
      <c r="C3041" s="27">
        <v>50247</v>
      </c>
      <c r="D3041" s="14" t="s">
        <v>2559</v>
      </c>
      <c r="E3041" s="229"/>
      <c r="F3041" s="117" t="s">
        <v>9451</v>
      </c>
      <c r="G3041" s="26">
        <v>60407</v>
      </c>
      <c r="H3041" s="231"/>
      <c r="I3041" s="221"/>
      <c r="J3041" s="221"/>
      <c r="K3041" s="221"/>
      <c r="L3041" s="221"/>
      <c r="M3041" s="221"/>
      <c r="N3041" s="221"/>
      <c r="O3041" s="225"/>
      <c r="P3041" s="118" t="s">
        <v>10039</v>
      </c>
      <c r="Q3041" s="16" t="s">
        <v>20</v>
      </c>
      <c r="R3041" s="17" t="s">
        <v>3343</v>
      </c>
      <c r="S3041" s="121" t="s">
        <v>10040</v>
      </c>
      <c r="T3041" s="122" t="s">
        <v>9868</v>
      </c>
      <c r="U3041" s="22"/>
      <c r="V3041" s="123" t="s">
        <v>7160</v>
      </c>
      <c r="W3041" s="122">
        <v>60157</v>
      </c>
      <c r="X3041" s="221"/>
      <c r="Y3041" s="221"/>
      <c r="Z3041" s="221"/>
      <c r="AA3041" s="221"/>
      <c r="AB3041" s="223"/>
    </row>
    <row r="3042" spans="1:28" ht="16.5" customHeight="1" thickTop="1">
      <c r="A3042" s="226" t="s">
        <v>9562</v>
      </c>
      <c r="B3042" s="28">
        <v>45960</v>
      </c>
      <c r="C3042" s="25">
        <v>2132</v>
      </c>
      <c r="D3042" s="13" t="s">
        <v>1816</v>
      </c>
      <c r="E3042" s="228"/>
      <c r="F3042" s="109" t="s">
        <v>9454</v>
      </c>
      <c r="G3042" s="24" t="s">
        <v>7131</v>
      </c>
      <c r="H3042" s="230">
        <v>3.5</v>
      </c>
      <c r="I3042" s="220">
        <v>326000</v>
      </c>
      <c r="J3042" s="220">
        <f>I3042*0.1</f>
        <v>32600</v>
      </c>
      <c r="K3042" s="220">
        <v>0</v>
      </c>
      <c r="L3042" s="220">
        <v>8580</v>
      </c>
      <c r="M3042" s="220">
        <v>13750</v>
      </c>
      <c r="N3042" s="220">
        <f>SUM(I3042:M3043)</f>
        <v>380930</v>
      </c>
      <c r="O3042" s="224"/>
      <c r="P3042" s="110" t="s">
        <v>9456</v>
      </c>
      <c r="Q3042" s="15" t="s">
        <v>19</v>
      </c>
      <c r="R3042" s="205"/>
      <c r="S3042" s="189"/>
      <c r="T3042" s="114" t="s">
        <v>11796</v>
      </c>
      <c r="U3042" s="21"/>
      <c r="V3042" s="115">
        <v>45990</v>
      </c>
      <c r="W3042" s="116">
        <v>1278</v>
      </c>
      <c r="X3042" s="220">
        <v>365000</v>
      </c>
      <c r="Y3042" s="220">
        <f>X3042*0.1</f>
        <v>36500</v>
      </c>
      <c r="Z3042" s="220">
        <v>8580</v>
      </c>
      <c r="AA3042" s="220">
        <f>SUM(X3042:Z3042)</f>
        <v>410080</v>
      </c>
      <c r="AB3042" s="222">
        <v>45994</v>
      </c>
    </row>
    <row r="3043" spans="1:28" ht="17.100000000000001" customHeight="1" thickBot="1">
      <c r="A3043" s="227"/>
      <c r="B3043" s="27" t="s">
        <v>3228</v>
      </c>
      <c r="C3043" s="27">
        <v>62</v>
      </c>
      <c r="D3043" s="14" t="s">
        <v>3274</v>
      </c>
      <c r="E3043" s="229"/>
      <c r="F3043" s="117" t="s">
        <v>9455</v>
      </c>
      <c r="G3043" s="26">
        <v>26660</v>
      </c>
      <c r="H3043" s="231"/>
      <c r="I3043" s="221"/>
      <c r="J3043" s="221"/>
      <c r="K3043" s="221"/>
      <c r="L3043" s="221"/>
      <c r="M3043" s="221"/>
      <c r="N3043" s="221"/>
      <c r="O3043" s="225"/>
      <c r="P3043" s="118" t="s">
        <v>9963</v>
      </c>
      <c r="Q3043" s="16" t="s">
        <v>20</v>
      </c>
      <c r="R3043" s="17" t="s">
        <v>9944</v>
      </c>
      <c r="S3043" s="121" t="s">
        <v>10105</v>
      </c>
      <c r="T3043" s="122" t="s">
        <v>11795</v>
      </c>
      <c r="U3043" s="22"/>
      <c r="V3043" s="123" t="s">
        <v>2472</v>
      </c>
      <c r="W3043" s="122">
        <v>60005</v>
      </c>
      <c r="X3043" s="221"/>
      <c r="Y3043" s="221"/>
      <c r="Z3043" s="221"/>
      <c r="AA3043" s="221"/>
      <c r="AB3043" s="223"/>
    </row>
    <row r="3044" spans="1:28" ht="17.100000000000001" customHeight="1" thickTop="1">
      <c r="A3044" s="226" t="s">
        <v>9563</v>
      </c>
      <c r="B3044" s="28">
        <v>45960</v>
      </c>
      <c r="C3044" s="25">
        <v>2132</v>
      </c>
      <c r="D3044" s="13" t="s">
        <v>1676</v>
      </c>
      <c r="E3044" s="228"/>
      <c r="F3044" s="109" t="s">
        <v>9457</v>
      </c>
      <c r="G3044" s="24" t="s">
        <v>1551</v>
      </c>
      <c r="H3044" s="230">
        <v>3.5</v>
      </c>
      <c r="I3044" s="220">
        <v>157000</v>
      </c>
      <c r="J3044" s="220">
        <f>I3044*0.1</f>
        <v>15700</v>
      </c>
      <c r="K3044" s="220">
        <v>0</v>
      </c>
      <c r="L3044" s="220">
        <v>7950</v>
      </c>
      <c r="M3044" s="220">
        <v>13750</v>
      </c>
      <c r="N3044" s="220">
        <f>SUM(I3044:M3045)</f>
        <v>194400</v>
      </c>
      <c r="O3044" s="224"/>
      <c r="P3044" s="110" t="s">
        <v>9459</v>
      </c>
      <c r="Q3044" s="15" t="s">
        <v>19</v>
      </c>
      <c r="R3044" s="205"/>
      <c r="S3044" s="189"/>
      <c r="T3044" s="114"/>
      <c r="U3044" s="21" t="s">
        <v>10809</v>
      </c>
      <c r="V3044" s="115">
        <v>46123</v>
      </c>
      <c r="W3044" s="116">
        <v>1296</v>
      </c>
      <c r="X3044" s="220">
        <v>112000</v>
      </c>
      <c r="Y3044" s="220">
        <f>X3044*0.1</f>
        <v>11200</v>
      </c>
      <c r="Z3044" s="220">
        <v>7950</v>
      </c>
      <c r="AA3044" s="220">
        <f>SUM(X3044:Z3044)</f>
        <v>131150</v>
      </c>
      <c r="AB3044" s="222">
        <v>46126</v>
      </c>
    </row>
    <row r="3045" spans="1:28" ht="17.100000000000001" customHeight="1" thickBot="1">
      <c r="A3045" s="227"/>
      <c r="B3045" s="27" t="s">
        <v>3228</v>
      </c>
      <c r="C3045" s="27">
        <v>247</v>
      </c>
      <c r="D3045" s="14" t="s">
        <v>2177</v>
      </c>
      <c r="E3045" s="229"/>
      <c r="F3045" s="117" t="s">
        <v>9458</v>
      </c>
      <c r="G3045" s="26">
        <v>149956</v>
      </c>
      <c r="H3045" s="231"/>
      <c r="I3045" s="221"/>
      <c r="J3045" s="221"/>
      <c r="K3045" s="221"/>
      <c r="L3045" s="221"/>
      <c r="M3045" s="221"/>
      <c r="N3045" s="221"/>
      <c r="O3045" s="225"/>
      <c r="P3045" s="118" t="s">
        <v>9962</v>
      </c>
      <c r="Q3045" s="16" t="s">
        <v>20</v>
      </c>
      <c r="R3045" s="17" t="s">
        <v>9944</v>
      </c>
      <c r="S3045" s="121" t="s">
        <v>2325</v>
      </c>
      <c r="T3045" s="122"/>
      <c r="U3045" s="22"/>
      <c r="V3045" s="123" t="s">
        <v>7160</v>
      </c>
      <c r="W3045" s="122">
        <v>90531</v>
      </c>
      <c r="X3045" s="221"/>
      <c r="Y3045" s="221"/>
      <c r="Z3045" s="221"/>
      <c r="AA3045" s="221"/>
      <c r="AB3045" s="223"/>
    </row>
    <row r="3046" spans="1:28" ht="17.100000000000001" customHeight="1" thickTop="1">
      <c r="A3046" s="226" t="s">
        <v>9564</v>
      </c>
      <c r="B3046" s="28">
        <v>45960</v>
      </c>
      <c r="C3046" s="25">
        <v>2132</v>
      </c>
      <c r="D3046" s="13" t="s">
        <v>2964</v>
      </c>
      <c r="E3046" s="228"/>
      <c r="F3046" s="109" t="s">
        <v>9460</v>
      </c>
      <c r="G3046" s="24" t="s">
        <v>4120</v>
      </c>
      <c r="H3046" s="230">
        <v>4</v>
      </c>
      <c r="I3046" s="220">
        <v>638000</v>
      </c>
      <c r="J3046" s="220">
        <f>I3046*0.1</f>
        <v>63800</v>
      </c>
      <c r="K3046" s="220">
        <v>0</v>
      </c>
      <c r="L3046" s="220">
        <v>8040</v>
      </c>
      <c r="M3046" s="220">
        <v>13750</v>
      </c>
      <c r="N3046" s="220">
        <f>SUM(I3046:M3047)</f>
        <v>723590</v>
      </c>
      <c r="O3046" s="224"/>
      <c r="P3046" s="110" t="s">
        <v>9462</v>
      </c>
      <c r="Q3046" s="15" t="s">
        <v>19</v>
      </c>
      <c r="R3046" s="205"/>
      <c r="S3046" s="189" t="s">
        <v>758</v>
      </c>
      <c r="T3046" s="114"/>
      <c r="U3046" s="21" t="s">
        <v>10795</v>
      </c>
      <c r="V3046" s="115">
        <v>45980</v>
      </c>
      <c r="W3046" s="116">
        <v>993</v>
      </c>
      <c r="X3046" s="220">
        <v>710000</v>
      </c>
      <c r="Y3046" s="220">
        <f>X3046*0.1</f>
        <v>71000</v>
      </c>
      <c r="Z3046" s="220">
        <v>8040</v>
      </c>
      <c r="AA3046" s="220">
        <f>SUM(X3046:Z3046)</f>
        <v>789040</v>
      </c>
      <c r="AB3046" s="222">
        <v>45986</v>
      </c>
    </row>
    <row r="3047" spans="1:28" ht="17.100000000000001" customHeight="1" thickBot="1">
      <c r="A3047" s="227"/>
      <c r="B3047" s="27" t="s">
        <v>3228</v>
      </c>
      <c r="C3047" s="27">
        <v>2003</v>
      </c>
      <c r="D3047" s="14" t="s">
        <v>3792</v>
      </c>
      <c r="E3047" s="229"/>
      <c r="F3047" s="117" t="s">
        <v>9461</v>
      </c>
      <c r="G3047" s="26">
        <v>21302</v>
      </c>
      <c r="H3047" s="231"/>
      <c r="I3047" s="221"/>
      <c r="J3047" s="221"/>
      <c r="K3047" s="221"/>
      <c r="L3047" s="221"/>
      <c r="M3047" s="221"/>
      <c r="N3047" s="221"/>
      <c r="O3047" s="225"/>
      <c r="P3047" s="118" t="s">
        <v>9964</v>
      </c>
      <c r="Q3047" s="16" t="s">
        <v>20</v>
      </c>
      <c r="R3047" s="17" t="s">
        <v>9944</v>
      </c>
      <c r="S3047" s="121" t="s">
        <v>9965</v>
      </c>
      <c r="T3047" s="122"/>
      <c r="U3047" s="22"/>
      <c r="V3047" s="123" t="s">
        <v>2747</v>
      </c>
      <c r="W3047" s="122">
        <v>2064</v>
      </c>
      <c r="X3047" s="221"/>
      <c r="Y3047" s="221"/>
      <c r="Z3047" s="221"/>
      <c r="AA3047" s="221"/>
      <c r="AB3047" s="223"/>
    </row>
    <row r="3048" spans="1:28" ht="17.100000000000001" customHeight="1" thickTop="1">
      <c r="A3048" s="226" t="s">
        <v>9565</v>
      </c>
      <c r="B3048" s="28">
        <v>45960</v>
      </c>
      <c r="C3048" s="25">
        <v>2132</v>
      </c>
      <c r="D3048" s="13" t="s">
        <v>2392</v>
      </c>
      <c r="E3048" s="228"/>
      <c r="F3048" s="109" t="s">
        <v>9463</v>
      </c>
      <c r="G3048" s="24" t="s">
        <v>9465</v>
      </c>
      <c r="H3048" s="230">
        <v>4.5</v>
      </c>
      <c r="I3048" s="220">
        <v>902000</v>
      </c>
      <c r="J3048" s="220">
        <f>I3048*0.1</f>
        <v>90200</v>
      </c>
      <c r="K3048" s="220">
        <v>0</v>
      </c>
      <c r="L3048" s="220">
        <v>6550</v>
      </c>
      <c r="M3048" s="220">
        <v>13750</v>
      </c>
      <c r="N3048" s="220">
        <f>SUM(I3048:M3049)</f>
        <v>1012500</v>
      </c>
      <c r="O3048" s="224"/>
      <c r="P3048" s="110" t="s">
        <v>9466</v>
      </c>
      <c r="Q3048" s="15" t="s">
        <v>19</v>
      </c>
      <c r="R3048" s="205"/>
      <c r="S3048" s="189" t="s">
        <v>1113</v>
      </c>
      <c r="T3048" s="114"/>
      <c r="U3048" s="21" t="s">
        <v>10049</v>
      </c>
      <c r="V3048" s="115">
        <v>45965</v>
      </c>
      <c r="W3048" s="116">
        <v>1916</v>
      </c>
      <c r="X3048" s="220">
        <v>955000</v>
      </c>
      <c r="Y3048" s="220">
        <f>X3048*0.1</f>
        <v>95500</v>
      </c>
      <c r="Z3048" s="220">
        <v>6550</v>
      </c>
      <c r="AA3048" s="220">
        <f>SUM(X3048:Z3048)</f>
        <v>1057050</v>
      </c>
      <c r="AB3048" s="222">
        <v>45971</v>
      </c>
    </row>
    <row r="3049" spans="1:28" ht="17.100000000000001" customHeight="1" thickBot="1">
      <c r="A3049" s="227"/>
      <c r="B3049" s="27" t="s">
        <v>3228</v>
      </c>
      <c r="C3049" s="27">
        <v>2566</v>
      </c>
      <c r="D3049" s="14" t="s">
        <v>1568</v>
      </c>
      <c r="E3049" s="229"/>
      <c r="F3049" s="117" t="s">
        <v>9464</v>
      </c>
      <c r="G3049" s="26">
        <v>22946</v>
      </c>
      <c r="H3049" s="231"/>
      <c r="I3049" s="221"/>
      <c r="J3049" s="221"/>
      <c r="K3049" s="221"/>
      <c r="L3049" s="221"/>
      <c r="M3049" s="221"/>
      <c r="N3049" s="221"/>
      <c r="O3049" s="225"/>
      <c r="P3049" s="118" t="s">
        <v>10045</v>
      </c>
      <c r="Q3049" s="16" t="s">
        <v>20</v>
      </c>
      <c r="R3049" s="17" t="s">
        <v>9944</v>
      </c>
      <c r="S3049" s="121" t="s">
        <v>169</v>
      </c>
      <c r="T3049" s="122"/>
      <c r="U3049" s="22"/>
      <c r="V3049" s="123" t="s">
        <v>2103</v>
      </c>
      <c r="W3049" s="122">
        <v>3191</v>
      </c>
      <c r="X3049" s="221"/>
      <c r="Y3049" s="221"/>
      <c r="Z3049" s="221"/>
      <c r="AA3049" s="221"/>
      <c r="AB3049" s="223"/>
    </row>
    <row r="3050" spans="1:28" ht="17.100000000000001" customHeight="1" thickTop="1">
      <c r="A3050" s="226" t="s">
        <v>9566</v>
      </c>
      <c r="B3050" s="28">
        <v>45960</v>
      </c>
      <c r="C3050" s="25">
        <v>2132</v>
      </c>
      <c r="D3050" s="13" t="s">
        <v>1564</v>
      </c>
      <c r="E3050" s="228"/>
      <c r="F3050" s="109" t="s">
        <v>6972</v>
      </c>
      <c r="G3050" s="24"/>
      <c r="H3050" s="230">
        <v>4</v>
      </c>
      <c r="I3050" s="220">
        <v>932000</v>
      </c>
      <c r="J3050" s="220">
        <f>I3050*0.1</f>
        <v>93200</v>
      </c>
      <c r="K3050" s="220">
        <v>0</v>
      </c>
      <c r="L3050" s="220">
        <v>9010</v>
      </c>
      <c r="M3050" s="220">
        <v>13750</v>
      </c>
      <c r="N3050" s="220">
        <f>SUM(I3050:M3051)</f>
        <v>1047960</v>
      </c>
      <c r="O3050" s="224"/>
      <c r="P3050" s="110" t="s">
        <v>9942</v>
      </c>
      <c r="Q3050" s="15" t="s">
        <v>19</v>
      </c>
      <c r="R3050" s="205"/>
      <c r="S3050" s="189" t="s">
        <v>758</v>
      </c>
      <c r="T3050" s="114"/>
      <c r="U3050" s="21"/>
      <c r="V3050" s="115">
        <v>45966</v>
      </c>
      <c r="W3050" s="116">
        <v>991</v>
      </c>
      <c r="X3050" s="220">
        <v>1080000</v>
      </c>
      <c r="Y3050" s="220">
        <f>X3050*0.1</f>
        <v>108000</v>
      </c>
      <c r="Z3050" s="220">
        <v>9010</v>
      </c>
      <c r="AA3050" s="220">
        <f>SUM(X3050:Z3050)</f>
        <v>1197010</v>
      </c>
      <c r="AB3050" s="222">
        <v>45971</v>
      </c>
    </row>
    <row r="3051" spans="1:28" ht="17.100000000000001" customHeight="1" thickBot="1">
      <c r="A3051" s="227"/>
      <c r="B3051" s="27" t="s">
        <v>3228</v>
      </c>
      <c r="C3051" s="27">
        <v>2572</v>
      </c>
      <c r="D3051" s="14" t="s">
        <v>1584</v>
      </c>
      <c r="E3051" s="229"/>
      <c r="F3051" s="117" t="s">
        <v>9467</v>
      </c>
      <c r="G3051" s="26">
        <v>29039</v>
      </c>
      <c r="H3051" s="231"/>
      <c r="I3051" s="221"/>
      <c r="J3051" s="221"/>
      <c r="K3051" s="221"/>
      <c r="L3051" s="221"/>
      <c r="M3051" s="221"/>
      <c r="N3051" s="221"/>
      <c r="O3051" s="225"/>
      <c r="P3051" s="118" t="s">
        <v>9943</v>
      </c>
      <c r="Q3051" s="16" t="s">
        <v>20</v>
      </c>
      <c r="R3051" s="17" t="s">
        <v>9944</v>
      </c>
      <c r="S3051" s="121" t="s">
        <v>2360</v>
      </c>
      <c r="T3051" s="122"/>
      <c r="U3051" s="22"/>
      <c r="V3051" s="123" t="s">
        <v>2747</v>
      </c>
      <c r="W3051" s="122">
        <v>2067</v>
      </c>
      <c r="X3051" s="221"/>
      <c r="Y3051" s="221"/>
      <c r="Z3051" s="221"/>
      <c r="AA3051" s="221"/>
      <c r="AB3051" s="223"/>
    </row>
    <row r="3052" spans="1:28" ht="17.100000000000001" customHeight="1" thickTop="1">
      <c r="A3052" s="226" t="s">
        <v>9567</v>
      </c>
      <c r="B3052" s="28">
        <v>45960</v>
      </c>
      <c r="C3052" s="25">
        <v>1956</v>
      </c>
      <c r="D3052" s="13" t="s">
        <v>1780</v>
      </c>
      <c r="E3052" s="228"/>
      <c r="F3052" s="109" t="s">
        <v>9472</v>
      </c>
      <c r="G3052" s="24"/>
      <c r="H3052" s="230">
        <v>4.5</v>
      </c>
      <c r="I3052" s="220">
        <v>1995000</v>
      </c>
      <c r="J3052" s="220">
        <f>I3052*0.1</f>
        <v>199500</v>
      </c>
      <c r="K3052" s="220">
        <v>0</v>
      </c>
      <c r="L3052" s="220">
        <v>11740</v>
      </c>
      <c r="M3052" s="220">
        <v>15950</v>
      </c>
      <c r="N3052" s="220">
        <f>SUM(I3052:M3053)</f>
        <v>2222190</v>
      </c>
      <c r="O3052" s="224"/>
      <c r="P3052" s="110" t="s">
        <v>9746</v>
      </c>
      <c r="Q3052" s="15" t="s">
        <v>19</v>
      </c>
      <c r="R3052" s="205"/>
      <c r="S3052" s="189"/>
      <c r="T3052" s="114"/>
      <c r="U3052" s="21"/>
      <c r="V3052" s="115">
        <v>46018</v>
      </c>
      <c r="W3052" s="116">
        <v>1282</v>
      </c>
      <c r="X3052" s="220">
        <v>2075000</v>
      </c>
      <c r="Y3052" s="220">
        <f>X3052*0.1</f>
        <v>207500</v>
      </c>
      <c r="Z3052" s="220">
        <v>11740</v>
      </c>
      <c r="AA3052" s="220">
        <f>SUM(X3052:Z3052)</f>
        <v>2294240</v>
      </c>
      <c r="AB3052" s="222">
        <v>46028</v>
      </c>
    </row>
    <row r="3053" spans="1:28" ht="17.100000000000001" customHeight="1" thickBot="1">
      <c r="A3053" s="227"/>
      <c r="B3053" s="27" t="s">
        <v>3730</v>
      </c>
      <c r="C3053" s="27">
        <v>5015</v>
      </c>
      <c r="D3053" s="14" t="s">
        <v>2788</v>
      </c>
      <c r="E3053" s="229"/>
      <c r="F3053" s="117" t="s">
        <v>9473</v>
      </c>
      <c r="G3053" s="26">
        <v>45536</v>
      </c>
      <c r="H3053" s="231"/>
      <c r="I3053" s="221"/>
      <c r="J3053" s="221"/>
      <c r="K3053" s="221"/>
      <c r="L3053" s="221"/>
      <c r="M3053" s="221"/>
      <c r="N3053" s="221"/>
      <c r="O3053" s="225"/>
      <c r="P3053" s="118" t="s">
        <v>7243</v>
      </c>
      <c r="Q3053" s="16" t="s">
        <v>20</v>
      </c>
      <c r="R3053" s="17" t="s">
        <v>9744</v>
      </c>
      <c r="S3053" s="121" t="s">
        <v>9835</v>
      </c>
      <c r="T3053" s="122"/>
      <c r="U3053" s="22"/>
      <c r="V3053" s="123" t="s">
        <v>7160</v>
      </c>
      <c r="W3053" s="122">
        <v>80036</v>
      </c>
      <c r="X3053" s="221"/>
      <c r="Y3053" s="221"/>
      <c r="Z3053" s="221"/>
      <c r="AA3053" s="221"/>
      <c r="AB3053" s="223"/>
    </row>
    <row r="3054" spans="1:28" ht="17.100000000000001" customHeight="1" thickTop="1">
      <c r="A3054" s="226" t="s">
        <v>9568</v>
      </c>
      <c r="B3054" s="28">
        <v>45960</v>
      </c>
      <c r="C3054" s="25">
        <v>1539</v>
      </c>
      <c r="D3054" s="13" t="s">
        <v>9573</v>
      </c>
      <c r="E3054" s="228"/>
      <c r="F3054" s="109" t="s">
        <v>9570</v>
      </c>
      <c r="G3054" s="24" t="s">
        <v>4446</v>
      </c>
      <c r="H3054" s="230">
        <v>4.5</v>
      </c>
      <c r="I3054" s="220">
        <v>2110000</v>
      </c>
      <c r="J3054" s="220">
        <f>I3054*0.1</f>
        <v>211000</v>
      </c>
      <c r="K3054" s="220">
        <f>15000+1500</f>
        <v>16500</v>
      </c>
      <c r="L3054" s="220">
        <v>14740</v>
      </c>
      <c r="M3054" s="220">
        <v>16500</v>
      </c>
      <c r="N3054" s="220">
        <f>SUM(I3054:M3055)</f>
        <v>2368740</v>
      </c>
      <c r="O3054" s="224"/>
      <c r="P3054" s="110" t="s">
        <v>9572</v>
      </c>
      <c r="Q3054" s="15" t="s">
        <v>19</v>
      </c>
      <c r="R3054" s="205"/>
      <c r="S3054" s="189" t="s">
        <v>1113</v>
      </c>
      <c r="T3054" s="114"/>
      <c r="U3054" s="21" t="s">
        <v>11404</v>
      </c>
      <c r="V3054" s="115"/>
      <c r="W3054" s="116"/>
      <c r="X3054" s="220"/>
      <c r="Y3054" s="220">
        <f>X3054*0.1</f>
        <v>0</v>
      </c>
      <c r="Z3054" s="220"/>
      <c r="AA3054" s="220">
        <f>SUM(X3054:Z3054)</f>
        <v>0</v>
      </c>
      <c r="AB3054" s="222"/>
    </row>
    <row r="3055" spans="1:28" ht="17.100000000000001" customHeight="1" thickBot="1">
      <c r="A3055" s="227"/>
      <c r="B3055" s="27" t="s">
        <v>1592</v>
      </c>
      <c r="C3055" s="27">
        <v>73627</v>
      </c>
      <c r="D3055" s="14" t="s">
        <v>1584</v>
      </c>
      <c r="E3055" s="229"/>
      <c r="F3055" s="117" t="s">
        <v>9571</v>
      </c>
      <c r="G3055" s="26">
        <v>38020</v>
      </c>
      <c r="H3055" s="231"/>
      <c r="I3055" s="221"/>
      <c r="J3055" s="221"/>
      <c r="K3055" s="221"/>
      <c r="L3055" s="221"/>
      <c r="M3055" s="221"/>
      <c r="N3055" s="221"/>
      <c r="O3055" s="225"/>
      <c r="P3055" s="118" t="s">
        <v>1664</v>
      </c>
      <c r="Q3055" s="16" t="s">
        <v>20</v>
      </c>
      <c r="R3055" s="17" t="s">
        <v>3325</v>
      </c>
      <c r="S3055" s="121" t="s">
        <v>10125</v>
      </c>
      <c r="T3055" s="122"/>
      <c r="U3055" s="22"/>
      <c r="V3055" s="123"/>
      <c r="W3055" s="122"/>
      <c r="X3055" s="221"/>
      <c r="Y3055" s="221"/>
      <c r="Z3055" s="221"/>
      <c r="AA3055" s="221"/>
      <c r="AB3055" s="223"/>
    </row>
    <row r="3056" spans="1:28" ht="17.100000000000001" customHeight="1" thickTop="1">
      <c r="A3056" s="226" t="s">
        <v>9569</v>
      </c>
      <c r="B3056" s="28">
        <v>45960</v>
      </c>
      <c r="C3056" s="25">
        <v>1539</v>
      </c>
      <c r="D3056" s="13" t="s">
        <v>1578</v>
      </c>
      <c r="E3056" s="228"/>
      <c r="F3056" s="109" t="s">
        <v>9574</v>
      </c>
      <c r="G3056" s="24" t="s">
        <v>2813</v>
      </c>
      <c r="H3056" s="230">
        <v>4.5</v>
      </c>
      <c r="I3056" s="220">
        <v>2070000</v>
      </c>
      <c r="J3056" s="220">
        <f>I3056*0.1</f>
        <v>207000</v>
      </c>
      <c r="K3056" s="220">
        <f>16400+1640</f>
        <v>18040</v>
      </c>
      <c r="L3056" s="220">
        <v>19090</v>
      </c>
      <c r="M3056" s="220">
        <v>16500</v>
      </c>
      <c r="N3056" s="220">
        <f>SUM(I3056:M3057)</f>
        <v>2330630</v>
      </c>
      <c r="O3056" s="224"/>
      <c r="P3056" s="110" t="s">
        <v>9576</v>
      </c>
      <c r="Q3056" s="15" t="s">
        <v>19</v>
      </c>
      <c r="R3056" s="205"/>
      <c r="S3056" s="189" t="s">
        <v>1271</v>
      </c>
      <c r="T3056" s="114"/>
      <c r="U3056" s="21"/>
      <c r="V3056" s="115">
        <v>45967</v>
      </c>
      <c r="W3056" s="116">
        <v>1305</v>
      </c>
      <c r="X3056" s="220">
        <v>2215000</v>
      </c>
      <c r="Y3056" s="220">
        <f>X3056*0.1</f>
        <v>221500</v>
      </c>
      <c r="Z3056" s="220">
        <v>19090</v>
      </c>
      <c r="AA3056" s="220">
        <f>SUM(X3056:Z3056)</f>
        <v>2455590</v>
      </c>
      <c r="AB3056" s="222">
        <v>45968</v>
      </c>
    </row>
    <row r="3057" spans="1:28" ht="17.100000000000001" customHeight="1" thickBot="1">
      <c r="A3057" s="227"/>
      <c r="B3057" s="27" t="s">
        <v>1592</v>
      </c>
      <c r="C3057" s="27">
        <v>75410</v>
      </c>
      <c r="D3057" s="14" t="s">
        <v>1584</v>
      </c>
      <c r="E3057" s="229"/>
      <c r="F3057" s="117" t="s">
        <v>9575</v>
      </c>
      <c r="G3057" s="26">
        <v>53967</v>
      </c>
      <c r="H3057" s="231"/>
      <c r="I3057" s="221"/>
      <c r="J3057" s="221"/>
      <c r="K3057" s="221"/>
      <c r="L3057" s="221"/>
      <c r="M3057" s="221"/>
      <c r="N3057" s="221"/>
      <c r="O3057" s="225"/>
      <c r="P3057" s="118" t="s">
        <v>9749</v>
      </c>
      <c r="Q3057" s="16" t="s">
        <v>20</v>
      </c>
      <c r="R3057" s="17" t="s">
        <v>3337</v>
      </c>
      <c r="S3057" s="121" t="s">
        <v>1731</v>
      </c>
      <c r="T3057" s="122"/>
      <c r="U3057" s="22"/>
      <c r="V3057" s="123" t="s">
        <v>1735</v>
      </c>
      <c r="W3057" s="122">
        <v>95</v>
      </c>
      <c r="X3057" s="221"/>
      <c r="Y3057" s="221"/>
      <c r="Z3057" s="221"/>
      <c r="AA3057" s="221"/>
      <c r="AB3057" s="223"/>
    </row>
    <row r="3058" spans="1:28" ht="17.100000000000001" customHeight="1" thickTop="1">
      <c r="A3058" s="226" t="s">
        <v>9577</v>
      </c>
      <c r="B3058" s="28">
        <v>45961</v>
      </c>
      <c r="C3058" s="25">
        <v>64</v>
      </c>
      <c r="D3058" s="13" t="s">
        <v>1555</v>
      </c>
      <c r="E3058" s="228"/>
      <c r="F3058" s="109" t="s">
        <v>9598</v>
      </c>
      <c r="G3058" s="24" t="s">
        <v>2926</v>
      </c>
      <c r="H3058" s="230">
        <v>4.5</v>
      </c>
      <c r="I3058" s="220">
        <v>1470000</v>
      </c>
      <c r="J3058" s="220">
        <f>I3058*0.1</f>
        <v>147000</v>
      </c>
      <c r="K3058" s="220">
        <f>10100+1010</f>
        <v>11110</v>
      </c>
      <c r="L3058" s="220">
        <v>9350</v>
      </c>
      <c r="M3058" s="220">
        <v>44000</v>
      </c>
      <c r="N3058" s="220">
        <f>SUM(I3058:M3059)</f>
        <v>1681460</v>
      </c>
      <c r="O3058" s="224"/>
      <c r="P3058" s="110" t="s">
        <v>10939</v>
      </c>
      <c r="Q3058" s="15" t="s">
        <v>19</v>
      </c>
      <c r="R3058" s="205"/>
      <c r="S3058" s="189" t="s">
        <v>25567</v>
      </c>
      <c r="T3058" s="114"/>
      <c r="U3058" s="21"/>
      <c r="V3058" s="115">
        <v>45976</v>
      </c>
      <c r="W3058" s="116">
        <v>1276</v>
      </c>
      <c r="X3058" s="220">
        <v>1590000</v>
      </c>
      <c r="Y3058" s="220">
        <f>X3058*0.1</f>
        <v>159000</v>
      </c>
      <c r="Z3058" s="220">
        <v>9350</v>
      </c>
      <c r="AA3058" s="220">
        <f>SUM(X3058:Z3058)</f>
        <v>1758350</v>
      </c>
      <c r="AB3058" s="222">
        <v>45986</v>
      </c>
    </row>
    <row r="3059" spans="1:28" ht="17.100000000000001" customHeight="1" thickBot="1">
      <c r="A3059" s="227"/>
      <c r="B3059" s="27" t="s">
        <v>4468</v>
      </c>
      <c r="C3059" s="27">
        <v>1030</v>
      </c>
      <c r="D3059" s="14" t="s">
        <v>3731</v>
      </c>
      <c r="E3059" s="229"/>
      <c r="F3059" s="117" t="s">
        <v>9599</v>
      </c>
      <c r="G3059" s="26">
        <v>37136</v>
      </c>
      <c r="H3059" s="231"/>
      <c r="I3059" s="221"/>
      <c r="J3059" s="221"/>
      <c r="K3059" s="221"/>
      <c r="L3059" s="221"/>
      <c r="M3059" s="221"/>
      <c r="N3059" s="221"/>
      <c r="O3059" s="225"/>
      <c r="P3059" s="118" t="s">
        <v>4211</v>
      </c>
      <c r="Q3059" s="16" t="s">
        <v>20</v>
      </c>
      <c r="R3059" s="17" t="s">
        <v>10885</v>
      </c>
      <c r="S3059" s="121" t="s">
        <v>1731</v>
      </c>
      <c r="T3059" s="122"/>
      <c r="U3059" s="22"/>
      <c r="V3059" s="123" t="s">
        <v>10781</v>
      </c>
      <c r="W3059" s="122">
        <v>37273</v>
      </c>
      <c r="X3059" s="221"/>
      <c r="Y3059" s="221"/>
      <c r="Z3059" s="221"/>
      <c r="AA3059" s="221"/>
      <c r="AB3059" s="223"/>
    </row>
    <row r="3060" spans="1:28" ht="17.100000000000001" customHeight="1" thickTop="1">
      <c r="A3060" s="226" t="s">
        <v>9578</v>
      </c>
      <c r="B3060" s="28">
        <v>45961</v>
      </c>
      <c r="C3060" s="25">
        <v>64</v>
      </c>
      <c r="D3060" s="13" t="s">
        <v>2288</v>
      </c>
      <c r="E3060" s="228"/>
      <c r="F3060" s="109" t="s">
        <v>9604</v>
      </c>
      <c r="G3060" s="24" t="s">
        <v>3453</v>
      </c>
      <c r="H3060" s="230">
        <v>4</v>
      </c>
      <c r="I3060" s="220">
        <v>795000</v>
      </c>
      <c r="J3060" s="220">
        <f>I3060*0.1</f>
        <v>79500</v>
      </c>
      <c r="K3060" s="220">
        <v>0</v>
      </c>
      <c r="L3060" s="220">
        <v>8110</v>
      </c>
      <c r="M3060" s="220">
        <v>33000</v>
      </c>
      <c r="N3060" s="220">
        <f>SUM(I3060:M3061)</f>
        <v>915610</v>
      </c>
      <c r="O3060" s="224"/>
      <c r="P3060" s="110" t="s">
        <v>11253</v>
      </c>
      <c r="Q3060" s="15" t="s">
        <v>19</v>
      </c>
      <c r="R3060" s="205"/>
      <c r="S3060" s="189" t="s">
        <v>25568</v>
      </c>
      <c r="T3060" s="114"/>
      <c r="U3060" s="21"/>
      <c r="V3060" s="115">
        <v>45986</v>
      </c>
      <c r="W3060" s="116">
        <v>1919</v>
      </c>
      <c r="X3060" s="220">
        <v>895000</v>
      </c>
      <c r="Y3060" s="220">
        <f>X3060*0.1</f>
        <v>89500</v>
      </c>
      <c r="Z3060" s="220">
        <v>8110</v>
      </c>
      <c r="AA3060" s="220">
        <f>SUM(X3060:Z3060)</f>
        <v>992610</v>
      </c>
      <c r="AB3060" s="222"/>
    </row>
    <row r="3061" spans="1:28" ht="17.100000000000001" customHeight="1" thickBot="1">
      <c r="A3061" s="227"/>
      <c r="B3061" s="27" t="s">
        <v>4468</v>
      </c>
      <c r="C3061" s="27">
        <v>1081</v>
      </c>
      <c r="D3061" s="14" t="s">
        <v>273</v>
      </c>
      <c r="E3061" s="229"/>
      <c r="F3061" s="117" t="s">
        <v>9605</v>
      </c>
      <c r="G3061" s="26">
        <v>41486</v>
      </c>
      <c r="H3061" s="231"/>
      <c r="I3061" s="221"/>
      <c r="J3061" s="221"/>
      <c r="K3061" s="221"/>
      <c r="L3061" s="221"/>
      <c r="M3061" s="221"/>
      <c r="N3061" s="221"/>
      <c r="O3061" s="225"/>
      <c r="P3061" s="118" t="s">
        <v>11254</v>
      </c>
      <c r="Q3061" s="16" t="s">
        <v>20</v>
      </c>
      <c r="R3061" s="17" t="s">
        <v>2174</v>
      </c>
      <c r="S3061" s="121" t="s">
        <v>11255</v>
      </c>
      <c r="T3061" s="122"/>
      <c r="U3061" s="22"/>
      <c r="V3061" s="123" t="s">
        <v>11417</v>
      </c>
      <c r="W3061" s="122">
        <v>3269</v>
      </c>
      <c r="X3061" s="221"/>
      <c r="Y3061" s="221"/>
      <c r="Z3061" s="221"/>
      <c r="AA3061" s="221"/>
      <c r="AB3061" s="223"/>
    </row>
    <row r="3062" spans="1:28" ht="17.100000000000001" customHeight="1" thickTop="1">
      <c r="A3062" s="233" t="s">
        <v>9600</v>
      </c>
      <c r="B3062" s="28">
        <v>45961</v>
      </c>
      <c r="C3062" s="25">
        <v>64</v>
      </c>
      <c r="D3062" s="13" t="s">
        <v>1685</v>
      </c>
      <c r="E3062" s="228"/>
      <c r="F3062" s="109" t="s">
        <v>9606</v>
      </c>
      <c r="G3062" s="24" t="s">
        <v>3867</v>
      </c>
      <c r="H3062" s="230">
        <v>4.5</v>
      </c>
      <c r="I3062" s="220">
        <v>1140000</v>
      </c>
      <c r="J3062" s="220">
        <f>I3062*0.1</f>
        <v>114000</v>
      </c>
      <c r="K3062" s="220">
        <f>11500+1150</f>
        <v>12650</v>
      </c>
      <c r="L3062" s="220">
        <v>10780</v>
      </c>
      <c r="M3062" s="220">
        <v>44000</v>
      </c>
      <c r="N3062" s="220">
        <f>SUM(I3062:M3063)</f>
        <v>1321430</v>
      </c>
      <c r="O3062" s="224"/>
      <c r="P3062" s="110" t="s">
        <v>12585</v>
      </c>
      <c r="Q3062" s="15" t="s">
        <v>19</v>
      </c>
      <c r="R3062" s="205"/>
      <c r="S3062" s="189" t="s">
        <v>25567</v>
      </c>
      <c r="T3062" s="114"/>
      <c r="U3062" s="21" t="s">
        <v>13662</v>
      </c>
      <c r="V3062" s="115">
        <v>46032</v>
      </c>
      <c r="W3062" s="116">
        <v>1283</v>
      </c>
      <c r="X3062" s="220">
        <v>1305000</v>
      </c>
      <c r="Y3062" s="220">
        <f>X3062*0.1</f>
        <v>130500</v>
      </c>
      <c r="Z3062" s="220">
        <v>10780</v>
      </c>
      <c r="AA3062" s="220">
        <f>SUM(X3062:Z3062)</f>
        <v>1446280</v>
      </c>
      <c r="AB3062" s="222">
        <v>46036</v>
      </c>
    </row>
    <row r="3063" spans="1:28" ht="17.100000000000001" customHeight="1" thickBot="1">
      <c r="A3063" s="234"/>
      <c r="B3063" s="27" t="s">
        <v>4468</v>
      </c>
      <c r="C3063" s="27">
        <v>1084</v>
      </c>
      <c r="D3063" s="14" t="s">
        <v>131</v>
      </c>
      <c r="E3063" s="229"/>
      <c r="F3063" s="117" t="s">
        <v>9607</v>
      </c>
      <c r="G3063" s="26">
        <v>44957</v>
      </c>
      <c r="H3063" s="231"/>
      <c r="I3063" s="221"/>
      <c r="J3063" s="221"/>
      <c r="K3063" s="221"/>
      <c r="L3063" s="221"/>
      <c r="M3063" s="221"/>
      <c r="N3063" s="221"/>
      <c r="O3063" s="225"/>
      <c r="P3063" s="118" t="s">
        <v>12586</v>
      </c>
      <c r="Q3063" s="16" t="s">
        <v>20</v>
      </c>
      <c r="R3063" s="17" t="s">
        <v>12584</v>
      </c>
      <c r="S3063" s="121" t="s">
        <v>13164</v>
      </c>
      <c r="T3063" s="122"/>
      <c r="U3063" s="22"/>
      <c r="V3063" s="123" t="s">
        <v>2472</v>
      </c>
      <c r="W3063" s="122">
        <v>37106</v>
      </c>
      <c r="X3063" s="221"/>
      <c r="Y3063" s="221"/>
      <c r="Z3063" s="221"/>
      <c r="AA3063" s="221"/>
      <c r="AB3063" s="223"/>
    </row>
    <row r="3064" spans="1:28" ht="17.100000000000001" customHeight="1" thickTop="1">
      <c r="A3064" s="226" t="s">
        <v>9601</v>
      </c>
      <c r="B3064" s="28">
        <v>45961</v>
      </c>
      <c r="C3064" s="25">
        <v>64</v>
      </c>
      <c r="D3064" s="13" t="s">
        <v>1780</v>
      </c>
      <c r="E3064" s="228"/>
      <c r="F3064" s="109" t="s">
        <v>9608</v>
      </c>
      <c r="G3064" s="24" t="s">
        <v>2536</v>
      </c>
      <c r="H3064" s="230">
        <v>4</v>
      </c>
      <c r="I3064" s="220">
        <v>3120000</v>
      </c>
      <c r="J3064" s="220">
        <f>I3064*0.1</f>
        <v>312000</v>
      </c>
      <c r="K3064" s="220">
        <f>12000+1200</f>
        <v>13200</v>
      </c>
      <c r="L3064" s="220">
        <v>12310</v>
      </c>
      <c r="M3064" s="220">
        <v>88000</v>
      </c>
      <c r="N3064" s="220">
        <f>SUM(I3064:M3065)</f>
        <v>3545510</v>
      </c>
      <c r="O3064" s="224"/>
      <c r="P3064" s="110" t="s">
        <v>12794</v>
      </c>
      <c r="Q3064" s="15" t="s">
        <v>19</v>
      </c>
      <c r="R3064" s="205"/>
      <c r="S3064" s="189" t="s">
        <v>25535</v>
      </c>
      <c r="T3064" s="114"/>
      <c r="U3064" s="21"/>
      <c r="V3064" s="115">
        <v>46004</v>
      </c>
      <c r="W3064" s="116">
        <v>1280</v>
      </c>
      <c r="X3064" s="220">
        <v>3270000</v>
      </c>
      <c r="Y3064" s="220">
        <f>X3064*0.1</f>
        <v>327000</v>
      </c>
      <c r="Z3064" s="220">
        <v>12310</v>
      </c>
      <c r="AA3064" s="220">
        <f>SUM(X3064:Z3064)</f>
        <v>3609310</v>
      </c>
      <c r="AB3064" s="222">
        <v>46009</v>
      </c>
    </row>
    <row r="3065" spans="1:28" ht="17.100000000000001" customHeight="1" thickBot="1">
      <c r="A3065" s="227"/>
      <c r="B3065" s="27" t="s">
        <v>4468</v>
      </c>
      <c r="C3065" s="27">
        <v>1089</v>
      </c>
      <c r="D3065" s="14" t="s">
        <v>273</v>
      </c>
      <c r="E3065" s="229"/>
      <c r="F3065" s="117" t="s">
        <v>9609</v>
      </c>
      <c r="G3065" s="26">
        <v>39468</v>
      </c>
      <c r="H3065" s="231"/>
      <c r="I3065" s="221"/>
      <c r="J3065" s="221"/>
      <c r="K3065" s="221"/>
      <c r="L3065" s="221"/>
      <c r="M3065" s="221"/>
      <c r="N3065" s="221"/>
      <c r="O3065" s="225"/>
      <c r="P3065" s="118" t="s">
        <v>4211</v>
      </c>
      <c r="Q3065" s="16" t="s">
        <v>20</v>
      </c>
      <c r="R3065" s="17" t="s">
        <v>12649</v>
      </c>
      <c r="S3065" s="121" t="s">
        <v>1601</v>
      </c>
      <c r="T3065" s="122"/>
      <c r="U3065" s="22"/>
      <c r="V3065" s="123" t="s">
        <v>2472</v>
      </c>
      <c r="W3065" s="122">
        <v>31120</v>
      </c>
      <c r="X3065" s="221"/>
      <c r="Y3065" s="221"/>
      <c r="Z3065" s="221"/>
      <c r="AA3065" s="221"/>
      <c r="AB3065" s="223"/>
    </row>
    <row r="3066" spans="1:28" ht="17.100000000000001" customHeight="1" thickTop="1">
      <c r="A3066" s="233" t="s">
        <v>9602</v>
      </c>
      <c r="B3066" s="28">
        <v>45961</v>
      </c>
      <c r="C3066" s="25">
        <v>64</v>
      </c>
      <c r="D3066" s="13" t="s">
        <v>1704</v>
      </c>
      <c r="E3066" s="228"/>
      <c r="F3066" s="109" t="s">
        <v>9610</v>
      </c>
      <c r="G3066" s="24" t="s">
        <v>2487</v>
      </c>
      <c r="H3066" s="232" t="s">
        <v>1705</v>
      </c>
      <c r="I3066" s="220">
        <v>2565000</v>
      </c>
      <c r="J3066" s="220">
        <f>I3066*0.1</f>
        <v>256500</v>
      </c>
      <c r="K3066" s="220">
        <f>14500+1450</f>
        <v>15950</v>
      </c>
      <c r="L3066" s="220">
        <v>14900</v>
      </c>
      <c r="M3066" s="220">
        <v>66000</v>
      </c>
      <c r="N3066" s="220">
        <f>SUM(I3066:M3067)</f>
        <v>2918350</v>
      </c>
      <c r="O3066" s="224"/>
      <c r="P3066" s="110"/>
      <c r="Q3066" s="15" t="s">
        <v>19</v>
      </c>
      <c r="R3066" s="205"/>
      <c r="S3066" s="189" t="s">
        <v>25535</v>
      </c>
      <c r="T3066" s="114" t="s">
        <v>7899</v>
      </c>
      <c r="U3066" s="21"/>
      <c r="V3066" s="115"/>
      <c r="W3066" s="116"/>
      <c r="X3066" s="220"/>
      <c r="Y3066" s="220">
        <f>X3066*0.1</f>
        <v>0</v>
      </c>
      <c r="Z3066" s="220"/>
      <c r="AA3066" s="220">
        <f>SUM(X3066:Z3066)</f>
        <v>0</v>
      </c>
      <c r="AB3066" s="222"/>
    </row>
    <row r="3067" spans="1:28" ht="17.100000000000001" customHeight="1" thickBot="1">
      <c r="A3067" s="234"/>
      <c r="B3067" s="27" t="s">
        <v>4468</v>
      </c>
      <c r="C3067" s="27">
        <v>1091</v>
      </c>
      <c r="D3067" s="14" t="s">
        <v>2559</v>
      </c>
      <c r="E3067" s="229"/>
      <c r="F3067" s="117" t="s">
        <v>9611</v>
      </c>
      <c r="G3067" s="26">
        <v>46994</v>
      </c>
      <c r="H3067" s="231"/>
      <c r="I3067" s="221"/>
      <c r="J3067" s="221"/>
      <c r="K3067" s="221"/>
      <c r="L3067" s="221"/>
      <c r="M3067" s="221"/>
      <c r="N3067" s="221"/>
      <c r="O3067" s="225"/>
      <c r="P3067" s="118"/>
      <c r="Q3067" s="16" t="s">
        <v>20</v>
      </c>
      <c r="R3067" s="17" t="s">
        <v>10691</v>
      </c>
      <c r="S3067" s="121"/>
      <c r="T3067" s="122"/>
      <c r="U3067" s="22"/>
      <c r="V3067" s="123"/>
      <c r="W3067" s="122"/>
      <c r="X3067" s="221"/>
      <c r="Y3067" s="221"/>
      <c r="Z3067" s="221"/>
      <c r="AA3067" s="221"/>
      <c r="AB3067" s="223"/>
    </row>
    <row r="3068" spans="1:28" ht="17.100000000000001" customHeight="1" thickTop="1">
      <c r="A3068" s="226" t="s">
        <v>9603</v>
      </c>
      <c r="B3068" s="28">
        <v>45961</v>
      </c>
      <c r="C3068" s="25">
        <v>64</v>
      </c>
      <c r="D3068" s="13" t="s">
        <v>4531</v>
      </c>
      <c r="E3068" s="228"/>
      <c r="F3068" s="109" t="s">
        <v>4958</v>
      </c>
      <c r="G3068" s="24" t="s">
        <v>3345</v>
      </c>
      <c r="H3068" s="230">
        <v>4</v>
      </c>
      <c r="I3068" s="220">
        <v>205000</v>
      </c>
      <c r="J3068" s="220">
        <f>I3068*0.1</f>
        <v>20500</v>
      </c>
      <c r="K3068" s="220">
        <v>0</v>
      </c>
      <c r="L3068" s="220">
        <v>8930</v>
      </c>
      <c r="M3068" s="220">
        <v>33000</v>
      </c>
      <c r="N3068" s="220">
        <f>SUM(I3068:M3069)</f>
        <v>267430</v>
      </c>
      <c r="O3068" s="224"/>
      <c r="P3068" s="110" t="s">
        <v>10579</v>
      </c>
      <c r="Q3068" s="15" t="s">
        <v>19</v>
      </c>
      <c r="R3068" s="205"/>
      <c r="S3068" s="189" t="s">
        <v>25569</v>
      </c>
      <c r="T3068" s="114"/>
      <c r="U3068" s="21"/>
      <c r="V3068" s="115">
        <v>45976</v>
      </c>
      <c r="W3068" s="116">
        <v>1276</v>
      </c>
      <c r="X3068" s="220">
        <v>315000</v>
      </c>
      <c r="Y3068" s="220">
        <f>X3068*0.1</f>
        <v>31500</v>
      </c>
      <c r="Z3068" s="220">
        <v>8930</v>
      </c>
      <c r="AA3068" s="220">
        <f>SUM(X3068:Z3068)</f>
        <v>355430</v>
      </c>
      <c r="AB3068" s="222">
        <v>45979</v>
      </c>
    </row>
    <row r="3069" spans="1:28" ht="17.100000000000001" customHeight="1" thickBot="1">
      <c r="A3069" s="227"/>
      <c r="B3069" s="27" t="s">
        <v>4468</v>
      </c>
      <c r="C3069" s="27">
        <v>1092</v>
      </c>
      <c r="D3069" s="14" t="s">
        <v>1710</v>
      </c>
      <c r="E3069" s="229"/>
      <c r="F3069" s="117" t="s">
        <v>9612</v>
      </c>
      <c r="G3069" s="26">
        <v>32938</v>
      </c>
      <c r="H3069" s="231"/>
      <c r="I3069" s="221"/>
      <c r="J3069" s="221"/>
      <c r="K3069" s="221"/>
      <c r="L3069" s="221"/>
      <c r="M3069" s="221"/>
      <c r="N3069" s="221"/>
      <c r="O3069" s="225"/>
      <c r="P3069" s="118" t="s">
        <v>10580</v>
      </c>
      <c r="Q3069" s="16" t="s">
        <v>20</v>
      </c>
      <c r="R3069" s="17" t="s">
        <v>10519</v>
      </c>
      <c r="S3069" s="121" t="s">
        <v>10581</v>
      </c>
      <c r="T3069" s="122"/>
      <c r="U3069" s="22"/>
      <c r="V3069" s="123" t="s">
        <v>10781</v>
      </c>
      <c r="W3069" s="122">
        <v>65409</v>
      </c>
      <c r="X3069" s="221"/>
      <c r="Y3069" s="221"/>
      <c r="Z3069" s="221"/>
      <c r="AA3069" s="221"/>
      <c r="AB3069" s="223"/>
    </row>
    <row r="3070" spans="1:28" ht="17.100000000000001" customHeight="1" thickTop="1">
      <c r="A3070" s="226" t="s">
        <v>9619</v>
      </c>
      <c r="B3070" s="28">
        <v>45961</v>
      </c>
      <c r="C3070" s="25">
        <v>2108</v>
      </c>
      <c r="D3070" s="13" t="s">
        <v>1715</v>
      </c>
      <c r="E3070" s="228"/>
      <c r="F3070" s="109" t="s">
        <v>9579</v>
      </c>
      <c r="G3070" s="24" t="s">
        <v>9581</v>
      </c>
      <c r="H3070" s="230">
        <v>4.5</v>
      </c>
      <c r="I3070" s="220">
        <v>1155000</v>
      </c>
      <c r="J3070" s="220">
        <f>I3070*0.1</f>
        <v>115500</v>
      </c>
      <c r="K3070" s="220">
        <f>12200+1220</f>
        <v>13420</v>
      </c>
      <c r="L3070" s="220">
        <v>11930</v>
      </c>
      <c r="M3070" s="220">
        <v>16500</v>
      </c>
      <c r="N3070" s="220">
        <f>SUM(I3070:M3071)</f>
        <v>1312350</v>
      </c>
      <c r="O3070" s="224"/>
      <c r="P3070" s="110" t="s">
        <v>9582</v>
      </c>
      <c r="Q3070" s="15" t="s">
        <v>19</v>
      </c>
      <c r="R3070" s="205"/>
      <c r="S3070" s="189" t="s">
        <v>25372</v>
      </c>
      <c r="T3070" s="114" t="s">
        <v>10291</v>
      </c>
      <c r="U3070" s="21"/>
      <c r="V3070" s="115">
        <v>45980</v>
      </c>
      <c r="W3070" s="116">
        <v>993</v>
      </c>
      <c r="X3070" s="220">
        <v>1260000</v>
      </c>
      <c r="Y3070" s="220">
        <f>X3070*0.1</f>
        <v>126000</v>
      </c>
      <c r="Z3070" s="220">
        <v>11930</v>
      </c>
      <c r="AA3070" s="220">
        <f>SUM(X3070:Z3070)</f>
        <v>1397930</v>
      </c>
      <c r="AB3070" s="222">
        <v>45986</v>
      </c>
    </row>
    <row r="3071" spans="1:28" ht="17.100000000000001" customHeight="1" thickBot="1">
      <c r="A3071" s="227"/>
      <c r="B3071" s="27" t="s">
        <v>1536</v>
      </c>
      <c r="C3071" s="27">
        <v>13252</v>
      </c>
      <c r="D3071" s="14" t="s">
        <v>898</v>
      </c>
      <c r="E3071" s="229"/>
      <c r="F3071" s="117" t="s">
        <v>9580</v>
      </c>
      <c r="G3071" s="26">
        <v>25095</v>
      </c>
      <c r="H3071" s="231"/>
      <c r="I3071" s="221"/>
      <c r="J3071" s="221"/>
      <c r="K3071" s="221"/>
      <c r="L3071" s="221"/>
      <c r="M3071" s="221"/>
      <c r="N3071" s="221"/>
      <c r="O3071" s="225"/>
      <c r="P3071" s="118" t="s">
        <v>9948</v>
      </c>
      <c r="Q3071" s="16" t="s">
        <v>20</v>
      </c>
      <c r="R3071" s="17" t="s">
        <v>9944</v>
      </c>
      <c r="S3071" s="121" t="s">
        <v>9949</v>
      </c>
      <c r="T3071" s="122"/>
      <c r="U3071" s="22"/>
      <c r="V3071" s="123" t="s">
        <v>7161</v>
      </c>
      <c r="W3071" s="122">
        <v>5026</v>
      </c>
      <c r="X3071" s="221"/>
      <c r="Y3071" s="221"/>
      <c r="Z3071" s="221"/>
      <c r="AA3071" s="221"/>
      <c r="AB3071" s="223"/>
    </row>
    <row r="3072" spans="1:28" ht="17.100000000000001" customHeight="1" thickTop="1">
      <c r="A3072" s="226" t="s">
        <v>9620</v>
      </c>
      <c r="B3072" s="28">
        <v>45961</v>
      </c>
      <c r="C3072" s="25">
        <v>2108</v>
      </c>
      <c r="D3072" s="13" t="s">
        <v>2866</v>
      </c>
      <c r="E3072" s="228"/>
      <c r="F3072" s="109" t="s">
        <v>9583</v>
      </c>
      <c r="G3072" s="24" t="s">
        <v>2038</v>
      </c>
      <c r="H3072" s="230">
        <v>4.5</v>
      </c>
      <c r="I3072" s="220">
        <v>2340000</v>
      </c>
      <c r="J3072" s="220">
        <f>I3072*0.1</f>
        <v>234000</v>
      </c>
      <c r="K3072" s="220">
        <f>16400+1640</f>
        <v>18040</v>
      </c>
      <c r="L3072" s="220">
        <v>17060</v>
      </c>
      <c r="M3072" s="220">
        <v>16500</v>
      </c>
      <c r="N3072" s="220">
        <f>SUM(I3072:M3073)</f>
        <v>2625600</v>
      </c>
      <c r="O3072" s="224"/>
      <c r="P3072" s="110" t="s">
        <v>9585</v>
      </c>
      <c r="Q3072" s="15" t="s">
        <v>19</v>
      </c>
      <c r="R3072" s="205"/>
      <c r="S3072" s="189" t="s">
        <v>758</v>
      </c>
      <c r="T3072" s="114" t="s">
        <v>10640</v>
      </c>
      <c r="U3072" s="21"/>
      <c r="V3072" s="115">
        <v>45974</v>
      </c>
      <c r="W3072" s="116">
        <v>1306</v>
      </c>
      <c r="X3072" s="220">
        <v>2500000</v>
      </c>
      <c r="Y3072" s="220">
        <f>X3072*0.1</f>
        <v>250000</v>
      </c>
      <c r="Z3072" s="220">
        <v>17060</v>
      </c>
      <c r="AA3072" s="220">
        <f>SUM(X3072:Z3072)</f>
        <v>2767060</v>
      </c>
      <c r="AB3072" s="222">
        <v>45975</v>
      </c>
    </row>
    <row r="3073" spans="1:28" ht="17.100000000000001" customHeight="1" thickBot="1">
      <c r="A3073" s="227"/>
      <c r="B3073" s="27" t="s">
        <v>1536</v>
      </c>
      <c r="C3073" s="27">
        <v>13259</v>
      </c>
      <c r="D3073" s="14" t="s">
        <v>1584</v>
      </c>
      <c r="E3073" s="229"/>
      <c r="F3073" s="117" t="s">
        <v>9584</v>
      </c>
      <c r="G3073" s="26">
        <v>35400</v>
      </c>
      <c r="H3073" s="231"/>
      <c r="I3073" s="221"/>
      <c r="J3073" s="221"/>
      <c r="K3073" s="221"/>
      <c r="L3073" s="221"/>
      <c r="M3073" s="221"/>
      <c r="N3073" s="221"/>
      <c r="O3073" s="225"/>
      <c r="P3073" s="118" t="s">
        <v>10212</v>
      </c>
      <c r="Q3073" s="16" t="s">
        <v>20</v>
      </c>
      <c r="R3073" s="17" t="s">
        <v>1684</v>
      </c>
      <c r="S3073" s="121" t="s">
        <v>10213</v>
      </c>
      <c r="T3073" s="122"/>
      <c r="U3073" s="22"/>
      <c r="V3073" s="123" t="s">
        <v>1735</v>
      </c>
      <c r="W3073" s="122">
        <v>44</v>
      </c>
      <c r="X3073" s="221"/>
      <c r="Y3073" s="221"/>
      <c r="Z3073" s="221"/>
      <c r="AA3073" s="221"/>
      <c r="AB3073" s="223"/>
    </row>
    <row r="3074" spans="1:28" ht="17.100000000000001" customHeight="1" thickTop="1">
      <c r="A3074" s="226" t="s">
        <v>9621</v>
      </c>
      <c r="B3074" s="28">
        <v>45961</v>
      </c>
      <c r="C3074" s="25">
        <v>264</v>
      </c>
      <c r="D3074" s="13" t="s">
        <v>2150</v>
      </c>
      <c r="E3074" s="228"/>
      <c r="F3074" s="109" t="s">
        <v>9651</v>
      </c>
      <c r="G3074" s="24" t="s">
        <v>1540</v>
      </c>
      <c r="H3074" s="230">
        <v>4</v>
      </c>
      <c r="I3074" s="220">
        <v>512000</v>
      </c>
      <c r="J3074" s="220">
        <f>I3074*0.1</f>
        <v>51200</v>
      </c>
      <c r="K3074" s="220">
        <v>0</v>
      </c>
      <c r="L3074" s="220">
        <v>8550</v>
      </c>
      <c r="M3074" s="220">
        <v>22000</v>
      </c>
      <c r="N3074" s="220">
        <f>SUM(I3074:M3075)</f>
        <v>593750</v>
      </c>
      <c r="O3074" s="224"/>
      <c r="P3074" s="110" t="s">
        <v>9652</v>
      </c>
      <c r="Q3074" s="15" t="s">
        <v>19</v>
      </c>
      <c r="R3074" s="205"/>
      <c r="S3074" s="189" t="s">
        <v>758</v>
      </c>
      <c r="T3074" s="114"/>
      <c r="U3074" s="21" t="s">
        <v>10801</v>
      </c>
      <c r="V3074" s="115">
        <v>45990</v>
      </c>
      <c r="W3074" s="116">
        <v>1278</v>
      </c>
      <c r="X3074" s="220">
        <v>580000</v>
      </c>
      <c r="Y3074" s="220">
        <f>X3074*0.1</f>
        <v>58000</v>
      </c>
      <c r="Z3074" s="220">
        <v>8550</v>
      </c>
      <c r="AA3074" s="220">
        <f>SUM(X3074:Z3074)</f>
        <v>646550</v>
      </c>
      <c r="AB3074" s="222">
        <v>45994</v>
      </c>
    </row>
    <row r="3075" spans="1:28" ht="17.100000000000001" customHeight="1" thickBot="1">
      <c r="A3075" s="227"/>
      <c r="B3075" s="27" t="s">
        <v>3890</v>
      </c>
      <c r="C3075" s="27">
        <v>10</v>
      </c>
      <c r="D3075" s="14" t="s">
        <v>273</v>
      </c>
      <c r="E3075" s="229"/>
      <c r="F3075" s="117" t="s">
        <v>9630</v>
      </c>
      <c r="G3075" s="26">
        <v>53200</v>
      </c>
      <c r="H3075" s="231"/>
      <c r="I3075" s="221"/>
      <c r="J3075" s="221"/>
      <c r="K3075" s="221"/>
      <c r="L3075" s="221"/>
      <c r="M3075" s="221"/>
      <c r="N3075" s="221"/>
      <c r="O3075" s="225"/>
      <c r="P3075" s="118" t="s">
        <v>9856</v>
      </c>
      <c r="Q3075" s="16" t="s">
        <v>20</v>
      </c>
      <c r="R3075" s="17" t="s">
        <v>1673</v>
      </c>
      <c r="S3075" s="121" t="s">
        <v>169</v>
      </c>
      <c r="T3075" s="122"/>
      <c r="U3075" s="22"/>
      <c r="V3075" s="123" t="s">
        <v>2472</v>
      </c>
      <c r="W3075" s="122">
        <v>60292</v>
      </c>
      <c r="X3075" s="221"/>
      <c r="Y3075" s="221"/>
      <c r="Z3075" s="221"/>
      <c r="AA3075" s="221"/>
      <c r="AB3075" s="223"/>
    </row>
    <row r="3076" spans="1:28" ht="17.100000000000001" customHeight="1" thickTop="1">
      <c r="A3076" s="226" t="s">
        <v>9622</v>
      </c>
      <c r="B3076" s="28">
        <v>45961</v>
      </c>
      <c r="C3076" s="25">
        <v>264</v>
      </c>
      <c r="D3076" s="13" t="s">
        <v>2766</v>
      </c>
      <c r="E3076" s="228"/>
      <c r="F3076" s="109" t="s">
        <v>9653</v>
      </c>
      <c r="G3076" s="24" t="s">
        <v>2894</v>
      </c>
      <c r="H3076" s="230">
        <v>3.5</v>
      </c>
      <c r="I3076" s="220">
        <v>444000</v>
      </c>
      <c r="J3076" s="220">
        <f>I3076*0.1</f>
        <v>44400</v>
      </c>
      <c r="K3076" s="220">
        <v>0</v>
      </c>
      <c r="L3076" s="220">
        <v>9190</v>
      </c>
      <c r="M3076" s="220">
        <v>22000</v>
      </c>
      <c r="N3076" s="220">
        <f>SUM(I3076:M3077)</f>
        <v>519590</v>
      </c>
      <c r="O3076" s="224"/>
      <c r="P3076" s="110" t="s">
        <v>9654</v>
      </c>
      <c r="Q3076" s="15" t="s">
        <v>19</v>
      </c>
      <c r="R3076" s="205"/>
      <c r="S3076" s="189"/>
      <c r="T3076" s="114"/>
      <c r="U3076" s="21" t="s">
        <v>10790</v>
      </c>
      <c r="V3076" s="115">
        <v>45983</v>
      </c>
      <c r="W3076" s="116">
        <v>1277</v>
      </c>
      <c r="X3076" s="220">
        <v>520000</v>
      </c>
      <c r="Y3076" s="220">
        <f>X3076*0.1</f>
        <v>52000</v>
      </c>
      <c r="Z3076" s="220">
        <v>9190</v>
      </c>
      <c r="AA3076" s="220">
        <f>SUM(X3076:Z3076)</f>
        <v>581190</v>
      </c>
      <c r="AB3076" s="222">
        <v>45987</v>
      </c>
    </row>
    <row r="3077" spans="1:28" ht="17.100000000000001" customHeight="1" thickBot="1">
      <c r="A3077" s="227"/>
      <c r="B3077" s="27" t="s">
        <v>3890</v>
      </c>
      <c r="C3077" s="27">
        <v>15</v>
      </c>
      <c r="D3077" s="14" t="s">
        <v>2559</v>
      </c>
      <c r="E3077" s="229"/>
      <c r="F3077" s="117" t="s">
        <v>9631</v>
      </c>
      <c r="G3077" s="26">
        <v>57260</v>
      </c>
      <c r="H3077" s="231"/>
      <c r="I3077" s="221"/>
      <c r="J3077" s="221"/>
      <c r="K3077" s="221"/>
      <c r="L3077" s="221"/>
      <c r="M3077" s="221"/>
      <c r="N3077" s="221"/>
      <c r="O3077" s="225"/>
      <c r="P3077" s="118" t="s">
        <v>9959</v>
      </c>
      <c r="Q3077" s="16" t="s">
        <v>20</v>
      </c>
      <c r="R3077" s="17" t="s">
        <v>9944</v>
      </c>
      <c r="S3077" s="121" t="s">
        <v>2236</v>
      </c>
      <c r="T3077" s="122"/>
      <c r="U3077" s="22"/>
      <c r="V3077" s="123" t="s">
        <v>2472</v>
      </c>
      <c r="W3077" s="122">
        <v>60080</v>
      </c>
      <c r="X3077" s="221"/>
      <c r="Y3077" s="221"/>
      <c r="Z3077" s="221"/>
      <c r="AA3077" s="221"/>
      <c r="AB3077" s="223"/>
    </row>
    <row r="3078" spans="1:28" ht="17.100000000000001" customHeight="1" thickTop="1">
      <c r="A3078" s="226" t="s">
        <v>9623</v>
      </c>
      <c r="B3078" s="28">
        <v>45961</v>
      </c>
      <c r="C3078" s="25">
        <v>264</v>
      </c>
      <c r="D3078" s="13" t="s">
        <v>1754</v>
      </c>
      <c r="E3078" s="228"/>
      <c r="F3078" s="109" t="s">
        <v>9471</v>
      </c>
      <c r="G3078" s="24"/>
      <c r="H3078" s="230">
        <v>3.5</v>
      </c>
      <c r="I3078" s="220">
        <v>165000</v>
      </c>
      <c r="J3078" s="220">
        <f>I3078*0.1</f>
        <v>16500</v>
      </c>
      <c r="K3078" s="220">
        <v>0</v>
      </c>
      <c r="L3078" s="220">
        <v>8460</v>
      </c>
      <c r="M3078" s="220">
        <v>22000</v>
      </c>
      <c r="N3078" s="220">
        <f>SUM(I3078:M3079)</f>
        <v>211960</v>
      </c>
      <c r="O3078" s="224"/>
      <c r="P3078" s="110" t="s">
        <v>10326</v>
      </c>
      <c r="Q3078" s="15" t="s">
        <v>19</v>
      </c>
      <c r="R3078" s="205"/>
      <c r="S3078" s="189"/>
      <c r="T3078" s="114"/>
      <c r="U3078" s="21"/>
      <c r="V3078" s="115">
        <v>45997</v>
      </c>
      <c r="W3078" s="116">
        <v>1279</v>
      </c>
      <c r="X3078" s="220">
        <v>298000</v>
      </c>
      <c r="Y3078" s="220">
        <f>X3078*0.1</f>
        <v>29800</v>
      </c>
      <c r="Z3078" s="220">
        <v>8460</v>
      </c>
      <c r="AA3078" s="220">
        <f>SUM(X3078:Z3078)</f>
        <v>336260</v>
      </c>
      <c r="AB3078" s="222">
        <v>46000</v>
      </c>
    </row>
    <row r="3079" spans="1:28" ht="17.100000000000001" customHeight="1" thickBot="1">
      <c r="A3079" s="227"/>
      <c r="B3079" s="27" t="s">
        <v>3890</v>
      </c>
      <c r="C3079" s="27">
        <v>20032</v>
      </c>
      <c r="D3079" s="14" t="s">
        <v>1568</v>
      </c>
      <c r="E3079" s="229"/>
      <c r="F3079" s="117" t="s">
        <v>9632</v>
      </c>
      <c r="G3079" s="26">
        <v>50500</v>
      </c>
      <c r="H3079" s="231"/>
      <c r="I3079" s="221"/>
      <c r="J3079" s="221"/>
      <c r="K3079" s="221"/>
      <c r="L3079" s="221"/>
      <c r="M3079" s="221"/>
      <c r="N3079" s="221"/>
      <c r="O3079" s="225"/>
      <c r="P3079" s="118" t="s">
        <v>6804</v>
      </c>
      <c r="Q3079" s="16" t="s">
        <v>20</v>
      </c>
      <c r="R3079" s="17" t="s">
        <v>1684</v>
      </c>
      <c r="S3079" s="121"/>
      <c r="T3079" s="122"/>
      <c r="U3079" s="22"/>
      <c r="V3079" s="123" t="s">
        <v>7160</v>
      </c>
      <c r="W3079" s="122">
        <v>63006</v>
      </c>
      <c r="X3079" s="221"/>
      <c r="Y3079" s="221"/>
      <c r="Z3079" s="221"/>
      <c r="AA3079" s="221"/>
      <c r="AB3079" s="223"/>
    </row>
    <row r="3080" spans="1:28" ht="17.100000000000001" customHeight="1" thickTop="1">
      <c r="A3080" s="226" t="s">
        <v>9624</v>
      </c>
      <c r="B3080" s="28">
        <v>45961</v>
      </c>
      <c r="C3080" s="25">
        <v>264</v>
      </c>
      <c r="D3080" s="13" t="s">
        <v>2010</v>
      </c>
      <c r="E3080" s="228"/>
      <c r="F3080" s="109" t="s">
        <v>3978</v>
      </c>
      <c r="G3080" s="24" t="s">
        <v>2487</v>
      </c>
      <c r="H3080" s="230">
        <v>3.5</v>
      </c>
      <c r="I3080" s="220">
        <v>1381000</v>
      </c>
      <c r="J3080" s="220">
        <f>I3080*0.1</f>
        <v>138100</v>
      </c>
      <c r="K3080" s="220">
        <f>12700+1270</f>
        <v>13970</v>
      </c>
      <c r="L3080" s="220">
        <v>10720</v>
      </c>
      <c r="M3080" s="220">
        <v>22000</v>
      </c>
      <c r="N3080" s="220">
        <f>SUM(I3080:M3081)</f>
        <v>1565790</v>
      </c>
      <c r="O3080" s="224"/>
      <c r="P3080" s="110" t="s">
        <v>9655</v>
      </c>
      <c r="Q3080" s="15" t="s">
        <v>19</v>
      </c>
      <c r="R3080" s="205"/>
      <c r="S3080" s="189" t="s">
        <v>25570</v>
      </c>
      <c r="T3080" s="114" t="s">
        <v>10203</v>
      </c>
      <c r="U3080" s="21"/>
      <c r="V3080" s="115">
        <v>45969</v>
      </c>
      <c r="W3080" s="116">
        <v>1275</v>
      </c>
      <c r="X3080" s="220">
        <v>1460000</v>
      </c>
      <c r="Y3080" s="220">
        <f>X3080*0.1</f>
        <v>146000</v>
      </c>
      <c r="Z3080" s="220">
        <v>10720</v>
      </c>
      <c r="AA3080" s="220">
        <f>SUM(X3080:Z3080)</f>
        <v>1616720</v>
      </c>
      <c r="AB3080" s="222">
        <v>45974</v>
      </c>
    </row>
    <row r="3081" spans="1:28" ht="17.100000000000001" customHeight="1" thickBot="1">
      <c r="A3081" s="227"/>
      <c r="B3081" s="27" t="s">
        <v>3890</v>
      </c>
      <c r="C3081" s="27">
        <v>25033</v>
      </c>
      <c r="D3081" s="14" t="s">
        <v>2559</v>
      </c>
      <c r="E3081" s="229"/>
      <c r="F3081" s="117" t="s">
        <v>9633</v>
      </c>
      <c r="G3081" s="26">
        <v>59498</v>
      </c>
      <c r="H3081" s="231"/>
      <c r="I3081" s="221"/>
      <c r="J3081" s="221"/>
      <c r="K3081" s="221"/>
      <c r="L3081" s="221"/>
      <c r="M3081" s="221"/>
      <c r="N3081" s="221"/>
      <c r="O3081" s="225"/>
      <c r="P3081" s="118" t="s">
        <v>4348</v>
      </c>
      <c r="Q3081" s="16" t="s">
        <v>20</v>
      </c>
      <c r="R3081" s="17" t="s">
        <v>3325</v>
      </c>
      <c r="S3081" s="121" t="s">
        <v>10204</v>
      </c>
      <c r="T3081" s="122"/>
      <c r="U3081" s="22"/>
      <c r="V3081" s="123" t="s">
        <v>2472</v>
      </c>
      <c r="W3081" s="122">
        <v>4</v>
      </c>
      <c r="X3081" s="221"/>
      <c r="Y3081" s="221"/>
      <c r="Z3081" s="221"/>
      <c r="AA3081" s="221"/>
      <c r="AB3081" s="223"/>
    </row>
    <row r="3082" spans="1:28" ht="17.100000000000001" customHeight="1" thickTop="1">
      <c r="A3082" s="233" t="s">
        <v>9625</v>
      </c>
      <c r="B3082" s="28">
        <v>45961</v>
      </c>
      <c r="C3082" s="25">
        <v>1392</v>
      </c>
      <c r="D3082" s="13" t="s">
        <v>2328</v>
      </c>
      <c r="E3082" s="228"/>
      <c r="F3082" s="109" t="s">
        <v>9638</v>
      </c>
      <c r="G3082" s="24" t="s">
        <v>9656</v>
      </c>
      <c r="H3082" s="230">
        <v>4.5</v>
      </c>
      <c r="I3082" s="220">
        <v>1492000</v>
      </c>
      <c r="J3082" s="220">
        <f>I3082*0.1</f>
        <v>149200</v>
      </c>
      <c r="K3082" s="220">
        <v>0</v>
      </c>
      <c r="L3082" s="220">
        <v>14200</v>
      </c>
      <c r="M3082" s="220">
        <v>13200</v>
      </c>
      <c r="N3082" s="220">
        <f>SUM(I3082:M3083)</f>
        <v>1668600</v>
      </c>
      <c r="O3082" s="224"/>
      <c r="P3082" s="110" t="s">
        <v>9991</v>
      </c>
      <c r="Q3082" s="15" t="s">
        <v>19</v>
      </c>
      <c r="R3082" s="205"/>
      <c r="S3082" s="189" t="s">
        <v>25432</v>
      </c>
      <c r="T3082" s="114" t="s">
        <v>7899</v>
      </c>
      <c r="U3082" s="21"/>
      <c r="V3082" s="115"/>
      <c r="W3082" s="116"/>
      <c r="X3082" s="220"/>
      <c r="Y3082" s="220">
        <f>X3082*0.1</f>
        <v>0</v>
      </c>
      <c r="Z3082" s="220"/>
      <c r="AA3082" s="220">
        <f>SUM(X3082:Z3082)</f>
        <v>0</v>
      </c>
      <c r="AB3082" s="222"/>
    </row>
    <row r="3083" spans="1:28" ht="17.100000000000001" customHeight="1" thickBot="1">
      <c r="A3083" s="234"/>
      <c r="B3083" s="27" t="s">
        <v>2597</v>
      </c>
      <c r="C3083" s="27">
        <v>3005</v>
      </c>
      <c r="D3083" s="14" t="s">
        <v>273</v>
      </c>
      <c r="E3083" s="229"/>
      <c r="F3083" s="117" t="s">
        <v>9639</v>
      </c>
      <c r="G3083" s="26">
        <v>859</v>
      </c>
      <c r="H3083" s="231"/>
      <c r="I3083" s="221"/>
      <c r="J3083" s="221"/>
      <c r="K3083" s="221"/>
      <c r="L3083" s="221"/>
      <c r="M3083" s="221"/>
      <c r="N3083" s="221"/>
      <c r="O3083" s="225"/>
      <c r="P3083" s="118" t="s">
        <v>4161</v>
      </c>
      <c r="Q3083" s="16" t="s">
        <v>20</v>
      </c>
      <c r="R3083" s="17" t="s">
        <v>9944</v>
      </c>
      <c r="S3083" s="121" t="s">
        <v>5420</v>
      </c>
      <c r="T3083" s="122" t="s">
        <v>10441</v>
      </c>
      <c r="U3083" s="22"/>
      <c r="V3083" s="123"/>
      <c r="W3083" s="122"/>
      <c r="X3083" s="221"/>
      <c r="Y3083" s="221"/>
      <c r="Z3083" s="221"/>
      <c r="AA3083" s="221"/>
      <c r="AB3083" s="223"/>
    </row>
    <row r="3084" spans="1:28" ht="17.100000000000001" customHeight="1" thickTop="1">
      <c r="A3084" s="226" t="s">
        <v>9626</v>
      </c>
      <c r="B3084" s="28">
        <v>45961</v>
      </c>
      <c r="C3084" s="25">
        <v>1392</v>
      </c>
      <c r="D3084" s="13" t="s">
        <v>2564</v>
      </c>
      <c r="E3084" s="228"/>
      <c r="F3084" s="109" t="s">
        <v>9657</v>
      </c>
      <c r="G3084" s="24" t="s">
        <v>4684</v>
      </c>
      <c r="H3084" s="230">
        <v>4</v>
      </c>
      <c r="I3084" s="220">
        <v>1126000</v>
      </c>
      <c r="J3084" s="220">
        <f>I3084*0.1</f>
        <v>112600</v>
      </c>
      <c r="K3084" s="220">
        <v>0</v>
      </c>
      <c r="L3084" s="220">
        <v>9310</v>
      </c>
      <c r="M3084" s="220">
        <v>13200</v>
      </c>
      <c r="N3084" s="220">
        <f>SUM(I3084:M3085)</f>
        <v>1261110</v>
      </c>
      <c r="O3084" s="224"/>
      <c r="P3084" s="110" t="s">
        <v>10126</v>
      </c>
      <c r="Q3084" s="15" t="s">
        <v>19</v>
      </c>
      <c r="R3084" s="205"/>
      <c r="S3084" s="189" t="s">
        <v>1361</v>
      </c>
      <c r="T3084" s="114"/>
      <c r="U3084" s="21" t="s">
        <v>10195</v>
      </c>
      <c r="V3084" s="115">
        <v>45969</v>
      </c>
      <c r="W3084" s="116">
        <v>1275</v>
      </c>
      <c r="X3084" s="220">
        <v>1190000</v>
      </c>
      <c r="Y3084" s="220">
        <f>X3084*0.1</f>
        <v>119000</v>
      </c>
      <c r="Z3084" s="220">
        <v>9310</v>
      </c>
      <c r="AA3084" s="220">
        <f>SUM(X3084:Z3084)</f>
        <v>1318310</v>
      </c>
      <c r="AB3084" s="222">
        <v>45974</v>
      </c>
    </row>
    <row r="3085" spans="1:28" ht="17.100000000000001" customHeight="1" thickBot="1">
      <c r="A3085" s="227"/>
      <c r="B3085" s="27" t="s">
        <v>2597</v>
      </c>
      <c r="C3085" s="27">
        <v>3071</v>
      </c>
      <c r="D3085" s="14" t="s">
        <v>898</v>
      </c>
      <c r="E3085" s="229"/>
      <c r="F3085" s="117" t="s">
        <v>9640</v>
      </c>
      <c r="G3085" s="26">
        <v>32710</v>
      </c>
      <c r="H3085" s="231"/>
      <c r="I3085" s="221"/>
      <c r="J3085" s="221"/>
      <c r="K3085" s="221"/>
      <c r="L3085" s="221"/>
      <c r="M3085" s="221"/>
      <c r="N3085" s="221"/>
      <c r="O3085" s="225"/>
      <c r="P3085" s="118" t="s">
        <v>6983</v>
      </c>
      <c r="Q3085" s="16" t="s">
        <v>20</v>
      </c>
      <c r="R3085" s="17" t="s">
        <v>3325</v>
      </c>
      <c r="S3085" s="121" t="s">
        <v>2360</v>
      </c>
      <c r="T3085" s="122"/>
      <c r="U3085" s="22"/>
      <c r="V3085" s="123" t="s">
        <v>2472</v>
      </c>
      <c r="W3085" s="122">
        <v>60005</v>
      </c>
      <c r="X3085" s="221"/>
      <c r="Y3085" s="221"/>
      <c r="Z3085" s="221"/>
      <c r="AA3085" s="221"/>
      <c r="AB3085" s="223"/>
    </row>
    <row r="3086" spans="1:28" ht="17.100000000000001" customHeight="1" thickTop="1">
      <c r="A3086" s="226" t="s">
        <v>9627</v>
      </c>
      <c r="B3086" s="28">
        <v>45961</v>
      </c>
      <c r="C3086" s="25">
        <v>1392</v>
      </c>
      <c r="D3086" s="13" t="s">
        <v>1733</v>
      </c>
      <c r="E3086" s="228"/>
      <c r="F3086" s="109" t="s">
        <v>9641</v>
      </c>
      <c r="G3086" s="24"/>
      <c r="H3086" s="230">
        <v>4</v>
      </c>
      <c r="I3086" s="220">
        <v>900000</v>
      </c>
      <c r="J3086" s="220">
        <f>I3086*0.1</f>
        <v>90000</v>
      </c>
      <c r="K3086" s="220">
        <v>0</v>
      </c>
      <c r="L3086" s="220">
        <v>8790</v>
      </c>
      <c r="M3086" s="220">
        <v>13200</v>
      </c>
      <c r="N3086" s="220">
        <f>SUM(I3086:M3087)</f>
        <v>1011990</v>
      </c>
      <c r="O3086" s="224"/>
      <c r="P3086" s="110" t="s">
        <v>9955</v>
      </c>
      <c r="Q3086" s="15" t="s">
        <v>19</v>
      </c>
      <c r="R3086" s="205"/>
      <c r="S3086" s="189"/>
      <c r="T3086" s="114"/>
      <c r="U3086" s="21"/>
      <c r="V3086" s="115">
        <v>45969</v>
      </c>
      <c r="W3086" s="116">
        <v>1275</v>
      </c>
      <c r="X3086" s="220">
        <v>970000</v>
      </c>
      <c r="Y3086" s="220">
        <f>X3086*0.1</f>
        <v>97000</v>
      </c>
      <c r="Z3086" s="220">
        <v>8790</v>
      </c>
      <c r="AA3086" s="220">
        <f>SUM(X3086:Z3086)</f>
        <v>1075790</v>
      </c>
      <c r="AB3086" s="222">
        <v>45972</v>
      </c>
    </row>
    <row r="3087" spans="1:28" ht="17.100000000000001" customHeight="1" thickBot="1">
      <c r="A3087" s="227"/>
      <c r="B3087" s="27" t="s">
        <v>2597</v>
      </c>
      <c r="C3087" s="27">
        <v>3161</v>
      </c>
      <c r="D3087" s="14" t="s">
        <v>898</v>
      </c>
      <c r="E3087" s="229"/>
      <c r="F3087" s="117" t="s">
        <v>9642</v>
      </c>
      <c r="G3087" s="26">
        <v>51631</v>
      </c>
      <c r="H3087" s="231"/>
      <c r="I3087" s="221"/>
      <c r="J3087" s="221"/>
      <c r="K3087" s="221"/>
      <c r="L3087" s="221"/>
      <c r="M3087" s="221"/>
      <c r="N3087" s="221"/>
      <c r="O3087" s="225"/>
      <c r="P3087" s="118" t="s">
        <v>1972</v>
      </c>
      <c r="Q3087" s="16" t="s">
        <v>20</v>
      </c>
      <c r="R3087" s="17" t="s">
        <v>9944</v>
      </c>
      <c r="S3087" s="121" t="s">
        <v>9956</v>
      </c>
      <c r="T3087" s="122"/>
      <c r="U3087" s="22"/>
      <c r="V3087" s="123" t="s">
        <v>2472</v>
      </c>
      <c r="W3087" s="122">
        <v>60003</v>
      </c>
      <c r="X3087" s="221"/>
      <c r="Y3087" s="221"/>
      <c r="Z3087" s="221"/>
      <c r="AA3087" s="221"/>
      <c r="AB3087" s="223"/>
    </row>
    <row r="3088" spans="1:28" ht="17.100000000000001" customHeight="1" thickTop="1">
      <c r="A3088" s="226" t="s">
        <v>9628</v>
      </c>
      <c r="B3088" s="28">
        <v>45961</v>
      </c>
      <c r="C3088" s="25">
        <v>1392</v>
      </c>
      <c r="D3088" s="13" t="s">
        <v>1715</v>
      </c>
      <c r="E3088" s="228"/>
      <c r="F3088" s="109" t="s">
        <v>9659</v>
      </c>
      <c r="G3088" s="24" t="s">
        <v>5043</v>
      </c>
      <c r="H3088" s="230">
        <v>4.5</v>
      </c>
      <c r="I3088" s="220">
        <v>960000</v>
      </c>
      <c r="J3088" s="220">
        <f>I3088*0.1</f>
        <v>96000</v>
      </c>
      <c r="K3088" s="220">
        <v>0</v>
      </c>
      <c r="L3088" s="220">
        <v>8790</v>
      </c>
      <c r="M3088" s="220">
        <v>13200</v>
      </c>
      <c r="N3088" s="220">
        <f>SUM(I3088:M3089)</f>
        <v>1077990</v>
      </c>
      <c r="O3088" s="224"/>
      <c r="P3088" s="110" t="s">
        <v>10041</v>
      </c>
      <c r="Q3088" s="15" t="s">
        <v>19</v>
      </c>
      <c r="R3088" s="205"/>
      <c r="S3088" s="189" t="s">
        <v>1276</v>
      </c>
      <c r="T3088" s="114"/>
      <c r="U3088" s="21" t="s">
        <v>10981</v>
      </c>
      <c r="V3088" s="115">
        <v>45981</v>
      </c>
      <c r="W3088" s="116"/>
      <c r="X3088" s="220">
        <v>1110000</v>
      </c>
      <c r="Y3088" s="220">
        <f>X3088*0.1</f>
        <v>111000</v>
      </c>
      <c r="Z3088" s="220">
        <v>8790</v>
      </c>
      <c r="AA3088" s="220">
        <f>SUM(X3088:Z3088)</f>
        <v>1229790</v>
      </c>
      <c r="AB3088" s="222"/>
    </row>
    <row r="3089" spans="1:28" ht="17.100000000000001" customHeight="1" thickBot="1">
      <c r="A3089" s="227"/>
      <c r="B3089" s="27" t="s">
        <v>2597</v>
      </c>
      <c r="C3089" s="27">
        <v>3181</v>
      </c>
      <c r="D3089" s="14" t="s">
        <v>9658</v>
      </c>
      <c r="E3089" s="229"/>
      <c r="F3089" s="117" t="s">
        <v>9643</v>
      </c>
      <c r="G3089" s="26">
        <v>52811</v>
      </c>
      <c r="H3089" s="231"/>
      <c r="I3089" s="221"/>
      <c r="J3089" s="221"/>
      <c r="K3089" s="221"/>
      <c r="L3089" s="221"/>
      <c r="M3089" s="221"/>
      <c r="N3089" s="221"/>
      <c r="O3089" s="225"/>
      <c r="P3089" s="118" t="s">
        <v>10042</v>
      </c>
      <c r="Q3089" s="16" t="s">
        <v>20</v>
      </c>
      <c r="R3089" s="17" t="s">
        <v>3343</v>
      </c>
      <c r="S3089" s="121" t="s">
        <v>1606</v>
      </c>
      <c r="T3089" s="122"/>
      <c r="U3089" s="22"/>
      <c r="V3089" s="123" t="s">
        <v>6682</v>
      </c>
      <c r="W3089" s="122">
        <v>47018</v>
      </c>
      <c r="X3089" s="221"/>
      <c r="Y3089" s="221"/>
      <c r="Z3089" s="221"/>
      <c r="AA3089" s="221"/>
      <c r="AB3089" s="223"/>
    </row>
    <row r="3090" spans="1:28" ht="17.100000000000001" customHeight="1" thickTop="1">
      <c r="A3090" s="226" t="s">
        <v>9629</v>
      </c>
      <c r="B3090" s="28">
        <v>45961</v>
      </c>
      <c r="C3090" s="25">
        <v>1392</v>
      </c>
      <c r="D3090" s="13" t="s">
        <v>2866</v>
      </c>
      <c r="E3090" s="228"/>
      <c r="F3090" s="109" t="s">
        <v>9660</v>
      </c>
      <c r="G3090" s="24"/>
      <c r="H3090" s="230">
        <v>4</v>
      </c>
      <c r="I3090" s="220">
        <v>1012000</v>
      </c>
      <c r="J3090" s="220">
        <f>I3090*0.1</f>
        <v>101200</v>
      </c>
      <c r="K3090" s="220">
        <v>0</v>
      </c>
      <c r="L3090" s="220">
        <v>9080</v>
      </c>
      <c r="M3090" s="220">
        <v>13200</v>
      </c>
      <c r="N3090" s="220">
        <f>SUM(I3090:M3091)</f>
        <v>1135480</v>
      </c>
      <c r="O3090" s="224"/>
      <c r="P3090" s="110" t="s">
        <v>9995</v>
      </c>
      <c r="Q3090" s="15" t="s">
        <v>19</v>
      </c>
      <c r="R3090" s="205"/>
      <c r="S3090" s="189" t="s">
        <v>25571</v>
      </c>
      <c r="T3090" s="114"/>
      <c r="U3090" s="21"/>
      <c r="V3090" s="115">
        <v>46109</v>
      </c>
      <c r="W3090" s="116">
        <v>1294</v>
      </c>
      <c r="X3090" s="220">
        <v>1100000</v>
      </c>
      <c r="Y3090" s="220">
        <f>X3090*0.1</f>
        <v>110000</v>
      </c>
      <c r="Z3090" s="220">
        <v>9080</v>
      </c>
      <c r="AA3090" s="220">
        <f>SUM(X3090:Z3090)</f>
        <v>1219080</v>
      </c>
      <c r="AB3090" s="222">
        <v>46112</v>
      </c>
    </row>
    <row r="3091" spans="1:28" ht="17.100000000000001" customHeight="1" thickBot="1">
      <c r="A3091" s="227"/>
      <c r="B3091" s="27" t="s">
        <v>2597</v>
      </c>
      <c r="C3091" s="27">
        <v>7006</v>
      </c>
      <c r="D3091" s="14" t="s">
        <v>2559</v>
      </c>
      <c r="E3091" s="229"/>
      <c r="F3091" s="117" t="s">
        <v>9644</v>
      </c>
      <c r="G3091" s="26">
        <v>57620</v>
      </c>
      <c r="H3091" s="231"/>
      <c r="I3091" s="221"/>
      <c r="J3091" s="221"/>
      <c r="K3091" s="221"/>
      <c r="L3091" s="221"/>
      <c r="M3091" s="221"/>
      <c r="N3091" s="221"/>
      <c r="O3091" s="225"/>
      <c r="P3091" s="118" t="s">
        <v>9177</v>
      </c>
      <c r="Q3091" s="16" t="s">
        <v>20</v>
      </c>
      <c r="R3091" s="17" t="s">
        <v>9944</v>
      </c>
      <c r="S3091" s="121" t="s">
        <v>3429</v>
      </c>
      <c r="T3091" s="122"/>
      <c r="U3091" s="22"/>
      <c r="V3091" s="123" t="s">
        <v>21250</v>
      </c>
      <c r="W3091" s="122">
        <v>62022</v>
      </c>
      <c r="X3091" s="221"/>
      <c r="Y3091" s="221"/>
      <c r="Z3091" s="221"/>
      <c r="AA3091" s="221"/>
      <c r="AB3091" s="223"/>
    </row>
    <row r="3092" spans="1:28" ht="17.100000000000001" customHeight="1" thickTop="1">
      <c r="A3092" s="226" t="s">
        <v>9634</v>
      </c>
      <c r="B3092" s="28">
        <v>45961</v>
      </c>
      <c r="C3092" s="25">
        <v>1392</v>
      </c>
      <c r="D3092" s="13" t="s">
        <v>1598</v>
      </c>
      <c r="E3092" s="228"/>
      <c r="F3092" s="109" t="s">
        <v>9645</v>
      </c>
      <c r="G3092" s="24" t="s">
        <v>9662</v>
      </c>
      <c r="H3092" s="230">
        <v>3.5</v>
      </c>
      <c r="I3092" s="220">
        <v>673000</v>
      </c>
      <c r="J3092" s="220">
        <f>I3092*0.1</f>
        <v>67300</v>
      </c>
      <c r="K3092" s="220">
        <f>14300+1430</f>
        <v>15730</v>
      </c>
      <c r="L3092" s="220">
        <v>10360</v>
      </c>
      <c r="M3092" s="220">
        <v>13200</v>
      </c>
      <c r="N3092" s="220">
        <f>SUM(I3092:M3093)</f>
        <v>779590</v>
      </c>
      <c r="O3092" s="224"/>
      <c r="P3092" s="110" t="s">
        <v>9992</v>
      </c>
      <c r="Q3092" s="15" t="s">
        <v>19</v>
      </c>
      <c r="R3092" s="205"/>
      <c r="S3092" s="189"/>
      <c r="T3092" s="114"/>
      <c r="U3092" s="21" t="s">
        <v>10835</v>
      </c>
      <c r="V3092" s="115">
        <v>45997</v>
      </c>
      <c r="W3092" s="116">
        <v>1279</v>
      </c>
      <c r="X3092" s="220">
        <v>690000</v>
      </c>
      <c r="Y3092" s="220">
        <f>X3092*0.1</f>
        <v>69000</v>
      </c>
      <c r="Z3092" s="220">
        <v>10360</v>
      </c>
      <c r="AA3092" s="220">
        <f>SUM(X3092:Z3092)</f>
        <v>769360</v>
      </c>
      <c r="AB3092" s="222">
        <v>46001</v>
      </c>
    </row>
    <row r="3093" spans="1:28" ht="17.100000000000001" customHeight="1" thickBot="1">
      <c r="A3093" s="227"/>
      <c r="B3093" s="27" t="s">
        <v>2597</v>
      </c>
      <c r="C3093" s="27">
        <v>9009</v>
      </c>
      <c r="D3093" s="14" t="s">
        <v>3274</v>
      </c>
      <c r="E3093" s="229"/>
      <c r="F3093" s="117" t="s">
        <v>9646</v>
      </c>
      <c r="G3093" s="26">
        <v>87612</v>
      </c>
      <c r="H3093" s="231"/>
      <c r="I3093" s="221"/>
      <c r="J3093" s="221"/>
      <c r="K3093" s="221"/>
      <c r="L3093" s="221"/>
      <c r="M3093" s="221"/>
      <c r="N3093" s="221"/>
      <c r="O3093" s="225"/>
      <c r="P3093" s="118" t="s">
        <v>9993</v>
      </c>
      <c r="Q3093" s="16" t="s">
        <v>20</v>
      </c>
      <c r="R3093" s="17" t="s">
        <v>9944</v>
      </c>
      <c r="S3093" s="121" t="s">
        <v>9994</v>
      </c>
      <c r="T3093" s="122"/>
      <c r="U3093" s="22"/>
      <c r="V3093" s="123" t="s">
        <v>2472</v>
      </c>
      <c r="W3093" s="122">
        <v>55027</v>
      </c>
      <c r="X3093" s="221"/>
      <c r="Y3093" s="221"/>
      <c r="Z3093" s="221"/>
      <c r="AA3093" s="221"/>
      <c r="AB3093" s="223"/>
    </row>
    <row r="3094" spans="1:28" ht="17.100000000000001" customHeight="1" thickTop="1">
      <c r="A3094" s="226" t="s">
        <v>9635</v>
      </c>
      <c r="B3094" s="28">
        <v>45961</v>
      </c>
      <c r="C3094" s="25">
        <v>1392</v>
      </c>
      <c r="D3094" s="13" t="s">
        <v>1021</v>
      </c>
      <c r="E3094" s="228"/>
      <c r="F3094" s="109" t="s">
        <v>4178</v>
      </c>
      <c r="G3094" s="24"/>
      <c r="H3094" s="230">
        <v>4</v>
      </c>
      <c r="I3094" s="220">
        <v>235000</v>
      </c>
      <c r="J3094" s="220">
        <f>I3094*0.1</f>
        <v>23500</v>
      </c>
      <c r="K3094" s="220">
        <v>0</v>
      </c>
      <c r="L3094" s="220">
        <v>9790</v>
      </c>
      <c r="M3094" s="220">
        <v>13200</v>
      </c>
      <c r="N3094" s="220">
        <f>SUM(I3094:M3095)</f>
        <v>281490</v>
      </c>
      <c r="O3094" s="224"/>
      <c r="P3094" s="110" t="s">
        <v>9952</v>
      </c>
      <c r="Q3094" s="15" t="s">
        <v>19</v>
      </c>
      <c r="R3094" s="205"/>
      <c r="S3094" s="189"/>
      <c r="T3094" s="114"/>
      <c r="U3094" s="21"/>
      <c r="V3094" s="115">
        <v>45969</v>
      </c>
      <c r="W3094" s="116">
        <v>1275</v>
      </c>
      <c r="X3094" s="220">
        <v>292000</v>
      </c>
      <c r="Y3094" s="220">
        <f>X3094*0.1</f>
        <v>29200</v>
      </c>
      <c r="Z3094" s="220">
        <v>9790</v>
      </c>
      <c r="AA3094" s="220">
        <f>SUM(X3094:Z3094)</f>
        <v>330990</v>
      </c>
      <c r="AB3094" s="222">
        <v>45972</v>
      </c>
    </row>
    <row r="3095" spans="1:28" ht="17.100000000000001" customHeight="1" thickBot="1">
      <c r="A3095" s="227"/>
      <c r="B3095" s="27" t="s">
        <v>2597</v>
      </c>
      <c r="C3095" s="27">
        <v>9026</v>
      </c>
      <c r="D3095" s="14" t="s">
        <v>3792</v>
      </c>
      <c r="E3095" s="229"/>
      <c r="F3095" s="117" t="s">
        <v>9647</v>
      </c>
      <c r="G3095" s="26">
        <v>96654</v>
      </c>
      <c r="H3095" s="231"/>
      <c r="I3095" s="221"/>
      <c r="J3095" s="221"/>
      <c r="K3095" s="221"/>
      <c r="L3095" s="221"/>
      <c r="M3095" s="221"/>
      <c r="N3095" s="221"/>
      <c r="O3095" s="225"/>
      <c r="P3095" s="118" t="s">
        <v>1972</v>
      </c>
      <c r="Q3095" s="16" t="s">
        <v>20</v>
      </c>
      <c r="R3095" s="17" t="s">
        <v>9944</v>
      </c>
      <c r="S3095" s="121" t="s">
        <v>9953</v>
      </c>
      <c r="T3095" s="122"/>
      <c r="U3095" s="22"/>
      <c r="V3095" s="123" t="s">
        <v>2472</v>
      </c>
      <c r="W3095" s="122">
        <v>63020</v>
      </c>
      <c r="X3095" s="221"/>
      <c r="Y3095" s="221"/>
      <c r="Z3095" s="221"/>
      <c r="AA3095" s="221"/>
      <c r="AB3095" s="223"/>
    </row>
    <row r="3096" spans="1:28" ht="17.100000000000001" customHeight="1" thickTop="1">
      <c r="A3096" s="226" t="s">
        <v>9636</v>
      </c>
      <c r="B3096" s="28">
        <v>45961</v>
      </c>
      <c r="C3096" s="25">
        <v>1392</v>
      </c>
      <c r="D3096" s="13" t="s">
        <v>1846</v>
      </c>
      <c r="E3096" s="228"/>
      <c r="F3096" s="109" t="s">
        <v>9648</v>
      </c>
      <c r="G3096" s="24"/>
      <c r="H3096" s="230">
        <v>4</v>
      </c>
      <c r="I3096" s="220">
        <v>472000</v>
      </c>
      <c r="J3096" s="220">
        <f>I3096*0.1</f>
        <v>47200</v>
      </c>
      <c r="K3096" s="220">
        <v>0</v>
      </c>
      <c r="L3096" s="220">
        <v>8790</v>
      </c>
      <c r="M3096" s="220">
        <v>13200</v>
      </c>
      <c r="N3096" s="220">
        <f>SUM(I3096:M3097)</f>
        <v>541190</v>
      </c>
      <c r="O3096" s="224"/>
      <c r="P3096" s="110" t="s">
        <v>9990</v>
      </c>
      <c r="Q3096" s="15" t="s">
        <v>19</v>
      </c>
      <c r="R3096" s="205"/>
      <c r="S3096" s="189"/>
      <c r="T3096" s="114"/>
      <c r="U3096" s="21"/>
      <c r="V3096" s="115">
        <v>45983</v>
      </c>
      <c r="W3096" s="116">
        <v>1277</v>
      </c>
      <c r="X3096" s="220">
        <v>485000</v>
      </c>
      <c r="Y3096" s="220">
        <f>X3096*0.1</f>
        <v>48500</v>
      </c>
      <c r="Z3096" s="220">
        <v>8790</v>
      </c>
      <c r="AA3096" s="220">
        <f>SUM(X3096:Z3096)</f>
        <v>542290</v>
      </c>
      <c r="AB3096" s="222">
        <v>45987</v>
      </c>
    </row>
    <row r="3097" spans="1:28" ht="17.100000000000001" customHeight="1" thickBot="1">
      <c r="A3097" s="227"/>
      <c r="B3097" s="27" t="s">
        <v>2597</v>
      </c>
      <c r="C3097" s="27">
        <v>9053</v>
      </c>
      <c r="D3097" s="14" t="s">
        <v>1568</v>
      </c>
      <c r="E3097" s="229"/>
      <c r="F3097" s="117" t="s">
        <v>9649</v>
      </c>
      <c r="G3097" s="26">
        <v>109165</v>
      </c>
      <c r="H3097" s="231"/>
      <c r="I3097" s="221"/>
      <c r="J3097" s="221"/>
      <c r="K3097" s="221"/>
      <c r="L3097" s="221"/>
      <c r="M3097" s="221"/>
      <c r="N3097" s="221"/>
      <c r="O3097" s="225"/>
      <c r="P3097" s="118" t="s">
        <v>1972</v>
      </c>
      <c r="Q3097" s="16" t="s">
        <v>20</v>
      </c>
      <c r="R3097" s="17" t="s">
        <v>9944</v>
      </c>
      <c r="S3097" s="121"/>
      <c r="T3097" s="122"/>
      <c r="U3097" s="22"/>
      <c r="V3097" s="123" t="s">
        <v>2472</v>
      </c>
      <c r="W3097" s="122">
        <v>60053</v>
      </c>
      <c r="X3097" s="221"/>
      <c r="Y3097" s="221"/>
      <c r="Z3097" s="221"/>
      <c r="AA3097" s="221"/>
      <c r="AB3097" s="223"/>
    </row>
    <row r="3098" spans="1:28" ht="17.100000000000001" customHeight="1" thickTop="1">
      <c r="A3098" s="226" t="s">
        <v>9637</v>
      </c>
      <c r="B3098" s="28">
        <v>45961</v>
      </c>
      <c r="C3098" s="25">
        <v>1392</v>
      </c>
      <c r="D3098" s="13" t="s">
        <v>5508</v>
      </c>
      <c r="E3098" s="228"/>
      <c r="F3098" s="109" t="s">
        <v>4467</v>
      </c>
      <c r="G3098" s="24" t="s">
        <v>9663</v>
      </c>
      <c r="H3098" s="232" t="s">
        <v>1705</v>
      </c>
      <c r="I3098" s="220">
        <v>259000</v>
      </c>
      <c r="J3098" s="220">
        <f>I3098*0.1</f>
        <v>25900</v>
      </c>
      <c r="K3098" s="220">
        <v>0</v>
      </c>
      <c r="L3098" s="220">
        <v>8490</v>
      </c>
      <c r="M3098" s="220">
        <v>13200</v>
      </c>
      <c r="N3098" s="220">
        <f>SUM(I3098:M3099)</f>
        <v>306590</v>
      </c>
      <c r="O3098" s="224"/>
      <c r="P3098" s="110" t="s">
        <v>9954</v>
      </c>
      <c r="Q3098" s="15" t="s">
        <v>19</v>
      </c>
      <c r="R3098" s="205"/>
      <c r="S3098" s="189"/>
      <c r="T3098" s="114"/>
      <c r="U3098" s="21" t="s">
        <v>10197</v>
      </c>
      <c r="V3098" s="115">
        <v>45969</v>
      </c>
      <c r="W3098" s="116">
        <v>1275</v>
      </c>
      <c r="X3098" s="220">
        <v>370000</v>
      </c>
      <c r="Y3098" s="220">
        <f>X3098*0.1</f>
        <v>37000</v>
      </c>
      <c r="Z3098" s="220">
        <v>8490</v>
      </c>
      <c r="AA3098" s="220">
        <f>SUM(X3098:Z3098)</f>
        <v>415490</v>
      </c>
      <c r="AB3098" s="222">
        <v>45974</v>
      </c>
    </row>
    <row r="3099" spans="1:28" ht="17.100000000000001" customHeight="1" thickBot="1">
      <c r="A3099" s="227"/>
      <c r="B3099" s="27" t="s">
        <v>2597</v>
      </c>
      <c r="C3099" s="27">
        <v>9410</v>
      </c>
      <c r="D3099" s="14" t="s">
        <v>273</v>
      </c>
      <c r="E3099" s="229"/>
      <c r="F3099" s="117" t="s">
        <v>9650</v>
      </c>
      <c r="G3099" s="26">
        <v>45722</v>
      </c>
      <c r="H3099" s="231"/>
      <c r="I3099" s="221"/>
      <c r="J3099" s="221"/>
      <c r="K3099" s="221"/>
      <c r="L3099" s="221"/>
      <c r="M3099" s="221"/>
      <c r="N3099" s="221"/>
      <c r="O3099" s="225"/>
      <c r="P3099" s="118" t="s">
        <v>1972</v>
      </c>
      <c r="Q3099" s="16" t="s">
        <v>20</v>
      </c>
      <c r="R3099" s="17" t="s">
        <v>9944</v>
      </c>
      <c r="S3099" s="121"/>
      <c r="T3099" s="122"/>
      <c r="U3099" s="22"/>
      <c r="V3099" s="123" t="s">
        <v>2472</v>
      </c>
      <c r="W3099" s="122">
        <v>60011</v>
      </c>
      <c r="X3099" s="221"/>
      <c r="Y3099" s="221"/>
      <c r="Z3099" s="221"/>
      <c r="AA3099" s="221"/>
      <c r="AB3099" s="223"/>
    </row>
    <row r="3100" spans="1:28" ht="17.100000000000001" customHeight="1" thickTop="1">
      <c r="A3100" s="226" t="s">
        <v>9756</v>
      </c>
      <c r="B3100" s="28">
        <v>45962</v>
      </c>
      <c r="C3100" s="25">
        <v>285</v>
      </c>
      <c r="D3100" s="13" t="s">
        <v>1623</v>
      </c>
      <c r="E3100" s="228"/>
      <c r="F3100" s="109" t="s">
        <v>9664</v>
      </c>
      <c r="G3100" s="24"/>
      <c r="H3100" s="230">
        <v>4.5</v>
      </c>
      <c r="I3100" s="220">
        <v>720000</v>
      </c>
      <c r="J3100" s="220">
        <f>I3100*0.1</f>
        <v>72000</v>
      </c>
      <c r="K3100" s="220">
        <v>0</v>
      </c>
      <c r="L3100" s="220">
        <v>7510</v>
      </c>
      <c r="M3100" s="220">
        <v>15950</v>
      </c>
      <c r="N3100" s="220">
        <f>SUM(I3100:M3101)</f>
        <v>815460</v>
      </c>
      <c r="O3100" s="224"/>
      <c r="P3100" s="110" t="s">
        <v>10012</v>
      </c>
      <c r="Q3100" s="15" t="s">
        <v>19</v>
      </c>
      <c r="R3100" s="205"/>
      <c r="S3100" s="189" t="s">
        <v>758</v>
      </c>
      <c r="T3100" s="114"/>
      <c r="U3100" s="21"/>
      <c r="V3100" s="115">
        <v>45969</v>
      </c>
      <c r="W3100" s="116">
        <v>1275</v>
      </c>
      <c r="X3100" s="220">
        <v>790000</v>
      </c>
      <c r="Y3100" s="220">
        <f>X3100*0.1</f>
        <v>79000</v>
      </c>
      <c r="Z3100" s="220">
        <v>7510</v>
      </c>
      <c r="AA3100" s="220">
        <f>SUM(X3100:Z3100)</f>
        <v>876510</v>
      </c>
      <c r="AB3100" s="222">
        <v>45972</v>
      </c>
    </row>
    <row r="3101" spans="1:28" ht="17.100000000000001" customHeight="1" thickBot="1">
      <c r="A3101" s="227"/>
      <c r="B3101" s="27" t="s">
        <v>3518</v>
      </c>
      <c r="C3101" s="27">
        <v>3115</v>
      </c>
      <c r="D3101" s="14" t="s">
        <v>1710</v>
      </c>
      <c r="E3101" s="229"/>
      <c r="F3101" s="117" t="s">
        <v>9665</v>
      </c>
      <c r="G3101" s="26">
        <v>30871</v>
      </c>
      <c r="H3101" s="231"/>
      <c r="I3101" s="221"/>
      <c r="J3101" s="221"/>
      <c r="K3101" s="221"/>
      <c r="L3101" s="221"/>
      <c r="M3101" s="221"/>
      <c r="N3101" s="221"/>
      <c r="O3101" s="225"/>
      <c r="P3101" s="118" t="s">
        <v>7323</v>
      </c>
      <c r="Q3101" s="16" t="s">
        <v>20</v>
      </c>
      <c r="R3101" s="17" t="s">
        <v>3343</v>
      </c>
      <c r="S3101" s="121" t="s">
        <v>1661</v>
      </c>
      <c r="T3101" s="122"/>
      <c r="U3101" s="22"/>
      <c r="V3101" s="123" t="s">
        <v>2472</v>
      </c>
      <c r="W3101" s="122">
        <v>60025</v>
      </c>
      <c r="X3101" s="221"/>
      <c r="Y3101" s="221"/>
      <c r="Z3101" s="221"/>
      <c r="AA3101" s="221"/>
      <c r="AB3101" s="223"/>
    </row>
    <row r="3102" spans="1:28" ht="17.100000000000001" customHeight="1" thickTop="1">
      <c r="A3102" s="226" t="s">
        <v>9757</v>
      </c>
      <c r="B3102" s="28">
        <v>45962</v>
      </c>
      <c r="C3102" s="25">
        <v>1274</v>
      </c>
      <c r="D3102" s="13" t="s">
        <v>1788</v>
      </c>
      <c r="E3102" s="228"/>
      <c r="F3102" s="109" t="s">
        <v>9645</v>
      </c>
      <c r="G3102" s="24" t="s">
        <v>4038</v>
      </c>
      <c r="H3102" s="230">
        <v>4</v>
      </c>
      <c r="I3102" s="220">
        <v>950000</v>
      </c>
      <c r="J3102" s="220">
        <f>I3102*0.1</f>
        <v>95000</v>
      </c>
      <c r="K3102" s="220">
        <f>11500+1150</f>
        <v>12650</v>
      </c>
      <c r="L3102" s="220">
        <v>10360</v>
      </c>
      <c r="M3102" s="220">
        <v>12100</v>
      </c>
      <c r="N3102" s="220">
        <f>SUM(I3102:M3103)</f>
        <v>1080110</v>
      </c>
      <c r="O3102" s="224"/>
      <c r="P3102" s="110" t="s">
        <v>9719</v>
      </c>
      <c r="Q3102" s="15" t="s">
        <v>19</v>
      </c>
      <c r="R3102" s="205"/>
      <c r="S3102" s="189"/>
      <c r="T3102" s="114"/>
      <c r="U3102" s="21"/>
      <c r="V3102" s="115">
        <v>45987</v>
      </c>
      <c r="W3102" s="116">
        <v>994</v>
      </c>
      <c r="X3102" s="220">
        <v>1000000</v>
      </c>
      <c r="Y3102" s="220">
        <f>X3102*0.1</f>
        <v>100000</v>
      </c>
      <c r="Z3102" s="220">
        <v>10360</v>
      </c>
      <c r="AA3102" s="220">
        <f>SUM(X3102:Z3102)</f>
        <v>1110360</v>
      </c>
      <c r="AB3102" s="222">
        <v>45992</v>
      </c>
    </row>
    <row r="3103" spans="1:28" ht="17.100000000000001" customHeight="1" thickBot="1">
      <c r="A3103" s="227"/>
      <c r="B3103" s="27" t="s">
        <v>2472</v>
      </c>
      <c r="C3103" s="27">
        <v>31130</v>
      </c>
      <c r="D3103" s="14" t="s">
        <v>273</v>
      </c>
      <c r="E3103" s="229"/>
      <c r="F3103" s="117" t="s">
        <v>9718</v>
      </c>
      <c r="G3103" s="26">
        <v>55173</v>
      </c>
      <c r="H3103" s="231"/>
      <c r="I3103" s="221"/>
      <c r="J3103" s="221"/>
      <c r="K3103" s="221"/>
      <c r="L3103" s="221"/>
      <c r="M3103" s="221"/>
      <c r="N3103" s="221"/>
      <c r="O3103" s="225"/>
      <c r="P3103" s="118" t="s">
        <v>10262</v>
      </c>
      <c r="Q3103" s="16" t="s">
        <v>20</v>
      </c>
      <c r="R3103" s="17" t="s">
        <v>1684</v>
      </c>
      <c r="S3103" s="121" t="s">
        <v>10263</v>
      </c>
      <c r="T3103" s="122" t="s">
        <v>9870</v>
      </c>
      <c r="U3103" s="22"/>
      <c r="V3103" s="123" t="s">
        <v>11555</v>
      </c>
      <c r="W3103" s="122">
        <v>6071</v>
      </c>
      <c r="X3103" s="221"/>
      <c r="Y3103" s="221"/>
      <c r="Z3103" s="221"/>
      <c r="AA3103" s="221"/>
      <c r="AB3103" s="223"/>
    </row>
    <row r="3104" spans="1:28" ht="17.100000000000001" customHeight="1" thickTop="1">
      <c r="A3104" s="226" t="s">
        <v>9758</v>
      </c>
      <c r="B3104" s="28">
        <v>45962</v>
      </c>
      <c r="C3104" s="25">
        <v>1274</v>
      </c>
      <c r="D3104" s="13" t="s">
        <v>1634</v>
      </c>
      <c r="E3104" s="228"/>
      <c r="F3104" s="109" t="s">
        <v>3533</v>
      </c>
      <c r="G3104" s="24" t="s">
        <v>4362</v>
      </c>
      <c r="H3104" s="230">
        <v>4.5</v>
      </c>
      <c r="I3104" s="220">
        <v>1090000</v>
      </c>
      <c r="J3104" s="220">
        <f>I3104*0.1</f>
        <v>109000</v>
      </c>
      <c r="K3104" s="220">
        <v>0</v>
      </c>
      <c r="L3104" s="220">
        <v>5340</v>
      </c>
      <c r="M3104" s="220">
        <v>12100</v>
      </c>
      <c r="N3104" s="220">
        <f>SUM(I3104:M3105)</f>
        <v>1216440</v>
      </c>
      <c r="O3104" s="224"/>
      <c r="P3104" s="110" t="s">
        <v>9721</v>
      </c>
      <c r="Q3104" s="15" t="s">
        <v>19</v>
      </c>
      <c r="R3104" s="205"/>
      <c r="S3104" s="189" t="s">
        <v>758</v>
      </c>
      <c r="T3104" s="114"/>
      <c r="U3104" s="21"/>
      <c r="V3104" s="115">
        <v>45980</v>
      </c>
      <c r="W3104" s="116">
        <v>993</v>
      </c>
      <c r="X3104" s="220">
        <v>1150000</v>
      </c>
      <c r="Y3104" s="220">
        <f>X3104*0.1</f>
        <v>115000</v>
      </c>
      <c r="Z3104" s="220">
        <v>5340</v>
      </c>
      <c r="AA3104" s="220">
        <f>SUM(X3104:Z3104)</f>
        <v>1270340</v>
      </c>
      <c r="AB3104" s="222">
        <v>45986</v>
      </c>
    </row>
    <row r="3105" spans="1:28" ht="17.100000000000001" customHeight="1" thickBot="1">
      <c r="A3105" s="227"/>
      <c r="B3105" s="27" t="s">
        <v>2472</v>
      </c>
      <c r="C3105" s="27">
        <v>62039</v>
      </c>
      <c r="D3105" s="14" t="s">
        <v>2753</v>
      </c>
      <c r="E3105" s="229"/>
      <c r="F3105" s="117" t="s">
        <v>9720</v>
      </c>
      <c r="G3105" s="26">
        <v>17685</v>
      </c>
      <c r="H3105" s="231"/>
      <c r="I3105" s="221"/>
      <c r="J3105" s="221"/>
      <c r="K3105" s="221"/>
      <c r="L3105" s="221"/>
      <c r="M3105" s="221"/>
      <c r="N3105" s="221"/>
      <c r="O3105" s="225"/>
      <c r="P3105" s="118" t="s">
        <v>2287</v>
      </c>
      <c r="Q3105" s="16" t="s">
        <v>20</v>
      </c>
      <c r="R3105" s="17" t="s">
        <v>1684</v>
      </c>
      <c r="S3105" s="121" t="s">
        <v>169</v>
      </c>
      <c r="T3105" s="122"/>
      <c r="U3105" s="22"/>
      <c r="V3105" s="123" t="s">
        <v>2747</v>
      </c>
      <c r="W3105" s="122">
        <v>2018</v>
      </c>
      <c r="X3105" s="221"/>
      <c r="Y3105" s="221"/>
      <c r="Z3105" s="221"/>
      <c r="AA3105" s="221"/>
      <c r="AB3105" s="223"/>
    </row>
    <row r="3106" spans="1:28" ht="17.100000000000001" customHeight="1" thickTop="1">
      <c r="A3106" s="226" t="s">
        <v>9759</v>
      </c>
      <c r="B3106" s="28">
        <v>45962</v>
      </c>
      <c r="C3106" s="25">
        <v>1274</v>
      </c>
      <c r="D3106" s="13" t="s">
        <v>1676</v>
      </c>
      <c r="E3106" s="228"/>
      <c r="F3106" s="109" t="s">
        <v>5329</v>
      </c>
      <c r="G3106" s="24"/>
      <c r="H3106" s="230">
        <v>4</v>
      </c>
      <c r="I3106" s="220">
        <v>595000</v>
      </c>
      <c r="J3106" s="220">
        <f>I3106*0.1</f>
        <v>59500</v>
      </c>
      <c r="K3106" s="220">
        <v>0</v>
      </c>
      <c r="L3106" s="220">
        <v>9790</v>
      </c>
      <c r="M3106" s="220">
        <v>12100</v>
      </c>
      <c r="N3106" s="220">
        <f>SUM(I3106:M3107)</f>
        <v>676390</v>
      </c>
      <c r="O3106" s="224"/>
      <c r="P3106" s="110" t="s">
        <v>10305</v>
      </c>
      <c r="Q3106" s="15" t="s">
        <v>19</v>
      </c>
      <c r="R3106" s="205"/>
      <c r="S3106" s="189" t="s">
        <v>25572</v>
      </c>
      <c r="T3106" s="114"/>
      <c r="U3106" s="21"/>
      <c r="V3106" s="115">
        <v>45973</v>
      </c>
      <c r="W3106" s="116">
        <v>992</v>
      </c>
      <c r="X3106" s="220">
        <v>690000</v>
      </c>
      <c r="Y3106" s="220">
        <f>X3106*0.1</f>
        <v>69000</v>
      </c>
      <c r="Z3106" s="220">
        <v>9790</v>
      </c>
      <c r="AA3106" s="220">
        <f>SUM(X3106:Z3106)</f>
        <v>768790</v>
      </c>
      <c r="AB3106" s="222">
        <v>45978</v>
      </c>
    </row>
    <row r="3107" spans="1:28" ht="17.100000000000001" customHeight="1" thickBot="1">
      <c r="A3107" s="227"/>
      <c r="B3107" s="27" t="s">
        <v>2472</v>
      </c>
      <c r="C3107" s="27">
        <v>65112</v>
      </c>
      <c r="D3107" s="14" t="s">
        <v>273</v>
      </c>
      <c r="E3107" s="229"/>
      <c r="F3107" s="117" t="s">
        <v>9722</v>
      </c>
      <c r="G3107" s="26">
        <v>69021</v>
      </c>
      <c r="H3107" s="231"/>
      <c r="I3107" s="221"/>
      <c r="J3107" s="221"/>
      <c r="K3107" s="221"/>
      <c r="L3107" s="221"/>
      <c r="M3107" s="221"/>
      <c r="N3107" s="221"/>
      <c r="O3107" s="225"/>
      <c r="P3107" s="118" t="s">
        <v>10306</v>
      </c>
      <c r="Q3107" s="16" t="s">
        <v>20</v>
      </c>
      <c r="R3107" s="17" t="s">
        <v>10292</v>
      </c>
      <c r="S3107" s="121" t="s">
        <v>10307</v>
      </c>
      <c r="T3107" s="122"/>
      <c r="U3107" s="22"/>
      <c r="V3107" s="123" t="s">
        <v>2747</v>
      </c>
      <c r="W3107" s="122">
        <v>2089</v>
      </c>
      <c r="X3107" s="221"/>
      <c r="Y3107" s="221"/>
      <c r="Z3107" s="221"/>
      <c r="AA3107" s="221"/>
      <c r="AB3107" s="223"/>
    </row>
    <row r="3108" spans="1:28" ht="17.100000000000001" customHeight="1" thickTop="1">
      <c r="A3108" s="226" t="s">
        <v>9760</v>
      </c>
      <c r="B3108" s="28">
        <v>45962</v>
      </c>
      <c r="C3108" s="25">
        <v>1274</v>
      </c>
      <c r="D3108" s="13" t="s">
        <v>2913</v>
      </c>
      <c r="E3108" s="228"/>
      <c r="F3108" s="109" t="s">
        <v>9211</v>
      </c>
      <c r="G3108" s="24" t="s">
        <v>7053</v>
      </c>
      <c r="H3108" s="230">
        <v>4.5</v>
      </c>
      <c r="I3108" s="220">
        <v>885000</v>
      </c>
      <c r="J3108" s="220">
        <f>I3108*0.1</f>
        <v>88500</v>
      </c>
      <c r="K3108" s="220">
        <v>0</v>
      </c>
      <c r="L3108" s="220">
        <v>8010</v>
      </c>
      <c r="M3108" s="220">
        <v>13200</v>
      </c>
      <c r="N3108" s="220">
        <f>SUM(I3108:M3109)</f>
        <v>994710</v>
      </c>
      <c r="O3108" s="224"/>
      <c r="P3108" s="110" t="s">
        <v>9725</v>
      </c>
      <c r="Q3108" s="15" t="s">
        <v>19</v>
      </c>
      <c r="R3108" s="205"/>
      <c r="S3108" s="189" t="s">
        <v>25573</v>
      </c>
      <c r="T3108" s="114"/>
      <c r="U3108" s="21"/>
      <c r="V3108" s="115">
        <v>46046</v>
      </c>
      <c r="W3108" s="116">
        <v>1285</v>
      </c>
      <c r="X3108" s="220">
        <v>950000</v>
      </c>
      <c r="Y3108" s="220">
        <f>X3108*0.1</f>
        <v>95000</v>
      </c>
      <c r="Z3108" s="220">
        <v>8010</v>
      </c>
      <c r="AA3108" s="220">
        <f>SUM(X3108:Z3108)</f>
        <v>1053010</v>
      </c>
      <c r="AB3108" s="222">
        <v>46049</v>
      </c>
    </row>
    <row r="3109" spans="1:28" ht="17.100000000000001" customHeight="1" thickBot="1">
      <c r="A3109" s="227"/>
      <c r="B3109" s="27" t="s">
        <v>2472</v>
      </c>
      <c r="C3109" s="27">
        <v>65184</v>
      </c>
      <c r="D3109" s="14" t="s">
        <v>1710</v>
      </c>
      <c r="E3109" s="229"/>
      <c r="F3109" s="117" t="s">
        <v>9724</v>
      </c>
      <c r="G3109" s="26">
        <v>61700</v>
      </c>
      <c r="H3109" s="231"/>
      <c r="I3109" s="221"/>
      <c r="J3109" s="221"/>
      <c r="K3109" s="221"/>
      <c r="L3109" s="221"/>
      <c r="M3109" s="221"/>
      <c r="N3109" s="221"/>
      <c r="O3109" s="225"/>
      <c r="P3109" s="118" t="s">
        <v>10327</v>
      </c>
      <c r="Q3109" s="16" t="s">
        <v>20</v>
      </c>
      <c r="R3109" s="17" t="s">
        <v>1684</v>
      </c>
      <c r="S3109" s="121" t="s">
        <v>10328</v>
      </c>
      <c r="T3109" s="122"/>
      <c r="U3109" s="22"/>
      <c r="V3109" s="123" t="s">
        <v>6641</v>
      </c>
      <c r="W3109" s="122">
        <v>60175</v>
      </c>
      <c r="X3109" s="221"/>
      <c r="Y3109" s="221"/>
      <c r="Z3109" s="221"/>
      <c r="AA3109" s="221"/>
      <c r="AB3109" s="223"/>
    </row>
    <row r="3110" spans="1:28" ht="17.100000000000001" customHeight="1" thickTop="1">
      <c r="A3110" s="226" t="s">
        <v>9761</v>
      </c>
      <c r="B3110" s="28">
        <v>45962</v>
      </c>
      <c r="C3110" s="25">
        <v>1274</v>
      </c>
      <c r="D3110" s="13" t="s">
        <v>1623</v>
      </c>
      <c r="E3110" s="228"/>
      <c r="F3110" s="109" t="s">
        <v>5099</v>
      </c>
      <c r="G3110" s="24" t="s">
        <v>9727</v>
      </c>
      <c r="H3110" s="230">
        <v>4.5</v>
      </c>
      <c r="I3110" s="220">
        <v>1150000</v>
      </c>
      <c r="J3110" s="220">
        <f>I3110*0.1</f>
        <v>115000</v>
      </c>
      <c r="K3110" s="220">
        <v>0</v>
      </c>
      <c r="L3110" s="220">
        <v>8640</v>
      </c>
      <c r="M3110" s="220">
        <v>12100</v>
      </c>
      <c r="N3110" s="220">
        <f>SUM(I3110:M3111)</f>
        <v>1285740</v>
      </c>
      <c r="O3110" s="224"/>
      <c r="P3110" s="110" t="s">
        <v>9728</v>
      </c>
      <c r="Q3110" s="15" t="s">
        <v>19</v>
      </c>
      <c r="R3110" s="205"/>
      <c r="S3110" s="189" t="s">
        <v>25574</v>
      </c>
      <c r="T3110" s="114"/>
      <c r="U3110" s="21"/>
      <c r="V3110" s="115">
        <v>45973</v>
      </c>
      <c r="W3110" s="116">
        <v>992</v>
      </c>
      <c r="X3110" s="220">
        <v>1250000</v>
      </c>
      <c r="Y3110" s="220">
        <f>X3110*0.1</f>
        <v>125000</v>
      </c>
      <c r="Z3110" s="220">
        <v>8640</v>
      </c>
      <c r="AA3110" s="220">
        <f>SUM(X3110:Z3110)</f>
        <v>1383640</v>
      </c>
      <c r="AB3110" s="222">
        <v>45978</v>
      </c>
    </row>
    <row r="3111" spans="1:28" ht="17.100000000000001" customHeight="1" thickBot="1">
      <c r="A3111" s="227"/>
      <c r="B3111" s="27" t="s">
        <v>2472</v>
      </c>
      <c r="C3111" s="27">
        <v>65293</v>
      </c>
      <c r="D3111" s="14" t="s">
        <v>1568</v>
      </c>
      <c r="E3111" s="229"/>
      <c r="F3111" s="117" t="s">
        <v>9726</v>
      </c>
      <c r="G3111" s="26">
        <v>38137</v>
      </c>
      <c r="H3111" s="231"/>
      <c r="I3111" s="221"/>
      <c r="J3111" s="221"/>
      <c r="K3111" s="221"/>
      <c r="L3111" s="221"/>
      <c r="M3111" s="221"/>
      <c r="N3111" s="221"/>
      <c r="O3111" s="225"/>
      <c r="P3111" s="118" t="s">
        <v>10329</v>
      </c>
      <c r="Q3111" s="16" t="s">
        <v>20</v>
      </c>
      <c r="R3111" s="17" t="s">
        <v>1684</v>
      </c>
      <c r="S3111" s="121" t="s">
        <v>10330</v>
      </c>
      <c r="T3111" s="122" t="s">
        <v>9869</v>
      </c>
      <c r="U3111" s="22"/>
      <c r="V3111" s="123" t="s">
        <v>2747</v>
      </c>
      <c r="W3111" s="122">
        <v>2012</v>
      </c>
      <c r="X3111" s="221"/>
      <c r="Y3111" s="221"/>
      <c r="Z3111" s="221"/>
      <c r="AA3111" s="221"/>
      <c r="AB3111" s="223"/>
    </row>
    <row r="3112" spans="1:28" ht="17.100000000000001" customHeight="1" thickTop="1">
      <c r="A3112" s="226" t="s">
        <v>9762</v>
      </c>
      <c r="B3112" s="28">
        <v>45962</v>
      </c>
      <c r="C3112" s="25">
        <v>1274</v>
      </c>
      <c r="D3112" s="13" t="s">
        <v>2406</v>
      </c>
      <c r="E3112" s="228"/>
      <c r="F3112" s="109" t="s">
        <v>9729</v>
      </c>
      <c r="G3112" s="24" t="s">
        <v>3345</v>
      </c>
      <c r="H3112" s="230">
        <v>4.5</v>
      </c>
      <c r="I3112" s="220">
        <v>3490000</v>
      </c>
      <c r="J3112" s="220">
        <f>I3112*0.1</f>
        <v>349000</v>
      </c>
      <c r="K3112" s="220">
        <f>17000+1700</f>
        <v>18700</v>
      </c>
      <c r="L3112" s="220">
        <v>20790</v>
      </c>
      <c r="M3112" s="220">
        <v>16500</v>
      </c>
      <c r="N3112" s="220">
        <f>SUM(I3112:M3113)</f>
        <v>3894990</v>
      </c>
      <c r="O3112" s="224"/>
      <c r="P3112" s="110" t="s">
        <v>9731</v>
      </c>
      <c r="Q3112" s="15" t="s">
        <v>19</v>
      </c>
      <c r="R3112" s="205"/>
      <c r="S3112" s="189" t="s">
        <v>25575</v>
      </c>
      <c r="T3112" s="114"/>
      <c r="U3112" s="21"/>
      <c r="V3112" s="115">
        <v>45990</v>
      </c>
      <c r="W3112" s="116">
        <v>1278</v>
      </c>
      <c r="X3112" s="220">
        <v>3710000</v>
      </c>
      <c r="Y3112" s="220">
        <f>X3112*0.1</f>
        <v>371000</v>
      </c>
      <c r="Z3112" s="220">
        <v>20790</v>
      </c>
      <c r="AA3112" s="220">
        <f>SUM(X3112:Z3112)</f>
        <v>4101790</v>
      </c>
      <c r="AB3112" s="222">
        <v>45994</v>
      </c>
    </row>
    <row r="3113" spans="1:28" ht="17.100000000000001" customHeight="1" thickBot="1">
      <c r="A3113" s="227"/>
      <c r="B3113" s="27" t="s">
        <v>2472</v>
      </c>
      <c r="C3113" s="27">
        <v>81058</v>
      </c>
      <c r="D3113" s="14" t="s">
        <v>1584</v>
      </c>
      <c r="E3113" s="229"/>
      <c r="F3113" s="117" t="s">
        <v>9730</v>
      </c>
      <c r="G3113" s="26">
        <v>58225</v>
      </c>
      <c r="H3113" s="231"/>
      <c r="I3113" s="221"/>
      <c r="J3113" s="221"/>
      <c r="K3113" s="221"/>
      <c r="L3113" s="221"/>
      <c r="M3113" s="221"/>
      <c r="N3113" s="221"/>
      <c r="O3113" s="225"/>
      <c r="P3113" s="118" t="s">
        <v>10207</v>
      </c>
      <c r="Q3113" s="16" t="s">
        <v>20</v>
      </c>
      <c r="R3113" s="17" t="s">
        <v>1684</v>
      </c>
      <c r="S3113" s="121" t="s">
        <v>10208</v>
      </c>
      <c r="T3113" s="122"/>
      <c r="U3113" s="22"/>
      <c r="V3113" s="123" t="s">
        <v>2472</v>
      </c>
      <c r="W3113" s="122">
        <v>80434</v>
      </c>
      <c r="X3113" s="221"/>
      <c r="Y3113" s="221"/>
      <c r="Z3113" s="221"/>
      <c r="AA3113" s="221"/>
      <c r="AB3113" s="223"/>
    </row>
    <row r="3114" spans="1:28" ht="17.100000000000001" customHeight="1" thickTop="1">
      <c r="A3114" s="226" t="s">
        <v>9763</v>
      </c>
      <c r="B3114" s="28">
        <v>45962</v>
      </c>
      <c r="C3114" s="25">
        <v>1517</v>
      </c>
      <c r="D3114" s="13" t="s">
        <v>2203</v>
      </c>
      <c r="E3114" s="228"/>
      <c r="F3114" s="109" t="s">
        <v>9732</v>
      </c>
      <c r="G3114" s="24"/>
      <c r="H3114" s="230">
        <v>4</v>
      </c>
      <c r="I3114" s="220">
        <v>1205000</v>
      </c>
      <c r="J3114" s="220">
        <f>I3114*0.1</f>
        <v>120500</v>
      </c>
      <c r="K3114" s="220">
        <v>0</v>
      </c>
      <c r="L3114" s="220">
        <v>17800</v>
      </c>
      <c r="M3114" s="220">
        <v>16500</v>
      </c>
      <c r="N3114" s="220">
        <f>SUM(I3114:M3115)</f>
        <v>1359800</v>
      </c>
      <c r="O3114" s="224"/>
      <c r="P3114" s="110" t="s">
        <v>10209</v>
      </c>
      <c r="Q3114" s="15" t="s">
        <v>19</v>
      </c>
      <c r="R3114" s="205"/>
      <c r="S3114" s="189"/>
      <c r="T3114" s="114"/>
      <c r="U3114" s="21"/>
      <c r="V3114" s="115">
        <v>45974</v>
      </c>
      <c r="W3114" s="116">
        <v>1306</v>
      </c>
      <c r="X3114" s="220">
        <v>1440000</v>
      </c>
      <c r="Y3114" s="220">
        <f>X3114*0.1</f>
        <v>144000</v>
      </c>
      <c r="Z3114" s="220">
        <v>17800</v>
      </c>
      <c r="AA3114" s="220">
        <f>SUM(X3114:Z3114)</f>
        <v>1601800</v>
      </c>
      <c r="AB3114" s="222">
        <v>45975</v>
      </c>
    </row>
    <row r="3115" spans="1:28" ht="17.100000000000001" customHeight="1" thickBot="1">
      <c r="A3115" s="227"/>
      <c r="B3115" s="27" t="s">
        <v>1547</v>
      </c>
      <c r="C3115" s="27">
        <v>83081</v>
      </c>
      <c r="D3115" s="14" t="s">
        <v>1627</v>
      </c>
      <c r="E3115" s="229"/>
      <c r="F3115" s="117" t="s">
        <v>9733</v>
      </c>
      <c r="G3115" s="26">
        <v>22313</v>
      </c>
      <c r="H3115" s="231"/>
      <c r="I3115" s="221"/>
      <c r="J3115" s="221"/>
      <c r="K3115" s="221"/>
      <c r="L3115" s="221"/>
      <c r="M3115" s="221"/>
      <c r="N3115" s="221"/>
      <c r="O3115" s="225"/>
      <c r="P3115" s="118" t="s">
        <v>10210</v>
      </c>
      <c r="Q3115" s="16" t="s">
        <v>20</v>
      </c>
      <c r="R3115" s="17" t="s">
        <v>1684</v>
      </c>
      <c r="S3115" s="121" t="s">
        <v>4008</v>
      </c>
      <c r="T3115" s="122"/>
      <c r="U3115" s="22"/>
      <c r="V3115" s="123" t="s">
        <v>1735</v>
      </c>
      <c r="W3115" s="122">
        <v>106</v>
      </c>
      <c r="X3115" s="221"/>
      <c r="Y3115" s="221"/>
      <c r="Z3115" s="221"/>
      <c r="AA3115" s="221"/>
      <c r="AB3115" s="223"/>
    </row>
    <row r="3116" spans="1:28" ht="17.100000000000001" customHeight="1" thickTop="1">
      <c r="A3116" s="226" t="s">
        <v>9766</v>
      </c>
      <c r="B3116" s="28">
        <v>45964</v>
      </c>
      <c r="C3116" s="25"/>
      <c r="D3116" s="13" t="s">
        <v>2811</v>
      </c>
      <c r="E3116" s="228"/>
      <c r="F3116" s="109" t="s">
        <v>1916</v>
      </c>
      <c r="G3116" s="24"/>
      <c r="H3116" s="230">
        <v>4.5</v>
      </c>
      <c r="I3116" s="220">
        <v>686000</v>
      </c>
      <c r="J3116" s="220">
        <f>I3116*0.1</f>
        <v>68600</v>
      </c>
      <c r="K3116" s="220">
        <v>0</v>
      </c>
      <c r="L3116" s="220">
        <v>17600</v>
      </c>
      <c r="M3116" s="220">
        <v>14850</v>
      </c>
      <c r="N3116" s="220">
        <f>SUM(I3116:M3117)</f>
        <v>787050</v>
      </c>
      <c r="O3116" s="224"/>
      <c r="P3116" s="110" t="s">
        <v>10214</v>
      </c>
      <c r="Q3116" s="15" t="s">
        <v>19</v>
      </c>
      <c r="R3116" s="205"/>
      <c r="S3116" s="189" t="s">
        <v>758</v>
      </c>
      <c r="T3116" s="114"/>
      <c r="U3116" s="21"/>
      <c r="V3116" s="115">
        <v>45973</v>
      </c>
      <c r="W3116" s="116">
        <v>992</v>
      </c>
      <c r="X3116" s="220">
        <v>830000</v>
      </c>
      <c r="Y3116" s="220">
        <f>X3116*0.1</f>
        <v>83000</v>
      </c>
      <c r="Z3116" s="220">
        <v>17600</v>
      </c>
      <c r="AA3116" s="220">
        <f>SUM(X3116:Z3116)</f>
        <v>930600</v>
      </c>
      <c r="AB3116" s="222">
        <v>45981</v>
      </c>
    </row>
    <row r="3117" spans="1:28" ht="17.100000000000001" customHeight="1" thickBot="1">
      <c r="A3117" s="227"/>
      <c r="B3117" s="27" t="s">
        <v>9764</v>
      </c>
      <c r="C3117" s="27">
        <v>20196</v>
      </c>
      <c r="D3117" s="14" t="s">
        <v>1584</v>
      </c>
      <c r="E3117" s="229"/>
      <c r="F3117" s="117" t="s">
        <v>9765</v>
      </c>
      <c r="G3117" s="26">
        <v>70779</v>
      </c>
      <c r="H3117" s="231"/>
      <c r="I3117" s="221"/>
      <c r="J3117" s="221"/>
      <c r="K3117" s="221"/>
      <c r="L3117" s="221"/>
      <c r="M3117" s="221"/>
      <c r="N3117" s="221"/>
      <c r="O3117" s="225"/>
      <c r="P3117" s="118" t="s">
        <v>10215</v>
      </c>
      <c r="Q3117" s="16" t="s">
        <v>20</v>
      </c>
      <c r="R3117" s="17" t="s">
        <v>1684</v>
      </c>
      <c r="S3117" s="121" t="s">
        <v>169</v>
      </c>
      <c r="T3117" s="122"/>
      <c r="U3117" s="22"/>
      <c r="V3117" s="123" t="s">
        <v>7161</v>
      </c>
      <c r="W3117" s="122">
        <v>5078</v>
      </c>
      <c r="X3117" s="221"/>
      <c r="Y3117" s="221"/>
      <c r="Z3117" s="221"/>
      <c r="AA3117" s="221"/>
      <c r="AB3117" s="223"/>
    </row>
    <row r="3118" spans="1:28" ht="17.100000000000001" customHeight="1" thickTop="1">
      <c r="A3118" s="226" t="s">
        <v>9767</v>
      </c>
      <c r="B3118" s="28">
        <v>45964</v>
      </c>
      <c r="C3118" s="25"/>
      <c r="D3118" s="13" t="s">
        <v>2866</v>
      </c>
      <c r="E3118" s="228"/>
      <c r="F3118" s="109" t="s">
        <v>9770</v>
      </c>
      <c r="G3118" s="24"/>
      <c r="H3118" s="230">
        <v>5</v>
      </c>
      <c r="I3118" s="220">
        <v>1316000</v>
      </c>
      <c r="J3118" s="220">
        <f>I3118*0.1</f>
        <v>131600</v>
      </c>
      <c r="K3118" s="220">
        <v>0</v>
      </c>
      <c r="L3118" s="220">
        <v>19440</v>
      </c>
      <c r="M3118" s="220">
        <v>14850</v>
      </c>
      <c r="N3118" s="220">
        <f>SUM(I3118:M3119)</f>
        <v>1481890</v>
      </c>
      <c r="O3118" s="224"/>
      <c r="P3118" s="110" t="s">
        <v>10141</v>
      </c>
      <c r="Q3118" s="15" t="s">
        <v>19</v>
      </c>
      <c r="R3118" s="205"/>
      <c r="S3118" s="189"/>
      <c r="T3118" s="114"/>
      <c r="U3118" s="21"/>
      <c r="V3118" s="115">
        <v>45969</v>
      </c>
      <c r="W3118" s="116">
        <v>1275</v>
      </c>
      <c r="X3118" s="220">
        <v>1450000</v>
      </c>
      <c r="Y3118" s="220">
        <f>X3118*0.1</f>
        <v>145000</v>
      </c>
      <c r="Z3118" s="220">
        <v>19440</v>
      </c>
      <c r="AA3118" s="220">
        <f>SUM(X3118:Z3118)</f>
        <v>1614440</v>
      </c>
      <c r="AB3118" s="222">
        <v>45972</v>
      </c>
    </row>
    <row r="3119" spans="1:28" ht="17.100000000000001" customHeight="1" thickBot="1">
      <c r="A3119" s="227"/>
      <c r="B3119" s="27" t="s">
        <v>2727</v>
      </c>
      <c r="C3119" s="27">
        <v>80239</v>
      </c>
      <c r="D3119" s="14" t="s">
        <v>1797</v>
      </c>
      <c r="E3119" s="229"/>
      <c r="F3119" s="117" t="s">
        <v>10137</v>
      </c>
      <c r="G3119" s="26">
        <v>43647</v>
      </c>
      <c r="H3119" s="231"/>
      <c r="I3119" s="221"/>
      <c r="J3119" s="221"/>
      <c r="K3119" s="221"/>
      <c r="L3119" s="221"/>
      <c r="M3119" s="221"/>
      <c r="N3119" s="221"/>
      <c r="O3119" s="225"/>
      <c r="P3119" s="118" t="s">
        <v>2729</v>
      </c>
      <c r="Q3119" s="16" t="s">
        <v>20</v>
      </c>
      <c r="R3119" s="17" t="s">
        <v>3325</v>
      </c>
      <c r="S3119" s="121" t="s">
        <v>7720</v>
      </c>
      <c r="T3119" s="122"/>
      <c r="U3119" s="22"/>
      <c r="V3119" s="123" t="s">
        <v>2472</v>
      </c>
      <c r="W3119" s="122">
        <v>80095</v>
      </c>
      <c r="X3119" s="221"/>
      <c r="Y3119" s="221"/>
      <c r="Z3119" s="221"/>
      <c r="AA3119" s="221"/>
      <c r="AB3119" s="223"/>
    </row>
    <row r="3120" spans="1:28" ht="17.100000000000001" customHeight="1" thickTop="1">
      <c r="A3120" s="226" t="s">
        <v>9768</v>
      </c>
      <c r="B3120" s="28">
        <v>45964</v>
      </c>
      <c r="C3120" s="25"/>
      <c r="D3120" s="13" t="s">
        <v>1953</v>
      </c>
      <c r="E3120" s="228"/>
      <c r="F3120" s="109" t="s">
        <v>9771</v>
      </c>
      <c r="G3120" s="24" t="s">
        <v>4038</v>
      </c>
      <c r="H3120" s="230">
        <v>3.5</v>
      </c>
      <c r="I3120" s="220">
        <v>1499000</v>
      </c>
      <c r="J3120" s="220">
        <f>I3120*0.1</f>
        <v>149900</v>
      </c>
      <c r="K3120" s="220">
        <f>11500+1150</f>
        <v>12650</v>
      </c>
      <c r="L3120" s="220">
        <v>17250</v>
      </c>
      <c r="M3120" s="220">
        <v>14850</v>
      </c>
      <c r="N3120" s="220">
        <f>SUM(I3120:M3121)</f>
        <v>1693650</v>
      </c>
      <c r="O3120" s="224"/>
      <c r="P3120" s="110" t="s">
        <v>9773</v>
      </c>
      <c r="Q3120" s="15" t="s">
        <v>19</v>
      </c>
      <c r="R3120" s="205"/>
      <c r="S3120" s="189"/>
      <c r="T3120" s="114"/>
      <c r="U3120" s="21"/>
      <c r="V3120" s="115">
        <v>45969</v>
      </c>
      <c r="W3120" s="116">
        <v>1275</v>
      </c>
      <c r="X3120" s="220">
        <v>1665000</v>
      </c>
      <c r="Y3120" s="220">
        <f>X3120*0.1</f>
        <v>166500</v>
      </c>
      <c r="Z3120" s="220">
        <v>17250</v>
      </c>
      <c r="AA3120" s="220">
        <f>SUM(X3120:Z3120)</f>
        <v>1848750</v>
      </c>
      <c r="AB3120" s="222">
        <v>45974</v>
      </c>
    </row>
    <row r="3121" spans="1:28" ht="17.100000000000001" customHeight="1" thickBot="1">
      <c r="A3121" s="227"/>
      <c r="B3121" s="27" t="s">
        <v>8691</v>
      </c>
      <c r="C3121" s="27">
        <v>60030</v>
      </c>
      <c r="D3121" s="14" t="s">
        <v>1584</v>
      </c>
      <c r="E3121" s="229"/>
      <c r="F3121" s="117" t="s">
        <v>9772</v>
      </c>
      <c r="G3121" s="26">
        <v>57804</v>
      </c>
      <c r="H3121" s="231"/>
      <c r="I3121" s="221"/>
      <c r="J3121" s="221"/>
      <c r="K3121" s="221"/>
      <c r="L3121" s="221"/>
      <c r="M3121" s="221"/>
      <c r="N3121" s="221"/>
      <c r="O3121" s="225"/>
      <c r="P3121" s="118" t="s">
        <v>2898</v>
      </c>
      <c r="Q3121" s="16" t="s">
        <v>20</v>
      </c>
      <c r="R3121" s="17" t="s">
        <v>1684</v>
      </c>
      <c r="S3121" s="121" t="s">
        <v>7718</v>
      </c>
      <c r="T3121" s="122"/>
      <c r="U3121" s="22"/>
      <c r="V3121" s="123" t="s">
        <v>2472</v>
      </c>
      <c r="W3121" s="122">
        <v>80291</v>
      </c>
      <c r="X3121" s="221"/>
      <c r="Y3121" s="221"/>
      <c r="Z3121" s="221"/>
      <c r="AA3121" s="221"/>
      <c r="AB3121" s="223"/>
    </row>
    <row r="3122" spans="1:28" ht="17.100000000000001" customHeight="1" thickTop="1">
      <c r="A3122" s="226" t="s">
        <v>9769</v>
      </c>
      <c r="B3122" s="28">
        <v>45964</v>
      </c>
      <c r="C3122" s="25">
        <v>2067</v>
      </c>
      <c r="D3122" s="13" t="s">
        <v>1839</v>
      </c>
      <c r="E3122" s="228"/>
      <c r="F3122" s="109" t="s">
        <v>9783</v>
      </c>
      <c r="G3122" s="24"/>
      <c r="H3122" s="230">
        <v>4</v>
      </c>
      <c r="I3122" s="220">
        <v>743000</v>
      </c>
      <c r="J3122" s="220">
        <f>I3122*0.1</f>
        <v>74300</v>
      </c>
      <c r="K3122" s="220">
        <v>0</v>
      </c>
      <c r="L3122" s="220">
        <v>18300</v>
      </c>
      <c r="M3122" s="220">
        <v>11000</v>
      </c>
      <c r="N3122" s="220">
        <f>SUM(I3122:M3123)</f>
        <v>846600</v>
      </c>
      <c r="O3122" s="224"/>
      <c r="P3122" s="110" t="s">
        <v>10076</v>
      </c>
      <c r="Q3122" s="15" t="s">
        <v>19</v>
      </c>
      <c r="R3122" s="205"/>
      <c r="S3122" s="189" t="s">
        <v>25576</v>
      </c>
      <c r="T3122" s="114"/>
      <c r="U3122" s="21"/>
      <c r="V3122" s="115">
        <v>45969</v>
      </c>
      <c r="W3122" s="116">
        <v>1275</v>
      </c>
      <c r="X3122" s="220">
        <v>900000</v>
      </c>
      <c r="Y3122" s="220">
        <f>X3122*0.1</f>
        <v>90000</v>
      </c>
      <c r="Z3122" s="220">
        <v>18300</v>
      </c>
      <c r="AA3122" s="220">
        <f>SUM(X3122:Z3122)</f>
        <v>1008300</v>
      </c>
      <c r="AB3122" s="222">
        <v>45979</v>
      </c>
    </row>
    <row r="3123" spans="1:28" ht="17.100000000000001" customHeight="1" thickBot="1">
      <c r="A3123" s="227"/>
      <c r="B3123" s="27" t="s">
        <v>82</v>
      </c>
      <c r="C3123" s="27">
        <v>11014</v>
      </c>
      <c r="D3123" s="14" t="s">
        <v>2559</v>
      </c>
      <c r="E3123" s="229"/>
      <c r="F3123" s="117" t="s">
        <v>9778</v>
      </c>
      <c r="G3123" s="26">
        <v>55665</v>
      </c>
      <c r="H3123" s="231"/>
      <c r="I3123" s="221"/>
      <c r="J3123" s="221"/>
      <c r="K3123" s="221"/>
      <c r="L3123" s="221"/>
      <c r="M3123" s="221"/>
      <c r="N3123" s="221"/>
      <c r="O3123" s="225"/>
      <c r="P3123" s="118" t="s">
        <v>4389</v>
      </c>
      <c r="Q3123" s="16" t="s">
        <v>20</v>
      </c>
      <c r="R3123" s="17" t="s">
        <v>3343</v>
      </c>
      <c r="S3123" s="121" t="s">
        <v>2236</v>
      </c>
      <c r="T3123" s="122"/>
      <c r="U3123" s="22"/>
      <c r="V3123" s="123" t="s">
        <v>6642</v>
      </c>
      <c r="W3123" s="122">
        <v>80249</v>
      </c>
      <c r="X3123" s="221"/>
      <c r="Y3123" s="221"/>
      <c r="Z3123" s="221"/>
      <c r="AA3123" s="221"/>
      <c r="AB3123" s="223"/>
    </row>
    <row r="3124" spans="1:28" ht="17.100000000000001" customHeight="1" thickTop="1">
      <c r="A3124" s="226" t="s">
        <v>9774</v>
      </c>
      <c r="B3124" s="28">
        <v>45964</v>
      </c>
      <c r="C3124" s="25">
        <v>2067</v>
      </c>
      <c r="D3124" s="13" t="s">
        <v>1837</v>
      </c>
      <c r="E3124" s="228"/>
      <c r="F3124" s="109" t="s">
        <v>9784</v>
      </c>
      <c r="G3124" s="24"/>
      <c r="H3124" s="230">
        <v>4.5</v>
      </c>
      <c r="I3124" s="220">
        <v>1925000</v>
      </c>
      <c r="J3124" s="220">
        <f>I3124*0.1</f>
        <v>192500</v>
      </c>
      <c r="K3124" s="220">
        <v>0</v>
      </c>
      <c r="L3124" s="220">
        <v>20830</v>
      </c>
      <c r="M3124" s="220">
        <v>11000</v>
      </c>
      <c r="N3124" s="220">
        <f>SUM(I3124:M3125)</f>
        <v>2149330</v>
      </c>
      <c r="O3124" s="224"/>
      <c r="P3124" s="110" t="s">
        <v>10024</v>
      </c>
      <c r="Q3124" s="15" t="s">
        <v>19</v>
      </c>
      <c r="R3124" s="205"/>
      <c r="S3124" s="189" t="s">
        <v>25576</v>
      </c>
      <c r="T3124" s="114"/>
      <c r="U3124" s="21"/>
      <c r="V3124" s="115">
        <v>45976</v>
      </c>
      <c r="W3124" s="116">
        <v>1276</v>
      </c>
      <c r="X3124" s="220">
        <v>2045000</v>
      </c>
      <c r="Y3124" s="220">
        <f>X3124*0.1</f>
        <v>204500</v>
      </c>
      <c r="Z3124" s="220">
        <v>20830</v>
      </c>
      <c r="AA3124" s="220">
        <f>SUM(X3124:Z3124)</f>
        <v>2270330</v>
      </c>
      <c r="AB3124" s="222">
        <v>45979</v>
      </c>
    </row>
    <row r="3125" spans="1:28" ht="17.100000000000001" customHeight="1" thickBot="1">
      <c r="A3125" s="227"/>
      <c r="B3125" s="27" t="s">
        <v>82</v>
      </c>
      <c r="C3125" s="27">
        <v>31005</v>
      </c>
      <c r="D3125" s="14" t="s">
        <v>2559</v>
      </c>
      <c r="E3125" s="229"/>
      <c r="F3125" s="117" t="s">
        <v>9779</v>
      </c>
      <c r="G3125" s="26">
        <v>61260</v>
      </c>
      <c r="H3125" s="231"/>
      <c r="I3125" s="221"/>
      <c r="J3125" s="221"/>
      <c r="K3125" s="221"/>
      <c r="L3125" s="221"/>
      <c r="M3125" s="221"/>
      <c r="N3125" s="221"/>
      <c r="O3125" s="225"/>
      <c r="P3125" s="118" t="s">
        <v>9498</v>
      </c>
      <c r="Q3125" s="16" t="s">
        <v>20</v>
      </c>
      <c r="R3125" s="17" t="s">
        <v>3343</v>
      </c>
      <c r="S3125" s="121" t="s">
        <v>1731</v>
      </c>
      <c r="T3125" s="122"/>
      <c r="U3125" s="22"/>
      <c r="V3125" s="123" t="s">
        <v>10781</v>
      </c>
      <c r="W3125" s="122">
        <v>80104</v>
      </c>
      <c r="X3125" s="221"/>
      <c r="Y3125" s="221"/>
      <c r="Z3125" s="221"/>
      <c r="AA3125" s="221"/>
      <c r="AB3125" s="223"/>
    </row>
    <row r="3126" spans="1:28" ht="17.100000000000001" customHeight="1" thickTop="1">
      <c r="A3126" s="233" t="s">
        <v>9775</v>
      </c>
      <c r="B3126" s="28">
        <v>45964</v>
      </c>
      <c r="C3126" s="25">
        <v>2067</v>
      </c>
      <c r="D3126" s="13" t="s">
        <v>2564</v>
      </c>
      <c r="E3126" s="228"/>
      <c r="F3126" s="109" t="s">
        <v>9785</v>
      </c>
      <c r="G3126" s="24" t="s">
        <v>4025</v>
      </c>
      <c r="H3126" s="230">
        <v>4.5</v>
      </c>
      <c r="I3126" s="220">
        <v>2040000</v>
      </c>
      <c r="J3126" s="220">
        <f>I3126*0.1</f>
        <v>204000</v>
      </c>
      <c r="K3126" s="220">
        <f>12000+1200</f>
        <v>13200</v>
      </c>
      <c r="L3126" s="220">
        <v>17060</v>
      </c>
      <c r="M3126" s="220">
        <v>11000</v>
      </c>
      <c r="N3126" s="220">
        <f>SUM(I3126:M3127)</f>
        <v>2285260</v>
      </c>
      <c r="O3126" s="224"/>
      <c r="P3126" s="110" t="s">
        <v>9786</v>
      </c>
      <c r="Q3126" s="15" t="s">
        <v>19</v>
      </c>
      <c r="R3126" s="205"/>
      <c r="S3126" s="189" t="s">
        <v>25576</v>
      </c>
      <c r="T3126" s="114"/>
      <c r="U3126" s="21" t="s">
        <v>12500</v>
      </c>
      <c r="V3126" s="115">
        <v>46039</v>
      </c>
      <c r="W3126" s="116">
        <v>1284</v>
      </c>
      <c r="X3126" s="220">
        <v>2145000</v>
      </c>
      <c r="Y3126" s="220">
        <f>X3126*0.1</f>
        <v>214500</v>
      </c>
      <c r="Z3126" s="220">
        <v>17060</v>
      </c>
      <c r="AA3126" s="220">
        <f>SUM(X3126:Z3126)</f>
        <v>2376560</v>
      </c>
      <c r="AB3126" s="222">
        <v>46042</v>
      </c>
    </row>
    <row r="3127" spans="1:28" ht="17.100000000000001" customHeight="1" thickBot="1">
      <c r="A3127" s="234"/>
      <c r="B3127" s="27" t="s">
        <v>82</v>
      </c>
      <c r="C3127" s="27">
        <v>33516</v>
      </c>
      <c r="D3127" s="14" t="s">
        <v>273</v>
      </c>
      <c r="E3127" s="229"/>
      <c r="F3127" s="117" t="s">
        <v>9780</v>
      </c>
      <c r="G3127" s="26">
        <v>57257</v>
      </c>
      <c r="H3127" s="231"/>
      <c r="I3127" s="221"/>
      <c r="J3127" s="221"/>
      <c r="K3127" s="221"/>
      <c r="L3127" s="221"/>
      <c r="M3127" s="221"/>
      <c r="N3127" s="221"/>
      <c r="O3127" s="225"/>
      <c r="P3127" s="118" t="s">
        <v>4735</v>
      </c>
      <c r="Q3127" s="16" t="s">
        <v>20</v>
      </c>
      <c r="R3127" s="17" t="s">
        <v>1684</v>
      </c>
      <c r="S3127" s="121" t="s">
        <v>1731</v>
      </c>
      <c r="T3127" s="122"/>
      <c r="U3127" s="22"/>
      <c r="V3127" s="123" t="s">
        <v>2472</v>
      </c>
      <c r="W3127" s="122">
        <v>80146</v>
      </c>
      <c r="X3127" s="221"/>
      <c r="Y3127" s="221"/>
      <c r="Z3127" s="221"/>
      <c r="AA3127" s="221"/>
      <c r="AB3127" s="223"/>
    </row>
    <row r="3128" spans="1:28" ht="17.100000000000001" customHeight="1" thickTop="1">
      <c r="A3128" s="226" t="s">
        <v>9776</v>
      </c>
      <c r="B3128" s="28">
        <v>45964</v>
      </c>
      <c r="C3128" s="25">
        <v>2067</v>
      </c>
      <c r="D3128" s="13" t="s">
        <v>1704</v>
      </c>
      <c r="E3128" s="228"/>
      <c r="F3128" s="109" t="s">
        <v>9787</v>
      </c>
      <c r="G3128" s="24" t="s">
        <v>2487</v>
      </c>
      <c r="H3128" s="230">
        <v>4</v>
      </c>
      <c r="I3128" s="220">
        <v>2370000</v>
      </c>
      <c r="J3128" s="220">
        <f>I3128*0.1</f>
        <v>237000</v>
      </c>
      <c r="K3128" s="220">
        <f>10100+1010</f>
        <v>11110</v>
      </c>
      <c r="L3128" s="220">
        <v>19180</v>
      </c>
      <c r="M3128" s="220">
        <v>11000</v>
      </c>
      <c r="N3128" s="220">
        <f>SUM(I3128:M3129)</f>
        <v>2648290</v>
      </c>
      <c r="O3128" s="224"/>
      <c r="P3128" s="110" t="s">
        <v>9788</v>
      </c>
      <c r="Q3128" s="15" t="s">
        <v>19</v>
      </c>
      <c r="R3128" s="205"/>
      <c r="S3128" s="189"/>
      <c r="T3128" s="114"/>
      <c r="U3128" s="21"/>
      <c r="V3128" s="115">
        <v>45976</v>
      </c>
      <c r="W3128" s="116">
        <v>1276</v>
      </c>
      <c r="X3128" s="220">
        <v>2640000</v>
      </c>
      <c r="Y3128" s="220">
        <f>X3128*0.1</f>
        <v>264000</v>
      </c>
      <c r="Z3128" s="220">
        <v>19180</v>
      </c>
      <c r="AA3128" s="220">
        <f>SUM(X3128:Z3128)</f>
        <v>2923180</v>
      </c>
      <c r="AB3128" s="222">
        <v>45979</v>
      </c>
    </row>
    <row r="3129" spans="1:28" ht="17.100000000000001" customHeight="1" thickBot="1">
      <c r="A3129" s="227"/>
      <c r="B3129" s="27" t="s">
        <v>82</v>
      </c>
      <c r="C3129" s="27">
        <v>34504</v>
      </c>
      <c r="D3129" s="14" t="s">
        <v>273</v>
      </c>
      <c r="E3129" s="229"/>
      <c r="F3129" s="117" t="s">
        <v>9781</v>
      </c>
      <c r="G3129" s="26">
        <v>40528</v>
      </c>
      <c r="H3129" s="231"/>
      <c r="I3129" s="221"/>
      <c r="J3129" s="221"/>
      <c r="K3129" s="221"/>
      <c r="L3129" s="221"/>
      <c r="M3129" s="221"/>
      <c r="N3129" s="221"/>
      <c r="O3129" s="225"/>
      <c r="P3129" s="118" t="s">
        <v>9748</v>
      </c>
      <c r="Q3129" s="16" t="s">
        <v>20</v>
      </c>
      <c r="R3129" s="17" t="s">
        <v>10292</v>
      </c>
      <c r="S3129" s="121" t="s">
        <v>10356</v>
      </c>
      <c r="T3129" s="122"/>
      <c r="U3129" s="22"/>
      <c r="V3129" s="123" t="s">
        <v>10781</v>
      </c>
      <c r="W3129" s="122">
        <v>80103</v>
      </c>
      <c r="X3129" s="221"/>
      <c r="Y3129" s="221"/>
      <c r="Z3129" s="221"/>
      <c r="AA3129" s="221"/>
      <c r="AB3129" s="223"/>
    </row>
    <row r="3130" spans="1:28" ht="17.100000000000001" customHeight="1" thickTop="1">
      <c r="A3130" s="226" t="s">
        <v>9777</v>
      </c>
      <c r="B3130" s="28">
        <v>45964</v>
      </c>
      <c r="C3130" s="25">
        <v>2067</v>
      </c>
      <c r="D3130" s="13" t="s">
        <v>1762</v>
      </c>
      <c r="E3130" s="228"/>
      <c r="F3130" s="109" t="s">
        <v>9789</v>
      </c>
      <c r="G3130" s="24"/>
      <c r="H3130" s="230">
        <v>3.5</v>
      </c>
      <c r="I3130" s="220">
        <v>570000</v>
      </c>
      <c r="J3130" s="220">
        <f>I3130*0.1</f>
        <v>57000</v>
      </c>
      <c r="K3130" s="220">
        <v>0</v>
      </c>
      <c r="L3130" s="220">
        <v>19440</v>
      </c>
      <c r="M3130" s="220">
        <v>11000</v>
      </c>
      <c r="N3130" s="220">
        <f>SUM(I3130:M3131)</f>
        <v>657440</v>
      </c>
      <c r="O3130" s="224"/>
      <c r="P3130" s="110" t="s">
        <v>10157</v>
      </c>
      <c r="Q3130" s="15" t="s">
        <v>19</v>
      </c>
      <c r="R3130" s="205"/>
      <c r="S3130" s="189" t="s">
        <v>1289</v>
      </c>
      <c r="T3130" s="114" t="s">
        <v>10178</v>
      </c>
      <c r="U3130" s="21"/>
      <c r="V3130" s="115">
        <v>45969</v>
      </c>
      <c r="W3130" s="116">
        <v>1275</v>
      </c>
      <c r="X3130" s="220">
        <v>700000</v>
      </c>
      <c r="Y3130" s="220">
        <f>X3130*0.1</f>
        <v>70000</v>
      </c>
      <c r="Z3130" s="220">
        <v>19440</v>
      </c>
      <c r="AA3130" s="220">
        <f>SUM(X3130:Z3130)</f>
        <v>789440</v>
      </c>
      <c r="AB3130" s="222">
        <v>45974</v>
      </c>
    </row>
    <row r="3131" spans="1:28" ht="17.100000000000001" customHeight="1" thickBot="1">
      <c r="A3131" s="227"/>
      <c r="B3131" s="27" t="s">
        <v>82</v>
      </c>
      <c r="C3131" s="27">
        <v>36015</v>
      </c>
      <c r="D3131" s="14" t="s">
        <v>898</v>
      </c>
      <c r="E3131" s="229"/>
      <c r="F3131" s="117" t="s">
        <v>9782</v>
      </c>
      <c r="G3131" s="26">
        <v>43493</v>
      </c>
      <c r="H3131" s="231"/>
      <c r="I3131" s="221"/>
      <c r="J3131" s="221"/>
      <c r="K3131" s="221"/>
      <c r="L3131" s="221"/>
      <c r="M3131" s="221"/>
      <c r="N3131" s="221"/>
      <c r="O3131" s="225"/>
      <c r="P3131" s="118" t="s">
        <v>9742</v>
      </c>
      <c r="Q3131" s="16" t="s">
        <v>20</v>
      </c>
      <c r="R3131" s="17" t="s">
        <v>3325</v>
      </c>
      <c r="S3131" s="121" t="s">
        <v>10177</v>
      </c>
      <c r="T3131" s="122" t="s">
        <v>10179</v>
      </c>
      <c r="U3131" s="22"/>
      <c r="V3131" s="123" t="s">
        <v>2472</v>
      </c>
      <c r="W3131" s="122">
        <v>80287</v>
      </c>
      <c r="X3131" s="221"/>
      <c r="Y3131" s="221"/>
      <c r="Z3131" s="221"/>
      <c r="AA3131" s="221"/>
      <c r="AB3131" s="223"/>
    </row>
    <row r="3132" spans="1:28" ht="17.100000000000001" customHeight="1" thickTop="1">
      <c r="A3132" s="226" t="s">
        <v>9790</v>
      </c>
      <c r="B3132" s="28">
        <v>45964</v>
      </c>
      <c r="C3132" s="25">
        <v>65</v>
      </c>
      <c r="D3132" s="13" t="s">
        <v>2964</v>
      </c>
      <c r="E3132" s="228"/>
      <c r="F3132" s="109" t="s">
        <v>9816</v>
      </c>
      <c r="G3132" s="24" t="s">
        <v>4120</v>
      </c>
      <c r="H3132" s="230">
        <v>4</v>
      </c>
      <c r="I3132" s="220">
        <v>3180000</v>
      </c>
      <c r="J3132" s="220">
        <f>I3132*0.1</f>
        <v>318000</v>
      </c>
      <c r="K3132" s="220">
        <f>14500+1450</f>
        <v>15950</v>
      </c>
      <c r="L3132" s="220">
        <v>14900</v>
      </c>
      <c r="M3132" s="220">
        <v>88000</v>
      </c>
      <c r="N3132" s="220">
        <f>SUM(I3132:M3133)</f>
        <v>3616850</v>
      </c>
      <c r="O3132" s="224"/>
      <c r="P3132" s="110" t="s">
        <v>12780</v>
      </c>
      <c r="Q3132" s="15" t="s">
        <v>19</v>
      </c>
      <c r="R3132" s="205"/>
      <c r="S3132" s="189" t="s">
        <v>25567</v>
      </c>
      <c r="T3132" s="114"/>
      <c r="U3132" s="21"/>
      <c r="V3132" s="115">
        <v>45997</v>
      </c>
      <c r="W3132" s="116">
        <v>1279</v>
      </c>
      <c r="X3132" s="220">
        <v>3435000</v>
      </c>
      <c r="Y3132" s="220">
        <f>X3132*0.1</f>
        <v>343500</v>
      </c>
      <c r="Z3132" s="220">
        <v>14900</v>
      </c>
      <c r="AA3132" s="220">
        <f>SUM(X3132:Z3132)</f>
        <v>3793400</v>
      </c>
      <c r="AB3132" s="222">
        <v>46007</v>
      </c>
    </row>
    <row r="3133" spans="1:28" ht="17.100000000000001" customHeight="1" thickBot="1">
      <c r="A3133" s="227"/>
      <c r="B3133" s="27" t="s">
        <v>4468</v>
      </c>
      <c r="C3133" s="27">
        <v>1019</v>
      </c>
      <c r="D3133" s="14" t="s">
        <v>273</v>
      </c>
      <c r="E3133" s="229"/>
      <c r="F3133" s="117" t="s">
        <v>9795</v>
      </c>
      <c r="G3133" s="26">
        <v>36002</v>
      </c>
      <c r="H3133" s="231"/>
      <c r="I3133" s="221"/>
      <c r="J3133" s="221"/>
      <c r="K3133" s="221"/>
      <c r="L3133" s="221"/>
      <c r="M3133" s="221"/>
      <c r="N3133" s="221"/>
      <c r="O3133" s="225"/>
      <c r="P3133" s="118" t="s">
        <v>12781</v>
      </c>
      <c r="Q3133" s="16" t="s">
        <v>20</v>
      </c>
      <c r="R3133" s="17" t="s">
        <v>12777</v>
      </c>
      <c r="S3133" s="121" t="s">
        <v>1649</v>
      </c>
      <c r="T3133" s="122"/>
      <c r="U3133" s="22"/>
      <c r="V3133" s="123" t="s">
        <v>2472</v>
      </c>
      <c r="W3133" s="122">
        <v>31017</v>
      </c>
      <c r="X3133" s="221"/>
      <c r="Y3133" s="221"/>
      <c r="Z3133" s="221"/>
      <c r="AA3133" s="221"/>
      <c r="AB3133" s="223"/>
    </row>
    <row r="3134" spans="1:28" ht="17.100000000000001" customHeight="1" thickTop="1">
      <c r="A3134" s="233" t="s">
        <v>9791</v>
      </c>
      <c r="B3134" s="28">
        <v>45964</v>
      </c>
      <c r="C3134" s="25">
        <v>65</v>
      </c>
      <c r="D3134" s="13" t="s">
        <v>2010</v>
      </c>
      <c r="E3134" s="228"/>
      <c r="F3134" s="109" t="s">
        <v>9817</v>
      </c>
      <c r="G3134" s="24" t="s">
        <v>2487</v>
      </c>
      <c r="H3134" s="230">
        <v>4.5</v>
      </c>
      <c r="I3134" s="220">
        <v>1225000</v>
      </c>
      <c r="J3134" s="220">
        <f>I3134*0.1</f>
        <v>122500</v>
      </c>
      <c r="K3134" s="220">
        <v>0</v>
      </c>
      <c r="L3134" s="220">
        <v>8130</v>
      </c>
      <c r="M3134" s="220">
        <v>44000</v>
      </c>
      <c r="N3134" s="220">
        <f>SUM(I3134:M3135)</f>
        <v>1399630</v>
      </c>
      <c r="O3134" s="224"/>
      <c r="P3134" s="110" t="s">
        <v>11227</v>
      </c>
      <c r="Q3134" s="15" t="s">
        <v>19</v>
      </c>
      <c r="R3134" s="205"/>
      <c r="S3134" s="189" t="s">
        <v>25567</v>
      </c>
      <c r="T3134" s="114"/>
      <c r="U3134" s="21" t="s">
        <v>13689</v>
      </c>
      <c r="V3134" s="115">
        <v>46032</v>
      </c>
      <c r="W3134" s="116">
        <v>1283</v>
      </c>
      <c r="X3134" s="220">
        <v>1380000</v>
      </c>
      <c r="Y3134" s="220">
        <f>X3134*0.1</f>
        <v>138000</v>
      </c>
      <c r="Z3134" s="220">
        <v>8130</v>
      </c>
      <c r="AA3134" s="220">
        <f>SUM(X3134:Z3134)</f>
        <v>1526130</v>
      </c>
      <c r="AB3134" s="222">
        <v>46036</v>
      </c>
    </row>
    <row r="3135" spans="1:28" ht="17.100000000000001" customHeight="1" thickBot="1">
      <c r="A3135" s="234"/>
      <c r="B3135" s="27" t="s">
        <v>4468</v>
      </c>
      <c r="C3135" s="27">
        <v>1036</v>
      </c>
      <c r="D3135" s="14" t="s">
        <v>3731</v>
      </c>
      <c r="E3135" s="229"/>
      <c r="F3135" s="117" t="s">
        <v>9796</v>
      </c>
      <c r="G3135" s="26">
        <v>1985</v>
      </c>
      <c r="H3135" s="231"/>
      <c r="I3135" s="221"/>
      <c r="J3135" s="221"/>
      <c r="K3135" s="221"/>
      <c r="L3135" s="221"/>
      <c r="M3135" s="221"/>
      <c r="N3135" s="221"/>
      <c r="O3135" s="225"/>
      <c r="P3135" s="118" t="s">
        <v>11228</v>
      </c>
      <c r="Q3135" s="16" t="s">
        <v>20</v>
      </c>
      <c r="R3135" s="17" t="s">
        <v>2188</v>
      </c>
      <c r="S3135" s="121" t="s">
        <v>1731</v>
      </c>
      <c r="T3135" s="122"/>
      <c r="U3135" s="22"/>
      <c r="V3135" s="123" t="s">
        <v>2472</v>
      </c>
      <c r="W3135" s="122">
        <v>65430</v>
      </c>
      <c r="X3135" s="221"/>
      <c r="Y3135" s="221"/>
      <c r="Z3135" s="221"/>
      <c r="AA3135" s="221"/>
      <c r="AB3135" s="223"/>
    </row>
    <row r="3136" spans="1:28" ht="17.100000000000001" customHeight="1" thickTop="1">
      <c r="A3136" s="226" t="s">
        <v>9792</v>
      </c>
      <c r="B3136" s="28">
        <v>45964</v>
      </c>
      <c r="C3136" s="25">
        <v>65</v>
      </c>
      <c r="D3136" s="13" t="s">
        <v>1748</v>
      </c>
      <c r="E3136" s="228"/>
      <c r="F3136" s="109" t="s">
        <v>9818</v>
      </c>
      <c r="G3136" s="24" t="s">
        <v>4315</v>
      </c>
      <c r="H3136" s="230">
        <v>4.5</v>
      </c>
      <c r="I3136" s="220">
        <v>1150000</v>
      </c>
      <c r="J3136" s="220">
        <f>I3136*0.1</f>
        <v>115000</v>
      </c>
      <c r="K3136" s="220">
        <v>0</v>
      </c>
      <c r="L3136" s="220">
        <v>8640</v>
      </c>
      <c r="M3136" s="220">
        <v>44000</v>
      </c>
      <c r="N3136" s="220">
        <f>SUM(I3136:M3137)</f>
        <v>1317640</v>
      </c>
      <c r="O3136" s="224"/>
      <c r="P3136" s="110" t="s">
        <v>12608</v>
      </c>
      <c r="Q3136" s="15" t="s">
        <v>19</v>
      </c>
      <c r="R3136" s="205"/>
      <c r="S3136" s="189" t="s">
        <v>25568</v>
      </c>
      <c r="T3136" s="114"/>
      <c r="U3136" s="21" t="s">
        <v>12771</v>
      </c>
      <c r="V3136" s="115">
        <v>46000</v>
      </c>
      <c r="W3136" s="116">
        <v>1921</v>
      </c>
      <c r="X3136" s="220">
        <v>1279000</v>
      </c>
      <c r="Y3136" s="220">
        <f>X3136*0.1</f>
        <v>127900</v>
      </c>
      <c r="Z3136" s="220">
        <v>8640</v>
      </c>
      <c r="AA3136" s="220">
        <f>SUM(X3136:Z3136)</f>
        <v>1415540</v>
      </c>
      <c r="AB3136" s="222">
        <v>46006</v>
      </c>
    </row>
    <row r="3137" spans="1:28" ht="17.100000000000001" customHeight="1" thickBot="1">
      <c r="A3137" s="227"/>
      <c r="B3137" s="27" t="s">
        <v>4468</v>
      </c>
      <c r="C3137" s="27">
        <v>1090</v>
      </c>
      <c r="D3137" s="14" t="s">
        <v>1797</v>
      </c>
      <c r="E3137" s="229"/>
      <c r="F3137" s="117" t="s">
        <v>9797</v>
      </c>
      <c r="G3137" s="26">
        <v>23180</v>
      </c>
      <c r="H3137" s="231"/>
      <c r="I3137" s="221"/>
      <c r="J3137" s="221"/>
      <c r="K3137" s="221"/>
      <c r="L3137" s="221"/>
      <c r="M3137" s="221"/>
      <c r="N3137" s="221"/>
      <c r="O3137" s="225"/>
      <c r="P3137" s="118" t="s">
        <v>12609</v>
      </c>
      <c r="Q3137" s="16" t="s">
        <v>20</v>
      </c>
      <c r="R3137" s="17" t="s">
        <v>12584</v>
      </c>
      <c r="S3137" s="121" t="s">
        <v>1731</v>
      </c>
      <c r="T3137" s="122"/>
      <c r="U3137" s="22"/>
      <c r="V3137" s="123" t="s">
        <v>2103</v>
      </c>
      <c r="W3137" s="122">
        <v>3255</v>
      </c>
      <c r="X3137" s="221"/>
      <c r="Y3137" s="221"/>
      <c r="Z3137" s="221"/>
      <c r="AA3137" s="221"/>
      <c r="AB3137" s="223"/>
    </row>
    <row r="3138" spans="1:28" ht="17.100000000000001" customHeight="1" thickTop="1">
      <c r="A3138" s="226" t="s">
        <v>9793</v>
      </c>
      <c r="B3138" s="28">
        <v>45964</v>
      </c>
      <c r="C3138" s="25">
        <v>65</v>
      </c>
      <c r="D3138" s="13" t="s">
        <v>3739</v>
      </c>
      <c r="E3138" s="228"/>
      <c r="F3138" s="109" t="s">
        <v>9819</v>
      </c>
      <c r="G3138" s="24" t="s">
        <v>2926</v>
      </c>
      <c r="H3138" s="230">
        <v>4</v>
      </c>
      <c r="I3138" s="220">
        <v>2380000</v>
      </c>
      <c r="J3138" s="220">
        <f>I3138*0.1</f>
        <v>238000</v>
      </c>
      <c r="K3138" s="220">
        <f>10100+1010</f>
        <v>11110</v>
      </c>
      <c r="L3138" s="220">
        <v>10230</v>
      </c>
      <c r="M3138" s="220">
        <v>66000</v>
      </c>
      <c r="N3138" s="220">
        <f>SUM(I3138:M3139)</f>
        <v>2705340</v>
      </c>
      <c r="O3138" s="224"/>
      <c r="P3138" s="110" t="s">
        <v>12612</v>
      </c>
      <c r="Q3138" s="15" t="s">
        <v>19</v>
      </c>
      <c r="R3138" s="205"/>
      <c r="S3138" s="189" t="s">
        <v>25535</v>
      </c>
      <c r="T3138" s="114"/>
      <c r="U3138" s="21"/>
      <c r="V3138" s="115">
        <v>46001</v>
      </c>
      <c r="W3138" s="116">
        <v>996</v>
      </c>
      <c r="X3138" s="220">
        <v>2640000</v>
      </c>
      <c r="Y3138" s="220">
        <f>X3138*0.1</f>
        <v>264000</v>
      </c>
      <c r="Z3138" s="220">
        <v>10230</v>
      </c>
      <c r="AA3138" s="220">
        <f>SUM(X3138:Z3138)</f>
        <v>2914230</v>
      </c>
      <c r="AB3138" s="222">
        <v>46006</v>
      </c>
    </row>
    <row r="3139" spans="1:28" ht="17.100000000000001" customHeight="1" thickBot="1">
      <c r="A3139" s="227"/>
      <c r="B3139" s="27" t="s">
        <v>4468</v>
      </c>
      <c r="C3139" s="27">
        <v>1095</v>
      </c>
      <c r="D3139" s="14" t="s">
        <v>7144</v>
      </c>
      <c r="E3139" s="229"/>
      <c r="F3139" s="117" t="s">
        <v>9798</v>
      </c>
      <c r="G3139" s="26">
        <v>27702</v>
      </c>
      <c r="H3139" s="231"/>
      <c r="I3139" s="221"/>
      <c r="J3139" s="221"/>
      <c r="K3139" s="221"/>
      <c r="L3139" s="221"/>
      <c r="M3139" s="221"/>
      <c r="N3139" s="221"/>
      <c r="O3139" s="225"/>
      <c r="P3139" s="118" t="s">
        <v>12613</v>
      </c>
      <c r="Q3139" s="16" t="s">
        <v>20</v>
      </c>
      <c r="R3139" s="17" t="s">
        <v>12584</v>
      </c>
      <c r="S3139" s="121" t="s">
        <v>4378</v>
      </c>
      <c r="T3139" s="122"/>
      <c r="U3139" s="22"/>
      <c r="V3139" s="123" t="s">
        <v>8877</v>
      </c>
      <c r="W3139" s="122">
        <v>1083</v>
      </c>
      <c r="X3139" s="221"/>
      <c r="Y3139" s="221"/>
      <c r="Z3139" s="221"/>
      <c r="AA3139" s="221"/>
      <c r="AB3139" s="223"/>
    </row>
    <row r="3140" spans="1:28" ht="17.100000000000001" customHeight="1" thickTop="1">
      <c r="A3140" s="233" t="s">
        <v>9794</v>
      </c>
      <c r="B3140" s="28">
        <v>45964</v>
      </c>
      <c r="C3140" s="25">
        <v>65</v>
      </c>
      <c r="D3140" s="13" t="s">
        <v>1754</v>
      </c>
      <c r="E3140" s="228"/>
      <c r="F3140" s="109" t="s">
        <v>8463</v>
      </c>
      <c r="G3140" s="24" t="s">
        <v>5546</v>
      </c>
      <c r="H3140" s="230">
        <v>4</v>
      </c>
      <c r="I3140" s="220">
        <v>780000</v>
      </c>
      <c r="J3140" s="220">
        <f>I3140*0.1</f>
        <v>78000</v>
      </c>
      <c r="K3140" s="220">
        <v>0</v>
      </c>
      <c r="L3140" s="220">
        <v>8790</v>
      </c>
      <c r="M3140" s="220">
        <v>33000</v>
      </c>
      <c r="N3140" s="220">
        <f>SUM(I3140:M3141)</f>
        <v>899790</v>
      </c>
      <c r="O3140" s="224"/>
      <c r="P3140" s="110" t="s">
        <v>13856</v>
      </c>
      <c r="Q3140" s="15" t="s">
        <v>19</v>
      </c>
      <c r="R3140" s="205"/>
      <c r="S3140" s="189" t="s">
        <v>25577</v>
      </c>
      <c r="T3140" s="114"/>
      <c r="U3140" s="21" t="s">
        <v>13950</v>
      </c>
      <c r="V3140" s="115">
        <v>46032</v>
      </c>
      <c r="W3140" s="116">
        <v>1283</v>
      </c>
      <c r="X3140" s="220">
        <v>930000</v>
      </c>
      <c r="Y3140" s="220">
        <f>X3140*0.1</f>
        <v>93000</v>
      </c>
      <c r="Z3140" s="220">
        <v>8790</v>
      </c>
      <c r="AA3140" s="220">
        <f>SUM(X3140:Z3140)</f>
        <v>1031790</v>
      </c>
      <c r="AB3140" s="222">
        <v>46036</v>
      </c>
    </row>
    <row r="3141" spans="1:28" ht="17.100000000000001" customHeight="1" thickBot="1">
      <c r="A3141" s="234"/>
      <c r="B3141" s="27" t="s">
        <v>4468</v>
      </c>
      <c r="C3141" s="27">
        <v>2009</v>
      </c>
      <c r="D3141" s="14" t="s">
        <v>2753</v>
      </c>
      <c r="E3141" s="229"/>
      <c r="F3141" s="117" t="s">
        <v>9799</v>
      </c>
      <c r="G3141" s="26">
        <v>47301</v>
      </c>
      <c r="H3141" s="231"/>
      <c r="I3141" s="221"/>
      <c r="J3141" s="221"/>
      <c r="K3141" s="221"/>
      <c r="L3141" s="221"/>
      <c r="M3141" s="221"/>
      <c r="N3141" s="221"/>
      <c r="O3141" s="225"/>
      <c r="P3141" s="118" t="s">
        <v>13857</v>
      </c>
      <c r="Q3141" s="16" t="s">
        <v>20</v>
      </c>
      <c r="R3141" s="17" t="s">
        <v>13841</v>
      </c>
      <c r="S3141" s="121" t="s">
        <v>4413</v>
      </c>
      <c r="T3141" s="122"/>
      <c r="U3141" s="22"/>
      <c r="V3141" s="123" t="s">
        <v>2472</v>
      </c>
      <c r="W3141" s="122">
        <v>65291</v>
      </c>
      <c r="X3141" s="221"/>
      <c r="Y3141" s="221"/>
      <c r="Z3141" s="221"/>
      <c r="AA3141" s="221"/>
      <c r="AB3141" s="223"/>
    </row>
    <row r="3142" spans="1:28" ht="17.100000000000001" customHeight="1" thickTop="1">
      <c r="A3142" s="226" t="s">
        <v>9800</v>
      </c>
      <c r="B3142" s="28">
        <v>45964</v>
      </c>
      <c r="C3142" s="25"/>
      <c r="D3142" s="13" t="s">
        <v>1642</v>
      </c>
      <c r="E3142" s="228"/>
      <c r="F3142" s="109" t="s">
        <v>9812</v>
      </c>
      <c r="G3142" s="24" t="s">
        <v>4602</v>
      </c>
      <c r="H3142" s="230">
        <v>4.5</v>
      </c>
      <c r="I3142" s="220">
        <f>5302000/1.1</f>
        <v>4820000</v>
      </c>
      <c r="J3142" s="220">
        <f>I3142*0.1</f>
        <v>482000</v>
      </c>
      <c r="K3142" s="220">
        <v>10800</v>
      </c>
      <c r="L3142" s="220">
        <v>15220</v>
      </c>
      <c r="M3142" s="220">
        <v>0</v>
      </c>
      <c r="N3142" s="220">
        <f>SUM(I3142:M3143)</f>
        <v>5328020</v>
      </c>
      <c r="O3142" s="224"/>
      <c r="P3142" s="110" t="s">
        <v>13876</v>
      </c>
      <c r="Q3142" s="15" t="s">
        <v>19</v>
      </c>
      <c r="R3142" s="205"/>
      <c r="S3142" s="189" t="s">
        <v>1312</v>
      </c>
      <c r="T3142" s="114"/>
      <c r="U3142" s="21"/>
      <c r="V3142" s="115">
        <v>46015</v>
      </c>
      <c r="W3142" s="116">
        <v>998</v>
      </c>
      <c r="X3142" s="220">
        <v>4790000</v>
      </c>
      <c r="Y3142" s="220">
        <f>X3142*0.1</f>
        <v>479000</v>
      </c>
      <c r="Z3142" s="220">
        <v>15220</v>
      </c>
      <c r="AA3142" s="220">
        <f>SUM(X3142:Z3142)</f>
        <v>5284220</v>
      </c>
      <c r="AB3142" s="222">
        <v>46027</v>
      </c>
    </row>
    <row r="3143" spans="1:28" ht="17.100000000000001" customHeight="1" thickBot="1">
      <c r="A3143" s="227"/>
      <c r="B3143" s="27" t="s">
        <v>1708</v>
      </c>
      <c r="C3143" s="27" t="s">
        <v>9804</v>
      </c>
      <c r="D3143" s="14" t="s">
        <v>1584</v>
      </c>
      <c r="E3143" s="229"/>
      <c r="F3143" s="117" t="s">
        <v>9805</v>
      </c>
      <c r="G3143" s="26">
        <v>37610</v>
      </c>
      <c r="H3143" s="231"/>
      <c r="I3143" s="221"/>
      <c r="J3143" s="221"/>
      <c r="K3143" s="221"/>
      <c r="L3143" s="221"/>
      <c r="M3143" s="221"/>
      <c r="N3143" s="221"/>
      <c r="O3143" s="225"/>
      <c r="P3143" s="118" t="s">
        <v>13877</v>
      </c>
      <c r="Q3143" s="16" t="s">
        <v>20</v>
      </c>
      <c r="R3143" s="17" t="s">
        <v>13841</v>
      </c>
      <c r="S3143" s="121" t="s">
        <v>13878</v>
      </c>
      <c r="T3143" s="122"/>
      <c r="U3143" s="22"/>
      <c r="V3143" s="123" t="s">
        <v>2747</v>
      </c>
      <c r="W3143" s="122">
        <v>4016</v>
      </c>
      <c r="X3143" s="221"/>
      <c r="Y3143" s="221"/>
      <c r="Z3143" s="221"/>
      <c r="AA3143" s="221"/>
      <c r="AB3143" s="223"/>
    </row>
    <row r="3144" spans="1:28" ht="17.100000000000001" customHeight="1" thickTop="1">
      <c r="A3144" s="226" t="s">
        <v>9801</v>
      </c>
      <c r="B3144" s="28">
        <v>45964</v>
      </c>
      <c r="C3144" s="25"/>
      <c r="D3144" s="13" t="s">
        <v>2057</v>
      </c>
      <c r="E3144" s="228"/>
      <c r="F3144" s="109" t="s">
        <v>9813</v>
      </c>
      <c r="G3144" s="24" t="s">
        <v>7120</v>
      </c>
      <c r="H3144" s="230">
        <v>4</v>
      </c>
      <c r="I3144" s="220">
        <f>825000/1.1</f>
        <v>749999.99999999988</v>
      </c>
      <c r="J3144" s="220">
        <f>I3144*0.1</f>
        <v>74999.999999999985</v>
      </c>
      <c r="K3144" s="220">
        <v>0</v>
      </c>
      <c r="L3144" s="220">
        <v>8010</v>
      </c>
      <c r="M3144" s="220">
        <v>0</v>
      </c>
      <c r="N3144" s="220">
        <f>SUM(I3144:M3145)</f>
        <v>833009.99999999988</v>
      </c>
      <c r="O3144" s="224"/>
      <c r="P3144" s="110" t="s">
        <v>11573</v>
      </c>
      <c r="Q3144" s="15" t="s">
        <v>19</v>
      </c>
      <c r="R3144" s="205"/>
      <c r="S3144" s="189" t="s">
        <v>1276</v>
      </c>
      <c r="T3144" s="114"/>
      <c r="U3144" s="21"/>
      <c r="V3144" s="115">
        <v>45990</v>
      </c>
      <c r="W3144" s="116">
        <v>1278</v>
      </c>
      <c r="X3144" s="220">
        <v>945000</v>
      </c>
      <c r="Y3144" s="220">
        <f>X3144*0.1</f>
        <v>94500</v>
      </c>
      <c r="Z3144" s="220">
        <v>8010</v>
      </c>
      <c r="AA3144" s="220">
        <f>SUM(X3144:Z3144)</f>
        <v>1047510</v>
      </c>
      <c r="AB3144" s="222">
        <v>45995</v>
      </c>
    </row>
    <row r="3145" spans="1:28" ht="17.100000000000001" customHeight="1" thickBot="1">
      <c r="A3145" s="227"/>
      <c r="B3145" s="27" t="s">
        <v>1708</v>
      </c>
      <c r="C3145" s="27" t="s">
        <v>9806</v>
      </c>
      <c r="D3145" s="14" t="s">
        <v>1797</v>
      </c>
      <c r="E3145" s="229"/>
      <c r="F3145" s="117" t="s">
        <v>9807</v>
      </c>
      <c r="G3145" s="26">
        <v>24926</v>
      </c>
      <c r="H3145" s="231"/>
      <c r="I3145" s="221"/>
      <c r="J3145" s="221"/>
      <c r="K3145" s="221"/>
      <c r="L3145" s="221"/>
      <c r="M3145" s="221"/>
      <c r="N3145" s="221"/>
      <c r="O3145" s="225"/>
      <c r="P3145" s="118" t="s">
        <v>11574</v>
      </c>
      <c r="Q3145" s="16" t="s">
        <v>20</v>
      </c>
      <c r="R3145" s="17" t="s">
        <v>1713</v>
      </c>
      <c r="S3145" s="121" t="s">
        <v>1923</v>
      </c>
      <c r="T3145" s="122"/>
      <c r="U3145" s="22"/>
      <c r="V3145" s="123" t="s">
        <v>2472</v>
      </c>
      <c r="W3145" s="122">
        <v>65066</v>
      </c>
      <c r="X3145" s="221"/>
      <c r="Y3145" s="221"/>
      <c r="Z3145" s="221"/>
      <c r="AA3145" s="221"/>
      <c r="AB3145" s="223"/>
    </row>
    <row r="3146" spans="1:28" ht="17.100000000000001" customHeight="1" thickTop="1">
      <c r="A3146" s="226" t="s">
        <v>9802</v>
      </c>
      <c r="B3146" s="28">
        <v>45964</v>
      </c>
      <c r="C3146" s="25"/>
      <c r="D3146" s="13" t="s">
        <v>2010</v>
      </c>
      <c r="E3146" s="228"/>
      <c r="F3146" s="109" t="s">
        <v>2901</v>
      </c>
      <c r="G3146" s="24" t="s">
        <v>5243</v>
      </c>
      <c r="H3146" s="230">
        <v>4.5</v>
      </c>
      <c r="I3146" s="220">
        <f>3278000/1.1</f>
        <v>2979999.9999999995</v>
      </c>
      <c r="J3146" s="220">
        <f>I3146*0.1</f>
        <v>297999.99999999994</v>
      </c>
      <c r="K3146" s="220">
        <v>14500</v>
      </c>
      <c r="L3146" s="220">
        <v>18470</v>
      </c>
      <c r="M3146" s="220">
        <v>0</v>
      </c>
      <c r="N3146" s="220">
        <f>SUM(I3146:M3147)</f>
        <v>3310969.9999999995</v>
      </c>
      <c r="O3146" s="224"/>
      <c r="P3146" s="110" t="s">
        <v>11805</v>
      </c>
      <c r="Q3146" s="15" t="s">
        <v>19</v>
      </c>
      <c r="R3146" s="205"/>
      <c r="S3146" s="189" t="s">
        <v>1276</v>
      </c>
      <c r="T3146" s="114"/>
      <c r="U3146" s="21"/>
      <c r="V3146" s="115">
        <v>45990</v>
      </c>
      <c r="W3146" s="116">
        <v>1278</v>
      </c>
      <c r="X3146" s="220">
        <v>3465000</v>
      </c>
      <c r="Y3146" s="220">
        <f>X3146*0.1</f>
        <v>346500</v>
      </c>
      <c r="Z3146" s="220">
        <v>18470</v>
      </c>
      <c r="AA3146" s="220">
        <f>SUM(X3146:Z3146)</f>
        <v>3829970</v>
      </c>
      <c r="AB3146" s="222">
        <v>45994</v>
      </c>
    </row>
    <row r="3147" spans="1:28" ht="17.100000000000001" customHeight="1" thickBot="1">
      <c r="A3147" s="227"/>
      <c r="B3147" s="27" t="s">
        <v>1708</v>
      </c>
      <c r="C3147" s="27" t="s">
        <v>9808</v>
      </c>
      <c r="D3147" s="14" t="s">
        <v>273</v>
      </c>
      <c r="E3147" s="229"/>
      <c r="F3147" s="117" t="s">
        <v>9809</v>
      </c>
      <c r="G3147" s="26">
        <v>53605</v>
      </c>
      <c r="H3147" s="231"/>
      <c r="I3147" s="221"/>
      <c r="J3147" s="221"/>
      <c r="K3147" s="221"/>
      <c r="L3147" s="221"/>
      <c r="M3147" s="221"/>
      <c r="N3147" s="221"/>
      <c r="O3147" s="225"/>
      <c r="P3147" s="118" t="s">
        <v>11806</v>
      </c>
      <c r="Q3147" s="16" t="s">
        <v>20</v>
      </c>
      <c r="R3147" s="17" t="s">
        <v>11800</v>
      </c>
      <c r="S3147" s="121" t="s">
        <v>6932</v>
      </c>
      <c r="T3147" s="122"/>
      <c r="U3147" s="22"/>
      <c r="V3147" s="123" t="s">
        <v>2472</v>
      </c>
      <c r="W3147" s="122">
        <v>37636</v>
      </c>
      <c r="X3147" s="221"/>
      <c r="Y3147" s="221"/>
      <c r="Z3147" s="221"/>
      <c r="AA3147" s="221"/>
      <c r="AB3147" s="223"/>
    </row>
    <row r="3148" spans="1:28" ht="17.100000000000001" customHeight="1" thickTop="1">
      <c r="A3148" s="226" t="s">
        <v>9803</v>
      </c>
      <c r="B3148" s="28">
        <v>45964</v>
      </c>
      <c r="C3148" s="25"/>
      <c r="D3148" s="13" t="s">
        <v>1634</v>
      </c>
      <c r="E3148" s="228"/>
      <c r="F3148" s="109" t="s">
        <v>9814</v>
      </c>
      <c r="G3148" s="24" t="s">
        <v>9815</v>
      </c>
      <c r="H3148" s="230">
        <v>3.5</v>
      </c>
      <c r="I3148" s="220">
        <f>1160500/1.1</f>
        <v>1055000</v>
      </c>
      <c r="J3148" s="220">
        <f>I3148*0.1</f>
        <v>105500</v>
      </c>
      <c r="K3148" s="220">
        <v>0</v>
      </c>
      <c r="L3148" s="220">
        <v>7510</v>
      </c>
      <c r="M3148" s="220">
        <v>0</v>
      </c>
      <c r="N3148" s="220">
        <f>SUM(I3148:M3149)</f>
        <v>1168010</v>
      </c>
      <c r="O3148" s="224"/>
      <c r="P3148" s="110" t="s">
        <v>10585</v>
      </c>
      <c r="Q3148" s="15" t="s">
        <v>19</v>
      </c>
      <c r="R3148" s="205"/>
      <c r="S3148" s="189" t="s">
        <v>1361</v>
      </c>
      <c r="T3148" s="114"/>
      <c r="U3148" s="21"/>
      <c r="V3148" s="115">
        <v>45997</v>
      </c>
      <c r="W3148" s="116">
        <v>1279</v>
      </c>
      <c r="X3148" s="220">
        <v>1020000</v>
      </c>
      <c r="Y3148" s="220">
        <f>X3148*0.1</f>
        <v>102000</v>
      </c>
      <c r="Z3148" s="220">
        <v>7510</v>
      </c>
      <c r="AA3148" s="220">
        <f>SUM(X3148:Z3148)</f>
        <v>1129510</v>
      </c>
      <c r="AB3148" s="222">
        <v>46000</v>
      </c>
    </row>
    <row r="3149" spans="1:28" ht="17.100000000000001" customHeight="1" thickBot="1">
      <c r="A3149" s="227"/>
      <c r="B3149" s="27" t="s">
        <v>1708</v>
      </c>
      <c r="C3149" s="27" t="s">
        <v>9810</v>
      </c>
      <c r="D3149" s="14" t="s">
        <v>1568</v>
      </c>
      <c r="E3149" s="229"/>
      <c r="F3149" s="117" t="s">
        <v>9811</v>
      </c>
      <c r="G3149" s="26">
        <v>58809</v>
      </c>
      <c r="H3149" s="231"/>
      <c r="I3149" s="221"/>
      <c r="J3149" s="221"/>
      <c r="K3149" s="221"/>
      <c r="L3149" s="221"/>
      <c r="M3149" s="221"/>
      <c r="N3149" s="221"/>
      <c r="O3149" s="225"/>
      <c r="P3149" s="118" t="s">
        <v>10586</v>
      </c>
      <c r="Q3149" s="16" t="s">
        <v>20</v>
      </c>
      <c r="R3149" s="17" t="s">
        <v>10519</v>
      </c>
      <c r="S3149" s="121" t="s">
        <v>1731</v>
      </c>
      <c r="T3149" s="122"/>
      <c r="U3149" s="22"/>
      <c r="V3149" s="123" t="s">
        <v>2472</v>
      </c>
      <c r="W3149" s="122">
        <v>31008</v>
      </c>
      <c r="X3149" s="221"/>
      <c r="Y3149" s="221"/>
      <c r="Z3149" s="221"/>
      <c r="AA3149" s="221"/>
      <c r="AB3149" s="223"/>
    </row>
    <row r="3150" spans="1:28" ht="17.100000000000001" customHeight="1" thickTop="1">
      <c r="A3150" s="226" t="s">
        <v>9872</v>
      </c>
      <c r="B3150" s="28">
        <v>45965</v>
      </c>
      <c r="C3150" s="25">
        <v>1916</v>
      </c>
      <c r="D3150" s="13" t="s">
        <v>1780</v>
      </c>
      <c r="E3150" s="228"/>
      <c r="F3150" s="109" t="s">
        <v>9863</v>
      </c>
      <c r="G3150" s="24"/>
      <c r="H3150" s="230">
        <v>4.5</v>
      </c>
      <c r="I3150" s="220">
        <v>1389000</v>
      </c>
      <c r="J3150" s="220">
        <f>I3150*0.1</f>
        <v>138900</v>
      </c>
      <c r="K3150" s="220">
        <v>0</v>
      </c>
      <c r="L3150" s="220">
        <v>11890</v>
      </c>
      <c r="M3150" s="220">
        <v>17050</v>
      </c>
      <c r="N3150" s="220">
        <f>SUM(I3150:M3151)</f>
        <v>1556840</v>
      </c>
      <c r="O3150" s="224"/>
      <c r="P3150" s="110" t="s">
        <v>10259</v>
      </c>
      <c r="Q3150" s="15" t="s">
        <v>19</v>
      </c>
      <c r="R3150" s="205"/>
      <c r="S3150" s="189" t="s">
        <v>25498</v>
      </c>
      <c r="T3150" s="114"/>
      <c r="U3150" s="21"/>
      <c r="V3150" s="115">
        <v>46001</v>
      </c>
      <c r="W3150" s="116">
        <v>996</v>
      </c>
      <c r="X3150" s="220">
        <v>1485000</v>
      </c>
      <c r="Y3150" s="220">
        <f>X3150*0.1</f>
        <v>148500</v>
      </c>
      <c r="Z3150" s="220">
        <v>11890</v>
      </c>
      <c r="AA3150" s="220">
        <f>SUM(X3150:Z3150)</f>
        <v>1645390</v>
      </c>
      <c r="AB3150" s="222">
        <v>46006</v>
      </c>
    </row>
    <row r="3151" spans="1:28" ht="17.100000000000001" customHeight="1" thickBot="1">
      <c r="A3151" s="227"/>
      <c r="B3151" s="27" t="s">
        <v>2103</v>
      </c>
      <c r="C3151" s="27">
        <v>2067</v>
      </c>
      <c r="D3151" s="14" t="s">
        <v>1584</v>
      </c>
      <c r="E3151" s="229"/>
      <c r="F3151" s="117" t="s">
        <v>9864</v>
      </c>
      <c r="G3151" s="26">
        <v>58234</v>
      </c>
      <c r="H3151" s="231"/>
      <c r="I3151" s="221"/>
      <c r="J3151" s="221"/>
      <c r="K3151" s="221"/>
      <c r="L3151" s="221"/>
      <c r="M3151" s="221"/>
      <c r="N3151" s="221"/>
      <c r="O3151" s="225"/>
      <c r="P3151" s="118" t="s">
        <v>7323</v>
      </c>
      <c r="Q3151" s="16" t="s">
        <v>20</v>
      </c>
      <c r="R3151" s="17" t="s">
        <v>1684</v>
      </c>
      <c r="S3151" s="121" t="s">
        <v>10260</v>
      </c>
      <c r="T3151" s="122"/>
      <c r="U3151" s="22"/>
      <c r="V3151" s="123" t="s">
        <v>7161</v>
      </c>
      <c r="W3151" s="122">
        <v>6001</v>
      </c>
      <c r="X3151" s="221"/>
      <c r="Y3151" s="221"/>
      <c r="Z3151" s="221"/>
      <c r="AA3151" s="221"/>
      <c r="AB3151" s="223"/>
    </row>
    <row r="3152" spans="1:28" ht="17.100000000000001" customHeight="1" thickTop="1">
      <c r="A3152" s="226" t="s">
        <v>9873</v>
      </c>
      <c r="B3152" s="28">
        <v>45965</v>
      </c>
      <c r="C3152" s="25">
        <v>1916</v>
      </c>
      <c r="D3152" s="13" t="s">
        <v>1931</v>
      </c>
      <c r="E3152" s="228"/>
      <c r="F3152" s="109" t="s">
        <v>9821</v>
      </c>
      <c r="G3152" s="24" t="s">
        <v>3859</v>
      </c>
      <c r="H3152" s="230">
        <v>4</v>
      </c>
      <c r="I3152" s="220">
        <v>1153000</v>
      </c>
      <c r="J3152" s="220">
        <f>I3152*0.1</f>
        <v>115300</v>
      </c>
      <c r="K3152" s="220">
        <v>0</v>
      </c>
      <c r="L3152" s="220">
        <v>9310</v>
      </c>
      <c r="M3152" s="220">
        <v>15950</v>
      </c>
      <c r="N3152" s="220">
        <f>SUM(I3152:M3153)</f>
        <v>1293560</v>
      </c>
      <c r="O3152" s="224"/>
      <c r="P3152" s="110" t="s">
        <v>9823</v>
      </c>
      <c r="Q3152" s="15" t="s">
        <v>19</v>
      </c>
      <c r="R3152" s="205"/>
      <c r="S3152" s="189" t="s">
        <v>25578</v>
      </c>
      <c r="T3152" s="114"/>
      <c r="U3152" s="21"/>
      <c r="V3152" s="115">
        <v>45976</v>
      </c>
      <c r="W3152" s="116">
        <v>1276</v>
      </c>
      <c r="X3152" s="220">
        <v>1240000</v>
      </c>
      <c r="Y3152" s="220">
        <f>X3152*0.1</f>
        <v>124000</v>
      </c>
      <c r="Z3152" s="220">
        <v>9310</v>
      </c>
      <c r="AA3152" s="220">
        <f>SUM(X3152:Z3152)</f>
        <v>1373310</v>
      </c>
      <c r="AB3152" s="222">
        <v>45979</v>
      </c>
    </row>
    <row r="3153" spans="1:28" ht="17.100000000000001" customHeight="1" thickBot="1">
      <c r="A3153" s="227"/>
      <c r="B3153" s="27" t="s">
        <v>2103</v>
      </c>
      <c r="C3153" s="27">
        <v>3055</v>
      </c>
      <c r="D3153" s="14" t="s">
        <v>273</v>
      </c>
      <c r="E3153" s="229"/>
      <c r="F3153" s="117" t="s">
        <v>9822</v>
      </c>
      <c r="G3153" s="26">
        <v>30302</v>
      </c>
      <c r="H3153" s="231"/>
      <c r="I3153" s="221"/>
      <c r="J3153" s="221"/>
      <c r="K3153" s="221"/>
      <c r="L3153" s="221"/>
      <c r="M3153" s="221"/>
      <c r="N3153" s="221"/>
      <c r="O3153" s="225"/>
      <c r="P3153" s="118" t="s">
        <v>4816</v>
      </c>
      <c r="Q3153" s="16" t="s">
        <v>20</v>
      </c>
      <c r="R3153" s="17" t="s">
        <v>1684</v>
      </c>
      <c r="S3153" s="121" t="s">
        <v>10323</v>
      </c>
      <c r="T3153" s="122"/>
      <c r="U3153" s="22"/>
      <c r="V3153" s="123" t="s">
        <v>10781</v>
      </c>
      <c r="W3153" s="122">
        <v>60069</v>
      </c>
      <c r="X3153" s="221"/>
      <c r="Y3153" s="221"/>
      <c r="Z3153" s="221"/>
      <c r="AA3153" s="221"/>
      <c r="AB3153" s="223"/>
    </row>
    <row r="3154" spans="1:28" ht="17.100000000000001" customHeight="1" thickTop="1">
      <c r="A3154" s="226" t="s">
        <v>9874</v>
      </c>
      <c r="B3154" s="28">
        <v>45965</v>
      </c>
      <c r="C3154" s="25">
        <v>1916</v>
      </c>
      <c r="D3154" s="13" t="s">
        <v>1976</v>
      </c>
      <c r="E3154" s="228"/>
      <c r="F3154" s="109" t="s">
        <v>9009</v>
      </c>
      <c r="G3154" s="24" t="s">
        <v>2813</v>
      </c>
      <c r="H3154" s="230">
        <v>4.5</v>
      </c>
      <c r="I3154" s="220">
        <v>858000</v>
      </c>
      <c r="J3154" s="220">
        <f>I3154*0.1</f>
        <v>85800</v>
      </c>
      <c r="K3154" s="220">
        <v>0</v>
      </c>
      <c r="L3154" s="220">
        <v>7040</v>
      </c>
      <c r="M3154" s="220">
        <v>15950</v>
      </c>
      <c r="N3154" s="220">
        <f>SUM(I3154:M3155)</f>
        <v>966790</v>
      </c>
      <c r="O3154" s="224"/>
      <c r="P3154" s="110" t="s">
        <v>9825</v>
      </c>
      <c r="Q3154" s="15" t="s">
        <v>19</v>
      </c>
      <c r="R3154" s="205"/>
      <c r="S3154" s="189"/>
      <c r="T3154" s="114"/>
      <c r="U3154" s="21"/>
      <c r="V3154" s="115"/>
      <c r="W3154" s="116"/>
      <c r="X3154" s="220"/>
      <c r="Y3154" s="220">
        <f>X3154*0.1</f>
        <v>0</v>
      </c>
      <c r="Z3154" s="220"/>
      <c r="AA3154" s="220">
        <f>SUM(X3154:Z3154)</f>
        <v>0</v>
      </c>
      <c r="AB3154" s="222"/>
    </row>
    <row r="3155" spans="1:28" ht="17.100000000000001" customHeight="1" thickBot="1">
      <c r="A3155" s="227"/>
      <c r="B3155" s="27" t="s">
        <v>2103</v>
      </c>
      <c r="C3155" s="27">
        <v>3058</v>
      </c>
      <c r="D3155" s="14" t="s">
        <v>3274</v>
      </c>
      <c r="E3155" s="229"/>
      <c r="F3155" s="117" t="s">
        <v>9824</v>
      </c>
      <c r="G3155" s="26">
        <v>59076</v>
      </c>
      <c r="H3155" s="231"/>
      <c r="I3155" s="221"/>
      <c r="J3155" s="221"/>
      <c r="K3155" s="221"/>
      <c r="L3155" s="221"/>
      <c r="M3155" s="221"/>
      <c r="N3155" s="221"/>
      <c r="O3155" s="225"/>
      <c r="P3155" s="118" t="s">
        <v>10324</v>
      </c>
      <c r="Q3155" s="16" t="s">
        <v>20</v>
      </c>
      <c r="R3155" s="17" t="s">
        <v>1684</v>
      </c>
      <c r="S3155" s="121"/>
      <c r="T3155" s="122"/>
      <c r="U3155" s="22"/>
      <c r="V3155" s="123"/>
      <c r="W3155" s="122"/>
      <c r="X3155" s="221"/>
      <c r="Y3155" s="221"/>
      <c r="Z3155" s="221"/>
      <c r="AA3155" s="221"/>
      <c r="AB3155" s="223"/>
    </row>
    <row r="3156" spans="1:28" ht="17.100000000000001" customHeight="1" thickTop="1">
      <c r="A3156" s="226" t="s">
        <v>9875</v>
      </c>
      <c r="B3156" s="28">
        <v>45965</v>
      </c>
      <c r="C3156" s="25">
        <v>1916</v>
      </c>
      <c r="D3156" s="13" t="s">
        <v>1715</v>
      </c>
      <c r="E3156" s="228"/>
      <c r="F3156" s="109" t="s">
        <v>4809</v>
      </c>
      <c r="G3156" s="24"/>
      <c r="H3156" s="230">
        <v>4.5</v>
      </c>
      <c r="I3156" s="220">
        <v>906000</v>
      </c>
      <c r="J3156" s="220">
        <f>I3156*0.1</f>
        <v>90600</v>
      </c>
      <c r="K3156" s="220">
        <v>0</v>
      </c>
      <c r="L3156" s="220">
        <v>9200</v>
      </c>
      <c r="M3156" s="220">
        <v>15950</v>
      </c>
      <c r="N3156" s="220">
        <f>SUM(I3156:M3157)</f>
        <v>1021750</v>
      </c>
      <c r="O3156" s="224"/>
      <c r="P3156" s="110" t="s">
        <v>10170</v>
      </c>
      <c r="Q3156" s="15" t="s">
        <v>19</v>
      </c>
      <c r="R3156" s="205"/>
      <c r="S3156" s="189"/>
      <c r="T3156" s="114"/>
      <c r="U3156" s="21"/>
      <c r="V3156" s="115">
        <v>45969</v>
      </c>
      <c r="W3156" s="116">
        <v>1275</v>
      </c>
      <c r="X3156" s="220">
        <v>1020000</v>
      </c>
      <c r="Y3156" s="220">
        <f>X3156*0.1</f>
        <v>102000</v>
      </c>
      <c r="Z3156" s="220">
        <v>9200</v>
      </c>
      <c r="AA3156" s="220">
        <f>SUM(X3156:Z3156)</f>
        <v>1131200</v>
      </c>
      <c r="AB3156" s="222">
        <v>45972</v>
      </c>
    </row>
    <row r="3157" spans="1:28" ht="17.100000000000001" customHeight="1" thickBot="1">
      <c r="A3157" s="227"/>
      <c r="B3157" s="27" t="s">
        <v>2103</v>
      </c>
      <c r="C3157" s="27">
        <v>3318</v>
      </c>
      <c r="D3157" s="14" t="s">
        <v>1627</v>
      </c>
      <c r="E3157" s="229"/>
      <c r="F3157" s="117" t="s">
        <v>9833</v>
      </c>
      <c r="G3157" s="26">
        <v>49539</v>
      </c>
      <c r="H3157" s="231"/>
      <c r="I3157" s="221"/>
      <c r="J3157" s="221"/>
      <c r="K3157" s="221"/>
      <c r="L3157" s="221"/>
      <c r="M3157" s="221"/>
      <c r="N3157" s="221"/>
      <c r="O3157" s="225"/>
      <c r="P3157" s="118" t="s">
        <v>5155</v>
      </c>
      <c r="Q3157" s="16" t="s">
        <v>20</v>
      </c>
      <c r="R3157" s="17" t="s">
        <v>1684</v>
      </c>
      <c r="S3157" s="121"/>
      <c r="T3157" s="122"/>
      <c r="U3157" s="22"/>
      <c r="V3157" s="123" t="s">
        <v>2472</v>
      </c>
      <c r="W3157" s="122">
        <v>60493</v>
      </c>
      <c r="X3157" s="221"/>
      <c r="Y3157" s="221"/>
      <c r="Z3157" s="221"/>
      <c r="AA3157" s="221"/>
      <c r="AB3157" s="223"/>
    </row>
    <row r="3158" spans="1:28" ht="17.100000000000001" customHeight="1" thickTop="1">
      <c r="A3158" s="226" t="s">
        <v>9876</v>
      </c>
      <c r="B3158" s="28">
        <v>45965</v>
      </c>
      <c r="C3158" s="25">
        <v>1916</v>
      </c>
      <c r="D3158" s="13" t="s">
        <v>2094</v>
      </c>
      <c r="E3158" s="228"/>
      <c r="F3158" s="109" t="s">
        <v>4552</v>
      </c>
      <c r="G3158" s="24" t="s">
        <v>4315</v>
      </c>
      <c r="H3158" s="230">
        <v>5</v>
      </c>
      <c r="I3158" s="220">
        <v>789000</v>
      </c>
      <c r="J3158" s="220">
        <f>I3158*0.1</f>
        <v>78900</v>
      </c>
      <c r="K3158" s="220">
        <v>0</v>
      </c>
      <c r="L3158" s="220">
        <v>6550</v>
      </c>
      <c r="M3158" s="220">
        <v>15950</v>
      </c>
      <c r="N3158" s="220">
        <f>SUM(I3158:M3159)</f>
        <v>890400</v>
      </c>
      <c r="O3158" s="224"/>
      <c r="P3158" s="110" t="s">
        <v>10176</v>
      </c>
      <c r="Q3158" s="15" t="s">
        <v>19</v>
      </c>
      <c r="R3158" s="205"/>
      <c r="S3158" s="189" t="s">
        <v>25489</v>
      </c>
      <c r="T3158" s="114"/>
      <c r="U3158" s="21"/>
      <c r="V3158" s="115">
        <v>45969</v>
      </c>
      <c r="W3158" s="116">
        <v>1275</v>
      </c>
      <c r="X3158" s="220">
        <v>865000</v>
      </c>
      <c r="Y3158" s="220">
        <f>X3158*0.1</f>
        <v>86500</v>
      </c>
      <c r="Z3158" s="220">
        <v>6550</v>
      </c>
      <c r="AA3158" s="220">
        <f>SUM(X3158:Z3158)</f>
        <v>958050</v>
      </c>
      <c r="AB3158" s="222">
        <v>45972</v>
      </c>
    </row>
    <row r="3159" spans="1:28" ht="17.100000000000001" customHeight="1" thickBot="1">
      <c r="A3159" s="227"/>
      <c r="B3159" s="27" t="s">
        <v>2103</v>
      </c>
      <c r="C3159" s="27">
        <v>5406</v>
      </c>
      <c r="D3159" s="14" t="s">
        <v>1584</v>
      </c>
      <c r="E3159" s="229"/>
      <c r="F3159" s="117" t="s">
        <v>9826</v>
      </c>
      <c r="G3159" s="26">
        <v>455</v>
      </c>
      <c r="H3159" s="231"/>
      <c r="I3159" s="221"/>
      <c r="J3159" s="221"/>
      <c r="K3159" s="221"/>
      <c r="L3159" s="221"/>
      <c r="M3159" s="221"/>
      <c r="N3159" s="221"/>
      <c r="O3159" s="225"/>
      <c r="P3159" s="118" t="s">
        <v>9167</v>
      </c>
      <c r="Q3159" s="16" t="s">
        <v>20</v>
      </c>
      <c r="R3159" s="17" t="s">
        <v>1684</v>
      </c>
      <c r="S3159" s="121" t="s">
        <v>5420</v>
      </c>
      <c r="T3159" s="122"/>
      <c r="U3159" s="22"/>
      <c r="V3159" s="123" t="s">
        <v>2472</v>
      </c>
      <c r="W3159" s="122">
        <v>60473</v>
      </c>
      <c r="X3159" s="221"/>
      <c r="Y3159" s="221"/>
      <c r="Z3159" s="221"/>
      <c r="AA3159" s="221"/>
      <c r="AB3159" s="223"/>
    </row>
    <row r="3160" spans="1:28" ht="17.100000000000001" customHeight="1" thickTop="1">
      <c r="A3160" s="226" t="s">
        <v>9877</v>
      </c>
      <c r="B3160" s="28">
        <v>45965</v>
      </c>
      <c r="C3160" s="25">
        <v>794</v>
      </c>
      <c r="D3160" s="13" t="s">
        <v>1021</v>
      </c>
      <c r="E3160" s="228"/>
      <c r="F3160" s="109" t="s">
        <v>4145</v>
      </c>
      <c r="G3160" s="24"/>
      <c r="H3160" s="230">
        <v>4</v>
      </c>
      <c r="I3160" s="220">
        <v>475000</v>
      </c>
      <c r="J3160" s="220">
        <f>I3160*0.1</f>
        <v>47500</v>
      </c>
      <c r="K3160" s="220">
        <v>0</v>
      </c>
      <c r="L3160" s="220">
        <v>8460</v>
      </c>
      <c r="M3160" s="220">
        <v>15950</v>
      </c>
      <c r="N3160" s="220">
        <f>SUM(I3160:M3161)</f>
        <v>546910</v>
      </c>
      <c r="O3160" s="224"/>
      <c r="P3160" s="110" t="s">
        <v>10325</v>
      </c>
      <c r="Q3160" s="15" t="s">
        <v>19</v>
      </c>
      <c r="R3160" s="205"/>
      <c r="S3160" s="189"/>
      <c r="T3160" s="114"/>
      <c r="U3160" s="21"/>
      <c r="V3160" s="115">
        <v>46004</v>
      </c>
      <c r="W3160" s="116">
        <v>1280</v>
      </c>
      <c r="X3160" s="220">
        <v>550000</v>
      </c>
      <c r="Y3160" s="220">
        <f>X3160*0.1</f>
        <v>55000</v>
      </c>
      <c r="Z3160" s="220">
        <v>8460</v>
      </c>
      <c r="AA3160" s="220">
        <f>SUM(X3160:Z3160)</f>
        <v>613460</v>
      </c>
      <c r="AB3160" s="222">
        <v>46009</v>
      </c>
    </row>
    <row r="3161" spans="1:28" ht="17.100000000000001" customHeight="1" thickBot="1">
      <c r="A3161" s="227"/>
      <c r="B3161" s="27" t="s">
        <v>3314</v>
      </c>
      <c r="C3161" s="27">
        <v>3020</v>
      </c>
      <c r="D3161" s="14" t="s">
        <v>2559</v>
      </c>
      <c r="E3161" s="229"/>
      <c r="F3161" s="117" t="s">
        <v>9827</v>
      </c>
      <c r="G3161" s="26">
        <v>15297</v>
      </c>
      <c r="H3161" s="231"/>
      <c r="I3161" s="221"/>
      <c r="J3161" s="221"/>
      <c r="K3161" s="221"/>
      <c r="L3161" s="221"/>
      <c r="M3161" s="221"/>
      <c r="N3161" s="221"/>
      <c r="O3161" s="225"/>
      <c r="P3161" s="118" t="s">
        <v>10210</v>
      </c>
      <c r="Q3161" s="16" t="s">
        <v>20</v>
      </c>
      <c r="R3161" s="17" t="s">
        <v>1684</v>
      </c>
      <c r="S3161" s="121"/>
      <c r="T3161" s="122"/>
      <c r="U3161" s="22"/>
      <c r="V3161" s="123" t="s">
        <v>6641</v>
      </c>
      <c r="W3161" s="122">
        <v>60163</v>
      </c>
      <c r="X3161" s="221"/>
      <c r="Y3161" s="221"/>
      <c r="Z3161" s="221"/>
      <c r="AA3161" s="221"/>
      <c r="AB3161" s="223"/>
    </row>
    <row r="3162" spans="1:28" ht="17.100000000000001" customHeight="1" thickTop="1">
      <c r="A3162" s="226" t="s">
        <v>9878</v>
      </c>
      <c r="B3162" s="28">
        <v>45965</v>
      </c>
      <c r="C3162" s="25">
        <v>914</v>
      </c>
      <c r="D3162" s="13" t="s">
        <v>2406</v>
      </c>
      <c r="E3162" s="228"/>
      <c r="F3162" s="109" t="s">
        <v>9851</v>
      </c>
      <c r="G3162" s="24"/>
      <c r="H3162" s="230">
        <v>4</v>
      </c>
      <c r="I3162" s="220">
        <v>1640000</v>
      </c>
      <c r="J3162" s="220">
        <f>I3162*0.1</f>
        <v>164000</v>
      </c>
      <c r="K3162" s="220">
        <v>0</v>
      </c>
      <c r="L3162" s="220">
        <v>19040</v>
      </c>
      <c r="M3162" s="220">
        <v>15950</v>
      </c>
      <c r="N3162" s="220">
        <f>SUM(I3162:M3163)</f>
        <v>1838990</v>
      </c>
      <c r="O3162" s="224"/>
      <c r="P3162" s="110" t="s">
        <v>10257</v>
      </c>
      <c r="Q3162" s="15" t="s">
        <v>19</v>
      </c>
      <c r="R3162" s="205"/>
      <c r="S3162" s="189"/>
      <c r="T3162" s="114"/>
      <c r="U3162" s="21"/>
      <c r="V3162" s="115">
        <v>45976</v>
      </c>
      <c r="W3162" s="116">
        <v>1276</v>
      </c>
      <c r="X3162" s="220">
        <v>1770000</v>
      </c>
      <c r="Y3162" s="220">
        <f>X3162*0.1</f>
        <v>177000</v>
      </c>
      <c r="Z3162" s="220">
        <v>19040</v>
      </c>
      <c r="AA3162" s="220">
        <f>SUM(X3162:Z3162)</f>
        <v>1966040</v>
      </c>
      <c r="AB3162" s="222">
        <v>45979</v>
      </c>
    </row>
    <row r="3163" spans="1:28" ht="17.100000000000001" customHeight="1" thickBot="1">
      <c r="A3163" s="227"/>
      <c r="B3163" s="27" t="s">
        <v>2654</v>
      </c>
      <c r="C3163" s="27">
        <v>5011</v>
      </c>
      <c r="D3163" s="14" t="s">
        <v>273</v>
      </c>
      <c r="E3163" s="229"/>
      <c r="F3163" s="117" t="s">
        <v>9852</v>
      </c>
      <c r="G3163" s="26">
        <v>32568</v>
      </c>
      <c r="H3163" s="231"/>
      <c r="I3163" s="221"/>
      <c r="J3163" s="221"/>
      <c r="K3163" s="221"/>
      <c r="L3163" s="221"/>
      <c r="M3163" s="221"/>
      <c r="N3163" s="221"/>
      <c r="O3163" s="225"/>
      <c r="P3163" s="118" t="s">
        <v>3506</v>
      </c>
      <c r="Q3163" s="16" t="s">
        <v>20</v>
      </c>
      <c r="R3163" s="17" t="s">
        <v>1684</v>
      </c>
      <c r="S3163" s="121" t="s">
        <v>2777</v>
      </c>
      <c r="T3163" s="122"/>
      <c r="U3163" s="22"/>
      <c r="V3163" s="123" t="s">
        <v>7160</v>
      </c>
      <c r="W3163" s="122">
        <v>80034</v>
      </c>
      <c r="X3163" s="221"/>
      <c r="Y3163" s="221"/>
      <c r="Z3163" s="221"/>
      <c r="AA3163" s="221"/>
      <c r="AB3163" s="223"/>
    </row>
    <row r="3164" spans="1:28" ht="17.100000000000001" customHeight="1" thickTop="1">
      <c r="A3164" s="226" t="s">
        <v>9879</v>
      </c>
      <c r="B3164" s="28">
        <v>45965</v>
      </c>
      <c r="C3164" s="25">
        <v>914</v>
      </c>
      <c r="D3164" s="13" t="s">
        <v>2295</v>
      </c>
      <c r="E3164" s="228"/>
      <c r="F3164" s="109" t="s">
        <v>9865</v>
      </c>
      <c r="G3164" s="24" t="s">
        <v>1540</v>
      </c>
      <c r="H3164" s="230">
        <v>4</v>
      </c>
      <c r="I3164" s="220">
        <v>1405000</v>
      </c>
      <c r="J3164" s="220">
        <f>I3164*0.1</f>
        <v>140500</v>
      </c>
      <c r="K3164" s="220">
        <v>11110</v>
      </c>
      <c r="L3164" s="220">
        <v>17930</v>
      </c>
      <c r="M3164" s="220">
        <v>15950</v>
      </c>
      <c r="N3164" s="220">
        <f>SUM(I3164:M3165)</f>
        <v>1590490</v>
      </c>
      <c r="O3164" s="224"/>
      <c r="P3164" s="110" t="s">
        <v>9867</v>
      </c>
      <c r="Q3164" s="15" t="s">
        <v>19</v>
      </c>
      <c r="R3164" s="205"/>
      <c r="S3164" s="189"/>
      <c r="T3164" s="114"/>
      <c r="U3164" s="21"/>
      <c r="V3164" s="115">
        <v>45969</v>
      </c>
      <c r="W3164" s="116">
        <v>1275</v>
      </c>
      <c r="X3164" s="220">
        <v>1620000</v>
      </c>
      <c r="Y3164" s="220">
        <f>X3164*0.1</f>
        <v>162000</v>
      </c>
      <c r="Z3164" s="220">
        <v>17930</v>
      </c>
      <c r="AA3164" s="220">
        <f>SUM(X3164:Z3164)</f>
        <v>1799930</v>
      </c>
      <c r="AB3164" s="222">
        <v>45972</v>
      </c>
    </row>
    <row r="3165" spans="1:28" ht="17.100000000000001" customHeight="1" thickBot="1">
      <c r="A3165" s="227"/>
      <c r="B3165" s="27" t="s">
        <v>2654</v>
      </c>
      <c r="C3165" s="27">
        <v>5029</v>
      </c>
      <c r="D3165" s="14" t="s">
        <v>1568</v>
      </c>
      <c r="E3165" s="229"/>
      <c r="F3165" s="117" t="s">
        <v>9866</v>
      </c>
      <c r="G3165" s="26">
        <v>58604</v>
      </c>
      <c r="H3165" s="231"/>
      <c r="I3165" s="221"/>
      <c r="J3165" s="221"/>
      <c r="K3165" s="221"/>
      <c r="L3165" s="221"/>
      <c r="M3165" s="221"/>
      <c r="N3165" s="221"/>
      <c r="O3165" s="225"/>
      <c r="P3165" s="118" t="s">
        <v>10171</v>
      </c>
      <c r="Q3165" s="16" t="s">
        <v>20</v>
      </c>
      <c r="R3165" s="17" t="s">
        <v>1684</v>
      </c>
      <c r="S3165" s="121" t="s">
        <v>10119</v>
      </c>
      <c r="T3165" s="122"/>
      <c r="U3165" s="22"/>
      <c r="V3165" s="123" t="s">
        <v>2472</v>
      </c>
      <c r="W3165" s="122">
        <v>80320</v>
      </c>
      <c r="X3165" s="221"/>
      <c r="Y3165" s="221"/>
      <c r="Z3165" s="221"/>
      <c r="AA3165" s="221"/>
      <c r="AB3165" s="223"/>
    </row>
    <row r="3166" spans="1:28" ht="17.100000000000001" customHeight="1" thickTop="1">
      <c r="A3166" s="226" t="s">
        <v>9880</v>
      </c>
      <c r="B3166" s="28">
        <v>45965</v>
      </c>
      <c r="C3166" s="25">
        <v>914</v>
      </c>
      <c r="D3166" s="13" t="s">
        <v>1837</v>
      </c>
      <c r="E3166" s="228"/>
      <c r="F3166" s="109" t="s">
        <v>4893</v>
      </c>
      <c r="G3166" s="24"/>
      <c r="H3166" s="230">
        <v>4</v>
      </c>
      <c r="I3166" s="220">
        <v>852000</v>
      </c>
      <c r="J3166" s="220">
        <f>I3166*0.1</f>
        <v>85200</v>
      </c>
      <c r="K3166" s="220">
        <v>0</v>
      </c>
      <c r="L3166" s="220">
        <v>7440</v>
      </c>
      <c r="M3166" s="220">
        <v>15950</v>
      </c>
      <c r="N3166" s="220">
        <f>SUM(I3166:M3167)</f>
        <v>960590</v>
      </c>
      <c r="O3166" s="224"/>
      <c r="P3166" s="110" t="s">
        <v>10261</v>
      </c>
      <c r="Q3166" s="15" t="s">
        <v>19</v>
      </c>
      <c r="R3166" s="205"/>
      <c r="S3166" s="189" t="s">
        <v>758</v>
      </c>
      <c r="T3166" s="114"/>
      <c r="U3166" s="21"/>
      <c r="V3166" s="115">
        <v>45994</v>
      </c>
      <c r="W3166" s="116">
        <v>995</v>
      </c>
      <c r="X3166" s="220">
        <v>1000000</v>
      </c>
      <c r="Y3166" s="220">
        <f>X3166*0.1</f>
        <v>100000</v>
      </c>
      <c r="Z3166" s="220">
        <v>7440</v>
      </c>
      <c r="AA3166" s="220">
        <f>SUM(X3166:Z3166)</f>
        <v>1107440</v>
      </c>
      <c r="AB3166" s="222">
        <v>46001</v>
      </c>
    </row>
    <row r="3167" spans="1:28" ht="17.100000000000001" customHeight="1" thickBot="1">
      <c r="A3167" s="227"/>
      <c r="B3167" s="27" t="s">
        <v>2654</v>
      </c>
      <c r="C3167" s="27">
        <v>62001</v>
      </c>
      <c r="D3167" s="14" t="s">
        <v>1710</v>
      </c>
      <c r="E3167" s="229"/>
      <c r="F3167" s="117" t="s">
        <v>9834</v>
      </c>
      <c r="G3167" s="26">
        <v>41753</v>
      </c>
      <c r="H3167" s="231"/>
      <c r="I3167" s="221"/>
      <c r="J3167" s="221"/>
      <c r="K3167" s="221"/>
      <c r="L3167" s="221"/>
      <c r="M3167" s="221"/>
      <c r="N3167" s="221"/>
      <c r="O3167" s="225"/>
      <c r="P3167" s="118" t="s">
        <v>3506</v>
      </c>
      <c r="Q3167" s="16" t="s">
        <v>20</v>
      </c>
      <c r="R3167" s="17" t="s">
        <v>1684</v>
      </c>
      <c r="S3167" s="121" t="s">
        <v>10124</v>
      </c>
      <c r="T3167" s="122"/>
      <c r="U3167" s="22"/>
      <c r="V3167" s="123" t="s">
        <v>8648</v>
      </c>
      <c r="W3167" s="122">
        <v>5106</v>
      </c>
      <c r="X3167" s="221"/>
      <c r="Y3167" s="221"/>
      <c r="Z3167" s="221"/>
      <c r="AA3167" s="221"/>
      <c r="AB3167" s="223"/>
    </row>
    <row r="3168" spans="1:28" ht="17.100000000000001" customHeight="1" thickTop="1">
      <c r="A3168" s="226" t="s">
        <v>9881</v>
      </c>
      <c r="B3168" s="28">
        <v>45965</v>
      </c>
      <c r="C3168" s="25">
        <v>1215</v>
      </c>
      <c r="D3168" s="13" t="s">
        <v>1915</v>
      </c>
      <c r="E3168" s="228"/>
      <c r="F3168" s="109" t="s">
        <v>9853</v>
      </c>
      <c r="G3168" s="24"/>
      <c r="H3168" s="230">
        <v>4</v>
      </c>
      <c r="I3168" s="220">
        <v>630000</v>
      </c>
      <c r="J3168" s="220">
        <f>I3168*0.1</f>
        <v>63000</v>
      </c>
      <c r="K3168" s="220">
        <v>0</v>
      </c>
      <c r="L3168" s="220">
        <v>20170</v>
      </c>
      <c r="M3168" s="220">
        <v>15950</v>
      </c>
      <c r="N3168" s="220">
        <f>SUM(I3168:M3169)</f>
        <v>729120</v>
      </c>
      <c r="O3168" s="224"/>
      <c r="P3168" s="110" t="s">
        <v>10172</v>
      </c>
      <c r="Q3168" s="15" t="s">
        <v>19</v>
      </c>
      <c r="R3168" s="205"/>
      <c r="S3168" s="189"/>
      <c r="T3168" s="114"/>
      <c r="U3168" s="21"/>
      <c r="V3168" s="115">
        <v>45969</v>
      </c>
      <c r="W3168" s="116">
        <v>1275</v>
      </c>
      <c r="X3168" s="220">
        <v>875000</v>
      </c>
      <c r="Y3168" s="220">
        <f>X3168*0.1</f>
        <v>87500</v>
      </c>
      <c r="Z3168" s="220">
        <v>20170</v>
      </c>
      <c r="AA3168" s="220">
        <f>SUM(X3168:Z3168)</f>
        <v>982670</v>
      </c>
      <c r="AB3168" s="222">
        <v>45972</v>
      </c>
    </row>
    <row r="3169" spans="1:28" ht="17.100000000000001" customHeight="1" thickBot="1">
      <c r="A3169" s="227"/>
      <c r="B3169" s="27" t="s">
        <v>2344</v>
      </c>
      <c r="C3169" s="27">
        <v>5004</v>
      </c>
      <c r="D3169" s="14" t="s">
        <v>2559</v>
      </c>
      <c r="E3169" s="229"/>
      <c r="F3169" s="117" t="s">
        <v>9854</v>
      </c>
      <c r="G3169" s="26">
        <v>47948</v>
      </c>
      <c r="H3169" s="231"/>
      <c r="I3169" s="221"/>
      <c r="J3169" s="221"/>
      <c r="K3169" s="221"/>
      <c r="L3169" s="221"/>
      <c r="M3169" s="221"/>
      <c r="N3169" s="221"/>
      <c r="O3169" s="225"/>
      <c r="P3169" s="118" t="s">
        <v>10173</v>
      </c>
      <c r="Q3169" s="16" t="s">
        <v>20</v>
      </c>
      <c r="R3169" s="17" t="s">
        <v>1684</v>
      </c>
      <c r="S3169" s="121" t="s">
        <v>10118</v>
      </c>
      <c r="T3169" s="122"/>
      <c r="U3169" s="22"/>
      <c r="V3169" s="123" t="s">
        <v>2472</v>
      </c>
      <c r="W3169" s="122">
        <v>80340</v>
      </c>
      <c r="X3169" s="221"/>
      <c r="Y3169" s="221"/>
      <c r="Z3169" s="221"/>
      <c r="AA3169" s="221"/>
      <c r="AB3169" s="223"/>
    </row>
    <row r="3170" spans="1:28" ht="17.100000000000001" customHeight="1" thickTop="1">
      <c r="A3170" s="226" t="s">
        <v>9882</v>
      </c>
      <c r="B3170" s="28">
        <v>45965</v>
      </c>
      <c r="C3170" s="25">
        <v>1215</v>
      </c>
      <c r="D3170" s="13" t="s">
        <v>2406</v>
      </c>
      <c r="E3170" s="228"/>
      <c r="F3170" s="109" t="s">
        <v>9828</v>
      </c>
      <c r="G3170" s="24"/>
      <c r="H3170" s="230">
        <v>4</v>
      </c>
      <c r="I3170" s="220">
        <v>1728000</v>
      </c>
      <c r="J3170" s="220">
        <f>I3170*0.1</f>
        <v>172800</v>
      </c>
      <c r="K3170" s="220">
        <v>0</v>
      </c>
      <c r="L3170" s="220">
        <v>20410</v>
      </c>
      <c r="M3170" s="220">
        <v>15950</v>
      </c>
      <c r="N3170" s="220">
        <f>SUM(I3170:M3171)</f>
        <v>1937160</v>
      </c>
      <c r="O3170" s="224"/>
      <c r="P3170" s="110" t="s">
        <v>10205</v>
      </c>
      <c r="Q3170" s="15" t="s">
        <v>19</v>
      </c>
      <c r="R3170" s="205"/>
      <c r="S3170" s="189"/>
      <c r="T3170" s="114"/>
      <c r="U3170" s="21"/>
      <c r="V3170" s="115">
        <v>45983</v>
      </c>
      <c r="W3170" s="116">
        <v>1277</v>
      </c>
      <c r="X3170" s="220">
        <v>2100000</v>
      </c>
      <c r="Y3170" s="220">
        <f>X3170*0.1</f>
        <v>210000</v>
      </c>
      <c r="Z3170" s="220">
        <v>20410</v>
      </c>
      <c r="AA3170" s="220">
        <f>SUM(X3170:Z3170)</f>
        <v>2330410</v>
      </c>
      <c r="AB3170" s="222">
        <v>45992</v>
      </c>
    </row>
    <row r="3171" spans="1:28" ht="17.100000000000001" customHeight="1" thickBot="1">
      <c r="A3171" s="227"/>
      <c r="B3171" s="27" t="s">
        <v>2344</v>
      </c>
      <c r="C3171" s="27">
        <v>32006</v>
      </c>
      <c r="D3171" s="14" t="s">
        <v>3274</v>
      </c>
      <c r="E3171" s="229"/>
      <c r="F3171" s="117" t="s">
        <v>9829</v>
      </c>
      <c r="G3171" s="26">
        <v>47465</v>
      </c>
      <c r="H3171" s="231"/>
      <c r="I3171" s="221"/>
      <c r="J3171" s="221"/>
      <c r="K3171" s="221"/>
      <c r="L3171" s="221"/>
      <c r="M3171" s="221"/>
      <c r="N3171" s="221"/>
      <c r="O3171" s="225"/>
      <c r="P3171" s="118" t="s">
        <v>10206</v>
      </c>
      <c r="Q3171" s="16" t="s">
        <v>20</v>
      </c>
      <c r="R3171" s="17" t="s">
        <v>2165</v>
      </c>
      <c r="S3171" s="121" t="s">
        <v>3552</v>
      </c>
      <c r="T3171" s="122"/>
      <c r="U3171" s="22"/>
      <c r="V3171" s="123" t="s">
        <v>11526</v>
      </c>
      <c r="W3171" s="122">
        <v>80150</v>
      </c>
      <c r="X3171" s="221"/>
      <c r="Y3171" s="221"/>
      <c r="Z3171" s="221"/>
      <c r="AA3171" s="221"/>
      <c r="AB3171" s="223"/>
    </row>
    <row r="3172" spans="1:28" ht="17.100000000000001" customHeight="1" thickTop="1">
      <c r="A3172" s="226" t="s">
        <v>9883</v>
      </c>
      <c r="B3172" s="28">
        <v>45965</v>
      </c>
      <c r="C3172" s="25">
        <v>964</v>
      </c>
      <c r="D3172" s="13" t="s">
        <v>2158</v>
      </c>
      <c r="E3172" s="228"/>
      <c r="F3172" s="109" t="s">
        <v>9468</v>
      </c>
      <c r="G3172" s="24"/>
      <c r="H3172" s="230">
        <v>3.5</v>
      </c>
      <c r="I3172" s="220">
        <v>289000</v>
      </c>
      <c r="J3172" s="220">
        <f>I3172*0.1</f>
        <v>28900</v>
      </c>
      <c r="K3172" s="220">
        <v>0</v>
      </c>
      <c r="L3172" s="220">
        <v>7500</v>
      </c>
      <c r="M3172" s="220">
        <v>22000</v>
      </c>
      <c r="N3172" s="220">
        <f>SUM(I3172:M3173)</f>
        <v>347400</v>
      </c>
      <c r="O3172" s="224"/>
      <c r="P3172" s="110" t="s">
        <v>10473</v>
      </c>
      <c r="Q3172" s="15" t="s">
        <v>19</v>
      </c>
      <c r="R3172" s="205"/>
      <c r="S3172" s="189" t="s">
        <v>25387</v>
      </c>
      <c r="T3172" s="114"/>
      <c r="U3172" s="21"/>
      <c r="V3172" s="115">
        <v>45979</v>
      </c>
      <c r="W3172" s="116">
        <v>1918</v>
      </c>
      <c r="X3172" s="220">
        <v>349000</v>
      </c>
      <c r="Y3172" s="220">
        <f>X3172*0.1</f>
        <v>34900</v>
      </c>
      <c r="Z3172" s="220">
        <v>7500</v>
      </c>
      <c r="AA3172" s="220">
        <f>SUM(X3172:Z3172)</f>
        <v>391400</v>
      </c>
      <c r="AB3172" s="222">
        <v>45986</v>
      </c>
    </row>
    <row r="3173" spans="1:28" ht="17.100000000000001" customHeight="1" thickBot="1">
      <c r="A3173" s="227"/>
      <c r="B3173" s="27" t="s">
        <v>2029</v>
      </c>
      <c r="C3173" s="27">
        <v>45</v>
      </c>
      <c r="D3173" s="14" t="s">
        <v>1584</v>
      </c>
      <c r="E3173" s="229"/>
      <c r="F3173" s="117" t="s">
        <v>9889</v>
      </c>
      <c r="G3173" s="26">
        <v>57021</v>
      </c>
      <c r="H3173" s="231"/>
      <c r="I3173" s="221"/>
      <c r="J3173" s="221"/>
      <c r="K3173" s="221"/>
      <c r="L3173" s="221"/>
      <c r="M3173" s="221"/>
      <c r="N3173" s="221"/>
      <c r="O3173" s="225"/>
      <c r="P3173" s="118" t="s">
        <v>2446</v>
      </c>
      <c r="Q3173" s="16" t="s">
        <v>20</v>
      </c>
      <c r="R3173" s="17" t="s">
        <v>10387</v>
      </c>
      <c r="S3173" s="121" t="s">
        <v>1661</v>
      </c>
      <c r="T3173" s="122"/>
      <c r="U3173" s="22"/>
      <c r="V3173" s="123" t="s">
        <v>2103</v>
      </c>
      <c r="W3173" s="122">
        <v>3055</v>
      </c>
      <c r="X3173" s="221"/>
      <c r="Y3173" s="221"/>
      <c r="Z3173" s="221"/>
      <c r="AA3173" s="221"/>
      <c r="AB3173" s="223"/>
    </row>
    <row r="3174" spans="1:28" ht="17.100000000000001" customHeight="1" thickTop="1">
      <c r="A3174" s="226" t="s">
        <v>9884</v>
      </c>
      <c r="B3174" s="28">
        <v>45965</v>
      </c>
      <c r="C3174" s="25">
        <v>964</v>
      </c>
      <c r="D3174" s="13" t="s">
        <v>2158</v>
      </c>
      <c r="E3174" s="228"/>
      <c r="F3174" s="109" t="s">
        <v>9904</v>
      </c>
      <c r="G3174" s="24"/>
      <c r="H3174" s="230">
        <v>3.5</v>
      </c>
      <c r="I3174" s="220">
        <v>248000</v>
      </c>
      <c r="J3174" s="220">
        <f>I3174*0.1</f>
        <v>24800</v>
      </c>
      <c r="K3174" s="220">
        <v>0</v>
      </c>
      <c r="L3174" s="220">
        <v>7140</v>
      </c>
      <c r="M3174" s="220">
        <v>22000</v>
      </c>
      <c r="N3174" s="220">
        <f>SUM(I3174:M3175)</f>
        <v>301940</v>
      </c>
      <c r="O3174" s="224"/>
      <c r="P3174" s="110" t="s">
        <v>10472</v>
      </c>
      <c r="Q3174" s="15" t="s">
        <v>19</v>
      </c>
      <c r="R3174" s="205"/>
      <c r="S3174" s="189" t="s">
        <v>25387</v>
      </c>
      <c r="T3174" s="114"/>
      <c r="U3174" s="21"/>
      <c r="V3174" s="115">
        <v>45979</v>
      </c>
      <c r="W3174" s="116">
        <v>1918</v>
      </c>
      <c r="X3174" s="220">
        <v>300000</v>
      </c>
      <c r="Y3174" s="220">
        <f>X3174*0.1</f>
        <v>30000</v>
      </c>
      <c r="Z3174" s="220">
        <v>7140</v>
      </c>
      <c r="AA3174" s="220">
        <f>SUM(X3174:Z3174)</f>
        <v>337140</v>
      </c>
      <c r="AB3174" s="222">
        <v>45986</v>
      </c>
    </row>
    <row r="3175" spans="1:28" ht="17.100000000000001" customHeight="1" thickBot="1">
      <c r="A3175" s="227"/>
      <c r="B3175" s="27" t="s">
        <v>2029</v>
      </c>
      <c r="C3175" s="27">
        <v>88</v>
      </c>
      <c r="D3175" s="14" t="s">
        <v>1584</v>
      </c>
      <c r="E3175" s="229"/>
      <c r="F3175" s="117" t="s">
        <v>9890</v>
      </c>
      <c r="G3175" s="26">
        <v>58827</v>
      </c>
      <c r="H3175" s="231"/>
      <c r="I3175" s="221"/>
      <c r="J3175" s="221"/>
      <c r="K3175" s="221"/>
      <c r="L3175" s="221"/>
      <c r="M3175" s="221"/>
      <c r="N3175" s="221"/>
      <c r="O3175" s="225"/>
      <c r="P3175" s="118" t="s">
        <v>2446</v>
      </c>
      <c r="Q3175" s="16" t="s">
        <v>20</v>
      </c>
      <c r="R3175" s="17" t="s">
        <v>10387</v>
      </c>
      <c r="S3175" s="121" t="s">
        <v>10124</v>
      </c>
      <c r="T3175" s="122"/>
      <c r="U3175" s="22"/>
      <c r="V3175" s="123" t="s">
        <v>2103</v>
      </c>
      <c r="W3175" s="122">
        <v>3143</v>
      </c>
      <c r="X3175" s="221"/>
      <c r="Y3175" s="221"/>
      <c r="Z3175" s="221"/>
      <c r="AA3175" s="221"/>
      <c r="AB3175" s="223"/>
    </row>
    <row r="3176" spans="1:28" ht="17.100000000000001" customHeight="1" thickTop="1">
      <c r="A3176" s="226" t="s">
        <v>9885</v>
      </c>
      <c r="B3176" s="28">
        <v>45965</v>
      </c>
      <c r="C3176" s="25">
        <v>964</v>
      </c>
      <c r="D3176" s="13" t="s">
        <v>2470</v>
      </c>
      <c r="E3176" s="228"/>
      <c r="F3176" s="109" t="s">
        <v>3958</v>
      </c>
      <c r="G3176" s="24"/>
      <c r="H3176" s="230">
        <v>4.5</v>
      </c>
      <c r="I3176" s="220">
        <v>1218000</v>
      </c>
      <c r="J3176" s="220">
        <f>I3176*0.1</f>
        <v>121800</v>
      </c>
      <c r="K3176" s="220">
        <v>0</v>
      </c>
      <c r="L3176" s="220">
        <v>8350</v>
      </c>
      <c r="M3176" s="220">
        <v>22000</v>
      </c>
      <c r="N3176" s="220">
        <f>SUM(I3176:M3177)</f>
        <v>1370150</v>
      </c>
      <c r="O3176" s="224"/>
      <c r="P3176" s="110" t="s">
        <v>10471</v>
      </c>
      <c r="Q3176" s="15" t="s">
        <v>19</v>
      </c>
      <c r="R3176" s="205"/>
      <c r="S3176" s="189" t="s">
        <v>758</v>
      </c>
      <c r="T3176" s="114"/>
      <c r="U3176" s="21"/>
      <c r="V3176" s="115">
        <v>45986</v>
      </c>
      <c r="W3176" s="116">
        <v>1919</v>
      </c>
      <c r="X3176" s="220">
        <v>1240000</v>
      </c>
      <c r="Y3176" s="220">
        <f>X3176*0.1</f>
        <v>124000</v>
      </c>
      <c r="Z3176" s="220">
        <v>8350</v>
      </c>
      <c r="AA3176" s="220">
        <f>SUM(X3176:Z3176)</f>
        <v>1372350</v>
      </c>
      <c r="AB3176" s="222"/>
    </row>
    <row r="3177" spans="1:28" ht="17.100000000000001" customHeight="1" thickBot="1">
      <c r="A3177" s="227"/>
      <c r="B3177" s="27" t="s">
        <v>2029</v>
      </c>
      <c r="C3177" s="27">
        <v>122</v>
      </c>
      <c r="D3177" s="14" t="s">
        <v>2177</v>
      </c>
      <c r="E3177" s="229"/>
      <c r="F3177" s="117" t="s">
        <v>9891</v>
      </c>
      <c r="G3177" s="26">
        <v>1468</v>
      </c>
      <c r="H3177" s="231"/>
      <c r="I3177" s="221"/>
      <c r="J3177" s="221"/>
      <c r="K3177" s="221"/>
      <c r="L3177" s="221"/>
      <c r="M3177" s="221"/>
      <c r="N3177" s="221"/>
      <c r="O3177" s="225"/>
      <c r="P3177" s="118" t="s">
        <v>2446</v>
      </c>
      <c r="Q3177" s="16" t="s">
        <v>20</v>
      </c>
      <c r="R3177" s="17" t="s">
        <v>10387</v>
      </c>
      <c r="S3177" s="121" t="s">
        <v>8880</v>
      </c>
      <c r="T3177" s="122"/>
      <c r="U3177" s="22"/>
      <c r="V3177" s="123" t="s">
        <v>11417</v>
      </c>
      <c r="W3177" s="122">
        <v>3135</v>
      </c>
      <c r="X3177" s="221"/>
      <c r="Y3177" s="221"/>
      <c r="Z3177" s="221"/>
      <c r="AA3177" s="221"/>
      <c r="AB3177" s="223"/>
    </row>
    <row r="3178" spans="1:28" ht="17.100000000000001" customHeight="1" thickTop="1">
      <c r="A3178" s="226" t="s">
        <v>9886</v>
      </c>
      <c r="B3178" s="28">
        <v>45965</v>
      </c>
      <c r="C3178" s="25">
        <v>782</v>
      </c>
      <c r="D3178" s="13" t="s">
        <v>1598</v>
      </c>
      <c r="E3178" s="228"/>
      <c r="F3178" s="109" t="s">
        <v>3783</v>
      </c>
      <c r="G3178" s="24"/>
      <c r="H3178" s="230">
        <v>4.5</v>
      </c>
      <c r="I3178" s="220">
        <v>528000</v>
      </c>
      <c r="J3178" s="220">
        <f>I3178*0.1</f>
        <v>52800</v>
      </c>
      <c r="K3178" s="220">
        <v>0</v>
      </c>
      <c r="L3178" s="220">
        <v>9790</v>
      </c>
      <c r="M3178" s="220">
        <v>22000</v>
      </c>
      <c r="N3178" s="220">
        <f>SUM(I3178:M3179)</f>
        <v>612590</v>
      </c>
      <c r="O3178" s="224"/>
      <c r="P3178" s="110" t="s">
        <v>10470</v>
      </c>
      <c r="Q3178" s="15" t="s">
        <v>19</v>
      </c>
      <c r="R3178" s="205"/>
      <c r="S3178" s="189" t="s">
        <v>758</v>
      </c>
      <c r="T3178" s="114"/>
      <c r="U3178" s="21"/>
      <c r="V3178" s="115">
        <v>45979</v>
      </c>
      <c r="W3178" s="116">
        <v>1918</v>
      </c>
      <c r="X3178" s="220">
        <v>577000</v>
      </c>
      <c r="Y3178" s="220">
        <f>X3178*0.1</f>
        <v>57700</v>
      </c>
      <c r="Z3178" s="220">
        <v>9790</v>
      </c>
      <c r="AA3178" s="220">
        <f>SUM(X3178:Z3178)</f>
        <v>644490</v>
      </c>
      <c r="AB3178" s="222">
        <v>45986</v>
      </c>
    </row>
    <row r="3179" spans="1:28" ht="17.100000000000001" customHeight="1" thickBot="1">
      <c r="A3179" s="227"/>
      <c r="B3179" s="27" t="s">
        <v>4416</v>
      </c>
      <c r="C3179" s="27">
        <v>37</v>
      </c>
      <c r="D3179" s="14" t="s">
        <v>273</v>
      </c>
      <c r="E3179" s="229"/>
      <c r="F3179" s="117" t="s">
        <v>9892</v>
      </c>
      <c r="G3179" s="26">
        <v>59724</v>
      </c>
      <c r="H3179" s="231"/>
      <c r="I3179" s="221"/>
      <c r="J3179" s="221"/>
      <c r="K3179" s="221"/>
      <c r="L3179" s="221"/>
      <c r="M3179" s="221"/>
      <c r="N3179" s="221"/>
      <c r="O3179" s="225"/>
      <c r="P3179" s="118" t="s">
        <v>2446</v>
      </c>
      <c r="Q3179" s="16" t="s">
        <v>20</v>
      </c>
      <c r="R3179" s="17" t="s">
        <v>10387</v>
      </c>
      <c r="S3179" s="121" t="s">
        <v>1661</v>
      </c>
      <c r="T3179" s="122"/>
      <c r="U3179" s="22"/>
      <c r="V3179" s="123" t="s">
        <v>2103</v>
      </c>
      <c r="W3179" s="122">
        <v>3057</v>
      </c>
      <c r="X3179" s="221"/>
      <c r="Y3179" s="221"/>
      <c r="Z3179" s="221"/>
      <c r="AA3179" s="221"/>
      <c r="AB3179" s="223"/>
    </row>
    <row r="3180" spans="1:28" ht="17.100000000000001" customHeight="1" thickTop="1">
      <c r="A3180" s="226" t="s">
        <v>9887</v>
      </c>
      <c r="B3180" s="28">
        <v>45965</v>
      </c>
      <c r="C3180" s="25">
        <v>782</v>
      </c>
      <c r="D3180" s="13" t="s">
        <v>1733</v>
      </c>
      <c r="E3180" s="228"/>
      <c r="F3180" s="109" t="s">
        <v>4072</v>
      </c>
      <c r="G3180" s="24"/>
      <c r="H3180" s="230">
        <v>4</v>
      </c>
      <c r="I3180" s="220">
        <v>698000</v>
      </c>
      <c r="J3180" s="220">
        <f>I3180*0.1</f>
        <v>69800</v>
      </c>
      <c r="K3180" s="220">
        <v>0</v>
      </c>
      <c r="L3180" s="220">
        <v>8110</v>
      </c>
      <c r="M3180" s="220">
        <v>22000</v>
      </c>
      <c r="N3180" s="220">
        <f>SUM(I3180:M3181)</f>
        <v>797910</v>
      </c>
      <c r="O3180" s="224"/>
      <c r="P3180" s="110" t="s">
        <v>10469</v>
      </c>
      <c r="Q3180" s="15" t="s">
        <v>19</v>
      </c>
      <c r="R3180" s="205"/>
      <c r="S3180" s="189" t="s">
        <v>758</v>
      </c>
      <c r="T3180" s="114"/>
      <c r="U3180" s="21"/>
      <c r="V3180" s="115">
        <v>45979</v>
      </c>
      <c r="W3180" s="116">
        <v>1918</v>
      </c>
      <c r="X3180" s="220">
        <v>761000</v>
      </c>
      <c r="Y3180" s="220">
        <f>X3180*0.1</f>
        <v>76100</v>
      </c>
      <c r="Z3180" s="220">
        <v>8110</v>
      </c>
      <c r="AA3180" s="220">
        <f>SUM(X3180:Z3180)</f>
        <v>845210</v>
      </c>
      <c r="AB3180" s="222">
        <v>45986</v>
      </c>
    </row>
    <row r="3181" spans="1:28" ht="17.100000000000001" customHeight="1" thickBot="1">
      <c r="A3181" s="227"/>
      <c r="B3181" s="27" t="s">
        <v>4416</v>
      </c>
      <c r="C3181" s="27">
        <v>90</v>
      </c>
      <c r="D3181" s="14" t="s">
        <v>273</v>
      </c>
      <c r="E3181" s="229"/>
      <c r="F3181" s="117" t="s">
        <v>9893</v>
      </c>
      <c r="G3181" s="26">
        <v>59017</v>
      </c>
      <c r="H3181" s="231"/>
      <c r="I3181" s="221"/>
      <c r="J3181" s="221"/>
      <c r="K3181" s="221"/>
      <c r="L3181" s="221"/>
      <c r="M3181" s="221"/>
      <c r="N3181" s="221"/>
      <c r="O3181" s="225"/>
      <c r="P3181" s="118" t="s">
        <v>2446</v>
      </c>
      <c r="Q3181" s="16" t="s">
        <v>20</v>
      </c>
      <c r="R3181" s="17" t="s">
        <v>10387</v>
      </c>
      <c r="S3181" s="121" t="s">
        <v>8880</v>
      </c>
      <c r="T3181" s="122"/>
      <c r="U3181" s="22"/>
      <c r="V3181" s="123" t="s">
        <v>2103</v>
      </c>
      <c r="W3181" s="122">
        <v>3053</v>
      </c>
      <c r="X3181" s="221"/>
      <c r="Y3181" s="221"/>
      <c r="Z3181" s="221"/>
      <c r="AA3181" s="221"/>
      <c r="AB3181" s="223"/>
    </row>
    <row r="3182" spans="1:28" ht="17.100000000000001" customHeight="1" thickTop="1">
      <c r="A3182" s="226" t="s">
        <v>9888</v>
      </c>
      <c r="B3182" s="28">
        <v>45965</v>
      </c>
      <c r="C3182" s="25">
        <v>782</v>
      </c>
      <c r="D3182" s="13" t="s">
        <v>2158</v>
      </c>
      <c r="E3182" s="228"/>
      <c r="F3182" s="109" t="s">
        <v>9905</v>
      </c>
      <c r="G3182" s="24"/>
      <c r="H3182" s="230">
        <v>4.5</v>
      </c>
      <c r="I3182" s="220">
        <v>638000</v>
      </c>
      <c r="J3182" s="220">
        <f>I3182*0.1</f>
        <v>63800</v>
      </c>
      <c r="K3182" s="220">
        <v>0</v>
      </c>
      <c r="L3182" s="220">
        <v>8430</v>
      </c>
      <c r="M3182" s="220">
        <v>22000</v>
      </c>
      <c r="N3182" s="220">
        <f>SUM(I3182:M3183)</f>
        <v>732230</v>
      </c>
      <c r="O3182" s="224"/>
      <c r="P3182" s="110" t="s">
        <v>10468</v>
      </c>
      <c r="Q3182" s="15" t="s">
        <v>19</v>
      </c>
      <c r="R3182" s="205"/>
      <c r="S3182" s="189" t="s">
        <v>758</v>
      </c>
      <c r="T3182" s="114"/>
      <c r="U3182" s="21"/>
      <c r="V3182" s="115">
        <v>45972</v>
      </c>
      <c r="W3182" s="116">
        <v>1917</v>
      </c>
      <c r="X3182" s="220">
        <v>685000</v>
      </c>
      <c r="Y3182" s="220">
        <f>X3182*0.1</f>
        <v>68500</v>
      </c>
      <c r="Z3182" s="220">
        <v>8430</v>
      </c>
      <c r="AA3182" s="220">
        <f>SUM(X3182:Z3182)</f>
        <v>761930</v>
      </c>
      <c r="AB3182" s="222">
        <v>45979</v>
      </c>
    </row>
    <row r="3183" spans="1:28" ht="17.100000000000001" customHeight="1" thickBot="1">
      <c r="A3183" s="227"/>
      <c r="B3183" s="27" t="s">
        <v>4416</v>
      </c>
      <c r="C3183" s="27">
        <v>103</v>
      </c>
      <c r="D3183" s="14" t="s">
        <v>1710</v>
      </c>
      <c r="E3183" s="229"/>
      <c r="F3183" s="117" t="s">
        <v>9894</v>
      </c>
      <c r="G3183" s="26">
        <v>33194</v>
      </c>
      <c r="H3183" s="231"/>
      <c r="I3183" s="221"/>
      <c r="J3183" s="221"/>
      <c r="K3183" s="221"/>
      <c r="L3183" s="221"/>
      <c r="M3183" s="221"/>
      <c r="N3183" s="221"/>
      <c r="O3183" s="225"/>
      <c r="P3183" s="118" t="s">
        <v>2446</v>
      </c>
      <c r="Q3183" s="16" t="s">
        <v>20</v>
      </c>
      <c r="R3183" s="17" t="s">
        <v>10387</v>
      </c>
      <c r="S3183" s="121" t="s">
        <v>10124</v>
      </c>
      <c r="T3183" s="122"/>
      <c r="U3183" s="22"/>
      <c r="V3183" s="123" t="s">
        <v>7507</v>
      </c>
      <c r="W3183" s="122">
        <v>3275</v>
      </c>
      <c r="X3183" s="221"/>
      <c r="Y3183" s="221"/>
      <c r="Z3183" s="221"/>
      <c r="AA3183" s="221"/>
      <c r="AB3183" s="223"/>
    </row>
    <row r="3184" spans="1:28" ht="17.100000000000001" customHeight="1" thickTop="1">
      <c r="A3184" s="226" t="s">
        <v>9899</v>
      </c>
      <c r="B3184" s="28">
        <v>45965</v>
      </c>
      <c r="C3184" s="25"/>
      <c r="D3184" s="13" t="s">
        <v>1961</v>
      </c>
      <c r="E3184" s="228"/>
      <c r="F3184" s="109" t="s">
        <v>9896</v>
      </c>
      <c r="G3184" s="24" t="s">
        <v>9898</v>
      </c>
      <c r="H3184" s="230">
        <v>4.5</v>
      </c>
      <c r="I3184" s="220">
        <f>3756500/1.1</f>
        <v>3414999.9999999995</v>
      </c>
      <c r="J3184" s="220">
        <f>I3184*0.1</f>
        <v>341500</v>
      </c>
      <c r="K3184" s="220">
        <v>2600</v>
      </c>
      <c r="L3184" s="220">
        <v>11040</v>
      </c>
      <c r="M3184" s="220">
        <v>0</v>
      </c>
      <c r="N3184" s="220">
        <f>SUM(I3184:M3185)</f>
        <v>3770139.9999999995</v>
      </c>
      <c r="O3184" s="224"/>
      <c r="P3184" s="110" t="s">
        <v>11074</v>
      </c>
      <c r="Q3184" s="15" t="s">
        <v>19</v>
      </c>
      <c r="R3184" s="205"/>
      <c r="S3184" s="189" t="s">
        <v>1276</v>
      </c>
      <c r="T3184" s="114"/>
      <c r="U3184" s="21"/>
      <c r="V3184" s="115">
        <v>45976</v>
      </c>
      <c r="W3184" s="116">
        <v>1276</v>
      </c>
      <c r="X3184" s="220">
        <v>3420000</v>
      </c>
      <c r="Y3184" s="220">
        <f>X3184*0.1</f>
        <v>342000</v>
      </c>
      <c r="Z3184" s="220">
        <v>11040</v>
      </c>
      <c r="AA3184" s="220">
        <f>SUM(X3184:Z3184)</f>
        <v>3773040</v>
      </c>
      <c r="AB3184" s="222">
        <v>45982</v>
      </c>
    </row>
    <row r="3185" spans="1:28" ht="17.100000000000001" customHeight="1" thickBot="1">
      <c r="A3185" s="227"/>
      <c r="B3185" s="27" t="s">
        <v>1708</v>
      </c>
      <c r="C3185" s="27" t="s">
        <v>9895</v>
      </c>
      <c r="D3185" s="14" t="s">
        <v>273</v>
      </c>
      <c r="E3185" s="229"/>
      <c r="F3185" s="117" t="s">
        <v>9897</v>
      </c>
      <c r="G3185" s="26">
        <v>34200</v>
      </c>
      <c r="H3185" s="231"/>
      <c r="I3185" s="221"/>
      <c r="J3185" s="221"/>
      <c r="K3185" s="221"/>
      <c r="L3185" s="221"/>
      <c r="M3185" s="221"/>
      <c r="N3185" s="221"/>
      <c r="O3185" s="225"/>
      <c r="P3185" s="118" t="s">
        <v>1647</v>
      </c>
      <c r="Q3185" s="16" t="s">
        <v>20</v>
      </c>
      <c r="R3185" s="17" t="s">
        <v>3913</v>
      </c>
      <c r="S3185" s="121" t="s">
        <v>11075</v>
      </c>
      <c r="T3185" s="122"/>
      <c r="U3185" s="22"/>
      <c r="V3185" s="123" t="s">
        <v>10781</v>
      </c>
      <c r="W3185" s="122">
        <v>38013</v>
      </c>
      <c r="X3185" s="221"/>
      <c r="Y3185" s="221"/>
      <c r="Z3185" s="221"/>
      <c r="AA3185" s="221"/>
      <c r="AB3185" s="223"/>
    </row>
    <row r="3186" spans="1:28" ht="17.100000000000001" customHeight="1" thickTop="1">
      <c r="A3186" s="226" t="s">
        <v>9900</v>
      </c>
      <c r="B3186" s="28">
        <v>45965</v>
      </c>
      <c r="C3186" s="25">
        <v>360</v>
      </c>
      <c r="D3186" s="13" t="s">
        <v>1578</v>
      </c>
      <c r="E3186" s="228"/>
      <c r="F3186" s="109" t="s">
        <v>9917</v>
      </c>
      <c r="G3186" s="24"/>
      <c r="H3186" s="230">
        <v>3.5</v>
      </c>
      <c r="I3186" s="220">
        <v>558000</v>
      </c>
      <c r="J3186" s="220">
        <f>I3186*0.1</f>
        <v>55800</v>
      </c>
      <c r="K3186" s="220">
        <v>0</v>
      </c>
      <c r="L3186" s="220">
        <v>7860</v>
      </c>
      <c r="M3186" s="220">
        <v>22000</v>
      </c>
      <c r="N3186" s="220">
        <f>SUM(I3186:M3187)</f>
        <v>643660</v>
      </c>
      <c r="O3186" s="224"/>
      <c r="P3186" s="110" t="s">
        <v>10132</v>
      </c>
      <c r="Q3186" s="15" t="s">
        <v>19</v>
      </c>
      <c r="R3186" s="205"/>
      <c r="S3186" s="189" t="s">
        <v>758</v>
      </c>
      <c r="T3186" s="114"/>
      <c r="U3186" s="21"/>
      <c r="V3186" s="115">
        <v>46046</v>
      </c>
      <c r="W3186" s="116">
        <v>1285</v>
      </c>
      <c r="X3186" s="220">
        <v>620000</v>
      </c>
      <c r="Y3186" s="220">
        <f>X3186*0.1</f>
        <v>62000</v>
      </c>
      <c r="Z3186" s="220">
        <v>7860</v>
      </c>
      <c r="AA3186" s="220">
        <f>SUM(X3186:Z3186)</f>
        <v>689860</v>
      </c>
      <c r="AB3186" s="222">
        <v>46049</v>
      </c>
    </row>
    <row r="3187" spans="1:28" ht="17.100000000000001" customHeight="1" thickBot="1">
      <c r="A3187" s="227"/>
      <c r="B3187" s="27" t="s">
        <v>8817</v>
      </c>
      <c r="C3187" s="27">
        <v>1169</v>
      </c>
      <c r="D3187" s="14" t="s">
        <v>1584</v>
      </c>
      <c r="E3187" s="229"/>
      <c r="F3187" s="117" t="s">
        <v>9910</v>
      </c>
      <c r="G3187" s="26">
        <v>56495</v>
      </c>
      <c r="H3187" s="231"/>
      <c r="I3187" s="221"/>
      <c r="J3187" s="221"/>
      <c r="K3187" s="221"/>
      <c r="L3187" s="221"/>
      <c r="M3187" s="221"/>
      <c r="N3187" s="221"/>
      <c r="O3187" s="225"/>
      <c r="P3187" s="118" t="s">
        <v>10130</v>
      </c>
      <c r="Q3187" s="16" t="s">
        <v>20</v>
      </c>
      <c r="R3187" s="17" t="s">
        <v>3325</v>
      </c>
      <c r="S3187" s="121" t="s">
        <v>10121</v>
      </c>
      <c r="T3187" s="122"/>
      <c r="U3187" s="22"/>
      <c r="V3187" s="123" t="s">
        <v>2472</v>
      </c>
      <c r="W3187" s="122">
        <v>60345</v>
      </c>
      <c r="X3187" s="221"/>
      <c r="Y3187" s="221"/>
      <c r="Z3187" s="221"/>
      <c r="AA3187" s="221"/>
      <c r="AB3187" s="223"/>
    </row>
    <row r="3188" spans="1:28" ht="17.100000000000001" customHeight="1" thickTop="1">
      <c r="A3188" s="226" t="s">
        <v>9901</v>
      </c>
      <c r="B3188" s="28">
        <v>45965</v>
      </c>
      <c r="C3188" s="25">
        <v>360</v>
      </c>
      <c r="D3188" s="13" t="s">
        <v>2964</v>
      </c>
      <c r="E3188" s="228"/>
      <c r="F3188" s="109" t="s">
        <v>9917</v>
      </c>
      <c r="G3188" s="24"/>
      <c r="H3188" s="230">
        <v>3.5</v>
      </c>
      <c r="I3188" s="220">
        <v>748000</v>
      </c>
      <c r="J3188" s="220">
        <f>I3188*0.1</f>
        <v>74800</v>
      </c>
      <c r="K3188" s="220">
        <v>0</v>
      </c>
      <c r="L3188" s="220">
        <v>7860</v>
      </c>
      <c r="M3188" s="220">
        <v>22000</v>
      </c>
      <c r="N3188" s="220">
        <f>SUM(I3188:M3189)</f>
        <v>852660</v>
      </c>
      <c r="O3188" s="224"/>
      <c r="P3188" s="110" t="s">
        <v>10131</v>
      </c>
      <c r="Q3188" s="15" t="s">
        <v>19</v>
      </c>
      <c r="R3188" s="205"/>
      <c r="S3188" s="189" t="s">
        <v>25579</v>
      </c>
      <c r="T3188" s="114"/>
      <c r="U3188" s="21"/>
      <c r="V3188" s="115">
        <v>45993</v>
      </c>
      <c r="W3188" s="116">
        <v>1920</v>
      </c>
      <c r="X3188" s="220">
        <v>822000</v>
      </c>
      <c r="Y3188" s="220">
        <f>X3188*0.1</f>
        <v>82200</v>
      </c>
      <c r="Z3188" s="220">
        <v>7860</v>
      </c>
      <c r="AA3188" s="220">
        <f>SUM(X3188:Z3188)</f>
        <v>912060</v>
      </c>
      <c r="AB3188" s="222"/>
    </row>
    <row r="3189" spans="1:28" ht="17.100000000000001" customHeight="1" thickBot="1">
      <c r="A3189" s="227"/>
      <c r="B3189" s="27" t="s">
        <v>8817</v>
      </c>
      <c r="C3189" s="27">
        <v>1172</v>
      </c>
      <c r="D3189" s="14" t="s">
        <v>1710</v>
      </c>
      <c r="E3189" s="229"/>
      <c r="F3189" s="117" t="s">
        <v>9911</v>
      </c>
      <c r="G3189" s="26">
        <v>32839</v>
      </c>
      <c r="H3189" s="231"/>
      <c r="I3189" s="221"/>
      <c r="J3189" s="221"/>
      <c r="K3189" s="221"/>
      <c r="L3189" s="221"/>
      <c r="M3189" s="221"/>
      <c r="N3189" s="221"/>
      <c r="O3189" s="225"/>
      <c r="P3189" s="118" t="s">
        <v>10130</v>
      </c>
      <c r="Q3189" s="16" t="s">
        <v>20</v>
      </c>
      <c r="R3189" s="17" t="s">
        <v>3325</v>
      </c>
      <c r="S3189" s="121" t="s">
        <v>10120</v>
      </c>
      <c r="T3189" s="122"/>
      <c r="U3189" s="22"/>
      <c r="V3189" s="123" t="s">
        <v>2103</v>
      </c>
      <c r="W3189" s="122">
        <v>3127</v>
      </c>
      <c r="X3189" s="221"/>
      <c r="Y3189" s="221"/>
      <c r="Z3189" s="221"/>
      <c r="AA3189" s="221"/>
      <c r="AB3189" s="223"/>
    </row>
    <row r="3190" spans="1:28" ht="17.100000000000001" customHeight="1" thickTop="1">
      <c r="A3190" s="226" t="s">
        <v>9902</v>
      </c>
      <c r="B3190" s="28">
        <v>45965</v>
      </c>
      <c r="C3190" s="25">
        <v>360</v>
      </c>
      <c r="D3190" s="13" t="s">
        <v>2712</v>
      </c>
      <c r="E3190" s="228"/>
      <c r="F3190" s="109" t="s">
        <v>6719</v>
      </c>
      <c r="G3190" s="24"/>
      <c r="H3190" s="230">
        <v>4</v>
      </c>
      <c r="I3190" s="220">
        <v>909000</v>
      </c>
      <c r="J3190" s="220">
        <f>I3190*0.1</f>
        <v>90900</v>
      </c>
      <c r="K3190" s="220">
        <v>0</v>
      </c>
      <c r="L3190" s="220">
        <v>7860</v>
      </c>
      <c r="M3190" s="220">
        <v>22000</v>
      </c>
      <c r="N3190" s="220">
        <f>SUM(I3190:M3191)</f>
        <v>1029760</v>
      </c>
      <c r="O3190" s="224"/>
      <c r="P3190" s="110" t="s">
        <v>10129</v>
      </c>
      <c r="Q3190" s="15" t="s">
        <v>19</v>
      </c>
      <c r="R3190" s="205"/>
      <c r="S3190" s="189" t="s">
        <v>25579</v>
      </c>
      <c r="T3190" s="114"/>
      <c r="U3190" s="21"/>
      <c r="V3190" s="115">
        <v>45997</v>
      </c>
      <c r="W3190" s="116">
        <v>1279</v>
      </c>
      <c r="X3190" s="220">
        <v>935000</v>
      </c>
      <c r="Y3190" s="220">
        <f>X3190*0.1</f>
        <v>93500</v>
      </c>
      <c r="Z3190" s="220">
        <v>7860</v>
      </c>
      <c r="AA3190" s="220">
        <f>SUM(X3190:Z3190)</f>
        <v>1036360</v>
      </c>
      <c r="AB3190" s="222">
        <v>46000</v>
      </c>
    </row>
    <row r="3191" spans="1:28" ht="17.100000000000001" customHeight="1" thickBot="1">
      <c r="A3191" s="227"/>
      <c r="B3191" s="27" t="s">
        <v>8817</v>
      </c>
      <c r="C3191" s="27">
        <v>1174</v>
      </c>
      <c r="D3191" s="14" t="s">
        <v>273</v>
      </c>
      <c r="E3191" s="229"/>
      <c r="F3191" s="117" t="s">
        <v>9912</v>
      </c>
      <c r="G3191" s="26">
        <v>22996</v>
      </c>
      <c r="H3191" s="231"/>
      <c r="I3191" s="221"/>
      <c r="J3191" s="221"/>
      <c r="K3191" s="221"/>
      <c r="L3191" s="221"/>
      <c r="M3191" s="221"/>
      <c r="N3191" s="221"/>
      <c r="O3191" s="225"/>
      <c r="P3191" s="118" t="s">
        <v>10130</v>
      </c>
      <c r="Q3191" s="16" t="s">
        <v>20</v>
      </c>
      <c r="R3191" s="17" t="s">
        <v>3325</v>
      </c>
      <c r="S3191" s="121" t="s">
        <v>10120</v>
      </c>
      <c r="T3191" s="122"/>
      <c r="U3191" s="22"/>
      <c r="V3191" s="123" t="s">
        <v>2472</v>
      </c>
      <c r="W3191" s="122">
        <v>60033</v>
      </c>
      <c r="X3191" s="221"/>
      <c r="Y3191" s="221"/>
      <c r="Z3191" s="221"/>
      <c r="AA3191" s="221"/>
      <c r="AB3191" s="223"/>
    </row>
    <row r="3192" spans="1:28" ht="17.100000000000001" customHeight="1" thickTop="1">
      <c r="A3192" s="226" t="s">
        <v>9903</v>
      </c>
      <c r="B3192" s="28">
        <v>45965</v>
      </c>
      <c r="C3192" s="25">
        <v>360</v>
      </c>
      <c r="D3192" s="13" t="s">
        <v>2158</v>
      </c>
      <c r="E3192" s="228"/>
      <c r="F3192" s="109" t="s">
        <v>6719</v>
      </c>
      <c r="G3192" s="24"/>
      <c r="H3192" s="230">
        <v>4</v>
      </c>
      <c r="I3192" s="220">
        <v>718000</v>
      </c>
      <c r="J3192" s="220">
        <f>I3192*0.1</f>
        <v>71800</v>
      </c>
      <c r="K3192" s="220">
        <v>0</v>
      </c>
      <c r="L3192" s="220">
        <v>7860</v>
      </c>
      <c r="M3192" s="220">
        <v>22000</v>
      </c>
      <c r="N3192" s="220">
        <f>SUM(I3192:M3193)</f>
        <v>819660</v>
      </c>
      <c r="O3192" s="224"/>
      <c r="P3192" s="110" t="s">
        <v>10128</v>
      </c>
      <c r="Q3192" s="15" t="s">
        <v>19</v>
      </c>
      <c r="R3192" s="205"/>
      <c r="S3192" s="189" t="s">
        <v>758</v>
      </c>
      <c r="T3192" s="114"/>
      <c r="U3192" s="21"/>
      <c r="V3192" s="115">
        <v>45986</v>
      </c>
      <c r="W3192" s="116">
        <v>1919</v>
      </c>
      <c r="X3192" s="220">
        <v>752000</v>
      </c>
      <c r="Y3192" s="220">
        <f>X3192*0.1</f>
        <v>75200</v>
      </c>
      <c r="Z3192" s="220">
        <v>7860</v>
      </c>
      <c r="AA3192" s="220">
        <f>SUM(X3192:Z3192)</f>
        <v>835060</v>
      </c>
      <c r="AB3192" s="222"/>
    </row>
    <row r="3193" spans="1:28" ht="17.100000000000001" customHeight="1" thickBot="1">
      <c r="A3193" s="227"/>
      <c r="B3193" s="27" t="s">
        <v>8817</v>
      </c>
      <c r="C3193" s="27">
        <v>1175</v>
      </c>
      <c r="D3193" s="14" t="s">
        <v>1584</v>
      </c>
      <c r="E3193" s="229"/>
      <c r="F3193" s="117" t="s">
        <v>9913</v>
      </c>
      <c r="G3193" s="26">
        <v>59107</v>
      </c>
      <c r="H3193" s="231"/>
      <c r="I3193" s="221"/>
      <c r="J3193" s="221"/>
      <c r="K3193" s="221"/>
      <c r="L3193" s="221"/>
      <c r="M3193" s="221"/>
      <c r="N3193" s="221"/>
      <c r="O3193" s="225"/>
      <c r="P3193" s="118" t="s">
        <v>9169</v>
      </c>
      <c r="Q3193" s="16" t="s">
        <v>20</v>
      </c>
      <c r="R3193" s="17" t="s">
        <v>3325</v>
      </c>
      <c r="S3193" s="121" t="s">
        <v>3566</v>
      </c>
      <c r="T3193" s="122"/>
      <c r="U3193" s="22"/>
      <c r="V3193" s="123" t="s">
        <v>11417</v>
      </c>
      <c r="W3193" s="122">
        <v>3141</v>
      </c>
      <c r="X3193" s="221"/>
      <c r="Y3193" s="221"/>
      <c r="Z3193" s="221"/>
      <c r="AA3193" s="221"/>
      <c r="AB3193" s="223"/>
    </row>
    <row r="3194" spans="1:28" ht="17.100000000000001" customHeight="1" thickTop="1">
      <c r="A3194" s="226" t="s">
        <v>9906</v>
      </c>
      <c r="B3194" s="28">
        <v>45965</v>
      </c>
      <c r="C3194" s="25">
        <v>360</v>
      </c>
      <c r="D3194" s="13" t="s">
        <v>3739</v>
      </c>
      <c r="E3194" s="228"/>
      <c r="F3194" s="109" t="s">
        <v>6719</v>
      </c>
      <c r="G3194" s="24"/>
      <c r="H3194" s="230">
        <v>4.5</v>
      </c>
      <c r="I3194" s="220">
        <v>918000</v>
      </c>
      <c r="J3194" s="220">
        <f>I3194*0.1</f>
        <v>91800</v>
      </c>
      <c r="K3194" s="220">
        <v>0</v>
      </c>
      <c r="L3194" s="220">
        <v>7860</v>
      </c>
      <c r="M3194" s="220">
        <v>22000</v>
      </c>
      <c r="N3194" s="220">
        <f>SUM(I3194:M3195)</f>
        <v>1039660</v>
      </c>
      <c r="O3194" s="224"/>
      <c r="P3194" s="110" t="s">
        <v>10127</v>
      </c>
      <c r="Q3194" s="15" t="s">
        <v>19</v>
      </c>
      <c r="R3194" s="205"/>
      <c r="S3194" s="189" t="s">
        <v>25579</v>
      </c>
      <c r="T3194" s="114"/>
      <c r="U3194" s="21"/>
      <c r="V3194" s="115">
        <v>45972</v>
      </c>
      <c r="W3194" s="116">
        <v>1917</v>
      </c>
      <c r="X3194" s="220">
        <v>976000</v>
      </c>
      <c r="Y3194" s="220">
        <f>X3194*0.1</f>
        <v>97600</v>
      </c>
      <c r="Z3194" s="220">
        <v>7860</v>
      </c>
      <c r="AA3194" s="220">
        <f>SUM(X3194:Z3194)</f>
        <v>1081460</v>
      </c>
      <c r="AB3194" s="222"/>
    </row>
    <row r="3195" spans="1:28" ht="17.100000000000001" customHeight="1" thickBot="1">
      <c r="A3195" s="227"/>
      <c r="B3195" s="27" t="s">
        <v>8817</v>
      </c>
      <c r="C3195" s="27">
        <v>1176</v>
      </c>
      <c r="D3195" s="14" t="s">
        <v>273</v>
      </c>
      <c r="E3195" s="229"/>
      <c r="F3195" s="117" t="s">
        <v>9914</v>
      </c>
      <c r="G3195" s="26">
        <v>49168</v>
      </c>
      <c r="H3195" s="231"/>
      <c r="I3195" s="221"/>
      <c r="J3195" s="221"/>
      <c r="K3195" s="221"/>
      <c r="L3195" s="221"/>
      <c r="M3195" s="221"/>
      <c r="N3195" s="221"/>
      <c r="O3195" s="225"/>
      <c r="P3195" s="118" t="s">
        <v>9169</v>
      </c>
      <c r="Q3195" s="16" t="s">
        <v>20</v>
      </c>
      <c r="R3195" s="17" t="s">
        <v>3325</v>
      </c>
      <c r="S3195" s="121" t="s">
        <v>10346</v>
      </c>
      <c r="T3195" s="122"/>
      <c r="U3195" s="22"/>
      <c r="V3195" s="123" t="s">
        <v>2103</v>
      </c>
      <c r="W3195" s="122">
        <v>3191</v>
      </c>
      <c r="X3195" s="221"/>
      <c r="Y3195" s="221"/>
      <c r="Z3195" s="221"/>
      <c r="AA3195" s="221"/>
      <c r="AB3195" s="223"/>
    </row>
    <row r="3196" spans="1:28" ht="17.100000000000001" customHeight="1" thickTop="1">
      <c r="A3196" s="226" t="s">
        <v>9907</v>
      </c>
      <c r="B3196" s="28">
        <v>45966</v>
      </c>
      <c r="C3196" s="25">
        <v>2329</v>
      </c>
      <c r="D3196" s="13" t="s">
        <v>2057</v>
      </c>
      <c r="E3196" s="228"/>
      <c r="F3196" s="109" t="s">
        <v>9915</v>
      </c>
      <c r="G3196" s="24"/>
      <c r="H3196" s="230">
        <v>4.5</v>
      </c>
      <c r="I3196" s="220">
        <v>760000</v>
      </c>
      <c r="J3196" s="220">
        <f>I3196*0.1</f>
        <v>76000</v>
      </c>
      <c r="K3196" s="220">
        <v>0</v>
      </c>
      <c r="L3196" s="220">
        <v>8010</v>
      </c>
      <c r="M3196" s="220">
        <v>16500</v>
      </c>
      <c r="N3196" s="220">
        <f>SUM(I3196:M3197)</f>
        <v>860510</v>
      </c>
      <c r="O3196" s="224"/>
      <c r="P3196" s="110" t="s">
        <v>10043</v>
      </c>
      <c r="Q3196" s="15" t="s">
        <v>19</v>
      </c>
      <c r="R3196" s="205"/>
      <c r="S3196" s="189" t="s">
        <v>1361</v>
      </c>
      <c r="T3196" s="114"/>
      <c r="U3196" s="21"/>
      <c r="V3196" s="115">
        <v>45969</v>
      </c>
      <c r="W3196" s="116">
        <v>1275</v>
      </c>
      <c r="X3196" s="220">
        <v>850000</v>
      </c>
      <c r="Y3196" s="220">
        <f>X3196*0.1</f>
        <v>85000</v>
      </c>
      <c r="Z3196" s="220">
        <v>8010</v>
      </c>
      <c r="AA3196" s="220">
        <f>SUM(X3196:Z3196)</f>
        <v>943010</v>
      </c>
      <c r="AB3196" s="222">
        <v>45972</v>
      </c>
    </row>
    <row r="3197" spans="1:28" ht="17.100000000000001" customHeight="1" thickBot="1">
      <c r="A3197" s="227"/>
      <c r="B3197" s="27" t="s">
        <v>3367</v>
      </c>
      <c r="C3197" s="27">
        <v>20160</v>
      </c>
      <c r="D3197" s="14" t="s">
        <v>1710</v>
      </c>
      <c r="E3197" s="229"/>
      <c r="F3197" s="117" t="s">
        <v>9916</v>
      </c>
      <c r="G3197" s="26">
        <v>43805</v>
      </c>
      <c r="H3197" s="231"/>
      <c r="I3197" s="221"/>
      <c r="J3197" s="221"/>
      <c r="K3197" s="221"/>
      <c r="L3197" s="221"/>
      <c r="M3197" s="221"/>
      <c r="N3197" s="221"/>
      <c r="O3197" s="225"/>
      <c r="P3197" s="118" t="s">
        <v>10044</v>
      </c>
      <c r="Q3197" s="16" t="s">
        <v>20</v>
      </c>
      <c r="R3197" s="17" t="s">
        <v>3343</v>
      </c>
      <c r="S3197" s="121" t="s">
        <v>169</v>
      </c>
      <c r="T3197" s="122"/>
      <c r="U3197" s="22"/>
      <c r="V3197" s="123" t="s">
        <v>2472</v>
      </c>
      <c r="W3197" s="122">
        <v>60491</v>
      </c>
      <c r="X3197" s="221"/>
      <c r="Y3197" s="221"/>
      <c r="Z3197" s="221"/>
      <c r="AA3197" s="221"/>
      <c r="AB3197" s="223"/>
    </row>
    <row r="3198" spans="1:28" ht="17.100000000000001" customHeight="1" thickTop="1">
      <c r="A3198" s="226" t="s">
        <v>9908</v>
      </c>
      <c r="B3198" s="28">
        <v>45966</v>
      </c>
      <c r="C3198" s="25">
        <v>1812</v>
      </c>
      <c r="D3198" s="13" t="s">
        <v>4531</v>
      </c>
      <c r="E3198" s="228"/>
      <c r="F3198" s="109" t="s">
        <v>9918</v>
      </c>
      <c r="G3198" s="24" t="s">
        <v>3345</v>
      </c>
      <c r="H3198" s="230">
        <v>4.5</v>
      </c>
      <c r="I3198" s="220">
        <v>1190000</v>
      </c>
      <c r="J3198" s="220">
        <f>I3198*0.1</f>
        <v>119000</v>
      </c>
      <c r="K3198" s="220">
        <f>15000+1500</f>
        <v>16500</v>
      </c>
      <c r="L3198" s="220">
        <v>16260</v>
      </c>
      <c r="M3198" s="220">
        <v>18150</v>
      </c>
      <c r="N3198" s="220">
        <f>SUM(I3198:M3199)</f>
        <v>1359910</v>
      </c>
      <c r="O3198" s="224"/>
      <c r="P3198" s="110" t="s">
        <v>9920</v>
      </c>
      <c r="Q3198" s="15" t="s">
        <v>19</v>
      </c>
      <c r="R3198" s="205"/>
      <c r="S3198" s="189" t="s">
        <v>25580</v>
      </c>
      <c r="T3198" s="114"/>
      <c r="U3198" s="21"/>
      <c r="V3198" s="115">
        <v>45969</v>
      </c>
      <c r="W3198" s="116">
        <v>1275</v>
      </c>
      <c r="X3198" s="220">
        <v>1340000</v>
      </c>
      <c r="Y3198" s="220">
        <f>X3198*0.1</f>
        <v>134000</v>
      </c>
      <c r="Z3198" s="220">
        <v>16260</v>
      </c>
      <c r="AA3198" s="220">
        <f>SUM(X3198:Z3198)</f>
        <v>1490260</v>
      </c>
      <c r="AB3198" s="222">
        <v>45974</v>
      </c>
    </row>
    <row r="3199" spans="1:28" ht="17.100000000000001" customHeight="1" thickBot="1">
      <c r="A3199" s="227"/>
      <c r="B3199" s="27" t="s">
        <v>2519</v>
      </c>
      <c r="C3199" s="27">
        <v>30051</v>
      </c>
      <c r="D3199" s="14" t="s">
        <v>2559</v>
      </c>
      <c r="E3199" s="229"/>
      <c r="F3199" s="117" t="s">
        <v>9919</v>
      </c>
      <c r="G3199" s="26">
        <v>67847</v>
      </c>
      <c r="H3199" s="231"/>
      <c r="I3199" s="221"/>
      <c r="J3199" s="221"/>
      <c r="K3199" s="221"/>
      <c r="L3199" s="221"/>
      <c r="M3199" s="221"/>
      <c r="N3199" s="221"/>
      <c r="O3199" s="225"/>
      <c r="P3199" s="118" t="s">
        <v>8938</v>
      </c>
      <c r="Q3199" s="16" t="s">
        <v>20</v>
      </c>
      <c r="R3199" s="17" t="s">
        <v>10292</v>
      </c>
      <c r="S3199" s="121" t="s">
        <v>10293</v>
      </c>
      <c r="T3199" s="122"/>
      <c r="U3199" s="22"/>
      <c r="V3199" s="123" t="s">
        <v>2472</v>
      </c>
      <c r="W3199" s="122">
        <v>89</v>
      </c>
      <c r="X3199" s="221"/>
      <c r="Y3199" s="221"/>
      <c r="Z3199" s="221"/>
      <c r="AA3199" s="221"/>
      <c r="AB3199" s="223"/>
    </row>
    <row r="3200" spans="1:28" ht="17.100000000000001" customHeight="1" thickTop="1">
      <c r="A3200" s="226" t="s">
        <v>9909</v>
      </c>
      <c r="B3200" s="28">
        <v>45966</v>
      </c>
      <c r="C3200" s="25">
        <v>1812</v>
      </c>
      <c r="D3200" s="13" t="s">
        <v>3327</v>
      </c>
      <c r="E3200" s="228"/>
      <c r="F3200" s="109" t="s">
        <v>4747</v>
      </c>
      <c r="G3200" s="24" t="s">
        <v>2813</v>
      </c>
      <c r="H3200" s="230">
        <v>4</v>
      </c>
      <c r="I3200" s="220">
        <v>760000</v>
      </c>
      <c r="J3200" s="220">
        <f>I3200*0.1</f>
        <v>76000</v>
      </c>
      <c r="K3200" s="220">
        <f>11500+1150</f>
        <v>12650</v>
      </c>
      <c r="L3200" s="220">
        <v>9130</v>
      </c>
      <c r="M3200" s="220">
        <v>18150</v>
      </c>
      <c r="N3200" s="220">
        <f>SUM(I3200:M3201)</f>
        <v>875930</v>
      </c>
      <c r="O3200" s="224"/>
      <c r="P3200" s="110" t="s">
        <v>9922</v>
      </c>
      <c r="Q3200" s="15" t="s">
        <v>19</v>
      </c>
      <c r="R3200" s="205"/>
      <c r="S3200" s="189" t="s">
        <v>25581</v>
      </c>
      <c r="T3200" s="114"/>
      <c r="U3200" s="21"/>
      <c r="V3200" s="115">
        <v>46029</v>
      </c>
      <c r="W3200" s="116">
        <v>999</v>
      </c>
      <c r="X3200" s="220">
        <v>800000</v>
      </c>
      <c r="Y3200" s="220">
        <f>X3200*0.1</f>
        <v>80000</v>
      </c>
      <c r="Z3200" s="220">
        <v>9130</v>
      </c>
      <c r="AA3200" s="220">
        <f>SUM(X3200:Z3200)</f>
        <v>889130</v>
      </c>
      <c r="AB3200" s="222">
        <v>46036</v>
      </c>
    </row>
    <row r="3201" spans="1:28" ht="17.100000000000001" customHeight="1" thickBot="1">
      <c r="A3201" s="227"/>
      <c r="B3201" s="27" t="s">
        <v>2519</v>
      </c>
      <c r="C3201" s="27">
        <v>30246</v>
      </c>
      <c r="D3201" s="14" t="s">
        <v>273</v>
      </c>
      <c r="E3201" s="229"/>
      <c r="F3201" s="117" t="s">
        <v>9921</v>
      </c>
      <c r="G3201" s="26">
        <v>70215</v>
      </c>
      <c r="H3201" s="231"/>
      <c r="I3201" s="221"/>
      <c r="J3201" s="221"/>
      <c r="K3201" s="221"/>
      <c r="L3201" s="221"/>
      <c r="M3201" s="221"/>
      <c r="N3201" s="221"/>
      <c r="O3201" s="225"/>
      <c r="P3201" s="118" t="s">
        <v>10308</v>
      </c>
      <c r="Q3201" s="16" t="s">
        <v>20</v>
      </c>
      <c r="R3201" s="17" t="s">
        <v>10292</v>
      </c>
      <c r="S3201" s="121" t="s">
        <v>10309</v>
      </c>
      <c r="T3201" s="122"/>
      <c r="U3201" s="22"/>
      <c r="V3201" s="123" t="s">
        <v>7161</v>
      </c>
      <c r="W3201" s="122">
        <v>6092</v>
      </c>
      <c r="X3201" s="221"/>
      <c r="Y3201" s="221"/>
      <c r="Z3201" s="221"/>
      <c r="AA3201" s="221"/>
      <c r="AB3201" s="223"/>
    </row>
    <row r="3202" spans="1:28" ht="17.100000000000001" customHeight="1" thickTop="1">
      <c r="A3202" s="226" t="s">
        <v>9971</v>
      </c>
      <c r="B3202" s="28">
        <v>45967</v>
      </c>
      <c r="C3202" s="25">
        <v>1305</v>
      </c>
      <c r="D3202" s="13" t="s">
        <v>1702</v>
      </c>
      <c r="E3202" s="228"/>
      <c r="F3202" s="109" t="s">
        <v>9977</v>
      </c>
      <c r="G3202" s="24" t="s">
        <v>2487</v>
      </c>
      <c r="H3202" s="230">
        <v>4.5</v>
      </c>
      <c r="I3202" s="220">
        <v>1440000</v>
      </c>
      <c r="J3202" s="220">
        <f>I3202*0.1</f>
        <v>144000</v>
      </c>
      <c r="K3202" s="220">
        <f>19300+1930</f>
        <v>21230</v>
      </c>
      <c r="L3202" s="220">
        <v>22540</v>
      </c>
      <c r="M3202" s="220">
        <v>14300</v>
      </c>
      <c r="N3202" s="220">
        <f>SUM(I3202:M3203)</f>
        <v>1642070</v>
      </c>
      <c r="O3202" s="224"/>
      <c r="P3202" s="110" t="s">
        <v>9983</v>
      </c>
      <c r="Q3202" s="15" t="s">
        <v>19</v>
      </c>
      <c r="R3202" s="205"/>
      <c r="S3202" s="189"/>
      <c r="T3202" s="114"/>
      <c r="U3202" s="21"/>
      <c r="V3202" s="115">
        <v>45973</v>
      </c>
      <c r="W3202" s="116">
        <v>992</v>
      </c>
      <c r="X3202" s="220">
        <v>1740000</v>
      </c>
      <c r="Y3202" s="220">
        <f>X3202*0.1</f>
        <v>174000</v>
      </c>
      <c r="Z3202" s="220">
        <v>22540</v>
      </c>
      <c r="AA3202" s="220">
        <f>SUM(X3202:Z3202)</f>
        <v>1936540</v>
      </c>
      <c r="AB3202" s="222">
        <v>45978</v>
      </c>
    </row>
    <row r="3203" spans="1:28" ht="17.100000000000001" customHeight="1" thickBot="1">
      <c r="A3203" s="227"/>
      <c r="B3203" s="27" t="s">
        <v>1735</v>
      </c>
      <c r="C3203" s="27">
        <v>1</v>
      </c>
      <c r="D3203" s="14" t="s">
        <v>273</v>
      </c>
      <c r="E3203" s="229"/>
      <c r="F3203" s="117" t="s">
        <v>9978</v>
      </c>
      <c r="G3203" s="26">
        <v>70770</v>
      </c>
      <c r="H3203" s="231"/>
      <c r="I3203" s="221"/>
      <c r="J3203" s="221"/>
      <c r="K3203" s="221"/>
      <c r="L3203" s="221"/>
      <c r="M3203" s="221"/>
      <c r="N3203" s="221"/>
      <c r="O3203" s="225"/>
      <c r="P3203" s="118" t="s">
        <v>1647</v>
      </c>
      <c r="Q3203" s="16" t="s">
        <v>20</v>
      </c>
      <c r="R3203" s="17" t="s">
        <v>2165</v>
      </c>
      <c r="S3203" s="121" t="s">
        <v>10211</v>
      </c>
      <c r="T3203" s="122"/>
      <c r="U3203" s="22"/>
      <c r="V3203" s="123" t="s">
        <v>2747</v>
      </c>
      <c r="W3203" s="122">
        <v>5028</v>
      </c>
      <c r="X3203" s="221"/>
      <c r="Y3203" s="221"/>
      <c r="Z3203" s="221"/>
      <c r="AA3203" s="221"/>
      <c r="AB3203" s="223"/>
    </row>
    <row r="3204" spans="1:28" ht="17.100000000000001" customHeight="1" thickTop="1">
      <c r="A3204" s="226" t="s">
        <v>9972</v>
      </c>
      <c r="B3204" s="28">
        <v>45967</v>
      </c>
      <c r="C3204" s="25">
        <v>1305</v>
      </c>
      <c r="D3204" s="13" t="s">
        <v>2295</v>
      </c>
      <c r="E3204" s="228"/>
      <c r="F3204" s="109" t="s">
        <v>9979</v>
      </c>
      <c r="G3204" s="24" t="s">
        <v>3867</v>
      </c>
      <c r="H3204" s="230">
        <v>4.5</v>
      </c>
      <c r="I3204" s="220">
        <v>2375000</v>
      </c>
      <c r="J3204" s="220">
        <f>I3204*0.1</f>
        <v>237500</v>
      </c>
      <c r="K3204" s="220">
        <f>12000+1200</f>
        <v>13200</v>
      </c>
      <c r="L3204" s="220">
        <v>15880</v>
      </c>
      <c r="M3204" s="220">
        <v>14300</v>
      </c>
      <c r="N3204" s="220">
        <f>SUM(I3204:M3205)</f>
        <v>2655880</v>
      </c>
      <c r="O3204" s="224"/>
      <c r="P3204" s="110" t="s">
        <v>9984</v>
      </c>
      <c r="Q3204" s="15" t="s">
        <v>19</v>
      </c>
      <c r="R3204" s="205"/>
      <c r="S3204" s="189" t="s">
        <v>25367</v>
      </c>
      <c r="T3204" s="114"/>
      <c r="U3204" s="21"/>
      <c r="V3204" s="115">
        <v>45990</v>
      </c>
      <c r="W3204" s="116">
        <v>1278</v>
      </c>
      <c r="X3204" s="220">
        <v>2470000</v>
      </c>
      <c r="Y3204" s="220">
        <f>X3204*0.1</f>
        <v>247000</v>
      </c>
      <c r="Z3204" s="220">
        <v>15880</v>
      </c>
      <c r="AA3204" s="220">
        <f>SUM(X3204:Z3204)</f>
        <v>2732880</v>
      </c>
      <c r="AB3204" s="222">
        <v>45995</v>
      </c>
    </row>
    <row r="3205" spans="1:28" ht="17.100000000000001" customHeight="1" thickBot="1">
      <c r="A3205" s="227"/>
      <c r="B3205" s="27" t="s">
        <v>1735</v>
      </c>
      <c r="C3205" s="27">
        <v>136</v>
      </c>
      <c r="D3205" s="14" t="s">
        <v>273</v>
      </c>
      <c r="E3205" s="229"/>
      <c r="F3205" s="117" t="s">
        <v>9980</v>
      </c>
      <c r="G3205" s="26">
        <v>57724</v>
      </c>
      <c r="H3205" s="231"/>
      <c r="I3205" s="221"/>
      <c r="J3205" s="221"/>
      <c r="K3205" s="221"/>
      <c r="L3205" s="221"/>
      <c r="M3205" s="221"/>
      <c r="N3205" s="221"/>
      <c r="O3205" s="225"/>
      <c r="P3205" s="118" t="s">
        <v>10480</v>
      </c>
      <c r="Q3205" s="16" t="s">
        <v>20</v>
      </c>
      <c r="R3205" s="17" t="s">
        <v>10387</v>
      </c>
      <c r="S3205" s="121" t="s">
        <v>1731</v>
      </c>
      <c r="T3205" s="122"/>
      <c r="U3205" s="22"/>
      <c r="V3205" s="123" t="s">
        <v>6642</v>
      </c>
      <c r="W3205" s="122">
        <v>80262</v>
      </c>
      <c r="X3205" s="221"/>
      <c r="Y3205" s="221"/>
      <c r="Z3205" s="221"/>
      <c r="AA3205" s="221"/>
      <c r="AB3205" s="223"/>
    </row>
    <row r="3206" spans="1:28" ht="17.100000000000001" customHeight="1" thickTop="1">
      <c r="A3206" s="226" t="s">
        <v>9973</v>
      </c>
      <c r="B3206" s="28">
        <v>45967</v>
      </c>
      <c r="C3206" s="25">
        <v>1305</v>
      </c>
      <c r="D3206" s="13" t="s">
        <v>1640</v>
      </c>
      <c r="E3206" s="228"/>
      <c r="F3206" s="109" t="s">
        <v>1916</v>
      </c>
      <c r="G3206" s="24"/>
      <c r="H3206" s="230">
        <v>4</v>
      </c>
      <c r="I3206" s="220">
        <v>480000</v>
      </c>
      <c r="J3206" s="220">
        <f>I3206*0.1</f>
        <v>48000</v>
      </c>
      <c r="K3206" s="220">
        <v>0</v>
      </c>
      <c r="L3206" s="220">
        <v>18960</v>
      </c>
      <c r="M3206" s="220">
        <v>14300</v>
      </c>
      <c r="N3206" s="220">
        <f>SUM(I3206:M3207)</f>
        <v>561260</v>
      </c>
      <c r="O3206" s="224"/>
      <c r="P3206" s="110" t="s">
        <v>9985</v>
      </c>
      <c r="Q3206" s="15" t="s">
        <v>19</v>
      </c>
      <c r="R3206" s="205"/>
      <c r="S3206" s="189" t="s">
        <v>1312</v>
      </c>
      <c r="T3206" s="114"/>
      <c r="U3206" s="21"/>
      <c r="V3206" s="115">
        <v>45997</v>
      </c>
      <c r="W3206" s="116">
        <v>1279</v>
      </c>
      <c r="X3206" s="220">
        <v>560000</v>
      </c>
      <c r="Y3206" s="220">
        <f>X3206*0.1</f>
        <v>56000</v>
      </c>
      <c r="Z3206" s="220">
        <v>18960</v>
      </c>
      <c r="AA3206" s="220">
        <f>SUM(X3206:Z3206)</f>
        <v>634960</v>
      </c>
      <c r="AB3206" s="222">
        <v>46000</v>
      </c>
    </row>
    <row r="3207" spans="1:28" ht="17.100000000000001" customHeight="1" thickBot="1">
      <c r="A3207" s="227"/>
      <c r="B3207" s="27" t="s">
        <v>1735</v>
      </c>
      <c r="C3207" s="27">
        <v>353</v>
      </c>
      <c r="D3207" s="14" t="s">
        <v>3274</v>
      </c>
      <c r="E3207" s="229"/>
      <c r="F3207" s="117" t="s">
        <v>9981</v>
      </c>
      <c r="G3207" s="26">
        <v>47181</v>
      </c>
      <c r="H3207" s="231"/>
      <c r="I3207" s="221"/>
      <c r="J3207" s="221"/>
      <c r="K3207" s="221"/>
      <c r="L3207" s="221"/>
      <c r="M3207" s="221"/>
      <c r="N3207" s="221"/>
      <c r="O3207" s="225"/>
      <c r="P3207" s="118" t="s">
        <v>10534</v>
      </c>
      <c r="Q3207" s="16" t="s">
        <v>20</v>
      </c>
      <c r="R3207" s="17" t="s">
        <v>10519</v>
      </c>
      <c r="S3207" s="121" t="s">
        <v>1606</v>
      </c>
      <c r="T3207" s="122"/>
      <c r="U3207" s="22"/>
      <c r="V3207" s="123" t="s">
        <v>2472</v>
      </c>
      <c r="W3207" s="122">
        <v>80078</v>
      </c>
      <c r="X3207" s="221"/>
      <c r="Y3207" s="221"/>
      <c r="Z3207" s="221"/>
      <c r="AA3207" s="221"/>
      <c r="AB3207" s="223"/>
    </row>
    <row r="3208" spans="1:28" ht="17.100000000000001" customHeight="1" thickTop="1">
      <c r="A3208" s="226" t="s">
        <v>9974</v>
      </c>
      <c r="B3208" s="28">
        <v>45967</v>
      </c>
      <c r="C3208" s="25">
        <v>1305</v>
      </c>
      <c r="D3208" s="13" t="s">
        <v>4739</v>
      </c>
      <c r="E3208" s="228"/>
      <c r="F3208" s="109" t="s">
        <v>7061</v>
      </c>
      <c r="G3208" s="24"/>
      <c r="H3208" s="230">
        <v>4</v>
      </c>
      <c r="I3208" s="220">
        <v>410000</v>
      </c>
      <c r="J3208" s="220">
        <f>I3208*0.1</f>
        <v>41000</v>
      </c>
      <c r="K3208" s="220">
        <v>0</v>
      </c>
      <c r="L3208" s="220">
        <v>12450</v>
      </c>
      <c r="M3208" s="220">
        <v>14300</v>
      </c>
      <c r="N3208" s="220">
        <f>SUM(I3208:M3209)</f>
        <v>477750</v>
      </c>
      <c r="O3208" s="224"/>
      <c r="P3208" s="110" t="s">
        <v>10303</v>
      </c>
      <c r="Q3208" s="15" t="s">
        <v>19</v>
      </c>
      <c r="R3208" s="205"/>
      <c r="S3208" s="189" t="s">
        <v>25582</v>
      </c>
      <c r="T3208" s="114"/>
      <c r="U3208" s="21"/>
      <c r="V3208" s="115">
        <v>45969</v>
      </c>
      <c r="W3208" s="116">
        <v>1275</v>
      </c>
      <c r="X3208" s="220">
        <v>580000</v>
      </c>
      <c r="Y3208" s="220">
        <f>X3208*0.1</f>
        <v>58000</v>
      </c>
      <c r="Z3208" s="220">
        <v>12450</v>
      </c>
      <c r="AA3208" s="220">
        <f>SUM(X3208:Z3208)</f>
        <v>650450</v>
      </c>
      <c r="AB3208" s="222">
        <v>45974</v>
      </c>
    </row>
    <row r="3209" spans="1:28" ht="17.100000000000001" customHeight="1" thickBot="1">
      <c r="A3209" s="227"/>
      <c r="B3209" s="27" t="s">
        <v>1735</v>
      </c>
      <c r="C3209" s="27">
        <v>805</v>
      </c>
      <c r="D3209" s="14" t="s">
        <v>1584</v>
      </c>
      <c r="E3209" s="229"/>
      <c r="F3209" s="117" t="s">
        <v>9982</v>
      </c>
      <c r="G3209" s="26">
        <v>73104</v>
      </c>
      <c r="H3209" s="231"/>
      <c r="I3209" s="221"/>
      <c r="J3209" s="221"/>
      <c r="K3209" s="221"/>
      <c r="L3209" s="221"/>
      <c r="M3209" s="221"/>
      <c r="N3209" s="221"/>
      <c r="O3209" s="225"/>
      <c r="P3209" s="118" t="s">
        <v>1844</v>
      </c>
      <c r="Q3209" s="16" t="s">
        <v>20</v>
      </c>
      <c r="R3209" s="17" t="s">
        <v>10292</v>
      </c>
      <c r="S3209" s="121" t="s">
        <v>10304</v>
      </c>
      <c r="T3209" s="122"/>
      <c r="U3209" s="22"/>
      <c r="V3209" s="123" t="s">
        <v>6641</v>
      </c>
      <c r="W3209" s="122">
        <v>80328</v>
      </c>
      <c r="X3209" s="221"/>
      <c r="Y3209" s="221"/>
      <c r="Z3209" s="221"/>
      <c r="AA3209" s="221"/>
      <c r="AB3209" s="223"/>
    </row>
    <row r="3210" spans="1:28" ht="17.100000000000001" customHeight="1" thickTop="1">
      <c r="A3210" s="226" t="s">
        <v>9975</v>
      </c>
      <c r="B3210" s="28">
        <v>45967</v>
      </c>
      <c r="C3210" s="25">
        <v>1957</v>
      </c>
      <c r="D3210" s="13" t="s">
        <v>2158</v>
      </c>
      <c r="E3210" s="228"/>
      <c r="F3210" s="109" t="s">
        <v>4893</v>
      </c>
      <c r="G3210" s="24"/>
      <c r="H3210" s="230">
        <v>4</v>
      </c>
      <c r="I3210" s="220">
        <v>761000</v>
      </c>
      <c r="J3210" s="220">
        <f>I3210*0.1</f>
        <v>76100</v>
      </c>
      <c r="K3210" s="220">
        <v>0</v>
      </c>
      <c r="L3210" s="220">
        <v>7440</v>
      </c>
      <c r="M3210" s="220">
        <v>15950</v>
      </c>
      <c r="N3210" s="220">
        <f>SUM(I3210:M3211)</f>
        <v>860490</v>
      </c>
      <c r="O3210" s="224"/>
      <c r="P3210" s="110" t="s">
        <v>10258</v>
      </c>
      <c r="Q3210" s="15" t="s">
        <v>19</v>
      </c>
      <c r="R3210" s="205"/>
      <c r="S3210" s="189"/>
      <c r="T3210" s="114"/>
      <c r="U3210" s="21"/>
      <c r="V3210" s="115">
        <v>45983</v>
      </c>
      <c r="W3210" s="116">
        <v>1277</v>
      </c>
      <c r="X3210" s="220">
        <v>840000</v>
      </c>
      <c r="Y3210" s="220">
        <f>X3210*0.1</f>
        <v>84000</v>
      </c>
      <c r="Z3210" s="220">
        <v>7440</v>
      </c>
      <c r="AA3210" s="220">
        <f>SUM(X3210:Z3210)</f>
        <v>931440</v>
      </c>
      <c r="AB3210" s="222">
        <v>45987</v>
      </c>
    </row>
    <row r="3211" spans="1:28" ht="17.100000000000001" customHeight="1" thickBot="1">
      <c r="A3211" s="227"/>
      <c r="B3211" s="27" t="s">
        <v>3730</v>
      </c>
      <c r="C3211" s="27">
        <v>62078</v>
      </c>
      <c r="D3211" s="14" t="s">
        <v>1584</v>
      </c>
      <c r="E3211" s="229"/>
      <c r="F3211" s="117" t="s">
        <v>9945</v>
      </c>
      <c r="G3211" s="26">
        <v>43880</v>
      </c>
      <c r="H3211" s="231"/>
      <c r="I3211" s="221"/>
      <c r="J3211" s="221"/>
      <c r="K3211" s="221"/>
      <c r="L3211" s="221"/>
      <c r="M3211" s="221"/>
      <c r="N3211" s="221"/>
      <c r="O3211" s="225"/>
      <c r="P3211" s="118" t="s">
        <v>3733</v>
      </c>
      <c r="Q3211" s="16" t="s">
        <v>20</v>
      </c>
      <c r="R3211" s="17" t="s">
        <v>1684</v>
      </c>
      <c r="S3211" s="121" t="s">
        <v>10120</v>
      </c>
      <c r="T3211" s="122"/>
      <c r="U3211" s="22"/>
      <c r="V3211" s="123" t="s">
        <v>7160</v>
      </c>
      <c r="W3211" s="122">
        <v>41042</v>
      </c>
      <c r="X3211" s="221"/>
      <c r="Y3211" s="221"/>
      <c r="Z3211" s="221"/>
      <c r="AA3211" s="221"/>
      <c r="AB3211" s="223"/>
    </row>
    <row r="3212" spans="1:28" ht="17.100000000000001" customHeight="1" thickTop="1">
      <c r="A3212" s="226" t="s">
        <v>9976</v>
      </c>
      <c r="B3212" s="28">
        <v>45967</v>
      </c>
      <c r="C3212" s="25">
        <v>1540</v>
      </c>
      <c r="D3212" s="13" t="s">
        <v>2073</v>
      </c>
      <c r="E3212" s="228"/>
      <c r="F3212" s="109" t="s">
        <v>9947</v>
      </c>
      <c r="G3212" s="24"/>
      <c r="H3212" s="230">
        <v>4.5</v>
      </c>
      <c r="I3212" s="220">
        <v>5600000</v>
      </c>
      <c r="J3212" s="220">
        <f>I3212*0.1</f>
        <v>560000</v>
      </c>
      <c r="K3212" s="220">
        <v>0</v>
      </c>
      <c r="L3212" s="220">
        <v>19780</v>
      </c>
      <c r="M3212" s="220">
        <v>27500</v>
      </c>
      <c r="N3212" s="220">
        <f>SUM(I3212:M3213)</f>
        <v>6207280</v>
      </c>
      <c r="O3212" s="224"/>
      <c r="P3212" s="110" t="s">
        <v>10355</v>
      </c>
      <c r="Q3212" s="15" t="s">
        <v>19</v>
      </c>
      <c r="R3212" s="205"/>
      <c r="S3212" s="189"/>
      <c r="T3212" s="114"/>
      <c r="U3212" s="21"/>
      <c r="V3212" s="115">
        <v>45981</v>
      </c>
      <c r="W3212" s="116">
        <v>1307</v>
      </c>
      <c r="X3212" s="220">
        <v>6370000</v>
      </c>
      <c r="Y3212" s="220">
        <f>X3212*0.1</f>
        <v>637000</v>
      </c>
      <c r="Z3212" s="220">
        <v>19780</v>
      </c>
      <c r="AA3212" s="220">
        <f>SUM(X3212:Z3212)</f>
        <v>7026780</v>
      </c>
      <c r="AB3212" s="222">
        <v>45982</v>
      </c>
    </row>
    <row r="3213" spans="1:28" ht="17.100000000000001" customHeight="1" thickBot="1">
      <c r="A3213" s="227"/>
      <c r="B3213" s="27" t="s">
        <v>1592</v>
      </c>
      <c r="C3213" s="27">
        <v>75136</v>
      </c>
      <c r="D3213" s="14" t="s">
        <v>1584</v>
      </c>
      <c r="E3213" s="229"/>
      <c r="F3213" s="117" t="s">
        <v>10354</v>
      </c>
      <c r="G3213" s="26">
        <v>50098</v>
      </c>
      <c r="H3213" s="231"/>
      <c r="I3213" s="221"/>
      <c r="J3213" s="221"/>
      <c r="K3213" s="221"/>
      <c r="L3213" s="221"/>
      <c r="M3213" s="221"/>
      <c r="N3213" s="221"/>
      <c r="O3213" s="225"/>
      <c r="P3213" s="118" t="s">
        <v>3355</v>
      </c>
      <c r="Q3213" s="16" t="s">
        <v>20</v>
      </c>
      <c r="R3213" s="17" t="s">
        <v>10292</v>
      </c>
      <c r="S3213" s="121" t="s">
        <v>169</v>
      </c>
      <c r="T3213" s="122"/>
      <c r="U3213" s="22"/>
      <c r="V3213" s="123" t="s">
        <v>1735</v>
      </c>
      <c r="W3213" s="122">
        <v>65</v>
      </c>
      <c r="X3213" s="221"/>
      <c r="Y3213" s="221"/>
      <c r="Z3213" s="221"/>
      <c r="AA3213" s="221"/>
      <c r="AB3213" s="223"/>
    </row>
    <row r="3214" spans="1:28" ht="17.100000000000001" customHeight="1" thickTop="1">
      <c r="A3214" s="226" t="s">
        <v>9986</v>
      </c>
      <c r="B3214" s="28">
        <v>45967</v>
      </c>
      <c r="C3214" s="25">
        <v>1540</v>
      </c>
      <c r="D3214" s="13" t="s">
        <v>1788</v>
      </c>
      <c r="E3214" s="228"/>
      <c r="F3214" s="109" t="s">
        <v>9987</v>
      </c>
      <c r="G3214" s="24" t="s">
        <v>4038</v>
      </c>
      <c r="H3214" s="230">
        <v>4</v>
      </c>
      <c r="I3214" s="220">
        <v>1180000</v>
      </c>
      <c r="J3214" s="220">
        <f>I3214*0.1</f>
        <v>118000</v>
      </c>
      <c r="K3214" s="220">
        <f>13100+1310</f>
        <v>14410</v>
      </c>
      <c r="L3214" s="220">
        <v>19090</v>
      </c>
      <c r="M3214" s="220">
        <v>16500</v>
      </c>
      <c r="N3214" s="220">
        <f>SUM(I3214:M3215)</f>
        <v>1348000</v>
      </c>
      <c r="O3214" s="224"/>
      <c r="P3214" s="110" t="s">
        <v>9989</v>
      </c>
      <c r="Q3214" s="15" t="s">
        <v>19</v>
      </c>
      <c r="R3214" s="205"/>
      <c r="S3214" s="189" t="s">
        <v>1271</v>
      </c>
      <c r="T3214" s="114"/>
      <c r="U3214" s="21"/>
      <c r="V3214" s="115">
        <v>45981</v>
      </c>
      <c r="W3214" s="116">
        <v>1307</v>
      </c>
      <c r="X3214" s="220">
        <v>1360000</v>
      </c>
      <c r="Y3214" s="220">
        <f>X3214*0.1</f>
        <v>136000</v>
      </c>
      <c r="Z3214" s="220">
        <v>19090</v>
      </c>
      <c r="AA3214" s="220">
        <f>SUM(X3214:Z3214)</f>
        <v>1515090</v>
      </c>
      <c r="AB3214" s="222">
        <v>45982</v>
      </c>
    </row>
    <row r="3215" spans="1:28" ht="17.100000000000001" customHeight="1" thickBot="1">
      <c r="A3215" s="227"/>
      <c r="B3215" s="27" t="s">
        <v>1592</v>
      </c>
      <c r="C3215" s="27">
        <v>75915</v>
      </c>
      <c r="D3215" s="14" t="s">
        <v>1568</v>
      </c>
      <c r="E3215" s="229"/>
      <c r="F3215" s="117" t="s">
        <v>9988</v>
      </c>
      <c r="G3215" s="26">
        <v>17910</v>
      </c>
      <c r="H3215" s="231"/>
      <c r="I3215" s="221"/>
      <c r="J3215" s="221"/>
      <c r="K3215" s="221"/>
      <c r="L3215" s="221"/>
      <c r="M3215" s="221"/>
      <c r="N3215" s="221"/>
      <c r="O3215" s="225"/>
      <c r="P3215" s="118" t="s">
        <v>10353</v>
      </c>
      <c r="Q3215" s="16" t="s">
        <v>20</v>
      </c>
      <c r="R3215" s="17" t="s">
        <v>10292</v>
      </c>
      <c r="S3215" s="121" t="s">
        <v>1606</v>
      </c>
      <c r="T3215" s="122"/>
      <c r="U3215" s="22"/>
      <c r="V3215" s="123" t="s">
        <v>1735</v>
      </c>
      <c r="W3215" s="122">
        <v>349</v>
      </c>
      <c r="X3215" s="221"/>
      <c r="Y3215" s="221"/>
      <c r="Z3215" s="221"/>
      <c r="AA3215" s="221"/>
      <c r="AB3215" s="223"/>
    </row>
    <row r="3216" spans="1:28" ht="17.100000000000001" customHeight="1" thickTop="1">
      <c r="A3216" s="226" t="s">
        <v>10003</v>
      </c>
      <c r="B3216" s="28">
        <v>45967</v>
      </c>
      <c r="C3216" s="25">
        <v>2133</v>
      </c>
      <c r="D3216" s="13" t="s">
        <v>3327</v>
      </c>
      <c r="E3216" s="228"/>
      <c r="F3216" s="109" t="s">
        <v>4504</v>
      </c>
      <c r="G3216" s="24" t="s">
        <v>4669</v>
      </c>
      <c r="H3216" s="230">
        <v>4</v>
      </c>
      <c r="I3216" s="220">
        <v>594000</v>
      </c>
      <c r="J3216" s="220">
        <f>I3216*0.1</f>
        <v>59400</v>
      </c>
      <c r="K3216" s="220">
        <v>0</v>
      </c>
      <c r="L3216" s="220">
        <v>9790</v>
      </c>
      <c r="M3216" s="220">
        <v>13750</v>
      </c>
      <c r="N3216" s="220">
        <f>SUM(I3216:M3217)</f>
        <v>676940</v>
      </c>
      <c r="O3216" s="224"/>
      <c r="P3216" s="110" t="s">
        <v>9924</v>
      </c>
      <c r="Q3216" s="15" t="s">
        <v>19</v>
      </c>
      <c r="R3216" s="205"/>
      <c r="S3216" s="189"/>
      <c r="T3216" s="114"/>
      <c r="U3216" s="21"/>
      <c r="V3216" s="115">
        <v>46011</v>
      </c>
      <c r="W3216" s="116">
        <v>1281</v>
      </c>
      <c r="X3216" s="220">
        <v>650000</v>
      </c>
      <c r="Y3216" s="220">
        <f>X3216*0.1</f>
        <v>65000</v>
      </c>
      <c r="Z3216" s="220">
        <v>9790</v>
      </c>
      <c r="AA3216" s="220">
        <f>SUM(X3216:Z3216)</f>
        <v>724790</v>
      </c>
      <c r="AB3216" s="222">
        <v>46014</v>
      </c>
    </row>
    <row r="3217" spans="1:28" ht="17.100000000000001" customHeight="1" thickBot="1">
      <c r="A3217" s="227"/>
      <c r="B3217" s="27" t="s">
        <v>3228</v>
      </c>
      <c r="C3217" s="27">
        <v>241</v>
      </c>
      <c r="D3217" s="14" t="s">
        <v>54</v>
      </c>
      <c r="E3217" s="229"/>
      <c r="F3217" s="117" t="s">
        <v>9923</v>
      </c>
      <c r="G3217" s="26">
        <v>58381</v>
      </c>
      <c r="H3217" s="231"/>
      <c r="I3217" s="221"/>
      <c r="J3217" s="221"/>
      <c r="K3217" s="221"/>
      <c r="L3217" s="221"/>
      <c r="M3217" s="221"/>
      <c r="N3217" s="221"/>
      <c r="O3217" s="225"/>
      <c r="P3217" s="118" t="s">
        <v>10465</v>
      </c>
      <c r="Q3217" s="16" t="s">
        <v>20</v>
      </c>
      <c r="R3217" s="17" t="s">
        <v>10387</v>
      </c>
      <c r="S3217" s="121" t="s">
        <v>1731</v>
      </c>
      <c r="T3217" s="122"/>
      <c r="U3217" s="22"/>
      <c r="V3217" s="123" t="s">
        <v>2472</v>
      </c>
      <c r="W3217" s="122">
        <v>60205</v>
      </c>
      <c r="X3217" s="221"/>
      <c r="Y3217" s="221"/>
      <c r="Z3217" s="221"/>
      <c r="AA3217" s="221"/>
      <c r="AB3217" s="223"/>
    </row>
    <row r="3218" spans="1:28" ht="17.100000000000001" customHeight="1" thickTop="1">
      <c r="A3218" s="226" t="s">
        <v>10004</v>
      </c>
      <c r="B3218" s="28">
        <v>45967</v>
      </c>
      <c r="C3218" s="25">
        <v>2133</v>
      </c>
      <c r="D3218" s="13" t="s">
        <v>2167</v>
      </c>
      <c r="E3218" s="228"/>
      <c r="F3218" s="109" t="s">
        <v>9925</v>
      </c>
      <c r="G3218" s="24" t="s">
        <v>2907</v>
      </c>
      <c r="H3218" s="230">
        <v>4</v>
      </c>
      <c r="I3218" s="220">
        <v>622000</v>
      </c>
      <c r="J3218" s="220">
        <f>I3218*0.1</f>
        <v>62200</v>
      </c>
      <c r="K3218" s="220">
        <v>0</v>
      </c>
      <c r="L3218" s="220">
        <v>8400</v>
      </c>
      <c r="M3218" s="220">
        <v>13750</v>
      </c>
      <c r="N3218" s="220">
        <f>SUM(I3218:M3219)</f>
        <v>706350</v>
      </c>
      <c r="O3218" s="224"/>
      <c r="P3218" s="110" t="s">
        <v>9927</v>
      </c>
      <c r="Q3218" s="15" t="s">
        <v>19</v>
      </c>
      <c r="R3218" s="205"/>
      <c r="S3218" s="189" t="s">
        <v>25583</v>
      </c>
      <c r="T3218" s="114"/>
      <c r="U3218" s="21" t="s">
        <v>12599</v>
      </c>
      <c r="V3218" s="115">
        <v>45997</v>
      </c>
      <c r="W3218" s="116">
        <v>1279</v>
      </c>
      <c r="X3218" s="220">
        <v>700000</v>
      </c>
      <c r="Y3218" s="220">
        <f>X3218*0.1</f>
        <v>70000</v>
      </c>
      <c r="Z3218" s="220">
        <v>8400</v>
      </c>
      <c r="AA3218" s="220">
        <f>SUM(X3218:Z3218)</f>
        <v>778400</v>
      </c>
      <c r="AB3218" s="222">
        <v>46007</v>
      </c>
    </row>
    <row r="3219" spans="1:28" ht="17.100000000000001" customHeight="1" thickBot="1">
      <c r="A3219" s="227"/>
      <c r="B3219" s="27" t="s">
        <v>3228</v>
      </c>
      <c r="C3219" s="27">
        <v>2523</v>
      </c>
      <c r="D3219" s="14" t="s">
        <v>2788</v>
      </c>
      <c r="E3219" s="229"/>
      <c r="F3219" s="117" t="s">
        <v>9926</v>
      </c>
      <c r="G3219" s="26">
        <v>79645</v>
      </c>
      <c r="H3219" s="231"/>
      <c r="I3219" s="221"/>
      <c r="J3219" s="221"/>
      <c r="K3219" s="221"/>
      <c r="L3219" s="221"/>
      <c r="M3219" s="221"/>
      <c r="N3219" s="221"/>
      <c r="O3219" s="225"/>
      <c r="P3219" s="118" t="s">
        <v>10318</v>
      </c>
      <c r="Q3219" s="16" t="s">
        <v>20</v>
      </c>
      <c r="R3219" s="17" t="s">
        <v>10292</v>
      </c>
      <c r="S3219" s="121" t="s">
        <v>10319</v>
      </c>
      <c r="T3219" s="122"/>
      <c r="U3219" s="22"/>
      <c r="V3219" s="123" t="s">
        <v>6641</v>
      </c>
      <c r="W3219" s="122">
        <v>60223</v>
      </c>
      <c r="X3219" s="221"/>
      <c r="Y3219" s="221"/>
      <c r="Z3219" s="221"/>
      <c r="AA3219" s="221"/>
      <c r="AB3219" s="223"/>
    </row>
    <row r="3220" spans="1:28" ht="17.100000000000001" customHeight="1" thickTop="1">
      <c r="A3220" s="226" t="s">
        <v>10005</v>
      </c>
      <c r="B3220" s="28">
        <v>45967</v>
      </c>
      <c r="C3220" s="25">
        <v>2133</v>
      </c>
      <c r="D3220" s="13" t="s">
        <v>1553</v>
      </c>
      <c r="E3220" s="228"/>
      <c r="F3220" s="109" t="s">
        <v>9929</v>
      </c>
      <c r="G3220" s="24" t="s">
        <v>5381</v>
      </c>
      <c r="H3220" s="230">
        <v>4</v>
      </c>
      <c r="I3220" s="220">
        <v>403000</v>
      </c>
      <c r="J3220" s="220">
        <f>I3220*0.1</f>
        <v>40300</v>
      </c>
      <c r="K3220" s="220">
        <v>0</v>
      </c>
      <c r="L3220" s="220">
        <v>8460</v>
      </c>
      <c r="M3220" s="220">
        <v>13750</v>
      </c>
      <c r="N3220" s="220">
        <f>SUM(I3220:M3221)</f>
        <v>465510</v>
      </c>
      <c r="O3220" s="224"/>
      <c r="P3220" s="110" t="s">
        <v>9931</v>
      </c>
      <c r="Q3220" s="15" t="s">
        <v>19</v>
      </c>
      <c r="R3220" s="205"/>
      <c r="S3220" s="189"/>
      <c r="T3220" s="114"/>
      <c r="U3220" s="21"/>
      <c r="V3220" s="115">
        <v>45973</v>
      </c>
      <c r="W3220" s="116">
        <v>992</v>
      </c>
      <c r="X3220" s="220">
        <v>465000</v>
      </c>
      <c r="Y3220" s="220">
        <f>X3220*0.1</f>
        <v>46500</v>
      </c>
      <c r="Z3220" s="220">
        <v>8460</v>
      </c>
      <c r="AA3220" s="220">
        <f>SUM(X3220:Z3220)</f>
        <v>519960</v>
      </c>
      <c r="AB3220" s="222">
        <v>45978</v>
      </c>
    </row>
    <row r="3221" spans="1:28" ht="17.100000000000001" customHeight="1" thickBot="1">
      <c r="A3221" s="227"/>
      <c r="B3221" s="27" t="s">
        <v>3228</v>
      </c>
      <c r="C3221" s="27">
        <v>2549</v>
      </c>
      <c r="D3221" s="14" t="s">
        <v>2014</v>
      </c>
      <c r="E3221" s="229"/>
      <c r="F3221" s="117" t="s">
        <v>9930</v>
      </c>
      <c r="G3221" s="26">
        <v>59216</v>
      </c>
      <c r="H3221" s="231"/>
      <c r="I3221" s="221"/>
      <c r="J3221" s="221"/>
      <c r="K3221" s="221"/>
      <c r="L3221" s="221"/>
      <c r="M3221" s="221"/>
      <c r="N3221" s="221"/>
      <c r="O3221" s="225"/>
      <c r="P3221" s="118" t="s">
        <v>10317</v>
      </c>
      <c r="Q3221" s="16" t="s">
        <v>20</v>
      </c>
      <c r="R3221" s="17" t="s">
        <v>10292</v>
      </c>
      <c r="S3221" s="121"/>
      <c r="T3221" s="122"/>
      <c r="U3221" s="22"/>
      <c r="V3221" s="123" t="s">
        <v>2747</v>
      </c>
      <c r="W3221" s="122">
        <v>2074</v>
      </c>
      <c r="X3221" s="221"/>
      <c r="Y3221" s="221"/>
      <c r="Z3221" s="221"/>
      <c r="AA3221" s="221"/>
      <c r="AB3221" s="223"/>
    </row>
    <row r="3222" spans="1:28" ht="17.100000000000001" customHeight="1" thickTop="1">
      <c r="A3222" s="226" t="s">
        <v>10006</v>
      </c>
      <c r="B3222" s="28">
        <v>45967</v>
      </c>
      <c r="C3222" s="25">
        <v>2133</v>
      </c>
      <c r="D3222" s="13" t="s">
        <v>1704</v>
      </c>
      <c r="E3222" s="228"/>
      <c r="F3222" s="109" t="s">
        <v>9932</v>
      </c>
      <c r="G3222" s="24" t="s">
        <v>7906</v>
      </c>
      <c r="H3222" s="230">
        <v>4</v>
      </c>
      <c r="I3222" s="220">
        <v>766000</v>
      </c>
      <c r="J3222" s="220">
        <f>I3222*0.1</f>
        <v>76600</v>
      </c>
      <c r="K3222" s="220">
        <v>0</v>
      </c>
      <c r="L3222" s="220">
        <v>8680</v>
      </c>
      <c r="M3222" s="220">
        <v>13750</v>
      </c>
      <c r="N3222" s="220">
        <f>SUM(I3222:M3223)</f>
        <v>865030</v>
      </c>
      <c r="O3222" s="224"/>
      <c r="P3222" s="110" t="s">
        <v>10310</v>
      </c>
      <c r="Q3222" s="15" t="s">
        <v>19</v>
      </c>
      <c r="R3222" s="205"/>
      <c r="S3222" s="189" t="s">
        <v>25584</v>
      </c>
      <c r="T3222" s="114"/>
      <c r="U3222" s="21"/>
      <c r="V3222" s="115">
        <v>45987</v>
      </c>
      <c r="W3222" s="116">
        <v>994</v>
      </c>
      <c r="X3222" s="220">
        <v>855000</v>
      </c>
      <c r="Y3222" s="220">
        <f>X3222*0.1</f>
        <v>85500</v>
      </c>
      <c r="Z3222" s="220">
        <v>8680</v>
      </c>
      <c r="AA3222" s="220">
        <f>SUM(X3222:Z3222)</f>
        <v>949180</v>
      </c>
      <c r="AB3222" s="222">
        <v>45992</v>
      </c>
    </row>
    <row r="3223" spans="1:28" ht="17.100000000000001" customHeight="1" thickBot="1">
      <c r="A3223" s="227"/>
      <c r="B3223" s="27" t="s">
        <v>3228</v>
      </c>
      <c r="C3223" s="27">
        <v>2550</v>
      </c>
      <c r="D3223" s="14" t="s">
        <v>273</v>
      </c>
      <c r="E3223" s="229"/>
      <c r="F3223" s="117" t="s">
        <v>9933</v>
      </c>
      <c r="G3223" s="26">
        <v>85671</v>
      </c>
      <c r="H3223" s="231"/>
      <c r="I3223" s="221"/>
      <c r="J3223" s="221"/>
      <c r="K3223" s="221"/>
      <c r="L3223" s="221"/>
      <c r="M3223" s="221"/>
      <c r="N3223" s="221"/>
      <c r="O3223" s="225"/>
      <c r="P3223" s="118" t="s">
        <v>4608</v>
      </c>
      <c r="Q3223" s="16" t="s">
        <v>20</v>
      </c>
      <c r="R3223" s="17" t="s">
        <v>10292</v>
      </c>
      <c r="S3223" s="121" t="s">
        <v>10311</v>
      </c>
      <c r="T3223" s="122"/>
      <c r="U3223" s="22"/>
      <c r="V3223" s="123" t="s">
        <v>11555</v>
      </c>
      <c r="W3223" s="122">
        <v>2064</v>
      </c>
      <c r="X3223" s="221"/>
      <c r="Y3223" s="221"/>
      <c r="Z3223" s="221"/>
      <c r="AA3223" s="221"/>
      <c r="AB3223" s="223"/>
    </row>
    <row r="3224" spans="1:28" ht="17.100000000000001" customHeight="1" thickTop="1">
      <c r="A3224" s="226" t="s">
        <v>10007</v>
      </c>
      <c r="B3224" s="28">
        <v>45967</v>
      </c>
      <c r="C3224" s="25">
        <v>2133</v>
      </c>
      <c r="D3224" s="13" t="s">
        <v>7368</v>
      </c>
      <c r="E3224" s="228"/>
      <c r="F3224" s="109" t="s">
        <v>9934</v>
      </c>
      <c r="G3224" s="24"/>
      <c r="H3224" s="230">
        <v>4</v>
      </c>
      <c r="I3224" s="220">
        <v>264000</v>
      </c>
      <c r="J3224" s="220">
        <f>I3224*0.1</f>
        <v>26400</v>
      </c>
      <c r="K3224" s="220">
        <v>0</v>
      </c>
      <c r="L3224" s="220">
        <v>9200</v>
      </c>
      <c r="M3224" s="220">
        <v>13750</v>
      </c>
      <c r="N3224" s="220">
        <f>SUM(I3224:M3225)</f>
        <v>313350</v>
      </c>
      <c r="O3224" s="224"/>
      <c r="P3224" s="110" t="s">
        <v>10315</v>
      </c>
      <c r="Q3224" s="15" t="s">
        <v>19</v>
      </c>
      <c r="R3224" s="205"/>
      <c r="S3224" s="189"/>
      <c r="T3224" s="114"/>
      <c r="U3224" s="21"/>
      <c r="V3224" s="115">
        <v>45990</v>
      </c>
      <c r="W3224" s="116">
        <v>1278</v>
      </c>
      <c r="X3224" s="220">
        <v>340000</v>
      </c>
      <c r="Y3224" s="220">
        <f>X3224*0.1</f>
        <v>34000</v>
      </c>
      <c r="Z3224" s="220">
        <v>9200</v>
      </c>
      <c r="AA3224" s="220">
        <f>SUM(X3224:Z3224)</f>
        <v>383200</v>
      </c>
      <c r="AB3224" s="222">
        <v>46000</v>
      </c>
    </row>
    <row r="3225" spans="1:28" ht="17.100000000000001" customHeight="1" thickBot="1">
      <c r="A3225" s="227"/>
      <c r="B3225" s="27" t="s">
        <v>3228</v>
      </c>
      <c r="C3225" s="27">
        <v>2649</v>
      </c>
      <c r="D3225" s="14" t="s">
        <v>2559</v>
      </c>
      <c r="E3225" s="229"/>
      <c r="F3225" s="117" t="s">
        <v>9935</v>
      </c>
      <c r="G3225" s="26">
        <v>22417</v>
      </c>
      <c r="H3225" s="231"/>
      <c r="I3225" s="221"/>
      <c r="J3225" s="221"/>
      <c r="K3225" s="221"/>
      <c r="L3225" s="221"/>
      <c r="M3225" s="221"/>
      <c r="N3225" s="221"/>
      <c r="O3225" s="225"/>
      <c r="P3225" s="118" t="s">
        <v>10316</v>
      </c>
      <c r="Q3225" s="16" t="s">
        <v>20</v>
      </c>
      <c r="R3225" s="17" t="s">
        <v>10292</v>
      </c>
      <c r="S3225" s="121" t="s">
        <v>2236</v>
      </c>
      <c r="T3225" s="122"/>
      <c r="U3225" s="22"/>
      <c r="V3225" s="123" t="s">
        <v>2472</v>
      </c>
      <c r="W3225" s="122">
        <v>60009</v>
      </c>
      <c r="X3225" s="221"/>
      <c r="Y3225" s="221"/>
      <c r="Z3225" s="221"/>
      <c r="AA3225" s="221"/>
      <c r="AB3225" s="223"/>
    </row>
    <row r="3226" spans="1:28" ht="17.100000000000001" customHeight="1" thickTop="1">
      <c r="A3226" s="226" t="s">
        <v>10008</v>
      </c>
      <c r="B3226" s="28">
        <v>45967</v>
      </c>
      <c r="C3226" s="25">
        <v>2133</v>
      </c>
      <c r="D3226" s="13" t="s">
        <v>2406</v>
      </c>
      <c r="E3226" s="228"/>
      <c r="F3226" s="109" t="s">
        <v>9936</v>
      </c>
      <c r="G3226" s="24" t="s">
        <v>4517</v>
      </c>
      <c r="H3226" s="230">
        <v>4.5</v>
      </c>
      <c r="I3226" s="220">
        <v>1063000</v>
      </c>
      <c r="J3226" s="220">
        <f>I3226*0.1</f>
        <v>106300</v>
      </c>
      <c r="K3226" s="220">
        <v>0</v>
      </c>
      <c r="L3226" s="220">
        <v>8550</v>
      </c>
      <c r="M3226" s="220">
        <v>13750</v>
      </c>
      <c r="N3226" s="220">
        <f>SUM(I3226:M3227)</f>
        <v>1191600</v>
      </c>
      <c r="O3226" s="224"/>
      <c r="P3226" s="110" t="s">
        <v>9938</v>
      </c>
      <c r="Q3226" s="15" t="s">
        <v>19</v>
      </c>
      <c r="R3226" s="205"/>
      <c r="S3226" s="189" t="s">
        <v>25386</v>
      </c>
      <c r="T3226" s="114"/>
      <c r="U3226" s="21"/>
      <c r="V3226" s="115">
        <v>46036</v>
      </c>
      <c r="W3226" s="116">
        <v>1000</v>
      </c>
      <c r="X3226" s="220">
        <v>1120000</v>
      </c>
      <c r="Y3226" s="220">
        <f>X3226*0.1</f>
        <v>112000</v>
      </c>
      <c r="Z3226" s="220">
        <v>8550</v>
      </c>
      <c r="AA3226" s="220">
        <f>SUM(X3226:Z3226)</f>
        <v>1240550</v>
      </c>
      <c r="AB3226" s="222">
        <v>46041</v>
      </c>
    </row>
    <row r="3227" spans="1:28" ht="17.100000000000001" customHeight="1" thickBot="1">
      <c r="A3227" s="227"/>
      <c r="B3227" s="27" t="s">
        <v>3228</v>
      </c>
      <c r="C3227" s="27">
        <v>2686</v>
      </c>
      <c r="D3227" s="14" t="s">
        <v>273</v>
      </c>
      <c r="E3227" s="229"/>
      <c r="F3227" s="117" t="s">
        <v>9937</v>
      </c>
      <c r="G3227" s="26">
        <v>43181</v>
      </c>
      <c r="H3227" s="231"/>
      <c r="I3227" s="221"/>
      <c r="J3227" s="221"/>
      <c r="K3227" s="221"/>
      <c r="L3227" s="221"/>
      <c r="M3227" s="221"/>
      <c r="N3227" s="221"/>
      <c r="O3227" s="225"/>
      <c r="P3227" s="118" t="s">
        <v>10645</v>
      </c>
      <c r="Q3227" s="16" t="s">
        <v>20</v>
      </c>
      <c r="R3227" s="17" t="s">
        <v>10642</v>
      </c>
      <c r="S3227" s="121" t="s">
        <v>12363</v>
      </c>
      <c r="T3227" s="122"/>
      <c r="U3227" s="22"/>
      <c r="V3227" s="123" t="s">
        <v>8877</v>
      </c>
      <c r="W3227" s="122">
        <v>2040</v>
      </c>
      <c r="X3227" s="221"/>
      <c r="Y3227" s="221"/>
      <c r="Z3227" s="221"/>
      <c r="AA3227" s="221"/>
      <c r="AB3227" s="223"/>
    </row>
    <row r="3228" spans="1:28" ht="17.100000000000001" customHeight="1" thickTop="1">
      <c r="A3228" s="226" t="s">
        <v>10009</v>
      </c>
      <c r="B3228" s="28">
        <v>45967</v>
      </c>
      <c r="C3228" s="25">
        <v>2133</v>
      </c>
      <c r="D3228" s="13" t="s">
        <v>2441</v>
      </c>
      <c r="E3228" s="228"/>
      <c r="F3228" s="109" t="s">
        <v>9048</v>
      </c>
      <c r="G3228" s="24"/>
      <c r="H3228" s="230">
        <v>5</v>
      </c>
      <c r="I3228" s="220">
        <v>1351000</v>
      </c>
      <c r="J3228" s="220">
        <f>I3228*0.1</f>
        <v>135100</v>
      </c>
      <c r="K3228" s="220">
        <v>0</v>
      </c>
      <c r="L3228" s="220">
        <v>7230</v>
      </c>
      <c r="M3228" s="220">
        <v>13750</v>
      </c>
      <c r="N3228" s="220">
        <f>SUM(I3228:M3229)</f>
        <v>1507080</v>
      </c>
      <c r="O3228" s="224"/>
      <c r="P3228" s="110" t="s">
        <v>10314</v>
      </c>
      <c r="Q3228" s="15" t="s">
        <v>19</v>
      </c>
      <c r="R3228" s="205"/>
      <c r="S3228" s="189"/>
      <c r="T3228" s="114"/>
      <c r="U3228" s="21"/>
      <c r="V3228" s="115">
        <v>45972</v>
      </c>
      <c r="W3228" s="116">
        <v>1917</v>
      </c>
      <c r="X3228" s="220">
        <v>1391000</v>
      </c>
      <c r="Y3228" s="220">
        <f>X3228*0.1</f>
        <v>139100</v>
      </c>
      <c r="Z3228" s="220">
        <v>7230</v>
      </c>
      <c r="AA3228" s="220">
        <f>SUM(X3228:Z3228)</f>
        <v>1537330</v>
      </c>
      <c r="AB3228" s="222"/>
    </row>
    <row r="3229" spans="1:28" ht="17.100000000000001" customHeight="1" thickBot="1">
      <c r="A3229" s="227"/>
      <c r="B3229" s="27" t="s">
        <v>3228</v>
      </c>
      <c r="C3229" s="27">
        <v>2691</v>
      </c>
      <c r="D3229" s="14" t="s">
        <v>3731</v>
      </c>
      <c r="E3229" s="229"/>
      <c r="F3229" s="117" t="s">
        <v>9939</v>
      </c>
      <c r="G3229" s="26">
        <v>2160</v>
      </c>
      <c r="H3229" s="231"/>
      <c r="I3229" s="221"/>
      <c r="J3229" s="221"/>
      <c r="K3229" s="221"/>
      <c r="L3229" s="221"/>
      <c r="M3229" s="221"/>
      <c r="N3229" s="221"/>
      <c r="O3229" s="225"/>
      <c r="P3229" s="118" t="s">
        <v>2404</v>
      </c>
      <c r="Q3229" s="16" t="s">
        <v>20</v>
      </c>
      <c r="R3229" s="17" t="s">
        <v>10292</v>
      </c>
      <c r="S3229" s="121"/>
      <c r="T3229" s="122"/>
      <c r="U3229" s="22"/>
      <c r="V3229" s="123" t="s">
        <v>2103</v>
      </c>
      <c r="W3229" s="122">
        <v>3093</v>
      </c>
      <c r="X3229" s="221"/>
      <c r="Y3229" s="221"/>
      <c r="Z3229" s="221"/>
      <c r="AA3229" s="221"/>
      <c r="AB3229" s="223"/>
    </row>
    <row r="3230" spans="1:28" ht="17.100000000000001" customHeight="1" thickTop="1">
      <c r="A3230" s="226" t="s">
        <v>10010</v>
      </c>
      <c r="B3230" s="28">
        <v>45967</v>
      </c>
      <c r="C3230" s="25">
        <v>2133</v>
      </c>
      <c r="D3230" s="13" t="s">
        <v>2790</v>
      </c>
      <c r="E3230" s="228"/>
      <c r="F3230" s="109" t="s">
        <v>4504</v>
      </c>
      <c r="G3230" s="24"/>
      <c r="H3230" s="230">
        <v>4</v>
      </c>
      <c r="I3230" s="220">
        <v>1469000</v>
      </c>
      <c r="J3230" s="220">
        <f>I3230*0.1</f>
        <v>146900</v>
      </c>
      <c r="K3230" s="220">
        <v>0</v>
      </c>
      <c r="L3230" s="220">
        <v>14200</v>
      </c>
      <c r="M3230" s="220">
        <v>13750</v>
      </c>
      <c r="N3230" s="220">
        <f>SUM(I3230:M3231)</f>
        <v>1643850</v>
      </c>
      <c r="O3230" s="224"/>
      <c r="P3230" s="110" t="s">
        <v>10313</v>
      </c>
      <c r="Q3230" s="15" t="s">
        <v>19</v>
      </c>
      <c r="R3230" s="205"/>
      <c r="S3230" s="189"/>
      <c r="T3230" s="114"/>
      <c r="U3230" s="21"/>
      <c r="V3230" s="115">
        <v>46029</v>
      </c>
      <c r="W3230" s="116"/>
      <c r="X3230" s="220">
        <v>1600000</v>
      </c>
      <c r="Y3230" s="220">
        <f>X3230*0.1</f>
        <v>160000</v>
      </c>
      <c r="Z3230" s="220">
        <v>14200</v>
      </c>
      <c r="AA3230" s="220">
        <f>SUM(X3230:Z3230)</f>
        <v>1774200</v>
      </c>
      <c r="AB3230" s="222"/>
    </row>
    <row r="3231" spans="1:28" ht="17.100000000000001" customHeight="1" thickBot="1">
      <c r="A3231" s="227"/>
      <c r="B3231" s="27" t="s">
        <v>3228</v>
      </c>
      <c r="C3231" s="27">
        <v>2698</v>
      </c>
      <c r="D3231" s="14" t="s">
        <v>273</v>
      </c>
      <c r="E3231" s="229"/>
      <c r="F3231" s="117" t="s">
        <v>9940</v>
      </c>
      <c r="G3231" s="26">
        <v>3619</v>
      </c>
      <c r="H3231" s="231"/>
      <c r="I3231" s="221"/>
      <c r="J3231" s="221"/>
      <c r="K3231" s="221"/>
      <c r="L3231" s="221"/>
      <c r="M3231" s="221"/>
      <c r="N3231" s="221"/>
      <c r="O3231" s="225"/>
      <c r="P3231" s="118" t="s">
        <v>2404</v>
      </c>
      <c r="Q3231" s="16" t="s">
        <v>20</v>
      </c>
      <c r="R3231" s="17" t="s">
        <v>10292</v>
      </c>
      <c r="S3231" s="121"/>
      <c r="T3231" s="122"/>
      <c r="U3231" s="22"/>
      <c r="V3231" s="123" t="s">
        <v>6682</v>
      </c>
      <c r="W3231" s="122">
        <v>56669</v>
      </c>
      <c r="X3231" s="221"/>
      <c r="Y3231" s="221"/>
      <c r="Z3231" s="221"/>
      <c r="AA3231" s="221"/>
      <c r="AB3231" s="223"/>
    </row>
    <row r="3232" spans="1:28" ht="17.100000000000001" customHeight="1" thickTop="1">
      <c r="A3232" s="226" t="s">
        <v>10011</v>
      </c>
      <c r="B3232" s="28">
        <v>45967</v>
      </c>
      <c r="C3232" s="25">
        <v>2133</v>
      </c>
      <c r="D3232" s="13" t="s">
        <v>4050</v>
      </c>
      <c r="E3232" s="228"/>
      <c r="F3232" s="109" t="s">
        <v>2943</v>
      </c>
      <c r="G3232" s="24"/>
      <c r="H3232" s="230">
        <v>4.5</v>
      </c>
      <c r="I3232" s="220">
        <v>771000</v>
      </c>
      <c r="J3232" s="220">
        <f>I3232*0.1</f>
        <v>77100</v>
      </c>
      <c r="K3232" s="220">
        <v>0</v>
      </c>
      <c r="L3232" s="220">
        <v>8400</v>
      </c>
      <c r="M3232" s="220">
        <v>13750</v>
      </c>
      <c r="N3232" s="220">
        <f>SUM(I3232:M3233)</f>
        <v>870250</v>
      </c>
      <c r="O3232" s="224"/>
      <c r="P3232" s="110" t="s">
        <v>10312</v>
      </c>
      <c r="Q3232" s="15" t="s">
        <v>19</v>
      </c>
      <c r="R3232" s="205"/>
      <c r="S3232" s="189"/>
      <c r="T3232" s="114"/>
      <c r="U3232" s="21"/>
      <c r="V3232" s="115">
        <v>45983</v>
      </c>
      <c r="W3232" s="116">
        <v>1277</v>
      </c>
      <c r="X3232" s="220">
        <v>840000</v>
      </c>
      <c r="Y3232" s="220">
        <f>X3232*0.1</f>
        <v>84000</v>
      </c>
      <c r="Z3232" s="220">
        <v>8400</v>
      </c>
      <c r="AA3232" s="220">
        <f>SUM(X3232:Z3232)</f>
        <v>932400</v>
      </c>
      <c r="AB3232" s="222">
        <v>45987</v>
      </c>
    </row>
    <row r="3233" spans="1:28" ht="17.100000000000001" customHeight="1" thickBot="1">
      <c r="A3233" s="227"/>
      <c r="B3233" s="27" t="s">
        <v>3228</v>
      </c>
      <c r="C3233" s="27">
        <v>2700</v>
      </c>
      <c r="D3233" s="14" t="s">
        <v>273</v>
      </c>
      <c r="E3233" s="229"/>
      <c r="F3233" s="117" t="s">
        <v>9941</v>
      </c>
      <c r="G3233" s="26">
        <v>28509</v>
      </c>
      <c r="H3233" s="231"/>
      <c r="I3233" s="221"/>
      <c r="J3233" s="221"/>
      <c r="K3233" s="221"/>
      <c r="L3233" s="221"/>
      <c r="M3233" s="221"/>
      <c r="N3233" s="221"/>
      <c r="O3233" s="225"/>
      <c r="P3233" s="118" t="s">
        <v>3820</v>
      </c>
      <c r="Q3233" s="16" t="s">
        <v>20</v>
      </c>
      <c r="R3233" s="17" t="s">
        <v>10292</v>
      </c>
      <c r="S3233" s="121"/>
      <c r="T3233" s="122"/>
      <c r="U3233" s="22"/>
      <c r="V3233" s="123" t="s">
        <v>2472</v>
      </c>
      <c r="W3233" s="122">
        <v>60259</v>
      </c>
      <c r="X3233" s="221"/>
      <c r="Y3233" s="221"/>
      <c r="Z3233" s="221"/>
      <c r="AA3233" s="221"/>
      <c r="AB3233" s="223"/>
    </row>
    <row r="3234" spans="1:28" ht="17.100000000000001" customHeight="1" thickTop="1">
      <c r="A3234" s="226" t="s">
        <v>10077</v>
      </c>
      <c r="B3234" s="28">
        <v>45968</v>
      </c>
      <c r="C3234" s="25">
        <v>66</v>
      </c>
      <c r="D3234" s="13" t="s">
        <v>1678</v>
      </c>
      <c r="E3234" s="228"/>
      <c r="F3234" s="109" t="s">
        <v>10050</v>
      </c>
      <c r="G3234" s="24" t="s">
        <v>1551</v>
      </c>
      <c r="H3234" s="230">
        <v>4</v>
      </c>
      <c r="I3234" s="220">
        <v>780000</v>
      </c>
      <c r="J3234" s="220">
        <f>I3234*0.1</f>
        <v>78000</v>
      </c>
      <c r="K3234" s="220">
        <v>0</v>
      </c>
      <c r="L3234" s="220">
        <v>6860</v>
      </c>
      <c r="M3234" s="220">
        <v>33000</v>
      </c>
      <c r="N3234" s="220">
        <f>SUM(I3234:M3235)</f>
        <v>897860</v>
      </c>
      <c r="O3234" s="224"/>
      <c r="P3234" s="110" t="s">
        <v>11750</v>
      </c>
      <c r="Q3234" s="15" t="s">
        <v>19</v>
      </c>
      <c r="R3234" s="205"/>
      <c r="S3234" s="189" t="s">
        <v>25541</v>
      </c>
      <c r="T3234" s="114"/>
      <c r="U3234" s="21"/>
      <c r="V3234" s="115">
        <v>45990</v>
      </c>
      <c r="W3234" s="116">
        <v>1278</v>
      </c>
      <c r="X3234" s="220">
        <v>940000</v>
      </c>
      <c r="Y3234" s="220">
        <f>X3234*0.1</f>
        <v>94000</v>
      </c>
      <c r="Z3234" s="220">
        <v>6860</v>
      </c>
      <c r="AA3234" s="220">
        <f>SUM(X3234:Z3234)</f>
        <v>1040860</v>
      </c>
      <c r="AB3234" s="222">
        <v>45994</v>
      </c>
    </row>
    <row r="3235" spans="1:28" ht="17.100000000000001" customHeight="1" thickBot="1">
      <c r="A3235" s="227"/>
      <c r="B3235" s="27" t="s">
        <v>4468</v>
      </c>
      <c r="C3235" s="27">
        <v>1016</v>
      </c>
      <c r="D3235" s="14" t="s">
        <v>1710</v>
      </c>
      <c r="E3235" s="229"/>
      <c r="F3235" s="117" t="s">
        <v>10051</v>
      </c>
      <c r="G3235" s="26">
        <v>6858</v>
      </c>
      <c r="H3235" s="231"/>
      <c r="I3235" s="221"/>
      <c r="J3235" s="221"/>
      <c r="K3235" s="221"/>
      <c r="L3235" s="221"/>
      <c r="M3235" s="221"/>
      <c r="N3235" s="221"/>
      <c r="O3235" s="225"/>
      <c r="P3235" s="118" t="s">
        <v>11751</v>
      </c>
      <c r="Q3235" s="16" t="s">
        <v>20</v>
      </c>
      <c r="R3235" s="17" t="s">
        <v>11749</v>
      </c>
      <c r="S3235" s="121" t="s">
        <v>1625</v>
      </c>
      <c r="T3235" s="122"/>
      <c r="U3235" s="22"/>
      <c r="V3235" s="123" t="s">
        <v>7160</v>
      </c>
      <c r="W3235" s="122">
        <v>65391</v>
      </c>
      <c r="X3235" s="221"/>
      <c r="Y3235" s="221"/>
      <c r="Z3235" s="221"/>
      <c r="AA3235" s="221"/>
      <c r="AB3235" s="223"/>
    </row>
    <row r="3236" spans="1:28" ht="17.100000000000001" customHeight="1" thickTop="1">
      <c r="A3236" s="233" t="s">
        <v>10078</v>
      </c>
      <c r="B3236" s="28">
        <v>45968</v>
      </c>
      <c r="C3236" s="25">
        <v>66</v>
      </c>
      <c r="D3236" s="13" t="s">
        <v>1963</v>
      </c>
      <c r="E3236" s="228"/>
      <c r="F3236" s="109" t="s">
        <v>10052</v>
      </c>
      <c r="G3236" s="24" t="s">
        <v>2084</v>
      </c>
      <c r="H3236" s="230">
        <v>4.5</v>
      </c>
      <c r="I3236" s="220">
        <v>2055000</v>
      </c>
      <c r="J3236" s="220">
        <f>I3236*0.1</f>
        <v>205500</v>
      </c>
      <c r="K3236" s="220">
        <f>7600+760</f>
        <v>8360</v>
      </c>
      <c r="L3236" s="220">
        <v>11740</v>
      </c>
      <c r="M3236" s="220">
        <v>66000</v>
      </c>
      <c r="N3236" s="220">
        <f>SUM(I3236:M3237)</f>
        <v>2346600</v>
      </c>
      <c r="O3236" s="224"/>
      <c r="P3236" s="110" t="s">
        <v>14319</v>
      </c>
      <c r="Q3236" s="15" t="s">
        <v>19</v>
      </c>
      <c r="R3236" s="205"/>
      <c r="S3236" s="189" t="s">
        <v>25577</v>
      </c>
      <c r="T3236" s="114"/>
      <c r="U3236" s="21"/>
      <c r="V3236" s="115">
        <v>46032</v>
      </c>
      <c r="W3236" s="116">
        <v>1283</v>
      </c>
      <c r="X3236" s="220">
        <v>2170000</v>
      </c>
      <c r="Y3236" s="220">
        <f>X3236*0.1</f>
        <v>217000</v>
      </c>
      <c r="Z3236" s="220">
        <v>11740</v>
      </c>
      <c r="AA3236" s="220">
        <f>SUM(X3236:Z3236)</f>
        <v>2398740</v>
      </c>
      <c r="AB3236" s="222">
        <v>46036</v>
      </c>
    </row>
    <row r="3237" spans="1:28" ht="17.100000000000001" customHeight="1" thickBot="1">
      <c r="A3237" s="234"/>
      <c r="B3237" s="27" t="s">
        <v>4468</v>
      </c>
      <c r="C3237" s="27">
        <v>1031</v>
      </c>
      <c r="D3237" s="14" t="s">
        <v>2559</v>
      </c>
      <c r="E3237" s="229"/>
      <c r="F3237" s="117" t="s">
        <v>10053</v>
      </c>
      <c r="G3237" s="26">
        <v>46705</v>
      </c>
      <c r="H3237" s="231"/>
      <c r="I3237" s="221"/>
      <c r="J3237" s="221"/>
      <c r="K3237" s="221"/>
      <c r="L3237" s="221"/>
      <c r="M3237" s="221"/>
      <c r="N3237" s="221"/>
      <c r="O3237" s="225"/>
      <c r="P3237" s="118" t="s">
        <v>4211</v>
      </c>
      <c r="Q3237" s="16" t="s">
        <v>20</v>
      </c>
      <c r="R3237" s="17" t="s">
        <v>4050</v>
      </c>
      <c r="S3237" s="121" t="s">
        <v>14321</v>
      </c>
      <c r="T3237" s="122"/>
      <c r="U3237" s="22"/>
      <c r="V3237" s="123" t="s">
        <v>2472</v>
      </c>
      <c r="W3237" s="122">
        <v>37797</v>
      </c>
      <c r="X3237" s="221"/>
      <c r="Y3237" s="221"/>
      <c r="Z3237" s="221"/>
      <c r="AA3237" s="221"/>
      <c r="AB3237" s="223"/>
    </row>
    <row r="3238" spans="1:28" ht="17.100000000000001" customHeight="1" thickTop="1">
      <c r="A3238" s="226" t="s">
        <v>10079</v>
      </c>
      <c r="B3238" s="28">
        <v>45968</v>
      </c>
      <c r="C3238" s="25">
        <v>66</v>
      </c>
      <c r="D3238" s="13" t="s">
        <v>2811</v>
      </c>
      <c r="E3238" s="228"/>
      <c r="F3238" s="109" t="s">
        <v>10054</v>
      </c>
      <c r="G3238" s="24" t="s">
        <v>2813</v>
      </c>
      <c r="H3238" s="230">
        <v>5</v>
      </c>
      <c r="I3238" s="220">
        <v>2005000</v>
      </c>
      <c r="J3238" s="220">
        <f>I3238*0.1</f>
        <v>200500</v>
      </c>
      <c r="K3238" s="220">
        <v>0</v>
      </c>
      <c r="L3238" s="220">
        <v>7790</v>
      </c>
      <c r="M3238" s="220">
        <v>66000</v>
      </c>
      <c r="N3238" s="220">
        <f>SUM(I3238:M3239)</f>
        <v>2279290</v>
      </c>
      <c r="O3238" s="224"/>
      <c r="P3238" s="110" t="s">
        <v>11640</v>
      </c>
      <c r="Q3238" s="15" t="s">
        <v>19</v>
      </c>
      <c r="R3238" s="205"/>
      <c r="S3238" s="189" t="s">
        <v>25533</v>
      </c>
      <c r="T3238" s="114"/>
      <c r="U3238" s="21"/>
      <c r="V3238" s="115">
        <v>45993</v>
      </c>
      <c r="W3238" s="116">
        <v>1920</v>
      </c>
      <c r="X3238" s="220">
        <v>2201000</v>
      </c>
      <c r="Y3238" s="220">
        <f>X3238*0.1</f>
        <v>220100</v>
      </c>
      <c r="Z3238" s="220">
        <v>7790</v>
      </c>
      <c r="AA3238" s="220">
        <f>SUM(X3238:Z3238)</f>
        <v>2428890</v>
      </c>
      <c r="AB3238" s="222"/>
    </row>
    <row r="3239" spans="1:28" ht="17.100000000000001" customHeight="1" thickBot="1">
      <c r="A3239" s="227"/>
      <c r="B3239" s="27" t="s">
        <v>4468</v>
      </c>
      <c r="C3239" s="27">
        <v>1038</v>
      </c>
      <c r="D3239" s="14" t="s">
        <v>2788</v>
      </c>
      <c r="E3239" s="229"/>
      <c r="F3239" s="117" t="s">
        <v>10055</v>
      </c>
      <c r="G3239" s="26">
        <v>17353</v>
      </c>
      <c r="H3239" s="231"/>
      <c r="I3239" s="221"/>
      <c r="J3239" s="221"/>
      <c r="K3239" s="221"/>
      <c r="L3239" s="221"/>
      <c r="M3239" s="221"/>
      <c r="N3239" s="221"/>
      <c r="O3239" s="225"/>
      <c r="P3239" s="118" t="s">
        <v>11641</v>
      </c>
      <c r="Q3239" s="16" t="s">
        <v>20</v>
      </c>
      <c r="R3239" s="17" t="s">
        <v>1713</v>
      </c>
      <c r="S3239" s="121" t="s">
        <v>1731</v>
      </c>
      <c r="T3239" s="122"/>
      <c r="U3239" s="22"/>
      <c r="V3239" s="123" t="s">
        <v>2103</v>
      </c>
      <c r="W3239" s="122">
        <v>3321</v>
      </c>
      <c r="X3239" s="221"/>
      <c r="Y3239" s="221"/>
      <c r="Z3239" s="221"/>
      <c r="AA3239" s="221"/>
      <c r="AB3239" s="223"/>
    </row>
    <row r="3240" spans="1:28" ht="17.100000000000001" customHeight="1" thickTop="1">
      <c r="A3240" s="226" t="s">
        <v>10080</v>
      </c>
      <c r="B3240" s="28">
        <v>45968</v>
      </c>
      <c r="C3240" s="25">
        <v>66</v>
      </c>
      <c r="D3240" s="13" t="s">
        <v>1947</v>
      </c>
      <c r="E3240" s="228"/>
      <c r="F3240" s="109" t="s">
        <v>10056</v>
      </c>
      <c r="G3240" s="24" t="s">
        <v>2871</v>
      </c>
      <c r="H3240" s="230">
        <v>4</v>
      </c>
      <c r="I3240" s="220">
        <v>2555000</v>
      </c>
      <c r="J3240" s="220">
        <f>I3240*0.1</f>
        <v>255500</v>
      </c>
      <c r="K3240" s="220">
        <f>12000+1200</f>
        <v>13200</v>
      </c>
      <c r="L3240" s="220">
        <v>12160</v>
      </c>
      <c r="M3240" s="220">
        <v>66000</v>
      </c>
      <c r="N3240" s="220">
        <f>SUM(I3240:M3241)</f>
        <v>2901860</v>
      </c>
      <c r="O3240" s="224"/>
      <c r="P3240" s="110" t="s">
        <v>11259</v>
      </c>
      <c r="Q3240" s="15" t="s">
        <v>19</v>
      </c>
      <c r="R3240" s="205"/>
      <c r="S3240" s="189" t="s">
        <v>25535</v>
      </c>
      <c r="T3240" s="114"/>
      <c r="U3240" s="21"/>
      <c r="V3240" s="115">
        <v>45990</v>
      </c>
      <c r="W3240" s="116">
        <v>1278</v>
      </c>
      <c r="X3240" s="220">
        <v>2635000</v>
      </c>
      <c r="Y3240" s="220">
        <f>X3240*0.1</f>
        <v>263500</v>
      </c>
      <c r="Z3240" s="220">
        <v>12100</v>
      </c>
      <c r="AA3240" s="220">
        <f>SUM(X3240:Z3240)</f>
        <v>2910600</v>
      </c>
      <c r="AB3240" s="222">
        <v>45994</v>
      </c>
    </row>
    <row r="3241" spans="1:28" ht="17.100000000000001" customHeight="1" thickBot="1">
      <c r="A3241" s="227"/>
      <c r="B3241" s="27" t="s">
        <v>4468</v>
      </c>
      <c r="C3241" s="27">
        <v>1054</v>
      </c>
      <c r="D3241" s="14" t="s">
        <v>273</v>
      </c>
      <c r="E3241" s="229"/>
      <c r="F3241" s="117" t="s">
        <v>10057</v>
      </c>
      <c r="G3241" s="26">
        <v>20394</v>
      </c>
      <c r="H3241" s="231"/>
      <c r="I3241" s="221"/>
      <c r="J3241" s="221"/>
      <c r="K3241" s="221"/>
      <c r="L3241" s="221"/>
      <c r="M3241" s="221"/>
      <c r="N3241" s="221"/>
      <c r="O3241" s="225"/>
      <c r="P3241" s="118" t="s">
        <v>11260</v>
      </c>
      <c r="Q3241" s="16" t="s">
        <v>20</v>
      </c>
      <c r="R3241" s="17" t="s">
        <v>2174</v>
      </c>
      <c r="S3241" s="121" t="s">
        <v>2312</v>
      </c>
      <c r="T3241" s="122"/>
      <c r="U3241" s="22"/>
      <c r="V3241" s="123" t="s">
        <v>2472</v>
      </c>
      <c r="W3241" s="122">
        <v>37099</v>
      </c>
      <c r="X3241" s="221"/>
      <c r="Y3241" s="221"/>
      <c r="Z3241" s="221"/>
      <c r="AA3241" s="221"/>
      <c r="AB3241" s="223"/>
    </row>
    <row r="3242" spans="1:28" ht="17.100000000000001" customHeight="1" thickTop="1">
      <c r="A3242" s="226" t="s">
        <v>10081</v>
      </c>
      <c r="B3242" s="28">
        <v>45968</v>
      </c>
      <c r="C3242" s="25">
        <v>66</v>
      </c>
      <c r="D3242" s="13" t="s">
        <v>2441</v>
      </c>
      <c r="E3242" s="228"/>
      <c r="F3242" s="109" t="s">
        <v>8680</v>
      </c>
      <c r="G3242" s="24" t="s">
        <v>2124</v>
      </c>
      <c r="H3242" s="230">
        <v>5</v>
      </c>
      <c r="I3242" s="220">
        <v>2515000</v>
      </c>
      <c r="J3242" s="220">
        <f>I3242*0.1</f>
        <v>251500</v>
      </c>
      <c r="K3242" s="220">
        <f>10100+1010</f>
        <v>11110</v>
      </c>
      <c r="L3242" s="220">
        <v>10470</v>
      </c>
      <c r="M3242" s="220">
        <v>66000</v>
      </c>
      <c r="N3242" s="220">
        <f>SUM(I3242:M3243)</f>
        <v>2854080</v>
      </c>
      <c r="O3242" s="224"/>
      <c r="P3242" s="110" t="s">
        <v>11104</v>
      </c>
      <c r="Q3242" s="15" t="s">
        <v>19</v>
      </c>
      <c r="R3242" s="205"/>
      <c r="S3242" s="189" t="s">
        <v>25541</v>
      </c>
      <c r="T3242" s="114"/>
      <c r="U3242" s="21"/>
      <c r="V3242" s="115">
        <v>45983</v>
      </c>
      <c r="W3242" s="116">
        <v>1277</v>
      </c>
      <c r="X3242" s="220">
        <v>2685000</v>
      </c>
      <c r="Y3242" s="220">
        <f>X3242*0.1</f>
        <v>268500</v>
      </c>
      <c r="Z3242" s="220">
        <v>10470</v>
      </c>
      <c r="AA3242" s="220">
        <f>SUM(X3242:Z3242)</f>
        <v>2963970</v>
      </c>
      <c r="AB3242" s="222">
        <v>45987</v>
      </c>
    </row>
    <row r="3243" spans="1:28" ht="17.100000000000001" customHeight="1" thickBot="1">
      <c r="A3243" s="227"/>
      <c r="B3243" s="27" t="s">
        <v>4468</v>
      </c>
      <c r="C3243" s="27">
        <v>1060</v>
      </c>
      <c r="D3243" s="14" t="s">
        <v>273</v>
      </c>
      <c r="E3243" s="229"/>
      <c r="F3243" s="117" t="s">
        <v>10058</v>
      </c>
      <c r="G3243" s="26">
        <v>7518</v>
      </c>
      <c r="H3243" s="231"/>
      <c r="I3243" s="221"/>
      <c r="J3243" s="221"/>
      <c r="K3243" s="221"/>
      <c r="L3243" s="221"/>
      <c r="M3243" s="221"/>
      <c r="N3243" s="221"/>
      <c r="O3243" s="225"/>
      <c r="P3243" s="118" t="s">
        <v>11105</v>
      </c>
      <c r="Q3243" s="16" t="s">
        <v>20</v>
      </c>
      <c r="R3243" s="17" t="s">
        <v>2586</v>
      </c>
      <c r="S3243" s="121" t="s">
        <v>4035</v>
      </c>
      <c r="T3243" s="122"/>
      <c r="U3243" s="22"/>
      <c r="V3243" s="123" t="s">
        <v>2472</v>
      </c>
      <c r="W3243" s="122">
        <v>37692</v>
      </c>
      <c r="X3243" s="221"/>
      <c r="Y3243" s="221"/>
      <c r="Z3243" s="221"/>
      <c r="AA3243" s="221"/>
      <c r="AB3243" s="223"/>
    </row>
    <row r="3244" spans="1:28" ht="17.100000000000001" customHeight="1" thickTop="1">
      <c r="A3244" s="226" t="s">
        <v>10082</v>
      </c>
      <c r="B3244" s="28">
        <v>45968</v>
      </c>
      <c r="C3244" s="25">
        <v>2109</v>
      </c>
      <c r="D3244" s="13" t="s">
        <v>1883</v>
      </c>
      <c r="E3244" s="228"/>
      <c r="F3244" s="109" t="s">
        <v>10061</v>
      </c>
      <c r="G3244" s="24"/>
      <c r="H3244" s="230">
        <v>4.5</v>
      </c>
      <c r="I3244" s="220">
        <v>2095000</v>
      </c>
      <c r="J3244" s="220">
        <f>I3244*0.1</f>
        <v>209500</v>
      </c>
      <c r="K3244" s="220">
        <v>0</v>
      </c>
      <c r="L3244" s="220">
        <v>19560</v>
      </c>
      <c r="M3244" s="220">
        <v>16500</v>
      </c>
      <c r="N3244" s="220">
        <f>SUM(I3244:M3245)</f>
        <v>2340560</v>
      </c>
      <c r="O3244" s="224"/>
      <c r="P3244" s="110" t="s">
        <v>10481</v>
      </c>
      <c r="Q3244" s="15" t="s">
        <v>19</v>
      </c>
      <c r="R3244" s="205"/>
      <c r="S3244" s="189" t="s">
        <v>25585</v>
      </c>
      <c r="T3244" s="114"/>
      <c r="U3244" s="21"/>
      <c r="V3244" s="115">
        <v>45990</v>
      </c>
      <c r="W3244" s="116">
        <v>1278</v>
      </c>
      <c r="X3244" s="220">
        <v>2110000</v>
      </c>
      <c r="Y3244" s="220">
        <f>X3244*0.1</f>
        <v>211000</v>
      </c>
      <c r="Z3244" s="220">
        <v>19560</v>
      </c>
      <c r="AA3244" s="220">
        <f>SUM(X3244:Z3244)</f>
        <v>2340560</v>
      </c>
      <c r="AB3244" s="222">
        <v>46000</v>
      </c>
    </row>
    <row r="3245" spans="1:28" ht="17.100000000000001" customHeight="1" thickBot="1">
      <c r="A3245" s="227"/>
      <c r="B3245" s="27" t="s">
        <v>1536</v>
      </c>
      <c r="C3245" s="27">
        <v>13057</v>
      </c>
      <c r="D3245" s="14" t="s">
        <v>131</v>
      </c>
      <c r="E3245" s="229"/>
      <c r="F3245" s="117" t="s">
        <v>10062</v>
      </c>
      <c r="G3245" s="26">
        <v>72530</v>
      </c>
      <c r="H3245" s="231"/>
      <c r="I3245" s="221"/>
      <c r="J3245" s="221"/>
      <c r="K3245" s="221"/>
      <c r="L3245" s="221"/>
      <c r="M3245" s="221"/>
      <c r="N3245" s="221"/>
      <c r="O3245" s="225"/>
      <c r="P3245" s="118" t="s">
        <v>291</v>
      </c>
      <c r="Q3245" s="16" t="s">
        <v>20</v>
      </c>
      <c r="R3245" s="17" t="s">
        <v>10387</v>
      </c>
      <c r="S3245" s="121" t="s">
        <v>10482</v>
      </c>
      <c r="T3245" s="122"/>
      <c r="U3245" s="22"/>
      <c r="V3245" s="123" t="s">
        <v>6641</v>
      </c>
      <c r="W3245" s="122">
        <v>80407</v>
      </c>
      <c r="X3245" s="221"/>
      <c r="Y3245" s="221"/>
      <c r="Z3245" s="221"/>
      <c r="AA3245" s="221"/>
      <c r="AB3245" s="223"/>
    </row>
    <row r="3246" spans="1:28" ht="17.100000000000001" customHeight="1" thickTop="1">
      <c r="A3246" s="226" t="s">
        <v>10083</v>
      </c>
      <c r="B3246" s="28">
        <v>45968</v>
      </c>
      <c r="C3246" s="25">
        <v>2109</v>
      </c>
      <c r="D3246" s="13" t="s">
        <v>1802</v>
      </c>
      <c r="E3246" s="228"/>
      <c r="F3246" s="109" t="s">
        <v>10063</v>
      </c>
      <c r="G3246" s="24" t="s">
        <v>10065</v>
      </c>
      <c r="H3246" s="230">
        <v>4.5</v>
      </c>
      <c r="I3246" s="220">
        <v>3740000</v>
      </c>
      <c r="J3246" s="220">
        <f>I3246*0.1</f>
        <v>374000</v>
      </c>
      <c r="K3246" s="220">
        <f>17000+1700</f>
        <v>18700</v>
      </c>
      <c r="L3246" s="220">
        <v>20700</v>
      </c>
      <c r="M3246" s="220">
        <v>16500</v>
      </c>
      <c r="N3246" s="220">
        <f>SUM(I3246:M3247)</f>
        <v>4169900</v>
      </c>
      <c r="O3246" s="224"/>
      <c r="P3246" s="110" t="s">
        <v>10066</v>
      </c>
      <c r="Q3246" s="15" t="s">
        <v>19</v>
      </c>
      <c r="R3246" s="205"/>
      <c r="S3246" s="189" t="s">
        <v>1271</v>
      </c>
      <c r="T3246" s="114"/>
      <c r="U3246" s="21"/>
      <c r="V3246" s="115"/>
      <c r="W3246" s="116"/>
      <c r="X3246" s="220"/>
      <c r="Y3246" s="220">
        <f>X3246*0.1</f>
        <v>0</v>
      </c>
      <c r="Z3246" s="220"/>
      <c r="AA3246" s="220">
        <f>SUM(X3246:Z3246)</f>
        <v>0</v>
      </c>
      <c r="AB3246" s="222"/>
    </row>
    <row r="3247" spans="1:28" ht="17.100000000000001" customHeight="1" thickBot="1">
      <c r="A3247" s="227"/>
      <c r="B3247" s="27" t="s">
        <v>1536</v>
      </c>
      <c r="C3247" s="27">
        <v>20290</v>
      </c>
      <c r="D3247" s="14" t="s">
        <v>1568</v>
      </c>
      <c r="E3247" s="229"/>
      <c r="F3247" s="117" t="s">
        <v>10064</v>
      </c>
      <c r="G3247" s="26">
        <v>51881</v>
      </c>
      <c r="H3247" s="231"/>
      <c r="I3247" s="221"/>
      <c r="J3247" s="221"/>
      <c r="K3247" s="221"/>
      <c r="L3247" s="221"/>
      <c r="M3247" s="221"/>
      <c r="N3247" s="221"/>
      <c r="O3247" s="225"/>
      <c r="P3247" s="118" t="s">
        <v>10483</v>
      </c>
      <c r="Q3247" s="16" t="s">
        <v>20</v>
      </c>
      <c r="R3247" s="17" t="s">
        <v>10387</v>
      </c>
      <c r="S3247" s="121" t="s">
        <v>10484</v>
      </c>
      <c r="T3247" s="122"/>
      <c r="U3247" s="22"/>
      <c r="V3247" s="123"/>
      <c r="W3247" s="122"/>
      <c r="X3247" s="221"/>
      <c r="Y3247" s="221"/>
      <c r="Z3247" s="221"/>
      <c r="AA3247" s="221"/>
      <c r="AB3247" s="223"/>
    </row>
    <row r="3248" spans="1:28" ht="17.100000000000001" customHeight="1" thickTop="1">
      <c r="A3248" s="226" t="s">
        <v>10084</v>
      </c>
      <c r="B3248" s="28">
        <v>45968</v>
      </c>
      <c r="C3248" s="25">
        <v>2109</v>
      </c>
      <c r="D3248" s="13" t="s">
        <v>2892</v>
      </c>
      <c r="E3248" s="228"/>
      <c r="F3248" s="109" t="s">
        <v>1141</v>
      </c>
      <c r="G3248" s="24" t="s">
        <v>10068</v>
      </c>
      <c r="H3248" s="230">
        <v>4.5</v>
      </c>
      <c r="I3248" s="220">
        <v>1250000</v>
      </c>
      <c r="J3248" s="220">
        <f>I3248*0.1</f>
        <v>125000</v>
      </c>
      <c r="K3248" s="220">
        <f>13100+1310</f>
        <v>14410</v>
      </c>
      <c r="L3248" s="220">
        <v>16240</v>
      </c>
      <c r="M3248" s="220">
        <v>27500</v>
      </c>
      <c r="N3248" s="220">
        <f>SUM(I3248:M3249)</f>
        <v>1433150</v>
      </c>
      <c r="O3248" s="224"/>
      <c r="P3248" s="110" t="s">
        <v>10069</v>
      </c>
      <c r="Q3248" s="15" t="s">
        <v>19</v>
      </c>
      <c r="R3248" s="205"/>
      <c r="S3248" s="189" t="s">
        <v>25586</v>
      </c>
      <c r="T3248" s="114"/>
      <c r="U3248" s="21"/>
      <c r="V3248" s="115">
        <v>45981</v>
      </c>
      <c r="W3248" s="116">
        <v>1307</v>
      </c>
      <c r="X3248" s="220">
        <v>1400000</v>
      </c>
      <c r="Y3248" s="220">
        <f>X3248*0.1</f>
        <v>140000</v>
      </c>
      <c r="Z3248" s="220">
        <v>16240</v>
      </c>
      <c r="AA3248" s="220">
        <f>SUM(X3248:Z3248)</f>
        <v>1556240</v>
      </c>
      <c r="AB3248" s="222">
        <v>45982</v>
      </c>
    </row>
    <row r="3249" spans="1:28" ht="17.100000000000001" customHeight="1" thickBot="1">
      <c r="A3249" s="227"/>
      <c r="B3249" s="27" t="s">
        <v>1536</v>
      </c>
      <c r="C3249" s="27">
        <v>58091</v>
      </c>
      <c r="D3249" s="14" t="s">
        <v>273</v>
      </c>
      <c r="E3249" s="229"/>
      <c r="F3249" s="117" t="s">
        <v>10067</v>
      </c>
      <c r="G3249" s="26">
        <v>54728</v>
      </c>
      <c r="H3249" s="231"/>
      <c r="I3249" s="221"/>
      <c r="J3249" s="221"/>
      <c r="K3249" s="221"/>
      <c r="L3249" s="221"/>
      <c r="M3249" s="221"/>
      <c r="N3249" s="221"/>
      <c r="O3249" s="225"/>
      <c r="P3249" s="118" t="s">
        <v>10485</v>
      </c>
      <c r="Q3249" s="16" t="s">
        <v>20</v>
      </c>
      <c r="R3249" s="17" t="s">
        <v>10387</v>
      </c>
      <c r="S3249" s="121" t="s">
        <v>10486</v>
      </c>
      <c r="T3249" s="122"/>
      <c r="U3249" s="22"/>
      <c r="V3249" s="123" t="s">
        <v>1735</v>
      </c>
      <c r="W3249" s="122">
        <v>100</v>
      </c>
      <c r="X3249" s="221"/>
      <c r="Y3249" s="221"/>
      <c r="Z3249" s="221"/>
      <c r="AA3249" s="221"/>
      <c r="AB3249" s="223"/>
    </row>
    <row r="3250" spans="1:28" ht="17.100000000000001" customHeight="1" thickTop="1">
      <c r="A3250" s="226" t="s">
        <v>10085</v>
      </c>
      <c r="B3250" s="28">
        <v>45968</v>
      </c>
      <c r="C3250" s="25">
        <v>2109</v>
      </c>
      <c r="D3250" s="13" t="s">
        <v>2324</v>
      </c>
      <c r="E3250" s="228"/>
      <c r="F3250" s="109" t="s">
        <v>7257</v>
      </c>
      <c r="G3250" s="24" t="s">
        <v>8355</v>
      </c>
      <c r="H3250" s="230">
        <v>4.5</v>
      </c>
      <c r="I3250" s="220">
        <v>1620000</v>
      </c>
      <c r="J3250" s="220">
        <f>I3250*0.1</f>
        <v>162000</v>
      </c>
      <c r="K3250" s="220">
        <f>10100+1010</f>
        <v>11110</v>
      </c>
      <c r="L3250" s="220">
        <v>19090</v>
      </c>
      <c r="M3250" s="220">
        <v>27500</v>
      </c>
      <c r="N3250" s="220">
        <f>SUM(I3250:M3251)</f>
        <v>1839700</v>
      </c>
      <c r="O3250" s="224"/>
      <c r="P3250" s="110" t="s">
        <v>10071</v>
      </c>
      <c r="Q3250" s="15" t="s">
        <v>19</v>
      </c>
      <c r="R3250" s="205"/>
      <c r="S3250" s="189" t="s">
        <v>1312</v>
      </c>
      <c r="T3250" s="114"/>
      <c r="U3250" s="21"/>
      <c r="V3250" s="115">
        <v>45974</v>
      </c>
      <c r="W3250" s="116">
        <v>1306</v>
      </c>
      <c r="X3250" s="220">
        <v>1800000</v>
      </c>
      <c r="Y3250" s="220">
        <f>X3250*0.1</f>
        <v>180000</v>
      </c>
      <c r="Z3250" s="220">
        <v>19090</v>
      </c>
      <c r="AA3250" s="220">
        <f>SUM(X3250:Z3250)</f>
        <v>1999090</v>
      </c>
      <c r="AB3250" s="222">
        <v>45975</v>
      </c>
    </row>
    <row r="3251" spans="1:28" ht="17.100000000000001" customHeight="1" thickBot="1">
      <c r="A3251" s="227"/>
      <c r="B3251" s="27" t="s">
        <v>1536</v>
      </c>
      <c r="C3251" s="27">
        <v>58231</v>
      </c>
      <c r="D3251" s="14" t="s">
        <v>131</v>
      </c>
      <c r="E3251" s="229"/>
      <c r="F3251" s="117" t="s">
        <v>10070</v>
      </c>
      <c r="G3251" s="26">
        <v>52987</v>
      </c>
      <c r="H3251" s="231"/>
      <c r="I3251" s="221"/>
      <c r="J3251" s="221"/>
      <c r="K3251" s="221"/>
      <c r="L3251" s="221"/>
      <c r="M3251" s="221"/>
      <c r="N3251" s="221"/>
      <c r="O3251" s="225"/>
      <c r="P3251" s="118" t="s">
        <v>10457</v>
      </c>
      <c r="Q3251" s="16" t="s">
        <v>20</v>
      </c>
      <c r="R3251" s="17" t="s">
        <v>10387</v>
      </c>
      <c r="S3251" s="121" t="s">
        <v>10458</v>
      </c>
      <c r="T3251" s="122"/>
      <c r="U3251" s="22"/>
      <c r="V3251" s="123" t="s">
        <v>1735</v>
      </c>
      <c r="W3251" s="122">
        <v>308</v>
      </c>
      <c r="X3251" s="221"/>
      <c r="Y3251" s="221"/>
      <c r="Z3251" s="221"/>
      <c r="AA3251" s="221"/>
      <c r="AB3251" s="223"/>
    </row>
    <row r="3252" spans="1:28" ht="17.100000000000001" customHeight="1" thickTop="1">
      <c r="A3252" s="233" t="s">
        <v>10086</v>
      </c>
      <c r="B3252" s="28">
        <v>45968</v>
      </c>
      <c r="C3252" s="25">
        <v>2109</v>
      </c>
      <c r="D3252" s="13" t="s">
        <v>2712</v>
      </c>
      <c r="E3252" s="228"/>
      <c r="F3252" s="109" t="s">
        <v>10072</v>
      </c>
      <c r="G3252" s="24" t="s">
        <v>2907</v>
      </c>
      <c r="H3252" s="230">
        <v>4.5</v>
      </c>
      <c r="I3252" s="220">
        <v>2080000</v>
      </c>
      <c r="J3252" s="220">
        <f>I3252*0.1</f>
        <v>208000</v>
      </c>
      <c r="K3252" s="220">
        <f>12000+1200</f>
        <v>13200</v>
      </c>
      <c r="L3252" s="220">
        <v>21720</v>
      </c>
      <c r="M3252" s="220">
        <v>16500</v>
      </c>
      <c r="N3252" s="220">
        <f>SUM(I3252:M3253)</f>
        <v>2339420</v>
      </c>
      <c r="O3252" s="224"/>
      <c r="P3252" s="110" t="s">
        <v>10074</v>
      </c>
      <c r="Q3252" s="15" t="s">
        <v>19</v>
      </c>
      <c r="R3252" s="205"/>
      <c r="S3252" s="189" t="s">
        <v>25383</v>
      </c>
      <c r="T3252" s="114"/>
      <c r="U3252" s="21" t="s">
        <v>12774</v>
      </c>
      <c r="V3252" s="115">
        <v>46032</v>
      </c>
      <c r="W3252" s="116">
        <v>1283</v>
      </c>
      <c r="X3252" s="220">
        <v>2200000</v>
      </c>
      <c r="Y3252" s="220">
        <f>X3252*0.1</f>
        <v>220000</v>
      </c>
      <c r="Z3252" s="220">
        <v>21720</v>
      </c>
      <c r="AA3252" s="220">
        <f>SUM(X3252:Z3252)</f>
        <v>2441720</v>
      </c>
      <c r="AB3252" s="222">
        <v>46036</v>
      </c>
    </row>
    <row r="3253" spans="1:28" ht="17.100000000000001" customHeight="1" thickBot="1">
      <c r="A3253" s="234"/>
      <c r="B3253" s="27" t="s">
        <v>1536</v>
      </c>
      <c r="C3253" s="27">
        <v>58375</v>
      </c>
      <c r="D3253" s="14" t="s">
        <v>2559</v>
      </c>
      <c r="E3253" s="229"/>
      <c r="F3253" s="117" t="s">
        <v>10073</v>
      </c>
      <c r="G3253" s="26">
        <v>56520</v>
      </c>
      <c r="H3253" s="231"/>
      <c r="I3253" s="221"/>
      <c r="J3253" s="221"/>
      <c r="K3253" s="221"/>
      <c r="L3253" s="221"/>
      <c r="M3253" s="221"/>
      <c r="N3253" s="221"/>
      <c r="O3253" s="225"/>
      <c r="P3253" s="118" t="s">
        <v>1972</v>
      </c>
      <c r="Q3253" s="16" t="s">
        <v>20</v>
      </c>
      <c r="R3253" s="17" t="s">
        <v>12584</v>
      </c>
      <c r="S3253" s="121" t="s">
        <v>1731</v>
      </c>
      <c r="T3253" s="122"/>
      <c r="U3253" s="22"/>
      <c r="V3253" s="123" t="s">
        <v>2472</v>
      </c>
      <c r="W3253" s="122">
        <v>80064</v>
      </c>
      <c r="X3253" s="221"/>
      <c r="Y3253" s="221"/>
      <c r="Z3253" s="221"/>
      <c r="AA3253" s="221"/>
      <c r="AB3253" s="223"/>
    </row>
    <row r="3254" spans="1:28" ht="17.100000000000001" customHeight="1" thickTop="1">
      <c r="A3254" s="226" t="s">
        <v>10087</v>
      </c>
      <c r="B3254" s="28">
        <v>45968</v>
      </c>
      <c r="C3254" s="25">
        <v>1393</v>
      </c>
      <c r="D3254" s="13" t="s">
        <v>1837</v>
      </c>
      <c r="E3254" s="228"/>
      <c r="F3254" s="109" t="s">
        <v>8869</v>
      </c>
      <c r="G3254" s="24"/>
      <c r="H3254" s="230">
        <v>4</v>
      </c>
      <c r="I3254" s="220">
        <v>480000</v>
      </c>
      <c r="J3254" s="220">
        <f>I3254*0.1</f>
        <v>48000</v>
      </c>
      <c r="K3254" s="220">
        <v>0</v>
      </c>
      <c r="L3254" s="220">
        <v>6540</v>
      </c>
      <c r="M3254" s="220">
        <v>13200</v>
      </c>
      <c r="N3254" s="220">
        <f>SUM(I3254:M3255)</f>
        <v>547740</v>
      </c>
      <c r="O3254" s="224"/>
      <c r="P3254" s="110" t="s">
        <v>10476</v>
      </c>
      <c r="Q3254" s="15" t="s">
        <v>19</v>
      </c>
      <c r="R3254" s="205"/>
      <c r="S3254" s="189"/>
      <c r="T3254" s="114"/>
      <c r="U3254" s="21"/>
      <c r="V3254" s="115">
        <v>45976</v>
      </c>
      <c r="W3254" s="116">
        <v>1276</v>
      </c>
      <c r="X3254" s="220">
        <v>580000</v>
      </c>
      <c r="Y3254" s="220">
        <f>X3254*0.1</f>
        <v>58000</v>
      </c>
      <c r="Z3254" s="220">
        <v>6540</v>
      </c>
      <c r="AA3254" s="220">
        <f>SUM(X3254:Z3254)</f>
        <v>644540</v>
      </c>
      <c r="AB3254" s="222">
        <v>45979</v>
      </c>
    </row>
    <row r="3255" spans="1:28" ht="17.100000000000001" customHeight="1" thickBot="1">
      <c r="A3255" s="227"/>
      <c r="B3255" s="27" t="s">
        <v>2597</v>
      </c>
      <c r="C3255" s="27">
        <v>1164</v>
      </c>
      <c r="D3255" s="14" t="s">
        <v>1584</v>
      </c>
      <c r="E3255" s="229"/>
      <c r="F3255" s="117" t="s">
        <v>10095</v>
      </c>
      <c r="G3255" s="26">
        <v>8694</v>
      </c>
      <c r="H3255" s="231"/>
      <c r="I3255" s="221"/>
      <c r="J3255" s="221"/>
      <c r="K3255" s="221"/>
      <c r="L3255" s="221"/>
      <c r="M3255" s="221"/>
      <c r="N3255" s="221"/>
      <c r="O3255" s="225"/>
      <c r="P3255" s="118" t="s">
        <v>1972</v>
      </c>
      <c r="Q3255" s="16" t="s">
        <v>20</v>
      </c>
      <c r="R3255" s="17" t="s">
        <v>10387</v>
      </c>
      <c r="S3255" s="121" t="s">
        <v>169</v>
      </c>
      <c r="T3255" s="122"/>
      <c r="U3255" s="22"/>
      <c r="V3255" s="123" t="s">
        <v>10781</v>
      </c>
      <c r="W3255" s="122">
        <v>60013</v>
      </c>
      <c r="X3255" s="221"/>
      <c r="Y3255" s="221"/>
      <c r="Z3255" s="221"/>
      <c r="AA3255" s="221"/>
      <c r="AB3255" s="223"/>
    </row>
    <row r="3256" spans="1:28" ht="17.100000000000001" customHeight="1" thickTop="1">
      <c r="A3256" s="226" t="s">
        <v>10088</v>
      </c>
      <c r="B3256" s="28">
        <v>45968</v>
      </c>
      <c r="C3256" s="25">
        <v>1393</v>
      </c>
      <c r="D3256" s="13" t="s">
        <v>2195</v>
      </c>
      <c r="E3256" s="228"/>
      <c r="F3256" s="109" t="s">
        <v>5304</v>
      </c>
      <c r="G3256" s="24" t="s">
        <v>3607</v>
      </c>
      <c r="H3256" s="230">
        <v>5</v>
      </c>
      <c r="I3256" s="220">
        <v>1924000</v>
      </c>
      <c r="J3256" s="220">
        <f>I3256*0.1</f>
        <v>192400</v>
      </c>
      <c r="K3256" s="220">
        <v>0</v>
      </c>
      <c r="L3256" s="220">
        <v>6860</v>
      </c>
      <c r="M3256" s="220">
        <v>13200</v>
      </c>
      <c r="N3256" s="220">
        <f>SUM(I3256:M3257)</f>
        <v>2136460</v>
      </c>
      <c r="O3256" s="224"/>
      <c r="P3256" s="110" t="s">
        <v>10463</v>
      </c>
      <c r="Q3256" s="15" t="s">
        <v>19</v>
      </c>
      <c r="R3256" s="205"/>
      <c r="S3256" s="189" t="s">
        <v>25564</v>
      </c>
      <c r="T3256" s="114" t="s">
        <v>11409</v>
      </c>
      <c r="U3256" s="21" t="s">
        <v>12773</v>
      </c>
      <c r="V3256" s="115"/>
      <c r="W3256" s="116"/>
      <c r="X3256" s="220"/>
      <c r="Y3256" s="220">
        <f>X3256*0.1</f>
        <v>0</v>
      </c>
      <c r="Z3256" s="220"/>
      <c r="AA3256" s="220">
        <f>SUM(X3256:Z3256)</f>
        <v>0</v>
      </c>
      <c r="AB3256" s="222"/>
    </row>
    <row r="3257" spans="1:28" ht="17.100000000000001" customHeight="1" thickBot="1">
      <c r="A3257" s="227"/>
      <c r="B3257" s="27" t="s">
        <v>2597</v>
      </c>
      <c r="C3257" s="27">
        <v>1811</v>
      </c>
      <c r="D3257" s="14" t="s">
        <v>1710</v>
      </c>
      <c r="E3257" s="229"/>
      <c r="F3257" s="117" t="s">
        <v>10096</v>
      </c>
      <c r="G3257" s="26">
        <v>2751</v>
      </c>
      <c r="H3257" s="231"/>
      <c r="I3257" s="221"/>
      <c r="J3257" s="221"/>
      <c r="K3257" s="221"/>
      <c r="L3257" s="221"/>
      <c r="M3257" s="221"/>
      <c r="N3257" s="221"/>
      <c r="O3257" s="225"/>
      <c r="P3257" s="118" t="s">
        <v>10464</v>
      </c>
      <c r="Q3257" s="16" t="s">
        <v>20</v>
      </c>
      <c r="R3257" s="17" t="s">
        <v>10387</v>
      </c>
      <c r="S3257" s="121" t="s">
        <v>10514</v>
      </c>
      <c r="T3257" s="122"/>
      <c r="U3257" s="22"/>
      <c r="V3257" s="123"/>
      <c r="W3257" s="122"/>
      <c r="X3257" s="221"/>
      <c r="Y3257" s="221"/>
      <c r="Z3257" s="221"/>
      <c r="AA3257" s="221"/>
      <c r="AB3257" s="223"/>
    </row>
    <row r="3258" spans="1:28" ht="17.100000000000001" customHeight="1" thickTop="1">
      <c r="A3258" s="226" t="s">
        <v>10089</v>
      </c>
      <c r="B3258" s="28">
        <v>45968</v>
      </c>
      <c r="C3258" s="25">
        <v>1393</v>
      </c>
      <c r="D3258" s="13" t="s">
        <v>1578</v>
      </c>
      <c r="E3258" s="228"/>
      <c r="F3258" s="109" t="s">
        <v>10106</v>
      </c>
      <c r="G3258" s="24" t="s">
        <v>10107</v>
      </c>
      <c r="H3258" s="230">
        <v>4.5</v>
      </c>
      <c r="I3258" s="220">
        <v>2820000</v>
      </c>
      <c r="J3258" s="220">
        <f>I3258*0.1</f>
        <v>282000</v>
      </c>
      <c r="K3258" s="220">
        <f>13100+1310</f>
        <v>14410</v>
      </c>
      <c r="L3258" s="220">
        <v>11110</v>
      </c>
      <c r="M3258" s="220">
        <v>13200</v>
      </c>
      <c r="N3258" s="220">
        <f>SUM(I3258:M3259)</f>
        <v>3140720</v>
      </c>
      <c r="O3258" s="224"/>
      <c r="P3258" s="110" t="s">
        <v>10535</v>
      </c>
      <c r="Q3258" s="15" t="s">
        <v>19</v>
      </c>
      <c r="R3258" s="205"/>
      <c r="S3258" s="189" t="s">
        <v>1361</v>
      </c>
      <c r="T3258" s="114"/>
      <c r="U3258" s="21"/>
      <c r="V3258" s="115">
        <v>45976</v>
      </c>
      <c r="W3258" s="116">
        <v>1276</v>
      </c>
      <c r="X3258" s="220">
        <v>2900000</v>
      </c>
      <c r="Y3258" s="220">
        <f>X3258*0.1</f>
        <v>290000</v>
      </c>
      <c r="Z3258" s="220">
        <v>11110</v>
      </c>
      <c r="AA3258" s="220">
        <f>SUM(X3258:Z3258)</f>
        <v>3201110</v>
      </c>
      <c r="AB3258" s="222">
        <v>45979</v>
      </c>
    </row>
    <row r="3259" spans="1:28" ht="17.100000000000001" customHeight="1" thickBot="1">
      <c r="A3259" s="227"/>
      <c r="B3259" s="27" t="s">
        <v>2597</v>
      </c>
      <c r="C3259" s="27">
        <v>3133</v>
      </c>
      <c r="D3259" s="14" t="s">
        <v>273</v>
      </c>
      <c r="E3259" s="229"/>
      <c r="F3259" s="117" t="s">
        <v>10098</v>
      </c>
      <c r="G3259" s="26">
        <v>50065</v>
      </c>
      <c r="H3259" s="231"/>
      <c r="I3259" s="221"/>
      <c r="J3259" s="221"/>
      <c r="K3259" s="221"/>
      <c r="L3259" s="221"/>
      <c r="M3259" s="221"/>
      <c r="N3259" s="221"/>
      <c r="O3259" s="225"/>
      <c r="P3259" s="118" t="s">
        <v>1647</v>
      </c>
      <c r="Q3259" s="16" t="s">
        <v>20</v>
      </c>
      <c r="R3259" s="17" t="s">
        <v>10519</v>
      </c>
      <c r="S3259" s="121" t="s">
        <v>2360</v>
      </c>
      <c r="T3259" s="122"/>
      <c r="U3259" s="22"/>
      <c r="V3259" s="123" t="s">
        <v>10781</v>
      </c>
      <c r="W3259" s="122">
        <v>18</v>
      </c>
      <c r="X3259" s="221"/>
      <c r="Y3259" s="221"/>
      <c r="Z3259" s="221"/>
      <c r="AA3259" s="221"/>
      <c r="AB3259" s="223"/>
    </row>
    <row r="3260" spans="1:28" ht="17.100000000000001" customHeight="1" thickTop="1">
      <c r="A3260" s="233" t="s">
        <v>10090</v>
      </c>
      <c r="B3260" s="28">
        <v>45968</v>
      </c>
      <c r="C3260" s="25">
        <v>1393</v>
      </c>
      <c r="D3260" s="13" t="s">
        <v>2690</v>
      </c>
      <c r="E3260" s="228"/>
      <c r="F3260" s="109" t="s">
        <v>5042</v>
      </c>
      <c r="G3260" s="24" t="s">
        <v>4446</v>
      </c>
      <c r="H3260" s="230">
        <v>4.5</v>
      </c>
      <c r="I3260" s="220">
        <v>1216000</v>
      </c>
      <c r="J3260" s="220">
        <f>I3260*0.1</f>
        <v>121600</v>
      </c>
      <c r="K3260" s="220">
        <v>0</v>
      </c>
      <c r="L3260" s="220">
        <v>7150</v>
      </c>
      <c r="M3260" s="220">
        <v>13200</v>
      </c>
      <c r="N3260" s="220">
        <f>SUM(I3260:M3261)</f>
        <v>1357950</v>
      </c>
      <c r="O3260" s="224"/>
      <c r="P3260" s="110"/>
      <c r="Q3260" s="15" t="s">
        <v>19</v>
      </c>
      <c r="R3260" s="205"/>
      <c r="S3260" s="189" t="s">
        <v>25432</v>
      </c>
      <c r="T3260" s="114" t="s">
        <v>10456</v>
      </c>
      <c r="U3260" s="21"/>
      <c r="V3260" s="115"/>
      <c r="W3260" s="116"/>
      <c r="X3260" s="220"/>
      <c r="Y3260" s="220">
        <f>X3260*0.1</f>
        <v>0</v>
      </c>
      <c r="Z3260" s="220"/>
      <c r="AA3260" s="220">
        <f>SUM(X3260:Z3260)</f>
        <v>0</v>
      </c>
      <c r="AB3260" s="222"/>
    </row>
    <row r="3261" spans="1:28" ht="17.100000000000001" customHeight="1" thickBot="1">
      <c r="A3261" s="234"/>
      <c r="B3261" s="27" t="s">
        <v>2597</v>
      </c>
      <c r="C3261" s="27">
        <v>4259</v>
      </c>
      <c r="D3261" s="14" t="s">
        <v>2559</v>
      </c>
      <c r="E3261" s="229"/>
      <c r="F3261" s="117" t="s">
        <v>10097</v>
      </c>
      <c r="G3261" s="26">
        <v>15281</v>
      </c>
      <c r="H3261" s="231"/>
      <c r="I3261" s="221"/>
      <c r="J3261" s="221"/>
      <c r="K3261" s="221"/>
      <c r="L3261" s="221"/>
      <c r="M3261" s="221"/>
      <c r="N3261" s="221"/>
      <c r="O3261" s="225"/>
      <c r="P3261" s="118"/>
      <c r="Q3261" s="16" t="s">
        <v>20</v>
      </c>
      <c r="R3261" s="17" t="s">
        <v>10331</v>
      </c>
      <c r="S3261" s="121"/>
      <c r="T3261" s="122"/>
      <c r="U3261" s="22"/>
      <c r="V3261" s="123"/>
      <c r="W3261" s="122"/>
      <c r="X3261" s="221"/>
      <c r="Y3261" s="221"/>
      <c r="Z3261" s="221"/>
      <c r="AA3261" s="221"/>
      <c r="AB3261" s="223"/>
    </row>
    <row r="3262" spans="1:28" ht="17.100000000000001" customHeight="1" thickTop="1">
      <c r="A3262" s="226" t="s">
        <v>10091</v>
      </c>
      <c r="B3262" s="28">
        <v>45968</v>
      </c>
      <c r="C3262" s="25">
        <v>1393</v>
      </c>
      <c r="D3262" s="13" t="s">
        <v>1531</v>
      </c>
      <c r="E3262" s="228"/>
      <c r="F3262" s="109" t="s">
        <v>8010</v>
      </c>
      <c r="G3262" s="24" t="s">
        <v>10108</v>
      </c>
      <c r="H3262" s="230">
        <v>3.5</v>
      </c>
      <c r="I3262" s="220">
        <v>404000</v>
      </c>
      <c r="J3262" s="220">
        <f>I3262*0.1</f>
        <v>40400</v>
      </c>
      <c r="K3262" s="220">
        <v>0</v>
      </c>
      <c r="L3262" s="220">
        <v>8850</v>
      </c>
      <c r="M3262" s="220">
        <v>13200</v>
      </c>
      <c r="N3262" s="220">
        <f>SUM(I3262:M3263)</f>
        <v>466450</v>
      </c>
      <c r="O3262" s="224"/>
      <c r="P3262" s="110" t="s">
        <v>10576</v>
      </c>
      <c r="Q3262" s="15" t="s">
        <v>19</v>
      </c>
      <c r="R3262" s="205"/>
      <c r="S3262" s="189" t="s">
        <v>1361</v>
      </c>
      <c r="T3262" s="114"/>
      <c r="U3262" s="21"/>
      <c r="V3262" s="115">
        <v>45990</v>
      </c>
      <c r="W3262" s="116">
        <v>1278</v>
      </c>
      <c r="X3262" s="220">
        <v>460000</v>
      </c>
      <c r="Y3262" s="220">
        <f>X3262*0.1</f>
        <v>46000</v>
      </c>
      <c r="Z3262" s="220">
        <v>8850</v>
      </c>
      <c r="AA3262" s="220">
        <f>SUM(X3262:Z3262)</f>
        <v>514850</v>
      </c>
      <c r="AB3262" s="222">
        <v>45994</v>
      </c>
    </row>
    <row r="3263" spans="1:28" ht="17.100000000000001" customHeight="1" thickBot="1">
      <c r="A3263" s="227"/>
      <c r="B3263" s="27" t="s">
        <v>2597</v>
      </c>
      <c r="C3263" s="27">
        <v>7544</v>
      </c>
      <c r="D3263" s="14" t="s">
        <v>1584</v>
      </c>
      <c r="E3263" s="229"/>
      <c r="F3263" s="117" t="s">
        <v>10099</v>
      </c>
      <c r="G3263" s="26">
        <v>26048</v>
      </c>
      <c r="H3263" s="231"/>
      <c r="I3263" s="221"/>
      <c r="J3263" s="221"/>
      <c r="K3263" s="221"/>
      <c r="L3263" s="221"/>
      <c r="M3263" s="221"/>
      <c r="N3263" s="221"/>
      <c r="O3263" s="225"/>
      <c r="P3263" s="118" t="s">
        <v>4541</v>
      </c>
      <c r="Q3263" s="16" t="s">
        <v>20</v>
      </c>
      <c r="R3263" s="17" t="s">
        <v>10519</v>
      </c>
      <c r="S3263" s="121" t="s">
        <v>169</v>
      </c>
      <c r="T3263" s="122"/>
      <c r="U3263" s="22"/>
      <c r="V3263" s="123" t="s">
        <v>2472</v>
      </c>
      <c r="W3263" s="122">
        <v>60167</v>
      </c>
      <c r="X3263" s="221"/>
      <c r="Y3263" s="221"/>
      <c r="Z3263" s="221"/>
      <c r="AA3263" s="221"/>
      <c r="AB3263" s="223"/>
    </row>
    <row r="3264" spans="1:28" ht="17.100000000000001" customHeight="1" thickTop="1">
      <c r="A3264" s="226" t="s">
        <v>10092</v>
      </c>
      <c r="B3264" s="28">
        <v>45968</v>
      </c>
      <c r="C3264" s="25">
        <v>1393</v>
      </c>
      <c r="D3264" s="13" t="s">
        <v>10109</v>
      </c>
      <c r="E3264" s="228"/>
      <c r="F3264" s="109" t="s">
        <v>10100</v>
      </c>
      <c r="G3264" s="24"/>
      <c r="H3264" s="230">
        <v>4.5</v>
      </c>
      <c r="I3264" s="220">
        <v>1298000</v>
      </c>
      <c r="J3264" s="220">
        <f>I3264*0.1</f>
        <v>129800</v>
      </c>
      <c r="K3264" s="220">
        <v>0</v>
      </c>
      <c r="L3264" s="220">
        <v>7040</v>
      </c>
      <c r="M3264" s="220">
        <v>13200</v>
      </c>
      <c r="N3264" s="220">
        <f>SUM(I3264:M3265)</f>
        <v>1448040</v>
      </c>
      <c r="O3264" s="224"/>
      <c r="P3264" s="110" t="s">
        <v>10868</v>
      </c>
      <c r="Q3264" s="15" t="s">
        <v>19</v>
      </c>
      <c r="R3264" s="205"/>
      <c r="S3264" s="189" t="s">
        <v>1361</v>
      </c>
      <c r="T3264" s="114"/>
      <c r="U3264" s="21"/>
      <c r="V3264" s="115">
        <v>45997</v>
      </c>
      <c r="W3264" s="116">
        <v>1279</v>
      </c>
      <c r="X3264" s="220">
        <v>1360000</v>
      </c>
      <c r="Y3264" s="220">
        <f>X3264*0.1</f>
        <v>136000</v>
      </c>
      <c r="Z3264" s="220">
        <v>7040</v>
      </c>
      <c r="AA3264" s="220">
        <f>SUM(X3264:Z3264)</f>
        <v>1503040</v>
      </c>
      <c r="AB3264" s="222">
        <v>46000</v>
      </c>
    </row>
    <row r="3265" spans="1:28" ht="17.100000000000001" customHeight="1" thickBot="1">
      <c r="A3265" s="227"/>
      <c r="B3265" s="27" t="s">
        <v>2597</v>
      </c>
      <c r="C3265" s="27">
        <v>7547</v>
      </c>
      <c r="D3265" s="14" t="s">
        <v>273</v>
      </c>
      <c r="E3265" s="229"/>
      <c r="F3265" s="117" t="s">
        <v>10101</v>
      </c>
      <c r="G3265" s="26">
        <v>41759</v>
      </c>
      <c r="H3265" s="231"/>
      <c r="I3265" s="221"/>
      <c r="J3265" s="221"/>
      <c r="K3265" s="221"/>
      <c r="L3265" s="221"/>
      <c r="M3265" s="221"/>
      <c r="N3265" s="221"/>
      <c r="O3265" s="225"/>
      <c r="P3265" s="118" t="s">
        <v>7778</v>
      </c>
      <c r="Q3265" s="16" t="s">
        <v>20</v>
      </c>
      <c r="R3265" s="17" t="s">
        <v>10856</v>
      </c>
      <c r="S3265" s="121" t="s">
        <v>3547</v>
      </c>
      <c r="T3265" s="122"/>
      <c r="U3265" s="22"/>
      <c r="V3265" s="123" t="s">
        <v>2472</v>
      </c>
      <c r="W3265" s="122">
        <v>60103</v>
      </c>
      <c r="X3265" s="221"/>
      <c r="Y3265" s="221"/>
      <c r="Z3265" s="221"/>
      <c r="AA3265" s="221"/>
      <c r="AB3265" s="223"/>
    </row>
    <row r="3266" spans="1:28" ht="17.100000000000001" customHeight="1" thickTop="1">
      <c r="A3266" s="226" t="s">
        <v>10093</v>
      </c>
      <c r="B3266" s="28">
        <v>45968</v>
      </c>
      <c r="C3266" s="25">
        <v>1393</v>
      </c>
      <c r="D3266" s="13" t="s">
        <v>1666</v>
      </c>
      <c r="E3266" s="228"/>
      <c r="F3266" s="109" t="s">
        <v>10102</v>
      </c>
      <c r="G3266" s="24"/>
      <c r="H3266" s="230">
        <v>4</v>
      </c>
      <c r="I3266" s="220">
        <v>380000</v>
      </c>
      <c r="J3266" s="220">
        <f>I3266*0.1</f>
        <v>38000</v>
      </c>
      <c r="K3266" s="220">
        <v>0</v>
      </c>
      <c r="L3266" s="220">
        <v>9770</v>
      </c>
      <c r="M3266" s="220">
        <v>13200</v>
      </c>
      <c r="N3266" s="220">
        <f>SUM(I3266:M3267)</f>
        <v>440970</v>
      </c>
      <c r="O3266" s="224"/>
      <c r="P3266" s="110" t="s">
        <v>10537</v>
      </c>
      <c r="Q3266" s="15" t="s">
        <v>19</v>
      </c>
      <c r="R3266" s="205"/>
      <c r="S3266" s="189"/>
      <c r="T3266" s="114"/>
      <c r="U3266" s="21"/>
      <c r="V3266" s="115">
        <v>45976</v>
      </c>
      <c r="W3266" s="116">
        <v>1276</v>
      </c>
      <c r="X3266" s="220">
        <v>430000</v>
      </c>
      <c r="Y3266" s="220">
        <f>X3266*0.1</f>
        <v>43000</v>
      </c>
      <c r="Z3266" s="220">
        <v>8770</v>
      </c>
      <c r="AA3266" s="220">
        <f>SUM(X3266:Z3266)</f>
        <v>481770</v>
      </c>
      <c r="AB3266" s="222">
        <v>45979</v>
      </c>
    </row>
    <row r="3267" spans="1:28" ht="17.100000000000001" customHeight="1" thickBot="1">
      <c r="A3267" s="227"/>
      <c r="B3267" s="27" t="s">
        <v>2597</v>
      </c>
      <c r="C3267" s="27">
        <v>7560</v>
      </c>
      <c r="D3267" s="14" t="s">
        <v>1797</v>
      </c>
      <c r="E3267" s="229"/>
      <c r="F3267" s="117" t="s">
        <v>10103</v>
      </c>
      <c r="G3267" s="26">
        <v>21560</v>
      </c>
      <c r="H3267" s="231"/>
      <c r="I3267" s="221"/>
      <c r="J3267" s="221"/>
      <c r="K3267" s="221"/>
      <c r="L3267" s="221"/>
      <c r="M3267" s="221"/>
      <c r="N3267" s="221"/>
      <c r="O3267" s="225"/>
      <c r="P3267" s="118" t="s">
        <v>4477</v>
      </c>
      <c r="Q3267" s="16" t="s">
        <v>20</v>
      </c>
      <c r="R3267" s="17" t="s">
        <v>10519</v>
      </c>
      <c r="S3267" s="121" t="s">
        <v>169</v>
      </c>
      <c r="T3267" s="122"/>
      <c r="U3267" s="22"/>
      <c r="V3267" s="123" t="s">
        <v>10781</v>
      </c>
      <c r="W3267" s="122">
        <v>60017</v>
      </c>
      <c r="X3267" s="221"/>
      <c r="Y3267" s="221"/>
      <c r="Z3267" s="221"/>
      <c r="AA3267" s="221"/>
      <c r="AB3267" s="223"/>
    </row>
    <row r="3268" spans="1:28" ht="17.100000000000001" customHeight="1" thickTop="1">
      <c r="A3268" s="226" t="s">
        <v>10094</v>
      </c>
      <c r="B3268" s="28">
        <v>45968</v>
      </c>
      <c r="C3268" s="25">
        <v>1393</v>
      </c>
      <c r="D3268" s="13" t="s">
        <v>1802</v>
      </c>
      <c r="E3268" s="228"/>
      <c r="F3268" s="109" t="s">
        <v>10102</v>
      </c>
      <c r="G3268" s="24" t="s">
        <v>10110</v>
      </c>
      <c r="H3268" s="230">
        <v>4</v>
      </c>
      <c r="I3268" s="220">
        <v>392000</v>
      </c>
      <c r="J3268" s="220">
        <f>I3268*0.1</f>
        <v>39200</v>
      </c>
      <c r="K3268" s="220">
        <v>0</v>
      </c>
      <c r="L3268" s="220">
        <v>9770</v>
      </c>
      <c r="M3268" s="220">
        <v>13200</v>
      </c>
      <c r="N3268" s="220">
        <f>SUM(I3268:M3269)</f>
        <v>454170</v>
      </c>
      <c r="O3268" s="224"/>
      <c r="P3268" s="110" t="s">
        <v>10536</v>
      </c>
      <c r="Q3268" s="15" t="s">
        <v>19</v>
      </c>
      <c r="R3268" s="205"/>
      <c r="S3268" s="189"/>
      <c r="T3268" s="114"/>
      <c r="U3268" s="21" t="s">
        <v>12490</v>
      </c>
      <c r="V3268" s="115">
        <v>45994</v>
      </c>
      <c r="W3268" s="116">
        <v>995</v>
      </c>
      <c r="X3268" s="220">
        <v>500000</v>
      </c>
      <c r="Y3268" s="220">
        <f>X3268*0.1</f>
        <v>50000</v>
      </c>
      <c r="Z3268" s="220">
        <v>9770</v>
      </c>
      <c r="AA3268" s="220">
        <f>SUM(X3268:Z3268)</f>
        <v>559770</v>
      </c>
      <c r="AB3268" s="222">
        <v>46001</v>
      </c>
    </row>
    <row r="3269" spans="1:28" ht="17.100000000000001" customHeight="1" thickBot="1">
      <c r="A3269" s="227"/>
      <c r="B3269" s="27" t="s">
        <v>2597</v>
      </c>
      <c r="C3269" s="27">
        <v>7562</v>
      </c>
      <c r="D3269" s="14" t="s">
        <v>1797</v>
      </c>
      <c r="E3269" s="229"/>
      <c r="F3269" s="117" t="s">
        <v>10104</v>
      </c>
      <c r="G3269" s="26">
        <v>46254</v>
      </c>
      <c r="H3269" s="231"/>
      <c r="I3269" s="221"/>
      <c r="J3269" s="221"/>
      <c r="K3269" s="221"/>
      <c r="L3269" s="221"/>
      <c r="M3269" s="221"/>
      <c r="N3269" s="221"/>
      <c r="O3269" s="225"/>
      <c r="P3269" s="118" t="s">
        <v>7826</v>
      </c>
      <c r="Q3269" s="16" t="s">
        <v>20</v>
      </c>
      <c r="R3269" s="17" t="s">
        <v>10519</v>
      </c>
      <c r="S3269" s="121" t="s">
        <v>169</v>
      </c>
      <c r="T3269" s="122"/>
      <c r="U3269" s="22"/>
      <c r="V3269" s="123" t="s">
        <v>7161</v>
      </c>
      <c r="W3269" s="122">
        <v>2080</v>
      </c>
      <c r="X3269" s="221"/>
      <c r="Y3269" s="221"/>
      <c r="Z3269" s="221"/>
      <c r="AA3269" s="221"/>
      <c r="AB3269" s="223"/>
    </row>
    <row r="3270" spans="1:28" ht="17.100000000000001" customHeight="1" thickTop="1">
      <c r="A3270" s="226" t="s">
        <v>10114</v>
      </c>
      <c r="B3270" s="28">
        <v>45968</v>
      </c>
      <c r="C3270" s="25"/>
      <c r="D3270" s="13" t="s">
        <v>2470</v>
      </c>
      <c r="E3270" s="228"/>
      <c r="F3270" s="109" t="s">
        <v>2278</v>
      </c>
      <c r="G3270" s="24" t="s">
        <v>10116</v>
      </c>
      <c r="H3270" s="230">
        <v>4.5</v>
      </c>
      <c r="I3270" s="220">
        <f>5005000/1.1</f>
        <v>4550000</v>
      </c>
      <c r="J3270" s="220">
        <f>I3270*0.1</f>
        <v>455000</v>
      </c>
      <c r="K3270" s="220">
        <v>0</v>
      </c>
      <c r="L3270" s="220">
        <v>14140</v>
      </c>
      <c r="M3270" s="220">
        <v>0</v>
      </c>
      <c r="N3270" s="220">
        <f>SUM(I3270:M3271)</f>
        <v>5019140</v>
      </c>
      <c r="O3270" s="224"/>
      <c r="P3270" s="110" t="s">
        <v>10982</v>
      </c>
      <c r="Q3270" s="15" t="s">
        <v>19</v>
      </c>
      <c r="R3270" s="205"/>
      <c r="S3270" s="189" t="s">
        <v>1312</v>
      </c>
      <c r="T3270" s="114"/>
      <c r="U3270" s="21"/>
      <c r="V3270" s="115">
        <v>45983</v>
      </c>
      <c r="W3270" s="116">
        <v>1277</v>
      </c>
      <c r="X3270" s="220">
        <v>5050000</v>
      </c>
      <c r="Y3270" s="220">
        <f>X3270*0.1</f>
        <v>505000</v>
      </c>
      <c r="Z3270" s="220">
        <v>14140</v>
      </c>
      <c r="AA3270" s="220">
        <f>SUM(X3270:Z3270)</f>
        <v>5569140</v>
      </c>
      <c r="AB3270" s="222">
        <v>45987</v>
      </c>
    </row>
    <row r="3271" spans="1:28" ht="17.100000000000001" customHeight="1" thickBot="1">
      <c r="A3271" s="227"/>
      <c r="B3271" s="27" t="s">
        <v>1708</v>
      </c>
      <c r="C3271" s="27" t="s">
        <v>10111</v>
      </c>
      <c r="D3271" s="14" t="s">
        <v>273</v>
      </c>
      <c r="E3271" s="229"/>
      <c r="F3271" s="117" t="s">
        <v>10115</v>
      </c>
      <c r="G3271" s="26">
        <v>6903</v>
      </c>
      <c r="H3271" s="231"/>
      <c r="I3271" s="221"/>
      <c r="J3271" s="221"/>
      <c r="K3271" s="221"/>
      <c r="L3271" s="221"/>
      <c r="M3271" s="221"/>
      <c r="N3271" s="221"/>
      <c r="O3271" s="225"/>
      <c r="P3271" s="118" t="s">
        <v>10983</v>
      </c>
      <c r="Q3271" s="16" t="s">
        <v>20</v>
      </c>
      <c r="R3271" s="17" t="s">
        <v>10885</v>
      </c>
      <c r="S3271" s="121" t="s">
        <v>1606</v>
      </c>
      <c r="T3271" s="122"/>
      <c r="U3271" s="22"/>
      <c r="V3271" s="123" t="s">
        <v>2472</v>
      </c>
      <c r="W3271" s="122">
        <v>82331</v>
      </c>
      <c r="X3271" s="221"/>
      <c r="Y3271" s="221"/>
      <c r="Z3271" s="221"/>
      <c r="AA3271" s="221"/>
      <c r="AB3271" s="223"/>
    </row>
    <row r="3272" spans="1:28" ht="17.100000000000001" customHeight="1" thickTop="1">
      <c r="A3272" s="226" t="s">
        <v>10158</v>
      </c>
      <c r="B3272" s="28">
        <v>45969</v>
      </c>
      <c r="C3272" s="25">
        <v>1518</v>
      </c>
      <c r="D3272" s="13" t="s">
        <v>2900</v>
      </c>
      <c r="E3272" s="228"/>
      <c r="F3272" s="109" t="s">
        <v>1565</v>
      </c>
      <c r="G3272" s="24" t="s">
        <v>2871</v>
      </c>
      <c r="H3272" s="230">
        <v>4.5</v>
      </c>
      <c r="I3272" s="220">
        <v>2100000</v>
      </c>
      <c r="J3272" s="220">
        <f>I3272*0.1</f>
        <v>210000</v>
      </c>
      <c r="K3272" s="220">
        <f>12000+1200</f>
        <v>13200</v>
      </c>
      <c r="L3272" s="220">
        <v>16160</v>
      </c>
      <c r="M3272" s="220">
        <v>16500</v>
      </c>
      <c r="N3272" s="220">
        <f>SUM(I3272:M3273)</f>
        <v>2355860</v>
      </c>
      <c r="O3272" s="224"/>
      <c r="P3272" s="110" t="s">
        <v>10152</v>
      </c>
      <c r="Q3272" s="15" t="s">
        <v>19</v>
      </c>
      <c r="R3272" s="205"/>
      <c r="S3272" s="189" t="s">
        <v>1361</v>
      </c>
      <c r="T3272" s="114"/>
      <c r="U3272" s="21"/>
      <c r="V3272" s="115">
        <v>46362</v>
      </c>
      <c r="W3272" s="116"/>
      <c r="X3272" s="220">
        <v>3000000</v>
      </c>
      <c r="Y3272" s="220">
        <v>0</v>
      </c>
      <c r="Z3272" s="220">
        <v>0</v>
      </c>
      <c r="AA3272" s="220">
        <f>SUM(X3272:Z3272)</f>
        <v>3000000</v>
      </c>
      <c r="AB3272" s="222">
        <v>46385</v>
      </c>
    </row>
    <row r="3273" spans="1:28" ht="17.100000000000001" customHeight="1" thickBot="1">
      <c r="A3273" s="227"/>
      <c r="B3273" s="27" t="s">
        <v>1547</v>
      </c>
      <c r="C3273" s="27">
        <v>83195</v>
      </c>
      <c r="D3273" s="14" t="s">
        <v>131</v>
      </c>
      <c r="E3273" s="229"/>
      <c r="F3273" s="117" t="s">
        <v>10151</v>
      </c>
      <c r="G3273" s="26">
        <v>42740</v>
      </c>
      <c r="H3273" s="231"/>
      <c r="I3273" s="221"/>
      <c r="J3273" s="221"/>
      <c r="K3273" s="221"/>
      <c r="L3273" s="221"/>
      <c r="M3273" s="221"/>
      <c r="N3273" s="221"/>
      <c r="O3273" s="225"/>
      <c r="P3273" s="118" t="s">
        <v>10479</v>
      </c>
      <c r="Q3273" s="16" t="s">
        <v>20</v>
      </c>
      <c r="R3273" s="17" t="s">
        <v>10387</v>
      </c>
      <c r="S3273" s="121" t="s">
        <v>169</v>
      </c>
      <c r="T3273" s="122"/>
      <c r="U3273" s="22"/>
      <c r="V3273" s="123" t="s">
        <v>15364</v>
      </c>
      <c r="W3273" s="122"/>
      <c r="X3273" s="221"/>
      <c r="Y3273" s="221"/>
      <c r="Z3273" s="221"/>
      <c r="AA3273" s="221"/>
      <c r="AB3273" s="223"/>
    </row>
    <row r="3274" spans="1:28" ht="17.100000000000001" customHeight="1" thickTop="1">
      <c r="A3274" s="226" t="s">
        <v>10159</v>
      </c>
      <c r="B3274" s="28">
        <v>45969</v>
      </c>
      <c r="C3274" s="25">
        <v>1440</v>
      </c>
      <c r="D3274" s="13" t="s">
        <v>1810</v>
      </c>
      <c r="E3274" s="228"/>
      <c r="F3274" s="109" t="s">
        <v>10122</v>
      </c>
      <c r="G3274" s="24"/>
      <c r="H3274" s="230">
        <v>4.5</v>
      </c>
      <c r="I3274" s="220">
        <v>2725000</v>
      </c>
      <c r="J3274" s="220">
        <f>I3274*0.1</f>
        <v>272500</v>
      </c>
      <c r="K3274" s="220">
        <v>0</v>
      </c>
      <c r="L3274" s="220">
        <v>17010</v>
      </c>
      <c r="M3274" s="220">
        <v>16500</v>
      </c>
      <c r="N3274" s="220">
        <f>SUM(I3274:M3275)</f>
        <v>3031010</v>
      </c>
      <c r="O3274" s="224"/>
      <c r="P3274" s="110" t="s">
        <v>10477</v>
      </c>
      <c r="Q3274" s="15" t="s">
        <v>19</v>
      </c>
      <c r="R3274" s="205"/>
      <c r="S3274" s="189" t="s">
        <v>758</v>
      </c>
      <c r="T3274" s="114"/>
      <c r="U3274" s="21"/>
      <c r="V3274" s="115">
        <v>46074</v>
      </c>
      <c r="W3274" s="116">
        <v>1289</v>
      </c>
      <c r="X3274" s="220">
        <v>2850000</v>
      </c>
      <c r="Y3274" s="220">
        <f>X3274*0.1</f>
        <v>285000</v>
      </c>
      <c r="Z3274" s="220">
        <v>17010</v>
      </c>
      <c r="AA3274" s="220">
        <f>SUM(X3274:Z3274)</f>
        <v>3152010</v>
      </c>
      <c r="AB3274" s="222">
        <v>46077</v>
      </c>
    </row>
    <row r="3275" spans="1:28" ht="17.100000000000001" customHeight="1" thickBot="1">
      <c r="A3275" s="227"/>
      <c r="B3275" s="27" t="s">
        <v>1765</v>
      </c>
      <c r="C3275" s="27">
        <v>5052</v>
      </c>
      <c r="D3275" s="14" t="s">
        <v>2559</v>
      </c>
      <c r="E3275" s="229"/>
      <c r="F3275" s="117" t="s">
        <v>10123</v>
      </c>
      <c r="G3275" s="26">
        <v>13555</v>
      </c>
      <c r="H3275" s="231"/>
      <c r="I3275" s="221"/>
      <c r="J3275" s="221"/>
      <c r="K3275" s="221"/>
      <c r="L3275" s="221"/>
      <c r="M3275" s="221"/>
      <c r="N3275" s="221"/>
      <c r="O3275" s="225"/>
      <c r="P3275" s="118" t="s">
        <v>10478</v>
      </c>
      <c r="Q3275" s="16" t="s">
        <v>20</v>
      </c>
      <c r="R3275" s="17" t="s">
        <v>10387</v>
      </c>
      <c r="S3275" s="121" t="s">
        <v>8880</v>
      </c>
      <c r="T3275" s="122"/>
      <c r="U3275" s="22"/>
      <c r="V3275" s="123" t="s">
        <v>2472</v>
      </c>
      <c r="W3275" s="122">
        <v>80034</v>
      </c>
      <c r="X3275" s="221"/>
      <c r="Y3275" s="221"/>
      <c r="Z3275" s="221"/>
      <c r="AA3275" s="221"/>
      <c r="AB3275" s="223"/>
    </row>
    <row r="3276" spans="1:28" ht="17.100000000000001" customHeight="1" thickTop="1">
      <c r="A3276" s="226" t="s">
        <v>10160</v>
      </c>
      <c r="B3276" s="28">
        <v>45969</v>
      </c>
      <c r="C3276" s="25">
        <v>1440</v>
      </c>
      <c r="D3276" s="13" t="s">
        <v>2406</v>
      </c>
      <c r="E3276" s="228"/>
      <c r="F3276" s="109" t="s">
        <v>6851</v>
      </c>
      <c r="G3276" s="24"/>
      <c r="H3276" s="230">
        <v>4.5</v>
      </c>
      <c r="I3276" s="220">
        <v>735000</v>
      </c>
      <c r="J3276" s="220">
        <f>I3276*0.1</f>
        <v>73500</v>
      </c>
      <c r="K3276" s="220">
        <v>0</v>
      </c>
      <c r="L3276" s="220">
        <v>9310</v>
      </c>
      <c r="M3276" s="220">
        <v>16500</v>
      </c>
      <c r="N3276" s="220">
        <f>SUM(I3276:M3277)</f>
        <v>834310</v>
      </c>
      <c r="O3276" s="224"/>
      <c r="P3276" s="110" t="s">
        <v>10474</v>
      </c>
      <c r="Q3276" s="15" t="s">
        <v>19</v>
      </c>
      <c r="R3276" s="205"/>
      <c r="S3276" s="189" t="s">
        <v>758</v>
      </c>
      <c r="T3276" s="114"/>
      <c r="U3276" s="21"/>
      <c r="V3276" s="115">
        <v>46004</v>
      </c>
      <c r="W3276" s="116">
        <v>1280</v>
      </c>
      <c r="X3276" s="220">
        <v>798000</v>
      </c>
      <c r="Y3276" s="220">
        <f>X3276*0.1</f>
        <v>79800</v>
      </c>
      <c r="Z3276" s="220">
        <v>9310</v>
      </c>
      <c r="AA3276" s="220">
        <f>SUM(X3276:Z3276)</f>
        <v>887110</v>
      </c>
      <c r="AB3276" s="222">
        <v>46014</v>
      </c>
    </row>
    <row r="3277" spans="1:28" ht="17.100000000000001" customHeight="1" thickBot="1">
      <c r="A3277" s="227"/>
      <c r="B3277" s="27" t="s">
        <v>1765</v>
      </c>
      <c r="C3277" s="27">
        <v>6082</v>
      </c>
      <c r="D3277" s="14" t="s">
        <v>2788</v>
      </c>
      <c r="E3277" s="229"/>
      <c r="F3277" s="117" t="s">
        <v>10142</v>
      </c>
      <c r="G3277" s="26">
        <v>74464</v>
      </c>
      <c r="H3277" s="231"/>
      <c r="I3277" s="221"/>
      <c r="J3277" s="221"/>
      <c r="K3277" s="221"/>
      <c r="L3277" s="221"/>
      <c r="M3277" s="221"/>
      <c r="N3277" s="221"/>
      <c r="O3277" s="225"/>
      <c r="P3277" s="118" t="s">
        <v>10475</v>
      </c>
      <c r="Q3277" s="16" t="s">
        <v>20</v>
      </c>
      <c r="R3277" s="17" t="s">
        <v>10387</v>
      </c>
      <c r="S3277" s="121" t="s">
        <v>10516</v>
      </c>
      <c r="T3277" s="122"/>
      <c r="U3277" s="22"/>
      <c r="V3277" s="123" t="s">
        <v>6641</v>
      </c>
      <c r="W3277" s="122">
        <v>60151</v>
      </c>
      <c r="X3277" s="221"/>
      <c r="Y3277" s="221"/>
      <c r="Z3277" s="221"/>
      <c r="AA3277" s="221"/>
      <c r="AB3277" s="223"/>
    </row>
    <row r="3278" spans="1:28" ht="17.100000000000001" customHeight="1" thickTop="1">
      <c r="A3278" s="226" t="s">
        <v>10161</v>
      </c>
      <c r="B3278" s="28">
        <v>45969</v>
      </c>
      <c r="C3278" s="25">
        <v>1275</v>
      </c>
      <c r="D3278" s="13" t="s">
        <v>2124</v>
      </c>
      <c r="E3278" s="228"/>
      <c r="F3278" s="109" t="s">
        <v>10133</v>
      </c>
      <c r="G3278" s="24" t="s">
        <v>10135</v>
      </c>
      <c r="H3278" s="230">
        <v>4</v>
      </c>
      <c r="I3278" s="220">
        <v>1220000</v>
      </c>
      <c r="J3278" s="220">
        <f>I3278*0.1</f>
        <v>122000</v>
      </c>
      <c r="K3278" s="220">
        <v>0</v>
      </c>
      <c r="L3278" s="220">
        <v>5950</v>
      </c>
      <c r="M3278" s="220">
        <v>12100</v>
      </c>
      <c r="N3278" s="220">
        <f>SUM(I3278:M3279)</f>
        <v>1360050</v>
      </c>
      <c r="O3278" s="224"/>
      <c r="P3278" s="110" t="s">
        <v>10136</v>
      </c>
      <c r="Q3278" s="15" t="s">
        <v>19</v>
      </c>
      <c r="R3278" s="205"/>
      <c r="S3278" s="189"/>
      <c r="T3278" s="114"/>
      <c r="U3278" s="21"/>
      <c r="V3278" s="115">
        <v>45973</v>
      </c>
      <c r="W3278" s="116">
        <v>992</v>
      </c>
      <c r="X3278" s="220">
        <v>1310000</v>
      </c>
      <c r="Y3278" s="220">
        <f>X3278*0.1</f>
        <v>131000</v>
      </c>
      <c r="Z3278" s="220">
        <v>5950</v>
      </c>
      <c r="AA3278" s="220">
        <f>SUM(X3278:Z3278)</f>
        <v>1446950</v>
      </c>
      <c r="AB3278" s="222">
        <v>45979</v>
      </c>
    </row>
    <row r="3279" spans="1:28" ht="17.100000000000001" customHeight="1" thickBot="1">
      <c r="A3279" s="227"/>
      <c r="B3279" s="27" t="s">
        <v>2472</v>
      </c>
      <c r="C3279" s="27">
        <v>65189</v>
      </c>
      <c r="D3279" s="14" t="s">
        <v>1710</v>
      </c>
      <c r="E3279" s="229"/>
      <c r="F3279" s="117" t="s">
        <v>10134</v>
      </c>
      <c r="G3279" s="26">
        <v>19184</v>
      </c>
      <c r="H3279" s="231"/>
      <c r="I3279" s="221"/>
      <c r="J3279" s="221"/>
      <c r="K3279" s="221"/>
      <c r="L3279" s="221"/>
      <c r="M3279" s="221"/>
      <c r="N3279" s="221"/>
      <c r="O3279" s="225"/>
      <c r="P3279" s="118" t="s">
        <v>10686</v>
      </c>
      <c r="Q3279" s="16" t="s">
        <v>20</v>
      </c>
      <c r="R3279" s="17" t="s">
        <v>1693</v>
      </c>
      <c r="S3279" s="121" t="s">
        <v>10169</v>
      </c>
      <c r="T3279" s="122"/>
      <c r="U3279" s="22"/>
      <c r="V3279" s="123" t="s">
        <v>2747</v>
      </c>
      <c r="W3279" s="122">
        <v>2080</v>
      </c>
      <c r="X3279" s="221"/>
      <c r="Y3279" s="221"/>
      <c r="Z3279" s="221"/>
      <c r="AA3279" s="221"/>
      <c r="AB3279" s="223"/>
    </row>
    <row r="3280" spans="1:28" ht="17.100000000000001" customHeight="1" thickTop="1">
      <c r="A3280" s="226" t="s">
        <v>10162</v>
      </c>
      <c r="B3280" s="28">
        <v>45969</v>
      </c>
      <c r="C3280" s="25">
        <v>1275</v>
      </c>
      <c r="D3280" s="13" t="s">
        <v>3327</v>
      </c>
      <c r="E3280" s="228"/>
      <c r="F3280" s="109" t="s">
        <v>10143</v>
      </c>
      <c r="G3280" s="24"/>
      <c r="H3280" s="230">
        <v>4.5</v>
      </c>
      <c r="I3280" s="220">
        <v>450000</v>
      </c>
      <c r="J3280" s="220">
        <f>I3280*0.1</f>
        <v>45000</v>
      </c>
      <c r="K3280" s="220">
        <v>0</v>
      </c>
      <c r="L3280" s="220">
        <v>8790</v>
      </c>
      <c r="M3280" s="220">
        <v>12100</v>
      </c>
      <c r="N3280" s="220">
        <f>SUM(I3280:M3281)</f>
        <v>515890</v>
      </c>
      <c r="O3280" s="224"/>
      <c r="P3280" s="110" t="s">
        <v>10718</v>
      </c>
      <c r="Q3280" s="15" t="s">
        <v>19</v>
      </c>
      <c r="R3280" s="205"/>
      <c r="S3280" s="189" t="s">
        <v>1361</v>
      </c>
      <c r="T3280" s="114"/>
      <c r="U3280" s="21"/>
      <c r="V3280" s="115">
        <v>45987</v>
      </c>
      <c r="W3280" s="116">
        <v>994</v>
      </c>
      <c r="X3280" s="220">
        <v>510000</v>
      </c>
      <c r="Y3280" s="220">
        <f>X3280*0.1</f>
        <v>51000</v>
      </c>
      <c r="Z3280" s="220">
        <v>8790</v>
      </c>
      <c r="AA3280" s="220">
        <f>SUM(X3280:Z3280)</f>
        <v>569790</v>
      </c>
      <c r="AB3280" s="222">
        <v>45992</v>
      </c>
    </row>
    <row r="3281" spans="1:28" ht="17.100000000000001" customHeight="1" thickBot="1">
      <c r="A3281" s="227"/>
      <c r="B3281" s="27" t="s">
        <v>2472</v>
      </c>
      <c r="C3281" s="27">
        <v>65314</v>
      </c>
      <c r="D3281" s="14" t="s">
        <v>54</v>
      </c>
      <c r="E3281" s="229"/>
      <c r="F3281" s="117" t="s">
        <v>10144</v>
      </c>
      <c r="G3281" s="26">
        <v>55225</v>
      </c>
      <c r="H3281" s="231"/>
      <c r="I3281" s="221"/>
      <c r="J3281" s="221"/>
      <c r="K3281" s="221"/>
      <c r="L3281" s="221"/>
      <c r="M3281" s="221"/>
      <c r="N3281" s="221"/>
      <c r="O3281" s="225"/>
      <c r="P3281" s="118" t="s">
        <v>10711</v>
      </c>
      <c r="Q3281" s="16" t="s">
        <v>20</v>
      </c>
      <c r="R3281" s="17" t="s">
        <v>10694</v>
      </c>
      <c r="S3281" s="121" t="s">
        <v>10719</v>
      </c>
      <c r="T3281" s="122"/>
      <c r="U3281" s="22"/>
      <c r="V3281" s="123" t="s">
        <v>11555</v>
      </c>
      <c r="W3281" s="122">
        <v>2070</v>
      </c>
      <c r="X3281" s="221"/>
      <c r="Y3281" s="221"/>
      <c r="Z3281" s="221"/>
      <c r="AA3281" s="221"/>
      <c r="AB3281" s="223"/>
    </row>
    <row r="3282" spans="1:28" ht="17.100000000000001" customHeight="1" thickTop="1">
      <c r="A3282" s="226" t="s">
        <v>10163</v>
      </c>
      <c r="B3282" s="28">
        <v>45969</v>
      </c>
      <c r="C3282" s="25">
        <v>1275</v>
      </c>
      <c r="D3282" s="13" t="s">
        <v>2811</v>
      </c>
      <c r="E3282" s="228"/>
      <c r="F3282" s="109" t="s">
        <v>4408</v>
      </c>
      <c r="G3282" s="24" t="s">
        <v>10146</v>
      </c>
      <c r="H3282" s="230">
        <v>4</v>
      </c>
      <c r="I3282" s="220">
        <v>800000</v>
      </c>
      <c r="J3282" s="220">
        <f>I3282*0.1</f>
        <v>80000</v>
      </c>
      <c r="K3282" s="220">
        <v>0</v>
      </c>
      <c r="L3282" s="220">
        <v>8400</v>
      </c>
      <c r="M3282" s="220">
        <v>13200</v>
      </c>
      <c r="N3282" s="220">
        <f>SUM(I3282:M3283)</f>
        <v>901600</v>
      </c>
      <c r="O3282" s="224"/>
      <c r="P3282" s="110" t="s">
        <v>10147</v>
      </c>
      <c r="Q3282" s="15" t="s">
        <v>19</v>
      </c>
      <c r="R3282" s="205"/>
      <c r="S3282" s="189" t="s">
        <v>1072</v>
      </c>
      <c r="T3282" s="114"/>
      <c r="U3282" s="21"/>
      <c r="V3282" s="115">
        <v>45994</v>
      </c>
      <c r="W3282" s="116">
        <v>995</v>
      </c>
      <c r="X3282" s="220">
        <v>850000</v>
      </c>
      <c r="Y3282" s="220">
        <f>X3282*0.1</f>
        <v>85000</v>
      </c>
      <c r="Z3282" s="220">
        <v>8400</v>
      </c>
      <c r="AA3282" s="220">
        <f>SUM(X3282:Z3282)</f>
        <v>943400</v>
      </c>
      <c r="AB3282" s="222">
        <v>45999</v>
      </c>
    </row>
    <row r="3283" spans="1:28" ht="17.100000000000001" customHeight="1" thickBot="1">
      <c r="A3283" s="227"/>
      <c r="B3283" s="27" t="s">
        <v>2472</v>
      </c>
      <c r="C3283" s="27">
        <v>65418</v>
      </c>
      <c r="D3283" s="14" t="s">
        <v>2788</v>
      </c>
      <c r="E3283" s="229"/>
      <c r="F3283" s="117" t="s">
        <v>10145</v>
      </c>
      <c r="G3283" s="26">
        <v>63301</v>
      </c>
      <c r="H3283" s="231"/>
      <c r="I3283" s="221"/>
      <c r="J3283" s="221"/>
      <c r="K3283" s="221"/>
      <c r="L3283" s="221"/>
      <c r="M3283" s="221"/>
      <c r="N3283" s="221"/>
      <c r="O3283" s="225"/>
      <c r="P3283" s="118" t="s">
        <v>10720</v>
      </c>
      <c r="Q3283" s="16" t="s">
        <v>20</v>
      </c>
      <c r="R3283" s="17" t="s">
        <v>10694</v>
      </c>
      <c r="S3283" s="121" t="s">
        <v>6727</v>
      </c>
      <c r="T3283" s="122" t="s">
        <v>10512</v>
      </c>
      <c r="U3283" s="22" t="s">
        <v>3427</v>
      </c>
      <c r="V3283" s="123" t="s">
        <v>2747</v>
      </c>
      <c r="W3283" s="122">
        <v>2073</v>
      </c>
      <c r="X3283" s="221"/>
      <c r="Y3283" s="221"/>
      <c r="Z3283" s="221"/>
      <c r="AA3283" s="221"/>
      <c r="AB3283" s="223"/>
    </row>
    <row r="3284" spans="1:28" ht="17.100000000000001" customHeight="1" thickTop="1">
      <c r="A3284" s="226" t="s">
        <v>10164</v>
      </c>
      <c r="B3284" s="28">
        <v>45969</v>
      </c>
      <c r="C3284" s="25">
        <v>1275</v>
      </c>
      <c r="D3284" s="13" t="s">
        <v>1634</v>
      </c>
      <c r="E3284" s="228"/>
      <c r="F3284" s="109" t="s">
        <v>5164</v>
      </c>
      <c r="G3284" s="24"/>
      <c r="H3284" s="230">
        <v>4.5</v>
      </c>
      <c r="I3284" s="220">
        <v>1300000</v>
      </c>
      <c r="J3284" s="220">
        <f>I3284*0.1</f>
        <v>130000</v>
      </c>
      <c r="K3284" s="220">
        <v>0</v>
      </c>
      <c r="L3284" s="220">
        <v>11930</v>
      </c>
      <c r="M3284" s="220">
        <v>23100</v>
      </c>
      <c r="N3284" s="220">
        <f>SUM(I3284:M3285)</f>
        <v>1465030</v>
      </c>
      <c r="O3284" s="224"/>
      <c r="P3284" s="110" t="s">
        <v>10687</v>
      </c>
      <c r="Q3284" s="15" t="s">
        <v>19</v>
      </c>
      <c r="R3284" s="205"/>
      <c r="S3284" s="189"/>
      <c r="T3284" s="114"/>
      <c r="U3284" s="21"/>
      <c r="V3284" s="115">
        <v>45973</v>
      </c>
      <c r="W3284" s="116">
        <v>992</v>
      </c>
      <c r="X3284" s="220">
        <v>1705000</v>
      </c>
      <c r="Y3284" s="220">
        <f>X3284*0.1</f>
        <v>170500</v>
      </c>
      <c r="Z3284" s="220">
        <v>11930</v>
      </c>
      <c r="AA3284" s="220">
        <f>SUM(X3284:Z3284)</f>
        <v>1887430</v>
      </c>
      <c r="AB3284" s="222">
        <v>45979</v>
      </c>
    </row>
    <row r="3285" spans="1:28" ht="17.100000000000001" customHeight="1" thickBot="1">
      <c r="A3285" s="227"/>
      <c r="B3285" s="27" t="s">
        <v>2472</v>
      </c>
      <c r="C3285" s="27">
        <v>80276</v>
      </c>
      <c r="D3285" s="14" t="s">
        <v>1584</v>
      </c>
      <c r="E3285" s="229"/>
      <c r="F3285" s="117" t="s">
        <v>10168</v>
      </c>
      <c r="G3285" s="26">
        <v>51116</v>
      </c>
      <c r="H3285" s="231"/>
      <c r="I3285" s="221"/>
      <c r="J3285" s="221"/>
      <c r="K3285" s="221"/>
      <c r="L3285" s="221"/>
      <c r="M3285" s="221"/>
      <c r="N3285" s="221"/>
      <c r="O3285" s="225"/>
      <c r="P3285" s="118" t="s">
        <v>10688</v>
      </c>
      <c r="Q3285" s="16" t="s">
        <v>20</v>
      </c>
      <c r="R3285" s="17" t="s">
        <v>1693</v>
      </c>
      <c r="S3285" s="121" t="s">
        <v>10689</v>
      </c>
      <c r="T3285" s="122"/>
      <c r="U3285" s="22"/>
      <c r="V3285" s="123" t="s">
        <v>2747</v>
      </c>
      <c r="W3285" s="122">
        <v>5067</v>
      </c>
      <c r="X3285" s="221"/>
      <c r="Y3285" s="221"/>
      <c r="Z3285" s="221"/>
      <c r="AA3285" s="221"/>
      <c r="AB3285" s="223"/>
    </row>
    <row r="3286" spans="1:28" ht="16.5" customHeight="1" thickTop="1">
      <c r="A3286" s="226" t="s">
        <v>10165</v>
      </c>
      <c r="B3286" s="28">
        <v>45969</v>
      </c>
      <c r="C3286" s="25">
        <v>1275</v>
      </c>
      <c r="D3286" s="13" t="s">
        <v>2573</v>
      </c>
      <c r="E3286" s="228"/>
      <c r="F3286" s="109" t="s">
        <v>10153</v>
      </c>
      <c r="G3286" s="24" t="s">
        <v>2871</v>
      </c>
      <c r="H3286" s="230">
        <v>4.5</v>
      </c>
      <c r="I3286" s="220">
        <v>550000</v>
      </c>
      <c r="J3286" s="220">
        <f>I3286*0.1</f>
        <v>55000</v>
      </c>
      <c r="K3286" s="220">
        <f>8300+830</f>
        <v>9130</v>
      </c>
      <c r="L3286" s="220">
        <v>12470</v>
      </c>
      <c r="M3286" s="220">
        <v>23100</v>
      </c>
      <c r="N3286" s="220">
        <f>SUM(I3286:M3287)</f>
        <v>649700</v>
      </c>
      <c r="O3286" s="224"/>
      <c r="P3286" s="110" t="s">
        <v>10155</v>
      </c>
      <c r="Q3286" s="15" t="s">
        <v>19</v>
      </c>
      <c r="R3286" s="205"/>
      <c r="S3286" s="189" t="s">
        <v>25367</v>
      </c>
      <c r="T3286" s="114"/>
      <c r="U3286" s="21" t="s">
        <v>12503</v>
      </c>
      <c r="V3286" s="115">
        <v>46011</v>
      </c>
      <c r="W3286" s="116">
        <v>1281</v>
      </c>
      <c r="X3286" s="220">
        <v>650000</v>
      </c>
      <c r="Y3286" s="220">
        <f>X3286*0.1</f>
        <v>65000</v>
      </c>
      <c r="Z3286" s="220">
        <v>12470</v>
      </c>
      <c r="AA3286" s="220">
        <f>SUM(X3286:Z3286)</f>
        <v>727470</v>
      </c>
      <c r="AB3286" s="222">
        <v>46014</v>
      </c>
    </row>
    <row r="3287" spans="1:28" ht="17.100000000000001" customHeight="1" thickBot="1">
      <c r="A3287" s="227"/>
      <c r="B3287" s="27" t="s">
        <v>2472</v>
      </c>
      <c r="C3287" s="27">
        <v>81012</v>
      </c>
      <c r="D3287" s="14" t="s">
        <v>1548</v>
      </c>
      <c r="E3287" s="229"/>
      <c r="F3287" s="117" t="s">
        <v>10154</v>
      </c>
      <c r="G3287" s="26">
        <v>56803</v>
      </c>
      <c r="H3287" s="231"/>
      <c r="I3287" s="221"/>
      <c r="J3287" s="221"/>
      <c r="K3287" s="221"/>
      <c r="L3287" s="221"/>
      <c r="M3287" s="221"/>
      <c r="N3287" s="221"/>
      <c r="O3287" s="225"/>
      <c r="P3287" s="118" t="s">
        <v>10701</v>
      </c>
      <c r="Q3287" s="16" t="s">
        <v>20</v>
      </c>
      <c r="R3287" s="17" t="s">
        <v>10694</v>
      </c>
      <c r="S3287" s="121" t="s">
        <v>10702</v>
      </c>
      <c r="T3287" s="122"/>
      <c r="U3287" s="22"/>
      <c r="V3287" s="123" t="s">
        <v>2472</v>
      </c>
      <c r="W3287" s="122">
        <v>80051</v>
      </c>
      <c r="X3287" s="221"/>
      <c r="Y3287" s="221"/>
      <c r="Z3287" s="221"/>
      <c r="AA3287" s="221"/>
      <c r="AB3287" s="223"/>
    </row>
    <row r="3288" spans="1:28" ht="17.100000000000001" customHeight="1" thickTop="1">
      <c r="A3288" s="226" t="s">
        <v>10166</v>
      </c>
      <c r="B3288" s="28">
        <v>45969</v>
      </c>
      <c r="C3288" s="25">
        <v>1275</v>
      </c>
      <c r="D3288" s="13" t="s">
        <v>10148</v>
      </c>
      <c r="E3288" s="228"/>
      <c r="F3288" s="109" t="s">
        <v>1651</v>
      </c>
      <c r="G3288" s="24" t="s">
        <v>8499</v>
      </c>
      <c r="H3288" s="230">
        <v>3.5</v>
      </c>
      <c r="I3288" s="220">
        <v>950000</v>
      </c>
      <c r="J3288" s="220">
        <f>I3288*0.1</f>
        <v>95000</v>
      </c>
      <c r="K3288" s="220">
        <f>25400+2540</f>
        <v>27940</v>
      </c>
      <c r="L3288" s="220">
        <v>15490</v>
      </c>
      <c r="M3288" s="220">
        <v>16500</v>
      </c>
      <c r="N3288" s="220">
        <f>SUM(I3288:M3289)</f>
        <v>1104930</v>
      </c>
      <c r="O3288" s="224"/>
      <c r="P3288" s="110" t="s">
        <v>10150</v>
      </c>
      <c r="Q3288" s="15" t="s">
        <v>19</v>
      </c>
      <c r="R3288" s="205"/>
      <c r="S3288" s="189" t="s">
        <v>1312</v>
      </c>
      <c r="T3288" s="114"/>
      <c r="U3288" s="21"/>
      <c r="V3288" s="115"/>
      <c r="W3288" s="116"/>
      <c r="X3288" s="220"/>
      <c r="Y3288" s="220">
        <f>X3288*0.1</f>
        <v>0</v>
      </c>
      <c r="Z3288" s="220"/>
      <c r="AA3288" s="220">
        <f>SUM(X3288:Z3288)</f>
        <v>0</v>
      </c>
      <c r="AB3288" s="222"/>
    </row>
    <row r="3289" spans="1:28" ht="17.100000000000001" customHeight="1" thickBot="1">
      <c r="A3289" s="227"/>
      <c r="B3289" s="27" t="s">
        <v>2472</v>
      </c>
      <c r="C3289" s="27">
        <v>82012</v>
      </c>
      <c r="D3289" s="14" t="s">
        <v>1568</v>
      </c>
      <c r="E3289" s="229"/>
      <c r="F3289" s="117" t="s">
        <v>10149</v>
      </c>
      <c r="G3289" s="26">
        <v>37834</v>
      </c>
      <c r="H3289" s="231"/>
      <c r="I3289" s="221"/>
      <c r="J3289" s="221"/>
      <c r="K3289" s="221"/>
      <c r="L3289" s="221"/>
      <c r="M3289" s="221"/>
      <c r="N3289" s="221"/>
      <c r="O3289" s="225"/>
      <c r="P3289" s="118" t="s">
        <v>10699</v>
      </c>
      <c r="Q3289" s="16" t="s">
        <v>20</v>
      </c>
      <c r="R3289" s="17" t="s">
        <v>10694</v>
      </c>
      <c r="S3289" s="121" t="s">
        <v>10700</v>
      </c>
      <c r="T3289" s="122"/>
      <c r="U3289" s="22"/>
      <c r="V3289" s="123"/>
      <c r="W3289" s="122"/>
      <c r="X3289" s="221"/>
      <c r="Y3289" s="221"/>
      <c r="Z3289" s="221"/>
      <c r="AA3289" s="221"/>
      <c r="AB3289" s="223"/>
    </row>
    <row r="3290" spans="1:28" ht="16.5" customHeight="1" thickTop="1">
      <c r="A3290" s="226" t="s">
        <v>10167</v>
      </c>
      <c r="B3290" s="28">
        <v>45969</v>
      </c>
      <c r="C3290" s="25">
        <v>1275</v>
      </c>
      <c r="D3290" s="13" t="s">
        <v>2264</v>
      </c>
      <c r="E3290" s="228"/>
      <c r="F3290" s="109" t="s">
        <v>1795</v>
      </c>
      <c r="G3290" s="24" t="s">
        <v>2810</v>
      </c>
      <c r="H3290" s="230">
        <v>4.5</v>
      </c>
      <c r="I3290" s="220">
        <v>2395000</v>
      </c>
      <c r="J3290" s="220">
        <f>I3290*0.1</f>
        <v>239500</v>
      </c>
      <c r="K3290" s="220">
        <v>0</v>
      </c>
      <c r="L3290" s="220">
        <v>16240</v>
      </c>
      <c r="M3290" s="220">
        <v>16500</v>
      </c>
      <c r="N3290" s="220">
        <f>SUM(I3290:M3291)</f>
        <v>2667240</v>
      </c>
      <c r="O3290" s="224"/>
      <c r="P3290" s="110" t="s">
        <v>10703</v>
      </c>
      <c r="Q3290" s="15" t="s">
        <v>19</v>
      </c>
      <c r="R3290" s="205"/>
      <c r="S3290" s="189" t="s">
        <v>25386</v>
      </c>
      <c r="T3290" s="114"/>
      <c r="U3290" s="21"/>
      <c r="V3290" s="115">
        <v>45981</v>
      </c>
      <c r="W3290" s="116">
        <v>1307</v>
      </c>
      <c r="X3290" s="220">
        <v>2600000</v>
      </c>
      <c r="Y3290" s="220">
        <f>X3290*0.1</f>
        <v>260000</v>
      </c>
      <c r="Z3290" s="220">
        <v>16240</v>
      </c>
      <c r="AA3290" s="220">
        <f>SUM(X3290:Z3290)</f>
        <v>2876240</v>
      </c>
      <c r="AB3290" s="222">
        <v>45982</v>
      </c>
    </row>
    <row r="3291" spans="1:28" ht="17.100000000000001" customHeight="1" thickBot="1">
      <c r="A3291" s="227"/>
      <c r="B3291" s="27" t="s">
        <v>2472</v>
      </c>
      <c r="C3291" s="27">
        <v>82289</v>
      </c>
      <c r="D3291" s="14" t="s">
        <v>273</v>
      </c>
      <c r="E3291" s="229"/>
      <c r="F3291" s="117" t="s">
        <v>10156</v>
      </c>
      <c r="G3291" s="26">
        <v>25211</v>
      </c>
      <c r="H3291" s="231"/>
      <c r="I3291" s="221"/>
      <c r="J3291" s="221"/>
      <c r="K3291" s="221"/>
      <c r="L3291" s="221"/>
      <c r="M3291" s="221"/>
      <c r="N3291" s="221"/>
      <c r="O3291" s="225"/>
      <c r="P3291" s="118" t="s">
        <v>10704</v>
      </c>
      <c r="Q3291" s="16" t="s">
        <v>20</v>
      </c>
      <c r="R3291" s="17" t="s">
        <v>10694</v>
      </c>
      <c r="S3291" s="121" t="s">
        <v>10705</v>
      </c>
      <c r="T3291" s="122"/>
      <c r="U3291" s="22"/>
      <c r="V3291" s="123" t="s">
        <v>8954</v>
      </c>
      <c r="W3291" s="122" t="s">
        <v>11093</v>
      </c>
      <c r="X3291" s="221"/>
      <c r="Y3291" s="221"/>
      <c r="Z3291" s="221"/>
      <c r="AA3291" s="221"/>
      <c r="AB3291" s="223"/>
    </row>
    <row r="3292" spans="1:28" ht="17.100000000000001" customHeight="1" thickTop="1">
      <c r="A3292" s="226" t="s">
        <v>10216</v>
      </c>
      <c r="B3292" s="28">
        <v>45971</v>
      </c>
      <c r="C3292" s="25">
        <v>67</v>
      </c>
      <c r="D3292" s="13" t="s">
        <v>4213</v>
      </c>
      <c r="E3292" s="228"/>
      <c r="F3292" s="109" t="s">
        <v>4223</v>
      </c>
      <c r="G3292" s="24" t="s">
        <v>4120</v>
      </c>
      <c r="H3292" s="230">
        <v>5</v>
      </c>
      <c r="I3292" s="220">
        <v>1400000</v>
      </c>
      <c r="J3292" s="220">
        <f>I3292*0.1</f>
        <v>140000</v>
      </c>
      <c r="K3292" s="220">
        <v>0</v>
      </c>
      <c r="L3292" s="220">
        <v>8550</v>
      </c>
      <c r="M3292" s="220">
        <v>44000</v>
      </c>
      <c r="N3292" s="220">
        <f>SUM(I3292:M3293)</f>
        <v>1592550</v>
      </c>
      <c r="O3292" s="224"/>
      <c r="P3292" s="110" t="s">
        <v>12121</v>
      </c>
      <c r="Q3292" s="15" t="s">
        <v>19</v>
      </c>
      <c r="R3292" s="205"/>
      <c r="S3292" s="189" t="s">
        <v>25533</v>
      </c>
      <c r="T3292" s="114"/>
      <c r="U3292" s="21" t="s">
        <v>12590</v>
      </c>
      <c r="V3292" s="115">
        <v>46000</v>
      </c>
      <c r="W3292" s="116">
        <v>1921</v>
      </c>
      <c r="X3292" s="220">
        <v>1445000</v>
      </c>
      <c r="Y3292" s="220">
        <f>X3292*0.1</f>
        <v>144500</v>
      </c>
      <c r="Z3292" s="220">
        <v>8550</v>
      </c>
      <c r="AA3292" s="220">
        <f>SUM(X3292:Z3292)</f>
        <v>1598050</v>
      </c>
      <c r="AB3292" s="222">
        <v>46006</v>
      </c>
    </row>
    <row r="3293" spans="1:28" ht="17.100000000000001" customHeight="1" thickBot="1">
      <c r="A3293" s="227"/>
      <c r="B3293" s="27" t="s">
        <v>4468</v>
      </c>
      <c r="C3293" s="27">
        <v>1025</v>
      </c>
      <c r="D3293" s="14" t="s">
        <v>273</v>
      </c>
      <c r="E3293" s="229"/>
      <c r="F3293" s="117" t="s">
        <v>10219</v>
      </c>
      <c r="G3293" s="26">
        <v>14381</v>
      </c>
      <c r="H3293" s="231"/>
      <c r="I3293" s="221"/>
      <c r="J3293" s="221"/>
      <c r="K3293" s="221"/>
      <c r="L3293" s="221"/>
      <c r="M3293" s="221"/>
      <c r="N3293" s="221"/>
      <c r="O3293" s="225"/>
      <c r="P3293" s="118" t="s">
        <v>12122</v>
      </c>
      <c r="Q3293" s="16" t="s">
        <v>20</v>
      </c>
      <c r="R3293" s="17" t="s">
        <v>2216</v>
      </c>
      <c r="S3293" s="121" t="s">
        <v>1601</v>
      </c>
      <c r="T3293" s="122"/>
      <c r="U3293" s="22"/>
      <c r="V3293" s="123" t="s">
        <v>2103</v>
      </c>
      <c r="W3293" s="122">
        <v>3063</v>
      </c>
      <c r="X3293" s="221"/>
      <c r="Y3293" s="221"/>
      <c r="Z3293" s="221"/>
      <c r="AA3293" s="221"/>
      <c r="AB3293" s="223"/>
    </row>
    <row r="3294" spans="1:28" ht="17.100000000000001" customHeight="1" thickTop="1">
      <c r="A3294" s="226" t="s">
        <v>10217</v>
      </c>
      <c r="B3294" s="28">
        <v>45971</v>
      </c>
      <c r="C3294" s="25">
        <v>67</v>
      </c>
      <c r="D3294" s="13" t="s">
        <v>2429</v>
      </c>
      <c r="E3294" s="228"/>
      <c r="F3294" s="109" t="s">
        <v>10220</v>
      </c>
      <c r="G3294" s="24" t="s">
        <v>3859</v>
      </c>
      <c r="H3294" s="230">
        <v>4.5</v>
      </c>
      <c r="I3294" s="220">
        <v>665000</v>
      </c>
      <c r="J3294" s="220">
        <f>I3294*0.1</f>
        <v>66500</v>
      </c>
      <c r="K3294" s="220">
        <v>0</v>
      </c>
      <c r="L3294" s="220">
        <v>8430</v>
      </c>
      <c r="M3294" s="220">
        <v>33000</v>
      </c>
      <c r="N3294" s="220">
        <f>SUM(I3294:M3295)</f>
        <v>772930</v>
      </c>
      <c r="O3294" s="224"/>
      <c r="P3294" s="110" t="s">
        <v>11547</v>
      </c>
      <c r="Q3294" s="15" t="s">
        <v>19</v>
      </c>
      <c r="R3294" s="205"/>
      <c r="S3294" s="189" t="s">
        <v>25535</v>
      </c>
      <c r="T3294" s="114"/>
      <c r="U3294" s="21"/>
      <c r="V3294" s="115">
        <v>45986</v>
      </c>
      <c r="W3294" s="116">
        <v>1919</v>
      </c>
      <c r="X3294" s="220">
        <v>790000</v>
      </c>
      <c r="Y3294" s="220">
        <f>X3294*0.1</f>
        <v>79000</v>
      </c>
      <c r="Z3294" s="220">
        <v>8430</v>
      </c>
      <c r="AA3294" s="220">
        <f>SUM(X3294:Z3294)</f>
        <v>877430</v>
      </c>
      <c r="AB3294" s="222"/>
    </row>
    <row r="3295" spans="1:28" ht="17.100000000000001" customHeight="1" thickBot="1">
      <c r="A3295" s="227"/>
      <c r="B3295" s="27" t="s">
        <v>4468</v>
      </c>
      <c r="C3295" s="27">
        <v>1036</v>
      </c>
      <c r="D3295" s="14" t="s">
        <v>2559</v>
      </c>
      <c r="E3295" s="229"/>
      <c r="F3295" s="117" t="s">
        <v>10221</v>
      </c>
      <c r="G3295" s="26">
        <v>26297</v>
      </c>
      <c r="H3295" s="231"/>
      <c r="I3295" s="221"/>
      <c r="J3295" s="221"/>
      <c r="K3295" s="221"/>
      <c r="L3295" s="221"/>
      <c r="M3295" s="221"/>
      <c r="N3295" s="221"/>
      <c r="O3295" s="225"/>
      <c r="P3295" s="118" t="s">
        <v>11548</v>
      </c>
      <c r="Q3295" s="16" t="s">
        <v>20</v>
      </c>
      <c r="R3295" s="17" t="s">
        <v>11528</v>
      </c>
      <c r="S3295" s="121" t="s">
        <v>11532</v>
      </c>
      <c r="T3295" s="122"/>
      <c r="U3295" s="22"/>
      <c r="V3295" s="123" t="s">
        <v>11417</v>
      </c>
      <c r="W3295" s="122">
        <v>3267</v>
      </c>
      <c r="X3295" s="221"/>
      <c r="Y3295" s="221"/>
      <c r="Z3295" s="221"/>
      <c r="AA3295" s="221"/>
      <c r="AB3295" s="223"/>
    </row>
    <row r="3296" spans="1:28" ht="17.100000000000001" customHeight="1" thickTop="1">
      <c r="A3296" s="226" t="s">
        <v>10218</v>
      </c>
      <c r="B3296" s="28">
        <v>45971</v>
      </c>
      <c r="C3296" s="25">
        <v>67</v>
      </c>
      <c r="D3296" s="13" t="s">
        <v>3857</v>
      </c>
      <c r="E3296" s="228"/>
      <c r="F3296" s="109" t="s">
        <v>10222</v>
      </c>
      <c r="G3296" s="24" t="s">
        <v>2494</v>
      </c>
      <c r="H3296" s="230">
        <v>4.5</v>
      </c>
      <c r="I3296" s="220">
        <v>895000</v>
      </c>
      <c r="J3296" s="220">
        <f>I3296*0.1</f>
        <v>89500</v>
      </c>
      <c r="K3296" s="220">
        <v>0</v>
      </c>
      <c r="L3296" s="220">
        <v>9140</v>
      </c>
      <c r="M3296" s="220">
        <v>33000</v>
      </c>
      <c r="N3296" s="220">
        <f>SUM(I3296:M3297)</f>
        <v>1026640</v>
      </c>
      <c r="O3296" s="224"/>
      <c r="P3296" s="110" t="s">
        <v>11256</v>
      </c>
      <c r="Q3296" s="15" t="s">
        <v>19</v>
      </c>
      <c r="R3296" s="205"/>
      <c r="S3296" s="189" t="s">
        <v>25535</v>
      </c>
      <c r="T3296" s="114"/>
      <c r="U3296" s="21"/>
      <c r="V3296" s="115">
        <v>45986</v>
      </c>
      <c r="W3296" s="116">
        <v>1919</v>
      </c>
      <c r="X3296" s="220">
        <v>1011000</v>
      </c>
      <c r="Y3296" s="220">
        <f>X3296*0.1</f>
        <v>101100</v>
      </c>
      <c r="Z3296" s="220">
        <v>9140</v>
      </c>
      <c r="AA3296" s="220">
        <f>SUM(X3296:Z3296)</f>
        <v>1121240</v>
      </c>
      <c r="AB3296" s="222"/>
    </row>
    <row r="3297" spans="1:28" ht="17.100000000000001" customHeight="1" thickBot="1">
      <c r="A3297" s="227"/>
      <c r="B3297" s="27" t="s">
        <v>4468</v>
      </c>
      <c r="C3297" s="27">
        <v>1058</v>
      </c>
      <c r="D3297" s="14" t="s">
        <v>273</v>
      </c>
      <c r="E3297" s="229"/>
      <c r="F3297" s="117" t="s">
        <v>10333</v>
      </c>
      <c r="G3297" s="26">
        <v>57655</v>
      </c>
      <c r="H3297" s="231"/>
      <c r="I3297" s="221"/>
      <c r="J3297" s="221"/>
      <c r="K3297" s="221"/>
      <c r="L3297" s="221"/>
      <c r="M3297" s="221"/>
      <c r="N3297" s="221"/>
      <c r="O3297" s="225"/>
      <c r="P3297" s="118" t="s">
        <v>11257</v>
      </c>
      <c r="Q3297" s="16" t="s">
        <v>20</v>
      </c>
      <c r="R3297" s="17" t="s">
        <v>2174</v>
      </c>
      <c r="S3297" s="121" t="s">
        <v>11258</v>
      </c>
      <c r="T3297" s="122"/>
      <c r="U3297" s="22"/>
      <c r="V3297" s="123" t="s">
        <v>11417</v>
      </c>
      <c r="W3297" s="122">
        <v>3173</v>
      </c>
      <c r="X3297" s="221"/>
      <c r="Y3297" s="221"/>
      <c r="Z3297" s="221"/>
      <c r="AA3297" s="221"/>
      <c r="AB3297" s="223"/>
    </row>
    <row r="3298" spans="1:28" ht="17.100000000000001" customHeight="1" thickTop="1">
      <c r="A3298" s="226" t="s">
        <v>10269</v>
      </c>
      <c r="B3298" s="28">
        <v>45970</v>
      </c>
      <c r="C3298" s="25"/>
      <c r="D3298" s="13" t="s">
        <v>3510</v>
      </c>
      <c r="E3298" s="228"/>
      <c r="F3298" s="109" t="s">
        <v>10265</v>
      </c>
      <c r="G3298" s="24" t="s">
        <v>3830</v>
      </c>
      <c r="H3298" s="230"/>
      <c r="I3298" s="220">
        <v>0</v>
      </c>
      <c r="J3298" s="220">
        <f>I3298*0.1</f>
        <v>0</v>
      </c>
      <c r="K3298" s="220">
        <v>0</v>
      </c>
      <c r="L3298" s="220">
        <v>0</v>
      </c>
      <c r="M3298" s="220">
        <v>0</v>
      </c>
      <c r="N3298" s="220">
        <f>SUM(I3298:M3299)</f>
        <v>0</v>
      </c>
      <c r="O3298" s="224"/>
      <c r="P3298" s="110" t="s">
        <v>10267</v>
      </c>
      <c r="Q3298" s="15" t="s">
        <v>19</v>
      </c>
      <c r="R3298" s="205"/>
      <c r="S3298" s="189"/>
      <c r="T3298" s="114"/>
      <c r="U3298" s="21"/>
      <c r="V3298" s="115">
        <v>45980</v>
      </c>
      <c r="W3298" s="116">
        <v>993</v>
      </c>
      <c r="X3298" s="220">
        <v>48000</v>
      </c>
      <c r="Y3298" s="220">
        <f>X3298*0.1</f>
        <v>4800</v>
      </c>
      <c r="Z3298" s="220">
        <v>9670</v>
      </c>
      <c r="AA3298" s="220">
        <f>SUM(X3298:Z3298)</f>
        <v>62470</v>
      </c>
      <c r="AB3298" s="222">
        <v>45986</v>
      </c>
    </row>
    <row r="3299" spans="1:28" ht="17.100000000000001" customHeight="1" thickBot="1">
      <c r="A3299" s="227"/>
      <c r="B3299" s="27" t="s">
        <v>10264</v>
      </c>
      <c r="C3299" s="27"/>
      <c r="D3299" s="14"/>
      <c r="E3299" s="229"/>
      <c r="F3299" s="117" t="s">
        <v>10266</v>
      </c>
      <c r="G3299" s="26">
        <v>64900</v>
      </c>
      <c r="H3299" s="231"/>
      <c r="I3299" s="221"/>
      <c r="J3299" s="221"/>
      <c r="K3299" s="221"/>
      <c r="L3299" s="221"/>
      <c r="M3299" s="221"/>
      <c r="N3299" s="221"/>
      <c r="O3299" s="225"/>
      <c r="P3299" s="118" t="s">
        <v>10268</v>
      </c>
      <c r="Q3299" s="16" t="s">
        <v>20</v>
      </c>
      <c r="R3299" s="17" t="s">
        <v>1684</v>
      </c>
      <c r="S3299" s="121" t="s">
        <v>169</v>
      </c>
      <c r="T3299" s="122"/>
      <c r="U3299" s="22"/>
      <c r="V3299" s="123" t="s">
        <v>2747</v>
      </c>
      <c r="W3299" s="122">
        <v>9109</v>
      </c>
      <c r="X3299" s="221"/>
      <c r="Y3299" s="221"/>
      <c r="Z3299" s="221"/>
      <c r="AA3299" s="221"/>
      <c r="AB3299" s="223"/>
    </row>
    <row r="3300" spans="1:28" ht="17.100000000000001" customHeight="1" thickTop="1">
      <c r="A3300" s="233" t="s">
        <v>10270</v>
      </c>
      <c r="B3300" s="28">
        <v>45971</v>
      </c>
      <c r="C3300" s="25"/>
      <c r="D3300" s="13" t="s">
        <v>1947</v>
      </c>
      <c r="E3300" s="228"/>
      <c r="F3300" s="109" t="s">
        <v>10229</v>
      </c>
      <c r="G3300" s="24" t="s">
        <v>8092</v>
      </c>
      <c r="H3300" s="230">
        <v>4.5</v>
      </c>
      <c r="I3300" s="220">
        <f>3239500/1.1</f>
        <v>2944999.9999999995</v>
      </c>
      <c r="J3300" s="220">
        <f>I3300*0.1</f>
        <v>294499.99999999994</v>
      </c>
      <c r="K3300" s="220">
        <v>9000</v>
      </c>
      <c r="L3300" s="220">
        <v>14650</v>
      </c>
      <c r="M3300" s="220">
        <v>0</v>
      </c>
      <c r="N3300" s="220">
        <f>SUM(I3300:M3301)</f>
        <v>3263149.9999999995</v>
      </c>
      <c r="O3300" s="224"/>
      <c r="P3300" s="110" t="s">
        <v>12578</v>
      </c>
      <c r="Q3300" s="15" t="s">
        <v>19</v>
      </c>
      <c r="R3300" s="205"/>
      <c r="S3300" s="189" t="s">
        <v>25481</v>
      </c>
      <c r="T3300" s="114" t="s">
        <v>13170</v>
      </c>
      <c r="U3300" s="21"/>
      <c r="V3300" s="115"/>
      <c r="W3300" s="116"/>
      <c r="X3300" s="220"/>
      <c r="Y3300" s="220">
        <f>X3300*0.1</f>
        <v>0</v>
      </c>
      <c r="Z3300" s="220"/>
      <c r="AA3300" s="220">
        <f>SUM(X3300:Z3300)</f>
        <v>0</v>
      </c>
      <c r="AB3300" s="222"/>
    </row>
    <row r="3301" spans="1:28" ht="17.100000000000001" customHeight="1" thickBot="1">
      <c r="A3301" s="234"/>
      <c r="B3301" s="27" t="s">
        <v>1708</v>
      </c>
      <c r="C3301" s="27" t="s">
        <v>10223</v>
      </c>
      <c r="D3301" s="14" t="s">
        <v>273</v>
      </c>
      <c r="E3301" s="229"/>
      <c r="F3301" s="117" t="s">
        <v>10224</v>
      </c>
      <c r="G3301" s="26">
        <v>10453</v>
      </c>
      <c r="H3301" s="231"/>
      <c r="I3301" s="221"/>
      <c r="J3301" s="221"/>
      <c r="K3301" s="221"/>
      <c r="L3301" s="221"/>
      <c r="M3301" s="221"/>
      <c r="N3301" s="221"/>
      <c r="O3301" s="225"/>
      <c r="P3301" s="118" t="s">
        <v>12579</v>
      </c>
      <c r="Q3301" s="16" t="s">
        <v>20</v>
      </c>
      <c r="R3301" s="17" t="s">
        <v>1752</v>
      </c>
      <c r="S3301" s="121" t="s">
        <v>1923</v>
      </c>
      <c r="T3301" s="122"/>
      <c r="U3301" s="22"/>
      <c r="V3301" s="123"/>
      <c r="W3301" s="122"/>
      <c r="X3301" s="221"/>
      <c r="Y3301" s="221"/>
      <c r="Z3301" s="221"/>
      <c r="AA3301" s="221"/>
      <c r="AB3301" s="223"/>
    </row>
    <row r="3302" spans="1:28" ht="17.100000000000001" customHeight="1" thickTop="1">
      <c r="A3302" s="226" t="s">
        <v>10271</v>
      </c>
      <c r="B3302" s="28">
        <v>45971</v>
      </c>
      <c r="C3302" s="25"/>
      <c r="D3302" s="13" t="s">
        <v>2690</v>
      </c>
      <c r="E3302" s="228"/>
      <c r="F3302" s="109" t="s">
        <v>10230</v>
      </c>
      <c r="G3302" s="24" t="s">
        <v>10231</v>
      </c>
      <c r="H3302" s="230">
        <v>4</v>
      </c>
      <c r="I3302" s="220">
        <f>1496000/1.1</f>
        <v>1360000</v>
      </c>
      <c r="J3302" s="220">
        <f>I3302*0.1</f>
        <v>136000</v>
      </c>
      <c r="K3302" s="220">
        <v>10100</v>
      </c>
      <c r="L3302" s="220">
        <v>7690</v>
      </c>
      <c r="M3302" s="220">
        <v>0</v>
      </c>
      <c r="N3302" s="220">
        <f>SUM(I3302:M3303)</f>
        <v>1513790</v>
      </c>
      <c r="O3302" s="224"/>
      <c r="P3302" s="110" t="s">
        <v>11272</v>
      </c>
      <c r="Q3302" s="15" t="s">
        <v>19</v>
      </c>
      <c r="R3302" s="205"/>
      <c r="S3302" s="189" t="s">
        <v>1276</v>
      </c>
      <c r="T3302" s="114"/>
      <c r="U3302" s="21"/>
      <c r="V3302" s="115">
        <v>45990</v>
      </c>
      <c r="W3302" s="116">
        <v>1278</v>
      </c>
      <c r="X3302" s="220">
        <v>1380000</v>
      </c>
      <c r="Y3302" s="220">
        <f>X3302*0.1</f>
        <v>138000</v>
      </c>
      <c r="Z3302" s="220">
        <v>7690</v>
      </c>
      <c r="AA3302" s="220">
        <f>SUM(X3302:Z3302)</f>
        <v>1525690</v>
      </c>
      <c r="AB3302" s="222">
        <v>45994</v>
      </c>
    </row>
    <row r="3303" spans="1:28" ht="17.100000000000001" customHeight="1" thickBot="1">
      <c r="A3303" s="227"/>
      <c r="B3303" s="27" t="s">
        <v>1708</v>
      </c>
      <c r="C3303" s="27" t="s">
        <v>10225</v>
      </c>
      <c r="D3303" s="14" t="s">
        <v>2559</v>
      </c>
      <c r="E3303" s="229"/>
      <c r="F3303" s="117" t="s">
        <v>10226</v>
      </c>
      <c r="G3303" s="26">
        <v>31659</v>
      </c>
      <c r="H3303" s="231"/>
      <c r="I3303" s="221"/>
      <c r="J3303" s="221"/>
      <c r="K3303" s="221"/>
      <c r="L3303" s="221"/>
      <c r="M3303" s="221"/>
      <c r="N3303" s="221"/>
      <c r="O3303" s="225"/>
      <c r="P3303" s="118" t="s">
        <v>11273</v>
      </c>
      <c r="Q3303" s="16" t="s">
        <v>20</v>
      </c>
      <c r="R3303" s="17" t="s">
        <v>2174</v>
      </c>
      <c r="S3303" s="121" t="s">
        <v>1606</v>
      </c>
      <c r="T3303" s="122"/>
      <c r="U3303" s="22"/>
      <c r="V3303" s="123" t="s">
        <v>2472</v>
      </c>
      <c r="W3303" s="122">
        <v>37666</v>
      </c>
      <c r="X3303" s="221"/>
      <c r="Y3303" s="221"/>
      <c r="Z3303" s="221"/>
      <c r="AA3303" s="221"/>
      <c r="AB3303" s="223"/>
    </row>
    <row r="3304" spans="1:28" ht="17.100000000000001" customHeight="1" thickTop="1">
      <c r="A3304" s="226" t="s">
        <v>10272</v>
      </c>
      <c r="B3304" s="28">
        <v>45971</v>
      </c>
      <c r="C3304" s="25"/>
      <c r="D3304" s="13" t="s">
        <v>2328</v>
      </c>
      <c r="E3304" s="228"/>
      <c r="F3304" s="109" t="s">
        <v>10232</v>
      </c>
      <c r="G3304" s="24" t="s">
        <v>10233</v>
      </c>
      <c r="H3304" s="230">
        <v>5</v>
      </c>
      <c r="I3304" s="220">
        <f>4895000/1.1</f>
        <v>4450000</v>
      </c>
      <c r="J3304" s="220">
        <f>I3304*0.1</f>
        <v>445000</v>
      </c>
      <c r="K3304" s="220">
        <v>2600</v>
      </c>
      <c r="L3304" s="220">
        <v>13390</v>
      </c>
      <c r="M3304" s="220">
        <v>0</v>
      </c>
      <c r="N3304" s="220">
        <f>SUM(I3304:M3305)</f>
        <v>4910990</v>
      </c>
      <c r="O3304" s="224"/>
      <c r="P3304" s="110" t="s">
        <v>11204</v>
      </c>
      <c r="Q3304" s="15" t="s">
        <v>19</v>
      </c>
      <c r="R3304" s="205"/>
      <c r="S3304" s="189" t="s">
        <v>1276</v>
      </c>
      <c r="T3304" s="114"/>
      <c r="U3304" s="21"/>
      <c r="V3304" s="115">
        <v>45997</v>
      </c>
      <c r="W3304" s="116">
        <v>1279</v>
      </c>
      <c r="X3304" s="220">
        <v>4235000</v>
      </c>
      <c r="Y3304" s="220">
        <f>X3304*0.1</f>
        <v>423500</v>
      </c>
      <c r="Z3304" s="220">
        <v>13390</v>
      </c>
      <c r="AA3304" s="220">
        <f>SUM(X3304:Z3304)</f>
        <v>4671890</v>
      </c>
      <c r="AB3304" s="222">
        <v>46000</v>
      </c>
    </row>
    <row r="3305" spans="1:28" ht="17.100000000000001" customHeight="1" thickBot="1">
      <c r="A3305" s="227"/>
      <c r="B3305" s="27" t="s">
        <v>1708</v>
      </c>
      <c r="C3305" s="27" t="s">
        <v>10227</v>
      </c>
      <c r="D3305" s="14" t="s">
        <v>2559</v>
      </c>
      <c r="E3305" s="229"/>
      <c r="F3305" s="117" t="s">
        <v>10228</v>
      </c>
      <c r="G3305" s="26">
        <v>6521</v>
      </c>
      <c r="H3305" s="231"/>
      <c r="I3305" s="221"/>
      <c r="J3305" s="221"/>
      <c r="K3305" s="221"/>
      <c r="L3305" s="221"/>
      <c r="M3305" s="221"/>
      <c r="N3305" s="221"/>
      <c r="O3305" s="225"/>
      <c r="P3305" s="118" t="s">
        <v>11205</v>
      </c>
      <c r="Q3305" s="16" t="s">
        <v>20</v>
      </c>
      <c r="R3305" s="17" t="s">
        <v>2188</v>
      </c>
      <c r="S3305" s="121" t="s">
        <v>11206</v>
      </c>
      <c r="T3305" s="122"/>
      <c r="U3305" s="22"/>
      <c r="V3305" s="123" t="s">
        <v>2472</v>
      </c>
      <c r="W3305" s="122">
        <v>37265</v>
      </c>
      <c r="X3305" s="221"/>
      <c r="Y3305" s="221"/>
      <c r="Z3305" s="221"/>
      <c r="AA3305" s="221"/>
      <c r="AB3305" s="223"/>
    </row>
    <row r="3306" spans="1:28" ht="17.100000000000001" customHeight="1" thickTop="1">
      <c r="A3306" s="226" t="s">
        <v>10273</v>
      </c>
      <c r="B3306" s="28">
        <v>45971</v>
      </c>
      <c r="C3306" s="25"/>
      <c r="D3306" s="13" t="s">
        <v>2866</v>
      </c>
      <c r="E3306" s="228"/>
      <c r="F3306" s="109" t="s">
        <v>1916</v>
      </c>
      <c r="G3306" s="24" t="s">
        <v>2038</v>
      </c>
      <c r="H3306" s="230">
        <v>4.5</v>
      </c>
      <c r="I3306" s="220">
        <v>1612000</v>
      </c>
      <c r="J3306" s="220">
        <f>I3306*0.1</f>
        <v>161200</v>
      </c>
      <c r="K3306" s="220">
        <f>11500+1150</f>
        <v>12650</v>
      </c>
      <c r="L3306" s="220">
        <v>17600</v>
      </c>
      <c r="M3306" s="220">
        <v>14850</v>
      </c>
      <c r="N3306" s="220">
        <f>SUM(I3306:M3307)</f>
        <v>1818300</v>
      </c>
      <c r="O3306" s="224"/>
      <c r="P3306" s="110" t="s">
        <v>10234</v>
      </c>
      <c r="Q3306" s="15" t="s">
        <v>19</v>
      </c>
      <c r="R3306" s="205"/>
      <c r="S3306" s="189" t="s">
        <v>25397</v>
      </c>
      <c r="T3306" s="114"/>
      <c r="U3306" s="21"/>
      <c r="V3306" s="115">
        <v>45976</v>
      </c>
      <c r="W3306" s="116">
        <v>1276</v>
      </c>
      <c r="X3306" s="220">
        <v>1960000</v>
      </c>
      <c r="Y3306" s="220">
        <f>X3306*0.1</f>
        <v>196000</v>
      </c>
      <c r="Z3306" s="220">
        <v>17600</v>
      </c>
      <c r="AA3306" s="220">
        <f>SUM(X3306:Z3306)</f>
        <v>2173600</v>
      </c>
      <c r="AB3306" s="222">
        <v>45979</v>
      </c>
    </row>
    <row r="3307" spans="1:28" ht="17.100000000000001" customHeight="1" thickBot="1">
      <c r="A3307" s="227"/>
      <c r="B3307" s="27" t="s">
        <v>2727</v>
      </c>
      <c r="C3307" s="27">
        <v>80149</v>
      </c>
      <c r="D3307" s="14" t="s">
        <v>1797</v>
      </c>
      <c r="E3307" s="229"/>
      <c r="F3307" s="117" t="s">
        <v>10684</v>
      </c>
      <c r="G3307" s="26">
        <v>14251</v>
      </c>
      <c r="H3307" s="231"/>
      <c r="I3307" s="221"/>
      <c r="J3307" s="221"/>
      <c r="K3307" s="221"/>
      <c r="L3307" s="221"/>
      <c r="M3307" s="221"/>
      <c r="N3307" s="221"/>
      <c r="O3307" s="225"/>
      <c r="P3307" s="118" t="s">
        <v>7307</v>
      </c>
      <c r="Q3307" s="16" t="s">
        <v>20</v>
      </c>
      <c r="R3307" s="17" t="s">
        <v>1693</v>
      </c>
      <c r="S3307" s="121" t="s">
        <v>2484</v>
      </c>
      <c r="T3307" s="122"/>
      <c r="U3307" s="22"/>
      <c r="V3307" s="123" t="s">
        <v>10781</v>
      </c>
      <c r="W3307" s="122">
        <v>80142</v>
      </c>
      <c r="X3307" s="221"/>
      <c r="Y3307" s="221"/>
      <c r="Z3307" s="221"/>
      <c r="AA3307" s="221"/>
      <c r="AB3307" s="223"/>
    </row>
    <row r="3308" spans="1:28" ht="17.100000000000001" customHeight="1" thickTop="1">
      <c r="A3308" s="226" t="s">
        <v>10274</v>
      </c>
      <c r="B3308" s="28">
        <v>45971</v>
      </c>
      <c r="C3308" s="25"/>
      <c r="D3308" s="13" t="s">
        <v>2264</v>
      </c>
      <c r="E3308" s="228"/>
      <c r="F3308" s="109" t="s">
        <v>1854</v>
      </c>
      <c r="G3308" s="24" t="s">
        <v>4025</v>
      </c>
      <c r="H3308" s="230">
        <v>4.5</v>
      </c>
      <c r="I3308" s="220">
        <v>1453000</v>
      </c>
      <c r="J3308" s="220">
        <f>I3308*0.1</f>
        <v>145300</v>
      </c>
      <c r="K3308" s="220">
        <f>12000+1200</f>
        <v>13200</v>
      </c>
      <c r="L3308" s="220">
        <v>17600</v>
      </c>
      <c r="M3308" s="220">
        <v>14850</v>
      </c>
      <c r="N3308" s="220">
        <f>SUM(I3308:M3309)</f>
        <v>1643950</v>
      </c>
      <c r="O3308" s="224"/>
      <c r="P3308" s="110" t="s">
        <v>10235</v>
      </c>
      <c r="Q3308" s="15" t="s">
        <v>19</v>
      </c>
      <c r="R3308" s="205"/>
      <c r="S3308" s="189"/>
      <c r="T3308" s="114"/>
      <c r="U3308" s="21"/>
      <c r="V3308" s="115">
        <v>45983</v>
      </c>
      <c r="W3308" s="116">
        <v>1277</v>
      </c>
      <c r="X3308" s="220">
        <v>1650000</v>
      </c>
      <c r="Y3308" s="220">
        <f>X3308*0.1</f>
        <v>165000</v>
      </c>
      <c r="Z3308" s="220">
        <v>17600</v>
      </c>
      <c r="AA3308" s="220">
        <f>SUM(X3308:Z3308)</f>
        <v>1832600</v>
      </c>
      <c r="AB3308" s="222">
        <v>45992</v>
      </c>
    </row>
    <row r="3309" spans="1:28" ht="17.100000000000001" customHeight="1" thickBot="1">
      <c r="A3309" s="227"/>
      <c r="B3309" s="27" t="s">
        <v>2727</v>
      </c>
      <c r="C3309" s="27">
        <v>80231</v>
      </c>
      <c r="D3309" s="14" t="s">
        <v>1797</v>
      </c>
      <c r="E3309" s="229"/>
      <c r="F3309" s="117" t="s">
        <v>10713</v>
      </c>
      <c r="G3309" s="26">
        <v>48260</v>
      </c>
      <c r="H3309" s="231"/>
      <c r="I3309" s="221"/>
      <c r="J3309" s="221"/>
      <c r="K3309" s="221"/>
      <c r="L3309" s="221"/>
      <c r="M3309" s="221"/>
      <c r="N3309" s="221"/>
      <c r="O3309" s="225"/>
      <c r="P3309" s="118" t="s">
        <v>10714</v>
      </c>
      <c r="Q3309" s="16" t="s">
        <v>20</v>
      </c>
      <c r="R3309" s="17" t="s">
        <v>10694</v>
      </c>
      <c r="S3309" s="121" t="s">
        <v>7720</v>
      </c>
      <c r="T3309" s="122"/>
      <c r="U3309" s="22"/>
      <c r="V3309" s="123" t="s">
        <v>6642</v>
      </c>
      <c r="W3309" s="122">
        <v>80140</v>
      </c>
      <c r="X3309" s="221"/>
      <c r="Y3309" s="221"/>
      <c r="Z3309" s="221"/>
      <c r="AA3309" s="221"/>
      <c r="AB3309" s="223"/>
    </row>
    <row r="3310" spans="1:28" ht="17.100000000000001" customHeight="1" thickTop="1">
      <c r="A3310" s="226" t="s">
        <v>10275</v>
      </c>
      <c r="B3310" s="28">
        <v>45971</v>
      </c>
      <c r="C3310" s="25"/>
      <c r="D3310" s="13" t="s">
        <v>1996</v>
      </c>
      <c r="E3310" s="228"/>
      <c r="F3310" s="109" t="s">
        <v>10236</v>
      </c>
      <c r="G3310" s="24" t="s">
        <v>1540</v>
      </c>
      <c r="H3310" s="230">
        <v>4</v>
      </c>
      <c r="I3310" s="220">
        <v>556000</v>
      </c>
      <c r="J3310" s="220">
        <f>I3310*0.1</f>
        <v>55600</v>
      </c>
      <c r="K3310" s="220">
        <f>11500+1150</f>
        <v>12650</v>
      </c>
      <c r="L3310" s="220">
        <v>11810</v>
      </c>
      <c r="M3310" s="220">
        <v>14850</v>
      </c>
      <c r="N3310" s="220">
        <f>SUM(I3310:M3311)</f>
        <v>650910</v>
      </c>
      <c r="O3310" s="224"/>
      <c r="P3310" s="110" t="s">
        <v>10237</v>
      </c>
      <c r="Q3310" s="15" t="s">
        <v>19</v>
      </c>
      <c r="R3310" s="205"/>
      <c r="S3310" s="189" t="s">
        <v>758</v>
      </c>
      <c r="T3310" s="114"/>
      <c r="U3310" s="21"/>
      <c r="V3310" s="115">
        <v>45976</v>
      </c>
      <c r="W3310" s="116">
        <v>1276</v>
      </c>
      <c r="X3310" s="220">
        <v>705000</v>
      </c>
      <c r="Y3310" s="220">
        <f>X3310*0.1</f>
        <v>70500</v>
      </c>
      <c r="Z3310" s="220">
        <v>11810</v>
      </c>
      <c r="AA3310" s="220">
        <f>SUM(X3310:Z3310)</f>
        <v>787310</v>
      </c>
      <c r="AB3310" s="222">
        <v>45986</v>
      </c>
    </row>
    <row r="3311" spans="1:28" ht="17.100000000000001" customHeight="1" thickBot="1">
      <c r="A3311" s="227"/>
      <c r="B3311" s="27" t="s">
        <v>2727</v>
      </c>
      <c r="C3311" s="27">
        <v>80236</v>
      </c>
      <c r="D3311" s="14" t="s">
        <v>1584</v>
      </c>
      <c r="E3311" s="229"/>
      <c r="F3311" s="117" t="s">
        <v>10949</v>
      </c>
      <c r="G3311" s="26">
        <v>44496</v>
      </c>
      <c r="H3311" s="231"/>
      <c r="I3311" s="221"/>
      <c r="J3311" s="221"/>
      <c r="K3311" s="221"/>
      <c r="L3311" s="221"/>
      <c r="M3311" s="221"/>
      <c r="N3311" s="221"/>
      <c r="O3311" s="225"/>
      <c r="P3311" s="118" t="s">
        <v>11091</v>
      </c>
      <c r="Q3311" s="16" t="s">
        <v>20</v>
      </c>
      <c r="R3311" s="17" t="s">
        <v>2586</v>
      </c>
      <c r="S3311" s="121" t="s">
        <v>11092</v>
      </c>
      <c r="T3311" s="122"/>
      <c r="U3311" s="22"/>
      <c r="V3311" s="123" t="s">
        <v>10781</v>
      </c>
      <c r="W3311" s="122">
        <v>80100</v>
      </c>
      <c r="X3311" s="221"/>
      <c r="Y3311" s="221"/>
      <c r="Z3311" s="221"/>
      <c r="AA3311" s="221"/>
      <c r="AB3311" s="223"/>
    </row>
    <row r="3312" spans="1:28" ht="17.100000000000001" customHeight="1" thickTop="1">
      <c r="A3312" s="226" t="s">
        <v>10276</v>
      </c>
      <c r="B3312" s="28">
        <v>45971</v>
      </c>
      <c r="C3312" s="25"/>
      <c r="D3312" s="13" t="s">
        <v>1829</v>
      </c>
      <c r="E3312" s="228"/>
      <c r="F3312" s="109" t="s">
        <v>10238</v>
      </c>
      <c r="G3312" s="24"/>
      <c r="H3312" s="230">
        <v>4.5</v>
      </c>
      <c r="I3312" s="220">
        <v>705000</v>
      </c>
      <c r="J3312" s="220">
        <f>I3312*0.1</f>
        <v>70500</v>
      </c>
      <c r="K3312" s="220">
        <v>0</v>
      </c>
      <c r="L3312" s="220">
        <v>12470</v>
      </c>
      <c r="M3312" s="220">
        <v>14850</v>
      </c>
      <c r="N3312" s="220">
        <f>SUM(I3312:M3313)</f>
        <v>802820</v>
      </c>
      <c r="O3312" s="224"/>
      <c r="P3312" s="110" t="s">
        <v>10682</v>
      </c>
      <c r="Q3312" s="15" t="s">
        <v>19</v>
      </c>
      <c r="R3312" s="205"/>
      <c r="S3312" s="189"/>
      <c r="T3312" s="114"/>
      <c r="U3312" s="21"/>
      <c r="V3312" s="115">
        <v>45976</v>
      </c>
      <c r="W3312" s="116">
        <v>1276</v>
      </c>
      <c r="X3312" s="220">
        <v>830000</v>
      </c>
      <c r="Y3312" s="220">
        <f>X3312*0.1</f>
        <v>83000</v>
      </c>
      <c r="Z3312" s="220">
        <v>12470</v>
      </c>
      <c r="AA3312" s="220">
        <f>SUM(X3312:Z3312)</f>
        <v>925470</v>
      </c>
      <c r="AB3312" s="222">
        <v>45979</v>
      </c>
    </row>
    <row r="3313" spans="1:28" ht="17.100000000000001" customHeight="1" thickBot="1">
      <c r="A3313" s="227"/>
      <c r="B3313" s="27" t="s">
        <v>2727</v>
      </c>
      <c r="C3313" s="27">
        <v>80347</v>
      </c>
      <c r="D3313" s="14" t="s">
        <v>5400</v>
      </c>
      <c r="E3313" s="229"/>
      <c r="F3313" s="117" t="s">
        <v>10685</v>
      </c>
      <c r="G3313" s="26">
        <v>56314</v>
      </c>
      <c r="H3313" s="231"/>
      <c r="I3313" s="221"/>
      <c r="J3313" s="221"/>
      <c r="K3313" s="221"/>
      <c r="L3313" s="221"/>
      <c r="M3313" s="221"/>
      <c r="N3313" s="221"/>
      <c r="O3313" s="225"/>
      <c r="P3313" s="118" t="s">
        <v>10683</v>
      </c>
      <c r="Q3313" s="16" t="s">
        <v>20</v>
      </c>
      <c r="R3313" s="17" t="s">
        <v>1693</v>
      </c>
      <c r="S3313" s="121" t="s">
        <v>5222</v>
      </c>
      <c r="T3313" s="122"/>
      <c r="U3313" s="22"/>
      <c r="V3313" s="123" t="s">
        <v>10781</v>
      </c>
      <c r="W3313" s="122">
        <v>80098</v>
      </c>
      <c r="X3313" s="221"/>
      <c r="Y3313" s="221"/>
      <c r="Z3313" s="221"/>
      <c r="AA3313" s="221"/>
      <c r="AB3313" s="223"/>
    </row>
    <row r="3314" spans="1:28" ht="17.100000000000001" customHeight="1" thickTop="1">
      <c r="A3314" s="226" t="s">
        <v>10277</v>
      </c>
      <c r="B3314" s="28">
        <v>45971</v>
      </c>
      <c r="C3314" s="25"/>
      <c r="D3314" s="13" t="s">
        <v>1853</v>
      </c>
      <c r="E3314" s="228"/>
      <c r="F3314" s="109" t="s">
        <v>10239</v>
      </c>
      <c r="G3314" s="24" t="s">
        <v>4038</v>
      </c>
      <c r="H3314" s="230">
        <v>4</v>
      </c>
      <c r="I3314" s="220">
        <v>724000</v>
      </c>
      <c r="J3314" s="220">
        <f>I3314*0.1</f>
        <v>72400</v>
      </c>
      <c r="K3314" s="220">
        <f>11500+1150</f>
        <v>12650</v>
      </c>
      <c r="L3314" s="220">
        <v>12450</v>
      </c>
      <c r="M3314" s="220">
        <v>14850</v>
      </c>
      <c r="N3314" s="220">
        <f>SUM(I3314:M3315)</f>
        <v>836350</v>
      </c>
      <c r="O3314" s="224"/>
      <c r="P3314" s="110" t="s">
        <v>10240</v>
      </c>
      <c r="Q3314" s="15" t="s">
        <v>19</v>
      </c>
      <c r="R3314" s="205"/>
      <c r="S3314" s="189"/>
      <c r="T3314" s="114"/>
      <c r="U3314" s="21"/>
      <c r="V3314" s="115"/>
      <c r="W3314" s="116"/>
      <c r="X3314" s="220"/>
      <c r="Y3314" s="220">
        <f>X3314*0.1</f>
        <v>0</v>
      </c>
      <c r="Z3314" s="220"/>
      <c r="AA3314" s="220">
        <f>SUM(X3314:Z3314)</f>
        <v>0</v>
      </c>
      <c r="AB3314" s="222"/>
    </row>
    <row r="3315" spans="1:28" ht="17.100000000000001" customHeight="1" thickBot="1">
      <c r="A3315" s="227"/>
      <c r="B3315" s="27" t="s">
        <v>8691</v>
      </c>
      <c r="C3315" s="27">
        <v>60033</v>
      </c>
      <c r="D3315" s="14" t="s">
        <v>898</v>
      </c>
      <c r="E3315" s="229"/>
      <c r="F3315" s="117" t="s">
        <v>10241</v>
      </c>
      <c r="G3315" s="26">
        <v>38640</v>
      </c>
      <c r="H3315" s="231"/>
      <c r="I3315" s="221"/>
      <c r="J3315" s="221"/>
      <c r="K3315" s="221"/>
      <c r="L3315" s="221"/>
      <c r="M3315" s="221"/>
      <c r="N3315" s="221"/>
      <c r="O3315" s="225"/>
      <c r="P3315" s="118" t="s">
        <v>2898</v>
      </c>
      <c r="Q3315" s="16" t="s">
        <v>20</v>
      </c>
      <c r="R3315" s="17" t="s">
        <v>10519</v>
      </c>
      <c r="S3315" s="121" t="s">
        <v>10802</v>
      </c>
      <c r="T3315" s="122"/>
      <c r="U3315" s="22"/>
      <c r="V3315" s="123"/>
      <c r="W3315" s="122"/>
      <c r="X3315" s="221"/>
      <c r="Y3315" s="221"/>
      <c r="Z3315" s="221"/>
      <c r="AA3315" s="221"/>
      <c r="AB3315" s="223"/>
    </row>
    <row r="3316" spans="1:28" ht="17.100000000000001" customHeight="1" thickTop="1">
      <c r="A3316" s="226" t="s">
        <v>10278</v>
      </c>
      <c r="B3316" s="28">
        <v>45971</v>
      </c>
      <c r="C3316" s="25">
        <v>2068</v>
      </c>
      <c r="D3316" s="13" t="s">
        <v>2065</v>
      </c>
      <c r="E3316" s="228"/>
      <c r="F3316" s="109" t="s">
        <v>10242</v>
      </c>
      <c r="G3316" s="24"/>
      <c r="H3316" s="230">
        <v>5</v>
      </c>
      <c r="I3316" s="220">
        <v>2245000</v>
      </c>
      <c r="J3316" s="220">
        <f>I3316*0.1</f>
        <v>224500</v>
      </c>
      <c r="K3316" s="220">
        <v>0</v>
      </c>
      <c r="L3316" s="220">
        <v>21330</v>
      </c>
      <c r="M3316" s="220">
        <v>11000</v>
      </c>
      <c r="N3316" s="220">
        <f>SUM(I3316:M3317)</f>
        <v>2501830</v>
      </c>
      <c r="O3316" s="224"/>
      <c r="P3316" s="110" t="s">
        <v>10589</v>
      </c>
      <c r="Q3316" s="15" t="s">
        <v>19</v>
      </c>
      <c r="R3316" s="205"/>
      <c r="S3316" s="189"/>
      <c r="T3316" s="114"/>
      <c r="U3316" s="21"/>
      <c r="V3316" s="115">
        <v>45976</v>
      </c>
      <c r="W3316" s="116">
        <v>1276</v>
      </c>
      <c r="X3316" s="220">
        <v>2385000</v>
      </c>
      <c r="Y3316" s="220">
        <f>X3316*0.1</f>
        <v>238500</v>
      </c>
      <c r="Z3316" s="220">
        <v>21330</v>
      </c>
      <c r="AA3316" s="220">
        <f>SUM(X3316:Z3316)</f>
        <v>2644830</v>
      </c>
      <c r="AB3316" s="222">
        <v>45979</v>
      </c>
    </row>
    <row r="3317" spans="1:28" ht="17.100000000000001" customHeight="1" thickBot="1">
      <c r="A3317" s="227"/>
      <c r="B3317" s="27" t="s">
        <v>82</v>
      </c>
      <c r="C3317" s="27">
        <v>11014</v>
      </c>
      <c r="D3317" s="14" t="s">
        <v>2559</v>
      </c>
      <c r="E3317" s="229"/>
      <c r="F3317" s="117" t="s">
        <v>10243</v>
      </c>
      <c r="G3317" s="26">
        <v>19351</v>
      </c>
      <c r="H3317" s="231"/>
      <c r="I3317" s="221"/>
      <c r="J3317" s="221"/>
      <c r="K3317" s="221"/>
      <c r="L3317" s="221"/>
      <c r="M3317" s="221"/>
      <c r="N3317" s="221"/>
      <c r="O3317" s="225"/>
      <c r="P3317" s="118" t="s">
        <v>4389</v>
      </c>
      <c r="Q3317" s="16" t="s">
        <v>20</v>
      </c>
      <c r="R3317" s="17" t="s">
        <v>10519</v>
      </c>
      <c r="S3317" s="121" t="s">
        <v>10590</v>
      </c>
      <c r="T3317" s="122"/>
      <c r="U3317" s="22"/>
      <c r="V3317" s="123" t="s">
        <v>10781</v>
      </c>
      <c r="W3317" s="122">
        <v>80316</v>
      </c>
      <c r="X3317" s="221"/>
      <c r="Y3317" s="221"/>
      <c r="Z3317" s="221"/>
      <c r="AA3317" s="221"/>
      <c r="AB3317" s="223"/>
    </row>
    <row r="3318" spans="1:28" ht="17.100000000000001" customHeight="1" thickTop="1">
      <c r="A3318" s="226" t="s">
        <v>10279</v>
      </c>
      <c r="B3318" s="28">
        <v>45971</v>
      </c>
      <c r="C3318" s="25">
        <v>2068</v>
      </c>
      <c r="D3318" s="13" t="s">
        <v>1810</v>
      </c>
      <c r="E3318" s="228"/>
      <c r="F3318" s="109" t="s">
        <v>10244</v>
      </c>
      <c r="G3318" s="24"/>
      <c r="H3318" s="230">
        <v>4.5</v>
      </c>
      <c r="I3318" s="220">
        <v>2520000</v>
      </c>
      <c r="J3318" s="220">
        <f>I3318*0.1</f>
        <v>252000</v>
      </c>
      <c r="K3318" s="220">
        <v>0</v>
      </c>
      <c r="L3318" s="220">
        <v>21160</v>
      </c>
      <c r="M3318" s="220">
        <v>11000</v>
      </c>
      <c r="N3318" s="220">
        <f>SUM(I3318:M3319)</f>
        <v>2804160</v>
      </c>
      <c r="O3318" s="224"/>
      <c r="P3318" s="110" t="s">
        <v>10591</v>
      </c>
      <c r="Q3318" s="15" t="s">
        <v>19</v>
      </c>
      <c r="R3318" s="205"/>
      <c r="S3318" s="189" t="s">
        <v>1361</v>
      </c>
      <c r="T3318" s="114"/>
      <c r="U3318" s="21"/>
      <c r="V3318" s="115">
        <v>45976</v>
      </c>
      <c r="W3318" s="116">
        <v>1276</v>
      </c>
      <c r="X3318" s="220">
        <v>3055000</v>
      </c>
      <c r="Y3318" s="220">
        <f>X3318*0.1</f>
        <v>305500</v>
      </c>
      <c r="Z3318" s="220">
        <v>21160</v>
      </c>
      <c r="AA3318" s="220">
        <f>SUM(X3318:Z3318)</f>
        <v>3381660</v>
      </c>
      <c r="AB3318" s="222">
        <v>45979</v>
      </c>
    </row>
    <row r="3319" spans="1:28" ht="17.100000000000001" customHeight="1" thickBot="1">
      <c r="A3319" s="227"/>
      <c r="B3319" s="27" t="s">
        <v>82</v>
      </c>
      <c r="C3319" s="27">
        <v>11065</v>
      </c>
      <c r="D3319" s="14" t="s">
        <v>2559</v>
      </c>
      <c r="E3319" s="229"/>
      <c r="F3319" s="117" t="s">
        <v>10245</v>
      </c>
      <c r="G3319" s="26">
        <v>47695</v>
      </c>
      <c r="H3319" s="231"/>
      <c r="I3319" s="221"/>
      <c r="J3319" s="221"/>
      <c r="K3319" s="221"/>
      <c r="L3319" s="221"/>
      <c r="M3319" s="221"/>
      <c r="N3319" s="221"/>
      <c r="O3319" s="225"/>
      <c r="P3319" s="118" t="s">
        <v>4389</v>
      </c>
      <c r="Q3319" s="16" t="s">
        <v>20</v>
      </c>
      <c r="R3319" s="17" t="s">
        <v>10519</v>
      </c>
      <c r="S3319" s="121" t="s">
        <v>1923</v>
      </c>
      <c r="T3319" s="122"/>
      <c r="U3319" s="22"/>
      <c r="V3319" s="123" t="s">
        <v>10781</v>
      </c>
      <c r="W3319" s="122">
        <v>80367</v>
      </c>
      <c r="X3319" s="221"/>
      <c r="Y3319" s="221"/>
      <c r="Z3319" s="221"/>
      <c r="AA3319" s="221"/>
      <c r="AB3319" s="223"/>
    </row>
    <row r="3320" spans="1:28" ht="17.100000000000001" customHeight="1" thickTop="1">
      <c r="A3320" s="226" t="s">
        <v>10280</v>
      </c>
      <c r="B3320" s="28">
        <v>45971</v>
      </c>
      <c r="C3320" s="25">
        <v>2068</v>
      </c>
      <c r="D3320" s="13" t="s">
        <v>1632</v>
      </c>
      <c r="E3320" s="228"/>
      <c r="F3320" s="109" t="s">
        <v>10246</v>
      </c>
      <c r="G3320" s="24"/>
      <c r="H3320" s="230">
        <v>4</v>
      </c>
      <c r="I3320" s="220">
        <v>864000</v>
      </c>
      <c r="J3320" s="220">
        <f>I3320*0.1</f>
        <v>86400</v>
      </c>
      <c r="K3320" s="220">
        <v>0</v>
      </c>
      <c r="L3320" s="220">
        <v>15160</v>
      </c>
      <c r="M3320" s="220">
        <v>11000</v>
      </c>
      <c r="N3320" s="220">
        <f>SUM(I3320:M3321)</f>
        <v>976560</v>
      </c>
      <c r="O3320" s="224"/>
      <c r="P3320" s="110" t="s">
        <v>10676</v>
      </c>
      <c r="Q3320" s="15" t="s">
        <v>19</v>
      </c>
      <c r="R3320" s="205"/>
      <c r="S3320" s="189" t="s">
        <v>1361</v>
      </c>
      <c r="T3320" s="114"/>
      <c r="U3320" s="21"/>
      <c r="V3320" s="115">
        <v>45976</v>
      </c>
      <c r="W3320" s="116">
        <v>1276</v>
      </c>
      <c r="X3320" s="220">
        <v>1025000</v>
      </c>
      <c r="Y3320" s="220">
        <f>X3320*0.1</f>
        <v>102500</v>
      </c>
      <c r="Z3320" s="220">
        <v>15160</v>
      </c>
      <c r="AA3320" s="220">
        <f>SUM(X3320:Z3320)</f>
        <v>1142660</v>
      </c>
      <c r="AB3320" s="222">
        <v>45979</v>
      </c>
    </row>
    <row r="3321" spans="1:28" ht="17.100000000000001" customHeight="1" thickBot="1">
      <c r="A3321" s="227"/>
      <c r="B3321" s="27" t="s">
        <v>82</v>
      </c>
      <c r="C3321" s="27">
        <v>33513</v>
      </c>
      <c r="D3321" s="14" t="s">
        <v>898</v>
      </c>
      <c r="E3321" s="229"/>
      <c r="F3321" s="117" t="s">
        <v>10247</v>
      </c>
      <c r="G3321" s="26">
        <v>69204</v>
      </c>
      <c r="H3321" s="231"/>
      <c r="I3321" s="221"/>
      <c r="J3321" s="221"/>
      <c r="K3321" s="221"/>
      <c r="L3321" s="221"/>
      <c r="M3321" s="221"/>
      <c r="N3321" s="221"/>
      <c r="O3321" s="225"/>
      <c r="P3321" s="118" t="s">
        <v>4735</v>
      </c>
      <c r="Q3321" s="16" t="s">
        <v>20</v>
      </c>
      <c r="R3321" s="17" t="s">
        <v>10642</v>
      </c>
      <c r="S3321" s="121" t="s">
        <v>1731</v>
      </c>
      <c r="T3321" s="122"/>
      <c r="U3321" s="22"/>
      <c r="V3321" s="123" t="s">
        <v>10781</v>
      </c>
      <c r="W3321" s="122">
        <v>80370</v>
      </c>
      <c r="X3321" s="221"/>
      <c r="Y3321" s="221"/>
      <c r="Z3321" s="221"/>
      <c r="AA3321" s="221"/>
      <c r="AB3321" s="223"/>
    </row>
    <row r="3322" spans="1:28" ht="17.100000000000001" customHeight="1" thickTop="1">
      <c r="A3322" s="226" t="s">
        <v>10281</v>
      </c>
      <c r="B3322" s="28">
        <v>45971</v>
      </c>
      <c r="C3322" s="25">
        <v>2068</v>
      </c>
      <c r="D3322" s="13" t="s">
        <v>1733</v>
      </c>
      <c r="E3322" s="228"/>
      <c r="F3322" s="109" t="s">
        <v>10246</v>
      </c>
      <c r="G3322" s="24"/>
      <c r="H3322" s="230">
        <v>3.5</v>
      </c>
      <c r="I3322" s="220">
        <v>639000</v>
      </c>
      <c r="J3322" s="220">
        <f>I3322*0.1</f>
        <v>63900</v>
      </c>
      <c r="K3322" s="220">
        <v>0</v>
      </c>
      <c r="L3322" s="220">
        <v>15470</v>
      </c>
      <c r="M3322" s="220">
        <v>11000</v>
      </c>
      <c r="N3322" s="220">
        <f>SUM(I3322:M3323)</f>
        <v>729370</v>
      </c>
      <c r="O3322" s="224"/>
      <c r="P3322" s="110" t="s">
        <v>10677</v>
      </c>
      <c r="Q3322" s="15" t="s">
        <v>19</v>
      </c>
      <c r="R3322" s="205"/>
      <c r="S3322" s="189" t="s">
        <v>1361</v>
      </c>
      <c r="T3322" s="114" t="s">
        <v>11847</v>
      </c>
      <c r="U3322" s="21"/>
      <c r="V3322" s="115">
        <v>45990</v>
      </c>
      <c r="W3322" s="116">
        <v>1278</v>
      </c>
      <c r="X3322" s="220">
        <v>795000</v>
      </c>
      <c r="Y3322" s="220">
        <f>X3322*0.1</f>
        <v>79500</v>
      </c>
      <c r="Z3322" s="220">
        <v>15470</v>
      </c>
      <c r="AA3322" s="220">
        <f>SUM(X3322:Z3322)</f>
        <v>889970</v>
      </c>
      <c r="AB3322" s="222">
        <v>45995</v>
      </c>
    </row>
    <row r="3323" spans="1:28" ht="17.100000000000001" customHeight="1" thickBot="1">
      <c r="A3323" s="227"/>
      <c r="B3323" s="27" t="s">
        <v>82</v>
      </c>
      <c r="C3323" s="27">
        <v>33525</v>
      </c>
      <c r="D3323" s="14" t="s">
        <v>898</v>
      </c>
      <c r="E3323" s="229"/>
      <c r="F3323" s="117" t="s">
        <v>10248</v>
      </c>
      <c r="G3323" s="26">
        <v>77665</v>
      </c>
      <c r="H3323" s="231"/>
      <c r="I3323" s="221"/>
      <c r="J3323" s="221"/>
      <c r="K3323" s="221"/>
      <c r="L3323" s="221"/>
      <c r="M3323" s="221"/>
      <c r="N3323" s="221"/>
      <c r="O3323" s="225"/>
      <c r="P3323" s="118" t="s">
        <v>4735</v>
      </c>
      <c r="Q3323" s="16" t="s">
        <v>20</v>
      </c>
      <c r="R3323" s="17" t="s">
        <v>10642</v>
      </c>
      <c r="S3323" s="121" t="s">
        <v>169</v>
      </c>
      <c r="T3323" s="122"/>
      <c r="U3323" s="22"/>
      <c r="V3323" s="123" t="s">
        <v>2472</v>
      </c>
      <c r="W3323" s="122">
        <v>80147</v>
      </c>
      <c r="X3323" s="221"/>
      <c r="Y3323" s="221"/>
      <c r="Z3323" s="221"/>
      <c r="AA3323" s="221"/>
      <c r="AB3323" s="223"/>
    </row>
    <row r="3324" spans="1:28" ht="17.100000000000001" customHeight="1" thickTop="1">
      <c r="A3324" s="226" t="s">
        <v>10282</v>
      </c>
      <c r="B3324" s="28">
        <v>45971</v>
      </c>
      <c r="C3324" s="25">
        <v>2068</v>
      </c>
      <c r="D3324" s="13" t="s">
        <v>1733</v>
      </c>
      <c r="E3324" s="228"/>
      <c r="F3324" s="109" t="s">
        <v>10249</v>
      </c>
      <c r="G3324" s="24"/>
      <c r="H3324" s="230">
        <v>4</v>
      </c>
      <c r="I3324" s="220">
        <v>1645000</v>
      </c>
      <c r="J3324" s="220">
        <f>I3324*0.1</f>
        <v>164500</v>
      </c>
      <c r="K3324" s="220">
        <v>0</v>
      </c>
      <c r="L3324" s="220">
        <v>21500</v>
      </c>
      <c r="M3324" s="220">
        <v>11000</v>
      </c>
      <c r="N3324" s="220">
        <f>SUM(I3324:M3325)</f>
        <v>1842000</v>
      </c>
      <c r="O3324" s="224"/>
      <c r="P3324" s="110" t="s">
        <v>10675</v>
      </c>
      <c r="Q3324" s="15" t="s">
        <v>19</v>
      </c>
      <c r="R3324" s="205"/>
      <c r="S3324" s="189" t="s">
        <v>1361</v>
      </c>
      <c r="T3324" s="114"/>
      <c r="U3324" s="21"/>
      <c r="V3324" s="115">
        <v>45976</v>
      </c>
      <c r="W3324" s="116">
        <v>1276</v>
      </c>
      <c r="X3324" s="220">
        <v>1800000</v>
      </c>
      <c r="Y3324" s="220">
        <f>X3324*0.1</f>
        <v>180000</v>
      </c>
      <c r="Z3324" s="220">
        <v>21500</v>
      </c>
      <c r="AA3324" s="220">
        <f>SUM(X3324:Z3324)</f>
        <v>2001500</v>
      </c>
      <c r="AB3324" s="222">
        <v>45979</v>
      </c>
    </row>
    <row r="3325" spans="1:28" ht="17.100000000000001" customHeight="1" thickBot="1">
      <c r="A3325" s="227"/>
      <c r="B3325" s="27" t="s">
        <v>82</v>
      </c>
      <c r="C3325" s="27">
        <v>33529</v>
      </c>
      <c r="D3325" s="14" t="s">
        <v>2559</v>
      </c>
      <c r="E3325" s="229"/>
      <c r="F3325" s="117" t="s">
        <v>10250</v>
      </c>
      <c r="G3325" s="26">
        <v>79325</v>
      </c>
      <c r="H3325" s="231"/>
      <c r="I3325" s="221"/>
      <c r="J3325" s="221"/>
      <c r="K3325" s="221"/>
      <c r="L3325" s="221"/>
      <c r="M3325" s="221"/>
      <c r="N3325" s="221"/>
      <c r="O3325" s="225"/>
      <c r="P3325" s="118" t="s">
        <v>4735</v>
      </c>
      <c r="Q3325" s="16" t="s">
        <v>20</v>
      </c>
      <c r="R3325" s="17" t="s">
        <v>10642</v>
      </c>
      <c r="S3325" s="121" t="s">
        <v>3552</v>
      </c>
      <c r="T3325" s="122"/>
      <c r="U3325" s="22"/>
      <c r="V3325" s="123" t="s">
        <v>10781</v>
      </c>
      <c r="W3325" s="122">
        <v>80320</v>
      </c>
      <c r="X3325" s="221"/>
      <c r="Y3325" s="221"/>
      <c r="Z3325" s="221"/>
      <c r="AA3325" s="221"/>
      <c r="AB3325" s="223"/>
    </row>
    <row r="3326" spans="1:28" ht="17.100000000000001" customHeight="1" thickTop="1">
      <c r="A3326" s="226" t="s">
        <v>10283</v>
      </c>
      <c r="B3326" s="28">
        <v>45971</v>
      </c>
      <c r="C3326" s="25">
        <v>2068</v>
      </c>
      <c r="D3326" s="13" t="s">
        <v>3422</v>
      </c>
      <c r="E3326" s="228"/>
      <c r="F3326" s="109" t="s">
        <v>4483</v>
      </c>
      <c r="G3326" s="24"/>
      <c r="H3326" s="230">
        <v>4.5</v>
      </c>
      <c r="I3326" s="220">
        <v>901000</v>
      </c>
      <c r="J3326" s="220">
        <f>I3326*0.1</f>
        <v>90100</v>
      </c>
      <c r="K3326" s="220">
        <v>0</v>
      </c>
      <c r="L3326" s="220">
        <v>17600</v>
      </c>
      <c r="M3326" s="220">
        <v>11000</v>
      </c>
      <c r="N3326" s="220">
        <f>SUM(I3326:M3327)</f>
        <v>1019700</v>
      </c>
      <c r="O3326" s="224"/>
      <c r="P3326" s="110" t="s">
        <v>10708</v>
      </c>
      <c r="Q3326" s="15" t="s">
        <v>19</v>
      </c>
      <c r="R3326" s="205"/>
      <c r="S3326" s="189" t="s">
        <v>1361</v>
      </c>
      <c r="T3326" s="114"/>
      <c r="U3326" s="21"/>
      <c r="V3326" s="115">
        <v>45983</v>
      </c>
      <c r="W3326" s="116">
        <v>1277</v>
      </c>
      <c r="X3326" s="220">
        <v>1170000</v>
      </c>
      <c r="Y3326" s="220">
        <f>X3326*0.1</f>
        <v>117000</v>
      </c>
      <c r="Z3326" s="220">
        <v>17600</v>
      </c>
      <c r="AA3326" s="220">
        <f>SUM(X3326:Z3326)</f>
        <v>1304600</v>
      </c>
      <c r="AB3326" s="222">
        <v>45987</v>
      </c>
    </row>
    <row r="3327" spans="1:28" ht="17.100000000000001" customHeight="1" thickBot="1">
      <c r="A3327" s="227"/>
      <c r="B3327" s="27" t="s">
        <v>82</v>
      </c>
      <c r="C3327" s="27">
        <v>34523</v>
      </c>
      <c r="D3327" s="14" t="s">
        <v>1584</v>
      </c>
      <c r="E3327" s="229"/>
      <c r="F3327" s="117" t="s">
        <v>10251</v>
      </c>
      <c r="G3327" s="26">
        <v>50785</v>
      </c>
      <c r="H3327" s="231"/>
      <c r="I3327" s="221"/>
      <c r="J3327" s="221"/>
      <c r="K3327" s="221"/>
      <c r="L3327" s="221"/>
      <c r="M3327" s="221"/>
      <c r="N3327" s="221"/>
      <c r="O3327" s="225"/>
      <c r="P3327" s="118" t="s">
        <v>10709</v>
      </c>
      <c r="Q3327" s="16" t="s">
        <v>20</v>
      </c>
      <c r="R3327" s="17" t="s">
        <v>10694</v>
      </c>
      <c r="S3327" s="121" t="s">
        <v>10705</v>
      </c>
      <c r="T3327" s="122"/>
      <c r="U3327" s="22"/>
      <c r="V3327" s="123" t="s">
        <v>2472</v>
      </c>
      <c r="W3327" s="122">
        <v>80362</v>
      </c>
      <c r="X3327" s="221"/>
      <c r="Y3327" s="221"/>
      <c r="Z3327" s="221"/>
      <c r="AA3327" s="221"/>
      <c r="AB3327" s="223"/>
    </row>
    <row r="3328" spans="1:28" ht="17.100000000000001" customHeight="1" thickTop="1">
      <c r="A3328" s="226" t="s">
        <v>10358</v>
      </c>
      <c r="B3328" s="28">
        <v>45972</v>
      </c>
      <c r="C3328" s="25">
        <v>1917</v>
      </c>
      <c r="D3328" s="13" t="s">
        <v>1634</v>
      </c>
      <c r="E3328" s="228"/>
      <c r="F3328" s="109" t="s">
        <v>10284</v>
      </c>
      <c r="G3328" s="24"/>
      <c r="H3328" s="230">
        <v>4</v>
      </c>
      <c r="I3328" s="220">
        <v>805000</v>
      </c>
      <c r="J3328" s="220">
        <f>I3328*0.1</f>
        <v>80500</v>
      </c>
      <c r="K3328" s="220">
        <v>0</v>
      </c>
      <c r="L3328" s="220">
        <v>6860</v>
      </c>
      <c r="M3328" s="220">
        <v>15950</v>
      </c>
      <c r="N3328" s="220">
        <f>SUM(I3328:M3329)</f>
        <v>908310</v>
      </c>
      <c r="O3328" s="224"/>
      <c r="P3328" s="110" t="s">
        <v>10933</v>
      </c>
      <c r="Q3328" s="15" t="s">
        <v>19</v>
      </c>
      <c r="R3328" s="205"/>
      <c r="S3328" s="189" t="s">
        <v>758</v>
      </c>
      <c r="T3328" s="114" t="s">
        <v>11119</v>
      </c>
      <c r="U3328" s="21"/>
      <c r="V3328" s="115">
        <v>45976</v>
      </c>
      <c r="W3328" s="116">
        <v>1276</v>
      </c>
      <c r="X3328" s="220">
        <v>880000</v>
      </c>
      <c r="Y3328" s="220">
        <f>X3328*0.1</f>
        <v>88000</v>
      </c>
      <c r="Z3328" s="220">
        <v>6860</v>
      </c>
      <c r="AA3328" s="220">
        <f>SUM(X3328:Z3328)</f>
        <v>974860</v>
      </c>
      <c r="AB3328" s="222">
        <v>45986</v>
      </c>
    </row>
    <row r="3329" spans="1:28" ht="17.100000000000001" customHeight="1" thickBot="1">
      <c r="A3329" s="227"/>
      <c r="B3329" s="27" t="s">
        <v>2103</v>
      </c>
      <c r="C3329" s="27">
        <v>3042</v>
      </c>
      <c r="D3329" s="14" t="s">
        <v>1710</v>
      </c>
      <c r="E3329" s="229"/>
      <c r="F3329" s="117" t="s">
        <v>10285</v>
      </c>
      <c r="G3329" s="26">
        <v>46466</v>
      </c>
      <c r="H3329" s="231"/>
      <c r="I3329" s="221"/>
      <c r="J3329" s="221"/>
      <c r="K3329" s="221"/>
      <c r="L3329" s="221"/>
      <c r="M3329" s="221"/>
      <c r="N3329" s="221"/>
      <c r="O3329" s="225"/>
      <c r="P3329" s="118" t="s">
        <v>10934</v>
      </c>
      <c r="Q3329" s="16" t="s">
        <v>20</v>
      </c>
      <c r="R3329" s="17" t="s">
        <v>10885</v>
      </c>
      <c r="S3329" s="121" t="s">
        <v>8880</v>
      </c>
      <c r="T3329" s="122"/>
      <c r="U3329" s="22"/>
      <c r="V3329" s="123" t="s">
        <v>10781</v>
      </c>
      <c r="W3329" s="122">
        <v>60494</v>
      </c>
      <c r="X3329" s="221"/>
      <c r="Y3329" s="221"/>
      <c r="Z3329" s="221"/>
      <c r="AA3329" s="221"/>
      <c r="AB3329" s="223"/>
    </row>
    <row r="3330" spans="1:28" ht="17.100000000000001" customHeight="1" thickTop="1">
      <c r="A3330" s="226" t="s">
        <v>10359</v>
      </c>
      <c r="B3330" s="28">
        <v>45972</v>
      </c>
      <c r="C3330" s="25">
        <v>1917</v>
      </c>
      <c r="D3330" s="13" t="s">
        <v>3271</v>
      </c>
      <c r="E3330" s="228"/>
      <c r="F3330" s="109" t="s">
        <v>5334</v>
      </c>
      <c r="G3330" s="24" t="s">
        <v>3264</v>
      </c>
      <c r="H3330" s="230">
        <v>5</v>
      </c>
      <c r="I3330" s="220">
        <v>1238000</v>
      </c>
      <c r="J3330" s="220">
        <f>I3330*0.1</f>
        <v>123800</v>
      </c>
      <c r="K3330" s="220">
        <v>0</v>
      </c>
      <c r="L3330" s="220">
        <v>5670</v>
      </c>
      <c r="M3330" s="220">
        <v>15950</v>
      </c>
      <c r="N3330" s="220">
        <f>SUM(I3330:M3331)</f>
        <v>1383420</v>
      </c>
      <c r="O3330" s="224"/>
      <c r="P3330" s="110" t="s">
        <v>10287</v>
      </c>
      <c r="Q3330" s="15" t="s">
        <v>19</v>
      </c>
      <c r="R3330" s="205"/>
      <c r="S3330" s="189" t="s">
        <v>1322</v>
      </c>
      <c r="T3330" s="114"/>
      <c r="U3330" s="21" t="s">
        <v>12600</v>
      </c>
      <c r="V3330" s="115">
        <v>46029</v>
      </c>
      <c r="W3330" s="116">
        <v>999</v>
      </c>
      <c r="X3330" s="220">
        <v>1260000</v>
      </c>
      <c r="Y3330" s="220">
        <f>X3330*0.1</f>
        <v>126000</v>
      </c>
      <c r="Z3330" s="220">
        <v>5670</v>
      </c>
      <c r="AA3330" s="220">
        <f>SUM(X3330:Z3330)</f>
        <v>1391670</v>
      </c>
      <c r="AB3330" s="222">
        <v>46035</v>
      </c>
    </row>
    <row r="3331" spans="1:28" ht="17.100000000000001" customHeight="1" thickBot="1">
      <c r="A3331" s="227"/>
      <c r="B3331" s="27" t="s">
        <v>2103</v>
      </c>
      <c r="C3331" s="27">
        <v>3255</v>
      </c>
      <c r="D3331" s="14" t="s">
        <v>3274</v>
      </c>
      <c r="E3331" s="229"/>
      <c r="F3331" s="117" t="s">
        <v>10286</v>
      </c>
      <c r="G3331" s="26">
        <v>6494</v>
      </c>
      <c r="H3331" s="231"/>
      <c r="I3331" s="221"/>
      <c r="J3331" s="221"/>
      <c r="K3331" s="221"/>
      <c r="L3331" s="221"/>
      <c r="M3331" s="221"/>
      <c r="N3331" s="221"/>
      <c r="O3331" s="225"/>
      <c r="P3331" s="118" t="s">
        <v>9181</v>
      </c>
      <c r="Q3331" s="16" t="s">
        <v>20</v>
      </c>
      <c r="R3331" s="17" t="s">
        <v>10885</v>
      </c>
      <c r="S3331" s="121" t="s">
        <v>1731</v>
      </c>
      <c r="T3331" s="122"/>
      <c r="U3331" s="22"/>
      <c r="V3331" s="123" t="s">
        <v>2747</v>
      </c>
      <c r="W3331" s="122">
        <v>2079</v>
      </c>
      <c r="X3331" s="221"/>
      <c r="Y3331" s="221"/>
      <c r="Z3331" s="221"/>
      <c r="AA3331" s="221"/>
      <c r="AB3331" s="223"/>
    </row>
    <row r="3332" spans="1:28" ht="17.100000000000001" customHeight="1" thickTop="1">
      <c r="A3332" s="226" t="s">
        <v>10360</v>
      </c>
      <c r="B3332" s="28">
        <v>45972</v>
      </c>
      <c r="C3332" s="25">
        <v>1917</v>
      </c>
      <c r="D3332" s="13" t="s">
        <v>2900</v>
      </c>
      <c r="E3332" s="228"/>
      <c r="F3332" s="109" t="s">
        <v>9344</v>
      </c>
      <c r="G3332" s="24" t="s">
        <v>2871</v>
      </c>
      <c r="H3332" s="230">
        <v>4</v>
      </c>
      <c r="I3332" s="220">
        <v>733000</v>
      </c>
      <c r="J3332" s="220">
        <f>I3332*0.1</f>
        <v>73300</v>
      </c>
      <c r="K3332" s="220">
        <v>0</v>
      </c>
      <c r="L3332" s="220">
        <v>7150</v>
      </c>
      <c r="M3332" s="220">
        <v>15950</v>
      </c>
      <c r="N3332" s="220">
        <f>SUM(I3332:M3333)</f>
        <v>829400</v>
      </c>
      <c r="O3332" s="224"/>
      <c r="P3332" s="110" t="s">
        <v>10296</v>
      </c>
      <c r="Q3332" s="15" t="s">
        <v>19</v>
      </c>
      <c r="R3332" s="205"/>
      <c r="S3332" s="189"/>
      <c r="T3332" s="114"/>
      <c r="U3332" s="21"/>
      <c r="V3332" s="115">
        <v>45990</v>
      </c>
      <c r="W3332" s="116">
        <v>1278</v>
      </c>
      <c r="X3332" s="220">
        <v>710000</v>
      </c>
      <c r="Y3332" s="220">
        <f>X3332*0.1</f>
        <v>71000</v>
      </c>
      <c r="Z3332" s="220">
        <v>7150</v>
      </c>
      <c r="AA3332" s="220">
        <f>SUM(X3332:Z3332)</f>
        <v>788150</v>
      </c>
      <c r="AB3332" s="222">
        <v>45994</v>
      </c>
    </row>
    <row r="3333" spans="1:28" ht="17.100000000000001" customHeight="1" thickBot="1">
      <c r="A3333" s="227"/>
      <c r="B3333" s="27" t="s">
        <v>2103</v>
      </c>
      <c r="C3333" s="27">
        <v>3352</v>
      </c>
      <c r="D3333" s="14" t="s">
        <v>1710</v>
      </c>
      <c r="E3333" s="229"/>
      <c r="F3333" s="117" t="s">
        <v>10295</v>
      </c>
      <c r="G3333" s="26">
        <v>65114</v>
      </c>
      <c r="H3333" s="231"/>
      <c r="I3333" s="221"/>
      <c r="J3333" s="221"/>
      <c r="K3333" s="221"/>
      <c r="L3333" s="221"/>
      <c r="M3333" s="221"/>
      <c r="N3333" s="221"/>
      <c r="O3333" s="225"/>
      <c r="P3333" s="118" t="s">
        <v>10974</v>
      </c>
      <c r="Q3333" s="16" t="s">
        <v>20</v>
      </c>
      <c r="R3333" s="17" t="s">
        <v>10885</v>
      </c>
      <c r="S3333" s="121"/>
      <c r="T3333" s="122"/>
      <c r="U3333" s="22"/>
      <c r="V3333" s="123" t="s">
        <v>2472</v>
      </c>
      <c r="W3333" s="122">
        <v>60137</v>
      </c>
      <c r="X3333" s="221"/>
      <c r="Y3333" s="221"/>
      <c r="Z3333" s="221"/>
      <c r="AA3333" s="221"/>
      <c r="AB3333" s="223"/>
    </row>
    <row r="3334" spans="1:28" ht="17.100000000000001" customHeight="1" thickTop="1">
      <c r="A3334" s="226" t="s">
        <v>10361</v>
      </c>
      <c r="B3334" s="28">
        <v>45972</v>
      </c>
      <c r="C3334" s="25">
        <v>1917</v>
      </c>
      <c r="D3334" s="13" t="s">
        <v>3406</v>
      </c>
      <c r="E3334" s="228"/>
      <c r="F3334" s="109" t="s">
        <v>10297</v>
      </c>
      <c r="G3334" s="24"/>
      <c r="H3334" s="230">
        <v>4.5</v>
      </c>
      <c r="I3334" s="220">
        <v>1221000</v>
      </c>
      <c r="J3334" s="220">
        <f>I3334*0.1</f>
        <v>122100</v>
      </c>
      <c r="K3334" s="220">
        <v>0</v>
      </c>
      <c r="L3334" s="220">
        <v>8130</v>
      </c>
      <c r="M3334" s="220">
        <v>15950</v>
      </c>
      <c r="N3334" s="220">
        <f>SUM(I3334:M3335)</f>
        <v>1367180</v>
      </c>
      <c r="O3334" s="224"/>
      <c r="P3334" s="110" t="s">
        <v>10973</v>
      </c>
      <c r="Q3334" s="15" t="s">
        <v>19</v>
      </c>
      <c r="R3334" s="205"/>
      <c r="S3334" s="189"/>
      <c r="T3334" s="114"/>
      <c r="U3334" s="21"/>
      <c r="V3334" s="115">
        <v>45983</v>
      </c>
      <c r="W3334" s="116">
        <v>1277</v>
      </c>
      <c r="X3334" s="220">
        <v>1300000</v>
      </c>
      <c r="Y3334" s="220">
        <f>X3334*0.1</f>
        <v>130000</v>
      </c>
      <c r="Z3334" s="220">
        <v>8130</v>
      </c>
      <c r="AA3334" s="220">
        <f>SUM(X3334:Z3334)</f>
        <v>1438130</v>
      </c>
      <c r="AB3334" s="222">
        <v>45987</v>
      </c>
    </row>
    <row r="3335" spans="1:28" ht="17.100000000000001" customHeight="1" thickBot="1">
      <c r="A3335" s="227"/>
      <c r="B3335" s="27" t="s">
        <v>2103</v>
      </c>
      <c r="C3335" s="27">
        <v>3405</v>
      </c>
      <c r="D3335" s="14" t="s">
        <v>2753</v>
      </c>
      <c r="E3335" s="229"/>
      <c r="F3335" s="117" t="s">
        <v>10298</v>
      </c>
      <c r="G3335" s="26">
        <v>22754</v>
      </c>
      <c r="H3335" s="231"/>
      <c r="I3335" s="221"/>
      <c r="J3335" s="221"/>
      <c r="K3335" s="221"/>
      <c r="L3335" s="221"/>
      <c r="M3335" s="221"/>
      <c r="N3335" s="221"/>
      <c r="O3335" s="225"/>
      <c r="P3335" s="118" t="s">
        <v>5155</v>
      </c>
      <c r="Q3335" s="16" t="s">
        <v>20</v>
      </c>
      <c r="R3335" s="17" t="s">
        <v>10885</v>
      </c>
      <c r="S3335" s="121" t="s">
        <v>2166</v>
      </c>
      <c r="T3335" s="122"/>
      <c r="U3335" s="22"/>
      <c r="V3335" s="123" t="s">
        <v>2472</v>
      </c>
      <c r="W3335" s="122">
        <v>60056</v>
      </c>
      <c r="X3335" s="221"/>
      <c r="Y3335" s="221"/>
      <c r="Z3335" s="221"/>
      <c r="AA3335" s="221"/>
      <c r="AB3335" s="223"/>
    </row>
    <row r="3336" spans="1:28" ht="17.100000000000001" customHeight="1" thickTop="1">
      <c r="A3336" s="226" t="s">
        <v>10362</v>
      </c>
      <c r="B3336" s="28">
        <v>45972</v>
      </c>
      <c r="C3336" s="25">
        <v>1917</v>
      </c>
      <c r="D3336" s="13" t="s">
        <v>2712</v>
      </c>
      <c r="E3336" s="228"/>
      <c r="F3336" s="109" t="s">
        <v>10153</v>
      </c>
      <c r="G3336" s="24"/>
      <c r="H3336" s="230">
        <v>5</v>
      </c>
      <c r="I3336" s="220">
        <v>1182000</v>
      </c>
      <c r="J3336" s="220">
        <f>I3336*0.1</f>
        <v>118200</v>
      </c>
      <c r="K3336" s="220">
        <v>0</v>
      </c>
      <c r="L3336" s="220">
        <v>12470</v>
      </c>
      <c r="M3336" s="220">
        <v>15950</v>
      </c>
      <c r="N3336" s="220">
        <f>SUM(I3336:M3337)</f>
        <v>1328620</v>
      </c>
      <c r="O3336" s="224"/>
      <c r="P3336" s="110" t="s">
        <v>10994</v>
      </c>
      <c r="Q3336" s="15" t="s">
        <v>19</v>
      </c>
      <c r="R3336" s="205"/>
      <c r="S3336" s="189" t="s">
        <v>758</v>
      </c>
      <c r="T3336" s="114"/>
      <c r="U3336" s="21"/>
      <c r="V3336" s="115">
        <v>45990</v>
      </c>
      <c r="W3336" s="116">
        <v>1278</v>
      </c>
      <c r="X3336" s="220">
        <v>1305000</v>
      </c>
      <c r="Y3336" s="220">
        <f>X3336*0.1</f>
        <v>130500</v>
      </c>
      <c r="Z3336" s="220">
        <v>12470</v>
      </c>
      <c r="AA3336" s="220">
        <f>SUM(X3336:Z3336)</f>
        <v>1447970</v>
      </c>
      <c r="AB3336" s="222">
        <v>45994</v>
      </c>
    </row>
    <row r="3337" spans="1:28" ht="17.100000000000001" customHeight="1" thickBot="1">
      <c r="A3337" s="227"/>
      <c r="B3337" s="27" t="s">
        <v>2103</v>
      </c>
      <c r="C3337" s="27">
        <v>5001</v>
      </c>
      <c r="D3337" s="14" t="s">
        <v>2177</v>
      </c>
      <c r="E3337" s="229"/>
      <c r="F3337" s="117" t="s">
        <v>10334</v>
      </c>
      <c r="G3337" s="26">
        <v>16378</v>
      </c>
      <c r="H3337" s="231"/>
      <c r="I3337" s="221"/>
      <c r="J3337" s="221"/>
      <c r="K3337" s="221"/>
      <c r="L3337" s="221"/>
      <c r="M3337" s="221"/>
      <c r="N3337" s="221"/>
      <c r="O3337" s="225"/>
      <c r="P3337" s="118" t="s">
        <v>5155</v>
      </c>
      <c r="Q3337" s="16" t="s">
        <v>20</v>
      </c>
      <c r="R3337" s="17" t="s">
        <v>10885</v>
      </c>
      <c r="S3337" s="121" t="s">
        <v>10995</v>
      </c>
      <c r="T3337" s="122"/>
      <c r="U3337" s="22"/>
      <c r="V3337" s="123" t="s">
        <v>2472</v>
      </c>
      <c r="W3337" s="122">
        <v>80283</v>
      </c>
      <c r="X3337" s="221"/>
      <c r="Y3337" s="221"/>
      <c r="Z3337" s="221"/>
      <c r="AA3337" s="221"/>
      <c r="AB3337" s="223"/>
    </row>
    <row r="3338" spans="1:28" ht="17.100000000000001" customHeight="1" thickTop="1">
      <c r="A3338" s="226" t="s">
        <v>10363</v>
      </c>
      <c r="B3338" s="28">
        <v>45972</v>
      </c>
      <c r="C3338" s="25">
        <v>1917</v>
      </c>
      <c r="D3338" s="13" t="s">
        <v>3332</v>
      </c>
      <c r="E3338" s="228"/>
      <c r="F3338" s="109" t="s">
        <v>4893</v>
      </c>
      <c r="G3338" s="24"/>
      <c r="H3338" s="230">
        <v>4</v>
      </c>
      <c r="I3338" s="220">
        <v>964000</v>
      </c>
      <c r="J3338" s="220">
        <f>I3338*0.1</f>
        <v>96400</v>
      </c>
      <c r="K3338" s="220">
        <v>0</v>
      </c>
      <c r="L3338" s="220">
        <v>7440</v>
      </c>
      <c r="M3338" s="220">
        <v>15950</v>
      </c>
      <c r="N3338" s="220">
        <f>SUM(I3338:M3339)</f>
        <v>1083790</v>
      </c>
      <c r="O3338" s="224"/>
      <c r="P3338" s="110" t="s">
        <v>10950</v>
      </c>
      <c r="Q3338" s="15" t="s">
        <v>19</v>
      </c>
      <c r="R3338" s="205"/>
      <c r="S3338" s="189"/>
      <c r="T3338" s="114"/>
      <c r="U3338" s="21"/>
      <c r="V3338" s="115">
        <v>46011</v>
      </c>
      <c r="W3338" s="116">
        <v>1281</v>
      </c>
      <c r="X3338" s="220">
        <v>1040000</v>
      </c>
      <c r="Y3338" s="220">
        <f>X3338*0.1</f>
        <v>104000</v>
      </c>
      <c r="Z3338" s="220">
        <v>7440</v>
      </c>
      <c r="AA3338" s="220">
        <f>SUM(X3338:Z3338)</f>
        <v>1151440</v>
      </c>
      <c r="AB3338" s="222">
        <v>46014</v>
      </c>
    </row>
    <row r="3339" spans="1:28" ht="17.100000000000001" customHeight="1" thickBot="1">
      <c r="A3339" s="227"/>
      <c r="B3339" s="27" t="s">
        <v>2103</v>
      </c>
      <c r="C3339" s="27">
        <v>62012</v>
      </c>
      <c r="D3339" s="14" t="s">
        <v>1584</v>
      </c>
      <c r="E3339" s="229"/>
      <c r="F3339" s="117" t="s">
        <v>10347</v>
      </c>
      <c r="G3339" s="26">
        <v>27897</v>
      </c>
      <c r="H3339" s="231"/>
      <c r="I3339" s="221"/>
      <c r="J3339" s="221"/>
      <c r="K3339" s="221"/>
      <c r="L3339" s="221"/>
      <c r="M3339" s="221"/>
      <c r="N3339" s="221"/>
      <c r="O3339" s="225"/>
      <c r="P3339" s="118" t="s">
        <v>10936</v>
      </c>
      <c r="Q3339" s="16" t="s">
        <v>20</v>
      </c>
      <c r="R3339" s="17" t="s">
        <v>10885</v>
      </c>
      <c r="S3339" s="121" t="s">
        <v>10808</v>
      </c>
      <c r="T3339" s="122"/>
      <c r="U3339" s="22"/>
      <c r="V3339" s="123" t="s">
        <v>2472</v>
      </c>
      <c r="W3339" s="122">
        <v>41071</v>
      </c>
      <c r="X3339" s="221"/>
      <c r="Y3339" s="221"/>
      <c r="Z3339" s="221"/>
      <c r="AA3339" s="221"/>
      <c r="AB3339" s="223"/>
    </row>
    <row r="3340" spans="1:28" ht="17.100000000000001" customHeight="1" thickTop="1">
      <c r="A3340" s="226" t="s">
        <v>10364</v>
      </c>
      <c r="B3340" s="28">
        <v>45972</v>
      </c>
      <c r="C3340" s="25">
        <v>1917</v>
      </c>
      <c r="D3340" s="13" t="s">
        <v>2637</v>
      </c>
      <c r="E3340" s="228"/>
      <c r="F3340" s="109" t="s">
        <v>4893</v>
      </c>
      <c r="G3340" s="24"/>
      <c r="H3340" s="230">
        <v>4.5</v>
      </c>
      <c r="I3340" s="220">
        <v>1000000</v>
      </c>
      <c r="J3340" s="220">
        <f>I3340*0.1</f>
        <v>100000</v>
      </c>
      <c r="K3340" s="220">
        <v>0</v>
      </c>
      <c r="L3340" s="220">
        <v>7440</v>
      </c>
      <c r="M3340" s="220">
        <v>15950</v>
      </c>
      <c r="N3340" s="220">
        <f>SUM(I3340:M3341)</f>
        <v>1123390</v>
      </c>
      <c r="O3340" s="224"/>
      <c r="P3340" s="110" t="s">
        <v>10935</v>
      </c>
      <c r="Q3340" s="15" t="s">
        <v>19</v>
      </c>
      <c r="R3340" s="205"/>
      <c r="S3340" s="189"/>
      <c r="T3340" s="114"/>
      <c r="U3340" s="21"/>
      <c r="V3340" s="115">
        <v>45976</v>
      </c>
      <c r="W3340" s="116">
        <v>1276</v>
      </c>
      <c r="X3340" s="220">
        <v>1150000</v>
      </c>
      <c r="Y3340" s="220">
        <f>X3340*0.1</f>
        <v>115000</v>
      </c>
      <c r="Z3340" s="220">
        <v>7440</v>
      </c>
      <c r="AA3340" s="220">
        <f>SUM(X3340:Z3340)</f>
        <v>1272440</v>
      </c>
      <c r="AB3340" s="222">
        <v>45986</v>
      </c>
    </row>
    <row r="3341" spans="1:28" ht="17.100000000000001" customHeight="1" thickBot="1">
      <c r="A3341" s="227"/>
      <c r="B3341" s="27" t="s">
        <v>2103</v>
      </c>
      <c r="C3341" s="27">
        <v>62083</v>
      </c>
      <c r="D3341" s="14" t="s">
        <v>1584</v>
      </c>
      <c r="E3341" s="229"/>
      <c r="F3341" s="117" t="s">
        <v>10357</v>
      </c>
      <c r="G3341" s="26">
        <v>39599</v>
      </c>
      <c r="H3341" s="231"/>
      <c r="I3341" s="221"/>
      <c r="J3341" s="221"/>
      <c r="K3341" s="221"/>
      <c r="L3341" s="221"/>
      <c r="M3341" s="221"/>
      <c r="N3341" s="221"/>
      <c r="O3341" s="225"/>
      <c r="P3341" s="118" t="s">
        <v>10936</v>
      </c>
      <c r="Q3341" s="16" t="s">
        <v>20</v>
      </c>
      <c r="R3341" s="17" t="s">
        <v>10885</v>
      </c>
      <c r="S3341" s="121"/>
      <c r="T3341" s="122"/>
      <c r="U3341" s="22"/>
      <c r="V3341" s="123" t="s">
        <v>10839</v>
      </c>
      <c r="W3341" s="122">
        <v>41061</v>
      </c>
      <c r="X3341" s="221"/>
      <c r="Y3341" s="221"/>
      <c r="Z3341" s="221"/>
      <c r="AA3341" s="221"/>
      <c r="AB3341" s="223"/>
    </row>
    <row r="3342" spans="1:28" ht="17.100000000000001" customHeight="1" thickTop="1">
      <c r="A3342" s="226" t="s">
        <v>10365</v>
      </c>
      <c r="B3342" s="28">
        <v>45972</v>
      </c>
      <c r="C3342" s="25">
        <v>795</v>
      </c>
      <c r="D3342" s="13" t="s">
        <v>1947</v>
      </c>
      <c r="E3342" s="228"/>
      <c r="F3342" s="109" t="s">
        <v>9638</v>
      </c>
      <c r="G3342" s="24" t="s">
        <v>2536</v>
      </c>
      <c r="H3342" s="230">
        <v>5</v>
      </c>
      <c r="I3342" s="220">
        <v>1371000</v>
      </c>
      <c r="J3342" s="220">
        <f>I3342*0.1</f>
        <v>137100</v>
      </c>
      <c r="K3342" s="220">
        <v>0</v>
      </c>
      <c r="L3342" s="220">
        <v>11100</v>
      </c>
      <c r="M3342" s="220">
        <v>15950</v>
      </c>
      <c r="N3342" s="220">
        <f>SUM(I3342:M3343)</f>
        <v>1535150</v>
      </c>
      <c r="O3342" s="224"/>
      <c r="P3342" s="110" t="s">
        <v>10289</v>
      </c>
      <c r="Q3342" s="15" t="s">
        <v>19</v>
      </c>
      <c r="R3342" s="205"/>
      <c r="S3342" s="189" t="s">
        <v>25451</v>
      </c>
      <c r="T3342" s="114"/>
      <c r="U3342" s="21"/>
      <c r="V3342" s="115">
        <v>45976</v>
      </c>
      <c r="W3342" s="116">
        <v>1276</v>
      </c>
      <c r="X3342" s="220">
        <v>1415000</v>
      </c>
      <c r="Y3342" s="220">
        <f>X3342*0.1</f>
        <v>141500</v>
      </c>
      <c r="Z3342" s="220">
        <v>11100</v>
      </c>
      <c r="AA3342" s="220">
        <f>SUM(X3342:Z3342)</f>
        <v>1567600</v>
      </c>
      <c r="AB3342" s="222">
        <v>45986</v>
      </c>
    </row>
    <row r="3343" spans="1:28" ht="17.100000000000001" customHeight="1" thickBot="1">
      <c r="A3343" s="227"/>
      <c r="B3343" s="27" t="s">
        <v>3314</v>
      </c>
      <c r="C3343" s="27">
        <v>3057</v>
      </c>
      <c r="D3343" s="14" t="s">
        <v>2559</v>
      </c>
      <c r="E3343" s="229"/>
      <c r="F3343" s="117" t="s">
        <v>10288</v>
      </c>
      <c r="G3343" s="26">
        <v>12980</v>
      </c>
      <c r="H3343" s="231"/>
      <c r="I3343" s="221"/>
      <c r="J3343" s="221"/>
      <c r="K3343" s="221"/>
      <c r="L3343" s="221"/>
      <c r="M3343" s="221"/>
      <c r="N3343" s="221"/>
      <c r="O3343" s="225"/>
      <c r="P3343" s="118" t="s">
        <v>2031</v>
      </c>
      <c r="Q3343" s="16" t="s">
        <v>20</v>
      </c>
      <c r="R3343" s="17" t="s">
        <v>10885</v>
      </c>
      <c r="S3343" s="121" t="s">
        <v>3581</v>
      </c>
      <c r="T3343" s="122"/>
      <c r="U3343" s="22"/>
      <c r="V3343" s="123" t="s">
        <v>10781</v>
      </c>
      <c r="W3343" s="122">
        <v>60471</v>
      </c>
      <c r="X3343" s="221"/>
      <c r="Y3343" s="221"/>
      <c r="Z3343" s="221"/>
      <c r="AA3343" s="221"/>
      <c r="AB3343" s="223"/>
    </row>
    <row r="3344" spans="1:28" ht="17.100000000000001" customHeight="1" thickTop="1">
      <c r="A3344" s="226" t="s">
        <v>10366</v>
      </c>
      <c r="B3344" s="28">
        <v>45972</v>
      </c>
      <c r="C3344" s="25">
        <v>795</v>
      </c>
      <c r="D3344" s="13" t="s">
        <v>3687</v>
      </c>
      <c r="E3344" s="228"/>
      <c r="F3344" s="109" t="s">
        <v>1854</v>
      </c>
      <c r="G3344" s="24"/>
      <c r="H3344" s="230">
        <v>4</v>
      </c>
      <c r="I3344" s="220">
        <v>482000</v>
      </c>
      <c r="J3344" s="220">
        <f>I3344*0.1</f>
        <v>48200</v>
      </c>
      <c r="K3344" s="220">
        <v>0</v>
      </c>
      <c r="L3344" s="220">
        <v>17700</v>
      </c>
      <c r="M3344" s="220">
        <v>15950</v>
      </c>
      <c r="N3344" s="220">
        <f>SUM(I3344:M3345)</f>
        <v>563850</v>
      </c>
      <c r="O3344" s="224"/>
      <c r="P3344" s="110" t="s">
        <v>10937</v>
      </c>
      <c r="Q3344" s="15" t="s">
        <v>19</v>
      </c>
      <c r="R3344" s="205"/>
      <c r="S3344" s="189"/>
      <c r="T3344" s="114"/>
      <c r="U3344" s="21"/>
      <c r="V3344" s="115">
        <v>45976</v>
      </c>
      <c r="W3344" s="116">
        <v>1276</v>
      </c>
      <c r="X3344" s="220">
        <v>600000</v>
      </c>
      <c r="Y3344" s="220">
        <f>X3344*0.1</f>
        <v>60000</v>
      </c>
      <c r="Z3344" s="220">
        <v>17700</v>
      </c>
      <c r="AA3344" s="220">
        <f>SUM(X3344:Z3344)</f>
        <v>677700</v>
      </c>
      <c r="AB3344" s="222">
        <v>45986</v>
      </c>
    </row>
    <row r="3345" spans="1:28" ht="17.100000000000001" customHeight="1" thickBot="1">
      <c r="A3345" s="227"/>
      <c r="B3345" s="27" t="s">
        <v>3314</v>
      </c>
      <c r="C3345" s="27">
        <v>5001</v>
      </c>
      <c r="D3345" s="14" t="s">
        <v>2753</v>
      </c>
      <c r="E3345" s="229"/>
      <c r="F3345" s="117" t="s">
        <v>10337</v>
      </c>
      <c r="G3345" s="26">
        <v>67318</v>
      </c>
      <c r="H3345" s="231"/>
      <c r="I3345" s="221"/>
      <c r="J3345" s="221"/>
      <c r="K3345" s="221"/>
      <c r="L3345" s="221"/>
      <c r="M3345" s="221"/>
      <c r="N3345" s="221"/>
      <c r="O3345" s="225"/>
      <c r="P3345" s="118" t="s">
        <v>10938</v>
      </c>
      <c r="Q3345" s="16" t="s">
        <v>20</v>
      </c>
      <c r="R3345" s="17" t="s">
        <v>10885</v>
      </c>
      <c r="S3345" s="121" t="s">
        <v>3796</v>
      </c>
      <c r="T3345" s="122"/>
      <c r="U3345" s="22"/>
      <c r="V3345" s="123" t="s">
        <v>10840</v>
      </c>
      <c r="W3345" s="122">
        <v>80314</v>
      </c>
      <c r="X3345" s="221"/>
      <c r="Y3345" s="221"/>
      <c r="Z3345" s="221"/>
      <c r="AA3345" s="221"/>
      <c r="AB3345" s="223"/>
    </row>
    <row r="3346" spans="1:28" ht="17.100000000000001" customHeight="1" thickTop="1">
      <c r="A3346" s="226" t="s">
        <v>10367</v>
      </c>
      <c r="B3346" s="28">
        <v>45972</v>
      </c>
      <c r="C3346" s="25">
        <v>795</v>
      </c>
      <c r="D3346" s="13" t="s">
        <v>1704</v>
      </c>
      <c r="E3346" s="228"/>
      <c r="F3346" s="109" t="s">
        <v>10299</v>
      </c>
      <c r="G3346" s="24"/>
      <c r="H3346" s="230">
        <v>4</v>
      </c>
      <c r="I3346" s="220">
        <v>2040000</v>
      </c>
      <c r="J3346" s="220">
        <f>I3346*0.1</f>
        <v>204000</v>
      </c>
      <c r="K3346" s="220">
        <v>0</v>
      </c>
      <c r="L3346" s="220">
        <v>20580</v>
      </c>
      <c r="M3346" s="220">
        <v>15950</v>
      </c>
      <c r="N3346" s="220">
        <f>SUM(I3346:M3347)</f>
        <v>2280530</v>
      </c>
      <c r="O3346" s="224"/>
      <c r="P3346" s="110" t="s">
        <v>10993</v>
      </c>
      <c r="Q3346" s="15" t="s">
        <v>19</v>
      </c>
      <c r="R3346" s="205"/>
      <c r="S3346" s="189"/>
      <c r="T3346" s="114"/>
      <c r="U3346" s="21"/>
      <c r="V3346" s="115">
        <v>45983</v>
      </c>
      <c r="W3346" s="116">
        <v>1277</v>
      </c>
      <c r="X3346" s="220">
        <v>2235000</v>
      </c>
      <c r="Y3346" s="220">
        <f>X3346*0.1</f>
        <v>223500</v>
      </c>
      <c r="Z3346" s="220">
        <v>20580</v>
      </c>
      <c r="AA3346" s="220">
        <f>SUM(X3346:Z3346)</f>
        <v>2479080</v>
      </c>
      <c r="AB3346" s="222">
        <v>45987</v>
      </c>
    </row>
    <row r="3347" spans="1:28" ht="17.100000000000001" customHeight="1" thickBot="1">
      <c r="A3347" s="227"/>
      <c r="B3347" s="27" t="s">
        <v>3314</v>
      </c>
      <c r="C3347" s="27">
        <v>71101</v>
      </c>
      <c r="D3347" s="14" t="s">
        <v>1584</v>
      </c>
      <c r="E3347" s="229"/>
      <c r="F3347" s="117" t="s">
        <v>10300</v>
      </c>
      <c r="G3347" s="26">
        <v>22745</v>
      </c>
      <c r="H3347" s="231"/>
      <c r="I3347" s="221"/>
      <c r="J3347" s="221"/>
      <c r="K3347" s="221"/>
      <c r="L3347" s="221"/>
      <c r="M3347" s="221"/>
      <c r="N3347" s="221"/>
      <c r="O3347" s="225"/>
      <c r="P3347" s="118" t="s">
        <v>8533</v>
      </c>
      <c r="Q3347" s="16" t="s">
        <v>20</v>
      </c>
      <c r="R3347" s="17" t="s">
        <v>10885</v>
      </c>
      <c r="S3347" s="121" t="s">
        <v>10807</v>
      </c>
      <c r="T3347" s="122"/>
      <c r="U3347" s="22"/>
      <c r="V3347" s="123" t="s">
        <v>7160</v>
      </c>
      <c r="W3347" s="122">
        <v>80007</v>
      </c>
      <c r="X3347" s="221"/>
      <c r="Y3347" s="221"/>
      <c r="Z3347" s="221"/>
      <c r="AA3347" s="221"/>
      <c r="AB3347" s="223"/>
    </row>
    <row r="3348" spans="1:28" ht="17.100000000000001" customHeight="1" thickTop="1">
      <c r="A3348" s="226" t="s">
        <v>10368</v>
      </c>
      <c r="B3348" s="28">
        <v>45972</v>
      </c>
      <c r="C3348" s="25">
        <v>915</v>
      </c>
      <c r="D3348" s="13" t="s">
        <v>10301</v>
      </c>
      <c r="E3348" s="228"/>
      <c r="F3348" s="109" t="s">
        <v>4526</v>
      </c>
      <c r="G3348" s="24"/>
      <c r="H3348" s="230">
        <v>4</v>
      </c>
      <c r="I3348" s="220">
        <v>1080000</v>
      </c>
      <c r="J3348" s="220">
        <f>I3348*0.1</f>
        <v>108000</v>
      </c>
      <c r="K3348" s="220">
        <v>0</v>
      </c>
      <c r="L3348" s="220">
        <v>8640</v>
      </c>
      <c r="M3348" s="220">
        <v>15950</v>
      </c>
      <c r="N3348" s="220">
        <f>SUM(I3348:M3349)</f>
        <v>1212590</v>
      </c>
      <c r="O3348" s="224"/>
      <c r="P3348" s="110" t="s">
        <v>10978</v>
      </c>
      <c r="Q3348" s="15" t="s">
        <v>19</v>
      </c>
      <c r="R3348" s="205"/>
      <c r="S3348" s="189"/>
      <c r="T3348" s="114"/>
      <c r="U3348" s="21"/>
      <c r="V3348" s="115">
        <v>45990</v>
      </c>
      <c r="W3348" s="116">
        <v>1278</v>
      </c>
      <c r="X3348" s="220">
        <v>1150000</v>
      </c>
      <c r="Y3348" s="220">
        <f>X3348*0.1</f>
        <v>115000</v>
      </c>
      <c r="Z3348" s="220">
        <v>8640</v>
      </c>
      <c r="AA3348" s="220">
        <f>SUM(X3348:Z3348)</f>
        <v>1273640</v>
      </c>
      <c r="AB3348" s="222">
        <v>45994</v>
      </c>
    </row>
    <row r="3349" spans="1:28" ht="17.100000000000001" customHeight="1" thickBot="1">
      <c r="A3349" s="227"/>
      <c r="B3349" s="27" t="s">
        <v>2654</v>
      </c>
      <c r="C3349" s="27">
        <v>3123</v>
      </c>
      <c r="D3349" s="14" t="s">
        <v>2753</v>
      </c>
      <c r="E3349" s="229"/>
      <c r="F3349" s="117" t="s">
        <v>10302</v>
      </c>
      <c r="G3349" s="26">
        <v>27006</v>
      </c>
      <c r="H3349" s="231"/>
      <c r="I3349" s="221"/>
      <c r="J3349" s="221"/>
      <c r="K3349" s="221"/>
      <c r="L3349" s="221"/>
      <c r="M3349" s="221"/>
      <c r="N3349" s="221"/>
      <c r="O3349" s="225"/>
      <c r="P3349" s="118" t="s">
        <v>4007</v>
      </c>
      <c r="Q3349" s="16" t="s">
        <v>20</v>
      </c>
      <c r="R3349" s="17" t="s">
        <v>10885</v>
      </c>
      <c r="S3349" s="121" t="s">
        <v>2166</v>
      </c>
      <c r="T3349" s="122"/>
      <c r="U3349" s="22"/>
      <c r="V3349" s="123" t="s">
        <v>2472</v>
      </c>
      <c r="W3349" s="122">
        <v>60210</v>
      </c>
      <c r="X3349" s="221"/>
      <c r="Y3349" s="221"/>
      <c r="Z3349" s="221"/>
      <c r="AA3349" s="221"/>
      <c r="AB3349" s="223"/>
    </row>
    <row r="3350" spans="1:28" ht="17.100000000000001" customHeight="1" thickTop="1">
      <c r="A3350" s="226" t="s">
        <v>10369</v>
      </c>
      <c r="B3350" s="28">
        <v>45972</v>
      </c>
      <c r="C3350" s="25">
        <v>915</v>
      </c>
      <c r="D3350" s="13" t="s">
        <v>10320</v>
      </c>
      <c r="E3350" s="228"/>
      <c r="F3350" s="109" t="s">
        <v>4635</v>
      </c>
      <c r="G3350" s="24" t="s">
        <v>2038</v>
      </c>
      <c r="H3350" s="230">
        <v>4.5</v>
      </c>
      <c r="I3350" s="220">
        <v>1262000</v>
      </c>
      <c r="J3350" s="220">
        <f>I3350*0.1</f>
        <v>126200</v>
      </c>
      <c r="K3350" s="220">
        <v>0</v>
      </c>
      <c r="L3350" s="220">
        <v>6830</v>
      </c>
      <c r="M3350" s="220">
        <v>15950</v>
      </c>
      <c r="N3350" s="220">
        <f>SUM(I3350:M3351)</f>
        <v>1410980</v>
      </c>
      <c r="O3350" s="224"/>
      <c r="P3350" s="110" t="s">
        <v>10322</v>
      </c>
      <c r="Q3350" s="15" t="s">
        <v>19</v>
      </c>
      <c r="R3350" s="205"/>
      <c r="S3350" s="189"/>
      <c r="T3350" s="114"/>
      <c r="U3350" s="21" t="s">
        <v>12598</v>
      </c>
      <c r="V3350" s="115">
        <v>46001</v>
      </c>
      <c r="W3350" s="116">
        <v>996</v>
      </c>
      <c r="X3350" s="220">
        <v>1300000</v>
      </c>
      <c r="Y3350" s="220">
        <f>X3350*0.1</f>
        <v>130000</v>
      </c>
      <c r="Z3350" s="220">
        <v>6830</v>
      </c>
      <c r="AA3350" s="220">
        <f>SUM(X3350:Z3350)</f>
        <v>1436830</v>
      </c>
      <c r="AB3350" s="222">
        <v>46006</v>
      </c>
    </row>
    <row r="3351" spans="1:28" ht="17.100000000000001" customHeight="1" thickBot="1">
      <c r="A3351" s="227"/>
      <c r="B3351" s="27" t="s">
        <v>2654</v>
      </c>
      <c r="C3351" s="27">
        <v>3149</v>
      </c>
      <c r="D3351" s="14" t="s">
        <v>898</v>
      </c>
      <c r="E3351" s="229"/>
      <c r="F3351" s="117" t="s">
        <v>10321</v>
      </c>
      <c r="G3351" s="26">
        <v>34681</v>
      </c>
      <c r="H3351" s="231"/>
      <c r="I3351" s="221"/>
      <c r="J3351" s="221"/>
      <c r="K3351" s="221"/>
      <c r="L3351" s="221"/>
      <c r="M3351" s="221"/>
      <c r="N3351" s="221"/>
      <c r="O3351" s="225"/>
      <c r="P3351" s="118" t="s">
        <v>4007</v>
      </c>
      <c r="Q3351" s="16" t="s">
        <v>20</v>
      </c>
      <c r="R3351" s="17" t="s">
        <v>10885</v>
      </c>
      <c r="S3351" s="121"/>
      <c r="T3351" s="122"/>
      <c r="U3351" s="22"/>
      <c r="V3351" s="123" t="s">
        <v>2747</v>
      </c>
      <c r="W3351" s="122">
        <v>2103</v>
      </c>
      <c r="X3351" s="221"/>
      <c r="Y3351" s="221"/>
      <c r="Z3351" s="221"/>
      <c r="AA3351" s="221"/>
      <c r="AB3351" s="223"/>
    </row>
    <row r="3352" spans="1:28" ht="17.100000000000001" customHeight="1" thickTop="1">
      <c r="A3352" s="226" t="s">
        <v>10370</v>
      </c>
      <c r="B3352" s="28">
        <v>45972</v>
      </c>
      <c r="C3352" s="25">
        <v>915</v>
      </c>
      <c r="D3352" s="13" t="s">
        <v>1901</v>
      </c>
      <c r="E3352" s="228"/>
      <c r="F3352" s="109" t="s">
        <v>5099</v>
      </c>
      <c r="G3352" s="24" t="s">
        <v>2530</v>
      </c>
      <c r="H3352" s="230">
        <v>4.5</v>
      </c>
      <c r="I3352" s="220">
        <v>1115000</v>
      </c>
      <c r="J3352" s="220">
        <f>I3352*0.1</f>
        <v>111500</v>
      </c>
      <c r="K3352" s="220">
        <v>0</v>
      </c>
      <c r="L3352" s="220">
        <v>8640</v>
      </c>
      <c r="M3352" s="220">
        <v>15950</v>
      </c>
      <c r="N3352" s="220">
        <f>SUM(I3352:M3353)</f>
        <v>1251090</v>
      </c>
      <c r="O3352" s="224"/>
      <c r="P3352" s="110" t="s">
        <v>10336</v>
      </c>
      <c r="Q3352" s="15" t="s">
        <v>19</v>
      </c>
      <c r="R3352" s="205"/>
      <c r="S3352" s="189" t="s">
        <v>1341</v>
      </c>
      <c r="T3352" s="114"/>
      <c r="U3352" s="21"/>
      <c r="V3352" s="115">
        <v>45976</v>
      </c>
      <c r="W3352" s="116">
        <v>1276</v>
      </c>
      <c r="X3352" s="220">
        <v>1250000</v>
      </c>
      <c r="Y3352" s="220">
        <f>X3352*0.1</f>
        <v>125000</v>
      </c>
      <c r="Z3352" s="220">
        <v>8640</v>
      </c>
      <c r="AA3352" s="220">
        <f>SUM(X3352:Z3352)</f>
        <v>1383640</v>
      </c>
      <c r="AB3352" s="222">
        <v>45986</v>
      </c>
    </row>
    <row r="3353" spans="1:28" ht="17.100000000000001" customHeight="1" thickBot="1">
      <c r="A3353" s="227"/>
      <c r="B3353" s="27" t="s">
        <v>2654</v>
      </c>
      <c r="C3353" s="27">
        <v>3181</v>
      </c>
      <c r="D3353" s="14" t="s">
        <v>2788</v>
      </c>
      <c r="E3353" s="229"/>
      <c r="F3353" s="117" t="s">
        <v>10335</v>
      </c>
      <c r="G3353" s="26">
        <v>47478</v>
      </c>
      <c r="H3353" s="231"/>
      <c r="I3353" s="221"/>
      <c r="J3353" s="221"/>
      <c r="K3353" s="221"/>
      <c r="L3353" s="221"/>
      <c r="M3353" s="221"/>
      <c r="N3353" s="221"/>
      <c r="O3353" s="225"/>
      <c r="P3353" s="118" t="s">
        <v>10932</v>
      </c>
      <c r="Q3353" s="16" t="s">
        <v>20</v>
      </c>
      <c r="R3353" s="17" t="s">
        <v>10885</v>
      </c>
      <c r="S3353" s="121" t="s">
        <v>2360</v>
      </c>
      <c r="T3353" s="122"/>
      <c r="U3353" s="22"/>
      <c r="V3353" s="123" t="s">
        <v>6641</v>
      </c>
      <c r="W3353" s="122">
        <v>60492</v>
      </c>
      <c r="X3353" s="221"/>
      <c r="Y3353" s="221"/>
      <c r="Z3353" s="221"/>
      <c r="AA3353" s="221"/>
      <c r="AB3353" s="223"/>
    </row>
    <row r="3354" spans="1:28" ht="17.100000000000001" customHeight="1" thickTop="1">
      <c r="A3354" s="226" t="s">
        <v>10371</v>
      </c>
      <c r="B3354" s="28">
        <v>45972</v>
      </c>
      <c r="C3354" s="25">
        <v>915</v>
      </c>
      <c r="D3354" s="13" t="s">
        <v>2489</v>
      </c>
      <c r="E3354" s="228"/>
      <c r="F3354" s="109" t="s">
        <v>6855</v>
      </c>
      <c r="G3354" s="24"/>
      <c r="H3354" s="230">
        <v>3.5</v>
      </c>
      <c r="I3354" s="220">
        <v>181000</v>
      </c>
      <c r="J3354" s="220">
        <f>I3354*0.1</f>
        <v>18100</v>
      </c>
      <c r="K3354" s="220">
        <v>0</v>
      </c>
      <c r="L3354" s="220">
        <v>8490</v>
      </c>
      <c r="M3354" s="220">
        <v>15950</v>
      </c>
      <c r="N3354" s="220">
        <f>SUM(I3354:M3355)</f>
        <v>223540</v>
      </c>
      <c r="O3354" s="224"/>
      <c r="P3354" s="110" t="s">
        <v>10977</v>
      </c>
      <c r="Q3354" s="15" t="s">
        <v>19</v>
      </c>
      <c r="R3354" s="205"/>
      <c r="S3354" s="189"/>
      <c r="T3354" s="114"/>
      <c r="U3354" s="21"/>
      <c r="V3354" s="115">
        <v>45990</v>
      </c>
      <c r="W3354" s="116">
        <v>1278</v>
      </c>
      <c r="X3354" s="220">
        <v>240000</v>
      </c>
      <c r="Y3354" s="220">
        <f>X3354*0.1</f>
        <v>24000</v>
      </c>
      <c r="Z3354" s="220">
        <v>8490</v>
      </c>
      <c r="AA3354" s="220">
        <f>SUM(X3354:Z3354)</f>
        <v>272490</v>
      </c>
      <c r="AB3354" s="222">
        <v>45994</v>
      </c>
    </row>
    <row r="3355" spans="1:28" ht="17.100000000000001" customHeight="1" thickBot="1">
      <c r="A3355" s="227"/>
      <c r="B3355" s="27" t="s">
        <v>2654</v>
      </c>
      <c r="C3355" s="27">
        <v>4024</v>
      </c>
      <c r="D3355" s="14" t="s">
        <v>1584</v>
      </c>
      <c r="E3355" s="229"/>
      <c r="F3355" s="117" t="s">
        <v>10290</v>
      </c>
      <c r="G3355" s="26">
        <v>33137</v>
      </c>
      <c r="H3355" s="231"/>
      <c r="I3355" s="221"/>
      <c r="J3355" s="221"/>
      <c r="K3355" s="221"/>
      <c r="L3355" s="221"/>
      <c r="M3355" s="221"/>
      <c r="N3355" s="221"/>
      <c r="O3355" s="225"/>
      <c r="P3355" s="118" t="s">
        <v>7414</v>
      </c>
      <c r="Q3355" s="16" t="s">
        <v>20</v>
      </c>
      <c r="R3355" s="17" t="s">
        <v>10885</v>
      </c>
      <c r="S3355" s="121"/>
      <c r="T3355" s="122"/>
      <c r="U3355" s="22"/>
      <c r="V3355" s="123" t="s">
        <v>2472</v>
      </c>
      <c r="W3355" s="122">
        <v>60035</v>
      </c>
      <c r="X3355" s="221"/>
      <c r="Y3355" s="221"/>
      <c r="Z3355" s="221"/>
      <c r="AA3355" s="221"/>
      <c r="AB3355" s="223"/>
    </row>
    <row r="3356" spans="1:28" ht="17.100000000000001" customHeight="1" thickTop="1">
      <c r="A3356" s="226" t="s">
        <v>10372</v>
      </c>
      <c r="B3356" s="28">
        <v>45972</v>
      </c>
      <c r="C3356" s="25">
        <v>915</v>
      </c>
      <c r="D3356" s="13" t="s">
        <v>1772</v>
      </c>
      <c r="E3356" s="228"/>
      <c r="F3356" s="109" t="s">
        <v>4732</v>
      </c>
      <c r="G3356" s="24" t="s">
        <v>3867</v>
      </c>
      <c r="H3356" s="230">
        <v>4</v>
      </c>
      <c r="I3356" s="220">
        <v>1603000</v>
      </c>
      <c r="J3356" s="220">
        <f>I3356*0.1</f>
        <v>160300</v>
      </c>
      <c r="K3356" s="220">
        <v>11110</v>
      </c>
      <c r="L3356" s="220">
        <v>15180</v>
      </c>
      <c r="M3356" s="220">
        <v>15950</v>
      </c>
      <c r="N3356" s="220">
        <f>SUM(I3356:M3357)</f>
        <v>1805540</v>
      </c>
      <c r="O3356" s="224"/>
      <c r="P3356" s="110" t="s">
        <v>10339</v>
      </c>
      <c r="Q3356" s="15" t="s">
        <v>19</v>
      </c>
      <c r="R3356" s="205"/>
      <c r="S3356" s="189" t="s">
        <v>25587</v>
      </c>
      <c r="T3356" s="114"/>
      <c r="U3356" s="21"/>
      <c r="V3356" s="115">
        <v>45983</v>
      </c>
      <c r="W3356" s="116">
        <v>1277</v>
      </c>
      <c r="X3356" s="220">
        <v>1780000</v>
      </c>
      <c r="Y3356" s="220">
        <f>X3356*0.1</f>
        <v>178000</v>
      </c>
      <c r="Z3356" s="220">
        <v>15180</v>
      </c>
      <c r="AA3356" s="220">
        <f>SUM(X3356:Z3356)</f>
        <v>1973180</v>
      </c>
      <c r="AB3356" s="222">
        <v>45992</v>
      </c>
    </row>
    <row r="3357" spans="1:28" ht="17.100000000000001" customHeight="1" thickBot="1">
      <c r="A3357" s="227"/>
      <c r="B3357" s="27" t="s">
        <v>2654</v>
      </c>
      <c r="C3357" s="27">
        <v>5023</v>
      </c>
      <c r="D3357" s="14" t="s">
        <v>1584</v>
      </c>
      <c r="E3357" s="229"/>
      <c r="F3357" s="117" t="s">
        <v>10338</v>
      </c>
      <c r="G3357" s="26">
        <v>49550</v>
      </c>
      <c r="H3357" s="231"/>
      <c r="I3357" s="221"/>
      <c r="J3357" s="221"/>
      <c r="K3357" s="221"/>
      <c r="L3357" s="221"/>
      <c r="M3357" s="221"/>
      <c r="N3357" s="221"/>
      <c r="O3357" s="225"/>
      <c r="P3357" s="118" t="s">
        <v>10987</v>
      </c>
      <c r="Q3357" s="16" t="s">
        <v>20</v>
      </c>
      <c r="R3357" s="17" t="s">
        <v>10885</v>
      </c>
      <c r="S3357" s="121" t="s">
        <v>10988</v>
      </c>
      <c r="T3357" s="122"/>
      <c r="U3357" s="22"/>
      <c r="V3357" s="123" t="s">
        <v>6642</v>
      </c>
      <c r="W3357" s="122">
        <v>80043</v>
      </c>
      <c r="X3357" s="221"/>
      <c r="Y3357" s="221"/>
      <c r="Z3357" s="221"/>
      <c r="AA3357" s="221"/>
      <c r="AB3357" s="223"/>
    </row>
    <row r="3358" spans="1:28" ht="17.100000000000001" customHeight="1" thickTop="1">
      <c r="A3358" s="226" t="s">
        <v>10373</v>
      </c>
      <c r="B3358" s="28">
        <v>45972</v>
      </c>
      <c r="C3358" s="25">
        <v>915</v>
      </c>
      <c r="D3358" s="13" t="s">
        <v>1953</v>
      </c>
      <c r="E3358" s="228"/>
      <c r="F3358" s="109" t="s">
        <v>10340</v>
      </c>
      <c r="G3358" s="24" t="s">
        <v>4038</v>
      </c>
      <c r="H3358" s="230">
        <v>4.5</v>
      </c>
      <c r="I3358" s="220">
        <v>2179000</v>
      </c>
      <c r="J3358" s="220">
        <f>I3358*0.1</f>
        <v>217900</v>
      </c>
      <c r="K3358" s="220">
        <v>12650</v>
      </c>
      <c r="L3358" s="220">
        <v>12680</v>
      </c>
      <c r="M3358" s="220">
        <v>15950</v>
      </c>
      <c r="N3358" s="220">
        <f>SUM(I3358:M3359)</f>
        <v>2438180</v>
      </c>
      <c r="O3358" s="224"/>
      <c r="P3358" s="110" t="s">
        <v>10342</v>
      </c>
      <c r="Q3358" s="15" t="s">
        <v>19</v>
      </c>
      <c r="R3358" s="205"/>
      <c r="S3358" s="189" t="s">
        <v>1322</v>
      </c>
      <c r="T3358" s="114"/>
      <c r="U3358" s="21"/>
      <c r="V3358" s="115">
        <v>45976</v>
      </c>
      <c r="W3358" s="116">
        <v>1276</v>
      </c>
      <c r="X3358" s="220">
        <v>2335000</v>
      </c>
      <c r="Y3358" s="220">
        <f>X3358*0.1</f>
        <v>233500</v>
      </c>
      <c r="Z3358" s="220">
        <v>12680</v>
      </c>
      <c r="AA3358" s="220">
        <f>SUM(X3358:Z3358)</f>
        <v>2581180</v>
      </c>
      <c r="AB3358" s="222">
        <v>45986</v>
      </c>
    </row>
    <row r="3359" spans="1:28" ht="17.100000000000001" customHeight="1" thickBot="1">
      <c r="A3359" s="227"/>
      <c r="B3359" s="27" t="s">
        <v>2654</v>
      </c>
      <c r="C3359" s="27">
        <v>5029</v>
      </c>
      <c r="D3359" s="14" t="s">
        <v>273</v>
      </c>
      <c r="E3359" s="229"/>
      <c r="F3359" s="117" t="s">
        <v>10341</v>
      </c>
      <c r="G3359" s="26">
        <v>26094</v>
      </c>
      <c r="H3359" s="231"/>
      <c r="I3359" s="221"/>
      <c r="J3359" s="221"/>
      <c r="K3359" s="221"/>
      <c r="L3359" s="221"/>
      <c r="M3359" s="221"/>
      <c r="N3359" s="221"/>
      <c r="O3359" s="225"/>
      <c r="P3359" s="118" t="s">
        <v>10941</v>
      </c>
      <c r="Q3359" s="16" t="s">
        <v>20</v>
      </c>
      <c r="R3359" s="17" t="s">
        <v>10885</v>
      </c>
      <c r="S3359" s="121" t="s">
        <v>2025</v>
      </c>
      <c r="T3359" s="122"/>
      <c r="U3359" s="22"/>
      <c r="V3359" s="123" t="s">
        <v>10781</v>
      </c>
      <c r="W3359" s="122">
        <v>80336</v>
      </c>
      <c r="X3359" s="221"/>
      <c r="Y3359" s="221"/>
      <c r="Z3359" s="221"/>
      <c r="AA3359" s="221"/>
      <c r="AB3359" s="223"/>
    </row>
    <row r="3360" spans="1:28" ht="17.100000000000001" customHeight="1" thickTop="1">
      <c r="A3360" s="226" t="s">
        <v>10374</v>
      </c>
      <c r="B3360" s="28">
        <v>45972</v>
      </c>
      <c r="C3360" s="25">
        <v>1069</v>
      </c>
      <c r="D3360" s="13" t="s">
        <v>1935</v>
      </c>
      <c r="E3360" s="228"/>
      <c r="F3360" s="109" t="s">
        <v>2685</v>
      </c>
      <c r="G3360" s="24" t="s">
        <v>3607</v>
      </c>
      <c r="H3360" s="230">
        <v>4</v>
      </c>
      <c r="I3360" s="220">
        <v>870000</v>
      </c>
      <c r="J3360" s="220">
        <f>I3360*0.1</f>
        <v>87000</v>
      </c>
      <c r="K3360" s="220">
        <f>13100+1310</f>
        <v>14410</v>
      </c>
      <c r="L3360" s="220">
        <v>19090</v>
      </c>
      <c r="M3360" s="220">
        <v>27500</v>
      </c>
      <c r="N3360" s="220">
        <f>SUM(I3360:M3361)</f>
        <v>1018000</v>
      </c>
      <c r="O3360" s="224"/>
      <c r="P3360" s="110" t="s">
        <v>10422</v>
      </c>
      <c r="Q3360" s="15" t="s">
        <v>19</v>
      </c>
      <c r="R3360" s="205"/>
      <c r="S3360" s="189" t="s">
        <v>758</v>
      </c>
      <c r="T3360" s="114"/>
      <c r="U3360" s="21"/>
      <c r="V3360" s="115">
        <v>45976</v>
      </c>
      <c r="W3360" s="116">
        <v>1276</v>
      </c>
      <c r="X3360" s="220">
        <v>1050000</v>
      </c>
      <c r="Y3360" s="220">
        <f>X3360*0.1</f>
        <v>105000</v>
      </c>
      <c r="Z3360" s="220">
        <v>19090</v>
      </c>
      <c r="AA3360" s="220">
        <f>SUM(X3360:Z3360)</f>
        <v>1174090</v>
      </c>
      <c r="AB3360" s="222">
        <v>45981</v>
      </c>
    </row>
    <row r="3361" spans="1:28" ht="17.100000000000001" customHeight="1" thickBot="1">
      <c r="A3361" s="227"/>
      <c r="B3361" s="27" t="s">
        <v>1583</v>
      </c>
      <c r="C3361" s="27">
        <v>82007</v>
      </c>
      <c r="D3361" s="14" t="s">
        <v>1568</v>
      </c>
      <c r="E3361" s="229"/>
      <c r="F3361" s="117" t="s">
        <v>10421</v>
      </c>
      <c r="G3361" s="26">
        <v>59300</v>
      </c>
      <c r="H3361" s="231"/>
      <c r="I3361" s="221"/>
      <c r="J3361" s="221"/>
      <c r="K3361" s="221"/>
      <c r="L3361" s="221"/>
      <c r="M3361" s="221"/>
      <c r="N3361" s="221"/>
      <c r="O3361" s="225"/>
      <c r="P3361" s="118" t="s">
        <v>1972</v>
      </c>
      <c r="Q3361" s="16" t="s">
        <v>20</v>
      </c>
      <c r="R3361" s="17" t="s">
        <v>10856</v>
      </c>
      <c r="S3361" s="121" t="s">
        <v>1731</v>
      </c>
      <c r="T3361" s="122"/>
      <c r="U3361" s="22"/>
      <c r="V3361" s="123" t="s">
        <v>10781</v>
      </c>
      <c r="W3361" s="122">
        <v>80319</v>
      </c>
      <c r="X3361" s="221"/>
      <c r="Y3361" s="221"/>
      <c r="Z3361" s="221"/>
      <c r="AA3361" s="221"/>
      <c r="AB3361" s="223"/>
    </row>
    <row r="3362" spans="1:28" ht="17.100000000000001" customHeight="1" thickTop="1">
      <c r="A3362" s="226" t="s">
        <v>10375</v>
      </c>
      <c r="B3362" s="28">
        <v>45972</v>
      </c>
      <c r="C3362" s="25">
        <v>1069</v>
      </c>
      <c r="D3362" s="13" t="s">
        <v>2406</v>
      </c>
      <c r="E3362" s="228"/>
      <c r="F3362" s="109" t="s">
        <v>10382</v>
      </c>
      <c r="G3362" s="24" t="s">
        <v>2630</v>
      </c>
      <c r="H3362" s="230">
        <v>4</v>
      </c>
      <c r="I3362" s="220">
        <v>730000</v>
      </c>
      <c r="J3362" s="220">
        <f>I3362*0.1</f>
        <v>73000</v>
      </c>
      <c r="K3362" s="220">
        <v>0</v>
      </c>
      <c r="L3362" s="220">
        <v>19440</v>
      </c>
      <c r="M3362" s="220">
        <v>16500</v>
      </c>
      <c r="N3362" s="220">
        <f>SUM(I3362:M3363)</f>
        <v>838940</v>
      </c>
      <c r="O3362" s="224"/>
      <c r="P3362" s="110" t="s">
        <v>10425</v>
      </c>
      <c r="Q3362" s="15" t="s">
        <v>19</v>
      </c>
      <c r="R3362" s="205"/>
      <c r="S3362" s="189" t="s">
        <v>25397</v>
      </c>
      <c r="T3362" s="114"/>
      <c r="U3362" s="21"/>
      <c r="V3362" s="115">
        <v>45983</v>
      </c>
      <c r="W3362" s="116">
        <v>1277</v>
      </c>
      <c r="X3362" s="220">
        <v>1025000</v>
      </c>
      <c r="Y3362" s="220">
        <f>X3362*0.1</f>
        <v>102500</v>
      </c>
      <c r="Z3362" s="220">
        <v>19440</v>
      </c>
      <c r="AA3362" s="220">
        <f>SUM(X3362:Z3362)</f>
        <v>1146940</v>
      </c>
      <c r="AB3362" s="222">
        <v>45987</v>
      </c>
    </row>
    <row r="3363" spans="1:28" ht="17.100000000000001" customHeight="1" thickBot="1">
      <c r="A3363" s="227"/>
      <c r="B3363" s="27" t="s">
        <v>1583</v>
      </c>
      <c r="C3363" s="27">
        <v>84040</v>
      </c>
      <c r="D3363" s="14" t="s">
        <v>273</v>
      </c>
      <c r="E3363" s="229"/>
      <c r="F3363" s="117" t="s">
        <v>10424</v>
      </c>
      <c r="G3363" s="26">
        <v>44288</v>
      </c>
      <c r="H3363" s="231"/>
      <c r="I3363" s="221"/>
      <c r="J3363" s="221"/>
      <c r="K3363" s="221"/>
      <c r="L3363" s="221"/>
      <c r="M3363" s="221"/>
      <c r="N3363" s="221"/>
      <c r="O3363" s="225"/>
      <c r="P3363" s="118" t="s">
        <v>10991</v>
      </c>
      <c r="Q3363" s="16" t="s">
        <v>20</v>
      </c>
      <c r="R3363" s="17" t="s">
        <v>10885</v>
      </c>
      <c r="S3363" s="121" t="s">
        <v>1731</v>
      </c>
      <c r="T3363" s="122"/>
      <c r="U3363" s="22"/>
      <c r="V3363" s="123" t="s">
        <v>2472</v>
      </c>
      <c r="W3363" s="122">
        <v>80127</v>
      </c>
      <c r="X3363" s="221"/>
      <c r="Y3363" s="221"/>
      <c r="Z3363" s="221"/>
      <c r="AA3363" s="221"/>
      <c r="AB3363" s="223"/>
    </row>
    <row r="3364" spans="1:28" ht="17.100000000000001" customHeight="1" thickTop="1">
      <c r="A3364" s="226" t="s">
        <v>10376</v>
      </c>
      <c r="B3364" s="28">
        <v>45972</v>
      </c>
      <c r="C3364" s="25">
        <v>1069</v>
      </c>
      <c r="D3364" s="13" t="s">
        <v>3269</v>
      </c>
      <c r="E3364" s="228"/>
      <c r="F3364" s="109" t="s">
        <v>10426</v>
      </c>
      <c r="G3364" s="24" t="s">
        <v>10428</v>
      </c>
      <c r="H3364" s="230">
        <v>4.5</v>
      </c>
      <c r="I3364" s="220">
        <v>2230000</v>
      </c>
      <c r="J3364" s="220">
        <f>I3364*0.1</f>
        <v>223000</v>
      </c>
      <c r="K3364" s="220">
        <f>12000+1200</f>
        <v>13200</v>
      </c>
      <c r="L3364" s="220">
        <v>21720</v>
      </c>
      <c r="M3364" s="220">
        <v>16500</v>
      </c>
      <c r="N3364" s="220">
        <f>SUM(I3364:M3365)</f>
        <v>2504420</v>
      </c>
      <c r="O3364" s="224"/>
      <c r="P3364" s="110" t="s">
        <v>10429</v>
      </c>
      <c r="Q3364" s="15" t="s">
        <v>19</v>
      </c>
      <c r="R3364" s="205"/>
      <c r="S3364" s="189" t="s">
        <v>1422</v>
      </c>
      <c r="T3364" s="114"/>
      <c r="U3364" s="21"/>
      <c r="V3364" s="115">
        <v>45983</v>
      </c>
      <c r="W3364" s="116">
        <v>1277</v>
      </c>
      <c r="X3364" s="220">
        <v>2450000</v>
      </c>
      <c r="Y3364" s="220">
        <f>X3364*0.1</f>
        <v>245000</v>
      </c>
      <c r="Z3364" s="220">
        <v>21720</v>
      </c>
      <c r="AA3364" s="220">
        <f>SUM(X3364:Z3364)</f>
        <v>2716720</v>
      </c>
      <c r="AB3364" s="222">
        <v>45992</v>
      </c>
    </row>
    <row r="3365" spans="1:28" ht="17.100000000000001" customHeight="1" thickBot="1">
      <c r="A3365" s="227"/>
      <c r="B3365" s="27" t="s">
        <v>1583</v>
      </c>
      <c r="C3365" s="27">
        <v>84335</v>
      </c>
      <c r="D3365" s="14" t="s">
        <v>1584</v>
      </c>
      <c r="E3365" s="229"/>
      <c r="F3365" s="117" t="s">
        <v>10427</v>
      </c>
      <c r="G3365" s="26">
        <v>73215</v>
      </c>
      <c r="H3365" s="231"/>
      <c r="I3365" s="221"/>
      <c r="J3365" s="221"/>
      <c r="K3365" s="221"/>
      <c r="L3365" s="221"/>
      <c r="M3365" s="221"/>
      <c r="N3365" s="221"/>
      <c r="O3365" s="225"/>
      <c r="P3365" s="118" t="s">
        <v>10641</v>
      </c>
      <c r="Q3365" s="16" t="s">
        <v>20</v>
      </c>
      <c r="R3365" s="17" t="s">
        <v>10642</v>
      </c>
      <c r="S3365" s="121" t="s">
        <v>10643</v>
      </c>
      <c r="T3365" s="122"/>
      <c r="U3365" s="22"/>
      <c r="V3365" s="123" t="s">
        <v>11526</v>
      </c>
      <c r="W3365" s="122">
        <v>80415</v>
      </c>
      <c r="X3365" s="221"/>
      <c r="Y3365" s="221"/>
      <c r="Z3365" s="221"/>
      <c r="AA3365" s="221"/>
      <c r="AB3365" s="223"/>
    </row>
    <row r="3366" spans="1:28" ht="17.100000000000001" customHeight="1" thickTop="1">
      <c r="A3366" s="226" t="s">
        <v>10377</v>
      </c>
      <c r="B3366" s="28">
        <v>45972</v>
      </c>
      <c r="C3366" s="25">
        <v>965</v>
      </c>
      <c r="D3366" s="13" t="s">
        <v>2690</v>
      </c>
      <c r="E3366" s="228"/>
      <c r="F3366" s="109" t="s">
        <v>10391</v>
      </c>
      <c r="G3366" s="24"/>
      <c r="H3366" s="230">
        <v>4</v>
      </c>
      <c r="I3366" s="220">
        <v>638000</v>
      </c>
      <c r="J3366" s="220">
        <f>I3366*0.1</f>
        <v>63800</v>
      </c>
      <c r="K3366" s="220">
        <v>0</v>
      </c>
      <c r="L3366" s="220">
        <v>8430</v>
      </c>
      <c r="M3366" s="220">
        <v>22000</v>
      </c>
      <c r="N3366" s="220">
        <f>SUM(I3366:M3367)</f>
        <v>732230</v>
      </c>
      <c r="O3366" s="224"/>
      <c r="P3366" s="110" t="s">
        <v>10940</v>
      </c>
      <c r="Q3366" s="15" t="s">
        <v>19</v>
      </c>
      <c r="R3366" s="205"/>
      <c r="S3366" s="189" t="s">
        <v>25461</v>
      </c>
      <c r="T3366" s="114"/>
      <c r="U3366" s="21"/>
      <c r="V3366" s="115">
        <v>45979</v>
      </c>
      <c r="W3366" s="116">
        <v>1918</v>
      </c>
      <c r="X3366" s="220">
        <v>773000</v>
      </c>
      <c r="Y3366" s="220">
        <f>X3366*0.1</f>
        <v>77300</v>
      </c>
      <c r="Z3366" s="220">
        <v>8430</v>
      </c>
      <c r="AA3366" s="220">
        <f>SUM(X3366:Z3366)</f>
        <v>858730</v>
      </c>
      <c r="AB3366" s="222">
        <v>45986</v>
      </c>
    </row>
    <row r="3367" spans="1:28" ht="17.100000000000001" customHeight="1" thickBot="1">
      <c r="A3367" s="227"/>
      <c r="B3367" s="27" t="s">
        <v>2029</v>
      </c>
      <c r="C3367" s="27">
        <v>173</v>
      </c>
      <c r="D3367" s="14" t="s">
        <v>1584</v>
      </c>
      <c r="E3367" s="229"/>
      <c r="F3367" s="117" t="s">
        <v>10392</v>
      </c>
      <c r="G3367" s="26">
        <v>50420</v>
      </c>
      <c r="H3367" s="231"/>
      <c r="I3367" s="221"/>
      <c r="J3367" s="221"/>
      <c r="K3367" s="221"/>
      <c r="L3367" s="221"/>
      <c r="M3367" s="221"/>
      <c r="N3367" s="221"/>
      <c r="O3367" s="225"/>
      <c r="P3367" s="118" t="s">
        <v>2446</v>
      </c>
      <c r="Q3367" s="16" t="s">
        <v>20</v>
      </c>
      <c r="R3367" s="17" t="s">
        <v>10885</v>
      </c>
      <c r="S3367" s="121" t="s">
        <v>10805</v>
      </c>
      <c r="T3367" s="122"/>
      <c r="U3367" s="22"/>
      <c r="V3367" s="123" t="s">
        <v>2103</v>
      </c>
      <c r="W3367" s="122">
        <v>3369</v>
      </c>
      <c r="X3367" s="221"/>
      <c r="Y3367" s="221"/>
      <c r="Z3367" s="221"/>
      <c r="AA3367" s="221"/>
      <c r="AB3367" s="223"/>
    </row>
    <row r="3368" spans="1:28" ht="17.100000000000001" customHeight="1" thickTop="1">
      <c r="A3368" s="226" t="s">
        <v>10378</v>
      </c>
      <c r="B3368" s="28">
        <v>45972</v>
      </c>
      <c r="C3368" s="25">
        <v>965</v>
      </c>
      <c r="D3368" s="13" t="s">
        <v>3406</v>
      </c>
      <c r="E3368" s="228"/>
      <c r="F3368" s="109" t="s">
        <v>2743</v>
      </c>
      <c r="G3368" s="24"/>
      <c r="H3368" s="230">
        <v>4</v>
      </c>
      <c r="I3368" s="220">
        <v>1168000</v>
      </c>
      <c r="J3368" s="220">
        <f>I3368*0.1</f>
        <v>116800</v>
      </c>
      <c r="K3368" s="220">
        <v>0</v>
      </c>
      <c r="L3368" s="220">
        <v>8550</v>
      </c>
      <c r="M3368" s="220">
        <v>22000</v>
      </c>
      <c r="N3368" s="220">
        <f>SUM(I3368:M3369)</f>
        <v>1315350</v>
      </c>
      <c r="O3368" s="224"/>
      <c r="P3368" s="110" t="s">
        <v>10966</v>
      </c>
      <c r="Q3368" s="15" t="s">
        <v>19</v>
      </c>
      <c r="R3368" s="205"/>
      <c r="S3368" s="189" t="s">
        <v>758</v>
      </c>
      <c r="T3368" s="114"/>
      <c r="U3368" s="21"/>
      <c r="V3368" s="115">
        <v>45986</v>
      </c>
      <c r="W3368" s="116">
        <v>1919</v>
      </c>
      <c r="X3368" s="220">
        <v>1197000</v>
      </c>
      <c r="Y3368" s="220">
        <f>X3368*0.1</f>
        <v>119700</v>
      </c>
      <c r="Z3368" s="220">
        <v>8550</v>
      </c>
      <c r="AA3368" s="220">
        <f>SUM(X3368:Z3368)</f>
        <v>1325250</v>
      </c>
      <c r="AB3368" s="222"/>
    </row>
    <row r="3369" spans="1:28" ht="17.100000000000001" customHeight="1" thickBot="1">
      <c r="A3369" s="227"/>
      <c r="B3369" s="27" t="s">
        <v>2029</v>
      </c>
      <c r="C3369" s="27">
        <v>251</v>
      </c>
      <c r="D3369" s="14" t="s">
        <v>273</v>
      </c>
      <c r="E3369" s="229"/>
      <c r="F3369" s="117" t="s">
        <v>10393</v>
      </c>
      <c r="G3369" s="26">
        <v>36369</v>
      </c>
      <c r="H3369" s="231"/>
      <c r="I3369" s="221"/>
      <c r="J3369" s="221"/>
      <c r="K3369" s="221"/>
      <c r="L3369" s="221"/>
      <c r="M3369" s="221"/>
      <c r="N3369" s="221"/>
      <c r="O3369" s="225"/>
      <c r="P3369" s="118" t="s">
        <v>2446</v>
      </c>
      <c r="Q3369" s="16" t="s">
        <v>20</v>
      </c>
      <c r="R3369" s="17" t="s">
        <v>10885</v>
      </c>
      <c r="S3369" s="121" t="s">
        <v>10879</v>
      </c>
      <c r="T3369" s="122"/>
      <c r="U3369" s="22"/>
      <c r="V3369" s="123" t="s">
        <v>2103</v>
      </c>
      <c r="W3369" s="122">
        <v>3049</v>
      </c>
      <c r="X3369" s="221"/>
      <c r="Y3369" s="221"/>
      <c r="Z3369" s="221"/>
      <c r="AA3369" s="221"/>
      <c r="AB3369" s="223"/>
    </row>
    <row r="3370" spans="1:28" ht="17.100000000000001" customHeight="1" thickTop="1">
      <c r="A3370" s="226" t="s">
        <v>10379</v>
      </c>
      <c r="B3370" s="28">
        <v>45972</v>
      </c>
      <c r="C3370" s="25">
        <v>783</v>
      </c>
      <c r="D3370" s="13" t="s">
        <v>1909</v>
      </c>
      <c r="E3370" s="228"/>
      <c r="F3370" s="109" t="s">
        <v>9009</v>
      </c>
      <c r="G3370" s="24"/>
      <c r="H3370" s="230">
        <v>4.5</v>
      </c>
      <c r="I3370" s="220">
        <v>1089000</v>
      </c>
      <c r="J3370" s="220">
        <f>I3370*0.1</f>
        <v>108900</v>
      </c>
      <c r="K3370" s="220">
        <v>0</v>
      </c>
      <c r="L3370" s="220">
        <v>7230</v>
      </c>
      <c r="M3370" s="220">
        <v>22000</v>
      </c>
      <c r="N3370" s="220">
        <f>SUM(I3370:M3371)</f>
        <v>1227130</v>
      </c>
      <c r="O3370" s="224"/>
      <c r="P3370" s="110" t="s">
        <v>10969</v>
      </c>
      <c r="Q3370" s="15" t="s">
        <v>19</v>
      </c>
      <c r="R3370" s="205"/>
      <c r="S3370" s="189" t="s">
        <v>25588</v>
      </c>
      <c r="T3370" s="114"/>
      <c r="U3370" s="21"/>
      <c r="V3370" s="115">
        <v>45990</v>
      </c>
      <c r="W3370" s="116">
        <v>1278</v>
      </c>
      <c r="X3370" s="220">
        <v>1165000</v>
      </c>
      <c r="Y3370" s="220">
        <f>X3370*0.1</f>
        <v>116500</v>
      </c>
      <c r="Z3370" s="220">
        <v>7230</v>
      </c>
      <c r="AA3370" s="220">
        <f>SUM(X3370:Z3370)</f>
        <v>1288730</v>
      </c>
      <c r="AB3370" s="222">
        <v>45994</v>
      </c>
    </row>
    <row r="3371" spans="1:28" ht="16.5" customHeight="1" thickBot="1">
      <c r="A3371" s="227"/>
      <c r="B3371" s="27" t="s">
        <v>4416</v>
      </c>
      <c r="C3371" s="27">
        <v>1</v>
      </c>
      <c r="D3371" s="14" t="s">
        <v>273</v>
      </c>
      <c r="E3371" s="229"/>
      <c r="F3371" s="117" t="s">
        <v>10394</v>
      </c>
      <c r="G3371" s="26">
        <v>10315</v>
      </c>
      <c r="H3371" s="231"/>
      <c r="I3371" s="221"/>
      <c r="J3371" s="221"/>
      <c r="K3371" s="221"/>
      <c r="L3371" s="221"/>
      <c r="M3371" s="221"/>
      <c r="N3371" s="221"/>
      <c r="O3371" s="225"/>
      <c r="P3371" s="118" t="s">
        <v>2031</v>
      </c>
      <c r="Q3371" s="16" t="s">
        <v>20</v>
      </c>
      <c r="R3371" s="17" t="s">
        <v>10885</v>
      </c>
      <c r="S3371" s="121" t="s">
        <v>10881</v>
      </c>
      <c r="T3371" s="122"/>
      <c r="U3371" s="22"/>
      <c r="V3371" s="123" t="s">
        <v>2472</v>
      </c>
      <c r="W3371" s="122">
        <v>62039</v>
      </c>
      <c r="X3371" s="221"/>
      <c r="Y3371" s="221"/>
      <c r="Z3371" s="221"/>
      <c r="AA3371" s="221"/>
      <c r="AB3371" s="223"/>
    </row>
    <row r="3372" spans="1:28" ht="17.100000000000001" customHeight="1" thickTop="1">
      <c r="A3372" s="226" t="s">
        <v>10380</v>
      </c>
      <c r="B3372" s="28">
        <v>45972</v>
      </c>
      <c r="C3372" s="25">
        <v>783</v>
      </c>
      <c r="D3372" s="13" t="s">
        <v>2158</v>
      </c>
      <c r="E3372" s="228"/>
      <c r="F3372" s="109" t="s">
        <v>10027</v>
      </c>
      <c r="G3372" s="24"/>
      <c r="H3372" s="230">
        <v>3.5</v>
      </c>
      <c r="I3372" s="220">
        <v>298000</v>
      </c>
      <c r="J3372" s="220">
        <f>I3372*0.1</f>
        <v>29800</v>
      </c>
      <c r="K3372" s="220">
        <v>0</v>
      </c>
      <c r="L3372" s="220">
        <v>7500</v>
      </c>
      <c r="M3372" s="220">
        <v>22000</v>
      </c>
      <c r="N3372" s="220">
        <f>SUM(I3372:M3373)</f>
        <v>357300</v>
      </c>
      <c r="O3372" s="224"/>
      <c r="P3372" s="110" t="s">
        <v>10972</v>
      </c>
      <c r="Q3372" s="15" t="s">
        <v>19</v>
      </c>
      <c r="R3372" s="205"/>
      <c r="S3372" s="189" t="s">
        <v>1113</v>
      </c>
      <c r="T3372" s="114"/>
      <c r="U3372" s="21"/>
      <c r="V3372" s="115">
        <v>45986</v>
      </c>
      <c r="W3372" s="116">
        <v>1919</v>
      </c>
      <c r="X3372" s="220">
        <v>352000</v>
      </c>
      <c r="Y3372" s="220">
        <f>X3372*0.1</f>
        <v>35200</v>
      </c>
      <c r="Z3372" s="220">
        <v>7500</v>
      </c>
      <c r="AA3372" s="220">
        <f>SUM(X3372:Z3372)</f>
        <v>394700</v>
      </c>
      <c r="AB3372" s="222"/>
    </row>
    <row r="3373" spans="1:28" ht="17.100000000000001" customHeight="1" thickBot="1">
      <c r="A3373" s="227"/>
      <c r="B3373" s="27" t="s">
        <v>4416</v>
      </c>
      <c r="C3373" s="27">
        <v>17</v>
      </c>
      <c r="D3373" s="14" t="s">
        <v>1584</v>
      </c>
      <c r="E3373" s="229"/>
      <c r="F3373" s="117" t="s">
        <v>10395</v>
      </c>
      <c r="G3373" s="26">
        <v>35543</v>
      </c>
      <c r="H3373" s="231"/>
      <c r="I3373" s="221"/>
      <c r="J3373" s="221"/>
      <c r="K3373" s="221"/>
      <c r="L3373" s="221"/>
      <c r="M3373" s="221"/>
      <c r="N3373" s="221"/>
      <c r="O3373" s="225"/>
      <c r="P3373" s="118" t="s">
        <v>2031</v>
      </c>
      <c r="Q3373" s="16" t="s">
        <v>20</v>
      </c>
      <c r="R3373" s="17" t="s">
        <v>10885</v>
      </c>
      <c r="S3373" s="121" t="s">
        <v>10124</v>
      </c>
      <c r="T3373" s="122"/>
      <c r="U3373" s="22"/>
      <c r="V3373" s="123" t="s">
        <v>11417</v>
      </c>
      <c r="W3373" s="122">
        <v>3189</v>
      </c>
      <c r="X3373" s="221"/>
      <c r="Y3373" s="221"/>
      <c r="Z3373" s="221"/>
      <c r="AA3373" s="221"/>
      <c r="AB3373" s="223"/>
    </row>
    <row r="3374" spans="1:28" ht="17.100000000000001" customHeight="1" thickTop="1">
      <c r="A3374" s="226" t="s">
        <v>10381</v>
      </c>
      <c r="B3374" s="28">
        <v>45972</v>
      </c>
      <c r="C3374" s="25">
        <v>783</v>
      </c>
      <c r="D3374" s="13" t="s">
        <v>2158</v>
      </c>
      <c r="E3374" s="228"/>
      <c r="F3374" s="109" t="s">
        <v>10027</v>
      </c>
      <c r="G3374" s="24"/>
      <c r="H3374" s="230">
        <v>3.5</v>
      </c>
      <c r="I3374" s="220">
        <v>289000</v>
      </c>
      <c r="J3374" s="220">
        <f>I3374*0.1</f>
        <v>28900</v>
      </c>
      <c r="K3374" s="220">
        <v>0</v>
      </c>
      <c r="L3374" s="220">
        <v>7500</v>
      </c>
      <c r="M3374" s="220">
        <v>22000</v>
      </c>
      <c r="N3374" s="220">
        <f>SUM(I3374:M3375)</f>
        <v>347400</v>
      </c>
      <c r="O3374" s="224"/>
      <c r="P3374" s="110" t="s">
        <v>10971</v>
      </c>
      <c r="Q3374" s="15" t="s">
        <v>19</v>
      </c>
      <c r="R3374" s="205"/>
      <c r="S3374" s="189" t="s">
        <v>758</v>
      </c>
      <c r="T3374" s="114"/>
      <c r="U3374" s="21"/>
      <c r="V3374" s="115">
        <v>45993</v>
      </c>
      <c r="W3374" s="116">
        <v>1920</v>
      </c>
      <c r="X3374" s="220">
        <v>346000</v>
      </c>
      <c r="Y3374" s="220">
        <f>X3374*0.1</f>
        <v>34600</v>
      </c>
      <c r="Z3374" s="220">
        <v>7500</v>
      </c>
      <c r="AA3374" s="220">
        <f>SUM(X3374:Z3374)</f>
        <v>388100</v>
      </c>
      <c r="AB3374" s="222"/>
    </row>
    <row r="3375" spans="1:28" ht="17.100000000000001" customHeight="1" thickBot="1">
      <c r="A3375" s="227"/>
      <c r="B3375" s="27" t="s">
        <v>4416</v>
      </c>
      <c r="C3375" s="27">
        <v>104</v>
      </c>
      <c r="D3375" s="14" t="s">
        <v>1584</v>
      </c>
      <c r="E3375" s="229"/>
      <c r="F3375" s="117" t="s">
        <v>10396</v>
      </c>
      <c r="G3375" s="26">
        <v>42748</v>
      </c>
      <c r="H3375" s="231"/>
      <c r="I3375" s="221"/>
      <c r="J3375" s="221"/>
      <c r="K3375" s="221"/>
      <c r="L3375" s="221"/>
      <c r="M3375" s="221"/>
      <c r="N3375" s="221"/>
      <c r="O3375" s="225"/>
      <c r="P3375" s="118" t="s">
        <v>2446</v>
      </c>
      <c r="Q3375" s="16" t="s">
        <v>20</v>
      </c>
      <c r="R3375" s="17" t="s">
        <v>10885</v>
      </c>
      <c r="S3375" s="121" t="s">
        <v>10124</v>
      </c>
      <c r="T3375" s="122"/>
      <c r="U3375" s="22"/>
      <c r="V3375" s="123" t="s">
        <v>2103</v>
      </c>
      <c r="W3375" s="122">
        <v>3065</v>
      </c>
      <c r="X3375" s="221"/>
      <c r="Y3375" s="221"/>
      <c r="Z3375" s="221"/>
      <c r="AA3375" s="221"/>
      <c r="AB3375" s="223"/>
    </row>
    <row r="3376" spans="1:28" ht="17.100000000000001" customHeight="1" thickTop="1">
      <c r="A3376" s="226" t="s">
        <v>10383</v>
      </c>
      <c r="B3376" s="28">
        <v>45972</v>
      </c>
      <c r="C3376" s="25">
        <v>783</v>
      </c>
      <c r="D3376" s="13" t="s">
        <v>2158</v>
      </c>
      <c r="E3376" s="228"/>
      <c r="F3376" s="109" t="s">
        <v>9905</v>
      </c>
      <c r="G3376" s="24"/>
      <c r="H3376" s="230">
        <v>4</v>
      </c>
      <c r="I3376" s="220">
        <v>538000</v>
      </c>
      <c r="J3376" s="220">
        <f>I3376*0.1</f>
        <v>53800</v>
      </c>
      <c r="K3376" s="220">
        <v>0</v>
      </c>
      <c r="L3376" s="220">
        <v>8430</v>
      </c>
      <c r="M3376" s="220">
        <v>22000</v>
      </c>
      <c r="N3376" s="220">
        <f>SUM(I3376:M3377)</f>
        <v>622230</v>
      </c>
      <c r="O3376" s="224"/>
      <c r="P3376" s="110" t="s">
        <v>10970</v>
      </c>
      <c r="Q3376" s="15" t="s">
        <v>19</v>
      </c>
      <c r="R3376" s="205"/>
      <c r="S3376" s="189" t="s">
        <v>758</v>
      </c>
      <c r="T3376" s="114"/>
      <c r="U3376" s="21"/>
      <c r="V3376" s="115">
        <v>45983</v>
      </c>
      <c r="W3376" s="116">
        <v>1277</v>
      </c>
      <c r="X3376" s="220">
        <v>640000</v>
      </c>
      <c r="Y3376" s="220">
        <f>X3376*0.1</f>
        <v>64000</v>
      </c>
      <c r="Z3376" s="220">
        <v>8430</v>
      </c>
      <c r="AA3376" s="220">
        <f>SUM(X3376:Z3376)</f>
        <v>712430</v>
      </c>
      <c r="AB3376" s="222">
        <v>45987</v>
      </c>
    </row>
    <row r="3377" spans="1:28" ht="17.100000000000001" customHeight="1" thickBot="1">
      <c r="A3377" s="227"/>
      <c r="B3377" s="27" t="s">
        <v>4416</v>
      </c>
      <c r="C3377" s="27">
        <v>124</v>
      </c>
      <c r="D3377" s="14" t="s">
        <v>1584</v>
      </c>
      <c r="E3377" s="229"/>
      <c r="F3377" s="117" t="s">
        <v>10397</v>
      </c>
      <c r="G3377" s="26">
        <v>43707</v>
      </c>
      <c r="H3377" s="231"/>
      <c r="I3377" s="221"/>
      <c r="J3377" s="221"/>
      <c r="K3377" s="221"/>
      <c r="L3377" s="221"/>
      <c r="M3377" s="221"/>
      <c r="N3377" s="221"/>
      <c r="O3377" s="225"/>
      <c r="P3377" s="118" t="s">
        <v>2031</v>
      </c>
      <c r="Q3377" s="16" t="s">
        <v>20</v>
      </c>
      <c r="R3377" s="17" t="s">
        <v>10885</v>
      </c>
      <c r="S3377" s="121" t="s">
        <v>10696</v>
      </c>
      <c r="T3377" s="122"/>
      <c r="U3377" s="22"/>
      <c r="V3377" s="123" t="s">
        <v>2472</v>
      </c>
      <c r="W3377" s="122">
        <v>62038</v>
      </c>
      <c r="X3377" s="221"/>
      <c r="Y3377" s="221"/>
      <c r="Z3377" s="221"/>
      <c r="AA3377" s="221"/>
      <c r="AB3377" s="223"/>
    </row>
    <row r="3378" spans="1:28" ht="17.100000000000001" customHeight="1" thickTop="1">
      <c r="A3378" s="226" t="s">
        <v>10384</v>
      </c>
      <c r="B3378" s="28">
        <v>45973</v>
      </c>
      <c r="C3378" s="25">
        <v>2330</v>
      </c>
      <c r="D3378" s="13" t="s">
        <v>1702</v>
      </c>
      <c r="E3378" s="228"/>
      <c r="F3378" s="109" t="s">
        <v>10398</v>
      </c>
      <c r="G3378" s="24"/>
      <c r="H3378" s="230">
        <v>4</v>
      </c>
      <c r="I3378" s="220">
        <v>785000</v>
      </c>
      <c r="J3378" s="220">
        <f>I3378*0.1</f>
        <v>78500</v>
      </c>
      <c r="K3378" s="220">
        <v>0</v>
      </c>
      <c r="L3378" s="220">
        <v>9790</v>
      </c>
      <c r="M3378" s="220">
        <v>16500</v>
      </c>
      <c r="N3378" s="220">
        <f>SUM(I3378:M3379)</f>
        <v>889790</v>
      </c>
      <c r="O3378" s="224"/>
      <c r="P3378" s="110" t="s">
        <v>10644</v>
      </c>
      <c r="Q3378" s="15" t="s">
        <v>19</v>
      </c>
      <c r="R3378" s="205"/>
      <c r="S3378" s="189"/>
      <c r="T3378" s="114"/>
      <c r="U3378" s="21"/>
      <c r="V3378" s="115">
        <v>45976</v>
      </c>
      <c r="W3378" s="116">
        <v>1276</v>
      </c>
      <c r="X3378" s="220">
        <v>880000</v>
      </c>
      <c r="Y3378" s="220">
        <f>X3378*0.1</f>
        <v>88000</v>
      </c>
      <c r="Z3378" s="220">
        <v>9790</v>
      </c>
      <c r="AA3378" s="220">
        <f>SUM(X3378:Z3378)</f>
        <v>977790</v>
      </c>
      <c r="AB3378" s="222">
        <v>45979</v>
      </c>
    </row>
    <row r="3379" spans="1:28" ht="17.100000000000001" customHeight="1" thickBot="1">
      <c r="A3379" s="227"/>
      <c r="B3379" s="27" t="s">
        <v>3367</v>
      </c>
      <c r="C3379" s="27">
        <v>20101</v>
      </c>
      <c r="D3379" s="14" t="s">
        <v>2559</v>
      </c>
      <c r="E3379" s="229"/>
      <c r="F3379" s="117" t="s">
        <v>10399</v>
      </c>
      <c r="G3379" s="26">
        <v>48605</v>
      </c>
      <c r="H3379" s="231"/>
      <c r="I3379" s="221"/>
      <c r="J3379" s="221"/>
      <c r="K3379" s="221"/>
      <c r="L3379" s="221"/>
      <c r="M3379" s="221"/>
      <c r="N3379" s="221"/>
      <c r="O3379" s="225"/>
      <c r="P3379" s="118" t="s">
        <v>7603</v>
      </c>
      <c r="Q3379" s="16" t="s">
        <v>20</v>
      </c>
      <c r="R3379" s="17" t="s">
        <v>10642</v>
      </c>
      <c r="S3379" s="121" t="s">
        <v>5207</v>
      </c>
      <c r="T3379" s="122" t="s">
        <v>10513</v>
      </c>
      <c r="U3379" s="22"/>
      <c r="V3379" s="123" t="s">
        <v>10781</v>
      </c>
      <c r="W3379" s="122">
        <v>60516</v>
      </c>
      <c r="X3379" s="221"/>
      <c r="Y3379" s="221"/>
      <c r="Z3379" s="221"/>
      <c r="AA3379" s="221"/>
      <c r="AB3379" s="223"/>
    </row>
    <row r="3380" spans="1:28" ht="17.100000000000001" customHeight="1" thickTop="1">
      <c r="A3380" s="226" t="s">
        <v>10400</v>
      </c>
      <c r="B3380" s="28">
        <v>45973</v>
      </c>
      <c r="C3380" s="25">
        <v>1813</v>
      </c>
      <c r="D3380" s="13" t="s">
        <v>2073</v>
      </c>
      <c r="E3380" s="228"/>
      <c r="F3380" s="109" t="s">
        <v>4508</v>
      </c>
      <c r="G3380" s="24"/>
      <c r="H3380" s="230">
        <v>4</v>
      </c>
      <c r="I3380" s="220">
        <v>1199000</v>
      </c>
      <c r="J3380" s="220">
        <f>I3380*0.1</f>
        <v>119900</v>
      </c>
      <c r="K3380" s="220">
        <v>0</v>
      </c>
      <c r="L3380" s="220">
        <v>9010</v>
      </c>
      <c r="M3380" s="220">
        <v>18150</v>
      </c>
      <c r="N3380" s="220">
        <f>SUM(I3380:M3381)</f>
        <v>1346060</v>
      </c>
      <c r="O3380" s="224"/>
      <c r="P3380" s="110" t="s">
        <v>10854</v>
      </c>
      <c r="Q3380" s="15" t="s">
        <v>19</v>
      </c>
      <c r="R3380" s="205"/>
      <c r="S3380" s="189"/>
      <c r="T3380" s="114"/>
      <c r="U3380" s="21"/>
      <c r="V3380" s="115">
        <v>45976</v>
      </c>
      <c r="W3380" s="116">
        <v>1276</v>
      </c>
      <c r="X3380" s="220">
        <v>1255000</v>
      </c>
      <c r="Y3380" s="220">
        <f>X3380*0.1</f>
        <v>125500</v>
      </c>
      <c r="Z3380" s="220">
        <v>9010</v>
      </c>
      <c r="AA3380" s="220">
        <f>SUM(X3380:Z3380)</f>
        <v>1389510</v>
      </c>
      <c r="AB3380" s="222">
        <v>45981</v>
      </c>
    </row>
    <row r="3381" spans="1:28" ht="17.100000000000001" customHeight="1" thickBot="1">
      <c r="A3381" s="227"/>
      <c r="B3381" s="27" t="s">
        <v>2519</v>
      </c>
      <c r="C3381" s="27">
        <v>3304</v>
      </c>
      <c r="D3381" s="14" t="s">
        <v>1797</v>
      </c>
      <c r="E3381" s="229"/>
      <c r="F3381" s="117" t="s">
        <v>10407</v>
      </c>
      <c r="G3381" s="26">
        <v>30286</v>
      </c>
      <c r="H3381" s="231"/>
      <c r="I3381" s="221"/>
      <c r="J3381" s="221"/>
      <c r="K3381" s="221"/>
      <c r="L3381" s="221"/>
      <c r="M3381" s="221"/>
      <c r="N3381" s="221"/>
      <c r="O3381" s="225"/>
      <c r="P3381" s="118" t="s">
        <v>10855</v>
      </c>
      <c r="Q3381" s="16" t="s">
        <v>20</v>
      </c>
      <c r="R3381" s="17" t="s">
        <v>10856</v>
      </c>
      <c r="S3381" s="121" t="s">
        <v>10806</v>
      </c>
      <c r="T3381" s="122"/>
      <c r="U3381" s="22"/>
      <c r="V3381" s="123" t="s">
        <v>10781</v>
      </c>
      <c r="W3381" s="122">
        <v>60528</v>
      </c>
      <c r="X3381" s="221"/>
      <c r="Y3381" s="221"/>
      <c r="Z3381" s="221"/>
      <c r="AA3381" s="221"/>
      <c r="AB3381" s="223"/>
    </row>
    <row r="3382" spans="1:28" ht="17.100000000000001" customHeight="1" thickTop="1">
      <c r="A3382" s="226" t="s">
        <v>10401</v>
      </c>
      <c r="B3382" s="28">
        <v>45973</v>
      </c>
      <c r="C3382" s="25">
        <v>1813</v>
      </c>
      <c r="D3382" s="13" t="s">
        <v>2637</v>
      </c>
      <c r="E3382" s="228"/>
      <c r="F3382" s="109" t="s">
        <v>6719</v>
      </c>
      <c r="G3382" s="24"/>
      <c r="H3382" s="230">
        <v>4.5</v>
      </c>
      <c r="I3382" s="220">
        <v>776000</v>
      </c>
      <c r="J3382" s="220">
        <f>I3382*0.1</f>
        <v>77600</v>
      </c>
      <c r="K3382" s="220">
        <v>0</v>
      </c>
      <c r="L3382" s="220">
        <v>7860</v>
      </c>
      <c r="M3382" s="220">
        <v>18150</v>
      </c>
      <c r="N3382" s="220">
        <f>SUM(I3382:M3383)</f>
        <v>879610</v>
      </c>
      <c r="O3382" s="224"/>
      <c r="P3382" s="110" t="s">
        <v>10866</v>
      </c>
      <c r="Q3382" s="15" t="s">
        <v>19</v>
      </c>
      <c r="R3382" s="205"/>
      <c r="S3382" s="189" t="s">
        <v>758</v>
      </c>
      <c r="T3382" s="114"/>
      <c r="U3382" s="21"/>
      <c r="V3382" s="115">
        <v>46046</v>
      </c>
      <c r="W3382" s="116">
        <v>1285</v>
      </c>
      <c r="X3382" s="220">
        <v>865000</v>
      </c>
      <c r="Y3382" s="220">
        <f>X3382*0.1</f>
        <v>86500</v>
      </c>
      <c r="Z3382" s="220">
        <v>7860</v>
      </c>
      <c r="AA3382" s="220">
        <f>SUM(X3382:Z3382)</f>
        <v>959360</v>
      </c>
      <c r="AB3382" s="222">
        <v>46049</v>
      </c>
    </row>
    <row r="3383" spans="1:28" ht="17.100000000000001" customHeight="1" thickBot="1">
      <c r="A3383" s="227"/>
      <c r="B3383" s="27" t="s">
        <v>2519</v>
      </c>
      <c r="C3383" s="27">
        <v>3324</v>
      </c>
      <c r="D3383" s="14" t="s">
        <v>1710</v>
      </c>
      <c r="E3383" s="229"/>
      <c r="F3383" s="117" t="s">
        <v>10408</v>
      </c>
      <c r="G3383" s="26">
        <v>36379</v>
      </c>
      <c r="H3383" s="231"/>
      <c r="I3383" s="221"/>
      <c r="J3383" s="221"/>
      <c r="K3383" s="221"/>
      <c r="L3383" s="221"/>
      <c r="M3383" s="221"/>
      <c r="N3383" s="221"/>
      <c r="O3383" s="225"/>
      <c r="P3383" s="118" t="s">
        <v>9169</v>
      </c>
      <c r="Q3383" s="16" t="s">
        <v>20</v>
      </c>
      <c r="R3383" s="17" t="s">
        <v>10856</v>
      </c>
      <c r="S3383" s="121" t="s">
        <v>10867</v>
      </c>
      <c r="T3383" s="122"/>
      <c r="U3383" s="22"/>
      <c r="V3383" s="123" t="s">
        <v>2472</v>
      </c>
      <c r="W3383" s="122">
        <v>60001</v>
      </c>
      <c r="X3383" s="221"/>
      <c r="Y3383" s="221"/>
      <c r="Z3383" s="221"/>
      <c r="AA3383" s="221"/>
      <c r="AB3383" s="223"/>
    </row>
    <row r="3384" spans="1:28" ht="17.100000000000001" customHeight="1" thickTop="1">
      <c r="A3384" s="226" t="s">
        <v>10402</v>
      </c>
      <c r="B3384" s="28">
        <v>45973</v>
      </c>
      <c r="C3384" s="25">
        <v>1813</v>
      </c>
      <c r="D3384" s="13" t="s">
        <v>10409</v>
      </c>
      <c r="E3384" s="228"/>
      <c r="F3384" s="109" t="s">
        <v>4145</v>
      </c>
      <c r="G3384" s="24" t="s">
        <v>4239</v>
      </c>
      <c r="H3384" s="230">
        <v>4.5</v>
      </c>
      <c r="I3384" s="220">
        <v>530000</v>
      </c>
      <c r="J3384" s="220">
        <f>I3384*0.1</f>
        <v>53000</v>
      </c>
      <c r="K3384" s="220">
        <v>0</v>
      </c>
      <c r="L3384" s="220">
        <v>8460</v>
      </c>
      <c r="M3384" s="220">
        <v>18150</v>
      </c>
      <c r="N3384" s="220">
        <f>SUM(I3384:M3385)</f>
        <v>609610</v>
      </c>
      <c r="O3384" s="224"/>
      <c r="P3384" s="110" t="s">
        <v>10411</v>
      </c>
      <c r="Q3384" s="15" t="s">
        <v>19</v>
      </c>
      <c r="R3384" s="205"/>
      <c r="S3384" s="189" t="s">
        <v>1361</v>
      </c>
      <c r="T3384" s="114"/>
      <c r="U3384" s="21"/>
      <c r="V3384" s="115">
        <v>45976</v>
      </c>
      <c r="W3384" s="116">
        <v>1276</v>
      </c>
      <c r="X3384" s="220">
        <v>575000</v>
      </c>
      <c r="Y3384" s="220">
        <f>X3384*0.1</f>
        <v>57500</v>
      </c>
      <c r="Z3384" s="220">
        <v>8460</v>
      </c>
      <c r="AA3384" s="220">
        <f>SUM(X3384:Z3384)</f>
        <v>640960</v>
      </c>
      <c r="AB3384" s="222">
        <v>45986</v>
      </c>
    </row>
    <row r="3385" spans="1:28" ht="17.100000000000001" customHeight="1" thickBot="1">
      <c r="A3385" s="227"/>
      <c r="B3385" s="27" t="s">
        <v>2519</v>
      </c>
      <c r="C3385" s="27">
        <v>3450</v>
      </c>
      <c r="D3385" s="14" t="s">
        <v>2559</v>
      </c>
      <c r="E3385" s="229"/>
      <c r="F3385" s="117" t="s">
        <v>10410</v>
      </c>
      <c r="G3385" s="26">
        <v>29402</v>
      </c>
      <c r="H3385" s="231"/>
      <c r="I3385" s="221"/>
      <c r="J3385" s="221"/>
      <c r="K3385" s="221"/>
      <c r="L3385" s="221"/>
      <c r="M3385" s="221"/>
      <c r="N3385" s="221"/>
      <c r="O3385" s="225"/>
      <c r="P3385" s="118" t="s">
        <v>11090</v>
      </c>
      <c r="Q3385" s="16" t="s">
        <v>20</v>
      </c>
      <c r="R3385" s="17" t="s">
        <v>2586</v>
      </c>
      <c r="S3385" s="121" t="s">
        <v>169</v>
      </c>
      <c r="T3385" s="122"/>
      <c r="U3385" s="22"/>
      <c r="V3385" s="123" t="s">
        <v>10781</v>
      </c>
      <c r="W3385" s="122">
        <v>60523</v>
      </c>
      <c r="X3385" s="221"/>
      <c r="Y3385" s="221"/>
      <c r="Z3385" s="221"/>
      <c r="AA3385" s="221"/>
      <c r="AB3385" s="223"/>
    </row>
    <row r="3386" spans="1:28" ht="17.100000000000001" customHeight="1" thickTop="1">
      <c r="A3386" s="226" t="s">
        <v>10403</v>
      </c>
      <c r="B3386" s="28">
        <v>45973</v>
      </c>
      <c r="C3386" s="25">
        <v>1813</v>
      </c>
      <c r="D3386" s="13" t="s">
        <v>2129</v>
      </c>
      <c r="E3386" s="228"/>
      <c r="F3386" s="109" t="s">
        <v>4832</v>
      </c>
      <c r="G3386" s="24" t="s">
        <v>4239</v>
      </c>
      <c r="H3386" s="230">
        <v>4</v>
      </c>
      <c r="I3386" s="220">
        <v>1130000</v>
      </c>
      <c r="J3386" s="220">
        <f>I3386*0.1</f>
        <v>113000</v>
      </c>
      <c r="K3386" s="220">
        <f>15000+1500</f>
        <v>16500</v>
      </c>
      <c r="L3386" s="220">
        <v>16260</v>
      </c>
      <c r="M3386" s="220">
        <v>18150</v>
      </c>
      <c r="N3386" s="220">
        <f>SUM(I3386:M3387)</f>
        <v>1293910</v>
      </c>
      <c r="O3386" s="224"/>
      <c r="P3386" s="110" t="s">
        <v>10413</v>
      </c>
      <c r="Q3386" s="15" t="s">
        <v>19</v>
      </c>
      <c r="R3386" s="205"/>
      <c r="S3386" s="189"/>
      <c r="T3386" s="114"/>
      <c r="U3386" s="21" t="s">
        <v>13661</v>
      </c>
      <c r="V3386" s="115">
        <v>46036</v>
      </c>
      <c r="W3386" s="116">
        <v>1000</v>
      </c>
      <c r="X3386" s="220">
        <v>1205000</v>
      </c>
      <c r="Y3386" s="220">
        <f>X3386*0.1</f>
        <v>120500</v>
      </c>
      <c r="Z3386" s="220">
        <v>16260</v>
      </c>
      <c r="AA3386" s="220">
        <f>SUM(X3386:Z3386)</f>
        <v>1341760</v>
      </c>
      <c r="AB3386" s="222">
        <v>46041</v>
      </c>
    </row>
    <row r="3387" spans="1:28" ht="17.100000000000001" customHeight="1" thickBot="1">
      <c r="A3387" s="227"/>
      <c r="B3387" s="27" t="s">
        <v>2519</v>
      </c>
      <c r="C3387" s="27">
        <v>30054</v>
      </c>
      <c r="D3387" s="14" t="s">
        <v>273</v>
      </c>
      <c r="E3387" s="229"/>
      <c r="F3387" s="117" t="s">
        <v>10412</v>
      </c>
      <c r="G3387" s="26">
        <v>64496</v>
      </c>
      <c r="H3387" s="231"/>
      <c r="I3387" s="221"/>
      <c r="J3387" s="221"/>
      <c r="K3387" s="221"/>
      <c r="L3387" s="221"/>
      <c r="M3387" s="221"/>
      <c r="N3387" s="221"/>
      <c r="O3387" s="225"/>
      <c r="P3387" s="118" t="s">
        <v>10865</v>
      </c>
      <c r="Q3387" s="16" t="s">
        <v>20</v>
      </c>
      <c r="R3387" s="17" t="s">
        <v>10856</v>
      </c>
      <c r="S3387" s="121"/>
      <c r="T3387" s="122"/>
      <c r="U3387" s="22"/>
      <c r="V3387" s="123" t="s">
        <v>2747</v>
      </c>
      <c r="W3387" s="122">
        <v>6032</v>
      </c>
      <c r="X3387" s="221"/>
      <c r="Y3387" s="221"/>
      <c r="Z3387" s="221"/>
      <c r="AA3387" s="221"/>
      <c r="AB3387" s="223"/>
    </row>
    <row r="3388" spans="1:28" ht="17.100000000000001" customHeight="1" thickTop="1">
      <c r="A3388" s="226" t="s">
        <v>10404</v>
      </c>
      <c r="B3388" s="28">
        <v>45973</v>
      </c>
      <c r="C3388" s="25">
        <v>1813</v>
      </c>
      <c r="D3388" s="13" t="s">
        <v>3687</v>
      </c>
      <c r="E3388" s="228"/>
      <c r="F3388" s="109" t="s">
        <v>4832</v>
      </c>
      <c r="G3388" s="24" t="s">
        <v>2536</v>
      </c>
      <c r="H3388" s="230">
        <v>4</v>
      </c>
      <c r="I3388" s="220">
        <v>1305000</v>
      </c>
      <c r="J3388" s="220">
        <f>I3388*0.1</f>
        <v>130500</v>
      </c>
      <c r="K3388" s="220">
        <f>15000+1500</f>
        <v>16500</v>
      </c>
      <c r="L3388" s="220">
        <v>14930</v>
      </c>
      <c r="M3388" s="220">
        <v>18150</v>
      </c>
      <c r="N3388" s="220">
        <f>SUM(I3388:M3389)</f>
        <v>1485080</v>
      </c>
      <c r="O3388" s="224"/>
      <c r="P3388" s="110" t="s">
        <v>10415</v>
      </c>
      <c r="Q3388" s="15" t="s">
        <v>19</v>
      </c>
      <c r="R3388" s="205"/>
      <c r="S3388" s="189" t="s">
        <v>25386</v>
      </c>
      <c r="T3388" s="114"/>
      <c r="U3388" s="21" t="s">
        <v>13660</v>
      </c>
      <c r="V3388" s="115">
        <v>46060</v>
      </c>
      <c r="W3388" s="116">
        <v>1287</v>
      </c>
      <c r="X3388" s="220">
        <v>1385000</v>
      </c>
      <c r="Y3388" s="220">
        <f>X3388*0.1</f>
        <v>138500</v>
      </c>
      <c r="Z3388" s="220">
        <v>14930</v>
      </c>
      <c r="AA3388" s="220">
        <f>SUM(X3388:Z3388)</f>
        <v>1538430</v>
      </c>
      <c r="AB3388" s="222">
        <v>46065</v>
      </c>
    </row>
    <row r="3389" spans="1:28" ht="17.100000000000001" customHeight="1" thickBot="1">
      <c r="A3389" s="227"/>
      <c r="B3389" s="27" t="s">
        <v>2519</v>
      </c>
      <c r="C3389" s="27">
        <v>36050</v>
      </c>
      <c r="D3389" s="14" t="s">
        <v>2559</v>
      </c>
      <c r="E3389" s="229"/>
      <c r="F3389" s="117" t="s">
        <v>10414</v>
      </c>
      <c r="G3389" s="26">
        <v>51930</v>
      </c>
      <c r="H3389" s="231"/>
      <c r="I3389" s="221"/>
      <c r="J3389" s="221"/>
      <c r="K3389" s="221"/>
      <c r="L3389" s="221"/>
      <c r="M3389" s="221"/>
      <c r="N3389" s="221"/>
      <c r="O3389" s="225"/>
      <c r="P3389" s="118" t="s">
        <v>10863</v>
      </c>
      <c r="Q3389" s="16" t="s">
        <v>20</v>
      </c>
      <c r="R3389" s="17" t="s">
        <v>10856</v>
      </c>
      <c r="S3389" s="121" t="s">
        <v>10864</v>
      </c>
      <c r="T3389" s="122"/>
      <c r="U3389" s="22"/>
      <c r="V3389" s="123" t="s">
        <v>6641</v>
      </c>
      <c r="W3389" s="122">
        <v>50032</v>
      </c>
      <c r="X3389" s="221"/>
      <c r="Y3389" s="221"/>
      <c r="Z3389" s="221"/>
      <c r="AA3389" s="221"/>
      <c r="AB3389" s="223"/>
    </row>
    <row r="3390" spans="1:28" ht="17.100000000000001" customHeight="1" thickTop="1">
      <c r="A3390" s="226" t="s">
        <v>10405</v>
      </c>
      <c r="B3390" s="28">
        <v>45973</v>
      </c>
      <c r="C3390" s="25">
        <v>1813</v>
      </c>
      <c r="D3390" s="13" t="s">
        <v>1899</v>
      </c>
      <c r="E3390" s="228"/>
      <c r="F3390" s="109" t="s">
        <v>3110</v>
      </c>
      <c r="G3390" s="24"/>
      <c r="H3390" s="230">
        <v>4.5</v>
      </c>
      <c r="I3390" s="220">
        <v>435000</v>
      </c>
      <c r="J3390" s="220">
        <f>I3390*0.1</f>
        <v>43500</v>
      </c>
      <c r="K3390" s="220">
        <v>0</v>
      </c>
      <c r="L3390" s="220">
        <v>19440</v>
      </c>
      <c r="M3390" s="220">
        <v>18150</v>
      </c>
      <c r="N3390" s="220">
        <f>SUM(I3390:M3391)</f>
        <v>516090</v>
      </c>
      <c r="O3390" s="224"/>
      <c r="P3390" s="110" t="s">
        <v>10859</v>
      </c>
      <c r="Q3390" s="15" t="s">
        <v>19</v>
      </c>
      <c r="R3390" s="205"/>
      <c r="S3390" s="189"/>
      <c r="T3390" s="114"/>
      <c r="U3390" s="21"/>
      <c r="V3390" s="115">
        <v>45983</v>
      </c>
      <c r="W3390" s="116">
        <v>1277</v>
      </c>
      <c r="X3390" s="220">
        <v>600000</v>
      </c>
      <c r="Y3390" s="220">
        <f>X3390*0.1</f>
        <v>60000</v>
      </c>
      <c r="Z3390" s="220">
        <v>19440</v>
      </c>
      <c r="AA3390" s="220">
        <f>SUM(X3390:Z3390)</f>
        <v>679440</v>
      </c>
      <c r="AB3390" s="222">
        <v>45987</v>
      </c>
    </row>
    <row r="3391" spans="1:28" ht="17.100000000000001" customHeight="1" thickBot="1">
      <c r="A3391" s="227"/>
      <c r="B3391" s="27" t="s">
        <v>2519</v>
      </c>
      <c r="C3391" s="27">
        <v>38112</v>
      </c>
      <c r="D3391" s="14" t="s">
        <v>898</v>
      </c>
      <c r="E3391" s="229"/>
      <c r="F3391" s="117" t="s">
        <v>10416</v>
      </c>
      <c r="G3391" s="26">
        <v>87254</v>
      </c>
      <c r="H3391" s="231"/>
      <c r="I3391" s="221"/>
      <c r="J3391" s="221"/>
      <c r="K3391" s="221"/>
      <c r="L3391" s="221"/>
      <c r="M3391" s="221"/>
      <c r="N3391" s="221"/>
      <c r="O3391" s="225"/>
      <c r="P3391" s="118" t="s">
        <v>10860</v>
      </c>
      <c r="Q3391" s="16" t="s">
        <v>20</v>
      </c>
      <c r="R3391" s="17" t="s">
        <v>10856</v>
      </c>
      <c r="S3391" s="121" t="s">
        <v>2166</v>
      </c>
      <c r="T3391" s="122"/>
      <c r="U3391" s="22"/>
      <c r="V3391" s="123" t="s">
        <v>2472</v>
      </c>
      <c r="W3391" s="122">
        <v>80020</v>
      </c>
      <c r="X3391" s="221"/>
      <c r="Y3391" s="221"/>
      <c r="Z3391" s="221"/>
      <c r="AA3391" s="221"/>
      <c r="AB3391" s="223"/>
    </row>
    <row r="3392" spans="1:28" ht="17.100000000000001" customHeight="1" thickTop="1">
      <c r="A3392" s="226" t="s">
        <v>10406</v>
      </c>
      <c r="B3392" s="28">
        <v>45973</v>
      </c>
      <c r="C3392" s="25">
        <v>1813</v>
      </c>
      <c r="D3392" s="13" t="s">
        <v>2406</v>
      </c>
      <c r="E3392" s="228"/>
      <c r="F3392" s="109" t="s">
        <v>10417</v>
      </c>
      <c r="G3392" s="24"/>
      <c r="H3392" s="230">
        <v>4.5</v>
      </c>
      <c r="I3392" s="220">
        <v>825000</v>
      </c>
      <c r="J3392" s="220">
        <f>I3392*0.1</f>
        <v>82500</v>
      </c>
      <c r="K3392" s="220">
        <v>0</v>
      </c>
      <c r="L3392" s="220">
        <v>11810</v>
      </c>
      <c r="M3392" s="220">
        <v>18150</v>
      </c>
      <c r="N3392" s="220">
        <f>SUM(I3392:M3393)</f>
        <v>937460</v>
      </c>
      <c r="O3392" s="224"/>
      <c r="P3392" s="110" t="s">
        <v>10710</v>
      </c>
      <c r="Q3392" s="15" t="s">
        <v>19</v>
      </c>
      <c r="R3392" s="205"/>
      <c r="S3392" s="189"/>
      <c r="T3392" s="114"/>
      <c r="U3392" s="21"/>
      <c r="V3392" s="115">
        <v>45983</v>
      </c>
      <c r="W3392" s="116">
        <v>1277</v>
      </c>
      <c r="X3392" s="220">
        <v>970000</v>
      </c>
      <c r="Y3392" s="220">
        <f>X3392*0.1</f>
        <v>97000</v>
      </c>
      <c r="Z3392" s="220">
        <v>11810</v>
      </c>
      <c r="AA3392" s="220">
        <f>SUM(X3392:Z3392)</f>
        <v>1078810</v>
      </c>
      <c r="AB3392" s="222">
        <v>45987</v>
      </c>
    </row>
    <row r="3393" spans="1:28" ht="17.100000000000001" customHeight="1" thickBot="1">
      <c r="A3393" s="227"/>
      <c r="B3393" s="27" t="s">
        <v>2519</v>
      </c>
      <c r="C3393" s="27">
        <v>38221</v>
      </c>
      <c r="D3393" s="14" t="s">
        <v>1584</v>
      </c>
      <c r="E3393" s="229"/>
      <c r="F3393" s="117" t="s">
        <v>10418</v>
      </c>
      <c r="G3393" s="26">
        <v>54837</v>
      </c>
      <c r="H3393" s="231"/>
      <c r="I3393" s="221"/>
      <c r="J3393" s="221"/>
      <c r="K3393" s="221"/>
      <c r="L3393" s="221"/>
      <c r="M3393" s="221"/>
      <c r="N3393" s="221"/>
      <c r="O3393" s="225"/>
      <c r="P3393" s="118" t="s">
        <v>10711</v>
      </c>
      <c r="Q3393" s="16" t="s">
        <v>20</v>
      </c>
      <c r="R3393" s="17" t="s">
        <v>10694</v>
      </c>
      <c r="S3393" s="121" t="s">
        <v>10712</v>
      </c>
      <c r="T3393" s="122"/>
      <c r="U3393" s="22"/>
      <c r="V3393" s="123" t="s">
        <v>2472</v>
      </c>
      <c r="W3393" s="122">
        <v>80009</v>
      </c>
      <c r="X3393" s="221"/>
      <c r="Y3393" s="221"/>
      <c r="Z3393" s="221"/>
      <c r="AA3393" s="221"/>
      <c r="AB3393" s="223"/>
    </row>
    <row r="3394" spans="1:28" ht="17.100000000000001" customHeight="1" thickTop="1">
      <c r="A3394" s="226" t="s">
        <v>10487</v>
      </c>
      <c r="B3394" s="28">
        <v>45974</v>
      </c>
      <c r="C3394" s="25">
        <v>1306</v>
      </c>
      <c r="D3394" s="13" t="s">
        <v>1846</v>
      </c>
      <c r="E3394" s="228"/>
      <c r="F3394" s="109" t="s">
        <v>2685</v>
      </c>
      <c r="G3394" s="24" t="s">
        <v>2894</v>
      </c>
      <c r="H3394" s="230">
        <v>4</v>
      </c>
      <c r="I3394" s="220">
        <v>1090000</v>
      </c>
      <c r="J3394" s="220">
        <f>I3394*0.1</f>
        <v>109000</v>
      </c>
      <c r="K3394" s="220">
        <f>13100+1310</f>
        <v>14410</v>
      </c>
      <c r="L3394" s="220">
        <v>19090</v>
      </c>
      <c r="M3394" s="220">
        <v>14300</v>
      </c>
      <c r="N3394" s="220">
        <f>SUM(I3394:M3395)</f>
        <v>1246800</v>
      </c>
      <c r="O3394" s="224"/>
      <c r="P3394" s="110" t="s">
        <v>10493</v>
      </c>
      <c r="Q3394" s="15" t="s">
        <v>19</v>
      </c>
      <c r="R3394" s="205"/>
      <c r="S3394" s="189" t="s">
        <v>1312</v>
      </c>
      <c r="T3394" s="114"/>
      <c r="U3394" s="21"/>
      <c r="V3394" s="115">
        <v>46011</v>
      </c>
      <c r="W3394" s="116">
        <v>1281</v>
      </c>
      <c r="X3394" s="220">
        <v>1270000</v>
      </c>
      <c r="Y3394" s="220">
        <f>X3394*0.1</f>
        <v>127000</v>
      </c>
      <c r="Z3394" s="220">
        <v>19090</v>
      </c>
      <c r="AA3394" s="220">
        <f>SUM(X3394:Z3394)</f>
        <v>1416090</v>
      </c>
      <c r="AB3394" s="222">
        <v>46014</v>
      </c>
    </row>
    <row r="3395" spans="1:28" ht="17.100000000000001" customHeight="1" thickBot="1">
      <c r="A3395" s="227"/>
      <c r="B3395" s="27" t="s">
        <v>1735</v>
      </c>
      <c r="C3395" s="27">
        <v>305</v>
      </c>
      <c r="D3395" s="14" t="s">
        <v>1584</v>
      </c>
      <c r="E3395" s="229"/>
      <c r="F3395" s="117" t="s">
        <v>10490</v>
      </c>
      <c r="G3395" s="26">
        <v>65725</v>
      </c>
      <c r="H3395" s="231"/>
      <c r="I3395" s="221"/>
      <c r="J3395" s="221"/>
      <c r="K3395" s="221"/>
      <c r="L3395" s="221"/>
      <c r="M3395" s="221"/>
      <c r="N3395" s="221"/>
      <c r="O3395" s="225"/>
      <c r="P3395" s="118" t="s">
        <v>10707</v>
      </c>
      <c r="Q3395" s="16" t="s">
        <v>20</v>
      </c>
      <c r="R3395" s="17" t="s">
        <v>10694</v>
      </c>
      <c r="S3395" s="121" t="s">
        <v>10705</v>
      </c>
      <c r="T3395" s="122"/>
      <c r="U3395" s="22"/>
      <c r="V3395" s="123" t="s">
        <v>2472</v>
      </c>
      <c r="W3395" s="122">
        <v>80077</v>
      </c>
      <c r="X3395" s="221"/>
      <c r="Y3395" s="221"/>
      <c r="Z3395" s="221"/>
      <c r="AA3395" s="221"/>
      <c r="AB3395" s="223"/>
    </row>
    <row r="3396" spans="1:28" ht="17.100000000000001" customHeight="1" thickTop="1">
      <c r="A3396" s="226" t="s">
        <v>10488</v>
      </c>
      <c r="B3396" s="28">
        <v>45974</v>
      </c>
      <c r="C3396" s="25">
        <v>1306</v>
      </c>
      <c r="D3396" s="13" t="s">
        <v>1983</v>
      </c>
      <c r="E3396" s="228"/>
      <c r="F3396" s="109" t="s">
        <v>10494</v>
      </c>
      <c r="G3396" s="24"/>
      <c r="H3396" s="230">
        <v>4.5</v>
      </c>
      <c r="I3396" s="220">
        <v>2365000</v>
      </c>
      <c r="J3396" s="220">
        <f>I3396*0.1</f>
        <v>236500</v>
      </c>
      <c r="K3396" s="220">
        <v>0</v>
      </c>
      <c r="L3396" s="220">
        <v>17490</v>
      </c>
      <c r="M3396" s="220">
        <v>14300</v>
      </c>
      <c r="N3396" s="220">
        <f>SUM(I3396:M3397)</f>
        <v>2633290</v>
      </c>
      <c r="O3396" s="224"/>
      <c r="P3396" s="110" t="s">
        <v>10857</v>
      </c>
      <c r="Q3396" s="15" t="s">
        <v>19</v>
      </c>
      <c r="R3396" s="205"/>
      <c r="S3396" s="189" t="s">
        <v>25589</v>
      </c>
      <c r="T3396" s="114"/>
      <c r="U3396" s="21"/>
      <c r="V3396" s="115">
        <v>45976</v>
      </c>
      <c r="W3396" s="116">
        <v>1276</v>
      </c>
      <c r="X3396" s="220">
        <v>2545000</v>
      </c>
      <c r="Y3396" s="220">
        <f>X3396*0.1</f>
        <v>254500</v>
      </c>
      <c r="Z3396" s="220">
        <v>17490</v>
      </c>
      <c r="AA3396" s="220">
        <f>SUM(X3396:Z3396)</f>
        <v>2816990</v>
      </c>
      <c r="AB3396" s="222">
        <v>45981</v>
      </c>
    </row>
    <row r="3397" spans="1:28" ht="17.100000000000001" customHeight="1" thickBot="1">
      <c r="A3397" s="227"/>
      <c r="B3397" s="27" t="s">
        <v>1735</v>
      </c>
      <c r="C3397" s="27">
        <v>511</v>
      </c>
      <c r="D3397" s="14" t="s">
        <v>1584</v>
      </c>
      <c r="E3397" s="229"/>
      <c r="F3397" s="117" t="s">
        <v>10491</v>
      </c>
      <c r="G3397" s="26">
        <v>59027</v>
      </c>
      <c r="H3397" s="231"/>
      <c r="I3397" s="221"/>
      <c r="J3397" s="221"/>
      <c r="K3397" s="221"/>
      <c r="L3397" s="221"/>
      <c r="M3397" s="221"/>
      <c r="N3397" s="221"/>
      <c r="O3397" s="225"/>
      <c r="P3397" s="118" t="s">
        <v>10858</v>
      </c>
      <c r="Q3397" s="16" t="s">
        <v>20</v>
      </c>
      <c r="R3397" s="17" t="s">
        <v>10856</v>
      </c>
      <c r="S3397" s="121" t="s">
        <v>1606</v>
      </c>
      <c r="T3397" s="122"/>
      <c r="U3397" s="22"/>
      <c r="V3397" s="123" t="s">
        <v>10781</v>
      </c>
      <c r="W3397" s="122">
        <v>80359</v>
      </c>
      <c r="X3397" s="221"/>
      <c r="Y3397" s="221"/>
      <c r="Z3397" s="221"/>
      <c r="AA3397" s="221"/>
      <c r="AB3397" s="223"/>
    </row>
    <row r="3398" spans="1:28" ht="17.100000000000001" customHeight="1" thickTop="1">
      <c r="A3398" s="226" t="s">
        <v>10489</v>
      </c>
      <c r="B3398" s="28">
        <v>45974</v>
      </c>
      <c r="C3398" s="25">
        <v>1306</v>
      </c>
      <c r="D3398" s="13" t="s">
        <v>1685</v>
      </c>
      <c r="E3398" s="228"/>
      <c r="F3398" s="109" t="s">
        <v>10495</v>
      </c>
      <c r="G3398" s="24" t="s">
        <v>2530</v>
      </c>
      <c r="H3398" s="230">
        <v>4.5</v>
      </c>
      <c r="I3398" s="220">
        <v>1425000</v>
      </c>
      <c r="J3398" s="220">
        <f>I3398*0.1</f>
        <v>142500</v>
      </c>
      <c r="K3398" s="220">
        <f>13100+1310</f>
        <v>14410</v>
      </c>
      <c r="L3398" s="220">
        <v>17430</v>
      </c>
      <c r="M3398" s="220">
        <v>14300</v>
      </c>
      <c r="N3398" s="220">
        <f>SUM(I3398:M3399)</f>
        <v>1613640</v>
      </c>
      <c r="O3398" s="224"/>
      <c r="P3398" s="110" t="s">
        <v>10496</v>
      </c>
      <c r="Q3398" s="15" t="s">
        <v>19</v>
      </c>
      <c r="R3398" s="205"/>
      <c r="S3398" s="189" t="s">
        <v>758</v>
      </c>
      <c r="T3398" s="114"/>
      <c r="U3398" s="21"/>
      <c r="V3398" s="115">
        <v>45990</v>
      </c>
      <c r="W3398" s="116">
        <v>1278</v>
      </c>
      <c r="X3398" s="220">
        <v>1520000</v>
      </c>
      <c r="Y3398" s="220">
        <f>X3398*0.1</f>
        <v>152000</v>
      </c>
      <c r="Z3398" s="220">
        <v>17430</v>
      </c>
      <c r="AA3398" s="220">
        <f>SUM(X3398:Z3398)</f>
        <v>1689430</v>
      </c>
      <c r="AB3398" s="222">
        <v>45994</v>
      </c>
    </row>
    <row r="3399" spans="1:28" ht="17.100000000000001" customHeight="1" thickBot="1">
      <c r="A3399" s="227"/>
      <c r="B3399" s="27" t="s">
        <v>1735</v>
      </c>
      <c r="C3399" s="27">
        <v>513</v>
      </c>
      <c r="D3399" s="14" t="s">
        <v>2559</v>
      </c>
      <c r="E3399" s="229"/>
      <c r="F3399" s="117" t="s">
        <v>10492</v>
      </c>
      <c r="G3399" s="26">
        <v>40552</v>
      </c>
      <c r="H3399" s="231"/>
      <c r="I3399" s="221"/>
      <c r="J3399" s="221"/>
      <c r="K3399" s="221"/>
      <c r="L3399" s="221"/>
      <c r="M3399" s="221"/>
      <c r="N3399" s="221"/>
      <c r="O3399" s="225"/>
      <c r="P3399" s="118" t="s">
        <v>10706</v>
      </c>
      <c r="Q3399" s="16" t="s">
        <v>20</v>
      </c>
      <c r="R3399" s="17" t="s">
        <v>10694</v>
      </c>
      <c r="S3399" s="121" t="s">
        <v>10702</v>
      </c>
      <c r="T3399" s="122"/>
      <c r="U3399" s="22"/>
      <c r="V3399" s="123" t="s">
        <v>2472</v>
      </c>
      <c r="W3399" s="122">
        <v>80373</v>
      </c>
      <c r="X3399" s="221"/>
      <c r="Y3399" s="221"/>
      <c r="Z3399" s="221"/>
      <c r="AA3399" s="221"/>
      <c r="AB3399" s="223"/>
    </row>
    <row r="3400" spans="1:28" ht="17.100000000000001" customHeight="1" thickTop="1">
      <c r="A3400" s="226" t="s">
        <v>10502</v>
      </c>
      <c r="B3400" s="28">
        <v>45974</v>
      </c>
      <c r="C3400" s="25">
        <v>1958</v>
      </c>
      <c r="D3400" s="13" t="s">
        <v>1733</v>
      </c>
      <c r="E3400" s="228"/>
      <c r="F3400" s="109" t="s">
        <v>9853</v>
      </c>
      <c r="G3400" s="24"/>
      <c r="H3400" s="230">
        <v>4</v>
      </c>
      <c r="I3400" s="220">
        <v>709000</v>
      </c>
      <c r="J3400" s="220">
        <f>I3400*0.1</f>
        <v>70900</v>
      </c>
      <c r="K3400" s="220">
        <v>0</v>
      </c>
      <c r="L3400" s="220">
        <v>20170</v>
      </c>
      <c r="M3400" s="220">
        <v>20350</v>
      </c>
      <c r="N3400" s="220">
        <f>SUM(I3400:M3401)</f>
        <v>820420</v>
      </c>
      <c r="O3400" s="224"/>
      <c r="P3400" s="110" t="s">
        <v>10861</v>
      </c>
      <c r="Q3400" s="15" t="s">
        <v>19</v>
      </c>
      <c r="R3400" s="205"/>
      <c r="S3400" s="189"/>
      <c r="T3400" s="114"/>
      <c r="U3400" s="21"/>
      <c r="V3400" s="115">
        <v>45981</v>
      </c>
      <c r="W3400" s="116">
        <v>1307</v>
      </c>
      <c r="X3400" s="220">
        <v>885000</v>
      </c>
      <c r="Y3400" s="220">
        <f>X3400*0.1</f>
        <v>88500</v>
      </c>
      <c r="Z3400" s="220">
        <v>20170</v>
      </c>
      <c r="AA3400" s="220">
        <f>SUM(X3400:Z3400)</f>
        <v>993670</v>
      </c>
      <c r="AB3400" s="222">
        <v>45982</v>
      </c>
    </row>
    <row r="3401" spans="1:28" ht="17.100000000000001" customHeight="1" thickBot="1">
      <c r="A3401" s="227"/>
      <c r="B3401" s="27" t="s">
        <v>3730</v>
      </c>
      <c r="C3401" s="27">
        <v>73026</v>
      </c>
      <c r="D3401" s="14" t="s">
        <v>1568</v>
      </c>
      <c r="E3401" s="229"/>
      <c r="F3401" s="117" t="s">
        <v>10419</v>
      </c>
      <c r="G3401" s="26">
        <v>59848</v>
      </c>
      <c r="H3401" s="231"/>
      <c r="I3401" s="221"/>
      <c r="J3401" s="221"/>
      <c r="K3401" s="221"/>
      <c r="L3401" s="221"/>
      <c r="M3401" s="221"/>
      <c r="N3401" s="221"/>
      <c r="O3401" s="225"/>
      <c r="P3401" s="118" t="s">
        <v>10862</v>
      </c>
      <c r="Q3401" s="16" t="s">
        <v>20</v>
      </c>
      <c r="R3401" s="17" t="s">
        <v>10856</v>
      </c>
      <c r="S3401" s="121"/>
      <c r="T3401" s="122"/>
      <c r="U3401" s="22"/>
      <c r="V3401" s="123" t="s">
        <v>1735</v>
      </c>
      <c r="W3401" s="122">
        <v>199</v>
      </c>
      <c r="X3401" s="221"/>
      <c r="Y3401" s="221"/>
      <c r="Z3401" s="221"/>
      <c r="AA3401" s="221"/>
      <c r="AB3401" s="223"/>
    </row>
    <row r="3402" spans="1:28" ht="17.100000000000001" customHeight="1" thickTop="1">
      <c r="A3402" s="226" t="s">
        <v>10503</v>
      </c>
      <c r="B3402" s="28">
        <v>45974</v>
      </c>
      <c r="C3402" s="25">
        <v>2002</v>
      </c>
      <c r="D3402" s="13" t="s">
        <v>2267</v>
      </c>
      <c r="E3402" s="228"/>
      <c r="F3402" s="109" t="s">
        <v>7868</v>
      </c>
      <c r="G3402" s="24"/>
      <c r="H3402" s="230">
        <v>4</v>
      </c>
      <c r="I3402" s="220">
        <v>810000</v>
      </c>
      <c r="J3402" s="220">
        <v>81000</v>
      </c>
      <c r="K3402" s="220">
        <v>0</v>
      </c>
      <c r="L3402" s="220">
        <v>9310</v>
      </c>
      <c r="M3402" s="220">
        <v>22000</v>
      </c>
      <c r="N3402" s="220">
        <f>SUM(I3402:M3403)</f>
        <v>922310</v>
      </c>
      <c r="O3402" s="224"/>
      <c r="P3402" s="110" t="s">
        <v>10967</v>
      </c>
      <c r="Q3402" s="15" t="s">
        <v>19</v>
      </c>
      <c r="R3402" s="205"/>
      <c r="S3402" s="189" t="s">
        <v>25590</v>
      </c>
      <c r="T3402" s="114"/>
      <c r="U3402" s="21"/>
      <c r="V3402" s="115">
        <v>46004</v>
      </c>
      <c r="W3402" s="116">
        <v>1280</v>
      </c>
      <c r="X3402" s="220">
        <v>1110000</v>
      </c>
      <c r="Y3402" s="220">
        <f>X3402*0.1</f>
        <v>111000</v>
      </c>
      <c r="Z3402" s="220">
        <v>9310</v>
      </c>
      <c r="AA3402" s="220">
        <f>SUM(X3402:Z3402)</f>
        <v>1230310</v>
      </c>
      <c r="AB3402" s="222">
        <v>46008</v>
      </c>
    </row>
    <row r="3403" spans="1:28" ht="17.100000000000001" customHeight="1" thickBot="1">
      <c r="A3403" s="227"/>
      <c r="B3403" s="27" t="s">
        <v>2171</v>
      </c>
      <c r="C3403" s="27">
        <v>50123</v>
      </c>
      <c r="D3403" s="14" t="s">
        <v>2788</v>
      </c>
      <c r="E3403" s="229"/>
      <c r="F3403" s="117" t="s">
        <v>10430</v>
      </c>
      <c r="G3403" s="26">
        <v>54711</v>
      </c>
      <c r="H3403" s="231"/>
      <c r="I3403" s="221"/>
      <c r="J3403" s="221"/>
      <c r="K3403" s="221"/>
      <c r="L3403" s="221"/>
      <c r="M3403" s="221"/>
      <c r="N3403" s="221"/>
      <c r="O3403" s="225"/>
      <c r="P3403" s="118" t="s">
        <v>10968</v>
      </c>
      <c r="Q3403" s="16" t="s">
        <v>20</v>
      </c>
      <c r="R3403" s="17" t="s">
        <v>10885</v>
      </c>
      <c r="S3403" s="121" t="s">
        <v>5047</v>
      </c>
      <c r="T3403" s="122"/>
      <c r="U3403" s="22"/>
      <c r="V3403" s="123" t="s">
        <v>2472</v>
      </c>
      <c r="W3403" s="122">
        <v>60084</v>
      </c>
      <c r="X3403" s="221"/>
      <c r="Y3403" s="221"/>
      <c r="Z3403" s="221"/>
      <c r="AA3403" s="221"/>
      <c r="AB3403" s="223"/>
    </row>
    <row r="3404" spans="1:28" ht="17.100000000000001" customHeight="1" thickTop="1">
      <c r="A3404" s="226" t="s">
        <v>10505</v>
      </c>
      <c r="B3404" s="28">
        <v>45974</v>
      </c>
      <c r="C3404" s="25">
        <v>1541</v>
      </c>
      <c r="D3404" s="13" t="s">
        <v>1589</v>
      </c>
      <c r="E3404" s="228"/>
      <c r="F3404" s="109" t="s">
        <v>2278</v>
      </c>
      <c r="G3404" s="24" t="s">
        <v>3867</v>
      </c>
      <c r="H3404" s="230">
        <v>4</v>
      </c>
      <c r="I3404" s="220">
        <v>1240000</v>
      </c>
      <c r="J3404" s="220">
        <f>I3404*0.1</f>
        <v>124000</v>
      </c>
      <c r="K3404" s="220">
        <f>13100+1310</f>
        <v>14410</v>
      </c>
      <c r="L3404" s="220">
        <v>16240</v>
      </c>
      <c r="M3404" s="220">
        <v>27500</v>
      </c>
      <c r="N3404" s="220">
        <f>SUM(I3404:M3405)</f>
        <v>1422150</v>
      </c>
      <c r="O3404" s="224"/>
      <c r="P3404" s="110" t="s">
        <v>10509</v>
      </c>
      <c r="Q3404" s="15" t="s">
        <v>19</v>
      </c>
      <c r="R3404" s="205"/>
      <c r="S3404" s="189" t="s">
        <v>758</v>
      </c>
      <c r="T3404" s="114"/>
      <c r="U3404" s="21" t="s">
        <v>12505</v>
      </c>
      <c r="V3404" s="115">
        <v>46002</v>
      </c>
      <c r="W3404" s="116">
        <v>1310</v>
      </c>
      <c r="X3404" s="220">
        <v>1700000</v>
      </c>
      <c r="Y3404" s="220">
        <f>X3404*0.1</f>
        <v>170000</v>
      </c>
      <c r="Z3404" s="220">
        <v>16240</v>
      </c>
      <c r="AA3404" s="220">
        <f>SUM(X3404:Z3404)</f>
        <v>1886240</v>
      </c>
      <c r="AB3404" s="222">
        <v>46003</v>
      </c>
    </row>
    <row r="3405" spans="1:28" ht="17.100000000000001" customHeight="1" thickBot="1">
      <c r="A3405" s="227"/>
      <c r="B3405" s="27" t="s">
        <v>1592</v>
      </c>
      <c r="C3405" s="27">
        <v>73642</v>
      </c>
      <c r="D3405" s="14" t="s">
        <v>273</v>
      </c>
      <c r="E3405" s="229"/>
      <c r="F3405" s="117" t="s">
        <v>10508</v>
      </c>
      <c r="G3405" s="26">
        <v>46915</v>
      </c>
      <c r="H3405" s="231"/>
      <c r="I3405" s="221"/>
      <c r="J3405" s="221"/>
      <c r="K3405" s="221"/>
      <c r="L3405" s="221"/>
      <c r="M3405" s="221"/>
      <c r="N3405" s="221"/>
      <c r="O3405" s="225"/>
      <c r="P3405" s="118" t="s">
        <v>10882</v>
      </c>
      <c r="Q3405" s="16" t="s">
        <v>20</v>
      </c>
      <c r="R3405" s="17" t="s">
        <v>10856</v>
      </c>
      <c r="S3405" s="121" t="s">
        <v>10883</v>
      </c>
      <c r="T3405" s="122"/>
      <c r="U3405" s="22"/>
      <c r="V3405" s="123" t="s">
        <v>1735</v>
      </c>
      <c r="W3405" s="122">
        <v>10</v>
      </c>
      <c r="X3405" s="221"/>
      <c r="Y3405" s="221"/>
      <c r="Z3405" s="221"/>
      <c r="AA3405" s="221"/>
      <c r="AB3405" s="223"/>
    </row>
    <row r="3406" spans="1:28" ht="17.100000000000001" customHeight="1" thickTop="1">
      <c r="A3406" s="226" t="s">
        <v>10506</v>
      </c>
      <c r="B3406" s="28">
        <v>45974</v>
      </c>
      <c r="C3406" s="25">
        <v>1541</v>
      </c>
      <c r="D3406" s="13" t="s">
        <v>2422</v>
      </c>
      <c r="E3406" s="228"/>
      <c r="F3406" s="109" t="s">
        <v>10504</v>
      </c>
      <c r="G3406" s="24" t="s">
        <v>4025</v>
      </c>
      <c r="H3406" s="230">
        <v>4.5</v>
      </c>
      <c r="I3406" s="220">
        <v>1750000</v>
      </c>
      <c r="J3406" s="220">
        <f>I3406*0.1</f>
        <v>175000</v>
      </c>
      <c r="K3406" s="220">
        <f>17000+1700</f>
        <v>18700</v>
      </c>
      <c r="L3406" s="220">
        <v>26800</v>
      </c>
      <c r="M3406" s="220">
        <v>27500</v>
      </c>
      <c r="N3406" s="220">
        <f>SUM(I3406:M3407)</f>
        <v>1998000</v>
      </c>
      <c r="O3406" s="224"/>
      <c r="P3406" s="110" t="s">
        <v>10511</v>
      </c>
      <c r="Q3406" s="15" t="s">
        <v>19</v>
      </c>
      <c r="R3406" s="205"/>
      <c r="S3406" s="189" t="s">
        <v>1271</v>
      </c>
      <c r="T3406" s="114"/>
      <c r="U3406" s="21" t="s">
        <v>12504</v>
      </c>
      <c r="V3406" s="115">
        <v>46018</v>
      </c>
      <c r="W3406" s="116">
        <v>1282</v>
      </c>
      <c r="X3406" s="220">
        <v>2050000</v>
      </c>
      <c r="Y3406" s="220">
        <f>X3406*0.1</f>
        <v>205000</v>
      </c>
      <c r="Z3406" s="220">
        <v>26800</v>
      </c>
      <c r="AA3406" s="220">
        <f>SUM(X3406:Z3406)</f>
        <v>2281800</v>
      </c>
      <c r="AB3406" s="222">
        <v>46028</v>
      </c>
    </row>
    <row r="3407" spans="1:28" ht="17.100000000000001" customHeight="1" thickBot="1">
      <c r="A3407" s="227"/>
      <c r="B3407" s="27" t="s">
        <v>1592</v>
      </c>
      <c r="C3407" s="27">
        <v>76188</v>
      </c>
      <c r="D3407" s="14" t="s">
        <v>1627</v>
      </c>
      <c r="E3407" s="229"/>
      <c r="F3407" s="117" t="s">
        <v>10510</v>
      </c>
      <c r="G3407" s="26">
        <v>67276</v>
      </c>
      <c r="H3407" s="231"/>
      <c r="I3407" s="221"/>
      <c r="J3407" s="221"/>
      <c r="K3407" s="221"/>
      <c r="L3407" s="221"/>
      <c r="M3407" s="221"/>
      <c r="N3407" s="221"/>
      <c r="O3407" s="225"/>
      <c r="P3407" s="118" t="s">
        <v>10989</v>
      </c>
      <c r="Q3407" s="16" t="s">
        <v>20</v>
      </c>
      <c r="R3407" s="17" t="s">
        <v>10885</v>
      </c>
      <c r="S3407" s="121" t="s">
        <v>1731</v>
      </c>
      <c r="T3407" s="122"/>
      <c r="U3407" s="22"/>
      <c r="V3407" s="123" t="s">
        <v>2472</v>
      </c>
      <c r="W3407" s="122">
        <v>80046</v>
      </c>
      <c r="X3407" s="221"/>
      <c r="Y3407" s="221"/>
      <c r="Z3407" s="221"/>
      <c r="AA3407" s="221"/>
      <c r="AB3407" s="223"/>
    </row>
    <row r="3408" spans="1:28" ht="17.100000000000001" customHeight="1" thickTop="1">
      <c r="A3408" s="226" t="s">
        <v>10507</v>
      </c>
      <c r="B3408" s="28">
        <v>45974</v>
      </c>
      <c r="C3408" s="25">
        <v>1541</v>
      </c>
      <c r="D3408" s="13" t="s">
        <v>812</v>
      </c>
      <c r="E3408" s="228"/>
      <c r="F3408" s="109" t="s">
        <v>1916</v>
      </c>
      <c r="G3408" s="24" t="s">
        <v>10452</v>
      </c>
      <c r="H3408" s="230">
        <v>4.5</v>
      </c>
      <c r="I3408" s="220">
        <v>1510000</v>
      </c>
      <c r="J3408" s="220">
        <f>I3408*0.1</f>
        <v>151000</v>
      </c>
      <c r="K3408" s="220">
        <f>10100+1010</f>
        <v>11110</v>
      </c>
      <c r="L3408" s="220">
        <v>17600</v>
      </c>
      <c r="M3408" s="220">
        <v>16500</v>
      </c>
      <c r="N3408" s="220">
        <f>SUM(I3408:M3409)</f>
        <v>1706210</v>
      </c>
      <c r="O3408" s="224"/>
      <c r="P3408" s="110" t="s">
        <v>10453</v>
      </c>
      <c r="Q3408" s="15" t="s">
        <v>19</v>
      </c>
      <c r="R3408" s="205"/>
      <c r="S3408" s="189" t="s">
        <v>25591</v>
      </c>
      <c r="T3408" s="114"/>
      <c r="U3408" s="21"/>
      <c r="V3408" s="115">
        <v>45983</v>
      </c>
      <c r="W3408" s="116">
        <v>1277</v>
      </c>
      <c r="X3408" s="220">
        <v>1700000</v>
      </c>
      <c r="Y3408" s="220">
        <f>X3408*0.1</f>
        <v>170000</v>
      </c>
      <c r="Z3408" s="220">
        <v>17600</v>
      </c>
      <c r="AA3408" s="220">
        <f>SUM(X3408:Z3408)</f>
        <v>1887600</v>
      </c>
      <c r="AB3408" s="222">
        <v>45987</v>
      </c>
    </row>
    <row r="3409" spans="1:28" ht="17.100000000000001" customHeight="1" thickBot="1">
      <c r="A3409" s="227"/>
      <c r="B3409" s="27" t="s">
        <v>1592</v>
      </c>
      <c r="C3409" s="27">
        <v>79167</v>
      </c>
      <c r="D3409" s="14" t="s">
        <v>131</v>
      </c>
      <c r="E3409" s="229"/>
      <c r="F3409" s="117" t="s">
        <v>10451</v>
      </c>
      <c r="G3409" s="26">
        <v>32596</v>
      </c>
      <c r="H3409" s="231"/>
      <c r="I3409" s="221"/>
      <c r="J3409" s="221"/>
      <c r="K3409" s="221"/>
      <c r="L3409" s="221"/>
      <c r="M3409" s="221"/>
      <c r="N3409" s="221"/>
      <c r="O3409" s="225"/>
      <c r="P3409" s="118" t="s">
        <v>10697</v>
      </c>
      <c r="Q3409" s="16" t="s">
        <v>20</v>
      </c>
      <c r="R3409" s="17" t="s">
        <v>10694</v>
      </c>
      <c r="S3409" s="121" t="s">
        <v>10698</v>
      </c>
      <c r="T3409" s="122"/>
      <c r="U3409" s="22"/>
      <c r="V3409" s="123" t="s">
        <v>2472</v>
      </c>
      <c r="W3409" s="122">
        <v>80069</v>
      </c>
      <c r="X3409" s="221"/>
      <c r="Y3409" s="221"/>
      <c r="Z3409" s="221"/>
      <c r="AA3409" s="221"/>
      <c r="AB3409" s="223"/>
    </row>
    <row r="3410" spans="1:28" ht="17.100000000000001" customHeight="1" thickTop="1">
      <c r="A3410" s="226" t="s">
        <v>10521</v>
      </c>
      <c r="B3410" s="28">
        <v>45974</v>
      </c>
      <c r="C3410" s="25">
        <v>2134</v>
      </c>
      <c r="D3410" s="13" t="s">
        <v>5353</v>
      </c>
      <c r="E3410" s="228"/>
      <c r="F3410" s="109" t="s">
        <v>2556</v>
      </c>
      <c r="G3410" s="24"/>
      <c r="H3410" s="230">
        <v>3.5</v>
      </c>
      <c r="I3410" s="220">
        <v>212000</v>
      </c>
      <c r="J3410" s="220">
        <f>I3410*0.1</f>
        <v>21200</v>
      </c>
      <c r="K3410" s="220">
        <v>0</v>
      </c>
      <c r="L3410" s="220">
        <v>9910</v>
      </c>
      <c r="M3410" s="220">
        <v>13750</v>
      </c>
      <c r="N3410" s="220">
        <f>SUM(I3410:M3411)</f>
        <v>256860</v>
      </c>
      <c r="O3410" s="224"/>
      <c r="P3410" s="110" t="s">
        <v>10958</v>
      </c>
      <c r="Q3410" s="15" t="s">
        <v>19</v>
      </c>
      <c r="R3410" s="205"/>
      <c r="S3410" s="189"/>
      <c r="T3410" s="114"/>
      <c r="U3410" s="21"/>
      <c r="V3410" s="115">
        <v>45997</v>
      </c>
      <c r="W3410" s="116">
        <v>1279</v>
      </c>
      <c r="X3410" s="220">
        <v>328000</v>
      </c>
      <c r="Y3410" s="220">
        <f>X3410*0.1</f>
        <v>32800</v>
      </c>
      <c r="Z3410" s="220">
        <v>9910</v>
      </c>
      <c r="AA3410" s="220">
        <f>SUM(X3410:Z3410)</f>
        <v>370710</v>
      </c>
      <c r="AB3410" s="222">
        <v>46000</v>
      </c>
    </row>
    <row r="3411" spans="1:28" ht="17.100000000000001" customHeight="1" thickBot="1">
      <c r="A3411" s="227"/>
      <c r="B3411" s="27" t="s">
        <v>3228</v>
      </c>
      <c r="C3411" s="27">
        <v>166</v>
      </c>
      <c r="D3411" s="14" t="s">
        <v>2559</v>
      </c>
      <c r="E3411" s="229"/>
      <c r="F3411" s="117" t="s">
        <v>10434</v>
      </c>
      <c r="G3411" s="26">
        <v>115746</v>
      </c>
      <c r="H3411" s="231"/>
      <c r="I3411" s="221"/>
      <c r="J3411" s="221"/>
      <c r="K3411" s="221"/>
      <c r="L3411" s="221"/>
      <c r="M3411" s="221"/>
      <c r="N3411" s="221"/>
      <c r="O3411" s="225"/>
      <c r="P3411" s="118" t="s">
        <v>3355</v>
      </c>
      <c r="Q3411" s="16" t="s">
        <v>20</v>
      </c>
      <c r="R3411" s="17" t="s">
        <v>10885</v>
      </c>
      <c r="S3411" s="121" t="s">
        <v>169</v>
      </c>
      <c r="T3411" s="122"/>
      <c r="U3411" s="22"/>
      <c r="V3411" s="123" t="s">
        <v>7160</v>
      </c>
      <c r="W3411" s="122">
        <v>63079</v>
      </c>
      <c r="X3411" s="221"/>
      <c r="Y3411" s="221"/>
      <c r="Z3411" s="221"/>
      <c r="AA3411" s="221"/>
      <c r="AB3411" s="223"/>
    </row>
    <row r="3412" spans="1:28" ht="17.100000000000001" customHeight="1" thickTop="1">
      <c r="A3412" s="226" t="s">
        <v>10522</v>
      </c>
      <c r="B3412" s="28">
        <v>45974</v>
      </c>
      <c r="C3412" s="25">
        <v>2134</v>
      </c>
      <c r="D3412" s="13" t="s">
        <v>3773</v>
      </c>
      <c r="E3412" s="228"/>
      <c r="F3412" s="109" t="s">
        <v>10435</v>
      </c>
      <c r="G3412" s="24" t="s">
        <v>3756</v>
      </c>
      <c r="H3412" s="230">
        <v>4</v>
      </c>
      <c r="I3412" s="220">
        <v>357000</v>
      </c>
      <c r="J3412" s="220">
        <f>I3412*0.1</f>
        <v>35700</v>
      </c>
      <c r="K3412" s="220">
        <v>0</v>
      </c>
      <c r="L3412" s="220">
        <v>10170</v>
      </c>
      <c r="M3412" s="220">
        <v>13750</v>
      </c>
      <c r="N3412" s="220">
        <f>SUM(I3412:M3413)</f>
        <v>416620</v>
      </c>
      <c r="O3412" s="224"/>
      <c r="P3412" s="110" t="s">
        <v>10437</v>
      </c>
      <c r="Q3412" s="15" t="s">
        <v>19</v>
      </c>
      <c r="R3412" s="205"/>
      <c r="S3412" s="189"/>
      <c r="T3412" s="114"/>
      <c r="U3412" s="21"/>
      <c r="V3412" s="115">
        <v>45980</v>
      </c>
      <c r="W3412" s="116">
        <v>993</v>
      </c>
      <c r="X3412" s="220">
        <v>440000</v>
      </c>
      <c r="Y3412" s="220">
        <f>X3412*0.1</f>
        <v>44000</v>
      </c>
      <c r="Z3412" s="220">
        <v>10170</v>
      </c>
      <c r="AA3412" s="220">
        <f>SUM(X3412:Z3412)</f>
        <v>494170</v>
      </c>
      <c r="AB3412" s="222">
        <v>45992</v>
      </c>
    </row>
    <row r="3413" spans="1:28" ht="17.100000000000001" customHeight="1" thickBot="1">
      <c r="A3413" s="227"/>
      <c r="B3413" s="27" t="s">
        <v>3228</v>
      </c>
      <c r="C3413" s="27">
        <v>175</v>
      </c>
      <c r="D3413" s="14" t="s">
        <v>2559</v>
      </c>
      <c r="E3413" s="229"/>
      <c r="F3413" s="117" t="s">
        <v>10436</v>
      </c>
      <c r="G3413" s="26">
        <v>47766</v>
      </c>
      <c r="H3413" s="231"/>
      <c r="I3413" s="221"/>
      <c r="J3413" s="221"/>
      <c r="K3413" s="221"/>
      <c r="L3413" s="221"/>
      <c r="M3413" s="221"/>
      <c r="N3413" s="221"/>
      <c r="O3413" s="225"/>
      <c r="P3413" s="118" t="s">
        <v>10959</v>
      </c>
      <c r="Q3413" s="16" t="s">
        <v>20</v>
      </c>
      <c r="R3413" s="17" t="s">
        <v>10885</v>
      </c>
      <c r="S3413" s="121" t="s">
        <v>169</v>
      </c>
      <c r="T3413" s="122"/>
      <c r="U3413" s="22"/>
      <c r="V3413" s="123" t="s">
        <v>7161</v>
      </c>
      <c r="W3413" s="122">
        <v>2051</v>
      </c>
      <c r="X3413" s="221"/>
      <c r="Y3413" s="221"/>
      <c r="Z3413" s="221"/>
      <c r="AA3413" s="221"/>
      <c r="AB3413" s="223"/>
    </row>
    <row r="3414" spans="1:28" ht="17.100000000000001" customHeight="1" thickTop="1">
      <c r="A3414" s="226" t="s">
        <v>10523</v>
      </c>
      <c r="B3414" s="28">
        <v>45974</v>
      </c>
      <c r="C3414" s="25">
        <v>2134</v>
      </c>
      <c r="D3414" s="13" t="s">
        <v>3687</v>
      </c>
      <c r="E3414" s="228"/>
      <c r="F3414" s="109" t="s">
        <v>10438</v>
      </c>
      <c r="G3414" s="24"/>
      <c r="H3414" s="230">
        <v>3.5</v>
      </c>
      <c r="I3414" s="220">
        <v>302000</v>
      </c>
      <c r="J3414" s="220">
        <f>I3414*0.1</f>
        <v>30200</v>
      </c>
      <c r="K3414" s="220">
        <v>0</v>
      </c>
      <c r="L3414" s="220">
        <v>8460</v>
      </c>
      <c r="M3414" s="220">
        <v>13750</v>
      </c>
      <c r="N3414" s="220">
        <f>SUM(I3414:M3415)</f>
        <v>354410</v>
      </c>
      <c r="O3414" s="224"/>
      <c r="P3414" s="110" t="s">
        <v>10960</v>
      </c>
      <c r="Q3414" s="15" t="s">
        <v>19</v>
      </c>
      <c r="R3414" s="205"/>
      <c r="S3414" s="189"/>
      <c r="T3414" s="114"/>
      <c r="U3414" s="21"/>
      <c r="V3414" s="115">
        <v>46053</v>
      </c>
      <c r="W3414" s="116">
        <v>1286</v>
      </c>
      <c r="X3414" s="220">
        <v>320000</v>
      </c>
      <c r="Y3414" s="220">
        <f>X3414*0.1</f>
        <v>32000</v>
      </c>
      <c r="Z3414" s="220">
        <v>8460</v>
      </c>
      <c r="AA3414" s="220">
        <f>SUM(X3414:Z3414)</f>
        <v>360460</v>
      </c>
      <c r="AB3414" s="222">
        <v>46056</v>
      </c>
    </row>
    <row r="3415" spans="1:28" ht="17.100000000000001" customHeight="1" thickBot="1">
      <c r="A3415" s="227"/>
      <c r="B3415" s="27" t="s">
        <v>3228</v>
      </c>
      <c r="C3415" s="27">
        <v>2011</v>
      </c>
      <c r="D3415" s="14" t="s">
        <v>1710</v>
      </c>
      <c r="E3415" s="229"/>
      <c r="F3415" s="117" t="s">
        <v>10439</v>
      </c>
      <c r="G3415" s="26">
        <v>60077</v>
      </c>
      <c r="H3415" s="231"/>
      <c r="I3415" s="221"/>
      <c r="J3415" s="221"/>
      <c r="K3415" s="221"/>
      <c r="L3415" s="221"/>
      <c r="M3415" s="221"/>
      <c r="N3415" s="221"/>
      <c r="O3415" s="225"/>
      <c r="P3415" s="118" t="s">
        <v>10961</v>
      </c>
      <c r="Q3415" s="16" t="s">
        <v>20</v>
      </c>
      <c r="R3415" s="17" t="s">
        <v>10885</v>
      </c>
      <c r="S3415" s="121"/>
      <c r="T3415" s="122"/>
      <c r="U3415" s="22"/>
      <c r="V3415" s="123" t="s">
        <v>2472</v>
      </c>
      <c r="W3415" s="122">
        <v>60078</v>
      </c>
      <c r="X3415" s="221"/>
      <c r="Y3415" s="221"/>
      <c r="Z3415" s="221"/>
      <c r="AA3415" s="221"/>
      <c r="AB3415" s="223"/>
    </row>
    <row r="3416" spans="1:28" ht="17.100000000000001" customHeight="1" thickTop="1">
      <c r="A3416" s="226" t="s">
        <v>10524</v>
      </c>
      <c r="B3416" s="28">
        <v>45974</v>
      </c>
      <c r="C3416" s="25">
        <v>2134</v>
      </c>
      <c r="D3416" s="13" t="s">
        <v>1733</v>
      </c>
      <c r="E3416" s="228"/>
      <c r="F3416" s="109" t="s">
        <v>10440</v>
      </c>
      <c r="G3416" s="24" t="s">
        <v>4412</v>
      </c>
      <c r="H3416" s="230">
        <v>4</v>
      </c>
      <c r="I3416" s="220">
        <v>727000</v>
      </c>
      <c r="J3416" s="220">
        <f>I3416*0.1</f>
        <v>72700</v>
      </c>
      <c r="K3416" s="220">
        <v>0</v>
      </c>
      <c r="L3416" s="220">
        <v>9310</v>
      </c>
      <c r="M3416" s="220">
        <v>13750</v>
      </c>
      <c r="N3416" s="220">
        <f>SUM(I3416:M3417)</f>
        <v>822760</v>
      </c>
      <c r="O3416" s="224"/>
      <c r="P3416" s="110" t="s">
        <v>10531</v>
      </c>
      <c r="Q3416" s="15" t="s">
        <v>19</v>
      </c>
      <c r="R3416" s="205"/>
      <c r="S3416" s="189"/>
      <c r="T3416" s="114"/>
      <c r="U3416" s="21"/>
      <c r="V3416" s="115">
        <v>45980</v>
      </c>
      <c r="W3416" s="116">
        <v>993</v>
      </c>
      <c r="X3416" s="220">
        <v>825000</v>
      </c>
      <c r="Y3416" s="220">
        <f>X3416*0.1</f>
        <v>82500</v>
      </c>
      <c r="Z3416" s="220">
        <v>9310</v>
      </c>
      <c r="AA3416" s="220">
        <f>SUM(X3416:Z3416)</f>
        <v>916810</v>
      </c>
      <c r="AB3416" s="222">
        <v>45986</v>
      </c>
    </row>
    <row r="3417" spans="1:28" ht="17.100000000000001" customHeight="1" thickBot="1">
      <c r="A3417" s="227"/>
      <c r="B3417" s="27" t="s">
        <v>3228</v>
      </c>
      <c r="C3417" s="27">
        <v>2112</v>
      </c>
      <c r="D3417" s="14" t="s">
        <v>1797</v>
      </c>
      <c r="E3417" s="229"/>
      <c r="F3417" s="117" t="s">
        <v>10442</v>
      </c>
      <c r="G3417" s="26">
        <v>58920</v>
      </c>
      <c r="H3417" s="231"/>
      <c r="I3417" s="221"/>
      <c r="J3417" s="221"/>
      <c r="K3417" s="221"/>
      <c r="L3417" s="221"/>
      <c r="M3417" s="221"/>
      <c r="N3417" s="221"/>
      <c r="O3417" s="225"/>
      <c r="P3417" s="118" t="s">
        <v>10942</v>
      </c>
      <c r="Q3417" s="16" t="s">
        <v>20</v>
      </c>
      <c r="R3417" s="17" t="s">
        <v>10885</v>
      </c>
      <c r="S3417" s="121" t="s">
        <v>7703</v>
      </c>
      <c r="T3417" s="122"/>
      <c r="U3417" s="22"/>
      <c r="V3417" s="123" t="s">
        <v>2747</v>
      </c>
      <c r="W3417" s="122">
        <v>2045</v>
      </c>
      <c r="X3417" s="221"/>
      <c r="Y3417" s="221"/>
      <c r="Z3417" s="221"/>
      <c r="AA3417" s="221"/>
      <c r="AB3417" s="223"/>
    </row>
    <row r="3418" spans="1:28" ht="17.100000000000001" customHeight="1" thickTop="1">
      <c r="A3418" s="226" t="s">
        <v>10525</v>
      </c>
      <c r="B3418" s="28">
        <v>45974</v>
      </c>
      <c r="C3418" s="25">
        <v>2134</v>
      </c>
      <c r="D3418" s="13" t="s">
        <v>1704</v>
      </c>
      <c r="E3418" s="228"/>
      <c r="F3418" s="109" t="s">
        <v>3844</v>
      </c>
      <c r="G3418" s="24"/>
      <c r="H3418" s="230">
        <v>4</v>
      </c>
      <c r="I3418" s="220">
        <v>731000</v>
      </c>
      <c r="J3418" s="220">
        <f>I3418*0.1</f>
        <v>73100</v>
      </c>
      <c r="K3418" s="220">
        <v>0</v>
      </c>
      <c r="L3418" s="220">
        <v>5340</v>
      </c>
      <c r="M3418" s="220">
        <v>13750</v>
      </c>
      <c r="N3418" s="220">
        <f>SUM(I3418:M3419)</f>
        <v>823190</v>
      </c>
      <c r="O3418" s="224"/>
      <c r="P3418" s="110" t="s">
        <v>11202</v>
      </c>
      <c r="Q3418" s="15" t="s">
        <v>19</v>
      </c>
      <c r="R3418" s="205"/>
      <c r="S3418" s="189"/>
      <c r="T3418" s="114"/>
      <c r="U3418" s="21"/>
      <c r="V3418" s="115">
        <v>46004</v>
      </c>
      <c r="W3418" s="116">
        <v>1280</v>
      </c>
      <c r="X3418" s="220">
        <v>765000</v>
      </c>
      <c r="Y3418" s="220">
        <f>X3418*0.1</f>
        <v>76500</v>
      </c>
      <c r="Z3418" s="220">
        <v>5340</v>
      </c>
      <c r="AA3418" s="220">
        <f>SUM(X3418:Z3418)</f>
        <v>846840</v>
      </c>
      <c r="AB3418" s="222">
        <v>46008</v>
      </c>
    </row>
    <row r="3419" spans="1:28" ht="17.100000000000001" customHeight="1" thickBot="1">
      <c r="A3419" s="227"/>
      <c r="B3419" s="27" t="s">
        <v>3228</v>
      </c>
      <c r="C3419" s="27">
        <v>2502</v>
      </c>
      <c r="D3419" s="14" t="s">
        <v>1627</v>
      </c>
      <c r="E3419" s="229"/>
      <c r="F3419" s="117" t="s">
        <v>10443</v>
      </c>
      <c r="G3419" s="26">
        <v>46110</v>
      </c>
      <c r="H3419" s="231"/>
      <c r="I3419" s="221"/>
      <c r="J3419" s="221"/>
      <c r="K3419" s="221"/>
      <c r="L3419" s="221"/>
      <c r="M3419" s="221"/>
      <c r="N3419" s="221"/>
      <c r="O3419" s="225"/>
      <c r="P3419" s="118" t="s">
        <v>11203</v>
      </c>
      <c r="Q3419" s="16" t="s">
        <v>20</v>
      </c>
      <c r="R3419" s="17" t="s">
        <v>2188</v>
      </c>
      <c r="S3419" s="121" t="s">
        <v>2366</v>
      </c>
      <c r="T3419" s="122"/>
      <c r="U3419" s="22"/>
      <c r="V3419" s="123" t="s">
        <v>7160</v>
      </c>
      <c r="W3419" s="122">
        <v>60053</v>
      </c>
      <c r="X3419" s="221"/>
      <c r="Y3419" s="221"/>
      <c r="Z3419" s="221"/>
      <c r="AA3419" s="221"/>
      <c r="AB3419" s="223"/>
    </row>
    <row r="3420" spans="1:28" ht="17.100000000000001" customHeight="1" thickTop="1">
      <c r="A3420" s="226" t="s">
        <v>10526</v>
      </c>
      <c r="B3420" s="28">
        <v>45974</v>
      </c>
      <c r="C3420" s="25">
        <v>2134</v>
      </c>
      <c r="D3420" s="13" t="s">
        <v>1976</v>
      </c>
      <c r="E3420" s="228"/>
      <c r="F3420" s="109" t="s">
        <v>10444</v>
      </c>
      <c r="G3420" s="24"/>
      <c r="H3420" s="230">
        <v>4.5</v>
      </c>
      <c r="I3420" s="220">
        <v>834000</v>
      </c>
      <c r="J3420" s="220">
        <f>I3420*0.1</f>
        <v>83400</v>
      </c>
      <c r="K3420" s="220">
        <v>0</v>
      </c>
      <c r="L3420" s="220">
        <v>8450</v>
      </c>
      <c r="M3420" s="220">
        <v>13750</v>
      </c>
      <c r="N3420" s="220">
        <f>SUM(I3420:M3421)</f>
        <v>939600</v>
      </c>
      <c r="O3420" s="224"/>
      <c r="P3420" s="110" t="s">
        <v>10962</v>
      </c>
      <c r="Q3420" s="15" t="s">
        <v>19</v>
      </c>
      <c r="R3420" s="205"/>
      <c r="S3420" s="189" t="s">
        <v>1341</v>
      </c>
      <c r="T3420" s="114"/>
      <c r="U3420" s="21"/>
      <c r="V3420" s="115">
        <v>45987</v>
      </c>
      <c r="W3420" s="116">
        <v>994</v>
      </c>
      <c r="X3420" s="220">
        <v>850000</v>
      </c>
      <c r="Y3420" s="220">
        <f>X3420*0.1</f>
        <v>85000</v>
      </c>
      <c r="Z3420" s="220">
        <v>8450</v>
      </c>
      <c r="AA3420" s="220">
        <f>SUM(X3420:Z3420)</f>
        <v>943450</v>
      </c>
      <c r="AB3420" s="222">
        <v>45992</v>
      </c>
    </row>
    <row r="3421" spans="1:28" ht="17.100000000000001" customHeight="1" thickBot="1">
      <c r="A3421" s="227"/>
      <c r="B3421" s="27" t="s">
        <v>3228</v>
      </c>
      <c r="C3421" s="27">
        <v>2507</v>
      </c>
      <c r="D3421" s="14" t="s">
        <v>1584</v>
      </c>
      <c r="E3421" s="229"/>
      <c r="F3421" s="117" t="s">
        <v>10445</v>
      </c>
      <c r="G3421" s="26">
        <v>16434</v>
      </c>
      <c r="H3421" s="231"/>
      <c r="I3421" s="221"/>
      <c r="J3421" s="221"/>
      <c r="K3421" s="221"/>
      <c r="L3421" s="221"/>
      <c r="M3421" s="221"/>
      <c r="N3421" s="221"/>
      <c r="O3421" s="225"/>
      <c r="P3421" s="118" t="s">
        <v>2942</v>
      </c>
      <c r="Q3421" s="16" t="s">
        <v>20</v>
      </c>
      <c r="R3421" s="17" t="s">
        <v>10885</v>
      </c>
      <c r="S3421" s="121" t="s">
        <v>2360</v>
      </c>
      <c r="T3421" s="122"/>
      <c r="U3421" s="22"/>
      <c r="V3421" s="123" t="s">
        <v>11555</v>
      </c>
      <c r="W3421" s="122">
        <v>2076</v>
      </c>
      <c r="X3421" s="221"/>
      <c r="Y3421" s="221"/>
      <c r="Z3421" s="221"/>
      <c r="AA3421" s="221"/>
      <c r="AB3421" s="223"/>
    </row>
    <row r="3422" spans="1:28" ht="17.100000000000001" customHeight="1" thickTop="1">
      <c r="A3422" s="226" t="s">
        <v>10527</v>
      </c>
      <c r="B3422" s="28">
        <v>45974</v>
      </c>
      <c r="C3422" s="25">
        <v>2134</v>
      </c>
      <c r="D3422" s="13" t="s">
        <v>2113</v>
      </c>
      <c r="E3422" s="228"/>
      <c r="F3422" s="109" t="s">
        <v>10446</v>
      </c>
      <c r="G3422" s="24" t="s">
        <v>10448</v>
      </c>
      <c r="H3422" s="230">
        <v>4.5</v>
      </c>
      <c r="I3422" s="220">
        <v>703000</v>
      </c>
      <c r="J3422" s="220">
        <f>I3422*0.1</f>
        <v>70300</v>
      </c>
      <c r="K3422" s="220">
        <v>0</v>
      </c>
      <c r="L3422" s="220">
        <v>9300</v>
      </c>
      <c r="M3422" s="220">
        <v>13750</v>
      </c>
      <c r="N3422" s="220">
        <f>SUM(I3422:M3423)</f>
        <v>796350</v>
      </c>
      <c r="O3422" s="224"/>
      <c r="P3422" s="110" t="s">
        <v>10449</v>
      </c>
      <c r="Q3422" s="15" t="s">
        <v>19</v>
      </c>
      <c r="R3422" s="205"/>
      <c r="S3422" s="189"/>
      <c r="T3422" s="114"/>
      <c r="U3422" s="21"/>
      <c r="V3422" s="115">
        <v>45987</v>
      </c>
      <c r="W3422" s="116">
        <v>994</v>
      </c>
      <c r="X3422" s="220">
        <v>710000</v>
      </c>
      <c r="Y3422" s="220">
        <f>X3422*0.1</f>
        <v>71000</v>
      </c>
      <c r="Z3422" s="220">
        <v>9300</v>
      </c>
      <c r="AA3422" s="220">
        <f>SUM(X3422:Z3422)</f>
        <v>790300</v>
      </c>
      <c r="AB3422" s="222">
        <v>45992</v>
      </c>
    </row>
    <row r="3423" spans="1:28" ht="17.100000000000001" customHeight="1" thickBot="1">
      <c r="A3423" s="227"/>
      <c r="B3423" s="27" t="s">
        <v>3228</v>
      </c>
      <c r="C3423" s="27">
        <v>2570</v>
      </c>
      <c r="D3423" s="14" t="s">
        <v>1584</v>
      </c>
      <c r="E3423" s="229"/>
      <c r="F3423" s="117" t="s">
        <v>10447</v>
      </c>
      <c r="G3423" s="26">
        <v>47470</v>
      </c>
      <c r="H3423" s="231"/>
      <c r="I3423" s="221"/>
      <c r="J3423" s="221"/>
      <c r="K3423" s="221"/>
      <c r="L3423" s="221"/>
      <c r="M3423" s="221"/>
      <c r="N3423" s="221"/>
      <c r="O3423" s="225"/>
      <c r="P3423" s="118" t="s">
        <v>10963</v>
      </c>
      <c r="Q3423" s="16" t="s">
        <v>20</v>
      </c>
      <c r="R3423" s="17" t="s">
        <v>10885</v>
      </c>
      <c r="S3423" s="121"/>
      <c r="T3423" s="122"/>
      <c r="U3423" s="22"/>
      <c r="V3423" s="123" t="s">
        <v>11555</v>
      </c>
      <c r="W3423" s="122">
        <v>2024</v>
      </c>
      <c r="X3423" s="221"/>
      <c r="Y3423" s="221"/>
      <c r="Z3423" s="221"/>
      <c r="AA3423" s="221"/>
      <c r="AB3423" s="223"/>
    </row>
    <row r="3424" spans="1:28" ht="17.100000000000001" customHeight="1" thickTop="1">
      <c r="A3424" s="226" t="s">
        <v>10528</v>
      </c>
      <c r="B3424" s="28">
        <v>45974</v>
      </c>
      <c r="C3424" s="25">
        <v>2134</v>
      </c>
      <c r="D3424" s="13" t="s">
        <v>1564</v>
      </c>
      <c r="E3424" s="228"/>
      <c r="F3424" s="109" t="s">
        <v>3554</v>
      </c>
      <c r="G3424" s="24"/>
      <c r="H3424" s="230">
        <v>4.5</v>
      </c>
      <c r="I3424" s="220">
        <v>622000</v>
      </c>
      <c r="J3424" s="220">
        <f>I3424*0.1</f>
        <v>62200</v>
      </c>
      <c r="K3424" s="220">
        <v>0</v>
      </c>
      <c r="L3424" s="220">
        <v>8400</v>
      </c>
      <c r="M3424" s="220">
        <v>13750</v>
      </c>
      <c r="N3424" s="220">
        <f>SUM(I3424:M3425)</f>
        <v>706350</v>
      </c>
      <c r="O3424" s="224"/>
      <c r="P3424" s="110" t="s">
        <v>10964</v>
      </c>
      <c r="Q3424" s="15" t="s">
        <v>19</v>
      </c>
      <c r="R3424" s="205"/>
      <c r="S3424" s="189" t="s">
        <v>25592</v>
      </c>
      <c r="T3424" s="114"/>
      <c r="U3424" s="21"/>
      <c r="V3424" s="115">
        <v>45993</v>
      </c>
      <c r="W3424" s="116">
        <v>1920</v>
      </c>
      <c r="X3424" s="220">
        <v>649000</v>
      </c>
      <c r="Y3424" s="220">
        <f>X3424*0.1</f>
        <v>64900</v>
      </c>
      <c r="Z3424" s="220">
        <v>8400</v>
      </c>
      <c r="AA3424" s="220">
        <f>SUM(X3424:Z3424)</f>
        <v>722300</v>
      </c>
      <c r="AB3424" s="222"/>
    </row>
    <row r="3425" spans="1:28" ht="17.100000000000001" customHeight="1" thickBot="1">
      <c r="A3425" s="227"/>
      <c r="B3425" s="27" t="s">
        <v>3228</v>
      </c>
      <c r="C3425" s="27">
        <v>2582</v>
      </c>
      <c r="D3425" s="14" t="s">
        <v>1797</v>
      </c>
      <c r="E3425" s="229"/>
      <c r="F3425" s="117" t="s">
        <v>10450</v>
      </c>
      <c r="G3425" s="26">
        <v>59261</v>
      </c>
      <c r="H3425" s="231"/>
      <c r="I3425" s="221"/>
      <c r="J3425" s="221"/>
      <c r="K3425" s="221"/>
      <c r="L3425" s="221"/>
      <c r="M3425" s="221"/>
      <c r="N3425" s="221"/>
      <c r="O3425" s="225"/>
      <c r="P3425" s="118" t="s">
        <v>4608</v>
      </c>
      <c r="Q3425" s="16" t="s">
        <v>20</v>
      </c>
      <c r="R3425" s="17" t="s">
        <v>10885</v>
      </c>
      <c r="S3425" s="121" t="s">
        <v>10965</v>
      </c>
      <c r="T3425" s="122"/>
      <c r="U3425" s="22"/>
      <c r="V3425" s="123" t="s">
        <v>2103</v>
      </c>
      <c r="W3425" s="122">
        <v>3083</v>
      </c>
      <c r="X3425" s="221"/>
      <c r="Y3425" s="221"/>
      <c r="Z3425" s="221"/>
      <c r="AA3425" s="221"/>
      <c r="AB3425" s="223"/>
    </row>
    <row r="3426" spans="1:28" ht="17.100000000000001" customHeight="1" thickTop="1">
      <c r="A3426" s="226" t="s">
        <v>10530</v>
      </c>
      <c r="B3426" s="28">
        <v>45974</v>
      </c>
      <c r="C3426" s="25">
        <v>1730</v>
      </c>
      <c r="D3426" s="13" t="s">
        <v>1632</v>
      </c>
      <c r="E3426" s="228"/>
      <c r="F3426" s="109" t="s">
        <v>10532</v>
      </c>
      <c r="G3426" s="24" t="s">
        <v>2894</v>
      </c>
      <c r="H3426" s="230">
        <v>4</v>
      </c>
      <c r="I3426" s="220">
        <v>847000</v>
      </c>
      <c r="J3426" s="220">
        <f>I3426*0.1</f>
        <v>84700</v>
      </c>
      <c r="K3426" s="220">
        <f>11500+1150</f>
        <v>12650</v>
      </c>
      <c r="L3426" s="220">
        <v>19090</v>
      </c>
      <c r="M3426" s="220">
        <v>15400</v>
      </c>
      <c r="N3426" s="220">
        <f>SUM(I3426:M3427)</f>
        <v>978840</v>
      </c>
      <c r="O3426" s="224"/>
      <c r="P3426" s="110" t="s">
        <v>10533</v>
      </c>
      <c r="Q3426" s="15" t="s">
        <v>19</v>
      </c>
      <c r="R3426" s="205"/>
      <c r="S3426" s="189" t="s">
        <v>1189</v>
      </c>
      <c r="T3426" s="114"/>
      <c r="U3426" s="21"/>
      <c r="V3426" s="115">
        <v>45990</v>
      </c>
      <c r="W3426" s="116">
        <v>1278</v>
      </c>
      <c r="X3426" s="220">
        <v>1020000</v>
      </c>
      <c r="Y3426" s="220">
        <f>X3426*0.1</f>
        <v>102000</v>
      </c>
      <c r="Z3426" s="220">
        <v>19090</v>
      </c>
      <c r="AA3426" s="220">
        <f>SUM(X3426:Z3426)</f>
        <v>1141090</v>
      </c>
      <c r="AB3426" s="222">
        <v>45994</v>
      </c>
    </row>
    <row r="3427" spans="1:28" ht="17.100000000000001" customHeight="1" thickBot="1">
      <c r="A3427" s="227"/>
      <c r="B3427" s="27" t="s">
        <v>4230</v>
      </c>
      <c r="C3427" s="27">
        <v>2006</v>
      </c>
      <c r="D3427" s="14" t="s">
        <v>3274</v>
      </c>
      <c r="E3427" s="229"/>
      <c r="F3427" s="117" t="s">
        <v>10529</v>
      </c>
      <c r="G3427" s="26">
        <v>48469</v>
      </c>
      <c r="H3427" s="231"/>
      <c r="I3427" s="221"/>
      <c r="J3427" s="221"/>
      <c r="K3427" s="221"/>
      <c r="L3427" s="221"/>
      <c r="M3427" s="221"/>
      <c r="N3427" s="221"/>
      <c r="O3427" s="225"/>
      <c r="P3427" s="118" t="s">
        <v>10992</v>
      </c>
      <c r="Q3427" s="16" t="s">
        <v>20</v>
      </c>
      <c r="R3427" s="17" t="s">
        <v>10885</v>
      </c>
      <c r="S3427" s="121" t="s">
        <v>1606</v>
      </c>
      <c r="T3427" s="122"/>
      <c r="U3427" s="22"/>
      <c r="V3427" s="123" t="s">
        <v>2472</v>
      </c>
      <c r="W3427" s="122">
        <v>80409</v>
      </c>
      <c r="X3427" s="221"/>
      <c r="Y3427" s="221"/>
      <c r="Z3427" s="221"/>
      <c r="AA3427" s="221"/>
      <c r="AB3427" s="223"/>
    </row>
    <row r="3428" spans="1:28" ht="17.100000000000001" customHeight="1" thickTop="1">
      <c r="A3428" s="226" t="s">
        <v>10539</v>
      </c>
      <c r="B3428" s="28">
        <v>45975</v>
      </c>
      <c r="C3428" s="25">
        <v>68</v>
      </c>
      <c r="D3428" s="13" t="s">
        <v>1702</v>
      </c>
      <c r="E3428" s="228"/>
      <c r="F3428" s="109" t="s">
        <v>10545</v>
      </c>
      <c r="G3428" s="24" t="s">
        <v>2487</v>
      </c>
      <c r="H3428" s="230">
        <v>3.5</v>
      </c>
      <c r="I3428" s="220">
        <v>405000</v>
      </c>
      <c r="J3428" s="220">
        <f>I3428*0.1</f>
        <v>40500</v>
      </c>
      <c r="K3428" s="220">
        <v>0</v>
      </c>
      <c r="L3428" s="220">
        <v>8400</v>
      </c>
      <c r="M3428" s="220">
        <v>33000</v>
      </c>
      <c r="N3428" s="220">
        <f>SUM(I3428:M3429)</f>
        <v>486900</v>
      </c>
      <c r="O3428" s="224"/>
      <c r="P3428" s="110" t="s">
        <v>13182</v>
      </c>
      <c r="Q3428" s="15" t="s">
        <v>19</v>
      </c>
      <c r="R3428" s="205"/>
      <c r="S3428" s="189" t="s">
        <v>25593</v>
      </c>
      <c r="T3428" s="114"/>
      <c r="U3428" s="21" t="s">
        <v>13690</v>
      </c>
      <c r="V3428" s="115">
        <v>46035</v>
      </c>
      <c r="W3428" s="116">
        <v>1924</v>
      </c>
      <c r="X3428" s="220">
        <v>505000</v>
      </c>
      <c r="Y3428" s="220">
        <f>X3428*0.1</f>
        <v>50500</v>
      </c>
      <c r="Z3428" s="220">
        <v>8400</v>
      </c>
      <c r="AA3428" s="220">
        <f>SUM(X3428:Z3428)</f>
        <v>563900</v>
      </c>
      <c r="AB3428" s="222"/>
    </row>
    <row r="3429" spans="1:28" ht="17.100000000000001" customHeight="1" thickBot="1">
      <c r="A3429" s="227"/>
      <c r="B3429" s="27" t="s">
        <v>4468</v>
      </c>
      <c r="C3429" s="27">
        <v>1025</v>
      </c>
      <c r="D3429" s="14" t="s">
        <v>3792</v>
      </c>
      <c r="E3429" s="229"/>
      <c r="F3429" s="117" t="s">
        <v>10546</v>
      </c>
      <c r="G3429" s="26">
        <v>46159</v>
      </c>
      <c r="H3429" s="231"/>
      <c r="I3429" s="221"/>
      <c r="J3429" s="221"/>
      <c r="K3429" s="221"/>
      <c r="L3429" s="221"/>
      <c r="M3429" s="221"/>
      <c r="N3429" s="221"/>
      <c r="O3429" s="225"/>
      <c r="P3429" s="118" t="s">
        <v>13183</v>
      </c>
      <c r="Q3429" s="16" t="s">
        <v>20</v>
      </c>
      <c r="R3429" s="17" t="s">
        <v>3401</v>
      </c>
      <c r="S3429" s="121" t="s">
        <v>10516</v>
      </c>
      <c r="T3429" s="122"/>
      <c r="U3429" s="22"/>
      <c r="V3429" s="123" t="s">
        <v>2103</v>
      </c>
      <c r="W3429" s="122">
        <v>3167</v>
      </c>
      <c r="X3429" s="221"/>
      <c r="Y3429" s="221"/>
      <c r="Z3429" s="221"/>
      <c r="AA3429" s="221"/>
      <c r="AB3429" s="223"/>
    </row>
    <row r="3430" spans="1:28" ht="17.100000000000001" customHeight="1" thickTop="1">
      <c r="A3430" s="226" t="s">
        <v>10540</v>
      </c>
      <c r="B3430" s="28">
        <v>45975</v>
      </c>
      <c r="C3430" s="25">
        <v>68</v>
      </c>
      <c r="D3430" s="13" t="s">
        <v>1733</v>
      </c>
      <c r="E3430" s="228"/>
      <c r="F3430" s="109" t="s">
        <v>10547</v>
      </c>
      <c r="G3430" s="24" t="s">
        <v>2953</v>
      </c>
      <c r="H3430" s="230">
        <v>3.5</v>
      </c>
      <c r="I3430" s="220">
        <v>585000</v>
      </c>
      <c r="J3430" s="220">
        <f>I3430*0.1</f>
        <v>58500</v>
      </c>
      <c r="K3430" s="220">
        <v>0</v>
      </c>
      <c r="L3430" s="220">
        <v>8850</v>
      </c>
      <c r="M3430" s="220">
        <v>33000</v>
      </c>
      <c r="N3430" s="220">
        <f>SUM(I3430:M3431)</f>
        <v>685350</v>
      </c>
      <c r="O3430" s="224"/>
      <c r="P3430" s="110" t="s">
        <v>12086</v>
      </c>
      <c r="Q3430" s="15" t="s">
        <v>19</v>
      </c>
      <c r="R3430" s="205"/>
      <c r="S3430" s="189" t="s">
        <v>25533</v>
      </c>
      <c r="T3430" s="114"/>
      <c r="U3430" s="21"/>
      <c r="V3430" s="115">
        <v>45997</v>
      </c>
      <c r="W3430" s="116">
        <v>1279</v>
      </c>
      <c r="X3430" s="220">
        <v>690000</v>
      </c>
      <c r="Y3430" s="220">
        <f>X3430*0.1</f>
        <v>69000</v>
      </c>
      <c r="Z3430" s="220">
        <v>8850</v>
      </c>
      <c r="AA3430" s="220">
        <f>SUM(X3430:Z3430)</f>
        <v>767850</v>
      </c>
      <c r="AB3430" s="222">
        <v>46000</v>
      </c>
    </row>
    <row r="3431" spans="1:28" ht="17.100000000000001" customHeight="1" thickBot="1">
      <c r="A3431" s="227"/>
      <c r="B3431" s="27" t="s">
        <v>4468</v>
      </c>
      <c r="C3431" s="27">
        <v>1026</v>
      </c>
      <c r="D3431" s="14" t="s">
        <v>273</v>
      </c>
      <c r="E3431" s="229"/>
      <c r="F3431" s="117" t="s">
        <v>10548</v>
      </c>
      <c r="G3431" s="26">
        <v>37284</v>
      </c>
      <c r="H3431" s="231"/>
      <c r="I3431" s="221"/>
      <c r="J3431" s="221"/>
      <c r="K3431" s="221"/>
      <c r="L3431" s="221"/>
      <c r="M3431" s="221"/>
      <c r="N3431" s="221"/>
      <c r="O3431" s="225"/>
      <c r="P3431" s="118" t="s">
        <v>12087</v>
      </c>
      <c r="Q3431" s="16" t="s">
        <v>20</v>
      </c>
      <c r="R3431" s="17" t="s">
        <v>2216</v>
      </c>
      <c r="S3431" s="121" t="s">
        <v>12088</v>
      </c>
      <c r="T3431" s="122"/>
      <c r="U3431" s="22"/>
      <c r="V3431" s="123" t="s">
        <v>2472</v>
      </c>
      <c r="W3431" s="122">
        <v>65424</v>
      </c>
      <c r="X3431" s="221"/>
      <c r="Y3431" s="221"/>
      <c r="Z3431" s="221"/>
      <c r="AA3431" s="221"/>
      <c r="AB3431" s="223"/>
    </row>
    <row r="3432" spans="1:28" ht="17.100000000000001" customHeight="1" thickTop="1">
      <c r="A3432" s="226" t="s">
        <v>10541</v>
      </c>
      <c r="B3432" s="28">
        <v>45975</v>
      </c>
      <c r="C3432" s="25">
        <v>68</v>
      </c>
      <c r="D3432" s="13" t="s">
        <v>1883</v>
      </c>
      <c r="E3432" s="228"/>
      <c r="F3432" s="109" t="s">
        <v>6884</v>
      </c>
      <c r="G3432" s="24" t="s">
        <v>2813</v>
      </c>
      <c r="H3432" s="230">
        <v>4</v>
      </c>
      <c r="I3432" s="220">
        <v>1095000</v>
      </c>
      <c r="J3432" s="220">
        <f>I3432*0.1</f>
        <v>109500</v>
      </c>
      <c r="K3432" s="220">
        <v>0</v>
      </c>
      <c r="L3432" s="220">
        <v>8640</v>
      </c>
      <c r="M3432" s="220">
        <v>44000</v>
      </c>
      <c r="N3432" s="220">
        <f>SUM(I3432:M3433)</f>
        <v>1257140</v>
      </c>
      <c r="O3432" s="224"/>
      <c r="P3432" s="110" t="s">
        <v>12647</v>
      </c>
      <c r="Q3432" s="15" t="s">
        <v>19</v>
      </c>
      <c r="R3432" s="205"/>
      <c r="S3432" s="189" t="s">
        <v>25535</v>
      </c>
      <c r="T3432" s="114"/>
      <c r="U3432" s="21"/>
      <c r="V3432" s="115">
        <v>46000</v>
      </c>
      <c r="W3432" s="116">
        <v>1921</v>
      </c>
      <c r="X3432" s="220">
        <v>1272000</v>
      </c>
      <c r="Y3432" s="220">
        <f>X3432*0.1</f>
        <v>127200</v>
      </c>
      <c r="Z3432" s="220">
        <v>8640</v>
      </c>
      <c r="AA3432" s="220">
        <f>SUM(X3432:Z3432)</f>
        <v>1407840</v>
      </c>
      <c r="AB3432" s="222"/>
    </row>
    <row r="3433" spans="1:28" ht="17.100000000000001" customHeight="1" thickBot="1">
      <c r="A3433" s="227"/>
      <c r="B3433" s="27" t="s">
        <v>4468</v>
      </c>
      <c r="C3433" s="27">
        <v>1028</v>
      </c>
      <c r="D3433" s="14" t="s">
        <v>3731</v>
      </c>
      <c r="E3433" s="229"/>
      <c r="F3433" s="117" t="s">
        <v>10649</v>
      </c>
      <c r="G3433" s="26">
        <v>9924</v>
      </c>
      <c r="H3433" s="231"/>
      <c r="I3433" s="221"/>
      <c r="J3433" s="221"/>
      <c r="K3433" s="221"/>
      <c r="L3433" s="221"/>
      <c r="M3433" s="221"/>
      <c r="N3433" s="221"/>
      <c r="O3433" s="225"/>
      <c r="P3433" s="118" t="s">
        <v>12648</v>
      </c>
      <c r="Q3433" s="16" t="s">
        <v>20</v>
      </c>
      <c r="R3433" s="17" t="s">
        <v>12649</v>
      </c>
      <c r="S3433" s="121" t="s">
        <v>12650</v>
      </c>
      <c r="T3433" s="122"/>
      <c r="U3433" s="22"/>
      <c r="V3433" s="123" t="s">
        <v>2103</v>
      </c>
      <c r="W3433" s="122">
        <v>3293</v>
      </c>
      <c r="X3433" s="221"/>
      <c r="Y3433" s="221"/>
      <c r="Z3433" s="221"/>
      <c r="AA3433" s="221"/>
      <c r="AB3433" s="223"/>
    </row>
    <row r="3434" spans="1:28" ht="17.100000000000001" customHeight="1" thickTop="1">
      <c r="A3434" s="226" t="s">
        <v>10542</v>
      </c>
      <c r="B3434" s="28">
        <v>45975</v>
      </c>
      <c r="C3434" s="25">
        <v>68</v>
      </c>
      <c r="D3434" s="13" t="s">
        <v>1853</v>
      </c>
      <c r="E3434" s="228"/>
      <c r="F3434" s="109" t="s">
        <v>10594</v>
      </c>
      <c r="G3434" s="24" t="s">
        <v>4038</v>
      </c>
      <c r="H3434" s="230">
        <v>4</v>
      </c>
      <c r="I3434" s="220">
        <v>765000</v>
      </c>
      <c r="J3434" s="220">
        <f>I3434*0.1</f>
        <v>76500</v>
      </c>
      <c r="K3434" s="220">
        <v>0</v>
      </c>
      <c r="L3434" s="220">
        <v>8990</v>
      </c>
      <c r="M3434" s="220">
        <v>33000</v>
      </c>
      <c r="N3434" s="220">
        <f>SUM(I3434:M3435)</f>
        <v>883490</v>
      </c>
      <c r="O3434" s="224"/>
      <c r="P3434" s="110" t="s">
        <v>12364</v>
      </c>
      <c r="Q3434" s="15" t="s">
        <v>19</v>
      </c>
      <c r="R3434" s="205"/>
      <c r="S3434" s="189" t="s">
        <v>25533</v>
      </c>
      <c r="T3434" s="114"/>
      <c r="U3434" s="21" t="s">
        <v>12494</v>
      </c>
      <c r="V3434" s="115">
        <v>45997</v>
      </c>
      <c r="W3434" s="116">
        <v>1279</v>
      </c>
      <c r="X3434" s="220">
        <v>905000</v>
      </c>
      <c r="Y3434" s="220">
        <f>X3434*0.1</f>
        <v>90500</v>
      </c>
      <c r="Z3434" s="220">
        <v>8980</v>
      </c>
      <c r="AA3434" s="220">
        <f>SUM(X3434:Z3434)</f>
        <v>1004480</v>
      </c>
      <c r="AB3434" s="222">
        <v>46002</v>
      </c>
    </row>
    <row r="3435" spans="1:28" ht="17.100000000000001" customHeight="1" thickBot="1">
      <c r="A3435" s="227"/>
      <c r="B3435" s="27" t="s">
        <v>4468</v>
      </c>
      <c r="C3435" s="27">
        <v>1046</v>
      </c>
      <c r="D3435" s="14" t="s">
        <v>898</v>
      </c>
      <c r="E3435" s="229"/>
      <c r="F3435" s="117" t="s">
        <v>10650</v>
      </c>
      <c r="G3435" s="26">
        <v>58389</v>
      </c>
      <c r="H3435" s="231"/>
      <c r="I3435" s="221"/>
      <c r="J3435" s="221"/>
      <c r="K3435" s="221"/>
      <c r="L3435" s="221"/>
      <c r="M3435" s="221"/>
      <c r="N3435" s="221"/>
      <c r="O3435" s="225"/>
      <c r="P3435" s="118" t="s">
        <v>12365</v>
      </c>
      <c r="Q3435" s="16" t="s">
        <v>20</v>
      </c>
      <c r="R3435" s="17" t="s">
        <v>3384</v>
      </c>
      <c r="S3435" s="121" t="s">
        <v>12366</v>
      </c>
      <c r="T3435" s="122"/>
      <c r="U3435" s="22"/>
      <c r="V3435" s="123" t="s">
        <v>2472</v>
      </c>
      <c r="W3435" s="122">
        <v>65413</v>
      </c>
      <c r="X3435" s="221"/>
      <c r="Y3435" s="221"/>
      <c r="Z3435" s="221"/>
      <c r="AA3435" s="221"/>
      <c r="AB3435" s="223"/>
    </row>
    <row r="3436" spans="1:28" ht="17.100000000000001" customHeight="1" thickTop="1">
      <c r="A3436" s="226" t="s">
        <v>10543</v>
      </c>
      <c r="B3436" s="28">
        <v>45975</v>
      </c>
      <c r="C3436" s="25">
        <v>68</v>
      </c>
      <c r="D3436" s="13" t="s">
        <v>2690</v>
      </c>
      <c r="E3436" s="228"/>
      <c r="F3436" s="109" t="s">
        <v>10549</v>
      </c>
      <c r="G3436" s="24" t="s">
        <v>3453</v>
      </c>
      <c r="H3436" s="230">
        <v>4.5</v>
      </c>
      <c r="I3436" s="220">
        <v>1825000</v>
      </c>
      <c r="J3436" s="220">
        <f>I3436*0.1</f>
        <v>182500</v>
      </c>
      <c r="K3436" s="220">
        <f>12000+1200</f>
        <v>13200</v>
      </c>
      <c r="L3436" s="220">
        <v>10000</v>
      </c>
      <c r="M3436" s="220">
        <v>44000</v>
      </c>
      <c r="N3436" s="220">
        <f>SUM(I3436:M3437)</f>
        <v>2074700</v>
      </c>
      <c r="O3436" s="224"/>
      <c r="P3436" s="110" t="s">
        <v>12616</v>
      </c>
      <c r="Q3436" s="15" t="s">
        <v>19</v>
      </c>
      <c r="R3436" s="205"/>
      <c r="S3436" s="189" t="s">
        <v>25535</v>
      </c>
      <c r="T3436" s="114"/>
      <c r="U3436" s="21"/>
      <c r="V3436" s="115">
        <v>46001</v>
      </c>
      <c r="W3436" s="116">
        <v>996</v>
      </c>
      <c r="X3436" s="220">
        <v>1940000</v>
      </c>
      <c r="Y3436" s="220">
        <f>X3436*0.1</f>
        <v>194000</v>
      </c>
      <c r="Z3436" s="220">
        <v>10000</v>
      </c>
      <c r="AA3436" s="220">
        <f>SUM(X3436:Z3436)</f>
        <v>2144000</v>
      </c>
      <c r="AB3436" s="222">
        <v>46006</v>
      </c>
    </row>
    <row r="3437" spans="1:28" ht="17.100000000000001" customHeight="1" thickBot="1">
      <c r="A3437" s="227"/>
      <c r="B3437" s="27" t="s">
        <v>4468</v>
      </c>
      <c r="C3437" s="27">
        <v>1060</v>
      </c>
      <c r="D3437" s="14" t="s">
        <v>2559</v>
      </c>
      <c r="E3437" s="229"/>
      <c r="F3437" s="117" t="s">
        <v>10550</v>
      </c>
      <c r="G3437" s="26">
        <v>31701</v>
      </c>
      <c r="H3437" s="231"/>
      <c r="I3437" s="221"/>
      <c r="J3437" s="221"/>
      <c r="K3437" s="221"/>
      <c r="L3437" s="221"/>
      <c r="M3437" s="221"/>
      <c r="N3437" s="221"/>
      <c r="O3437" s="225"/>
      <c r="P3437" s="118" t="s">
        <v>12617</v>
      </c>
      <c r="Q3437" s="16" t="s">
        <v>20</v>
      </c>
      <c r="R3437" s="17" t="s">
        <v>12584</v>
      </c>
      <c r="S3437" s="121" t="s">
        <v>12618</v>
      </c>
      <c r="T3437" s="122"/>
      <c r="U3437" s="22"/>
      <c r="V3437" s="123" t="s">
        <v>2747</v>
      </c>
      <c r="W3437" s="122">
        <v>1087</v>
      </c>
      <c r="X3437" s="221"/>
      <c r="Y3437" s="221"/>
      <c r="Z3437" s="221"/>
      <c r="AA3437" s="221"/>
      <c r="AB3437" s="223"/>
    </row>
    <row r="3438" spans="1:28" ht="17.100000000000001" customHeight="1" thickTop="1">
      <c r="A3438" s="233" t="s">
        <v>10544</v>
      </c>
      <c r="B3438" s="28">
        <v>45975</v>
      </c>
      <c r="C3438" s="25">
        <v>68</v>
      </c>
      <c r="D3438" s="13" t="s">
        <v>2379</v>
      </c>
      <c r="E3438" s="228"/>
      <c r="F3438" s="109" t="s">
        <v>10551</v>
      </c>
      <c r="G3438" s="24" t="s">
        <v>2543</v>
      </c>
      <c r="H3438" s="230">
        <v>4.5</v>
      </c>
      <c r="I3438" s="220">
        <v>2855000</v>
      </c>
      <c r="J3438" s="220">
        <f>I3438*0.1</f>
        <v>285500</v>
      </c>
      <c r="K3438" s="220">
        <v>0</v>
      </c>
      <c r="L3438" s="220">
        <v>18860</v>
      </c>
      <c r="M3438" s="220">
        <v>66000</v>
      </c>
      <c r="N3438" s="220">
        <f>SUM(I3438:M3439)</f>
        <v>3225360</v>
      </c>
      <c r="O3438" s="224"/>
      <c r="P3438" s="110" t="s">
        <v>14445</v>
      </c>
      <c r="Q3438" s="15" t="s">
        <v>19</v>
      </c>
      <c r="R3438" s="205"/>
      <c r="S3438" s="189" t="s">
        <v>25535</v>
      </c>
      <c r="T3438" s="114"/>
      <c r="U3438" s="21"/>
      <c r="V3438" s="115">
        <v>46032</v>
      </c>
      <c r="W3438" s="116">
        <v>1283</v>
      </c>
      <c r="X3438" s="220">
        <v>3055000</v>
      </c>
      <c r="Y3438" s="220">
        <f>X3438*0.1</f>
        <v>305500</v>
      </c>
      <c r="Z3438" s="220">
        <v>18860</v>
      </c>
      <c r="AA3438" s="220">
        <f>SUM(X3438:Z3438)</f>
        <v>3379360</v>
      </c>
      <c r="AB3438" s="222">
        <v>46036</v>
      </c>
    </row>
    <row r="3439" spans="1:28" ht="17.100000000000001" customHeight="1" thickBot="1">
      <c r="A3439" s="234"/>
      <c r="B3439" s="27" t="s">
        <v>4468</v>
      </c>
      <c r="C3439" s="27">
        <v>1070</v>
      </c>
      <c r="D3439" s="14" t="s">
        <v>2559</v>
      </c>
      <c r="E3439" s="229"/>
      <c r="F3439" s="117" t="s">
        <v>10552</v>
      </c>
      <c r="G3439" s="26">
        <v>5969</v>
      </c>
      <c r="H3439" s="231"/>
      <c r="I3439" s="221"/>
      <c r="J3439" s="221"/>
      <c r="K3439" s="221"/>
      <c r="L3439" s="221"/>
      <c r="M3439" s="221"/>
      <c r="N3439" s="221"/>
      <c r="O3439" s="225"/>
      <c r="P3439" s="118" t="s">
        <v>10722</v>
      </c>
      <c r="Q3439" s="16" t="s">
        <v>20</v>
      </c>
      <c r="R3439" s="17" t="s">
        <v>2573</v>
      </c>
      <c r="S3439" s="121" t="s">
        <v>1625</v>
      </c>
      <c r="T3439" s="122"/>
      <c r="U3439" s="22"/>
      <c r="V3439" s="123" t="s">
        <v>2472</v>
      </c>
      <c r="W3439" s="122">
        <v>37800</v>
      </c>
      <c r="X3439" s="221"/>
      <c r="Y3439" s="221"/>
      <c r="Z3439" s="221"/>
      <c r="AA3439" s="221"/>
      <c r="AB3439" s="223"/>
    </row>
    <row r="3440" spans="1:28" ht="17.100000000000001" customHeight="1" thickTop="1">
      <c r="A3440" s="226" t="s">
        <v>10592</v>
      </c>
      <c r="B3440" s="28">
        <v>45975</v>
      </c>
      <c r="C3440" s="25">
        <v>68</v>
      </c>
      <c r="D3440" s="13" t="s">
        <v>1963</v>
      </c>
      <c r="E3440" s="228"/>
      <c r="F3440" s="109" t="s">
        <v>10297</v>
      </c>
      <c r="G3440" s="24" t="s">
        <v>2084</v>
      </c>
      <c r="H3440" s="230">
        <v>5</v>
      </c>
      <c r="I3440" s="220">
        <v>1340000</v>
      </c>
      <c r="J3440" s="220">
        <f>I3440*0.1</f>
        <v>134000</v>
      </c>
      <c r="K3440" s="220">
        <v>0</v>
      </c>
      <c r="L3440" s="220">
        <v>8130</v>
      </c>
      <c r="M3440" s="220">
        <v>44000</v>
      </c>
      <c r="N3440" s="220">
        <f>SUM(I3440:M3441)</f>
        <v>1526130</v>
      </c>
      <c r="O3440" s="224"/>
      <c r="P3440" s="110"/>
      <c r="Q3440" s="15" t="s">
        <v>19</v>
      </c>
      <c r="R3440" s="205"/>
      <c r="S3440" s="189" t="s">
        <v>25535</v>
      </c>
      <c r="T3440" s="114" t="s">
        <v>7899</v>
      </c>
      <c r="U3440" s="21"/>
      <c r="V3440" s="115"/>
      <c r="W3440" s="116"/>
      <c r="X3440" s="220"/>
      <c r="Y3440" s="220">
        <f>X3440*0.1</f>
        <v>0</v>
      </c>
      <c r="Z3440" s="220"/>
      <c r="AA3440" s="220">
        <f>SUM(X3440:Z3440)</f>
        <v>0</v>
      </c>
      <c r="AB3440" s="222"/>
    </row>
    <row r="3441" spans="1:28" ht="17.100000000000001" customHeight="1" thickBot="1">
      <c r="A3441" s="227"/>
      <c r="B3441" s="27" t="s">
        <v>4468</v>
      </c>
      <c r="C3441" s="27">
        <v>1092</v>
      </c>
      <c r="D3441" s="14" t="s">
        <v>3731</v>
      </c>
      <c r="E3441" s="229"/>
      <c r="F3441" s="117" t="s">
        <v>10553</v>
      </c>
      <c r="G3441" s="26">
        <v>1187</v>
      </c>
      <c r="H3441" s="231"/>
      <c r="I3441" s="221"/>
      <c r="J3441" s="221"/>
      <c r="K3441" s="221"/>
      <c r="L3441" s="221"/>
      <c r="M3441" s="221"/>
      <c r="N3441" s="221"/>
      <c r="O3441" s="225"/>
      <c r="P3441" s="118"/>
      <c r="Q3441" s="16" t="s">
        <v>20</v>
      </c>
      <c r="R3441" s="17" t="s">
        <v>10331</v>
      </c>
      <c r="S3441" s="121"/>
      <c r="T3441" s="122"/>
      <c r="U3441" s="22"/>
      <c r="V3441" s="123"/>
      <c r="W3441" s="122"/>
      <c r="X3441" s="221"/>
      <c r="Y3441" s="221"/>
      <c r="Z3441" s="221"/>
      <c r="AA3441" s="221"/>
      <c r="AB3441" s="223"/>
    </row>
    <row r="3442" spans="1:28" ht="17.100000000000001" customHeight="1" thickTop="1">
      <c r="A3442" s="226" t="s">
        <v>10593</v>
      </c>
      <c r="B3442" s="28">
        <v>45975</v>
      </c>
      <c r="C3442" s="25">
        <v>68</v>
      </c>
      <c r="D3442" s="13" t="s">
        <v>2264</v>
      </c>
      <c r="E3442" s="228"/>
      <c r="F3442" s="109" t="s">
        <v>10554</v>
      </c>
      <c r="G3442" s="24" t="s">
        <v>2810</v>
      </c>
      <c r="H3442" s="230">
        <v>3.5</v>
      </c>
      <c r="I3442" s="220">
        <v>855000</v>
      </c>
      <c r="J3442" s="220">
        <f>I3442*0.1</f>
        <v>85500</v>
      </c>
      <c r="K3442" s="220">
        <f>6200+620</f>
        <v>6820</v>
      </c>
      <c r="L3442" s="220">
        <v>8190</v>
      </c>
      <c r="M3442" s="220">
        <v>33000</v>
      </c>
      <c r="N3442" s="220">
        <f>SUM(I3442:M3443)</f>
        <v>988510</v>
      </c>
      <c r="O3442" s="224"/>
      <c r="P3442" s="110" t="s">
        <v>12415</v>
      </c>
      <c r="Q3442" s="15" t="s">
        <v>19</v>
      </c>
      <c r="R3442" s="205"/>
      <c r="S3442" s="189" t="s">
        <v>25577</v>
      </c>
      <c r="T3442" s="114"/>
      <c r="U3442" s="21"/>
      <c r="V3442" s="115">
        <v>45997</v>
      </c>
      <c r="W3442" s="116">
        <v>1279</v>
      </c>
      <c r="X3442" s="220">
        <v>1170000</v>
      </c>
      <c r="Y3442" s="220">
        <f>X3442*0.1</f>
        <v>117000</v>
      </c>
      <c r="Z3442" s="220">
        <v>8190</v>
      </c>
      <c r="AA3442" s="220">
        <f>SUM(X3442:Z3442)</f>
        <v>1295190</v>
      </c>
      <c r="AB3442" s="222">
        <v>46001</v>
      </c>
    </row>
    <row r="3443" spans="1:28" ht="17.100000000000001" customHeight="1" thickBot="1">
      <c r="A3443" s="227"/>
      <c r="B3443" s="27" t="s">
        <v>4468</v>
      </c>
      <c r="C3443" s="27">
        <v>2008</v>
      </c>
      <c r="D3443" s="14" t="s">
        <v>2559</v>
      </c>
      <c r="E3443" s="229"/>
      <c r="F3443" s="117" t="s">
        <v>10555</v>
      </c>
      <c r="G3443" s="26">
        <v>23716</v>
      </c>
      <c r="H3443" s="231"/>
      <c r="I3443" s="221"/>
      <c r="J3443" s="221"/>
      <c r="K3443" s="221"/>
      <c r="L3443" s="221"/>
      <c r="M3443" s="221"/>
      <c r="N3443" s="221"/>
      <c r="O3443" s="225"/>
      <c r="P3443" s="118" t="s">
        <v>12416</v>
      </c>
      <c r="Q3443" s="16" t="s">
        <v>20</v>
      </c>
      <c r="R3443" s="17" t="s">
        <v>12417</v>
      </c>
      <c r="S3443" s="121" t="s">
        <v>8262</v>
      </c>
      <c r="T3443" s="122"/>
      <c r="U3443" s="22"/>
      <c r="V3443" s="123" t="s">
        <v>2472</v>
      </c>
      <c r="W3443" s="122">
        <v>37898</v>
      </c>
      <c r="X3443" s="221"/>
      <c r="Y3443" s="221"/>
      <c r="Z3443" s="221"/>
      <c r="AA3443" s="221"/>
      <c r="AB3443" s="223"/>
    </row>
    <row r="3444" spans="1:28" ht="17.100000000000001" customHeight="1" thickTop="1">
      <c r="A3444" s="226" t="s">
        <v>10595</v>
      </c>
      <c r="B3444" s="28">
        <v>45975</v>
      </c>
      <c r="C3444" s="25">
        <v>2110</v>
      </c>
      <c r="D3444" s="13" t="s">
        <v>2264</v>
      </c>
      <c r="E3444" s="228"/>
      <c r="F3444" s="109" t="s">
        <v>10556</v>
      </c>
      <c r="G3444" s="24"/>
      <c r="H3444" s="230">
        <v>4.5</v>
      </c>
      <c r="I3444" s="220">
        <v>910000</v>
      </c>
      <c r="J3444" s="220">
        <f>I3444*0.1</f>
        <v>91000</v>
      </c>
      <c r="K3444" s="220">
        <v>0</v>
      </c>
      <c r="L3444" s="220">
        <v>17310</v>
      </c>
      <c r="M3444" s="220">
        <v>16500</v>
      </c>
      <c r="N3444" s="220">
        <f>SUM(I3444:M3445)</f>
        <v>1034810</v>
      </c>
      <c r="O3444" s="224"/>
      <c r="P3444" s="110" t="s">
        <v>11242</v>
      </c>
      <c r="Q3444" s="15" t="s">
        <v>19</v>
      </c>
      <c r="R3444" s="205"/>
      <c r="S3444" s="189" t="s">
        <v>1422</v>
      </c>
      <c r="T3444" s="114"/>
      <c r="U3444" s="21"/>
      <c r="V3444" s="115">
        <v>45981</v>
      </c>
      <c r="W3444" s="116">
        <v>1307</v>
      </c>
      <c r="X3444" s="220">
        <v>1035000</v>
      </c>
      <c r="Y3444" s="220">
        <f>X3444*0.1</f>
        <v>103500</v>
      </c>
      <c r="Z3444" s="220">
        <v>17310</v>
      </c>
      <c r="AA3444" s="220">
        <f>SUM(X3444:Z3444)</f>
        <v>1155810</v>
      </c>
      <c r="AB3444" s="222">
        <v>45982</v>
      </c>
    </row>
    <row r="3445" spans="1:28" ht="17.100000000000001" customHeight="1" thickBot="1">
      <c r="A3445" s="227"/>
      <c r="B3445" s="27" t="s">
        <v>1536</v>
      </c>
      <c r="C3445" s="27">
        <v>35160</v>
      </c>
      <c r="D3445" s="14" t="s">
        <v>273</v>
      </c>
      <c r="E3445" s="229"/>
      <c r="F3445" s="117" t="s">
        <v>10557</v>
      </c>
      <c r="G3445" s="26">
        <v>36677</v>
      </c>
      <c r="H3445" s="231"/>
      <c r="I3445" s="221"/>
      <c r="J3445" s="221"/>
      <c r="K3445" s="221"/>
      <c r="L3445" s="221"/>
      <c r="M3445" s="221"/>
      <c r="N3445" s="221"/>
      <c r="O3445" s="225"/>
      <c r="P3445" s="118" t="s">
        <v>11243</v>
      </c>
      <c r="Q3445" s="16" t="s">
        <v>20</v>
      </c>
      <c r="R3445" s="17" t="s">
        <v>2188</v>
      </c>
      <c r="S3445" s="121" t="s">
        <v>9265</v>
      </c>
      <c r="T3445" s="122"/>
      <c r="U3445" s="22"/>
      <c r="V3445" s="123" t="s">
        <v>1735</v>
      </c>
      <c r="W3445" s="122">
        <v>316</v>
      </c>
      <c r="X3445" s="221"/>
      <c r="Y3445" s="221"/>
      <c r="Z3445" s="221"/>
      <c r="AA3445" s="221"/>
      <c r="AB3445" s="223"/>
    </row>
    <row r="3446" spans="1:28" ht="17.100000000000001" customHeight="1" thickTop="1">
      <c r="A3446" s="226" t="s">
        <v>10596</v>
      </c>
      <c r="B3446" s="28">
        <v>45975</v>
      </c>
      <c r="C3446" s="25">
        <v>2110</v>
      </c>
      <c r="D3446" s="13" t="s">
        <v>2264</v>
      </c>
      <c r="E3446" s="228"/>
      <c r="F3446" s="109" t="s">
        <v>10558</v>
      </c>
      <c r="G3446" s="24"/>
      <c r="H3446" s="230">
        <v>4.5</v>
      </c>
      <c r="I3446" s="220">
        <v>2100000</v>
      </c>
      <c r="J3446" s="220">
        <f>I3446*0.1</f>
        <v>210000</v>
      </c>
      <c r="K3446" s="220">
        <v>0</v>
      </c>
      <c r="L3446" s="220">
        <v>21500</v>
      </c>
      <c r="M3446" s="220">
        <v>16500</v>
      </c>
      <c r="N3446" s="220">
        <f>SUM(I3446:M3447)</f>
        <v>2348000</v>
      </c>
      <c r="O3446" s="224"/>
      <c r="P3446" s="110" t="s">
        <v>10990</v>
      </c>
      <c r="Q3446" s="15" t="s">
        <v>19</v>
      </c>
      <c r="R3446" s="205"/>
      <c r="S3446" s="189" t="s">
        <v>1271</v>
      </c>
      <c r="T3446" s="114"/>
      <c r="U3446" s="21"/>
      <c r="V3446" s="115">
        <v>45981</v>
      </c>
      <c r="W3446" s="116">
        <v>1307</v>
      </c>
      <c r="X3446" s="220">
        <v>2215000</v>
      </c>
      <c r="Y3446" s="220">
        <f>X3446*0.1</f>
        <v>221500</v>
      </c>
      <c r="Z3446" s="220">
        <v>21500</v>
      </c>
      <c r="AA3446" s="220">
        <f>SUM(X3446:Z3446)</f>
        <v>2458000</v>
      </c>
      <c r="AB3446" s="222">
        <v>45982</v>
      </c>
    </row>
    <row r="3447" spans="1:28" ht="17.100000000000001" customHeight="1" thickBot="1">
      <c r="A3447" s="227"/>
      <c r="B3447" s="27" t="s">
        <v>1536</v>
      </c>
      <c r="C3447" s="27">
        <v>58677</v>
      </c>
      <c r="D3447" s="14" t="s">
        <v>1584</v>
      </c>
      <c r="E3447" s="229"/>
      <c r="F3447" s="117" t="s">
        <v>10559</v>
      </c>
      <c r="G3447" s="26">
        <v>33233</v>
      </c>
      <c r="H3447" s="231"/>
      <c r="I3447" s="221"/>
      <c r="J3447" s="221"/>
      <c r="K3447" s="221"/>
      <c r="L3447" s="221"/>
      <c r="M3447" s="221"/>
      <c r="N3447" s="221"/>
      <c r="O3447" s="225"/>
      <c r="P3447" s="118" t="s">
        <v>2615</v>
      </c>
      <c r="Q3447" s="16" t="s">
        <v>20</v>
      </c>
      <c r="R3447" s="17" t="s">
        <v>10885</v>
      </c>
      <c r="S3447" s="121" t="s">
        <v>1731</v>
      </c>
      <c r="T3447" s="122"/>
      <c r="U3447" s="22"/>
      <c r="V3447" s="123" t="s">
        <v>1735</v>
      </c>
      <c r="W3447" s="122">
        <v>74</v>
      </c>
      <c r="X3447" s="221"/>
      <c r="Y3447" s="221"/>
      <c r="Z3447" s="221"/>
      <c r="AA3447" s="221"/>
      <c r="AB3447" s="223"/>
    </row>
    <row r="3448" spans="1:28" ht="17.100000000000001" customHeight="1" thickTop="1">
      <c r="A3448" s="226" t="s">
        <v>10597</v>
      </c>
      <c r="B3448" s="28">
        <v>45975</v>
      </c>
      <c r="C3448" s="25"/>
      <c r="D3448" s="13" t="s">
        <v>1976</v>
      </c>
      <c r="E3448" s="228"/>
      <c r="F3448" s="109" t="s">
        <v>10570</v>
      </c>
      <c r="G3448" s="24" t="s">
        <v>4158</v>
      </c>
      <c r="H3448" s="230">
        <v>4</v>
      </c>
      <c r="I3448" s="220">
        <f>1523500/1.1</f>
        <v>1385000</v>
      </c>
      <c r="J3448" s="220">
        <f>I3448*0.1</f>
        <v>138500</v>
      </c>
      <c r="K3448" s="220">
        <v>8300</v>
      </c>
      <c r="L3448" s="220">
        <v>7450</v>
      </c>
      <c r="M3448" s="220">
        <v>0</v>
      </c>
      <c r="N3448" s="220">
        <f>SUM(I3448:M3449)</f>
        <v>1539250</v>
      </c>
      <c r="O3448" s="224"/>
      <c r="P3448" s="110" t="s">
        <v>13047</v>
      </c>
      <c r="Q3448" s="15" t="s">
        <v>19</v>
      </c>
      <c r="R3448" s="205"/>
      <c r="S3448" s="189" t="s">
        <v>1276</v>
      </c>
      <c r="T3448" s="114"/>
      <c r="U3448" s="21"/>
      <c r="V3448" s="115">
        <v>45997</v>
      </c>
      <c r="W3448" s="116">
        <v>1279</v>
      </c>
      <c r="X3448" s="220">
        <v>1575000</v>
      </c>
      <c r="Y3448" s="220">
        <f>X3448*0.1</f>
        <v>157500</v>
      </c>
      <c r="Z3448" s="220">
        <v>7450</v>
      </c>
      <c r="AA3448" s="220">
        <f>SUM(X3448:Z3448)</f>
        <v>1739950</v>
      </c>
      <c r="AB3448" s="222">
        <v>46007</v>
      </c>
    </row>
    <row r="3449" spans="1:28" ht="17.100000000000001" customHeight="1" thickBot="1">
      <c r="A3449" s="227"/>
      <c r="B3449" s="27" t="s">
        <v>1708</v>
      </c>
      <c r="C3449" s="27" t="s">
        <v>10560</v>
      </c>
      <c r="D3449" s="14" t="s">
        <v>54</v>
      </c>
      <c r="E3449" s="229"/>
      <c r="F3449" s="117" t="s">
        <v>10561</v>
      </c>
      <c r="G3449" s="26">
        <v>13936</v>
      </c>
      <c r="H3449" s="231"/>
      <c r="I3449" s="221"/>
      <c r="J3449" s="221"/>
      <c r="K3449" s="221"/>
      <c r="L3449" s="221"/>
      <c r="M3449" s="221"/>
      <c r="N3449" s="221"/>
      <c r="O3449" s="225"/>
      <c r="P3449" s="118" t="s">
        <v>13048</v>
      </c>
      <c r="Q3449" s="16" t="s">
        <v>20</v>
      </c>
      <c r="R3449" s="17" t="s">
        <v>3913</v>
      </c>
      <c r="S3449" s="121" t="s">
        <v>13049</v>
      </c>
      <c r="T3449" s="122"/>
      <c r="U3449" s="22"/>
      <c r="V3449" s="123" t="s">
        <v>2472</v>
      </c>
      <c r="W3449" s="122">
        <v>37472</v>
      </c>
      <c r="X3449" s="221"/>
      <c r="Y3449" s="221"/>
      <c r="Z3449" s="221"/>
      <c r="AA3449" s="221"/>
      <c r="AB3449" s="223"/>
    </row>
    <row r="3450" spans="1:28" ht="17.100000000000001" customHeight="1" thickTop="1">
      <c r="A3450" s="226" t="s">
        <v>10598</v>
      </c>
      <c r="B3450" s="28">
        <v>45975</v>
      </c>
      <c r="C3450" s="25"/>
      <c r="D3450" s="13" t="s">
        <v>1642</v>
      </c>
      <c r="E3450" s="228"/>
      <c r="F3450" s="109" t="s">
        <v>10571</v>
      </c>
      <c r="G3450" s="24" t="s">
        <v>4602</v>
      </c>
      <c r="H3450" s="230">
        <v>4</v>
      </c>
      <c r="I3450" s="220">
        <f>2799500/1.1</f>
        <v>2545000</v>
      </c>
      <c r="J3450" s="220">
        <f>I3450*0.1</f>
        <v>254500</v>
      </c>
      <c r="K3450" s="220">
        <v>9000</v>
      </c>
      <c r="L3450" s="220">
        <v>12250</v>
      </c>
      <c r="M3450" s="220">
        <v>0</v>
      </c>
      <c r="N3450" s="220">
        <f>SUM(I3450:M3451)</f>
        <v>2820750</v>
      </c>
      <c r="O3450" s="224"/>
      <c r="P3450" s="110" t="s">
        <v>11955</v>
      </c>
      <c r="Q3450" s="15" t="s">
        <v>19</v>
      </c>
      <c r="R3450" s="205"/>
      <c r="S3450" s="189" t="s">
        <v>25371</v>
      </c>
      <c r="T3450" s="114"/>
      <c r="U3450" s="21"/>
      <c r="V3450" s="115">
        <v>45997</v>
      </c>
      <c r="W3450" s="116">
        <v>1279</v>
      </c>
      <c r="X3450" s="220">
        <v>2645000</v>
      </c>
      <c r="Y3450" s="220">
        <f>X3450*0.1</f>
        <v>264500</v>
      </c>
      <c r="Z3450" s="220">
        <v>12250</v>
      </c>
      <c r="AA3450" s="220">
        <f>SUM(X3450:Z3450)</f>
        <v>2921750</v>
      </c>
      <c r="AB3450" s="222">
        <v>46000</v>
      </c>
    </row>
    <row r="3451" spans="1:28" ht="17.100000000000001" customHeight="1" thickBot="1">
      <c r="A3451" s="227"/>
      <c r="B3451" s="27" t="s">
        <v>1708</v>
      </c>
      <c r="C3451" s="27" t="s">
        <v>10562</v>
      </c>
      <c r="D3451" s="14" t="s">
        <v>1584</v>
      </c>
      <c r="E3451" s="229"/>
      <c r="F3451" s="117" t="s">
        <v>10563</v>
      </c>
      <c r="G3451" s="26">
        <v>23021</v>
      </c>
      <c r="H3451" s="231"/>
      <c r="I3451" s="221"/>
      <c r="J3451" s="221"/>
      <c r="K3451" s="221"/>
      <c r="L3451" s="221"/>
      <c r="M3451" s="221"/>
      <c r="N3451" s="221"/>
      <c r="O3451" s="225"/>
      <c r="P3451" s="118" t="s">
        <v>11956</v>
      </c>
      <c r="Q3451" s="16" t="s">
        <v>20</v>
      </c>
      <c r="R3451" s="17" t="s">
        <v>1730</v>
      </c>
      <c r="S3451" s="121" t="s">
        <v>1731</v>
      </c>
      <c r="T3451" s="122"/>
      <c r="U3451" s="22"/>
      <c r="V3451" s="123" t="s">
        <v>2472</v>
      </c>
      <c r="W3451" s="122">
        <v>37645</v>
      </c>
      <c r="X3451" s="221"/>
      <c r="Y3451" s="221"/>
      <c r="Z3451" s="221"/>
      <c r="AA3451" s="221"/>
      <c r="AB3451" s="223"/>
    </row>
    <row r="3452" spans="1:28" ht="17.100000000000001" customHeight="1" thickTop="1">
      <c r="A3452" s="226" t="s">
        <v>10599</v>
      </c>
      <c r="B3452" s="28">
        <v>45975</v>
      </c>
      <c r="C3452" s="25"/>
      <c r="D3452" s="13" t="s">
        <v>1976</v>
      </c>
      <c r="E3452" s="228"/>
      <c r="F3452" s="109" t="s">
        <v>10572</v>
      </c>
      <c r="G3452" s="24" t="s">
        <v>8516</v>
      </c>
      <c r="H3452" s="230">
        <v>4.5</v>
      </c>
      <c r="I3452" s="220">
        <f>5665000/1.1</f>
        <v>5150000</v>
      </c>
      <c r="J3452" s="220">
        <f>I3452*0.1</f>
        <v>515000</v>
      </c>
      <c r="K3452" s="220">
        <v>14500</v>
      </c>
      <c r="L3452" s="220">
        <v>15990</v>
      </c>
      <c r="M3452" s="220">
        <v>0</v>
      </c>
      <c r="N3452" s="220">
        <f>SUM(I3452:M3453)</f>
        <v>5695490</v>
      </c>
      <c r="O3452" s="224"/>
      <c r="P3452" s="110" t="s">
        <v>12149</v>
      </c>
      <c r="Q3452" s="15" t="s">
        <v>19</v>
      </c>
      <c r="R3452" s="205"/>
      <c r="S3452" s="189" t="s">
        <v>25594</v>
      </c>
      <c r="T3452" s="114"/>
      <c r="U3452" s="21"/>
      <c r="V3452" s="115">
        <v>46015</v>
      </c>
      <c r="W3452" s="116">
        <v>998</v>
      </c>
      <c r="X3452" s="220">
        <v>5100000</v>
      </c>
      <c r="Y3452" s="220">
        <f>X3452*0.1</f>
        <v>510000</v>
      </c>
      <c r="Z3452" s="220">
        <v>15990</v>
      </c>
      <c r="AA3452" s="220">
        <f>SUM(X3452:Z3452)</f>
        <v>5625990</v>
      </c>
      <c r="AB3452" s="222">
        <v>46028</v>
      </c>
    </row>
    <row r="3453" spans="1:28" ht="17.100000000000001" customHeight="1" thickBot="1">
      <c r="A3453" s="227"/>
      <c r="B3453" s="27" t="s">
        <v>1708</v>
      </c>
      <c r="C3453" s="27" t="s">
        <v>10564</v>
      </c>
      <c r="D3453" s="14" t="s">
        <v>2559</v>
      </c>
      <c r="E3453" s="229"/>
      <c r="F3453" s="117" t="s">
        <v>10565</v>
      </c>
      <c r="G3453" s="26">
        <v>27779</v>
      </c>
      <c r="H3453" s="231"/>
      <c r="I3453" s="221"/>
      <c r="J3453" s="221"/>
      <c r="K3453" s="221"/>
      <c r="L3453" s="221"/>
      <c r="M3453" s="221"/>
      <c r="N3453" s="221"/>
      <c r="O3453" s="225"/>
      <c r="P3453" s="118" t="s">
        <v>5068</v>
      </c>
      <c r="Q3453" s="16" t="s">
        <v>20</v>
      </c>
      <c r="R3453" s="17" t="s">
        <v>1739</v>
      </c>
      <c r="S3453" s="121" t="s">
        <v>12150</v>
      </c>
      <c r="T3453" s="122"/>
      <c r="U3453" s="22"/>
      <c r="V3453" s="123" t="s">
        <v>2747</v>
      </c>
      <c r="W3453" s="122">
        <v>6049</v>
      </c>
      <c r="X3453" s="221"/>
      <c r="Y3453" s="221"/>
      <c r="Z3453" s="221"/>
      <c r="AA3453" s="221"/>
      <c r="AB3453" s="223"/>
    </row>
    <row r="3454" spans="1:28" ht="17.100000000000001" customHeight="1" thickTop="1">
      <c r="A3454" s="226" t="s">
        <v>10600</v>
      </c>
      <c r="B3454" s="28">
        <v>45975</v>
      </c>
      <c r="C3454" s="25"/>
      <c r="D3454" s="13" t="s">
        <v>2203</v>
      </c>
      <c r="E3454" s="228"/>
      <c r="F3454" s="109" t="s">
        <v>10573</v>
      </c>
      <c r="G3454" s="24" t="s">
        <v>10574</v>
      </c>
      <c r="H3454" s="230">
        <v>4</v>
      </c>
      <c r="I3454" s="220">
        <f>3300000/1.1</f>
        <v>2999999.9999999995</v>
      </c>
      <c r="J3454" s="220">
        <f>I3454*0.1</f>
        <v>299999.99999999994</v>
      </c>
      <c r="K3454" s="220">
        <v>17000</v>
      </c>
      <c r="L3454" s="220">
        <v>20790</v>
      </c>
      <c r="M3454" s="220">
        <v>0</v>
      </c>
      <c r="N3454" s="220">
        <f>SUM(I3454:M3455)</f>
        <v>3337789.9999999995</v>
      </c>
      <c r="O3454" s="224"/>
      <c r="P3454" s="110" t="s">
        <v>12921</v>
      </c>
      <c r="Q3454" s="15" t="s">
        <v>19</v>
      </c>
      <c r="R3454" s="205"/>
      <c r="S3454" s="189" t="s">
        <v>25372</v>
      </c>
      <c r="T3454" s="114"/>
      <c r="U3454" s="21" t="s">
        <v>13267</v>
      </c>
      <c r="V3454" s="115">
        <v>46053</v>
      </c>
      <c r="W3454" s="116">
        <v>1286</v>
      </c>
      <c r="X3454" s="220">
        <v>3820000</v>
      </c>
      <c r="Y3454" s="220">
        <f>X3454*0.1</f>
        <v>382000</v>
      </c>
      <c r="Z3454" s="220">
        <v>20790</v>
      </c>
      <c r="AA3454" s="220">
        <f>SUM(X3454:Z3454)</f>
        <v>4222790</v>
      </c>
      <c r="AB3454" s="222">
        <v>46056</v>
      </c>
    </row>
    <row r="3455" spans="1:28" ht="17.100000000000001" customHeight="1" thickBot="1">
      <c r="A3455" s="227"/>
      <c r="B3455" s="27" t="s">
        <v>1708</v>
      </c>
      <c r="C3455" s="27" t="s">
        <v>10566</v>
      </c>
      <c r="D3455" s="14" t="s">
        <v>1710</v>
      </c>
      <c r="E3455" s="229"/>
      <c r="F3455" s="117" t="s">
        <v>10567</v>
      </c>
      <c r="G3455" s="26">
        <v>53490</v>
      </c>
      <c r="H3455" s="231"/>
      <c r="I3455" s="221"/>
      <c r="J3455" s="221"/>
      <c r="K3455" s="221"/>
      <c r="L3455" s="221"/>
      <c r="M3455" s="221"/>
      <c r="N3455" s="221"/>
      <c r="O3455" s="225"/>
      <c r="P3455" s="118" t="s">
        <v>2287</v>
      </c>
      <c r="Q3455" s="16" t="s">
        <v>20</v>
      </c>
      <c r="R3455" s="17" t="s">
        <v>12777</v>
      </c>
      <c r="S3455" s="121" t="s">
        <v>1731</v>
      </c>
      <c r="T3455" s="122"/>
      <c r="U3455" s="22"/>
      <c r="V3455" s="123" t="s">
        <v>2472</v>
      </c>
      <c r="W3455" s="122">
        <v>82125</v>
      </c>
      <c r="X3455" s="221"/>
      <c r="Y3455" s="221"/>
      <c r="Z3455" s="221"/>
      <c r="AA3455" s="221"/>
      <c r="AB3455" s="223"/>
    </row>
    <row r="3456" spans="1:28" ht="17.100000000000001" customHeight="1" thickTop="1">
      <c r="A3456" s="226" t="s">
        <v>10601</v>
      </c>
      <c r="B3456" s="28">
        <v>45975</v>
      </c>
      <c r="C3456" s="25"/>
      <c r="D3456" s="13" t="s">
        <v>1666</v>
      </c>
      <c r="E3456" s="228"/>
      <c r="F3456" s="109" t="s">
        <v>10575</v>
      </c>
      <c r="G3456" s="24" t="s">
        <v>3979</v>
      </c>
      <c r="H3456" s="232" t="s">
        <v>1705</v>
      </c>
      <c r="I3456" s="220">
        <f>165000/1.1</f>
        <v>150000</v>
      </c>
      <c r="J3456" s="220">
        <f>I3456*0.1</f>
        <v>15000</v>
      </c>
      <c r="K3456" s="220">
        <v>9800</v>
      </c>
      <c r="L3456" s="220">
        <v>8040</v>
      </c>
      <c r="M3456" s="220">
        <v>0</v>
      </c>
      <c r="N3456" s="220">
        <f>SUM(I3456:M3457)</f>
        <v>182840</v>
      </c>
      <c r="O3456" s="224"/>
      <c r="P3456" s="110" t="s">
        <v>11397</v>
      </c>
      <c r="Q3456" s="15" t="s">
        <v>19</v>
      </c>
      <c r="R3456" s="205"/>
      <c r="S3456" s="189" t="s">
        <v>1361</v>
      </c>
      <c r="T3456" s="114"/>
      <c r="U3456" s="21"/>
      <c r="V3456" s="115">
        <v>46011</v>
      </c>
      <c r="W3456" s="116">
        <v>1281</v>
      </c>
      <c r="X3456" s="220">
        <v>270000</v>
      </c>
      <c r="Y3456" s="220">
        <f>X3456*0.1</f>
        <v>27000</v>
      </c>
      <c r="Z3456" s="220">
        <v>8040</v>
      </c>
      <c r="AA3456" s="220">
        <f>SUM(X3456:Z3456)</f>
        <v>305040</v>
      </c>
      <c r="AB3456" s="222">
        <v>46014</v>
      </c>
    </row>
    <row r="3457" spans="1:28" ht="17.100000000000001" customHeight="1" thickBot="1">
      <c r="A3457" s="227"/>
      <c r="B3457" s="27" t="s">
        <v>1708</v>
      </c>
      <c r="C3457" s="27" t="s">
        <v>10568</v>
      </c>
      <c r="D3457" s="14" t="s">
        <v>3792</v>
      </c>
      <c r="E3457" s="229"/>
      <c r="F3457" s="117" t="s">
        <v>10569</v>
      </c>
      <c r="G3457" s="26">
        <v>57518</v>
      </c>
      <c r="H3457" s="231"/>
      <c r="I3457" s="221"/>
      <c r="J3457" s="221"/>
      <c r="K3457" s="221"/>
      <c r="L3457" s="221"/>
      <c r="M3457" s="221"/>
      <c r="N3457" s="221"/>
      <c r="O3457" s="225"/>
      <c r="P3457" s="118" t="s">
        <v>11398</v>
      </c>
      <c r="Q3457" s="16" t="s">
        <v>20</v>
      </c>
      <c r="R3457" s="17" t="s">
        <v>2193</v>
      </c>
      <c r="S3457" s="121" t="s">
        <v>4413</v>
      </c>
      <c r="T3457" s="122"/>
      <c r="U3457" s="22"/>
      <c r="V3457" s="123" t="s">
        <v>2472</v>
      </c>
      <c r="W3457" s="122">
        <v>31230</v>
      </c>
      <c r="X3457" s="221"/>
      <c r="Y3457" s="221"/>
      <c r="Z3457" s="221"/>
      <c r="AA3457" s="221"/>
      <c r="AB3457" s="223"/>
    </row>
    <row r="3458" spans="1:28" ht="17.100000000000001" customHeight="1" thickTop="1">
      <c r="A3458" s="226" t="s">
        <v>10602</v>
      </c>
      <c r="B3458" s="28">
        <v>45975</v>
      </c>
      <c r="C3458" s="25"/>
      <c r="D3458" s="13" t="s">
        <v>1666</v>
      </c>
      <c r="E3458" s="228"/>
      <c r="F3458" s="109" t="s">
        <v>4308</v>
      </c>
      <c r="G3458" s="24" t="s">
        <v>7141</v>
      </c>
      <c r="H3458" s="230">
        <v>4</v>
      </c>
      <c r="I3458" s="220">
        <f>381700/1.1</f>
        <v>347000</v>
      </c>
      <c r="J3458" s="220">
        <v>34700</v>
      </c>
      <c r="K3458" s="220">
        <v>0</v>
      </c>
      <c r="L3458" s="220">
        <v>9070</v>
      </c>
      <c r="M3458" s="220">
        <v>0</v>
      </c>
      <c r="N3458" s="220">
        <f>SUM(I3458:M3459)</f>
        <v>390770</v>
      </c>
      <c r="O3458" s="224"/>
      <c r="P3458" s="110" t="s">
        <v>11575</v>
      </c>
      <c r="Q3458" s="15" t="s">
        <v>19</v>
      </c>
      <c r="R3458" s="205"/>
      <c r="S3458" s="189" t="s">
        <v>1276</v>
      </c>
      <c r="T3458" s="114"/>
      <c r="U3458" s="21"/>
      <c r="V3458" s="115">
        <v>45997</v>
      </c>
      <c r="W3458" s="116">
        <v>1279</v>
      </c>
      <c r="X3458" s="220">
        <v>475000</v>
      </c>
      <c r="Y3458" s="220">
        <f>X3458*0.1</f>
        <v>47500</v>
      </c>
      <c r="Z3458" s="220">
        <v>9070</v>
      </c>
      <c r="AA3458" s="220">
        <f>SUM(X3458:Z3458)</f>
        <v>531570</v>
      </c>
      <c r="AB3458" s="222">
        <v>46000</v>
      </c>
    </row>
    <row r="3459" spans="1:28" ht="17.100000000000001" customHeight="1" thickBot="1">
      <c r="A3459" s="227"/>
      <c r="B3459" s="27" t="s">
        <v>1708</v>
      </c>
      <c r="C3459" s="27" t="s">
        <v>10587</v>
      </c>
      <c r="D3459" s="14" t="s">
        <v>1584</v>
      </c>
      <c r="E3459" s="229"/>
      <c r="F3459" s="117" t="s">
        <v>10588</v>
      </c>
      <c r="G3459" s="26">
        <v>7321</v>
      </c>
      <c r="H3459" s="231"/>
      <c r="I3459" s="221"/>
      <c r="J3459" s="221"/>
      <c r="K3459" s="221"/>
      <c r="L3459" s="221"/>
      <c r="M3459" s="221"/>
      <c r="N3459" s="221"/>
      <c r="O3459" s="225"/>
      <c r="P3459" s="118" t="s">
        <v>11576</v>
      </c>
      <c r="Q3459" s="16" t="s">
        <v>20</v>
      </c>
      <c r="R3459" s="17" t="s">
        <v>1713</v>
      </c>
      <c r="S3459" s="121" t="s">
        <v>1923</v>
      </c>
      <c r="T3459" s="122"/>
      <c r="U3459" s="22"/>
      <c r="V3459" s="123" t="s">
        <v>7160</v>
      </c>
      <c r="W3459" s="122">
        <v>65411</v>
      </c>
      <c r="X3459" s="221"/>
      <c r="Y3459" s="221"/>
      <c r="Z3459" s="221"/>
      <c r="AA3459" s="221"/>
      <c r="AB3459" s="223"/>
    </row>
    <row r="3460" spans="1:28" ht="17.100000000000001" customHeight="1" thickTop="1">
      <c r="A3460" s="226" t="s">
        <v>10603</v>
      </c>
      <c r="B3460" s="28">
        <v>45975</v>
      </c>
      <c r="C3460" s="25">
        <v>1394</v>
      </c>
      <c r="D3460" s="13" t="s">
        <v>2150</v>
      </c>
      <c r="E3460" s="228"/>
      <c r="F3460" s="109" t="s">
        <v>4145</v>
      </c>
      <c r="G3460" s="24" t="s">
        <v>10632</v>
      </c>
      <c r="H3460" s="230">
        <v>3.5</v>
      </c>
      <c r="I3460" s="220">
        <v>265000</v>
      </c>
      <c r="J3460" s="220">
        <f>I3460*0.1</f>
        <v>26500</v>
      </c>
      <c r="K3460" s="220">
        <v>0</v>
      </c>
      <c r="L3460" s="220">
        <v>8460</v>
      </c>
      <c r="M3460" s="220">
        <v>13200</v>
      </c>
      <c r="N3460" s="220">
        <f>SUM(I3460:M3461)</f>
        <v>313160</v>
      </c>
      <c r="O3460" s="224"/>
      <c r="P3460" s="110" t="s">
        <v>10955</v>
      </c>
      <c r="Q3460" s="15" t="s">
        <v>19</v>
      </c>
      <c r="R3460" s="205"/>
      <c r="S3460" s="189" t="s">
        <v>1361</v>
      </c>
      <c r="T3460" s="114"/>
      <c r="U3460" s="21"/>
      <c r="V3460" s="115">
        <v>45983</v>
      </c>
      <c r="W3460" s="116">
        <v>1277</v>
      </c>
      <c r="X3460" s="220">
        <v>345000</v>
      </c>
      <c r="Y3460" s="220">
        <f>X3460*0.1</f>
        <v>34500</v>
      </c>
      <c r="Z3460" s="220">
        <v>8460</v>
      </c>
      <c r="AA3460" s="220">
        <f>SUM(X3460:Z3460)</f>
        <v>387960</v>
      </c>
      <c r="AB3460" s="222">
        <v>45987</v>
      </c>
    </row>
    <row r="3461" spans="1:28" ht="17.100000000000001" customHeight="1" thickBot="1">
      <c r="A3461" s="227"/>
      <c r="B3461" s="27" t="s">
        <v>2597</v>
      </c>
      <c r="C3461" s="27">
        <v>1802</v>
      </c>
      <c r="D3461" s="14" t="s">
        <v>2559</v>
      </c>
      <c r="E3461" s="229"/>
      <c r="F3461" s="117" t="s">
        <v>10614</v>
      </c>
      <c r="G3461" s="26">
        <v>46489</v>
      </c>
      <c r="H3461" s="231"/>
      <c r="I3461" s="221"/>
      <c r="J3461" s="221"/>
      <c r="K3461" s="221"/>
      <c r="L3461" s="221"/>
      <c r="M3461" s="221"/>
      <c r="N3461" s="221"/>
      <c r="O3461" s="225"/>
      <c r="P3461" s="118" t="s">
        <v>10956</v>
      </c>
      <c r="Q3461" s="16" t="s">
        <v>20</v>
      </c>
      <c r="R3461" s="17" t="s">
        <v>10885</v>
      </c>
      <c r="S3461" s="121" t="s">
        <v>169</v>
      </c>
      <c r="T3461" s="122"/>
      <c r="U3461" s="22"/>
      <c r="V3461" s="123" t="s">
        <v>2472</v>
      </c>
      <c r="W3461" s="122">
        <v>60386</v>
      </c>
      <c r="X3461" s="221"/>
      <c r="Y3461" s="221"/>
      <c r="Z3461" s="221"/>
      <c r="AA3461" s="221"/>
      <c r="AB3461" s="223"/>
    </row>
    <row r="3462" spans="1:28" ht="17.100000000000001" customHeight="1" thickTop="1">
      <c r="A3462" s="226" t="s">
        <v>10604</v>
      </c>
      <c r="B3462" s="28">
        <v>45975</v>
      </c>
      <c r="C3462" s="25">
        <v>1394</v>
      </c>
      <c r="D3462" s="13" t="s">
        <v>2392</v>
      </c>
      <c r="E3462" s="228"/>
      <c r="F3462" s="109" t="s">
        <v>10615</v>
      </c>
      <c r="G3462" s="24" t="s">
        <v>5039</v>
      </c>
      <c r="H3462" s="230">
        <v>4.5</v>
      </c>
      <c r="I3462" s="220">
        <v>1537000</v>
      </c>
      <c r="J3462" s="220">
        <f>I3462*0.1</f>
        <v>153700</v>
      </c>
      <c r="K3462" s="220">
        <v>0</v>
      </c>
      <c r="L3462" s="220">
        <v>7230</v>
      </c>
      <c r="M3462" s="220">
        <v>13200</v>
      </c>
      <c r="N3462" s="220">
        <f>SUM(I3462:M3463)</f>
        <v>1711130</v>
      </c>
      <c r="O3462" s="224"/>
      <c r="P3462" s="110" t="s">
        <v>10951</v>
      </c>
      <c r="Q3462" s="15" t="s">
        <v>19</v>
      </c>
      <c r="R3462" s="205"/>
      <c r="S3462" s="189" t="s">
        <v>1361</v>
      </c>
      <c r="T3462" s="114"/>
      <c r="U3462" s="21" t="s">
        <v>12597</v>
      </c>
      <c r="V3462" s="115">
        <v>46056</v>
      </c>
      <c r="W3462" s="116">
        <v>1927</v>
      </c>
      <c r="X3462" s="220">
        <v>1642000</v>
      </c>
      <c r="Y3462" s="220">
        <f>X3462*0.1</f>
        <v>164200</v>
      </c>
      <c r="Z3462" s="220">
        <v>7230</v>
      </c>
      <c r="AA3462" s="220">
        <f>SUM(X3462:Z3462)</f>
        <v>1813430</v>
      </c>
      <c r="AB3462" s="222">
        <v>46063</v>
      </c>
    </row>
    <row r="3463" spans="1:28" ht="17.100000000000001" customHeight="1" thickBot="1">
      <c r="A3463" s="227"/>
      <c r="B3463" s="27" t="s">
        <v>2597</v>
      </c>
      <c r="C3463" s="27">
        <v>3002</v>
      </c>
      <c r="D3463" s="14" t="s">
        <v>273</v>
      </c>
      <c r="E3463" s="229"/>
      <c r="F3463" s="117" t="s">
        <v>10616</v>
      </c>
      <c r="G3463" s="26">
        <v>17520</v>
      </c>
      <c r="H3463" s="231"/>
      <c r="I3463" s="221"/>
      <c r="J3463" s="221"/>
      <c r="K3463" s="221"/>
      <c r="L3463" s="221"/>
      <c r="M3463" s="221"/>
      <c r="N3463" s="221"/>
      <c r="O3463" s="225"/>
      <c r="P3463" s="118" t="s">
        <v>2359</v>
      </c>
      <c r="Q3463" s="16" t="s">
        <v>20</v>
      </c>
      <c r="R3463" s="17" t="s">
        <v>10885</v>
      </c>
      <c r="S3463" s="121" t="s">
        <v>169</v>
      </c>
      <c r="T3463" s="122"/>
      <c r="U3463" s="22"/>
      <c r="V3463" s="123" t="s">
        <v>2103</v>
      </c>
      <c r="W3463" s="122">
        <v>3109</v>
      </c>
      <c r="X3463" s="221"/>
      <c r="Y3463" s="221"/>
      <c r="Z3463" s="221"/>
      <c r="AA3463" s="221"/>
      <c r="AB3463" s="223"/>
    </row>
    <row r="3464" spans="1:28" ht="17.100000000000001" customHeight="1" thickTop="1">
      <c r="A3464" s="233" t="s">
        <v>10605</v>
      </c>
      <c r="B3464" s="28">
        <v>45975</v>
      </c>
      <c r="C3464" s="25">
        <v>1394</v>
      </c>
      <c r="D3464" s="13" t="s">
        <v>1883</v>
      </c>
      <c r="E3464" s="228"/>
      <c r="F3464" s="109" t="s">
        <v>10633</v>
      </c>
      <c r="G3464" s="24" t="s">
        <v>7131</v>
      </c>
      <c r="H3464" s="230">
        <v>4</v>
      </c>
      <c r="I3464" s="220">
        <v>1007000</v>
      </c>
      <c r="J3464" s="220">
        <f>I3464*0.1</f>
        <v>100700</v>
      </c>
      <c r="K3464" s="220">
        <v>0</v>
      </c>
      <c r="L3464" s="220">
        <v>8790</v>
      </c>
      <c r="M3464" s="220">
        <v>13200</v>
      </c>
      <c r="N3464" s="220">
        <f>SUM(I3464:M3465)</f>
        <v>1129690</v>
      </c>
      <c r="O3464" s="224"/>
      <c r="P3464" s="110" t="s">
        <v>10957</v>
      </c>
      <c r="Q3464" s="15" t="s">
        <v>19</v>
      </c>
      <c r="R3464" s="205"/>
      <c r="S3464" s="189" t="s">
        <v>25432</v>
      </c>
      <c r="T3464" s="114" t="s">
        <v>7899</v>
      </c>
      <c r="U3464" s="21"/>
      <c r="V3464" s="115"/>
      <c r="W3464" s="116"/>
      <c r="X3464" s="220"/>
      <c r="Y3464" s="220">
        <f>X3464*0.1</f>
        <v>0</v>
      </c>
      <c r="Z3464" s="220"/>
      <c r="AA3464" s="220">
        <f>SUM(X3464:Z3464)</f>
        <v>0</v>
      </c>
      <c r="AB3464" s="222"/>
    </row>
    <row r="3465" spans="1:28" ht="17.100000000000001" customHeight="1" thickBot="1">
      <c r="A3465" s="234"/>
      <c r="B3465" s="27" t="s">
        <v>2597</v>
      </c>
      <c r="C3465" s="27">
        <v>3005</v>
      </c>
      <c r="D3465" s="14" t="s">
        <v>2753</v>
      </c>
      <c r="E3465" s="229"/>
      <c r="F3465" s="117" t="s">
        <v>10617</v>
      </c>
      <c r="G3465" s="26">
        <v>40815</v>
      </c>
      <c r="H3465" s="231"/>
      <c r="I3465" s="221"/>
      <c r="J3465" s="221"/>
      <c r="K3465" s="221"/>
      <c r="L3465" s="221"/>
      <c r="M3465" s="221"/>
      <c r="N3465" s="221"/>
      <c r="O3465" s="225"/>
      <c r="P3465" s="118" t="s">
        <v>6778</v>
      </c>
      <c r="Q3465" s="16" t="s">
        <v>20</v>
      </c>
      <c r="R3465" s="17" t="s">
        <v>10885</v>
      </c>
      <c r="S3465" s="121" t="s">
        <v>3832</v>
      </c>
      <c r="T3465" s="122"/>
      <c r="U3465" s="22"/>
      <c r="V3465" s="123"/>
      <c r="W3465" s="122"/>
      <c r="X3465" s="221"/>
      <c r="Y3465" s="221"/>
      <c r="Z3465" s="221"/>
      <c r="AA3465" s="221"/>
      <c r="AB3465" s="223"/>
    </row>
    <row r="3466" spans="1:28" ht="17.100000000000001" customHeight="1" thickTop="1">
      <c r="A3466" s="226" t="s">
        <v>10606</v>
      </c>
      <c r="B3466" s="28">
        <v>45975</v>
      </c>
      <c r="C3466" s="25">
        <v>1394</v>
      </c>
      <c r="D3466" s="13" t="s">
        <v>1748</v>
      </c>
      <c r="E3466" s="228"/>
      <c r="F3466" s="109" t="s">
        <v>10618</v>
      </c>
      <c r="G3466" s="24" t="s">
        <v>10634</v>
      </c>
      <c r="H3466" s="230">
        <v>4</v>
      </c>
      <c r="I3466" s="220">
        <v>1125000</v>
      </c>
      <c r="J3466" s="220">
        <f>I3466*0.1</f>
        <v>112500</v>
      </c>
      <c r="K3466" s="220">
        <v>0</v>
      </c>
      <c r="L3466" s="220">
        <v>6470</v>
      </c>
      <c r="M3466" s="220">
        <v>13200</v>
      </c>
      <c r="N3466" s="220">
        <f>SUM(I3466:M3467)</f>
        <v>1257170</v>
      </c>
      <c r="O3466" s="224"/>
      <c r="P3466" s="110" t="s">
        <v>10946</v>
      </c>
      <c r="Q3466" s="15" t="s">
        <v>19</v>
      </c>
      <c r="R3466" s="205"/>
      <c r="S3466" s="189" t="s">
        <v>1361</v>
      </c>
      <c r="T3466" s="114"/>
      <c r="U3466" s="21"/>
      <c r="V3466" s="115">
        <v>45980</v>
      </c>
      <c r="W3466" s="116">
        <v>993</v>
      </c>
      <c r="X3466" s="220">
        <v>1205000</v>
      </c>
      <c r="Y3466" s="220">
        <f>X3466*0.1</f>
        <v>120500</v>
      </c>
      <c r="Z3466" s="220">
        <v>6470</v>
      </c>
      <c r="AA3466" s="220">
        <f>SUM(X3466:Z3466)</f>
        <v>1331970</v>
      </c>
      <c r="AB3466" s="222">
        <v>45986</v>
      </c>
    </row>
    <row r="3467" spans="1:28" ht="17.100000000000001" customHeight="1" thickBot="1">
      <c r="A3467" s="227"/>
      <c r="B3467" s="27" t="s">
        <v>2597</v>
      </c>
      <c r="C3467" s="27">
        <v>3033</v>
      </c>
      <c r="D3467" s="14" t="s">
        <v>2559</v>
      </c>
      <c r="E3467" s="229"/>
      <c r="F3467" s="117" t="s">
        <v>10619</v>
      </c>
      <c r="G3467" s="26">
        <v>23776</v>
      </c>
      <c r="H3467" s="231"/>
      <c r="I3467" s="221"/>
      <c r="J3467" s="221"/>
      <c r="K3467" s="221"/>
      <c r="L3467" s="221"/>
      <c r="M3467" s="221"/>
      <c r="N3467" s="221"/>
      <c r="O3467" s="225"/>
      <c r="P3467" s="118" t="s">
        <v>10947</v>
      </c>
      <c r="Q3467" s="16" t="s">
        <v>20</v>
      </c>
      <c r="R3467" s="17" t="s">
        <v>10885</v>
      </c>
      <c r="S3467" s="121" t="s">
        <v>169</v>
      </c>
      <c r="T3467" s="122"/>
      <c r="U3467" s="22"/>
      <c r="V3467" s="123" t="s">
        <v>2747</v>
      </c>
      <c r="W3467" s="122">
        <v>2057</v>
      </c>
      <c r="X3467" s="221"/>
      <c r="Y3467" s="221"/>
      <c r="Z3467" s="221"/>
      <c r="AA3467" s="221"/>
      <c r="AB3467" s="223"/>
    </row>
    <row r="3468" spans="1:28" ht="17.100000000000001" customHeight="1" thickTop="1">
      <c r="A3468" s="226" t="s">
        <v>10607</v>
      </c>
      <c r="B3468" s="28">
        <v>45975</v>
      </c>
      <c r="C3468" s="25">
        <v>1394</v>
      </c>
      <c r="D3468" s="13" t="s">
        <v>1555</v>
      </c>
      <c r="E3468" s="228"/>
      <c r="F3468" s="109" t="s">
        <v>10620</v>
      </c>
      <c r="G3468" s="24" t="s">
        <v>10635</v>
      </c>
      <c r="H3468" s="230">
        <v>4.5</v>
      </c>
      <c r="I3468" s="220">
        <v>815000</v>
      </c>
      <c r="J3468" s="220">
        <f>I3468*0.1</f>
        <v>81500</v>
      </c>
      <c r="K3468" s="220">
        <v>0</v>
      </c>
      <c r="L3468" s="220">
        <v>8010</v>
      </c>
      <c r="M3468" s="220">
        <v>13200</v>
      </c>
      <c r="N3468" s="220">
        <f>SUM(I3468:M3469)</f>
        <v>917710</v>
      </c>
      <c r="O3468" s="224"/>
      <c r="P3468" s="110" t="s">
        <v>10952</v>
      </c>
      <c r="Q3468" s="15" t="s">
        <v>19</v>
      </c>
      <c r="R3468" s="205"/>
      <c r="S3468" s="189" t="s">
        <v>1361</v>
      </c>
      <c r="T3468" s="114"/>
      <c r="U3468" s="21"/>
      <c r="V3468" s="115">
        <v>45983</v>
      </c>
      <c r="W3468" s="116">
        <v>1277</v>
      </c>
      <c r="X3468" s="220">
        <v>885000</v>
      </c>
      <c r="Y3468" s="220">
        <f>X3468*0.1</f>
        <v>88500</v>
      </c>
      <c r="Z3468" s="220">
        <v>8010</v>
      </c>
      <c r="AA3468" s="220">
        <f>SUM(X3468:Z3468)</f>
        <v>981510</v>
      </c>
      <c r="AB3468" s="222">
        <v>45987</v>
      </c>
    </row>
    <row r="3469" spans="1:28" ht="17.100000000000001" customHeight="1" thickBot="1">
      <c r="A3469" s="227"/>
      <c r="B3469" s="27" t="s">
        <v>2597</v>
      </c>
      <c r="C3469" s="27">
        <v>3081</v>
      </c>
      <c r="D3469" s="14" t="s">
        <v>2520</v>
      </c>
      <c r="E3469" s="229"/>
      <c r="F3469" s="117" t="s">
        <v>10621</v>
      </c>
      <c r="G3469" s="26">
        <v>16328</v>
      </c>
      <c r="H3469" s="231"/>
      <c r="I3469" s="221"/>
      <c r="J3469" s="221"/>
      <c r="K3469" s="221"/>
      <c r="L3469" s="221"/>
      <c r="M3469" s="221"/>
      <c r="N3469" s="221"/>
      <c r="O3469" s="225"/>
      <c r="P3469" s="118" t="s">
        <v>10953</v>
      </c>
      <c r="Q3469" s="16" t="s">
        <v>20</v>
      </c>
      <c r="R3469" s="17" t="s">
        <v>10885</v>
      </c>
      <c r="S3469" s="121" t="s">
        <v>169</v>
      </c>
      <c r="T3469" s="122"/>
      <c r="U3469" s="22"/>
      <c r="V3469" s="123" t="s">
        <v>2472</v>
      </c>
      <c r="W3469" s="122">
        <v>60001</v>
      </c>
      <c r="X3469" s="221"/>
      <c r="Y3469" s="221"/>
      <c r="Z3469" s="221"/>
      <c r="AA3469" s="221"/>
      <c r="AB3469" s="223"/>
    </row>
    <row r="3470" spans="1:28" ht="17.100000000000001" customHeight="1" thickTop="1">
      <c r="A3470" s="226" t="s">
        <v>10608</v>
      </c>
      <c r="B3470" s="28">
        <v>45975</v>
      </c>
      <c r="C3470" s="25">
        <v>1394</v>
      </c>
      <c r="D3470" s="13" t="s">
        <v>1053</v>
      </c>
      <c r="E3470" s="228"/>
      <c r="F3470" s="109" t="s">
        <v>10446</v>
      </c>
      <c r="G3470" s="24"/>
      <c r="H3470" s="230">
        <v>4</v>
      </c>
      <c r="I3470" s="220">
        <v>1138000</v>
      </c>
      <c r="J3470" s="220">
        <f>I3470*0.1</f>
        <v>113800</v>
      </c>
      <c r="K3470" s="220">
        <v>0</v>
      </c>
      <c r="L3470" s="220">
        <v>9710</v>
      </c>
      <c r="M3470" s="220">
        <v>13200</v>
      </c>
      <c r="N3470" s="220">
        <f>SUM(I3470:M3471)</f>
        <v>1274710</v>
      </c>
      <c r="O3470" s="224"/>
      <c r="P3470" s="110" t="s">
        <v>10954</v>
      </c>
      <c r="Q3470" s="15" t="s">
        <v>19</v>
      </c>
      <c r="R3470" s="205"/>
      <c r="S3470" s="189"/>
      <c r="T3470" s="114" t="s">
        <v>13359</v>
      </c>
      <c r="U3470" s="21"/>
      <c r="V3470" s="115">
        <v>46004</v>
      </c>
      <c r="W3470" s="116">
        <v>1280</v>
      </c>
      <c r="X3470" s="220">
        <v>1210000</v>
      </c>
      <c r="Y3470" s="220">
        <f>X3470*0.1</f>
        <v>121000</v>
      </c>
      <c r="Z3470" s="220">
        <v>9710</v>
      </c>
      <c r="AA3470" s="220">
        <f>SUM(X3470:Z3470)</f>
        <v>1340710</v>
      </c>
      <c r="AB3470" s="222">
        <v>46008</v>
      </c>
    </row>
    <row r="3471" spans="1:28" ht="17.100000000000001" customHeight="1" thickBot="1">
      <c r="A3471" s="227"/>
      <c r="B3471" s="27" t="s">
        <v>2597</v>
      </c>
      <c r="C3471" s="27">
        <v>3118</v>
      </c>
      <c r="D3471" s="14" t="s">
        <v>273</v>
      </c>
      <c r="E3471" s="229"/>
      <c r="F3471" s="117" t="s">
        <v>10622</v>
      </c>
      <c r="G3471" s="26">
        <v>55177</v>
      </c>
      <c r="H3471" s="231"/>
      <c r="I3471" s="221"/>
      <c r="J3471" s="221"/>
      <c r="K3471" s="221"/>
      <c r="L3471" s="221"/>
      <c r="M3471" s="221"/>
      <c r="N3471" s="221"/>
      <c r="O3471" s="225"/>
      <c r="P3471" s="118" t="s">
        <v>1972</v>
      </c>
      <c r="Q3471" s="16" t="s">
        <v>20</v>
      </c>
      <c r="R3471" s="17" t="s">
        <v>10885</v>
      </c>
      <c r="S3471" s="121" t="s">
        <v>1601</v>
      </c>
      <c r="T3471" s="122"/>
      <c r="U3471" s="22"/>
      <c r="V3471" s="123" t="s">
        <v>6642</v>
      </c>
      <c r="W3471" s="122">
        <v>60045</v>
      </c>
      <c r="X3471" s="221"/>
      <c r="Y3471" s="221"/>
      <c r="Z3471" s="221"/>
      <c r="AA3471" s="221"/>
      <c r="AB3471" s="223"/>
    </row>
    <row r="3472" spans="1:28" ht="17.100000000000001" customHeight="1" thickTop="1">
      <c r="A3472" s="226" t="s">
        <v>10609</v>
      </c>
      <c r="B3472" s="28">
        <v>45975</v>
      </c>
      <c r="C3472" s="25">
        <v>1394</v>
      </c>
      <c r="D3472" s="13" t="s">
        <v>3422</v>
      </c>
      <c r="E3472" s="228"/>
      <c r="F3472" s="109" t="s">
        <v>2943</v>
      </c>
      <c r="G3472" s="24"/>
      <c r="H3472" s="230">
        <v>4</v>
      </c>
      <c r="I3472" s="220">
        <v>657000</v>
      </c>
      <c r="J3472" s="220">
        <f>I3472*0.1</f>
        <v>65700</v>
      </c>
      <c r="K3472" s="220">
        <v>0</v>
      </c>
      <c r="L3472" s="220">
        <v>8400</v>
      </c>
      <c r="M3472" s="220">
        <v>13200</v>
      </c>
      <c r="N3472" s="220">
        <f>SUM(I3472:M3473)</f>
        <v>744300</v>
      </c>
      <c r="O3472" s="224"/>
      <c r="P3472" s="110" t="s">
        <v>11098</v>
      </c>
      <c r="Q3472" s="15" t="s">
        <v>19</v>
      </c>
      <c r="R3472" s="205"/>
      <c r="S3472" s="189" t="s">
        <v>1361</v>
      </c>
      <c r="T3472" s="114"/>
      <c r="U3472" s="21"/>
      <c r="V3472" s="115">
        <v>45987</v>
      </c>
      <c r="W3472" s="116">
        <v>994</v>
      </c>
      <c r="X3472" s="220">
        <v>725000</v>
      </c>
      <c r="Y3472" s="220">
        <f>X3472*0.1</f>
        <v>72500</v>
      </c>
      <c r="Z3472" s="220">
        <v>8400</v>
      </c>
      <c r="AA3472" s="220">
        <f>SUM(X3472:Z3472)</f>
        <v>805900</v>
      </c>
      <c r="AB3472" s="222">
        <v>45992</v>
      </c>
    </row>
    <row r="3473" spans="1:28" ht="17.100000000000001" customHeight="1" thickBot="1">
      <c r="A3473" s="227"/>
      <c r="B3473" s="27" t="s">
        <v>2597</v>
      </c>
      <c r="C3473" s="27">
        <v>3158</v>
      </c>
      <c r="D3473" s="14" t="s">
        <v>2014</v>
      </c>
      <c r="E3473" s="229"/>
      <c r="F3473" s="117" t="s">
        <v>10623</v>
      </c>
      <c r="G3473" s="26">
        <v>53347</v>
      </c>
      <c r="H3473" s="231"/>
      <c r="I3473" s="221"/>
      <c r="J3473" s="221"/>
      <c r="K3473" s="221"/>
      <c r="L3473" s="221"/>
      <c r="M3473" s="221"/>
      <c r="N3473" s="221"/>
      <c r="O3473" s="225"/>
      <c r="P3473" s="118" t="s">
        <v>3281</v>
      </c>
      <c r="Q3473" s="16" t="s">
        <v>20</v>
      </c>
      <c r="R3473" s="17" t="s">
        <v>2586</v>
      </c>
      <c r="S3473" s="121" t="s">
        <v>169</v>
      </c>
      <c r="T3473" s="122"/>
      <c r="U3473" s="22"/>
      <c r="V3473" s="123" t="s">
        <v>11555</v>
      </c>
      <c r="W3473" s="122">
        <v>2079</v>
      </c>
      <c r="X3473" s="221"/>
      <c r="Y3473" s="221"/>
      <c r="Z3473" s="221"/>
      <c r="AA3473" s="221"/>
      <c r="AB3473" s="223"/>
    </row>
    <row r="3474" spans="1:28" ht="17.100000000000001" customHeight="1" thickTop="1">
      <c r="A3474" s="226" t="s">
        <v>10610</v>
      </c>
      <c r="B3474" s="28">
        <v>45975</v>
      </c>
      <c r="C3474" s="25">
        <v>1394</v>
      </c>
      <c r="D3474" s="13" t="s">
        <v>2158</v>
      </c>
      <c r="E3474" s="228"/>
      <c r="F3474" s="109" t="s">
        <v>10624</v>
      </c>
      <c r="G3474" s="24" t="s">
        <v>10636</v>
      </c>
      <c r="H3474" s="232" t="s">
        <v>1705</v>
      </c>
      <c r="I3474" s="220">
        <v>549000</v>
      </c>
      <c r="J3474" s="220">
        <f>I3474*0.1</f>
        <v>54900</v>
      </c>
      <c r="K3474" s="220">
        <v>0</v>
      </c>
      <c r="L3474" s="220">
        <v>8400</v>
      </c>
      <c r="M3474" s="220">
        <v>13200</v>
      </c>
      <c r="N3474" s="220">
        <f>SUM(I3474:M3475)</f>
        <v>625500</v>
      </c>
      <c r="O3474" s="224"/>
      <c r="P3474" s="110" t="s">
        <v>10943</v>
      </c>
      <c r="Q3474" s="15" t="s">
        <v>19</v>
      </c>
      <c r="R3474" s="205"/>
      <c r="S3474" s="189"/>
      <c r="T3474" s="114"/>
      <c r="U3474" s="21"/>
      <c r="V3474" s="115">
        <v>45980</v>
      </c>
      <c r="W3474" s="116">
        <v>993</v>
      </c>
      <c r="X3474" s="220">
        <v>640000</v>
      </c>
      <c r="Y3474" s="220">
        <f>X3474*0.1</f>
        <v>64000</v>
      </c>
      <c r="Z3474" s="220">
        <v>8400</v>
      </c>
      <c r="AA3474" s="220">
        <f>SUM(X3474:Z3474)</f>
        <v>712400</v>
      </c>
      <c r="AB3474" s="222">
        <v>45986</v>
      </c>
    </row>
    <row r="3475" spans="1:28" ht="17.100000000000001" customHeight="1" thickBot="1">
      <c r="A3475" s="227"/>
      <c r="B3475" s="27" t="s">
        <v>2597</v>
      </c>
      <c r="C3475" s="27">
        <v>3189</v>
      </c>
      <c r="D3475" s="14" t="s">
        <v>2520</v>
      </c>
      <c r="E3475" s="229"/>
      <c r="F3475" s="117" t="s">
        <v>10625</v>
      </c>
      <c r="G3475" s="26">
        <v>39747</v>
      </c>
      <c r="H3475" s="231"/>
      <c r="I3475" s="221"/>
      <c r="J3475" s="221"/>
      <c r="K3475" s="221"/>
      <c r="L3475" s="221"/>
      <c r="M3475" s="221"/>
      <c r="N3475" s="221"/>
      <c r="O3475" s="225"/>
      <c r="P3475" s="118" t="s">
        <v>10944</v>
      </c>
      <c r="Q3475" s="16" t="s">
        <v>20</v>
      </c>
      <c r="R3475" s="17" t="s">
        <v>10885</v>
      </c>
      <c r="S3475" s="121"/>
      <c r="T3475" s="122"/>
      <c r="U3475" s="22"/>
      <c r="V3475" s="123" t="s">
        <v>2747</v>
      </c>
      <c r="W3475" s="122">
        <v>2055</v>
      </c>
      <c r="X3475" s="221"/>
      <c r="Y3475" s="221"/>
      <c r="Z3475" s="221"/>
      <c r="AA3475" s="221"/>
      <c r="AB3475" s="223"/>
    </row>
    <row r="3476" spans="1:28" ht="17.100000000000001" customHeight="1" thickTop="1">
      <c r="A3476" s="226" t="s">
        <v>10611</v>
      </c>
      <c r="B3476" s="28">
        <v>45975</v>
      </c>
      <c r="C3476" s="25">
        <v>1394</v>
      </c>
      <c r="D3476" s="13" t="s">
        <v>1053</v>
      </c>
      <c r="E3476" s="228"/>
      <c r="F3476" s="109" t="s">
        <v>10637</v>
      </c>
      <c r="G3476" s="24" t="s">
        <v>10638</v>
      </c>
      <c r="H3476" s="230">
        <v>4.5</v>
      </c>
      <c r="I3476" s="220">
        <v>2674000</v>
      </c>
      <c r="J3476" s="220">
        <f>I3476*0.1</f>
        <v>267400</v>
      </c>
      <c r="K3476" s="220">
        <f>12000+1200</f>
        <v>13200</v>
      </c>
      <c r="L3476" s="220">
        <v>24090</v>
      </c>
      <c r="M3476" s="220">
        <v>13200</v>
      </c>
      <c r="N3476" s="220">
        <f>SUM(I3476:M3477)</f>
        <v>2991890</v>
      </c>
      <c r="O3476" s="224"/>
      <c r="P3476" s="110" t="s">
        <v>10985</v>
      </c>
      <c r="Q3476" s="15" t="s">
        <v>19</v>
      </c>
      <c r="R3476" s="205"/>
      <c r="S3476" s="189"/>
      <c r="T3476" s="114"/>
      <c r="U3476" s="21" t="s">
        <v>12499</v>
      </c>
      <c r="V3476" s="115">
        <v>46018</v>
      </c>
      <c r="W3476" s="116">
        <v>1282</v>
      </c>
      <c r="X3476" s="220">
        <v>2785000</v>
      </c>
      <c r="Y3476" s="220">
        <f>X3476*0.1</f>
        <v>278500</v>
      </c>
      <c r="Z3476" s="220">
        <v>24090</v>
      </c>
      <c r="AA3476" s="220">
        <f>SUM(X3476:Z3476)</f>
        <v>3087590</v>
      </c>
      <c r="AB3476" s="222">
        <v>46028</v>
      </c>
    </row>
    <row r="3477" spans="1:28" ht="17.100000000000001" customHeight="1" thickBot="1">
      <c r="A3477" s="227"/>
      <c r="B3477" s="27" t="s">
        <v>2597</v>
      </c>
      <c r="C3477" s="27">
        <v>7085</v>
      </c>
      <c r="D3477" s="14" t="s">
        <v>1710</v>
      </c>
      <c r="E3477" s="229"/>
      <c r="F3477" s="117" t="s">
        <v>10626</v>
      </c>
      <c r="G3477" s="26">
        <v>40783</v>
      </c>
      <c r="H3477" s="231"/>
      <c r="I3477" s="221"/>
      <c r="J3477" s="221"/>
      <c r="K3477" s="221"/>
      <c r="L3477" s="221"/>
      <c r="M3477" s="221"/>
      <c r="N3477" s="221"/>
      <c r="O3477" s="225"/>
      <c r="P3477" s="118" t="s">
        <v>10986</v>
      </c>
      <c r="Q3477" s="16" t="s">
        <v>20</v>
      </c>
      <c r="R3477" s="17" t="s">
        <v>10885</v>
      </c>
      <c r="S3477" s="121" t="s">
        <v>7305</v>
      </c>
      <c r="T3477" s="122"/>
      <c r="U3477" s="22"/>
      <c r="V3477" s="123" t="s">
        <v>2472</v>
      </c>
      <c r="W3477" s="122">
        <v>80039</v>
      </c>
      <c r="X3477" s="221"/>
      <c r="Y3477" s="221"/>
      <c r="Z3477" s="221"/>
      <c r="AA3477" s="221"/>
      <c r="AB3477" s="223"/>
    </row>
    <row r="3478" spans="1:28" ht="17.100000000000001" customHeight="1" thickTop="1">
      <c r="A3478" s="226" t="s">
        <v>10612</v>
      </c>
      <c r="B3478" s="28">
        <v>45975</v>
      </c>
      <c r="C3478" s="25">
        <v>1394</v>
      </c>
      <c r="D3478" s="13" t="s">
        <v>2644</v>
      </c>
      <c r="E3478" s="228"/>
      <c r="F3478" s="109" t="s">
        <v>10627</v>
      </c>
      <c r="G3478" s="24" t="s">
        <v>5390</v>
      </c>
      <c r="H3478" s="230">
        <v>4</v>
      </c>
      <c r="I3478" s="220">
        <v>1492000</v>
      </c>
      <c r="J3478" s="220">
        <f>I3478*0.1</f>
        <v>149200</v>
      </c>
      <c r="K3478" s="220">
        <f>12000+1200</f>
        <v>13200</v>
      </c>
      <c r="L3478" s="220">
        <v>9150</v>
      </c>
      <c r="M3478" s="220">
        <v>13200</v>
      </c>
      <c r="N3478" s="220">
        <f>SUM(I3478:M3479)</f>
        <v>1676750</v>
      </c>
      <c r="O3478" s="224"/>
      <c r="P3478" s="110" t="s">
        <v>11088</v>
      </c>
      <c r="Q3478" s="15" t="s">
        <v>19</v>
      </c>
      <c r="R3478" s="205"/>
      <c r="S3478" s="189" t="s">
        <v>1361</v>
      </c>
      <c r="T3478" s="114"/>
      <c r="U3478" s="21"/>
      <c r="V3478" s="115">
        <v>45980</v>
      </c>
      <c r="W3478" s="116">
        <v>993</v>
      </c>
      <c r="X3478" s="220">
        <v>1580000</v>
      </c>
      <c r="Y3478" s="220">
        <f>X3478*0.1</f>
        <v>158000</v>
      </c>
      <c r="Z3478" s="220">
        <v>9150</v>
      </c>
      <c r="AA3478" s="220">
        <f>SUM(X3478:Z3478)</f>
        <v>1747150</v>
      </c>
      <c r="AB3478" s="222">
        <v>45986</v>
      </c>
    </row>
    <row r="3479" spans="1:28" ht="17.100000000000001" customHeight="1" thickBot="1">
      <c r="A3479" s="227"/>
      <c r="B3479" s="27" t="s">
        <v>2597</v>
      </c>
      <c r="C3479" s="27">
        <v>7202</v>
      </c>
      <c r="D3479" s="14" t="s">
        <v>1797</v>
      </c>
      <c r="E3479" s="229"/>
      <c r="F3479" s="117" t="s">
        <v>10628</v>
      </c>
      <c r="G3479" s="26">
        <v>18253</v>
      </c>
      <c r="H3479" s="231"/>
      <c r="I3479" s="221"/>
      <c r="J3479" s="221"/>
      <c r="K3479" s="221"/>
      <c r="L3479" s="221"/>
      <c r="M3479" s="221"/>
      <c r="N3479" s="221"/>
      <c r="O3479" s="225"/>
      <c r="P3479" s="118" t="s">
        <v>11089</v>
      </c>
      <c r="Q3479" s="16" t="s">
        <v>20</v>
      </c>
      <c r="R3479" s="17" t="s">
        <v>2586</v>
      </c>
      <c r="S3479" s="121" t="s">
        <v>9675</v>
      </c>
      <c r="T3479" s="122"/>
      <c r="U3479" s="22"/>
      <c r="V3479" s="123" t="s">
        <v>2747</v>
      </c>
      <c r="W3479" s="122">
        <v>5065</v>
      </c>
      <c r="X3479" s="221"/>
      <c r="Y3479" s="221"/>
      <c r="Z3479" s="221"/>
      <c r="AA3479" s="221"/>
      <c r="AB3479" s="223"/>
    </row>
    <row r="3480" spans="1:28" ht="17.100000000000001" customHeight="1" thickTop="1">
      <c r="A3480" s="226" t="s">
        <v>10613</v>
      </c>
      <c r="B3480" s="28">
        <v>45975</v>
      </c>
      <c r="C3480" s="25">
        <v>1394</v>
      </c>
      <c r="D3480" s="13" t="s">
        <v>4739</v>
      </c>
      <c r="E3480" s="228"/>
      <c r="F3480" s="109" t="s">
        <v>10629</v>
      </c>
      <c r="G3480" s="24"/>
      <c r="H3480" s="232" t="s">
        <v>1705</v>
      </c>
      <c r="I3480" s="220">
        <v>187000</v>
      </c>
      <c r="J3480" s="220">
        <f>I3480*0.1</f>
        <v>18700</v>
      </c>
      <c r="K3480" s="220">
        <v>0</v>
      </c>
      <c r="L3480" s="220">
        <v>8400</v>
      </c>
      <c r="M3480" s="220">
        <v>13200</v>
      </c>
      <c r="N3480" s="220">
        <f>SUM(I3480:M3481)</f>
        <v>227300</v>
      </c>
      <c r="O3480" s="224"/>
      <c r="P3480" s="110" t="s">
        <v>11201</v>
      </c>
      <c r="Q3480" s="15" t="s">
        <v>19</v>
      </c>
      <c r="R3480" s="205"/>
      <c r="S3480" s="189"/>
      <c r="T3480" s="114"/>
      <c r="U3480" s="21"/>
      <c r="V3480" s="115">
        <v>46046</v>
      </c>
      <c r="W3480" s="116">
        <v>1285</v>
      </c>
      <c r="X3480" s="220">
        <v>170000</v>
      </c>
      <c r="Y3480" s="220">
        <f>X3480*0.1</f>
        <v>17000</v>
      </c>
      <c r="Z3480" s="220">
        <v>8400</v>
      </c>
      <c r="AA3480" s="220">
        <f>SUM(X3480:Z3480)</f>
        <v>195400</v>
      </c>
      <c r="AB3480" s="222">
        <v>46049</v>
      </c>
    </row>
    <row r="3481" spans="1:28" ht="17.100000000000001" customHeight="1" thickBot="1">
      <c r="A3481" s="227"/>
      <c r="B3481" s="27" t="s">
        <v>2597</v>
      </c>
      <c r="C3481" s="27">
        <v>9081</v>
      </c>
      <c r="D3481" s="14" t="s">
        <v>898</v>
      </c>
      <c r="E3481" s="229"/>
      <c r="F3481" s="117" t="s">
        <v>10630</v>
      </c>
      <c r="G3481" s="26">
        <v>172647</v>
      </c>
      <c r="H3481" s="231"/>
      <c r="I3481" s="221"/>
      <c r="J3481" s="221"/>
      <c r="K3481" s="221"/>
      <c r="L3481" s="221"/>
      <c r="M3481" s="221"/>
      <c r="N3481" s="221"/>
      <c r="O3481" s="225"/>
      <c r="P3481" s="118" t="s">
        <v>1972</v>
      </c>
      <c r="Q3481" s="16" t="s">
        <v>20</v>
      </c>
      <c r="R3481" s="17" t="s">
        <v>2188</v>
      </c>
      <c r="S3481" s="121"/>
      <c r="T3481" s="122"/>
      <c r="U3481" s="22"/>
      <c r="V3481" s="123" t="s">
        <v>2472</v>
      </c>
      <c r="W3481" s="122">
        <v>60047</v>
      </c>
      <c r="X3481" s="221"/>
      <c r="Y3481" s="221"/>
      <c r="Z3481" s="221"/>
      <c r="AA3481" s="221"/>
      <c r="AB3481" s="223"/>
    </row>
    <row r="3482" spans="1:28" ht="17.100000000000001" customHeight="1" thickTop="1">
      <c r="A3482" s="226" t="s">
        <v>10727</v>
      </c>
      <c r="B3482" s="28">
        <v>45975</v>
      </c>
      <c r="C3482" s="25">
        <v>1394</v>
      </c>
      <c r="D3482" s="13" t="s">
        <v>2138</v>
      </c>
      <c r="E3482" s="228"/>
      <c r="F3482" s="109" t="s">
        <v>4200</v>
      </c>
      <c r="G3482" s="24" t="s">
        <v>10639</v>
      </c>
      <c r="H3482" s="230">
        <v>3.5</v>
      </c>
      <c r="I3482" s="220">
        <v>202000</v>
      </c>
      <c r="J3482" s="220">
        <f>I3482*0.1</f>
        <v>20200</v>
      </c>
      <c r="K3482" s="220">
        <v>0</v>
      </c>
      <c r="L3482" s="220">
        <v>8670</v>
      </c>
      <c r="M3482" s="220">
        <v>13200</v>
      </c>
      <c r="N3482" s="220">
        <f>SUM(I3482:M3483)</f>
        <v>244070</v>
      </c>
      <c r="O3482" s="224"/>
      <c r="P3482" s="110" t="s">
        <v>11200</v>
      </c>
      <c r="Q3482" s="15" t="s">
        <v>19</v>
      </c>
      <c r="R3482" s="205"/>
      <c r="S3482" s="189" t="s">
        <v>1361</v>
      </c>
      <c r="T3482" s="114"/>
      <c r="U3482" s="21"/>
      <c r="V3482" s="115">
        <v>45980</v>
      </c>
      <c r="W3482" s="116">
        <v>993</v>
      </c>
      <c r="X3482" s="220">
        <v>261000</v>
      </c>
      <c r="Y3482" s="220">
        <f>X3482*0.1</f>
        <v>26100</v>
      </c>
      <c r="Z3482" s="220">
        <v>8670</v>
      </c>
      <c r="AA3482" s="220">
        <f>SUM(X3482:Z3482)</f>
        <v>295770</v>
      </c>
      <c r="AB3482" s="222">
        <v>45986</v>
      </c>
    </row>
    <row r="3483" spans="1:28" ht="17.100000000000001" customHeight="1" thickBot="1">
      <c r="A3483" s="227"/>
      <c r="B3483" s="27" t="s">
        <v>2597</v>
      </c>
      <c r="C3483" s="27">
        <v>9103</v>
      </c>
      <c r="D3483" s="14" t="s">
        <v>2753</v>
      </c>
      <c r="E3483" s="229"/>
      <c r="F3483" s="117" t="s">
        <v>10631</v>
      </c>
      <c r="G3483" s="26">
        <v>97185</v>
      </c>
      <c r="H3483" s="231"/>
      <c r="I3483" s="221"/>
      <c r="J3483" s="221"/>
      <c r="K3483" s="221"/>
      <c r="L3483" s="221"/>
      <c r="M3483" s="221"/>
      <c r="N3483" s="221"/>
      <c r="O3483" s="225"/>
      <c r="P3483" s="118" t="s">
        <v>10945</v>
      </c>
      <c r="Q3483" s="16" t="s">
        <v>20</v>
      </c>
      <c r="R3483" s="17" t="s">
        <v>10885</v>
      </c>
      <c r="S3483" s="121" t="s">
        <v>4062</v>
      </c>
      <c r="T3483" s="122"/>
      <c r="U3483" s="22"/>
      <c r="V3483" s="123" t="s">
        <v>2747</v>
      </c>
      <c r="W3483" s="122">
        <v>3073</v>
      </c>
      <c r="X3483" s="221"/>
      <c r="Y3483" s="221"/>
      <c r="Z3483" s="221"/>
      <c r="AA3483" s="221"/>
      <c r="AB3483" s="223"/>
    </row>
    <row r="3484" spans="1:28" ht="17.100000000000001" customHeight="1" thickTop="1">
      <c r="A3484" s="226" t="s">
        <v>10728</v>
      </c>
      <c r="B3484" s="28">
        <v>45976</v>
      </c>
      <c r="C3484" s="25">
        <v>287</v>
      </c>
      <c r="D3484" s="13" t="s">
        <v>1837</v>
      </c>
      <c r="E3484" s="228"/>
      <c r="F3484" s="109" t="s">
        <v>10647</v>
      </c>
      <c r="G3484" s="24"/>
      <c r="H3484" s="230">
        <v>4</v>
      </c>
      <c r="I3484" s="220">
        <v>1067000</v>
      </c>
      <c r="J3484" s="220">
        <f>I3484*0.1</f>
        <v>106700</v>
      </c>
      <c r="K3484" s="220">
        <v>0</v>
      </c>
      <c r="L3484" s="220">
        <v>8510</v>
      </c>
      <c r="M3484" s="220">
        <v>15950</v>
      </c>
      <c r="N3484" s="220">
        <f>SUM(I3484:M3485)</f>
        <v>1198160</v>
      </c>
      <c r="O3484" s="224"/>
      <c r="P3484" s="110" t="s">
        <v>10975</v>
      </c>
      <c r="Q3484" s="15" t="s">
        <v>19</v>
      </c>
      <c r="R3484" s="205"/>
      <c r="S3484" s="189"/>
      <c r="T3484" s="114"/>
      <c r="U3484" s="21"/>
      <c r="V3484" s="115">
        <v>46008</v>
      </c>
      <c r="W3484" s="116">
        <v>997</v>
      </c>
      <c r="X3484" s="220">
        <v>1130000</v>
      </c>
      <c r="Y3484" s="220">
        <f>X3484*0.1</f>
        <v>113000</v>
      </c>
      <c r="Z3484" s="220">
        <v>8510</v>
      </c>
      <c r="AA3484" s="220">
        <f>SUM(X3484:Z3484)</f>
        <v>1251510</v>
      </c>
      <c r="AB3484" s="222">
        <v>46013</v>
      </c>
    </row>
    <row r="3485" spans="1:28" ht="17.100000000000001" customHeight="1" thickBot="1">
      <c r="A3485" s="227"/>
      <c r="B3485" s="27" t="s">
        <v>3518</v>
      </c>
      <c r="C3485" s="27">
        <v>3143</v>
      </c>
      <c r="D3485" s="14" t="s">
        <v>273</v>
      </c>
      <c r="E3485" s="229"/>
      <c r="F3485" s="117" t="s">
        <v>10648</v>
      </c>
      <c r="G3485" s="26">
        <v>21406</v>
      </c>
      <c r="H3485" s="231"/>
      <c r="I3485" s="221"/>
      <c r="J3485" s="221"/>
      <c r="K3485" s="221"/>
      <c r="L3485" s="221"/>
      <c r="M3485" s="221"/>
      <c r="N3485" s="221"/>
      <c r="O3485" s="225"/>
      <c r="P3485" s="118" t="s">
        <v>10976</v>
      </c>
      <c r="Q3485" s="16" t="s">
        <v>20</v>
      </c>
      <c r="R3485" s="17" t="s">
        <v>10885</v>
      </c>
      <c r="S3485" s="121" t="s">
        <v>10119</v>
      </c>
      <c r="T3485" s="122"/>
      <c r="U3485" s="22"/>
      <c r="V3485" s="123" t="s">
        <v>2747</v>
      </c>
      <c r="W3485" s="122">
        <v>2047</v>
      </c>
      <c r="X3485" s="221"/>
      <c r="Y3485" s="221"/>
      <c r="Z3485" s="221"/>
      <c r="AA3485" s="221"/>
      <c r="AB3485" s="223"/>
    </row>
    <row r="3486" spans="1:28" ht="17.100000000000001" customHeight="1" thickTop="1">
      <c r="A3486" s="226" t="s">
        <v>10729</v>
      </c>
      <c r="B3486" s="28">
        <v>45976</v>
      </c>
      <c r="C3486" s="25">
        <v>998</v>
      </c>
      <c r="D3486" s="13" t="s">
        <v>1687</v>
      </c>
      <c r="E3486" s="228"/>
      <c r="F3486" s="109" t="s">
        <v>10238</v>
      </c>
      <c r="G3486" s="24"/>
      <c r="H3486" s="230">
        <v>4.5</v>
      </c>
      <c r="I3486" s="220">
        <v>1428000</v>
      </c>
      <c r="J3486" s="220">
        <f>I3486*0.1</f>
        <v>142800</v>
      </c>
      <c r="K3486" s="220">
        <v>0</v>
      </c>
      <c r="L3486" s="220">
        <v>12470</v>
      </c>
      <c r="M3486" s="220">
        <v>19250</v>
      </c>
      <c r="N3486" s="220">
        <f>SUM(I3486:M3487)</f>
        <v>1602520</v>
      </c>
      <c r="O3486" s="224"/>
      <c r="P3486" s="110" t="s">
        <v>11097</v>
      </c>
      <c r="Q3486" s="15" t="s">
        <v>19</v>
      </c>
      <c r="R3486" s="205"/>
      <c r="S3486" s="189" t="s">
        <v>758</v>
      </c>
      <c r="T3486" s="114"/>
      <c r="U3486" s="21"/>
      <c r="V3486" s="115">
        <v>45988</v>
      </c>
      <c r="W3486" s="116">
        <v>1308</v>
      </c>
      <c r="X3486" s="220">
        <v>1595000</v>
      </c>
      <c r="Y3486" s="220">
        <f>X3486*0.1</f>
        <v>159500</v>
      </c>
      <c r="Z3486" s="220">
        <v>12470</v>
      </c>
      <c r="AA3486" s="220">
        <f>SUM(X3486:Z3486)</f>
        <v>1766970</v>
      </c>
      <c r="AB3486" s="222">
        <v>45989</v>
      </c>
    </row>
    <row r="3487" spans="1:28" ht="17.100000000000001" customHeight="1" thickBot="1">
      <c r="A3487" s="227"/>
      <c r="B3487" s="27" t="s">
        <v>1697</v>
      </c>
      <c r="C3487" s="27">
        <v>5001</v>
      </c>
      <c r="D3487" s="14" t="s">
        <v>2788</v>
      </c>
      <c r="E3487" s="229"/>
      <c r="F3487" s="117" t="s">
        <v>10646</v>
      </c>
      <c r="G3487" s="26">
        <v>19633</v>
      </c>
      <c r="H3487" s="231"/>
      <c r="I3487" s="221"/>
      <c r="J3487" s="221"/>
      <c r="K3487" s="221"/>
      <c r="L3487" s="221"/>
      <c r="M3487" s="221"/>
      <c r="N3487" s="221"/>
      <c r="O3487" s="225"/>
      <c r="P3487" s="118" t="s">
        <v>4883</v>
      </c>
      <c r="Q3487" s="16" t="s">
        <v>20</v>
      </c>
      <c r="R3487" s="17" t="s">
        <v>2586</v>
      </c>
      <c r="S3487" s="121" t="s">
        <v>10995</v>
      </c>
      <c r="T3487" s="122"/>
      <c r="U3487" s="22"/>
      <c r="V3487" s="123" t="s">
        <v>1735</v>
      </c>
      <c r="W3487" s="122">
        <v>539</v>
      </c>
      <c r="X3487" s="221"/>
      <c r="Y3487" s="221"/>
      <c r="Z3487" s="221"/>
      <c r="AA3487" s="221"/>
      <c r="AB3487" s="223"/>
    </row>
    <row r="3488" spans="1:28" ht="17.100000000000001" customHeight="1" thickTop="1">
      <c r="A3488" s="226" t="s">
        <v>10730</v>
      </c>
      <c r="B3488" s="28">
        <v>45976</v>
      </c>
      <c r="C3488" s="25">
        <v>1519</v>
      </c>
      <c r="D3488" s="13" t="s">
        <v>2406</v>
      </c>
      <c r="E3488" s="228"/>
      <c r="F3488" s="109" t="s">
        <v>10673</v>
      </c>
      <c r="G3488" s="24" t="s">
        <v>3968</v>
      </c>
      <c r="H3488" s="230">
        <v>4.5</v>
      </c>
      <c r="I3488" s="220">
        <v>1790000</v>
      </c>
      <c r="J3488" s="220">
        <f>I3488*0.1</f>
        <v>179000</v>
      </c>
      <c r="K3488" s="220">
        <v>0</v>
      </c>
      <c r="L3488" s="220">
        <v>16040</v>
      </c>
      <c r="M3488" s="220">
        <v>16500</v>
      </c>
      <c r="N3488" s="220">
        <f>SUM(I3488:M3489)</f>
        <v>2001540</v>
      </c>
      <c r="O3488" s="224"/>
      <c r="P3488" s="110" t="s">
        <v>11245</v>
      </c>
      <c r="Q3488" s="15" t="s">
        <v>19</v>
      </c>
      <c r="R3488" s="205"/>
      <c r="S3488" s="189" t="s">
        <v>1271</v>
      </c>
      <c r="T3488" s="114"/>
      <c r="U3488" s="21"/>
      <c r="V3488" s="115">
        <v>45981</v>
      </c>
      <c r="W3488" s="116">
        <v>1307</v>
      </c>
      <c r="X3488" s="220">
        <v>2055000</v>
      </c>
      <c r="Y3488" s="220">
        <f>X3488*0.1</f>
        <v>205500</v>
      </c>
      <c r="Z3488" s="220">
        <v>16040</v>
      </c>
      <c r="AA3488" s="220">
        <f>SUM(X3488:Z3488)</f>
        <v>2276540</v>
      </c>
      <c r="AB3488" s="222">
        <v>45982</v>
      </c>
    </row>
    <row r="3489" spans="1:28" ht="17.100000000000001" customHeight="1" thickBot="1">
      <c r="A3489" s="227"/>
      <c r="B3489" s="27" t="s">
        <v>1547</v>
      </c>
      <c r="C3489" s="27">
        <v>83294</v>
      </c>
      <c r="D3489" s="14" t="s">
        <v>131</v>
      </c>
      <c r="E3489" s="229"/>
      <c r="F3489" s="117" t="s">
        <v>10674</v>
      </c>
      <c r="G3489" s="26">
        <v>70535</v>
      </c>
      <c r="H3489" s="231"/>
      <c r="I3489" s="221"/>
      <c r="J3489" s="221"/>
      <c r="K3489" s="221"/>
      <c r="L3489" s="221"/>
      <c r="M3489" s="221"/>
      <c r="N3489" s="221"/>
      <c r="O3489" s="225"/>
      <c r="P3489" s="118" t="s">
        <v>3727</v>
      </c>
      <c r="Q3489" s="16" t="s">
        <v>20</v>
      </c>
      <c r="R3489" s="17" t="s">
        <v>11246</v>
      </c>
      <c r="S3489" s="121" t="s">
        <v>1731</v>
      </c>
      <c r="T3489" s="122"/>
      <c r="U3489" s="22"/>
      <c r="V3489" s="123" t="s">
        <v>1735</v>
      </c>
      <c r="W3489" s="122">
        <v>202</v>
      </c>
      <c r="X3489" s="221"/>
      <c r="Y3489" s="221"/>
      <c r="Z3489" s="221"/>
      <c r="AA3489" s="221"/>
      <c r="AB3489" s="223"/>
    </row>
    <row r="3490" spans="1:28" ht="17.100000000000001" customHeight="1" thickTop="1">
      <c r="A3490" s="226" t="s">
        <v>10731</v>
      </c>
      <c r="B3490" s="28">
        <v>45976</v>
      </c>
      <c r="C3490" s="25">
        <v>1698</v>
      </c>
      <c r="D3490" s="13" t="s">
        <v>10759</v>
      </c>
      <c r="E3490" s="228"/>
      <c r="F3490" s="109" t="s">
        <v>10760</v>
      </c>
      <c r="G3490" s="24" t="s">
        <v>10761</v>
      </c>
      <c r="H3490" s="230">
        <v>4.5</v>
      </c>
      <c r="I3490" s="220">
        <v>1650000</v>
      </c>
      <c r="J3490" s="220">
        <f>I3490*0.1</f>
        <v>165000</v>
      </c>
      <c r="K3490" s="220">
        <f>1310+13100</f>
        <v>14410</v>
      </c>
      <c r="L3490" s="220">
        <v>15180</v>
      </c>
      <c r="M3490" s="220">
        <v>23100</v>
      </c>
      <c r="N3490" s="220">
        <f>SUM(I3490:M3491)</f>
        <v>1867690</v>
      </c>
      <c r="O3490" s="224"/>
      <c r="P3490" s="110" t="s">
        <v>10762</v>
      </c>
      <c r="Q3490" s="15" t="s">
        <v>19</v>
      </c>
      <c r="R3490" s="205"/>
      <c r="S3490" s="189" t="s">
        <v>758</v>
      </c>
      <c r="T3490" s="114"/>
      <c r="U3490" s="21"/>
      <c r="V3490" s="115"/>
      <c r="W3490" s="116"/>
      <c r="X3490" s="220"/>
      <c r="Y3490" s="220">
        <f>X3490*0.1</f>
        <v>0</v>
      </c>
      <c r="Z3490" s="220"/>
      <c r="AA3490" s="220">
        <f>SUM(X3490:Z3490)</f>
        <v>0</v>
      </c>
      <c r="AB3490" s="222"/>
    </row>
    <row r="3491" spans="1:28" ht="17.100000000000001" customHeight="1" thickBot="1">
      <c r="A3491" s="227"/>
      <c r="B3491" s="27" t="s">
        <v>10732</v>
      </c>
      <c r="C3491" s="27">
        <v>501</v>
      </c>
      <c r="D3491" s="14" t="s">
        <v>10754</v>
      </c>
      <c r="E3491" s="229"/>
      <c r="F3491" s="117" t="s">
        <v>10733</v>
      </c>
      <c r="G3491" s="26">
        <v>55193</v>
      </c>
      <c r="H3491" s="231"/>
      <c r="I3491" s="221"/>
      <c r="J3491" s="221"/>
      <c r="K3491" s="221"/>
      <c r="L3491" s="221"/>
      <c r="M3491" s="221"/>
      <c r="N3491" s="221"/>
      <c r="O3491" s="225"/>
      <c r="P3491" s="118" t="s">
        <v>5075</v>
      </c>
      <c r="Q3491" s="16" t="s">
        <v>20</v>
      </c>
      <c r="R3491" s="17" t="s">
        <v>2586</v>
      </c>
      <c r="S3491" s="121" t="s">
        <v>1661</v>
      </c>
      <c r="T3491" s="122"/>
      <c r="U3491" s="22" t="s">
        <v>3427</v>
      </c>
      <c r="V3491" s="123"/>
      <c r="W3491" s="122"/>
      <c r="X3491" s="221"/>
      <c r="Y3491" s="221"/>
      <c r="Z3491" s="221"/>
      <c r="AA3491" s="221"/>
      <c r="AB3491" s="223"/>
    </row>
    <row r="3492" spans="1:28" ht="17.100000000000001" customHeight="1" thickTop="1">
      <c r="A3492" s="226" t="s">
        <v>10734</v>
      </c>
      <c r="B3492" s="28">
        <v>45976</v>
      </c>
      <c r="C3492" s="25">
        <v>1276</v>
      </c>
      <c r="D3492" s="13" t="s">
        <v>3327</v>
      </c>
      <c r="E3492" s="228"/>
      <c r="F3492" s="109" t="s">
        <v>10667</v>
      </c>
      <c r="G3492" s="24" t="s">
        <v>3756</v>
      </c>
      <c r="H3492" s="230">
        <v>4</v>
      </c>
      <c r="I3492" s="220">
        <v>1285000</v>
      </c>
      <c r="J3492" s="220">
        <f>I3492*0.1</f>
        <v>128500</v>
      </c>
      <c r="K3492" s="220">
        <f>13100+1310</f>
        <v>14410</v>
      </c>
      <c r="L3492" s="220">
        <v>12030</v>
      </c>
      <c r="M3492" s="220">
        <v>12100</v>
      </c>
      <c r="N3492" s="220">
        <f>SUM(I3492:M3493)</f>
        <v>1452040</v>
      </c>
      <c r="O3492" s="224"/>
      <c r="P3492" s="110" t="s">
        <v>10669</v>
      </c>
      <c r="Q3492" s="15" t="s">
        <v>19</v>
      </c>
      <c r="R3492" s="205"/>
      <c r="S3492" s="189" t="s">
        <v>25595</v>
      </c>
      <c r="T3492" s="114"/>
      <c r="U3492" s="21"/>
      <c r="V3492" s="115">
        <v>45987</v>
      </c>
      <c r="W3492" s="116">
        <v>994</v>
      </c>
      <c r="X3492" s="220">
        <v>1550000</v>
      </c>
      <c r="Y3492" s="220">
        <f>X3492*0.1</f>
        <v>155000</v>
      </c>
      <c r="Z3492" s="220">
        <v>12030</v>
      </c>
      <c r="AA3492" s="220">
        <f>SUM(X3492:Z3492)</f>
        <v>1717030</v>
      </c>
      <c r="AB3492" s="222">
        <v>45992</v>
      </c>
    </row>
    <row r="3493" spans="1:28" ht="17.100000000000001" customHeight="1" thickBot="1">
      <c r="A3493" s="227"/>
      <c r="B3493" s="27" t="s">
        <v>2472</v>
      </c>
      <c r="C3493" s="27">
        <v>37599</v>
      </c>
      <c r="D3493" s="14" t="s">
        <v>2559</v>
      </c>
      <c r="E3493" s="229"/>
      <c r="F3493" s="117" t="s">
        <v>10668</v>
      </c>
      <c r="G3493" s="26">
        <v>73513</v>
      </c>
      <c r="H3493" s="231"/>
      <c r="I3493" s="221"/>
      <c r="J3493" s="221"/>
      <c r="K3493" s="221"/>
      <c r="L3493" s="221"/>
      <c r="M3493" s="221"/>
      <c r="N3493" s="221"/>
      <c r="O3493" s="225"/>
      <c r="P3493" s="118" t="s">
        <v>11529</v>
      </c>
      <c r="Q3493" s="16" t="s">
        <v>20</v>
      </c>
      <c r="R3493" s="17" t="s">
        <v>11528</v>
      </c>
      <c r="S3493" s="121" t="s">
        <v>11530</v>
      </c>
      <c r="T3493" s="122"/>
      <c r="U3493" s="22"/>
      <c r="V3493" s="123" t="s">
        <v>11555</v>
      </c>
      <c r="W3493" s="122">
        <v>6037</v>
      </c>
      <c r="X3493" s="221"/>
      <c r="Y3493" s="221"/>
      <c r="Z3493" s="221"/>
      <c r="AA3493" s="221"/>
      <c r="AB3493" s="223"/>
    </row>
    <row r="3494" spans="1:28" ht="17.100000000000001" customHeight="1" thickTop="1">
      <c r="A3494" s="226" t="s">
        <v>10735</v>
      </c>
      <c r="B3494" s="28">
        <v>45976</v>
      </c>
      <c r="C3494" s="25">
        <v>1276</v>
      </c>
      <c r="D3494" s="13" t="s">
        <v>1542</v>
      </c>
      <c r="E3494" s="228"/>
      <c r="F3494" s="109" t="s">
        <v>10651</v>
      </c>
      <c r="G3494" s="24"/>
      <c r="H3494" s="230">
        <v>4.5</v>
      </c>
      <c r="I3494" s="220">
        <v>1063000</v>
      </c>
      <c r="J3494" s="220">
        <v>0</v>
      </c>
      <c r="K3494" s="220">
        <v>13220</v>
      </c>
      <c r="L3494" s="220">
        <v>0</v>
      </c>
      <c r="M3494" s="220">
        <v>9900</v>
      </c>
      <c r="N3494" s="220">
        <v>1086120</v>
      </c>
      <c r="O3494" s="224"/>
      <c r="P3494" s="110" t="s">
        <v>11413</v>
      </c>
      <c r="Q3494" s="15" t="s">
        <v>19</v>
      </c>
      <c r="R3494" s="205"/>
      <c r="S3494" s="189"/>
      <c r="T3494" s="114"/>
      <c r="U3494" s="21"/>
      <c r="V3494" s="115">
        <v>45980</v>
      </c>
      <c r="W3494" s="116">
        <v>993</v>
      </c>
      <c r="X3494" s="220">
        <v>1300000</v>
      </c>
      <c r="Y3494" s="220">
        <f>X3494*0.1</f>
        <v>130000</v>
      </c>
      <c r="Z3494" s="220">
        <v>13220</v>
      </c>
      <c r="AA3494" s="220">
        <f>SUM(X3494:Z3494)</f>
        <v>1443220</v>
      </c>
      <c r="AB3494" s="222">
        <v>45988</v>
      </c>
    </row>
    <row r="3495" spans="1:28" ht="17.100000000000001" customHeight="1" thickBot="1">
      <c r="A3495" s="227"/>
      <c r="B3495" s="27" t="s">
        <v>2472</v>
      </c>
      <c r="C3495" s="27">
        <v>53185</v>
      </c>
      <c r="D3495" s="14" t="s">
        <v>1710</v>
      </c>
      <c r="E3495" s="229"/>
      <c r="F3495" s="117" t="s">
        <v>10652</v>
      </c>
      <c r="G3495" s="26">
        <v>39119</v>
      </c>
      <c r="H3495" s="231"/>
      <c r="I3495" s="221"/>
      <c r="J3495" s="221"/>
      <c r="K3495" s="221"/>
      <c r="L3495" s="221"/>
      <c r="M3495" s="221"/>
      <c r="N3495" s="221"/>
      <c r="O3495" s="225"/>
      <c r="P3495" s="118" t="s">
        <v>11414</v>
      </c>
      <c r="Q3495" s="16" t="s">
        <v>20</v>
      </c>
      <c r="R3495" s="17" t="s">
        <v>11412</v>
      </c>
      <c r="S3495" s="121" t="s">
        <v>10825</v>
      </c>
      <c r="T3495" s="122" t="s">
        <v>10826</v>
      </c>
      <c r="U3495" s="22"/>
      <c r="V3495" s="123" t="s">
        <v>2747</v>
      </c>
      <c r="W3495" s="122">
        <v>5084</v>
      </c>
      <c r="X3495" s="221"/>
      <c r="Y3495" s="221"/>
      <c r="Z3495" s="221"/>
      <c r="AA3495" s="221"/>
      <c r="AB3495" s="223"/>
    </row>
    <row r="3496" spans="1:28" ht="17.100000000000001" customHeight="1" thickTop="1">
      <c r="A3496" s="226" t="s">
        <v>10736</v>
      </c>
      <c r="B3496" s="28">
        <v>45976</v>
      </c>
      <c r="C3496" s="25">
        <v>1276</v>
      </c>
      <c r="D3496" s="13" t="s">
        <v>1883</v>
      </c>
      <c r="E3496" s="228"/>
      <c r="F3496" s="109" t="s">
        <v>10678</v>
      </c>
      <c r="G3496" s="24" t="s">
        <v>2813</v>
      </c>
      <c r="H3496" s="230">
        <v>4.5</v>
      </c>
      <c r="I3496" s="220">
        <v>1105000</v>
      </c>
      <c r="J3496" s="220">
        <f>I3496*0.1</f>
        <v>110500</v>
      </c>
      <c r="K3496" s="220">
        <v>0</v>
      </c>
      <c r="L3496" s="220">
        <v>8740</v>
      </c>
      <c r="M3496" s="220">
        <v>9900</v>
      </c>
      <c r="N3496" s="220">
        <f>SUM(I3496:M3497)</f>
        <v>1234140</v>
      </c>
      <c r="O3496" s="224"/>
      <c r="P3496" s="110" t="s">
        <v>10680</v>
      </c>
      <c r="Q3496" s="15" t="s">
        <v>19</v>
      </c>
      <c r="R3496" s="205"/>
      <c r="S3496" s="189"/>
      <c r="T3496" s="114"/>
      <c r="U3496" s="21"/>
      <c r="V3496" s="115">
        <v>45987</v>
      </c>
      <c r="W3496" s="116">
        <v>994</v>
      </c>
      <c r="X3496" s="220">
        <v>1225000</v>
      </c>
      <c r="Y3496" s="220">
        <f>X3496*0.1</f>
        <v>122500</v>
      </c>
      <c r="Z3496" s="220">
        <v>8740</v>
      </c>
      <c r="AA3496" s="220">
        <f>SUM(X3496:Z3496)</f>
        <v>1356240</v>
      </c>
      <c r="AB3496" s="222">
        <v>45992</v>
      </c>
    </row>
    <row r="3497" spans="1:28" ht="17.100000000000001" customHeight="1" thickBot="1">
      <c r="A3497" s="227"/>
      <c r="B3497" s="27" t="s">
        <v>2472</v>
      </c>
      <c r="C3497" s="27">
        <v>60308</v>
      </c>
      <c r="D3497" s="14" t="s">
        <v>273</v>
      </c>
      <c r="E3497" s="229"/>
      <c r="F3497" s="117" t="s">
        <v>10679</v>
      </c>
      <c r="G3497" s="26">
        <v>49088</v>
      </c>
      <c r="H3497" s="231"/>
      <c r="I3497" s="221"/>
      <c r="J3497" s="221"/>
      <c r="K3497" s="221"/>
      <c r="L3497" s="221"/>
      <c r="M3497" s="221"/>
      <c r="N3497" s="221"/>
      <c r="O3497" s="225"/>
      <c r="P3497" s="118" t="s">
        <v>11527</v>
      </c>
      <c r="Q3497" s="16" t="s">
        <v>20</v>
      </c>
      <c r="R3497" s="17" t="s">
        <v>11528</v>
      </c>
      <c r="S3497" s="121" t="s">
        <v>5207</v>
      </c>
      <c r="T3497" s="122" t="s">
        <v>10827</v>
      </c>
      <c r="U3497" s="22"/>
      <c r="V3497" s="123" t="s">
        <v>2747</v>
      </c>
      <c r="W3497" s="122">
        <v>2015</v>
      </c>
      <c r="X3497" s="221"/>
      <c r="Y3497" s="221"/>
      <c r="Z3497" s="221"/>
      <c r="AA3497" s="221"/>
      <c r="AB3497" s="223"/>
    </row>
    <row r="3498" spans="1:28" ht="17.100000000000001" customHeight="1" thickTop="1">
      <c r="A3498" s="226" t="s">
        <v>10737</v>
      </c>
      <c r="B3498" s="28">
        <v>45976</v>
      </c>
      <c r="C3498" s="25">
        <v>1276</v>
      </c>
      <c r="D3498" s="13" t="s">
        <v>3422</v>
      </c>
      <c r="E3498" s="228"/>
      <c r="F3498" s="109" t="s">
        <v>10653</v>
      </c>
      <c r="G3498" s="24" t="s">
        <v>10655</v>
      </c>
      <c r="H3498" s="230">
        <v>4</v>
      </c>
      <c r="I3498" s="220">
        <v>710000</v>
      </c>
      <c r="J3498" s="220">
        <f>I3498*0.1</f>
        <v>71000</v>
      </c>
      <c r="K3498" s="220">
        <v>0</v>
      </c>
      <c r="L3498" s="220">
        <v>9200</v>
      </c>
      <c r="M3498" s="220">
        <v>13200</v>
      </c>
      <c r="N3498" s="220">
        <f>SUM(I3498:M3499)</f>
        <v>803400</v>
      </c>
      <c r="O3498" s="224"/>
      <c r="P3498" s="110" t="s">
        <v>10656</v>
      </c>
      <c r="Q3498" s="15" t="s">
        <v>19</v>
      </c>
      <c r="R3498" s="205"/>
      <c r="S3498" s="189"/>
      <c r="T3498" s="114"/>
      <c r="U3498" s="21" t="s">
        <v>12770</v>
      </c>
      <c r="V3498" s="115">
        <v>46001</v>
      </c>
      <c r="W3498" s="116">
        <v>996</v>
      </c>
      <c r="X3498" s="220">
        <v>770000</v>
      </c>
      <c r="Y3498" s="220">
        <f>X3498*0.1</f>
        <v>77000</v>
      </c>
      <c r="Z3498" s="220">
        <v>9200</v>
      </c>
      <c r="AA3498" s="220">
        <f>SUM(X3498:Z3498)</f>
        <v>856200</v>
      </c>
      <c r="AB3498" s="222">
        <v>46006</v>
      </c>
    </row>
    <row r="3499" spans="1:28" ht="17.100000000000001" customHeight="1" thickBot="1">
      <c r="A3499" s="227"/>
      <c r="B3499" s="27" t="s">
        <v>2472</v>
      </c>
      <c r="C3499" s="27">
        <v>65270</v>
      </c>
      <c r="D3499" s="14" t="s">
        <v>273</v>
      </c>
      <c r="E3499" s="229"/>
      <c r="F3499" s="117" t="s">
        <v>10654</v>
      </c>
      <c r="G3499" s="26">
        <v>76926</v>
      </c>
      <c r="H3499" s="231"/>
      <c r="I3499" s="221"/>
      <c r="J3499" s="221"/>
      <c r="K3499" s="221"/>
      <c r="L3499" s="221"/>
      <c r="M3499" s="221"/>
      <c r="N3499" s="221"/>
      <c r="O3499" s="225"/>
      <c r="P3499" s="118" t="s">
        <v>2870</v>
      </c>
      <c r="Q3499" s="16" t="s">
        <v>20</v>
      </c>
      <c r="R3499" s="17" t="s">
        <v>1713</v>
      </c>
      <c r="S3499" s="121"/>
      <c r="T3499" s="122"/>
      <c r="U3499" s="22"/>
      <c r="V3499" s="123" t="s">
        <v>2747</v>
      </c>
      <c r="W3499" s="122">
        <v>2066</v>
      </c>
      <c r="X3499" s="221"/>
      <c r="Y3499" s="221"/>
      <c r="Z3499" s="221"/>
      <c r="AA3499" s="221"/>
      <c r="AB3499" s="223"/>
    </row>
    <row r="3500" spans="1:28" ht="17.100000000000001" customHeight="1" thickTop="1">
      <c r="A3500" s="233" t="s">
        <v>10738</v>
      </c>
      <c r="B3500" s="28">
        <v>45976</v>
      </c>
      <c r="C3500" s="25">
        <v>1276</v>
      </c>
      <c r="D3500" s="13" t="s">
        <v>2406</v>
      </c>
      <c r="E3500" s="228"/>
      <c r="F3500" s="109" t="s">
        <v>10657</v>
      </c>
      <c r="G3500" s="24" t="s">
        <v>10108</v>
      </c>
      <c r="H3500" s="230">
        <v>4</v>
      </c>
      <c r="I3500" s="220">
        <v>675000</v>
      </c>
      <c r="J3500" s="220">
        <f>I3500*0.1</f>
        <v>67500</v>
      </c>
      <c r="K3500" s="220">
        <v>0</v>
      </c>
      <c r="L3500" s="220">
        <v>8230</v>
      </c>
      <c r="M3500" s="220">
        <v>12100</v>
      </c>
      <c r="N3500" s="220">
        <f>SUM(I3500:M3501)</f>
        <v>762830</v>
      </c>
      <c r="O3500" s="224"/>
      <c r="P3500" s="110" t="s">
        <v>10659</v>
      </c>
      <c r="Q3500" s="15" t="s">
        <v>19</v>
      </c>
      <c r="R3500" s="205"/>
      <c r="S3500" s="189" t="s">
        <v>1406</v>
      </c>
      <c r="T3500" s="114" t="s">
        <v>7899</v>
      </c>
      <c r="U3500" s="21"/>
      <c r="V3500" s="115"/>
      <c r="W3500" s="116"/>
      <c r="X3500" s="220"/>
      <c r="Y3500" s="220">
        <f>X3500*0.1</f>
        <v>0</v>
      </c>
      <c r="Z3500" s="220"/>
      <c r="AA3500" s="220">
        <f>SUM(X3500:Z3500)</f>
        <v>0</v>
      </c>
      <c r="AB3500" s="222"/>
    </row>
    <row r="3501" spans="1:28" ht="17.100000000000001" customHeight="1" thickBot="1">
      <c r="A3501" s="234"/>
      <c r="B3501" s="27" t="s">
        <v>2472</v>
      </c>
      <c r="C3501" s="27">
        <v>65330</v>
      </c>
      <c r="D3501" s="14" t="s">
        <v>1710</v>
      </c>
      <c r="E3501" s="229"/>
      <c r="F3501" s="117" t="s">
        <v>10658</v>
      </c>
      <c r="G3501" s="26">
        <v>47494</v>
      </c>
      <c r="H3501" s="231"/>
      <c r="I3501" s="221"/>
      <c r="J3501" s="221"/>
      <c r="K3501" s="221"/>
      <c r="L3501" s="221"/>
      <c r="M3501" s="221"/>
      <c r="N3501" s="221"/>
      <c r="O3501" s="225"/>
      <c r="P3501" s="118"/>
      <c r="Q3501" s="16" t="s">
        <v>20</v>
      </c>
      <c r="R3501" s="17" t="s">
        <v>10331</v>
      </c>
      <c r="S3501" s="121" t="s">
        <v>10825</v>
      </c>
      <c r="T3501" s="122" t="s">
        <v>10828</v>
      </c>
      <c r="U3501" s="22"/>
      <c r="V3501" s="123"/>
      <c r="W3501" s="122"/>
      <c r="X3501" s="221"/>
      <c r="Y3501" s="221"/>
      <c r="Z3501" s="221"/>
      <c r="AA3501" s="221"/>
      <c r="AB3501" s="223"/>
    </row>
    <row r="3502" spans="1:28" ht="17.100000000000001" customHeight="1" thickTop="1">
      <c r="A3502" s="226" t="s">
        <v>10739</v>
      </c>
      <c r="B3502" s="28">
        <v>45976</v>
      </c>
      <c r="C3502" s="25">
        <v>1276</v>
      </c>
      <c r="D3502" s="13" t="s">
        <v>1754</v>
      </c>
      <c r="E3502" s="228"/>
      <c r="F3502" s="109" t="s">
        <v>10398</v>
      </c>
      <c r="G3502" s="24"/>
      <c r="H3502" s="230">
        <v>4.5</v>
      </c>
      <c r="I3502" s="220">
        <v>595000</v>
      </c>
      <c r="J3502" s="220">
        <f>I3502*0.1</f>
        <v>59500</v>
      </c>
      <c r="K3502" s="220">
        <v>0</v>
      </c>
      <c r="L3502" s="220">
        <v>9790</v>
      </c>
      <c r="M3502" s="220">
        <v>12100</v>
      </c>
      <c r="N3502" s="220">
        <f>SUM(I3502:M3503)</f>
        <v>676390</v>
      </c>
      <c r="O3502" s="224"/>
      <c r="P3502" s="110" t="s">
        <v>11410</v>
      </c>
      <c r="Q3502" s="15" t="s">
        <v>19</v>
      </c>
      <c r="R3502" s="205"/>
      <c r="S3502" s="189"/>
      <c r="T3502" s="114"/>
      <c r="U3502" s="21"/>
      <c r="V3502" s="115">
        <v>45980</v>
      </c>
      <c r="W3502" s="116">
        <v>993</v>
      </c>
      <c r="X3502" s="220">
        <v>670000</v>
      </c>
      <c r="Y3502" s="220">
        <f>X3502*0.1</f>
        <v>67000</v>
      </c>
      <c r="Z3502" s="220">
        <v>9790</v>
      </c>
      <c r="AA3502" s="220">
        <f>SUM(X3502:Z3502)</f>
        <v>746790</v>
      </c>
      <c r="AB3502" s="222">
        <v>45988</v>
      </c>
    </row>
    <row r="3503" spans="1:28" ht="17.100000000000001" customHeight="1" thickBot="1">
      <c r="A3503" s="227"/>
      <c r="B3503" s="27" t="s">
        <v>2472</v>
      </c>
      <c r="C3503" s="27">
        <v>65346</v>
      </c>
      <c r="D3503" s="14" t="s">
        <v>1568</v>
      </c>
      <c r="E3503" s="229"/>
      <c r="F3503" s="117" t="s">
        <v>10660</v>
      </c>
      <c r="G3503" s="26">
        <v>70585</v>
      </c>
      <c r="H3503" s="231"/>
      <c r="I3503" s="221"/>
      <c r="J3503" s="221"/>
      <c r="K3503" s="221"/>
      <c r="L3503" s="221"/>
      <c r="M3503" s="221"/>
      <c r="N3503" s="221"/>
      <c r="O3503" s="225"/>
      <c r="P3503" s="118" t="s">
        <v>11411</v>
      </c>
      <c r="Q3503" s="16" t="s">
        <v>20</v>
      </c>
      <c r="R3503" s="17" t="s">
        <v>11412</v>
      </c>
      <c r="S3503" s="121" t="s">
        <v>4008</v>
      </c>
      <c r="T3503" s="122"/>
      <c r="U3503" s="22"/>
      <c r="V3503" s="123" t="s">
        <v>2747</v>
      </c>
      <c r="W3503" s="122">
        <v>2096</v>
      </c>
      <c r="X3503" s="221"/>
      <c r="Y3503" s="221"/>
      <c r="Z3503" s="221"/>
      <c r="AA3503" s="221"/>
      <c r="AB3503" s="223"/>
    </row>
    <row r="3504" spans="1:28" ht="17.100000000000001" customHeight="1" thickTop="1">
      <c r="A3504" s="226" t="s">
        <v>10740</v>
      </c>
      <c r="B3504" s="28">
        <v>45976</v>
      </c>
      <c r="C3504" s="25">
        <v>1276</v>
      </c>
      <c r="D3504" s="13" t="s">
        <v>1762</v>
      </c>
      <c r="E3504" s="228"/>
      <c r="F3504" s="109" t="s">
        <v>4178</v>
      </c>
      <c r="G3504" s="24"/>
      <c r="H3504" s="230">
        <v>4</v>
      </c>
      <c r="I3504" s="220">
        <v>590000</v>
      </c>
      <c r="J3504" s="220">
        <f>I3504*0.1</f>
        <v>59000</v>
      </c>
      <c r="K3504" s="220">
        <v>0</v>
      </c>
      <c r="L3504" s="220">
        <v>9790</v>
      </c>
      <c r="M3504" s="220">
        <v>12100</v>
      </c>
      <c r="N3504" s="220">
        <f>SUM(I3504:M3505)</f>
        <v>670890</v>
      </c>
      <c r="O3504" s="224"/>
      <c r="P3504" s="110" t="s">
        <v>11646</v>
      </c>
      <c r="Q3504" s="15" t="s">
        <v>19</v>
      </c>
      <c r="R3504" s="205"/>
      <c r="S3504" s="189"/>
      <c r="T3504" s="114"/>
      <c r="U3504" s="21"/>
      <c r="V3504" s="115">
        <v>46008</v>
      </c>
      <c r="W3504" s="116">
        <v>997</v>
      </c>
      <c r="X3504" s="220">
        <v>660000</v>
      </c>
      <c r="Y3504" s="220">
        <f>X3504*0.1</f>
        <v>66000</v>
      </c>
      <c r="Z3504" s="220">
        <v>9790</v>
      </c>
      <c r="AA3504" s="220">
        <f>SUM(X3504:Z3504)</f>
        <v>735790</v>
      </c>
      <c r="AB3504" s="222">
        <v>46013</v>
      </c>
    </row>
    <row r="3505" spans="1:28" ht="17.100000000000001" customHeight="1" thickBot="1">
      <c r="A3505" s="227"/>
      <c r="B3505" s="27" t="s">
        <v>2472</v>
      </c>
      <c r="C3505" s="27">
        <v>65471</v>
      </c>
      <c r="D3505" s="14" t="s">
        <v>2559</v>
      </c>
      <c r="E3505" s="229"/>
      <c r="F3505" s="117" t="s">
        <v>10670</v>
      </c>
      <c r="G3505" s="26">
        <v>57128</v>
      </c>
      <c r="H3505" s="231"/>
      <c r="I3505" s="221"/>
      <c r="J3505" s="221"/>
      <c r="K3505" s="221"/>
      <c r="L3505" s="221"/>
      <c r="M3505" s="221"/>
      <c r="N3505" s="221"/>
      <c r="O3505" s="225"/>
      <c r="P3505" s="118" t="s">
        <v>3355</v>
      </c>
      <c r="Q3505" s="16" t="s">
        <v>20</v>
      </c>
      <c r="R3505" s="17" t="s">
        <v>1713</v>
      </c>
      <c r="S3505" s="121" t="s">
        <v>4387</v>
      </c>
      <c r="T3505" s="122"/>
      <c r="U3505" s="22"/>
      <c r="V3505" s="123" t="s">
        <v>2747</v>
      </c>
      <c r="W3505" s="122">
        <v>2061</v>
      </c>
      <c r="X3505" s="221"/>
      <c r="Y3505" s="221"/>
      <c r="Z3505" s="221"/>
      <c r="AA3505" s="221"/>
      <c r="AB3505" s="223"/>
    </row>
    <row r="3506" spans="1:28" ht="17.100000000000001" customHeight="1" thickTop="1">
      <c r="A3506" s="226" t="s">
        <v>10741</v>
      </c>
      <c r="B3506" s="28">
        <v>45976</v>
      </c>
      <c r="C3506" s="25">
        <v>1276</v>
      </c>
      <c r="D3506" s="13" t="s">
        <v>1883</v>
      </c>
      <c r="E3506" s="228"/>
      <c r="F3506" s="109" t="s">
        <v>6672</v>
      </c>
      <c r="G3506" s="24" t="s">
        <v>2813</v>
      </c>
      <c r="H3506" s="230">
        <v>3.5</v>
      </c>
      <c r="I3506" s="220">
        <v>950000</v>
      </c>
      <c r="J3506" s="220">
        <f>I3506*0.1</f>
        <v>95000</v>
      </c>
      <c r="K3506" s="220">
        <v>0</v>
      </c>
      <c r="L3506" s="220">
        <v>8390</v>
      </c>
      <c r="M3506" s="220">
        <v>12100</v>
      </c>
      <c r="N3506" s="220">
        <f>SUM(I3506:M3507)</f>
        <v>1065490</v>
      </c>
      <c r="O3506" s="224"/>
      <c r="P3506" s="110" t="s">
        <v>10672</v>
      </c>
      <c r="Q3506" s="15" t="s">
        <v>19</v>
      </c>
      <c r="R3506" s="205"/>
      <c r="S3506" s="189" t="s">
        <v>1422</v>
      </c>
      <c r="T3506" s="114"/>
      <c r="U3506" s="21"/>
      <c r="V3506" s="115"/>
      <c r="W3506" s="116"/>
      <c r="X3506" s="220"/>
      <c r="Y3506" s="220">
        <f>X3506*0.1</f>
        <v>0</v>
      </c>
      <c r="Z3506" s="220"/>
      <c r="AA3506" s="220">
        <f>SUM(X3506:Z3506)</f>
        <v>0</v>
      </c>
      <c r="AB3506" s="222"/>
    </row>
    <row r="3507" spans="1:28" ht="17.100000000000001" customHeight="1" thickBot="1">
      <c r="A3507" s="227"/>
      <c r="B3507" s="27" t="s">
        <v>2472</v>
      </c>
      <c r="C3507" s="27">
        <v>65608</v>
      </c>
      <c r="D3507" s="14" t="s">
        <v>2177</v>
      </c>
      <c r="E3507" s="229"/>
      <c r="F3507" s="117" t="s">
        <v>10671</v>
      </c>
      <c r="G3507" s="26">
        <v>54571</v>
      </c>
      <c r="H3507" s="231"/>
      <c r="I3507" s="221"/>
      <c r="J3507" s="221"/>
      <c r="K3507" s="221"/>
      <c r="L3507" s="221"/>
      <c r="M3507" s="221"/>
      <c r="N3507" s="221"/>
      <c r="O3507" s="225"/>
      <c r="P3507" s="118" t="s">
        <v>11644</v>
      </c>
      <c r="Q3507" s="16" t="s">
        <v>20</v>
      </c>
      <c r="R3507" s="17" t="s">
        <v>1713</v>
      </c>
      <c r="S3507" s="121" t="s">
        <v>11645</v>
      </c>
      <c r="T3507" s="122"/>
      <c r="U3507" s="22"/>
      <c r="V3507" s="123"/>
      <c r="W3507" s="122"/>
      <c r="X3507" s="221"/>
      <c r="Y3507" s="221"/>
      <c r="Z3507" s="221"/>
      <c r="AA3507" s="221"/>
      <c r="AB3507" s="223"/>
    </row>
    <row r="3508" spans="1:28" ht="17.100000000000001" customHeight="1" thickTop="1">
      <c r="A3508" s="233" t="s">
        <v>10742</v>
      </c>
      <c r="B3508" s="28">
        <v>45976</v>
      </c>
      <c r="C3508" s="25">
        <v>1276</v>
      </c>
      <c r="D3508" s="13" t="s">
        <v>1837</v>
      </c>
      <c r="E3508" s="228"/>
      <c r="F3508" s="109" t="s">
        <v>10661</v>
      </c>
      <c r="G3508" s="24"/>
      <c r="H3508" s="230">
        <v>4.5</v>
      </c>
      <c r="I3508" s="220">
        <v>1730000</v>
      </c>
      <c r="J3508" s="220">
        <v>173000</v>
      </c>
      <c r="K3508" s="220">
        <v>0</v>
      </c>
      <c r="L3508" s="220">
        <v>20410</v>
      </c>
      <c r="M3508" s="220">
        <v>16500</v>
      </c>
      <c r="N3508" s="220">
        <f>SUM(I3508:M3509)</f>
        <v>1939910</v>
      </c>
      <c r="O3508" s="224"/>
      <c r="P3508" s="110" t="s">
        <v>11558</v>
      </c>
      <c r="Q3508" s="15" t="s">
        <v>19</v>
      </c>
      <c r="R3508" s="205"/>
      <c r="S3508" s="189"/>
      <c r="T3508" s="114"/>
      <c r="U3508" s="21"/>
      <c r="V3508" s="115">
        <v>46032</v>
      </c>
      <c r="W3508" s="116">
        <v>1283</v>
      </c>
      <c r="X3508" s="220">
        <v>1850000</v>
      </c>
      <c r="Y3508" s="220">
        <f>X3508*0.1</f>
        <v>185000</v>
      </c>
      <c r="Z3508" s="220">
        <v>20410</v>
      </c>
      <c r="AA3508" s="220">
        <f>SUM(X3508:Z3508)</f>
        <v>2055410</v>
      </c>
      <c r="AB3508" s="222">
        <v>46036</v>
      </c>
    </row>
    <row r="3509" spans="1:28" ht="17.100000000000001" customHeight="1" thickBot="1">
      <c r="A3509" s="234"/>
      <c r="B3509" s="27" t="s">
        <v>2472</v>
      </c>
      <c r="C3509" s="27">
        <v>82297</v>
      </c>
      <c r="D3509" s="14" t="s">
        <v>2788</v>
      </c>
      <c r="E3509" s="229"/>
      <c r="F3509" s="117" t="s">
        <v>10662</v>
      </c>
      <c r="G3509" s="26">
        <v>47175</v>
      </c>
      <c r="H3509" s="231"/>
      <c r="I3509" s="221"/>
      <c r="J3509" s="221"/>
      <c r="K3509" s="221"/>
      <c r="L3509" s="221"/>
      <c r="M3509" s="221"/>
      <c r="N3509" s="221"/>
      <c r="O3509" s="225"/>
      <c r="P3509" s="118" t="s">
        <v>11559</v>
      </c>
      <c r="Q3509" s="16" t="s">
        <v>20</v>
      </c>
      <c r="R3509" s="17" t="s">
        <v>11528</v>
      </c>
      <c r="S3509" s="121" t="s">
        <v>11560</v>
      </c>
      <c r="T3509" s="122"/>
      <c r="U3509" s="22"/>
      <c r="V3509" s="123" t="s">
        <v>2472</v>
      </c>
      <c r="W3509" s="122">
        <v>80369</v>
      </c>
      <c r="X3509" s="221"/>
      <c r="Y3509" s="221"/>
      <c r="Z3509" s="221"/>
      <c r="AA3509" s="221"/>
      <c r="AB3509" s="223"/>
    </row>
    <row r="3510" spans="1:28" ht="17.100000000000001" customHeight="1" thickTop="1">
      <c r="A3510" s="226" t="s">
        <v>10743</v>
      </c>
      <c r="B3510" s="28">
        <v>45976</v>
      </c>
      <c r="C3510" s="25">
        <v>1276</v>
      </c>
      <c r="D3510" s="13" t="s">
        <v>1871</v>
      </c>
      <c r="E3510" s="228"/>
      <c r="F3510" s="109" t="s">
        <v>2146</v>
      </c>
      <c r="G3510" s="24" t="s">
        <v>2494</v>
      </c>
      <c r="H3510" s="230">
        <v>4</v>
      </c>
      <c r="I3510" s="220">
        <v>1205000</v>
      </c>
      <c r="J3510" s="220">
        <f>I3510*0.1</f>
        <v>120500</v>
      </c>
      <c r="K3510" s="220">
        <f>13100+1310</f>
        <v>14410</v>
      </c>
      <c r="L3510" s="220">
        <v>19090</v>
      </c>
      <c r="M3510" s="220">
        <v>16500</v>
      </c>
      <c r="N3510" s="220">
        <f>SUM(I3510:M3511)</f>
        <v>1375500</v>
      </c>
      <c r="O3510" s="224"/>
      <c r="P3510" s="110" t="s">
        <v>10664</v>
      </c>
      <c r="Q3510" s="15" t="s">
        <v>19</v>
      </c>
      <c r="R3510" s="205"/>
      <c r="S3510" s="189" t="s">
        <v>1312</v>
      </c>
      <c r="T3510" s="114"/>
      <c r="U3510" s="21"/>
      <c r="V3510" s="115">
        <v>45980</v>
      </c>
      <c r="W3510" s="116">
        <v>993</v>
      </c>
      <c r="X3510" s="220">
        <v>1480000</v>
      </c>
      <c r="Y3510" s="220">
        <f>X3510*0.1</f>
        <v>148000</v>
      </c>
      <c r="Z3510" s="220">
        <v>19090</v>
      </c>
      <c r="AA3510" s="220">
        <f>SUM(X3510:Z3510)</f>
        <v>1647090</v>
      </c>
      <c r="AB3510" s="222">
        <v>45988</v>
      </c>
    </row>
    <row r="3511" spans="1:28" ht="17.100000000000001" customHeight="1" thickBot="1">
      <c r="A3511" s="227"/>
      <c r="B3511" s="27" t="s">
        <v>2472</v>
      </c>
      <c r="C3511" s="27">
        <v>82336</v>
      </c>
      <c r="D3511" s="14" t="s">
        <v>1627</v>
      </c>
      <c r="E3511" s="229"/>
      <c r="F3511" s="117" t="s">
        <v>10663</v>
      </c>
      <c r="G3511" s="26">
        <v>74149</v>
      </c>
      <c r="H3511" s="231"/>
      <c r="I3511" s="221"/>
      <c r="J3511" s="221"/>
      <c r="K3511" s="221"/>
      <c r="L3511" s="221"/>
      <c r="M3511" s="221"/>
      <c r="N3511" s="221"/>
      <c r="O3511" s="225"/>
      <c r="P3511" s="118" t="s">
        <v>11415</v>
      </c>
      <c r="Q3511" s="16" t="s">
        <v>20</v>
      </c>
      <c r="R3511" s="17" t="s">
        <v>11412</v>
      </c>
      <c r="S3511" s="121" t="s">
        <v>11416</v>
      </c>
      <c r="T3511" s="122"/>
      <c r="U3511" s="22"/>
      <c r="V3511" s="123" t="s">
        <v>2747</v>
      </c>
      <c r="W3511" s="122">
        <v>5082</v>
      </c>
      <c r="X3511" s="221"/>
      <c r="Y3511" s="221"/>
      <c r="Z3511" s="221"/>
      <c r="AA3511" s="221"/>
      <c r="AB3511" s="223"/>
    </row>
    <row r="3512" spans="1:28" ht="17.100000000000001" customHeight="1" thickTop="1">
      <c r="A3512" s="226" t="s">
        <v>10744</v>
      </c>
      <c r="B3512" s="28">
        <v>45976</v>
      </c>
      <c r="C3512" s="25">
        <v>1276</v>
      </c>
      <c r="D3512" s="13" t="s">
        <v>2920</v>
      </c>
      <c r="E3512" s="228"/>
      <c r="F3512" s="109" t="s">
        <v>10153</v>
      </c>
      <c r="G3512" s="24" t="s">
        <v>4038</v>
      </c>
      <c r="H3512" s="230">
        <v>4.5</v>
      </c>
      <c r="I3512" s="220">
        <v>1215000</v>
      </c>
      <c r="J3512" s="220">
        <f>I3512*0.1</f>
        <v>121500</v>
      </c>
      <c r="K3512" s="220">
        <f>8300+830</f>
        <v>9130</v>
      </c>
      <c r="L3512" s="220">
        <v>12470</v>
      </c>
      <c r="M3512" s="220">
        <v>16500</v>
      </c>
      <c r="N3512" s="220">
        <f>SUM(I3512:M3513)</f>
        <v>1374600</v>
      </c>
      <c r="O3512" s="224"/>
      <c r="P3512" s="110" t="s">
        <v>10666</v>
      </c>
      <c r="Q3512" s="15" t="s">
        <v>19</v>
      </c>
      <c r="R3512" s="205"/>
      <c r="S3512" s="189" t="s">
        <v>1271</v>
      </c>
      <c r="T3512" s="114"/>
      <c r="U3512" s="21"/>
      <c r="V3512" s="115">
        <v>45994</v>
      </c>
      <c r="W3512" s="116">
        <v>995</v>
      </c>
      <c r="X3512" s="220">
        <v>1350000</v>
      </c>
      <c r="Y3512" s="220">
        <f>X3512*0.1</f>
        <v>135000</v>
      </c>
      <c r="Z3512" s="220">
        <v>12470</v>
      </c>
      <c r="AA3512" s="220">
        <f>SUM(X3512:Z3512)</f>
        <v>1497470</v>
      </c>
      <c r="AB3512" s="222">
        <v>45999</v>
      </c>
    </row>
    <row r="3513" spans="1:28" ht="17.100000000000001" customHeight="1" thickBot="1">
      <c r="A3513" s="227"/>
      <c r="B3513" s="27" t="s">
        <v>2472</v>
      </c>
      <c r="C3513" s="27">
        <v>82420</v>
      </c>
      <c r="D3513" s="14" t="s">
        <v>5400</v>
      </c>
      <c r="E3513" s="229"/>
      <c r="F3513" s="117" t="s">
        <v>10665</v>
      </c>
      <c r="G3513" s="26">
        <v>29040</v>
      </c>
      <c r="H3513" s="231"/>
      <c r="I3513" s="221"/>
      <c r="J3513" s="221"/>
      <c r="K3513" s="221"/>
      <c r="L3513" s="221"/>
      <c r="M3513" s="221"/>
      <c r="N3513" s="221"/>
      <c r="O3513" s="225"/>
      <c r="P3513" s="118" t="s">
        <v>11563</v>
      </c>
      <c r="Q3513" s="16" t="s">
        <v>20</v>
      </c>
      <c r="R3513" s="17" t="s">
        <v>1713</v>
      </c>
      <c r="S3513" s="121" t="s">
        <v>1625</v>
      </c>
      <c r="T3513" s="122"/>
      <c r="U3513" s="22"/>
      <c r="V3513" s="123" t="s">
        <v>2747</v>
      </c>
      <c r="W3513" s="122">
        <v>6067</v>
      </c>
      <c r="X3513" s="221"/>
      <c r="Y3513" s="221"/>
      <c r="Z3513" s="221"/>
      <c r="AA3513" s="221"/>
      <c r="AB3513" s="223"/>
    </row>
    <row r="3514" spans="1:28" ht="17.100000000000001" customHeight="1" thickTop="1">
      <c r="A3514" s="233" t="s">
        <v>10745</v>
      </c>
      <c r="B3514" s="28">
        <v>45976</v>
      </c>
      <c r="C3514" s="25">
        <v>1276</v>
      </c>
      <c r="D3514" s="13" t="s">
        <v>2406</v>
      </c>
      <c r="E3514" s="228"/>
      <c r="F3514" s="109" t="s">
        <v>4272</v>
      </c>
      <c r="G3514" s="24" t="s">
        <v>2810</v>
      </c>
      <c r="H3514" s="230">
        <v>4</v>
      </c>
      <c r="I3514" s="220">
        <v>1690000</v>
      </c>
      <c r="J3514" s="220">
        <f>I3514*0.1</f>
        <v>169000</v>
      </c>
      <c r="K3514" s="220">
        <v>0</v>
      </c>
      <c r="L3514" s="220">
        <v>20530</v>
      </c>
      <c r="M3514" s="220">
        <v>16500</v>
      </c>
      <c r="N3514" s="220">
        <f>SUM(I3514:M3515)</f>
        <v>1896030</v>
      </c>
      <c r="O3514" s="224"/>
      <c r="P3514" s="110" t="s">
        <v>11564</v>
      </c>
      <c r="Q3514" s="15" t="s">
        <v>19</v>
      </c>
      <c r="R3514" s="205"/>
      <c r="S3514" s="189" t="s">
        <v>1271</v>
      </c>
      <c r="T3514" s="114" t="s">
        <v>13781</v>
      </c>
      <c r="U3514" s="21"/>
      <c r="V3514" s="115"/>
      <c r="W3514" s="116"/>
      <c r="X3514" s="220"/>
      <c r="Y3514" s="220">
        <f>X3514*0.1</f>
        <v>0</v>
      </c>
      <c r="Z3514" s="220"/>
      <c r="AA3514" s="220">
        <f>SUM(X3514:Z3514)</f>
        <v>0</v>
      </c>
      <c r="AB3514" s="222"/>
    </row>
    <row r="3515" spans="1:28" ht="17.100000000000001" customHeight="1" thickBot="1">
      <c r="A3515" s="234"/>
      <c r="B3515" s="27" t="s">
        <v>2472</v>
      </c>
      <c r="C3515" s="27">
        <v>82707</v>
      </c>
      <c r="D3515" s="14" t="s">
        <v>1568</v>
      </c>
      <c r="E3515" s="229"/>
      <c r="F3515" s="117" t="s">
        <v>10681</v>
      </c>
      <c r="G3515" s="26">
        <v>34342</v>
      </c>
      <c r="H3515" s="231"/>
      <c r="I3515" s="221"/>
      <c r="J3515" s="221"/>
      <c r="K3515" s="221"/>
      <c r="L3515" s="221"/>
      <c r="M3515" s="221"/>
      <c r="N3515" s="221"/>
      <c r="O3515" s="225"/>
      <c r="P3515" s="118" t="s">
        <v>439</v>
      </c>
      <c r="Q3515" s="16" t="s">
        <v>20</v>
      </c>
      <c r="R3515" s="17" t="s">
        <v>1713</v>
      </c>
      <c r="S3515" s="121" t="s">
        <v>1731</v>
      </c>
      <c r="T3515" s="122"/>
      <c r="U3515" s="22"/>
      <c r="V3515" s="123"/>
      <c r="W3515" s="122"/>
      <c r="X3515" s="221"/>
      <c r="Y3515" s="221"/>
      <c r="Z3515" s="221"/>
      <c r="AA3515" s="221"/>
      <c r="AB3515" s="223"/>
    </row>
    <row r="3516" spans="1:28" ht="17.100000000000001" customHeight="1" thickTop="1">
      <c r="A3516" s="226" t="s">
        <v>10845</v>
      </c>
      <c r="B3516" s="28">
        <v>45978</v>
      </c>
      <c r="C3516" s="25"/>
      <c r="D3516" s="13" t="s">
        <v>10747</v>
      </c>
      <c r="E3516" s="228"/>
      <c r="F3516" s="109" t="s">
        <v>10749</v>
      </c>
      <c r="G3516" s="24" t="s">
        <v>10750</v>
      </c>
      <c r="H3516" s="230">
        <v>3.5</v>
      </c>
      <c r="I3516" s="220">
        <v>1764000</v>
      </c>
      <c r="J3516" s="220">
        <f>I3516*0.1</f>
        <v>176400</v>
      </c>
      <c r="K3516" s="220">
        <f>12000+1200</f>
        <v>13200</v>
      </c>
      <c r="L3516" s="220">
        <v>20270</v>
      </c>
      <c r="M3516" s="220">
        <v>14850</v>
      </c>
      <c r="N3516" s="220">
        <f>SUM(I3516:M3517)</f>
        <v>1988720</v>
      </c>
      <c r="O3516" s="224"/>
      <c r="P3516" s="110" t="s">
        <v>10752</v>
      </c>
      <c r="Q3516" s="15" t="s">
        <v>19</v>
      </c>
      <c r="R3516" s="205"/>
      <c r="S3516" s="189" t="s">
        <v>758</v>
      </c>
      <c r="T3516" s="114"/>
      <c r="U3516" s="21"/>
      <c r="V3516" s="115">
        <v>45983</v>
      </c>
      <c r="W3516" s="116">
        <v>1277</v>
      </c>
      <c r="X3516" s="220">
        <v>1950000</v>
      </c>
      <c r="Y3516" s="220">
        <f>X3516*0.1</f>
        <v>195000</v>
      </c>
      <c r="Z3516" s="220">
        <v>20270</v>
      </c>
      <c r="AA3516" s="220">
        <f>SUM(X3516:Z3516)</f>
        <v>2165270</v>
      </c>
      <c r="AB3516" s="222">
        <v>45987</v>
      </c>
    </row>
    <row r="3517" spans="1:28" ht="17.100000000000001" customHeight="1" thickBot="1">
      <c r="A3517" s="227"/>
      <c r="B3517" s="27" t="s">
        <v>10746</v>
      </c>
      <c r="C3517" s="27">
        <v>10026</v>
      </c>
      <c r="D3517" s="14" t="s">
        <v>10748</v>
      </c>
      <c r="E3517" s="229"/>
      <c r="F3517" s="117" t="s">
        <v>10751</v>
      </c>
      <c r="G3517" s="26">
        <v>44659</v>
      </c>
      <c r="H3517" s="231"/>
      <c r="I3517" s="221"/>
      <c r="J3517" s="221"/>
      <c r="K3517" s="221"/>
      <c r="L3517" s="221"/>
      <c r="M3517" s="221"/>
      <c r="N3517" s="221"/>
      <c r="O3517" s="225"/>
      <c r="P3517" s="118" t="s">
        <v>11199</v>
      </c>
      <c r="Q3517" s="16" t="s">
        <v>20</v>
      </c>
      <c r="R3517" s="17" t="s">
        <v>2188</v>
      </c>
      <c r="S3517" s="121" t="s">
        <v>2844</v>
      </c>
      <c r="T3517" s="122"/>
      <c r="U3517" s="22"/>
      <c r="V3517" s="123" t="s">
        <v>6641</v>
      </c>
      <c r="W3517" s="122">
        <v>80364</v>
      </c>
      <c r="X3517" s="221"/>
      <c r="Y3517" s="221"/>
      <c r="Z3517" s="221"/>
      <c r="AA3517" s="221"/>
      <c r="AB3517" s="223"/>
    </row>
    <row r="3518" spans="1:28" ht="17.100000000000001" customHeight="1" thickTop="1">
      <c r="A3518" s="226" t="s">
        <v>10846</v>
      </c>
      <c r="B3518" s="28">
        <v>45978</v>
      </c>
      <c r="C3518" s="25"/>
      <c r="D3518" s="13" t="s">
        <v>10753</v>
      </c>
      <c r="E3518" s="228"/>
      <c r="F3518" s="109" t="s">
        <v>10755</v>
      </c>
      <c r="G3518" s="24" t="s">
        <v>10757</v>
      </c>
      <c r="H3518" s="230">
        <v>4.5</v>
      </c>
      <c r="I3518" s="220">
        <v>2556000</v>
      </c>
      <c r="J3518" s="220">
        <f>I3518*0.1</f>
        <v>255600</v>
      </c>
      <c r="K3518" s="220">
        <v>13200</v>
      </c>
      <c r="L3518" s="220">
        <v>18170</v>
      </c>
      <c r="M3518" s="220">
        <v>14850</v>
      </c>
      <c r="N3518" s="220">
        <f>SUM(I3518:M3519)</f>
        <v>2857820</v>
      </c>
      <c r="O3518" s="224"/>
      <c r="P3518" s="110" t="s">
        <v>10758</v>
      </c>
      <c r="Q3518" s="15" t="s">
        <v>19</v>
      </c>
      <c r="R3518" s="205"/>
      <c r="S3518" s="189" t="s">
        <v>758</v>
      </c>
      <c r="T3518" s="114"/>
      <c r="U3518" s="21"/>
      <c r="V3518" s="115">
        <v>45983</v>
      </c>
      <c r="W3518" s="116">
        <v>1277</v>
      </c>
      <c r="X3518" s="220">
        <v>2690000</v>
      </c>
      <c r="Y3518" s="220">
        <f>X3518*0.1</f>
        <v>269000</v>
      </c>
      <c r="Z3518" s="220">
        <v>18170</v>
      </c>
      <c r="AA3518" s="220">
        <f>SUM(X3518:Z3518)</f>
        <v>2977170</v>
      </c>
      <c r="AB3518" s="222">
        <v>45992</v>
      </c>
    </row>
    <row r="3519" spans="1:28" ht="17.100000000000001" customHeight="1" thickBot="1">
      <c r="A3519" s="227"/>
      <c r="B3519" s="27" t="s">
        <v>10746</v>
      </c>
      <c r="C3519" s="27">
        <v>10027</v>
      </c>
      <c r="D3519" s="14" t="s">
        <v>10754</v>
      </c>
      <c r="E3519" s="229"/>
      <c r="F3519" s="117" t="s">
        <v>10756</v>
      </c>
      <c r="G3519" s="26">
        <v>26709</v>
      </c>
      <c r="H3519" s="231"/>
      <c r="I3519" s="221"/>
      <c r="J3519" s="221"/>
      <c r="K3519" s="221"/>
      <c r="L3519" s="221"/>
      <c r="M3519" s="221"/>
      <c r="N3519" s="221"/>
      <c r="O3519" s="225"/>
      <c r="P3519" s="118" t="s">
        <v>11250</v>
      </c>
      <c r="Q3519" s="16" t="s">
        <v>20</v>
      </c>
      <c r="R3519" s="17" t="s">
        <v>11246</v>
      </c>
      <c r="S3519" s="121" t="s">
        <v>1661</v>
      </c>
      <c r="T3519" s="122"/>
      <c r="U3519" s="22"/>
      <c r="V3519" s="123" t="s">
        <v>2472</v>
      </c>
      <c r="W3519" s="122">
        <v>80321</v>
      </c>
      <c r="X3519" s="221"/>
      <c r="Y3519" s="221"/>
      <c r="Z3519" s="221"/>
      <c r="AA3519" s="221"/>
      <c r="AB3519" s="223"/>
    </row>
    <row r="3520" spans="1:28" ht="17.100000000000001" customHeight="1" thickTop="1">
      <c r="A3520" s="226" t="s">
        <v>10847</v>
      </c>
      <c r="B3520" s="28">
        <v>45978</v>
      </c>
      <c r="C3520" s="25"/>
      <c r="D3520" s="13" t="s">
        <v>10803</v>
      </c>
      <c r="E3520" s="228"/>
      <c r="F3520" s="109" t="s">
        <v>10804</v>
      </c>
      <c r="G3520" s="24"/>
      <c r="H3520" s="230">
        <v>4.5</v>
      </c>
      <c r="I3520" s="220">
        <v>1208000</v>
      </c>
      <c r="J3520" s="220">
        <f>I3520*0.1</f>
        <v>120800</v>
      </c>
      <c r="K3520" s="220">
        <v>0</v>
      </c>
      <c r="L3520" s="220">
        <v>11930</v>
      </c>
      <c r="M3520" s="220">
        <v>14850</v>
      </c>
      <c r="N3520" s="220">
        <f>SUM(I3520:M3521)</f>
        <v>1355580</v>
      </c>
      <c r="O3520" s="224"/>
      <c r="P3520" s="110" t="s">
        <v>11095</v>
      </c>
      <c r="Q3520" s="15" t="s">
        <v>19</v>
      </c>
      <c r="R3520" s="205"/>
      <c r="S3520" s="189" t="s">
        <v>758</v>
      </c>
      <c r="T3520" s="114"/>
      <c r="U3520" s="21"/>
      <c r="V3520" s="115">
        <v>46011</v>
      </c>
      <c r="W3520" s="116">
        <v>1281</v>
      </c>
      <c r="X3520" s="220">
        <v>1280000</v>
      </c>
      <c r="Y3520" s="220">
        <f>X3520*0.1</f>
        <v>128000</v>
      </c>
      <c r="Z3520" s="220">
        <v>11930</v>
      </c>
      <c r="AA3520" s="220">
        <f>SUM(X3520:Z3520)</f>
        <v>1419930</v>
      </c>
      <c r="AB3520" s="222">
        <v>46014</v>
      </c>
    </row>
    <row r="3521" spans="1:28" ht="17.100000000000001" customHeight="1" thickBot="1">
      <c r="A3521" s="227"/>
      <c r="B3521" s="27" t="s">
        <v>10746</v>
      </c>
      <c r="C3521" s="27">
        <v>20191</v>
      </c>
      <c r="D3521" s="14" t="s">
        <v>5400</v>
      </c>
      <c r="E3521" s="229"/>
      <c r="F3521" s="117" t="s">
        <v>11094</v>
      </c>
      <c r="G3521" s="26">
        <v>55033</v>
      </c>
      <c r="H3521" s="231"/>
      <c r="I3521" s="221"/>
      <c r="J3521" s="221"/>
      <c r="K3521" s="221"/>
      <c r="L3521" s="221"/>
      <c r="M3521" s="221"/>
      <c r="N3521" s="221"/>
      <c r="O3521" s="225"/>
      <c r="P3521" s="118" t="s">
        <v>11096</v>
      </c>
      <c r="Q3521" s="16" t="s">
        <v>20</v>
      </c>
      <c r="R3521" s="17" t="s">
        <v>2586</v>
      </c>
      <c r="S3521" s="121" t="s">
        <v>1923</v>
      </c>
      <c r="T3521" s="122"/>
      <c r="U3521" s="22"/>
      <c r="V3521" s="123" t="s">
        <v>2472</v>
      </c>
      <c r="W3521" s="122">
        <v>80138</v>
      </c>
      <c r="X3521" s="221"/>
      <c r="Y3521" s="221"/>
      <c r="Z3521" s="221"/>
      <c r="AA3521" s="221"/>
      <c r="AB3521" s="223"/>
    </row>
    <row r="3522" spans="1:28" ht="17.100000000000001" customHeight="1" thickTop="1">
      <c r="A3522" s="226" t="s">
        <v>10848</v>
      </c>
      <c r="B3522" s="28">
        <v>45978</v>
      </c>
      <c r="C3522" s="25"/>
      <c r="D3522" s="13" t="s">
        <v>10784</v>
      </c>
      <c r="E3522" s="228"/>
      <c r="F3522" s="109" t="s">
        <v>10786</v>
      </c>
      <c r="G3522" s="24" t="s">
        <v>10788</v>
      </c>
      <c r="H3522" s="230">
        <v>4</v>
      </c>
      <c r="I3522" s="220">
        <v>551000</v>
      </c>
      <c r="J3522" s="220">
        <f>I3522*0.1</f>
        <v>55100</v>
      </c>
      <c r="K3522" s="220">
        <f>13100+1310</f>
        <v>14410</v>
      </c>
      <c r="L3522" s="220">
        <v>19120</v>
      </c>
      <c r="M3522" s="220">
        <v>14850</v>
      </c>
      <c r="N3522" s="220">
        <f>SUM(I3522:M3523)</f>
        <v>654480</v>
      </c>
      <c r="O3522" s="224"/>
      <c r="P3522" s="110" t="s">
        <v>10789</v>
      </c>
      <c r="Q3522" s="15" t="s">
        <v>19</v>
      </c>
      <c r="R3522" s="205"/>
      <c r="S3522" s="189" t="s">
        <v>758</v>
      </c>
      <c r="T3522" s="114"/>
      <c r="U3522" s="21"/>
      <c r="V3522" s="115">
        <v>46004</v>
      </c>
      <c r="W3522" s="116">
        <v>1280</v>
      </c>
      <c r="X3522" s="220">
        <v>685000</v>
      </c>
      <c r="Y3522" s="220">
        <f>X3522*0.1</f>
        <v>68500</v>
      </c>
      <c r="Z3522" s="220">
        <v>19120</v>
      </c>
      <c r="AA3522" s="220">
        <f>SUM(X3522:Z3522)</f>
        <v>772620</v>
      </c>
      <c r="AB3522" s="222">
        <v>46014</v>
      </c>
    </row>
    <row r="3523" spans="1:28" ht="17.100000000000001" customHeight="1" thickBot="1">
      <c r="A3523" s="227"/>
      <c r="B3523" s="27" t="s">
        <v>10783</v>
      </c>
      <c r="C3523" s="27">
        <v>55206</v>
      </c>
      <c r="D3523" s="14" t="s">
        <v>10785</v>
      </c>
      <c r="E3523" s="229"/>
      <c r="F3523" s="117" t="s">
        <v>10787</v>
      </c>
      <c r="G3523" s="26">
        <v>61763</v>
      </c>
      <c r="H3523" s="231"/>
      <c r="I3523" s="221"/>
      <c r="J3523" s="221"/>
      <c r="K3523" s="221"/>
      <c r="L3523" s="221"/>
      <c r="M3523" s="221"/>
      <c r="N3523" s="221"/>
      <c r="O3523" s="225"/>
      <c r="P3523" s="118" t="s">
        <v>4094</v>
      </c>
      <c r="Q3523" s="16" t="s">
        <v>20</v>
      </c>
      <c r="R3523" s="17" t="s">
        <v>2188</v>
      </c>
      <c r="S3523" s="121" t="s">
        <v>11198</v>
      </c>
      <c r="T3523" s="122"/>
      <c r="U3523" s="22"/>
      <c r="V3523" s="123" t="s">
        <v>7160</v>
      </c>
      <c r="W3523" s="122">
        <v>80093</v>
      </c>
      <c r="X3523" s="221"/>
      <c r="Y3523" s="221"/>
      <c r="Z3523" s="221"/>
      <c r="AA3523" s="221"/>
      <c r="AB3523" s="223"/>
    </row>
    <row r="3524" spans="1:28" ht="17.100000000000001" customHeight="1" thickTop="1">
      <c r="A3524" s="226" t="s">
        <v>10849</v>
      </c>
      <c r="B3524" s="28">
        <v>45978</v>
      </c>
      <c r="C3524" s="25">
        <v>2069</v>
      </c>
      <c r="D3524" s="13" t="s">
        <v>10770</v>
      </c>
      <c r="E3524" s="228"/>
      <c r="F3524" s="109" t="s">
        <v>10772</v>
      </c>
      <c r="G3524" s="24"/>
      <c r="H3524" s="230">
        <v>4</v>
      </c>
      <c r="I3524" s="220">
        <v>2010000</v>
      </c>
      <c r="J3524" s="220">
        <f>I3524*0.1</f>
        <v>201000</v>
      </c>
      <c r="K3524" s="220">
        <v>0</v>
      </c>
      <c r="L3524" s="220">
        <v>20630</v>
      </c>
      <c r="M3524" s="220">
        <v>11000</v>
      </c>
      <c r="N3524" s="220">
        <f>SUM(I3524:M3525)</f>
        <v>2242630</v>
      </c>
      <c r="O3524" s="224"/>
      <c r="P3524" s="110" t="s">
        <v>10984</v>
      </c>
      <c r="Q3524" s="15" t="s">
        <v>19</v>
      </c>
      <c r="R3524" s="205"/>
      <c r="S3524" s="189"/>
      <c r="T3524" s="114"/>
      <c r="U3524" s="21"/>
      <c r="V3524" s="115">
        <v>45990</v>
      </c>
      <c r="W3524" s="116">
        <v>1278</v>
      </c>
      <c r="X3524" s="220">
        <v>2155000</v>
      </c>
      <c r="Y3524" s="220">
        <f>X3524*0.1</f>
        <v>215500</v>
      </c>
      <c r="Z3524" s="220">
        <v>20630</v>
      </c>
      <c r="AA3524" s="220">
        <f>SUM(X3524:Z3524)</f>
        <v>2391130</v>
      </c>
      <c r="AB3524" s="222">
        <v>45994</v>
      </c>
    </row>
    <row r="3525" spans="1:28" ht="17.100000000000001" customHeight="1" thickBot="1">
      <c r="A3525" s="227"/>
      <c r="B3525" s="27" t="s">
        <v>10769</v>
      </c>
      <c r="C3525" s="27">
        <v>32003</v>
      </c>
      <c r="D3525" s="14" t="s">
        <v>10771</v>
      </c>
      <c r="E3525" s="229"/>
      <c r="F3525" s="117" t="s">
        <v>10773</v>
      </c>
      <c r="G3525" s="26">
        <v>33649</v>
      </c>
      <c r="H3525" s="231"/>
      <c r="I3525" s="221"/>
      <c r="J3525" s="221"/>
      <c r="K3525" s="221"/>
      <c r="L3525" s="221"/>
      <c r="M3525" s="221"/>
      <c r="N3525" s="221"/>
      <c r="O3525" s="225"/>
      <c r="P3525" s="118" t="s">
        <v>2404</v>
      </c>
      <c r="Q3525" s="16" t="s">
        <v>20</v>
      </c>
      <c r="R3525" s="17" t="s">
        <v>10885</v>
      </c>
      <c r="S3525" s="121" t="s">
        <v>5222</v>
      </c>
      <c r="T3525" s="122"/>
      <c r="U3525" s="22"/>
      <c r="V3525" s="123" t="s">
        <v>2472</v>
      </c>
      <c r="W3525" s="122">
        <v>80008</v>
      </c>
      <c r="X3525" s="221"/>
      <c r="Y3525" s="221"/>
      <c r="Z3525" s="221"/>
      <c r="AA3525" s="221"/>
      <c r="AB3525" s="223"/>
    </row>
    <row r="3526" spans="1:28" ht="17.100000000000001" customHeight="1" thickTop="1">
      <c r="A3526" s="226" t="s">
        <v>10850</v>
      </c>
      <c r="B3526" s="28">
        <v>45978</v>
      </c>
      <c r="C3526" s="25">
        <v>2069</v>
      </c>
      <c r="D3526" s="13" t="s">
        <v>10774</v>
      </c>
      <c r="E3526" s="228"/>
      <c r="F3526" s="109" t="s">
        <v>10852</v>
      </c>
      <c r="G3526" s="24"/>
      <c r="H3526" s="230">
        <v>4</v>
      </c>
      <c r="I3526" s="220">
        <v>2330000</v>
      </c>
      <c r="J3526" s="220">
        <f>I3526*0.1</f>
        <v>233000</v>
      </c>
      <c r="K3526" s="220">
        <v>0</v>
      </c>
      <c r="L3526" s="220">
        <v>18800</v>
      </c>
      <c r="M3526" s="220">
        <v>11000</v>
      </c>
      <c r="N3526" s="220">
        <f>SUM(I3526:M3527)</f>
        <v>2592800</v>
      </c>
      <c r="O3526" s="224"/>
      <c r="P3526" s="110" t="s">
        <v>11106</v>
      </c>
      <c r="Q3526" s="15" t="s">
        <v>19</v>
      </c>
      <c r="R3526" s="205"/>
      <c r="S3526" s="189" t="s">
        <v>1361</v>
      </c>
      <c r="T3526" s="114"/>
      <c r="U3526" s="21"/>
      <c r="V3526" s="115">
        <v>46004</v>
      </c>
      <c r="W3526" s="116">
        <v>1280</v>
      </c>
      <c r="X3526" s="220">
        <v>2460000</v>
      </c>
      <c r="Y3526" s="220">
        <f>X3526*0.1</f>
        <v>246000</v>
      </c>
      <c r="Z3526" s="220">
        <v>18800</v>
      </c>
      <c r="AA3526" s="220">
        <f>SUM(X3526:Z3526)</f>
        <v>2724800</v>
      </c>
      <c r="AB3526" s="222">
        <v>46008</v>
      </c>
    </row>
    <row r="3527" spans="1:28" ht="17.100000000000001" customHeight="1" thickBot="1">
      <c r="A3527" s="227"/>
      <c r="B3527" s="27" t="s">
        <v>10769</v>
      </c>
      <c r="C3527" s="27">
        <v>33513</v>
      </c>
      <c r="D3527" s="14" t="s">
        <v>131</v>
      </c>
      <c r="E3527" s="229"/>
      <c r="F3527" s="117" t="s">
        <v>10775</v>
      </c>
      <c r="G3527" s="26">
        <v>36884</v>
      </c>
      <c r="H3527" s="231"/>
      <c r="I3527" s="221"/>
      <c r="J3527" s="221"/>
      <c r="K3527" s="221"/>
      <c r="L3527" s="221"/>
      <c r="M3527" s="221"/>
      <c r="N3527" s="221"/>
      <c r="O3527" s="225"/>
      <c r="P3527" s="118" t="s">
        <v>4735</v>
      </c>
      <c r="Q3527" s="16" t="s">
        <v>20</v>
      </c>
      <c r="R3527" s="17" t="s">
        <v>2586</v>
      </c>
      <c r="S3527" s="121" t="s">
        <v>169</v>
      </c>
      <c r="T3527" s="122"/>
      <c r="U3527" s="22"/>
      <c r="V3527" s="123" t="s">
        <v>6642</v>
      </c>
      <c r="W3527" s="122">
        <v>80177</v>
      </c>
      <c r="X3527" s="221"/>
      <c r="Y3527" s="221"/>
      <c r="Z3527" s="221"/>
      <c r="AA3527" s="221"/>
      <c r="AB3527" s="223"/>
    </row>
    <row r="3528" spans="1:28" ht="17.100000000000001" customHeight="1" thickTop="1">
      <c r="A3528" s="226" t="s">
        <v>10851</v>
      </c>
      <c r="B3528" s="28">
        <v>45978</v>
      </c>
      <c r="C3528" s="25">
        <v>2069</v>
      </c>
      <c r="D3528" s="13" t="s">
        <v>10776</v>
      </c>
      <c r="E3528" s="228"/>
      <c r="F3528" s="109" t="s">
        <v>10778</v>
      </c>
      <c r="G3528" s="24" t="s">
        <v>10780</v>
      </c>
      <c r="H3528" s="230">
        <v>3.5</v>
      </c>
      <c r="I3528" s="220">
        <v>2120000</v>
      </c>
      <c r="J3528" s="220">
        <f>I3528*0.1</f>
        <v>212000</v>
      </c>
      <c r="K3528" s="220">
        <f>17000+1700</f>
        <v>18700</v>
      </c>
      <c r="L3528" s="220">
        <v>18920</v>
      </c>
      <c r="M3528" s="220">
        <v>11000</v>
      </c>
      <c r="N3528" s="220">
        <f>SUM(I3528:M3529)</f>
        <v>2380620</v>
      </c>
      <c r="O3528" s="224"/>
      <c r="P3528" s="110" t="s">
        <v>11387</v>
      </c>
      <c r="Q3528" s="15" t="s">
        <v>19</v>
      </c>
      <c r="R3528" s="205"/>
      <c r="S3528" s="189" t="s">
        <v>25596</v>
      </c>
      <c r="T3528" s="114"/>
      <c r="U3528" s="21"/>
      <c r="V3528" s="115">
        <v>46011</v>
      </c>
      <c r="W3528" s="116">
        <v>1281</v>
      </c>
      <c r="X3528" s="220">
        <v>2340000</v>
      </c>
      <c r="Y3528" s="220">
        <f>X3528*0.1</f>
        <v>234000</v>
      </c>
      <c r="Z3528" s="220">
        <v>18920</v>
      </c>
      <c r="AA3528" s="220">
        <f>SUM(X3528:Z3528)</f>
        <v>2592920</v>
      </c>
      <c r="AB3528" s="222">
        <v>46014</v>
      </c>
    </row>
    <row r="3529" spans="1:28" ht="17.100000000000001" customHeight="1" thickBot="1">
      <c r="A3529" s="227"/>
      <c r="B3529" s="27" t="s">
        <v>10769</v>
      </c>
      <c r="C3529" s="27">
        <v>34514</v>
      </c>
      <c r="D3529" s="14" t="s">
        <v>10777</v>
      </c>
      <c r="E3529" s="229"/>
      <c r="F3529" s="117" t="s">
        <v>10779</v>
      </c>
      <c r="G3529" s="26">
        <v>8542</v>
      </c>
      <c r="H3529" s="231"/>
      <c r="I3529" s="221"/>
      <c r="J3529" s="221"/>
      <c r="K3529" s="221"/>
      <c r="L3529" s="221"/>
      <c r="M3529" s="221"/>
      <c r="N3529" s="221"/>
      <c r="O3529" s="225"/>
      <c r="P3529" s="118" t="s">
        <v>11388</v>
      </c>
      <c r="Q3529" s="16" t="s">
        <v>20</v>
      </c>
      <c r="R3529" s="17" t="s">
        <v>2193</v>
      </c>
      <c r="S3529" s="121" t="s">
        <v>1731</v>
      </c>
      <c r="T3529" s="122"/>
      <c r="U3529" s="22"/>
      <c r="V3529" s="123" t="s">
        <v>2472</v>
      </c>
      <c r="W3529" s="122">
        <v>80210</v>
      </c>
      <c r="X3529" s="221"/>
      <c r="Y3529" s="221"/>
      <c r="Z3529" s="221"/>
      <c r="AA3529" s="221"/>
      <c r="AB3529" s="223"/>
    </row>
    <row r="3530" spans="1:28" ht="17.100000000000001" customHeight="1" thickTop="1">
      <c r="A3530" s="226" t="s">
        <v>10853</v>
      </c>
      <c r="B3530" s="28">
        <v>45978</v>
      </c>
      <c r="C3530" s="25"/>
      <c r="D3530" s="13" t="s">
        <v>10830</v>
      </c>
      <c r="E3530" s="228"/>
      <c r="F3530" s="109" t="s">
        <v>10831</v>
      </c>
      <c r="G3530" s="24" t="s">
        <v>10833</v>
      </c>
      <c r="H3530" s="230">
        <v>5</v>
      </c>
      <c r="I3530" s="220">
        <f>6160000/1.1</f>
        <v>5600000</v>
      </c>
      <c r="J3530" s="220">
        <f>I3530*0.1</f>
        <v>560000</v>
      </c>
      <c r="K3530" s="220">
        <v>9000</v>
      </c>
      <c r="L3530" s="220">
        <v>12480</v>
      </c>
      <c r="M3530" s="220">
        <v>0</v>
      </c>
      <c r="N3530" s="220">
        <f>SUM(I3530:M3531)</f>
        <v>6181480</v>
      </c>
      <c r="O3530" s="224"/>
      <c r="P3530" s="110" t="s">
        <v>11989</v>
      </c>
      <c r="Q3530" s="15" t="s">
        <v>19</v>
      </c>
      <c r="R3530" s="205"/>
      <c r="S3530" s="189" t="s">
        <v>1422</v>
      </c>
      <c r="T3530" s="114" t="s">
        <v>12045</v>
      </c>
      <c r="U3530" s="21"/>
      <c r="V3530" s="115">
        <v>46015</v>
      </c>
      <c r="W3530" s="116">
        <v>998</v>
      </c>
      <c r="X3530" s="220">
        <v>5465000</v>
      </c>
      <c r="Y3530" s="220">
        <f>X3530*0.1</f>
        <v>546500</v>
      </c>
      <c r="Z3530" s="220">
        <v>12480</v>
      </c>
      <c r="AA3530" s="220">
        <f>SUM(X3530:Z3530)</f>
        <v>6023980</v>
      </c>
      <c r="AB3530" s="222">
        <v>46027</v>
      </c>
    </row>
    <row r="3531" spans="1:28" ht="17.100000000000001" customHeight="1" thickBot="1">
      <c r="A3531" s="227"/>
      <c r="B3531" s="27" t="s">
        <v>1708</v>
      </c>
      <c r="C3531" s="27" t="s">
        <v>10829</v>
      </c>
      <c r="D3531" s="14" t="s">
        <v>10771</v>
      </c>
      <c r="E3531" s="229"/>
      <c r="F3531" s="117" t="s">
        <v>10832</v>
      </c>
      <c r="G3531" s="26">
        <v>908</v>
      </c>
      <c r="H3531" s="231"/>
      <c r="I3531" s="221"/>
      <c r="J3531" s="221"/>
      <c r="K3531" s="221"/>
      <c r="L3531" s="221"/>
      <c r="M3531" s="221"/>
      <c r="N3531" s="221"/>
      <c r="O3531" s="225"/>
      <c r="P3531" s="118" t="s">
        <v>11990</v>
      </c>
      <c r="Q3531" s="16" t="s">
        <v>20</v>
      </c>
      <c r="R3531" s="17" t="s">
        <v>1730</v>
      </c>
      <c r="S3531" s="121" t="s">
        <v>11991</v>
      </c>
      <c r="T3531" s="122"/>
      <c r="U3531" s="22"/>
      <c r="V3531" s="123" t="s">
        <v>2747</v>
      </c>
      <c r="W3531" s="122">
        <v>6053</v>
      </c>
      <c r="X3531" s="221"/>
      <c r="Y3531" s="221"/>
      <c r="Z3531" s="221"/>
      <c r="AA3531" s="221"/>
      <c r="AB3531" s="223"/>
    </row>
    <row r="3532" spans="1:28" ht="17.100000000000001" customHeight="1" thickTop="1">
      <c r="A3532" s="226" t="s">
        <v>10887</v>
      </c>
      <c r="B3532" s="28">
        <v>45979</v>
      </c>
      <c r="C3532" s="25">
        <v>1918</v>
      </c>
      <c r="D3532" s="13" t="s">
        <v>1837</v>
      </c>
      <c r="E3532" s="228"/>
      <c r="F3532" s="109" t="s">
        <v>9863</v>
      </c>
      <c r="G3532" s="24"/>
      <c r="H3532" s="230">
        <v>4</v>
      </c>
      <c r="I3532" s="220">
        <v>1112000</v>
      </c>
      <c r="J3532" s="220">
        <f>I3532*0.1</f>
        <v>111200</v>
      </c>
      <c r="K3532" s="220">
        <v>0</v>
      </c>
      <c r="L3532" s="220">
        <v>9810</v>
      </c>
      <c r="M3532" s="220">
        <v>17050</v>
      </c>
      <c r="N3532" s="220">
        <f>SUM(I3532:M3533)</f>
        <v>1250060</v>
      </c>
      <c r="O3532" s="224"/>
      <c r="P3532" s="110" t="s">
        <v>11382</v>
      </c>
      <c r="Q3532" s="15" t="s">
        <v>19</v>
      </c>
      <c r="R3532" s="205"/>
      <c r="S3532" s="189" t="s">
        <v>758</v>
      </c>
      <c r="T3532" s="114"/>
      <c r="U3532" s="21"/>
      <c r="V3532" s="115">
        <v>46015</v>
      </c>
      <c r="W3532" s="116">
        <v>998</v>
      </c>
      <c r="X3532" s="220">
        <v>1200000</v>
      </c>
      <c r="Y3532" s="220">
        <f>X3532*0.1</f>
        <v>120000</v>
      </c>
      <c r="Z3532" s="220">
        <v>9810</v>
      </c>
      <c r="AA3532" s="220">
        <f>SUM(X3532:Z3532)</f>
        <v>1329810</v>
      </c>
      <c r="AB3532" s="222">
        <v>46028</v>
      </c>
    </row>
    <row r="3533" spans="1:28" ht="17.100000000000001" customHeight="1" thickBot="1">
      <c r="A3533" s="227"/>
      <c r="B3533" s="27" t="s">
        <v>2103</v>
      </c>
      <c r="C3533" s="27">
        <v>2182</v>
      </c>
      <c r="D3533" s="14" t="s">
        <v>273</v>
      </c>
      <c r="E3533" s="229"/>
      <c r="F3533" s="117" t="s">
        <v>10880</v>
      </c>
      <c r="G3533" s="26">
        <v>51004</v>
      </c>
      <c r="H3533" s="231"/>
      <c r="I3533" s="221"/>
      <c r="J3533" s="221"/>
      <c r="K3533" s="221"/>
      <c r="L3533" s="221"/>
      <c r="M3533" s="221"/>
      <c r="N3533" s="221"/>
      <c r="O3533" s="225"/>
      <c r="P3533" s="118" t="s">
        <v>11383</v>
      </c>
      <c r="Q3533" s="16" t="s">
        <v>20</v>
      </c>
      <c r="R3533" s="17" t="s">
        <v>2193</v>
      </c>
      <c r="S3533" s="121" t="s">
        <v>11384</v>
      </c>
      <c r="T3533" s="122"/>
      <c r="U3533" s="22"/>
      <c r="V3533" s="123" t="s">
        <v>7161</v>
      </c>
      <c r="W3533" s="122">
        <v>6076</v>
      </c>
      <c r="X3533" s="221"/>
      <c r="Y3533" s="221"/>
      <c r="Z3533" s="221"/>
      <c r="AA3533" s="221"/>
      <c r="AB3533" s="223"/>
    </row>
    <row r="3534" spans="1:28" ht="17.100000000000001" customHeight="1" thickTop="1">
      <c r="A3534" s="226" t="s">
        <v>10888</v>
      </c>
      <c r="B3534" s="28">
        <v>45979</v>
      </c>
      <c r="C3534" s="25">
        <v>1918</v>
      </c>
      <c r="D3534" s="13" t="s">
        <v>1715</v>
      </c>
      <c r="E3534" s="228"/>
      <c r="F3534" s="109" t="s">
        <v>3533</v>
      </c>
      <c r="G3534" s="24"/>
      <c r="H3534" s="230">
        <v>4</v>
      </c>
      <c r="I3534" s="220">
        <v>828000</v>
      </c>
      <c r="J3534" s="220">
        <f>I3534*0.1</f>
        <v>82800</v>
      </c>
      <c r="K3534" s="220">
        <v>0</v>
      </c>
      <c r="L3534" s="220">
        <v>7950</v>
      </c>
      <c r="M3534" s="220">
        <v>15950</v>
      </c>
      <c r="N3534" s="220">
        <f>SUM(I3534:M3535)</f>
        <v>934700</v>
      </c>
      <c r="O3534" s="224"/>
      <c r="P3534" s="110" t="s">
        <v>11268</v>
      </c>
      <c r="Q3534" s="15" t="s">
        <v>19</v>
      </c>
      <c r="R3534" s="205"/>
      <c r="S3534" s="189" t="s">
        <v>25597</v>
      </c>
      <c r="T3534" s="114"/>
      <c r="U3534" s="21"/>
      <c r="V3534" s="115">
        <v>45990</v>
      </c>
      <c r="W3534" s="116">
        <v>1278</v>
      </c>
      <c r="X3534" s="220">
        <v>925000</v>
      </c>
      <c r="Y3534" s="220">
        <f>X3534*0.1</f>
        <v>92500</v>
      </c>
      <c r="Z3534" s="220">
        <v>7950</v>
      </c>
      <c r="AA3534" s="220">
        <f>SUM(X3534:Z3534)</f>
        <v>1025450</v>
      </c>
      <c r="AB3534" s="222">
        <v>45994</v>
      </c>
    </row>
    <row r="3535" spans="1:28" ht="17.100000000000001" customHeight="1" thickBot="1">
      <c r="A3535" s="227"/>
      <c r="B3535" s="27" t="s">
        <v>2103</v>
      </c>
      <c r="C3535" s="27">
        <v>3303</v>
      </c>
      <c r="D3535" s="14" t="s">
        <v>273</v>
      </c>
      <c r="E3535" s="229"/>
      <c r="F3535" s="117" t="s">
        <v>10869</v>
      </c>
      <c r="G3535" s="26">
        <v>33265</v>
      </c>
      <c r="H3535" s="231"/>
      <c r="I3535" s="221"/>
      <c r="J3535" s="221"/>
      <c r="K3535" s="221"/>
      <c r="L3535" s="221"/>
      <c r="M3535" s="221"/>
      <c r="N3535" s="221"/>
      <c r="O3535" s="225"/>
      <c r="P3535" s="118" t="s">
        <v>7778</v>
      </c>
      <c r="Q3535" s="16" t="s">
        <v>20</v>
      </c>
      <c r="R3535" s="17" t="s">
        <v>2174</v>
      </c>
      <c r="S3535" s="121" t="s">
        <v>11269</v>
      </c>
      <c r="T3535" s="122"/>
      <c r="U3535" s="22"/>
      <c r="V3535" s="123" t="s">
        <v>2472</v>
      </c>
      <c r="W3535" s="122">
        <v>60043</v>
      </c>
      <c r="X3535" s="221"/>
      <c r="Y3535" s="221"/>
      <c r="Z3535" s="221"/>
      <c r="AA3535" s="221"/>
      <c r="AB3535" s="223"/>
    </row>
    <row r="3536" spans="1:28" ht="17.100000000000001" customHeight="1" thickTop="1">
      <c r="A3536" s="226" t="s">
        <v>10889</v>
      </c>
      <c r="B3536" s="28">
        <v>45979</v>
      </c>
      <c r="C3536" s="25">
        <v>1918</v>
      </c>
      <c r="D3536" s="13" t="s">
        <v>1829</v>
      </c>
      <c r="E3536" s="228"/>
      <c r="F3536" s="109" t="s">
        <v>10870</v>
      </c>
      <c r="G3536" s="24"/>
      <c r="H3536" s="230">
        <v>4</v>
      </c>
      <c r="I3536" s="220">
        <v>1549000</v>
      </c>
      <c r="J3536" s="220">
        <f>I3536*0.1</f>
        <v>154900</v>
      </c>
      <c r="K3536" s="220">
        <v>0</v>
      </c>
      <c r="L3536" s="220">
        <v>19880</v>
      </c>
      <c r="M3536" s="220">
        <v>15950</v>
      </c>
      <c r="N3536" s="220">
        <f>SUM(I3536:M3537)</f>
        <v>1739730</v>
      </c>
      <c r="O3536" s="224"/>
      <c r="P3536" s="110" t="s">
        <v>11375</v>
      </c>
      <c r="Q3536" s="15" t="s">
        <v>19</v>
      </c>
      <c r="R3536" s="205"/>
      <c r="S3536" s="189"/>
      <c r="T3536" s="114"/>
      <c r="U3536" s="21"/>
      <c r="V3536" s="115">
        <v>45983</v>
      </c>
      <c r="W3536" s="116">
        <v>1277</v>
      </c>
      <c r="X3536" s="220">
        <v>1720000</v>
      </c>
      <c r="Y3536" s="220">
        <f>X3536*0.1</f>
        <v>172000</v>
      </c>
      <c r="Z3536" s="220">
        <v>19880</v>
      </c>
      <c r="AA3536" s="220">
        <f>SUM(X3536:Z3536)</f>
        <v>1911880</v>
      </c>
      <c r="AB3536" s="222">
        <v>45987</v>
      </c>
    </row>
    <row r="3537" spans="1:28" ht="17.100000000000001" customHeight="1" thickBot="1">
      <c r="A3537" s="227"/>
      <c r="B3537" s="27" t="s">
        <v>2103</v>
      </c>
      <c r="C3537" s="27">
        <v>5002</v>
      </c>
      <c r="D3537" s="14" t="s">
        <v>2559</v>
      </c>
      <c r="E3537" s="229"/>
      <c r="F3537" s="117" t="s">
        <v>10871</v>
      </c>
      <c r="G3537" s="26">
        <v>41029</v>
      </c>
      <c r="H3537" s="231"/>
      <c r="I3537" s="221"/>
      <c r="J3537" s="221"/>
      <c r="K3537" s="221"/>
      <c r="L3537" s="221"/>
      <c r="M3537" s="221"/>
      <c r="N3537" s="221"/>
      <c r="O3537" s="225"/>
      <c r="P3537" s="118" t="s">
        <v>3506</v>
      </c>
      <c r="Q3537" s="16" t="s">
        <v>20</v>
      </c>
      <c r="R3537" s="17" t="s">
        <v>2174</v>
      </c>
      <c r="S3537" s="121" t="s">
        <v>11376</v>
      </c>
      <c r="T3537" s="122"/>
      <c r="U3537" s="22"/>
      <c r="V3537" s="123" t="s">
        <v>2472</v>
      </c>
      <c r="W3537" s="122">
        <v>80363</v>
      </c>
      <c r="X3537" s="221"/>
      <c r="Y3537" s="221"/>
      <c r="Z3537" s="221"/>
      <c r="AA3537" s="221"/>
      <c r="AB3537" s="223"/>
    </row>
    <row r="3538" spans="1:28" ht="17.100000000000001" customHeight="1" thickTop="1">
      <c r="A3538" s="233" t="s">
        <v>10890</v>
      </c>
      <c r="B3538" s="28">
        <v>45979</v>
      </c>
      <c r="C3538" s="25">
        <v>916</v>
      </c>
      <c r="D3538" s="13" t="s">
        <v>2158</v>
      </c>
      <c r="E3538" s="228"/>
      <c r="F3538" s="109" t="s">
        <v>10872</v>
      </c>
      <c r="G3538" s="24"/>
      <c r="H3538" s="230">
        <v>4</v>
      </c>
      <c r="I3538" s="220">
        <v>951000</v>
      </c>
      <c r="J3538" s="220">
        <f>I3538*0.1</f>
        <v>95100</v>
      </c>
      <c r="K3538" s="220">
        <v>0</v>
      </c>
      <c r="L3538" s="220">
        <v>7440</v>
      </c>
      <c r="M3538" s="220">
        <v>15950</v>
      </c>
      <c r="N3538" s="220">
        <f>SUM(I3538:M3539)</f>
        <v>1069490</v>
      </c>
      <c r="O3538" s="224"/>
      <c r="P3538" s="110" t="s">
        <v>11385</v>
      </c>
      <c r="Q3538" s="15" t="s">
        <v>19</v>
      </c>
      <c r="R3538" s="205"/>
      <c r="S3538" s="189"/>
      <c r="T3538" s="114"/>
      <c r="U3538" s="21"/>
      <c r="V3538" s="115">
        <v>46039</v>
      </c>
      <c r="W3538" s="116">
        <v>1284</v>
      </c>
      <c r="X3538" s="220">
        <v>1000000</v>
      </c>
      <c r="Y3538" s="220">
        <f>X3538*0.1</f>
        <v>100000</v>
      </c>
      <c r="Z3538" s="220">
        <v>7440</v>
      </c>
      <c r="AA3538" s="220">
        <f>SUM(X3538:Z3538)</f>
        <v>1107440</v>
      </c>
      <c r="AB3538" s="222">
        <v>46042</v>
      </c>
    </row>
    <row r="3539" spans="1:28" ht="17.100000000000001" customHeight="1" thickBot="1">
      <c r="A3539" s="234"/>
      <c r="B3539" s="27" t="s">
        <v>2654</v>
      </c>
      <c r="C3539" s="27">
        <v>62047</v>
      </c>
      <c r="D3539" s="14" t="s">
        <v>1584</v>
      </c>
      <c r="E3539" s="229"/>
      <c r="F3539" s="117" t="s">
        <v>10873</v>
      </c>
      <c r="G3539" s="26">
        <v>34964</v>
      </c>
      <c r="H3539" s="231"/>
      <c r="I3539" s="221"/>
      <c r="J3539" s="221"/>
      <c r="K3539" s="221"/>
      <c r="L3539" s="221"/>
      <c r="M3539" s="221"/>
      <c r="N3539" s="221"/>
      <c r="O3539" s="225"/>
      <c r="P3539" s="118" t="s">
        <v>7323</v>
      </c>
      <c r="Q3539" s="16" t="s">
        <v>20</v>
      </c>
      <c r="R3539" s="17" t="s">
        <v>2193</v>
      </c>
      <c r="S3539" s="121" t="s">
        <v>11120</v>
      </c>
      <c r="T3539" s="122"/>
      <c r="U3539" s="22"/>
      <c r="V3539" s="123" t="s">
        <v>2472</v>
      </c>
      <c r="W3539" s="122">
        <v>41048</v>
      </c>
      <c r="X3539" s="221"/>
      <c r="Y3539" s="221"/>
      <c r="Z3539" s="221"/>
      <c r="AA3539" s="221"/>
      <c r="AB3539" s="223"/>
    </row>
    <row r="3540" spans="1:28" ht="17.100000000000001" customHeight="1" thickTop="1">
      <c r="A3540" s="226" t="s">
        <v>10891</v>
      </c>
      <c r="B3540" s="28">
        <v>45979</v>
      </c>
      <c r="C3540" s="25">
        <v>1217</v>
      </c>
      <c r="D3540" s="13" t="s">
        <v>3422</v>
      </c>
      <c r="E3540" s="228"/>
      <c r="F3540" s="109" t="s">
        <v>7061</v>
      </c>
      <c r="G3540" s="24"/>
      <c r="H3540" s="230">
        <v>4.5</v>
      </c>
      <c r="I3540" s="220">
        <v>875000</v>
      </c>
      <c r="J3540" s="220">
        <f>I3540*0.1</f>
        <v>87500</v>
      </c>
      <c r="K3540" s="220">
        <v>0</v>
      </c>
      <c r="L3540" s="220">
        <v>12450</v>
      </c>
      <c r="M3540" s="220">
        <v>15950</v>
      </c>
      <c r="N3540" s="220">
        <f>SUM(I3540:M3541)</f>
        <v>990900</v>
      </c>
      <c r="O3540" s="224"/>
      <c r="P3540" s="110" t="s">
        <v>11247</v>
      </c>
      <c r="Q3540" s="15" t="s">
        <v>19</v>
      </c>
      <c r="R3540" s="205"/>
      <c r="S3540" s="189"/>
      <c r="T3540" s="114"/>
      <c r="U3540" s="21"/>
      <c r="V3540" s="115">
        <v>45983</v>
      </c>
      <c r="W3540" s="116">
        <v>1277</v>
      </c>
      <c r="X3540" s="220">
        <v>1065000</v>
      </c>
      <c r="Y3540" s="220">
        <f>X3540*0.1</f>
        <v>106500</v>
      </c>
      <c r="Z3540" s="220">
        <v>12450</v>
      </c>
      <c r="AA3540" s="220">
        <f>SUM(X3540:Z3540)</f>
        <v>1183950</v>
      </c>
      <c r="AB3540" s="222">
        <v>45992</v>
      </c>
    </row>
    <row r="3541" spans="1:28" ht="17.100000000000001" customHeight="1" thickBot="1">
      <c r="A3541" s="227"/>
      <c r="B3541" s="27" t="s">
        <v>2344</v>
      </c>
      <c r="C3541" s="27">
        <v>5022</v>
      </c>
      <c r="D3541" s="14" t="s">
        <v>898</v>
      </c>
      <c r="E3541" s="229"/>
      <c r="F3541" s="117" t="s">
        <v>10874</v>
      </c>
      <c r="G3541" s="26">
        <v>54474</v>
      </c>
      <c r="H3541" s="231"/>
      <c r="I3541" s="221"/>
      <c r="J3541" s="221"/>
      <c r="K3541" s="221"/>
      <c r="L3541" s="221"/>
      <c r="M3541" s="221"/>
      <c r="N3541" s="221"/>
      <c r="O3541" s="225"/>
      <c r="P3541" s="118" t="s">
        <v>11248</v>
      </c>
      <c r="Q3541" s="16" t="s">
        <v>20</v>
      </c>
      <c r="R3541" s="17" t="s">
        <v>11246</v>
      </c>
      <c r="S3541" s="121" t="s">
        <v>11249</v>
      </c>
      <c r="T3541" s="122"/>
      <c r="U3541" s="22"/>
      <c r="V3541" s="123" t="s">
        <v>2472</v>
      </c>
      <c r="W3541" s="122">
        <v>80425</v>
      </c>
      <c r="X3541" s="221"/>
      <c r="Y3541" s="221"/>
      <c r="Z3541" s="221"/>
      <c r="AA3541" s="221"/>
      <c r="AB3541" s="223"/>
    </row>
    <row r="3542" spans="1:28" ht="17.100000000000001" customHeight="1" thickTop="1">
      <c r="A3542" s="226" t="s">
        <v>10892</v>
      </c>
      <c r="B3542" s="28">
        <v>45979</v>
      </c>
      <c r="C3542" s="25">
        <v>1217</v>
      </c>
      <c r="D3542" s="13" t="s">
        <v>1715</v>
      </c>
      <c r="E3542" s="228"/>
      <c r="F3542" s="109" t="s">
        <v>4483</v>
      </c>
      <c r="G3542" s="24"/>
      <c r="H3542" s="230">
        <v>4</v>
      </c>
      <c r="I3542" s="220">
        <v>854000</v>
      </c>
      <c r="J3542" s="220">
        <f>I3542*0.1</f>
        <v>85400</v>
      </c>
      <c r="K3542" s="220">
        <v>0</v>
      </c>
      <c r="L3542" s="220">
        <v>17600</v>
      </c>
      <c r="M3542" s="220">
        <v>15950</v>
      </c>
      <c r="N3542" s="220">
        <f>SUM(I3542:M3543)</f>
        <v>972950</v>
      </c>
      <c r="O3542" s="224"/>
      <c r="P3542" s="110" t="s">
        <v>11261</v>
      </c>
      <c r="Q3542" s="15" t="s">
        <v>19</v>
      </c>
      <c r="R3542" s="205"/>
      <c r="S3542" s="189"/>
      <c r="T3542" s="114"/>
      <c r="U3542" s="21"/>
      <c r="V3542" s="115">
        <v>45997</v>
      </c>
      <c r="W3542" s="116">
        <v>1279</v>
      </c>
      <c r="X3542" s="220">
        <v>1205000</v>
      </c>
      <c r="Y3542" s="220">
        <f>X3542*0.1</f>
        <v>120500</v>
      </c>
      <c r="Z3542" s="220">
        <v>17600</v>
      </c>
      <c r="AA3542" s="220">
        <f>SUM(X3542:Z3542)</f>
        <v>1343100</v>
      </c>
      <c r="AB3542" s="222">
        <v>46000</v>
      </c>
    </row>
    <row r="3543" spans="1:28" ht="17.100000000000001" customHeight="1" thickBot="1">
      <c r="A3543" s="227"/>
      <c r="B3543" s="27" t="s">
        <v>2344</v>
      </c>
      <c r="C3543" s="27">
        <v>5024</v>
      </c>
      <c r="D3543" s="14" t="s">
        <v>898</v>
      </c>
      <c r="E3543" s="229"/>
      <c r="F3543" s="117" t="s">
        <v>10875</v>
      </c>
      <c r="G3543" s="26">
        <v>66695</v>
      </c>
      <c r="H3543" s="231"/>
      <c r="I3543" s="221"/>
      <c r="J3543" s="221"/>
      <c r="K3543" s="221"/>
      <c r="L3543" s="221"/>
      <c r="M3543" s="221"/>
      <c r="N3543" s="221"/>
      <c r="O3543" s="225"/>
      <c r="P3543" s="118" t="s">
        <v>2440</v>
      </c>
      <c r="Q3543" s="16" t="s">
        <v>20</v>
      </c>
      <c r="R3543" s="17" t="s">
        <v>2174</v>
      </c>
      <c r="S3543" s="121" t="s">
        <v>5222</v>
      </c>
      <c r="T3543" s="122"/>
      <c r="U3543" s="22"/>
      <c r="V3543" s="123" t="s">
        <v>2472</v>
      </c>
      <c r="W3543" s="122">
        <v>80072</v>
      </c>
      <c r="X3543" s="221"/>
      <c r="Y3543" s="221"/>
      <c r="Z3543" s="221"/>
      <c r="AA3543" s="221"/>
      <c r="AB3543" s="223"/>
    </row>
    <row r="3544" spans="1:28" ht="17.100000000000001" customHeight="1" thickTop="1">
      <c r="A3544" s="226" t="s">
        <v>10893</v>
      </c>
      <c r="B3544" s="28">
        <v>45979</v>
      </c>
      <c r="C3544" s="25">
        <v>361</v>
      </c>
      <c r="D3544" s="13" t="s">
        <v>2712</v>
      </c>
      <c r="E3544" s="228"/>
      <c r="F3544" s="109" t="s">
        <v>10900</v>
      </c>
      <c r="G3544" s="24"/>
      <c r="H3544" s="230">
        <v>4</v>
      </c>
      <c r="I3544" s="220">
        <v>689000</v>
      </c>
      <c r="J3544" s="220">
        <f>I3544*0.1</f>
        <v>68900</v>
      </c>
      <c r="K3544" s="220">
        <v>0</v>
      </c>
      <c r="L3544" s="220">
        <v>7860</v>
      </c>
      <c r="M3544" s="220">
        <v>22000</v>
      </c>
      <c r="N3544" s="220">
        <f>SUM(I3544:M3545)</f>
        <v>787760</v>
      </c>
      <c r="O3544" s="224"/>
      <c r="P3544" s="110" t="s">
        <v>11266</v>
      </c>
      <c r="Q3544" s="15" t="s">
        <v>19</v>
      </c>
      <c r="R3544" s="205"/>
      <c r="S3544" s="189" t="s">
        <v>1361</v>
      </c>
      <c r="T3544" s="114"/>
      <c r="U3544" s="21"/>
      <c r="V3544" s="115">
        <v>45986</v>
      </c>
      <c r="W3544" s="116">
        <v>1919</v>
      </c>
      <c r="X3544" s="220">
        <v>719000</v>
      </c>
      <c r="Y3544" s="220">
        <f>X3544*0.1</f>
        <v>71900</v>
      </c>
      <c r="Z3544" s="220">
        <v>7860</v>
      </c>
      <c r="AA3544" s="220">
        <f>SUM(X3544:Z3544)</f>
        <v>798760</v>
      </c>
      <c r="AB3544" s="222"/>
    </row>
    <row r="3545" spans="1:28" ht="17.100000000000001" customHeight="1" thickBot="1">
      <c r="A3545" s="227"/>
      <c r="B3545" s="27" t="s">
        <v>8817</v>
      </c>
      <c r="C3545" s="27">
        <v>1165</v>
      </c>
      <c r="D3545" s="14" t="s">
        <v>273</v>
      </c>
      <c r="E3545" s="229"/>
      <c r="F3545" s="117" t="s">
        <v>10901</v>
      </c>
      <c r="G3545" s="26">
        <v>49533</v>
      </c>
      <c r="H3545" s="231"/>
      <c r="I3545" s="221"/>
      <c r="J3545" s="221"/>
      <c r="K3545" s="221"/>
      <c r="L3545" s="221"/>
      <c r="M3545" s="221"/>
      <c r="N3545" s="221"/>
      <c r="O3545" s="225"/>
      <c r="P3545" s="118" t="s">
        <v>11267</v>
      </c>
      <c r="Q3545" s="16" t="s">
        <v>20</v>
      </c>
      <c r="R3545" s="17" t="s">
        <v>2174</v>
      </c>
      <c r="S3545" s="121" t="s">
        <v>4852</v>
      </c>
      <c r="T3545" s="122"/>
      <c r="U3545" s="22"/>
      <c r="V3545" s="123" t="s">
        <v>11417</v>
      </c>
      <c r="W3545" s="122">
        <v>3255</v>
      </c>
      <c r="X3545" s="221"/>
      <c r="Y3545" s="221"/>
      <c r="Z3545" s="221"/>
      <c r="AA3545" s="221"/>
      <c r="AB3545" s="223"/>
    </row>
    <row r="3546" spans="1:28" ht="17.100000000000001" customHeight="1" thickTop="1">
      <c r="A3546" s="226" t="s">
        <v>10894</v>
      </c>
      <c r="B3546" s="28">
        <v>45979</v>
      </c>
      <c r="C3546" s="25">
        <v>1070</v>
      </c>
      <c r="D3546" s="13" t="s">
        <v>2690</v>
      </c>
      <c r="E3546" s="228"/>
      <c r="F3546" s="109" t="s">
        <v>10902</v>
      </c>
      <c r="G3546" s="24" t="s">
        <v>10904</v>
      </c>
      <c r="H3546" s="230">
        <v>4.5</v>
      </c>
      <c r="I3546" s="220">
        <v>1987000</v>
      </c>
      <c r="J3546" s="220">
        <f>I3546*0.1</f>
        <v>198700</v>
      </c>
      <c r="K3546" s="220">
        <f>10100+1010</f>
        <v>11110</v>
      </c>
      <c r="L3546" s="220">
        <v>17930</v>
      </c>
      <c r="M3546" s="220">
        <v>16500</v>
      </c>
      <c r="N3546" s="220">
        <f>SUM(I3546:M3547)</f>
        <v>2231240</v>
      </c>
      <c r="O3546" s="224"/>
      <c r="P3546" s="110" t="s">
        <v>10905</v>
      </c>
      <c r="Q3546" s="15" t="s">
        <v>19</v>
      </c>
      <c r="R3546" s="205"/>
      <c r="S3546" s="189" t="s">
        <v>1271</v>
      </c>
      <c r="T3546" s="114"/>
      <c r="U3546" s="21"/>
      <c r="V3546" s="115">
        <v>45981</v>
      </c>
      <c r="W3546" s="116">
        <v>1307</v>
      </c>
      <c r="X3546" s="220">
        <v>2095000</v>
      </c>
      <c r="Y3546" s="220">
        <f>X3546*0.1</f>
        <v>209500</v>
      </c>
      <c r="Z3546" s="220">
        <v>17930</v>
      </c>
      <c r="AA3546" s="220">
        <f>SUM(X3546:Z3546)</f>
        <v>2322430</v>
      </c>
      <c r="AB3546" s="222">
        <v>45982</v>
      </c>
    </row>
    <row r="3547" spans="1:28" ht="17.100000000000001" customHeight="1" thickBot="1">
      <c r="A3547" s="227"/>
      <c r="B3547" s="27" t="s">
        <v>1583</v>
      </c>
      <c r="C3547" s="27">
        <v>82087</v>
      </c>
      <c r="D3547" s="14" t="s">
        <v>1568</v>
      </c>
      <c r="E3547" s="229"/>
      <c r="F3547" s="117" t="s">
        <v>10903</v>
      </c>
      <c r="G3547" s="26">
        <v>28684</v>
      </c>
      <c r="H3547" s="231"/>
      <c r="I3547" s="221"/>
      <c r="J3547" s="221"/>
      <c r="K3547" s="221"/>
      <c r="L3547" s="221"/>
      <c r="M3547" s="221"/>
      <c r="N3547" s="221"/>
      <c r="O3547" s="225"/>
      <c r="P3547" s="118" t="s">
        <v>11244</v>
      </c>
      <c r="Q3547" s="16" t="s">
        <v>20</v>
      </c>
      <c r="R3547" s="17" t="s">
        <v>2188</v>
      </c>
      <c r="S3547" s="121" t="s">
        <v>1731</v>
      </c>
      <c r="T3547" s="122"/>
      <c r="U3547" s="22"/>
      <c r="V3547" s="123" t="s">
        <v>1735</v>
      </c>
      <c r="W3547" s="122">
        <v>197</v>
      </c>
      <c r="X3547" s="221"/>
      <c r="Y3547" s="221"/>
      <c r="Z3547" s="221"/>
      <c r="AA3547" s="221"/>
      <c r="AB3547" s="223"/>
    </row>
    <row r="3548" spans="1:28" ht="17.100000000000001" customHeight="1" thickTop="1">
      <c r="A3548" s="226" t="s">
        <v>10895</v>
      </c>
      <c r="B3548" s="28">
        <v>45979</v>
      </c>
      <c r="C3548" s="25">
        <v>966</v>
      </c>
      <c r="D3548" s="13" t="s">
        <v>2295</v>
      </c>
      <c r="E3548" s="228"/>
      <c r="F3548" s="109" t="s">
        <v>5101</v>
      </c>
      <c r="G3548" s="24"/>
      <c r="H3548" s="230">
        <v>4.5</v>
      </c>
      <c r="I3548" s="220">
        <v>518000</v>
      </c>
      <c r="J3548" s="220">
        <f>I3548*0.1</f>
        <v>51800</v>
      </c>
      <c r="K3548" s="220">
        <v>0</v>
      </c>
      <c r="L3548" s="220">
        <v>7140</v>
      </c>
      <c r="M3548" s="220">
        <v>22000</v>
      </c>
      <c r="N3548" s="220">
        <f>SUM(I3548:M3549)</f>
        <v>598940</v>
      </c>
      <c r="O3548" s="224"/>
      <c r="P3548" s="110" t="s">
        <v>11633</v>
      </c>
      <c r="Q3548" s="15" t="s">
        <v>19</v>
      </c>
      <c r="R3548" s="205"/>
      <c r="S3548" s="189" t="s">
        <v>25387</v>
      </c>
      <c r="T3548" s="114"/>
      <c r="U3548" s="21"/>
      <c r="V3548" s="115">
        <v>45986</v>
      </c>
      <c r="W3548" s="116">
        <v>1919</v>
      </c>
      <c r="X3548" s="220">
        <v>585000</v>
      </c>
      <c r="Y3548" s="220">
        <f>X3548*0.1</f>
        <v>58500</v>
      </c>
      <c r="Z3548" s="220">
        <v>7140</v>
      </c>
      <c r="AA3548" s="220">
        <f>SUM(X3548:Z3548)</f>
        <v>650640</v>
      </c>
      <c r="AB3548" s="222"/>
    </row>
    <row r="3549" spans="1:28" ht="17.100000000000001" customHeight="1" thickBot="1">
      <c r="A3549" s="227"/>
      <c r="B3549" s="27" t="s">
        <v>2029</v>
      </c>
      <c r="C3549" s="27">
        <v>14</v>
      </c>
      <c r="D3549" s="14" t="s">
        <v>1584</v>
      </c>
      <c r="E3549" s="229"/>
      <c r="F3549" s="117" t="s">
        <v>10910</v>
      </c>
      <c r="G3549" s="26">
        <v>3194</v>
      </c>
      <c r="H3549" s="231"/>
      <c r="I3549" s="221"/>
      <c r="J3549" s="221"/>
      <c r="K3549" s="221"/>
      <c r="L3549" s="221"/>
      <c r="M3549" s="221"/>
      <c r="N3549" s="221"/>
      <c r="O3549" s="225"/>
      <c r="P3549" s="118" t="s">
        <v>2446</v>
      </c>
      <c r="Q3549" s="16" t="s">
        <v>20</v>
      </c>
      <c r="R3549" s="17" t="s">
        <v>1721</v>
      </c>
      <c r="S3549" s="121" t="s">
        <v>1661</v>
      </c>
      <c r="T3549" s="122"/>
      <c r="U3549" s="22"/>
      <c r="V3549" s="123" t="s">
        <v>11557</v>
      </c>
      <c r="W3549" s="122">
        <v>3181</v>
      </c>
      <c r="X3549" s="221"/>
      <c r="Y3549" s="221"/>
      <c r="Z3549" s="221"/>
      <c r="AA3549" s="221"/>
      <c r="AB3549" s="223"/>
    </row>
    <row r="3550" spans="1:28" ht="17.100000000000001" customHeight="1" thickTop="1">
      <c r="A3550" s="226" t="s">
        <v>10896</v>
      </c>
      <c r="B3550" s="28">
        <v>45979</v>
      </c>
      <c r="C3550" s="25">
        <v>966</v>
      </c>
      <c r="D3550" s="13" t="s">
        <v>2690</v>
      </c>
      <c r="E3550" s="228"/>
      <c r="F3550" s="109" t="s">
        <v>9934</v>
      </c>
      <c r="G3550" s="24"/>
      <c r="H3550" s="230">
        <v>4</v>
      </c>
      <c r="I3550" s="220">
        <v>978000</v>
      </c>
      <c r="J3550" s="220">
        <f>I3550*0.1</f>
        <v>97800</v>
      </c>
      <c r="K3550" s="220">
        <v>0</v>
      </c>
      <c r="L3550" s="220">
        <v>7150</v>
      </c>
      <c r="M3550" s="220">
        <v>22000</v>
      </c>
      <c r="N3550" s="220">
        <f>SUM(I3550:M3551)</f>
        <v>1104950</v>
      </c>
      <c r="O3550" s="224"/>
      <c r="P3550" s="110" t="s">
        <v>11634</v>
      </c>
      <c r="Q3550" s="15" t="s">
        <v>19</v>
      </c>
      <c r="R3550" s="205"/>
      <c r="S3550" s="189" t="s">
        <v>1361</v>
      </c>
      <c r="T3550" s="129" t="s">
        <v>11635</v>
      </c>
      <c r="U3550" s="21"/>
      <c r="V3550" s="115">
        <v>45986</v>
      </c>
      <c r="W3550" s="116">
        <v>1919</v>
      </c>
      <c r="X3550" s="220">
        <v>1034000</v>
      </c>
      <c r="Y3550" s="220">
        <f>X3550*0.1</f>
        <v>103400</v>
      </c>
      <c r="Z3550" s="220">
        <v>7150</v>
      </c>
      <c r="AA3550" s="220">
        <f>SUM(X3550:Z3550)</f>
        <v>1144550</v>
      </c>
      <c r="AB3550" s="222"/>
    </row>
    <row r="3551" spans="1:28" ht="17.100000000000001" customHeight="1" thickBot="1">
      <c r="A3551" s="227"/>
      <c r="B3551" s="27" t="s">
        <v>2029</v>
      </c>
      <c r="C3551" s="27">
        <v>51</v>
      </c>
      <c r="D3551" s="14" t="s">
        <v>3792</v>
      </c>
      <c r="E3551" s="229"/>
      <c r="F3551" s="117" t="s">
        <v>10911</v>
      </c>
      <c r="G3551" s="26">
        <v>19594</v>
      </c>
      <c r="H3551" s="231"/>
      <c r="I3551" s="221"/>
      <c r="J3551" s="221"/>
      <c r="K3551" s="221"/>
      <c r="L3551" s="221"/>
      <c r="M3551" s="221"/>
      <c r="N3551" s="221"/>
      <c r="O3551" s="225"/>
      <c r="P3551" s="118" t="s">
        <v>2446</v>
      </c>
      <c r="Q3551" s="16" t="s">
        <v>20</v>
      </c>
      <c r="R3551" s="17" t="s">
        <v>1721</v>
      </c>
      <c r="S3551" s="121" t="s">
        <v>11196</v>
      </c>
      <c r="T3551" s="122"/>
      <c r="U3551" s="22"/>
      <c r="V3551" s="123" t="s">
        <v>11417</v>
      </c>
      <c r="W3551" s="122">
        <v>3261</v>
      </c>
      <c r="X3551" s="221"/>
      <c r="Y3551" s="221"/>
      <c r="Z3551" s="221"/>
      <c r="AA3551" s="221"/>
      <c r="AB3551" s="223"/>
    </row>
    <row r="3552" spans="1:28" ht="17.100000000000001" customHeight="1" thickTop="1">
      <c r="A3552" s="226" t="s">
        <v>10897</v>
      </c>
      <c r="B3552" s="28">
        <v>45979</v>
      </c>
      <c r="C3552" s="25">
        <v>966</v>
      </c>
      <c r="D3552" s="13" t="s">
        <v>1831</v>
      </c>
      <c r="E3552" s="228"/>
      <c r="F3552" s="109" t="s">
        <v>10921</v>
      </c>
      <c r="G3552" s="24"/>
      <c r="H3552" s="230">
        <v>4</v>
      </c>
      <c r="I3552" s="220">
        <v>1218000</v>
      </c>
      <c r="J3552" s="220">
        <f>I3552*0.1</f>
        <v>121800</v>
      </c>
      <c r="K3552" s="220">
        <v>0</v>
      </c>
      <c r="L3552" s="220">
        <v>8990</v>
      </c>
      <c r="M3552" s="220">
        <v>22000</v>
      </c>
      <c r="N3552" s="220">
        <f>SUM(I3552:M3553)</f>
        <v>1370790</v>
      </c>
      <c r="O3552" s="224"/>
      <c r="P3552" s="110" t="s">
        <v>11585</v>
      </c>
      <c r="Q3552" s="15" t="s">
        <v>19</v>
      </c>
      <c r="R3552" s="205"/>
      <c r="S3552" s="189" t="s">
        <v>758</v>
      </c>
      <c r="T3552" s="114"/>
      <c r="U3552" s="21"/>
      <c r="V3552" s="115">
        <v>45983</v>
      </c>
      <c r="W3552" s="116">
        <v>1277</v>
      </c>
      <c r="X3552" s="220">
        <v>1245000</v>
      </c>
      <c r="Y3552" s="220">
        <f>X3552*0.1</f>
        <v>124500</v>
      </c>
      <c r="Z3552" s="220">
        <v>8990</v>
      </c>
      <c r="AA3552" s="220">
        <f>SUM(X3552:Z3552)</f>
        <v>1378490</v>
      </c>
      <c r="AB3552" s="222">
        <v>45992</v>
      </c>
    </row>
    <row r="3553" spans="1:28" ht="17.100000000000001" customHeight="1" thickBot="1">
      <c r="A3553" s="227"/>
      <c r="B3553" s="27" t="s">
        <v>2029</v>
      </c>
      <c r="C3553" s="27">
        <v>87</v>
      </c>
      <c r="D3553" s="14" t="s">
        <v>1710</v>
      </c>
      <c r="E3553" s="229"/>
      <c r="F3553" s="117" t="s">
        <v>10912</v>
      </c>
      <c r="G3553" s="26">
        <v>11903</v>
      </c>
      <c r="H3553" s="231"/>
      <c r="I3553" s="221"/>
      <c r="J3553" s="221"/>
      <c r="K3553" s="221"/>
      <c r="L3553" s="221"/>
      <c r="M3553" s="221"/>
      <c r="N3553" s="221"/>
      <c r="O3553" s="225"/>
      <c r="P3553" s="118" t="s">
        <v>2446</v>
      </c>
      <c r="Q3553" s="16" t="s">
        <v>20</v>
      </c>
      <c r="R3553" s="17" t="s">
        <v>1721</v>
      </c>
      <c r="S3553" s="121" t="s">
        <v>11197</v>
      </c>
      <c r="T3553" s="122"/>
      <c r="U3553" s="22"/>
      <c r="V3553" s="123" t="s">
        <v>2472</v>
      </c>
      <c r="W3553" s="122">
        <v>40117</v>
      </c>
      <c r="X3553" s="221"/>
      <c r="Y3553" s="221"/>
      <c r="Z3553" s="221"/>
      <c r="AA3553" s="221"/>
      <c r="AB3553" s="223"/>
    </row>
    <row r="3554" spans="1:28" ht="17.100000000000001" customHeight="1" thickTop="1">
      <c r="A3554" s="226" t="s">
        <v>10898</v>
      </c>
      <c r="B3554" s="28">
        <v>45979</v>
      </c>
      <c r="C3554" s="25">
        <v>966</v>
      </c>
      <c r="D3554" s="13" t="s">
        <v>3269</v>
      </c>
      <c r="E3554" s="228"/>
      <c r="F3554" s="109" t="s">
        <v>10922</v>
      </c>
      <c r="G3554" s="24"/>
      <c r="H3554" s="230">
        <v>3.5</v>
      </c>
      <c r="I3554" s="220">
        <v>709000</v>
      </c>
      <c r="J3554" s="220">
        <f>I3554*0.1</f>
        <v>70900</v>
      </c>
      <c r="K3554" s="220">
        <v>0</v>
      </c>
      <c r="L3554" s="220">
        <v>7440</v>
      </c>
      <c r="M3554" s="220">
        <v>22000</v>
      </c>
      <c r="N3554" s="220">
        <f>SUM(I3554:M3555)</f>
        <v>809340</v>
      </c>
      <c r="O3554" s="224"/>
      <c r="P3554" s="110" t="s">
        <v>11636</v>
      </c>
      <c r="Q3554" s="15" t="s">
        <v>19</v>
      </c>
      <c r="R3554" s="205"/>
      <c r="S3554" s="189" t="s">
        <v>25387</v>
      </c>
      <c r="T3554" s="114"/>
      <c r="U3554" s="21"/>
      <c r="V3554" s="115">
        <v>46011</v>
      </c>
      <c r="W3554" s="116">
        <v>1281</v>
      </c>
      <c r="X3554" s="220">
        <v>710000</v>
      </c>
      <c r="Y3554" s="220">
        <f>X3554*0.1</f>
        <v>71000</v>
      </c>
      <c r="Z3554" s="220">
        <v>7440</v>
      </c>
      <c r="AA3554" s="220">
        <f>SUM(X3554:Z3554)</f>
        <v>788440</v>
      </c>
      <c r="AB3554" s="222">
        <v>46014</v>
      </c>
    </row>
    <row r="3555" spans="1:28" ht="17.100000000000001" customHeight="1" thickBot="1">
      <c r="A3555" s="227"/>
      <c r="B3555" s="27" t="s">
        <v>2029</v>
      </c>
      <c r="C3555" s="27">
        <v>132</v>
      </c>
      <c r="D3555" s="14" t="s">
        <v>1584</v>
      </c>
      <c r="E3555" s="229"/>
      <c r="F3555" s="117" t="s">
        <v>10913</v>
      </c>
      <c r="G3555" s="26">
        <v>57496</v>
      </c>
      <c r="H3555" s="231"/>
      <c r="I3555" s="221"/>
      <c r="J3555" s="221"/>
      <c r="K3555" s="221"/>
      <c r="L3555" s="221"/>
      <c r="M3555" s="221"/>
      <c r="N3555" s="221"/>
      <c r="O3555" s="225"/>
      <c r="P3555" s="118" t="s">
        <v>2446</v>
      </c>
      <c r="Q3555" s="16" t="s">
        <v>20</v>
      </c>
      <c r="R3555" s="17" t="s">
        <v>1721</v>
      </c>
      <c r="S3555" s="121" t="s">
        <v>1661</v>
      </c>
      <c r="T3555" s="122"/>
      <c r="U3555" s="22"/>
      <c r="V3555" s="123" t="s">
        <v>2472</v>
      </c>
      <c r="W3555" s="122">
        <v>41017</v>
      </c>
      <c r="X3555" s="221"/>
      <c r="Y3555" s="221"/>
      <c r="Z3555" s="221"/>
      <c r="AA3555" s="221"/>
      <c r="AB3555" s="223"/>
    </row>
    <row r="3556" spans="1:28" ht="17.100000000000001" customHeight="1" thickTop="1">
      <c r="A3556" s="226" t="s">
        <v>10899</v>
      </c>
      <c r="B3556" s="28">
        <v>45979</v>
      </c>
      <c r="C3556" s="25">
        <v>966</v>
      </c>
      <c r="D3556" s="13" t="s">
        <v>2158</v>
      </c>
      <c r="E3556" s="228"/>
      <c r="F3556" s="109" t="s">
        <v>5101</v>
      </c>
      <c r="G3556" s="24"/>
      <c r="H3556" s="230">
        <v>3.5</v>
      </c>
      <c r="I3556" s="220">
        <v>358000</v>
      </c>
      <c r="J3556" s="220">
        <f>I3556*0.1</f>
        <v>35800</v>
      </c>
      <c r="K3556" s="220">
        <v>0</v>
      </c>
      <c r="L3556" s="220">
        <v>7140</v>
      </c>
      <c r="M3556" s="220">
        <v>22000</v>
      </c>
      <c r="N3556" s="220">
        <f>SUM(I3556:M3557)</f>
        <v>422940</v>
      </c>
      <c r="O3556" s="224"/>
      <c r="P3556" s="110" t="s">
        <v>11637</v>
      </c>
      <c r="Q3556" s="15" t="s">
        <v>19</v>
      </c>
      <c r="R3556" s="205"/>
      <c r="S3556" s="189" t="s">
        <v>25387</v>
      </c>
      <c r="T3556" s="114"/>
      <c r="U3556" s="21"/>
      <c r="V3556" s="115">
        <v>45997</v>
      </c>
      <c r="W3556" s="116">
        <v>1279</v>
      </c>
      <c r="X3556" s="220">
        <v>375000</v>
      </c>
      <c r="Y3556" s="220">
        <f>X3556*0.1</f>
        <v>37500</v>
      </c>
      <c r="Z3556" s="220">
        <v>7140</v>
      </c>
      <c r="AA3556" s="220">
        <f>SUM(X3556:Z3556)</f>
        <v>419640</v>
      </c>
      <c r="AB3556" s="222">
        <v>46000</v>
      </c>
    </row>
    <row r="3557" spans="1:28" ht="17.100000000000001" customHeight="1" thickBot="1">
      <c r="A3557" s="227"/>
      <c r="B3557" s="27" t="s">
        <v>2029</v>
      </c>
      <c r="C3557" s="27">
        <v>259</v>
      </c>
      <c r="D3557" s="14" t="s">
        <v>1584</v>
      </c>
      <c r="E3557" s="229"/>
      <c r="F3557" s="117" t="s">
        <v>10914</v>
      </c>
      <c r="G3557" s="26">
        <v>45469</v>
      </c>
      <c r="H3557" s="231"/>
      <c r="I3557" s="221"/>
      <c r="J3557" s="221"/>
      <c r="K3557" s="221"/>
      <c r="L3557" s="221"/>
      <c r="M3557" s="221"/>
      <c r="N3557" s="221"/>
      <c r="O3557" s="225"/>
      <c r="P3557" s="118" t="s">
        <v>2446</v>
      </c>
      <c r="Q3557" s="16" t="s">
        <v>20</v>
      </c>
      <c r="R3557" s="17" t="s">
        <v>1721</v>
      </c>
      <c r="S3557" s="121" t="s">
        <v>1661</v>
      </c>
      <c r="T3557" s="122"/>
      <c r="U3557" s="22"/>
      <c r="V3557" s="123" t="s">
        <v>2472</v>
      </c>
      <c r="W3557" s="122">
        <v>62024</v>
      </c>
      <c r="X3557" s="221"/>
      <c r="Y3557" s="221"/>
      <c r="Z3557" s="221"/>
      <c r="AA3557" s="221"/>
      <c r="AB3557" s="223"/>
    </row>
    <row r="3558" spans="1:28" ht="17.100000000000001" customHeight="1" thickTop="1">
      <c r="A3558" s="226" t="s">
        <v>10906</v>
      </c>
      <c r="B3558" s="28">
        <v>45979</v>
      </c>
      <c r="C3558" s="25">
        <v>966</v>
      </c>
      <c r="D3558" s="13" t="s">
        <v>2573</v>
      </c>
      <c r="E3558" s="228"/>
      <c r="F3558" s="109" t="s">
        <v>10923</v>
      </c>
      <c r="G3558" s="24"/>
      <c r="H3558" s="230">
        <v>4</v>
      </c>
      <c r="I3558" s="220">
        <v>879000</v>
      </c>
      <c r="J3558" s="220">
        <f>I3558*0.1</f>
        <v>87900</v>
      </c>
      <c r="K3558" s="220">
        <v>0</v>
      </c>
      <c r="L3558" s="220">
        <v>7150</v>
      </c>
      <c r="M3558" s="220">
        <v>22000</v>
      </c>
      <c r="N3558" s="220">
        <f>SUM(I3558:M3559)</f>
        <v>996050</v>
      </c>
      <c r="O3558" s="224"/>
      <c r="P3558" s="110" t="s">
        <v>11767</v>
      </c>
      <c r="Q3558" s="15" t="s">
        <v>19</v>
      </c>
      <c r="R3558" s="205"/>
      <c r="S3558" s="189" t="s">
        <v>25491</v>
      </c>
      <c r="T3558" s="114"/>
      <c r="U3558" s="21"/>
      <c r="V3558" s="115">
        <v>45986</v>
      </c>
      <c r="W3558" s="116">
        <v>1919</v>
      </c>
      <c r="X3558" s="220">
        <v>922000</v>
      </c>
      <c r="Y3558" s="220">
        <f>X3558*0.1</f>
        <v>92200</v>
      </c>
      <c r="Z3558" s="220">
        <v>7150</v>
      </c>
      <c r="AA3558" s="220">
        <f>SUM(X3558:Z3558)</f>
        <v>1021350</v>
      </c>
      <c r="AB3558" s="222"/>
    </row>
    <row r="3559" spans="1:28" ht="17.100000000000001" customHeight="1" thickBot="1">
      <c r="A3559" s="227"/>
      <c r="B3559" s="27" t="s">
        <v>2029</v>
      </c>
      <c r="C3559" s="27">
        <v>1042</v>
      </c>
      <c r="D3559" s="14" t="s">
        <v>1710</v>
      </c>
      <c r="E3559" s="229"/>
      <c r="F3559" s="117" t="s">
        <v>10915</v>
      </c>
      <c r="G3559" s="26">
        <v>51030</v>
      </c>
      <c r="H3559" s="231"/>
      <c r="I3559" s="221"/>
      <c r="J3559" s="221"/>
      <c r="K3559" s="221"/>
      <c r="L3559" s="221"/>
      <c r="M3559" s="221"/>
      <c r="N3559" s="221"/>
      <c r="O3559" s="225"/>
      <c r="P3559" s="118" t="s">
        <v>4946</v>
      </c>
      <c r="Q3559" s="16" t="s">
        <v>20</v>
      </c>
      <c r="R3559" s="17" t="s">
        <v>11749</v>
      </c>
      <c r="S3559" s="121" t="s">
        <v>9586</v>
      </c>
      <c r="T3559" s="122"/>
      <c r="U3559" s="22"/>
      <c r="V3559" s="123" t="s">
        <v>11417</v>
      </c>
      <c r="W3559" s="122">
        <v>3263</v>
      </c>
      <c r="X3559" s="221"/>
      <c r="Y3559" s="221"/>
      <c r="Z3559" s="221"/>
      <c r="AA3559" s="221"/>
      <c r="AB3559" s="223"/>
    </row>
    <row r="3560" spans="1:28" ht="17.100000000000001" customHeight="1" thickTop="1">
      <c r="A3560" s="226" t="s">
        <v>10907</v>
      </c>
      <c r="B3560" s="28">
        <v>45979</v>
      </c>
      <c r="C3560" s="25">
        <v>784</v>
      </c>
      <c r="D3560" s="13" t="s">
        <v>2811</v>
      </c>
      <c r="E3560" s="228"/>
      <c r="F3560" s="109" t="s">
        <v>10920</v>
      </c>
      <c r="G3560" s="24"/>
      <c r="H3560" s="230">
        <v>4</v>
      </c>
      <c r="I3560" s="220">
        <v>689000</v>
      </c>
      <c r="J3560" s="220">
        <f>I3560*0.1</f>
        <v>68900</v>
      </c>
      <c r="K3560" s="220">
        <v>0</v>
      </c>
      <c r="L3560" s="220">
        <v>8550</v>
      </c>
      <c r="M3560" s="220">
        <v>22000</v>
      </c>
      <c r="N3560" s="220">
        <f>SUM(I3560:M3561)</f>
        <v>788450</v>
      </c>
      <c r="O3560" s="224"/>
      <c r="P3560" s="110" t="s">
        <v>11784</v>
      </c>
      <c r="Q3560" s="15" t="s">
        <v>19</v>
      </c>
      <c r="R3560" s="205"/>
      <c r="S3560" s="189" t="s">
        <v>25386</v>
      </c>
      <c r="T3560" s="114"/>
      <c r="U3560" s="21"/>
      <c r="V3560" s="115">
        <v>46000</v>
      </c>
      <c r="W3560" s="116">
        <v>1921</v>
      </c>
      <c r="X3560" s="220">
        <v>854000</v>
      </c>
      <c r="Y3560" s="220">
        <f>X3560*0.1</f>
        <v>85400</v>
      </c>
      <c r="Z3560" s="220">
        <v>8550</v>
      </c>
      <c r="AA3560" s="220">
        <f>SUM(X3560:Z3560)</f>
        <v>947950</v>
      </c>
      <c r="AB3560" s="222">
        <v>46006</v>
      </c>
    </row>
    <row r="3561" spans="1:28" ht="17.100000000000001" customHeight="1" thickBot="1">
      <c r="A3561" s="227"/>
      <c r="B3561" s="27" t="s">
        <v>4416</v>
      </c>
      <c r="C3561" s="27">
        <v>228</v>
      </c>
      <c r="D3561" s="14" t="s">
        <v>2559</v>
      </c>
      <c r="E3561" s="229"/>
      <c r="F3561" s="117" t="s">
        <v>10916</v>
      </c>
      <c r="G3561" s="26">
        <v>55238</v>
      </c>
      <c r="H3561" s="231"/>
      <c r="I3561" s="221"/>
      <c r="J3561" s="221"/>
      <c r="K3561" s="221"/>
      <c r="L3561" s="221"/>
      <c r="M3561" s="221"/>
      <c r="N3561" s="221"/>
      <c r="O3561" s="225"/>
      <c r="P3561" s="118" t="s">
        <v>2404</v>
      </c>
      <c r="Q3561" s="16" t="s">
        <v>20</v>
      </c>
      <c r="R3561" s="17" t="s">
        <v>11749</v>
      </c>
      <c r="S3561" s="121" t="s">
        <v>12277</v>
      </c>
      <c r="T3561" s="122"/>
      <c r="U3561" s="22"/>
      <c r="V3561" s="123" t="s">
        <v>2103</v>
      </c>
      <c r="W3561" s="122">
        <v>3259</v>
      </c>
      <c r="X3561" s="221"/>
      <c r="Y3561" s="221"/>
      <c r="Z3561" s="221"/>
      <c r="AA3561" s="221"/>
      <c r="AB3561" s="223"/>
    </row>
    <row r="3562" spans="1:28" ht="17.100000000000001" customHeight="1" thickTop="1">
      <c r="A3562" s="226" t="s">
        <v>10908</v>
      </c>
      <c r="B3562" s="28">
        <v>45980</v>
      </c>
      <c r="C3562" s="25">
        <v>1814</v>
      </c>
      <c r="D3562" s="13" t="s">
        <v>2158</v>
      </c>
      <c r="E3562" s="228"/>
      <c r="F3562" s="109" t="s">
        <v>8433</v>
      </c>
      <c r="G3562" s="24"/>
      <c r="H3562" s="230">
        <v>4.5</v>
      </c>
      <c r="I3562" s="220">
        <v>1970000</v>
      </c>
      <c r="J3562" s="220">
        <f>I3562*0.1</f>
        <v>197000</v>
      </c>
      <c r="K3562" s="220">
        <v>0</v>
      </c>
      <c r="L3562" s="220">
        <v>11740</v>
      </c>
      <c r="M3562" s="220">
        <v>18150</v>
      </c>
      <c r="N3562" s="220">
        <f>SUM(I3562:M3563)</f>
        <v>2196890</v>
      </c>
      <c r="O3562" s="224"/>
      <c r="P3562" s="110" t="s">
        <v>11262</v>
      </c>
      <c r="Q3562" s="15" t="s">
        <v>19</v>
      </c>
      <c r="R3562" s="205"/>
      <c r="S3562" s="189"/>
      <c r="T3562" s="114"/>
      <c r="U3562" s="21"/>
      <c r="V3562" s="115">
        <v>46018</v>
      </c>
      <c r="W3562" s="116">
        <v>1282</v>
      </c>
      <c r="X3562" s="220">
        <v>2130000</v>
      </c>
      <c r="Y3562" s="220">
        <f>X3562*0.1</f>
        <v>213000</v>
      </c>
      <c r="Z3562" s="220">
        <v>11740</v>
      </c>
      <c r="AA3562" s="220">
        <f>SUM(X3562:Z3562)</f>
        <v>2354740</v>
      </c>
      <c r="AB3562" s="222">
        <v>46028</v>
      </c>
    </row>
    <row r="3563" spans="1:28" ht="17.100000000000001" customHeight="1" thickBot="1">
      <c r="A3563" s="227"/>
      <c r="B3563" s="27" t="s">
        <v>2519</v>
      </c>
      <c r="C3563" s="27">
        <v>38049</v>
      </c>
      <c r="D3563" s="14" t="s">
        <v>2088</v>
      </c>
      <c r="E3563" s="229"/>
      <c r="F3563" s="117" t="s">
        <v>10917</v>
      </c>
      <c r="G3563" s="26">
        <v>30032</v>
      </c>
      <c r="H3563" s="231"/>
      <c r="I3563" s="221"/>
      <c r="J3563" s="221"/>
      <c r="K3563" s="221"/>
      <c r="L3563" s="221"/>
      <c r="M3563" s="221"/>
      <c r="N3563" s="221"/>
      <c r="O3563" s="225"/>
      <c r="P3563" s="118" t="s">
        <v>11263</v>
      </c>
      <c r="Q3563" s="16" t="s">
        <v>20</v>
      </c>
      <c r="R3563" s="17" t="s">
        <v>2174</v>
      </c>
      <c r="S3563" s="121" t="s">
        <v>14081</v>
      </c>
      <c r="T3563" s="122"/>
      <c r="U3563" s="22"/>
      <c r="V3563" s="123" t="s">
        <v>2472</v>
      </c>
      <c r="W3563" s="122">
        <v>80173</v>
      </c>
      <c r="X3563" s="221"/>
      <c r="Y3563" s="221"/>
      <c r="Z3563" s="221"/>
      <c r="AA3563" s="221"/>
      <c r="AB3563" s="223"/>
    </row>
    <row r="3564" spans="1:28" ht="17.100000000000001" customHeight="1" thickTop="1">
      <c r="A3564" s="226" t="s">
        <v>10909</v>
      </c>
      <c r="B3564" s="28">
        <v>45980</v>
      </c>
      <c r="C3564" s="25">
        <v>1814</v>
      </c>
      <c r="D3564" s="13" t="s">
        <v>2239</v>
      </c>
      <c r="E3564" s="228"/>
      <c r="F3564" s="109" t="s">
        <v>5332</v>
      </c>
      <c r="G3564" s="24" t="s">
        <v>3859</v>
      </c>
      <c r="H3564" s="230">
        <v>4.5</v>
      </c>
      <c r="I3564" s="220">
        <v>1245000</v>
      </c>
      <c r="J3564" s="220">
        <f>I3564*0.1</f>
        <v>124500</v>
      </c>
      <c r="K3564" s="220">
        <f>4700+470</f>
        <v>5170</v>
      </c>
      <c r="L3564" s="220">
        <v>8990</v>
      </c>
      <c r="M3564" s="220">
        <v>18150</v>
      </c>
      <c r="N3564" s="220">
        <f>SUM(I3564:M3565)</f>
        <v>1401810</v>
      </c>
      <c r="O3564" s="224"/>
      <c r="P3564" s="110" t="s">
        <v>10919</v>
      </c>
      <c r="Q3564" s="15" t="s">
        <v>19</v>
      </c>
      <c r="R3564" s="205"/>
      <c r="S3564" s="189" t="s">
        <v>25451</v>
      </c>
      <c r="T3564" s="114"/>
      <c r="U3564" s="21"/>
      <c r="V3564" s="115">
        <v>46011</v>
      </c>
      <c r="W3564" s="116">
        <v>1281</v>
      </c>
      <c r="X3564" s="220">
        <v>1280000</v>
      </c>
      <c r="Y3564" s="220">
        <f>X3564*0.1</f>
        <v>128000</v>
      </c>
      <c r="Z3564" s="220">
        <v>8990</v>
      </c>
      <c r="AA3564" s="220">
        <f>SUM(X3564:Z3564)</f>
        <v>1416990</v>
      </c>
      <c r="AB3564" s="222">
        <v>46014</v>
      </c>
    </row>
    <row r="3565" spans="1:28" ht="17.100000000000001" customHeight="1" thickBot="1">
      <c r="A3565" s="227"/>
      <c r="B3565" s="27" t="s">
        <v>2519</v>
      </c>
      <c r="C3565" s="27">
        <v>40159</v>
      </c>
      <c r="D3565" s="14" t="s">
        <v>1584</v>
      </c>
      <c r="E3565" s="229"/>
      <c r="F3565" s="117" t="s">
        <v>10918</v>
      </c>
      <c r="G3565" s="26">
        <v>10870</v>
      </c>
      <c r="H3565" s="231"/>
      <c r="I3565" s="221"/>
      <c r="J3565" s="221"/>
      <c r="K3565" s="221"/>
      <c r="L3565" s="221"/>
      <c r="M3565" s="221"/>
      <c r="N3565" s="221"/>
      <c r="O3565" s="225"/>
      <c r="P3565" s="118" t="s">
        <v>7414</v>
      </c>
      <c r="Q3565" s="16" t="s">
        <v>20</v>
      </c>
      <c r="R3565" s="17" t="s">
        <v>11749</v>
      </c>
      <c r="S3565" s="121" t="s">
        <v>4345</v>
      </c>
      <c r="T3565" s="122"/>
      <c r="U3565" s="22"/>
      <c r="V3565" s="123" t="s">
        <v>2472</v>
      </c>
      <c r="W3565" s="122">
        <v>41035</v>
      </c>
      <c r="X3565" s="221"/>
      <c r="Y3565" s="221"/>
      <c r="Z3565" s="221"/>
      <c r="AA3565" s="221"/>
      <c r="AB3565" s="223"/>
    </row>
    <row r="3566" spans="1:28" ht="17.100000000000001" customHeight="1" thickTop="1">
      <c r="A3566" s="226" t="s">
        <v>10996</v>
      </c>
      <c r="B3566" s="28">
        <v>45981</v>
      </c>
      <c r="C3566" s="25">
        <v>2003</v>
      </c>
      <c r="D3566" s="13" t="s">
        <v>1808</v>
      </c>
      <c r="E3566" s="228"/>
      <c r="F3566" s="109" t="s">
        <v>10929</v>
      </c>
      <c r="G3566" s="24" t="s">
        <v>4120</v>
      </c>
      <c r="H3566" s="230">
        <v>3.5</v>
      </c>
      <c r="I3566" s="220">
        <v>511000</v>
      </c>
      <c r="J3566" s="220">
        <f>I3566*0.1</f>
        <v>51100</v>
      </c>
      <c r="K3566" s="220">
        <f>19300+1930</f>
        <v>21230</v>
      </c>
      <c r="L3566" s="220">
        <v>16090</v>
      </c>
      <c r="M3566" s="220">
        <v>22000</v>
      </c>
      <c r="N3566" s="220">
        <f>SUM(I3566:M3567)</f>
        <v>621420</v>
      </c>
      <c r="O3566" s="224"/>
      <c r="P3566" s="110" t="s">
        <v>10931</v>
      </c>
      <c r="Q3566" s="15" t="s">
        <v>19</v>
      </c>
      <c r="R3566" s="205"/>
      <c r="S3566" s="189" t="s">
        <v>25598</v>
      </c>
      <c r="T3566" s="114"/>
      <c r="U3566" s="21"/>
      <c r="V3566" s="115">
        <v>45987</v>
      </c>
      <c r="W3566" s="116">
        <v>994</v>
      </c>
      <c r="X3566" s="220">
        <v>670000</v>
      </c>
      <c r="Y3566" s="220">
        <f>X3566*0.1</f>
        <v>67000</v>
      </c>
      <c r="Z3566" s="220">
        <v>16090</v>
      </c>
      <c r="AA3566" s="220">
        <f>SUM(X3566:Z3566)</f>
        <v>753090</v>
      </c>
      <c r="AB3566" s="222">
        <v>45992</v>
      </c>
    </row>
    <row r="3567" spans="1:28" ht="17.100000000000001" customHeight="1" thickBot="1">
      <c r="A3567" s="227"/>
      <c r="B3567" s="27" t="s">
        <v>2171</v>
      </c>
      <c r="C3567" s="27">
        <v>30109</v>
      </c>
      <c r="D3567" s="14" t="s">
        <v>273</v>
      </c>
      <c r="E3567" s="229"/>
      <c r="F3567" s="117" t="s">
        <v>10930</v>
      </c>
      <c r="G3567" s="26">
        <v>52111</v>
      </c>
      <c r="H3567" s="231"/>
      <c r="I3567" s="221"/>
      <c r="J3567" s="221"/>
      <c r="K3567" s="221"/>
      <c r="L3567" s="221"/>
      <c r="M3567" s="221"/>
      <c r="N3567" s="221"/>
      <c r="O3567" s="225"/>
      <c r="P3567" s="118" t="s">
        <v>11541</v>
      </c>
      <c r="Q3567" s="16" t="s">
        <v>20</v>
      </c>
      <c r="R3567" s="17" t="s">
        <v>11528</v>
      </c>
      <c r="S3567" s="121" t="s">
        <v>11542</v>
      </c>
      <c r="T3567" s="122"/>
      <c r="U3567" s="22"/>
      <c r="V3567" s="123" t="s">
        <v>11555</v>
      </c>
      <c r="W3567" s="122">
        <v>5051</v>
      </c>
      <c r="X3567" s="221"/>
      <c r="Y3567" s="221"/>
      <c r="Z3567" s="221"/>
      <c r="AA3567" s="221"/>
      <c r="AB3567" s="223"/>
    </row>
    <row r="3568" spans="1:28" ht="17.100000000000001" customHeight="1" thickTop="1">
      <c r="A3568" s="226" t="s">
        <v>10997</v>
      </c>
      <c r="B3568" s="28">
        <v>45981</v>
      </c>
      <c r="C3568" s="25">
        <v>2003</v>
      </c>
      <c r="D3568" s="13" t="s">
        <v>1883</v>
      </c>
      <c r="E3568" s="228"/>
      <c r="F3568" s="109" t="s">
        <v>10924</v>
      </c>
      <c r="G3568" s="24"/>
      <c r="H3568" s="230">
        <v>4</v>
      </c>
      <c r="I3568" s="220">
        <v>1163000</v>
      </c>
      <c r="J3568" s="220">
        <f>I3568*0.1</f>
        <v>116300</v>
      </c>
      <c r="K3568" s="220">
        <v>0</v>
      </c>
      <c r="L3568" s="220">
        <v>7530</v>
      </c>
      <c r="M3568" s="220">
        <v>22000</v>
      </c>
      <c r="N3568" s="220">
        <f>SUM(I3568:M3569)</f>
        <v>1308830</v>
      </c>
      <c r="O3568" s="224"/>
      <c r="P3568" s="110" t="s">
        <v>11654</v>
      </c>
      <c r="Q3568" s="15" t="s">
        <v>19</v>
      </c>
      <c r="R3568" s="205"/>
      <c r="S3568" s="189"/>
      <c r="T3568" s="114"/>
      <c r="U3568" s="21"/>
      <c r="V3568" s="115">
        <v>46057</v>
      </c>
      <c r="W3568" s="116">
        <v>1003</v>
      </c>
      <c r="X3568" s="220">
        <v>1170000</v>
      </c>
      <c r="Y3568" s="220">
        <f>X3568*0.1</f>
        <v>117000</v>
      </c>
      <c r="Z3568" s="220">
        <v>7530</v>
      </c>
      <c r="AA3568" s="220">
        <f>SUM(X3568:Z3568)</f>
        <v>1294530</v>
      </c>
      <c r="AB3568" s="222">
        <v>46065</v>
      </c>
    </row>
    <row r="3569" spans="1:28" ht="17.100000000000001" customHeight="1" thickBot="1">
      <c r="A3569" s="227"/>
      <c r="B3569" s="27" t="s">
        <v>2171</v>
      </c>
      <c r="C3569" s="27">
        <v>50008</v>
      </c>
      <c r="D3569" s="14" t="s">
        <v>2559</v>
      </c>
      <c r="E3569" s="229"/>
      <c r="F3569" s="117" t="s">
        <v>10925</v>
      </c>
      <c r="G3569" s="26">
        <v>69275</v>
      </c>
      <c r="H3569" s="231"/>
      <c r="I3569" s="221"/>
      <c r="J3569" s="221"/>
      <c r="K3569" s="221"/>
      <c r="L3569" s="221"/>
      <c r="M3569" s="221"/>
      <c r="N3569" s="221"/>
      <c r="O3569" s="225"/>
      <c r="P3569" s="118" t="s">
        <v>11653</v>
      </c>
      <c r="Q3569" s="16" t="s">
        <v>20</v>
      </c>
      <c r="R3569" s="17" t="s">
        <v>1713</v>
      </c>
      <c r="S3569" s="121"/>
      <c r="T3569" s="122"/>
      <c r="U3569" s="22"/>
      <c r="V3569" s="123" t="s">
        <v>8648</v>
      </c>
      <c r="W3569" s="122">
        <v>2034</v>
      </c>
      <c r="X3569" s="221"/>
      <c r="Y3569" s="221"/>
      <c r="Z3569" s="221"/>
      <c r="AA3569" s="221"/>
      <c r="AB3569" s="223"/>
    </row>
    <row r="3570" spans="1:28" ht="17.100000000000001" customHeight="1" thickTop="1">
      <c r="A3570" s="226" t="s">
        <v>10998</v>
      </c>
      <c r="B3570" s="28">
        <v>45981</v>
      </c>
      <c r="C3570" s="25">
        <v>2003</v>
      </c>
      <c r="D3570" s="13" t="s">
        <v>2195</v>
      </c>
      <c r="E3570" s="228"/>
      <c r="F3570" s="109" t="s">
        <v>3958</v>
      </c>
      <c r="G3570" s="24" t="s">
        <v>2536</v>
      </c>
      <c r="H3570" s="230">
        <v>6</v>
      </c>
      <c r="I3570" s="220">
        <v>1251000</v>
      </c>
      <c r="J3570" s="220">
        <f>I3570*0.1</f>
        <v>125100</v>
      </c>
      <c r="K3570" s="220">
        <v>0</v>
      </c>
      <c r="L3570" s="220">
        <v>8350</v>
      </c>
      <c r="M3570" s="220">
        <v>22000</v>
      </c>
      <c r="N3570" s="220">
        <f>SUM(I3570:M3571)</f>
        <v>1406450</v>
      </c>
      <c r="O3570" s="224"/>
      <c r="P3570" s="110" t="s">
        <v>11545</v>
      </c>
      <c r="Q3570" s="15" t="s">
        <v>19</v>
      </c>
      <c r="R3570" s="205"/>
      <c r="S3570" s="189" t="s">
        <v>1271</v>
      </c>
      <c r="T3570" s="114"/>
      <c r="U3570" s="21"/>
      <c r="V3570" s="115">
        <v>45986</v>
      </c>
      <c r="W3570" s="116">
        <v>1919</v>
      </c>
      <c r="X3570" s="220">
        <v>1417000</v>
      </c>
      <c r="Y3570" s="220">
        <f>X3570*0.1</f>
        <v>141700</v>
      </c>
      <c r="Z3570" s="220">
        <v>8350</v>
      </c>
      <c r="AA3570" s="220">
        <f>SUM(X3570:Z3570)</f>
        <v>1567050</v>
      </c>
      <c r="AB3570" s="222"/>
    </row>
    <row r="3571" spans="1:28" ht="17.100000000000001" customHeight="1" thickBot="1">
      <c r="A3571" s="227"/>
      <c r="B3571" s="27" t="s">
        <v>2171</v>
      </c>
      <c r="C3571" s="27">
        <v>50030</v>
      </c>
      <c r="D3571" s="14" t="s">
        <v>1797</v>
      </c>
      <c r="E3571" s="229"/>
      <c r="F3571" s="117" t="s">
        <v>10926</v>
      </c>
      <c r="G3571" s="26">
        <v>3861</v>
      </c>
      <c r="H3571" s="231"/>
      <c r="I3571" s="221"/>
      <c r="J3571" s="221"/>
      <c r="K3571" s="221"/>
      <c r="L3571" s="221"/>
      <c r="M3571" s="221"/>
      <c r="N3571" s="221"/>
      <c r="O3571" s="225"/>
      <c r="P3571" s="118" t="s">
        <v>11546</v>
      </c>
      <c r="Q3571" s="16" t="s">
        <v>20</v>
      </c>
      <c r="R3571" s="17" t="s">
        <v>11528</v>
      </c>
      <c r="S3571" s="121" t="s">
        <v>11532</v>
      </c>
      <c r="T3571" s="122"/>
      <c r="U3571" s="22"/>
      <c r="V3571" s="123" t="s">
        <v>11417</v>
      </c>
      <c r="W3571" s="122">
        <v>3265</v>
      </c>
      <c r="X3571" s="221"/>
      <c r="Y3571" s="221"/>
      <c r="Z3571" s="221"/>
      <c r="AA3571" s="221"/>
      <c r="AB3571" s="223"/>
    </row>
    <row r="3572" spans="1:28" ht="17.100000000000001" customHeight="1" thickTop="1">
      <c r="A3572" s="226" t="s">
        <v>10999</v>
      </c>
      <c r="B3572" s="28">
        <v>45981</v>
      </c>
      <c r="C3572" s="25">
        <v>2003</v>
      </c>
      <c r="D3572" s="13" t="s">
        <v>1678</v>
      </c>
      <c r="E3572" s="228"/>
      <c r="F3572" s="109" t="s">
        <v>9344</v>
      </c>
      <c r="G3572" s="24"/>
      <c r="H3572" s="230">
        <v>4</v>
      </c>
      <c r="I3572" s="220">
        <v>1280000</v>
      </c>
      <c r="J3572" s="220">
        <f>I3572*0.1</f>
        <v>128000</v>
      </c>
      <c r="K3572" s="220">
        <v>0</v>
      </c>
      <c r="L3572" s="220">
        <v>8630</v>
      </c>
      <c r="M3572" s="220">
        <v>22000</v>
      </c>
      <c r="N3572" s="220">
        <f>SUM(I3572:M3573)</f>
        <v>1438630</v>
      </c>
      <c r="O3572" s="224"/>
      <c r="P3572" s="110" t="s">
        <v>11652</v>
      </c>
      <c r="Q3572" s="15" t="s">
        <v>19</v>
      </c>
      <c r="R3572" s="205"/>
      <c r="S3572" s="189" t="s">
        <v>1271</v>
      </c>
      <c r="T3572" s="114"/>
      <c r="U3572" s="21"/>
      <c r="V3572" s="115">
        <v>46039</v>
      </c>
      <c r="W3572" s="116">
        <v>1284</v>
      </c>
      <c r="X3572" s="220">
        <v>1350000</v>
      </c>
      <c r="Y3572" s="220">
        <f>X3572*0.1</f>
        <v>135000</v>
      </c>
      <c r="Z3572" s="220">
        <v>8630</v>
      </c>
      <c r="AA3572" s="220">
        <f>SUM(X3572:Z3572)</f>
        <v>1493630</v>
      </c>
      <c r="AB3572" s="222">
        <v>46044</v>
      </c>
    </row>
    <row r="3573" spans="1:28" ht="17.100000000000001" customHeight="1" thickBot="1">
      <c r="A3573" s="227"/>
      <c r="B3573" s="27" t="s">
        <v>2171</v>
      </c>
      <c r="C3573" s="27">
        <v>50061</v>
      </c>
      <c r="D3573" s="14" t="s">
        <v>2559</v>
      </c>
      <c r="E3573" s="229"/>
      <c r="F3573" s="117" t="s">
        <v>10927</v>
      </c>
      <c r="G3573" s="26">
        <v>46056</v>
      </c>
      <c r="H3573" s="231"/>
      <c r="I3573" s="221"/>
      <c r="J3573" s="221"/>
      <c r="K3573" s="221"/>
      <c r="L3573" s="221"/>
      <c r="M3573" s="221"/>
      <c r="N3573" s="221"/>
      <c r="O3573" s="225"/>
      <c r="P3573" s="118" t="s">
        <v>11653</v>
      </c>
      <c r="Q3573" s="16" t="s">
        <v>20</v>
      </c>
      <c r="R3573" s="17" t="s">
        <v>1713</v>
      </c>
      <c r="S3573" s="121" t="s">
        <v>1731</v>
      </c>
      <c r="T3573" s="122"/>
      <c r="U3573" s="22"/>
      <c r="V3573" s="123" t="s">
        <v>6641</v>
      </c>
      <c r="W3573" s="122">
        <v>60096</v>
      </c>
      <c r="X3573" s="221"/>
      <c r="Y3573" s="221"/>
      <c r="Z3573" s="221"/>
      <c r="AA3573" s="221"/>
      <c r="AB3573" s="223"/>
    </row>
    <row r="3574" spans="1:28" ht="17.100000000000001" customHeight="1" thickTop="1">
      <c r="A3574" s="226" t="s">
        <v>11000</v>
      </c>
      <c r="B3574" s="28">
        <v>45981</v>
      </c>
      <c r="C3574" s="25">
        <v>2003</v>
      </c>
      <c r="D3574" s="13" t="s">
        <v>4531</v>
      </c>
      <c r="E3574" s="228"/>
      <c r="F3574" s="109" t="s">
        <v>9004</v>
      </c>
      <c r="G3574" s="24" t="s">
        <v>2487</v>
      </c>
      <c r="H3574" s="230">
        <v>4</v>
      </c>
      <c r="I3574" s="220">
        <v>171000</v>
      </c>
      <c r="J3574" s="220">
        <v>17100</v>
      </c>
      <c r="K3574" s="220">
        <v>0</v>
      </c>
      <c r="L3574" s="220">
        <v>10020</v>
      </c>
      <c r="M3574" s="220">
        <v>22000</v>
      </c>
      <c r="N3574" s="220">
        <f>SUM(I3574:M3575)</f>
        <v>220120</v>
      </c>
      <c r="O3574" s="224"/>
      <c r="P3574" s="110" t="s">
        <v>11979</v>
      </c>
      <c r="Q3574" s="15" t="s">
        <v>19</v>
      </c>
      <c r="R3574" s="205"/>
      <c r="S3574" s="189" t="s">
        <v>25599</v>
      </c>
      <c r="T3574" s="114"/>
      <c r="U3574" s="21" t="s">
        <v>12761</v>
      </c>
      <c r="V3574" s="115">
        <v>46060</v>
      </c>
      <c r="W3574" s="116">
        <v>1287</v>
      </c>
      <c r="X3574" s="220">
        <v>183000</v>
      </c>
      <c r="Y3574" s="220">
        <f>X3574*0.1</f>
        <v>18300</v>
      </c>
      <c r="Z3574" s="220">
        <v>10200</v>
      </c>
      <c r="AA3574" s="220">
        <f>SUM(X3574:Z3574)</f>
        <v>211500</v>
      </c>
      <c r="AB3574" s="222">
        <v>46063</v>
      </c>
    </row>
    <row r="3575" spans="1:28" ht="17.100000000000001" customHeight="1" thickBot="1">
      <c r="A3575" s="227"/>
      <c r="B3575" s="27" t="s">
        <v>2171</v>
      </c>
      <c r="C3575" s="27">
        <v>50218</v>
      </c>
      <c r="D3575" s="14" t="s">
        <v>3792</v>
      </c>
      <c r="E3575" s="229"/>
      <c r="F3575" s="117" t="s">
        <v>10928</v>
      </c>
      <c r="G3575" s="26">
        <v>66489</v>
      </c>
      <c r="H3575" s="231"/>
      <c r="I3575" s="221"/>
      <c r="J3575" s="221"/>
      <c r="K3575" s="221"/>
      <c r="L3575" s="221"/>
      <c r="M3575" s="221"/>
      <c r="N3575" s="221"/>
      <c r="O3575" s="225"/>
      <c r="P3575" s="118" t="s">
        <v>11980</v>
      </c>
      <c r="Q3575" s="16" t="s">
        <v>20</v>
      </c>
      <c r="R3575" s="17" t="s">
        <v>1730</v>
      </c>
      <c r="S3575" s="121" t="s">
        <v>9359</v>
      </c>
      <c r="T3575" s="122"/>
      <c r="U3575" s="22"/>
      <c r="V3575" s="123" t="s">
        <v>2472</v>
      </c>
      <c r="W3575" s="122">
        <v>60144</v>
      </c>
      <c r="X3575" s="221"/>
      <c r="Y3575" s="221"/>
      <c r="Z3575" s="221"/>
      <c r="AA3575" s="221"/>
      <c r="AB3575" s="223"/>
    </row>
    <row r="3576" spans="1:28" ht="17.100000000000001" customHeight="1" thickTop="1">
      <c r="A3576" s="226" t="s">
        <v>11001</v>
      </c>
      <c r="B3576" s="28">
        <v>45981</v>
      </c>
      <c r="C3576" s="25">
        <v>1542</v>
      </c>
      <c r="D3576" s="13" t="s">
        <v>2866</v>
      </c>
      <c r="E3576" s="228"/>
      <c r="F3576" s="109" t="s">
        <v>1795</v>
      </c>
      <c r="G3576" s="24"/>
      <c r="H3576" s="230">
        <v>4.5</v>
      </c>
      <c r="I3576" s="220">
        <v>1710000</v>
      </c>
      <c r="J3576" s="220">
        <f>I3576*0.1</f>
        <v>171000</v>
      </c>
      <c r="K3576" s="220">
        <v>0</v>
      </c>
      <c r="L3576" s="220">
        <v>16240</v>
      </c>
      <c r="M3576" s="220">
        <v>16500</v>
      </c>
      <c r="N3576" s="220">
        <f>SUM(I3576:M3577)</f>
        <v>1913740</v>
      </c>
      <c r="O3576" s="224"/>
      <c r="P3576" s="110" t="s">
        <v>11389</v>
      </c>
      <c r="Q3576" s="15" t="s">
        <v>19</v>
      </c>
      <c r="R3576" s="205"/>
      <c r="S3576" s="189"/>
      <c r="T3576" s="114"/>
      <c r="U3576" s="21"/>
      <c r="V3576" s="115"/>
      <c r="W3576" s="116"/>
      <c r="X3576" s="220"/>
      <c r="Y3576" s="220">
        <f>X3576*0.1</f>
        <v>0</v>
      </c>
      <c r="Z3576" s="220"/>
      <c r="AA3576" s="220">
        <f>SUM(X3576:Z3576)</f>
        <v>0</v>
      </c>
      <c r="AB3576" s="222"/>
    </row>
    <row r="3577" spans="1:28" ht="17.100000000000001" customHeight="1" thickBot="1">
      <c r="A3577" s="227"/>
      <c r="B3577" s="27" t="s">
        <v>1592</v>
      </c>
      <c r="C3577" s="27">
        <v>75162</v>
      </c>
      <c r="D3577" s="14" t="s">
        <v>1584</v>
      </c>
      <c r="E3577" s="229"/>
      <c r="F3577" s="117" t="s">
        <v>11002</v>
      </c>
      <c r="G3577" s="26">
        <v>36035</v>
      </c>
      <c r="H3577" s="231"/>
      <c r="I3577" s="221"/>
      <c r="J3577" s="221"/>
      <c r="K3577" s="221"/>
      <c r="L3577" s="221"/>
      <c r="M3577" s="221"/>
      <c r="N3577" s="221"/>
      <c r="O3577" s="225"/>
      <c r="P3577" s="118" t="s">
        <v>11390</v>
      </c>
      <c r="Q3577" s="16" t="s">
        <v>20</v>
      </c>
      <c r="R3577" s="17" t="s">
        <v>2193</v>
      </c>
      <c r="S3577" s="121" t="s">
        <v>4008</v>
      </c>
      <c r="T3577" s="122"/>
      <c r="U3577" s="22"/>
      <c r="V3577" s="123"/>
      <c r="W3577" s="122"/>
      <c r="X3577" s="221"/>
      <c r="Y3577" s="221"/>
      <c r="Z3577" s="221"/>
      <c r="AA3577" s="221"/>
      <c r="AB3577" s="223"/>
    </row>
    <row r="3578" spans="1:28" ht="17.100000000000001" customHeight="1" thickTop="1">
      <c r="A3578" s="226" t="s">
        <v>11003</v>
      </c>
      <c r="B3578" s="28">
        <v>45981</v>
      </c>
      <c r="C3578" s="25">
        <v>2135</v>
      </c>
      <c r="D3578" s="13" t="s">
        <v>2913</v>
      </c>
      <c r="E3578" s="228"/>
      <c r="F3578" s="109" t="s">
        <v>11026</v>
      </c>
      <c r="G3578" s="24" t="s">
        <v>7147</v>
      </c>
      <c r="H3578" s="230">
        <v>4</v>
      </c>
      <c r="I3578" s="220">
        <v>1083000</v>
      </c>
      <c r="J3578" s="220">
        <f>I3578*0.1</f>
        <v>108300</v>
      </c>
      <c r="K3578" s="220">
        <v>0</v>
      </c>
      <c r="L3578" s="220">
        <v>6830</v>
      </c>
      <c r="M3578" s="220">
        <v>13750</v>
      </c>
      <c r="N3578" s="220">
        <f>SUM(I3578:M3579)</f>
        <v>1211880</v>
      </c>
      <c r="O3578" s="224"/>
      <c r="P3578" s="110" t="s">
        <v>11027</v>
      </c>
      <c r="Q3578" s="15" t="s">
        <v>19</v>
      </c>
      <c r="R3578" s="205"/>
      <c r="S3578" s="189" t="s">
        <v>25600</v>
      </c>
      <c r="T3578" s="114"/>
      <c r="U3578" s="21" t="s">
        <v>12266</v>
      </c>
      <c r="V3578" s="115">
        <v>45994</v>
      </c>
      <c r="W3578" s="116">
        <v>995</v>
      </c>
      <c r="X3578" s="220">
        <v>1210000</v>
      </c>
      <c r="Y3578" s="220">
        <f>X3578*0.1</f>
        <v>121000</v>
      </c>
      <c r="Z3578" s="220">
        <v>6830</v>
      </c>
      <c r="AA3578" s="220">
        <f>SUM(X3578:Z3578)</f>
        <v>1337830</v>
      </c>
      <c r="AB3578" s="222">
        <v>45999</v>
      </c>
    </row>
    <row r="3579" spans="1:28" ht="17.100000000000001" customHeight="1" thickBot="1">
      <c r="A3579" s="227"/>
      <c r="B3579" s="27" t="s">
        <v>3228</v>
      </c>
      <c r="C3579" s="27">
        <v>2010</v>
      </c>
      <c r="D3579" s="14" t="s">
        <v>2559</v>
      </c>
      <c r="E3579" s="229"/>
      <c r="F3579" s="117" t="s">
        <v>11013</v>
      </c>
      <c r="G3579" s="26">
        <v>51244</v>
      </c>
      <c r="H3579" s="231"/>
      <c r="I3579" s="221"/>
      <c r="J3579" s="221"/>
      <c r="K3579" s="221"/>
      <c r="L3579" s="221"/>
      <c r="M3579" s="221"/>
      <c r="N3579" s="221"/>
      <c r="O3579" s="225"/>
      <c r="P3579" s="118" t="s">
        <v>11655</v>
      </c>
      <c r="Q3579" s="16" t="s">
        <v>20</v>
      </c>
      <c r="R3579" s="17" t="s">
        <v>1713</v>
      </c>
      <c r="S3579" s="121" t="s">
        <v>1606</v>
      </c>
      <c r="T3579" s="122"/>
      <c r="U3579" s="22"/>
      <c r="V3579" s="123" t="s">
        <v>2747</v>
      </c>
      <c r="W3579" s="122">
        <v>2030</v>
      </c>
      <c r="X3579" s="221"/>
      <c r="Y3579" s="221"/>
      <c r="Z3579" s="221"/>
      <c r="AA3579" s="221"/>
      <c r="AB3579" s="223"/>
    </row>
    <row r="3580" spans="1:28" ht="17.100000000000001" customHeight="1" thickTop="1">
      <c r="A3580" s="226" t="s">
        <v>11004</v>
      </c>
      <c r="B3580" s="28">
        <v>45981</v>
      </c>
      <c r="C3580" s="25">
        <v>2135</v>
      </c>
      <c r="D3580" s="13" t="s">
        <v>3269</v>
      </c>
      <c r="E3580" s="228"/>
      <c r="F3580" s="109" t="s">
        <v>9289</v>
      </c>
      <c r="G3580" s="24" t="s">
        <v>11028</v>
      </c>
      <c r="H3580" s="230">
        <v>4.5</v>
      </c>
      <c r="I3580" s="220">
        <v>908000</v>
      </c>
      <c r="J3580" s="220">
        <f>I3580*0.1</f>
        <v>90800</v>
      </c>
      <c r="K3580" s="220">
        <v>0</v>
      </c>
      <c r="L3580" s="220">
        <v>6830</v>
      </c>
      <c r="M3580" s="220">
        <v>13750</v>
      </c>
      <c r="N3580" s="220">
        <f>SUM(I3580:M3581)</f>
        <v>1019380</v>
      </c>
      <c r="O3580" s="224"/>
      <c r="P3580" s="110" t="s">
        <v>11029</v>
      </c>
      <c r="Q3580" s="15" t="s">
        <v>19</v>
      </c>
      <c r="R3580" s="205"/>
      <c r="S3580" s="189" t="s">
        <v>25601</v>
      </c>
      <c r="T3580" s="114"/>
      <c r="U3580" s="21"/>
      <c r="V3580" s="115">
        <v>45987</v>
      </c>
      <c r="W3580" s="116">
        <v>994</v>
      </c>
      <c r="X3580" s="220">
        <v>1005000</v>
      </c>
      <c r="Y3580" s="220">
        <f>X3580*0.1</f>
        <v>100500</v>
      </c>
      <c r="Z3580" s="220">
        <v>6830</v>
      </c>
      <c r="AA3580" s="220">
        <f>SUM(X3580:Z3580)</f>
        <v>1112330</v>
      </c>
      <c r="AB3580" s="222">
        <v>45992</v>
      </c>
    </row>
    <row r="3581" spans="1:28" ht="17.100000000000001" customHeight="1" thickBot="1">
      <c r="A3581" s="227"/>
      <c r="B3581" s="27" t="s">
        <v>3228</v>
      </c>
      <c r="C3581" s="27">
        <v>2087</v>
      </c>
      <c r="D3581" s="14" t="s">
        <v>2559</v>
      </c>
      <c r="E3581" s="229"/>
      <c r="F3581" s="117" t="s">
        <v>11014</v>
      </c>
      <c r="G3581" s="26">
        <v>55593</v>
      </c>
      <c r="H3581" s="231"/>
      <c r="I3581" s="221"/>
      <c r="J3581" s="221"/>
      <c r="K3581" s="221"/>
      <c r="L3581" s="221"/>
      <c r="M3581" s="221"/>
      <c r="N3581" s="221"/>
      <c r="O3581" s="225"/>
      <c r="P3581" s="118" t="s">
        <v>11535</v>
      </c>
      <c r="Q3581" s="16" t="s">
        <v>20</v>
      </c>
      <c r="R3581" s="17" t="s">
        <v>11528</v>
      </c>
      <c r="S3581" s="121" t="s">
        <v>4927</v>
      </c>
      <c r="T3581" s="122"/>
      <c r="U3581" s="22"/>
      <c r="V3581" s="123" t="s">
        <v>11555</v>
      </c>
      <c r="W3581" s="122">
        <v>2037</v>
      </c>
      <c r="X3581" s="221"/>
      <c r="Y3581" s="221"/>
      <c r="Z3581" s="221"/>
      <c r="AA3581" s="221"/>
      <c r="AB3581" s="223"/>
    </row>
    <row r="3582" spans="1:28" ht="17.100000000000001" customHeight="1" thickTop="1">
      <c r="A3582" s="226" t="s">
        <v>11005</v>
      </c>
      <c r="B3582" s="28">
        <v>45981</v>
      </c>
      <c r="C3582" s="25">
        <v>2135</v>
      </c>
      <c r="D3582" s="13" t="s">
        <v>1935</v>
      </c>
      <c r="E3582" s="228"/>
      <c r="F3582" s="109" t="s">
        <v>11030</v>
      </c>
      <c r="G3582" s="24" t="s">
        <v>11031</v>
      </c>
      <c r="H3582" s="230">
        <v>4</v>
      </c>
      <c r="I3582" s="220">
        <v>670000</v>
      </c>
      <c r="J3582" s="220">
        <f>I3582*0.1</f>
        <v>67000</v>
      </c>
      <c r="K3582" s="220">
        <v>0</v>
      </c>
      <c r="L3582" s="220">
        <v>8430</v>
      </c>
      <c r="M3582" s="220">
        <v>13750</v>
      </c>
      <c r="N3582" s="220">
        <f>SUM(I3582:M3583)</f>
        <v>759180</v>
      </c>
      <c r="O3582" s="224"/>
      <c r="P3582" s="110" t="s">
        <v>11656</v>
      </c>
      <c r="Q3582" s="15" t="s">
        <v>19</v>
      </c>
      <c r="R3582" s="205"/>
      <c r="S3582" s="189" t="s">
        <v>25432</v>
      </c>
      <c r="T3582" s="114"/>
      <c r="U3582" s="21" t="s">
        <v>12769</v>
      </c>
      <c r="V3582" s="115">
        <v>46004</v>
      </c>
      <c r="W3582" s="116">
        <v>1280</v>
      </c>
      <c r="X3582" s="220">
        <v>715000</v>
      </c>
      <c r="Y3582" s="220">
        <f>X3582*0.1</f>
        <v>71500</v>
      </c>
      <c r="Z3582" s="220">
        <v>8430</v>
      </c>
      <c r="AA3582" s="220">
        <f>SUM(X3582:Z3582)</f>
        <v>794930</v>
      </c>
      <c r="AB3582" s="222">
        <v>46009</v>
      </c>
    </row>
    <row r="3583" spans="1:28" ht="17.100000000000001" customHeight="1" thickBot="1">
      <c r="A3583" s="227"/>
      <c r="B3583" s="27" t="s">
        <v>3228</v>
      </c>
      <c r="C3583" s="27">
        <v>2503</v>
      </c>
      <c r="D3583" s="14" t="s">
        <v>1568</v>
      </c>
      <c r="E3583" s="229"/>
      <c r="F3583" s="117" t="s">
        <v>11015</v>
      </c>
      <c r="G3583" s="26">
        <v>66951</v>
      </c>
      <c r="H3583" s="231"/>
      <c r="I3583" s="221"/>
      <c r="J3583" s="221"/>
      <c r="K3583" s="221"/>
      <c r="L3583" s="221"/>
      <c r="M3583" s="221"/>
      <c r="N3583" s="221"/>
      <c r="O3583" s="225"/>
      <c r="P3583" s="118" t="s">
        <v>2942</v>
      </c>
      <c r="Q3583" s="16" t="s">
        <v>20</v>
      </c>
      <c r="R3583" s="17" t="s">
        <v>1713</v>
      </c>
      <c r="S3583" s="121" t="s">
        <v>11657</v>
      </c>
      <c r="T3583" s="122"/>
      <c r="U3583" s="22"/>
      <c r="V3583" s="123" t="s">
        <v>7160</v>
      </c>
      <c r="W3583" s="122">
        <v>60007</v>
      </c>
      <c r="X3583" s="221"/>
      <c r="Y3583" s="221"/>
      <c r="Z3583" s="221"/>
      <c r="AA3583" s="221"/>
      <c r="AB3583" s="223"/>
    </row>
    <row r="3584" spans="1:28" ht="17.100000000000001" customHeight="1" thickTop="1">
      <c r="A3584" s="226" t="s">
        <v>11006</v>
      </c>
      <c r="B3584" s="28">
        <v>45981</v>
      </c>
      <c r="C3584" s="25">
        <v>2135</v>
      </c>
      <c r="D3584" s="13" t="s">
        <v>2057</v>
      </c>
      <c r="E3584" s="228"/>
      <c r="F3584" s="109" t="s">
        <v>11032</v>
      </c>
      <c r="G3584" s="24" t="s">
        <v>11033</v>
      </c>
      <c r="H3584" s="230">
        <v>4.5</v>
      </c>
      <c r="I3584" s="220">
        <v>1206000</v>
      </c>
      <c r="J3584" s="220">
        <f>I3584*0.1</f>
        <v>120600</v>
      </c>
      <c r="K3584" s="220">
        <v>0</v>
      </c>
      <c r="L3584" s="220">
        <v>8790</v>
      </c>
      <c r="M3584" s="220">
        <v>13750</v>
      </c>
      <c r="N3584" s="220">
        <f>SUM(I3584:M3585)</f>
        <v>1349140</v>
      </c>
      <c r="O3584" s="224"/>
      <c r="P3584" s="110" t="s">
        <v>11034</v>
      </c>
      <c r="Q3584" s="15" t="s">
        <v>19</v>
      </c>
      <c r="R3584" s="205"/>
      <c r="S3584" s="189" t="s">
        <v>1271</v>
      </c>
      <c r="T3584" s="114"/>
      <c r="U3584" s="21"/>
      <c r="V3584" s="115">
        <v>45986</v>
      </c>
      <c r="W3584" s="116">
        <v>1919</v>
      </c>
      <c r="X3584" s="220">
        <v>1216000</v>
      </c>
      <c r="Y3584" s="220">
        <f>X3584*0.1</f>
        <v>121600</v>
      </c>
      <c r="Z3584" s="220">
        <v>8790</v>
      </c>
      <c r="AA3584" s="220">
        <f>SUM(X3584:Z3584)</f>
        <v>1346390</v>
      </c>
      <c r="AB3584" s="222"/>
    </row>
    <row r="3585" spans="1:28" ht="17.100000000000001" customHeight="1" thickBot="1">
      <c r="A3585" s="227"/>
      <c r="B3585" s="27" t="s">
        <v>3228</v>
      </c>
      <c r="C3585" s="27">
        <v>2505</v>
      </c>
      <c r="D3585" s="14" t="s">
        <v>1568</v>
      </c>
      <c r="E3585" s="229"/>
      <c r="F3585" s="117" t="s">
        <v>11016</v>
      </c>
      <c r="G3585" s="26">
        <v>6293</v>
      </c>
      <c r="H3585" s="231"/>
      <c r="I3585" s="221"/>
      <c r="J3585" s="221"/>
      <c r="K3585" s="221"/>
      <c r="L3585" s="221"/>
      <c r="M3585" s="221"/>
      <c r="N3585" s="221"/>
      <c r="O3585" s="225"/>
      <c r="P3585" s="118" t="s">
        <v>11543</v>
      </c>
      <c r="Q3585" s="16" t="s">
        <v>20</v>
      </c>
      <c r="R3585" s="17" t="s">
        <v>11528</v>
      </c>
      <c r="S3585" s="121" t="s">
        <v>11544</v>
      </c>
      <c r="T3585" s="122"/>
      <c r="U3585" s="22"/>
      <c r="V3585" s="123" t="s">
        <v>11417</v>
      </c>
      <c r="W3585" s="122">
        <v>3215</v>
      </c>
      <c r="X3585" s="221"/>
      <c r="Y3585" s="221"/>
      <c r="Z3585" s="221"/>
      <c r="AA3585" s="221"/>
      <c r="AB3585" s="223"/>
    </row>
    <row r="3586" spans="1:28" ht="17.100000000000001" customHeight="1" thickTop="1">
      <c r="A3586" s="226" t="s">
        <v>11007</v>
      </c>
      <c r="B3586" s="28">
        <v>45981</v>
      </c>
      <c r="C3586" s="25">
        <v>2135</v>
      </c>
      <c r="D3586" s="13" t="s">
        <v>2491</v>
      </c>
      <c r="E3586" s="228"/>
      <c r="F3586" s="109" t="s">
        <v>8413</v>
      </c>
      <c r="G3586" s="24" t="s">
        <v>11035</v>
      </c>
      <c r="H3586" s="230">
        <v>4</v>
      </c>
      <c r="I3586" s="220">
        <v>1034000</v>
      </c>
      <c r="J3586" s="220">
        <f>I3586*0.1</f>
        <v>103400</v>
      </c>
      <c r="K3586" s="220">
        <v>0</v>
      </c>
      <c r="L3586" s="220">
        <v>8200</v>
      </c>
      <c r="M3586" s="220">
        <v>13750</v>
      </c>
      <c r="N3586" s="220">
        <f>SUM(I3586:M3587)</f>
        <v>1159350</v>
      </c>
      <c r="O3586" s="224"/>
      <c r="P3586" s="110" t="s">
        <v>11036</v>
      </c>
      <c r="Q3586" s="15" t="s">
        <v>19</v>
      </c>
      <c r="R3586" s="205"/>
      <c r="S3586" s="189" t="s">
        <v>1361</v>
      </c>
      <c r="T3586" s="114"/>
      <c r="U3586" s="21" t="s">
        <v>12271</v>
      </c>
      <c r="V3586" s="115">
        <v>45994</v>
      </c>
      <c r="W3586" s="116">
        <v>995</v>
      </c>
      <c r="X3586" s="220">
        <v>1035000</v>
      </c>
      <c r="Y3586" s="220">
        <f>X3586*0.1</f>
        <v>103500</v>
      </c>
      <c r="Z3586" s="220">
        <v>8200</v>
      </c>
      <c r="AA3586" s="220">
        <f>SUM(X3586:Z3586)</f>
        <v>1146700</v>
      </c>
      <c r="AB3586" s="222">
        <v>45999</v>
      </c>
    </row>
    <row r="3587" spans="1:28" ht="17.100000000000001" customHeight="1" thickBot="1">
      <c r="A3587" s="227"/>
      <c r="B3587" s="27" t="s">
        <v>3228</v>
      </c>
      <c r="C3587" s="27">
        <v>2536</v>
      </c>
      <c r="D3587" s="14" t="s">
        <v>1710</v>
      </c>
      <c r="E3587" s="229"/>
      <c r="F3587" s="117" t="s">
        <v>11017</v>
      </c>
      <c r="G3587" s="26">
        <v>5000</v>
      </c>
      <c r="H3587" s="231"/>
      <c r="I3587" s="221"/>
      <c r="J3587" s="221"/>
      <c r="K3587" s="221"/>
      <c r="L3587" s="221"/>
      <c r="M3587" s="221"/>
      <c r="N3587" s="221"/>
      <c r="O3587" s="225"/>
      <c r="P3587" s="118" t="s">
        <v>4599</v>
      </c>
      <c r="Q3587" s="16" t="s">
        <v>20</v>
      </c>
      <c r="R3587" s="17" t="s">
        <v>11749</v>
      </c>
      <c r="S3587" s="121" t="s">
        <v>1625</v>
      </c>
      <c r="T3587" s="122"/>
      <c r="U3587" s="22"/>
      <c r="V3587" s="123" t="s">
        <v>2747</v>
      </c>
      <c r="W3587" s="122">
        <v>2082</v>
      </c>
      <c r="X3587" s="221"/>
      <c r="Y3587" s="221"/>
      <c r="Z3587" s="221"/>
      <c r="AA3587" s="221"/>
      <c r="AB3587" s="223"/>
    </row>
    <row r="3588" spans="1:28" ht="17.100000000000001" customHeight="1" thickTop="1">
      <c r="A3588" s="226" t="s">
        <v>11008</v>
      </c>
      <c r="B3588" s="28">
        <v>45981</v>
      </c>
      <c r="C3588" s="25">
        <v>2135</v>
      </c>
      <c r="D3588" s="13" t="s">
        <v>1754</v>
      </c>
      <c r="E3588" s="228"/>
      <c r="F3588" s="109" t="s">
        <v>11037</v>
      </c>
      <c r="G3588" s="24"/>
      <c r="H3588" s="230">
        <v>4.5</v>
      </c>
      <c r="I3588" s="220">
        <v>885000</v>
      </c>
      <c r="J3588" s="220">
        <f>I3588*0.1</f>
        <v>88500</v>
      </c>
      <c r="K3588" s="220">
        <v>0</v>
      </c>
      <c r="L3588" s="220">
        <v>8790</v>
      </c>
      <c r="M3588" s="220">
        <v>13750</v>
      </c>
      <c r="N3588" s="220">
        <f>SUM(I3588:M3589)</f>
        <v>996040</v>
      </c>
      <c r="O3588" s="224"/>
      <c r="P3588" s="110" t="s">
        <v>11658</v>
      </c>
      <c r="Q3588" s="15" t="s">
        <v>19</v>
      </c>
      <c r="R3588" s="205"/>
      <c r="S3588" s="189" t="s">
        <v>758</v>
      </c>
      <c r="T3588" s="114"/>
      <c r="U3588" s="21"/>
      <c r="V3588" s="115">
        <v>45993</v>
      </c>
      <c r="W3588" s="116">
        <v>1920</v>
      </c>
      <c r="X3588" s="220">
        <v>907000</v>
      </c>
      <c r="Y3588" s="220">
        <f>X3588*0.1</f>
        <v>90700</v>
      </c>
      <c r="Z3588" s="220">
        <v>8790</v>
      </c>
      <c r="AA3588" s="220">
        <f>SUM(X3588:Z3588)</f>
        <v>1006490</v>
      </c>
      <c r="AB3588" s="222"/>
    </row>
    <row r="3589" spans="1:28" ht="17.100000000000001" customHeight="1" thickBot="1">
      <c r="A3589" s="227"/>
      <c r="B3589" s="27" t="s">
        <v>3228</v>
      </c>
      <c r="C3589" s="27">
        <v>2541</v>
      </c>
      <c r="D3589" s="14" t="s">
        <v>2753</v>
      </c>
      <c r="E3589" s="229"/>
      <c r="F3589" s="117" t="s">
        <v>11018</v>
      </c>
      <c r="G3589" s="26">
        <v>37000</v>
      </c>
      <c r="H3589" s="231"/>
      <c r="I3589" s="221"/>
      <c r="J3589" s="221"/>
      <c r="K3589" s="221"/>
      <c r="L3589" s="221"/>
      <c r="M3589" s="221"/>
      <c r="N3589" s="221"/>
      <c r="O3589" s="225"/>
      <c r="P3589" s="118" t="s">
        <v>11659</v>
      </c>
      <c r="Q3589" s="16" t="s">
        <v>20</v>
      </c>
      <c r="R3589" s="17" t="s">
        <v>1713</v>
      </c>
      <c r="S3589" s="121" t="s">
        <v>169</v>
      </c>
      <c r="T3589" s="122"/>
      <c r="U3589" s="22"/>
      <c r="V3589" s="123" t="s">
        <v>2103</v>
      </c>
      <c r="W3589" s="122">
        <v>3087</v>
      </c>
      <c r="X3589" s="221"/>
      <c r="Y3589" s="221"/>
      <c r="Z3589" s="221"/>
      <c r="AA3589" s="221"/>
      <c r="AB3589" s="223"/>
    </row>
    <row r="3590" spans="1:28" ht="17.100000000000001" customHeight="1" thickTop="1">
      <c r="A3590" s="226" t="s">
        <v>11009</v>
      </c>
      <c r="B3590" s="28">
        <v>45981</v>
      </c>
      <c r="C3590" s="25">
        <v>2135</v>
      </c>
      <c r="D3590" s="13" t="s">
        <v>2422</v>
      </c>
      <c r="E3590" s="228"/>
      <c r="F3590" s="109" t="s">
        <v>11038</v>
      </c>
      <c r="G3590" s="24" t="s">
        <v>11039</v>
      </c>
      <c r="H3590" s="230">
        <v>4.5</v>
      </c>
      <c r="I3590" s="220">
        <v>569000</v>
      </c>
      <c r="J3590" s="220">
        <f>I3590*0.1</f>
        <v>56900</v>
      </c>
      <c r="K3590" s="220">
        <v>0</v>
      </c>
      <c r="L3590" s="220">
        <v>8550</v>
      </c>
      <c r="M3590" s="220">
        <v>13750</v>
      </c>
      <c r="N3590" s="220">
        <f>SUM(I3590:M3591)</f>
        <v>648200</v>
      </c>
      <c r="O3590" s="224"/>
      <c r="P3590" s="110" t="s">
        <v>11040</v>
      </c>
      <c r="Q3590" s="15" t="s">
        <v>19</v>
      </c>
      <c r="R3590" s="205"/>
      <c r="S3590" s="189" t="s">
        <v>1361</v>
      </c>
      <c r="T3590" s="114"/>
      <c r="U3590" s="21" t="s">
        <v>12269</v>
      </c>
      <c r="V3590" s="115">
        <v>45994</v>
      </c>
      <c r="W3590" s="116">
        <v>995</v>
      </c>
      <c r="X3590" s="220">
        <v>645000</v>
      </c>
      <c r="Y3590" s="220">
        <f>X3590*0.1</f>
        <v>64500</v>
      </c>
      <c r="Z3590" s="220">
        <v>8550</v>
      </c>
      <c r="AA3590" s="220">
        <f>SUM(X3590:Z3590)</f>
        <v>718050</v>
      </c>
      <c r="AB3590" s="222">
        <v>45999</v>
      </c>
    </row>
    <row r="3591" spans="1:28" ht="17.100000000000001" customHeight="1" thickBot="1">
      <c r="A3591" s="227"/>
      <c r="B3591" s="27" t="s">
        <v>3228</v>
      </c>
      <c r="C3591" s="27">
        <v>2547</v>
      </c>
      <c r="D3591" s="14" t="s">
        <v>2788</v>
      </c>
      <c r="E3591" s="229"/>
      <c r="F3591" s="117" t="s">
        <v>11019</v>
      </c>
      <c r="G3591" s="26">
        <v>48258</v>
      </c>
      <c r="H3591" s="231"/>
      <c r="I3591" s="221"/>
      <c r="J3591" s="221"/>
      <c r="K3591" s="221"/>
      <c r="L3591" s="221"/>
      <c r="M3591" s="221"/>
      <c r="N3591" s="221"/>
      <c r="O3591" s="225"/>
      <c r="P3591" s="118" t="s">
        <v>9479</v>
      </c>
      <c r="Q3591" s="16" t="s">
        <v>20</v>
      </c>
      <c r="R3591" s="17" t="s">
        <v>1713</v>
      </c>
      <c r="S3591" s="121" t="s">
        <v>169</v>
      </c>
      <c r="T3591" s="122"/>
      <c r="U3591" s="22"/>
      <c r="V3591" s="123" t="s">
        <v>2747</v>
      </c>
      <c r="W3591" s="122">
        <v>2087</v>
      </c>
      <c r="X3591" s="221"/>
      <c r="Y3591" s="221"/>
      <c r="Z3591" s="221"/>
      <c r="AA3591" s="221"/>
      <c r="AB3591" s="223"/>
    </row>
    <row r="3592" spans="1:28" ht="17.100000000000001" customHeight="1" thickTop="1">
      <c r="A3592" s="226" t="s">
        <v>11010</v>
      </c>
      <c r="B3592" s="28">
        <v>45981</v>
      </c>
      <c r="C3592" s="25">
        <v>2135</v>
      </c>
      <c r="D3592" s="13" t="s">
        <v>2811</v>
      </c>
      <c r="E3592" s="228"/>
      <c r="F3592" s="109" t="s">
        <v>11041</v>
      </c>
      <c r="G3592" s="24" t="s">
        <v>11042</v>
      </c>
      <c r="H3592" s="230">
        <v>4.5</v>
      </c>
      <c r="I3592" s="220">
        <v>753000</v>
      </c>
      <c r="J3592" s="220">
        <f>I3592*0.1</f>
        <v>75300</v>
      </c>
      <c r="K3592" s="220">
        <v>0</v>
      </c>
      <c r="L3592" s="220">
        <v>8550</v>
      </c>
      <c r="M3592" s="220">
        <v>13750</v>
      </c>
      <c r="N3592" s="220">
        <f>SUM(I3592:M3593)</f>
        <v>850600</v>
      </c>
      <c r="O3592" s="224"/>
      <c r="P3592" s="110" t="s">
        <v>11043</v>
      </c>
      <c r="Q3592" s="15" t="s">
        <v>19</v>
      </c>
      <c r="R3592" s="205"/>
      <c r="S3592" s="189" t="s">
        <v>1361</v>
      </c>
      <c r="T3592" s="114"/>
      <c r="U3592" s="21"/>
      <c r="V3592" s="115">
        <v>45987</v>
      </c>
      <c r="W3592" s="116">
        <v>994</v>
      </c>
      <c r="X3592" s="220">
        <v>835000</v>
      </c>
      <c r="Y3592" s="220">
        <f>X3592*0.1</f>
        <v>83500</v>
      </c>
      <c r="Z3592" s="220">
        <v>8550</v>
      </c>
      <c r="AA3592" s="220">
        <f>SUM(X3592:Z3592)</f>
        <v>927050</v>
      </c>
      <c r="AB3592" s="222">
        <v>45992</v>
      </c>
    </row>
    <row r="3593" spans="1:28" ht="17.100000000000001" customHeight="1" thickBot="1">
      <c r="A3593" s="227"/>
      <c r="B3593" s="27" t="s">
        <v>3228</v>
      </c>
      <c r="C3593" s="27">
        <v>2550</v>
      </c>
      <c r="D3593" s="14" t="s">
        <v>2559</v>
      </c>
      <c r="E3593" s="229"/>
      <c r="F3593" s="117" t="s">
        <v>11020</v>
      </c>
      <c r="G3593" s="26">
        <v>48425</v>
      </c>
      <c r="H3593" s="231"/>
      <c r="I3593" s="221"/>
      <c r="J3593" s="221"/>
      <c r="K3593" s="221"/>
      <c r="L3593" s="221"/>
      <c r="M3593" s="221"/>
      <c r="N3593" s="221"/>
      <c r="O3593" s="225"/>
      <c r="P3593" s="118" t="s">
        <v>11538</v>
      </c>
      <c r="Q3593" s="16" t="s">
        <v>20</v>
      </c>
      <c r="R3593" s="17" t="s">
        <v>11528</v>
      </c>
      <c r="S3593" s="121" t="s">
        <v>7702</v>
      </c>
      <c r="T3593" s="122"/>
      <c r="U3593" s="22"/>
      <c r="V3593" s="123" t="s">
        <v>11555</v>
      </c>
      <c r="W3593" s="122">
        <v>2039</v>
      </c>
      <c r="X3593" s="221"/>
      <c r="Y3593" s="221"/>
      <c r="Z3593" s="221"/>
      <c r="AA3593" s="221"/>
      <c r="AB3593" s="223"/>
    </row>
    <row r="3594" spans="1:28" ht="17.100000000000001" customHeight="1" thickTop="1">
      <c r="A3594" s="226" t="s">
        <v>11011</v>
      </c>
      <c r="B3594" s="28">
        <v>45981</v>
      </c>
      <c r="C3594" s="25">
        <v>2135</v>
      </c>
      <c r="D3594" s="13" t="s">
        <v>11044</v>
      </c>
      <c r="E3594" s="228"/>
      <c r="F3594" s="109" t="s">
        <v>4508</v>
      </c>
      <c r="G3594" s="24" t="s">
        <v>11045</v>
      </c>
      <c r="H3594" s="230">
        <v>4</v>
      </c>
      <c r="I3594" s="220">
        <v>473000</v>
      </c>
      <c r="J3594" s="220">
        <f>I3594*0.1</f>
        <v>47300</v>
      </c>
      <c r="K3594" s="220">
        <v>0</v>
      </c>
      <c r="L3594" s="220">
        <v>8540</v>
      </c>
      <c r="M3594" s="220">
        <v>13750</v>
      </c>
      <c r="N3594" s="220">
        <f>SUM(I3594:M3595)</f>
        <v>542590</v>
      </c>
      <c r="O3594" s="224"/>
      <c r="P3594" s="110" t="s">
        <v>11046</v>
      </c>
      <c r="Q3594" s="15" t="s">
        <v>19</v>
      </c>
      <c r="R3594" s="205"/>
      <c r="S3594" s="189"/>
      <c r="T3594" s="114"/>
      <c r="U3594" s="21"/>
      <c r="V3594" s="115">
        <v>45987</v>
      </c>
      <c r="W3594" s="116">
        <v>994</v>
      </c>
      <c r="X3594" s="220">
        <v>715000</v>
      </c>
      <c r="Y3594" s="220">
        <f>X3594*0.1</f>
        <v>71500</v>
      </c>
      <c r="Z3594" s="220">
        <v>8540</v>
      </c>
      <c r="AA3594" s="220">
        <f>SUM(X3594:Z3594)</f>
        <v>795040</v>
      </c>
      <c r="AB3594" s="222">
        <v>45992</v>
      </c>
    </row>
    <row r="3595" spans="1:28" ht="17.100000000000001" customHeight="1" thickBot="1">
      <c r="A3595" s="227"/>
      <c r="B3595" s="27" t="s">
        <v>3228</v>
      </c>
      <c r="C3595" s="27">
        <v>2552</v>
      </c>
      <c r="D3595" s="14" t="s">
        <v>1584</v>
      </c>
      <c r="E3595" s="229"/>
      <c r="F3595" s="117" t="s">
        <v>11021</v>
      </c>
      <c r="G3595" s="26">
        <v>66942</v>
      </c>
      <c r="H3595" s="231"/>
      <c r="I3595" s="221"/>
      <c r="J3595" s="221"/>
      <c r="K3595" s="221"/>
      <c r="L3595" s="221"/>
      <c r="M3595" s="221"/>
      <c r="N3595" s="221"/>
      <c r="O3595" s="225"/>
      <c r="P3595" s="118" t="s">
        <v>11536</v>
      </c>
      <c r="Q3595" s="16" t="s">
        <v>20</v>
      </c>
      <c r="R3595" s="17" t="s">
        <v>11528</v>
      </c>
      <c r="S3595" s="121" t="s">
        <v>11537</v>
      </c>
      <c r="T3595" s="122"/>
      <c r="U3595" s="22"/>
      <c r="V3595" s="123" t="s">
        <v>11555</v>
      </c>
      <c r="W3595" s="122">
        <v>2038</v>
      </c>
      <c r="X3595" s="221"/>
      <c r="Y3595" s="221"/>
      <c r="Z3595" s="221"/>
      <c r="AA3595" s="221"/>
      <c r="AB3595" s="223"/>
    </row>
    <row r="3596" spans="1:28" ht="17.100000000000001" customHeight="1" thickTop="1">
      <c r="A3596" s="226" t="s">
        <v>11012</v>
      </c>
      <c r="B3596" s="28">
        <v>45981</v>
      </c>
      <c r="C3596" s="25">
        <v>2135</v>
      </c>
      <c r="D3596" s="13" t="s">
        <v>2264</v>
      </c>
      <c r="E3596" s="228"/>
      <c r="F3596" s="109" t="s">
        <v>11047</v>
      </c>
      <c r="G3596" s="24" t="s">
        <v>4704</v>
      </c>
      <c r="H3596" s="230">
        <v>4.5</v>
      </c>
      <c r="I3596" s="220">
        <v>2239000</v>
      </c>
      <c r="J3596" s="220">
        <f>I3596*0.1</f>
        <v>223900</v>
      </c>
      <c r="K3596" s="220">
        <v>0</v>
      </c>
      <c r="L3596" s="220">
        <v>18170</v>
      </c>
      <c r="M3596" s="220">
        <v>13750</v>
      </c>
      <c r="N3596" s="220">
        <f>SUM(I3596:M3597)</f>
        <v>2494820</v>
      </c>
      <c r="O3596" s="224"/>
      <c r="P3596" s="110" t="s">
        <v>11821</v>
      </c>
      <c r="Q3596" s="15" t="s">
        <v>19</v>
      </c>
      <c r="R3596" s="205"/>
      <c r="S3596" s="189" t="s">
        <v>1312</v>
      </c>
      <c r="T3596" s="114"/>
      <c r="U3596" s="21"/>
      <c r="V3596" s="115">
        <v>45995</v>
      </c>
      <c r="W3596" s="116">
        <v>1309</v>
      </c>
      <c r="X3596" s="220">
        <v>2365000</v>
      </c>
      <c r="Y3596" s="220">
        <f>X3596*0.1</f>
        <v>236500</v>
      </c>
      <c r="Z3596" s="220">
        <v>18170</v>
      </c>
      <c r="AA3596" s="220">
        <f>SUM(X3596:Z3596)</f>
        <v>2619670</v>
      </c>
      <c r="AB3596" s="222">
        <v>45996</v>
      </c>
    </row>
    <row r="3597" spans="1:28" ht="17.100000000000001" customHeight="1" thickBot="1">
      <c r="A3597" s="227"/>
      <c r="B3597" s="27" t="s">
        <v>3228</v>
      </c>
      <c r="C3597" s="27">
        <v>4187</v>
      </c>
      <c r="D3597" s="14" t="s">
        <v>273</v>
      </c>
      <c r="E3597" s="229"/>
      <c r="F3597" s="117" t="s">
        <v>11820</v>
      </c>
      <c r="G3597" s="26">
        <v>48800</v>
      </c>
      <c r="H3597" s="231"/>
      <c r="I3597" s="221"/>
      <c r="J3597" s="221"/>
      <c r="K3597" s="221"/>
      <c r="L3597" s="221"/>
      <c r="M3597" s="221"/>
      <c r="N3597" s="221"/>
      <c r="O3597" s="225"/>
      <c r="P3597" s="118" t="s">
        <v>11822</v>
      </c>
      <c r="Q3597" s="16" t="s">
        <v>20</v>
      </c>
      <c r="R3597" s="17" t="s">
        <v>11800</v>
      </c>
      <c r="S3597" s="121" t="s">
        <v>1606</v>
      </c>
      <c r="T3597" s="122"/>
      <c r="U3597" s="22"/>
      <c r="V3597" s="123" t="s">
        <v>1735</v>
      </c>
      <c r="W3597" s="122">
        <v>326</v>
      </c>
      <c r="X3597" s="221"/>
      <c r="Y3597" s="221"/>
      <c r="Z3597" s="221"/>
      <c r="AA3597" s="221"/>
      <c r="AB3597" s="223"/>
    </row>
    <row r="3598" spans="1:28" ht="17.100000000000001" customHeight="1" thickTop="1">
      <c r="A3598" s="226" t="s">
        <v>11024</v>
      </c>
      <c r="B3598" s="28">
        <v>45981</v>
      </c>
      <c r="C3598" s="25">
        <v>2135</v>
      </c>
      <c r="D3598" s="13" t="s">
        <v>8755</v>
      </c>
      <c r="E3598" s="228"/>
      <c r="F3598" s="109" t="s">
        <v>11048</v>
      </c>
      <c r="G3598" s="24"/>
      <c r="H3598" s="230">
        <v>4</v>
      </c>
      <c r="I3598" s="220">
        <v>147000</v>
      </c>
      <c r="J3598" s="220">
        <f>I3598*0.1</f>
        <v>14700</v>
      </c>
      <c r="K3598" s="220">
        <v>0</v>
      </c>
      <c r="L3598" s="220">
        <v>9080</v>
      </c>
      <c r="M3598" s="220">
        <v>13750</v>
      </c>
      <c r="N3598" s="220">
        <f>SUM(I3598:M3599)</f>
        <v>184530</v>
      </c>
      <c r="O3598" s="224"/>
      <c r="P3598" s="110" t="s">
        <v>11539</v>
      </c>
      <c r="Q3598" s="15" t="s">
        <v>19</v>
      </c>
      <c r="R3598" s="205"/>
      <c r="S3598" s="189"/>
      <c r="T3598" s="114"/>
      <c r="U3598" s="21"/>
      <c r="V3598" s="115">
        <v>45987</v>
      </c>
      <c r="W3598" s="116">
        <v>994</v>
      </c>
      <c r="X3598" s="220">
        <v>655000</v>
      </c>
      <c r="Y3598" s="220">
        <f>X3598*0.1</f>
        <v>65500</v>
      </c>
      <c r="Z3598" s="220">
        <v>10010</v>
      </c>
      <c r="AA3598" s="220">
        <f>SUM(X3598:Z3598)</f>
        <v>730510</v>
      </c>
      <c r="AB3598" s="222">
        <v>45992</v>
      </c>
    </row>
    <row r="3599" spans="1:28" ht="17.100000000000001" customHeight="1" thickBot="1">
      <c r="A3599" s="227"/>
      <c r="B3599" s="27" t="s">
        <v>3228</v>
      </c>
      <c r="C3599" s="27">
        <v>35101</v>
      </c>
      <c r="D3599" s="14" t="s">
        <v>273</v>
      </c>
      <c r="E3599" s="229"/>
      <c r="F3599" s="117" t="s">
        <v>11022</v>
      </c>
      <c r="G3599" s="26">
        <v>68710</v>
      </c>
      <c r="H3599" s="231"/>
      <c r="I3599" s="221"/>
      <c r="J3599" s="221"/>
      <c r="K3599" s="221"/>
      <c r="L3599" s="221"/>
      <c r="M3599" s="221"/>
      <c r="N3599" s="221"/>
      <c r="O3599" s="225"/>
      <c r="P3599" s="118" t="s">
        <v>11540</v>
      </c>
      <c r="Q3599" s="16" t="s">
        <v>20</v>
      </c>
      <c r="R3599" s="17" t="s">
        <v>11528</v>
      </c>
      <c r="S3599" s="121" t="s">
        <v>11391</v>
      </c>
      <c r="T3599" s="122"/>
      <c r="U3599" s="22"/>
      <c r="V3599" s="123" t="s">
        <v>11555</v>
      </c>
      <c r="W3599" s="122">
        <v>2045</v>
      </c>
      <c r="X3599" s="221"/>
      <c r="Y3599" s="221"/>
      <c r="Z3599" s="221"/>
      <c r="AA3599" s="221"/>
      <c r="AB3599" s="223"/>
    </row>
    <row r="3600" spans="1:28" ht="17.100000000000001" customHeight="1" thickTop="1">
      <c r="A3600" s="226" t="s">
        <v>11025</v>
      </c>
      <c r="B3600" s="28">
        <v>45981</v>
      </c>
      <c r="C3600" s="25">
        <v>2135</v>
      </c>
      <c r="D3600" s="13" t="s">
        <v>11049</v>
      </c>
      <c r="E3600" s="228"/>
      <c r="F3600" s="109" t="s">
        <v>11050</v>
      </c>
      <c r="G3600" s="24"/>
      <c r="H3600" s="230">
        <v>4</v>
      </c>
      <c r="I3600" s="220">
        <v>147000</v>
      </c>
      <c r="J3600" s="220">
        <f>I3600*0.1</f>
        <v>14700</v>
      </c>
      <c r="K3600" s="220">
        <v>0</v>
      </c>
      <c r="L3600" s="220">
        <v>9080</v>
      </c>
      <c r="M3600" s="220">
        <v>13750</v>
      </c>
      <c r="N3600" s="220">
        <f>SUM(I3600:M3601)</f>
        <v>184530</v>
      </c>
      <c r="O3600" s="224"/>
      <c r="P3600" s="110" t="s">
        <v>11579</v>
      </c>
      <c r="Q3600" s="15" t="s">
        <v>19</v>
      </c>
      <c r="R3600" s="205"/>
      <c r="S3600" s="189"/>
      <c r="T3600" s="114"/>
      <c r="U3600" s="21"/>
      <c r="V3600" s="115">
        <v>46004</v>
      </c>
      <c r="W3600" s="116">
        <v>1280</v>
      </c>
      <c r="X3600" s="220">
        <v>205000</v>
      </c>
      <c r="Y3600" s="220">
        <f>X3600*0.1</f>
        <v>20500</v>
      </c>
      <c r="Z3600" s="220">
        <v>9080</v>
      </c>
      <c r="AA3600" s="220">
        <f>SUM(X3600:Z3600)</f>
        <v>234580</v>
      </c>
      <c r="AB3600" s="222">
        <v>46008</v>
      </c>
    </row>
    <row r="3601" spans="1:28" ht="17.100000000000001" customHeight="1" thickBot="1">
      <c r="A3601" s="227"/>
      <c r="B3601" s="27" t="s">
        <v>3228</v>
      </c>
      <c r="C3601" s="27">
        <v>35231</v>
      </c>
      <c r="D3601" s="14" t="s">
        <v>131</v>
      </c>
      <c r="E3601" s="229"/>
      <c r="F3601" s="117" t="s">
        <v>11023</v>
      </c>
      <c r="G3601" s="26">
        <v>47647</v>
      </c>
      <c r="H3601" s="231"/>
      <c r="I3601" s="221"/>
      <c r="J3601" s="221"/>
      <c r="K3601" s="221"/>
      <c r="L3601" s="221"/>
      <c r="M3601" s="221"/>
      <c r="N3601" s="221"/>
      <c r="O3601" s="225"/>
      <c r="P3601" s="118" t="s">
        <v>4962</v>
      </c>
      <c r="Q3601" s="16" t="s">
        <v>20</v>
      </c>
      <c r="R3601" s="17" t="s">
        <v>1713</v>
      </c>
      <c r="S3601" s="121" t="s">
        <v>3566</v>
      </c>
      <c r="T3601" s="122"/>
      <c r="U3601" s="22"/>
      <c r="V3601" s="123" t="s">
        <v>7160</v>
      </c>
      <c r="W3601" s="122">
        <v>60390</v>
      </c>
      <c r="X3601" s="221"/>
      <c r="Y3601" s="221"/>
      <c r="Z3601" s="221"/>
      <c r="AA3601" s="221"/>
      <c r="AB3601" s="223"/>
    </row>
    <row r="3602" spans="1:28" ht="17.100000000000001" customHeight="1" thickTop="1">
      <c r="A3602" s="233" t="s">
        <v>11051</v>
      </c>
      <c r="B3602" s="28">
        <v>45981</v>
      </c>
      <c r="C3602" s="25">
        <v>1307</v>
      </c>
      <c r="D3602" s="13" t="s">
        <v>1996</v>
      </c>
      <c r="E3602" s="228"/>
      <c r="F3602" s="109" t="s">
        <v>11058</v>
      </c>
      <c r="G3602" s="24" t="s">
        <v>1540</v>
      </c>
      <c r="H3602" s="230">
        <v>4.5</v>
      </c>
      <c r="I3602" s="220">
        <v>1235000</v>
      </c>
      <c r="J3602" s="220">
        <f>I3602*0.1</f>
        <v>123500</v>
      </c>
      <c r="K3602" s="220">
        <f>13100+1310</f>
        <v>14410</v>
      </c>
      <c r="L3602" s="220">
        <v>20860</v>
      </c>
      <c r="M3602" s="220">
        <v>16500</v>
      </c>
      <c r="N3602" s="220">
        <f>SUM(I3602:M3603)</f>
        <v>1410270</v>
      </c>
      <c r="O3602" s="224"/>
      <c r="P3602" s="110" t="s">
        <v>11070</v>
      </c>
      <c r="Q3602" s="15" t="s">
        <v>19</v>
      </c>
      <c r="R3602" s="205"/>
      <c r="S3602" s="189" t="s">
        <v>25367</v>
      </c>
      <c r="T3602" s="114"/>
      <c r="U3602" s="21" t="s">
        <v>12501</v>
      </c>
      <c r="V3602" s="115">
        <v>46039</v>
      </c>
      <c r="W3602" s="116">
        <v>1284</v>
      </c>
      <c r="X3602" s="220">
        <v>1320000</v>
      </c>
      <c r="Y3602" s="220">
        <f>X3602*0.1</f>
        <v>132000</v>
      </c>
      <c r="Z3602" s="220">
        <v>20860</v>
      </c>
      <c r="AA3602" s="220">
        <f>SUM(X3602:Z3602)</f>
        <v>1472860</v>
      </c>
      <c r="AB3602" s="222">
        <v>46042</v>
      </c>
    </row>
    <row r="3603" spans="1:28" ht="17.100000000000001" customHeight="1" thickBot="1">
      <c r="A3603" s="234"/>
      <c r="B3603" s="27" t="s">
        <v>1735</v>
      </c>
      <c r="C3603" s="27">
        <v>166</v>
      </c>
      <c r="D3603" s="14" t="s">
        <v>273</v>
      </c>
      <c r="E3603" s="229"/>
      <c r="F3603" s="117" t="s">
        <v>11059</v>
      </c>
      <c r="G3603" s="26">
        <v>57040</v>
      </c>
      <c r="H3603" s="231"/>
      <c r="I3603" s="221"/>
      <c r="J3603" s="221"/>
      <c r="K3603" s="221"/>
      <c r="L3603" s="221"/>
      <c r="M3603" s="221"/>
      <c r="N3603" s="221"/>
      <c r="O3603" s="225"/>
      <c r="P3603" s="118" t="s">
        <v>2835</v>
      </c>
      <c r="Q3603" s="16" t="s">
        <v>20</v>
      </c>
      <c r="R3603" s="17" t="s">
        <v>1721</v>
      </c>
      <c r="S3603" s="121" t="s">
        <v>11665</v>
      </c>
      <c r="T3603" s="122"/>
      <c r="U3603" s="22"/>
      <c r="V3603" s="123" t="s">
        <v>2472</v>
      </c>
      <c r="W3603" s="122">
        <v>80142</v>
      </c>
      <c r="X3603" s="221"/>
      <c r="Y3603" s="221"/>
      <c r="Z3603" s="221"/>
      <c r="AA3603" s="221"/>
      <c r="AB3603" s="223"/>
    </row>
    <row r="3604" spans="1:28" ht="17.100000000000001" customHeight="1" thickTop="1">
      <c r="A3604" s="226" t="s">
        <v>11052</v>
      </c>
      <c r="B3604" s="28">
        <v>45981</v>
      </c>
      <c r="C3604" s="25">
        <v>1307</v>
      </c>
      <c r="D3604" s="13" t="s">
        <v>1632</v>
      </c>
      <c r="E3604" s="228"/>
      <c r="F3604" s="109" t="s">
        <v>11060</v>
      </c>
      <c r="G3604" s="24"/>
      <c r="H3604" s="230">
        <v>4.5</v>
      </c>
      <c r="I3604" s="220">
        <v>1885000</v>
      </c>
      <c r="J3604" s="220">
        <f>I3604*0.1</f>
        <v>188500</v>
      </c>
      <c r="K3604" s="220">
        <v>0</v>
      </c>
      <c r="L3604" s="220">
        <v>21330</v>
      </c>
      <c r="M3604" s="220">
        <v>16500</v>
      </c>
      <c r="N3604" s="220">
        <f>SUM(I3604:M3605)</f>
        <v>2111330</v>
      </c>
      <c r="O3604" s="224"/>
      <c r="P3604" s="110" t="s">
        <v>11569</v>
      </c>
      <c r="Q3604" s="15" t="s">
        <v>19</v>
      </c>
      <c r="R3604" s="205"/>
      <c r="S3604" s="189" t="s">
        <v>25367</v>
      </c>
      <c r="T3604" s="114"/>
      <c r="U3604" s="21"/>
      <c r="V3604" s="115">
        <v>45997</v>
      </c>
      <c r="W3604" s="116">
        <v>1279</v>
      </c>
      <c r="X3604" s="220">
        <v>2045000</v>
      </c>
      <c r="Y3604" s="220">
        <f>X3604*0.1</f>
        <v>204500</v>
      </c>
      <c r="Z3604" s="220">
        <v>21330</v>
      </c>
      <c r="AA3604" s="220">
        <f>SUM(X3604:Z3604)</f>
        <v>2270830</v>
      </c>
      <c r="AB3604" s="222">
        <v>46000</v>
      </c>
    </row>
    <row r="3605" spans="1:28" ht="17.100000000000001" customHeight="1" thickBot="1">
      <c r="A3605" s="227"/>
      <c r="B3605" s="27" t="s">
        <v>1735</v>
      </c>
      <c r="C3605" s="27">
        <v>534</v>
      </c>
      <c r="D3605" s="14" t="s">
        <v>1584</v>
      </c>
      <c r="E3605" s="229"/>
      <c r="F3605" s="117" t="s">
        <v>11061</v>
      </c>
      <c r="G3605" s="26">
        <v>41968</v>
      </c>
      <c r="H3605" s="231"/>
      <c r="I3605" s="221"/>
      <c r="J3605" s="221"/>
      <c r="K3605" s="221"/>
      <c r="L3605" s="221"/>
      <c r="M3605" s="221"/>
      <c r="N3605" s="221"/>
      <c r="O3605" s="225"/>
      <c r="P3605" s="118" t="s">
        <v>11562</v>
      </c>
      <c r="Q3605" s="16" t="s">
        <v>20</v>
      </c>
      <c r="R3605" s="17" t="s">
        <v>1713</v>
      </c>
      <c r="S3605" s="121" t="s">
        <v>1731</v>
      </c>
      <c r="T3605" s="122"/>
      <c r="U3605" s="22"/>
      <c r="V3605" s="123" t="s">
        <v>2472</v>
      </c>
      <c r="W3605" s="122">
        <v>80068</v>
      </c>
      <c r="X3605" s="221"/>
      <c r="Y3605" s="221"/>
      <c r="Z3605" s="221"/>
      <c r="AA3605" s="221"/>
      <c r="AB3605" s="223"/>
    </row>
    <row r="3606" spans="1:28" ht="17.100000000000001" customHeight="1" thickTop="1">
      <c r="A3606" s="226" t="s">
        <v>11053</v>
      </c>
      <c r="B3606" s="28">
        <v>45981</v>
      </c>
      <c r="C3606" s="25">
        <v>1307</v>
      </c>
      <c r="D3606" s="13" t="s">
        <v>1953</v>
      </c>
      <c r="E3606" s="228"/>
      <c r="F3606" s="109" t="s">
        <v>11062</v>
      </c>
      <c r="G3606" s="24"/>
      <c r="H3606" s="230">
        <v>4.5</v>
      </c>
      <c r="I3606" s="220">
        <v>1860000</v>
      </c>
      <c r="J3606" s="220">
        <f>I3606*0.1</f>
        <v>186000</v>
      </c>
      <c r="K3606" s="220">
        <v>0</v>
      </c>
      <c r="L3606" s="220">
        <v>21720</v>
      </c>
      <c r="M3606" s="220">
        <v>16500</v>
      </c>
      <c r="N3606" s="220">
        <f>SUM(I3606:M3607)</f>
        <v>2084220</v>
      </c>
      <c r="O3606" s="224"/>
      <c r="P3606" s="110" t="s">
        <v>11570</v>
      </c>
      <c r="Q3606" s="15" t="s">
        <v>19</v>
      </c>
      <c r="R3606" s="205"/>
      <c r="S3606" s="189" t="s">
        <v>25367</v>
      </c>
      <c r="T3606" s="114"/>
      <c r="U3606" s="21"/>
      <c r="V3606" s="115">
        <v>45997</v>
      </c>
      <c r="W3606" s="116">
        <v>1279</v>
      </c>
      <c r="X3606" s="220">
        <v>1975000</v>
      </c>
      <c r="Y3606" s="220">
        <f>X3606*0.1</f>
        <v>197500</v>
      </c>
      <c r="Z3606" s="220">
        <v>21720</v>
      </c>
      <c r="AA3606" s="220">
        <f>SUM(X3606:Z3606)</f>
        <v>2194220</v>
      </c>
      <c r="AB3606" s="222">
        <v>46000</v>
      </c>
    </row>
    <row r="3607" spans="1:28" ht="17.100000000000001" customHeight="1" thickBot="1">
      <c r="A3607" s="227"/>
      <c r="B3607" s="27" t="s">
        <v>1735</v>
      </c>
      <c r="C3607" s="27">
        <v>535</v>
      </c>
      <c r="D3607" s="14" t="s">
        <v>273</v>
      </c>
      <c r="E3607" s="229"/>
      <c r="F3607" s="117" t="s">
        <v>11063</v>
      </c>
      <c r="G3607" s="26">
        <v>73789</v>
      </c>
      <c r="H3607" s="231"/>
      <c r="I3607" s="221"/>
      <c r="J3607" s="221"/>
      <c r="K3607" s="221"/>
      <c r="L3607" s="221"/>
      <c r="M3607" s="221"/>
      <c r="N3607" s="221"/>
      <c r="O3607" s="225"/>
      <c r="P3607" s="118" t="s">
        <v>11562</v>
      </c>
      <c r="Q3607" s="16" t="s">
        <v>20</v>
      </c>
      <c r="R3607" s="17" t="s">
        <v>1713</v>
      </c>
      <c r="S3607" s="121" t="s">
        <v>1731</v>
      </c>
      <c r="T3607" s="122"/>
      <c r="U3607" s="22"/>
      <c r="V3607" s="123" t="s">
        <v>2472</v>
      </c>
      <c r="W3607" s="122">
        <v>80013</v>
      </c>
      <c r="X3607" s="221"/>
      <c r="Y3607" s="221"/>
      <c r="Z3607" s="221"/>
      <c r="AA3607" s="221"/>
      <c r="AB3607" s="223"/>
    </row>
    <row r="3608" spans="1:28" ht="17.100000000000001" customHeight="1" thickTop="1">
      <c r="A3608" s="226" t="s">
        <v>11054</v>
      </c>
      <c r="B3608" s="28">
        <v>45981</v>
      </c>
      <c r="C3608" s="25">
        <v>1307</v>
      </c>
      <c r="D3608" s="13" t="s">
        <v>1839</v>
      </c>
      <c r="E3608" s="228"/>
      <c r="F3608" s="109" t="s">
        <v>11064</v>
      </c>
      <c r="G3608" s="24"/>
      <c r="H3608" s="230">
        <v>4</v>
      </c>
      <c r="I3608" s="220">
        <v>750000</v>
      </c>
      <c r="J3608" s="220">
        <f>I3608*0.1</f>
        <v>75000</v>
      </c>
      <c r="K3608" s="220">
        <v>0</v>
      </c>
      <c r="L3608" s="220">
        <v>19610</v>
      </c>
      <c r="M3608" s="220">
        <v>25300</v>
      </c>
      <c r="N3608" s="220">
        <f>SUM(I3608:M3609)</f>
        <v>869910</v>
      </c>
      <c r="O3608" s="224"/>
      <c r="P3608" s="110" t="s">
        <v>11561</v>
      </c>
      <c r="Q3608" s="15" t="s">
        <v>19</v>
      </c>
      <c r="R3608" s="205"/>
      <c r="S3608" s="189" t="s">
        <v>25602</v>
      </c>
      <c r="T3608" s="114"/>
      <c r="U3608" s="21"/>
      <c r="V3608" s="115">
        <v>46004</v>
      </c>
      <c r="W3608" s="116">
        <v>1280</v>
      </c>
      <c r="X3608" s="220">
        <v>940000</v>
      </c>
      <c r="Y3608" s="220">
        <f>X3608*0.1</f>
        <v>94000</v>
      </c>
      <c r="Z3608" s="220">
        <v>19610</v>
      </c>
      <c r="AA3608" s="220">
        <f>SUM(X3608:Z3608)</f>
        <v>1053610</v>
      </c>
      <c r="AB3608" s="222">
        <v>46007</v>
      </c>
    </row>
    <row r="3609" spans="1:28" ht="17.100000000000001" customHeight="1" thickBot="1">
      <c r="A3609" s="227"/>
      <c r="B3609" s="27" t="s">
        <v>1735</v>
      </c>
      <c r="C3609" s="27">
        <v>609</v>
      </c>
      <c r="D3609" s="14" t="s">
        <v>273</v>
      </c>
      <c r="E3609" s="229"/>
      <c r="F3609" s="117" t="s">
        <v>11065</v>
      </c>
      <c r="G3609" s="26">
        <v>47295</v>
      </c>
      <c r="H3609" s="231"/>
      <c r="I3609" s="221"/>
      <c r="J3609" s="221"/>
      <c r="K3609" s="221"/>
      <c r="L3609" s="221"/>
      <c r="M3609" s="221"/>
      <c r="N3609" s="221"/>
      <c r="O3609" s="225"/>
      <c r="P3609" s="118" t="s">
        <v>11562</v>
      </c>
      <c r="Q3609" s="16" t="s">
        <v>20</v>
      </c>
      <c r="R3609" s="17" t="s">
        <v>1713</v>
      </c>
      <c r="S3609" s="121" t="s">
        <v>11752</v>
      </c>
      <c r="T3609" s="122"/>
      <c r="U3609" s="22"/>
      <c r="V3609" s="123" t="s">
        <v>7160</v>
      </c>
      <c r="W3609" s="122">
        <v>80008</v>
      </c>
      <c r="X3609" s="221"/>
      <c r="Y3609" s="221"/>
      <c r="Z3609" s="221"/>
      <c r="AA3609" s="221"/>
      <c r="AB3609" s="223"/>
    </row>
    <row r="3610" spans="1:28" ht="17.100000000000001" customHeight="1" thickTop="1">
      <c r="A3610" s="226" t="s">
        <v>11055</v>
      </c>
      <c r="B3610" s="28">
        <v>45981</v>
      </c>
      <c r="C3610" s="25">
        <v>1307</v>
      </c>
      <c r="D3610" s="13" t="s">
        <v>3332</v>
      </c>
      <c r="E3610" s="228"/>
      <c r="F3610" s="109" t="s">
        <v>11066</v>
      </c>
      <c r="G3610" s="24" t="s">
        <v>2084</v>
      </c>
      <c r="H3610" s="230">
        <v>4.5</v>
      </c>
      <c r="I3610" s="220">
        <v>1960000</v>
      </c>
      <c r="J3610" s="220">
        <f>I3610*0.1</f>
        <v>196000</v>
      </c>
      <c r="K3610" s="220">
        <f>10100+1010</f>
        <v>11110</v>
      </c>
      <c r="L3610" s="220">
        <v>8600</v>
      </c>
      <c r="M3610" s="220">
        <v>16500</v>
      </c>
      <c r="N3610" s="220">
        <f>SUM(I3610:M3611)</f>
        <v>2192210</v>
      </c>
      <c r="O3610" s="224"/>
      <c r="P3610" s="110" t="s">
        <v>11072</v>
      </c>
      <c r="Q3610" s="15" t="s">
        <v>19</v>
      </c>
      <c r="R3610" s="205"/>
      <c r="S3610" s="189" t="s">
        <v>1271</v>
      </c>
      <c r="T3610" s="114"/>
      <c r="U3610" s="21"/>
      <c r="V3610" s="115">
        <v>45987</v>
      </c>
      <c r="W3610" s="116">
        <v>994</v>
      </c>
      <c r="X3610" s="220">
        <v>2040000</v>
      </c>
      <c r="Y3610" s="220">
        <f>X3610*0.1</f>
        <v>204000</v>
      </c>
      <c r="Z3610" s="220">
        <v>8600</v>
      </c>
      <c r="AA3610" s="220">
        <f>SUM(X3610:Z3610)</f>
        <v>2252600</v>
      </c>
      <c r="AB3610" s="222">
        <v>45992</v>
      </c>
    </row>
    <row r="3611" spans="1:28" ht="17.100000000000001" customHeight="1" thickBot="1">
      <c r="A3611" s="227"/>
      <c r="B3611" s="27" t="s">
        <v>1735</v>
      </c>
      <c r="C3611" s="27">
        <v>703</v>
      </c>
      <c r="D3611" s="14" t="s">
        <v>2559</v>
      </c>
      <c r="E3611" s="229"/>
      <c r="F3611" s="117" t="s">
        <v>11071</v>
      </c>
      <c r="G3611" s="26">
        <v>28948</v>
      </c>
      <c r="H3611" s="231"/>
      <c r="I3611" s="221"/>
      <c r="J3611" s="221"/>
      <c r="K3611" s="221"/>
      <c r="L3611" s="221"/>
      <c r="M3611" s="221"/>
      <c r="N3611" s="221"/>
      <c r="O3611" s="225"/>
      <c r="P3611" s="118" t="s">
        <v>11531</v>
      </c>
      <c r="Q3611" s="16" t="s">
        <v>20</v>
      </c>
      <c r="R3611" s="17" t="s">
        <v>11528</v>
      </c>
      <c r="S3611" s="121" t="s">
        <v>11532</v>
      </c>
      <c r="T3611" s="122"/>
      <c r="U3611" s="22"/>
      <c r="V3611" s="123" t="s">
        <v>11555</v>
      </c>
      <c r="W3611" s="122">
        <v>5047</v>
      </c>
      <c r="X3611" s="221"/>
      <c r="Y3611" s="221"/>
      <c r="Z3611" s="221"/>
      <c r="AA3611" s="221"/>
      <c r="AB3611" s="223"/>
    </row>
    <row r="3612" spans="1:28" ht="17.100000000000001" customHeight="1" thickTop="1">
      <c r="A3612" s="226" t="s">
        <v>11056</v>
      </c>
      <c r="B3612" s="28">
        <v>45981</v>
      </c>
      <c r="C3612" s="25">
        <v>1307</v>
      </c>
      <c r="D3612" s="13" t="s">
        <v>2712</v>
      </c>
      <c r="E3612" s="228"/>
      <c r="F3612" s="109" t="s">
        <v>11073</v>
      </c>
      <c r="G3612" s="24"/>
      <c r="H3612" s="230">
        <v>4.5</v>
      </c>
      <c r="I3612" s="220">
        <v>1975000</v>
      </c>
      <c r="J3612" s="220">
        <f>I3612*0.1</f>
        <v>197500</v>
      </c>
      <c r="K3612" s="220">
        <v>0</v>
      </c>
      <c r="L3612" s="220">
        <v>21500</v>
      </c>
      <c r="M3612" s="220">
        <v>16500</v>
      </c>
      <c r="N3612" s="220">
        <f>SUM(I3612:M3613)</f>
        <v>2210500</v>
      </c>
      <c r="O3612" s="224"/>
      <c r="P3612" s="110" t="s">
        <v>11571</v>
      </c>
      <c r="Q3612" s="15" t="s">
        <v>19</v>
      </c>
      <c r="R3612" s="205"/>
      <c r="S3612" s="189" t="s">
        <v>1271</v>
      </c>
      <c r="T3612" s="114"/>
      <c r="U3612" s="21"/>
      <c r="V3612" s="115">
        <v>45990</v>
      </c>
      <c r="W3612" s="116">
        <v>1278</v>
      </c>
      <c r="X3612" s="220">
        <v>2160000</v>
      </c>
      <c r="Y3612" s="220">
        <f>X3612*0.1</f>
        <v>216000</v>
      </c>
      <c r="Z3612" s="220">
        <v>21500</v>
      </c>
      <c r="AA3612" s="220">
        <f>SUM(X3612:Z3612)</f>
        <v>2397500</v>
      </c>
      <c r="AB3612" s="222">
        <v>45994</v>
      </c>
    </row>
    <row r="3613" spans="1:28" ht="17.100000000000001" customHeight="1" thickBot="1">
      <c r="A3613" s="227"/>
      <c r="B3613" s="27" t="s">
        <v>1735</v>
      </c>
      <c r="C3613" s="27">
        <v>723</v>
      </c>
      <c r="D3613" s="14" t="s">
        <v>273</v>
      </c>
      <c r="E3613" s="229"/>
      <c r="F3613" s="117" t="s">
        <v>11067</v>
      </c>
      <c r="G3613" s="26">
        <v>57272</v>
      </c>
      <c r="H3613" s="231"/>
      <c r="I3613" s="221"/>
      <c r="J3613" s="221"/>
      <c r="K3613" s="221"/>
      <c r="L3613" s="221"/>
      <c r="M3613" s="221"/>
      <c r="N3613" s="221"/>
      <c r="O3613" s="225"/>
      <c r="P3613" s="118" t="s">
        <v>1844</v>
      </c>
      <c r="Q3613" s="16" t="s">
        <v>20</v>
      </c>
      <c r="R3613" s="17" t="s">
        <v>1713</v>
      </c>
      <c r="S3613" s="121" t="s">
        <v>1731</v>
      </c>
      <c r="T3613" s="122"/>
      <c r="U3613" s="22"/>
      <c r="V3613" s="123" t="s">
        <v>2472</v>
      </c>
      <c r="W3613" s="122">
        <v>80010</v>
      </c>
      <c r="X3613" s="221"/>
      <c r="Y3613" s="221"/>
      <c r="Z3613" s="221"/>
      <c r="AA3613" s="221"/>
      <c r="AB3613" s="223"/>
    </row>
    <row r="3614" spans="1:28" ht="17.100000000000001" customHeight="1" thickTop="1">
      <c r="A3614" s="226" t="s">
        <v>11057</v>
      </c>
      <c r="B3614" s="28">
        <v>45981</v>
      </c>
      <c r="C3614" s="25">
        <v>1307</v>
      </c>
      <c r="D3614" s="13" t="s">
        <v>1733</v>
      </c>
      <c r="E3614" s="228"/>
      <c r="F3614" s="109" t="s">
        <v>11068</v>
      </c>
      <c r="G3614" s="24"/>
      <c r="H3614" s="230">
        <v>4.5</v>
      </c>
      <c r="I3614" s="220">
        <v>635000</v>
      </c>
      <c r="J3614" s="220">
        <f>I3614*0.1</f>
        <v>63500</v>
      </c>
      <c r="K3614" s="220">
        <v>0</v>
      </c>
      <c r="L3614" s="220">
        <v>20170</v>
      </c>
      <c r="M3614" s="220">
        <v>16500</v>
      </c>
      <c r="N3614" s="220">
        <f>SUM(I3614:M3615)</f>
        <v>735170</v>
      </c>
      <c r="O3614" s="224"/>
      <c r="P3614" s="110" t="s">
        <v>11386</v>
      </c>
      <c r="Q3614" s="15" t="s">
        <v>19</v>
      </c>
      <c r="R3614" s="205"/>
      <c r="S3614" s="189"/>
      <c r="T3614" s="114"/>
      <c r="U3614" s="21"/>
      <c r="V3614" s="115">
        <v>46004</v>
      </c>
      <c r="W3614" s="116">
        <v>1280</v>
      </c>
      <c r="X3614" s="220">
        <v>695000</v>
      </c>
      <c r="Y3614" s="220">
        <f>X3614*0.1</f>
        <v>69500</v>
      </c>
      <c r="Z3614" s="220">
        <v>20170</v>
      </c>
      <c r="AA3614" s="220">
        <f>SUM(X3614:Z3614)</f>
        <v>784670</v>
      </c>
      <c r="AB3614" s="222">
        <v>46007</v>
      </c>
    </row>
    <row r="3615" spans="1:28" ht="17.100000000000001" customHeight="1" thickBot="1">
      <c r="A3615" s="227"/>
      <c r="B3615" s="27" t="s">
        <v>1735</v>
      </c>
      <c r="C3615" s="27">
        <v>806</v>
      </c>
      <c r="D3615" s="14" t="s">
        <v>898</v>
      </c>
      <c r="E3615" s="229"/>
      <c r="F3615" s="117" t="s">
        <v>11069</v>
      </c>
      <c r="G3615" s="26">
        <v>40164</v>
      </c>
      <c r="H3615" s="231"/>
      <c r="I3615" s="221"/>
      <c r="J3615" s="221"/>
      <c r="K3615" s="221"/>
      <c r="L3615" s="221"/>
      <c r="M3615" s="221"/>
      <c r="N3615" s="221"/>
      <c r="O3615" s="225"/>
      <c r="P3615" s="118" t="s">
        <v>1844</v>
      </c>
      <c r="Q3615" s="16" t="s">
        <v>20</v>
      </c>
      <c r="R3615" s="17" t="s">
        <v>2193</v>
      </c>
      <c r="S3615" s="121" t="s">
        <v>2405</v>
      </c>
      <c r="T3615" s="122"/>
      <c r="U3615" s="22"/>
      <c r="V3615" s="123" t="s">
        <v>7160</v>
      </c>
      <c r="W3615" s="122">
        <v>80244</v>
      </c>
      <c r="X3615" s="221"/>
      <c r="Y3615" s="221"/>
      <c r="Z3615" s="221"/>
      <c r="AA3615" s="221"/>
      <c r="AB3615" s="223"/>
    </row>
    <row r="3616" spans="1:28" ht="17.100000000000001" customHeight="1" thickTop="1">
      <c r="A3616" s="226" t="s">
        <v>11121</v>
      </c>
      <c r="B3616" s="28">
        <v>45982</v>
      </c>
      <c r="C3616" s="25">
        <v>267</v>
      </c>
      <c r="D3616" s="13" t="s">
        <v>1687</v>
      </c>
      <c r="E3616" s="228"/>
      <c r="F3616" s="109" t="s">
        <v>8863</v>
      </c>
      <c r="G3616" s="24"/>
      <c r="H3616" s="230">
        <v>5</v>
      </c>
      <c r="I3616" s="220">
        <v>1196000</v>
      </c>
      <c r="J3616" s="220">
        <f>I3616*0.1</f>
        <v>119600</v>
      </c>
      <c r="K3616" s="220">
        <v>0</v>
      </c>
      <c r="L3616" s="220">
        <v>6850</v>
      </c>
      <c r="M3616" s="220">
        <v>22000</v>
      </c>
      <c r="N3616" s="220">
        <f>SUM(I3616:M3617)</f>
        <v>1344450</v>
      </c>
      <c r="O3616" s="224"/>
      <c r="P3616" s="110" t="s">
        <v>11549</v>
      </c>
      <c r="Q3616" s="15" t="s">
        <v>19</v>
      </c>
      <c r="R3616" s="205"/>
      <c r="S3616" s="189"/>
      <c r="T3616" s="114"/>
      <c r="U3616" s="21"/>
      <c r="V3616" s="115">
        <v>45986</v>
      </c>
      <c r="W3616" s="116">
        <v>1919</v>
      </c>
      <c r="X3616" s="220">
        <v>1264000</v>
      </c>
      <c r="Y3616" s="220">
        <f>X3616*0.1</f>
        <v>126400</v>
      </c>
      <c r="Z3616" s="220">
        <v>6850</v>
      </c>
      <c r="AA3616" s="220">
        <f>SUM(X3616:Z3616)</f>
        <v>1397250</v>
      </c>
      <c r="AB3616" s="222"/>
    </row>
    <row r="3617" spans="1:28" ht="17.100000000000001" customHeight="1" thickBot="1">
      <c r="A3617" s="227"/>
      <c r="B3617" s="27" t="s">
        <v>4960</v>
      </c>
      <c r="C3617" s="27">
        <v>47</v>
      </c>
      <c r="D3617" s="14" t="s">
        <v>1797</v>
      </c>
      <c r="E3617" s="229"/>
      <c r="F3617" s="117" t="s">
        <v>11078</v>
      </c>
      <c r="G3617" s="26">
        <v>33578</v>
      </c>
      <c r="H3617" s="231"/>
      <c r="I3617" s="221"/>
      <c r="J3617" s="221"/>
      <c r="K3617" s="221"/>
      <c r="L3617" s="221"/>
      <c r="M3617" s="221"/>
      <c r="N3617" s="221"/>
      <c r="O3617" s="225"/>
      <c r="P3617" s="118" t="s">
        <v>11550</v>
      </c>
      <c r="Q3617" s="16" t="s">
        <v>20</v>
      </c>
      <c r="R3617" s="17" t="s">
        <v>11528</v>
      </c>
      <c r="S3617" s="121"/>
      <c r="T3617" s="122"/>
      <c r="U3617" s="22"/>
      <c r="V3617" s="123" t="s">
        <v>11417</v>
      </c>
      <c r="W3617" s="122">
        <v>3389</v>
      </c>
      <c r="X3617" s="221"/>
      <c r="Y3617" s="221"/>
      <c r="Z3617" s="221"/>
      <c r="AA3617" s="221"/>
      <c r="AB3617" s="223"/>
    </row>
    <row r="3618" spans="1:28" ht="17.100000000000001" customHeight="1" thickTop="1">
      <c r="A3618" s="233" t="s">
        <v>11122</v>
      </c>
      <c r="B3618" s="28">
        <v>45982</v>
      </c>
      <c r="C3618" s="25">
        <v>267</v>
      </c>
      <c r="D3618" s="13" t="s">
        <v>2033</v>
      </c>
      <c r="E3618" s="228"/>
      <c r="F3618" s="109" t="s">
        <v>11079</v>
      </c>
      <c r="G3618" s="24" t="s">
        <v>4025</v>
      </c>
      <c r="H3618" s="230">
        <v>4.5</v>
      </c>
      <c r="I3618" s="220">
        <v>602000</v>
      </c>
      <c r="J3618" s="220">
        <f>I3618*0.1</f>
        <v>60200</v>
      </c>
      <c r="K3618" s="220">
        <v>0</v>
      </c>
      <c r="L3618" s="220">
        <v>8950</v>
      </c>
      <c r="M3618" s="220">
        <v>22000</v>
      </c>
      <c r="N3618" s="220">
        <f>SUM(I3618:M3619)</f>
        <v>693150</v>
      </c>
      <c r="O3618" s="224"/>
      <c r="P3618" s="110" t="s">
        <v>11785</v>
      </c>
      <c r="Q3618" s="15" t="s">
        <v>19</v>
      </c>
      <c r="R3618" s="205"/>
      <c r="S3618" s="189" t="s">
        <v>25432</v>
      </c>
      <c r="T3618" s="114"/>
      <c r="U3618" s="21" t="s">
        <v>12768</v>
      </c>
      <c r="V3618" s="115">
        <v>46039</v>
      </c>
      <c r="W3618" s="116">
        <v>1284</v>
      </c>
      <c r="X3618" s="220">
        <v>630000</v>
      </c>
      <c r="Y3618" s="220">
        <f>X3618*0.1</f>
        <v>63000</v>
      </c>
      <c r="Z3618" s="220">
        <v>8950</v>
      </c>
      <c r="AA3618" s="220">
        <f>SUM(X3618:Z3618)</f>
        <v>701950</v>
      </c>
      <c r="AB3618" s="222">
        <v>46042</v>
      </c>
    </row>
    <row r="3619" spans="1:28" ht="17.100000000000001" customHeight="1" thickBot="1">
      <c r="A3619" s="234"/>
      <c r="B3619" s="27" t="s">
        <v>4960</v>
      </c>
      <c r="C3619" s="27">
        <v>135</v>
      </c>
      <c r="D3619" s="14" t="s">
        <v>1710</v>
      </c>
      <c r="E3619" s="229"/>
      <c r="F3619" s="117" t="s">
        <v>11080</v>
      </c>
      <c r="G3619" s="26">
        <v>63762</v>
      </c>
      <c r="H3619" s="231"/>
      <c r="I3619" s="221"/>
      <c r="J3619" s="221"/>
      <c r="K3619" s="221"/>
      <c r="L3619" s="221"/>
      <c r="M3619" s="221"/>
      <c r="N3619" s="221"/>
      <c r="O3619" s="225"/>
      <c r="P3619" s="118" t="s">
        <v>2615</v>
      </c>
      <c r="Q3619" s="16" t="s">
        <v>20</v>
      </c>
      <c r="R3619" s="17" t="s">
        <v>11749</v>
      </c>
      <c r="S3619" s="121" t="s">
        <v>3832</v>
      </c>
      <c r="T3619" s="122"/>
      <c r="U3619" s="22"/>
      <c r="V3619" s="123" t="s">
        <v>7160</v>
      </c>
      <c r="W3619" s="122">
        <v>60117</v>
      </c>
      <c r="X3619" s="221"/>
      <c r="Y3619" s="221"/>
      <c r="Z3619" s="221"/>
      <c r="AA3619" s="221"/>
      <c r="AB3619" s="223"/>
    </row>
    <row r="3620" spans="1:28" ht="17.100000000000001" customHeight="1" thickTop="1">
      <c r="A3620" s="226" t="s">
        <v>11123</v>
      </c>
      <c r="B3620" s="28">
        <v>45982</v>
      </c>
      <c r="C3620" s="25">
        <v>2111</v>
      </c>
      <c r="D3620" s="13" t="s">
        <v>1883</v>
      </c>
      <c r="E3620" s="228"/>
      <c r="F3620" s="109" t="s">
        <v>11081</v>
      </c>
      <c r="G3620" s="24"/>
      <c r="H3620" s="230">
        <v>4.5</v>
      </c>
      <c r="I3620" s="220">
        <v>1250000</v>
      </c>
      <c r="J3620" s="220">
        <f>I3620*0.1</f>
        <v>125000</v>
      </c>
      <c r="K3620" s="220">
        <v>0</v>
      </c>
      <c r="L3620" s="220">
        <v>11810</v>
      </c>
      <c r="M3620" s="220">
        <v>16500</v>
      </c>
      <c r="N3620" s="220">
        <f>SUM(I3620:M3621)</f>
        <v>1403310</v>
      </c>
      <c r="O3620" s="224"/>
      <c r="P3620" s="110" t="s">
        <v>11567</v>
      </c>
      <c r="Q3620" s="15" t="s">
        <v>19</v>
      </c>
      <c r="R3620" s="205"/>
      <c r="S3620" s="189" t="s">
        <v>1306</v>
      </c>
      <c r="T3620" s="114"/>
      <c r="U3620" s="21"/>
      <c r="V3620" s="115">
        <v>45997</v>
      </c>
      <c r="W3620" s="116">
        <v>1279</v>
      </c>
      <c r="X3620" s="220">
        <v>1300000</v>
      </c>
      <c r="Y3620" s="220">
        <f>X3620*0.1</f>
        <v>130000</v>
      </c>
      <c r="Z3620" s="220">
        <v>11810</v>
      </c>
      <c r="AA3620" s="220">
        <f>SUM(X3620:Z3620)</f>
        <v>1441810</v>
      </c>
      <c r="AB3620" s="222">
        <v>46000</v>
      </c>
    </row>
    <row r="3621" spans="1:28" ht="17.100000000000001" customHeight="1" thickBot="1">
      <c r="A3621" s="227"/>
      <c r="B3621" s="27" t="s">
        <v>1536</v>
      </c>
      <c r="C3621" s="27">
        <v>58076</v>
      </c>
      <c r="D3621" s="14" t="s">
        <v>898</v>
      </c>
      <c r="E3621" s="229"/>
      <c r="F3621" s="117" t="s">
        <v>11082</v>
      </c>
      <c r="G3621" s="26">
        <v>18963</v>
      </c>
      <c r="H3621" s="231"/>
      <c r="I3621" s="221"/>
      <c r="J3621" s="221"/>
      <c r="K3621" s="221"/>
      <c r="L3621" s="221"/>
      <c r="M3621" s="221"/>
      <c r="N3621" s="221"/>
      <c r="O3621" s="225"/>
      <c r="P3621" s="118" t="s">
        <v>4094</v>
      </c>
      <c r="Q3621" s="16" t="s">
        <v>20</v>
      </c>
      <c r="R3621" s="17" t="s">
        <v>1713</v>
      </c>
      <c r="S3621" s="121" t="s">
        <v>3357</v>
      </c>
      <c r="T3621" s="122"/>
      <c r="U3621" s="22"/>
      <c r="V3621" s="123" t="s">
        <v>2472</v>
      </c>
      <c r="W3621" s="122">
        <v>80381</v>
      </c>
      <c r="X3621" s="221"/>
      <c r="Y3621" s="221"/>
      <c r="Z3621" s="221"/>
      <c r="AA3621" s="221"/>
      <c r="AB3621" s="223"/>
    </row>
    <row r="3622" spans="1:28" ht="17.100000000000001" customHeight="1" thickTop="1">
      <c r="A3622" s="233" t="s">
        <v>11124</v>
      </c>
      <c r="B3622" s="28">
        <v>45982</v>
      </c>
      <c r="C3622" s="25">
        <v>2111</v>
      </c>
      <c r="D3622" s="13" t="s">
        <v>1748</v>
      </c>
      <c r="E3622" s="228"/>
      <c r="F3622" s="109" t="s">
        <v>11083</v>
      </c>
      <c r="G3622" s="24" t="s">
        <v>11085</v>
      </c>
      <c r="H3622" s="230">
        <v>5</v>
      </c>
      <c r="I3622" s="220">
        <v>1550000</v>
      </c>
      <c r="J3622" s="220">
        <f>I3622*0.1</f>
        <v>155000</v>
      </c>
      <c r="K3622" s="220">
        <f>8300+830</f>
        <v>9130</v>
      </c>
      <c r="L3622" s="220">
        <v>12470</v>
      </c>
      <c r="M3622" s="220">
        <v>16500</v>
      </c>
      <c r="N3622" s="220">
        <f>SUM(I3622:M3623)</f>
        <v>1743100</v>
      </c>
      <c r="O3622" s="224"/>
      <c r="P3622" s="110" t="s">
        <v>11086</v>
      </c>
      <c r="Q3622" s="15" t="s">
        <v>19</v>
      </c>
      <c r="R3622" s="205"/>
      <c r="S3622" s="189" t="s">
        <v>1306</v>
      </c>
      <c r="T3622" s="114"/>
      <c r="U3622" s="21" t="s">
        <v>12502</v>
      </c>
      <c r="V3622" s="115">
        <v>46039</v>
      </c>
      <c r="W3622" s="116">
        <v>1284</v>
      </c>
      <c r="X3622" s="220">
        <v>1630000</v>
      </c>
      <c r="Y3622" s="220">
        <f>X3622*0.1</f>
        <v>163000</v>
      </c>
      <c r="Z3622" s="220">
        <v>12470</v>
      </c>
      <c r="AA3622" s="220">
        <f>SUM(X3622:Z3622)</f>
        <v>1805470</v>
      </c>
      <c r="AB3622" s="222">
        <v>46042</v>
      </c>
    </row>
    <row r="3623" spans="1:28" ht="17.100000000000001" customHeight="1" thickBot="1">
      <c r="A3623" s="234"/>
      <c r="B3623" s="27" t="s">
        <v>1536</v>
      </c>
      <c r="C3623" s="27">
        <v>58226</v>
      </c>
      <c r="D3623" s="14" t="s">
        <v>2559</v>
      </c>
      <c r="E3623" s="229"/>
      <c r="F3623" s="117" t="s">
        <v>11084</v>
      </c>
      <c r="G3623" s="26">
        <v>11634</v>
      </c>
      <c r="H3623" s="231"/>
      <c r="I3623" s="221"/>
      <c r="J3623" s="221"/>
      <c r="K3623" s="221"/>
      <c r="L3623" s="221"/>
      <c r="M3623" s="221"/>
      <c r="N3623" s="221"/>
      <c r="O3623" s="225"/>
      <c r="P3623" s="118" t="s">
        <v>8938</v>
      </c>
      <c r="Q3623" s="16" t="s">
        <v>20</v>
      </c>
      <c r="R3623" s="17" t="s">
        <v>11800</v>
      </c>
      <c r="S3623" s="121" t="s">
        <v>7305</v>
      </c>
      <c r="T3623" s="122"/>
      <c r="U3623" s="22"/>
      <c r="V3623" s="123" t="s">
        <v>7160</v>
      </c>
      <c r="W3623" s="122">
        <v>80025</v>
      </c>
      <c r="X3623" s="221"/>
      <c r="Y3623" s="221"/>
      <c r="Z3623" s="221"/>
      <c r="AA3623" s="221"/>
      <c r="AB3623" s="223"/>
    </row>
    <row r="3624" spans="1:28" ht="17.100000000000001" customHeight="1" thickTop="1">
      <c r="A3624" s="226" t="s">
        <v>11125</v>
      </c>
      <c r="B3624" s="28">
        <v>45982</v>
      </c>
      <c r="C3624" s="25">
        <v>2111</v>
      </c>
      <c r="D3624" s="13" t="s">
        <v>1931</v>
      </c>
      <c r="E3624" s="228"/>
      <c r="F3624" s="109" t="s">
        <v>11107</v>
      </c>
      <c r="G3624" s="24" t="s">
        <v>3859</v>
      </c>
      <c r="H3624" s="230">
        <v>4</v>
      </c>
      <c r="I3624" s="220">
        <v>1420000</v>
      </c>
      <c r="J3624" s="220">
        <f>I3624*0.1</f>
        <v>142000</v>
      </c>
      <c r="K3624" s="220">
        <f>13100+1310</f>
        <v>14410</v>
      </c>
      <c r="L3624" s="220">
        <v>19880</v>
      </c>
      <c r="M3624" s="220">
        <v>16500</v>
      </c>
      <c r="N3624" s="220">
        <f>SUM(I3624:M3625)</f>
        <v>1612790</v>
      </c>
      <c r="O3624" s="224"/>
      <c r="P3624" s="110" t="s">
        <v>11109</v>
      </c>
      <c r="Q3624" s="15" t="s">
        <v>19</v>
      </c>
      <c r="R3624" s="205"/>
      <c r="S3624" s="189"/>
      <c r="T3624" s="114"/>
      <c r="U3624" s="21"/>
      <c r="V3624" s="115">
        <v>45988</v>
      </c>
      <c r="W3624" s="116">
        <v>1308</v>
      </c>
      <c r="X3624" s="220">
        <v>1570000</v>
      </c>
      <c r="Y3624" s="220">
        <f>X3624*0.1</f>
        <v>157000</v>
      </c>
      <c r="Z3624" s="220">
        <v>19880</v>
      </c>
      <c r="AA3624" s="220">
        <f>SUM(X3624:Z3624)</f>
        <v>1746880</v>
      </c>
      <c r="AB3624" s="222">
        <v>45989</v>
      </c>
    </row>
    <row r="3625" spans="1:28" ht="17.100000000000001" customHeight="1" thickBot="1">
      <c r="A3625" s="227"/>
      <c r="B3625" s="27" t="s">
        <v>1536</v>
      </c>
      <c r="C3625" s="27">
        <v>58835</v>
      </c>
      <c r="D3625" s="14" t="s">
        <v>2559</v>
      </c>
      <c r="E3625" s="229"/>
      <c r="F3625" s="117" t="s">
        <v>11108</v>
      </c>
      <c r="G3625" s="26">
        <v>49292</v>
      </c>
      <c r="H3625" s="231"/>
      <c r="I3625" s="221"/>
      <c r="J3625" s="221"/>
      <c r="K3625" s="221"/>
      <c r="L3625" s="221"/>
      <c r="M3625" s="221"/>
      <c r="N3625" s="221"/>
      <c r="O3625" s="225"/>
      <c r="P3625" s="118" t="s">
        <v>11568</v>
      </c>
      <c r="Q3625" s="16" t="s">
        <v>20</v>
      </c>
      <c r="R3625" s="17" t="s">
        <v>1713</v>
      </c>
      <c r="S3625" s="121" t="s">
        <v>11868</v>
      </c>
      <c r="T3625" s="122"/>
      <c r="U3625" s="22"/>
      <c r="V3625" s="123" t="s">
        <v>1735</v>
      </c>
      <c r="W3625" s="122">
        <v>27</v>
      </c>
      <c r="X3625" s="221"/>
      <c r="Y3625" s="221"/>
      <c r="Z3625" s="221"/>
      <c r="AA3625" s="221"/>
      <c r="AB3625" s="223"/>
    </row>
    <row r="3626" spans="1:28" ht="17.100000000000001" customHeight="1" thickTop="1">
      <c r="A3626" s="226" t="s">
        <v>11126</v>
      </c>
      <c r="B3626" s="28">
        <v>45982</v>
      </c>
      <c r="C3626" s="25">
        <v>2111</v>
      </c>
      <c r="D3626" s="13" t="s">
        <v>1685</v>
      </c>
      <c r="E3626" s="228"/>
      <c r="F3626" s="109" t="s">
        <v>11110</v>
      </c>
      <c r="G3626" s="24"/>
      <c r="H3626" s="230">
        <v>4</v>
      </c>
      <c r="I3626" s="220">
        <v>640000</v>
      </c>
      <c r="J3626" s="220">
        <f>I3626*0.1</f>
        <v>64000</v>
      </c>
      <c r="K3626" s="220">
        <v>0</v>
      </c>
      <c r="L3626" s="220">
        <v>11850</v>
      </c>
      <c r="M3626" s="220">
        <v>16500</v>
      </c>
      <c r="N3626" s="220">
        <f>SUM(I3626:M3627)</f>
        <v>732350</v>
      </c>
      <c r="O3626" s="224"/>
      <c r="P3626" s="110" t="s">
        <v>11765</v>
      </c>
      <c r="Q3626" s="15" t="s">
        <v>19</v>
      </c>
      <c r="R3626" s="205"/>
      <c r="S3626" s="189" t="s">
        <v>1271</v>
      </c>
      <c r="T3626" s="114"/>
      <c r="U3626" s="21"/>
      <c r="V3626" s="115">
        <v>45988</v>
      </c>
      <c r="W3626" s="116">
        <v>1308</v>
      </c>
      <c r="X3626" s="220">
        <v>755000</v>
      </c>
      <c r="Y3626" s="220">
        <f>X3626*0.1</f>
        <v>75500</v>
      </c>
      <c r="Z3626" s="220">
        <v>11850</v>
      </c>
      <c r="AA3626" s="220">
        <v>842350</v>
      </c>
      <c r="AB3626" s="222">
        <v>45989</v>
      </c>
    </row>
    <row r="3627" spans="1:28" ht="17.100000000000001" customHeight="1" thickBot="1">
      <c r="A3627" s="227"/>
      <c r="B3627" s="27" t="s">
        <v>1536</v>
      </c>
      <c r="C3627" s="27">
        <v>58853</v>
      </c>
      <c r="D3627" s="14" t="s">
        <v>898</v>
      </c>
      <c r="E3627" s="229"/>
      <c r="F3627" s="117" t="s">
        <v>11111</v>
      </c>
      <c r="G3627" s="26">
        <v>46000</v>
      </c>
      <c r="H3627" s="231"/>
      <c r="I3627" s="221"/>
      <c r="J3627" s="221"/>
      <c r="K3627" s="221"/>
      <c r="L3627" s="221"/>
      <c r="M3627" s="221"/>
      <c r="N3627" s="221"/>
      <c r="O3627" s="225"/>
      <c r="P3627" s="118" t="s">
        <v>11766</v>
      </c>
      <c r="Q3627" s="16" t="s">
        <v>20</v>
      </c>
      <c r="R3627" s="17" t="s">
        <v>11749</v>
      </c>
      <c r="S3627" s="121" t="s">
        <v>1731</v>
      </c>
      <c r="T3627" s="122"/>
      <c r="U3627" s="22"/>
      <c r="V3627" s="123" t="s">
        <v>1735</v>
      </c>
      <c r="W3627" s="122">
        <v>26</v>
      </c>
      <c r="X3627" s="221"/>
      <c r="Y3627" s="221"/>
      <c r="Z3627" s="221"/>
      <c r="AA3627" s="221"/>
      <c r="AB3627" s="223"/>
    </row>
    <row r="3628" spans="1:28" ht="17.100000000000001" customHeight="1" thickTop="1">
      <c r="A3628" s="226" t="s">
        <v>11127</v>
      </c>
      <c r="B3628" s="28">
        <v>45982</v>
      </c>
      <c r="C3628" s="25"/>
      <c r="D3628" s="13" t="s">
        <v>2073</v>
      </c>
      <c r="E3628" s="228"/>
      <c r="F3628" s="109" t="s">
        <v>4458</v>
      </c>
      <c r="G3628" s="24" t="s">
        <v>5039</v>
      </c>
      <c r="H3628" s="230">
        <v>4</v>
      </c>
      <c r="I3628" s="220">
        <f>737000/1.1</f>
        <v>670000</v>
      </c>
      <c r="J3628" s="220">
        <f>I3628*0.1</f>
        <v>67000</v>
      </c>
      <c r="K3628" s="220">
        <v>8600</v>
      </c>
      <c r="L3628" s="220">
        <v>17250</v>
      </c>
      <c r="M3628" s="220">
        <v>0</v>
      </c>
      <c r="N3628" s="220">
        <f>SUM(I3628:M3629)</f>
        <v>762850</v>
      </c>
      <c r="O3628" s="224"/>
      <c r="P3628" s="110" t="s">
        <v>11661</v>
      </c>
      <c r="Q3628" s="15" t="s">
        <v>19</v>
      </c>
      <c r="R3628" s="205"/>
      <c r="S3628" s="189"/>
      <c r="T3628" s="114"/>
      <c r="U3628" s="21"/>
      <c r="V3628" s="115">
        <v>46004</v>
      </c>
      <c r="W3628" s="116">
        <v>1280</v>
      </c>
      <c r="X3628" s="220">
        <v>880000</v>
      </c>
      <c r="Y3628" s="220">
        <f>X3628*0.1</f>
        <v>88000</v>
      </c>
      <c r="Z3628" s="220">
        <v>17250</v>
      </c>
      <c r="AA3628" s="220">
        <f>SUM(X3628:Z3628)</f>
        <v>985250</v>
      </c>
      <c r="AB3628" s="222">
        <v>46007</v>
      </c>
    </row>
    <row r="3629" spans="1:28" ht="17.100000000000001" customHeight="1" thickBot="1">
      <c r="A3629" s="227"/>
      <c r="B3629" s="27" t="s">
        <v>1708</v>
      </c>
      <c r="C3629" s="27" t="s">
        <v>11112</v>
      </c>
      <c r="D3629" s="14" t="s">
        <v>273</v>
      </c>
      <c r="E3629" s="229"/>
      <c r="F3629" s="117" t="s">
        <v>11660</v>
      </c>
      <c r="G3629" s="26">
        <v>20098</v>
      </c>
      <c r="H3629" s="231"/>
      <c r="I3629" s="221"/>
      <c r="J3629" s="221"/>
      <c r="K3629" s="221"/>
      <c r="L3629" s="221"/>
      <c r="M3629" s="221"/>
      <c r="N3629" s="221"/>
      <c r="O3629" s="225"/>
      <c r="P3629" s="118" t="s">
        <v>11662</v>
      </c>
      <c r="Q3629" s="16" t="s">
        <v>20</v>
      </c>
      <c r="R3629" s="17" t="s">
        <v>1721</v>
      </c>
      <c r="S3629" s="121" t="s">
        <v>11663</v>
      </c>
      <c r="T3629" s="122"/>
      <c r="U3629" s="22"/>
      <c r="V3629" s="123" t="s">
        <v>7160</v>
      </c>
      <c r="W3629" s="122">
        <v>82358</v>
      </c>
      <c r="X3629" s="221"/>
      <c r="Y3629" s="221"/>
      <c r="Z3629" s="221"/>
      <c r="AA3629" s="221"/>
      <c r="AB3629" s="223"/>
    </row>
    <row r="3630" spans="1:28" ht="17.100000000000001" customHeight="1" thickTop="1">
      <c r="A3630" s="226" t="s">
        <v>11128</v>
      </c>
      <c r="B3630" s="28">
        <v>45982</v>
      </c>
      <c r="C3630" s="25"/>
      <c r="D3630" s="13" t="s">
        <v>1901</v>
      </c>
      <c r="E3630" s="228"/>
      <c r="F3630" s="109" t="s">
        <v>6884</v>
      </c>
      <c r="G3630" s="24" t="s">
        <v>11115</v>
      </c>
      <c r="H3630" s="230">
        <v>4.5</v>
      </c>
      <c r="I3630" s="220">
        <f>1248500/1.1</f>
        <v>1135000</v>
      </c>
      <c r="J3630" s="220">
        <f>I3630*0.1</f>
        <v>113500</v>
      </c>
      <c r="K3630" s="220">
        <v>0</v>
      </c>
      <c r="L3630" s="220">
        <v>8640</v>
      </c>
      <c r="M3630" s="220">
        <v>0</v>
      </c>
      <c r="N3630" s="220">
        <f>SUM(I3630:M3631)</f>
        <v>1257140</v>
      </c>
      <c r="O3630" s="224"/>
      <c r="P3630" s="110" t="s">
        <v>13535</v>
      </c>
      <c r="Q3630" s="15" t="s">
        <v>19</v>
      </c>
      <c r="R3630" s="205"/>
      <c r="S3630" s="189" t="s">
        <v>1312</v>
      </c>
      <c r="T3630" s="114"/>
      <c r="U3630" s="21"/>
      <c r="V3630" s="115">
        <v>46007</v>
      </c>
      <c r="W3630" s="116">
        <v>1922</v>
      </c>
      <c r="X3630" s="220">
        <v>1267000</v>
      </c>
      <c r="Y3630" s="220">
        <f>X3630*0.1</f>
        <v>126700</v>
      </c>
      <c r="Z3630" s="220">
        <v>8640</v>
      </c>
      <c r="AA3630" s="220">
        <f>SUM(X3630:Z3630)</f>
        <v>1402340</v>
      </c>
      <c r="AB3630" s="222"/>
    </row>
    <row r="3631" spans="1:28" ht="17.100000000000001" customHeight="1" thickBot="1">
      <c r="A3631" s="227"/>
      <c r="B3631" s="27" t="s">
        <v>1708</v>
      </c>
      <c r="C3631" s="27" t="s">
        <v>11113</v>
      </c>
      <c r="D3631" s="14" t="s">
        <v>2753</v>
      </c>
      <c r="E3631" s="229"/>
      <c r="F3631" s="117" t="s">
        <v>11114</v>
      </c>
      <c r="G3631" s="26">
        <v>36578</v>
      </c>
      <c r="H3631" s="231"/>
      <c r="I3631" s="221"/>
      <c r="J3631" s="221"/>
      <c r="K3631" s="221"/>
      <c r="L3631" s="221"/>
      <c r="M3631" s="221"/>
      <c r="N3631" s="221"/>
      <c r="O3631" s="225"/>
      <c r="P3631" s="118" t="s">
        <v>13536</v>
      </c>
      <c r="Q3631" s="16" t="s">
        <v>20</v>
      </c>
      <c r="R3631" s="17" t="s">
        <v>13537</v>
      </c>
      <c r="S3631" s="121" t="s">
        <v>1606</v>
      </c>
      <c r="T3631" s="122"/>
      <c r="U3631" s="22"/>
      <c r="V3631" s="123" t="s">
        <v>2103</v>
      </c>
      <c r="W3631" s="122">
        <v>3071</v>
      </c>
      <c r="X3631" s="221"/>
      <c r="Y3631" s="221"/>
      <c r="Z3631" s="221"/>
      <c r="AA3631" s="221"/>
      <c r="AB3631" s="223"/>
    </row>
    <row r="3632" spans="1:28" ht="17.100000000000001" customHeight="1" thickTop="1">
      <c r="A3632" s="226" t="s">
        <v>11129</v>
      </c>
      <c r="B3632" s="28">
        <v>45982</v>
      </c>
      <c r="C3632" s="25"/>
      <c r="D3632" s="13" t="s">
        <v>1846</v>
      </c>
      <c r="E3632" s="228"/>
      <c r="F3632" s="109" t="s">
        <v>11117</v>
      </c>
      <c r="G3632" s="24" t="s">
        <v>10110</v>
      </c>
      <c r="H3632" s="230">
        <v>4</v>
      </c>
      <c r="I3632" s="220">
        <f>1336500/1.1</f>
        <v>1215000</v>
      </c>
      <c r="J3632" s="220">
        <f>I3632*0.1</f>
        <v>121500</v>
      </c>
      <c r="K3632" s="220">
        <v>0</v>
      </c>
      <c r="L3632" s="220">
        <v>8640</v>
      </c>
      <c r="M3632" s="220">
        <v>0</v>
      </c>
      <c r="N3632" s="220">
        <f>SUM(I3632:M3633)</f>
        <v>1345140</v>
      </c>
      <c r="O3632" s="224"/>
      <c r="P3632" s="110" t="s">
        <v>11753</v>
      </c>
      <c r="Q3632" s="15" t="s">
        <v>19</v>
      </c>
      <c r="R3632" s="205"/>
      <c r="S3632" s="189" t="s">
        <v>1276</v>
      </c>
      <c r="T3632" s="114"/>
      <c r="U3632" s="21"/>
      <c r="V3632" s="115">
        <v>46000</v>
      </c>
      <c r="W3632" s="116">
        <v>1921</v>
      </c>
      <c r="X3632" s="220">
        <v>1291000</v>
      </c>
      <c r="Y3632" s="220">
        <f>X3632*0.1</f>
        <v>129100</v>
      </c>
      <c r="Z3632" s="220">
        <v>8640</v>
      </c>
      <c r="AA3632" s="220">
        <f>SUM(X3632:Z3632)</f>
        <v>1428740</v>
      </c>
      <c r="AB3632" s="222">
        <v>46006</v>
      </c>
    </row>
    <row r="3633" spans="1:28" ht="17.100000000000001" customHeight="1" thickBot="1">
      <c r="A3633" s="227"/>
      <c r="B3633" s="27" t="s">
        <v>1708</v>
      </c>
      <c r="C3633" s="27" t="s">
        <v>11116</v>
      </c>
      <c r="D3633" s="14" t="s">
        <v>2177</v>
      </c>
      <c r="E3633" s="229"/>
      <c r="F3633" s="117" t="s">
        <v>11118</v>
      </c>
      <c r="G3633" s="26">
        <v>37900</v>
      </c>
      <c r="H3633" s="231"/>
      <c r="I3633" s="221"/>
      <c r="J3633" s="221"/>
      <c r="K3633" s="221"/>
      <c r="L3633" s="221"/>
      <c r="M3633" s="221"/>
      <c r="N3633" s="221"/>
      <c r="O3633" s="225"/>
      <c r="P3633" s="118" t="s">
        <v>11754</v>
      </c>
      <c r="Q3633" s="16" t="s">
        <v>20</v>
      </c>
      <c r="R3633" s="17" t="s">
        <v>11749</v>
      </c>
      <c r="S3633" s="121" t="s">
        <v>1923</v>
      </c>
      <c r="T3633" s="122"/>
      <c r="U3633" s="22"/>
      <c r="V3633" s="123" t="s">
        <v>2103</v>
      </c>
      <c r="W3633" s="122">
        <v>3275</v>
      </c>
      <c r="X3633" s="221"/>
      <c r="Y3633" s="221"/>
      <c r="Z3633" s="221"/>
      <c r="AA3633" s="221"/>
      <c r="AB3633" s="223"/>
    </row>
    <row r="3634" spans="1:28" ht="17.100000000000001" customHeight="1" thickTop="1">
      <c r="A3634" s="226" t="s">
        <v>11130</v>
      </c>
      <c r="B3634" s="28">
        <v>45982</v>
      </c>
      <c r="C3634" s="25">
        <v>1395</v>
      </c>
      <c r="D3634" s="13" t="s">
        <v>1887</v>
      </c>
      <c r="E3634" s="228"/>
      <c r="F3634" s="109" t="s">
        <v>11147</v>
      </c>
      <c r="G3634" s="24" t="s">
        <v>3852</v>
      </c>
      <c r="H3634" s="230">
        <v>4</v>
      </c>
      <c r="I3634" s="220">
        <v>606000</v>
      </c>
      <c r="J3634" s="220">
        <f>I3634*0.1</f>
        <v>60600</v>
      </c>
      <c r="K3634" s="220">
        <v>0</v>
      </c>
      <c r="L3634" s="220">
        <v>6320</v>
      </c>
      <c r="M3634" s="220">
        <v>13200</v>
      </c>
      <c r="N3634" s="220">
        <f>SUM(I3634:M3635)</f>
        <v>686120</v>
      </c>
      <c r="O3634" s="224"/>
      <c r="P3634" s="110" t="s">
        <v>11649</v>
      </c>
      <c r="Q3634" s="15" t="s">
        <v>19</v>
      </c>
      <c r="R3634" s="205"/>
      <c r="S3634" s="189" t="s">
        <v>1276</v>
      </c>
      <c r="T3634" s="114"/>
      <c r="U3634" s="21" t="s">
        <v>12496</v>
      </c>
      <c r="V3634" s="115">
        <v>45997</v>
      </c>
      <c r="W3634" s="116">
        <v>1279</v>
      </c>
      <c r="X3634" s="220">
        <v>665000</v>
      </c>
      <c r="Y3634" s="220">
        <f>X3634*0.1</f>
        <v>66500</v>
      </c>
      <c r="Z3634" s="220">
        <v>6320</v>
      </c>
      <c r="AA3634" s="220">
        <f>SUM(X3634:Z3634)</f>
        <v>737820</v>
      </c>
      <c r="AB3634" s="222">
        <v>46002</v>
      </c>
    </row>
    <row r="3635" spans="1:28" ht="17.100000000000001" customHeight="1" thickBot="1">
      <c r="A3635" s="227"/>
      <c r="B3635" s="27" t="s">
        <v>2597</v>
      </c>
      <c r="C3635" s="27">
        <v>3006</v>
      </c>
      <c r="D3635" s="14" t="s">
        <v>1584</v>
      </c>
      <c r="E3635" s="229"/>
      <c r="F3635" s="117" t="s">
        <v>11137</v>
      </c>
      <c r="G3635" s="26">
        <v>58225</v>
      </c>
      <c r="H3635" s="231"/>
      <c r="I3635" s="221"/>
      <c r="J3635" s="221"/>
      <c r="K3635" s="221"/>
      <c r="L3635" s="221"/>
      <c r="M3635" s="221"/>
      <c r="N3635" s="221"/>
      <c r="O3635" s="225"/>
      <c r="P3635" s="118" t="s">
        <v>11650</v>
      </c>
      <c r="Q3635" s="16" t="s">
        <v>20</v>
      </c>
      <c r="R3635" s="17" t="s">
        <v>1713</v>
      </c>
      <c r="S3635" s="121" t="s">
        <v>1923</v>
      </c>
      <c r="T3635" s="122"/>
      <c r="U3635" s="22"/>
      <c r="V3635" s="123" t="s">
        <v>2472</v>
      </c>
      <c r="W3635" s="122">
        <v>60174</v>
      </c>
      <c r="X3635" s="221"/>
      <c r="Y3635" s="221"/>
      <c r="Z3635" s="221"/>
      <c r="AA3635" s="221"/>
      <c r="AB3635" s="223"/>
    </row>
    <row r="3636" spans="1:28" ht="17.100000000000001" customHeight="1" thickTop="1">
      <c r="A3636" s="226" t="s">
        <v>11131</v>
      </c>
      <c r="B3636" s="28">
        <v>45982</v>
      </c>
      <c r="C3636" s="25">
        <v>1395</v>
      </c>
      <c r="D3636" s="13" t="s">
        <v>1935</v>
      </c>
      <c r="E3636" s="228"/>
      <c r="F3636" s="109" t="s">
        <v>9863</v>
      </c>
      <c r="G3636" s="24" t="s">
        <v>11148</v>
      </c>
      <c r="H3636" s="230">
        <v>4</v>
      </c>
      <c r="I3636" s="220">
        <v>1212000</v>
      </c>
      <c r="J3636" s="220">
        <f>I3636*0.1</f>
        <v>121200</v>
      </c>
      <c r="K3636" s="220">
        <f>11500+1150</f>
        <v>12650</v>
      </c>
      <c r="L3636" s="220">
        <v>9810</v>
      </c>
      <c r="M3636" s="220">
        <v>13200</v>
      </c>
      <c r="N3636" s="220">
        <f>SUM(I3636:M3637)</f>
        <v>1368860</v>
      </c>
      <c r="O3636" s="224"/>
      <c r="P3636" s="110" t="s">
        <v>11782</v>
      </c>
      <c r="Q3636" s="15" t="s">
        <v>19</v>
      </c>
      <c r="R3636" s="205"/>
      <c r="S3636" s="189" t="s">
        <v>25603</v>
      </c>
      <c r="T3636" s="114"/>
      <c r="U3636" s="21"/>
      <c r="V3636" s="115">
        <v>46004</v>
      </c>
      <c r="W3636" s="116">
        <v>1280</v>
      </c>
      <c r="X3636" s="220">
        <v>1340000</v>
      </c>
      <c r="Y3636" s="220">
        <f>X3636*0.1</f>
        <v>134000</v>
      </c>
      <c r="Z3636" s="220">
        <v>9810</v>
      </c>
      <c r="AA3636" s="220">
        <f>SUM(X3636:Z3636)</f>
        <v>1483810</v>
      </c>
      <c r="AB3636" s="222">
        <v>46014</v>
      </c>
    </row>
    <row r="3637" spans="1:28" ht="17.100000000000001" customHeight="1" thickBot="1">
      <c r="A3637" s="227"/>
      <c r="B3637" s="27" t="s">
        <v>2597</v>
      </c>
      <c r="C3637" s="27">
        <v>3085</v>
      </c>
      <c r="D3637" s="14" t="s">
        <v>273</v>
      </c>
      <c r="E3637" s="229"/>
      <c r="F3637" s="117" t="s">
        <v>11138</v>
      </c>
      <c r="G3637" s="26">
        <v>29986</v>
      </c>
      <c r="H3637" s="231"/>
      <c r="I3637" s="221"/>
      <c r="J3637" s="221"/>
      <c r="K3637" s="221"/>
      <c r="L3637" s="221"/>
      <c r="M3637" s="221"/>
      <c r="N3637" s="221"/>
      <c r="O3637" s="225"/>
      <c r="P3637" s="118" t="s">
        <v>3506</v>
      </c>
      <c r="Q3637" s="16" t="s">
        <v>20</v>
      </c>
      <c r="R3637" s="17" t="s">
        <v>11749</v>
      </c>
      <c r="S3637" s="121" t="s">
        <v>11783</v>
      </c>
      <c r="T3637" s="122"/>
      <c r="U3637" s="22"/>
      <c r="V3637" s="123" t="s">
        <v>7160</v>
      </c>
      <c r="W3637" s="122">
        <v>55087</v>
      </c>
      <c r="X3637" s="221"/>
      <c r="Y3637" s="221"/>
      <c r="Z3637" s="221"/>
      <c r="AA3637" s="221"/>
      <c r="AB3637" s="223"/>
    </row>
    <row r="3638" spans="1:28" ht="17.100000000000001" customHeight="1" thickTop="1">
      <c r="A3638" s="226" t="s">
        <v>11132</v>
      </c>
      <c r="B3638" s="28">
        <v>45982</v>
      </c>
      <c r="C3638" s="25">
        <v>1395</v>
      </c>
      <c r="D3638" s="13" t="s">
        <v>2913</v>
      </c>
      <c r="E3638" s="228"/>
      <c r="F3638" s="109" t="s">
        <v>11139</v>
      </c>
      <c r="G3638" s="24" t="s">
        <v>7400</v>
      </c>
      <c r="H3638" s="230">
        <v>4.5</v>
      </c>
      <c r="I3638" s="220">
        <v>1033000</v>
      </c>
      <c r="J3638" s="220">
        <f>I3638*0.1</f>
        <v>103300</v>
      </c>
      <c r="K3638" s="220">
        <v>0</v>
      </c>
      <c r="L3638" s="220">
        <v>6880</v>
      </c>
      <c r="M3638" s="220">
        <v>13200</v>
      </c>
      <c r="N3638" s="220">
        <f>SUM(I3638:M3639)</f>
        <v>1156380</v>
      </c>
      <c r="O3638" s="224"/>
      <c r="P3638" s="110" t="s">
        <v>11666</v>
      </c>
      <c r="Q3638" s="15" t="s">
        <v>19</v>
      </c>
      <c r="R3638" s="205"/>
      <c r="S3638" s="189" t="s">
        <v>1271</v>
      </c>
      <c r="T3638" s="114"/>
      <c r="U3638" s="21" t="s">
        <v>12596</v>
      </c>
      <c r="V3638" s="115">
        <v>46004</v>
      </c>
      <c r="W3638" s="116">
        <v>1280</v>
      </c>
      <c r="X3638" s="220">
        <v>1055000</v>
      </c>
      <c r="Y3638" s="220">
        <f>X3638*0.1</f>
        <v>105500</v>
      </c>
      <c r="Z3638" s="220">
        <v>6880</v>
      </c>
      <c r="AA3638" s="220">
        <f>SUM(X3638:Z3638)</f>
        <v>1167380</v>
      </c>
      <c r="AB3638" s="222">
        <v>46008</v>
      </c>
    </row>
    <row r="3639" spans="1:28" ht="17.100000000000001" customHeight="1" thickBot="1">
      <c r="A3639" s="227"/>
      <c r="B3639" s="27" t="s">
        <v>2597</v>
      </c>
      <c r="C3639" s="27">
        <v>3129</v>
      </c>
      <c r="D3639" s="14" t="s">
        <v>1568</v>
      </c>
      <c r="E3639" s="229"/>
      <c r="F3639" s="117" t="s">
        <v>11140</v>
      </c>
      <c r="G3639" s="26">
        <v>39813</v>
      </c>
      <c r="H3639" s="231"/>
      <c r="I3639" s="221"/>
      <c r="J3639" s="221"/>
      <c r="K3639" s="221"/>
      <c r="L3639" s="221"/>
      <c r="M3639" s="221"/>
      <c r="N3639" s="221"/>
      <c r="O3639" s="225"/>
      <c r="P3639" s="118" t="s">
        <v>11667</v>
      </c>
      <c r="Q3639" s="16" t="s">
        <v>20</v>
      </c>
      <c r="R3639" s="17" t="s">
        <v>1721</v>
      </c>
      <c r="S3639" s="121" t="s">
        <v>11877</v>
      </c>
      <c r="T3639" s="122"/>
      <c r="U3639" s="22"/>
      <c r="V3639" s="123" t="s">
        <v>7160</v>
      </c>
      <c r="W3639" s="122">
        <v>60009</v>
      </c>
      <c r="X3639" s="221"/>
      <c r="Y3639" s="221"/>
      <c r="Z3639" s="221"/>
      <c r="AA3639" s="221"/>
      <c r="AB3639" s="223"/>
    </row>
    <row r="3640" spans="1:28" ht="17.100000000000001" customHeight="1" thickTop="1">
      <c r="A3640" s="226" t="s">
        <v>11133</v>
      </c>
      <c r="B3640" s="28">
        <v>45982</v>
      </c>
      <c r="C3640" s="25">
        <v>1395</v>
      </c>
      <c r="D3640" s="13" t="s">
        <v>1715</v>
      </c>
      <c r="E3640" s="228"/>
      <c r="F3640" s="109" t="s">
        <v>3844</v>
      </c>
      <c r="G3640" s="24" t="s">
        <v>9136</v>
      </c>
      <c r="H3640" s="230">
        <v>4.5</v>
      </c>
      <c r="I3640" s="220">
        <v>708000</v>
      </c>
      <c r="J3640" s="220">
        <f>I3640*0.1</f>
        <v>70800</v>
      </c>
      <c r="K3640" s="220">
        <v>0</v>
      </c>
      <c r="L3640" s="220">
        <v>7950</v>
      </c>
      <c r="M3640" s="220">
        <v>13200</v>
      </c>
      <c r="N3640" s="220">
        <f>SUM(I3640:M3641)</f>
        <v>799950</v>
      </c>
      <c r="O3640" s="224"/>
      <c r="P3640" s="110" t="s">
        <v>11647</v>
      </c>
      <c r="Q3640" s="15" t="s">
        <v>19</v>
      </c>
      <c r="R3640" s="205"/>
      <c r="S3640" s="189" t="s">
        <v>1271</v>
      </c>
      <c r="T3640" s="114"/>
      <c r="U3640" s="21"/>
      <c r="V3640" s="115">
        <v>46004</v>
      </c>
      <c r="W3640" s="116">
        <v>1280</v>
      </c>
      <c r="X3640" s="220">
        <v>765000</v>
      </c>
      <c r="Y3640" s="220">
        <f>X3640*0.1</f>
        <v>76500</v>
      </c>
      <c r="Z3640" s="220">
        <v>7950</v>
      </c>
      <c r="AA3640" s="220">
        <f>SUM(X3640:Z3640)</f>
        <v>849450</v>
      </c>
      <c r="AB3640" s="222">
        <v>46007</v>
      </c>
    </row>
    <row r="3641" spans="1:28" ht="17.100000000000001" customHeight="1" thickBot="1">
      <c r="A3641" s="227"/>
      <c r="B3641" s="27" t="s">
        <v>2597</v>
      </c>
      <c r="C3641" s="27">
        <v>3199</v>
      </c>
      <c r="D3641" s="14" t="s">
        <v>2559</v>
      </c>
      <c r="E3641" s="229"/>
      <c r="F3641" s="117" t="s">
        <v>11141</v>
      </c>
      <c r="G3641" s="26">
        <v>58421</v>
      </c>
      <c r="H3641" s="231"/>
      <c r="I3641" s="221"/>
      <c r="J3641" s="221"/>
      <c r="K3641" s="221"/>
      <c r="L3641" s="221"/>
      <c r="M3641" s="221"/>
      <c r="N3641" s="221"/>
      <c r="O3641" s="225"/>
      <c r="P3641" s="118" t="s">
        <v>11648</v>
      </c>
      <c r="Q3641" s="16" t="s">
        <v>20</v>
      </c>
      <c r="R3641" s="17" t="s">
        <v>1713</v>
      </c>
      <c r="S3641" s="121" t="s">
        <v>10515</v>
      </c>
      <c r="T3641" s="122"/>
      <c r="U3641" s="22" t="s">
        <v>3427</v>
      </c>
      <c r="V3641" s="123" t="s">
        <v>7160</v>
      </c>
      <c r="W3641" s="122">
        <v>60001</v>
      </c>
      <c r="X3641" s="221"/>
      <c r="Y3641" s="221"/>
      <c r="Z3641" s="221"/>
      <c r="AA3641" s="221"/>
      <c r="AB3641" s="223"/>
    </row>
    <row r="3642" spans="1:28" ht="17.100000000000001" customHeight="1" thickTop="1">
      <c r="A3642" s="226" t="s">
        <v>11134</v>
      </c>
      <c r="B3642" s="28">
        <v>45982</v>
      </c>
      <c r="C3642" s="25">
        <v>1395</v>
      </c>
      <c r="D3642" s="13" t="s">
        <v>1053</v>
      </c>
      <c r="E3642" s="228"/>
      <c r="F3642" s="109" t="s">
        <v>11142</v>
      </c>
      <c r="G3642" s="24" t="s">
        <v>11149</v>
      </c>
      <c r="H3642" s="230">
        <v>5</v>
      </c>
      <c r="I3642" s="220">
        <v>2103000</v>
      </c>
      <c r="J3642" s="220">
        <f>I3642*0.1</f>
        <v>210300</v>
      </c>
      <c r="K3642" s="220">
        <f>10100+1010</f>
        <v>11110</v>
      </c>
      <c r="L3642" s="220">
        <v>8600</v>
      </c>
      <c r="M3642" s="220">
        <v>13200</v>
      </c>
      <c r="N3642" s="220">
        <f>SUM(I3642:M3643)</f>
        <v>2346210</v>
      </c>
      <c r="O3642" s="224"/>
      <c r="P3642" s="110" t="s">
        <v>12084</v>
      </c>
      <c r="Q3642" s="15" t="s">
        <v>19</v>
      </c>
      <c r="R3642" s="205"/>
      <c r="S3642" s="189" t="s">
        <v>1312</v>
      </c>
      <c r="T3642" s="114"/>
      <c r="U3642" s="21"/>
      <c r="V3642" s="115">
        <v>45987</v>
      </c>
      <c r="W3642" s="116">
        <v>994</v>
      </c>
      <c r="X3642" s="220">
        <v>2240000</v>
      </c>
      <c r="Y3642" s="220">
        <f>X3642*0.1</f>
        <v>224000</v>
      </c>
      <c r="Z3642" s="220">
        <v>8600</v>
      </c>
      <c r="AA3642" s="220">
        <f>SUM(X3642:Z3642)</f>
        <v>2472600</v>
      </c>
      <c r="AB3642" s="222">
        <v>45999</v>
      </c>
    </row>
    <row r="3643" spans="1:28" ht="17.100000000000001" customHeight="1" thickBot="1">
      <c r="A3643" s="227"/>
      <c r="B3643" s="27" t="s">
        <v>2597</v>
      </c>
      <c r="C3643" s="27">
        <v>3204</v>
      </c>
      <c r="D3643" s="14" t="s">
        <v>2559</v>
      </c>
      <c r="E3643" s="229"/>
      <c r="F3643" s="117" t="s">
        <v>11143</v>
      </c>
      <c r="G3643" s="26">
        <v>12332</v>
      </c>
      <c r="H3643" s="231"/>
      <c r="I3643" s="221"/>
      <c r="J3643" s="221"/>
      <c r="K3643" s="221"/>
      <c r="L3643" s="221"/>
      <c r="M3643" s="221"/>
      <c r="N3643" s="221"/>
      <c r="O3643" s="225"/>
      <c r="P3643" s="118" t="s">
        <v>12085</v>
      </c>
      <c r="Q3643" s="16" t="s">
        <v>20</v>
      </c>
      <c r="R3643" s="17" t="s">
        <v>2216</v>
      </c>
      <c r="S3643" s="121" t="s">
        <v>1606</v>
      </c>
      <c r="T3643" s="122"/>
      <c r="U3643" s="22"/>
      <c r="V3643" s="123" t="s">
        <v>7161</v>
      </c>
      <c r="W3643" s="122">
        <v>5075</v>
      </c>
      <c r="X3643" s="221"/>
      <c r="Y3643" s="221"/>
      <c r="Z3643" s="221"/>
      <c r="AA3643" s="221"/>
      <c r="AB3643" s="223"/>
    </row>
    <row r="3644" spans="1:28" ht="17.100000000000001" customHeight="1" thickTop="1">
      <c r="A3644" s="226" t="s">
        <v>11135</v>
      </c>
      <c r="B3644" s="28">
        <v>45982</v>
      </c>
      <c r="C3644" s="25">
        <v>1395</v>
      </c>
      <c r="D3644" s="13" t="s">
        <v>2107</v>
      </c>
      <c r="E3644" s="228"/>
      <c r="F3644" s="109" t="s">
        <v>11144</v>
      </c>
      <c r="G3644" s="24" t="s">
        <v>11150</v>
      </c>
      <c r="H3644" s="230">
        <v>4</v>
      </c>
      <c r="I3644" s="220">
        <v>670000</v>
      </c>
      <c r="J3644" s="220">
        <f>I3644*0.1</f>
        <v>67000</v>
      </c>
      <c r="K3644" s="220">
        <f>9800+980</f>
        <v>10780</v>
      </c>
      <c r="L3644" s="220">
        <v>9130</v>
      </c>
      <c r="M3644" s="220">
        <v>13200</v>
      </c>
      <c r="N3644" s="220">
        <f>SUM(I3644:M3645)</f>
        <v>770110</v>
      </c>
      <c r="O3644" s="224"/>
      <c r="P3644" s="110" t="s">
        <v>11533</v>
      </c>
      <c r="Q3644" s="15" t="s">
        <v>19</v>
      </c>
      <c r="R3644" s="205"/>
      <c r="S3644" s="189"/>
      <c r="T3644" s="114"/>
      <c r="U3644" s="21"/>
      <c r="V3644" s="115">
        <v>45987</v>
      </c>
      <c r="W3644" s="116">
        <v>994</v>
      </c>
      <c r="X3644" s="220">
        <v>780000</v>
      </c>
      <c r="Y3644" s="220">
        <f>X3644*0.1</f>
        <v>78000</v>
      </c>
      <c r="Z3644" s="220">
        <v>9130</v>
      </c>
      <c r="AA3644" s="220">
        <f>SUM(X3644:Z3644)</f>
        <v>867130</v>
      </c>
      <c r="AB3644" s="222">
        <v>45992</v>
      </c>
    </row>
    <row r="3645" spans="1:28" ht="17.100000000000001" customHeight="1" thickBot="1">
      <c r="A3645" s="227"/>
      <c r="B3645" s="27" t="s">
        <v>2597</v>
      </c>
      <c r="C3645" s="27">
        <v>3219</v>
      </c>
      <c r="D3645" s="14" t="s">
        <v>273</v>
      </c>
      <c r="E3645" s="229"/>
      <c r="F3645" s="117" t="s">
        <v>11145</v>
      </c>
      <c r="G3645" s="26">
        <v>104178</v>
      </c>
      <c r="H3645" s="231"/>
      <c r="I3645" s="221"/>
      <c r="J3645" s="221"/>
      <c r="K3645" s="221"/>
      <c r="L3645" s="221"/>
      <c r="M3645" s="221"/>
      <c r="N3645" s="221"/>
      <c r="O3645" s="225"/>
      <c r="P3645" s="118" t="s">
        <v>11414</v>
      </c>
      <c r="Q3645" s="16" t="s">
        <v>20</v>
      </c>
      <c r="R3645" s="17" t="s">
        <v>11528</v>
      </c>
      <c r="S3645" s="121" t="s">
        <v>11534</v>
      </c>
      <c r="T3645" s="122"/>
      <c r="U3645" s="22"/>
      <c r="V3645" s="123" t="s">
        <v>11555</v>
      </c>
      <c r="W3645" s="122">
        <v>5079</v>
      </c>
      <c r="X3645" s="221"/>
      <c r="Y3645" s="221"/>
      <c r="Z3645" s="221"/>
      <c r="AA3645" s="221"/>
      <c r="AB3645" s="223"/>
    </row>
    <row r="3646" spans="1:28" ht="17.100000000000001" customHeight="1" thickTop="1">
      <c r="A3646" s="226" t="s">
        <v>11136</v>
      </c>
      <c r="B3646" s="28">
        <v>45982</v>
      </c>
      <c r="C3646" s="25">
        <v>1395</v>
      </c>
      <c r="D3646" s="13" t="s">
        <v>3494</v>
      </c>
      <c r="E3646" s="228"/>
      <c r="F3646" s="109" t="s">
        <v>8126</v>
      </c>
      <c r="G3646" s="24" t="s">
        <v>8081</v>
      </c>
      <c r="H3646" s="230">
        <v>3.5</v>
      </c>
      <c r="I3646" s="220">
        <v>625000</v>
      </c>
      <c r="J3646" s="220">
        <f>I3646*0.1</f>
        <v>62500</v>
      </c>
      <c r="K3646" s="220">
        <v>0</v>
      </c>
      <c r="L3646" s="220">
        <v>8430</v>
      </c>
      <c r="M3646" s="220">
        <v>13200</v>
      </c>
      <c r="N3646" s="220">
        <f>SUM(I3646:M3647)</f>
        <v>709130</v>
      </c>
      <c r="O3646" s="224"/>
      <c r="P3646" s="110" t="s">
        <v>11651</v>
      </c>
      <c r="Q3646" s="15" t="s">
        <v>19</v>
      </c>
      <c r="R3646" s="205"/>
      <c r="S3646" s="189" t="s">
        <v>25604</v>
      </c>
      <c r="T3646" s="114"/>
      <c r="U3646" s="21" t="s">
        <v>12767</v>
      </c>
      <c r="V3646" s="115">
        <v>46004</v>
      </c>
      <c r="W3646" s="116">
        <v>1280</v>
      </c>
      <c r="X3646" s="220">
        <v>675000</v>
      </c>
      <c r="Y3646" s="220">
        <f>X3646*0.1</f>
        <v>67500</v>
      </c>
      <c r="Z3646" s="220">
        <v>8430</v>
      </c>
      <c r="AA3646" s="220">
        <f>SUM(X3646:Z3646)</f>
        <v>750930</v>
      </c>
      <c r="AB3646" s="222">
        <v>46008</v>
      </c>
    </row>
    <row r="3647" spans="1:28" ht="17.100000000000001" customHeight="1" thickBot="1">
      <c r="A3647" s="227"/>
      <c r="B3647" s="27" t="s">
        <v>2597</v>
      </c>
      <c r="C3647" s="27">
        <v>9008</v>
      </c>
      <c r="D3647" s="14" t="s">
        <v>2559</v>
      </c>
      <c r="E3647" s="229"/>
      <c r="F3647" s="117" t="s">
        <v>11146</v>
      </c>
      <c r="G3647" s="26">
        <v>43410</v>
      </c>
      <c r="H3647" s="231"/>
      <c r="I3647" s="221"/>
      <c r="J3647" s="221"/>
      <c r="K3647" s="221"/>
      <c r="L3647" s="221"/>
      <c r="M3647" s="221"/>
      <c r="N3647" s="221"/>
      <c r="O3647" s="225"/>
      <c r="P3647" s="118" t="s">
        <v>10518</v>
      </c>
      <c r="Q3647" s="16" t="s">
        <v>20</v>
      </c>
      <c r="R3647" s="17" t="s">
        <v>1713</v>
      </c>
      <c r="S3647" s="121" t="s">
        <v>2360</v>
      </c>
      <c r="T3647" s="122"/>
      <c r="U3647" s="22"/>
      <c r="V3647" s="123" t="s">
        <v>7160</v>
      </c>
      <c r="W3647" s="122">
        <v>60005</v>
      </c>
      <c r="X3647" s="221"/>
      <c r="Y3647" s="221"/>
      <c r="Z3647" s="221"/>
      <c r="AA3647" s="221"/>
      <c r="AB3647" s="223"/>
    </row>
    <row r="3648" spans="1:28" ht="17.100000000000001" customHeight="1" thickTop="1">
      <c r="A3648" s="226" t="s">
        <v>11152</v>
      </c>
      <c r="B3648" s="28">
        <v>45982</v>
      </c>
      <c r="C3648" s="25">
        <v>70</v>
      </c>
      <c r="D3648" s="13" t="s">
        <v>1837</v>
      </c>
      <c r="E3648" s="228"/>
      <c r="F3648" s="109" t="s">
        <v>11182</v>
      </c>
      <c r="G3648" s="24" t="s">
        <v>5301</v>
      </c>
      <c r="H3648" s="230">
        <v>4</v>
      </c>
      <c r="I3648" s="220">
        <v>2935000</v>
      </c>
      <c r="J3648" s="220">
        <f>I3648*0.1</f>
        <v>293500</v>
      </c>
      <c r="K3648" s="220">
        <f>12000+1200</f>
        <v>13200</v>
      </c>
      <c r="L3648" s="220">
        <v>10510</v>
      </c>
      <c r="M3648" s="220">
        <v>66000</v>
      </c>
      <c r="N3648" s="220">
        <f>SUM(I3648:M3649)</f>
        <v>3318210</v>
      </c>
      <c r="O3648" s="224"/>
      <c r="P3648" s="110" t="s">
        <v>12421</v>
      </c>
      <c r="Q3648" s="15" t="s">
        <v>19</v>
      </c>
      <c r="R3648" s="205"/>
      <c r="S3648" s="189" t="s">
        <v>25541</v>
      </c>
      <c r="T3648" s="114"/>
      <c r="U3648" s="21"/>
      <c r="V3648" s="115">
        <v>45997</v>
      </c>
      <c r="W3648" s="116">
        <v>1279</v>
      </c>
      <c r="X3648" s="220">
        <v>3145000</v>
      </c>
      <c r="Y3648" s="220">
        <f>X3648*0.1</f>
        <v>314500</v>
      </c>
      <c r="Z3648" s="220">
        <v>10510</v>
      </c>
      <c r="AA3648" s="220">
        <f>SUM(X3648:Z3648)</f>
        <v>3470010</v>
      </c>
      <c r="AB3648" s="222">
        <v>46001</v>
      </c>
    </row>
    <row r="3649" spans="1:28" ht="17.100000000000001" customHeight="1" thickBot="1">
      <c r="A3649" s="227"/>
      <c r="B3649" s="27" t="s">
        <v>4468</v>
      </c>
      <c r="C3649" s="27">
        <v>1002</v>
      </c>
      <c r="D3649" s="14" t="s">
        <v>2559</v>
      </c>
      <c r="E3649" s="229"/>
      <c r="F3649" s="117" t="s">
        <v>11151</v>
      </c>
      <c r="G3649" s="26">
        <v>22247</v>
      </c>
      <c r="H3649" s="231"/>
      <c r="I3649" s="221"/>
      <c r="J3649" s="221"/>
      <c r="K3649" s="221"/>
      <c r="L3649" s="221"/>
      <c r="M3649" s="221"/>
      <c r="N3649" s="221"/>
      <c r="O3649" s="225"/>
      <c r="P3649" s="118" t="s">
        <v>12422</v>
      </c>
      <c r="Q3649" s="16" t="s">
        <v>20</v>
      </c>
      <c r="R3649" s="17" t="s">
        <v>2223</v>
      </c>
      <c r="S3649" s="121" t="s">
        <v>2025</v>
      </c>
      <c r="T3649" s="122"/>
      <c r="U3649" s="22"/>
      <c r="V3649" s="123" t="s">
        <v>2472</v>
      </c>
      <c r="W3649" s="122">
        <v>37478</v>
      </c>
      <c r="X3649" s="221"/>
      <c r="Y3649" s="221"/>
      <c r="Z3649" s="221"/>
      <c r="AA3649" s="221"/>
      <c r="AB3649" s="223"/>
    </row>
    <row r="3650" spans="1:28" ht="17.100000000000001" customHeight="1" thickTop="1">
      <c r="A3650" s="226" t="s">
        <v>11153</v>
      </c>
      <c r="B3650" s="28">
        <v>45982</v>
      </c>
      <c r="C3650" s="25">
        <v>70</v>
      </c>
      <c r="D3650" s="13" t="s">
        <v>1754</v>
      </c>
      <c r="E3650" s="228"/>
      <c r="F3650" s="109" t="s">
        <v>11183</v>
      </c>
      <c r="G3650" s="24" t="s">
        <v>4120</v>
      </c>
      <c r="H3650" s="230">
        <v>4</v>
      </c>
      <c r="I3650" s="220">
        <v>1160000</v>
      </c>
      <c r="J3650" s="220">
        <f>I3650*0.1</f>
        <v>116000</v>
      </c>
      <c r="K3650" s="220">
        <f>11200+1120</f>
        <v>12320</v>
      </c>
      <c r="L3650" s="220">
        <v>14420</v>
      </c>
      <c r="M3650" s="220">
        <v>44000</v>
      </c>
      <c r="N3650" s="220">
        <f>SUM(I3650:M3651)</f>
        <v>1346740</v>
      </c>
      <c r="O3650" s="224"/>
      <c r="P3650" s="110" t="s">
        <v>13380</v>
      </c>
      <c r="Q3650" s="15" t="s">
        <v>19</v>
      </c>
      <c r="R3650" s="205"/>
      <c r="S3650" s="189" t="s">
        <v>25605</v>
      </c>
      <c r="T3650" s="114"/>
      <c r="U3650" s="21"/>
      <c r="V3650" s="115">
        <v>46004</v>
      </c>
      <c r="W3650" s="116">
        <v>1280</v>
      </c>
      <c r="X3650" s="220">
        <v>1455000</v>
      </c>
      <c r="Y3650" s="220">
        <f>X3650*0.1</f>
        <v>145500</v>
      </c>
      <c r="Z3650" s="220">
        <v>14420</v>
      </c>
      <c r="AA3650" s="220">
        <f>SUM(X3650:Z3650)</f>
        <v>1614920</v>
      </c>
      <c r="AB3650" s="222">
        <v>46014</v>
      </c>
    </row>
    <row r="3651" spans="1:28" ht="17.100000000000001" customHeight="1" thickBot="1">
      <c r="A3651" s="227"/>
      <c r="B3651" s="27" t="s">
        <v>4468</v>
      </c>
      <c r="C3651" s="27">
        <v>1011</v>
      </c>
      <c r="D3651" s="14" t="s">
        <v>1710</v>
      </c>
      <c r="E3651" s="229"/>
      <c r="F3651" s="117" t="s">
        <v>11166</v>
      </c>
      <c r="G3651" s="26">
        <v>42884</v>
      </c>
      <c r="H3651" s="231"/>
      <c r="I3651" s="221"/>
      <c r="J3651" s="221"/>
      <c r="K3651" s="221"/>
      <c r="L3651" s="221"/>
      <c r="M3651" s="221"/>
      <c r="N3651" s="221"/>
      <c r="O3651" s="225"/>
      <c r="P3651" s="118" t="s">
        <v>1647</v>
      </c>
      <c r="Q3651" s="16" t="s">
        <v>20</v>
      </c>
      <c r="R3651" s="17" t="s">
        <v>3420</v>
      </c>
      <c r="S3651" s="121" t="s">
        <v>13381</v>
      </c>
      <c r="T3651" s="122"/>
      <c r="U3651" s="22"/>
      <c r="V3651" s="123" t="s">
        <v>7160</v>
      </c>
      <c r="W3651" s="122">
        <v>37686</v>
      </c>
      <c r="X3651" s="221"/>
      <c r="Y3651" s="221"/>
      <c r="Z3651" s="221"/>
      <c r="AA3651" s="221"/>
      <c r="AB3651" s="223"/>
    </row>
    <row r="3652" spans="1:28" ht="17.100000000000001" customHeight="1" thickTop="1">
      <c r="A3652" s="235" t="s">
        <v>11154</v>
      </c>
      <c r="B3652" s="28">
        <v>45982</v>
      </c>
      <c r="C3652" s="25">
        <v>70</v>
      </c>
      <c r="D3652" s="13" t="s">
        <v>1589</v>
      </c>
      <c r="E3652" s="228"/>
      <c r="F3652" s="109" t="s">
        <v>11184</v>
      </c>
      <c r="G3652" s="24" t="s">
        <v>2907</v>
      </c>
      <c r="H3652" s="230">
        <v>4</v>
      </c>
      <c r="I3652" s="220">
        <v>420000</v>
      </c>
      <c r="J3652" s="220">
        <f>I3652*0.1</f>
        <v>42000</v>
      </c>
      <c r="K3652" s="220">
        <v>0</v>
      </c>
      <c r="L3652" s="220">
        <v>8230</v>
      </c>
      <c r="M3652" s="220">
        <v>33000</v>
      </c>
      <c r="N3652" s="220">
        <f>SUM(I3652:M3653)</f>
        <v>503230</v>
      </c>
      <c r="O3652" s="224"/>
      <c r="P3652" s="110" t="s">
        <v>13594</v>
      </c>
      <c r="Q3652" s="15" t="s">
        <v>19</v>
      </c>
      <c r="R3652" s="205"/>
      <c r="S3652" s="189" t="s">
        <v>25606</v>
      </c>
      <c r="T3652" s="114" t="s">
        <v>15004</v>
      </c>
      <c r="U3652" s="21" t="s">
        <v>13688</v>
      </c>
      <c r="V3652" s="115">
        <v>46085</v>
      </c>
      <c r="W3652" s="116">
        <v>1007</v>
      </c>
      <c r="X3652" s="220">
        <v>470000</v>
      </c>
      <c r="Y3652" s="220">
        <f>X3652*0.1</f>
        <v>47000</v>
      </c>
      <c r="Z3652" s="220">
        <v>8230</v>
      </c>
      <c r="AA3652" s="220">
        <f>SUM(X3652:Z3652)</f>
        <v>525230</v>
      </c>
      <c r="AB3652" s="222">
        <v>46090</v>
      </c>
    </row>
    <row r="3653" spans="1:28" ht="17.100000000000001" customHeight="1" thickBot="1">
      <c r="A3653" s="236"/>
      <c r="B3653" s="27" t="s">
        <v>4468</v>
      </c>
      <c r="C3653" s="27">
        <v>1036</v>
      </c>
      <c r="D3653" s="14" t="s">
        <v>1548</v>
      </c>
      <c r="E3653" s="229"/>
      <c r="F3653" s="117" t="s">
        <v>11167</v>
      </c>
      <c r="G3653" s="26">
        <v>49802</v>
      </c>
      <c r="H3653" s="231"/>
      <c r="I3653" s="221"/>
      <c r="J3653" s="221"/>
      <c r="K3653" s="221"/>
      <c r="L3653" s="221"/>
      <c r="M3653" s="221"/>
      <c r="N3653" s="221"/>
      <c r="O3653" s="225"/>
      <c r="P3653" s="118" t="s">
        <v>13595</v>
      </c>
      <c r="Q3653" s="16" t="s">
        <v>20</v>
      </c>
      <c r="R3653" s="17" t="s">
        <v>1794</v>
      </c>
      <c r="S3653" s="121" t="s">
        <v>12618</v>
      </c>
      <c r="T3653" s="122" t="s">
        <v>15047</v>
      </c>
      <c r="U3653" s="22"/>
      <c r="V3653" s="123" t="s">
        <v>2747</v>
      </c>
      <c r="W3653" s="122">
        <v>2013</v>
      </c>
      <c r="X3653" s="221"/>
      <c r="Y3653" s="221"/>
      <c r="Z3653" s="221"/>
      <c r="AA3653" s="221"/>
      <c r="AB3653" s="223"/>
    </row>
    <row r="3654" spans="1:28" ht="17.100000000000001" customHeight="1" thickTop="1">
      <c r="A3654" s="226" t="s">
        <v>11155</v>
      </c>
      <c r="B3654" s="28">
        <v>45982</v>
      </c>
      <c r="C3654" s="25">
        <v>70</v>
      </c>
      <c r="D3654" s="13" t="s">
        <v>1678</v>
      </c>
      <c r="E3654" s="228"/>
      <c r="F3654" s="109" t="s">
        <v>9302</v>
      </c>
      <c r="G3654" s="24" t="s">
        <v>3345</v>
      </c>
      <c r="H3654" s="230">
        <v>4.5</v>
      </c>
      <c r="I3654" s="220">
        <v>1800000</v>
      </c>
      <c r="J3654" s="220">
        <f>I3654*0.1</f>
        <v>180000</v>
      </c>
      <c r="K3654" s="220">
        <f>10100+1010</f>
        <v>11110</v>
      </c>
      <c r="L3654" s="220">
        <v>7470</v>
      </c>
      <c r="M3654" s="220">
        <v>44000</v>
      </c>
      <c r="N3654" s="220">
        <f>SUM(I3654:M3655)</f>
        <v>2042580</v>
      </c>
      <c r="O3654" s="224"/>
      <c r="P3654" s="110" t="s">
        <v>12089</v>
      </c>
      <c r="Q3654" s="15" t="s">
        <v>19</v>
      </c>
      <c r="R3654" s="205"/>
      <c r="S3654" s="189" t="s">
        <v>25535</v>
      </c>
      <c r="T3654" s="114"/>
      <c r="U3654" s="21"/>
      <c r="V3654" s="115">
        <v>45997</v>
      </c>
      <c r="W3654" s="116">
        <v>1279</v>
      </c>
      <c r="X3654" s="220">
        <v>1915000</v>
      </c>
      <c r="Y3654" s="220">
        <f>X3654*0.1</f>
        <v>191500</v>
      </c>
      <c r="Z3654" s="220">
        <v>7470</v>
      </c>
      <c r="AA3654" s="220">
        <f>SUM(X3654:Z3654)</f>
        <v>2113970</v>
      </c>
      <c r="AB3654" s="222">
        <v>46007</v>
      </c>
    </row>
    <row r="3655" spans="1:28" ht="17.100000000000001" customHeight="1" thickBot="1">
      <c r="A3655" s="227"/>
      <c r="B3655" s="27" t="s">
        <v>4468</v>
      </c>
      <c r="C3655" s="27">
        <v>1043</v>
      </c>
      <c r="D3655" s="14" t="s">
        <v>2788</v>
      </c>
      <c r="E3655" s="229"/>
      <c r="F3655" s="117" t="s">
        <v>11168</v>
      </c>
      <c r="G3655" s="26">
        <v>20671</v>
      </c>
      <c r="H3655" s="231"/>
      <c r="I3655" s="221"/>
      <c r="J3655" s="221"/>
      <c r="K3655" s="221"/>
      <c r="L3655" s="221"/>
      <c r="M3655" s="221"/>
      <c r="N3655" s="221"/>
      <c r="O3655" s="225"/>
      <c r="P3655" s="118" t="s">
        <v>12090</v>
      </c>
      <c r="Q3655" s="16" t="s">
        <v>20</v>
      </c>
      <c r="R3655" s="17" t="s">
        <v>2216</v>
      </c>
      <c r="S3655" s="121" t="s">
        <v>1601</v>
      </c>
      <c r="T3655" s="122"/>
      <c r="U3655" s="22" t="s">
        <v>3427</v>
      </c>
      <c r="V3655" s="123" t="s">
        <v>6641</v>
      </c>
      <c r="W3655" s="122">
        <v>37475</v>
      </c>
      <c r="X3655" s="221"/>
      <c r="Y3655" s="221"/>
      <c r="Z3655" s="221"/>
      <c r="AA3655" s="221"/>
      <c r="AB3655" s="223"/>
    </row>
    <row r="3656" spans="1:28" ht="17.100000000000001" customHeight="1" thickTop="1">
      <c r="A3656" s="226" t="s">
        <v>11156</v>
      </c>
      <c r="B3656" s="28">
        <v>45982</v>
      </c>
      <c r="C3656" s="25">
        <v>70</v>
      </c>
      <c r="D3656" s="13" t="s">
        <v>1976</v>
      </c>
      <c r="E3656" s="228"/>
      <c r="F3656" s="109" t="s">
        <v>11185</v>
      </c>
      <c r="G3656" s="24" t="s">
        <v>2813</v>
      </c>
      <c r="H3656" s="230">
        <v>4</v>
      </c>
      <c r="I3656" s="220">
        <v>1385000</v>
      </c>
      <c r="J3656" s="220">
        <f>I3656*0.1</f>
        <v>138500</v>
      </c>
      <c r="K3656" s="220">
        <v>0</v>
      </c>
      <c r="L3656" s="220">
        <v>8550</v>
      </c>
      <c r="M3656" s="220">
        <v>44000</v>
      </c>
      <c r="N3656" s="220">
        <f>SUM(I3656:M3657)</f>
        <v>1576050</v>
      </c>
      <c r="O3656" s="224"/>
      <c r="P3656" s="110" t="s">
        <v>13486</v>
      </c>
      <c r="Q3656" s="15" t="s">
        <v>19</v>
      </c>
      <c r="R3656" s="205"/>
      <c r="S3656" s="189" t="s">
        <v>25607</v>
      </c>
      <c r="T3656" s="114"/>
      <c r="U3656" s="21"/>
      <c r="V3656" s="115">
        <v>46014</v>
      </c>
      <c r="W3656" s="116">
        <v>1923</v>
      </c>
      <c r="X3656" s="220">
        <v>1635000</v>
      </c>
      <c r="Y3656" s="220">
        <f>X3656*0.1</f>
        <v>163500</v>
      </c>
      <c r="Z3656" s="220">
        <v>8550</v>
      </c>
      <c r="AA3656" s="220">
        <f>SUM(X3656:Z3656)</f>
        <v>1807050</v>
      </c>
      <c r="AB3656" s="222">
        <v>46020</v>
      </c>
    </row>
    <row r="3657" spans="1:28" ht="17.100000000000001" customHeight="1" thickBot="1">
      <c r="A3657" s="227"/>
      <c r="B3657" s="27" t="s">
        <v>4468</v>
      </c>
      <c r="C3657" s="27">
        <v>1048</v>
      </c>
      <c r="D3657" s="14" t="s">
        <v>273</v>
      </c>
      <c r="E3657" s="229"/>
      <c r="F3657" s="117" t="s">
        <v>11169</v>
      </c>
      <c r="G3657" s="26">
        <v>13713</v>
      </c>
      <c r="H3657" s="231"/>
      <c r="I3657" s="221"/>
      <c r="J3657" s="221"/>
      <c r="K3657" s="221"/>
      <c r="L3657" s="221"/>
      <c r="M3657" s="221"/>
      <c r="N3657" s="221"/>
      <c r="O3657" s="225"/>
      <c r="P3657" s="118" t="s">
        <v>4211</v>
      </c>
      <c r="Q3657" s="16" t="s">
        <v>20</v>
      </c>
      <c r="R3657" s="17" t="s">
        <v>3420</v>
      </c>
      <c r="S3657" s="121" t="s">
        <v>1731</v>
      </c>
      <c r="T3657" s="122"/>
      <c r="U3657" s="22"/>
      <c r="V3657" s="123" t="s">
        <v>2103</v>
      </c>
      <c r="W3657" s="122">
        <v>3095</v>
      </c>
      <c r="X3657" s="221"/>
      <c r="Y3657" s="221"/>
      <c r="Z3657" s="221"/>
      <c r="AA3657" s="221"/>
      <c r="AB3657" s="223"/>
    </row>
    <row r="3658" spans="1:28" ht="17.100000000000001" customHeight="1" thickTop="1">
      <c r="A3658" s="226" t="s">
        <v>11157</v>
      </c>
      <c r="B3658" s="28">
        <v>45982</v>
      </c>
      <c r="C3658" s="25">
        <v>70</v>
      </c>
      <c r="D3658" s="13" t="s">
        <v>1632</v>
      </c>
      <c r="E3658" s="228"/>
      <c r="F3658" s="109" t="s">
        <v>11186</v>
      </c>
      <c r="G3658" s="24" t="s">
        <v>3345</v>
      </c>
      <c r="H3658" s="230">
        <v>3.5</v>
      </c>
      <c r="I3658" s="220">
        <v>1150000</v>
      </c>
      <c r="J3658" s="220">
        <f>I3658*0.1</f>
        <v>115000</v>
      </c>
      <c r="K3658" s="220">
        <f>9800+980</f>
        <v>10780</v>
      </c>
      <c r="L3658" s="220">
        <v>12030</v>
      </c>
      <c r="M3658" s="220">
        <v>44000</v>
      </c>
      <c r="N3658" s="220">
        <f>SUM(I3658:M3659)</f>
        <v>1331810</v>
      </c>
      <c r="O3658" s="224"/>
      <c r="P3658" s="110" t="s">
        <v>13052</v>
      </c>
      <c r="Q3658" s="15" t="s">
        <v>19</v>
      </c>
      <c r="R3658" s="205"/>
      <c r="S3658" s="189" t="s">
        <v>25605</v>
      </c>
      <c r="T3658" s="114"/>
      <c r="U3658" s="21"/>
      <c r="V3658" s="115">
        <v>46004</v>
      </c>
      <c r="W3658" s="116">
        <v>1280</v>
      </c>
      <c r="X3658" s="220">
        <v>1250000</v>
      </c>
      <c r="Y3658" s="220">
        <f>X3658*0.1</f>
        <v>125000</v>
      </c>
      <c r="Z3658" s="220">
        <v>12030</v>
      </c>
      <c r="AA3658" s="220">
        <f>SUM(X3658:Z3658)</f>
        <v>1387030</v>
      </c>
      <c r="AB3658" s="222">
        <v>46007</v>
      </c>
    </row>
    <row r="3659" spans="1:28" ht="17.100000000000001" customHeight="1" thickBot="1">
      <c r="A3659" s="227"/>
      <c r="B3659" s="27" t="s">
        <v>4468</v>
      </c>
      <c r="C3659" s="27">
        <v>1049</v>
      </c>
      <c r="D3659" s="14" t="s">
        <v>1710</v>
      </c>
      <c r="E3659" s="229"/>
      <c r="F3659" s="117" t="s">
        <v>11170</v>
      </c>
      <c r="G3659" s="26">
        <v>83957</v>
      </c>
      <c r="H3659" s="231"/>
      <c r="I3659" s="221"/>
      <c r="J3659" s="221"/>
      <c r="K3659" s="221"/>
      <c r="L3659" s="221"/>
      <c r="M3659" s="221"/>
      <c r="N3659" s="221"/>
      <c r="O3659" s="225"/>
      <c r="P3659" s="118" t="s">
        <v>13053</v>
      </c>
      <c r="Q3659" s="16" t="s">
        <v>20</v>
      </c>
      <c r="R3659" s="17" t="s">
        <v>2235</v>
      </c>
      <c r="S3659" s="121" t="s">
        <v>1731</v>
      </c>
      <c r="T3659" s="122"/>
      <c r="U3659" s="22"/>
      <c r="V3659" s="123" t="s">
        <v>2472</v>
      </c>
      <c r="W3659" s="122">
        <v>37684</v>
      </c>
      <c r="X3659" s="221"/>
      <c r="Y3659" s="221"/>
      <c r="Z3659" s="221"/>
      <c r="AA3659" s="221"/>
      <c r="AB3659" s="223"/>
    </row>
    <row r="3660" spans="1:28" ht="17.100000000000001" customHeight="1" thickTop="1">
      <c r="A3660" s="226" t="s">
        <v>11158</v>
      </c>
      <c r="B3660" s="28">
        <v>45982</v>
      </c>
      <c r="C3660" s="25">
        <v>70</v>
      </c>
      <c r="D3660" s="13" t="s">
        <v>2406</v>
      </c>
      <c r="E3660" s="228"/>
      <c r="F3660" s="109" t="s">
        <v>11187</v>
      </c>
      <c r="G3660" s="24" t="s">
        <v>3408</v>
      </c>
      <c r="H3660" s="230">
        <v>4</v>
      </c>
      <c r="I3660" s="220">
        <v>895000</v>
      </c>
      <c r="J3660" s="220">
        <f>I3660*0.1</f>
        <v>89500</v>
      </c>
      <c r="K3660" s="220">
        <v>0</v>
      </c>
      <c r="L3660" s="220">
        <v>8110</v>
      </c>
      <c r="M3660" s="220">
        <v>33000</v>
      </c>
      <c r="N3660" s="220">
        <f>SUM(I3660:M3661)</f>
        <v>1025610</v>
      </c>
      <c r="O3660" s="224"/>
      <c r="P3660" s="110" t="s">
        <v>12651</v>
      </c>
      <c r="Q3660" s="15" t="s">
        <v>19</v>
      </c>
      <c r="R3660" s="205"/>
      <c r="S3660" s="189" t="s">
        <v>25608</v>
      </c>
      <c r="T3660" s="114"/>
      <c r="U3660" s="21"/>
      <c r="V3660" s="115">
        <v>46000</v>
      </c>
      <c r="W3660" s="116">
        <v>1921</v>
      </c>
      <c r="X3660" s="220">
        <v>1088000</v>
      </c>
      <c r="Y3660" s="220">
        <f>X3660*0.1</f>
        <v>108800</v>
      </c>
      <c r="Z3660" s="220">
        <v>8110</v>
      </c>
      <c r="AA3660" s="220">
        <f>SUM(X3660:Z3660)</f>
        <v>1204910</v>
      </c>
      <c r="AB3660" s="222"/>
    </row>
    <row r="3661" spans="1:28" ht="17.100000000000001" customHeight="1" thickBot="1">
      <c r="A3661" s="227"/>
      <c r="B3661" s="27" t="s">
        <v>4468</v>
      </c>
      <c r="C3661" s="27">
        <v>1058</v>
      </c>
      <c r="D3661" s="14" t="s">
        <v>2559</v>
      </c>
      <c r="E3661" s="229"/>
      <c r="F3661" s="117" t="s">
        <v>11171</v>
      </c>
      <c r="G3661" s="26">
        <v>46490</v>
      </c>
      <c r="H3661" s="231"/>
      <c r="I3661" s="221"/>
      <c r="J3661" s="221"/>
      <c r="K3661" s="221"/>
      <c r="L3661" s="221"/>
      <c r="M3661" s="221"/>
      <c r="N3661" s="221"/>
      <c r="O3661" s="225"/>
      <c r="P3661" s="118" t="s">
        <v>12652</v>
      </c>
      <c r="Q3661" s="16" t="s">
        <v>20</v>
      </c>
      <c r="R3661" s="17" t="s">
        <v>12649</v>
      </c>
      <c r="S3661" s="121" t="s">
        <v>12653</v>
      </c>
      <c r="T3661" s="122"/>
      <c r="U3661" s="22"/>
      <c r="V3661" s="123" t="s">
        <v>2103</v>
      </c>
      <c r="W3661" s="122">
        <v>3451</v>
      </c>
      <c r="X3661" s="221"/>
      <c r="Y3661" s="221"/>
      <c r="Z3661" s="221"/>
      <c r="AA3661" s="221"/>
      <c r="AB3661" s="223"/>
    </row>
    <row r="3662" spans="1:28" ht="17.100000000000001" customHeight="1" thickTop="1">
      <c r="A3662" s="226" t="s">
        <v>11159</v>
      </c>
      <c r="B3662" s="28">
        <v>45982</v>
      </c>
      <c r="C3662" s="25">
        <v>70</v>
      </c>
      <c r="D3662" s="13" t="s">
        <v>1685</v>
      </c>
      <c r="E3662" s="228"/>
      <c r="F3662" s="109" t="s">
        <v>11188</v>
      </c>
      <c r="G3662" s="24" t="s">
        <v>3867</v>
      </c>
      <c r="H3662" s="230">
        <v>4</v>
      </c>
      <c r="I3662" s="220">
        <v>565000</v>
      </c>
      <c r="J3662" s="220">
        <f>I3662*0.1</f>
        <v>56500</v>
      </c>
      <c r="K3662" s="220">
        <v>0</v>
      </c>
      <c r="L3662" s="220">
        <v>9200</v>
      </c>
      <c r="M3662" s="220">
        <v>33000</v>
      </c>
      <c r="N3662" s="220">
        <f>SUM(I3662:M3663)</f>
        <v>663700</v>
      </c>
      <c r="O3662" s="224"/>
      <c r="P3662" s="110" t="s">
        <v>12614</v>
      </c>
      <c r="Q3662" s="15" t="s">
        <v>19</v>
      </c>
      <c r="R3662" s="205"/>
      <c r="S3662" s="189" t="s">
        <v>25605</v>
      </c>
      <c r="T3662" s="114"/>
      <c r="U3662" s="21"/>
      <c r="V3662" s="115">
        <v>46000</v>
      </c>
      <c r="W3662" s="116">
        <v>1921</v>
      </c>
      <c r="X3662" s="220">
        <v>751000</v>
      </c>
      <c r="Y3662" s="220">
        <f>X3662*0.1</f>
        <v>75100</v>
      </c>
      <c r="Z3662" s="220">
        <v>9200</v>
      </c>
      <c r="AA3662" s="220">
        <f>SUM(X3662:Z3662)</f>
        <v>835300</v>
      </c>
      <c r="AB3662" s="222">
        <v>46006</v>
      </c>
    </row>
    <row r="3663" spans="1:28" ht="17.100000000000001" customHeight="1" thickBot="1">
      <c r="A3663" s="227"/>
      <c r="B3663" s="27" t="s">
        <v>4468</v>
      </c>
      <c r="C3663" s="27">
        <v>1071</v>
      </c>
      <c r="D3663" s="14" t="s">
        <v>3274</v>
      </c>
      <c r="E3663" s="229"/>
      <c r="F3663" s="117" t="s">
        <v>11241</v>
      </c>
      <c r="G3663" s="26">
        <v>26309</v>
      </c>
      <c r="H3663" s="231"/>
      <c r="I3663" s="221"/>
      <c r="J3663" s="221"/>
      <c r="K3663" s="221"/>
      <c r="L3663" s="221"/>
      <c r="M3663" s="221"/>
      <c r="N3663" s="221"/>
      <c r="O3663" s="225"/>
      <c r="P3663" s="118" t="s">
        <v>12615</v>
      </c>
      <c r="Q3663" s="16" t="s">
        <v>20</v>
      </c>
      <c r="R3663" s="17" t="s">
        <v>12584</v>
      </c>
      <c r="S3663" s="121" t="s">
        <v>12279</v>
      </c>
      <c r="T3663" s="122"/>
      <c r="U3663" s="22"/>
      <c r="V3663" s="123" t="s">
        <v>2103</v>
      </c>
      <c r="W3663" s="122">
        <v>3261</v>
      </c>
      <c r="X3663" s="221"/>
      <c r="Y3663" s="221"/>
      <c r="Z3663" s="221"/>
      <c r="AA3663" s="221"/>
      <c r="AB3663" s="223"/>
    </row>
    <row r="3664" spans="1:28" ht="17.100000000000001" customHeight="1" thickTop="1">
      <c r="A3664" s="226" t="s">
        <v>11160</v>
      </c>
      <c r="B3664" s="28">
        <v>45982</v>
      </c>
      <c r="C3664" s="25">
        <v>70</v>
      </c>
      <c r="D3664" s="13" t="s">
        <v>2065</v>
      </c>
      <c r="E3664" s="228"/>
      <c r="F3664" s="109" t="s">
        <v>11189</v>
      </c>
      <c r="G3664" s="24" t="s">
        <v>3453</v>
      </c>
      <c r="H3664" s="230">
        <v>4.5</v>
      </c>
      <c r="I3664" s="220">
        <v>1290000</v>
      </c>
      <c r="J3664" s="220">
        <f>I3664*0.1</f>
        <v>129000</v>
      </c>
      <c r="K3664" s="220">
        <v>0</v>
      </c>
      <c r="L3664" s="220">
        <v>7510</v>
      </c>
      <c r="M3664" s="220">
        <v>44000</v>
      </c>
      <c r="N3664" s="220">
        <f>SUM(I3664:M3665)</f>
        <v>1470510</v>
      </c>
      <c r="O3664" s="224"/>
      <c r="P3664" s="110" t="s">
        <v>12606</v>
      </c>
      <c r="Q3664" s="15" t="s">
        <v>19</v>
      </c>
      <c r="R3664" s="205"/>
      <c r="S3664" s="189" t="s">
        <v>25535</v>
      </c>
      <c r="T3664" s="114"/>
      <c r="U3664" s="21" t="s">
        <v>12772</v>
      </c>
      <c r="V3664" s="115">
        <v>46000</v>
      </c>
      <c r="W3664" s="116">
        <v>1921</v>
      </c>
      <c r="X3664" s="220">
        <v>1373000</v>
      </c>
      <c r="Y3664" s="220">
        <f>X3664*0.1</f>
        <v>137300</v>
      </c>
      <c r="Z3664" s="220">
        <v>7510</v>
      </c>
      <c r="AA3664" s="220">
        <f>SUM(X3664:Z3664)</f>
        <v>1517810</v>
      </c>
      <c r="AB3664" s="222">
        <v>46006</v>
      </c>
    </row>
    <row r="3665" spans="1:28" ht="17.100000000000001" customHeight="1" thickBot="1">
      <c r="A3665" s="227"/>
      <c r="B3665" s="27" t="s">
        <v>4468</v>
      </c>
      <c r="C3665" s="27">
        <v>1076</v>
      </c>
      <c r="D3665" s="14" t="s">
        <v>131</v>
      </c>
      <c r="E3665" s="229"/>
      <c r="F3665" s="117" t="s">
        <v>11172</v>
      </c>
      <c r="G3665" s="26">
        <v>28827</v>
      </c>
      <c r="H3665" s="231"/>
      <c r="I3665" s="221"/>
      <c r="J3665" s="221"/>
      <c r="K3665" s="221"/>
      <c r="L3665" s="221"/>
      <c r="M3665" s="221"/>
      <c r="N3665" s="221"/>
      <c r="O3665" s="225"/>
      <c r="P3665" s="118" t="s">
        <v>12607</v>
      </c>
      <c r="Q3665" s="16" t="s">
        <v>20</v>
      </c>
      <c r="R3665" s="17" t="s">
        <v>12584</v>
      </c>
      <c r="S3665" s="121" t="s">
        <v>12278</v>
      </c>
      <c r="T3665" s="122"/>
      <c r="U3665" s="22"/>
      <c r="V3665" s="123" t="s">
        <v>2103</v>
      </c>
      <c r="W3665" s="122">
        <v>3247</v>
      </c>
      <c r="X3665" s="221"/>
      <c r="Y3665" s="221"/>
      <c r="Z3665" s="221"/>
      <c r="AA3665" s="221"/>
      <c r="AB3665" s="223"/>
    </row>
    <row r="3666" spans="1:28" ht="17.100000000000001" customHeight="1" thickTop="1">
      <c r="A3666" s="233" t="s">
        <v>11161</v>
      </c>
      <c r="B3666" s="28">
        <v>45982</v>
      </c>
      <c r="C3666" s="25">
        <v>70</v>
      </c>
      <c r="D3666" s="13" t="s">
        <v>853</v>
      </c>
      <c r="E3666" s="228"/>
      <c r="F3666" s="109" t="s">
        <v>11190</v>
      </c>
      <c r="G3666" s="24" t="s">
        <v>3859</v>
      </c>
      <c r="H3666" s="230">
        <v>4</v>
      </c>
      <c r="I3666" s="220">
        <v>1510000</v>
      </c>
      <c r="J3666" s="220">
        <f>I3666*0.1</f>
        <v>151000</v>
      </c>
      <c r="K3666" s="220">
        <f>9900</f>
        <v>9900</v>
      </c>
      <c r="L3666" s="220">
        <v>9440</v>
      </c>
      <c r="M3666" s="220">
        <v>44000</v>
      </c>
      <c r="N3666" s="220">
        <f>SUM(I3666:M3667)</f>
        <v>1724340</v>
      </c>
      <c r="O3666" s="224"/>
      <c r="P3666" s="110" t="s">
        <v>14759</v>
      </c>
      <c r="Q3666" s="15" t="s">
        <v>19</v>
      </c>
      <c r="R3666" s="205"/>
      <c r="S3666" s="189" t="s">
        <v>25609</v>
      </c>
      <c r="T3666" s="114"/>
      <c r="U3666" s="21"/>
      <c r="V3666" s="115">
        <v>46032</v>
      </c>
      <c r="W3666" s="116">
        <v>1283</v>
      </c>
      <c r="X3666" s="220">
        <v>1785000</v>
      </c>
      <c r="Y3666" s="220">
        <f>X3666*0.1</f>
        <v>178500</v>
      </c>
      <c r="Z3666" s="220">
        <v>9440</v>
      </c>
      <c r="AA3666" s="220">
        <f>SUM(X3666:Z3666)</f>
        <v>1972940</v>
      </c>
      <c r="AB3666" s="222">
        <v>46042</v>
      </c>
    </row>
    <row r="3667" spans="1:28" ht="17.100000000000001" customHeight="1" thickBot="1">
      <c r="A3667" s="234"/>
      <c r="B3667" s="27" t="s">
        <v>4468</v>
      </c>
      <c r="C3667" s="27">
        <v>1081</v>
      </c>
      <c r="D3667" s="14" t="s">
        <v>131</v>
      </c>
      <c r="E3667" s="229"/>
      <c r="F3667" s="117" t="s">
        <v>11173</v>
      </c>
      <c r="G3667" s="26">
        <v>18465</v>
      </c>
      <c r="H3667" s="231"/>
      <c r="I3667" s="221"/>
      <c r="J3667" s="221"/>
      <c r="K3667" s="221"/>
      <c r="L3667" s="221"/>
      <c r="M3667" s="221"/>
      <c r="N3667" s="221"/>
      <c r="O3667" s="225"/>
      <c r="P3667" s="118" t="s">
        <v>12132</v>
      </c>
      <c r="Q3667" s="16" t="s">
        <v>20</v>
      </c>
      <c r="R3667" s="17" t="s">
        <v>3913</v>
      </c>
      <c r="S3667" s="121" t="s">
        <v>8657</v>
      </c>
      <c r="T3667" s="122"/>
      <c r="U3667" s="22"/>
      <c r="V3667" s="123" t="s">
        <v>2472</v>
      </c>
      <c r="W3667" s="122">
        <v>37214</v>
      </c>
      <c r="X3667" s="221"/>
      <c r="Y3667" s="221"/>
      <c r="Z3667" s="221"/>
      <c r="AA3667" s="221"/>
      <c r="AB3667" s="223"/>
    </row>
    <row r="3668" spans="1:28" ht="17.100000000000001" customHeight="1" thickTop="1">
      <c r="A3668" s="226" t="s">
        <v>11162</v>
      </c>
      <c r="B3668" s="28">
        <v>45982</v>
      </c>
      <c r="C3668" s="25">
        <v>70</v>
      </c>
      <c r="D3668" s="13" t="s">
        <v>1564</v>
      </c>
      <c r="E3668" s="228"/>
      <c r="F3668" s="109" t="s">
        <v>11191</v>
      </c>
      <c r="G3668" s="24" t="s">
        <v>2907</v>
      </c>
      <c r="H3668" s="230">
        <v>4</v>
      </c>
      <c r="I3668" s="220">
        <v>785000</v>
      </c>
      <c r="J3668" s="220">
        <f>I3668*0.1</f>
        <v>78500</v>
      </c>
      <c r="K3668" s="220">
        <v>0</v>
      </c>
      <c r="L3668" s="220">
        <v>9080</v>
      </c>
      <c r="M3668" s="220">
        <v>33000</v>
      </c>
      <c r="N3668" s="220">
        <f>SUM(I3668:M3669)</f>
        <v>905580</v>
      </c>
      <c r="O3668" s="224"/>
      <c r="P3668" s="110" t="s">
        <v>12430</v>
      </c>
      <c r="Q3668" s="15" t="s">
        <v>19</v>
      </c>
      <c r="R3668" s="205"/>
      <c r="S3668" s="189" t="s">
        <v>25535</v>
      </c>
      <c r="T3668" s="114"/>
      <c r="U3668" s="21" t="s">
        <v>12595</v>
      </c>
      <c r="V3668" s="115">
        <v>46000</v>
      </c>
      <c r="W3668" s="116">
        <v>1921</v>
      </c>
      <c r="X3668" s="220">
        <v>960000</v>
      </c>
      <c r="Y3668" s="220">
        <f>X3668*0.1</f>
        <v>96000</v>
      </c>
      <c r="Z3668" s="220">
        <v>9080</v>
      </c>
      <c r="AA3668" s="220">
        <f>SUM(X3668:Z3668)</f>
        <v>1065080</v>
      </c>
      <c r="AB3668" s="222">
        <v>46006</v>
      </c>
    </row>
    <row r="3669" spans="1:28" ht="17.100000000000001" customHeight="1" thickBot="1">
      <c r="A3669" s="227"/>
      <c r="B3669" s="27" t="s">
        <v>4468</v>
      </c>
      <c r="C3669" s="27">
        <v>1088</v>
      </c>
      <c r="D3669" s="14" t="s">
        <v>1710</v>
      </c>
      <c r="E3669" s="229"/>
      <c r="F3669" s="117" t="s">
        <v>11174</v>
      </c>
      <c r="G3669" s="26">
        <v>45142</v>
      </c>
      <c r="H3669" s="231"/>
      <c r="I3669" s="221"/>
      <c r="J3669" s="221"/>
      <c r="K3669" s="221"/>
      <c r="L3669" s="221"/>
      <c r="M3669" s="221"/>
      <c r="N3669" s="221"/>
      <c r="O3669" s="225"/>
      <c r="P3669" s="118" t="s">
        <v>12431</v>
      </c>
      <c r="Q3669" s="16" t="s">
        <v>20</v>
      </c>
      <c r="R3669" s="17" t="s">
        <v>12417</v>
      </c>
      <c r="S3669" s="121" t="s">
        <v>12432</v>
      </c>
      <c r="T3669" s="122"/>
      <c r="U3669" s="22"/>
      <c r="V3669" s="123" t="s">
        <v>2103</v>
      </c>
      <c r="W3669" s="122">
        <v>3253</v>
      </c>
      <c r="X3669" s="221"/>
      <c r="Y3669" s="221"/>
      <c r="Z3669" s="221"/>
      <c r="AA3669" s="221"/>
      <c r="AB3669" s="223"/>
    </row>
    <row r="3670" spans="1:28" ht="17.100000000000001" customHeight="1" thickTop="1">
      <c r="A3670" s="226" t="s">
        <v>11163</v>
      </c>
      <c r="B3670" s="28">
        <v>45982</v>
      </c>
      <c r="C3670" s="25">
        <v>70</v>
      </c>
      <c r="D3670" s="13" t="s">
        <v>1704</v>
      </c>
      <c r="E3670" s="228"/>
      <c r="F3670" s="109" t="s">
        <v>5101</v>
      </c>
      <c r="G3670" s="24" t="s">
        <v>3345</v>
      </c>
      <c r="H3670" s="230">
        <v>4.5</v>
      </c>
      <c r="I3670" s="220">
        <v>355000</v>
      </c>
      <c r="J3670" s="220">
        <f>I3670*0.1</f>
        <v>35500</v>
      </c>
      <c r="K3670" s="220">
        <v>0</v>
      </c>
      <c r="L3670" s="220">
        <v>7140</v>
      </c>
      <c r="M3670" s="220">
        <v>33000</v>
      </c>
      <c r="N3670" s="220">
        <f>SUM(I3670:M3671)</f>
        <v>430640</v>
      </c>
      <c r="O3670" s="224"/>
      <c r="P3670" s="110" t="s">
        <v>12604</v>
      </c>
      <c r="Q3670" s="15" t="s">
        <v>19</v>
      </c>
      <c r="R3670" s="205"/>
      <c r="S3670" s="189" t="s">
        <v>25567</v>
      </c>
      <c r="T3670" s="114"/>
      <c r="U3670" s="21"/>
      <c r="V3670" s="115">
        <v>46004</v>
      </c>
      <c r="W3670" s="116">
        <v>1280</v>
      </c>
      <c r="X3670" s="220">
        <v>355000</v>
      </c>
      <c r="Y3670" s="220">
        <f>X3670*0.1</f>
        <v>35500</v>
      </c>
      <c r="Z3670" s="220">
        <v>7140</v>
      </c>
      <c r="AA3670" s="220">
        <f>SUM(X3670:Z3670)</f>
        <v>397640</v>
      </c>
      <c r="AB3670" s="222">
        <v>46009</v>
      </c>
    </row>
    <row r="3671" spans="1:28" ht="17.100000000000001" customHeight="1" thickBot="1">
      <c r="A3671" s="227"/>
      <c r="B3671" s="27" t="s">
        <v>4468</v>
      </c>
      <c r="C3671" s="27">
        <v>1102</v>
      </c>
      <c r="D3671" s="14" t="s">
        <v>1710</v>
      </c>
      <c r="E3671" s="229"/>
      <c r="F3671" s="117" t="s">
        <v>11175</v>
      </c>
      <c r="G3671" s="26">
        <v>50503</v>
      </c>
      <c r="H3671" s="231"/>
      <c r="I3671" s="221"/>
      <c r="J3671" s="221"/>
      <c r="K3671" s="221"/>
      <c r="L3671" s="221"/>
      <c r="M3671" s="221"/>
      <c r="N3671" s="221"/>
      <c r="O3671" s="225"/>
      <c r="P3671" s="118" t="s">
        <v>12605</v>
      </c>
      <c r="Q3671" s="16" t="s">
        <v>20</v>
      </c>
      <c r="R3671" s="17" t="s">
        <v>12584</v>
      </c>
      <c r="S3671" s="121" t="s">
        <v>1625</v>
      </c>
      <c r="T3671" s="122"/>
      <c r="U3671" s="22"/>
      <c r="V3671" s="123" t="s">
        <v>2472</v>
      </c>
      <c r="W3671" s="122">
        <v>65176</v>
      </c>
      <c r="X3671" s="221"/>
      <c r="Y3671" s="221"/>
      <c r="Z3671" s="221"/>
      <c r="AA3671" s="221"/>
      <c r="AB3671" s="223"/>
    </row>
    <row r="3672" spans="1:28" ht="17.100000000000001" customHeight="1" thickTop="1">
      <c r="A3672" s="226" t="s">
        <v>11164</v>
      </c>
      <c r="B3672" s="28">
        <v>45982</v>
      </c>
      <c r="C3672" s="25">
        <v>70</v>
      </c>
      <c r="D3672" s="13" t="s">
        <v>1564</v>
      </c>
      <c r="E3672" s="228"/>
      <c r="F3672" s="109" t="s">
        <v>11192</v>
      </c>
      <c r="G3672" s="24" t="s">
        <v>3867</v>
      </c>
      <c r="H3672" s="230">
        <v>3.5</v>
      </c>
      <c r="I3672" s="220">
        <v>320000</v>
      </c>
      <c r="J3672" s="220">
        <f>I3672*0.1</f>
        <v>32000</v>
      </c>
      <c r="K3672" s="220">
        <v>0</v>
      </c>
      <c r="L3672" s="220">
        <v>9790</v>
      </c>
      <c r="M3672" s="220">
        <v>33000</v>
      </c>
      <c r="N3672" s="220">
        <f>SUM(I3672:M3673)</f>
        <v>394790</v>
      </c>
      <c r="O3672" s="224"/>
      <c r="P3672" s="110" t="s">
        <v>12119</v>
      </c>
      <c r="Q3672" s="15" t="s">
        <v>19</v>
      </c>
      <c r="R3672" s="205"/>
      <c r="S3672" s="189" t="s">
        <v>25568</v>
      </c>
      <c r="T3672" s="114"/>
      <c r="U3672" s="21" t="s">
        <v>12495</v>
      </c>
      <c r="V3672" s="115">
        <v>45997</v>
      </c>
      <c r="W3672" s="116">
        <v>1279</v>
      </c>
      <c r="X3672" s="220">
        <v>545000</v>
      </c>
      <c r="Y3672" s="220">
        <f>X3672*0.1</f>
        <v>54500</v>
      </c>
      <c r="Z3672" s="220">
        <v>9790</v>
      </c>
      <c r="AA3672" s="220">
        <f>SUM(X3672:Z3672)</f>
        <v>609290</v>
      </c>
      <c r="AB3672" s="222">
        <v>46002</v>
      </c>
    </row>
    <row r="3673" spans="1:28" ht="17.100000000000001" customHeight="1" thickBot="1">
      <c r="A3673" s="227"/>
      <c r="B3673" s="27" t="s">
        <v>4468</v>
      </c>
      <c r="C3673" s="27">
        <v>1103</v>
      </c>
      <c r="D3673" s="14" t="s">
        <v>1797</v>
      </c>
      <c r="E3673" s="229"/>
      <c r="F3673" s="117" t="s">
        <v>11176</v>
      </c>
      <c r="G3673" s="26">
        <v>54688</v>
      </c>
      <c r="H3673" s="231"/>
      <c r="I3673" s="221"/>
      <c r="J3673" s="221"/>
      <c r="K3673" s="221"/>
      <c r="L3673" s="221"/>
      <c r="M3673" s="221"/>
      <c r="N3673" s="221"/>
      <c r="O3673" s="225"/>
      <c r="P3673" s="118" t="s">
        <v>12120</v>
      </c>
      <c r="Q3673" s="16" t="s">
        <v>20</v>
      </c>
      <c r="R3673" s="17" t="s">
        <v>2216</v>
      </c>
      <c r="S3673" s="121" t="s">
        <v>12283</v>
      </c>
      <c r="T3673" s="122"/>
      <c r="U3673" s="22"/>
      <c r="V3673" s="123" t="s">
        <v>2472</v>
      </c>
      <c r="W3673" s="122">
        <v>65231</v>
      </c>
      <c r="X3673" s="221"/>
      <c r="Y3673" s="221"/>
      <c r="Z3673" s="221"/>
      <c r="AA3673" s="221"/>
      <c r="AB3673" s="223"/>
    </row>
    <row r="3674" spans="1:28" ht="17.100000000000001" customHeight="1" thickTop="1">
      <c r="A3674" s="233" t="s">
        <v>11165</v>
      </c>
      <c r="B3674" s="28">
        <v>45982</v>
      </c>
      <c r="C3674" s="25">
        <v>70</v>
      </c>
      <c r="D3674" s="13" t="s">
        <v>1915</v>
      </c>
      <c r="E3674" s="228"/>
      <c r="F3674" s="109" t="s">
        <v>11193</v>
      </c>
      <c r="G3674" s="24" t="s">
        <v>2907</v>
      </c>
      <c r="H3674" s="230">
        <v>4</v>
      </c>
      <c r="I3674" s="220">
        <v>1655000</v>
      </c>
      <c r="J3674" s="220">
        <f>I3674*0.1</f>
        <v>165500</v>
      </c>
      <c r="K3674" s="220">
        <f>11200+1120</f>
        <v>12320</v>
      </c>
      <c r="L3674" s="220">
        <v>16550</v>
      </c>
      <c r="M3674" s="220">
        <v>44000</v>
      </c>
      <c r="N3674" s="220">
        <f>SUM(I3674:M3675)</f>
        <v>1893370</v>
      </c>
      <c r="O3674" s="224"/>
      <c r="P3674" s="110" t="s">
        <v>13958</v>
      </c>
      <c r="Q3674" s="15" t="s">
        <v>19</v>
      </c>
      <c r="R3674" s="205"/>
      <c r="S3674" s="189" t="s">
        <v>25608</v>
      </c>
      <c r="T3674" s="114"/>
      <c r="U3674" s="21" t="s">
        <v>14185</v>
      </c>
      <c r="V3674" s="115">
        <v>46032</v>
      </c>
      <c r="W3674" s="116">
        <v>1283</v>
      </c>
      <c r="X3674" s="220">
        <v>1920000</v>
      </c>
      <c r="Y3674" s="220">
        <f>X3674*0.1</f>
        <v>192000</v>
      </c>
      <c r="Z3674" s="220">
        <v>16550</v>
      </c>
      <c r="AA3674" s="220">
        <f>SUM(X3674:Z3674)</f>
        <v>2128550</v>
      </c>
      <c r="AB3674" s="222">
        <v>46036</v>
      </c>
    </row>
    <row r="3675" spans="1:28" ht="17.100000000000001" customHeight="1" thickBot="1">
      <c r="A3675" s="234"/>
      <c r="B3675" s="27" t="s">
        <v>4468</v>
      </c>
      <c r="C3675" s="27">
        <v>1107</v>
      </c>
      <c r="D3675" s="14" t="s">
        <v>273</v>
      </c>
      <c r="E3675" s="229"/>
      <c r="F3675" s="117" t="s">
        <v>11177</v>
      </c>
      <c r="G3675" s="26">
        <v>115474</v>
      </c>
      <c r="H3675" s="231"/>
      <c r="I3675" s="221"/>
      <c r="J3675" s="221"/>
      <c r="K3675" s="221"/>
      <c r="L3675" s="221"/>
      <c r="M3675" s="221"/>
      <c r="N3675" s="221"/>
      <c r="O3675" s="225"/>
      <c r="P3675" s="118" t="s">
        <v>2287</v>
      </c>
      <c r="Q3675" s="16" t="s">
        <v>20</v>
      </c>
      <c r="R3675" s="17" t="s">
        <v>3432</v>
      </c>
      <c r="S3675" s="121" t="s">
        <v>1649</v>
      </c>
      <c r="T3675" s="122"/>
      <c r="U3675" s="22"/>
      <c r="V3675" s="123" t="s">
        <v>2472</v>
      </c>
      <c r="W3675" s="122">
        <v>37539</v>
      </c>
      <c r="X3675" s="221"/>
      <c r="Y3675" s="221"/>
      <c r="Z3675" s="221"/>
      <c r="AA3675" s="221"/>
      <c r="AB3675" s="223"/>
    </row>
    <row r="3676" spans="1:28" ht="17.100000000000001" customHeight="1" thickTop="1">
      <c r="A3676" s="226" t="s">
        <v>11274</v>
      </c>
      <c r="B3676" s="28">
        <v>45983</v>
      </c>
      <c r="C3676" s="25">
        <v>288</v>
      </c>
      <c r="D3676" s="13" t="s">
        <v>2158</v>
      </c>
      <c r="E3676" s="228"/>
      <c r="F3676" s="109" t="s">
        <v>9664</v>
      </c>
      <c r="G3676" s="24" t="s">
        <v>2871</v>
      </c>
      <c r="H3676" s="230">
        <v>4</v>
      </c>
      <c r="I3676" s="220">
        <v>682000</v>
      </c>
      <c r="J3676" s="220">
        <f>I3676*0.1</f>
        <v>68200</v>
      </c>
      <c r="K3676" s="220">
        <v>0</v>
      </c>
      <c r="L3676" s="220">
        <v>7510</v>
      </c>
      <c r="M3676" s="220">
        <v>15950</v>
      </c>
      <c r="N3676" s="220">
        <f>SUM(I3676:M3677)</f>
        <v>773660</v>
      </c>
      <c r="O3676" s="224"/>
      <c r="P3676" s="110" t="s">
        <v>11179</v>
      </c>
      <c r="Q3676" s="15" t="s">
        <v>19</v>
      </c>
      <c r="R3676" s="205"/>
      <c r="S3676" s="189" t="s">
        <v>1072</v>
      </c>
      <c r="T3676" s="114"/>
      <c r="U3676" s="85" t="s">
        <v>11179</v>
      </c>
      <c r="V3676" s="115">
        <v>46029</v>
      </c>
      <c r="W3676" s="116">
        <v>999</v>
      </c>
      <c r="X3676" s="220">
        <v>750000</v>
      </c>
      <c r="Y3676" s="220">
        <f>X3676*0.1</f>
        <v>75000</v>
      </c>
      <c r="Z3676" s="220">
        <v>7510</v>
      </c>
      <c r="AA3676" s="220">
        <f>SUM(X3676:Z3676)</f>
        <v>832510</v>
      </c>
      <c r="AB3676" s="222">
        <v>46037</v>
      </c>
    </row>
    <row r="3677" spans="1:28" ht="17.100000000000001" customHeight="1" thickBot="1">
      <c r="A3677" s="227"/>
      <c r="B3677" s="27" t="s">
        <v>3518</v>
      </c>
      <c r="C3677" s="27">
        <v>3128</v>
      </c>
      <c r="D3677" s="14" t="s">
        <v>1710</v>
      </c>
      <c r="E3677" s="229"/>
      <c r="F3677" s="117" t="s">
        <v>11178</v>
      </c>
      <c r="G3677" s="26">
        <v>41955</v>
      </c>
      <c r="H3677" s="231"/>
      <c r="I3677" s="221"/>
      <c r="J3677" s="221"/>
      <c r="K3677" s="221"/>
      <c r="L3677" s="221"/>
      <c r="M3677" s="221"/>
      <c r="N3677" s="221"/>
      <c r="O3677" s="225"/>
      <c r="P3677" s="118" t="s">
        <v>7323</v>
      </c>
      <c r="Q3677" s="16" t="s">
        <v>20</v>
      </c>
      <c r="R3677" s="17" t="s">
        <v>11749</v>
      </c>
      <c r="S3677" s="121" t="s">
        <v>1573</v>
      </c>
      <c r="T3677" s="122"/>
      <c r="U3677" s="22"/>
      <c r="V3677" s="123" t="s">
        <v>7161</v>
      </c>
      <c r="W3677" s="122">
        <v>2039</v>
      </c>
      <c r="X3677" s="221"/>
      <c r="Y3677" s="221"/>
      <c r="Z3677" s="221"/>
      <c r="AA3677" s="221"/>
      <c r="AB3677" s="223"/>
    </row>
    <row r="3678" spans="1:28" ht="17.100000000000001" customHeight="1" thickTop="1">
      <c r="A3678" s="226" t="s">
        <v>11275</v>
      </c>
      <c r="B3678" s="28">
        <v>45983</v>
      </c>
      <c r="C3678" s="25">
        <v>288</v>
      </c>
      <c r="D3678" s="13" t="s">
        <v>1578</v>
      </c>
      <c r="E3678" s="228"/>
      <c r="F3678" s="109" t="s">
        <v>11180</v>
      </c>
      <c r="G3678" s="24"/>
      <c r="H3678" s="230">
        <v>4.5</v>
      </c>
      <c r="I3678" s="220">
        <v>4521000</v>
      </c>
      <c r="J3678" s="220">
        <f>I3678*0.1</f>
        <v>452100</v>
      </c>
      <c r="K3678" s="220">
        <v>0</v>
      </c>
      <c r="L3678" s="220">
        <v>23490</v>
      </c>
      <c r="M3678" s="220">
        <v>15950</v>
      </c>
      <c r="N3678" s="220">
        <f>SUM(I3678:M3679)</f>
        <v>5012540</v>
      </c>
      <c r="O3678" s="224"/>
      <c r="P3678" s="110" t="s">
        <v>11565</v>
      </c>
      <c r="Q3678" s="15" t="s">
        <v>19</v>
      </c>
      <c r="R3678" s="205"/>
      <c r="S3678" s="189" t="s">
        <v>758</v>
      </c>
      <c r="T3678" s="114"/>
      <c r="U3678" s="21"/>
      <c r="V3678" s="115">
        <v>45988</v>
      </c>
      <c r="W3678" s="116">
        <v>1308</v>
      </c>
      <c r="X3678" s="220">
        <v>4930000</v>
      </c>
      <c r="Y3678" s="220">
        <f>X3678*0.1</f>
        <v>493000</v>
      </c>
      <c r="Z3678" s="220">
        <v>23490</v>
      </c>
      <c r="AA3678" s="220">
        <f>SUM(X3678:Z3678)</f>
        <v>5446490</v>
      </c>
      <c r="AB3678" s="222">
        <v>45989</v>
      </c>
    </row>
    <row r="3679" spans="1:28" ht="17.100000000000001" customHeight="1" thickBot="1">
      <c r="A3679" s="227"/>
      <c r="B3679" s="27" t="s">
        <v>3518</v>
      </c>
      <c r="C3679" s="27">
        <v>5017</v>
      </c>
      <c r="D3679" s="14" t="s">
        <v>2088</v>
      </c>
      <c r="E3679" s="229"/>
      <c r="F3679" s="117" t="s">
        <v>11181</v>
      </c>
      <c r="G3679" s="26">
        <v>51126</v>
      </c>
      <c r="H3679" s="231"/>
      <c r="I3679" s="221"/>
      <c r="J3679" s="221"/>
      <c r="K3679" s="221"/>
      <c r="L3679" s="221"/>
      <c r="M3679" s="221"/>
      <c r="N3679" s="221"/>
      <c r="O3679" s="225"/>
      <c r="P3679" s="118" t="s">
        <v>11566</v>
      </c>
      <c r="Q3679" s="16" t="s">
        <v>20</v>
      </c>
      <c r="R3679" s="17" t="s">
        <v>1713</v>
      </c>
      <c r="S3679" s="121" t="s">
        <v>1661</v>
      </c>
      <c r="T3679" s="122"/>
      <c r="U3679" s="22"/>
      <c r="V3679" s="123" t="s">
        <v>1735</v>
      </c>
      <c r="W3679" s="122">
        <v>91</v>
      </c>
      <c r="X3679" s="221"/>
      <c r="Y3679" s="221"/>
      <c r="Z3679" s="221"/>
      <c r="AA3679" s="221"/>
      <c r="AB3679" s="223"/>
    </row>
    <row r="3680" spans="1:28" ht="17.100000000000001" customHeight="1" thickTop="1">
      <c r="A3680" s="226" t="s">
        <v>11276</v>
      </c>
      <c r="B3680" s="28">
        <v>45983</v>
      </c>
      <c r="C3680" s="25">
        <v>288</v>
      </c>
      <c r="D3680" s="13" t="s">
        <v>2158</v>
      </c>
      <c r="E3680" s="228"/>
      <c r="F3680" s="109" t="s">
        <v>11194</v>
      </c>
      <c r="G3680" s="24"/>
      <c r="H3680" s="230">
        <v>4</v>
      </c>
      <c r="I3680" s="220">
        <v>541000</v>
      </c>
      <c r="J3680" s="220">
        <f>I3680*0.1</f>
        <v>54100</v>
      </c>
      <c r="K3680" s="220">
        <v>0</v>
      </c>
      <c r="L3680" s="220">
        <v>9370</v>
      </c>
      <c r="M3680" s="220">
        <v>15950</v>
      </c>
      <c r="N3680" s="220">
        <f>SUM(I3680:M3681)</f>
        <v>620420</v>
      </c>
      <c r="O3680" s="224"/>
      <c r="P3680" s="110" t="s">
        <v>11572</v>
      </c>
      <c r="Q3680" s="15" t="s">
        <v>19</v>
      </c>
      <c r="R3680" s="205"/>
      <c r="S3680" s="189"/>
      <c r="T3680" s="114"/>
      <c r="U3680" s="21"/>
      <c r="V3680" s="115">
        <v>45997</v>
      </c>
      <c r="W3680" s="116">
        <v>1279</v>
      </c>
      <c r="X3680" s="220">
        <v>660000</v>
      </c>
      <c r="Y3680" s="220">
        <f>X3680*0.1</f>
        <v>66000</v>
      </c>
      <c r="Z3680" s="220">
        <v>9370</v>
      </c>
      <c r="AA3680" s="220">
        <f>SUM(X3680:Z3680)</f>
        <v>735370</v>
      </c>
      <c r="AB3680" s="222">
        <v>46001</v>
      </c>
    </row>
    <row r="3681" spans="1:28" ht="17.100000000000001" customHeight="1" thickBot="1">
      <c r="A3681" s="227"/>
      <c r="B3681" s="27" t="s">
        <v>3518</v>
      </c>
      <c r="C3681" s="27">
        <v>62025</v>
      </c>
      <c r="D3681" s="14" t="s">
        <v>1584</v>
      </c>
      <c r="E3681" s="229"/>
      <c r="F3681" s="117" t="s">
        <v>11195</v>
      </c>
      <c r="G3681" s="26">
        <v>29400</v>
      </c>
      <c r="H3681" s="231"/>
      <c r="I3681" s="221"/>
      <c r="J3681" s="221"/>
      <c r="K3681" s="221"/>
      <c r="L3681" s="221"/>
      <c r="M3681" s="221"/>
      <c r="N3681" s="221"/>
      <c r="O3681" s="225"/>
      <c r="P3681" s="118" t="s">
        <v>3919</v>
      </c>
      <c r="Q3681" s="16" t="s">
        <v>20</v>
      </c>
      <c r="R3681" s="17" t="s">
        <v>1713</v>
      </c>
      <c r="S3681" s="121"/>
      <c r="T3681" s="122"/>
      <c r="U3681" s="22"/>
      <c r="V3681" s="123" t="s">
        <v>7160</v>
      </c>
      <c r="W3681" s="122">
        <v>41052</v>
      </c>
      <c r="X3681" s="221"/>
      <c r="Y3681" s="221"/>
      <c r="Z3681" s="221"/>
      <c r="AA3681" s="221"/>
      <c r="AB3681" s="223"/>
    </row>
    <row r="3682" spans="1:28" ht="17.100000000000001" customHeight="1" thickTop="1">
      <c r="A3682" s="226" t="s">
        <v>11277</v>
      </c>
      <c r="B3682" s="28">
        <v>45983</v>
      </c>
      <c r="C3682" s="25">
        <v>999</v>
      </c>
      <c r="D3682" s="13" t="s">
        <v>1542</v>
      </c>
      <c r="E3682" s="228"/>
      <c r="F3682" s="109" t="s">
        <v>2678</v>
      </c>
      <c r="G3682" s="24"/>
      <c r="H3682" s="230">
        <v>4.5</v>
      </c>
      <c r="I3682" s="220">
        <v>790000</v>
      </c>
      <c r="J3682" s="220">
        <f>I3682*0.1</f>
        <v>79000</v>
      </c>
      <c r="K3682" s="220">
        <v>0</v>
      </c>
      <c r="L3682" s="220">
        <v>17700</v>
      </c>
      <c r="M3682" s="220">
        <v>15950</v>
      </c>
      <c r="N3682" s="220">
        <f>SUM(I3682:M3683)</f>
        <v>902650</v>
      </c>
      <c r="O3682" s="224"/>
      <c r="P3682" s="110" t="s">
        <v>11664</v>
      </c>
      <c r="Q3682" s="15" t="s">
        <v>19</v>
      </c>
      <c r="R3682" s="205"/>
      <c r="S3682" s="189"/>
      <c r="T3682" s="114"/>
      <c r="U3682" s="21"/>
      <c r="V3682" s="115">
        <v>45997</v>
      </c>
      <c r="W3682" s="116">
        <v>1279</v>
      </c>
      <c r="X3682" s="220">
        <v>910000</v>
      </c>
      <c r="Y3682" s="220">
        <f>X3682*0.1</f>
        <v>91000</v>
      </c>
      <c r="Z3682" s="220">
        <v>17700</v>
      </c>
      <c r="AA3682" s="220">
        <f>SUM(X3682:Z3682)</f>
        <v>1018700</v>
      </c>
      <c r="AB3682" s="222">
        <v>46000</v>
      </c>
    </row>
    <row r="3683" spans="1:28" ht="17.100000000000001" customHeight="1" thickBot="1">
      <c r="A3683" s="227"/>
      <c r="B3683" s="27" t="s">
        <v>1697</v>
      </c>
      <c r="C3683" s="27">
        <v>5099</v>
      </c>
      <c r="D3683" s="14" t="s">
        <v>131</v>
      </c>
      <c r="E3683" s="229"/>
      <c r="F3683" s="117" t="s">
        <v>11225</v>
      </c>
      <c r="G3683" s="26">
        <v>52183</v>
      </c>
      <c r="H3683" s="231"/>
      <c r="I3683" s="221"/>
      <c r="J3683" s="221"/>
      <c r="K3683" s="221"/>
      <c r="L3683" s="221"/>
      <c r="M3683" s="221"/>
      <c r="N3683" s="221"/>
      <c r="O3683" s="225"/>
      <c r="P3683" s="118" t="s">
        <v>5068</v>
      </c>
      <c r="Q3683" s="16" t="s">
        <v>20</v>
      </c>
      <c r="R3683" s="17" t="s">
        <v>1721</v>
      </c>
      <c r="S3683" s="121" t="s">
        <v>7720</v>
      </c>
      <c r="T3683" s="122"/>
      <c r="U3683" s="22"/>
      <c r="V3683" s="123" t="s">
        <v>2472</v>
      </c>
      <c r="W3683" s="122">
        <v>80051</v>
      </c>
      <c r="X3683" s="221"/>
      <c r="Y3683" s="221"/>
      <c r="Z3683" s="221"/>
      <c r="AA3683" s="221"/>
      <c r="AB3683" s="223"/>
    </row>
    <row r="3684" spans="1:28" ht="17.100000000000001" customHeight="1" thickTop="1">
      <c r="A3684" s="226" t="s">
        <v>11278</v>
      </c>
      <c r="B3684" s="28">
        <v>45983</v>
      </c>
      <c r="C3684" s="25">
        <v>1442</v>
      </c>
      <c r="D3684" s="13" t="s">
        <v>1983</v>
      </c>
      <c r="E3684" s="228"/>
      <c r="F3684" s="109" t="s">
        <v>11191</v>
      </c>
      <c r="G3684" s="24" t="s">
        <v>11223</v>
      </c>
      <c r="H3684" s="230">
        <v>4.5</v>
      </c>
      <c r="I3684" s="220">
        <v>1340000</v>
      </c>
      <c r="J3684" s="220">
        <f>I3684*0.1</f>
        <v>134000</v>
      </c>
      <c r="K3684" s="220">
        <v>0</v>
      </c>
      <c r="L3684" s="220">
        <v>6850</v>
      </c>
      <c r="M3684" s="220">
        <v>16500</v>
      </c>
      <c r="N3684" s="220">
        <f>SUM(I3684:M3685)</f>
        <v>1497350</v>
      </c>
      <c r="O3684" s="224"/>
      <c r="P3684" s="110" t="s">
        <v>11224</v>
      </c>
      <c r="Q3684" s="15" t="s">
        <v>19</v>
      </c>
      <c r="R3684" s="205"/>
      <c r="S3684" s="189" t="s">
        <v>1271</v>
      </c>
      <c r="T3684" s="114"/>
      <c r="U3684" s="21" t="s">
        <v>12594</v>
      </c>
      <c r="V3684" s="115">
        <v>46050</v>
      </c>
      <c r="W3684" s="116">
        <v>1002</v>
      </c>
      <c r="X3684" s="220">
        <v>1370000</v>
      </c>
      <c r="Y3684" s="220">
        <f>X3684*0.1</f>
        <v>137000</v>
      </c>
      <c r="Z3684" s="220">
        <v>6850</v>
      </c>
      <c r="AA3684" s="220">
        <f>SUM(X3684:Z3684)</f>
        <v>1513850</v>
      </c>
      <c r="AB3684" s="222">
        <v>46055</v>
      </c>
    </row>
    <row r="3685" spans="1:28" ht="17.100000000000001" customHeight="1" thickBot="1">
      <c r="A3685" s="227"/>
      <c r="B3685" s="27" t="s">
        <v>1765</v>
      </c>
      <c r="C3685" s="27">
        <v>7110</v>
      </c>
      <c r="D3685" s="14" t="s">
        <v>2559</v>
      </c>
      <c r="E3685" s="229"/>
      <c r="F3685" s="117" t="s">
        <v>11222</v>
      </c>
      <c r="G3685" s="26">
        <v>29687</v>
      </c>
      <c r="H3685" s="231"/>
      <c r="I3685" s="221"/>
      <c r="J3685" s="221"/>
      <c r="K3685" s="221"/>
      <c r="L3685" s="221"/>
      <c r="M3685" s="221"/>
      <c r="N3685" s="221"/>
      <c r="O3685" s="225"/>
      <c r="P3685" s="118" t="s">
        <v>11668</v>
      </c>
      <c r="Q3685" s="16" t="s">
        <v>20</v>
      </c>
      <c r="R3685" s="17" t="s">
        <v>1721</v>
      </c>
      <c r="S3685" s="121" t="s">
        <v>4984</v>
      </c>
      <c r="T3685" s="122"/>
      <c r="U3685" s="22"/>
      <c r="V3685" s="123" t="s">
        <v>2747</v>
      </c>
      <c r="W3685" s="122">
        <v>2044</v>
      </c>
      <c r="X3685" s="221"/>
      <c r="Y3685" s="221"/>
      <c r="Z3685" s="221"/>
      <c r="AA3685" s="221"/>
      <c r="AB3685" s="223"/>
    </row>
    <row r="3686" spans="1:28" ht="17.100000000000001" customHeight="1" thickTop="1">
      <c r="A3686" s="226" t="s">
        <v>11279</v>
      </c>
      <c r="B3686" s="28">
        <v>45983</v>
      </c>
      <c r="C3686" s="25">
        <v>1520</v>
      </c>
      <c r="D3686" s="13" t="s">
        <v>1678</v>
      </c>
      <c r="E3686" s="228"/>
      <c r="F3686" s="109" t="s">
        <v>11235</v>
      </c>
      <c r="G3686" s="24"/>
      <c r="H3686" s="230">
        <v>4.5</v>
      </c>
      <c r="I3686" s="220">
        <v>1210000</v>
      </c>
      <c r="J3686" s="220">
        <f>I3686*0.1</f>
        <v>121000</v>
      </c>
      <c r="K3686" s="220">
        <v>0</v>
      </c>
      <c r="L3686" s="220">
        <v>12270</v>
      </c>
      <c r="M3686" s="220">
        <v>16500</v>
      </c>
      <c r="N3686" s="220">
        <f>SUM(I3686:M3687)</f>
        <v>1359770</v>
      </c>
      <c r="O3686" s="224"/>
      <c r="P3686" s="110" t="s">
        <v>12147</v>
      </c>
      <c r="Q3686" s="15" t="s">
        <v>19</v>
      </c>
      <c r="R3686" s="205"/>
      <c r="S3686" s="189" t="s">
        <v>758</v>
      </c>
      <c r="T3686" s="114"/>
      <c r="U3686" s="21"/>
      <c r="V3686" s="115">
        <v>45995</v>
      </c>
      <c r="W3686" s="116">
        <v>1309</v>
      </c>
      <c r="X3686" s="220">
        <v>1380000</v>
      </c>
      <c r="Y3686" s="220">
        <f>X3686*0.1</f>
        <v>138000</v>
      </c>
      <c r="Z3686" s="220">
        <v>12270</v>
      </c>
      <c r="AA3686" s="220">
        <f>SUM(X3686:Z3686)</f>
        <v>1530270</v>
      </c>
      <c r="AB3686" s="222">
        <v>45996</v>
      </c>
    </row>
    <row r="3687" spans="1:28" ht="17.100000000000001" customHeight="1" thickBot="1">
      <c r="A3687" s="227"/>
      <c r="B3687" s="27" t="s">
        <v>1547</v>
      </c>
      <c r="C3687" s="27">
        <v>83280</v>
      </c>
      <c r="D3687" s="14" t="s">
        <v>1568</v>
      </c>
      <c r="E3687" s="229"/>
      <c r="F3687" s="117" t="s">
        <v>11236</v>
      </c>
      <c r="G3687" s="26">
        <v>25014</v>
      </c>
      <c r="H3687" s="231"/>
      <c r="I3687" s="221"/>
      <c r="J3687" s="221"/>
      <c r="K3687" s="221"/>
      <c r="L3687" s="221"/>
      <c r="M3687" s="221"/>
      <c r="N3687" s="221"/>
      <c r="O3687" s="225"/>
      <c r="P3687" s="118" t="s">
        <v>12148</v>
      </c>
      <c r="Q3687" s="16" t="s">
        <v>20</v>
      </c>
      <c r="R3687" s="17" t="s">
        <v>1739</v>
      </c>
      <c r="S3687" s="121" t="s">
        <v>3552</v>
      </c>
      <c r="T3687" s="122"/>
      <c r="U3687" s="22"/>
      <c r="V3687" s="123" t="s">
        <v>8954</v>
      </c>
      <c r="W3687" s="122" t="s">
        <v>12151</v>
      </c>
      <c r="X3687" s="221"/>
      <c r="Y3687" s="221"/>
      <c r="Z3687" s="221"/>
      <c r="AA3687" s="221"/>
      <c r="AB3687" s="223"/>
    </row>
    <row r="3688" spans="1:28" ht="17.100000000000001" customHeight="1" thickTop="1">
      <c r="A3688" s="226" t="s">
        <v>11280</v>
      </c>
      <c r="B3688" s="28">
        <v>45983</v>
      </c>
      <c r="C3688" s="25">
        <v>1277</v>
      </c>
      <c r="D3688" s="13" t="s">
        <v>2422</v>
      </c>
      <c r="E3688" s="228"/>
      <c r="F3688" s="109" t="s">
        <v>4361</v>
      </c>
      <c r="G3688" s="24" t="s">
        <v>4025</v>
      </c>
      <c r="H3688" s="230">
        <v>4.5</v>
      </c>
      <c r="I3688" s="220">
        <v>810000</v>
      </c>
      <c r="J3688" s="220">
        <f>I3688*0.1</f>
        <v>81000</v>
      </c>
      <c r="K3688" s="220">
        <v>0</v>
      </c>
      <c r="L3688" s="220">
        <v>9200</v>
      </c>
      <c r="M3688" s="220">
        <v>13200</v>
      </c>
      <c r="N3688" s="220">
        <f>SUM(I3688:M3689)</f>
        <v>913400</v>
      </c>
      <c r="O3688" s="224"/>
      <c r="P3688" s="110" t="s">
        <v>11210</v>
      </c>
      <c r="Q3688" s="15" t="s">
        <v>19</v>
      </c>
      <c r="R3688" s="205"/>
      <c r="S3688" s="189" t="s">
        <v>758</v>
      </c>
      <c r="T3688" s="114"/>
      <c r="U3688" s="21" t="s">
        <v>12270</v>
      </c>
      <c r="V3688" s="115">
        <v>45994</v>
      </c>
      <c r="W3688" s="116">
        <v>995</v>
      </c>
      <c r="X3688" s="220">
        <v>865000</v>
      </c>
      <c r="Y3688" s="220">
        <f>X3688*0.1</f>
        <v>86500</v>
      </c>
      <c r="Z3688" s="220">
        <v>9200</v>
      </c>
      <c r="AA3688" s="220">
        <f>SUM(X3688:Z3688)</f>
        <v>960700</v>
      </c>
      <c r="AB3688" s="222">
        <v>45999</v>
      </c>
    </row>
    <row r="3689" spans="1:28" ht="17.100000000000001" customHeight="1" thickBot="1">
      <c r="A3689" s="227"/>
      <c r="B3689" s="27" t="s">
        <v>2472</v>
      </c>
      <c r="C3689" s="27">
        <v>31002</v>
      </c>
      <c r="D3689" s="14" t="s">
        <v>273</v>
      </c>
      <c r="E3689" s="229"/>
      <c r="F3689" s="117" t="s">
        <v>11209</v>
      </c>
      <c r="G3689" s="26">
        <v>58010</v>
      </c>
      <c r="H3689" s="231"/>
      <c r="I3689" s="221"/>
      <c r="J3689" s="221"/>
      <c r="K3689" s="221"/>
      <c r="L3689" s="221"/>
      <c r="M3689" s="221"/>
      <c r="N3689" s="221"/>
      <c r="O3689" s="225"/>
      <c r="P3689" s="118" t="s">
        <v>11829</v>
      </c>
      <c r="Q3689" s="16" t="s">
        <v>20</v>
      </c>
      <c r="R3689" s="17" t="s">
        <v>11800</v>
      </c>
      <c r="S3689" s="121" t="s">
        <v>11830</v>
      </c>
      <c r="T3689" s="122"/>
      <c r="U3689" s="22"/>
      <c r="V3689" s="123" t="s">
        <v>2747</v>
      </c>
      <c r="W3689" s="122">
        <v>2076</v>
      </c>
      <c r="X3689" s="221"/>
      <c r="Y3689" s="221"/>
      <c r="Z3689" s="221"/>
      <c r="AA3689" s="221"/>
      <c r="AB3689" s="223"/>
    </row>
    <row r="3690" spans="1:28" ht="17.100000000000001" customHeight="1" thickTop="1">
      <c r="A3690" s="226" t="s">
        <v>11281</v>
      </c>
      <c r="B3690" s="28">
        <v>45983</v>
      </c>
      <c r="C3690" s="25">
        <v>1277</v>
      </c>
      <c r="D3690" s="13" t="s">
        <v>2040</v>
      </c>
      <c r="E3690" s="228"/>
      <c r="F3690" s="109" t="s">
        <v>10284</v>
      </c>
      <c r="G3690" s="24" t="s">
        <v>4315</v>
      </c>
      <c r="H3690" s="230">
        <v>4.5</v>
      </c>
      <c r="I3690" s="220">
        <v>1240000</v>
      </c>
      <c r="J3690" s="220">
        <f>I3690*0.1</f>
        <v>124000</v>
      </c>
      <c r="K3690" s="220">
        <v>0</v>
      </c>
      <c r="L3690" s="220">
        <v>6860</v>
      </c>
      <c r="M3690" s="220">
        <v>12100</v>
      </c>
      <c r="N3690" s="220">
        <f>SUM(I3690:M3691)</f>
        <v>1382960</v>
      </c>
      <c r="O3690" s="224"/>
      <c r="P3690" s="110" t="s">
        <v>11212</v>
      </c>
      <c r="Q3690" s="15" t="s">
        <v>19</v>
      </c>
      <c r="R3690" s="205"/>
      <c r="S3690" s="189" t="s">
        <v>758</v>
      </c>
      <c r="T3690" s="114"/>
      <c r="U3690" s="21"/>
      <c r="V3690" s="115">
        <v>45987</v>
      </c>
      <c r="W3690" s="116">
        <v>994</v>
      </c>
      <c r="X3690" s="220">
        <v>1310000</v>
      </c>
      <c r="Y3690" s="220">
        <f>X3690*0.1</f>
        <v>131000</v>
      </c>
      <c r="Z3690" s="220">
        <v>6860</v>
      </c>
      <c r="AA3690" s="220">
        <f>SUM(X3690:Z3690)</f>
        <v>1447860</v>
      </c>
      <c r="AB3690" s="222">
        <v>45993</v>
      </c>
    </row>
    <row r="3691" spans="1:28" ht="17.100000000000001" customHeight="1" thickBot="1">
      <c r="A3691" s="227"/>
      <c r="B3691" s="27" t="s">
        <v>2472</v>
      </c>
      <c r="C3691" s="27">
        <v>31011</v>
      </c>
      <c r="D3691" s="14" t="s">
        <v>1584</v>
      </c>
      <c r="E3691" s="229"/>
      <c r="F3691" s="117" t="s">
        <v>11211</v>
      </c>
      <c r="G3691" s="26">
        <v>7013</v>
      </c>
      <c r="H3691" s="231"/>
      <c r="I3691" s="221"/>
      <c r="J3691" s="221"/>
      <c r="K3691" s="221"/>
      <c r="L3691" s="221"/>
      <c r="M3691" s="221"/>
      <c r="N3691" s="221"/>
      <c r="O3691" s="225"/>
      <c r="P3691" s="118" t="s">
        <v>11849</v>
      </c>
      <c r="Q3691" s="16" t="s">
        <v>20</v>
      </c>
      <c r="R3691" s="17" t="s">
        <v>3913</v>
      </c>
      <c r="S3691" s="121"/>
      <c r="T3691" s="122"/>
      <c r="U3691" s="22"/>
      <c r="V3691" s="123" t="s">
        <v>2747</v>
      </c>
      <c r="W3691" s="122">
        <v>2093</v>
      </c>
      <c r="X3691" s="221"/>
      <c r="Y3691" s="221"/>
      <c r="Z3691" s="221"/>
      <c r="AA3691" s="221"/>
      <c r="AB3691" s="223"/>
    </row>
    <row r="3692" spans="1:28" ht="17.100000000000001" customHeight="1" thickTop="1">
      <c r="A3692" s="226" t="s">
        <v>11282</v>
      </c>
      <c r="B3692" s="28">
        <v>45983</v>
      </c>
      <c r="C3692" s="25">
        <v>1277</v>
      </c>
      <c r="D3692" s="13" t="s">
        <v>1837</v>
      </c>
      <c r="E3692" s="228"/>
      <c r="F3692" s="109" t="s">
        <v>6884</v>
      </c>
      <c r="G3692" s="24"/>
      <c r="H3692" s="230">
        <v>4.5</v>
      </c>
      <c r="I3692" s="220">
        <v>1035000</v>
      </c>
      <c r="J3692" s="220">
        <f>I3692*0.1</f>
        <v>103500</v>
      </c>
      <c r="K3692" s="220">
        <v>0</v>
      </c>
      <c r="L3692" s="220">
        <v>8640</v>
      </c>
      <c r="M3692" s="220">
        <v>12100</v>
      </c>
      <c r="N3692" s="220">
        <f>SUM(I3692:M3693)</f>
        <v>1159240</v>
      </c>
      <c r="O3692" s="224"/>
      <c r="P3692" s="110" t="s">
        <v>11831</v>
      </c>
      <c r="Q3692" s="15" t="s">
        <v>19</v>
      </c>
      <c r="R3692" s="205"/>
      <c r="S3692" s="189" t="s">
        <v>1361</v>
      </c>
      <c r="T3692" s="114"/>
      <c r="U3692" s="21"/>
      <c r="V3692" s="115">
        <v>46029</v>
      </c>
      <c r="W3692" s="116">
        <v>999</v>
      </c>
      <c r="X3692" s="220">
        <v>1050000</v>
      </c>
      <c r="Y3692" s="220">
        <f>X3692*0.1</f>
        <v>105000</v>
      </c>
      <c r="Z3692" s="220">
        <v>8640</v>
      </c>
      <c r="AA3692" s="220">
        <f>SUM(X3692:Z3692)</f>
        <v>1163640</v>
      </c>
      <c r="AB3692" s="222">
        <v>46035</v>
      </c>
    </row>
    <row r="3693" spans="1:28" ht="17.100000000000001" customHeight="1" thickBot="1">
      <c r="A3693" s="227"/>
      <c r="B3693" s="27" t="s">
        <v>2472</v>
      </c>
      <c r="C3693" s="27">
        <v>31335</v>
      </c>
      <c r="D3693" s="14" t="s">
        <v>1568</v>
      </c>
      <c r="E3693" s="229"/>
      <c r="F3693" s="117" t="s">
        <v>11213</v>
      </c>
      <c r="G3693" s="26">
        <v>25045</v>
      </c>
      <c r="H3693" s="231"/>
      <c r="I3693" s="221"/>
      <c r="J3693" s="221"/>
      <c r="K3693" s="221"/>
      <c r="L3693" s="221"/>
      <c r="M3693" s="221"/>
      <c r="N3693" s="221"/>
      <c r="O3693" s="225"/>
      <c r="P3693" s="118" t="s">
        <v>11832</v>
      </c>
      <c r="Q3693" s="16" t="s">
        <v>20</v>
      </c>
      <c r="R3693" s="17" t="s">
        <v>11800</v>
      </c>
      <c r="S3693" s="121" t="s">
        <v>2360</v>
      </c>
      <c r="T3693" s="122"/>
      <c r="U3693" s="22"/>
      <c r="V3693" s="123" t="s">
        <v>2747</v>
      </c>
      <c r="W3693" s="122">
        <v>2023</v>
      </c>
      <c r="X3693" s="221"/>
      <c r="Y3693" s="221"/>
      <c r="Z3693" s="221"/>
      <c r="AA3693" s="221"/>
      <c r="AB3693" s="223"/>
    </row>
    <row r="3694" spans="1:28" ht="17.100000000000001" customHeight="1" thickTop="1">
      <c r="A3694" s="226" t="s">
        <v>11283</v>
      </c>
      <c r="B3694" s="28">
        <v>45983</v>
      </c>
      <c r="C3694" s="25">
        <v>1277</v>
      </c>
      <c r="D3694" s="13" t="s">
        <v>2158</v>
      </c>
      <c r="E3694" s="228"/>
      <c r="F3694" s="109" t="s">
        <v>10872</v>
      </c>
      <c r="G3694" s="24"/>
      <c r="H3694" s="230">
        <v>4.5</v>
      </c>
      <c r="I3694" s="220">
        <v>955000</v>
      </c>
      <c r="J3694" s="220">
        <f>I3694*0.1</f>
        <v>95500</v>
      </c>
      <c r="K3694" s="220">
        <v>0</v>
      </c>
      <c r="L3694" s="220">
        <v>7440</v>
      </c>
      <c r="M3694" s="220">
        <v>13200</v>
      </c>
      <c r="N3694" s="220">
        <f>SUM(I3694:M3695)</f>
        <v>1071140</v>
      </c>
      <c r="O3694" s="224"/>
      <c r="P3694" s="110" t="s">
        <v>11810</v>
      </c>
      <c r="Q3694" s="15" t="s">
        <v>19</v>
      </c>
      <c r="R3694" s="205"/>
      <c r="S3694" s="189"/>
      <c r="T3694" s="114"/>
      <c r="U3694" s="21"/>
      <c r="V3694" s="115">
        <v>46015</v>
      </c>
      <c r="W3694" s="116">
        <v>998</v>
      </c>
      <c r="X3694" s="220">
        <v>1020000</v>
      </c>
      <c r="Y3694" s="220">
        <f>X3694*0.1</f>
        <v>102000</v>
      </c>
      <c r="Z3694" s="220">
        <v>7440</v>
      </c>
      <c r="AA3694" s="220">
        <f>SUM(X3694:Z3694)</f>
        <v>1129440</v>
      </c>
      <c r="AB3694" s="222">
        <v>46027</v>
      </c>
    </row>
    <row r="3695" spans="1:28" ht="17.100000000000001" customHeight="1" thickBot="1">
      <c r="A3695" s="227"/>
      <c r="B3695" s="27" t="s">
        <v>2472</v>
      </c>
      <c r="C3695" s="27">
        <v>41047</v>
      </c>
      <c r="D3695" s="14" t="s">
        <v>1584</v>
      </c>
      <c r="E3695" s="229"/>
      <c r="F3695" s="117" t="s">
        <v>11292</v>
      </c>
      <c r="G3695" s="26">
        <v>12388</v>
      </c>
      <c r="H3695" s="231"/>
      <c r="I3695" s="221"/>
      <c r="J3695" s="221"/>
      <c r="K3695" s="221"/>
      <c r="L3695" s="221"/>
      <c r="M3695" s="221"/>
      <c r="N3695" s="221"/>
      <c r="O3695" s="225"/>
      <c r="P3695" s="118" t="s">
        <v>11811</v>
      </c>
      <c r="Q3695" s="16" t="s">
        <v>20</v>
      </c>
      <c r="R3695" s="17" t="s">
        <v>11800</v>
      </c>
      <c r="S3695" s="121" t="s">
        <v>9008</v>
      </c>
      <c r="T3695" s="122"/>
      <c r="U3695" s="22"/>
      <c r="V3695" s="123" t="s">
        <v>2747</v>
      </c>
      <c r="W3695" s="122">
        <v>80020</v>
      </c>
      <c r="X3695" s="221"/>
      <c r="Y3695" s="221"/>
      <c r="Z3695" s="221"/>
      <c r="AA3695" s="221"/>
      <c r="AB3695" s="223"/>
    </row>
    <row r="3696" spans="1:28" ht="17.100000000000001" customHeight="1" thickTop="1">
      <c r="A3696" s="226" t="s">
        <v>11284</v>
      </c>
      <c r="B3696" s="28">
        <v>45983</v>
      </c>
      <c r="C3696" s="25">
        <v>1277</v>
      </c>
      <c r="D3696" s="13" t="s">
        <v>3966</v>
      </c>
      <c r="E3696" s="228"/>
      <c r="F3696" s="109" t="s">
        <v>11214</v>
      </c>
      <c r="G3696" s="24"/>
      <c r="H3696" s="230">
        <v>4</v>
      </c>
      <c r="I3696" s="220">
        <v>605000</v>
      </c>
      <c r="J3696" s="220">
        <f>I3696*0.1</f>
        <v>60500</v>
      </c>
      <c r="K3696" s="220">
        <v>0</v>
      </c>
      <c r="L3696" s="220">
        <v>8540</v>
      </c>
      <c r="M3696" s="220">
        <v>13200</v>
      </c>
      <c r="N3696" s="220">
        <f>SUM(I3696:M3697)</f>
        <v>687240</v>
      </c>
      <c r="O3696" s="224"/>
      <c r="P3696" s="110" t="s">
        <v>11813</v>
      </c>
      <c r="Q3696" s="15" t="s">
        <v>19</v>
      </c>
      <c r="R3696" s="205"/>
      <c r="S3696" s="189"/>
      <c r="T3696" s="114"/>
      <c r="U3696" s="21"/>
      <c r="V3696" s="115">
        <v>45994</v>
      </c>
      <c r="W3696" s="116">
        <v>995</v>
      </c>
      <c r="X3696" s="220">
        <v>655000</v>
      </c>
      <c r="Y3696" s="220">
        <f>X3696*0.1</f>
        <v>65500</v>
      </c>
      <c r="Z3696" s="220">
        <v>8540</v>
      </c>
      <c r="AA3696" s="220">
        <f>SUM(X3696:Z3696)</f>
        <v>729040</v>
      </c>
      <c r="AB3696" s="222">
        <v>45999</v>
      </c>
    </row>
    <row r="3697" spans="1:28" ht="17.100000000000001" customHeight="1" thickBot="1">
      <c r="A3697" s="227"/>
      <c r="B3697" s="27" t="s">
        <v>2472</v>
      </c>
      <c r="C3697" s="27">
        <v>65025</v>
      </c>
      <c r="D3697" s="14" t="s">
        <v>1584</v>
      </c>
      <c r="E3697" s="229"/>
      <c r="F3697" s="117" t="s">
        <v>11215</v>
      </c>
      <c r="G3697" s="26">
        <v>77902</v>
      </c>
      <c r="H3697" s="231"/>
      <c r="I3697" s="221"/>
      <c r="J3697" s="221"/>
      <c r="K3697" s="221"/>
      <c r="L3697" s="221"/>
      <c r="M3697" s="221"/>
      <c r="N3697" s="221"/>
      <c r="O3697" s="225"/>
      <c r="P3697" s="118" t="s">
        <v>11814</v>
      </c>
      <c r="Q3697" s="16" t="s">
        <v>20</v>
      </c>
      <c r="R3697" s="17" t="s">
        <v>11800</v>
      </c>
      <c r="S3697" s="121"/>
      <c r="T3697" s="122"/>
      <c r="U3697" s="22"/>
      <c r="V3697" s="123" t="s">
        <v>2747</v>
      </c>
      <c r="W3697" s="122">
        <v>2025</v>
      </c>
      <c r="X3697" s="221"/>
      <c r="Y3697" s="221"/>
      <c r="Z3697" s="221"/>
      <c r="AA3697" s="221"/>
      <c r="AB3697" s="223"/>
    </row>
    <row r="3698" spans="1:28" ht="17.100000000000001" customHeight="1" thickTop="1">
      <c r="A3698" s="226" t="s">
        <v>11285</v>
      </c>
      <c r="B3698" s="28">
        <v>45983</v>
      </c>
      <c r="C3698" s="25">
        <v>1277</v>
      </c>
      <c r="D3698" s="13" t="s">
        <v>2371</v>
      </c>
      <c r="E3698" s="228"/>
      <c r="F3698" s="109" t="s">
        <v>4369</v>
      </c>
      <c r="G3698" s="24" t="s">
        <v>2487</v>
      </c>
      <c r="H3698" s="230">
        <v>4</v>
      </c>
      <c r="I3698" s="220">
        <v>835000</v>
      </c>
      <c r="J3698" s="220">
        <f>I3698*0.1</f>
        <v>83500</v>
      </c>
      <c r="K3698" s="220">
        <v>0</v>
      </c>
      <c r="L3698" s="220">
        <v>9010</v>
      </c>
      <c r="M3698" s="220">
        <v>12100</v>
      </c>
      <c r="N3698" s="220">
        <f>SUM(I3698:M3699)</f>
        <v>939610</v>
      </c>
      <c r="O3698" s="224"/>
      <c r="P3698" s="110" t="s">
        <v>11217</v>
      </c>
      <c r="Q3698" s="15" t="s">
        <v>19</v>
      </c>
      <c r="R3698" s="205"/>
      <c r="S3698" s="189"/>
      <c r="T3698" s="114"/>
      <c r="U3698" s="21" t="s">
        <v>12762</v>
      </c>
      <c r="V3698" s="115">
        <v>46001</v>
      </c>
      <c r="W3698" s="116">
        <v>996</v>
      </c>
      <c r="X3698" s="220">
        <v>910000</v>
      </c>
      <c r="Y3698" s="220">
        <f>X3698*0.1</f>
        <v>91000</v>
      </c>
      <c r="Z3698" s="220">
        <v>9010</v>
      </c>
      <c r="AA3698" s="220">
        <f>SUM(X3698:Z3698)</f>
        <v>1010010</v>
      </c>
      <c r="AB3698" s="222">
        <v>46006</v>
      </c>
    </row>
    <row r="3699" spans="1:28" ht="17.100000000000001" customHeight="1" thickBot="1">
      <c r="A3699" s="227"/>
      <c r="B3699" s="27" t="s">
        <v>2472</v>
      </c>
      <c r="C3699" s="27">
        <v>65333</v>
      </c>
      <c r="D3699" s="14" t="s">
        <v>273</v>
      </c>
      <c r="E3699" s="229"/>
      <c r="F3699" s="117" t="s">
        <v>11216</v>
      </c>
      <c r="G3699" s="26">
        <v>51950</v>
      </c>
      <c r="H3699" s="231"/>
      <c r="I3699" s="221"/>
      <c r="J3699" s="221"/>
      <c r="K3699" s="221"/>
      <c r="L3699" s="221"/>
      <c r="M3699" s="221"/>
      <c r="N3699" s="221"/>
      <c r="O3699" s="225"/>
      <c r="P3699" s="118" t="s">
        <v>11828</v>
      </c>
      <c r="Q3699" s="16" t="s">
        <v>20</v>
      </c>
      <c r="R3699" s="17" t="s">
        <v>11800</v>
      </c>
      <c r="S3699" s="121" t="s">
        <v>169</v>
      </c>
      <c r="T3699" s="122"/>
      <c r="U3699" s="22"/>
      <c r="V3699" s="123" t="s">
        <v>2747</v>
      </c>
      <c r="W3699" s="122">
        <v>2013</v>
      </c>
      <c r="X3699" s="221"/>
      <c r="Y3699" s="221"/>
      <c r="Z3699" s="221"/>
      <c r="AA3699" s="221"/>
      <c r="AB3699" s="223"/>
    </row>
    <row r="3700" spans="1:28" ht="17.100000000000001" customHeight="1" thickTop="1">
      <c r="A3700" s="226" t="s">
        <v>11286</v>
      </c>
      <c r="B3700" s="28">
        <v>45983</v>
      </c>
      <c r="C3700" s="25">
        <v>1277</v>
      </c>
      <c r="D3700" s="13" t="s">
        <v>1589</v>
      </c>
      <c r="E3700" s="228"/>
      <c r="F3700" s="109" t="s">
        <v>11229</v>
      </c>
      <c r="G3700" s="24"/>
      <c r="H3700" s="230">
        <v>4.5</v>
      </c>
      <c r="I3700" s="220">
        <v>935000</v>
      </c>
      <c r="J3700" s="220">
        <f>I3700*0.1</f>
        <v>93500</v>
      </c>
      <c r="K3700" s="220">
        <v>0</v>
      </c>
      <c r="L3700" s="220">
        <v>8790</v>
      </c>
      <c r="M3700" s="220">
        <v>12100</v>
      </c>
      <c r="N3700" s="220">
        <f>SUM(I3700:M3701)</f>
        <v>1049390</v>
      </c>
      <c r="O3700" s="224"/>
      <c r="P3700" s="110" t="s">
        <v>11833</v>
      </c>
      <c r="Q3700" s="15" t="s">
        <v>19</v>
      </c>
      <c r="R3700" s="205"/>
      <c r="S3700" s="189" t="s">
        <v>25610</v>
      </c>
      <c r="T3700" s="114"/>
      <c r="U3700" s="21"/>
      <c r="V3700" s="115">
        <v>46001</v>
      </c>
      <c r="W3700" s="116">
        <v>996</v>
      </c>
      <c r="X3700" s="220">
        <v>1000000</v>
      </c>
      <c r="Y3700" s="220">
        <f>X3700*0.1</f>
        <v>100000</v>
      </c>
      <c r="Z3700" s="220">
        <v>8790</v>
      </c>
      <c r="AA3700" s="220">
        <f>SUM(X3700:Z3700)</f>
        <v>1108790</v>
      </c>
      <c r="AB3700" s="222">
        <v>46006</v>
      </c>
    </row>
    <row r="3701" spans="1:28" ht="17.100000000000001" customHeight="1" thickBot="1">
      <c r="A3701" s="227"/>
      <c r="B3701" s="27" t="s">
        <v>2472</v>
      </c>
      <c r="C3701" s="27">
        <v>65406</v>
      </c>
      <c r="D3701" s="14" t="s">
        <v>3792</v>
      </c>
      <c r="E3701" s="229"/>
      <c r="F3701" s="117" t="s">
        <v>11230</v>
      </c>
      <c r="G3701" s="26">
        <v>57364</v>
      </c>
      <c r="H3701" s="231"/>
      <c r="I3701" s="221"/>
      <c r="J3701" s="221"/>
      <c r="K3701" s="221"/>
      <c r="L3701" s="221"/>
      <c r="M3701" s="221"/>
      <c r="N3701" s="221"/>
      <c r="O3701" s="225"/>
      <c r="P3701" s="118" t="s">
        <v>2870</v>
      </c>
      <c r="Q3701" s="16" t="s">
        <v>20</v>
      </c>
      <c r="R3701" s="17" t="s">
        <v>11800</v>
      </c>
      <c r="S3701" s="121" t="s">
        <v>11874</v>
      </c>
      <c r="T3701" s="122"/>
      <c r="U3701" s="22"/>
      <c r="V3701" s="123" t="s">
        <v>2747</v>
      </c>
      <c r="W3701" s="122">
        <v>2088</v>
      </c>
      <c r="X3701" s="221"/>
      <c r="Y3701" s="221"/>
      <c r="Z3701" s="221"/>
      <c r="AA3701" s="221"/>
      <c r="AB3701" s="223"/>
    </row>
    <row r="3702" spans="1:28" ht="17.100000000000001" customHeight="1" thickTop="1">
      <c r="A3702" s="226" t="s">
        <v>11287</v>
      </c>
      <c r="B3702" s="28">
        <v>45983</v>
      </c>
      <c r="C3702" s="25">
        <v>1277</v>
      </c>
      <c r="D3702" s="13" t="s">
        <v>3406</v>
      </c>
      <c r="E3702" s="228"/>
      <c r="F3702" s="109" t="s">
        <v>11231</v>
      </c>
      <c r="G3702" s="24"/>
      <c r="H3702" s="230">
        <v>4</v>
      </c>
      <c r="I3702" s="220">
        <v>970000</v>
      </c>
      <c r="J3702" s="220">
        <v>0</v>
      </c>
      <c r="K3702" s="220">
        <v>0</v>
      </c>
      <c r="L3702" s="220">
        <v>8550</v>
      </c>
      <c r="M3702" s="220">
        <v>12100</v>
      </c>
      <c r="N3702" s="220">
        <f>SUM(I3702:M3703)</f>
        <v>990650</v>
      </c>
      <c r="O3702" s="224"/>
      <c r="P3702" s="110" t="s">
        <v>11812</v>
      </c>
      <c r="Q3702" s="15" t="s">
        <v>19</v>
      </c>
      <c r="R3702" s="205"/>
      <c r="S3702" s="189" t="s">
        <v>1422</v>
      </c>
      <c r="T3702" s="114"/>
      <c r="U3702" s="21"/>
      <c r="V3702" s="115">
        <v>46102</v>
      </c>
      <c r="W3702" s="116">
        <v>1293</v>
      </c>
      <c r="X3702" s="220">
        <v>1045000</v>
      </c>
      <c r="Y3702" s="220">
        <v>0</v>
      </c>
      <c r="Z3702" s="220">
        <v>8550</v>
      </c>
      <c r="AA3702" s="220">
        <f>SUM(X3702:Z3702)</f>
        <v>1053550</v>
      </c>
      <c r="AB3702" s="222">
        <v>46105</v>
      </c>
    </row>
    <row r="3703" spans="1:28" ht="17.100000000000001" customHeight="1" thickBot="1">
      <c r="A3703" s="227"/>
      <c r="B3703" s="27" t="s">
        <v>2472</v>
      </c>
      <c r="C3703" s="27">
        <v>65460</v>
      </c>
      <c r="D3703" s="14" t="s">
        <v>2559</v>
      </c>
      <c r="E3703" s="229"/>
      <c r="F3703" s="117" t="s">
        <v>11232</v>
      </c>
      <c r="G3703" s="26">
        <v>28859</v>
      </c>
      <c r="H3703" s="231"/>
      <c r="I3703" s="221"/>
      <c r="J3703" s="221"/>
      <c r="K3703" s="221"/>
      <c r="L3703" s="221"/>
      <c r="M3703" s="221"/>
      <c r="N3703" s="221"/>
      <c r="O3703" s="225"/>
      <c r="P3703" s="118" t="s">
        <v>1972</v>
      </c>
      <c r="Q3703" s="16" t="s">
        <v>20</v>
      </c>
      <c r="R3703" s="17" t="s">
        <v>11800</v>
      </c>
      <c r="S3703" s="121" t="s">
        <v>4494</v>
      </c>
      <c r="T3703" s="122"/>
      <c r="U3703" s="22"/>
      <c r="V3703" s="123" t="s">
        <v>2472</v>
      </c>
      <c r="W3703" s="122">
        <v>60155</v>
      </c>
      <c r="X3703" s="221"/>
      <c r="Y3703" s="221"/>
      <c r="Z3703" s="221"/>
      <c r="AA3703" s="221"/>
      <c r="AB3703" s="223"/>
    </row>
    <row r="3704" spans="1:28" ht="17.100000000000001" customHeight="1" thickTop="1">
      <c r="A3704" s="226" t="s">
        <v>11288</v>
      </c>
      <c r="B3704" s="28">
        <v>45983</v>
      </c>
      <c r="C3704" s="25">
        <v>1277</v>
      </c>
      <c r="D3704" s="13" t="s">
        <v>4050</v>
      </c>
      <c r="E3704" s="228"/>
      <c r="F3704" s="109" t="s">
        <v>11191</v>
      </c>
      <c r="G3704" s="24" t="s">
        <v>4052</v>
      </c>
      <c r="H3704" s="230">
        <v>4.5</v>
      </c>
      <c r="I3704" s="220">
        <v>1145000</v>
      </c>
      <c r="J3704" s="220">
        <f>I3704*0.1</f>
        <v>114500</v>
      </c>
      <c r="K3704" s="220">
        <v>0</v>
      </c>
      <c r="L3704" s="220">
        <v>9080</v>
      </c>
      <c r="M3704" s="220">
        <v>13200</v>
      </c>
      <c r="N3704" s="220">
        <f>SUM(I3704:M3705)</f>
        <v>1281780</v>
      </c>
      <c r="O3704" s="224"/>
      <c r="P3704" s="110" t="s">
        <v>11234</v>
      </c>
      <c r="Q3704" s="15" t="s">
        <v>19</v>
      </c>
      <c r="R3704" s="205"/>
      <c r="S3704" s="189"/>
      <c r="T3704" s="114"/>
      <c r="U3704" s="21" t="s">
        <v>12267</v>
      </c>
      <c r="V3704" s="115">
        <v>45994</v>
      </c>
      <c r="W3704" s="116">
        <v>995</v>
      </c>
      <c r="X3704" s="220">
        <v>1180000</v>
      </c>
      <c r="Y3704" s="220">
        <f>X3704*0.1</f>
        <v>118000</v>
      </c>
      <c r="Z3704" s="220">
        <v>9080</v>
      </c>
      <c r="AA3704" s="220">
        <f>SUM(X3704:Z3704)</f>
        <v>1307080</v>
      </c>
      <c r="AB3704" s="222">
        <v>45999</v>
      </c>
    </row>
    <row r="3705" spans="1:28" ht="17.100000000000001" customHeight="1" thickBot="1">
      <c r="A3705" s="227"/>
      <c r="B3705" s="27" t="s">
        <v>2472</v>
      </c>
      <c r="C3705" s="27">
        <v>65464</v>
      </c>
      <c r="D3705" s="14" t="s">
        <v>2014</v>
      </c>
      <c r="E3705" s="229"/>
      <c r="F3705" s="117" t="s">
        <v>11233</v>
      </c>
      <c r="G3705" s="26">
        <v>38030</v>
      </c>
      <c r="H3705" s="231"/>
      <c r="I3705" s="221"/>
      <c r="J3705" s="221"/>
      <c r="K3705" s="221"/>
      <c r="L3705" s="221"/>
      <c r="M3705" s="221"/>
      <c r="N3705" s="221"/>
      <c r="O3705" s="225"/>
      <c r="P3705" s="118" t="s">
        <v>11834</v>
      </c>
      <c r="Q3705" s="16" t="s">
        <v>20</v>
      </c>
      <c r="R3705" s="17" t="s">
        <v>11800</v>
      </c>
      <c r="S3705" s="121" t="s">
        <v>11876</v>
      </c>
      <c r="T3705" s="122"/>
      <c r="U3705" s="22"/>
      <c r="V3705" s="123" t="s">
        <v>2747</v>
      </c>
      <c r="W3705" s="122">
        <v>2083</v>
      </c>
      <c r="X3705" s="221"/>
      <c r="Y3705" s="221"/>
      <c r="Z3705" s="221"/>
      <c r="AA3705" s="221"/>
      <c r="AB3705" s="223"/>
    </row>
    <row r="3706" spans="1:28" ht="17.100000000000001" customHeight="1" thickTop="1">
      <c r="A3706" s="226" t="s">
        <v>11289</v>
      </c>
      <c r="B3706" s="28">
        <v>45983</v>
      </c>
      <c r="C3706" s="25">
        <v>1277</v>
      </c>
      <c r="D3706" s="13" t="s">
        <v>1578</v>
      </c>
      <c r="E3706" s="228"/>
      <c r="F3706" s="109" t="s">
        <v>11218</v>
      </c>
      <c r="G3706" s="24" t="s">
        <v>8085</v>
      </c>
      <c r="H3706" s="230">
        <v>4.5</v>
      </c>
      <c r="I3706" s="220">
        <v>985000</v>
      </c>
      <c r="J3706" s="220">
        <f>I3706*0.1</f>
        <v>98500</v>
      </c>
      <c r="K3706" s="220">
        <f>11500+1150</f>
        <v>12650</v>
      </c>
      <c r="L3706" s="220">
        <v>12370</v>
      </c>
      <c r="M3706" s="220">
        <v>16500</v>
      </c>
      <c r="N3706" s="220">
        <f>SUM(I3706:M3707)</f>
        <v>1125020</v>
      </c>
      <c r="O3706" s="224"/>
      <c r="P3706" s="110" t="s">
        <v>11817</v>
      </c>
      <c r="Q3706" s="15" t="s">
        <v>19</v>
      </c>
      <c r="R3706" s="205"/>
      <c r="S3706" s="189" t="s">
        <v>25611</v>
      </c>
      <c r="T3706" s="114"/>
      <c r="U3706" s="21"/>
      <c r="V3706" s="115">
        <v>46002</v>
      </c>
      <c r="W3706" s="116">
        <v>1310</v>
      </c>
      <c r="X3706" s="220">
        <v>1110000</v>
      </c>
      <c r="Y3706" s="220">
        <f>X3706*0.1</f>
        <v>111000</v>
      </c>
      <c r="Z3706" s="220">
        <v>12370</v>
      </c>
      <c r="AA3706" s="220">
        <f>SUM(X3706:Z3706)</f>
        <v>1233370</v>
      </c>
      <c r="AB3706" s="222">
        <v>46003</v>
      </c>
    </row>
    <row r="3707" spans="1:28" ht="17.100000000000001" customHeight="1" thickBot="1">
      <c r="A3707" s="227"/>
      <c r="B3707" s="27" t="s">
        <v>2472</v>
      </c>
      <c r="C3707" s="27">
        <v>81043</v>
      </c>
      <c r="D3707" s="14" t="s">
        <v>1584</v>
      </c>
      <c r="E3707" s="229"/>
      <c r="F3707" s="117" t="s">
        <v>11219</v>
      </c>
      <c r="G3707" s="26">
        <v>37220</v>
      </c>
      <c r="H3707" s="231"/>
      <c r="I3707" s="221"/>
      <c r="J3707" s="221"/>
      <c r="K3707" s="221"/>
      <c r="L3707" s="221"/>
      <c r="M3707" s="221"/>
      <c r="N3707" s="221"/>
      <c r="O3707" s="225"/>
      <c r="P3707" s="118" t="s">
        <v>11818</v>
      </c>
      <c r="Q3707" s="16" t="s">
        <v>20</v>
      </c>
      <c r="R3707" s="17" t="s">
        <v>11800</v>
      </c>
      <c r="S3707" s="121" t="s">
        <v>11819</v>
      </c>
      <c r="T3707" s="122"/>
      <c r="U3707" s="22"/>
      <c r="V3707" s="123" t="s">
        <v>1735</v>
      </c>
      <c r="W3707" s="122">
        <v>58</v>
      </c>
      <c r="X3707" s="221"/>
      <c r="Y3707" s="221"/>
      <c r="Z3707" s="221"/>
      <c r="AA3707" s="221"/>
      <c r="AB3707" s="223"/>
    </row>
    <row r="3708" spans="1:28" ht="17.100000000000001" customHeight="1" thickTop="1">
      <c r="A3708" s="226" t="s">
        <v>11290</v>
      </c>
      <c r="B3708" s="28">
        <v>45983</v>
      </c>
      <c r="C3708" s="25">
        <v>1277</v>
      </c>
      <c r="D3708" s="13" t="s">
        <v>2158</v>
      </c>
      <c r="E3708" s="228"/>
      <c r="F3708" s="109" t="s">
        <v>11220</v>
      </c>
      <c r="G3708" s="24"/>
      <c r="H3708" s="230">
        <v>4.5</v>
      </c>
      <c r="I3708" s="220">
        <v>1420000</v>
      </c>
      <c r="J3708" s="220">
        <f>I3708*0.1</f>
        <v>142000</v>
      </c>
      <c r="K3708" s="220">
        <v>0</v>
      </c>
      <c r="L3708" s="220">
        <v>18170</v>
      </c>
      <c r="M3708" s="220">
        <v>23100</v>
      </c>
      <c r="N3708" s="220">
        <f>SUM(I3708:M3709)</f>
        <v>1603270</v>
      </c>
      <c r="O3708" s="224"/>
      <c r="P3708" s="110" t="s">
        <v>11815</v>
      </c>
      <c r="Q3708" s="15" t="s">
        <v>19</v>
      </c>
      <c r="R3708" s="205"/>
      <c r="S3708" s="189" t="s">
        <v>1422</v>
      </c>
      <c r="T3708" s="114"/>
      <c r="U3708" s="21"/>
      <c r="V3708" s="115">
        <v>46088</v>
      </c>
      <c r="W3708" s="116">
        <v>1291</v>
      </c>
      <c r="X3708" s="220">
        <v>1600000</v>
      </c>
      <c r="Y3708" s="220">
        <f>X3708*0.1</f>
        <v>160000</v>
      </c>
      <c r="Z3708" s="220">
        <v>18170</v>
      </c>
      <c r="AA3708" s="220">
        <f>SUM(X3708:Z3708)</f>
        <v>1778170</v>
      </c>
      <c r="AB3708" s="222">
        <v>46091</v>
      </c>
    </row>
    <row r="3709" spans="1:28" ht="17.100000000000001" customHeight="1" thickBot="1">
      <c r="A3709" s="227"/>
      <c r="B3709" s="27" t="s">
        <v>2472</v>
      </c>
      <c r="C3709" s="27">
        <v>81054</v>
      </c>
      <c r="D3709" s="14" t="s">
        <v>1568</v>
      </c>
      <c r="E3709" s="229"/>
      <c r="F3709" s="117" t="s">
        <v>11221</v>
      </c>
      <c r="G3709" s="26">
        <v>67047</v>
      </c>
      <c r="H3709" s="231"/>
      <c r="I3709" s="221"/>
      <c r="J3709" s="221"/>
      <c r="K3709" s="221"/>
      <c r="L3709" s="221"/>
      <c r="M3709" s="221"/>
      <c r="N3709" s="221"/>
      <c r="O3709" s="225"/>
      <c r="P3709" s="118" t="s">
        <v>3355</v>
      </c>
      <c r="Q3709" s="16" t="s">
        <v>20</v>
      </c>
      <c r="R3709" s="17" t="s">
        <v>11800</v>
      </c>
      <c r="S3709" s="121" t="s">
        <v>1606</v>
      </c>
      <c r="T3709" s="122"/>
      <c r="U3709" s="22"/>
      <c r="V3709" s="123" t="s">
        <v>2472</v>
      </c>
      <c r="W3709" s="122">
        <v>80029</v>
      </c>
      <c r="X3709" s="221"/>
      <c r="Y3709" s="221"/>
      <c r="Z3709" s="221"/>
      <c r="AA3709" s="221"/>
      <c r="AB3709" s="223"/>
    </row>
    <row r="3710" spans="1:28" ht="17.100000000000001" customHeight="1" thickTop="1">
      <c r="A3710" s="226" t="s">
        <v>11291</v>
      </c>
      <c r="B3710" s="28">
        <v>45983</v>
      </c>
      <c r="C3710" s="25">
        <v>1277</v>
      </c>
      <c r="D3710" s="13" t="s">
        <v>1578</v>
      </c>
      <c r="E3710" s="228"/>
      <c r="F3710" s="109" t="s">
        <v>1916</v>
      </c>
      <c r="G3710" s="24" t="s">
        <v>2487</v>
      </c>
      <c r="H3710" s="230">
        <v>4</v>
      </c>
      <c r="I3710" s="220">
        <v>1000000</v>
      </c>
      <c r="J3710" s="220">
        <f>I3710*0.1</f>
        <v>100000</v>
      </c>
      <c r="K3710" s="220">
        <f>11500+1150</f>
        <v>12650</v>
      </c>
      <c r="L3710" s="220">
        <v>17600</v>
      </c>
      <c r="M3710" s="220">
        <v>16500</v>
      </c>
      <c r="N3710" s="220">
        <f>SUM(I3710:M3711)</f>
        <v>1146750</v>
      </c>
      <c r="O3710" s="224"/>
      <c r="P3710" s="110" t="s">
        <v>11240</v>
      </c>
      <c r="Q3710" s="15" t="s">
        <v>19</v>
      </c>
      <c r="R3710" s="205"/>
      <c r="S3710" s="189" t="s">
        <v>1312</v>
      </c>
      <c r="T3710" s="114"/>
      <c r="U3710" s="21"/>
      <c r="V3710" s="115">
        <v>45995</v>
      </c>
      <c r="W3710" s="116">
        <v>1309</v>
      </c>
      <c r="X3710" s="220">
        <v>1095000</v>
      </c>
      <c r="Y3710" s="220">
        <f>X3710*0.1</f>
        <v>109500</v>
      </c>
      <c r="Z3710" s="220">
        <v>17600</v>
      </c>
      <c r="AA3710" s="220">
        <f>SUM(X3710:Z3710)</f>
        <v>1222100</v>
      </c>
      <c r="AB3710" s="222">
        <v>45996</v>
      </c>
    </row>
    <row r="3711" spans="1:28" ht="17.100000000000001" customHeight="1" thickBot="1">
      <c r="A3711" s="227"/>
      <c r="B3711" s="27" t="s">
        <v>2472</v>
      </c>
      <c r="C3711" s="27">
        <v>82634</v>
      </c>
      <c r="D3711" s="14" t="s">
        <v>54</v>
      </c>
      <c r="E3711" s="229"/>
      <c r="F3711" s="117" t="s">
        <v>11239</v>
      </c>
      <c r="G3711" s="26">
        <v>42215</v>
      </c>
      <c r="H3711" s="231"/>
      <c r="I3711" s="221"/>
      <c r="J3711" s="221"/>
      <c r="K3711" s="221"/>
      <c r="L3711" s="221"/>
      <c r="M3711" s="221"/>
      <c r="N3711" s="221"/>
      <c r="O3711" s="225"/>
      <c r="P3711" s="118" t="s">
        <v>11816</v>
      </c>
      <c r="Q3711" s="16" t="s">
        <v>20</v>
      </c>
      <c r="R3711" s="17" t="s">
        <v>11800</v>
      </c>
      <c r="S3711" s="121" t="s">
        <v>11993</v>
      </c>
      <c r="T3711" s="122"/>
      <c r="U3711" s="22"/>
      <c r="V3711" s="123" t="s">
        <v>1735</v>
      </c>
      <c r="W3711" s="122">
        <v>302</v>
      </c>
      <c r="X3711" s="221"/>
      <c r="Y3711" s="221"/>
      <c r="Z3711" s="221"/>
      <c r="AA3711" s="221"/>
      <c r="AB3711" s="223"/>
    </row>
    <row r="3712" spans="1:28" ht="17.100000000000001" customHeight="1" thickTop="1">
      <c r="A3712" s="226" t="s">
        <v>11293</v>
      </c>
      <c r="B3712" s="28">
        <v>45985</v>
      </c>
      <c r="C3712" s="25">
        <v>2070</v>
      </c>
      <c r="D3712" s="13" t="s">
        <v>1931</v>
      </c>
      <c r="E3712" s="228"/>
      <c r="F3712" s="109" t="s">
        <v>4560</v>
      </c>
      <c r="G3712" s="24"/>
      <c r="H3712" s="230">
        <v>4</v>
      </c>
      <c r="I3712" s="220">
        <v>692000</v>
      </c>
      <c r="J3712" s="220">
        <f>I3712*0.1</f>
        <v>69200</v>
      </c>
      <c r="K3712" s="220">
        <v>0</v>
      </c>
      <c r="L3712" s="220">
        <v>20170</v>
      </c>
      <c r="M3712" s="220">
        <v>11000</v>
      </c>
      <c r="N3712" s="220">
        <f>SUM(I3712:M3713)</f>
        <v>792370</v>
      </c>
      <c r="O3712" s="224"/>
      <c r="P3712" s="110" t="s">
        <v>11780</v>
      </c>
      <c r="Q3712" s="15" t="s">
        <v>19</v>
      </c>
      <c r="R3712" s="205"/>
      <c r="S3712" s="189" t="s">
        <v>1361</v>
      </c>
      <c r="T3712" s="114"/>
      <c r="U3712" s="21"/>
      <c r="V3712" s="115">
        <v>45997</v>
      </c>
      <c r="W3712" s="116">
        <v>1279</v>
      </c>
      <c r="X3712" s="220">
        <v>835000</v>
      </c>
      <c r="Y3712" s="220">
        <f>X3712*0.1</f>
        <v>83500</v>
      </c>
      <c r="Z3712" s="220">
        <v>20170</v>
      </c>
      <c r="AA3712" s="220">
        <f>SUM(X3712:Z3712)</f>
        <v>938670</v>
      </c>
      <c r="AB3712" s="222">
        <v>46000</v>
      </c>
    </row>
    <row r="3713" spans="1:28" ht="17.100000000000001" customHeight="1" thickBot="1">
      <c r="A3713" s="227"/>
      <c r="B3713" s="27" t="s">
        <v>82</v>
      </c>
      <c r="C3713" s="27">
        <v>31004</v>
      </c>
      <c r="D3713" s="14" t="s">
        <v>3731</v>
      </c>
      <c r="E3713" s="229"/>
      <c r="F3713" s="117" t="s">
        <v>11303</v>
      </c>
      <c r="G3713" s="26">
        <v>70576</v>
      </c>
      <c r="H3713" s="231"/>
      <c r="I3713" s="221"/>
      <c r="J3713" s="221"/>
      <c r="K3713" s="221"/>
      <c r="L3713" s="221"/>
      <c r="M3713" s="221"/>
      <c r="N3713" s="221"/>
      <c r="O3713" s="225"/>
      <c r="P3713" s="118" t="s">
        <v>11781</v>
      </c>
      <c r="Q3713" s="16" t="s">
        <v>20</v>
      </c>
      <c r="R3713" s="17" t="s">
        <v>11749</v>
      </c>
      <c r="S3713" s="121" t="s">
        <v>1649</v>
      </c>
      <c r="T3713" s="122"/>
      <c r="U3713" s="22"/>
      <c r="V3713" s="123" t="s">
        <v>2472</v>
      </c>
      <c r="W3713" s="122">
        <v>80108</v>
      </c>
      <c r="X3713" s="221"/>
      <c r="Y3713" s="221"/>
      <c r="Z3713" s="221"/>
      <c r="AA3713" s="221"/>
      <c r="AB3713" s="223"/>
    </row>
    <row r="3714" spans="1:28" ht="17.100000000000001" customHeight="1" thickTop="1">
      <c r="A3714" s="226" t="s">
        <v>11294</v>
      </c>
      <c r="B3714" s="28">
        <v>45985</v>
      </c>
      <c r="C3714" s="25">
        <v>2070</v>
      </c>
      <c r="D3714" s="13" t="s">
        <v>1666</v>
      </c>
      <c r="E3714" s="228"/>
      <c r="F3714" s="109" t="s">
        <v>1916</v>
      </c>
      <c r="G3714" s="24"/>
      <c r="H3714" s="230">
        <v>4</v>
      </c>
      <c r="I3714" s="220">
        <v>126000</v>
      </c>
      <c r="J3714" s="220">
        <f>I3714*0.1</f>
        <v>12600</v>
      </c>
      <c r="K3714" s="220">
        <v>0</v>
      </c>
      <c r="L3714" s="220">
        <v>17700</v>
      </c>
      <c r="M3714" s="220">
        <v>11000</v>
      </c>
      <c r="N3714" s="220">
        <f>SUM(I3714:M3715)</f>
        <v>167300</v>
      </c>
      <c r="O3714" s="224"/>
      <c r="P3714" s="110" t="s">
        <v>11778</v>
      </c>
      <c r="Q3714" s="15" t="s">
        <v>19</v>
      </c>
      <c r="R3714" s="205"/>
      <c r="S3714" s="189"/>
      <c r="T3714" s="114"/>
      <c r="U3714" s="21"/>
      <c r="V3714" s="115">
        <v>46011</v>
      </c>
      <c r="W3714" s="116">
        <v>1281</v>
      </c>
      <c r="X3714" s="220">
        <v>354000</v>
      </c>
      <c r="Y3714" s="220">
        <f>X3714*0.1</f>
        <v>35400</v>
      </c>
      <c r="Z3714" s="220">
        <v>17700</v>
      </c>
      <c r="AA3714" s="220">
        <f>SUM(X3714:Z3714)</f>
        <v>407100</v>
      </c>
      <c r="AB3714" s="222">
        <v>46014</v>
      </c>
    </row>
    <row r="3715" spans="1:28" ht="17.100000000000001" customHeight="1" thickBot="1">
      <c r="A3715" s="227"/>
      <c r="B3715" s="27" t="s">
        <v>82</v>
      </c>
      <c r="C3715" s="27">
        <v>31501</v>
      </c>
      <c r="D3715" s="14" t="s">
        <v>1548</v>
      </c>
      <c r="E3715" s="229"/>
      <c r="F3715" s="117" t="s">
        <v>11304</v>
      </c>
      <c r="G3715" s="26">
        <v>42758</v>
      </c>
      <c r="H3715" s="231"/>
      <c r="I3715" s="221"/>
      <c r="J3715" s="221"/>
      <c r="K3715" s="221"/>
      <c r="L3715" s="221"/>
      <c r="M3715" s="221"/>
      <c r="N3715" s="221"/>
      <c r="O3715" s="225"/>
      <c r="P3715" s="118" t="s">
        <v>11779</v>
      </c>
      <c r="Q3715" s="16" t="s">
        <v>20</v>
      </c>
      <c r="R3715" s="17" t="s">
        <v>11749</v>
      </c>
      <c r="S3715" s="121" t="s">
        <v>1661</v>
      </c>
      <c r="T3715" s="122"/>
      <c r="U3715" s="22"/>
      <c r="V3715" s="123" t="s">
        <v>2472</v>
      </c>
      <c r="W3715" s="122">
        <v>53212</v>
      </c>
      <c r="X3715" s="221"/>
      <c r="Y3715" s="221"/>
      <c r="Z3715" s="221"/>
      <c r="AA3715" s="221"/>
      <c r="AB3715" s="223"/>
    </row>
    <row r="3716" spans="1:28" ht="17.100000000000001" customHeight="1" thickTop="1">
      <c r="A3716" s="226" t="s">
        <v>11295</v>
      </c>
      <c r="B3716" s="28">
        <v>45985</v>
      </c>
      <c r="C3716" s="25">
        <v>2070</v>
      </c>
      <c r="D3716" s="13" t="s">
        <v>2690</v>
      </c>
      <c r="E3716" s="228"/>
      <c r="F3716" s="109" t="s">
        <v>11316</v>
      </c>
      <c r="G3716" s="24" t="s">
        <v>3453</v>
      </c>
      <c r="H3716" s="230">
        <v>4</v>
      </c>
      <c r="I3716" s="220">
        <v>2475000</v>
      </c>
      <c r="J3716" s="220">
        <f>I3716*0.1</f>
        <v>247500</v>
      </c>
      <c r="K3716" s="220">
        <f>12000+1200</f>
        <v>13200</v>
      </c>
      <c r="L3716" s="220">
        <v>19090</v>
      </c>
      <c r="M3716" s="220">
        <v>11000</v>
      </c>
      <c r="N3716" s="220">
        <f>SUM(I3716:M3717)</f>
        <v>2765790</v>
      </c>
      <c r="O3716" s="224"/>
      <c r="P3716" s="110" t="s">
        <v>11317</v>
      </c>
      <c r="Q3716" s="15" t="s">
        <v>19</v>
      </c>
      <c r="R3716" s="205"/>
      <c r="S3716" s="189" t="s">
        <v>25612</v>
      </c>
      <c r="T3716" s="114"/>
      <c r="U3716" s="21"/>
      <c r="V3716" s="115">
        <v>45990</v>
      </c>
      <c r="W3716" s="116">
        <v>1278</v>
      </c>
      <c r="X3716" s="220">
        <v>2620000</v>
      </c>
      <c r="Y3716" s="220">
        <f>X3716*0.1</f>
        <v>262000</v>
      </c>
      <c r="Z3716" s="220">
        <v>19090</v>
      </c>
      <c r="AA3716" s="220">
        <f>SUM(X3716:Z3716)</f>
        <v>2901090</v>
      </c>
      <c r="AB3716" s="222">
        <v>45994</v>
      </c>
    </row>
    <row r="3717" spans="1:28" ht="17.100000000000001" customHeight="1" thickBot="1">
      <c r="A3717" s="227"/>
      <c r="B3717" s="27" t="s">
        <v>82</v>
      </c>
      <c r="C3717" s="27">
        <v>34515</v>
      </c>
      <c r="D3717" s="14" t="s">
        <v>1584</v>
      </c>
      <c r="E3717" s="229"/>
      <c r="F3717" s="117" t="s">
        <v>11305</v>
      </c>
      <c r="G3717" s="26">
        <v>46594</v>
      </c>
      <c r="H3717" s="231"/>
      <c r="I3717" s="221"/>
      <c r="J3717" s="221"/>
      <c r="K3717" s="221"/>
      <c r="L3717" s="221"/>
      <c r="M3717" s="221"/>
      <c r="N3717" s="221"/>
      <c r="O3717" s="225"/>
      <c r="P3717" s="118" t="s">
        <v>8647</v>
      </c>
      <c r="Q3717" s="16" t="s">
        <v>20</v>
      </c>
      <c r="R3717" s="17" t="s">
        <v>11749</v>
      </c>
      <c r="S3717" s="121" t="s">
        <v>11776</v>
      </c>
      <c r="T3717" s="122"/>
      <c r="U3717" s="22"/>
      <c r="V3717" s="123" t="s">
        <v>2472</v>
      </c>
      <c r="W3717" s="122">
        <v>80447</v>
      </c>
      <c r="X3717" s="221"/>
      <c r="Y3717" s="221"/>
      <c r="Z3717" s="221"/>
      <c r="AA3717" s="221"/>
      <c r="AB3717" s="223"/>
    </row>
    <row r="3718" spans="1:28" ht="17.100000000000001" customHeight="1" thickTop="1">
      <c r="A3718" s="226" t="s">
        <v>11296</v>
      </c>
      <c r="B3718" s="28">
        <v>45985</v>
      </c>
      <c r="C3718" s="25">
        <v>2070</v>
      </c>
      <c r="D3718" s="13" t="s">
        <v>1615</v>
      </c>
      <c r="E3718" s="228"/>
      <c r="F3718" s="109" t="s">
        <v>1990</v>
      </c>
      <c r="G3718" s="24" t="s">
        <v>2536</v>
      </c>
      <c r="H3718" s="230">
        <v>4.5</v>
      </c>
      <c r="I3718" s="220">
        <v>285000</v>
      </c>
      <c r="J3718" s="220">
        <f>I3718*0.1</f>
        <v>28500</v>
      </c>
      <c r="K3718" s="220">
        <f>13100+1310</f>
        <v>14410</v>
      </c>
      <c r="L3718" s="220">
        <v>17490</v>
      </c>
      <c r="M3718" s="220">
        <v>11000</v>
      </c>
      <c r="N3718" s="220">
        <f>SUM(I3718:M3719)</f>
        <v>356400</v>
      </c>
      <c r="O3718" s="224"/>
      <c r="P3718" s="110" t="s">
        <v>11318</v>
      </c>
      <c r="Q3718" s="15" t="s">
        <v>19</v>
      </c>
      <c r="R3718" s="205"/>
      <c r="S3718" s="189" t="s">
        <v>25372</v>
      </c>
      <c r="T3718" s="114"/>
      <c r="U3718" s="21" t="s">
        <v>12498</v>
      </c>
      <c r="V3718" s="115">
        <v>46004</v>
      </c>
      <c r="W3718" s="116">
        <v>1280</v>
      </c>
      <c r="X3718" s="220">
        <v>390000</v>
      </c>
      <c r="Y3718" s="220">
        <f>X3718*0.1</f>
        <v>39000</v>
      </c>
      <c r="Z3718" s="220">
        <v>17490</v>
      </c>
      <c r="AA3718" s="220">
        <f>SUM(X3718:Z3718)</f>
        <v>446490</v>
      </c>
      <c r="AB3718" s="222">
        <v>46007</v>
      </c>
    </row>
    <row r="3719" spans="1:28" ht="17.100000000000001" customHeight="1" thickBot="1">
      <c r="A3719" s="227"/>
      <c r="B3719" s="27" t="s">
        <v>82</v>
      </c>
      <c r="C3719" s="27">
        <v>34527</v>
      </c>
      <c r="D3719" s="14" t="s">
        <v>3274</v>
      </c>
      <c r="E3719" s="229"/>
      <c r="F3719" s="117" t="s">
        <v>11306</v>
      </c>
      <c r="G3719" s="26">
        <v>47094</v>
      </c>
      <c r="H3719" s="231"/>
      <c r="I3719" s="221"/>
      <c r="J3719" s="221"/>
      <c r="K3719" s="221"/>
      <c r="L3719" s="221"/>
      <c r="M3719" s="221"/>
      <c r="N3719" s="221"/>
      <c r="O3719" s="225"/>
      <c r="P3719" s="118" t="s">
        <v>11777</v>
      </c>
      <c r="Q3719" s="16" t="s">
        <v>20</v>
      </c>
      <c r="R3719" s="17" t="s">
        <v>11749</v>
      </c>
      <c r="S3719" s="121" t="s">
        <v>2844</v>
      </c>
      <c r="T3719" s="122"/>
      <c r="U3719" s="22"/>
      <c r="V3719" s="123" t="s">
        <v>2472</v>
      </c>
      <c r="W3719" s="122">
        <v>80362</v>
      </c>
      <c r="X3719" s="221"/>
      <c r="Y3719" s="221"/>
      <c r="Z3719" s="221"/>
      <c r="AA3719" s="221"/>
      <c r="AB3719" s="223"/>
    </row>
    <row r="3720" spans="1:28" ht="17.100000000000001" customHeight="1" thickTop="1">
      <c r="A3720" s="226" t="s">
        <v>11297</v>
      </c>
      <c r="B3720" s="28">
        <v>45985</v>
      </c>
      <c r="C3720" s="25">
        <v>2070</v>
      </c>
      <c r="D3720" s="13" t="s">
        <v>4775</v>
      </c>
      <c r="E3720" s="228"/>
      <c r="F3720" s="109" t="s">
        <v>9789</v>
      </c>
      <c r="G3720" s="24"/>
      <c r="H3720" s="230">
        <v>4</v>
      </c>
      <c r="I3720" s="220">
        <v>425000</v>
      </c>
      <c r="J3720" s="220">
        <f>I3720*0.1</f>
        <v>42500</v>
      </c>
      <c r="K3720" s="220">
        <v>0</v>
      </c>
      <c r="L3720" s="220">
        <v>19440</v>
      </c>
      <c r="M3720" s="220">
        <v>11000</v>
      </c>
      <c r="N3720" s="220">
        <f>SUM(I3720:M3721)</f>
        <v>497940</v>
      </c>
      <c r="O3720" s="224"/>
      <c r="P3720" s="110" t="s">
        <v>11859</v>
      </c>
      <c r="Q3720" s="15" t="s">
        <v>19</v>
      </c>
      <c r="R3720" s="205"/>
      <c r="S3720" s="189"/>
      <c r="T3720" s="114"/>
      <c r="U3720" s="21"/>
      <c r="V3720" s="115">
        <v>46018</v>
      </c>
      <c r="W3720" s="116">
        <v>1282</v>
      </c>
      <c r="X3720" s="220">
        <v>550000</v>
      </c>
      <c r="Y3720" s="220">
        <f>X3720*0.1</f>
        <v>55000</v>
      </c>
      <c r="Z3720" s="220">
        <v>19440</v>
      </c>
      <c r="AA3720" s="220">
        <f>SUM(X3720:Z3720)</f>
        <v>624440</v>
      </c>
      <c r="AB3720" s="222">
        <v>46028</v>
      </c>
    </row>
    <row r="3721" spans="1:28" ht="17.100000000000001" customHeight="1" thickBot="1">
      <c r="A3721" s="227"/>
      <c r="B3721" s="27" t="s">
        <v>82</v>
      </c>
      <c r="C3721" s="27">
        <v>34534</v>
      </c>
      <c r="D3721" s="14" t="s">
        <v>11307</v>
      </c>
      <c r="E3721" s="229"/>
      <c r="F3721" s="117" t="s">
        <v>11308</v>
      </c>
      <c r="G3721" s="26">
        <v>71249</v>
      </c>
      <c r="H3721" s="231"/>
      <c r="I3721" s="221"/>
      <c r="J3721" s="221"/>
      <c r="K3721" s="221"/>
      <c r="L3721" s="221"/>
      <c r="M3721" s="221"/>
      <c r="N3721" s="221"/>
      <c r="O3721" s="225"/>
      <c r="P3721" s="118" t="s">
        <v>9748</v>
      </c>
      <c r="Q3721" s="16" t="s">
        <v>20</v>
      </c>
      <c r="R3721" s="17" t="s">
        <v>2208</v>
      </c>
      <c r="S3721" s="121" t="s">
        <v>3532</v>
      </c>
      <c r="T3721" s="122"/>
      <c r="U3721" s="22"/>
      <c r="V3721" s="123" t="s">
        <v>2472</v>
      </c>
      <c r="W3721" s="122">
        <v>80128</v>
      </c>
      <c r="X3721" s="221"/>
      <c r="Y3721" s="221"/>
      <c r="Z3721" s="221"/>
      <c r="AA3721" s="221"/>
      <c r="AB3721" s="223"/>
    </row>
    <row r="3722" spans="1:28" ht="17.100000000000001" customHeight="1" thickTop="1">
      <c r="A3722" s="226" t="s">
        <v>11298</v>
      </c>
      <c r="B3722" s="28">
        <v>45985</v>
      </c>
      <c r="C3722" s="25">
        <v>2070</v>
      </c>
      <c r="D3722" s="13" t="s">
        <v>1935</v>
      </c>
      <c r="E3722" s="228"/>
      <c r="F3722" s="109" t="s">
        <v>11319</v>
      </c>
      <c r="G3722" s="24" t="s">
        <v>2871</v>
      </c>
      <c r="H3722" s="230">
        <v>4.5</v>
      </c>
      <c r="I3722" s="220">
        <v>1490000</v>
      </c>
      <c r="J3722" s="220">
        <f>I3722*0.1</f>
        <v>149000</v>
      </c>
      <c r="K3722" s="220">
        <f>13100+1310</f>
        <v>14410</v>
      </c>
      <c r="L3722" s="220">
        <v>16340</v>
      </c>
      <c r="M3722" s="220">
        <v>11000</v>
      </c>
      <c r="N3722" s="220">
        <f>SUM(I3722:M3723)</f>
        <v>1680750</v>
      </c>
      <c r="O3722" s="224"/>
      <c r="P3722" s="110" t="s">
        <v>11320</v>
      </c>
      <c r="Q3722" s="15" t="s">
        <v>19</v>
      </c>
      <c r="R3722" s="205"/>
      <c r="S3722" s="189" t="s">
        <v>25368</v>
      </c>
      <c r="T3722" s="114"/>
      <c r="U3722" s="21"/>
      <c r="V3722" s="115">
        <v>45990</v>
      </c>
      <c r="W3722" s="116">
        <v>1278</v>
      </c>
      <c r="X3722" s="220">
        <v>1630000</v>
      </c>
      <c r="Y3722" s="220">
        <f>X3722*0.1</f>
        <v>163000</v>
      </c>
      <c r="Z3722" s="220">
        <v>16340</v>
      </c>
      <c r="AA3722" s="220">
        <f>SUM(X3722:Z3722)</f>
        <v>1809340</v>
      </c>
      <c r="AB3722" s="222">
        <v>45995</v>
      </c>
    </row>
    <row r="3723" spans="1:28" ht="17.100000000000001" customHeight="1" thickBot="1">
      <c r="A3723" s="227"/>
      <c r="B3723" s="27" t="s">
        <v>82</v>
      </c>
      <c r="C3723" s="27">
        <v>36028</v>
      </c>
      <c r="D3723" s="14" t="s">
        <v>1584</v>
      </c>
      <c r="E3723" s="229"/>
      <c r="F3723" s="117" t="s">
        <v>11309</v>
      </c>
      <c r="G3723" s="26">
        <v>78310</v>
      </c>
      <c r="H3723" s="231"/>
      <c r="I3723" s="221"/>
      <c r="J3723" s="221"/>
      <c r="K3723" s="221"/>
      <c r="L3723" s="221"/>
      <c r="M3723" s="221"/>
      <c r="N3723" s="221"/>
      <c r="O3723" s="225"/>
      <c r="P3723" s="118" t="s">
        <v>11858</v>
      </c>
      <c r="Q3723" s="16" t="s">
        <v>20</v>
      </c>
      <c r="R3723" s="17" t="s">
        <v>2208</v>
      </c>
      <c r="S3723" s="121" t="s">
        <v>1731</v>
      </c>
      <c r="T3723" s="122"/>
      <c r="U3723" s="22"/>
      <c r="V3723" s="123" t="s">
        <v>6642</v>
      </c>
      <c r="W3723" s="122">
        <v>80421</v>
      </c>
      <c r="X3723" s="221"/>
      <c r="Y3723" s="221"/>
      <c r="Z3723" s="221"/>
      <c r="AA3723" s="221"/>
      <c r="AB3723" s="223"/>
    </row>
    <row r="3724" spans="1:28" ht="17.100000000000001" customHeight="1" thickTop="1">
      <c r="A3724" s="226" t="s">
        <v>11299</v>
      </c>
      <c r="B3724" s="28">
        <v>45985</v>
      </c>
      <c r="C3724" s="25"/>
      <c r="D3724" s="13" t="s">
        <v>1704</v>
      </c>
      <c r="E3724" s="228"/>
      <c r="F3724" s="109" t="s">
        <v>11310</v>
      </c>
      <c r="G3724" s="24" t="s">
        <v>2487</v>
      </c>
      <c r="H3724" s="230">
        <v>4</v>
      </c>
      <c r="I3724" s="220">
        <v>1700000</v>
      </c>
      <c r="J3724" s="220">
        <f>I3724*0.1</f>
        <v>170000</v>
      </c>
      <c r="K3724" s="220">
        <f>8300+830</f>
        <v>9130</v>
      </c>
      <c r="L3724" s="220">
        <v>11370</v>
      </c>
      <c r="M3724" s="220">
        <v>14850</v>
      </c>
      <c r="N3724" s="220">
        <f>SUM(I3724:M3725)</f>
        <v>1905350</v>
      </c>
      <c r="O3724" s="224"/>
      <c r="P3724" s="110" t="s">
        <v>11313</v>
      </c>
      <c r="Q3724" s="15" t="s">
        <v>19</v>
      </c>
      <c r="R3724" s="205"/>
      <c r="S3724" s="189"/>
      <c r="T3724" s="114"/>
      <c r="U3724" s="21"/>
      <c r="V3724" s="115">
        <v>46060</v>
      </c>
      <c r="W3724" s="116">
        <v>1287</v>
      </c>
      <c r="X3724" s="220">
        <v>1805000</v>
      </c>
      <c r="Y3724" s="220">
        <f>X3724*0.1</f>
        <v>180500</v>
      </c>
      <c r="Z3724" s="220">
        <v>11370</v>
      </c>
      <c r="AA3724" s="220">
        <f>SUM(X3724:Z3724)</f>
        <v>1996870</v>
      </c>
      <c r="AB3724" s="222">
        <v>46063</v>
      </c>
    </row>
    <row r="3725" spans="1:28" ht="17.100000000000001" customHeight="1" thickBot="1">
      <c r="A3725" s="227"/>
      <c r="B3725" s="27" t="s">
        <v>8691</v>
      </c>
      <c r="C3725" s="27">
        <v>60131</v>
      </c>
      <c r="D3725" s="14" t="s">
        <v>2788</v>
      </c>
      <c r="E3725" s="229"/>
      <c r="F3725" s="117" t="s">
        <v>11312</v>
      </c>
      <c r="G3725" s="26">
        <v>20913</v>
      </c>
      <c r="H3725" s="231"/>
      <c r="I3725" s="221"/>
      <c r="J3725" s="221"/>
      <c r="K3725" s="221"/>
      <c r="L3725" s="221"/>
      <c r="M3725" s="221"/>
      <c r="N3725" s="221"/>
      <c r="O3725" s="225"/>
      <c r="P3725" s="118" t="s">
        <v>2287</v>
      </c>
      <c r="Q3725" s="16" t="s">
        <v>20</v>
      </c>
      <c r="R3725" s="17" t="s">
        <v>1721</v>
      </c>
      <c r="S3725" s="121" t="s">
        <v>12282</v>
      </c>
      <c r="T3725" s="122"/>
      <c r="U3725" s="22"/>
      <c r="V3725" s="123" t="s">
        <v>2472</v>
      </c>
      <c r="W3725" s="122">
        <v>80164</v>
      </c>
      <c r="X3725" s="221"/>
      <c r="Y3725" s="221"/>
      <c r="Z3725" s="221"/>
      <c r="AA3725" s="221"/>
      <c r="AB3725" s="223"/>
    </row>
    <row r="3726" spans="1:28" ht="17.100000000000001" customHeight="1" thickTop="1">
      <c r="A3726" s="226" t="s">
        <v>11300</v>
      </c>
      <c r="B3726" s="28">
        <v>45985</v>
      </c>
      <c r="C3726" s="25"/>
      <c r="D3726" s="13" t="s">
        <v>2107</v>
      </c>
      <c r="E3726" s="228"/>
      <c r="F3726" s="109" t="s">
        <v>11311</v>
      </c>
      <c r="G3726" s="24" t="s">
        <v>4120</v>
      </c>
      <c r="H3726" s="230">
        <v>4</v>
      </c>
      <c r="I3726" s="220">
        <v>767000</v>
      </c>
      <c r="J3726" s="220">
        <f>I3726*0.1</f>
        <v>76700</v>
      </c>
      <c r="K3726" s="220">
        <f>13100+1310</f>
        <v>14410</v>
      </c>
      <c r="L3726" s="220">
        <v>22520</v>
      </c>
      <c r="M3726" s="220">
        <v>14850</v>
      </c>
      <c r="N3726" s="220">
        <f>SUM(I3726:M3727)</f>
        <v>895480</v>
      </c>
      <c r="O3726" s="224"/>
      <c r="P3726" s="110" t="s">
        <v>11315</v>
      </c>
      <c r="Q3726" s="15" t="s">
        <v>19</v>
      </c>
      <c r="R3726" s="205"/>
      <c r="S3726" s="189"/>
      <c r="T3726" s="114"/>
      <c r="U3726" s="21"/>
      <c r="V3726" s="115">
        <v>45990</v>
      </c>
      <c r="W3726" s="116">
        <v>1278</v>
      </c>
      <c r="X3726" s="220">
        <v>1060000</v>
      </c>
      <c r="Y3726" s="220">
        <f>X3726*0.1</f>
        <v>106000</v>
      </c>
      <c r="Z3726" s="220">
        <v>22520</v>
      </c>
      <c r="AA3726" s="220">
        <f>SUM(X3726:Z3726)</f>
        <v>1188520</v>
      </c>
      <c r="AB3726" s="222">
        <v>45994</v>
      </c>
    </row>
    <row r="3727" spans="1:28" ht="17.100000000000001" customHeight="1" thickBot="1">
      <c r="A3727" s="227"/>
      <c r="B3727" s="27" t="s">
        <v>8691</v>
      </c>
      <c r="C3727" s="27">
        <v>60248</v>
      </c>
      <c r="D3727" s="14" t="s">
        <v>2753</v>
      </c>
      <c r="E3727" s="229"/>
      <c r="F3727" s="117" t="s">
        <v>11314</v>
      </c>
      <c r="G3727" s="26">
        <v>52909</v>
      </c>
      <c r="H3727" s="231"/>
      <c r="I3727" s="221"/>
      <c r="J3727" s="221"/>
      <c r="K3727" s="221"/>
      <c r="L3727" s="221"/>
      <c r="M3727" s="221"/>
      <c r="N3727" s="221"/>
      <c r="O3727" s="225"/>
      <c r="P3727" s="118" t="s">
        <v>2898</v>
      </c>
      <c r="Q3727" s="16" t="s">
        <v>20</v>
      </c>
      <c r="R3727" s="17" t="s">
        <v>1721</v>
      </c>
      <c r="S3727" s="121"/>
      <c r="T3727" s="122"/>
      <c r="U3727" s="22"/>
      <c r="V3727" s="123" t="s">
        <v>2472</v>
      </c>
      <c r="W3727" s="122">
        <v>80435</v>
      </c>
      <c r="X3727" s="221"/>
      <c r="Y3727" s="221"/>
      <c r="Z3727" s="221"/>
      <c r="AA3727" s="221"/>
      <c r="AB3727" s="223"/>
    </row>
    <row r="3728" spans="1:28" ht="17.100000000000001" customHeight="1" thickTop="1">
      <c r="A3728" s="226" t="s">
        <v>11301</v>
      </c>
      <c r="B3728" s="28">
        <v>45985</v>
      </c>
      <c r="C3728" s="25">
        <v>71</v>
      </c>
      <c r="D3728" s="13" t="s">
        <v>1935</v>
      </c>
      <c r="E3728" s="228"/>
      <c r="F3728" s="109" t="s">
        <v>11183</v>
      </c>
      <c r="G3728" s="24" t="s">
        <v>2871</v>
      </c>
      <c r="H3728" s="230">
        <v>4.5</v>
      </c>
      <c r="I3728" s="220">
        <v>1370000</v>
      </c>
      <c r="J3728" s="220">
        <f>I3728*0.1</f>
        <v>137000</v>
      </c>
      <c r="K3728" s="220">
        <f>11200+1120</f>
        <v>12320</v>
      </c>
      <c r="L3728" s="220">
        <v>14420</v>
      </c>
      <c r="M3728" s="220">
        <v>44000</v>
      </c>
      <c r="N3728" s="220">
        <f>SUM(I3728:M3729)</f>
        <v>1577740</v>
      </c>
      <c r="O3728" s="224"/>
      <c r="P3728" s="110" t="s">
        <v>14111</v>
      </c>
      <c r="Q3728" s="15" t="s">
        <v>19</v>
      </c>
      <c r="R3728" s="205"/>
      <c r="S3728" s="189" t="s">
        <v>25605</v>
      </c>
      <c r="T3728" s="114"/>
      <c r="U3728" s="21" t="s">
        <v>14183</v>
      </c>
      <c r="V3728" s="115"/>
      <c r="W3728" s="116"/>
      <c r="X3728" s="220"/>
      <c r="Y3728" s="220">
        <f>X3728*0.1</f>
        <v>0</v>
      </c>
      <c r="Z3728" s="220"/>
      <c r="AA3728" s="220">
        <f>SUM(X3728:Z3728)</f>
        <v>0</v>
      </c>
      <c r="AB3728" s="222"/>
    </row>
    <row r="3729" spans="1:28" ht="17.100000000000001" customHeight="1" thickBot="1">
      <c r="A3729" s="227"/>
      <c r="B3729" s="27" t="s">
        <v>4468</v>
      </c>
      <c r="C3729" s="27">
        <v>1001</v>
      </c>
      <c r="D3729" s="14" t="s">
        <v>273</v>
      </c>
      <c r="E3729" s="229"/>
      <c r="F3729" s="117" t="s">
        <v>11323</v>
      </c>
      <c r="G3729" s="26">
        <v>79535</v>
      </c>
      <c r="H3729" s="231"/>
      <c r="I3729" s="221"/>
      <c r="J3729" s="221"/>
      <c r="K3729" s="221"/>
      <c r="L3729" s="221"/>
      <c r="M3729" s="221"/>
      <c r="N3729" s="221"/>
      <c r="O3729" s="225"/>
      <c r="P3729" s="118" t="s">
        <v>14112</v>
      </c>
      <c r="Q3729" s="16" t="s">
        <v>20</v>
      </c>
      <c r="R3729" s="17" t="s">
        <v>14101</v>
      </c>
      <c r="S3729" s="121" t="s">
        <v>1606</v>
      </c>
      <c r="T3729" s="122"/>
      <c r="U3729" s="22"/>
      <c r="V3729" s="123"/>
      <c r="W3729" s="122"/>
      <c r="X3729" s="221"/>
      <c r="Y3729" s="221"/>
      <c r="Z3729" s="221"/>
      <c r="AA3729" s="221"/>
      <c r="AB3729" s="223"/>
    </row>
    <row r="3730" spans="1:28" ht="17.100000000000001" customHeight="1" thickTop="1">
      <c r="A3730" s="226" t="s">
        <v>11302</v>
      </c>
      <c r="B3730" s="28">
        <v>45985</v>
      </c>
      <c r="C3730" s="25">
        <v>71</v>
      </c>
      <c r="D3730" s="13" t="s">
        <v>2073</v>
      </c>
      <c r="E3730" s="228"/>
      <c r="F3730" s="109" t="s">
        <v>11332</v>
      </c>
      <c r="G3730" s="24" t="s">
        <v>2084</v>
      </c>
      <c r="H3730" s="230">
        <v>4</v>
      </c>
      <c r="I3730" s="220">
        <v>890000</v>
      </c>
      <c r="J3730" s="220">
        <f>I3730*0.1</f>
        <v>89000</v>
      </c>
      <c r="K3730" s="220">
        <v>0</v>
      </c>
      <c r="L3730" s="220">
        <v>8790</v>
      </c>
      <c r="M3730" s="220">
        <v>33000</v>
      </c>
      <c r="N3730" s="220">
        <f>SUM(I3730:M3731)</f>
        <v>1020790</v>
      </c>
      <c r="O3730" s="224"/>
      <c r="P3730" s="110" t="s">
        <v>13180</v>
      </c>
      <c r="Q3730" s="15" t="s">
        <v>19</v>
      </c>
      <c r="R3730" s="205"/>
      <c r="S3730" s="189" t="s">
        <v>25541</v>
      </c>
      <c r="T3730" s="114"/>
      <c r="U3730" s="21" t="s">
        <v>13266</v>
      </c>
      <c r="V3730" s="115">
        <v>46007</v>
      </c>
      <c r="W3730" s="116">
        <v>1922</v>
      </c>
      <c r="X3730" s="220">
        <v>1092000</v>
      </c>
      <c r="Y3730" s="220">
        <f>X3730*0.1</f>
        <v>109200</v>
      </c>
      <c r="Z3730" s="220">
        <v>8790</v>
      </c>
      <c r="AA3730" s="220">
        <f>SUM(X3730:Z3730)</f>
        <v>1209990</v>
      </c>
      <c r="AB3730" s="222"/>
    </row>
    <row r="3731" spans="1:28" ht="17.100000000000001" customHeight="1" thickBot="1">
      <c r="A3731" s="227"/>
      <c r="B3731" s="27" t="s">
        <v>4468</v>
      </c>
      <c r="C3731" s="27">
        <v>1008</v>
      </c>
      <c r="D3731" s="14" t="s">
        <v>2753</v>
      </c>
      <c r="E3731" s="229"/>
      <c r="F3731" s="117" t="s">
        <v>11324</v>
      </c>
      <c r="G3731" s="26">
        <v>26810</v>
      </c>
      <c r="H3731" s="231"/>
      <c r="I3731" s="221"/>
      <c r="J3731" s="221"/>
      <c r="K3731" s="221"/>
      <c r="L3731" s="221"/>
      <c r="M3731" s="221"/>
      <c r="N3731" s="221"/>
      <c r="O3731" s="225"/>
      <c r="P3731" s="118" t="s">
        <v>13181</v>
      </c>
      <c r="Q3731" s="16" t="s">
        <v>20</v>
      </c>
      <c r="R3731" s="17" t="s">
        <v>1745</v>
      </c>
      <c r="S3731" s="121" t="s">
        <v>1606</v>
      </c>
      <c r="T3731" s="122"/>
      <c r="U3731" s="22"/>
      <c r="V3731" s="123" t="s">
        <v>2103</v>
      </c>
      <c r="W3731" s="122">
        <v>3307</v>
      </c>
      <c r="X3731" s="221"/>
      <c r="Y3731" s="221"/>
      <c r="Z3731" s="221"/>
      <c r="AA3731" s="221"/>
      <c r="AB3731" s="223"/>
    </row>
    <row r="3732" spans="1:28" ht="17.100000000000001" customHeight="1" thickTop="1">
      <c r="A3732" s="226" t="s">
        <v>11321</v>
      </c>
      <c r="B3732" s="28">
        <v>45985</v>
      </c>
      <c r="C3732" s="25">
        <v>71</v>
      </c>
      <c r="D3732" s="13" t="s">
        <v>4050</v>
      </c>
      <c r="E3732" s="228"/>
      <c r="F3732" s="109" t="s">
        <v>11333</v>
      </c>
      <c r="G3732" s="24" t="s">
        <v>4120</v>
      </c>
      <c r="H3732" s="230">
        <v>4</v>
      </c>
      <c r="I3732" s="220">
        <v>1090000</v>
      </c>
      <c r="J3732" s="220">
        <f>I3732*0.1</f>
        <v>109000</v>
      </c>
      <c r="K3732" s="220">
        <f>9800+980</f>
        <v>10780</v>
      </c>
      <c r="L3732" s="220">
        <v>9490</v>
      </c>
      <c r="M3732" s="220">
        <v>44000</v>
      </c>
      <c r="N3732" s="220">
        <f>SUM(I3732:M3733)</f>
        <v>1263270</v>
      </c>
      <c r="O3732" s="224"/>
      <c r="P3732" s="110" t="s">
        <v>13550</v>
      </c>
      <c r="Q3732" s="15" t="s">
        <v>19</v>
      </c>
      <c r="R3732" s="205"/>
      <c r="S3732" s="189" t="s">
        <v>25605</v>
      </c>
      <c r="T3732" s="114"/>
      <c r="U3732" s="21"/>
      <c r="V3732" s="115">
        <v>46011</v>
      </c>
      <c r="W3732" s="116">
        <v>1281</v>
      </c>
      <c r="X3732" s="220">
        <v>1290000</v>
      </c>
      <c r="Y3732" s="220">
        <f>X3732*0.1</f>
        <v>129000</v>
      </c>
      <c r="Z3732" s="220">
        <v>9490</v>
      </c>
      <c r="AA3732" s="220">
        <f>SUM(X3732:Z3732)</f>
        <v>1428490</v>
      </c>
      <c r="AB3732" s="222">
        <v>46014</v>
      </c>
    </row>
    <row r="3733" spans="1:28" ht="17.100000000000001" customHeight="1" thickBot="1">
      <c r="A3733" s="227"/>
      <c r="B3733" s="27" t="s">
        <v>4468</v>
      </c>
      <c r="C3733" s="27">
        <v>1025</v>
      </c>
      <c r="D3733" s="14" t="s">
        <v>898</v>
      </c>
      <c r="E3733" s="229"/>
      <c r="F3733" s="117" t="s">
        <v>11325</v>
      </c>
      <c r="G3733" s="26">
        <v>34560</v>
      </c>
      <c r="H3733" s="231"/>
      <c r="I3733" s="221"/>
      <c r="J3733" s="221"/>
      <c r="K3733" s="221"/>
      <c r="L3733" s="221"/>
      <c r="M3733" s="221"/>
      <c r="N3733" s="221"/>
      <c r="O3733" s="225"/>
      <c r="P3733" s="118" t="s">
        <v>13551</v>
      </c>
      <c r="Q3733" s="16" t="s">
        <v>20</v>
      </c>
      <c r="R3733" s="17" t="s">
        <v>13537</v>
      </c>
      <c r="S3733" s="121" t="s">
        <v>9318</v>
      </c>
      <c r="T3733" s="122"/>
      <c r="U3733" s="22"/>
      <c r="V3733" s="123" t="s">
        <v>2472</v>
      </c>
      <c r="W3733" s="122">
        <v>37386</v>
      </c>
      <c r="X3733" s="221"/>
      <c r="Y3733" s="221"/>
      <c r="Z3733" s="221"/>
      <c r="AA3733" s="221"/>
      <c r="AB3733" s="223"/>
    </row>
    <row r="3734" spans="1:28" ht="17.100000000000001" customHeight="1" thickTop="1">
      <c r="A3734" s="226" t="s">
        <v>11322</v>
      </c>
      <c r="B3734" s="28">
        <v>45985</v>
      </c>
      <c r="C3734" s="25">
        <v>71</v>
      </c>
      <c r="D3734" s="13" t="s">
        <v>2239</v>
      </c>
      <c r="E3734" s="228"/>
      <c r="F3734" s="109" t="s">
        <v>10924</v>
      </c>
      <c r="G3734" s="24" t="s">
        <v>2926</v>
      </c>
      <c r="H3734" s="230">
        <v>4.5</v>
      </c>
      <c r="I3734" s="220">
        <v>1545000</v>
      </c>
      <c r="J3734" s="220">
        <f>I3734*0.1</f>
        <v>154500</v>
      </c>
      <c r="K3734" s="220">
        <v>0</v>
      </c>
      <c r="L3734" s="220">
        <v>7530</v>
      </c>
      <c r="M3734" s="220">
        <v>44000</v>
      </c>
      <c r="N3734" s="220">
        <f>SUM(I3734:M3735)</f>
        <v>1751030</v>
      </c>
      <c r="O3734" s="224"/>
      <c r="P3734" s="110" t="s">
        <v>13255</v>
      </c>
      <c r="Q3734" s="15" t="s">
        <v>19</v>
      </c>
      <c r="R3734" s="205"/>
      <c r="S3734" s="189" t="s">
        <v>1072</v>
      </c>
      <c r="T3734" s="114"/>
      <c r="U3734" s="21"/>
      <c r="V3734" s="115">
        <v>46007</v>
      </c>
      <c r="W3734" s="116">
        <v>1922</v>
      </c>
      <c r="X3734" s="220">
        <v>1702000</v>
      </c>
      <c r="Y3734" s="220">
        <f>X3734*0.1</f>
        <v>170200</v>
      </c>
      <c r="Z3734" s="220">
        <v>7530</v>
      </c>
      <c r="AA3734" s="220">
        <f>SUM(X3734:Z3734)</f>
        <v>1879730</v>
      </c>
      <c r="AB3734" s="222"/>
    </row>
    <row r="3735" spans="1:28" ht="17.100000000000001" customHeight="1" thickBot="1">
      <c r="A3735" s="227"/>
      <c r="B3735" s="27" t="s">
        <v>4468</v>
      </c>
      <c r="C3735" s="27">
        <v>1059</v>
      </c>
      <c r="D3735" s="14" t="s">
        <v>2559</v>
      </c>
      <c r="E3735" s="229"/>
      <c r="F3735" s="117" t="s">
        <v>11326</v>
      </c>
      <c r="G3735" s="26">
        <v>16327</v>
      </c>
      <c r="H3735" s="231"/>
      <c r="I3735" s="221"/>
      <c r="J3735" s="221"/>
      <c r="K3735" s="221"/>
      <c r="L3735" s="221"/>
      <c r="M3735" s="221"/>
      <c r="N3735" s="221"/>
      <c r="O3735" s="225"/>
      <c r="P3735" s="118" t="s">
        <v>13256</v>
      </c>
      <c r="Q3735" s="16" t="s">
        <v>20</v>
      </c>
      <c r="R3735" s="17" t="s">
        <v>1745</v>
      </c>
      <c r="S3735" s="121" t="s">
        <v>2784</v>
      </c>
      <c r="T3735" s="122"/>
      <c r="U3735" s="22"/>
      <c r="V3735" s="123" t="s">
        <v>2103</v>
      </c>
      <c r="W3735" s="122">
        <v>3053</v>
      </c>
      <c r="X3735" s="221"/>
      <c r="Y3735" s="221"/>
      <c r="Z3735" s="221"/>
      <c r="AA3735" s="221"/>
      <c r="AB3735" s="223"/>
    </row>
    <row r="3736" spans="1:28" ht="17.100000000000001" customHeight="1" thickTop="1">
      <c r="A3736" s="226" t="s">
        <v>11327</v>
      </c>
      <c r="B3736" s="28">
        <v>45985</v>
      </c>
      <c r="C3736" s="25"/>
      <c r="D3736" s="13" t="s">
        <v>1887</v>
      </c>
      <c r="E3736" s="228"/>
      <c r="F3736" s="109" t="s">
        <v>4619</v>
      </c>
      <c r="G3736" s="24" t="s">
        <v>3528</v>
      </c>
      <c r="H3736" s="230">
        <v>4.5</v>
      </c>
      <c r="I3736" s="220">
        <f>1435500/1.1</f>
        <v>1305000</v>
      </c>
      <c r="J3736" s="220">
        <f>I3736*0.1</f>
        <v>130500</v>
      </c>
      <c r="K3736" s="220">
        <v>0</v>
      </c>
      <c r="L3736" s="220">
        <v>8550</v>
      </c>
      <c r="M3736" s="220">
        <v>0</v>
      </c>
      <c r="N3736" s="220">
        <f>SUM(I3736:M3737)</f>
        <v>1444050</v>
      </c>
      <c r="O3736" s="224"/>
      <c r="P3736" s="110" t="s">
        <v>12580</v>
      </c>
      <c r="Q3736" s="15" t="s">
        <v>19</v>
      </c>
      <c r="R3736" s="205"/>
      <c r="S3736" s="189" t="s">
        <v>1276</v>
      </c>
      <c r="T3736" s="114"/>
      <c r="U3736" s="21"/>
      <c r="V3736" s="115">
        <v>46014</v>
      </c>
      <c r="W3736" s="116">
        <v>1923</v>
      </c>
      <c r="X3736" s="220">
        <v>1408000</v>
      </c>
      <c r="Y3736" s="220">
        <f>X3736*0.1</f>
        <v>140800</v>
      </c>
      <c r="Z3736" s="220">
        <v>8550</v>
      </c>
      <c r="AA3736" s="220">
        <f>SUM(X3736:Z3736)</f>
        <v>1557350</v>
      </c>
      <c r="AB3736" s="222">
        <v>46020</v>
      </c>
    </row>
    <row r="3737" spans="1:28" ht="17.100000000000001" customHeight="1" thickBot="1">
      <c r="A3737" s="227"/>
      <c r="B3737" s="27" t="s">
        <v>1708</v>
      </c>
      <c r="C3737" s="27" t="s">
        <v>11334</v>
      </c>
      <c r="D3737" s="14" t="s">
        <v>1584</v>
      </c>
      <c r="E3737" s="229"/>
      <c r="F3737" s="117" t="s">
        <v>11335</v>
      </c>
      <c r="G3737" s="26">
        <v>37174</v>
      </c>
      <c r="H3737" s="231"/>
      <c r="I3737" s="221"/>
      <c r="J3737" s="221"/>
      <c r="K3737" s="221"/>
      <c r="L3737" s="221"/>
      <c r="M3737" s="221"/>
      <c r="N3737" s="221"/>
      <c r="O3737" s="225"/>
      <c r="P3737" s="118" t="s">
        <v>12581</v>
      </c>
      <c r="Q3737" s="16" t="s">
        <v>20</v>
      </c>
      <c r="R3737" s="17" t="s">
        <v>1752</v>
      </c>
      <c r="S3737" s="121" t="s">
        <v>1606</v>
      </c>
      <c r="T3737" s="122"/>
      <c r="U3737" s="22"/>
      <c r="V3737" s="123" t="s">
        <v>2103</v>
      </c>
      <c r="W3737" s="122">
        <v>3069</v>
      </c>
      <c r="X3737" s="221"/>
      <c r="Y3737" s="221"/>
      <c r="Z3737" s="221"/>
      <c r="AA3737" s="221"/>
      <c r="AB3737" s="223"/>
    </row>
    <row r="3738" spans="1:28" ht="17.100000000000001" customHeight="1" thickTop="1">
      <c r="A3738" s="226" t="s">
        <v>11328</v>
      </c>
      <c r="B3738" s="28">
        <v>45985</v>
      </c>
      <c r="C3738" s="25"/>
      <c r="D3738" s="13" t="s">
        <v>11337</v>
      </c>
      <c r="E3738" s="228"/>
      <c r="F3738" s="109" t="s">
        <v>9934</v>
      </c>
      <c r="G3738" s="24" t="s">
        <v>11339</v>
      </c>
      <c r="H3738" s="230">
        <v>4</v>
      </c>
      <c r="I3738" s="220">
        <f>271700/1.1</f>
        <v>246999.99999999997</v>
      </c>
      <c r="J3738" s="220">
        <f>I3738*0.1</f>
        <v>24700</v>
      </c>
      <c r="K3738" s="220">
        <v>0</v>
      </c>
      <c r="L3738" s="220">
        <v>9200</v>
      </c>
      <c r="M3738" s="220">
        <v>0</v>
      </c>
      <c r="N3738" s="220">
        <f>SUM(I3738:M3739)</f>
        <v>280900</v>
      </c>
      <c r="O3738" s="224"/>
      <c r="P3738" s="110" t="s">
        <v>12123</v>
      </c>
      <c r="Q3738" s="15" t="s">
        <v>19</v>
      </c>
      <c r="R3738" s="205"/>
      <c r="S3738" s="189" t="s">
        <v>25387</v>
      </c>
      <c r="T3738" s="114"/>
      <c r="U3738" s="21"/>
      <c r="V3738" s="115">
        <v>46004</v>
      </c>
      <c r="W3738" s="116">
        <v>1280</v>
      </c>
      <c r="X3738" s="220">
        <v>260000</v>
      </c>
      <c r="Y3738" s="220">
        <f>X3738*0.1</f>
        <v>26000</v>
      </c>
      <c r="Z3738" s="220">
        <v>9200</v>
      </c>
      <c r="AA3738" s="220">
        <f>SUM(X3738:Z3738)</f>
        <v>295200</v>
      </c>
      <c r="AB3738" s="222">
        <v>46008</v>
      </c>
    </row>
    <row r="3739" spans="1:28" ht="17.100000000000001" customHeight="1" thickBot="1">
      <c r="A3739" s="227"/>
      <c r="B3739" s="27" t="s">
        <v>1708</v>
      </c>
      <c r="C3739" s="27" t="s">
        <v>11336</v>
      </c>
      <c r="D3739" s="14" t="s">
        <v>1710</v>
      </c>
      <c r="E3739" s="229"/>
      <c r="F3739" s="117" t="s">
        <v>11338</v>
      </c>
      <c r="G3739" s="26">
        <v>44769</v>
      </c>
      <c r="H3739" s="231"/>
      <c r="I3739" s="221"/>
      <c r="J3739" s="221"/>
      <c r="K3739" s="221"/>
      <c r="L3739" s="221"/>
      <c r="M3739" s="221"/>
      <c r="N3739" s="221"/>
      <c r="O3739" s="225"/>
      <c r="P3739" s="118" t="s">
        <v>12124</v>
      </c>
      <c r="Q3739" s="16" t="s">
        <v>20</v>
      </c>
      <c r="R3739" s="17" t="s">
        <v>2216</v>
      </c>
      <c r="S3739" s="121" t="s">
        <v>1661</v>
      </c>
      <c r="T3739" s="122"/>
      <c r="U3739" s="22"/>
      <c r="V3739" s="123" t="s">
        <v>2472</v>
      </c>
      <c r="W3739" s="122">
        <v>65073</v>
      </c>
      <c r="X3739" s="221"/>
      <c r="Y3739" s="221"/>
      <c r="Z3739" s="221"/>
      <c r="AA3739" s="221"/>
      <c r="AB3739" s="223"/>
    </row>
    <row r="3740" spans="1:28" ht="17.100000000000001" customHeight="1" thickTop="1">
      <c r="A3740" s="233" t="s">
        <v>11329</v>
      </c>
      <c r="B3740" s="28">
        <v>45985</v>
      </c>
      <c r="C3740" s="25"/>
      <c r="D3740" s="13" t="s">
        <v>4531</v>
      </c>
      <c r="E3740" s="228"/>
      <c r="F3740" s="109" t="s">
        <v>11050</v>
      </c>
      <c r="G3740" s="24" t="s">
        <v>11342</v>
      </c>
      <c r="H3740" s="230">
        <v>4</v>
      </c>
      <c r="I3740" s="220">
        <f>350900/1.1</f>
        <v>319000</v>
      </c>
      <c r="J3740" s="220">
        <f>I3740*0.1</f>
        <v>31900</v>
      </c>
      <c r="K3740" s="220">
        <v>0</v>
      </c>
      <c r="L3740" s="220">
        <v>8490</v>
      </c>
      <c r="M3740" s="220">
        <v>0</v>
      </c>
      <c r="N3740" s="220">
        <f>SUM(I3740:M3741)</f>
        <v>359390</v>
      </c>
      <c r="O3740" s="224"/>
      <c r="P3740" s="110" t="s">
        <v>13177</v>
      </c>
      <c r="Q3740" s="15" t="s">
        <v>19</v>
      </c>
      <c r="R3740" s="205"/>
      <c r="S3740" s="189" t="s">
        <v>25372</v>
      </c>
      <c r="T3740" s="114"/>
      <c r="U3740" s="21"/>
      <c r="V3740" s="115">
        <v>46032</v>
      </c>
      <c r="W3740" s="116">
        <v>1283</v>
      </c>
      <c r="X3740" s="220">
        <v>345000</v>
      </c>
      <c r="Y3740" s="220">
        <v>34500</v>
      </c>
      <c r="Z3740" s="220">
        <v>8490</v>
      </c>
      <c r="AA3740" s="220">
        <f>SUM(X3740:Z3740)</f>
        <v>387990</v>
      </c>
      <c r="AB3740" s="222">
        <v>46036</v>
      </c>
    </row>
    <row r="3741" spans="1:28" ht="17.100000000000001" customHeight="1" thickBot="1">
      <c r="A3741" s="234"/>
      <c r="B3741" s="27" t="s">
        <v>1708</v>
      </c>
      <c r="C3741" s="27" t="s">
        <v>11340</v>
      </c>
      <c r="D3741" s="14" t="s">
        <v>131</v>
      </c>
      <c r="E3741" s="229"/>
      <c r="F3741" s="117" t="s">
        <v>11341</v>
      </c>
      <c r="G3741" s="26">
        <v>28806</v>
      </c>
      <c r="H3741" s="231"/>
      <c r="I3741" s="221"/>
      <c r="J3741" s="221"/>
      <c r="K3741" s="221"/>
      <c r="L3741" s="221"/>
      <c r="M3741" s="221"/>
      <c r="N3741" s="221"/>
      <c r="O3741" s="225"/>
      <c r="P3741" s="118" t="s">
        <v>13178</v>
      </c>
      <c r="Q3741" s="16" t="s">
        <v>20</v>
      </c>
      <c r="R3741" s="17" t="s">
        <v>1745</v>
      </c>
      <c r="S3741" s="121" t="s">
        <v>13179</v>
      </c>
      <c r="T3741" s="122"/>
      <c r="U3741" s="22"/>
      <c r="V3741" s="123" t="s">
        <v>2472</v>
      </c>
      <c r="W3741" s="122">
        <v>31125</v>
      </c>
      <c r="X3741" s="221"/>
      <c r="Y3741" s="221"/>
      <c r="Z3741" s="221"/>
      <c r="AA3741" s="221"/>
      <c r="AB3741" s="223"/>
    </row>
    <row r="3742" spans="1:28" ht="17.100000000000001" customHeight="1" thickTop="1">
      <c r="A3742" s="233" t="s">
        <v>11330</v>
      </c>
      <c r="B3742" s="28">
        <v>45985</v>
      </c>
      <c r="C3742" s="25"/>
      <c r="D3742" s="13" t="s">
        <v>2712</v>
      </c>
      <c r="E3742" s="228"/>
      <c r="F3742" s="109" t="s">
        <v>11344</v>
      </c>
      <c r="G3742" s="24" t="s">
        <v>11346</v>
      </c>
      <c r="H3742" s="230">
        <v>4</v>
      </c>
      <c r="I3742" s="220">
        <f>1540000/1.1</f>
        <v>1400000</v>
      </c>
      <c r="J3742" s="220">
        <f>I3742*0.1</f>
        <v>140000</v>
      </c>
      <c r="K3742" s="220">
        <v>9000</v>
      </c>
      <c r="L3742" s="220">
        <v>9490</v>
      </c>
      <c r="M3742" s="220">
        <v>0</v>
      </c>
      <c r="N3742" s="220">
        <f>SUM(I3742:M3743)</f>
        <v>1558490</v>
      </c>
      <c r="O3742" s="224"/>
      <c r="P3742" s="110" t="s">
        <v>13044</v>
      </c>
      <c r="Q3742" s="15" t="s">
        <v>19</v>
      </c>
      <c r="R3742" s="205"/>
      <c r="S3742" s="189" t="s">
        <v>1276</v>
      </c>
      <c r="T3742" s="114"/>
      <c r="U3742" s="21" t="s">
        <v>14181</v>
      </c>
      <c r="V3742" s="115">
        <v>46039</v>
      </c>
      <c r="W3742" s="116">
        <v>1284</v>
      </c>
      <c r="X3742" s="220">
        <v>1535000</v>
      </c>
      <c r="Y3742" s="220">
        <f>X3742*0.1</f>
        <v>153500</v>
      </c>
      <c r="Z3742" s="220">
        <v>9490</v>
      </c>
      <c r="AA3742" s="220">
        <f>SUM(X3742:Z3742)</f>
        <v>1697990</v>
      </c>
      <c r="AB3742" s="222">
        <v>46042</v>
      </c>
    </row>
    <row r="3743" spans="1:28" ht="17.100000000000001" customHeight="1" thickBot="1">
      <c r="A3743" s="234"/>
      <c r="B3743" s="27" t="s">
        <v>1708</v>
      </c>
      <c r="C3743" s="27" t="s">
        <v>11343</v>
      </c>
      <c r="D3743" s="14" t="s">
        <v>273</v>
      </c>
      <c r="E3743" s="229"/>
      <c r="F3743" s="117" t="s">
        <v>11345</v>
      </c>
      <c r="G3743" s="26">
        <v>50479</v>
      </c>
      <c r="H3743" s="231"/>
      <c r="I3743" s="221"/>
      <c r="J3743" s="221"/>
      <c r="K3743" s="221"/>
      <c r="L3743" s="221"/>
      <c r="M3743" s="221"/>
      <c r="N3743" s="221"/>
      <c r="O3743" s="225"/>
      <c r="P3743" s="118" t="s">
        <v>13045</v>
      </c>
      <c r="Q3743" s="16" t="s">
        <v>20</v>
      </c>
      <c r="R3743" s="17" t="s">
        <v>2235</v>
      </c>
      <c r="S3743" s="121" t="s">
        <v>13049</v>
      </c>
      <c r="T3743" s="122"/>
      <c r="U3743" s="22"/>
      <c r="V3743" s="123" t="s">
        <v>2472</v>
      </c>
      <c r="W3743" s="122">
        <v>31204</v>
      </c>
      <c r="X3743" s="221"/>
      <c r="Y3743" s="221"/>
      <c r="Z3743" s="221"/>
      <c r="AA3743" s="221"/>
      <c r="AB3743" s="223"/>
    </row>
    <row r="3744" spans="1:28" ht="17.100000000000001" customHeight="1" thickTop="1">
      <c r="A3744" s="226" t="s">
        <v>11331</v>
      </c>
      <c r="B3744" s="28">
        <v>45985</v>
      </c>
      <c r="C3744" s="25"/>
      <c r="D3744" s="13" t="s">
        <v>2328</v>
      </c>
      <c r="E3744" s="228"/>
      <c r="F3744" s="109" t="s">
        <v>11348</v>
      </c>
      <c r="G3744" s="24" t="s">
        <v>11350</v>
      </c>
      <c r="H3744" s="230">
        <v>4.5</v>
      </c>
      <c r="I3744" s="220">
        <f>5247000/1.1</f>
        <v>4770000</v>
      </c>
      <c r="J3744" s="220">
        <f>I3744*0.1</f>
        <v>477000</v>
      </c>
      <c r="K3744" s="220">
        <v>10800</v>
      </c>
      <c r="L3744" s="220">
        <v>15470</v>
      </c>
      <c r="M3744" s="220">
        <v>0</v>
      </c>
      <c r="N3744" s="220">
        <f>SUM(I3744:M3745)</f>
        <v>5273270</v>
      </c>
      <c r="O3744" s="224"/>
      <c r="P3744" s="110" t="s">
        <v>12575</v>
      </c>
      <c r="Q3744" s="15" t="s">
        <v>19</v>
      </c>
      <c r="R3744" s="205"/>
      <c r="S3744" s="189" t="s">
        <v>1276</v>
      </c>
      <c r="T3744" s="114"/>
      <c r="U3744" s="21"/>
      <c r="V3744" s="115">
        <v>46383</v>
      </c>
      <c r="W3744" s="116">
        <v>1282</v>
      </c>
      <c r="X3744" s="220">
        <v>4800000</v>
      </c>
      <c r="Y3744" s="220">
        <f>X3744*0.1</f>
        <v>480000</v>
      </c>
      <c r="Z3744" s="220">
        <v>15470</v>
      </c>
      <c r="AA3744" s="220">
        <f>SUM(X3744:Z3744)</f>
        <v>5295470</v>
      </c>
      <c r="AB3744" s="222">
        <v>46030</v>
      </c>
    </row>
    <row r="3745" spans="1:28" ht="17.100000000000001" customHeight="1" thickBot="1">
      <c r="A3745" s="227"/>
      <c r="B3745" s="27" t="s">
        <v>1708</v>
      </c>
      <c r="C3745" s="27" t="s">
        <v>11347</v>
      </c>
      <c r="D3745" s="14" t="s">
        <v>1584</v>
      </c>
      <c r="E3745" s="229"/>
      <c r="F3745" s="117" t="s">
        <v>11349</v>
      </c>
      <c r="G3745" s="26">
        <v>4730</v>
      </c>
      <c r="H3745" s="231"/>
      <c r="I3745" s="221"/>
      <c r="J3745" s="221"/>
      <c r="K3745" s="221"/>
      <c r="L3745" s="221"/>
      <c r="M3745" s="221"/>
      <c r="N3745" s="221"/>
      <c r="O3745" s="225"/>
      <c r="P3745" s="118" t="s">
        <v>12576</v>
      </c>
      <c r="Q3745" s="16" t="s">
        <v>20</v>
      </c>
      <c r="R3745" s="17" t="s">
        <v>1752</v>
      </c>
      <c r="S3745" s="121" t="s">
        <v>12577</v>
      </c>
      <c r="T3745" s="122"/>
      <c r="U3745" s="22"/>
      <c r="V3745" s="123" t="s">
        <v>6641</v>
      </c>
      <c r="W3745" s="122">
        <v>31174</v>
      </c>
      <c r="X3745" s="221"/>
      <c r="Y3745" s="221"/>
      <c r="Z3745" s="221"/>
      <c r="AA3745" s="221"/>
      <c r="AB3745" s="223"/>
    </row>
    <row r="3746" spans="1:28" ht="17.100000000000001" customHeight="1" thickTop="1">
      <c r="A3746" s="226" t="s">
        <v>11418</v>
      </c>
      <c r="B3746" s="28">
        <v>45986</v>
      </c>
      <c r="C3746" s="25">
        <v>1919</v>
      </c>
      <c r="D3746" s="13" t="s">
        <v>1715</v>
      </c>
      <c r="E3746" s="228"/>
      <c r="F3746" s="109" t="s">
        <v>11351</v>
      </c>
      <c r="G3746" s="24" t="s">
        <v>3345</v>
      </c>
      <c r="H3746" s="230">
        <v>4</v>
      </c>
      <c r="I3746" s="220">
        <v>905000</v>
      </c>
      <c r="J3746" s="220">
        <f>I3746*0.1</f>
        <v>90500</v>
      </c>
      <c r="K3746" s="220">
        <v>0</v>
      </c>
      <c r="L3746" s="220">
        <v>7940</v>
      </c>
      <c r="M3746" s="220">
        <v>15950</v>
      </c>
      <c r="N3746" s="220">
        <f>SUM(I3746:M3747)</f>
        <v>1019390</v>
      </c>
      <c r="O3746" s="224"/>
      <c r="P3746" s="110" t="s">
        <v>11353</v>
      </c>
      <c r="Q3746" s="15" t="s">
        <v>19</v>
      </c>
      <c r="R3746" s="205"/>
      <c r="S3746" s="189"/>
      <c r="T3746" s="114"/>
      <c r="U3746" s="21"/>
      <c r="V3746" s="115">
        <v>45990</v>
      </c>
      <c r="W3746" s="116">
        <v>1278</v>
      </c>
      <c r="X3746" s="220">
        <v>980000</v>
      </c>
      <c r="Y3746" s="220">
        <f>X3746*0.1</f>
        <v>98000</v>
      </c>
      <c r="Z3746" s="220">
        <v>7940</v>
      </c>
      <c r="AA3746" s="220">
        <f>SUM(X3746:Z3746)</f>
        <v>1085940</v>
      </c>
      <c r="AB3746" s="222">
        <v>46000</v>
      </c>
    </row>
    <row r="3747" spans="1:28" ht="17.100000000000001" customHeight="1" thickBot="1">
      <c r="A3747" s="227"/>
      <c r="B3747" s="27" t="s">
        <v>2103</v>
      </c>
      <c r="C3747" s="27">
        <v>3025</v>
      </c>
      <c r="D3747" s="14" t="s">
        <v>2559</v>
      </c>
      <c r="E3747" s="229"/>
      <c r="F3747" s="117" t="s">
        <v>11352</v>
      </c>
      <c r="G3747" s="26">
        <v>16383</v>
      </c>
      <c r="H3747" s="231"/>
      <c r="I3747" s="221"/>
      <c r="J3747" s="221"/>
      <c r="K3747" s="221"/>
      <c r="L3747" s="221"/>
      <c r="M3747" s="221"/>
      <c r="N3747" s="221"/>
      <c r="O3747" s="225"/>
      <c r="P3747" s="118" t="s">
        <v>12112</v>
      </c>
      <c r="Q3747" s="16" t="s">
        <v>20</v>
      </c>
      <c r="R3747" s="17" t="s">
        <v>2216</v>
      </c>
      <c r="S3747" s="121" t="s">
        <v>2166</v>
      </c>
      <c r="T3747" s="122"/>
      <c r="U3747" s="22"/>
      <c r="V3747" s="123" t="s">
        <v>6642</v>
      </c>
      <c r="W3747" s="122">
        <v>60459</v>
      </c>
      <c r="X3747" s="221"/>
      <c r="Y3747" s="221"/>
      <c r="Z3747" s="221"/>
      <c r="AA3747" s="221"/>
      <c r="AB3747" s="223"/>
    </row>
    <row r="3748" spans="1:28" ht="17.100000000000001" customHeight="1" thickTop="1">
      <c r="A3748" s="226" t="s">
        <v>11419</v>
      </c>
      <c r="B3748" s="28">
        <v>45986</v>
      </c>
      <c r="C3748" s="25">
        <v>1919</v>
      </c>
      <c r="D3748" s="13" t="s">
        <v>2158</v>
      </c>
      <c r="E3748" s="228"/>
      <c r="F3748" s="109" t="s">
        <v>4595</v>
      </c>
      <c r="G3748" s="24"/>
      <c r="H3748" s="230">
        <v>4</v>
      </c>
      <c r="I3748" s="220">
        <v>647000</v>
      </c>
      <c r="J3748" s="220">
        <f>I3748*0.1</f>
        <v>64700</v>
      </c>
      <c r="K3748" s="220">
        <v>0</v>
      </c>
      <c r="L3748" s="220">
        <v>7150</v>
      </c>
      <c r="M3748" s="220">
        <v>15950</v>
      </c>
      <c r="N3748" s="220">
        <f>SUM(I3748:M3749)</f>
        <v>734800</v>
      </c>
      <c r="O3748" s="224"/>
      <c r="P3748" s="110" t="s">
        <v>12116</v>
      </c>
      <c r="Q3748" s="15" t="s">
        <v>19</v>
      </c>
      <c r="R3748" s="205"/>
      <c r="S3748" s="189"/>
      <c r="T3748" s="114"/>
      <c r="U3748" s="21"/>
      <c r="V3748" s="115">
        <v>45990</v>
      </c>
      <c r="W3748" s="116">
        <v>1278</v>
      </c>
      <c r="X3748" s="220">
        <v>715000</v>
      </c>
      <c r="Y3748" s="220">
        <f>X3748*0.1</f>
        <v>71500</v>
      </c>
      <c r="Z3748" s="220">
        <v>7150</v>
      </c>
      <c r="AA3748" s="220">
        <f>SUM(X3748:Z3748)</f>
        <v>793650</v>
      </c>
      <c r="AB3748" s="222">
        <v>46000</v>
      </c>
    </row>
    <row r="3749" spans="1:28" ht="17.100000000000001" customHeight="1" thickBot="1">
      <c r="A3749" s="227"/>
      <c r="B3749" s="27" t="s">
        <v>2103</v>
      </c>
      <c r="C3749" s="27">
        <v>3039</v>
      </c>
      <c r="D3749" s="14" t="s">
        <v>1584</v>
      </c>
      <c r="E3749" s="229"/>
      <c r="F3749" s="117" t="s">
        <v>11354</v>
      </c>
      <c r="G3749" s="26">
        <v>47474</v>
      </c>
      <c r="H3749" s="231"/>
      <c r="I3749" s="221"/>
      <c r="J3749" s="221"/>
      <c r="K3749" s="221"/>
      <c r="L3749" s="221"/>
      <c r="M3749" s="221"/>
      <c r="N3749" s="221"/>
      <c r="O3749" s="225"/>
      <c r="P3749" s="118" t="s">
        <v>12117</v>
      </c>
      <c r="Q3749" s="16" t="s">
        <v>20</v>
      </c>
      <c r="R3749" s="17" t="s">
        <v>2216</v>
      </c>
      <c r="S3749" s="121"/>
      <c r="T3749" s="122"/>
      <c r="U3749" s="22"/>
      <c r="V3749" s="123" t="s">
        <v>2472</v>
      </c>
      <c r="W3749" s="122">
        <v>60458</v>
      </c>
      <c r="X3749" s="221"/>
      <c r="Y3749" s="221"/>
      <c r="Z3749" s="221"/>
      <c r="AA3749" s="221"/>
      <c r="AB3749" s="223"/>
    </row>
    <row r="3750" spans="1:28" ht="17.100000000000001" customHeight="1" thickTop="1">
      <c r="A3750" s="226" t="s">
        <v>11420</v>
      </c>
      <c r="B3750" s="28">
        <v>45986</v>
      </c>
      <c r="C3750" s="25">
        <v>1919</v>
      </c>
      <c r="D3750" s="13" t="s">
        <v>1837</v>
      </c>
      <c r="E3750" s="228"/>
      <c r="F3750" s="109" t="s">
        <v>4595</v>
      </c>
      <c r="G3750" s="24"/>
      <c r="H3750" s="230">
        <v>3.5</v>
      </c>
      <c r="I3750" s="220">
        <v>635000</v>
      </c>
      <c r="J3750" s="220">
        <f>I3750*0.1</f>
        <v>63500</v>
      </c>
      <c r="K3750" s="220">
        <v>0</v>
      </c>
      <c r="L3750" s="220">
        <v>7150</v>
      </c>
      <c r="M3750" s="220">
        <v>15950</v>
      </c>
      <c r="N3750" s="220">
        <f>SUM(I3750:M3751)</f>
        <v>721600</v>
      </c>
      <c r="O3750" s="224"/>
      <c r="P3750" s="110" t="s">
        <v>12130</v>
      </c>
      <c r="Q3750" s="15" t="s">
        <v>19</v>
      </c>
      <c r="R3750" s="205"/>
      <c r="S3750" s="189"/>
      <c r="T3750" s="114"/>
      <c r="U3750" s="21"/>
      <c r="V3750" s="115">
        <v>46050</v>
      </c>
      <c r="W3750" s="116">
        <v>1002</v>
      </c>
      <c r="X3750" s="220">
        <v>710000</v>
      </c>
      <c r="Y3750" s="220">
        <f>X3750*0.1</f>
        <v>71000</v>
      </c>
      <c r="Z3750" s="220">
        <v>7150</v>
      </c>
      <c r="AA3750" s="220">
        <f>SUM(X3750:Z3750)</f>
        <v>788150</v>
      </c>
      <c r="AB3750" s="222">
        <v>46056</v>
      </c>
    </row>
    <row r="3751" spans="1:28" ht="17.100000000000001" customHeight="1" thickBot="1">
      <c r="A3751" s="227"/>
      <c r="B3751" s="27" t="s">
        <v>2103</v>
      </c>
      <c r="C3751" s="27">
        <v>3069</v>
      </c>
      <c r="D3751" s="14" t="s">
        <v>1710</v>
      </c>
      <c r="E3751" s="229"/>
      <c r="F3751" s="117" t="s">
        <v>11355</v>
      </c>
      <c r="G3751" s="26">
        <v>44576</v>
      </c>
      <c r="H3751" s="231"/>
      <c r="I3751" s="221"/>
      <c r="J3751" s="221"/>
      <c r="K3751" s="221"/>
      <c r="L3751" s="221"/>
      <c r="M3751" s="221"/>
      <c r="N3751" s="221"/>
      <c r="O3751" s="225"/>
      <c r="P3751" s="118" t="s">
        <v>12117</v>
      </c>
      <c r="Q3751" s="16" t="s">
        <v>20</v>
      </c>
      <c r="R3751" s="17" t="s">
        <v>2216</v>
      </c>
      <c r="S3751" s="121"/>
      <c r="T3751" s="122"/>
      <c r="U3751" s="22"/>
      <c r="V3751" s="123" t="s">
        <v>7161</v>
      </c>
      <c r="W3751" s="122">
        <v>5090</v>
      </c>
      <c r="X3751" s="221"/>
      <c r="Y3751" s="221"/>
      <c r="Z3751" s="221"/>
      <c r="AA3751" s="221"/>
      <c r="AB3751" s="223"/>
    </row>
    <row r="3752" spans="1:28" ht="17.100000000000001" customHeight="1" thickTop="1">
      <c r="A3752" s="226" t="s">
        <v>11421</v>
      </c>
      <c r="B3752" s="28">
        <v>45986</v>
      </c>
      <c r="C3752" s="25">
        <v>1919</v>
      </c>
      <c r="D3752" s="13" t="s">
        <v>812</v>
      </c>
      <c r="E3752" s="228"/>
      <c r="F3752" s="109" t="s">
        <v>5101</v>
      </c>
      <c r="G3752" s="24" t="s">
        <v>1551</v>
      </c>
      <c r="H3752" s="230">
        <v>4</v>
      </c>
      <c r="I3752" s="220">
        <v>334000</v>
      </c>
      <c r="J3752" s="220">
        <f>I3752*0.1</f>
        <v>33400</v>
      </c>
      <c r="K3752" s="220">
        <v>0</v>
      </c>
      <c r="L3752" s="220">
        <v>7140</v>
      </c>
      <c r="M3752" s="220">
        <v>15950</v>
      </c>
      <c r="N3752" s="220">
        <f>SUM(I3752:M3753)</f>
        <v>390490</v>
      </c>
      <c r="O3752" s="224"/>
      <c r="P3752" s="110" t="s">
        <v>11357</v>
      </c>
      <c r="Q3752" s="15" t="s">
        <v>19</v>
      </c>
      <c r="R3752" s="205"/>
      <c r="S3752" s="189"/>
      <c r="T3752" s="114"/>
      <c r="U3752" s="21" t="s">
        <v>12766</v>
      </c>
      <c r="V3752" s="115">
        <v>46011</v>
      </c>
      <c r="W3752" s="116">
        <v>1281</v>
      </c>
      <c r="X3752" s="220">
        <v>410000</v>
      </c>
      <c r="Y3752" s="220">
        <f>X3752*0.1</f>
        <v>41000</v>
      </c>
      <c r="Z3752" s="220">
        <v>7140</v>
      </c>
      <c r="AA3752" s="220">
        <f>SUM(X3752:Z3752)</f>
        <v>458140</v>
      </c>
      <c r="AB3752" s="222">
        <v>46016</v>
      </c>
    </row>
    <row r="3753" spans="1:28" ht="17.100000000000001" customHeight="1" thickBot="1">
      <c r="A3753" s="227"/>
      <c r="B3753" s="27" t="s">
        <v>2103</v>
      </c>
      <c r="C3753" s="27">
        <v>3305</v>
      </c>
      <c r="D3753" s="14" t="s">
        <v>1710</v>
      </c>
      <c r="E3753" s="229"/>
      <c r="F3753" s="117" t="s">
        <v>11356</v>
      </c>
      <c r="G3753" s="26">
        <v>53819</v>
      </c>
      <c r="H3753" s="231"/>
      <c r="I3753" s="221"/>
      <c r="J3753" s="221"/>
      <c r="K3753" s="221"/>
      <c r="L3753" s="221"/>
      <c r="M3753" s="221"/>
      <c r="N3753" s="221"/>
      <c r="O3753" s="225"/>
      <c r="P3753" s="118" t="s">
        <v>12129</v>
      </c>
      <c r="Q3753" s="16" t="s">
        <v>20</v>
      </c>
      <c r="R3753" s="17" t="s">
        <v>2216</v>
      </c>
      <c r="S3753" s="121" t="s">
        <v>11872</v>
      </c>
      <c r="T3753" s="122"/>
      <c r="U3753" s="22"/>
      <c r="V3753" s="123" t="s">
        <v>6641</v>
      </c>
      <c r="W3753" s="122">
        <v>60045</v>
      </c>
      <c r="X3753" s="221"/>
      <c r="Y3753" s="221"/>
      <c r="Z3753" s="221"/>
      <c r="AA3753" s="221"/>
      <c r="AB3753" s="223"/>
    </row>
    <row r="3754" spans="1:28" ht="17.100000000000001" customHeight="1" thickTop="1">
      <c r="A3754" s="226" t="s">
        <v>11422</v>
      </c>
      <c r="B3754" s="28">
        <v>45986</v>
      </c>
      <c r="C3754" s="25">
        <v>1919</v>
      </c>
      <c r="D3754" s="13" t="s">
        <v>1021</v>
      </c>
      <c r="E3754" s="228"/>
      <c r="F3754" s="109" t="s">
        <v>11358</v>
      </c>
      <c r="G3754" s="24"/>
      <c r="H3754" s="230">
        <v>3.5</v>
      </c>
      <c r="I3754" s="220">
        <v>393000</v>
      </c>
      <c r="J3754" s="220">
        <f>I3754*0.1</f>
        <v>39300</v>
      </c>
      <c r="K3754" s="220">
        <v>0</v>
      </c>
      <c r="L3754" s="220">
        <v>9790</v>
      </c>
      <c r="M3754" s="220">
        <v>15950</v>
      </c>
      <c r="N3754" s="220">
        <f>SUM(I3754:M3755)</f>
        <v>458040</v>
      </c>
      <c r="O3754" s="224"/>
      <c r="P3754" s="110" t="s">
        <v>12128</v>
      </c>
      <c r="Q3754" s="15" t="s">
        <v>19</v>
      </c>
      <c r="R3754" s="205"/>
      <c r="S3754" s="189"/>
      <c r="T3754" s="114"/>
      <c r="U3754" s="21"/>
      <c r="V3754" s="115">
        <v>46004</v>
      </c>
      <c r="W3754" s="116">
        <v>1280</v>
      </c>
      <c r="X3754" s="220">
        <v>525000</v>
      </c>
      <c r="Y3754" s="220">
        <f>X3754*0.1</f>
        <v>52500</v>
      </c>
      <c r="Z3754" s="220">
        <v>9790</v>
      </c>
      <c r="AA3754" s="220">
        <f>SUM(X3754:Z3754)</f>
        <v>587290</v>
      </c>
      <c r="AB3754" s="222">
        <v>46008</v>
      </c>
    </row>
    <row r="3755" spans="1:28" ht="17.100000000000001" customHeight="1" thickBot="1">
      <c r="A3755" s="227"/>
      <c r="B3755" s="27" t="s">
        <v>2103</v>
      </c>
      <c r="C3755" s="27">
        <v>5418</v>
      </c>
      <c r="D3755" s="14" t="s">
        <v>273</v>
      </c>
      <c r="E3755" s="229"/>
      <c r="F3755" s="117" t="s">
        <v>11359</v>
      </c>
      <c r="G3755" s="26">
        <v>52364</v>
      </c>
      <c r="H3755" s="231"/>
      <c r="I3755" s="221"/>
      <c r="J3755" s="221"/>
      <c r="K3755" s="221"/>
      <c r="L3755" s="221"/>
      <c r="M3755" s="221"/>
      <c r="N3755" s="221"/>
      <c r="O3755" s="225"/>
      <c r="P3755" s="118" t="s">
        <v>5159</v>
      </c>
      <c r="Q3755" s="16" t="s">
        <v>20</v>
      </c>
      <c r="R3755" s="17" t="s">
        <v>2216</v>
      </c>
      <c r="S3755" s="121"/>
      <c r="T3755" s="122"/>
      <c r="U3755" s="22"/>
      <c r="V3755" s="123" t="s">
        <v>2472</v>
      </c>
      <c r="W3755" s="122">
        <v>60158</v>
      </c>
      <c r="X3755" s="221"/>
      <c r="Y3755" s="221"/>
      <c r="Z3755" s="221"/>
      <c r="AA3755" s="221"/>
      <c r="AB3755" s="223"/>
    </row>
    <row r="3756" spans="1:28" ht="17.100000000000001" customHeight="1" thickTop="1">
      <c r="A3756" s="226" t="s">
        <v>11423</v>
      </c>
      <c r="B3756" s="28">
        <v>45986</v>
      </c>
      <c r="C3756" s="25">
        <v>1919</v>
      </c>
      <c r="D3756" s="13" t="s">
        <v>1837</v>
      </c>
      <c r="E3756" s="228"/>
      <c r="F3756" s="109" t="s">
        <v>11394</v>
      </c>
      <c r="G3756" s="24"/>
      <c r="H3756" s="230">
        <v>4</v>
      </c>
      <c r="I3756" s="220">
        <v>895000</v>
      </c>
      <c r="J3756" s="220">
        <f>I3756*0.1</f>
        <v>89500</v>
      </c>
      <c r="K3756" s="220">
        <v>0</v>
      </c>
      <c r="L3756" s="220">
        <v>7440</v>
      </c>
      <c r="M3756" s="220">
        <v>15950</v>
      </c>
      <c r="N3756" s="220">
        <f>SUM(I3756:M3757)</f>
        <v>1007890</v>
      </c>
      <c r="O3756" s="224"/>
      <c r="P3756" s="110" t="s">
        <v>12111</v>
      </c>
      <c r="Q3756" s="15" t="s">
        <v>19</v>
      </c>
      <c r="R3756" s="205"/>
      <c r="S3756" s="189"/>
      <c r="T3756" s="114"/>
      <c r="U3756" s="21"/>
      <c r="V3756" s="115">
        <v>45990</v>
      </c>
      <c r="W3756" s="116">
        <v>1278</v>
      </c>
      <c r="X3756" s="220">
        <v>1000000</v>
      </c>
      <c r="Y3756" s="220">
        <f>X3756*0.1</f>
        <v>100000</v>
      </c>
      <c r="Z3756" s="220">
        <v>7440</v>
      </c>
      <c r="AA3756" s="220">
        <f>SUM(X3756:Z3756)</f>
        <v>1107440</v>
      </c>
      <c r="AB3756" s="222">
        <v>46000</v>
      </c>
    </row>
    <row r="3757" spans="1:28" ht="17.100000000000001" customHeight="1" thickBot="1">
      <c r="A3757" s="227"/>
      <c r="B3757" s="27" t="s">
        <v>2103</v>
      </c>
      <c r="C3757" s="27">
        <v>70004</v>
      </c>
      <c r="D3757" s="14" t="s">
        <v>1710</v>
      </c>
      <c r="E3757" s="229"/>
      <c r="F3757" s="117" t="s">
        <v>11395</v>
      </c>
      <c r="G3757" s="26">
        <v>47906</v>
      </c>
      <c r="H3757" s="231"/>
      <c r="I3757" s="221"/>
      <c r="J3757" s="221"/>
      <c r="K3757" s="221"/>
      <c r="L3757" s="221"/>
      <c r="M3757" s="221"/>
      <c r="N3757" s="221"/>
      <c r="O3757" s="225"/>
      <c r="P3757" s="118" t="s">
        <v>4913</v>
      </c>
      <c r="Q3757" s="16" t="s">
        <v>20</v>
      </c>
      <c r="R3757" s="17" t="s">
        <v>2216</v>
      </c>
      <c r="S3757" s="121" t="s">
        <v>11873</v>
      </c>
      <c r="T3757" s="122"/>
      <c r="U3757" s="22"/>
      <c r="V3757" s="123" t="s">
        <v>2472</v>
      </c>
      <c r="W3757" s="122">
        <v>41092</v>
      </c>
      <c r="X3757" s="221"/>
      <c r="Y3757" s="221"/>
      <c r="Z3757" s="221"/>
      <c r="AA3757" s="221"/>
      <c r="AB3757" s="223"/>
    </row>
    <row r="3758" spans="1:28" ht="17.100000000000001" customHeight="1" thickTop="1">
      <c r="A3758" s="226" t="s">
        <v>11424</v>
      </c>
      <c r="B3758" s="28">
        <v>45986</v>
      </c>
      <c r="C3758" s="25">
        <v>797</v>
      </c>
      <c r="D3758" s="13" t="s">
        <v>1976</v>
      </c>
      <c r="E3758" s="228"/>
      <c r="F3758" s="109" t="s">
        <v>4792</v>
      </c>
      <c r="G3758" s="24" t="s">
        <v>2813</v>
      </c>
      <c r="H3758" s="230">
        <v>4</v>
      </c>
      <c r="I3758" s="220">
        <v>1265000</v>
      </c>
      <c r="J3758" s="220">
        <f>I3758*0.1</f>
        <v>126500</v>
      </c>
      <c r="K3758" s="220">
        <v>0</v>
      </c>
      <c r="L3758" s="220">
        <v>8630</v>
      </c>
      <c r="M3758" s="220">
        <v>15950</v>
      </c>
      <c r="N3758" s="220">
        <f>SUM(I3758:M3759)</f>
        <v>1416080</v>
      </c>
      <c r="O3758" s="224"/>
      <c r="P3758" s="110" t="s">
        <v>11361</v>
      </c>
      <c r="Q3758" s="15" t="s">
        <v>19</v>
      </c>
      <c r="R3758" s="205"/>
      <c r="S3758" s="189" t="s">
        <v>25475</v>
      </c>
      <c r="T3758" s="114"/>
      <c r="U3758" s="21"/>
      <c r="V3758" s="115">
        <v>45997</v>
      </c>
      <c r="W3758" s="116">
        <v>1279</v>
      </c>
      <c r="X3758" s="220">
        <v>1345000</v>
      </c>
      <c r="Y3758" s="220">
        <f>X3758*0.1</f>
        <v>134500</v>
      </c>
      <c r="Z3758" s="220">
        <v>8630</v>
      </c>
      <c r="AA3758" s="220">
        <f>SUM(X3758:Z3758)</f>
        <v>1488130</v>
      </c>
      <c r="AB3758" s="222">
        <v>46002</v>
      </c>
    </row>
    <row r="3759" spans="1:28" ht="17.100000000000001" customHeight="1" thickBot="1">
      <c r="A3759" s="227"/>
      <c r="B3759" s="27" t="s">
        <v>3314</v>
      </c>
      <c r="C3759" s="27">
        <v>3064</v>
      </c>
      <c r="D3759" s="14" t="s">
        <v>273</v>
      </c>
      <c r="E3759" s="229"/>
      <c r="F3759" s="117" t="s">
        <v>11360</v>
      </c>
      <c r="G3759" s="26">
        <v>18126</v>
      </c>
      <c r="H3759" s="231"/>
      <c r="I3759" s="221"/>
      <c r="J3759" s="221"/>
      <c r="K3759" s="221"/>
      <c r="L3759" s="221"/>
      <c r="M3759" s="221"/>
      <c r="N3759" s="221"/>
      <c r="O3759" s="225"/>
      <c r="P3759" s="118" t="s">
        <v>7318</v>
      </c>
      <c r="Q3759" s="16" t="s">
        <v>20</v>
      </c>
      <c r="R3759" s="17" t="s">
        <v>2216</v>
      </c>
      <c r="S3759" s="121" t="s">
        <v>1601</v>
      </c>
      <c r="T3759" s="122"/>
      <c r="U3759" s="22"/>
      <c r="V3759" s="123" t="s">
        <v>2472</v>
      </c>
      <c r="W3759" s="122">
        <v>60097</v>
      </c>
      <c r="X3759" s="221"/>
      <c r="Y3759" s="221"/>
      <c r="Z3759" s="221"/>
      <c r="AA3759" s="221"/>
      <c r="AB3759" s="223"/>
    </row>
    <row r="3760" spans="1:28" ht="17.100000000000001" customHeight="1" thickTop="1">
      <c r="A3760" s="226" t="s">
        <v>11425</v>
      </c>
      <c r="B3760" s="28">
        <v>45986</v>
      </c>
      <c r="C3760" s="25">
        <v>797</v>
      </c>
      <c r="D3760" s="13" t="s">
        <v>3327</v>
      </c>
      <c r="E3760" s="228"/>
      <c r="F3760" s="109" t="s">
        <v>11362</v>
      </c>
      <c r="G3760" s="24" t="s">
        <v>3345</v>
      </c>
      <c r="H3760" s="230">
        <v>4.5</v>
      </c>
      <c r="I3760" s="220">
        <v>706000</v>
      </c>
      <c r="J3760" s="220">
        <f>I3760*0.1</f>
        <v>70600</v>
      </c>
      <c r="K3760" s="220">
        <v>0</v>
      </c>
      <c r="L3760" s="220">
        <v>8400</v>
      </c>
      <c r="M3760" s="220">
        <v>15950</v>
      </c>
      <c r="N3760" s="220">
        <f>SUM(I3760:M3761)</f>
        <v>800950</v>
      </c>
      <c r="O3760" s="224"/>
      <c r="P3760" s="110" t="s">
        <v>11364</v>
      </c>
      <c r="Q3760" s="15" t="s">
        <v>19</v>
      </c>
      <c r="R3760" s="205"/>
      <c r="S3760" s="189" t="s">
        <v>1361</v>
      </c>
      <c r="T3760" s="114"/>
      <c r="U3760" s="21"/>
      <c r="V3760" s="115">
        <v>46050</v>
      </c>
      <c r="W3760" s="116">
        <v>1002</v>
      </c>
      <c r="X3760" s="220">
        <v>775000</v>
      </c>
      <c r="Y3760" s="220">
        <f>X3760*0.1</f>
        <v>77500</v>
      </c>
      <c r="Z3760" s="220">
        <v>8400</v>
      </c>
      <c r="AA3760" s="220">
        <f>SUM(X3760:Z3760)</f>
        <v>860900</v>
      </c>
      <c r="AB3760" s="222">
        <v>46055</v>
      </c>
    </row>
    <row r="3761" spans="1:28" ht="17.100000000000001" customHeight="1" thickBot="1">
      <c r="A3761" s="227"/>
      <c r="B3761" s="27" t="s">
        <v>3314</v>
      </c>
      <c r="C3761" s="27">
        <v>3085</v>
      </c>
      <c r="D3761" s="14" t="s">
        <v>2753</v>
      </c>
      <c r="E3761" s="229"/>
      <c r="F3761" s="117" t="s">
        <v>11363</v>
      </c>
      <c r="G3761" s="26">
        <v>51971</v>
      </c>
      <c r="H3761" s="231"/>
      <c r="I3761" s="221"/>
      <c r="J3761" s="221"/>
      <c r="K3761" s="221"/>
      <c r="L3761" s="221"/>
      <c r="M3761" s="221"/>
      <c r="N3761" s="221"/>
      <c r="O3761" s="225"/>
      <c r="P3761" s="118" t="s">
        <v>12139</v>
      </c>
      <c r="Q3761" s="16" t="s">
        <v>20</v>
      </c>
      <c r="R3761" s="17" t="s">
        <v>2216</v>
      </c>
      <c r="S3761" s="121" t="s">
        <v>169</v>
      </c>
      <c r="T3761" s="122"/>
      <c r="U3761" s="22"/>
      <c r="V3761" s="123" t="s">
        <v>2747</v>
      </c>
      <c r="W3761" s="122">
        <v>2034</v>
      </c>
      <c r="X3761" s="221"/>
      <c r="Y3761" s="221"/>
      <c r="Z3761" s="221"/>
      <c r="AA3761" s="221"/>
      <c r="AB3761" s="223"/>
    </row>
    <row r="3762" spans="1:28" ht="17.100000000000001" customHeight="1" thickTop="1">
      <c r="A3762" s="226" t="s">
        <v>11426</v>
      </c>
      <c r="B3762" s="28">
        <v>45986</v>
      </c>
      <c r="C3762" s="25">
        <v>797</v>
      </c>
      <c r="D3762" s="13" t="s">
        <v>1715</v>
      </c>
      <c r="E3762" s="228"/>
      <c r="F3762" s="109" t="s">
        <v>1854</v>
      </c>
      <c r="G3762" s="24"/>
      <c r="H3762" s="230">
        <v>3.5</v>
      </c>
      <c r="I3762" s="220">
        <v>1481000</v>
      </c>
      <c r="J3762" s="220">
        <f>I3762*0.1</f>
        <v>148100</v>
      </c>
      <c r="K3762" s="220">
        <v>0</v>
      </c>
      <c r="L3762" s="220">
        <v>17600</v>
      </c>
      <c r="M3762" s="220">
        <v>15950</v>
      </c>
      <c r="N3762" s="220">
        <f>SUM(I3762:M3763)</f>
        <v>1662650</v>
      </c>
      <c r="O3762" s="224"/>
      <c r="P3762" s="110" t="s">
        <v>12097</v>
      </c>
      <c r="Q3762" s="15" t="s">
        <v>19</v>
      </c>
      <c r="R3762" s="205"/>
      <c r="S3762" s="189"/>
      <c r="T3762" s="114"/>
      <c r="U3762" s="21"/>
      <c r="V3762" s="115">
        <v>46004</v>
      </c>
      <c r="W3762" s="116">
        <v>1280</v>
      </c>
      <c r="X3762" s="220">
        <v>1710000</v>
      </c>
      <c r="Y3762" s="220">
        <f>X3762*0.1</f>
        <v>171000</v>
      </c>
      <c r="Z3762" s="220">
        <v>17600</v>
      </c>
      <c r="AA3762" s="220">
        <f>SUM(X3762:Z3762)</f>
        <v>1898600</v>
      </c>
      <c r="AB3762" s="222">
        <v>46007</v>
      </c>
    </row>
    <row r="3763" spans="1:28" ht="17.100000000000001" customHeight="1" thickBot="1">
      <c r="A3763" s="227"/>
      <c r="B3763" s="27" t="s">
        <v>3314</v>
      </c>
      <c r="C3763" s="27">
        <v>5006</v>
      </c>
      <c r="D3763" s="14" t="s">
        <v>2177</v>
      </c>
      <c r="E3763" s="229"/>
      <c r="F3763" s="117" t="s">
        <v>11392</v>
      </c>
      <c r="G3763" s="26">
        <v>26983</v>
      </c>
      <c r="H3763" s="231"/>
      <c r="I3763" s="221"/>
      <c r="J3763" s="221"/>
      <c r="K3763" s="221"/>
      <c r="L3763" s="221"/>
      <c r="M3763" s="221"/>
      <c r="N3763" s="221"/>
      <c r="O3763" s="225"/>
      <c r="P3763" s="118" t="s">
        <v>12098</v>
      </c>
      <c r="Q3763" s="16" t="s">
        <v>20</v>
      </c>
      <c r="R3763" s="17" t="s">
        <v>2216</v>
      </c>
      <c r="S3763" s="121" t="s">
        <v>2166</v>
      </c>
      <c r="T3763" s="122"/>
      <c r="U3763" s="22"/>
      <c r="V3763" s="123" t="s">
        <v>2472</v>
      </c>
      <c r="W3763" s="122">
        <v>80176</v>
      </c>
      <c r="X3763" s="221"/>
      <c r="Y3763" s="221"/>
      <c r="Z3763" s="221"/>
      <c r="AA3763" s="221"/>
      <c r="AB3763" s="223"/>
    </row>
    <row r="3764" spans="1:28" ht="17.100000000000001" customHeight="1" thickTop="1">
      <c r="A3764" s="226" t="s">
        <v>11427</v>
      </c>
      <c r="B3764" s="28">
        <v>45986</v>
      </c>
      <c r="C3764" s="25">
        <v>917</v>
      </c>
      <c r="D3764" s="13" t="s">
        <v>2158</v>
      </c>
      <c r="E3764" s="228"/>
      <c r="F3764" s="109" t="s">
        <v>11365</v>
      </c>
      <c r="G3764" s="24"/>
      <c r="H3764" s="230">
        <v>4.5</v>
      </c>
      <c r="I3764" s="220">
        <v>878000</v>
      </c>
      <c r="J3764" s="220">
        <f>I3764*0.1</f>
        <v>87800</v>
      </c>
      <c r="K3764" s="220">
        <v>0</v>
      </c>
      <c r="L3764" s="220">
        <v>8790</v>
      </c>
      <c r="M3764" s="220">
        <v>15950</v>
      </c>
      <c r="N3764" s="220">
        <f>SUM(I3764:M3765)</f>
        <v>990540</v>
      </c>
      <c r="O3764" s="224"/>
      <c r="P3764" s="110" t="s">
        <v>12127</v>
      </c>
      <c r="Q3764" s="15" t="s">
        <v>19</v>
      </c>
      <c r="R3764" s="205"/>
      <c r="S3764" s="189"/>
      <c r="T3764" s="114"/>
      <c r="U3764" s="21"/>
      <c r="V3764" s="115">
        <v>46008</v>
      </c>
      <c r="W3764" s="116">
        <v>997</v>
      </c>
      <c r="X3764" s="220">
        <v>975000</v>
      </c>
      <c r="Y3764" s="220">
        <f>X3764*0.1</f>
        <v>97500</v>
      </c>
      <c r="Z3764" s="220">
        <v>8790</v>
      </c>
      <c r="AA3764" s="220">
        <f>SUM(X3764:Z3764)</f>
        <v>1081290</v>
      </c>
      <c r="AB3764" s="222">
        <v>46013</v>
      </c>
    </row>
    <row r="3765" spans="1:28" ht="17.100000000000001" customHeight="1" thickBot="1">
      <c r="A3765" s="227"/>
      <c r="B3765" s="27" t="s">
        <v>2654</v>
      </c>
      <c r="C3765" s="27">
        <v>3080</v>
      </c>
      <c r="D3765" s="14" t="s">
        <v>898</v>
      </c>
      <c r="E3765" s="229"/>
      <c r="F3765" s="117" t="s">
        <v>11366</v>
      </c>
      <c r="G3765" s="26">
        <v>39708</v>
      </c>
      <c r="H3765" s="231"/>
      <c r="I3765" s="221"/>
      <c r="J3765" s="221"/>
      <c r="K3765" s="221"/>
      <c r="L3765" s="221"/>
      <c r="M3765" s="221"/>
      <c r="N3765" s="221"/>
      <c r="O3765" s="225"/>
      <c r="P3765" s="118" t="s">
        <v>10518</v>
      </c>
      <c r="Q3765" s="16" t="s">
        <v>20</v>
      </c>
      <c r="R3765" s="17" t="s">
        <v>2216</v>
      </c>
      <c r="S3765" s="121"/>
      <c r="T3765" s="122"/>
      <c r="U3765" s="22"/>
      <c r="V3765" s="123" t="s">
        <v>2747</v>
      </c>
      <c r="W3765" s="122">
        <v>2089</v>
      </c>
      <c r="X3765" s="221"/>
      <c r="Y3765" s="221"/>
      <c r="Z3765" s="221"/>
      <c r="AA3765" s="221"/>
      <c r="AB3765" s="223"/>
    </row>
    <row r="3766" spans="1:28" ht="17.100000000000001" customHeight="1" thickTop="1">
      <c r="A3766" s="226" t="s">
        <v>11428</v>
      </c>
      <c r="B3766" s="28">
        <v>45986</v>
      </c>
      <c r="C3766" s="25">
        <v>917</v>
      </c>
      <c r="D3766" s="13" t="s">
        <v>1564</v>
      </c>
      <c r="E3766" s="228"/>
      <c r="F3766" s="109" t="s">
        <v>11367</v>
      </c>
      <c r="G3766" s="24" t="s">
        <v>4315</v>
      </c>
      <c r="H3766" s="230">
        <v>4</v>
      </c>
      <c r="I3766" s="220">
        <v>956000</v>
      </c>
      <c r="J3766" s="220">
        <f>I3766*0.1</f>
        <v>95600</v>
      </c>
      <c r="K3766" s="220">
        <v>0</v>
      </c>
      <c r="L3766" s="220">
        <v>9010</v>
      </c>
      <c r="M3766" s="220">
        <v>15950</v>
      </c>
      <c r="N3766" s="220">
        <f>SUM(I3766:M3767)</f>
        <v>1076560</v>
      </c>
      <c r="O3766" s="224"/>
      <c r="P3766" s="110" t="s">
        <v>11369</v>
      </c>
      <c r="Q3766" s="15" t="s">
        <v>19</v>
      </c>
      <c r="R3766" s="205"/>
      <c r="S3766" s="189"/>
      <c r="T3766" s="114"/>
      <c r="U3766" s="21"/>
      <c r="V3766" s="115">
        <v>45990</v>
      </c>
      <c r="W3766" s="116">
        <v>1278</v>
      </c>
      <c r="X3766" s="220">
        <v>1200000</v>
      </c>
      <c r="Y3766" s="220">
        <f>X3766*0.1</f>
        <v>120000</v>
      </c>
      <c r="Z3766" s="220">
        <v>9010</v>
      </c>
      <c r="AA3766" s="220">
        <f>SUM(X3766:Z3766)</f>
        <v>1329010</v>
      </c>
      <c r="AB3766" s="222">
        <v>46000</v>
      </c>
    </row>
    <row r="3767" spans="1:28" ht="17.100000000000001" customHeight="1" thickBot="1">
      <c r="A3767" s="227"/>
      <c r="B3767" s="27" t="s">
        <v>2654</v>
      </c>
      <c r="C3767" s="27">
        <v>3117</v>
      </c>
      <c r="D3767" s="14" t="s">
        <v>1627</v>
      </c>
      <c r="E3767" s="229"/>
      <c r="F3767" s="117" t="s">
        <v>11368</v>
      </c>
      <c r="G3767" s="26">
        <v>64773</v>
      </c>
      <c r="H3767" s="231"/>
      <c r="I3767" s="221"/>
      <c r="J3767" s="221"/>
      <c r="K3767" s="221"/>
      <c r="L3767" s="221"/>
      <c r="M3767" s="221"/>
      <c r="N3767" s="221"/>
      <c r="O3767" s="225"/>
      <c r="P3767" s="118" t="s">
        <v>12118</v>
      </c>
      <c r="Q3767" s="16" t="s">
        <v>20</v>
      </c>
      <c r="R3767" s="17" t="s">
        <v>2216</v>
      </c>
      <c r="S3767" s="121"/>
      <c r="T3767" s="122"/>
      <c r="U3767" s="22"/>
      <c r="V3767" s="123" t="s">
        <v>6642</v>
      </c>
      <c r="W3767" s="122">
        <v>60502</v>
      </c>
      <c r="X3767" s="221"/>
      <c r="Y3767" s="221"/>
      <c r="Z3767" s="221"/>
      <c r="AA3767" s="221"/>
      <c r="AB3767" s="223"/>
    </row>
    <row r="3768" spans="1:28" ht="17.100000000000001" customHeight="1" thickTop="1">
      <c r="A3768" s="226" t="s">
        <v>11429</v>
      </c>
      <c r="B3768" s="28">
        <v>45986</v>
      </c>
      <c r="C3768" s="25">
        <v>917</v>
      </c>
      <c r="D3768" s="13" t="s">
        <v>3474</v>
      </c>
      <c r="E3768" s="228"/>
      <c r="F3768" s="109" t="s">
        <v>11370</v>
      </c>
      <c r="G3768" s="24" t="s">
        <v>2894</v>
      </c>
      <c r="H3768" s="230">
        <v>4</v>
      </c>
      <c r="I3768" s="220">
        <v>633000</v>
      </c>
      <c r="J3768" s="220">
        <f>I3768*0.1</f>
        <v>63300</v>
      </c>
      <c r="K3768" s="220">
        <v>0</v>
      </c>
      <c r="L3768" s="220">
        <v>7510</v>
      </c>
      <c r="M3768" s="220">
        <v>15950</v>
      </c>
      <c r="N3768" s="220">
        <f>SUM(I3768:M3769)</f>
        <v>719760</v>
      </c>
      <c r="O3768" s="224"/>
      <c r="P3768" s="110" t="s">
        <v>11372</v>
      </c>
      <c r="Q3768" s="15" t="s">
        <v>19</v>
      </c>
      <c r="R3768" s="205"/>
      <c r="S3768" s="189" t="s">
        <v>696</v>
      </c>
      <c r="T3768" s="114"/>
      <c r="U3768" s="21"/>
      <c r="V3768" s="115">
        <v>45990</v>
      </c>
      <c r="W3768" s="116">
        <v>1278</v>
      </c>
      <c r="X3768" s="220">
        <v>700000</v>
      </c>
      <c r="Y3768" s="220">
        <f>X3768*0.1</f>
        <v>70000</v>
      </c>
      <c r="Z3768" s="220">
        <v>7510</v>
      </c>
      <c r="AA3768" s="220">
        <f>SUM(X3768:Z3768)</f>
        <v>777510</v>
      </c>
      <c r="AB3768" s="222">
        <v>46000</v>
      </c>
    </row>
    <row r="3769" spans="1:28" ht="17.100000000000001" customHeight="1" thickBot="1">
      <c r="A3769" s="227"/>
      <c r="B3769" s="27" t="s">
        <v>2654</v>
      </c>
      <c r="C3769" s="27">
        <v>3152</v>
      </c>
      <c r="D3769" s="14" t="s">
        <v>1584</v>
      </c>
      <c r="E3769" s="229"/>
      <c r="F3769" s="117" t="s">
        <v>11371</v>
      </c>
      <c r="G3769" s="26">
        <v>71364</v>
      </c>
      <c r="H3769" s="231"/>
      <c r="I3769" s="221"/>
      <c r="J3769" s="221"/>
      <c r="K3769" s="221"/>
      <c r="L3769" s="221"/>
      <c r="M3769" s="221"/>
      <c r="N3769" s="221"/>
      <c r="O3769" s="225"/>
      <c r="P3769" s="118" t="s">
        <v>12113</v>
      </c>
      <c r="Q3769" s="16" t="s">
        <v>20</v>
      </c>
      <c r="R3769" s="17" t="s">
        <v>2216</v>
      </c>
      <c r="S3769" s="121" t="s">
        <v>11870</v>
      </c>
      <c r="T3769" s="122"/>
      <c r="U3769" s="22"/>
      <c r="V3769" s="123" t="s">
        <v>2472</v>
      </c>
      <c r="W3769" s="122">
        <v>60500</v>
      </c>
      <c r="X3769" s="221"/>
      <c r="Y3769" s="221"/>
      <c r="Z3769" s="221"/>
      <c r="AA3769" s="221"/>
      <c r="AB3769" s="223"/>
    </row>
    <row r="3770" spans="1:28" ht="17.100000000000001" customHeight="1" thickTop="1">
      <c r="A3770" s="226" t="s">
        <v>11430</v>
      </c>
      <c r="B3770" s="28">
        <v>45986</v>
      </c>
      <c r="C3770" s="25">
        <v>917</v>
      </c>
      <c r="D3770" s="13" t="s">
        <v>2610</v>
      </c>
      <c r="E3770" s="228"/>
      <c r="F3770" s="109" t="s">
        <v>11377</v>
      </c>
      <c r="G3770" s="24"/>
      <c r="H3770" s="230">
        <v>4.5</v>
      </c>
      <c r="I3770" s="220">
        <v>1605000</v>
      </c>
      <c r="J3770" s="220">
        <f>I3770*0.1</f>
        <v>160500</v>
      </c>
      <c r="K3770" s="220">
        <v>0</v>
      </c>
      <c r="L3770" s="220">
        <v>20410</v>
      </c>
      <c r="M3770" s="220">
        <v>15950</v>
      </c>
      <c r="N3770" s="220">
        <f>SUM(I3770:M3771)</f>
        <v>1801860</v>
      </c>
      <c r="O3770" s="224"/>
      <c r="P3770" s="110" t="s">
        <v>12114</v>
      </c>
      <c r="Q3770" s="15" t="s">
        <v>19</v>
      </c>
      <c r="R3770" s="205"/>
      <c r="S3770" s="189"/>
      <c r="T3770" s="114"/>
      <c r="U3770" s="21"/>
      <c r="V3770" s="115">
        <v>45990</v>
      </c>
      <c r="W3770" s="116">
        <v>1278</v>
      </c>
      <c r="X3770" s="220">
        <v>1810000</v>
      </c>
      <c r="Y3770" s="220">
        <f>X3770*0.1</f>
        <v>181000</v>
      </c>
      <c r="Z3770" s="220">
        <v>20410</v>
      </c>
      <c r="AA3770" s="220">
        <f>SUM(X3770:Z3770)</f>
        <v>2011410</v>
      </c>
      <c r="AB3770" s="222">
        <v>46000</v>
      </c>
    </row>
    <row r="3771" spans="1:28" ht="17.100000000000001" customHeight="1" thickBot="1">
      <c r="A3771" s="227"/>
      <c r="B3771" s="27" t="s">
        <v>2654</v>
      </c>
      <c r="C3771" s="27">
        <v>5001</v>
      </c>
      <c r="D3771" s="14" t="s">
        <v>1584</v>
      </c>
      <c r="E3771" s="229"/>
      <c r="F3771" s="117" t="s">
        <v>11378</v>
      </c>
      <c r="G3771" s="26">
        <v>48528</v>
      </c>
      <c r="H3771" s="231"/>
      <c r="I3771" s="221"/>
      <c r="J3771" s="221"/>
      <c r="K3771" s="221"/>
      <c r="L3771" s="221"/>
      <c r="M3771" s="221"/>
      <c r="N3771" s="221"/>
      <c r="O3771" s="225"/>
      <c r="P3771" s="118" t="s">
        <v>4555</v>
      </c>
      <c r="Q3771" s="16" t="s">
        <v>20</v>
      </c>
      <c r="R3771" s="17" t="s">
        <v>2216</v>
      </c>
      <c r="S3771" s="121" t="s">
        <v>7720</v>
      </c>
      <c r="T3771" s="122"/>
      <c r="U3771" s="22"/>
      <c r="V3771" s="123" t="s">
        <v>2472</v>
      </c>
      <c r="W3771" s="122">
        <v>80429</v>
      </c>
      <c r="X3771" s="221"/>
      <c r="Y3771" s="221"/>
      <c r="Z3771" s="221"/>
      <c r="AA3771" s="221"/>
      <c r="AB3771" s="223"/>
    </row>
    <row r="3772" spans="1:28" ht="17.100000000000001" customHeight="1" thickTop="1">
      <c r="A3772" s="233" t="s">
        <v>11431</v>
      </c>
      <c r="B3772" s="28">
        <v>45986</v>
      </c>
      <c r="C3772" s="25">
        <v>1218</v>
      </c>
      <c r="D3772" s="13" t="s">
        <v>1704</v>
      </c>
      <c r="E3772" s="228"/>
      <c r="F3772" s="109" t="s">
        <v>11406</v>
      </c>
      <c r="G3772" s="24"/>
      <c r="H3772" s="230">
        <v>4</v>
      </c>
      <c r="I3772" s="220">
        <v>1030000</v>
      </c>
      <c r="J3772" s="220">
        <f>I3772*0.1</f>
        <v>103000</v>
      </c>
      <c r="K3772" s="220">
        <v>0</v>
      </c>
      <c r="L3772" s="220">
        <v>22310</v>
      </c>
      <c r="M3772" s="220">
        <v>20900</v>
      </c>
      <c r="N3772" s="220">
        <f>SUM(I3772:M3773)</f>
        <v>1176210</v>
      </c>
      <c r="O3772" s="224"/>
      <c r="P3772" s="110" t="s">
        <v>12099</v>
      </c>
      <c r="Q3772" s="15" t="s">
        <v>19</v>
      </c>
      <c r="R3772" s="205"/>
      <c r="S3772" s="189"/>
      <c r="T3772" s="114"/>
      <c r="U3772" s="21"/>
      <c r="V3772" s="115">
        <v>46039</v>
      </c>
      <c r="W3772" s="116">
        <v>1284</v>
      </c>
      <c r="X3772" s="220">
        <v>1230000</v>
      </c>
      <c r="Y3772" s="220">
        <f>X3772*0.1</f>
        <v>123000</v>
      </c>
      <c r="Z3772" s="220">
        <v>22310</v>
      </c>
      <c r="AA3772" s="220">
        <f>SUM(X3772:Z3772)</f>
        <v>1375310</v>
      </c>
      <c r="AB3772" s="222">
        <v>46042</v>
      </c>
    </row>
    <row r="3773" spans="1:28" ht="17.100000000000001" customHeight="1" thickBot="1">
      <c r="A3773" s="234"/>
      <c r="B3773" s="27" t="s">
        <v>2344</v>
      </c>
      <c r="C3773" s="27">
        <v>5049</v>
      </c>
      <c r="D3773" s="14" t="s">
        <v>11405</v>
      </c>
      <c r="E3773" s="229"/>
      <c r="F3773" s="117" t="s">
        <v>11407</v>
      </c>
      <c r="G3773" s="26">
        <v>50745</v>
      </c>
      <c r="H3773" s="231"/>
      <c r="I3773" s="221"/>
      <c r="J3773" s="221"/>
      <c r="K3773" s="221"/>
      <c r="L3773" s="221"/>
      <c r="M3773" s="221"/>
      <c r="N3773" s="221"/>
      <c r="O3773" s="225"/>
      <c r="P3773" s="118" t="s">
        <v>12100</v>
      </c>
      <c r="Q3773" s="16" t="s">
        <v>20</v>
      </c>
      <c r="R3773" s="17" t="s">
        <v>2216</v>
      </c>
      <c r="S3773" s="121" t="s">
        <v>3566</v>
      </c>
      <c r="T3773" s="122"/>
      <c r="U3773" s="22"/>
      <c r="V3773" s="123" t="s">
        <v>2472</v>
      </c>
      <c r="W3773" s="122">
        <v>80119</v>
      </c>
      <c r="X3773" s="221"/>
      <c r="Y3773" s="221"/>
      <c r="Z3773" s="221"/>
      <c r="AA3773" s="221"/>
      <c r="AB3773" s="223"/>
    </row>
    <row r="3774" spans="1:28" ht="17.100000000000001" customHeight="1" thickTop="1">
      <c r="A3774" s="226" t="s">
        <v>11432</v>
      </c>
      <c r="B3774" s="28">
        <v>45986</v>
      </c>
      <c r="C3774" s="25">
        <v>953</v>
      </c>
      <c r="D3774" s="13" t="s">
        <v>1702</v>
      </c>
      <c r="E3774" s="228"/>
      <c r="F3774" s="109" t="s">
        <v>11373</v>
      </c>
      <c r="G3774" s="24"/>
      <c r="H3774" s="230">
        <v>4</v>
      </c>
      <c r="I3774" s="220">
        <v>548000</v>
      </c>
      <c r="J3774" s="220">
        <f>I3774*0.1</f>
        <v>54800</v>
      </c>
      <c r="K3774" s="220">
        <v>0</v>
      </c>
      <c r="L3774" s="220">
        <v>11930</v>
      </c>
      <c r="M3774" s="220">
        <v>15950</v>
      </c>
      <c r="N3774" s="220">
        <f>SUM(I3774:M3775)</f>
        <v>630680</v>
      </c>
      <c r="O3774" s="224"/>
      <c r="P3774" s="110" t="s">
        <v>12091</v>
      </c>
      <c r="Q3774" s="15" t="s">
        <v>19</v>
      </c>
      <c r="R3774" s="205"/>
      <c r="S3774" s="189"/>
      <c r="T3774" s="114"/>
      <c r="U3774" s="21"/>
      <c r="V3774" s="115">
        <v>45997</v>
      </c>
      <c r="W3774" s="116">
        <v>1279</v>
      </c>
      <c r="X3774" s="220">
        <v>765000</v>
      </c>
      <c r="Y3774" s="220">
        <f>X3774*0.1</f>
        <v>76500</v>
      </c>
      <c r="Z3774" s="220">
        <v>11930</v>
      </c>
      <c r="AA3774" s="220">
        <f>SUM(X3774:Z3774)</f>
        <v>853430</v>
      </c>
      <c r="AB3774" s="222">
        <v>46000</v>
      </c>
    </row>
    <row r="3775" spans="1:28" ht="17.100000000000001" customHeight="1" thickBot="1">
      <c r="A3775" s="227"/>
      <c r="B3775" s="27" t="s">
        <v>2882</v>
      </c>
      <c r="C3775" s="27">
        <v>30006</v>
      </c>
      <c r="D3775" s="14" t="s">
        <v>1568</v>
      </c>
      <c r="E3775" s="229"/>
      <c r="F3775" s="117" t="s">
        <v>11374</v>
      </c>
      <c r="G3775" s="26">
        <v>48217</v>
      </c>
      <c r="H3775" s="231"/>
      <c r="I3775" s="221"/>
      <c r="J3775" s="221"/>
      <c r="K3775" s="221"/>
      <c r="L3775" s="221"/>
      <c r="M3775" s="221"/>
      <c r="N3775" s="221"/>
      <c r="O3775" s="225"/>
      <c r="P3775" s="118" t="s">
        <v>9997</v>
      </c>
      <c r="Q3775" s="16" t="s">
        <v>20</v>
      </c>
      <c r="R3775" s="17" t="s">
        <v>2216</v>
      </c>
      <c r="S3775" s="121" t="s">
        <v>3566</v>
      </c>
      <c r="T3775" s="122"/>
      <c r="U3775" s="22"/>
      <c r="V3775" s="123" t="s">
        <v>2472</v>
      </c>
      <c r="W3775" s="122">
        <v>80007</v>
      </c>
      <c r="X3775" s="221"/>
      <c r="Y3775" s="221"/>
      <c r="Z3775" s="221"/>
      <c r="AA3775" s="221"/>
      <c r="AB3775" s="223"/>
    </row>
    <row r="3776" spans="1:28" ht="17.100000000000001" customHeight="1" thickTop="1">
      <c r="A3776" s="226" t="s">
        <v>11433</v>
      </c>
      <c r="B3776" s="28">
        <v>45986</v>
      </c>
      <c r="C3776" s="25">
        <v>699</v>
      </c>
      <c r="D3776" s="13" t="s">
        <v>11460</v>
      </c>
      <c r="E3776" s="228"/>
      <c r="F3776" s="109" t="s">
        <v>11484</v>
      </c>
      <c r="G3776" s="24"/>
      <c r="H3776" s="230">
        <v>4.5</v>
      </c>
      <c r="I3776" s="220">
        <v>2282000</v>
      </c>
      <c r="J3776" s="220">
        <f>I3776*0.1</f>
        <v>228200</v>
      </c>
      <c r="K3776" s="220">
        <v>0</v>
      </c>
      <c r="L3776" s="220">
        <v>18170</v>
      </c>
      <c r="M3776" s="220">
        <v>22000</v>
      </c>
      <c r="N3776" s="220">
        <f>SUM(I3776:M3777)</f>
        <v>2550370</v>
      </c>
      <c r="O3776" s="224"/>
      <c r="P3776" s="110" t="s">
        <v>11975</v>
      </c>
      <c r="Q3776" s="15" t="s">
        <v>19</v>
      </c>
      <c r="R3776" s="205"/>
      <c r="S3776" s="189" t="s">
        <v>758</v>
      </c>
      <c r="T3776" s="114"/>
      <c r="U3776" s="21"/>
      <c r="V3776" s="115">
        <v>45997</v>
      </c>
      <c r="W3776" s="116">
        <v>1279</v>
      </c>
      <c r="X3776" s="220">
        <v>2595000</v>
      </c>
      <c r="Y3776" s="220">
        <f>X3776*0.1</f>
        <v>259500</v>
      </c>
      <c r="Z3776" s="220">
        <v>18170</v>
      </c>
      <c r="AA3776" s="220">
        <f>SUM(X3776:Z3776)</f>
        <v>2872670</v>
      </c>
      <c r="AB3776" s="222">
        <v>46000</v>
      </c>
    </row>
    <row r="3777" spans="1:28" ht="17.100000000000001" customHeight="1" thickBot="1">
      <c r="A3777" s="227"/>
      <c r="B3777" s="27" t="s">
        <v>11437</v>
      </c>
      <c r="C3777" s="27">
        <v>8628</v>
      </c>
      <c r="D3777" s="14" t="s">
        <v>11483</v>
      </c>
      <c r="E3777" s="229"/>
      <c r="F3777" s="117" t="s">
        <v>11485</v>
      </c>
      <c r="G3777" s="26">
        <v>48790</v>
      </c>
      <c r="H3777" s="231"/>
      <c r="I3777" s="221"/>
      <c r="J3777" s="221"/>
      <c r="K3777" s="221"/>
      <c r="L3777" s="221"/>
      <c r="M3777" s="221"/>
      <c r="N3777" s="221"/>
      <c r="O3777" s="225"/>
      <c r="P3777" s="118" t="s">
        <v>11976</v>
      </c>
      <c r="Q3777" s="16" t="s">
        <v>20</v>
      </c>
      <c r="R3777" s="17" t="s">
        <v>1730</v>
      </c>
      <c r="S3777" s="121" t="s">
        <v>11871</v>
      </c>
      <c r="T3777" s="122"/>
      <c r="U3777" s="22"/>
      <c r="V3777" s="123" t="s">
        <v>7160</v>
      </c>
      <c r="W3777" s="122">
        <v>85017</v>
      </c>
      <c r="X3777" s="221"/>
      <c r="Y3777" s="221"/>
      <c r="Z3777" s="221"/>
      <c r="AA3777" s="221"/>
      <c r="AB3777" s="223"/>
    </row>
    <row r="3778" spans="1:28" ht="17.100000000000001" customHeight="1" thickTop="1">
      <c r="A3778" s="226" t="s">
        <v>11434</v>
      </c>
      <c r="B3778" s="28">
        <v>45986</v>
      </c>
      <c r="C3778" s="25">
        <v>967</v>
      </c>
      <c r="D3778" s="13" t="s">
        <v>11486</v>
      </c>
      <c r="E3778" s="228"/>
      <c r="F3778" s="109" t="s">
        <v>9904</v>
      </c>
      <c r="G3778" s="24"/>
      <c r="H3778" s="230">
        <v>4</v>
      </c>
      <c r="I3778" s="220">
        <v>328000</v>
      </c>
      <c r="J3778" s="220">
        <f>I3778*0.1</f>
        <v>32800</v>
      </c>
      <c r="K3778" s="220">
        <v>0</v>
      </c>
      <c r="L3778" s="220">
        <v>7140</v>
      </c>
      <c r="M3778" s="220">
        <v>22000</v>
      </c>
      <c r="N3778" s="220">
        <f>SUM(I3778:M3779)</f>
        <v>389940</v>
      </c>
      <c r="O3778" s="224"/>
      <c r="P3778" s="110" t="s">
        <v>11786</v>
      </c>
      <c r="Q3778" s="15" t="s">
        <v>19</v>
      </c>
      <c r="R3778" s="205"/>
      <c r="S3778" s="189" t="s">
        <v>25387</v>
      </c>
      <c r="T3778" s="114"/>
      <c r="U3778" s="21"/>
      <c r="V3778" s="115">
        <v>45993</v>
      </c>
      <c r="W3778" s="116">
        <v>1920</v>
      </c>
      <c r="X3778" s="220">
        <v>376000</v>
      </c>
      <c r="Y3778" s="220">
        <f>X3778*0.1</f>
        <v>37600</v>
      </c>
      <c r="Z3778" s="220">
        <v>7140</v>
      </c>
      <c r="AA3778" s="220">
        <f>SUM(X3778:Z3778)</f>
        <v>420740</v>
      </c>
      <c r="AB3778" s="222"/>
    </row>
    <row r="3779" spans="1:28" ht="17.100000000000001" customHeight="1" thickBot="1">
      <c r="A3779" s="227"/>
      <c r="B3779" s="27" t="s">
        <v>2029</v>
      </c>
      <c r="C3779" s="27">
        <v>118</v>
      </c>
      <c r="D3779" s="14" t="s">
        <v>1710</v>
      </c>
      <c r="E3779" s="229"/>
      <c r="F3779" s="117" t="s">
        <v>11439</v>
      </c>
      <c r="G3779" s="26">
        <v>21686</v>
      </c>
      <c r="H3779" s="231"/>
      <c r="I3779" s="221"/>
      <c r="J3779" s="221"/>
      <c r="K3779" s="221"/>
      <c r="L3779" s="221"/>
      <c r="M3779" s="221"/>
      <c r="N3779" s="221"/>
      <c r="O3779" s="225"/>
      <c r="P3779" s="118" t="s">
        <v>2446</v>
      </c>
      <c r="Q3779" s="16" t="s">
        <v>20</v>
      </c>
      <c r="R3779" s="17" t="s">
        <v>11749</v>
      </c>
      <c r="S3779" s="121" t="s">
        <v>1661</v>
      </c>
      <c r="T3779" s="122"/>
      <c r="U3779" s="22"/>
      <c r="V3779" s="123" t="s">
        <v>2103</v>
      </c>
      <c r="W3779" s="122">
        <v>3345</v>
      </c>
      <c r="X3779" s="221"/>
      <c r="Y3779" s="221"/>
      <c r="Z3779" s="221"/>
      <c r="AA3779" s="221"/>
      <c r="AB3779" s="223"/>
    </row>
    <row r="3780" spans="1:28" ht="17.100000000000001" customHeight="1" thickTop="1">
      <c r="A3780" s="226" t="s">
        <v>11435</v>
      </c>
      <c r="B3780" s="28">
        <v>45986</v>
      </c>
      <c r="C3780" s="25">
        <v>967</v>
      </c>
      <c r="D3780" s="13" t="s">
        <v>11487</v>
      </c>
      <c r="E3780" s="228"/>
      <c r="F3780" s="109" t="s">
        <v>5336</v>
      </c>
      <c r="G3780" s="24"/>
      <c r="H3780" s="230">
        <v>3.5</v>
      </c>
      <c r="I3780" s="220">
        <v>538000</v>
      </c>
      <c r="J3780" s="220">
        <f>I3780*0.1</f>
        <v>53800</v>
      </c>
      <c r="K3780" s="220">
        <v>0</v>
      </c>
      <c r="L3780" s="220">
        <v>7140</v>
      </c>
      <c r="M3780" s="220">
        <v>22000</v>
      </c>
      <c r="N3780" s="220">
        <f>SUM(I3780:M3781)</f>
        <v>620940</v>
      </c>
      <c r="O3780" s="224"/>
      <c r="P3780" s="110" t="s">
        <v>11787</v>
      </c>
      <c r="Q3780" s="15" t="s">
        <v>19</v>
      </c>
      <c r="R3780" s="205"/>
      <c r="S3780" s="189" t="s">
        <v>1113</v>
      </c>
      <c r="T3780" s="114"/>
      <c r="U3780" s="21"/>
      <c r="V3780" s="115">
        <v>46000</v>
      </c>
      <c r="W3780" s="116">
        <v>1921</v>
      </c>
      <c r="X3780" s="220">
        <v>568000</v>
      </c>
      <c r="Y3780" s="220">
        <f>X3780*0.1</f>
        <v>56800</v>
      </c>
      <c r="Z3780" s="220">
        <v>7140</v>
      </c>
      <c r="AA3780" s="220">
        <f>SUM(X3780:Z3780)</f>
        <v>631940</v>
      </c>
      <c r="AB3780" s="222">
        <v>46006</v>
      </c>
    </row>
    <row r="3781" spans="1:28" ht="17.100000000000001" customHeight="1" thickBot="1">
      <c r="A3781" s="227"/>
      <c r="B3781" s="27" t="s">
        <v>2029</v>
      </c>
      <c r="C3781" s="27">
        <v>128</v>
      </c>
      <c r="D3781" s="14" t="s">
        <v>11488</v>
      </c>
      <c r="E3781" s="229"/>
      <c r="F3781" s="117" t="s">
        <v>11440</v>
      </c>
      <c r="G3781" s="26">
        <v>41972</v>
      </c>
      <c r="H3781" s="231"/>
      <c r="I3781" s="221"/>
      <c r="J3781" s="221"/>
      <c r="K3781" s="221"/>
      <c r="L3781" s="221"/>
      <c r="M3781" s="221"/>
      <c r="N3781" s="221"/>
      <c r="O3781" s="225"/>
      <c r="P3781" s="118" t="s">
        <v>2446</v>
      </c>
      <c r="Q3781" s="16" t="s">
        <v>20</v>
      </c>
      <c r="R3781" s="17" t="s">
        <v>11749</v>
      </c>
      <c r="S3781" s="121" t="s">
        <v>11384</v>
      </c>
      <c r="T3781" s="122"/>
      <c r="U3781" s="22"/>
      <c r="V3781" s="123" t="s">
        <v>2103</v>
      </c>
      <c r="W3781" s="122">
        <v>3205</v>
      </c>
      <c r="X3781" s="221"/>
      <c r="Y3781" s="221"/>
      <c r="Z3781" s="221"/>
      <c r="AA3781" s="221"/>
      <c r="AB3781" s="223"/>
    </row>
    <row r="3782" spans="1:28" ht="17.100000000000001" customHeight="1" thickTop="1" thickBot="1">
      <c r="A3782" s="226" t="s">
        <v>11436</v>
      </c>
      <c r="B3782" s="28">
        <v>45986</v>
      </c>
      <c r="C3782" s="25">
        <v>967</v>
      </c>
      <c r="D3782" s="13" t="s">
        <v>11489</v>
      </c>
      <c r="E3782" s="228"/>
      <c r="F3782" s="109" t="s">
        <v>11490</v>
      </c>
      <c r="G3782" s="24"/>
      <c r="H3782" s="230">
        <v>4</v>
      </c>
      <c r="I3782" s="220">
        <v>1248000</v>
      </c>
      <c r="J3782" s="220">
        <f>I3782*0.1</f>
        <v>124800</v>
      </c>
      <c r="K3782" s="220">
        <v>0</v>
      </c>
      <c r="L3782" s="220">
        <v>8200</v>
      </c>
      <c r="M3782" s="220">
        <v>22000</v>
      </c>
      <c r="N3782" s="220">
        <f>SUM(I3782:M3783)</f>
        <v>1403000</v>
      </c>
      <c r="O3782" s="224"/>
      <c r="P3782" s="118" t="s">
        <v>11788</v>
      </c>
      <c r="Q3782" s="15" t="s">
        <v>19</v>
      </c>
      <c r="R3782" s="205"/>
      <c r="S3782" s="189" t="s">
        <v>758</v>
      </c>
      <c r="T3782" s="114"/>
      <c r="U3782" s="21"/>
      <c r="V3782" s="115">
        <v>45993</v>
      </c>
      <c r="W3782" s="116">
        <v>1920</v>
      </c>
      <c r="X3782" s="220">
        <v>1270000</v>
      </c>
      <c r="Y3782" s="220">
        <f>X3782*0.1</f>
        <v>127000</v>
      </c>
      <c r="Z3782" s="220">
        <v>8200</v>
      </c>
      <c r="AA3782" s="220">
        <f>SUM(X3782:Z3782)</f>
        <v>1405200</v>
      </c>
      <c r="AB3782" s="222"/>
    </row>
    <row r="3783" spans="1:28" ht="17.100000000000001" customHeight="1" thickBot="1">
      <c r="A3783" s="227"/>
      <c r="B3783" s="27" t="s">
        <v>2029</v>
      </c>
      <c r="C3783" s="27">
        <v>161</v>
      </c>
      <c r="D3783" s="14" t="s">
        <v>2753</v>
      </c>
      <c r="E3783" s="229"/>
      <c r="F3783" s="117" t="s">
        <v>11441</v>
      </c>
      <c r="G3783" s="26">
        <v>21775</v>
      </c>
      <c r="H3783" s="231"/>
      <c r="I3783" s="221"/>
      <c r="J3783" s="221"/>
      <c r="K3783" s="221"/>
      <c r="L3783" s="221"/>
      <c r="M3783" s="221"/>
      <c r="N3783" s="221"/>
      <c r="O3783" s="225"/>
      <c r="P3783" s="118" t="s">
        <v>2446</v>
      </c>
      <c r="Q3783" s="16" t="s">
        <v>20</v>
      </c>
      <c r="R3783" s="17" t="s">
        <v>11749</v>
      </c>
      <c r="S3783" s="121" t="s">
        <v>8880</v>
      </c>
      <c r="T3783" s="122"/>
      <c r="U3783" s="22"/>
      <c r="V3783" s="123" t="s">
        <v>2103</v>
      </c>
      <c r="W3783" s="122">
        <v>3079</v>
      </c>
      <c r="X3783" s="221"/>
      <c r="Y3783" s="221"/>
      <c r="Z3783" s="221"/>
      <c r="AA3783" s="221"/>
      <c r="AB3783" s="223"/>
    </row>
    <row r="3784" spans="1:28" ht="16.5" customHeight="1" thickTop="1">
      <c r="A3784" s="226" t="s">
        <v>11438</v>
      </c>
      <c r="B3784" s="28">
        <v>45986</v>
      </c>
      <c r="C3784" s="25">
        <v>967</v>
      </c>
      <c r="D3784" s="13" t="s">
        <v>11486</v>
      </c>
      <c r="E3784" s="228"/>
      <c r="F3784" s="109" t="s">
        <v>11491</v>
      </c>
      <c r="G3784" s="24"/>
      <c r="H3784" s="230">
        <v>4</v>
      </c>
      <c r="I3784" s="220">
        <v>628000</v>
      </c>
      <c r="J3784" s="220">
        <f>I3784*0.1</f>
        <v>62800</v>
      </c>
      <c r="K3784" s="220">
        <v>0</v>
      </c>
      <c r="L3784" s="220">
        <v>8430</v>
      </c>
      <c r="M3784" s="220">
        <v>22000</v>
      </c>
      <c r="N3784" s="220">
        <f>SUM(I3784:M3785)</f>
        <v>721230</v>
      </c>
      <c r="O3784" s="224"/>
      <c r="P3784" s="110" t="s">
        <v>11789</v>
      </c>
      <c r="Q3784" s="15" t="s">
        <v>19</v>
      </c>
      <c r="R3784" s="205"/>
      <c r="S3784" s="189" t="s">
        <v>25491</v>
      </c>
      <c r="T3784" s="114"/>
      <c r="U3784" s="21"/>
      <c r="V3784" s="115">
        <v>45993</v>
      </c>
      <c r="W3784" s="116">
        <v>1920</v>
      </c>
      <c r="X3784" s="220">
        <v>682000</v>
      </c>
      <c r="Y3784" s="220">
        <f>X3784*0.1</f>
        <v>68200</v>
      </c>
      <c r="Z3784" s="220">
        <v>8430</v>
      </c>
      <c r="AA3784" s="220">
        <f>SUM(X3784:Z3784)</f>
        <v>758630</v>
      </c>
      <c r="AB3784" s="222"/>
    </row>
    <row r="3785" spans="1:28" ht="17.100000000000001" customHeight="1" thickBot="1">
      <c r="A3785" s="227"/>
      <c r="B3785" s="27" t="s">
        <v>2029</v>
      </c>
      <c r="C3785" s="27">
        <v>1027</v>
      </c>
      <c r="D3785" s="14" t="s">
        <v>1710</v>
      </c>
      <c r="E3785" s="229"/>
      <c r="F3785" s="117" t="s">
        <v>11442</v>
      </c>
      <c r="G3785" s="26">
        <v>54606</v>
      </c>
      <c r="H3785" s="231"/>
      <c r="I3785" s="221"/>
      <c r="J3785" s="221"/>
      <c r="K3785" s="221"/>
      <c r="L3785" s="221"/>
      <c r="M3785" s="221"/>
      <c r="N3785" s="221"/>
      <c r="O3785" s="225"/>
      <c r="P3785" s="118" t="s">
        <v>4946</v>
      </c>
      <c r="Q3785" s="16" t="s">
        <v>20</v>
      </c>
      <c r="R3785" s="17" t="s">
        <v>11749</v>
      </c>
      <c r="S3785" s="121" t="s">
        <v>11959</v>
      </c>
      <c r="T3785" s="122"/>
      <c r="U3785" s="22"/>
      <c r="V3785" s="123" t="s">
        <v>2103</v>
      </c>
      <c r="W3785" s="122">
        <v>3073</v>
      </c>
      <c r="X3785" s="221"/>
      <c r="Y3785" s="221"/>
      <c r="Z3785" s="221"/>
      <c r="AA3785" s="221"/>
      <c r="AB3785" s="223"/>
    </row>
    <row r="3786" spans="1:28" ht="17.100000000000001" customHeight="1" thickTop="1">
      <c r="A3786" s="226" t="s">
        <v>11443</v>
      </c>
      <c r="B3786" s="28">
        <v>45987</v>
      </c>
      <c r="C3786" s="25">
        <v>2332</v>
      </c>
      <c r="D3786" s="13" t="s">
        <v>11450</v>
      </c>
      <c r="E3786" s="228"/>
      <c r="F3786" s="109" t="s">
        <v>11492</v>
      </c>
      <c r="G3786" s="24" t="s">
        <v>11493</v>
      </c>
      <c r="H3786" s="230">
        <v>5</v>
      </c>
      <c r="I3786" s="220">
        <v>1045000</v>
      </c>
      <c r="J3786" s="220">
        <f>I3786*0.1</f>
        <v>104500</v>
      </c>
      <c r="K3786" s="220">
        <v>15000</v>
      </c>
      <c r="L3786" s="220">
        <v>8200</v>
      </c>
      <c r="M3786" s="220">
        <v>16500</v>
      </c>
      <c r="N3786" s="220">
        <f>SUM(I3786:M3787)</f>
        <v>1189200</v>
      </c>
      <c r="O3786" s="224"/>
      <c r="P3786" s="110" t="s">
        <v>11977</v>
      </c>
      <c r="Q3786" s="15" t="s">
        <v>19</v>
      </c>
      <c r="R3786" s="205"/>
      <c r="S3786" s="189" t="s">
        <v>1361</v>
      </c>
      <c r="T3786" s="114"/>
      <c r="U3786" s="21"/>
      <c r="V3786" s="115">
        <v>45990</v>
      </c>
      <c r="W3786" s="116">
        <v>1278</v>
      </c>
      <c r="X3786" s="220">
        <v>1180000</v>
      </c>
      <c r="Y3786" s="220">
        <f>X3786*0.1</f>
        <v>118000</v>
      </c>
      <c r="Z3786" s="220">
        <v>8200</v>
      </c>
      <c r="AA3786" s="220">
        <f>SUM(X3786:Z3786)</f>
        <v>1306200</v>
      </c>
      <c r="AB3786" s="222">
        <v>45995</v>
      </c>
    </row>
    <row r="3787" spans="1:28" ht="17.100000000000001" customHeight="1" thickBot="1">
      <c r="A3787" s="227"/>
      <c r="B3787" s="27" t="s">
        <v>11449</v>
      </c>
      <c r="C3787" s="27">
        <v>20127</v>
      </c>
      <c r="D3787" s="14" t="s">
        <v>131</v>
      </c>
      <c r="E3787" s="229"/>
      <c r="F3787" s="117" t="s">
        <v>11451</v>
      </c>
      <c r="G3787" s="26">
        <v>7543</v>
      </c>
      <c r="H3787" s="231"/>
      <c r="I3787" s="221"/>
      <c r="J3787" s="221"/>
      <c r="K3787" s="221"/>
      <c r="L3787" s="221"/>
      <c r="M3787" s="221"/>
      <c r="N3787" s="221"/>
      <c r="O3787" s="225"/>
      <c r="P3787" s="118" t="s">
        <v>11978</v>
      </c>
      <c r="Q3787" s="16" t="s">
        <v>20</v>
      </c>
      <c r="R3787" s="17" t="s">
        <v>1730</v>
      </c>
      <c r="S3787" s="121" t="s">
        <v>4539</v>
      </c>
      <c r="T3787" s="122"/>
      <c r="U3787" s="22"/>
      <c r="V3787" s="123" t="s">
        <v>2472</v>
      </c>
      <c r="W3787" s="122">
        <v>60460</v>
      </c>
      <c r="X3787" s="221"/>
      <c r="Y3787" s="221"/>
      <c r="Z3787" s="221"/>
      <c r="AA3787" s="221"/>
      <c r="AB3787" s="223"/>
    </row>
    <row r="3788" spans="1:28" ht="17.100000000000001" customHeight="1" thickTop="1">
      <c r="A3788" s="226" t="s">
        <v>11444</v>
      </c>
      <c r="B3788" s="28">
        <v>45987</v>
      </c>
      <c r="C3788" s="25">
        <v>2332</v>
      </c>
      <c r="D3788" s="13" t="s">
        <v>11452</v>
      </c>
      <c r="E3788" s="228"/>
      <c r="F3788" s="109" t="s">
        <v>11453</v>
      </c>
      <c r="G3788" s="24"/>
      <c r="H3788" s="230">
        <v>4.5</v>
      </c>
      <c r="I3788" s="220">
        <v>420000</v>
      </c>
      <c r="J3788" s="220">
        <f>I3788*0.1</f>
        <v>42000</v>
      </c>
      <c r="K3788" s="220">
        <v>0</v>
      </c>
      <c r="L3788" s="220">
        <v>8460</v>
      </c>
      <c r="M3788" s="220">
        <v>16500</v>
      </c>
      <c r="N3788" s="220">
        <f>SUM(I3788:M3789)</f>
        <v>486960</v>
      </c>
      <c r="O3788" s="224"/>
      <c r="P3788" s="110" t="s">
        <v>11826</v>
      </c>
      <c r="Q3788" s="15" t="s">
        <v>19</v>
      </c>
      <c r="R3788" s="205"/>
      <c r="S3788" s="189" t="s">
        <v>25613</v>
      </c>
      <c r="T3788" s="114"/>
      <c r="U3788" s="21"/>
      <c r="V3788" s="115">
        <v>45997</v>
      </c>
      <c r="W3788" s="116">
        <v>1279</v>
      </c>
      <c r="X3788" s="220">
        <v>460000</v>
      </c>
      <c r="Y3788" s="220">
        <f>X3788*0.1</f>
        <v>46000</v>
      </c>
      <c r="Z3788" s="220">
        <v>8460</v>
      </c>
      <c r="AA3788" s="220">
        <f>SUM(X3788:Z3788)</f>
        <v>514460</v>
      </c>
      <c r="AB3788" s="222">
        <v>46000</v>
      </c>
    </row>
    <row r="3789" spans="1:28" ht="17.100000000000001" customHeight="1" thickBot="1">
      <c r="A3789" s="227"/>
      <c r="B3789" s="27" t="s">
        <v>11449</v>
      </c>
      <c r="C3789" s="27">
        <v>20140</v>
      </c>
      <c r="D3789" s="14" t="s">
        <v>11483</v>
      </c>
      <c r="E3789" s="229"/>
      <c r="F3789" s="117" t="s">
        <v>11454</v>
      </c>
      <c r="G3789" s="26">
        <v>54434</v>
      </c>
      <c r="H3789" s="231"/>
      <c r="I3789" s="221"/>
      <c r="J3789" s="221"/>
      <c r="K3789" s="221"/>
      <c r="L3789" s="221"/>
      <c r="M3789" s="221"/>
      <c r="N3789" s="221"/>
      <c r="O3789" s="225"/>
      <c r="P3789" s="118" t="s">
        <v>4711</v>
      </c>
      <c r="Q3789" s="16" t="s">
        <v>20</v>
      </c>
      <c r="R3789" s="17" t="s">
        <v>11800</v>
      </c>
      <c r="S3789" s="121" t="s">
        <v>11827</v>
      </c>
      <c r="T3789" s="122"/>
      <c r="U3789" s="22"/>
      <c r="V3789" s="123" t="s">
        <v>2472</v>
      </c>
      <c r="W3789" s="122">
        <v>60380</v>
      </c>
      <c r="X3789" s="221"/>
      <c r="Y3789" s="221"/>
      <c r="Z3789" s="221"/>
      <c r="AA3789" s="221"/>
      <c r="AB3789" s="223"/>
    </row>
    <row r="3790" spans="1:28" ht="17.100000000000001" customHeight="1" thickTop="1">
      <c r="A3790" s="226" t="s">
        <v>11445</v>
      </c>
      <c r="B3790" s="28">
        <v>45987</v>
      </c>
      <c r="C3790" s="25">
        <v>2332</v>
      </c>
      <c r="D3790" s="13" t="s">
        <v>11455</v>
      </c>
      <c r="E3790" s="228"/>
      <c r="F3790" s="109" t="s">
        <v>11456</v>
      </c>
      <c r="G3790" s="24" t="s">
        <v>11495</v>
      </c>
      <c r="H3790" s="230">
        <v>4.5</v>
      </c>
      <c r="I3790" s="220">
        <v>895000</v>
      </c>
      <c r="J3790" s="220">
        <f>I3790*0.1</f>
        <v>89500</v>
      </c>
      <c r="K3790" s="220">
        <v>15000</v>
      </c>
      <c r="L3790" s="220">
        <v>7150</v>
      </c>
      <c r="M3790" s="220">
        <v>16500</v>
      </c>
      <c r="N3790" s="220">
        <f>SUM(I3790:M3791)</f>
        <v>1023150</v>
      </c>
      <c r="O3790" s="224"/>
      <c r="P3790" s="110" t="s">
        <v>11824</v>
      </c>
      <c r="Q3790" s="15" t="s">
        <v>19</v>
      </c>
      <c r="R3790" s="205"/>
      <c r="S3790" s="189" t="s">
        <v>25397</v>
      </c>
      <c r="T3790" s="114"/>
      <c r="U3790" s="21" t="s">
        <v>12765</v>
      </c>
      <c r="V3790" s="115">
        <v>46008</v>
      </c>
      <c r="W3790" s="116">
        <v>997</v>
      </c>
      <c r="X3790" s="220">
        <v>955000</v>
      </c>
      <c r="Y3790" s="220">
        <f>X3790*0.1</f>
        <v>95500</v>
      </c>
      <c r="Z3790" s="220">
        <v>7150</v>
      </c>
      <c r="AA3790" s="220">
        <f>SUM(X3790:Z3790)</f>
        <v>1057650</v>
      </c>
      <c r="AB3790" s="222">
        <v>46013</v>
      </c>
    </row>
    <row r="3791" spans="1:28" ht="17.100000000000001" customHeight="1" thickBot="1">
      <c r="A3791" s="227"/>
      <c r="B3791" s="27" t="s">
        <v>11449</v>
      </c>
      <c r="C3791" s="27">
        <v>20149</v>
      </c>
      <c r="D3791" s="14" t="s">
        <v>11494</v>
      </c>
      <c r="E3791" s="229"/>
      <c r="F3791" s="117" t="s">
        <v>11457</v>
      </c>
      <c r="G3791" s="26">
        <v>70659</v>
      </c>
      <c r="H3791" s="231"/>
      <c r="I3791" s="221"/>
      <c r="J3791" s="221"/>
      <c r="K3791" s="221"/>
      <c r="L3791" s="221"/>
      <c r="M3791" s="221"/>
      <c r="N3791" s="221"/>
      <c r="O3791" s="225"/>
      <c r="P3791" s="118" t="s">
        <v>11825</v>
      </c>
      <c r="Q3791" s="16" t="s">
        <v>20</v>
      </c>
      <c r="R3791" s="17" t="s">
        <v>11800</v>
      </c>
      <c r="S3791" s="121" t="s">
        <v>2350</v>
      </c>
      <c r="T3791" s="122"/>
      <c r="U3791" s="22"/>
      <c r="V3791" s="123" t="s">
        <v>2747</v>
      </c>
      <c r="W3791" s="122">
        <v>2012</v>
      </c>
      <c r="X3791" s="221"/>
      <c r="Y3791" s="221"/>
      <c r="Z3791" s="221"/>
      <c r="AA3791" s="221"/>
      <c r="AB3791" s="223"/>
    </row>
    <row r="3792" spans="1:28" ht="17.100000000000001" customHeight="1" thickTop="1">
      <c r="A3792" s="226" t="s">
        <v>11446</v>
      </c>
      <c r="B3792" s="28">
        <v>45987</v>
      </c>
      <c r="C3792" s="25">
        <v>1815</v>
      </c>
      <c r="D3792" s="13" t="s">
        <v>11460</v>
      </c>
      <c r="E3792" s="228"/>
      <c r="F3792" s="109" t="s">
        <v>11461</v>
      </c>
      <c r="G3792" s="24" t="s">
        <v>11469</v>
      </c>
      <c r="H3792" s="230">
        <v>4.5</v>
      </c>
      <c r="I3792" s="220">
        <v>1164000</v>
      </c>
      <c r="J3792" s="220">
        <f>I3792*0.1</f>
        <v>116400</v>
      </c>
      <c r="K3792" s="220">
        <v>0</v>
      </c>
      <c r="L3792" s="220">
        <v>8390</v>
      </c>
      <c r="M3792" s="220">
        <v>18150</v>
      </c>
      <c r="N3792" s="220">
        <f>SUM(I3792:M3793)</f>
        <v>1306940</v>
      </c>
      <c r="O3792" s="224"/>
      <c r="P3792" s="110" t="s">
        <v>11463</v>
      </c>
      <c r="Q3792" s="15" t="s">
        <v>19</v>
      </c>
      <c r="R3792" s="205"/>
      <c r="S3792" s="189" t="s">
        <v>25475</v>
      </c>
      <c r="T3792" s="114"/>
      <c r="U3792" s="21" t="s">
        <v>12592</v>
      </c>
      <c r="V3792" s="115">
        <v>46004</v>
      </c>
      <c r="W3792" s="116">
        <v>1280</v>
      </c>
      <c r="X3792" s="220">
        <v>1250000</v>
      </c>
      <c r="Y3792" s="220">
        <f>X3792*0.1</f>
        <v>125000</v>
      </c>
      <c r="Z3792" s="220">
        <v>8390</v>
      </c>
      <c r="AA3792" s="220">
        <f>SUM(X3792:Z3792)</f>
        <v>1383390</v>
      </c>
      <c r="AB3792" s="222">
        <v>46007</v>
      </c>
    </row>
    <row r="3793" spans="1:28" ht="17.100000000000001" customHeight="1" thickBot="1">
      <c r="A3793" s="227"/>
      <c r="B3793" s="27" t="s">
        <v>11458</v>
      </c>
      <c r="C3793" s="27">
        <v>3101</v>
      </c>
      <c r="D3793" s="14" t="s">
        <v>1797</v>
      </c>
      <c r="E3793" s="229"/>
      <c r="F3793" s="117" t="s">
        <v>11462</v>
      </c>
      <c r="G3793" s="26">
        <v>59170</v>
      </c>
      <c r="H3793" s="231"/>
      <c r="I3793" s="221"/>
      <c r="J3793" s="221"/>
      <c r="K3793" s="221"/>
      <c r="L3793" s="221"/>
      <c r="M3793" s="221"/>
      <c r="N3793" s="221"/>
      <c r="O3793" s="225"/>
      <c r="P3793" s="118" t="s">
        <v>11992</v>
      </c>
      <c r="Q3793" s="16" t="s">
        <v>20</v>
      </c>
      <c r="R3793" s="17" t="s">
        <v>1730</v>
      </c>
      <c r="S3793" s="121" t="s">
        <v>4321</v>
      </c>
      <c r="T3793" s="122"/>
      <c r="U3793" s="22"/>
      <c r="V3793" s="123" t="s">
        <v>2472</v>
      </c>
      <c r="W3793" s="122">
        <v>60172</v>
      </c>
      <c r="X3793" s="221"/>
      <c r="Y3793" s="221"/>
      <c r="Z3793" s="221"/>
      <c r="AA3793" s="221"/>
      <c r="AB3793" s="223"/>
    </row>
    <row r="3794" spans="1:28" ht="17.100000000000001" customHeight="1" thickTop="1">
      <c r="A3794" s="226" t="s">
        <v>11447</v>
      </c>
      <c r="B3794" s="28">
        <v>45987</v>
      </c>
      <c r="C3794" s="25">
        <v>1815</v>
      </c>
      <c r="D3794" s="13" t="s">
        <v>11471</v>
      </c>
      <c r="E3794" s="228"/>
      <c r="F3794" s="109" t="s">
        <v>11472</v>
      </c>
      <c r="G3794" s="24" t="s">
        <v>11474</v>
      </c>
      <c r="H3794" s="230">
        <v>4</v>
      </c>
      <c r="I3794" s="220">
        <v>640000</v>
      </c>
      <c r="J3794" s="220">
        <f>I3794*0.1</f>
        <v>64000</v>
      </c>
      <c r="K3794" s="220">
        <v>0</v>
      </c>
      <c r="L3794" s="220">
        <v>8540</v>
      </c>
      <c r="M3794" s="220">
        <v>18150</v>
      </c>
      <c r="N3794" s="220">
        <f>SUM(I3794:M3795)</f>
        <v>730690</v>
      </c>
      <c r="O3794" s="224"/>
      <c r="P3794" s="110" t="s">
        <v>11475</v>
      </c>
      <c r="Q3794" s="15" t="s">
        <v>19</v>
      </c>
      <c r="R3794" s="205"/>
      <c r="S3794" s="189"/>
      <c r="T3794" s="114"/>
      <c r="U3794" s="21"/>
      <c r="V3794" s="115">
        <v>45990</v>
      </c>
      <c r="W3794" s="116">
        <v>1278</v>
      </c>
      <c r="X3794" s="220">
        <v>670000</v>
      </c>
      <c r="Y3794" s="220">
        <f>X3794*0.1</f>
        <v>67000</v>
      </c>
      <c r="Z3794" s="220">
        <v>8540</v>
      </c>
      <c r="AA3794" s="220">
        <f>SUM(X3794:Z3794)</f>
        <v>745540</v>
      </c>
      <c r="AB3794" s="222">
        <v>46000</v>
      </c>
    </row>
    <row r="3795" spans="1:28" ht="17.100000000000001" customHeight="1" thickBot="1">
      <c r="A3795" s="227"/>
      <c r="B3795" s="27" t="s">
        <v>11458</v>
      </c>
      <c r="C3795" s="27">
        <v>3339</v>
      </c>
      <c r="D3795" s="14" t="s">
        <v>1797</v>
      </c>
      <c r="E3795" s="229"/>
      <c r="F3795" s="117" t="s">
        <v>11473</v>
      </c>
      <c r="G3795" s="26">
        <v>92352</v>
      </c>
      <c r="H3795" s="231"/>
      <c r="I3795" s="221"/>
      <c r="J3795" s="221"/>
      <c r="K3795" s="221"/>
      <c r="L3795" s="221"/>
      <c r="M3795" s="221"/>
      <c r="N3795" s="221"/>
      <c r="O3795" s="225"/>
      <c r="P3795" s="118" t="s">
        <v>12115</v>
      </c>
      <c r="Q3795" s="16" t="s">
        <v>20</v>
      </c>
      <c r="R3795" s="17" t="s">
        <v>2216</v>
      </c>
      <c r="S3795" s="121"/>
      <c r="T3795" s="122"/>
      <c r="U3795" s="22"/>
      <c r="V3795" s="123" t="s">
        <v>2472</v>
      </c>
      <c r="W3795" s="122">
        <v>60471</v>
      </c>
      <c r="X3795" s="221"/>
      <c r="Y3795" s="221"/>
      <c r="Z3795" s="221"/>
      <c r="AA3795" s="221"/>
      <c r="AB3795" s="223"/>
    </row>
    <row r="3796" spans="1:28" ht="17.100000000000001" customHeight="1" thickTop="1">
      <c r="A3796" s="226" t="s">
        <v>11448</v>
      </c>
      <c r="B3796" s="28">
        <v>45987</v>
      </c>
      <c r="C3796" s="25">
        <v>1815</v>
      </c>
      <c r="D3796" s="13" t="s">
        <v>11464</v>
      </c>
      <c r="E3796" s="228"/>
      <c r="F3796" s="109" t="s">
        <v>11466</v>
      </c>
      <c r="G3796" s="24" t="s">
        <v>11468</v>
      </c>
      <c r="H3796" s="230">
        <v>4.5</v>
      </c>
      <c r="I3796" s="220">
        <v>1130000</v>
      </c>
      <c r="J3796" s="220">
        <f>I3796*0.1</f>
        <v>113000</v>
      </c>
      <c r="K3796" s="220">
        <f>12000+1200</f>
        <v>13200</v>
      </c>
      <c r="L3796" s="220">
        <v>19710</v>
      </c>
      <c r="M3796" s="220">
        <v>18150</v>
      </c>
      <c r="N3796" s="220">
        <f>SUM(I3796:M3797)</f>
        <v>1294060</v>
      </c>
      <c r="O3796" s="224"/>
      <c r="P3796" s="110" t="s">
        <v>11470</v>
      </c>
      <c r="Q3796" s="15" t="s">
        <v>19</v>
      </c>
      <c r="R3796" s="205"/>
      <c r="S3796" s="189" t="s">
        <v>758</v>
      </c>
      <c r="T3796" s="114"/>
      <c r="U3796" s="21" t="s">
        <v>12497</v>
      </c>
      <c r="V3796" s="115">
        <v>46004</v>
      </c>
      <c r="W3796" s="116">
        <v>1280</v>
      </c>
      <c r="X3796" s="220">
        <v>1260000</v>
      </c>
      <c r="Y3796" s="220">
        <f>X3796*0.1</f>
        <v>126000</v>
      </c>
      <c r="Z3796" s="220">
        <v>19710</v>
      </c>
      <c r="AA3796" s="220">
        <f>SUM(X3796:Z3796)</f>
        <v>1405710</v>
      </c>
      <c r="AB3796" s="222">
        <v>46008</v>
      </c>
    </row>
    <row r="3797" spans="1:28" ht="17.100000000000001" customHeight="1" thickBot="1">
      <c r="A3797" s="227"/>
      <c r="B3797" s="27" t="s">
        <v>11458</v>
      </c>
      <c r="C3797" s="27">
        <v>38051</v>
      </c>
      <c r="D3797" s="14" t="s">
        <v>11465</v>
      </c>
      <c r="E3797" s="229"/>
      <c r="F3797" s="117" t="s">
        <v>11467</v>
      </c>
      <c r="G3797" s="26">
        <v>89574</v>
      </c>
      <c r="H3797" s="231"/>
      <c r="I3797" s="221"/>
      <c r="J3797" s="221"/>
      <c r="K3797" s="221"/>
      <c r="L3797" s="221"/>
      <c r="M3797" s="221"/>
      <c r="N3797" s="221"/>
      <c r="O3797" s="225"/>
      <c r="P3797" s="118" t="s">
        <v>12106</v>
      </c>
      <c r="Q3797" s="16" t="s">
        <v>20</v>
      </c>
      <c r="R3797" s="17" t="s">
        <v>2216</v>
      </c>
      <c r="S3797" s="121" t="s">
        <v>1606</v>
      </c>
      <c r="T3797" s="122"/>
      <c r="U3797" s="22"/>
      <c r="V3797" s="123" t="s">
        <v>2472</v>
      </c>
      <c r="W3797" s="122">
        <v>80264</v>
      </c>
      <c r="X3797" s="221"/>
      <c r="Y3797" s="221"/>
      <c r="Z3797" s="221"/>
      <c r="AA3797" s="221"/>
      <c r="AB3797" s="223"/>
    </row>
    <row r="3798" spans="1:28" ht="17.100000000000001" customHeight="1" thickTop="1">
      <c r="A3798" s="226" t="s">
        <v>11459</v>
      </c>
      <c r="B3798" s="28">
        <v>45987</v>
      </c>
      <c r="C3798" s="25">
        <v>1815</v>
      </c>
      <c r="D3798" s="13" t="s">
        <v>11476</v>
      </c>
      <c r="E3798" s="228"/>
      <c r="F3798" s="109" t="s">
        <v>11477</v>
      </c>
      <c r="G3798" s="24"/>
      <c r="H3798" s="230">
        <v>5</v>
      </c>
      <c r="I3798" s="220">
        <v>2220000</v>
      </c>
      <c r="J3798" s="220">
        <f>I3798*0.1</f>
        <v>222000</v>
      </c>
      <c r="K3798" s="220">
        <v>0</v>
      </c>
      <c r="L3798" s="220">
        <v>22910</v>
      </c>
      <c r="M3798" s="220">
        <v>18150</v>
      </c>
      <c r="N3798" s="220">
        <f>SUM(I3798:M3799)</f>
        <v>2483060</v>
      </c>
      <c r="O3798" s="224"/>
      <c r="P3798" s="110" t="s">
        <v>11974</v>
      </c>
      <c r="Q3798" s="15" t="s">
        <v>19</v>
      </c>
      <c r="R3798" s="205"/>
      <c r="S3798" s="189"/>
      <c r="T3798" s="114"/>
      <c r="U3798" s="21"/>
      <c r="V3798" s="115">
        <v>46018</v>
      </c>
      <c r="W3798" s="116">
        <v>1282</v>
      </c>
      <c r="X3798" s="220">
        <v>2495000</v>
      </c>
      <c r="Y3798" s="220">
        <f>X3798*0.1</f>
        <v>249500</v>
      </c>
      <c r="Z3798" s="220">
        <v>22910</v>
      </c>
      <c r="AA3798" s="220">
        <f>SUM(X3798:Z3798)</f>
        <v>2767410</v>
      </c>
      <c r="AB3798" s="222">
        <v>46028</v>
      </c>
    </row>
    <row r="3799" spans="1:28" ht="17.100000000000001" customHeight="1" thickBot="1">
      <c r="A3799" s="227"/>
      <c r="B3799" s="27" t="s">
        <v>11458</v>
      </c>
      <c r="C3799" s="27">
        <v>38074</v>
      </c>
      <c r="D3799" s="14" t="s">
        <v>11465</v>
      </c>
      <c r="E3799" s="229"/>
      <c r="F3799" s="117" t="s">
        <v>11478</v>
      </c>
      <c r="G3799" s="26">
        <v>24665</v>
      </c>
      <c r="H3799" s="231"/>
      <c r="I3799" s="221"/>
      <c r="J3799" s="221"/>
      <c r="K3799" s="221"/>
      <c r="L3799" s="221"/>
      <c r="M3799" s="221"/>
      <c r="N3799" s="221"/>
      <c r="O3799" s="225"/>
      <c r="P3799" s="118" t="s">
        <v>3400</v>
      </c>
      <c r="Q3799" s="16" t="s">
        <v>20</v>
      </c>
      <c r="R3799" s="17" t="s">
        <v>1730</v>
      </c>
      <c r="S3799" s="121" t="s">
        <v>2166</v>
      </c>
      <c r="T3799" s="122"/>
      <c r="U3799" s="22"/>
      <c r="V3799" s="123" t="s">
        <v>2472</v>
      </c>
      <c r="W3799" s="122">
        <v>80149</v>
      </c>
      <c r="X3799" s="221"/>
      <c r="Y3799" s="221"/>
      <c r="Z3799" s="221"/>
      <c r="AA3799" s="221"/>
      <c r="AB3799" s="223"/>
    </row>
    <row r="3800" spans="1:28" ht="17.100000000000001" customHeight="1" thickTop="1">
      <c r="A3800" s="226" t="s">
        <v>11580</v>
      </c>
      <c r="B3800" s="28">
        <v>45988</v>
      </c>
      <c r="C3800" s="25">
        <v>1308</v>
      </c>
      <c r="D3800" s="13" t="s">
        <v>1837</v>
      </c>
      <c r="E3800" s="228"/>
      <c r="F3800" s="109" t="s">
        <v>4499</v>
      </c>
      <c r="G3800" s="24"/>
      <c r="H3800" s="230">
        <v>4.5</v>
      </c>
      <c r="I3800" s="220">
        <v>2075000</v>
      </c>
      <c r="J3800" s="220">
        <f>I3800*0.1</f>
        <v>207500</v>
      </c>
      <c r="K3800" s="220">
        <v>0</v>
      </c>
      <c r="L3800" s="220">
        <v>19180</v>
      </c>
      <c r="M3800" s="220">
        <v>14300</v>
      </c>
      <c r="N3800" s="220">
        <f>SUM(I3800:M3801)</f>
        <v>2315980</v>
      </c>
      <c r="O3800" s="224"/>
      <c r="P3800" s="110" t="s">
        <v>11807</v>
      </c>
      <c r="Q3800" s="15" t="s">
        <v>19</v>
      </c>
      <c r="R3800" s="205"/>
      <c r="S3800" s="189" t="s">
        <v>25367</v>
      </c>
      <c r="T3800" s="114"/>
      <c r="U3800" s="21"/>
      <c r="V3800" s="115">
        <v>45990</v>
      </c>
      <c r="W3800" s="116">
        <v>1278</v>
      </c>
      <c r="X3800" s="220">
        <v>2220000</v>
      </c>
      <c r="Y3800" s="220">
        <v>222000</v>
      </c>
      <c r="Z3800" s="220">
        <v>19180</v>
      </c>
      <c r="AA3800" s="220">
        <f>SUM(X3800:Z3800)</f>
        <v>2461180</v>
      </c>
      <c r="AB3800" s="222">
        <v>45994</v>
      </c>
    </row>
    <row r="3801" spans="1:28" ht="17.100000000000001" customHeight="1" thickBot="1">
      <c r="A3801" s="227"/>
      <c r="B3801" s="27" t="s">
        <v>1735</v>
      </c>
      <c r="C3801" s="27">
        <v>113</v>
      </c>
      <c r="D3801" s="14" t="s">
        <v>273</v>
      </c>
      <c r="E3801" s="229"/>
      <c r="F3801" s="117" t="s">
        <v>11581</v>
      </c>
      <c r="G3801" s="26">
        <v>42275</v>
      </c>
      <c r="H3801" s="231"/>
      <c r="I3801" s="221"/>
      <c r="J3801" s="221"/>
      <c r="K3801" s="221"/>
      <c r="L3801" s="221"/>
      <c r="M3801" s="221"/>
      <c r="N3801" s="221"/>
      <c r="O3801" s="225"/>
      <c r="P3801" s="118" t="s">
        <v>4583</v>
      </c>
      <c r="Q3801" s="16" t="s">
        <v>20</v>
      </c>
      <c r="R3801" s="17" t="s">
        <v>11800</v>
      </c>
      <c r="S3801" s="121" t="s">
        <v>1625</v>
      </c>
      <c r="T3801" s="122"/>
      <c r="U3801" s="22"/>
      <c r="V3801" s="123" t="s">
        <v>2472</v>
      </c>
      <c r="W3801" s="122">
        <v>80432</v>
      </c>
      <c r="X3801" s="221"/>
      <c r="Y3801" s="221"/>
      <c r="Z3801" s="221"/>
      <c r="AA3801" s="221"/>
      <c r="AB3801" s="223"/>
    </row>
    <row r="3802" spans="1:28" ht="17.100000000000001" customHeight="1" thickTop="1">
      <c r="A3802" s="226" t="s">
        <v>11582</v>
      </c>
      <c r="B3802" s="28">
        <v>45988</v>
      </c>
      <c r="C3802" s="25">
        <v>1543</v>
      </c>
      <c r="D3802" s="13" t="s">
        <v>2422</v>
      </c>
      <c r="E3802" s="228"/>
      <c r="F3802" s="109" t="s">
        <v>1565</v>
      </c>
      <c r="G3802" s="24"/>
      <c r="H3802" s="230">
        <v>4.5</v>
      </c>
      <c r="I3802" s="220">
        <v>940000</v>
      </c>
      <c r="J3802" s="220">
        <f>I3802*0.1</f>
        <v>94000</v>
      </c>
      <c r="K3802" s="220">
        <v>0</v>
      </c>
      <c r="L3802" s="220">
        <v>17800</v>
      </c>
      <c r="M3802" s="220">
        <v>16500</v>
      </c>
      <c r="N3802" s="220">
        <f>SUM(I3802:M3803)</f>
        <v>1068300</v>
      </c>
      <c r="O3802" s="224"/>
      <c r="P3802" s="110" t="s">
        <v>12101</v>
      </c>
      <c r="Q3802" s="15" t="s">
        <v>19</v>
      </c>
      <c r="R3802" s="205"/>
      <c r="S3802" s="189"/>
      <c r="T3802" s="114"/>
      <c r="U3802" s="21"/>
      <c r="V3802" s="115">
        <v>45995</v>
      </c>
      <c r="W3802" s="116">
        <v>1309</v>
      </c>
      <c r="X3802" s="220">
        <v>1205000</v>
      </c>
      <c r="Y3802" s="220">
        <f>X3802*0.1</f>
        <v>120500</v>
      </c>
      <c r="Z3802" s="220">
        <v>17800</v>
      </c>
      <c r="AA3802" s="220">
        <f>SUM(X3802:Z3802)</f>
        <v>1343300</v>
      </c>
      <c r="AB3802" s="222">
        <v>45996</v>
      </c>
    </row>
    <row r="3803" spans="1:28" ht="17.100000000000001" customHeight="1" thickBot="1">
      <c r="A3803" s="227"/>
      <c r="B3803" s="27" t="s">
        <v>1592</v>
      </c>
      <c r="C3803" s="27">
        <v>76128</v>
      </c>
      <c r="D3803" s="14" t="s">
        <v>1797</v>
      </c>
      <c r="E3803" s="229"/>
      <c r="F3803" s="117" t="s">
        <v>11584</v>
      </c>
      <c r="G3803" s="26">
        <v>53057</v>
      </c>
      <c r="H3803" s="231"/>
      <c r="I3803" s="221"/>
      <c r="J3803" s="221"/>
      <c r="K3803" s="221"/>
      <c r="L3803" s="221"/>
      <c r="M3803" s="221"/>
      <c r="N3803" s="221"/>
      <c r="O3803" s="225"/>
      <c r="P3803" s="118" t="s">
        <v>12102</v>
      </c>
      <c r="Q3803" s="16" t="s">
        <v>20</v>
      </c>
      <c r="R3803" s="17" t="s">
        <v>2216</v>
      </c>
      <c r="S3803" s="121" t="s">
        <v>11269</v>
      </c>
      <c r="T3803" s="122"/>
      <c r="U3803" s="22"/>
      <c r="V3803" s="123" t="s">
        <v>1735</v>
      </c>
      <c r="W3803" s="122">
        <v>34</v>
      </c>
      <c r="X3803" s="221"/>
      <c r="Y3803" s="221"/>
      <c r="Z3803" s="221"/>
      <c r="AA3803" s="221"/>
      <c r="AB3803" s="223"/>
    </row>
    <row r="3804" spans="1:28" ht="17.100000000000001" customHeight="1" thickTop="1">
      <c r="A3804" s="226" t="s">
        <v>11583</v>
      </c>
      <c r="B3804" s="28">
        <v>45988</v>
      </c>
      <c r="C3804" s="25">
        <v>1543</v>
      </c>
      <c r="D3804" s="13" t="s">
        <v>11480</v>
      </c>
      <c r="E3804" s="228"/>
      <c r="F3804" s="109" t="s">
        <v>11481</v>
      </c>
      <c r="G3804" s="24"/>
      <c r="H3804" s="230">
        <v>4.5</v>
      </c>
      <c r="I3804" s="220">
        <v>2920000</v>
      </c>
      <c r="J3804" s="220">
        <f>I3804*0.1</f>
        <v>292000</v>
      </c>
      <c r="K3804" s="220">
        <v>0</v>
      </c>
      <c r="L3804" s="220">
        <v>23490</v>
      </c>
      <c r="M3804" s="220">
        <v>16500</v>
      </c>
      <c r="N3804" s="220">
        <f>SUM(I3804:M3805)</f>
        <v>3251990</v>
      </c>
      <c r="O3804" s="224"/>
      <c r="P3804" s="110" t="s">
        <v>12103</v>
      </c>
      <c r="Q3804" s="15" t="s">
        <v>19</v>
      </c>
      <c r="R3804" s="205"/>
      <c r="S3804" s="189"/>
      <c r="T3804" s="114"/>
      <c r="U3804" s="21"/>
      <c r="V3804" s="115"/>
      <c r="W3804" s="116"/>
      <c r="X3804" s="220"/>
      <c r="Y3804" s="220">
        <f>X3804*0.1</f>
        <v>0</v>
      </c>
      <c r="Z3804" s="220"/>
      <c r="AA3804" s="220">
        <f>SUM(X3804:Z3804)</f>
        <v>0</v>
      </c>
      <c r="AB3804" s="222"/>
    </row>
    <row r="3805" spans="1:28" ht="17.100000000000001" customHeight="1" thickBot="1">
      <c r="A3805" s="227"/>
      <c r="B3805" s="27" t="s">
        <v>11479</v>
      </c>
      <c r="C3805" s="27">
        <v>79078</v>
      </c>
      <c r="D3805" s="14" t="s">
        <v>11465</v>
      </c>
      <c r="E3805" s="229"/>
      <c r="F3805" s="117" t="s">
        <v>11482</v>
      </c>
      <c r="G3805" s="26">
        <v>55873</v>
      </c>
      <c r="H3805" s="231"/>
      <c r="I3805" s="221"/>
      <c r="J3805" s="221"/>
      <c r="K3805" s="221"/>
      <c r="L3805" s="221"/>
      <c r="M3805" s="221"/>
      <c r="N3805" s="221"/>
      <c r="O3805" s="225"/>
      <c r="P3805" s="118" t="s">
        <v>1972</v>
      </c>
      <c r="Q3805" s="16" t="s">
        <v>20</v>
      </c>
      <c r="R3805" s="17" t="s">
        <v>2216</v>
      </c>
      <c r="S3805" s="121" t="s">
        <v>12104</v>
      </c>
      <c r="T3805" s="122"/>
      <c r="U3805" s="22"/>
      <c r="V3805" s="123"/>
      <c r="W3805" s="122"/>
      <c r="X3805" s="221"/>
      <c r="Y3805" s="221"/>
      <c r="Z3805" s="221"/>
      <c r="AA3805" s="221"/>
      <c r="AB3805" s="223"/>
    </row>
    <row r="3806" spans="1:28" ht="17.100000000000001" customHeight="1" thickTop="1">
      <c r="A3806" s="226" t="s">
        <v>11586</v>
      </c>
      <c r="B3806" s="28">
        <v>45988</v>
      </c>
      <c r="C3806" s="25">
        <v>2004</v>
      </c>
      <c r="D3806" s="13" t="s">
        <v>11497</v>
      </c>
      <c r="E3806" s="228"/>
      <c r="F3806" s="109" t="s">
        <v>11498</v>
      </c>
      <c r="G3806" s="24"/>
      <c r="H3806" s="230">
        <v>4</v>
      </c>
      <c r="I3806" s="220">
        <v>2749000</v>
      </c>
      <c r="J3806" s="220">
        <f>I3806*0.1</f>
        <v>274900</v>
      </c>
      <c r="K3806" s="220">
        <v>0</v>
      </c>
      <c r="L3806" s="220">
        <v>12310</v>
      </c>
      <c r="M3806" s="220">
        <v>22000</v>
      </c>
      <c r="N3806" s="220">
        <f>SUM(I3806:M3807)</f>
        <v>3058210</v>
      </c>
      <c r="O3806" s="224"/>
      <c r="P3806" s="110" t="s">
        <v>12619</v>
      </c>
      <c r="Q3806" s="15" t="s">
        <v>19</v>
      </c>
      <c r="R3806" s="205"/>
      <c r="S3806" s="189" t="s">
        <v>758</v>
      </c>
      <c r="T3806" s="114"/>
      <c r="U3806" s="21"/>
      <c r="V3806" s="115">
        <v>46001</v>
      </c>
      <c r="W3806" s="116">
        <v>996</v>
      </c>
      <c r="X3806" s="220">
        <v>2910000</v>
      </c>
      <c r="Y3806" s="220">
        <f>X3806*0.1</f>
        <v>291000</v>
      </c>
      <c r="Z3806" s="220">
        <v>12310</v>
      </c>
      <c r="AA3806" s="220">
        <f>SUM(X3806:Z3806)</f>
        <v>3213310</v>
      </c>
      <c r="AB3806" s="222">
        <v>46006</v>
      </c>
    </row>
    <row r="3807" spans="1:28" ht="17.100000000000001" customHeight="1" thickBot="1">
      <c r="A3807" s="227"/>
      <c r="B3807" s="27" t="s">
        <v>11496</v>
      </c>
      <c r="C3807" s="27">
        <v>30050</v>
      </c>
      <c r="D3807" s="14" t="s">
        <v>11494</v>
      </c>
      <c r="E3807" s="229"/>
      <c r="F3807" s="117" t="s">
        <v>11499</v>
      </c>
      <c r="G3807" s="26">
        <v>41762</v>
      </c>
      <c r="H3807" s="231"/>
      <c r="I3807" s="221"/>
      <c r="J3807" s="221"/>
      <c r="K3807" s="221"/>
      <c r="L3807" s="221"/>
      <c r="M3807" s="221"/>
      <c r="N3807" s="221"/>
      <c r="O3807" s="225"/>
      <c r="P3807" s="118" t="s">
        <v>11653</v>
      </c>
      <c r="Q3807" s="16" t="s">
        <v>20</v>
      </c>
      <c r="R3807" s="17" t="s">
        <v>12584</v>
      </c>
      <c r="S3807" s="121" t="s">
        <v>1661</v>
      </c>
      <c r="T3807" s="122"/>
      <c r="U3807" s="22"/>
      <c r="V3807" s="123" t="s">
        <v>2747</v>
      </c>
      <c r="W3807" s="122">
        <v>6089</v>
      </c>
      <c r="X3807" s="221"/>
      <c r="Y3807" s="221"/>
      <c r="Z3807" s="221"/>
      <c r="AA3807" s="221"/>
      <c r="AB3807" s="223"/>
    </row>
    <row r="3808" spans="1:28" ht="17.100000000000001" customHeight="1" thickTop="1">
      <c r="A3808" s="226" t="s">
        <v>11587</v>
      </c>
      <c r="B3808" s="28">
        <v>45988</v>
      </c>
      <c r="C3808" s="25">
        <v>2004</v>
      </c>
      <c r="D3808" s="13" t="s">
        <v>11500</v>
      </c>
      <c r="E3808" s="228"/>
      <c r="F3808" s="109" t="s">
        <v>11503</v>
      </c>
      <c r="G3808" s="24" t="s">
        <v>11504</v>
      </c>
      <c r="H3808" s="230">
        <v>4.5</v>
      </c>
      <c r="I3808" s="220">
        <v>1718000</v>
      </c>
      <c r="J3808" s="220">
        <f>I3808*0.1</f>
        <v>171800</v>
      </c>
      <c r="K3808" s="220">
        <f>13100+1310</f>
        <v>14410</v>
      </c>
      <c r="L3808" s="220">
        <v>11560</v>
      </c>
      <c r="M3808" s="220">
        <v>22000</v>
      </c>
      <c r="N3808" s="220">
        <f>SUM(I3808:M3809)</f>
        <v>1937770</v>
      </c>
      <c r="O3808" s="224"/>
      <c r="P3808" s="110" t="s">
        <v>11505</v>
      </c>
      <c r="Q3808" s="15" t="s">
        <v>19</v>
      </c>
      <c r="R3808" s="205"/>
      <c r="S3808" s="189" t="s">
        <v>25614</v>
      </c>
      <c r="T3808" s="185" t="s">
        <v>13234</v>
      </c>
      <c r="U3808" s="21"/>
      <c r="V3808" s="115">
        <v>46029</v>
      </c>
      <c r="W3808" s="116">
        <v>999</v>
      </c>
      <c r="X3808" s="220">
        <v>1740000</v>
      </c>
      <c r="Y3808" s="220">
        <f>X3808*0.1</f>
        <v>174000</v>
      </c>
      <c r="Z3808" s="220">
        <v>11560</v>
      </c>
      <c r="AA3808" s="220">
        <f>SUM(X3808:Z3808)</f>
        <v>1925560</v>
      </c>
      <c r="AB3808" s="222">
        <v>46035</v>
      </c>
    </row>
    <row r="3809" spans="1:28" ht="17.100000000000001" customHeight="1" thickBot="1">
      <c r="A3809" s="227"/>
      <c r="B3809" s="27" t="s">
        <v>11496</v>
      </c>
      <c r="C3809" s="27">
        <v>30061</v>
      </c>
      <c r="D3809" s="14" t="s">
        <v>11501</v>
      </c>
      <c r="E3809" s="229"/>
      <c r="F3809" s="117" t="s">
        <v>11502</v>
      </c>
      <c r="G3809" s="26">
        <v>59826</v>
      </c>
      <c r="H3809" s="231"/>
      <c r="I3809" s="221"/>
      <c r="J3809" s="221"/>
      <c r="K3809" s="221"/>
      <c r="L3809" s="221"/>
      <c r="M3809" s="221"/>
      <c r="N3809" s="221"/>
      <c r="O3809" s="225"/>
      <c r="P3809" s="118" t="s">
        <v>12076</v>
      </c>
      <c r="Q3809" s="16" t="s">
        <v>20</v>
      </c>
      <c r="R3809" s="17" t="s">
        <v>2216</v>
      </c>
      <c r="S3809" s="121" t="s">
        <v>12077</v>
      </c>
      <c r="T3809" s="122"/>
      <c r="U3809" s="22"/>
      <c r="V3809" s="123" t="s">
        <v>2747</v>
      </c>
      <c r="W3809" s="122">
        <v>6108</v>
      </c>
      <c r="X3809" s="221"/>
      <c r="Y3809" s="221"/>
      <c r="Z3809" s="221"/>
      <c r="AA3809" s="221"/>
      <c r="AB3809" s="223"/>
    </row>
    <row r="3810" spans="1:28" ht="17.100000000000001" customHeight="1" thickTop="1">
      <c r="A3810" s="226" t="s">
        <v>11588</v>
      </c>
      <c r="B3810" s="28">
        <v>45988</v>
      </c>
      <c r="C3810" s="25">
        <v>2004</v>
      </c>
      <c r="D3810" s="13" t="s">
        <v>11506</v>
      </c>
      <c r="E3810" s="228"/>
      <c r="F3810" s="109" t="s">
        <v>11507</v>
      </c>
      <c r="G3810" s="24"/>
      <c r="H3810" s="230">
        <v>4</v>
      </c>
      <c r="I3810" s="220">
        <v>1033000</v>
      </c>
      <c r="J3810" s="220">
        <f>I3810*0.1</f>
        <v>103300</v>
      </c>
      <c r="K3810" s="220">
        <v>0</v>
      </c>
      <c r="L3810" s="220">
        <v>9490</v>
      </c>
      <c r="M3810" s="220">
        <v>22000</v>
      </c>
      <c r="N3810" s="220">
        <f>SUM(I3810:M3811)</f>
        <v>1167790</v>
      </c>
      <c r="O3810" s="224"/>
      <c r="P3810" s="110" t="s">
        <v>12078</v>
      </c>
      <c r="Q3810" s="15" t="s">
        <v>19</v>
      </c>
      <c r="R3810" s="205"/>
      <c r="S3810" s="189" t="s">
        <v>25615</v>
      </c>
      <c r="T3810" s="114"/>
      <c r="U3810" s="21"/>
      <c r="V3810" s="115">
        <v>45994</v>
      </c>
      <c r="W3810" s="116">
        <v>995</v>
      </c>
      <c r="X3810" s="220">
        <v>1115000</v>
      </c>
      <c r="Y3810" s="220">
        <f>X3810*0.1</f>
        <v>111500</v>
      </c>
      <c r="Z3810" s="220">
        <v>9490</v>
      </c>
      <c r="AA3810" s="220">
        <f>SUM(X3810:Z3810)</f>
        <v>1235990</v>
      </c>
      <c r="AB3810" s="222">
        <v>45999</v>
      </c>
    </row>
    <row r="3811" spans="1:28" ht="17.100000000000001" customHeight="1" thickBot="1">
      <c r="A3811" s="227"/>
      <c r="B3811" s="27" t="s">
        <v>11496</v>
      </c>
      <c r="C3811" s="27">
        <v>30083</v>
      </c>
      <c r="D3811" s="14" t="s">
        <v>11501</v>
      </c>
      <c r="E3811" s="229"/>
      <c r="F3811" s="117" t="s">
        <v>11508</v>
      </c>
      <c r="G3811" s="26">
        <v>34229</v>
      </c>
      <c r="H3811" s="231"/>
      <c r="I3811" s="221"/>
      <c r="J3811" s="221"/>
      <c r="K3811" s="221"/>
      <c r="L3811" s="221"/>
      <c r="M3811" s="221"/>
      <c r="N3811" s="221"/>
      <c r="O3811" s="225"/>
      <c r="P3811" s="118" t="s">
        <v>2682</v>
      </c>
      <c r="Q3811" s="16" t="s">
        <v>20</v>
      </c>
      <c r="R3811" s="17" t="s">
        <v>2216</v>
      </c>
      <c r="S3811" s="121" t="s">
        <v>10307</v>
      </c>
      <c r="T3811" s="122"/>
      <c r="U3811" s="22"/>
      <c r="V3811" s="123" t="s">
        <v>2747</v>
      </c>
      <c r="W3811" s="122">
        <v>5038</v>
      </c>
      <c r="X3811" s="221"/>
      <c r="Y3811" s="221"/>
      <c r="Z3811" s="221"/>
      <c r="AA3811" s="221"/>
      <c r="AB3811" s="223"/>
    </row>
    <row r="3812" spans="1:28" ht="17.100000000000001" customHeight="1" thickTop="1">
      <c r="A3812" s="226" t="s">
        <v>11589</v>
      </c>
      <c r="B3812" s="28">
        <v>45988</v>
      </c>
      <c r="C3812" s="25">
        <v>2004</v>
      </c>
      <c r="D3812" s="13" t="s">
        <v>11509</v>
      </c>
      <c r="E3812" s="228"/>
      <c r="F3812" s="109" t="s">
        <v>11510</v>
      </c>
      <c r="G3812" s="24"/>
      <c r="H3812" s="230">
        <v>4</v>
      </c>
      <c r="I3812" s="220">
        <v>1118000</v>
      </c>
      <c r="J3812" s="220">
        <f>I3812*0.1</f>
        <v>111800</v>
      </c>
      <c r="K3812" s="220">
        <v>0</v>
      </c>
      <c r="L3812" s="220">
        <v>12030</v>
      </c>
      <c r="M3812" s="220">
        <v>22000</v>
      </c>
      <c r="N3812" s="220">
        <f>SUM(I3812:M3813)</f>
        <v>1263830</v>
      </c>
      <c r="O3812" s="224"/>
      <c r="P3812" s="110" t="s">
        <v>12079</v>
      </c>
      <c r="Q3812" s="15" t="s">
        <v>19</v>
      </c>
      <c r="R3812" s="205"/>
      <c r="S3812" s="189" t="s">
        <v>25616</v>
      </c>
      <c r="T3812" s="114"/>
      <c r="U3812" s="21"/>
      <c r="V3812" s="115">
        <v>45994</v>
      </c>
      <c r="W3812" s="116">
        <v>995</v>
      </c>
      <c r="X3812" s="220">
        <v>1280000</v>
      </c>
      <c r="Y3812" s="220">
        <f>X3812*0.1</f>
        <v>128000</v>
      </c>
      <c r="Z3812" s="220">
        <v>12030</v>
      </c>
      <c r="AA3812" s="220">
        <f>SUM(X3812:Z3812)</f>
        <v>1420030</v>
      </c>
      <c r="AB3812" s="222">
        <v>45999</v>
      </c>
    </row>
    <row r="3813" spans="1:28" ht="17.100000000000001" customHeight="1" thickBot="1">
      <c r="A3813" s="227"/>
      <c r="B3813" s="27" t="s">
        <v>11496</v>
      </c>
      <c r="C3813" s="27">
        <v>30107</v>
      </c>
      <c r="D3813" s="14" t="s">
        <v>11494</v>
      </c>
      <c r="E3813" s="229"/>
      <c r="F3813" s="117" t="s">
        <v>11511</v>
      </c>
      <c r="G3813" s="26">
        <v>95836</v>
      </c>
      <c r="H3813" s="231"/>
      <c r="I3813" s="221"/>
      <c r="J3813" s="221"/>
      <c r="K3813" s="221"/>
      <c r="L3813" s="221"/>
      <c r="M3813" s="221"/>
      <c r="N3813" s="221"/>
      <c r="O3813" s="225"/>
      <c r="P3813" s="118" t="s">
        <v>12080</v>
      </c>
      <c r="Q3813" s="16" t="s">
        <v>20</v>
      </c>
      <c r="R3813" s="17" t="s">
        <v>2216</v>
      </c>
      <c r="S3813" s="121" t="s">
        <v>12081</v>
      </c>
      <c r="T3813" s="122"/>
      <c r="U3813" s="22"/>
      <c r="V3813" s="123" t="s">
        <v>2747</v>
      </c>
      <c r="W3813" s="122">
        <v>5046</v>
      </c>
      <c r="X3813" s="221"/>
      <c r="Y3813" s="221"/>
      <c r="Z3813" s="221"/>
      <c r="AA3813" s="221"/>
      <c r="AB3813" s="223"/>
    </row>
    <row r="3814" spans="1:28" ht="17.100000000000001" customHeight="1" thickTop="1">
      <c r="A3814" s="226" t="s">
        <v>11590</v>
      </c>
      <c r="B3814" s="28">
        <v>45988</v>
      </c>
      <c r="C3814" s="25">
        <v>2004</v>
      </c>
      <c r="D3814" s="13" t="s">
        <v>11512</v>
      </c>
      <c r="E3814" s="228"/>
      <c r="F3814" s="109" t="s">
        <v>11513</v>
      </c>
      <c r="G3814" s="24"/>
      <c r="H3814" s="230">
        <v>4</v>
      </c>
      <c r="I3814" s="220">
        <v>1283000</v>
      </c>
      <c r="J3814" s="220">
        <f>I3814*0.1</f>
        <v>128300</v>
      </c>
      <c r="K3814" s="220">
        <v>0</v>
      </c>
      <c r="L3814" s="220">
        <v>9950</v>
      </c>
      <c r="M3814" s="220">
        <v>22000</v>
      </c>
      <c r="N3814" s="220">
        <f>SUM(I3814:M3815)</f>
        <v>1443250</v>
      </c>
      <c r="O3814" s="224"/>
      <c r="P3814" s="110" t="s">
        <v>12145</v>
      </c>
      <c r="Q3814" s="15" t="s">
        <v>19</v>
      </c>
      <c r="R3814" s="205"/>
      <c r="S3814" s="189" t="s">
        <v>25617</v>
      </c>
      <c r="T3814" s="114"/>
      <c r="U3814" s="21"/>
      <c r="V3814" s="115">
        <v>46001</v>
      </c>
      <c r="W3814" s="116">
        <v>996</v>
      </c>
      <c r="X3814" s="220">
        <v>1385000</v>
      </c>
      <c r="Y3814" s="220">
        <f>X3814*0.1</f>
        <v>138500</v>
      </c>
      <c r="Z3814" s="220">
        <v>9950</v>
      </c>
      <c r="AA3814" s="220">
        <f>SUM(X3814:Z3814)</f>
        <v>1533450</v>
      </c>
      <c r="AB3814" s="222">
        <v>46006</v>
      </c>
    </row>
    <row r="3815" spans="1:28" ht="17.100000000000001" customHeight="1" thickBot="1">
      <c r="A3815" s="227"/>
      <c r="B3815" s="27" t="s">
        <v>11496</v>
      </c>
      <c r="C3815" s="27">
        <v>30124</v>
      </c>
      <c r="D3815" s="14" t="s">
        <v>2559</v>
      </c>
      <c r="E3815" s="229"/>
      <c r="F3815" s="117" t="s">
        <v>11514</v>
      </c>
      <c r="G3815" s="26">
        <v>13612</v>
      </c>
      <c r="H3815" s="231"/>
      <c r="I3815" s="221"/>
      <c r="J3815" s="221"/>
      <c r="K3815" s="221"/>
      <c r="L3815" s="221"/>
      <c r="M3815" s="221"/>
      <c r="N3815" s="221"/>
      <c r="O3815" s="225"/>
      <c r="P3815" s="118" t="s">
        <v>12146</v>
      </c>
      <c r="Q3815" s="16" t="s">
        <v>20</v>
      </c>
      <c r="R3815" s="17" t="s">
        <v>2216</v>
      </c>
      <c r="S3815" s="121" t="s">
        <v>1601</v>
      </c>
      <c r="T3815" s="122"/>
      <c r="U3815" s="22"/>
      <c r="V3815" s="123" t="s">
        <v>2747</v>
      </c>
      <c r="W3815" s="122">
        <v>6114</v>
      </c>
      <c r="X3815" s="221"/>
      <c r="Y3815" s="221"/>
      <c r="Z3815" s="221"/>
      <c r="AA3815" s="221"/>
      <c r="AB3815" s="223"/>
    </row>
    <row r="3816" spans="1:28" ht="17.100000000000001" customHeight="1" thickTop="1">
      <c r="A3816" s="226" t="s">
        <v>11591</v>
      </c>
      <c r="B3816" s="28">
        <v>45988</v>
      </c>
      <c r="C3816" s="25">
        <v>2004</v>
      </c>
      <c r="D3816" s="13" t="s">
        <v>11515</v>
      </c>
      <c r="E3816" s="228"/>
      <c r="F3816" s="109" t="s">
        <v>11517</v>
      </c>
      <c r="G3816" s="24"/>
      <c r="H3816" s="230">
        <v>4.5</v>
      </c>
      <c r="I3816" s="220">
        <v>1296000</v>
      </c>
      <c r="J3816" s="220">
        <f>I3816*0.1</f>
        <v>129600</v>
      </c>
      <c r="K3816" s="220">
        <v>0</v>
      </c>
      <c r="L3816" s="220">
        <v>6880</v>
      </c>
      <c r="M3816" s="220">
        <v>22000</v>
      </c>
      <c r="N3816" s="220">
        <f>SUM(I3816:M3817)</f>
        <v>1454480</v>
      </c>
      <c r="O3816" s="224"/>
      <c r="P3816" s="110" t="s">
        <v>12096</v>
      </c>
      <c r="Q3816" s="15" t="s">
        <v>19</v>
      </c>
      <c r="R3816" s="205"/>
      <c r="S3816" s="189" t="s">
        <v>1406</v>
      </c>
      <c r="T3816" s="114"/>
      <c r="U3816" s="21"/>
      <c r="V3816" s="115">
        <v>46000</v>
      </c>
      <c r="W3816" s="116">
        <v>1921</v>
      </c>
      <c r="X3816" s="220">
        <v>1343000</v>
      </c>
      <c r="Y3816" s="220">
        <f>X3816*0.1</f>
        <v>134300</v>
      </c>
      <c r="Z3816" s="220">
        <v>6880</v>
      </c>
      <c r="AA3816" s="220">
        <f>SUM(X3816:Z3816)</f>
        <v>1484180</v>
      </c>
      <c r="AB3816" s="222">
        <v>46006</v>
      </c>
    </row>
    <row r="3817" spans="1:28" ht="17.100000000000001" customHeight="1" thickBot="1">
      <c r="A3817" s="227"/>
      <c r="B3817" s="27" t="s">
        <v>11496</v>
      </c>
      <c r="C3817" s="27">
        <v>50013</v>
      </c>
      <c r="D3817" s="14" t="s">
        <v>11516</v>
      </c>
      <c r="E3817" s="229"/>
      <c r="F3817" s="117" t="s">
        <v>11518</v>
      </c>
      <c r="G3817" s="26">
        <v>857</v>
      </c>
      <c r="H3817" s="231"/>
      <c r="I3817" s="221"/>
      <c r="J3817" s="221"/>
      <c r="K3817" s="221"/>
      <c r="L3817" s="221"/>
      <c r="M3817" s="221"/>
      <c r="N3817" s="221"/>
      <c r="O3817" s="225"/>
      <c r="P3817" s="118" t="s">
        <v>12095</v>
      </c>
      <c r="Q3817" s="16" t="s">
        <v>20</v>
      </c>
      <c r="R3817" s="17" t="s">
        <v>2216</v>
      </c>
      <c r="S3817" s="121" t="s">
        <v>2405</v>
      </c>
      <c r="T3817" s="122"/>
      <c r="U3817" s="22"/>
      <c r="V3817" s="123" t="s">
        <v>2103</v>
      </c>
      <c r="W3817" s="122">
        <v>3149</v>
      </c>
      <c r="X3817" s="221"/>
      <c r="Y3817" s="221"/>
      <c r="Z3817" s="221"/>
      <c r="AA3817" s="221"/>
      <c r="AB3817" s="223"/>
    </row>
    <row r="3818" spans="1:28" ht="17.100000000000001" customHeight="1" thickTop="1">
      <c r="A3818" s="226" t="s">
        <v>11592</v>
      </c>
      <c r="B3818" s="28">
        <v>45988</v>
      </c>
      <c r="C3818" s="25">
        <v>2004</v>
      </c>
      <c r="D3818" s="13" t="s">
        <v>11489</v>
      </c>
      <c r="E3818" s="228"/>
      <c r="F3818" s="109" t="s">
        <v>11519</v>
      </c>
      <c r="G3818" s="24"/>
      <c r="H3818" s="230">
        <v>3.5</v>
      </c>
      <c r="I3818" s="220">
        <v>1375000</v>
      </c>
      <c r="J3818" s="220">
        <f>I3818*0.1</f>
        <v>137500</v>
      </c>
      <c r="K3818" s="220">
        <v>0</v>
      </c>
      <c r="L3818" s="220">
        <v>7040</v>
      </c>
      <c r="M3818" s="220">
        <v>22000</v>
      </c>
      <c r="N3818" s="220">
        <f>SUM(I3818:M3819)</f>
        <v>1541540</v>
      </c>
      <c r="O3818" s="224"/>
      <c r="P3818" s="110" t="s">
        <v>12093</v>
      </c>
      <c r="Q3818" s="15" t="s">
        <v>19</v>
      </c>
      <c r="R3818" s="205"/>
      <c r="S3818" s="189"/>
      <c r="T3818" s="114"/>
      <c r="U3818" s="21"/>
      <c r="V3818" s="115">
        <v>45994</v>
      </c>
      <c r="W3818" s="116">
        <v>995</v>
      </c>
      <c r="X3818" s="220">
        <v>1530000</v>
      </c>
      <c r="Y3818" s="220">
        <f>X3818*0.1</f>
        <v>153000</v>
      </c>
      <c r="Z3818" s="220">
        <v>7040</v>
      </c>
      <c r="AA3818" s="220">
        <f>SUM(X3818:Z3818)</f>
        <v>1690040</v>
      </c>
      <c r="AB3818" s="222">
        <v>45999</v>
      </c>
    </row>
    <row r="3819" spans="1:28" ht="17.100000000000001" customHeight="1" thickBot="1">
      <c r="A3819" s="227"/>
      <c r="B3819" s="27" t="s">
        <v>11496</v>
      </c>
      <c r="C3819" s="27">
        <v>50015</v>
      </c>
      <c r="D3819" s="14" t="s">
        <v>1797</v>
      </c>
      <c r="E3819" s="229"/>
      <c r="F3819" s="117" t="s">
        <v>12068</v>
      </c>
      <c r="G3819" s="26">
        <v>26433</v>
      </c>
      <c r="H3819" s="231"/>
      <c r="I3819" s="221"/>
      <c r="J3819" s="221"/>
      <c r="K3819" s="221"/>
      <c r="L3819" s="221"/>
      <c r="M3819" s="221"/>
      <c r="N3819" s="221"/>
      <c r="O3819" s="225"/>
      <c r="P3819" s="118" t="s">
        <v>12095</v>
      </c>
      <c r="Q3819" s="16" t="s">
        <v>20</v>
      </c>
      <c r="R3819" s="17" t="s">
        <v>2216</v>
      </c>
      <c r="S3819" s="121"/>
      <c r="T3819" s="122"/>
      <c r="U3819" s="22"/>
      <c r="V3819" s="123" t="s">
        <v>2747</v>
      </c>
      <c r="W3819" s="122">
        <v>2049</v>
      </c>
      <c r="X3819" s="221"/>
      <c r="Y3819" s="221"/>
      <c r="Z3819" s="221"/>
      <c r="AA3819" s="221"/>
      <c r="AB3819" s="223"/>
    </row>
    <row r="3820" spans="1:28" ht="17.100000000000001" customHeight="1" thickTop="1">
      <c r="A3820" s="226" t="s">
        <v>11593</v>
      </c>
      <c r="B3820" s="28">
        <v>45988</v>
      </c>
      <c r="C3820" s="25">
        <v>2004</v>
      </c>
      <c r="D3820" s="13" t="s">
        <v>11460</v>
      </c>
      <c r="E3820" s="228"/>
      <c r="F3820" s="109" t="s">
        <v>2743</v>
      </c>
      <c r="G3820" s="24" t="s">
        <v>11469</v>
      </c>
      <c r="H3820" s="230">
        <v>3.5</v>
      </c>
      <c r="I3820" s="220">
        <v>960000</v>
      </c>
      <c r="J3820" s="220">
        <f>I3820*0.1</f>
        <v>96000</v>
      </c>
      <c r="K3820" s="220">
        <v>0</v>
      </c>
      <c r="L3820" s="220">
        <v>8550</v>
      </c>
      <c r="M3820" s="220">
        <v>22000</v>
      </c>
      <c r="N3820" s="220">
        <f>SUM(I3820:M3821)</f>
        <v>1086550</v>
      </c>
      <c r="O3820" s="224"/>
      <c r="P3820" s="110" t="s">
        <v>12094</v>
      </c>
      <c r="Q3820" s="15" t="s">
        <v>19</v>
      </c>
      <c r="R3820" s="205"/>
      <c r="S3820" s="189"/>
      <c r="T3820" s="114"/>
      <c r="U3820" s="21" t="s">
        <v>13162</v>
      </c>
      <c r="V3820" s="115">
        <v>46018</v>
      </c>
      <c r="W3820" s="116">
        <v>1282</v>
      </c>
      <c r="X3820" s="220">
        <v>1090000</v>
      </c>
      <c r="Y3820" s="220">
        <f>X3820*0.1</f>
        <v>109000</v>
      </c>
      <c r="Z3820" s="220">
        <v>8550</v>
      </c>
      <c r="AA3820" s="220">
        <f>SUM(X3820:Z3820)</f>
        <v>1207550</v>
      </c>
      <c r="AB3820" s="222">
        <v>46028</v>
      </c>
    </row>
    <row r="3821" spans="1:28" ht="17.100000000000001" customHeight="1" thickBot="1">
      <c r="A3821" s="227"/>
      <c r="B3821" s="27" t="s">
        <v>11496</v>
      </c>
      <c r="C3821" s="27">
        <v>50035</v>
      </c>
      <c r="D3821" s="14" t="s">
        <v>11494</v>
      </c>
      <c r="E3821" s="229"/>
      <c r="F3821" s="117" t="s">
        <v>11520</v>
      </c>
      <c r="G3821" s="26">
        <v>53408</v>
      </c>
      <c r="H3821" s="231"/>
      <c r="I3821" s="221"/>
      <c r="J3821" s="221"/>
      <c r="K3821" s="221"/>
      <c r="L3821" s="221"/>
      <c r="M3821" s="221"/>
      <c r="N3821" s="221"/>
      <c r="O3821" s="225"/>
      <c r="P3821" s="118" t="s">
        <v>11653</v>
      </c>
      <c r="Q3821" s="16" t="s">
        <v>20</v>
      </c>
      <c r="R3821" s="17" t="s">
        <v>2216</v>
      </c>
      <c r="S3821" s="121" t="s">
        <v>13169</v>
      </c>
      <c r="T3821" s="122"/>
      <c r="U3821" s="22"/>
      <c r="V3821" s="123" t="s">
        <v>2472</v>
      </c>
      <c r="W3821" s="122">
        <v>60115</v>
      </c>
      <c r="X3821" s="221"/>
      <c r="Y3821" s="221"/>
      <c r="Z3821" s="221"/>
      <c r="AA3821" s="221"/>
      <c r="AB3821" s="223"/>
    </row>
    <row r="3822" spans="1:28" ht="17.100000000000001" customHeight="1" thickTop="1">
      <c r="A3822" s="226" t="s">
        <v>11594</v>
      </c>
      <c r="B3822" s="28">
        <v>45988</v>
      </c>
      <c r="C3822" s="25">
        <v>2004</v>
      </c>
      <c r="D3822" s="13" t="s">
        <v>11521</v>
      </c>
      <c r="E3822" s="228"/>
      <c r="F3822" s="109" t="s">
        <v>11522</v>
      </c>
      <c r="G3822" s="24" t="s">
        <v>11524</v>
      </c>
      <c r="H3822" s="230">
        <v>4.5</v>
      </c>
      <c r="I3822" s="220">
        <v>960000</v>
      </c>
      <c r="J3822" s="220">
        <f>I3822*0.1</f>
        <v>96000</v>
      </c>
      <c r="K3822" s="220">
        <v>0</v>
      </c>
      <c r="L3822" s="220">
        <v>6560</v>
      </c>
      <c r="M3822" s="220">
        <v>22000</v>
      </c>
      <c r="N3822" s="220">
        <f>SUM(I3822:M3823)</f>
        <v>1084560</v>
      </c>
      <c r="O3822" s="224"/>
      <c r="P3822" s="110" t="s">
        <v>11525</v>
      </c>
      <c r="Q3822" s="15" t="s">
        <v>19</v>
      </c>
      <c r="R3822" s="205"/>
      <c r="S3822" s="189"/>
      <c r="T3822" s="114"/>
      <c r="U3822" s="21" t="s">
        <v>12263</v>
      </c>
      <c r="V3822" s="115">
        <v>45993</v>
      </c>
      <c r="W3822" s="116">
        <v>1920</v>
      </c>
      <c r="X3822" s="220">
        <v>1019000</v>
      </c>
      <c r="Y3822" s="220">
        <f>X3822*0.1</f>
        <v>101900</v>
      </c>
      <c r="Z3822" s="220">
        <v>6560</v>
      </c>
      <c r="AA3822" s="220">
        <f>SUM(X3822:Z3822)</f>
        <v>1127460</v>
      </c>
      <c r="AB3822" s="222"/>
    </row>
    <row r="3823" spans="1:28" ht="17.100000000000001" customHeight="1" thickBot="1">
      <c r="A3823" s="227"/>
      <c r="B3823" s="27" t="s">
        <v>11496</v>
      </c>
      <c r="C3823" s="27">
        <v>50142</v>
      </c>
      <c r="D3823" s="14" t="s">
        <v>11501</v>
      </c>
      <c r="E3823" s="229"/>
      <c r="F3823" s="117" t="s">
        <v>11523</v>
      </c>
      <c r="G3823" s="26">
        <v>18281</v>
      </c>
      <c r="H3823" s="231"/>
      <c r="I3823" s="221"/>
      <c r="J3823" s="221"/>
      <c r="K3823" s="221"/>
      <c r="L3823" s="221"/>
      <c r="M3823" s="221"/>
      <c r="N3823" s="221"/>
      <c r="O3823" s="225"/>
      <c r="P3823" s="118" t="s">
        <v>12092</v>
      </c>
      <c r="Q3823" s="16" t="s">
        <v>20</v>
      </c>
      <c r="R3823" s="17" t="s">
        <v>2216</v>
      </c>
      <c r="S3823" s="121" t="s">
        <v>2405</v>
      </c>
      <c r="T3823" s="122"/>
      <c r="U3823" s="22"/>
      <c r="V3823" s="123" t="s">
        <v>2103</v>
      </c>
      <c r="W3823" s="122">
        <v>3255</v>
      </c>
      <c r="X3823" s="221"/>
      <c r="Y3823" s="221"/>
      <c r="Z3823" s="221"/>
      <c r="AA3823" s="221"/>
      <c r="AB3823" s="223"/>
    </row>
    <row r="3824" spans="1:28" ht="17.100000000000001" customHeight="1" thickTop="1">
      <c r="A3824" s="226" t="s">
        <v>11595</v>
      </c>
      <c r="B3824" s="28">
        <v>45988</v>
      </c>
      <c r="C3824" s="25">
        <v>2223</v>
      </c>
      <c r="D3824" s="13" t="s">
        <v>11552</v>
      </c>
      <c r="E3824" s="228"/>
      <c r="F3824" s="109" t="s">
        <v>11553</v>
      </c>
      <c r="G3824" s="24"/>
      <c r="H3824" s="230">
        <v>4.5</v>
      </c>
      <c r="I3824" s="220">
        <v>1519000</v>
      </c>
      <c r="J3824" s="220">
        <f>I3824*0.1</f>
        <v>151900</v>
      </c>
      <c r="K3824" s="220">
        <v>0</v>
      </c>
      <c r="L3824" s="220">
        <v>20540</v>
      </c>
      <c r="M3824" s="220">
        <v>15950</v>
      </c>
      <c r="N3824" s="220">
        <f>SUM(I3824:M3825)</f>
        <v>1707390</v>
      </c>
      <c r="O3824" s="224"/>
      <c r="P3824" s="110" t="s">
        <v>11823</v>
      </c>
      <c r="Q3824" s="15" t="s">
        <v>19</v>
      </c>
      <c r="R3824" s="205"/>
      <c r="S3824" s="189"/>
      <c r="T3824" s="114"/>
      <c r="U3824" s="21"/>
      <c r="V3824" s="115">
        <v>46004</v>
      </c>
      <c r="W3824" s="116">
        <v>1702</v>
      </c>
      <c r="X3824" s="220">
        <v>1665000</v>
      </c>
      <c r="Y3824" s="220">
        <f>X3824*0.1</f>
        <v>166500</v>
      </c>
      <c r="Z3824" s="220">
        <v>20540</v>
      </c>
      <c r="AA3824" s="220">
        <f>SUM(X3824:Z3824)</f>
        <v>1852040</v>
      </c>
      <c r="AB3824" s="222">
        <v>46005</v>
      </c>
    </row>
    <row r="3825" spans="1:28" ht="17.100000000000001" customHeight="1" thickBot="1">
      <c r="A3825" s="227"/>
      <c r="B3825" s="27" t="s">
        <v>11551</v>
      </c>
      <c r="C3825" s="27">
        <v>7007</v>
      </c>
      <c r="D3825" s="14" t="s">
        <v>2559</v>
      </c>
      <c r="E3825" s="229"/>
      <c r="F3825" s="117" t="s">
        <v>11554</v>
      </c>
      <c r="G3825" s="26">
        <v>53381</v>
      </c>
      <c r="H3825" s="231"/>
      <c r="I3825" s="221"/>
      <c r="J3825" s="221"/>
      <c r="K3825" s="221"/>
      <c r="L3825" s="221"/>
      <c r="M3825" s="221"/>
      <c r="N3825" s="221"/>
      <c r="O3825" s="225"/>
      <c r="P3825" s="118" t="s">
        <v>3551</v>
      </c>
      <c r="Q3825" s="16" t="s">
        <v>20</v>
      </c>
      <c r="R3825" s="17" t="s">
        <v>11800</v>
      </c>
      <c r="S3825" s="121" t="s">
        <v>169</v>
      </c>
      <c r="T3825" s="122"/>
      <c r="U3825" s="22"/>
      <c r="V3825" s="123" t="s">
        <v>1842</v>
      </c>
      <c r="W3825" s="122">
        <v>351</v>
      </c>
      <c r="X3825" s="221"/>
      <c r="Y3825" s="221"/>
      <c r="Z3825" s="221"/>
      <c r="AA3825" s="221"/>
      <c r="AB3825" s="223"/>
    </row>
    <row r="3826" spans="1:28" ht="17.100000000000001" customHeight="1" thickTop="1">
      <c r="A3826" s="226" t="s">
        <v>11596</v>
      </c>
      <c r="B3826" s="28">
        <v>45988</v>
      </c>
      <c r="C3826" s="25">
        <v>2136</v>
      </c>
      <c r="D3826" s="13" t="s">
        <v>1021</v>
      </c>
      <c r="E3826" s="228"/>
      <c r="F3826" s="109" t="s">
        <v>4145</v>
      </c>
      <c r="G3826" s="24"/>
      <c r="H3826" s="230">
        <v>4</v>
      </c>
      <c r="I3826" s="220">
        <v>420000</v>
      </c>
      <c r="J3826" s="220">
        <f>I3826*0.1</f>
        <v>42000</v>
      </c>
      <c r="K3826" s="220">
        <v>0</v>
      </c>
      <c r="L3826" s="220">
        <v>8460</v>
      </c>
      <c r="M3826" s="220">
        <v>13750</v>
      </c>
      <c r="N3826" s="220">
        <f>SUM(I3826:M3827)</f>
        <v>484210</v>
      </c>
      <c r="O3826" s="224"/>
      <c r="P3826" s="110" t="s">
        <v>12140</v>
      </c>
      <c r="Q3826" s="15" t="s">
        <v>19</v>
      </c>
      <c r="R3826" s="205"/>
      <c r="S3826" s="189"/>
      <c r="T3826" s="114"/>
      <c r="U3826" s="21"/>
      <c r="V3826" s="115">
        <v>45994</v>
      </c>
      <c r="W3826" s="116">
        <v>995</v>
      </c>
      <c r="X3826" s="220">
        <v>500000</v>
      </c>
      <c r="Y3826" s="220">
        <f>X3826*0.1</f>
        <v>50000</v>
      </c>
      <c r="Z3826" s="220">
        <v>8460</v>
      </c>
      <c r="AA3826" s="220">
        <f>SUM(X3826:Z3826)</f>
        <v>558460</v>
      </c>
      <c r="AB3826" s="222">
        <v>46001</v>
      </c>
    </row>
    <row r="3827" spans="1:28" ht="17.100000000000001" customHeight="1" thickBot="1">
      <c r="A3827" s="227"/>
      <c r="B3827" s="27" t="s">
        <v>3228</v>
      </c>
      <c r="C3827" s="27">
        <v>238</v>
      </c>
      <c r="D3827" s="14" t="s">
        <v>1710</v>
      </c>
      <c r="E3827" s="229"/>
      <c r="F3827" s="117" t="s">
        <v>11600</v>
      </c>
      <c r="G3827" s="26">
        <v>23236</v>
      </c>
      <c r="H3827" s="231"/>
      <c r="I3827" s="221"/>
      <c r="J3827" s="221"/>
      <c r="K3827" s="221"/>
      <c r="L3827" s="221"/>
      <c r="M3827" s="221"/>
      <c r="N3827" s="221"/>
      <c r="O3827" s="225"/>
      <c r="P3827" s="118" t="s">
        <v>3355</v>
      </c>
      <c r="Q3827" s="16" t="s">
        <v>20</v>
      </c>
      <c r="R3827" s="17" t="s">
        <v>2216</v>
      </c>
      <c r="S3827" s="121" t="s">
        <v>4413</v>
      </c>
      <c r="T3827" s="122"/>
      <c r="U3827" s="22"/>
      <c r="V3827" s="123" t="s">
        <v>8648</v>
      </c>
      <c r="W3827" s="122">
        <v>2047</v>
      </c>
      <c r="X3827" s="221"/>
      <c r="Y3827" s="221"/>
      <c r="Z3827" s="221"/>
      <c r="AA3827" s="221"/>
      <c r="AB3827" s="223"/>
    </row>
    <row r="3828" spans="1:28" ht="17.100000000000001" customHeight="1" thickTop="1">
      <c r="A3828" s="226" t="s">
        <v>11597</v>
      </c>
      <c r="B3828" s="28">
        <v>45988</v>
      </c>
      <c r="C3828" s="25">
        <v>2136</v>
      </c>
      <c r="D3828" s="13" t="s">
        <v>3269</v>
      </c>
      <c r="E3828" s="228"/>
      <c r="F3828" s="109" t="s">
        <v>4072</v>
      </c>
      <c r="G3828" s="24" t="s">
        <v>11604</v>
      </c>
      <c r="H3828" s="230">
        <v>4</v>
      </c>
      <c r="I3828" s="220">
        <v>773000</v>
      </c>
      <c r="J3828" s="220">
        <f>I3828*0.1</f>
        <v>77300</v>
      </c>
      <c r="K3828" s="220">
        <v>0</v>
      </c>
      <c r="L3828" s="220">
        <v>8110</v>
      </c>
      <c r="M3828" s="220">
        <v>13750</v>
      </c>
      <c r="N3828" s="220">
        <f>SUM(I3828:M3829)</f>
        <v>872160</v>
      </c>
      <c r="O3828" s="224"/>
      <c r="P3828" s="110" t="s">
        <v>11983</v>
      </c>
      <c r="Q3828" s="15" t="s">
        <v>19</v>
      </c>
      <c r="R3828" s="205"/>
      <c r="S3828" s="189" t="s">
        <v>758</v>
      </c>
      <c r="T3828" s="114"/>
      <c r="U3828" s="21" t="s">
        <v>12268</v>
      </c>
      <c r="V3828" s="115">
        <v>45994</v>
      </c>
      <c r="W3828" s="116">
        <v>995</v>
      </c>
      <c r="X3828" s="220">
        <v>875000</v>
      </c>
      <c r="Y3828" s="220">
        <f>X3828*0.1</f>
        <v>87500</v>
      </c>
      <c r="Z3828" s="220">
        <v>8110</v>
      </c>
      <c r="AA3828" s="220">
        <f>SUM(X3828:Z3828)</f>
        <v>970610</v>
      </c>
      <c r="AB3828" s="222">
        <v>45999</v>
      </c>
    </row>
    <row r="3829" spans="1:28" ht="17.100000000000001" customHeight="1" thickBot="1">
      <c r="A3829" s="227"/>
      <c r="B3829" s="27" t="s">
        <v>3228</v>
      </c>
      <c r="C3829" s="27">
        <v>2505</v>
      </c>
      <c r="D3829" s="14" t="s">
        <v>3731</v>
      </c>
      <c r="E3829" s="229"/>
      <c r="F3829" s="117" t="s">
        <v>11601</v>
      </c>
      <c r="G3829" s="26">
        <v>23321</v>
      </c>
      <c r="H3829" s="231"/>
      <c r="I3829" s="221"/>
      <c r="J3829" s="221"/>
      <c r="K3829" s="221"/>
      <c r="L3829" s="221"/>
      <c r="M3829" s="221"/>
      <c r="N3829" s="221"/>
      <c r="O3829" s="225"/>
      <c r="P3829" s="118" t="s">
        <v>11984</v>
      </c>
      <c r="Q3829" s="16" t="s">
        <v>20</v>
      </c>
      <c r="R3829" s="17" t="s">
        <v>1730</v>
      </c>
      <c r="S3829" s="121" t="s">
        <v>1731</v>
      </c>
      <c r="T3829" s="122"/>
      <c r="U3829" s="22"/>
      <c r="V3829" s="123" t="s">
        <v>2747</v>
      </c>
      <c r="W3829" s="122">
        <v>2052</v>
      </c>
      <c r="X3829" s="221"/>
      <c r="Y3829" s="221"/>
      <c r="Z3829" s="221"/>
      <c r="AA3829" s="221"/>
      <c r="AB3829" s="223"/>
    </row>
    <row r="3830" spans="1:28" ht="17.100000000000001" customHeight="1" thickTop="1">
      <c r="A3830" s="226" t="s">
        <v>11598</v>
      </c>
      <c r="B3830" s="28">
        <v>45988</v>
      </c>
      <c r="C3830" s="25">
        <v>2136</v>
      </c>
      <c r="D3830" s="13" t="s">
        <v>1754</v>
      </c>
      <c r="E3830" s="228"/>
      <c r="F3830" s="109" t="s">
        <v>11605</v>
      </c>
      <c r="G3830" s="24"/>
      <c r="H3830" s="230">
        <v>4</v>
      </c>
      <c r="I3830" s="220">
        <v>794000</v>
      </c>
      <c r="J3830" s="220">
        <f>I3830*0.1</f>
        <v>79400</v>
      </c>
      <c r="K3830" s="220">
        <v>0</v>
      </c>
      <c r="L3830" s="220">
        <v>9140</v>
      </c>
      <c r="M3830" s="220">
        <v>13750</v>
      </c>
      <c r="N3830" s="220">
        <f>SUM(I3830:M3831)</f>
        <v>896290</v>
      </c>
      <c r="O3830" s="224"/>
      <c r="P3830" s="110" t="s">
        <v>11985</v>
      </c>
      <c r="Q3830" s="15" t="s">
        <v>19</v>
      </c>
      <c r="R3830" s="205"/>
      <c r="S3830" s="189" t="s">
        <v>1312</v>
      </c>
      <c r="T3830" s="114"/>
      <c r="U3830" s="21"/>
      <c r="V3830" s="115">
        <v>46011</v>
      </c>
      <c r="W3830" s="116">
        <v>1281</v>
      </c>
      <c r="X3830" s="220">
        <v>850000</v>
      </c>
      <c r="Y3830" s="220">
        <f>X3830*0.1</f>
        <v>85000</v>
      </c>
      <c r="Z3830" s="220">
        <v>9140</v>
      </c>
      <c r="AA3830" s="220">
        <f>SUM(X3830:Z3830)</f>
        <v>944140</v>
      </c>
      <c r="AB3830" s="222">
        <v>46014</v>
      </c>
    </row>
    <row r="3831" spans="1:28" ht="17.100000000000001" customHeight="1" thickBot="1">
      <c r="A3831" s="227"/>
      <c r="B3831" s="27" t="s">
        <v>3228</v>
      </c>
      <c r="C3831" s="27">
        <v>2531</v>
      </c>
      <c r="D3831" s="14" t="s">
        <v>273</v>
      </c>
      <c r="E3831" s="229"/>
      <c r="F3831" s="117" t="s">
        <v>11602</v>
      </c>
      <c r="G3831" s="26">
        <v>58391</v>
      </c>
      <c r="H3831" s="231"/>
      <c r="I3831" s="221"/>
      <c r="J3831" s="221"/>
      <c r="K3831" s="221"/>
      <c r="L3831" s="221"/>
      <c r="M3831" s="221"/>
      <c r="N3831" s="221"/>
      <c r="O3831" s="225"/>
      <c r="P3831" s="118" t="s">
        <v>2404</v>
      </c>
      <c r="Q3831" s="16" t="s">
        <v>20</v>
      </c>
      <c r="R3831" s="17" t="s">
        <v>1730</v>
      </c>
      <c r="S3831" s="121" t="s">
        <v>11986</v>
      </c>
      <c r="T3831" s="122"/>
      <c r="U3831" s="22"/>
      <c r="V3831" s="123" t="s">
        <v>7160</v>
      </c>
      <c r="W3831" s="122">
        <v>60001</v>
      </c>
      <c r="X3831" s="221"/>
      <c r="Y3831" s="221"/>
      <c r="Z3831" s="221"/>
      <c r="AA3831" s="221"/>
      <c r="AB3831" s="223"/>
    </row>
    <row r="3832" spans="1:28" ht="17.100000000000001" customHeight="1" thickTop="1">
      <c r="A3832" s="226" t="s">
        <v>11599</v>
      </c>
      <c r="B3832" s="28">
        <v>45988</v>
      </c>
      <c r="C3832" s="25">
        <v>2136</v>
      </c>
      <c r="D3832" s="13" t="s">
        <v>1947</v>
      </c>
      <c r="E3832" s="228"/>
      <c r="F3832" s="109" t="s">
        <v>2743</v>
      </c>
      <c r="G3832" s="24"/>
      <c r="H3832" s="230">
        <v>4</v>
      </c>
      <c r="I3832" s="220">
        <v>1166000</v>
      </c>
      <c r="J3832" s="220">
        <f>I3832*0.1</f>
        <v>116600</v>
      </c>
      <c r="K3832" s="220">
        <v>0</v>
      </c>
      <c r="L3832" s="220">
        <v>8550</v>
      </c>
      <c r="M3832" s="220">
        <v>13750</v>
      </c>
      <c r="N3832" s="220">
        <f>SUM(I3832:M3833)</f>
        <v>1304900</v>
      </c>
      <c r="O3832" s="224"/>
      <c r="P3832" s="110" t="s">
        <v>11981</v>
      </c>
      <c r="Q3832" s="15" t="s">
        <v>19</v>
      </c>
      <c r="R3832" s="205"/>
      <c r="S3832" s="189"/>
      <c r="T3832" s="114"/>
      <c r="U3832" s="21"/>
      <c r="V3832" s="115">
        <v>46011</v>
      </c>
      <c r="W3832" s="116">
        <v>1281</v>
      </c>
      <c r="X3832" s="220">
        <v>1250000</v>
      </c>
      <c r="Y3832" s="220">
        <f>X3832*0.1</f>
        <v>125000</v>
      </c>
      <c r="Z3832" s="220">
        <v>8550</v>
      </c>
      <c r="AA3832" s="220">
        <f>SUM(X3832:Z3832)</f>
        <v>1383550</v>
      </c>
      <c r="AB3832" s="222">
        <v>46028</v>
      </c>
    </row>
    <row r="3833" spans="1:28" ht="17.100000000000001" customHeight="1" thickBot="1">
      <c r="A3833" s="227"/>
      <c r="B3833" s="27" t="s">
        <v>3228</v>
      </c>
      <c r="C3833" s="27">
        <v>2548</v>
      </c>
      <c r="D3833" s="14" t="s">
        <v>273</v>
      </c>
      <c r="E3833" s="229"/>
      <c r="F3833" s="117" t="s">
        <v>11603</v>
      </c>
      <c r="G3833" s="26">
        <v>44128</v>
      </c>
      <c r="H3833" s="231"/>
      <c r="I3833" s="221"/>
      <c r="J3833" s="221"/>
      <c r="K3833" s="221"/>
      <c r="L3833" s="221"/>
      <c r="M3833" s="221"/>
      <c r="N3833" s="221"/>
      <c r="O3833" s="225"/>
      <c r="P3833" s="118" t="s">
        <v>11982</v>
      </c>
      <c r="Q3833" s="16" t="s">
        <v>20</v>
      </c>
      <c r="R3833" s="17" t="s">
        <v>1730</v>
      </c>
      <c r="S3833" s="121" t="s">
        <v>11875</v>
      </c>
      <c r="T3833" s="122"/>
      <c r="U3833" s="22"/>
      <c r="V3833" s="123" t="s">
        <v>6641</v>
      </c>
      <c r="W3833" s="122">
        <v>60003</v>
      </c>
      <c r="X3833" s="221"/>
      <c r="Y3833" s="221"/>
      <c r="Z3833" s="221"/>
      <c r="AA3833" s="221"/>
      <c r="AB3833" s="223"/>
    </row>
    <row r="3834" spans="1:28" ht="17.100000000000001" customHeight="1" thickTop="1">
      <c r="A3834" s="226" t="s">
        <v>11680</v>
      </c>
      <c r="B3834" s="28">
        <v>45989</v>
      </c>
      <c r="C3834" s="25">
        <v>268</v>
      </c>
      <c r="D3834" s="13" t="s">
        <v>3332</v>
      </c>
      <c r="E3834" s="228"/>
      <c r="F3834" s="109" t="s">
        <v>8010</v>
      </c>
      <c r="G3834" s="24"/>
      <c r="H3834" s="230">
        <v>4.5</v>
      </c>
      <c r="I3834" s="220">
        <v>632000</v>
      </c>
      <c r="J3834" s="220">
        <f>I3834*0.1</f>
        <v>63200</v>
      </c>
      <c r="K3834" s="220">
        <v>0</v>
      </c>
      <c r="L3834" s="220">
        <v>6470</v>
      </c>
      <c r="M3834" s="220">
        <v>22000</v>
      </c>
      <c r="N3834" s="220">
        <f>SUM(I3834:M3835)</f>
        <v>723670</v>
      </c>
      <c r="O3834" s="224"/>
      <c r="P3834" s="110" t="s">
        <v>12141</v>
      </c>
      <c r="Q3834" s="15" t="s">
        <v>19</v>
      </c>
      <c r="R3834" s="205"/>
      <c r="S3834" s="189" t="s">
        <v>25618</v>
      </c>
      <c r="T3834" s="114"/>
      <c r="U3834" s="21"/>
      <c r="V3834" s="115">
        <v>46000</v>
      </c>
      <c r="W3834" s="116">
        <v>1921</v>
      </c>
      <c r="X3834" s="220">
        <v>660000</v>
      </c>
      <c r="Y3834" s="220">
        <f>X3834*0.1</f>
        <v>66000</v>
      </c>
      <c r="Z3834" s="220">
        <v>6470</v>
      </c>
      <c r="AA3834" s="220">
        <f>SUM(X3834:Z3834)</f>
        <v>732470</v>
      </c>
      <c r="AB3834" s="222">
        <v>46006</v>
      </c>
    </row>
    <row r="3835" spans="1:28" ht="17.100000000000001" customHeight="1" thickBot="1">
      <c r="A3835" s="227"/>
      <c r="B3835" s="27" t="s">
        <v>3890</v>
      </c>
      <c r="C3835" s="27">
        <v>7</v>
      </c>
      <c r="D3835" s="14" t="s">
        <v>273</v>
      </c>
      <c r="E3835" s="229"/>
      <c r="F3835" s="117" t="s">
        <v>11606</v>
      </c>
      <c r="G3835" s="26">
        <v>43118</v>
      </c>
      <c r="H3835" s="231"/>
      <c r="I3835" s="221"/>
      <c r="J3835" s="221"/>
      <c r="K3835" s="221"/>
      <c r="L3835" s="221"/>
      <c r="M3835" s="221"/>
      <c r="N3835" s="221"/>
      <c r="O3835" s="225"/>
      <c r="P3835" s="118" t="s">
        <v>12142</v>
      </c>
      <c r="Q3835" s="16" t="s">
        <v>20</v>
      </c>
      <c r="R3835" s="17" t="s">
        <v>2216</v>
      </c>
      <c r="S3835" s="121" t="s">
        <v>12143</v>
      </c>
      <c r="T3835" s="122"/>
      <c r="U3835" s="22"/>
      <c r="V3835" s="123" t="s">
        <v>2103</v>
      </c>
      <c r="W3835" s="122">
        <v>3131</v>
      </c>
      <c r="X3835" s="221"/>
      <c r="Y3835" s="221"/>
      <c r="Z3835" s="221"/>
      <c r="AA3835" s="221"/>
      <c r="AB3835" s="223"/>
    </row>
    <row r="3836" spans="1:28" ht="17.100000000000001" customHeight="1" thickTop="1">
      <c r="A3836" s="226" t="s">
        <v>11681</v>
      </c>
      <c r="B3836" s="28">
        <v>45989</v>
      </c>
      <c r="C3836" s="25">
        <v>268</v>
      </c>
      <c r="D3836" s="13" t="s">
        <v>1642</v>
      </c>
      <c r="E3836" s="228"/>
      <c r="F3836" s="109" t="s">
        <v>11607</v>
      </c>
      <c r="G3836" s="24" t="s">
        <v>2084</v>
      </c>
      <c r="H3836" s="230">
        <v>4.5</v>
      </c>
      <c r="I3836" s="220">
        <v>1052000</v>
      </c>
      <c r="J3836" s="220">
        <f>I3836*0.1</f>
        <v>105200</v>
      </c>
      <c r="K3836" s="220">
        <v>0</v>
      </c>
      <c r="L3836" s="220">
        <v>6560</v>
      </c>
      <c r="M3836" s="220">
        <v>22000</v>
      </c>
      <c r="N3836" s="220">
        <f>SUM(I3836:M3837)</f>
        <v>1185760</v>
      </c>
      <c r="O3836" s="224"/>
      <c r="P3836" s="110" t="s">
        <v>11609</v>
      </c>
      <c r="Q3836" s="15" t="s">
        <v>19</v>
      </c>
      <c r="R3836" s="205"/>
      <c r="S3836" s="189" t="s">
        <v>25618</v>
      </c>
      <c r="T3836" s="114"/>
      <c r="U3836" s="21" t="s">
        <v>12591</v>
      </c>
      <c r="V3836" s="115">
        <v>46000</v>
      </c>
      <c r="W3836" s="116">
        <v>1921</v>
      </c>
      <c r="X3836" s="220">
        <v>1085000</v>
      </c>
      <c r="Y3836" s="220">
        <f>X3836*0.1</f>
        <v>108500</v>
      </c>
      <c r="Z3836" s="220">
        <v>6560</v>
      </c>
      <c r="AA3836" s="220">
        <f>SUM(X3836:Z3836)</f>
        <v>1200060</v>
      </c>
      <c r="AB3836" s="222">
        <v>46006</v>
      </c>
    </row>
    <row r="3837" spans="1:28" ht="17.100000000000001" customHeight="1" thickBot="1">
      <c r="A3837" s="227"/>
      <c r="B3837" s="27" t="s">
        <v>3890</v>
      </c>
      <c r="C3837" s="27">
        <v>11</v>
      </c>
      <c r="D3837" s="14" t="s">
        <v>2559</v>
      </c>
      <c r="E3837" s="229"/>
      <c r="F3837" s="117" t="s">
        <v>11608</v>
      </c>
      <c r="G3837" s="26">
        <v>24569</v>
      </c>
      <c r="H3837" s="231"/>
      <c r="I3837" s="221"/>
      <c r="J3837" s="221"/>
      <c r="K3837" s="221"/>
      <c r="L3837" s="221"/>
      <c r="M3837" s="221"/>
      <c r="N3837" s="221"/>
      <c r="O3837" s="225"/>
      <c r="P3837" s="118" t="s">
        <v>12142</v>
      </c>
      <c r="Q3837" s="16" t="s">
        <v>20</v>
      </c>
      <c r="R3837" s="17" t="s">
        <v>2216</v>
      </c>
      <c r="S3837" s="121" t="s">
        <v>12143</v>
      </c>
      <c r="T3837" s="122"/>
      <c r="U3837" s="22"/>
      <c r="V3837" s="123" t="s">
        <v>2103</v>
      </c>
      <c r="W3837" s="122">
        <v>3135</v>
      </c>
      <c r="X3837" s="221"/>
      <c r="Y3837" s="221"/>
      <c r="Z3837" s="221"/>
      <c r="AA3837" s="221"/>
      <c r="AB3837" s="223"/>
    </row>
    <row r="3838" spans="1:28" ht="17.100000000000001" customHeight="1" thickTop="1">
      <c r="A3838" s="233" t="s">
        <v>11682</v>
      </c>
      <c r="B3838" s="28">
        <v>45989</v>
      </c>
      <c r="C3838" s="25">
        <v>268</v>
      </c>
      <c r="D3838" s="13" t="s">
        <v>1733</v>
      </c>
      <c r="E3838" s="228"/>
      <c r="F3838" s="109" t="s">
        <v>11610</v>
      </c>
      <c r="G3838" s="24" t="s">
        <v>2871</v>
      </c>
      <c r="H3838" s="230">
        <v>4</v>
      </c>
      <c r="I3838" s="220">
        <v>404000</v>
      </c>
      <c r="J3838" s="220">
        <f>I3838*0.1</f>
        <v>40400</v>
      </c>
      <c r="K3838" s="220">
        <v>0</v>
      </c>
      <c r="L3838" s="220">
        <v>7510</v>
      </c>
      <c r="M3838" s="220">
        <v>22000</v>
      </c>
      <c r="N3838" s="220">
        <f>SUM(I3838:M3839)</f>
        <v>473910</v>
      </c>
      <c r="O3838" s="224"/>
      <c r="P3838" s="110" t="s">
        <v>11612</v>
      </c>
      <c r="Q3838" s="15" t="s">
        <v>19</v>
      </c>
      <c r="R3838" s="205"/>
      <c r="S3838" s="189"/>
      <c r="T3838" s="114"/>
      <c r="U3838" s="21" t="s">
        <v>12764</v>
      </c>
      <c r="V3838" s="115">
        <v>46039</v>
      </c>
      <c r="W3838" s="116">
        <v>1284</v>
      </c>
      <c r="X3838" s="220">
        <v>460000</v>
      </c>
      <c r="Y3838" s="220">
        <f>X3838*0.1</f>
        <v>46000</v>
      </c>
      <c r="Z3838" s="220">
        <v>7510</v>
      </c>
      <c r="AA3838" s="220">
        <f>SUM(X3838:Z3838)</f>
        <v>513510</v>
      </c>
      <c r="AB3838" s="222">
        <v>46042</v>
      </c>
    </row>
    <row r="3839" spans="1:28" ht="17.100000000000001" customHeight="1" thickBot="1">
      <c r="A3839" s="234"/>
      <c r="B3839" s="27" t="s">
        <v>3890</v>
      </c>
      <c r="C3839" s="27">
        <v>18</v>
      </c>
      <c r="D3839" s="14" t="s">
        <v>1584</v>
      </c>
      <c r="E3839" s="229"/>
      <c r="F3839" s="117" t="s">
        <v>11611</v>
      </c>
      <c r="G3839" s="26">
        <v>48706</v>
      </c>
      <c r="H3839" s="231"/>
      <c r="I3839" s="221"/>
      <c r="J3839" s="221"/>
      <c r="K3839" s="221"/>
      <c r="L3839" s="221"/>
      <c r="M3839" s="221"/>
      <c r="N3839" s="221"/>
      <c r="O3839" s="225"/>
      <c r="P3839" s="118" t="s">
        <v>12144</v>
      </c>
      <c r="Q3839" s="16" t="s">
        <v>20</v>
      </c>
      <c r="R3839" s="17" t="s">
        <v>2216</v>
      </c>
      <c r="S3839" s="121" t="s">
        <v>1661</v>
      </c>
      <c r="T3839" s="122"/>
      <c r="U3839" s="22"/>
      <c r="V3839" s="123" t="s">
        <v>7160</v>
      </c>
      <c r="W3839" s="122">
        <v>60119</v>
      </c>
      <c r="X3839" s="221"/>
      <c r="Y3839" s="221"/>
      <c r="Z3839" s="221"/>
      <c r="AA3839" s="221"/>
      <c r="AB3839" s="223"/>
    </row>
    <row r="3840" spans="1:28" ht="17.100000000000001" customHeight="1" thickTop="1">
      <c r="A3840" s="226" t="s">
        <v>11683</v>
      </c>
      <c r="B3840" s="28">
        <v>45989</v>
      </c>
      <c r="C3840" s="25">
        <v>268</v>
      </c>
      <c r="D3840" s="13" t="s">
        <v>2491</v>
      </c>
      <c r="E3840" s="228"/>
      <c r="F3840" s="109" t="s">
        <v>6851</v>
      </c>
      <c r="G3840" s="24" t="s">
        <v>4412</v>
      </c>
      <c r="H3840" s="230">
        <v>5</v>
      </c>
      <c r="I3840" s="220">
        <v>1733000</v>
      </c>
      <c r="J3840" s="220">
        <f>I3840*0.1</f>
        <v>173300</v>
      </c>
      <c r="K3840" s="220">
        <v>0</v>
      </c>
      <c r="L3840" s="220">
        <v>9130</v>
      </c>
      <c r="M3840" s="220">
        <v>22000</v>
      </c>
      <c r="N3840" s="220">
        <f>SUM(I3840:M3841)</f>
        <v>1937430</v>
      </c>
      <c r="O3840" s="224"/>
      <c r="P3840" s="110" t="s">
        <v>11614</v>
      </c>
      <c r="Q3840" s="15" t="s">
        <v>19</v>
      </c>
      <c r="R3840" s="205"/>
      <c r="S3840" s="189"/>
      <c r="T3840" s="114"/>
      <c r="U3840" s="21" t="s">
        <v>12593</v>
      </c>
      <c r="V3840" s="115">
        <v>46000</v>
      </c>
      <c r="W3840" s="116">
        <v>1921</v>
      </c>
      <c r="X3840" s="220">
        <v>1866000</v>
      </c>
      <c r="Y3840" s="220">
        <f>X3840*0.1</f>
        <v>186600</v>
      </c>
      <c r="Z3840" s="220">
        <v>9130</v>
      </c>
      <c r="AA3840" s="220">
        <f>SUM(X3840:Z3840)</f>
        <v>2061730</v>
      </c>
      <c r="AB3840" s="222">
        <v>46006</v>
      </c>
    </row>
    <row r="3841" spans="1:28" ht="17.100000000000001" customHeight="1" thickBot="1">
      <c r="A3841" s="227"/>
      <c r="B3841" s="27" t="s">
        <v>3890</v>
      </c>
      <c r="C3841" s="27">
        <v>124</v>
      </c>
      <c r="D3841" s="14" t="s">
        <v>131</v>
      </c>
      <c r="E3841" s="229"/>
      <c r="F3841" s="117" t="s">
        <v>11613</v>
      </c>
      <c r="G3841" s="26">
        <v>1294</v>
      </c>
      <c r="H3841" s="231"/>
      <c r="I3841" s="221"/>
      <c r="J3841" s="221"/>
      <c r="K3841" s="221"/>
      <c r="L3841" s="221"/>
      <c r="M3841" s="221"/>
      <c r="N3841" s="221"/>
      <c r="O3841" s="225"/>
      <c r="P3841" s="118" t="s">
        <v>9382</v>
      </c>
      <c r="Q3841" s="16" t="s">
        <v>20</v>
      </c>
      <c r="R3841" s="17" t="s">
        <v>2216</v>
      </c>
      <c r="S3841" s="121"/>
      <c r="T3841" s="122"/>
      <c r="U3841" s="22"/>
      <c r="V3841" s="123" t="s">
        <v>2103</v>
      </c>
      <c r="W3841" s="122">
        <v>3083</v>
      </c>
      <c r="X3841" s="221"/>
      <c r="Y3841" s="221"/>
      <c r="Z3841" s="221"/>
      <c r="AA3841" s="221"/>
      <c r="AB3841" s="223"/>
    </row>
    <row r="3842" spans="1:28" ht="17.100000000000001" customHeight="1" thickTop="1">
      <c r="A3842" s="226" t="s">
        <v>11684</v>
      </c>
      <c r="B3842" s="28">
        <v>45989</v>
      </c>
      <c r="C3842" s="25">
        <v>268</v>
      </c>
      <c r="D3842" s="13" t="s">
        <v>2428</v>
      </c>
      <c r="E3842" s="228"/>
      <c r="F3842" s="109" t="s">
        <v>11615</v>
      </c>
      <c r="G3842" s="24" t="s">
        <v>4412</v>
      </c>
      <c r="H3842" s="230">
        <v>6</v>
      </c>
      <c r="I3842" s="220">
        <v>1757000</v>
      </c>
      <c r="J3842" s="220">
        <f>I3842*0.1</f>
        <v>175700</v>
      </c>
      <c r="K3842" s="220">
        <v>0</v>
      </c>
      <c r="L3842" s="220">
        <v>9130</v>
      </c>
      <c r="M3842" s="220">
        <v>22000</v>
      </c>
      <c r="N3842" s="220">
        <f>SUM(I3842:M3843)</f>
        <v>1963830</v>
      </c>
      <c r="O3842" s="224"/>
      <c r="P3842" s="110" t="s">
        <v>11696</v>
      </c>
      <c r="Q3842" s="15" t="s">
        <v>19</v>
      </c>
      <c r="R3842" s="205"/>
      <c r="S3842" s="189"/>
      <c r="T3842" s="114"/>
      <c r="U3842" s="21" t="s">
        <v>12264</v>
      </c>
      <c r="V3842" s="115">
        <v>45993</v>
      </c>
      <c r="W3842" s="116">
        <v>1920</v>
      </c>
      <c r="X3842" s="220">
        <v>1818000</v>
      </c>
      <c r="Y3842" s="220">
        <f>X3842*0.1</f>
        <v>181800</v>
      </c>
      <c r="Z3842" s="220">
        <v>9130</v>
      </c>
      <c r="AA3842" s="220">
        <f>SUM(X3842:Z3842)</f>
        <v>2008930</v>
      </c>
      <c r="AB3842" s="222"/>
    </row>
    <row r="3843" spans="1:28" ht="17.100000000000001" customHeight="1" thickBot="1">
      <c r="A3843" s="227"/>
      <c r="B3843" s="27" t="s">
        <v>3890</v>
      </c>
      <c r="C3843" s="27">
        <v>128</v>
      </c>
      <c r="D3843" s="14" t="s">
        <v>1584</v>
      </c>
      <c r="E3843" s="229"/>
      <c r="F3843" s="117" t="s">
        <v>11616</v>
      </c>
      <c r="G3843" s="26">
        <v>342</v>
      </c>
      <c r="H3843" s="231"/>
      <c r="I3843" s="221"/>
      <c r="J3843" s="221"/>
      <c r="K3843" s="221"/>
      <c r="L3843" s="221"/>
      <c r="M3843" s="221"/>
      <c r="N3843" s="221"/>
      <c r="O3843" s="225"/>
      <c r="P3843" s="118" t="s">
        <v>9382</v>
      </c>
      <c r="Q3843" s="16" t="s">
        <v>20</v>
      </c>
      <c r="R3843" s="17" t="s">
        <v>2216</v>
      </c>
      <c r="S3843" s="121"/>
      <c r="T3843" s="122"/>
      <c r="U3843" s="22"/>
      <c r="V3843" s="123" t="s">
        <v>2103</v>
      </c>
      <c r="W3843" s="122">
        <v>3259</v>
      </c>
      <c r="X3843" s="221"/>
      <c r="Y3843" s="221"/>
      <c r="Z3843" s="221"/>
      <c r="AA3843" s="221"/>
      <c r="AB3843" s="223"/>
    </row>
    <row r="3844" spans="1:28" ht="17.100000000000001" customHeight="1" thickTop="1">
      <c r="A3844" s="226" t="s">
        <v>11685</v>
      </c>
      <c r="B3844" s="28">
        <v>45989</v>
      </c>
      <c r="C3844" s="25">
        <v>268</v>
      </c>
      <c r="D3844" s="13" t="s">
        <v>1899</v>
      </c>
      <c r="E3844" s="228"/>
      <c r="F3844" s="109" t="s">
        <v>11617</v>
      </c>
      <c r="G3844" s="24" t="s">
        <v>2530</v>
      </c>
      <c r="H3844" s="230">
        <v>4</v>
      </c>
      <c r="I3844" s="220">
        <v>519000</v>
      </c>
      <c r="J3844" s="220">
        <f>I3844*0.1</f>
        <v>51900</v>
      </c>
      <c r="K3844" s="220">
        <v>0</v>
      </c>
      <c r="L3844" s="220">
        <v>8550</v>
      </c>
      <c r="M3844" s="220">
        <v>22000</v>
      </c>
      <c r="N3844" s="220">
        <f>SUM(I3844:M3845)</f>
        <v>601450</v>
      </c>
      <c r="O3844" s="224"/>
      <c r="P3844" s="110" t="s">
        <v>12272</v>
      </c>
      <c r="Q3844" s="15" t="s">
        <v>19</v>
      </c>
      <c r="R3844" s="205"/>
      <c r="S3844" s="189" t="s">
        <v>25432</v>
      </c>
      <c r="T3844" s="114"/>
      <c r="U3844" s="21" t="s">
        <v>12763</v>
      </c>
      <c r="V3844" s="115">
        <v>46004</v>
      </c>
      <c r="W3844" s="116">
        <v>1280</v>
      </c>
      <c r="X3844" s="220">
        <v>600000</v>
      </c>
      <c r="Y3844" s="220">
        <f>X3844*0.1</f>
        <v>60000</v>
      </c>
      <c r="Z3844" s="220">
        <v>8550</v>
      </c>
      <c r="AA3844" s="220">
        <f>SUM(X3844:Z3844)</f>
        <v>668550</v>
      </c>
      <c r="AB3844" s="222">
        <v>46008</v>
      </c>
    </row>
    <row r="3845" spans="1:28" ht="17.100000000000001" customHeight="1" thickBot="1">
      <c r="A3845" s="227"/>
      <c r="B3845" s="27" t="s">
        <v>3890</v>
      </c>
      <c r="C3845" s="27">
        <v>146</v>
      </c>
      <c r="D3845" s="14" t="s">
        <v>1548</v>
      </c>
      <c r="E3845" s="229"/>
      <c r="F3845" s="117" t="s">
        <v>11618</v>
      </c>
      <c r="G3845" s="26">
        <v>39034</v>
      </c>
      <c r="H3845" s="231"/>
      <c r="I3845" s="221"/>
      <c r="J3845" s="221"/>
      <c r="K3845" s="221"/>
      <c r="L3845" s="221"/>
      <c r="M3845" s="221"/>
      <c r="N3845" s="221"/>
      <c r="O3845" s="225"/>
      <c r="P3845" s="118" t="s">
        <v>2615</v>
      </c>
      <c r="Q3845" s="16" t="s">
        <v>20</v>
      </c>
      <c r="R3845" s="17" t="s">
        <v>1739</v>
      </c>
      <c r="S3845" s="121" t="s">
        <v>3832</v>
      </c>
      <c r="T3845" s="122"/>
      <c r="U3845" s="22"/>
      <c r="V3845" s="123" t="s">
        <v>2472</v>
      </c>
      <c r="W3845" s="122">
        <v>60100</v>
      </c>
      <c r="X3845" s="221"/>
      <c r="Y3845" s="221"/>
      <c r="Z3845" s="221"/>
      <c r="AA3845" s="221"/>
      <c r="AB3845" s="223"/>
    </row>
    <row r="3846" spans="1:28" ht="17.100000000000001" customHeight="1" thickTop="1">
      <c r="A3846" s="226" t="s">
        <v>11686</v>
      </c>
      <c r="B3846" s="28">
        <v>45989</v>
      </c>
      <c r="C3846" s="25">
        <v>268</v>
      </c>
      <c r="D3846" s="13" t="s">
        <v>1883</v>
      </c>
      <c r="E3846" s="228"/>
      <c r="F3846" s="109" t="s">
        <v>11619</v>
      </c>
      <c r="G3846" s="24"/>
      <c r="H3846" s="230">
        <v>4.5</v>
      </c>
      <c r="I3846" s="220">
        <v>1003000</v>
      </c>
      <c r="J3846" s="220">
        <f>I3846*0.1</f>
        <v>100300</v>
      </c>
      <c r="K3846" s="220">
        <v>0</v>
      </c>
      <c r="L3846" s="220">
        <v>6560</v>
      </c>
      <c r="M3846" s="220">
        <v>22000</v>
      </c>
      <c r="N3846" s="220">
        <f>SUM(I3846:M3847)</f>
        <v>1131860</v>
      </c>
      <c r="O3846" s="224"/>
      <c r="P3846" s="110" t="s">
        <v>12082</v>
      </c>
      <c r="Q3846" s="15" t="s">
        <v>19</v>
      </c>
      <c r="R3846" s="205"/>
      <c r="S3846" s="189" t="s">
        <v>25619</v>
      </c>
      <c r="T3846" s="114"/>
      <c r="U3846" s="21"/>
      <c r="V3846" s="115">
        <v>45994</v>
      </c>
      <c r="W3846" s="116">
        <v>995</v>
      </c>
      <c r="X3846" s="220">
        <v>1105000</v>
      </c>
      <c r="Y3846" s="220">
        <f>X3846*0.1</f>
        <v>110500</v>
      </c>
      <c r="Z3846" s="220">
        <v>6560</v>
      </c>
      <c r="AA3846" s="220">
        <f>SUM(X3846:Z3846)</f>
        <v>1222060</v>
      </c>
      <c r="AB3846" s="222">
        <v>45999</v>
      </c>
    </row>
    <row r="3847" spans="1:28" ht="17.100000000000001" customHeight="1" thickBot="1">
      <c r="A3847" s="227"/>
      <c r="B3847" s="27" t="s">
        <v>3890</v>
      </c>
      <c r="C3847" s="27">
        <v>20093</v>
      </c>
      <c r="D3847" s="14" t="s">
        <v>273</v>
      </c>
      <c r="E3847" s="229"/>
      <c r="F3847" s="117" t="s">
        <v>11620</v>
      </c>
      <c r="G3847" s="26">
        <v>27556</v>
      </c>
      <c r="H3847" s="231"/>
      <c r="I3847" s="221"/>
      <c r="J3847" s="221"/>
      <c r="K3847" s="221"/>
      <c r="L3847" s="221"/>
      <c r="M3847" s="221"/>
      <c r="N3847" s="221"/>
      <c r="O3847" s="225"/>
      <c r="P3847" s="118" t="s">
        <v>12083</v>
      </c>
      <c r="Q3847" s="16" t="s">
        <v>20</v>
      </c>
      <c r="R3847" s="17" t="s">
        <v>2216</v>
      </c>
      <c r="S3847" s="121" t="s">
        <v>5047</v>
      </c>
      <c r="T3847" s="122"/>
      <c r="U3847" s="22"/>
      <c r="V3847" s="123" t="s">
        <v>2747</v>
      </c>
      <c r="W3847" s="122">
        <v>2054</v>
      </c>
      <c r="X3847" s="221"/>
      <c r="Y3847" s="221"/>
      <c r="Z3847" s="221"/>
      <c r="AA3847" s="221"/>
      <c r="AB3847" s="223"/>
    </row>
    <row r="3848" spans="1:28" ht="17.100000000000001" customHeight="1" thickTop="1">
      <c r="A3848" s="226" t="s">
        <v>11687</v>
      </c>
      <c r="B3848" s="28">
        <v>45989</v>
      </c>
      <c r="C3848" s="25">
        <v>2112</v>
      </c>
      <c r="D3848" s="13" t="s">
        <v>1704</v>
      </c>
      <c r="E3848" s="228"/>
      <c r="F3848" s="109" t="s">
        <v>11621</v>
      </c>
      <c r="G3848" s="24"/>
      <c r="H3848" s="230">
        <v>4.5</v>
      </c>
      <c r="I3848" s="220">
        <v>1940000</v>
      </c>
      <c r="J3848" s="220">
        <f>I3848*0.1</f>
        <v>194000</v>
      </c>
      <c r="K3848" s="220">
        <v>0</v>
      </c>
      <c r="L3848" s="220">
        <v>17190</v>
      </c>
      <c r="M3848" s="220">
        <v>16500</v>
      </c>
      <c r="N3848" s="220">
        <f>SUM(I3848:M3849)</f>
        <v>2167690</v>
      </c>
      <c r="O3848" s="224"/>
      <c r="P3848" s="110" t="s">
        <v>12370</v>
      </c>
      <c r="Q3848" s="15" t="s">
        <v>19</v>
      </c>
      <c r="R3848" s="205"/>
      <c r="S3848" s="189"/>
      <c r="T3848" s="114"/>
      <c r="U3848" s="21"/>
      <c r="V3848" s="115">
        <v>46030</v>
      </c>
      <c r="W3848" s="116">
        <v>1313</v>
      </c>
      <c r="X3848" s="220">
        <v>2060000</v>
      </c>
      <c r="Y3848" s="220">
        <f>X3848*0.1</f>
        <v>206000</v>
      </c>
      <c r="Z3848" s="220">
        <v>17190</v>
      </c>
      <c r="AA3848" s="220">
        <f>SUM(X3848:Z3848)</f>
        <v>2283190</v>
      </c>
      <c r="AB3848" s="222">
        <v>46031</v>
      </c>
    </row>
    <row r="3849" spans="1:28" ht="17.100000000000001" customHeight="1" thickBot="1">
      <c r="A3849" s="227"/>
      <c r="B3849" s="27" t="s">
        <v>1536</v>
      </c>
      <c r="C3849" s="27">
        <v>58391</v>
      </c>
      <c r="D3849" s="14" t="s">
        <v>273</v>
      </c>
      <c r="E3849" s="229"/>
      <c r="F3849" s="117" t="s">
        <v>11622</v>
      </c>
      <c r="G3849" s="26">
        <v>37588</v>
      </c>
      <c r="H3849" s="231"/>
      <c r="I3849" s="221"/>
      <c r="J3849" s="221"/>
      <c r="K3849" s="221"/>
      <c r="L3849" s="221"/>
      <c r="M3849" s="221"/>
      <c r="N3849" s="221"/>
      <c r="O3849" s="225"/>
      <c r="P3849" s="118" t="s">
        <v>12371</v>
      </c>
      <c r="Q3849" s="16" t="s">
        <v>20</v>
      </c>
      <c r="R3849" s="17" t="s">
        <v>3384</v>
      </c>
      <c r="S3849" s="121" t="s">
        <v>7720</v>
      </c>
      <c r="T3849" s="122"/>
      <c r="U3849" s="22"/>
      <c r="V3849" s="123" t="s">
        <v>13379</v>
      </c>
      <c r="W3849" s="122">
        <v>122</v>
      </c>
      <c r="X3849" s="221"/>
      <c r="Y3849" s="221"/>
      <c r="Z3849" s="221"/>
      <c r="AA3849" s="221"/>
      <c r="AB3849" s="223"/>
    </row>
    <row r="3850" spans="1:28" ht="17.100000000000001" customHeight="1" thickTop="1">
      <c r="A3850" s="226" t="s">
        <v>11688</v>
      </c>
      <c r="B3850" s="28">
        <v>45989</v>
      </c>
      <c r="C3850" s="25"/>
      <c r="D3850" s="13" t="s">
        <v>2371</v>
      </c>
      <c r="E3850" s="228"/>
      <c r="F3850" s="109" t="s">
        <v>11624</v>
      </c>
      <c r="G3850" s="24" t="s">
        <v>11626</v>
      </c>
      <c r="H3850" s="230">
        <v>4.5</v>
      </c>
      <c r="I3850" s="220">
        <f>1672000/1.1</f>
        <v>1519999.9999999998</v>
      </c>
      <c r="J3850" s="220">
        <f>I3850*0.1</f>
        <v>151999.99999999997</v>
      </c>
      <c r="K3850" s="220">
        <v>16600</v>
      </c>
      <c r="L3850" s="220">
        <v>14840</v>
      </c>
      <c r="M3850" s="220">
        <v>0</v>
      </c>
      <c r="N3850" s="220">
        <f>SUM(I3850:M3851)</f>
        <v>1703439.9999999998</v>
      </c>
      <c r="O3850" s="224"/>
      <c r="P3850" s="110" t="s">
        <v>13373</v>
      </c>
      <c r="Q3850" s="15" t="s">
        <v>19</v>
      </c>
      <c r="R3850" s="205"/>
      <c r="S3850" s="189" t="s">
        <v>25383</v>
      </c>
      <c r="T3850" s="114"/>
      <c r="U3850" s="21"/>
      <c r="V3850" s="115">
        <v>46011</v>
      </c>
      <c r="W3850" s="116">
        <v>1281</v>
      </c>
      <c r="X3850" s="220">
        <v>1650000</v>
      </c>
      <c r="Y3850" s="220">
        <f>X3850*0.1</f>
        <v>165000</v>
      </c>
      <c r="Z3850" s="220">
        <v>14840</v>
      </c>
      <c r="AA3850" s="220">
        <f>SUM(X3850:Z3850)</f>
        <v>1829840</v>
      </c>
      <c r="AB3850" s="222">
        <v>46014</v>
      </c>
    </row>
    <row r="3851" spans="1:28" ht="17.100000000000001" customHeight="1" thickBot="1">
      <c r="A3851" s="227"/>
      <c r="B3851" s="27" t="s">
        <v>1708</v>
      </c>
      <c r="C3851" s="27" t="s">
        <v>11623</v>
      </c>
      <c r="D3851" s="14" t="s">
        <v>1584</v>
      </c>
      <c r="E3851" s="229"/>
      <c r="F3851" s="117" t="s">
        <v>11625</v>
      </c>
      <c r="G3851" s="26">
        <v>66459</v>
      </c>
      <c r="H3851" s="231"/>
      <c r="I3851" s="221"/>
      <c r="J3851" s="221"/>
      <c r="K3851" s="221"/>
      <c r="L3851" s="221"/>
      <c r="M3851" s="221"/>
      <c r="N3851" s="221"/>
      <c r="O3851" s="225"/>
      <c r="P3851" s="118" t="s">
        <v>13374</v>
      </c>
      <c r="Q3851" s="16" t="s">
        <v>20</v>
      </c>
      <c r="R3851" s="17" t="s">
        <v>1769</v>
      </c>
      <c r="S3851" s="121" t="s">
        <v>1731</v>
      </c>
      <c r="T3851" s="122"/>
      <c r="U3851" s="22"/>
      <c r="V3851" s="123" t="s">
        <v>7160</v>
      </c>
      <c r="W3851" s="122">
        <v>82244</v>
      </c>
      <c r="X3851" s="221"/>
      <c r="Y3851" s="221"/>
      <c r="Z3851" s="221"/>
      <c r="AA3851" s="221"/>
      <c r="AB3851" s="223"/>
    </row>
    <row r="3852" spans="1:28" ht="17.100000000000001" customHeight="1" thickTop="1">
      <c r="A3852" s="226" t="s">
        <v>11689</v>
      </c>
      <c r="B3852" s="28">
        <v>45989</v>
      </c>
      <c r="C3852" s="25"/>
      <c r="D3852" s="13" t="s">
        <v>1816</v>
      </c>
      <c r="E3852" s="228"/>
      <c r="F3852" s="109" t="s">
        <v>11628</v>
      </c>
      <c r="G3852" s="24" t="s">
        <v>8481</v>
      </c>
      <c r="H3852" s="230">
        <v>4</v>
      </c>
      <c r="I3852" s="220">
        <f>836000/1.1</f>
        <v>759999.99999999988</v>
      </c>
      <c r="J3852" s="220">
        <f>I3852*0.1</f>
        <v>75999.999999999985</v>
      </c>
      <c r="K3852" s="220">
        <v>0</v>
      </c>
      <c r="L3852" s="220">
        <v>9790</v>
      </c>
      <c r="M3852" s="220">
        <v>0</v>
      </c>
      <c r="N3852" s="220">
        <f>SUM(I3852:M3853)</f>
        <v>845789.99999999988</v>
      </c>
      <c r="O3852" s="224"/>
      <c r="P3852" s="110" t="s">
        <v>12433</v>
      </c>
      <c r="Q3852" s="15" t="s">
        <v>19</v>
      </c>
      <c r="R3852" s="205"/>
      <c r="S3852" s="189" t="s">
        <v>1361</v>
      </c>
      <c r="T3852" s="114"/>
      <c r="U3852" s="21"/>
      <c r="V3852" s="115">
        <v>46007</v>
      </c>
      <c r="W3852" s="116">
        <v>1922</v>
      </c>
      <c r="X3852" s="220">
        <v>760000</v>
      </c>
      <c r="Y3852" s="220">
        <f>X3852*0.1</f>
        <v>76000</v>
      </c>
      <c r="Z3852" s="220">
        <v>9790</v>
      </c>
      <c r="AA3852" s="220">
        <f>SUM(X3852:Z3852)</f>
        <v>845790</v>
      </c>
      <c r="AB3852" s="222"/>
    </row>
    <row r="3853" spans="1:28" ht="17.100000000000001" customHeight="1" thickBot="1">
      <c r="A3853" s="227"/>
      <c r="B3853" s="27" t="s">
        <v>1708</v>
      </c>
      <c r="C3853" s="27" t="s">
        <v>11627</v>
      </c>
      <c r="D3853" s="14" t="s">
        <v>1584</v>
      </c>
      <c r="E3853" s="229"/>
      <c r="F3853" s="117" t="s">
        <v>11629</v>
      </c>
      <c r="G3853" s="26">
        <v>52753</v>
      </c>
      <c r="H3853" s="231"/>
      <c r="I3853" s="221"/>
      <c r="J3853" s="221"/>
      <c r="K3853" s="221"/>
      <c r="L3853" s="221"/>
      <c r="M3853" s="221"/>
      <c r="N3853" s="221"/>
      <c r="O3853" s="225"/>
      <c r="P3853" s="118" t="s">
        <v>12434</v>
      </c>
      <c r="Q3853" s="16" t="s">
        <v>20</v>
      </c>
      <c r="R3853" s="17" t="s">
        <v>12417</v>
      </c>
      <c r="S3853" s="121" t="s">
        <v>12435</v>
      </c>
      <c r="T3853" s="122"/>
      <c r="U3853" s="22"/>
      <c r="V3853" s="123" t="s">
        <v>2103</v>
      </c>
      <c r="W3853" s="122">
        <v>3347</v>
      </c>
      <c r="X3853" s="221"/>
      <c r="Y3853" s="221"/>
      <c r="Z3853" s="221"/>
      <c r="AA3853" s="221"/>
      <c r="AB3853" s="223"/>
    </row>
    <row r="3854" spans="1:28" ht="17.100000000000001" customHeight="1" thickTop="1">
      <c r="A3854" s="226" t="s">
        <v>11690</v>
      </c>
      <c r="B3854" s="28">
        <v>45989</v>
      </c>
      <c r="C3854" s="25"/>
      <c r="D3854" s="13" t="s">
        <v>2428</v>
      </c>
      <c r="E3854" s="228"/>
      <c r="F3854" s="109" t="s">
        <v>9638</v>
      </c>
      <c r="G3854" s="24" t="s">
        <v>11632</v>
      </c>
      <c r="H3854" s="230">
        <v>4.5</v>
      </c>
      <c r="I3854" s="220">
        <f>1600500/1.1</f>
        <v>1454999.9999999998</v>
      </c>
      <c r="J3854" s="220">
        <f>I3854*0.1</f>
        <v>145499.99999999997</v>
      </c>
      <c r="K3854" s="220">
        <v>0</v>
      </c>
      <c r="L3854" s="220">
        <v>14200</v>
      </c>
      <c r="M3854" s="220">
        <v>0</v>
      </c>
      <c r="N3854" s="220">
        <f>SUM(I3854:M3855)</f>
        <v>1614699.9999999998</v>
      </c>
      <c r="O3854" s="224"/>
      <c r="P3854" s="110" t="s">
        <v>13365</v>
      </c>
      <c r="Q3854" s="15" t="s">
        <v>19</v>
      </c>
      <c r="R3854" s="205"/>
      <c r="S3854" s="189" t="s">
        <v>1276</v>
      </c>
      <c r="T3854" s="114"/>
      <c r="U3854" s="21"/>
      <c r="V3854" s="115">
        <v>46007</v>
      </c>
      <c r="W3854" s="116">
        <v>1922</v>
      </c>
      <c r="X3854" s="220">
        <v>1560000</v>
      </c>
      <c r="Y3854" s="220">
        <f>X3854*0.1</f>
        <v>156000</v>
      </c>
      <c r="Z3854" s="220">
        <v>14200</v>
      </c>
      <c r="AA3854" s="220">
        <f>SUM(X3854:Z3854)</f>
        <v>1730200</v>
      </c>
      <c r="AB3854" s="222"/>
    </row>
    <row r="3855" spans="1:28" ht="17.100000000000001" customHeight="1" thickBot="1">
      <c r="A3855" s="227"/>
      <c r="B3855" s="27" t="s">
        <v>1708</v>
      </c>
      <c r="C3855" s="27" t="s">
        <v>11630</v>
      </c>
      <c r="D3855" s="14" t="s">
        <v>1584</v>
      </c>
      <c r="E3855" s="229"/>
      <c r="F3855" s="117" t="s">
        <v>11631</v>
      </c>
      <c r="G3855" s="26">
        <v>5452</v>
      </c>
      <c r="H3855" s="231"/>
      <c r="I3855" s="221"/>
      <c r="J3855" s="221"/>
      <c r="K3855" s="221"/>
      <c r="L3855" s="221"/>
      <c r="M3855" s="221"/>
      <c r="N3855" s="221"/>
      <c r="O3855" s="225"/>
      <c r="P3855" s="118" t="s">
        <v>4211</v>
      </c>
      <c r="Q3855" s="16" t="s">
        <v>20</v>
      </c>
      <c r="R3855" s="17" t="s">
        <v>1769</v>
      </c>
      <c r="S3855" s="121" t="s">
        <v>1606</v>
      </c>
      <c r="T3855" s="122"/>
      <c r="U3855" s="22"/>
      <c r="V3855" s="123" t="s">
        <v>2103</v>
      </c>
      <c r="W3855" s="122">
        <v>3171</v>
      </c>
      <c r="X3855" s="221"/>
      <c r="Y3855" s="221"/>
      <c r="Z3855" s="221"/>
      <c r="AA3855" s="221"/>
      <c r="AB3855" s="223"/>
    </row>
    <row r="3856" spans="1:28" ht="17.100000000000001" customHeight="1" thickTop="1">
      <c r="A3856" s="226" t="s">
        <v>11691</v>
      </c>
      <c r="B3856" s="28">
        <v>45989</v>
      </c>
      <c r="C3856" s="25"/>
      <c r="D3856" s="13" t="s">
        <v>1778</v>
      </c>
      <c r="E3856" s="228"/>
      <c r="F3856" s="109" t="s">
        <v>11670</v>
      </c>
      <c r="G3856" s="24" t="s">
        <v>4940</v>
      </c>
      <c r="H3856" s="230">
        <v>4</v>
      </c>
      <c r="I3856" s="220">
        <f>136400/1.1</f>
        <v>123999.99999999999</v>
      </c>
      <c r="J3856" s="220">
        <f>I3856*0.1</f>
        <v>12400</v>
      </c>
      <c r="K3856" s="220">
        <v>0</v>
      </c>
      <c r="L3856" s="220">
        <v>10000</v>
      </c>
      <c r="M3856" s="220">
        <v>0</v>
      </c>
      <c r="N3856" s="220">
        <f>SUM(I3856:M3857)</f>
        <v>146400</v>
      </c>
      <c r="O3856" s="224"/>
      <c r="P3856" s="110" t="s">
        <v>13088</v>
      </c>
      <c r="Q3856" s="15" t="s">
        <v>19</v>
      </c>
      <c r="R3856" s="205"/>
      <c r="S3856" s="189" t="s">
        <v>1361</v>
      </c>
      <c r="T3856" s="114"/>
      <c r="U3856" s="21"/>
      <c r="V3856" s="115">
        <v>46004</v>
      </c>
      <c r="W3856" s="116">
        <v>1280</v>
      </c>
      <c r="X3856" s="220">
        <v>170000</v>
      </c>
      <c r="Y3856" s="220">
        <f>X3856*0.1</f>
        <v>17000</v>
      </c>
      <c r="Z3856" s="220">
        <v>10000</v>
      </c>
      <c r="AA3856" s="220">
        <f>SUM(X3856:Z3856)</f>
        <v>197000</v>
      </c>
      <c r="AB3856" s="222">
        <v>46008</v>
      </c>
    </row>
    <row r="3857" spans="1:28" ht="17.100000000000001" customHeight="1" thickBot="1">
      <c r="A3857" s="227"/>
      <c r="B3857" s="27" t="s">
        <v>1708</v>
      </c>
      <c r="C3857" s="27" t="s">
        <v>11669</v>
      </c>
      <c r="D3857" s="14" t="s">
        <v>54</v>
      </c>
      <c r="E3857" s="229"/>
      <c r="F3857" s="117" t="s">
        <v>11671</v>
      </c>
      <c r="G3857" s="26">
        <v>50577</v>
      </c>
      <c r="H3857" s="231"/>
      <c r="I3857" s="221"/>
      <c r="J3857" s="221"/>
      <c r="K3857" s="221"/>
      <c r="L3857" s="221"/>
      <c r="M3857" s="221"/>
      <c r="N3857" s="221"/>
      <c r="O3857" s="225"/>
      <c r="P3857" s="118" t="s">
        <v>13089</v>
      </c>
      <c r="Q3857" s="16" t="s">
        <v>20</v>
      </c>
      <c r="R3857" s="17" t="s">
        <v>3390</v>
      </c>
      <c r="S3857" s="121" t="s">
        <v>1625</v>
      </c>
      <c r="T3857" s="122"/>
      <c r="U3857" s="22"/>
      <c r="V3857" s="123" t="s">
        <v>2472</v>
      </c>
      <c r="W3857" s="122">
        <v>65651</v>
      </c>
      <c r="X3857" s="221"/>
      <c r="Y3857" s="221"/>
      <c r="Z3857" s="221"/>
      <c r="AA3857" s="221"/>
      <c r="AB3857" s="223"/>
    </row>
    <row r="3858" spans="1:28" ht="17.100000000000001" customHeight="1" thickTop="1">
      <c r="A3858" s="233" t="s">
        <v>11692</v>
      </c>
      <c r="B3858" s="28">
        <v>45989</v>
      </c>
      <c r="C3858" s="25"/>
      <c r="D3858" s="13" t="s">
        <v>1871</v>
      </c>
      <c r="E3858" s="228"/>
      <c r="F3858" s="109" t="s">
        <v>11673</v>
      </c>
      <c r="G3858" s="24" t="s">
        <v>8499</v>
      </c>
      <c r="H3858" s="230">
        <v>4.5</v>
      </c>
      <c r="I3858" s="220">
        <f>3151500/1.1</f>
        <v>2865000</v>
      </c>
      <c r="J3858" s="220">
        <f>I3858*0.1</f>
        <v>286500</v>
      </c>
      <c r="K3858" s="220">
        <v>8500</v>
      </c>
      <c r="L3858" s="220">
        <v>14140</v>
      </c>
      <c r="M3858" s="220">
        <v>0</v>
      </c>
      <c r="N3858" s="220">
        <f>SUM(I3858:M3859)</f>
        <v>3174140</v>
      </c>
      <c r="O3858" s="224"/>
      <c r="P3858" s="110" t="s">
        <v>13569</v>
      </c>
      <c r="Q3858" s="15" t="s">
        <v>19</v>
      </c>
      <c r="R3858" s="205"/>
      <c r="S3858" s="189" t="s">
        <v>1276</v>
      </c>
      <c r="T3858" s="114"/>
      <c r="U3858" s="21"/>
      <c r="V3858" s="115">
        <v>46032</v>
      </c>
      <c r="W3858" s="116">
        <v>1283</v>
      </c>
      <c r="X3858" s="220">
        <v>2910000</v>
      </c>
      <c r="Y3858" s="220">
        <f>X3858*0.1</f>
        <v>291000</v>
      </c>
      <c r="Z3858" s="220">
        <v>14140</v>
      </c>
      <c r="AA3858" s="220">
        <f>SUM(X3858:Z3858)</f>
        <v>3215140</v>
      </c>
      <c r="AB3858" s="222">
        <v>46036</v>
      </c>
    </row>
    <row r="3859" spans="1:28" ht="17.100000000000001" customHeight="1" thickBot="1">
      <c r="A3859" s="234"/>
      <c r="B3859" s="27" t="s">
        <v>1708</v>
      </c>
      <c r="C3859" s="27" t="s">
        <v>11672</v>
      </c>
      <c r="D3859" s="14" t="s">
        <v>273</v>
      </c>
      <c r="E3859" s="229"/>
      <c r="F3859" s="117" t="s">
        <v>11674</v>
      </c>
      <c r="G3859" s="26">
        <v>37531</v>
      </c>
      <c r="H3859" s="231"/>
      <c r="I3859" s="221"/>
      <c r="J3859" s="221"/>
      <c r="K3859" s="221"/>
      <c r="L3859" s="221"/>
      <c r="M3859" s="221"/>
      <c r="N3859" s="221"/>
      <c r="O3859" s="225"/>
      <c r="P3859" s="118" t="s">
        <v>13570</v>
      </c>
      <c r="Q3859" s="16" t="s">
        <v>20</v>
      </c>
      <c r="R3859" s="17" t="s">
        <v>13537</v>
      </c>
      <c r="S3859" s="121" t="s">
        <v>13947</v>
      </c>
      <c r="T3859" s="122"/>
      <c r="U3859" s="22"/>
      <c r="V3859" s="123" t="s">
        <v>7160</v>
      </c>
      <c r="W3859" s="122">
        <v>37211</v>
      </c>
      <c r="X3859" s="221"/>
      <c r="Y3859" s="221"/>
      <c r="Z3859" s="221"/>
      <c r="AA3859" s="221"/>
      <c r="AB3859" s="223"/>
    </row>
    <row r="3860" spans="1:28" ht="17.100000000000001" customHeight="1" thickTop="1">
      <c r="A3860" s="226" t="s">
        <v>11693</v>
      </c>
      <c r="B3860" s="28">
        <v>45989</v>
      </c>
      <c r="C3860" s="25">
        <v>72</v>
      </c>
      <c r="D3860" s="13" t="s">
        <v>2313</v>
      </c>
      <c r="E3860" s="228"/>
      <c r="F3860" s="109" t="s">
        <v>11678</v>
      </c>
      <c r="G3860" s="24" t="s">
        <v>3867</v>
      </c>
      <c r="H3860" s="230">
        <v>4.5</v>
      </c>
      <c r="I3860" s="220">
        <v>1000000</v>
      </c>
      <c r="J3860" s="220">
        <f>I3860*0.1</f>
        <v>100000</v>
      </c>
      <c r="K3860" s="220">
        <f>9800+980</f>
        <v>10780</v>
      </c>
      <c r="L3860" s="220">
        <v>10830</v>
      </c>
      <c r="M3860" s="220">
        <v>44000</v>
      </c>
      <c r="N3860" s="220">
        <f>SUM(I3860:M3861)</f>
        <v>1165610</v>
      </c>
      <c r="O3860" s="224"/>
      <c r="P3860" s="110" t="s">
        <v>13054</v>
      </c>
      <c r="Q3860" s="15" t="s">
        <v>19</v>
      </c>
      <c r="R3860" s="205"/>
      <c r="S3860" s="189" t="s">
        <v>25545</v>
      </c>
      <c r="T3860" s="114"/>
      <c r="U3860" s="21"/>
      <c r="V3860" s="115">
        <v>46004</v>
      </c>
      <c r="W3860" s="116">
        <v>1280</v>
      </c>
      <c r="X3860" s="220">
        <v>1150000</v>
      </c>
      <c r="Y3860" s="220">
        <f>X3860*0.1</f>
        <v>115000</v>
      </c>
      <c r="Z3860" s="220">
        <v>10830</v>
      </c>
      <c r="AA3860" s="220">
        <f>SUM(X3860:Z3860)</f>
        <v>1275830</v>
      </c>
      <c r="AB3860" s="222">
        <v>46008</v>
      </c>
    </row>
    <row r="3861" spans="1:28" ht="17.100000000000001" customHeight="1" thickBot="1">
      <c r="A3861" s="227"/>
      <c r="B3861" s="27" t="s">
        <v>4468</v>
      </c>
      <c r="C3861" s="27">
        <v>1005</v>
      </c>
      <c r="D3861" s="14" t="s">
        <v>2559</v>
      </c>
      <c r="E3861" s="229"/>
      <c r="F3861" s="117" t="s">
        <v>11675</v>
      </c>
      <c r="G3861" s="26">
        <v>53407</v>
      </c>
      <c r="H3861" s="231"/>
      <c r="I3861" s="221"/>
      <c r="J3861" s="221"/>
      <c r="K3861" s="221"/>
      <c r="L3861" s="221"/>
      <c r="M3861" s="221"/>
      <c r="N3861" s="221"/>
      <c r="O3861" s="225"/>
      <c r="P3861" s="118" t="s">
        <v>13055</v>
      </c>
      <c r="Q3861" s="16" t="s">
        <v>20</v>
      </c>
      <c r="R3861" s="17" t="s">
        <v>2235</v>
      </c>
      <c r="S3861" s="121" t="s">
        <v>10516</v>
      </c>
      <c r="T3861" s="122"/>
      <c r="U3861" s="22"/>
      <c r="V3861" s="123" t="s">
        <v>2472</v>
      </c>
      <c r="W3861" s="122">
        <v>37872</v>
      </c>
      <c r="X3861" s="221"/>
      <c r="Y3861" s="221"/>
      <c r="Z3861" s="221"/>
      <c r="AA3861" s="221"/>
      <c r="AB3861" s="223"/>
    </row>
    <row r="3862" spans="1:28" ht="17.100000000000001" customHeight="1" thickTop="1">
      <c r="A3862" s="226" t="s">
        <v>11694</v>
      </c>
      <c r="B3862" s="28">
        <v>45989</v>
      </c>
      <c r="C3862" s="25">
        <v>72</v>
      </c>
      <c r="D3862" s="13" t="s">
        <v>2964</v>
      </c>
      <c r="E3862" s="228"/>
      <c r="F3862" s="109" t="s">
        <v>11679</v>
      </c>
      <c r="G3862" s="24" t="s">
        <v>4120</v>
      </c>
      <c r="H3862" s="230">
        <v>4.5</v>
      </c>
      <c r="I3862" s="220">
        <v>3080000</v>
      </c>
      <c r="J3862" s="220">
        <f>I3862*0.1</f>
        <v>308000</v>
      </c>
      <c r="K3862" s="220">
        <v>0</v>
      </c>
      <c r="L3862" s="220">
        <v>7790</v>
      </c>
      <c r="M3862" s="220">
        <v>88000</v>
      </c>
      <c r="N3862" s="220">
        <f>SUM(I3862:M3863)</f>
        <v>3483790</v>
      </c>
      <c r="O3862" s="224"/>
      <c r="P3862" s="110" t="s">
        <v>13637</v>
      </c>
      <c r="Q3862" s="15" t="s">
        <v>19</v>
      </c>
      <c r="R3862" s="205"/>
      <c r="S3862" s="189" t="s">
        <v>25620</v>
      </c>
      <c r="T3862" s="114"/>
      <c r="U3862" s="21"/>
      <c r="V3862" s="115">
        <v>46014</v>
      </c>
      <c r="W3862" s="116">
        <v>1923</v>
      </c>
      <c r="X3862" s="220">
        <v>3163000</v>
      </c>
      <c r="Y3862" s="220">
        <f>X3862*0.1</f>
        <v>316300</v>
      </c>
      <c r="Z3862" s="220">
        <v>7790</v>
      </c>
      <c r="AA3862" s="220">
        <f>SUM(X3862:Z3862)</f>
        <v>3487090</v>
      </c>
      <c r="AB3862" s="222">
        <v>46020</v>
      </c>
    </row>
    <row r="3863" spans="1:28" ht="17.100000000000001" customHeight="1" thickBot="1">
      <c r="A3863" s="227"/>
      <c r="B3863" s="27" t="s">
        <v>4468</v>
      </c>
      <c r="C3863" s="27">
        <v>1022</v>
      </c>
      <c r="D3863" s="14" t="s">
        <v>898</v>
      </c>
      <c r="E3863" s="229"/>
      <c r="F3863" s="117" t="s">
        <v>11676</v>
      </c>
      <c r="G3863" s="26">
        <v>8899</v>
      </c>
      <c r="H3863" s="231"/>
      <c r="I3863" s="221"/>
      <c r="J3863" s="221"/>
      <c r="K3863" s="221"/>
      <c r="L3863" s="221"/>
      <c r="M3863" s="221"/>
      <c r="N3863" s="221"/>
      <c r="O3863" s="225"/>
      <c r="P3863" s="118" t="s">
        <v>4211</v>
      </c>
      <c r="Q3863" s="16" t="s">
        <v>20</v>
      </c>
      <c r="R3863" s="17" t="s">
        <v>1794</v>
      </c>
      <c r="S3863" s="121" t="s">
        <v>1731</v>
      </c>
      <c r="T3863" s="122"/>
      <c r="U3863" s="22"/>
      <c r="V3863" s="123" t="s">
        <v>2103</v>
      </c>
      <c r="W3863" s="122">
        <v>3107</v>
      </c>
      <c r="X3863" s="221"/>
      <c r="Y3863" s="221"/>
      <c r="Z3863" s="221"/>
      <c r="AA3863" s="221"/>
      <c r="AB3863" s="223"/>
    </row>
    <row r="3864" spans="1:28" ht="17.100000000000001" customHeight="1" thickTop="1">
      <c r="A3864" s="226" t="s">
        <v>11695</v>
      </c>
      <c r="B3864" s="28">
        <v>45989</v>
      </c>
      <c r="C3864" s="25">
        <v>72</v>
      </c>
      <c r="D3864" s="13" t="s">
        <v>1953</v>
      </c>
      <c r="E3864" s="228"/>
      <c r="F3864" s="109" t="s">
        <v>6851</v>
      </c>
      <c r="G3864" s="24" t="s">
        <v>4038</v>
      </c>
      <c r="H3864" s="230">
        <v>4.5</v>
      </c>
      <c r="I3864" s="220">
        <v>1030000</v>
      </c>
      <c r="J3864" s="220">
        <f>I3864*0.1</f>
        <v>103000</v>
      </c>
      <c r="K3864" s="220">
        <v>0</v>
      </c>
      <c r="L3864" s="220">
        <v>9310</v>
      </c>
      <c r="M3864" s="220">
        <v>44000</v>
      </c>
      <c r="N3864" s="220">
        <f>SUM(I3864:M3865)</f>
        <v>1186310</v>
      </c>
      <c r="O3864" s="224"/>
      <c r="P3864" s="110" t="s">
        <v>12778</v>
      </c>
      <c r="Q3864" s="15" t="s">
        <v>19</v>
      </c>
      <c r="R3864" s="205"/>
      <c r="S3864" s="189" t="s">
        <v>25577</v>
      </c>
      <c r="T3864" s="114"/>
      <c r="U3864" s="21"/>
      <c r="V3864" s="115">
        <v>46000</v>
      </c>
      <c r="W3864" s="116">
        <v>1921</v>
      </c>
      <c r="X3864" s="220">
        <v>1147000</v>
      </c>
      <c r="Y3864" s="220">
        <f>X3864*0.1</f>
        <v>114700</v>
      </c>
      <c r="Z3864" s="220">
        <v>9310</v>
      </c>
      <c r="AA3864" s="220">
        <f>SUM(X3864:Z3864)</f>
        <v>1271010</v>
      </c>
      <c r="AB3864" s="222">
        <v>46007</v>
      </c>
    </row>
    <row r="3865" spans="1:28" ht="17.100000000000001" customHeight="1" thickBot="1">
      <c r="A3865" s="227"/>
      <c r="B3865" s="27" t="s">
        <v>4468</v>
      </c>
      <c r="C3865" s="27">
        <v>1023</v>
      </c>
      <c r="D3865" s="14" t="s">
        <v>2788</v>
      </c>
      <c r="E3865" s="229"/>
      <c r="F3865" s="117" t="s">
        <v>11677</v>
      </c>
      <c r="G3865" s="26">
        <v>20701</v>
      </c>
      <c r="H3865" s="231"/>
      <c r="I3865" s="221"/>
      <c r="J3865" s="221"/>
      <c r="K3865" s="221"/>
      <c r="L3865" s="221"/>
      <c r="M3865" s="221"/>
      <c r="N3865" s="221"/>
      <c r="O3865" s="225"/>
      <c r="P3865" s="118" t="s">
        <v>12779</v>
      </c>
      <c r="Q3865" s="16" t="s">
        <v>20</v>
      </c>
      <c r="R3865" s="17" t="s">
        <v>12777</v>
      </c>
      <c r="S3865" s="121" t="s">
        <v>12366</v>
      </c>
      <c r="T3865" s="122"/>
      <c r="U3865" s="22"/>
      <c r="V3865" s="123" t="s">
        <v>2103</v>
      </c>
      <c r="W3865" s="122">
        <v>3257</v>
      </c>
      <c r="X3865" s="221"/>
      <c r="Y3865" s="221"/>
      <c r="Z3865" s="221"/>
      <c r="AA3865" s="221"/>
      <c r="AB3865" s="223"/>
    </row>
    <row r="3866" spans="1:28" ht="17.100000000000001" customHeight="1" thickTop="1">
      <c r="A3866" s="226" t="s">
        <v>11697</v>
      </c>
      <c r="B3866" s="28">
        <v>45989</v>
      </c>
      <c r="C3866" s="25">
        <v>1396</v>
      </c>
      <c r="D3866" s="13" t="s">
        <v>1754</v>
      </c>
      <c r="E3866" s="228"/>
      <c r="F3866" s="109" t="s">
        <v>11736</v>
      </c>
      <c r="G3866" s="24"/>
      <c r="H3866" s="230">
        <v>3.5</v>
      </c>
      <c r="I3866" s="220">
        <v>173000</v>
      </c>
      <c r="J3866" s="220">
        <f>I3866*0.1</f>
        <v>17300</v>
      </c>
      <c r="K3866" s="220">
        <v>0</v>
      </c>
      <c r="L3866" s="220">
        <v>9790</v>
      </c>
      <c r="M3866" s="220">
        <v>13200</v>
      </c>
      <c r="N3866" s="220">
        <f>SUM(I3866:M3867)</f>
        <v>213290</v>
      </c>
      <c r="O3866" s="224"/>
      <c r="P3866" s="110" t="s">
        <v>12137</v>
      </c>
      <c r="Q3866" s="15" t="s">
        <v>19</v>
      </c>
      <c r="R3866" s="205"/>
      <c r="S3866" s="189" t="s">
        <v>1276</v>
      </c>
      <c r="T3866" s="114"/>
      <c r="U3866" s="21"/>
      <c r="V3866" s="115">
        <v>45997</v>
      </c>
      <c r="W3866" s="116">
        <v>1279</v>
      </c>
      <c r="X3866" s="220">
        <v>120000</v>
      </c>
      <c r="Y3866" s="220">
        <f>X3866*0.1</f>
        <v>12000</v>
      </c>
      <c r="Z3866" s="220">
        <v>9790</v>
      </c>
      <c r="AA3866" s="220">
        <f>SUM(X3866:Z3866)</f>
        <v>141790</v>
      </c>
      <c r="AB3866" s="222">
        <v>46000</v>
      </c>
    </row>
    <row r="3867" spans="1:28" ht="17.100000000000001" customHeight="1" thickBot="1">
      <c r="A3867" s="227"/>
      <c r="B3867" s="27" t="s">
        <v>2597</v>
      </c>
      <c r="C3867" s="27">
        <v>1819</v>
      </c>
      <c r="D3867" s="14" t="s">
        <v>11735</v>
      </c>
      <c r="E3867" s="229"/>
      <c r="F3867" s="117" t="s">
        <v>11713</v>
      </c>
      <c r="G3867" s="26">
        <v>155627</v>
      </c>
      <c r="H3867" s="231"/>
      <c r="I3867" s="221"/>
      <c r="J3867" s="221"/>
      <c r="K3867" s="221"/>
      <c r="L3867" s="221"/>
      <c r="M3867" s="221"/>
      <c r="N3867" s="221"/>
      <c r="O3867" s="225"/>
      <c r="P3867" s="118" t="s">
        <v>12138</v>
      </c>
      <c r="Q3867" s="16" t="s">
        <v>20</v>
      </c>
      <c r="R3867" s="17" t="s">
        <v>2216</v>
      </c>
      <c r="S3867" s="121" t="s">
        <v>169</v>
      </c>
      <c r="T3867" s="122"/>
      <c r="U3867" s="22"/>
      <c r="V3867" s="123" t="s">
        <v>2472</v>
      </c>
      <c r="W3867" s="122">
        <v>90520</v>
      </c>
      <c r="X3867" s="221"/>
      <c r="Y3867" s="221"/>
      <c r="Z3867" s="221"/>
      <c r="AA3867" s="221"/>
      <c r="AB3867" s="223"/>
    </row>
    <row r="3868" spans="1:28" ht="17.100000000000001" customHeight="1" thickTop="1">
      <c r="A3868" s="226" t="s">
        <v>11698</v>
      </c>
      <c r="B3868" s="28">
        <v>45989</v>
      </c>
      <c r="C3868" s="25">
        <v>1396</v>
      </c>
      <c r="D3868" s="13" t="s">
        <v>1740</v>
      </c>
      <c r="E3868" s="228"/>
      <c r="F3868" s="109" t="s">
        <v>4214</v>
      </c>
      <c r="G3868" s="24" t="s">
        <v>5049</v>
      </c>
      <c r="H3868" s="232" t="s">
        <v>1705</v>
      </c>
      <c r="I3868" s="220">
        <v>224000</v>
      </c>
      <c r="J3868" s="220">
        <f>I3868*0.1</f>
        <v>22400</v>
      </c>
      <c r="K3868" s="220">
        <v>0</v>
      </c>
      <c r="L3868" s="220">
        <v>9550</v>
      </c>
      <c r="M3868" s="220">
        <v>13200</v>
      </c>
      <c r="N3868" s="220">
        <f>SUM(I3868:M3869)</f>
        <v>269150</v>
      </c>
      <c r="O3868" s="224"/>
      <c r="P3868" s="110" t="s">
        <v>12367</v>
      </c>
      <c r="Q3868" s="15" t="s">
        <v>19</v>
      </c>
      <c r="R3868" s="205"/>
      <c r="S3868" s="189" t="s">
        <v>25372</v>
      </c>
      <c r="T3868" s="114"/>
      <c r="U3868" s="21" t="s">
        <v>12493</v>
      </c>
      <c r="V3868" s="115">
        <v>45997</v>
      </c>
      <c r="W3868" s="116">
        <v>1279</v>
      </c>
      <c r="X3868" s="220">
        <v>291000</v>
      </c>
      <c r="Y3868" s="220">
        <f>X3868*0.1</f>
        <v>29100</v>
      </c>
      <c r="Z3868" s="220">
        <v>9550</v>
      </c>
      <c r="AA3868" s="220">
        <f>SUM(X3868:Z3868)</f>
        <v>329650</v>
      </c>
      <c r="AB3868" s="222">
        <v>46002</v>
      </c>
    </row>
    <row r="3869" spans="1:28" ht="17.100000000000001" customHeight="1" thickBot="1">
      <c r="A3869" s="227"/>
      <c r="B3869" s="27" t="s">
        <v>2597</v>
      </c>
      <c r="C3869" s="27">
        <v>2191</v>
      </c>
      <c r="D3869" s="14" t="s">
        <v>131</v>
      </c>
      <c r="E3869" s="229"/>
      <c r="F3869" s="117" t="s">
        <v>11714</v>
      </c>
      <c r="G3869" s="26">
        <v>115898</v>
      </c>
      <c r="H3869" s="231"/>
      <c r="I3869" s="221"/>
      <c r="J3869" s="221"/>
      <c r="K3869" s="221"/>
      <c r="L3869" s="221"/>
      <c r="M3869" s="221"/>
      <c r="N3869" s="221"/>
      <c r="O3869" s="225"/>
      <c r="P3869" s="118" t="s">
        <v>12368</v>
      </c>
      <c r="Q3869" s="16" t="s">
        <v>20</v>
      </c>
      <c r="R3869" s="17" t="s">
        <v>3384</v>
      </c>
      <c r="S3869" s="121" t="s">
        <v>4984</v>
      </c>
      <c r="T3869" s="122"/>
      <c r="U3869" s="22"/>
      <c r="V3869" s="123" t="s">
        <v>2472</v>
      </c>
      <c r="W3869" s="122">
        <v>63021</v>
      </c>
      <c r="X3869" s="221"/>
      <c r="Y3869" s="221"/>
      <c r="Z3869" s="221"/>
      <c r="AA3869" s="221"/>
      <c r="AB3869" s="223"/>
    </row>
    <row r="3870" spans="1:28" ht="17.100000000000001" customHeight="1" thickTop="1">
      <c r="A3870" s="226" t="s">
        <v>11699</v>
      </c>
      <c r="B3870" s="28">
        <v>45989</v>
      </c>
      <c r="C3870" s="25">
        <v>1396</v>
      </c>
      <c r="D3870" s="13" t="s">
        <v>2040</v>
      </c>
      <c r="E3870" s="228"/>
      <c r="F3870" s="109" t="s">
        <v>11715</v>
      </c>
      <c r="G3870" s="24" t="s">
        <v>5556</v>
      </c>
      <c r="H3870" s="230">
        <v>4.5</v>
      </c>
      <c r="I3870" s="220">
        <v>1674000</v>
      </c>
      <c r="J3870" s="220">
        <f>I3870*0.1</f>
        <v>167400</v>
      </c>
      <c r="K3870" s="220">
        <v>0</v>
      </c>
      <c r="L3870" s="220">
        <v>6180</v>
      </c>
      <c r="M3870" s="220">
        <v>13200</v>
      </c>
      <c r="N3870" s="220">
        <f>SUM(I3870:M3871)</f>
        <v>1860780</v>
      </c>
      <c r="O3870" s="224"/>
      <c r="P3870" s="110" t="s">
        <v>12069</v>
      </c>
      <c r="Q3870" s="15" t="s">
        <v>19</v>
      </c>
      <c r="R3870" s="205"/>
      <c r="S3870" s="189" t="s">
        <v>1276</v>
      </c>
      <c r="T3870" s="114"/>
      <c r="U3870" s="21" t="s">
        <v>12265</v>
      </c>
      <c r="V3870" s="115">
        <v>45994</v>
      </c>
      <c r="W3870" s="116">
        <v>995</v>
      </c>
      <c r="X3870" s="220">
        <v>1695000</v>
      </c>
      <c r="Y3870" s="220">
        <f>X3870*0.1</f>
        <v>169500</v>
      </c>
      <c r="Z3870" s="220">
        <v>6180</v>
      </c>
      <c r="AA3870" s="220">
        <f>SUM(X3870:Z3870)</f>
        <v>1870680</v>
      </c>
      <c r="AB3870" s="222">
        <v>45999</v>
      </c>
    </row>
    <row r="3871" spans="1:28" ht="17.100000000000001" customHeight="1" thickBot="1">
      <c r="A3871" s="227"/>
      <c r="B3871" s="27" t="s">
        <v>2597</v>
      </c>
      <c r="C3871" s="27">
        <v>3008</v>
      </c>
      <c r="D3871" s="14" t="s">
        <v>131</v>
      </c>
      <c r="E3871" s="229"/>
      <c r="F3871" s="117" t="s">
        <v>11716</v>
      </c>
      <c r="G3871" s="26">
        <v>16347</v>
      </c>
      <c r="H3871" s="231"/>
      <c r="I3871" s="221"/>
      <c r="J3871" s="221"/>
      <c r="K3871" s="221"/>
      <c r="L3871" s="221"/>
      <c r="M3871" s="221"/>
      <c r="N3871" s="221"/>
      <c r="O3871" s="225"/>
      <c r="P3871" s="118" t="s">
        <v>12070</v>
      </c>
      <c r="Q3871" s="16" t="s">
        <v>20</v>
      </c>
      <c r="R3871" s="17" t="s">
        <v>2216</v>
      </c>
      <c r="S3871" s="121" t="s">
        <v>1923</v>
      </c>
      <c r="T3871" s="122"/>
      <c r="U3871" s="22"/>
      <c r="V3871" s="123" t="s">
        <v>2747</v>
      </c>
      <c r="W3871" s="122">
        <v>2062</v>
      </c>
      <c r="X3871" s="221"/>
      <c r="Y3871" s="221"/>
      <c r="Z3871" s="221"/>
      <c r="AA3871" s="221"/>
      <c r="AB3871" s="223"/>
    </row>
    <row r="3872" spans="1:28" ht="17.100000000000001" customHeight="1" thickTop="1">
      <c r="A3872" s="226" t="s">
        <v>11700</v>
      </c>
      <c r="B3872" s="28">
        <v>45989</v>
      </c>
      <c r="C3872" s="25">
        <v>1396</v>
      </c>
      <c r="D3872" s="13" t="s">
        <v>2422</v>
      </c>
      <c r="E3872" s="228"/>
      <c r="F3872" s="109" t="s">
        <v>11717</v>
      </c>
      <c r="G3872" s="24" t="s">
        <v>11737</v>
      </c>
      <c r="H3872" s="230">
        <v>4</v>
      </c>
      <c r="I3872" s="220">
        <v>707000</v>
      </c>
      <c r="J3872" s="220">
        <f>I3872*0.1</f>
        <v>70700</v>
      </c>
      <c r="K3872" s="220">
        <f>11500+1150</f>
        <v>12650</v>
      </c>
      <c r="L3872" s="220">
        <v>9130</v>
      </c>
      <c r="M3872" s="220">
        <v>13200</v>
      </c>
      <c r="N3872" s="220">
        <f>SUM(I3872:M3873)</f>
        <v>812680</v>
      </c>
      <c r="O3872" s="224"/>
      <c r="P3872" s="110" t="s">
        <v>12758</v>
      </c>
      <c r="Q3872" s="15" t="s">
        <v>19</v>
      </c>
      <c r="R3872" s="205"/>
      <c r="S3872" s="189" t="s">
        <v>1271</v>
      </c>
      <c r="T3872" s="114"/>
      <c r="U3872" s="21"/>
      <c r="V3872" s="115">
        <v>46001</v>
      </c>
      <c r="W3872" s="116">
        <v>996</v>
      </c>
      <c r="X3872" s="220">
        <v>765000</v>
      </c>
      <c r="Y3872" s="220">
        <f>X3872*0.1</f>
        <v>76500</v>
      </c>
      <c r="Z3872" s="220">
        <v>9130</v>
      </c>
      <c r="AA3872" s="220">
        <f>SUM(X3872:Z3872)</f>
        <v>850630</v>
      </c>
      <c r="AB3872" s="222">
        <v>46006</v>
      </c>
    </row>
    <row r="3873" spans="1:28" ht="17.100000000000001" customHeight="1" thickBot="1">
      <c r="A3873" s="227"/>
      <c r="B3873" s="27" t="s">
        <v>2597</v>
      </c>
      <c r="C3873" s="27">
        <v>3012</v>
      </c>
      <c r="D3873" s="14" t="s">
        <v>273</v>
      </c>
      <c r="E3873" s="229"/>
      <c r="F3873" s="117" t="s">
        <v>11718</v>
      </c>
      <c r="G3873" s="26">
        <v>87540</v>
      </c>
      <c r="H3873" s="231"/>
      <c r="I3873" s="221"/>
      <c r="J3873" s="221"/>
      <c r="K3873" s="221"/>
      <c r="L3873" s="221"/>
      <c r="M3873" s="221"/>
      <c r="N3873" s="221"/>
      <c r="O3873" s="225"/>
      <c r="P3873" s="118" t="s">
        <v>12759</v>
      </c>
      <c r="Q3873" s="16" t="s">
        <v>20</v>
      </c>
      <c r="R3873" s="17" t="s">
        <v>12649</v>
      </c>
      <c r="S3873" s="121" t="s">
        <v>12760</v>
      </c>
      <c r="T3873" s="122"/>
      <c r="U3873" s="22"/>
      <c r="V3873" s="123" t="s">
        <v>8877</v>
      </c>
      <c r="W3873" s="122">
        <v>6009</v>
      </c>
      <c r="X3873" s="221"/>
      <c r="Y3873" s="221"/>
      <c r="Z3873" s="221"/>
      <c r="AA3873" s="221"/>
      <c r="AB3873" s="223"/>
    </row>
    <row r="3874" spans="1:28" ht="17.100000000000001" customHeight="1" thickTop="1">
      <c r="A3874" s="226" t="s">
        <v>11701</v>
      </c>
      <c r="B3874" s="28">
        <v>45989</v>
      </c>
      <c r="C3874" s="25">
        <v>1396</v>
      </c>
      <c r="D3874" s="13" t="s">
        <v>1953</v>
      </c>
      <c r="E3874" s="228"/>
      <c r="F3874" s="109" t="s">
        <v>11673</v>
      </c>
      <c r="G3874" s="24" t="s">
        <v>11738</v>
      </c>
      <c r="H3874" s="230">
        <v>4</v>
      </c>
      <c r="I3874" s="220">
        <v>3326000</v>
      </c>
      <c r="J3874" s="220">
        <f>I3874*0.1</f>
        <v>332600</v>
      </c>
      <c r="K3874" s="220">
        <f>17000+1700</f>
        <v>18700</v>
      </c>
      <c r="L3874" s="220">
        <v>14140</v>
      </c>
      <c r="M3874" s="220">
        <v>13200</v>
      </c>
      <c r="N3874" s="220">
        <f>SUM(I3874:M3875)</f>
        <v>3704640</v>
      </c>
      <c r="O3874" s="224"/>
      <c r="P3874" s="110" t="s">
        <v>12485</v>
      </c>
      <c r="Q3874" s="15" t="s">
        <v>19</v>
      </c>
      <c r="R3874" s="205"/>
      <c r="S3874" s="189" t="s">
        <v>1341</v>
      </c>
      <c r="T3874" s="114"/>
      <c r="U3874" s="21"/>
      <c r="V3874" s="115">
        <v>45994</v>
      </c>
      <c r="W3874" s="116">
        <v>995</v>
      </c>
      <c r="X3874" s="220">
        <v>3450000</v>
      </c>
      <c r="Y3874" s="220">
        <f>X3874*0.1</f>
        <v>345000</v>
      </c>
      <c r="Z3874" s="220">
        <v>14140</v>
      </c>
      <c r="AA3874" s="220">
        <f>SUM(X3874:Z3874)</f>
        <v>3809140</v>
      </c>
      <c r="AB3874" s="222">
        <v>46002</v>
      </c>
    </row>
    <row r="3875" spans="1:28" ht="17.100000000000001" customHeight="1" thickBot="1">
      <c r="A3875" s="227"/>
      <c r="B3875" s="27" t="s">
        <v>2597</v>
      </c>
      <c r="C3875" s="27">
        <v>3024</v>
      </c>
      <c r="D3875" s="14" t="s">
        <v>273</v>
      </c>
      <c r="E3875" s="229"/>
      <c r="F3875" s="117" t="s">
        <v>11719</v>
      </c>
      <c r="G3875" s="26">
        <v>35900</v>
      </c>
      <c r="H3875" s="231"/>
      <c r="I3875" s="221"/>
      <c r="J3875" s="221"/>
      <c r="K3875" s="221"/>
      <c r="L3875" s="221"/>
      <c r="M3875" s="221"/>
      <c r="N3875" s="221"/>
      <c r="O3875" s="225"/>
      <c r="P3875" s="118" t="s">
        <v>12486</v>
      </c>
      <c r="Q3875" s="16" t="s">
        <v>20</v>
      </c>
      <c r="R3875" s="17" t="s">
        <v>1752</v>
      </c>
      <c r="S3875" s="121" t="s">
        <v>2360</v>
      </c>
      <c r="T3875" s="122" t="s">
        <v>13038</v>
      </c>
      <c r="U3875" s="22"/>
      <c r="V3875" s="123" t="s">
        <v>2747</v>
      </c>
      <c r="W3875" s="122">
        <v>5061</v>
      </c>
      <c r="X3875" s="221"/>
      <c r="Y3875" s="221"/>
      <c r="Z3875" s="221"/>
      <c r="AA3875" s="221"/>
      <c r="AB3875" s="223"/>
    </row>
    <row r="3876" spans="1:28" ht="17.100000000000001" customHeight="1" thickTop="1">
      <c r="A3876" s="233" t="s">
        <v>11702</v>
      </c>
      <c r="B3876" s="28">
        <v>45989</v>
      </c>
      <c r="C3876" s="25">
        <v>1396</v>
      </c>
      <c r="D3876" s="13" t="s">
        <v>1909</v>
      </c>
      <c r="E3876" s="228"/>
      <c r="F3876" s="109" t="s">
        <v>11720</v>
      </c>
      <c r="G3876" s="24"/>
      <c r="H3876" s="230">
        <v>4</v>
      </c>
      <c r="I3876" s="220">
        <v>1375000</v>
      </c>
      <c r="J3876" s="220">
        <v>137500</v>
      </c>
      <c r="K3876" s="220">
        <v>0</v>
      </c>
      <c r="L3876" s="220">
        <v>8550</v>
      </c>
      <c r="M3876" s="220">
        <v>13200</v>
      </c>
      <c r="N3876" s="220">
        <f>SUM(I3876:M3877)</f>
        <v>1534250</v>
      </c>
      <c r="O3876" s="224"/>
      <c r="P3876" s="110" t="s">
        <v>12136</v>
      </c>
      <c r="Q3876" s="15" t="s">
        <v>19</v>
      </c>
      <c r="R3876" s="205"/>
      <c r="S3876" s="189" t="s">
        <v>25621</v>
      </c>
      <c r="T3876" s="114" t="s">
        <v>12508</v>
      </c>
      <c r="U3876" s="21"/>
      <c r="V3876" s="115"/>
      <c r="W3876" s="116"/>
      <c r="X3876" s="220"/>
      <c r="Y3876" s="220">
        <f>X3876*0.1</f>
        <v>0</v>
      </c>
      <c r="Z3876" s="220"/>
      <c r="AA3876" s="220">
        <f>SUM(X3876:Z3876)</f>
        <v>0</v>
      </c>
      <c r="AB3876" s="222"/>
    </row>
    <row r="3877" spans="1:28" ht="17.100000000000001" customHeight="1" thickBot="1">
      <c r="A3877" s="234"/>
      <c r="B3877" s="27" t="s">
        <v>2597</v>
      </c>
      <c r="C3877" s="27">
        <v>3031</v>
      </c>
      <c r="D3877" s="14" t="s">
        <v>2559</v>
      </c>
      <c r="E3877" s="229"/>
      <c r="F3877" s="117" t="s">
        <v>11721</v>
      </c>
      <c r="G3877" s="26">
        <v>10820</v>
      </c>
      <c r="H3877" s="231"/>
      <c r="I3877" s="221"/>
      <c r="J3877" s="221"/>
      <c r="K3877" s="221"/>
      <c r="L3877" s="221"/>
      <c r="M3877" s="221"/>
      <c r="N3877" s="221"/>
      <c r="O3877" s="225"/>
      <c r="P3877" s="118" t="s">
        <v>4222</v>
      </c>
      <c r="Q3877" s="16" t="s">
        <v>20</v>
      </c>
      <c r="R3877" s="17" t="s">
        <v>2216</v>
      </c>
      <c r="S3877" s="121" t="s">
        <v>1661</v>
      </c>
      <c r="T3877" s="122"/>
      <c r="U3877" s="22"/>
      <c r="V3877" s="123"/>
      <c r="W3877" s="122"/>
      <c r="X3877" s="221"/>
      <c r="Y3877" s="221"/>
      <c r="Z3877" s="221"/>
      <c r="AA3877" s="221"/>
      <c r="AB3877" s="223"/>
    </row>
    <row r="3878" spans="1:28" ht="17.100000000000001" customHeight="1" thickTop="1">
      <c r="A3878" s="226" t="s">
        <v>11703</v>
      </c>
      <c r="B3878" s="28">
        <v>45989</v>
      </c>
      <c r="C3878" s="25">
        <v>1396</v>
      </c>
      <c r="D3878" s="13" t="s">
        <v>2913</v>
      </c>
      <c r="E3878" s="228"/>
      <c r="F3878" s="109" t="s">
        <v>11722</v>
      </c>
      <c r="G3878" s="24"/>
      <c r="H3878" s="230">
        <v>4</v>
      </c>
      <c r="I3878" s="220">
        <v>1300000</v>
      </c>
      <c r="J3878" s="220">
        <f>I3878*0.1</f>
        <v>130000</v>
      </c>
      <c r="K3878" s="220">
        <v>0</v>
      </c>
      <c r="L3878" s="220">
        <v>9810</v>
      </c>
      <c r="M3878" s="220">
        <v>13200</v>
      </c>
      <c r="N3878" s="220">
        <f>SUM(I3878:M3879)</f>
        <v>1453010</v>
      </c>
      <c r="O3878" s="224"/>
      <c r="P3878" s="110" t="s">
        <v>12131</v>
      </c>
      <c r="Q3878" s="15" t="s">
        <v>19</v>
      </c>
      <c r="R3878" s="205"/>
      <c r="S3878" s="189" t="s">
        <v>758</v>
      </c>
      <c r="T3878" s="114"/>
      <c r="U3878" s="21"/>
      <c r="V3878" s="115">
        <v>45997</v>
      </c>
      <c r="W3878" s="116">
        <v>1279</v>
      </c>
      <c r="X3878" s="220">
        <v>1380000</v>
      </c>
      <c r="Y3878" s="220">
        <f>X3878*0.1</f>
        <v>138000</v>
      </c>
      <c r="Z3878" s="220">
        <v>9810</v>
      </c>
      <c r="AA3878" s="220">
        <f>SUM(X3878:Z3878)</f>
        <v>1527810</v>
      </c>
      <c r="AB3878" s="222">
        <v>46001</v>
      </c>
    </row>
    <row r="3879" spans="1:28" ht="17.100000000000001" customHeight="1" thickBot="1">
      <c r="A3879" s="227"/>
      <c r="B3879" s="27" t="s">
        <v>2597</v>
      </c>
      <c r="C3879" s="27">
        <v>3051</v>
      </c>
      <c r="D3879" s="14" t="s">
        <v>273</v>
      </c>
      <c r="E3879" s="229"/>
      <c r="F3879" s="117" t="s">
        <v>11723</v>
      </c>
      <c r="G3879" s="26">
        <v>39059</v>
      </c>
      <c r="H3879" s="231"/>
      <c r="I3879" s="221"/>
      <c r="J3879" s="221"/>
      <c r="K3879" s="221"/>
      <c r="L3879" s="221"/>
      <c r="M3879" s="221"/>
      <c r="N3879" s="221"/>
      <c r="O3879" s="225"/>
      <c r="P3879" s="118" t="s">
        <v>12132</v>
      </c>
      <c r="Q3879" s="16" t="s">
        <v>20</v>
      </c>
      <c r="R3879" s="17" t="s">
        <v>2216</v>
      </c>
      <c r="S3879" s="121" t="s">
        <v>11384</v>
      </c>
      <c r="T3879" s="122"/>
      <c r="U3879" s="22"/>
      <c r="V3879" s="123" t="s">
        <v>2472</v>
      </c>
      <c r="W3879" s="122">
        <v>118</v>
      </c>
      <c r="X3879" s="221"/>
      <c r="Y3879" s="221"/>
      <c r="Z3879" s="221"/>
      <c r="AA3879" s="221"/>
      <c r="AB3879" s="223"/>
    </row>
    <row r="3880" spans="1:28" ht="17.100000000000001" customHeight="1" thickTop="1">
      <c r="A3880" s="226" t="s">
        <v>11704</v>
      </c>
      <c r="B3880" s="28">
        <v>45989</v>
      </c>
      <c r="C3880" s="25">
        <v>1396</v>
      </c>
      <c r="D3880" s="13" t="s">
        <v>1824</v>
      </c>
      <c r="E3880" s="228"/>
      <c r="F3880" s="109" t="s">
        <v>11724</v>
      </c>
      <c r="G3880" s="24" t="s">
        <v>11739</v>
      </c>
      <c r="H3880" s="230">
        <v>4</v>
      </c>
      <c r="I3880" s="220">
        <v>861000</v>
      </c>
      <c r="J3880" s="220">
        <f>I3880*0.1</f>
        <v>86100</v>
      </c>
      <c r="K3880" s="220">
        <f>15000+1500</f>
        <v>16500</v>
      </c>
      <c r="L3880" s="220">
        <v>14420</v>
      </c>
      <c r="M3880" s="220">
        <v>13200</v>
      </c>
      <c r="N3880" s="220">
        <f>SUM(I3880:M3881)</f>
        <v>991220</v>
      </c>
      <c r="O3880" s="224"/>
      <c r="P3880" s="110" t="s">
        <v>12071</v>
      </c>
      <c r="Q3880" s="15" t="s">
        <v>19</v>
      </c>
      <c r="R3880" s="205"/>
      <c r="S3880" s="189"/>
      <c r="T3880" s="114"/>
      <c r="U3880" s="21"/>
      <c r="V3880" s="115">
        <v>45994</v>
      </c>
      <c r="W3880" s="116">
        <v>995</v>
      </c>
      <c r="X3880" s="220">
        <v>965000</v>
      </c>
      <c r="Y3880" s="220">
        <f>X3880*0.1</f>
        <v>96500</v>
      </c>
      <c r="Z3880" s="220">
        <v>14420</v>
      </c>
      <c r="AA3880" s="220">
        <f>SUM(X3880:Z3880)</f>
        <v>1075920</v>
      </c>
      <c r="AB3880" s="222">
        <v>45999</v>
      </c>
    </row>
    <row r="3881" spans="1:28" ht="17.100000000000001" customHeight="1" thickBot="1">
      <c r="A3881" s="227"/>
      <c r="B3881" s="27" t="s">
        <v>2597</v>
      </c>
      <c r="C3881" s="27">
        <v>3144</v>
      </c>
      <c r="D3881" s="14" t="s">
        <v>273</v>
      </c>
      <c r="E3881" s="229"/>
      <c r="F3881" s="117" t="s">
        <v>11725</v>
      </c>
      <c r="G3881" s="26">
        <v>58981</v>
      </c>
      <c r="H3881" s="231"/>
      <c r="I3881" s="221"/>
      <c r="J3881" s="221"/>
      <c r="K3881" s="221"/>
      <c r="L3881" s="221"/>
      <c r="M3881" s="221"/>
      <c r="N3881" s="221"/>
      <c r="O3881" s="225"/>
      <c r="P3881" s="118" t="s">
        <v>12072</v>
      </c>
      <c r="Q3881" s="16" t="s">
        <v>20</v>
      </c>
      <c r="R3881" s="17" t="s">
        <v>2216</v>
      </c>
      <c r="S3881" s="121" t="s">
        <v>2405</v>
      </c>
      <c r="T3881" s="122"/>
      <c r="U3881" s="22"/>
      <c r="V3881" s="123" t="s">
        <v>2747</v>
      </c>
      <c r="W3881" s="122">
        <v>5063</v>
      </c>
      <c r="X3881" s="221"/>
      <c r="Y3881" s="221"/>
      <c r="Z3881" s="221"/>
      <c r="AA3881" s="221"/>
      <c r="AB3881" s="223"/>
    </row>
    <row r="3882" spans="1:28" ht="17.100000000000001" customHeight="1" thickTop="1">
      <c r="A3882" s="226" t="s">
        <v>11705</v>
      </c>
      <c r="B3882" s="28">
        <v>45989</v>
      </c>
      <c r="C3882" s="25">
        <v>1396</v>
      </c>
      <c r="D3882" s="13" t="s">
        <v>4050</v>
      </c>
      <c r="E3882" s="228"/>
      <c r="F3882" s="109" t="s">
        <v>11740</v>
      </c>
      <c r="G3882" s="24" t="s">
        <v>11741</v>
      </c>
      <c r="H3882" s="230">
        <v>4</v>
      </c>
      <c r="I3882" s="220">
        <v>1441000</v>
      </c>
      <c r="J3882" s="220">
        <f>I3882*0.1</f>
        <v>144100</v>
      </c>
      <c r="K3882" s="220">
        <f>11500+1150</f>
        <v>12650</v>
      </c>
      <c r="L3882" s="220">
        <v>9490</v>
      </c>
      <c r="M3882" s="220">
        <v>13200</v>
      </c>
      <c r="N3882" s="220">
        <f>SUM(I3882:M3883)</f>
        <v>1620440</v>
      </c>
      <c r="O3882" s="224"/>
      <c r="P3882" s="110" t="s">
        <v>12601</v>
      </c>
      <c r="Q3882" s="15" t="s">
        <v>19</v>
      </c>
      <c r="R3882" s="205"/>
      <c r="S3882" s="189" t="s">
        <v>25622</v>
      </c>
      <c r="T3882" s="114"/>
      <c r="U3882" s="21"/>
      <c r="V3882" s="115">
        <v>45994</v>
      </c>
      <c r="W3882" s="116">
        <v>995</v>
      </c>
      <c r="X3882" s="220">
        <v>1535000</v>
      </c>
      <c r="Y3882" s="220">
        <f>X3882*0.1</f>
        <v>153500</v>
      </c>
      <c r="Z3882" s="220">
        <v>9490</v>
      </c>
      <c r="AA3882" s="220">
        <f>SUM(X3882:Z3882)</f>
        <v>1697990</v>
      </c>
      <c r="AB3882" s="222">
        <v>46002</v>
      </c>
    </row>
    <row r="3883" spans="1:28" ht="17.100000000000001" customHeight="1" thickBot="1">
      <c r="A3883" s="227"/>
      <c r="B3883" s="27" t="s">
        <v>2597</v>
      </c>
      <c r="C3883" s="27">
        <v>3210</v>
      </c>
      <c r="D3883" s="14" t="s">
        <v>273</v>
      </c>
      <c r="E3883" s="229"/>
      <c r="F3883" s="117" t="s">
        <v>11726</v>
      </c>
      <c r="G3883" s="26">
        <v>46744</v>
      </c>
      <c r="H3883" s="231"/>
      <c r="I3883" s="221"/>
      <c r="J3883" s="221"/>
      <c r="K3883" s="221"/>
      <c r="L3883" s="221"/>
      <c r="M3883" s="221"/>
      <c r="N3883" s="221"/>
      <c r="O3883" s="225"/>
      <c r="P3883" s="118" t="s">
        <v>12602</v>
      </c>
      <c r="Q3883" s="16" t="s">
        <v>20</v>
      </c>
      <c r="R3883" s="17" t="s">
        <v>3913</v>
      </c>
      <c r="S3883" s="121" t="s">
        <v>12603</v>
      </c>
      <c r="T3883" s="122"/>
      <c r="U3883" s="22"/>
      <c r="V3883" s="123" t="s">
        <v>2747</v>
      </c>
      <c r="W3883" s="122">
        <v>5059</v>
      </c>
      <c r="X3883" s="221"/>
      <c r="Y3883" s="221"/>
      <c r="Z3883" s="221"/>
      <c r="AA3883" s="221"/>
      <c r="AB3883" s="223"/>
    </row>
    <row r="3884" spans="1:28" ht="17.100000000000001" customHeight="1" thickTop="1">
      <c r="A3884" s="226" t="s">
        <v>11706</v>
      </c>
      <c r="B3884" s="28">
        <v>45989</v>
      </c>
      <c r="C3884" s="25">
        <v>1396</v>
      </c>
      <c r="D3884" s="13" t="s">
        <v>1715</v>
      </c>
      <c r="E3884" s="228"/>
      <c r="F3884" s="109" t="s">
        <v>10627</v>
      </c>
      <c r="G3884" s="24"/>
      <c r="H3884" s="230">
        <v>4.5</v>
      </c>
      <c r="I3884" s="220">
        <v>1089000</v>
      </c>
      <c r="J3884" s="220">
        <f>I3884*0.1</f>
        <v>108900</v>
      </c>
      <c r="K3884" s="220">
        <v>0</v>
      </c>
      <c r="L3884" s="220">
        <v>9750</v>
      </c>
      <c r="M3884" s="220">
        <v>13200</v>
      </c>
      <c r="N3884" s="220">
        <f>SUM(I3884:M3885)</f>
        <v>1220850</v>
      </c>
      <c r="O3884" s="224"/>
      <c r="P3884" s="110" t="s">
        <v>12506</v>
      </c>
      <c r="Q3884" s="15" t="s">
        <v>19</v>
      </c>
      <c r="R3884" s="205"/>
      <c r="S3884" s="189"/>
      <c r="T3884" s="114"/>
      <c r="U3884" s="21"/>
      <c r="V3884" s="115">
        <v>45994</v>
      </c>
      <c r="W3884" s="116">
        <v>995</v>
      </c>
      <c r="X3884" s="220">
        <v>1150000</v>
      </c>
      <c r="Y3884" s="220">
        <f>X3884*0.1</f>
        <v>115000</v>
      </c>
      <c r="Z3884" s="220">
        <v>9750</v>
      </c>
      <c r="AA3884" s="220">
        <f>SUM(X3884:Z3884)</f>
        <v>1274750</v>
      </c>
      <c r="AB3884" s="222">
        <v>46001</v>
      </c>
    </row>
    <row r="3885" spans="1:28" ht="17.100000000000001" customHeight="1" thickBot="1">
      <c r="A3885" s="227"/>
      <c r="B3885" s="27" t="s">
        <v>2597</v>
      </c>
      <c r="C3885" s="27">
        <v>7035</v>
      </c>
      <c r="D3885" s="14" t="s">
        <v>1568</v>
      </c>
      <c r="E3885" s="229"/>
      <c r="F3885" s="117" t="s">
        <v>11727</v>
      </c>
      <c r="G3885" s="26">
        <v>47998</v>
      </c>
      <c r="H3885" s="231"/>
      <c r="I3885" s="221"/>
      <c r="J3885" s="221"/>
      <c r="K3885" s="221"/>
      <c r="L3885" s="221"/>
      <c r="M3885" s="221"/>
      <c r="N3885" s="221"/>
      <c r="O3885" s="225"/>
      <c r="P3885" s="118" t="s">
        <v>12507</v>
      </c>
      <c r="Q3885" s="16" t="s">
        <v>20</v>
      </c>
      <c r="R3885" s="17" t="s">
        <v>3913</v>
      </c>
      <c r="S3885" s="121" t="s">
        <v>5222</v>
      </c>
      <c r="T3885" s="122"/>
      <c r="U3885" s="22"/>
      <c r="V3885" s="123" t="s">
        <v>2747</v>
      </c>
      <c r="W3885" s="122">
        <v>5057</v>
      </c>
      <c r="X3885" s="221"/>
      <c r="Y3885" s="221"/>
      <c r="Z3885" s="221"/>
      <c r="AA3885" s="221"/>
      <c r="AB3885" s="223"/>
    </row>
    <row r="3886" spans="1:28" ht="17.100000000000001" customHeight="1" thickTop="1">
      <c r="A3886" s="233" t="s">
        <v>11707</v>
      </c>
      <c r="B3886" s="28">
        <v>45989</v>
      </c>
      <c r="C3886" s="25">
        <v>1396</v>
      </c>
      <c r="D3886" s="13" t="s">
        <v>2288</v>
      </c>
      <c r="E3886" s="228"/>
      <c r="F3886" s="109" t="s">
        <v>12908</v>
      </c>
      <c r="G3886" s="24" t="s">
        <v>5192</v>
      </c>
      <c r="H3886" s="230">
        <v>4</v>
      </c>
      <c r="I3886" s="220">
        <v>1030000</v>
      </c>
      <c r="J3886" s="220">
        <f>I3886*0.1</f>
        <v>103000</v>
      </c>
      <c r="K3886" s="220">
        <f>13100+1310</f>
        <v>14410</v>
      </c>
      <c r="L3886" s="220">
        <v>21450</v>
      </c>
      <c r="M3886" s="220">
        <v>13200</v>
      </c>
      <c r="N3886" s="220">
        <f>SUM(I3886:M3887)</f>
        <v>1182060</v>
      </c>
      <c r="O3886" s="224"/>
      <c r="P3886" s="110" t="s">
        <v>12109</v>
      </c>
      <c r="Q3886" s="15" t="s">
        <v>19</v>
      </c>
      <c r="R3886" s="205"/>
      <c r="S3886" s="189" t="s">
        <v>25623</v>
      </c>
      <c r="T3886" s="114"/>
      <c r="U3886" s="21" t="s">
        <v>13163</v>
      </c>
      <c r="V3886" s="115">
        <v>46032</v>
      </c>
      <c r="W3886" s="116">
        <v>1283</v>
      </c>
      <c r="X3886" s="220">
        <v>1180000</v>
      </c>
      <c r="Y3886" s="220">
        <f>X3886*0.1</f>
        <v>118000</v>
      </c>
      <c r="Z3886" s="220">
        <v>21450</v>
      </c>
      <c r="AA3886" s="220">
        <f>SUM(X3886:Z3886)</f>
        <v>1319450</v>
      </c>
      <c r="AB3886" s="222">
        <v>46036</v>
      </c>
    </row>
    <row r="3887" spans="1:28" ht="17.100000000000001" customHeight="1" thickBot="1">
      <c r="A3887" s="234"/>
      <c r="B3887" s="27" t="s">
        <v>2597</v>
      </c>
      <c r="C3887" s="27">
        <v>7074</v>
      </c>
      <c r="D3887" s="14" t="s">
        <v>2559</v>
      </c>
      <c r="E3887" s="229"/>
      <c r="F3887" s="117" t="s">
        <v>11728</v>
      </c>
      <c r="G3887" s="26">
        <v>74644</v>
      </c>
      <c r="H3887" s="231"/>
      <c r="I3887" s="221"/>
      <c r="J3887" s="221"/>
      <c r="K3887" s="221"/>
      <c r="L3887" s="221"/>
      <c r="M3887" s="221"/>
      <c r="N3887" s="221"/>
      <c r="O3887" s="225"/>
      <c r="P3887" s="118" t="s">
        <v>12110</v>
      </c>
      <c r="Q3887" s="16" t="s">
        <v>20</v>
      </c>
      <c r="R3887" s="17" t="s">
        <v>2216</v>
      </c>
      <c r="S3887" s="121" t="s">
        <v>1731</v>
      </c>
      <c r="T3887" s="122"/>
      <c r="U3887" s="22"/>
      <c r="V3887" s="123" t="s">
        <v>7160</v>
      </c>
      <c r="W3887" s="122">
        <v>80377</v>
      </c>
      <c r="X3887" s="221"/>
      <c r="Y3887" s="221"/>
      <c r="Z3887" s="221"/>
      <c r="AA3887" s="221"/>
      <c r="AB3887" s="223"/>
    </row>
    <row r="3888" spans="1:28" ht="17.100000000000001" customHeight="1" thickTop="1">
      <c r="A3888" s="226" t="s">
        <v>11708</v>
      </c>
      <c r="B3888" s="28">
        <v>45989</v>
      </c>
      <c r="C3888" s="25">
        <v>1396</v>
      </c>
      <c r="D3888" s="13" t="s">
        <v>2264</v>
      </c>
      <c r="E3888" s="228"/>
      <c r="F3888" s="109" t="s">
        <v>7064</v>
      </c>
      <c r="G3888" s="24"/>
      <c r="H3888" s="230">
        <v>4</v>
      </c>
      <c r="I3888" s="220">
        <v>1041000</v>
      </c>
      <c r="J3888" s="220">
        <f>I3888*0.1</f>
        <v>104100</v>
      </c>
      <c r="K3888" s="220">
        <v>0</v>
      </c>
      <c r="L3888" s="220">
        <v>17800</v>
      </c>
      <c r="M3888" s="220">
        <v>13200</v>
      </c>
      <c r="N3888" s="220">
        <f>SUM(I3888:M3889)</f>
        <v>1176100</v>
      </c>
      <c r="O3888" s="224"/>
      <c r="P3888" s="110" t="s">
        <v>12105</v>
      </c>
      <c r="Q3888" s="15" t="s">
        <v>19</v>
      </c>
      <c r="R3888" s="205"/>
      <c r="S3888" s="189" t="s">
        <v>1361</v>
      </c>
      <c r="T3888" s="114"/>
      <c r="U3888" s="21"/>
      <c r="V3888" s="115">
        <v>45997</v>
      </c>
      <c r="W3888" s="116">
        <v>1279</v>
      </c>
      <c r="X3888" s="220">
        <v>1200000</v>
      </c>
      <c r="Y3888" s="220">
        <f>X3888*0.1</f>
        <v>120000</v>
      </c>
      <c r="Z3888" s="220">
        <v>17800</v>
      </c>
      <c r="AA3888" s="220">
        <f>SUM(X3888:Z3888)</f>
        <v>1337800</v>
      </c>
      <c r="AB3888" s="222">
        <v>46000</v>
      </c>
    </row>
    <row r="3889" spans="1:28" ht="17.100000000000001" customHeight="1" thickBot="1">
      <c r="A3889" s="227"/>
      <c r="B3889" s="27" t="s">
        <v>2597</v>
      </c>
      <c r="C3889" s="27">
        <v>7103</v>
      </c>
      <c r="D3889" s="14" t="s">
        <v>898</v>
      </c>
      <c r="E3889" s="229"/>
      <c r="F3889" s="117" t="s">
        <v>11729</v>
      </c>
      <c r="G3889" s="26">
        <v>70748</v>
      </c>
      <c r="H3889" s="231"/>
      <c r="I3889" s="221"/>
      <c r="J3889" s="221"/>
      <c r="K3889" s="221"/>
      <c r="L3889" s="221"/>
      <c r="M3889" s="221"/>
      <c r="N3889" s="221"/>
      <c r="O3889" s="225"/>
      <c r="P3889" s="118" t="s">
        <v>8646</v>
      </c>
      <c r="Q3889" s="16" t="s">
        <v>20</v>
      </c>
      <c r="R3889" s="17" t="s">
        <v>2216</v>
      </c>
      <c r="S3889" s="121" t="s">
        <v>1731</v>
      </c>
      <c r="T3889" s="122"/>
      <c r="U3889" s="22"/>
      <c r="V3889" s="123" t="s">
        <v>2472</v>
      </c>
      <c r="W3889" s="122">
        <v>80101</v>
      </c>
      <c r="X3889" s="221"/>
      <c r="Y3889" s="221"/>
      <c r="Z3889" s="221"/>
      <c r="AA3889" s="221"/>
      <c r="AB3889" s="223"/>
    </row>
    <row r="3890" spans="1:28" ht="17.100000000000001" customHeight="1" thickTop="1">
      <c r="A3890" s="226" t="s">
        <v>11709</v>
      </c>
      <c r="B3890" s="28">
        <v>45989</v>
      </c>
      <c r="C3890" s="25">
        <v>1396</v>
      </c>
      <c r="D3890" s="13" t="s">
        <v>2892</v>
      </c>
      <c r="E3890" s="228"/>
      <c r="F3890" s="109" t="s">
        <v>11743</v>
      </c>
      <c r="G3890" s="24"/>
      <c r="H3890" s="230">
        <v>4</v>
      </c>
      <c r="I3890" s="220">
        <v>2205000</v>
      </c>
      <c r="J3890" s="220">
        <f>I3890*0.1</f>
        <v>220500</v>
      </c>
      <c r="K3890" s="220">
        <v>0</v>
      </c>
      <c r="L3890" s="220">
        <v>21480</v>
      </c>
      <c r="M3890" s="220">
        <v>13200</v>
      </c>
      <c r="N3890" s="220">
        <f>SUM(I3890:M3891)</f>
        <v>2460180</v>
      </c>
      <c r="O3890" s="224"/>
      <c r="P3890" s="110" t="s">
        <v>12644</v>
      </c>
      <c r="Q3890" s="15" t="s">
        <v>19</v>
      </c>
      <c r="R3890" s="205"/>
      <c r="S3890" s="189"/>
      <c r="T3890" s="114"/>
      <c r="U3890" s="21"/>
      <c r="V3890" s="115">
        <v>46081</v>
      </c>
      <c r="W3890" s="116">
        <v>1290</v>
      </c>
      <c r="X3890" s="220">
        <v>2305000</v>
      </c>
      <c r="Y3890" s="220">
        <f>X3890*0.1</f>
        <v>230500</v>
      </c>
      <c r="Z3890" s="220">
        <v>21480</v>
      </c>
      <c r="AA3890" s="220">
        <f>SUM(X3890:Z3890)</f>
        <v>2556980</v>
      </c>
      <c r="AB3890" s="222">
        <v>46084</v>
      </c>
    </row>
    <row r="3891" spans="1:28" ht="17.100000000000001" customHeight="1" thickBot="1">
      <c r="A3891" s="227"/>
      <c r="B3891" s="27" t="s">
        <v>2597</v>
      </c>
      <c r="C3891" s="27">
        <v>7146</v>
      </c>
      <c r="D3891" s="14" t="s">
        <v>131</v>
      </c>
      <c r="E3891" s="229"/>
      <c r="F3891" s="117" t="s">
        <v>11730</v>
      </c>
      <c r="G3891" s="26">
        <v>64559</v>
      </c>
      <c r="H3891" s="231"/>
      <c r="I3891" s="221"/>
      <c r="J3891" s="221"/>
      <c r="K3891" s="221"/>
      <c r="L3891" s="221"/>
      <c r="M3891" s="221"/>
      <c r="N3891" s="221"/>
      <c r="O3891" s="225"/>
      <c r="P3891" s="118" t="s">
        <v>12507</v>
      </c>
      <c r="Q3891" s="16" t="s">
        <v>20</v>
      </c>
      <c r="R3891" s="17" t="s">
        <v>12584</v>
      </c>
      <c r="S3891" s="121" t="s">
        <v>7720</v>
      </c>
      <c r="T3891" s="122"/>
      <c r="U3891" s="22"/>
      <c r="V3891" s="123" t="s">
        <v>7160</v>
      </c>
      <c r="W3891" s="122">
        <v>80213</v>
      </c>
      <c r="X3891" s="221"/>
      <c r="Y3891" s="221"/>
      <c r="Z3891" s="221"/>
      <c r="AA3891" s="221"/>
      <c r="AB3891" s="223"/>
    </row>
    <row r="3892" spans="1:28" ht="17.100000000000001" customHeight="1" thickTop="1">
      <c r="A3892" s="226" t="s">
        <v>11710</v>
      </c>
      <c r="B3892" s="28">
        <v>45989</v>
      </c>
      <c r="C3892" s="25">
        <v>1396</v>
      </c>
      <c r="D3892" s="13" t="s">
        <v>1715</v>
      </c>
      <c r="E3892" s="228"/>
      <c r="F3892" s="109" t="s">
        <v>1916</v>
      </c>
      <c r="G3892" s="24" t="s">
        <v>11744</v>
      </c>
      <c r="H3892" s="230">
        <v>4</v>
      </c>
      <c r="I3892" s="220">
        <v>931000</v>
      </c>
      <c r="J3892" s="220">
        <f>I3892*0.1</f>
        <v>93100</v>
      </c>
      <c r="K3892" s="220">
        <f>11500+1150</f>
        <v>12650</v>
      </c>
      <c r="L3892" s="220">
        <v>17600</v>
      </c>
      <c r="M3892" s="220">
        <v>13200</v>
      </c>
      <c r="N3892" s="220">
        <f>SUM(I3892:M3893)</f>
        <v>1067550</v>
      </c>
      <c r="O3892" s="224"/>
      <c r="P3892" s="110" t="s">
        <v>12107</v>
      </c>
      <c r="Q3892" s="15" t="s">
        <v>19</v>
      </c>
      <c r="R3892" s="205"/>
      <c r="S3892" s="189" t="s">
        <v>25386</v>
      </c>
      <c r="T3892" s="114"/>
      <c r="U3892" s="21"/>
      <c r="V3892" s="115">
        <v>45997</v>
      </c>
      <c r="W3892" s="116">
        <v>1279</v>
      </c>
      <c r="X3892" s="220">
        <v>1100000</v>
      </c>
      <c r="Y3892" s="220">
        <f>X3892*0.1</f>
        <v>110000</v>
      </c>
      <c r="Z3892" s="220">
        <v>17600</v>
      </c>
      <c r="AA3892" s="220">
        <f>SUM(X3892:Z3892)</f>
        <v>1227600</v>
      </c>
      <c r="AB3892" s="222">
        <v>46001</v>
      </c>
    </row>
    <row r="3893" spans="1:28" ht="17.100000000000001" customHeight="1" thickBot="1">
      <c r="A3893" s="227"/>
      <c r="B3893" s="27" t="s">
        <v>2597</v>
      </c>
      <c r="C3893" s="27">
        <v>7150</v>
      </c>
      <c r="D3893" s="14" t="s">
        <v>1797</v>
      </c>
      <c r="E3893" s="229"/>
      <c r="F3893" s="117" t="s">
        <v>11731</v>
      </c>
      <c r="G3893" s="26">
        <v>55113</v>
      </c>
      <c r="H3893" s="231"/>
      <c r="I3893" s="221"/>
      <c r="J3893" s="221"/>
      <c r="K3893" s="221"/>
      <c r="L3893" s="221"/>
      <c r="M3893" s="221"/>
      <c r="N3893" s="221"/>
      <c r="O3893" s="225"/>
      <c r="P3893" s="118" t="s">
        <v>12108</v>
      </c>
      <c r="Q3893" s="16" t="s">
        <v>20</v>
      </c>
      <c r="R3893" s="17" t="s">
        <v>2216</v>
      </c>
      <c r="S3893" s="121" t="s">
        <v>1606</v>
      </c>
      <c r="T3893" s="122"/>
      <c r="U3893" s="22"/>
      <c r="V3893" s="123" t="s">
        <v>2472</v>
      </c>
      <c r="W3893" s="122">
        <v>80379</v>
      </c>
      <c r="X3893" s="221"/>
      <c r="Y3893" s="221"/>
      <c r="Z3893" s="221"/>
      <c r="AA3893" s="221"/>
      <c r="AB3893" s="223"/>
    </row>
    <row r="3894" spans="1:28" ht="17.100000000000001" customHeight="1" thickTop="1">
      <c r="A3894" s="226" t="s">
        <v>11711</v>
      </c>
      <c r="B3894" s="28">
        <v>45989</v>
      </c>
      <c r="C3894" s="25">
        <v>1396</v>
      </c>
      <c r="D3894" s="13" t="s">
        <v>1754</v>
      </c>
      <c r="E3894" s="228"/>
      <c r="F3894" s="109" t="s">
        <v>3560</v>
      </c>
      <c r="G3894" s="24" t="s">
        <v>3756</v>
      </c>
      <c r="H3894" s="230">
        <v>3.5</v>
      </c>
      <c r="I3894" s="220">
        <v>398000</v>
      </c>
      <c r="J3894" s="220">
        <f>I3894*0.1</f>
        <v>39800</v>
      </c>
      <c r="K3894" s="220">
        <v>0</v>
      </c>
      <c r="L3894" s="220">
        <v>8140</v>
      </c>
      <c r="M3894" s="220">
        <v>13200</v>
      </c>
      <c r="N3894" s="220">
        <f>SUM(I3894:M3895)</f>
        <v>459140</v>
      </c>
      <c r="O3894" s="224"/>
      <c r="P3894" s="110" t="s">
        <v>12134</v>
      </c>
      <c r="Q3894" s="15" t="s">
        <v>19</v>
      </c>
      <c r="R3894" s="205"/>
      <c r="S3894" s="189" t="s">
        <v>1361</v>
      </c>
      <c r="T3894" s="114"/>
      <c r="U3894" s="21"/>
      <c r="V3894" s="115">
        <v>46015</v>
      </c>
      <c r="W3894" s="116">
        <v>998</v>
      </c>
      <c r="X3894" s="220">
        <v>425000</v>
      </c>
      <c r="Y3894" s="220">
        <f>X3894*0.1</f>
        <v>42500</v>
      </c>
      <c r="Z3894" s="220">
        <v>8140</v>
      </c>
      <c r="AA3894" s="220">
        <f>SUM(X3894:Z3894)</f>
        <v>475640</v>
      </c>
      <c r="AB3894" s="222">
        <v>46027</v>
      </c>
    </row>
    <row r="3895" spans="1:28" ht="17.100000000000001" customHeight="1" thickBot="1">
      <c r="A3895" s="227"/>
      <c r="B3895" s="27" t="s">
        <v>2597</v>
      </c>
      <c r="C3895" s="27">
        <v>9039</v>
      </c>
      <c r="D3895" s="14" t="s">
        <v>898</v>
      </c>
      <c r="E3895" s="229"/>
      <c r="F3895" s="117" t="s">
        <v>11732</v>
      </c>
      <c r="G3895" s="26">
        <v>63586</v>
      </c>
      <c r="H3895" s="231"/>
      <c r="I3895" s="221"/>
      <c r="J3895" s="221"/>
      <c r="K3895" s="221"/>
      <c r="L3895" s="221"/>
      <c r="M3895" s="221"/>
      <c r="N3895" s="221"/>
      <c r="O3895" s="225"/>
      <c r="P3895" s="118" t="s">
        <v>12135</v>
      </c>
      <c r="Q3895" s="16" t="s">
        <v>20</v>
      </c>
      <c r="R3895" s="17" t="s">
        <v>2216</v>
      </c>
      <c r="S3895" s="121" t="s">
        <v>169</v>
      </c>
      <c r="T3895" s="122"/>
      <c r="U3895" s="22"/>
      <c r="V3895" s="123" t="s">
        <v>2747</v>
      </c>
      <c r="W3895" s="122">
        <v>2012</v>
      </c>
      <c r="X3895" s="221"/>
      <c r="Y3895" s="221"/>
      <c r="Z3895" s="221"/>
      <c r="AA3895" s="221"/>
      <c r="AB3895" s="223"/>
    </row>
    <row r="3896" spans="1:28" ht="17.100000000000001" customHeight="1" thickTop="1">
      <c r="A3896" s="226" t="s">
        <v>11712</v>
      </c>
      <c r="B3896" s="28">
        <v>45989</v>
      </c>
      <c r="C3896" s="25">
        <v>1396</v>
      </c>
      <c r="D3896" s="13" t="s">
        <v>11745</v>
      </c>
      <c r="E3896" s="228"/>
      <c r="F3896" s="109" t="s">
        <v>11733</v>
      </c>
      <c r="G3896" s="24"/>
      <c r="H3896" s="230">
        <v>3.5</v>
      </c>
      <c r="I3896" s="220">
        <v>75000</v>
      </c>
      <c r="J3896" s="220">
        <f>I3896*0.1</f>
        <v>7500</v>
      </c>
      <c r="K3896" s="220">
        <v>0</v>
      </c>
      <c r="L3896" s="220">
        <v>10170</v>
      </c>
      <c r="M3896" s="220">
        <v>13200</v>
      </c>
      <c r="N3896" s="220">
        <f>SUM(I3896:M3897)</f>
        <v>105870</v>
      </c>
      <c r="O3896" s="224"/>
      <c r="P3896" s="110" t="s">
        <v>12133</v>
      </c>
      <c r="Q3896" s="15" t="s">
        <v>19</v>
      </c>
      <c r="R3896" s="205"/>
      <c r="S3896" s="189" t="s">
        <v>25624</v>
      </c>
      <c r="T3896" s="114"/>
      <c r="U3896" s="21"/>
      <c r="V3896" s="115">
        <v>46004</v>
      </c>
      <c r="W3896" s="116">
        <v>1280</v>
      </c>
      <c r="X3896" s="220">
        <v>90000</v>
      </c>
      <c r="Y3896" s="220">
        <f>X3896*0.1</f>
        <v>9000</v>
      </c>
      <c r="Z3896" s="220">
        <v>10170</v>
      </c>
      <c r="AA3896" s="220">
        <f>SUM(X3896:Z3896)</f>
        <v>109170</v>
      </c>
      <c r="AB3896" s="222">
        <v>46008</v>
      </c>
    </row>
    <row r="3897" spans="1:28" ht="17.100000000000001" customHeight="1" thickBot="1">
      <c r="A3897" s="227"/>
      <c r="B3897" s="27" t="s">
        <v>2597</v>
      </c>
      <c r="C3897" s="27">
        <v>9106</v>
      </c>
      <c r="D3897" s="14" t="s">
        <v>1568</v>
      </c>
      <c r="E3897" s="229"/>
      <c r="F3897" s="117" t="s">
        <v>11734</v>
      </c>
      <c r="G3897" s="26">
        <v>43903</v>
      </c>
      <c r="H3897" s="231"/>
      <c r="I3897" s="221"/>
      <c r="J3897" s="221"/>
      <c r="K3897" s="221"/>
      <c r="L3897" s="221"/>
      <c r="M3897" s="221"/>
      <c r="N3897" s="221"/>
      <c r="O3897" s="225"/>
      <c r="P3897" s="118" t="s">
        <v>10518</v>
      </c>
      <c r="Q3897" s="16" t="s">
        <v>20</v>
      </c>
      <c r="R3897" s="17" t="s">
        <v>2216</v>
      </c>
      <c r="S3897" s="121" t="s">
        <v>1573</v>
      </c>
      <c r="T3897" s="122"/>
      <c r="U3897" s="22"/>
      <c r="V3897" s="123" t="s">
        <v>2472</v>
      </c>
      <c r="W3897" s="122">
        <v>63067</v>
      </c>
      <c r="X3897" s="221"/>
      <c r="Y3897" s="221"/>
      <c r="Z3897" s="221"/>
      <c r="AA3897" s="221"/>
      <c r="AB3897" s="223"/>
    </row>
    <row r="3898" spans="1:28" ht="17.100000000000001" customHeight="1" thickTop="1">
      <c r="A3898" s="226" t="s">
        <v>11835</v>
      </c>
      <c r="B3898" s="28">
        <v>45990</v>
      </c>
      <c r="C3898" s="25">
        <v>1000</v>
      </c>
      <c r="D3898" s="13" t="s">
        <v>1837</v>
      </c>
      <c r="E3898" s="228"/>
      <c r="F3898" s="109" t="s">
        <v>1141</v>
      </c>
      <c r="G3898" s="24"/>
      <c r="H3898" s="230">
        <v>4.5</v>
      </c>
      <c r="I3898" s="220">
        <v>1692000</v>
      </c>
      <c r="J3898" s="220">
        <f>I3898*0.1</f>
        <v>169200</v>
      </c>
      <c r="K3898" s="220">
        <v>0</v>
      </c>
      <c r="L3898" s="220">
        <v>16240</v>
      </c>
      <c r="M3898" s="220">
        <v>15950</v>
      </c>
      <c r="N3898" s="220">
        <f>SUM(I3898:M3899)</f>
        <v>1893390</v>
      </c>
      <c r="O3898" s="224"/>
      <c r="P3898" s="110" t="s">
        <v>12369</v>
      </c>
      <c r="Q3898" s="15" t="s">
        <v>19</v>
      </c>
      <c r="R3898" s="205"/>
      <c r="S3898" s="189" t="s">
        <v>758</v>
      </c>
      <c r="T3898" s="114"/>
      <c r="U3898" s="21"/>
      <c r="V3898" s="115"/>
      <c r="W3898" s="116"/>
      <c r="X3898" s="220"/>
      <c r="Y3898" s="220">
        <f>X3898*0.1</f>
        <v>0</v>
      </c>
      <c r="Z3898" s="220"/>
      <c r="AA3898" s="220">
        <f>SUM(X3898:Z3898)</f>
        <v>0</v>
      </c>
      <c r="AB3898" s="222"/>
    </row>
    <row r="3899" spans="1:28" ht="17.100000000000001" customHeight="1" thickBot="1">
      <c r="A3899" s="227"/>
      <c r="B3899" s="27" t="s">
        <v>1697</v>
      </c>
      <c r="C3899" s="27">
        <v>5072</v>
      </c>
      <c r="D3899" s="14" t="s">
        <v>1584</v>
      </c>
      <c r="E3899" s="229"/>
      <c r="F3899" s="117" t="s">
        <v>11797</v>
      </c>
      <c r="G3899" s="26">
        <v>35770</v>
      </c>
      <c r="H3899" s="231"/>
      <c r="I3899" s="221"/>
      <c r="J3899" s="221"/>
      <c r="K3899" s="221"/>
      <c r="L3899" s="221"/>
      <c r="M3899" s="221"/>
      <c r="N3899" s="221"/>
      <c r="O3899" s="225"/>
      <c r="P3899" s="118" t="s">
        <v>5068</v>
      </c>
      <c r="Q3899" s="16" t="s">
        <v>20</v>
      </c>
      <c r="R3899" s="17" t="s">
        <v>3384</v>
      </c>
      <c r="S3899" s="121" t="s">
        <v>8880</v>
      </c>
      <c r="T3899" s="122"/>
      <c r="U3899" s="22"/>
      <c r="V3899" s="123"/>
      <c r="W3899" s="122"/>
      <c r="X3899" s="221"/>
      <c r="Y3899" s="221"/>
      <c r="Z3899" s="221"/>
      <c r="AA3899" s="221"/>
      <c r="AB3899" s="223"/>
    </row>
    <row r="3900" spans="1:28" ht="17.100000000000001" customHeight="1" thickTop="1">
      <c r="A3900" s="233" t="s">
        <v>11836</v>
      </c>
      <c r="B3900" s="28">
        <v>45990</v>
      </c>
      <c r="C3900" s="25">
        <v>1278</v>
      </c>
      <c r="D3900" s="13" t="s">
        <v>1778</v>
      </c>
      <c r="E3900" s="228"/>
      <c r="F3900" s="109" t="s">
        <v>2859</v>
      </c>
      <c r="G3900" s="24"/>
      <c r="H3900" s="230">
        <v>4</v>
      </c>
      <c r="I3900" s="220">
        <v>865000</v>
      </c>
      <c r="J3900" s="220">
        <f>I3900*0.1</f>
        <v>86500</v>
      </c>
      <c r="K3900" s="220">
        <v>0</v>
      </c>
      <c r="L3900" s="220">
        <v>9170</v>
      </c>
      <c r="M3900" s="220">
        <v>12100</v>
      </c>
      <c r="N3900" s="220">
        <f>SUM(I3900:M3901)</f>
        <v>972770</v>
      </c>
      <c r="O3900" s="224"/>
      <c r="P3900" s="110"/>
      <c r="Q3900" s="15" t="s">
        <v>19</v>
      </c>
      <c r="R3900" s="205"/>
      <c r="S3900" s="189"/>
      <c r="T3900" s="114" t="s">
        <v>7899</v>
      </c>
      <c r="U3900" s="21"/>
      <c r="V3900" s="115"/>
      <c r="W3900" s="116"/>
      <c r="X3900" s="220"/>
      <c r="Y3900" s="220">
        <f>X3900*0.1</f>
        <v>0</v>
      </c>
      <c r="Z3900" s="220"/>
      <c r="AA3900" s="220">
        <f>SUM(X3900:Z3900)</f>
        <v>0</v>
      </c>
      <c r="AB3900" s="222"/>
    </row>
    <row r="3901" spans="1:28" ht="17.100000000000001" customHeight="1" thickBot="1">
      <c r="A3901" s="234"/>
      <c r="B3901" s="27" t="s">
        <v>2472</v>
      </c>
      <c r="C3901" s="27">
        <v>65098</v>
      </c>
      <c r="D3901" s="14" t="s">
        <v>273</v>
      </c>
      <c r="E3901" s="229"/>
      <c r="F3901" s="117" t="s">
        <v>11755</v>
      </c>
      <c r="G3901" s="26">
        <v>52970</v>
      </c>
      <c r="H3901" s="231"/>
      <c r="I3901" s="221"/>
      <c r="J3901" s="221"/>
      <c r="K3901" s="221"/>
      <c r="L3901" s="221"/>
      <c r="M3901" s="221"/>
      <c r="N3901" s="221"/>
      <c r="O3901" s="225"/>
      <c r="P3901" s="118"/>
      <c r="Q3901" s="16" t="s">
        <v>20</v>
      </c>
      <c r="R3901" s="17" t="s">
        <v>10331</v>
      </c>
      <c r="S3901" s="121"/>
      <c r="T3901" s="122"/>
      <c r="U3901" s="22"/>
      <c r="V3901" s="123"/>
      <c r="W3901" s="122"/>
      <c r="X3901" s="221"/>
      <c r="Y3901" s="221"/>
      <c r="Z3901" s="221"/>
      <c r="AA3901" s="221"/>
      <c r="AB3901" s="223"/>
    </row>
    <row r="3902" spans="1:28" ht="17.100000000000001" customHeight="1" thickTop="1">
      <c r="A3902" s="226" t="s">
        <v>11837</v>
      </c>
      <c r="B3902" s="28">
        <v>45990</v>
      </c>
      <c r="C3902" s="25">
        <v>1278</v>
      </c>
      <c r="D3902" s="13" t="s">
        <v>812</v>
      </c>
      <c r="E3902" s="228"/>
      <c r="F3902" s="109" t="s">
        <v>2556</v>
      </c>
      <c r="G3902" s="24" t="s">
        <v>11760</v>
      </c>
      <c r="H3902" s="230">
        <v>4</v>
      </c>
      <c r="I3902" s="220">
        <v>935000</v>
      </c>
      <c r="J3902" s="220">
        <f>I3902*0.1</f>
        <v>93500</v>
      </c>
      <c r="K3902" s="220">
        <v>0</v>
      </c>
      <c r="L3902" s="220">
        <v>9080</v>
      </c>
      <c r="M3902" s="220">
        <v>13200</v>
      </c>
      <c r="N3902" s="220">
        <f>SUM(I3902:M3903)</f>
        <v>1050780</v>
      </c>
      <c r="O3902" s="224"/>
      <c r="P3902" s="110" t="s">
        <v>11761</v>
      </c>
      <c r="Q3902" s="15" t="s">
        <v>19</v>
      </c>
      <c r="R3902" s="205"/>
      <c r="S3902" s="189" t="s">
        <v>25371</v>
      </c>
      <c r="T3902" s="114"/>
      <c r="U3902" s="21" t="s">
        <v>12492</v>
      </c>
      <c r="V3902" s="115">
        <v>45997</v>
      </c>
      <c r="W3902" s="116">
        <v>1279</v>
      </c>
      <c r="X3902" s="220">
        <v>1000000</v>
      </c>
      <c r="Y3902" s="220">
        <f>X3902*0.1</f>
        <v>100000</v>
      </c>
      <c r="Z3902" s="220">
        <v>9080</v>
      </c>
      <c r="AA3902" s="220">
        <f>SUM(X3902:Z3902)</f>
        <v>1109080</v>
      </c>
      <c r="AB3902" s="222">
        <v>46002</v>
      </c>
    </row>
    <row r="3903" spans="1:28" ht="17.100000000000001" customHeight="1" thickBot="1">
      <c r="A3903" s="227"/>
      <c r="B3903" s="27" t="s">
        <v>2472</v>
      </c>
      <c r="C3903" s="27">
        <v>65164</v>
      </c>
      <c r="D3903" s="14" t="s">
        <v>273</v>
      </c>
      <c r="E3903" s="229"/>
      <c r="F3903" s="117" t="s">
        <v>11759</v>
      </c>
      <c r="G3903" s="26">
        <v>59275</v>
      </c>
      <c r="H3903" s="231"/>
      <c r="I3903" s="221"/>
      <c r="J3903" s="221"/>
      <c r="K3903" s="221"/>
      <c r="L3903" s="221"/>
      <c r="M3903" s="221"/>
      <c r="N3903" s="221"/>
      <c r="O3903" s="225"/>
      <c r="P3903" s="118" t="s">
        <v>2870</v>
      </c>
      <c r="Q3903" s="16" t="s">
        <v>20</v>
      </c>
      <c r="R3903" s="17" t="s">
        <v>12417</v>
      </c>
      <c r="S3903" s="121" t="s">
        <v>12420</v>
      </c>
      <c r="T3903" s="122"/>
      <c r="U3903" s="22"/>
      <c r="V3903" s="123" t="s">
        <v>2472</v>
      </c>
      <c r="W3903" s="122">
        <v>60341</v>
      </c>
      <c r="X3903" s="221"/>
      <c r="Y3903" s="221"/>
      <c r="Z3903" s="221"/>
      <c r="AA3903" s="221"/>
      <c r="AB3903" s="223"/>
    </row>
    <row r="3904" spans="1:28" ht="17.100000000000001" customHeight="1" thickTop="1">
      <c r="A3904" s="226" t="s">
        <v>11838</v>
      </c>
      <c r="B3904" s="28">
        <v>45990</v>
      </c>
      <c r="C3904" s="25">
        <v>1278</v>
      </c>
      <c r="D3904" s="13" t="s">
        <v>4750</v>
      </c>
      <c r="E3904" s="228"/>
      <c r="F3904" s="109" t="s">
        <v>4504</v>
      </c>
      <c r="G3904" s="24" t="s">
        <v>3453</v>
      </c>
      <c r="H3904" s="230">
        <v>4</v>
      </c>
      <c r="I3904" s="220">
        <v>575000</v>
      </c>
      <c r="J3904" s="220">
        <f>I3904*0.1</f>
        <v>57500</v>
      </c>
      <c r="K3904" s="220">
        <v>0</v>
      </c>
      <c r="L3904" s="220">
        <v>9790</v>
      </c>
      <c r="M3904" s="220">
        <v>12100</v>
      </c>
      <c r="N3904" s="220">
        <f>SUM(I3904:M3905)</f>
        <v>654390</v>
      </c>
      <c r="O3904" s="224"/>
      <c r="P3904" s="110" t="s">
        <v>11763</v>
      </c>
      <c r="Q3904" s="15" t="s">
        <v>19</v>
      </c>
      <c r="R3904" s="205"/>
      <c r="S3904" s="189" t="s">
        <v>25625</v>
      </c>
      <c r="T3904" s="114"/>
      <c r="U3904" s="21" t="s">
        <v>12491</v>
      </c>
      <c r="V3904" s="115">
        <v>45997</v>
      </c>
      <c r="W3904" s="116">
        <v>1279</v>
      </c>
      <c r="X3904" s="220">
        <v>650000</v>
      </c>
      <c r="Y3904" s="220">
        <f>X3904*0.1</f>
        <v>65000</v>
      </c>
      <c r="Z3904" s="220">
        <v>9790</v>
      </c>
      <c r="AA3904" s="220">
        <f>SUM(X3904:Z3904)</f>
        <v>724790</v>
      </c>
      <c r="AB3904" s="222">
        <v>46002</v>
      </c>
    </row>
    <row r="3905" spans="1:28" ht="17.100000000000001" customHeight="1" thickBot="1">
      <c r="A3905" s="227"/>
      <c r="B3905" s="27" t="s">
        <v>2472</v>
      </c>
      <c r="C3905" s="27">
        <v>65214</v>
      </c>
      <c r="D3905" s="14" t="s">
        <v>273</v>
      </c>
      <c r="E3905" s="229"/>
      <c r="F3905" s="117" t="s">
        <v>11762</v>
      </c>
      <c r="G3905" s="26">
        <v>63270</v>
      </c>
      <c r="H3905" s="231"/>
      <c r="I3905" s="221"/>
      <c r="J3905" s="221"/>
      <c r="K3905" s="221"/>
      <c r="L3905" s="221"/>
      <c r="M3905" s="221"/>
      <c r="N3905" s="221"/>
      <c r="O3905" s="225"/>
      <c r="P3905" s="118" t="s">
        <v>12418</v>
      </c>
      <c r="Q3905" s="16" t="s">
        <v>20</v>
      </c>
      <c r="R3905" s="17" t="s">
        <v>12417</v>
      </c>
      <c r="S3905" s="121" t="s">
        <v>12419</v>
      </c>
      <c r="T3905" s="122"/>
      <c r="U3905" s="22"/>
      <c r="V3905" s="123" t="s">
        <v>2472</v>
      </c>
      <c r="W3905" s="122">
        <v>60269</v>
      </c>
      <c r="X3905" s="221"/>
      <c r="Y3905" s="221"/>
      <c r="Z3905" s="221"/>
      <c r="AA3905" s="221"/>
      <c r="AB3905" s="223"/>
    </row>
    <row r="3906" spans="1:28" ht="17.100000000000001" customHeight="1" thickTop="1">
      <c r="A3906" s="233" t="s">
        <v>11839</v>
      </c>
      <c r="B3906" s="28">
        <v>45990</v>
      </c>
      <c r="C3906" s="25">
        <v>1278</v>
      </c>
      <c r="D3906" s="13" t="s">
        <v>1754</v>
      </c>
      <c r="E3906" s="228"/>
      <c r="F3906" s="109" t="s">
        <v>2556</v>
      </c>
      <c r="G3906" s="24"/>
      <c r="H3906" s="230">
        <v>4.5</v>
      </c>
      <c r="I3906" s="220">
        <v>870000</v>
      </c>
      <c r="J3906" s="220">
        <f>I3906*0.1</f>
        <v>87000</v>
      </c>
      <c r="K3906" s="220">
        <v>0</v>
      </c>
      <c r="L3906" s="220">
        <v>9080</v>
      </c>
      <c r="M3906" s="220">
        <v>13200</v>
      </c>
      <c r="N3906" s="220">
        <f>SUM(I3906:M3907)</f>
        <v>979280</v>
      </c>
      <c r="O3906" s="224"/>
      <c r="P3906" s="110" t="s">
        <v>12428</v>
      </c>
      <c r="Q3906" s="15" t="s">
        <v>19</v>
      </c>
      <c r="R3906" s="205"/>
      <c r="S3906" s="189" t="s">
        <v>758</v>
      </c>
      <c r="T3906" s="114"/>
      <c r="U3906" s="21"/>
      <c r="V3906" s="115">
        <v>46039</v>
      </c>
      <c r="W3906" s="116">
        <v>1284</v>
      </c>
      <c r="X3906" s="220">
        <v>950000</v>
      </c>
      <c r="Y3906" s="220">
        <f>X3906*0.1</f>
        <v>95000</v>
      </c>
      <c r="Z3906" s="220">
        <v>9080</v>
      </c>
      <c r="AA3906" s="220">
        <f>SUM(X3906:Z3906)</f>
        <v>1054080</v>
      </c>
      <c r="AB3906" s="222">
        <v>46042</v>
      </c>
    </row>
    <row r="3907" spans="1:28" ht="17.100000000000001" customHeight="1" thickBot="1">
      <c r="A3907" s="234"/>
      <c r="B3907" s="27" t="s">
        <v>2472</v>
      </c>
      <c r="C3907" s="27">
        <v>65405</v>
      </c>
      <c r="D3907" s="14" t="s">
        <v>3955</v>
      </c>
      <c r="E3907" s="229"/>
      <c r="F3907" s="117" t="s">
        <v>11773</v>
      </c>
      <c r="G3907" s="26">
        <v>25897</v>
      </c>
      <c r="H3907" s="231"/>
      <c r="I3907" s="221"/>
      <c r="J3907" s="221"/>
      <c r="K3907" s="221"/>
      <c r="L3907" s="221"/>
      <c r="M3907" s="221"/>
      <c r="N3907" s="221"/>
      <c r="O3907" s="225"/>
      <c r="P3907" s="118" t="s">
        <v>12429</v>
      </c>
      <c r="Q3907" s="16" t="s">
        <v>20</v>
      </c>
      <c r="R3907" s="17" t="s">
        <v>12417</v>
      </c>
      <c r="S3907" s="121" t="s">
        <v>169</v>
      </c>
      <c r="T3907" s="122"/>
      <c r="U3907" s="22"/>
      <c r="V3907" s="123" t="s">
        <v>7160</v>
      </c>
      <c r="W3907" s="122">
        <v>60253</v>
      </c>
      <c r="X3907" s="221"/>
      <c r="Y3907" s="221"/>
      <c r="Z3907" s="221"/>
      <c r="AA3907" s="221"/>
      <c r="AB3907" s="223"/>
    </row>
    <row r="3908" spans="1:28" ht="17.100000000000001" customHeight="1" thickTop="1">
      <c r="A3908" s="233" t="s">
        <v>11840</v>
      </c>
      <c r="B3908" s="28">
        <v>45990</v>
      </c>
      <c r="C3908" s="25">
        <v>1278</v>
      </c>
      <c r="D3908" s="13" t="s">
        <v>2610</v>
      </c>
      <c r="E3908" s="228"/>
      <c r="F3908" s="109" t="s">
        <v>2556</v>
      </c>
      <c r="G3908" s="24" t="s">
        <v>5323</v>
      </c>
      <c r="H3908" s="230">
        <v>4.5</v>
      </c>
      <c r="I3908" s="220">
        <v>780000</v>
      </c>
      <c r="J3908" s="220">
        <f>I3908*0.1</f>
        <v>78000</v>
      </c>
      <c r="K3908" s="220">
        <v>0</v>
      </c>
      <c r="L3908" s="220">
        <v>9080</v>
      </c>
      <c r="M3908" s="220">
        <v>13200</v>
      </c>
      <c r="N3908" s="220">
        <f>SUM(I3908:M3909)</f>
        <v>880280</v>
      </c>
      <c r="O3908" s="224"/>
      <c r="P3908" s="110" t="s">
        <v>11775</v>
      </c>
      <c r="Q3908" s="15" t="s">
        <v>19</v>
      </c>
      <c r="R3908" s="205"/>
      <c r="S3908" s="189" t="s">
        <v>25476</v>
      </c>
      <c r="T3908" s="114" t="s">
        <v>7899</v>
      </c>
      <c r="U3908" s="21"/>
      <c r="V3908" s="115"/>
      <c r="W3908" s="116"/>
      <c r="X3908" s="220"/>
      <c r="Y3908" s="220">
        <f>X3908*0.1</f>
        <v>0</v>
      </c>
      <c r="Z3908" s="220"/>
      <c r="AA3908" s="220">
        <f>SUM(X3908:Z3908)</f>
        <v>0</v>
      </c>
      <c r="AB3908" s="222"/>
    </row>
    <row r="3909" spans="1:28" ht="17.100000000000001" customHeight="1" thickBot="1">
      <c r="A3909" s="234"/>
      <c r="B3909" s="27" t="s">
        <v>2472</v>
      </c>
      <c r="C3909" s="27">
        <v>65428</v>
      </c>
      <c r="D3909" s="14" t="s">
        <v>2014</v>
      </c>
      <c r="E3909" s="229"/>
      <c r="F3909" s="117" t="s">
        <v>11774</v>
      </c>
      <c r="G3909" s="26">
        <v>63093</v>
      </c>
      <c r="H3909" s="231"/>
      <c r="I3909" s="221"/>
      <c r="J3909" s="221"/>
      <c r="K3909" s="221"/>
      <c r="L3909" s="221"/>
      <c r="M3909" s="221"/>
      <c r="N3909" s="221"/>
      <c r="O3909" s="225"/>
      <c r="P3909" s="118"/>
      <c r="Q3909" s="16" t="s">
        <v>20</v>
      </c>
      <c r="R3909" s="17" t="s">
        <v>10331</v>
      </c>
      <c r="S3909" s="121"/>
      <c r="T3909" s="122"/>
      <c r="U3909" s="22"/>
      <c r="V3909" s="123"/>
      <c r="W3909" s="122"/>
      <c r="X3909" s="221"/>
      <c r="Y3909" s="221"/>
      <c r="Z3909" s="221"/>
      <c r="AA3909" s="221"/>
      <c r="AB3909" s="223"/>
    </row>
    <row r="3910" spans="1:28" ht="17.100000000000001" customHeight="1" thickTop="1">
      <c r="A3910" s="226" t="s">
        <v>11841</v>
      </c>
      <c r="B3910" s="28">
        <v>45990</v>
      </c>
      <c r="C3910" s="25">
        <v>1278</v>
      </c>
      <c r="D3910" s="13" t="s">
        <v>1883</v>
      </c>
      <c r="E3910" s="228"/>
      <c r="F3910" s="109" t="s">
        <v>11756</v>
      </c>
      <c r="G3910" s="24"/>
      <c r="H3910" s="230">
        <v>4</v>
      </c>
      <c r="I3910" s="220">
        <v>1350000</v>
      </c>
      <c r="J3910" s="220">
        <f>I3910*0.1</f>
        <v>135000</v>
      </c>
      <c r="K3910" s="220">
        <v>0</v>
      </c>
      <c r="L3910" s="220">
        <v>16160</v>
      </c>
      <c r="M3910" s="220">
        <v>16500</v>
      </c>
      <c r="N3910" s="220">
        <f>SUM(I3910:M3911)</f>
        <v>1517660</v>
      </c>
      <c r="O3910" s="224"/>
      <c r="P3910" s="110" t="s">
        <v>12436</v>
      </c>
      <c r="Q3910" s="15" t="s">
        <v>19</v>
      </c>
      <c r="R3910" s="205"/>
      <c r="S3910" s="189" t="s">
        <v>758</v>
      </c>
      <c r="T3910" s="114"/>
      <c r="U3910" s="21"/>
      <c r="V3910" s="115">
        <v>46048</v>
      </c>
      <c r="W3910" s="116"/>
      <c r="X3910" s="220">
        <v>1550000</v>
      </c>
      <c r="Y3910" s="220">
        <f>X3910*0.1</f>
        <v>155000</v>
      </c>
      <c r="Z3910" s="220">
        <v>16160</v>
      </c>
      <c r="AA3910" s="220">
        <f>SUM(X3910:Z3910)</f>
        <v>1721160</v>
      </c>
      <c r="AB3910" s="222"/>
    </row>
    <row r="3911" spans="1:28" ht="17.100000000000001" customHeight="1" thickBot="1">
      <c r="A3911" s="227"/>
      <c r="B3911" s="27" t="s">
        <v>2472</v>
      </c>
      <c r="C3911" s="27">
        <v>81060</v>
      </c>
      <c r="D3911" s="14" t="s">
        <v>1548</v>
      </c>
      <c r="E3911" s="229"/>
      <c r="F3911" s="117" t="s">
        <v>11757</v>
      </c>
      <c r="G3911" s="26">
        <v>56347</v>
      </c>
      <c r="H3911" s="231"/>
      <c r="I3911" s="221"/>
      <c r="J3911" s="221"/>
      <c r="K3911" s="221"/>
      <c r="L3911" s="221"/>
      <c r="M3911" s="221"/>
      <c r="N3911" s="221"/>
      <c r="O3911" s="225"/>
      <c r="P3911" s="118" t="s">
        <v>2870</v>
      </c>
      <c r="Q3911" s="16" t="s">
        <v>20</v>
      </c>
      <c r="R3911" s="17" t="s">
        <v>12417</v>
      </c>
      <c r="S3911" s="121" t="s">
        <v>1731</v>
      </c>
      <c r="T3911" s="122"/>
      <c r="U3911" s="22"/>
      <c r="V3911" s="123" t="s">
        <v>6682</v>
      </c>
      <c r="W3911" s="122">
        <v>51612</v>
      </c>
      <c r="X3911" s="221"/>
      <c r="Y3911" s="221"/>
      <c r="Z3911" s="221"/>
      <c r="AA3911" s="221"/>
      <c r="AB3911" s="223"/>
    </row>
    <row r="3912" spans="1:28" ht="17.100000000000001" customHeight="1" thickTop="1">
      <c r="A3912" s="226" t="s">
        <v>11842</v>
      </c>
      <c r="B3912" s="28">
        <v>45990</v>
      </c>
      <c r="C3912" s="25">
        <v>1278</v>
      </c>
      <c r="D3912" s="13" t="s">
        <v>2866</v>
      </c>
      <c r="E3912" s="228"/>
      <c r="F3912" s="109" t="s">
        <v>4009</v>
      </c>
      <c r="G3912" s="24"/>
      <c r="H3912" s="230">
        <v>4.5</v>
      </c>
      <c r="I3912" s="220">
        <v>980000</v>
      </c>
      <c r="J3912" s="220">
        <f>I3912*0.1</f>
        <v>98000</v>
      </c>
      <c r="K3912" s="220">
        <v>0</v>
      </c>
      <c r="L3912" s="220">
        <v>16580</v>
      </c>
      <c r="M3912" s="220">
        <v>23100</v>
      </c>
      <c r="N3912" s="220">
        <f>SUM(I3912:M3913)</f>
        <v>1117680</v>
      </c>
      <c r="O3912" s="224"/>
      <c r="P3912" s="110" t="s">
        <v>12423</v>
      </c>
      <c r="Q3912" s="15" t="s">
        <v>19</v>
      </c>
      <c r="R3912" s="205"/>
      <c r="S3912" s="189"/>
      <c r="T3912" s="114"/>
      <c r="U3912" s="21"/>
      <c r="V3912" s="115">
        <v>45997</v>
      </c>
      <c r="W3912" s="116">
        <v>1279</v>
      </c>
      <c r="X3912" s="220">
        <v>1105000</v>
      </c>
      <c r="Y3912" s="220">
        <f>X3912*0.1</f>
        <v>110500</v>
      </c>
      <c r="Z3912" s="220">
        <v>16580</v>
      </c>
      <c r="AA3912" s="220">
        <f>SUM(X3912:Z3912)</f>
        <v>1232080</v>
      </c>
      <c r="AB3912" s="222">
        <v>46001</v>
      </c>
    </row>
    <row r="3913" spans="1:28" ht="17.100000000000001" customHeight="1" thickBot="1">
      <c r="A3913" s="227"/>
      <c r="B3913" s="27" t="s">
        <v>2472</v>
      </c>
      <c r="C3913" s="27">
        <v>81104</v>
      </c>
      <c r="D3913" s="14" t="s">
        <v>131</v>
      </c>
      <c r="E3913" s="229"/>
      <c r="F3913" s="117" t="s">
        <v>11764</v>
      </c>
      <c r="G3913" s="26">
        <v>52485</v>
      </c>
      <c r="H3913" s="231"/>
      <c r="I3913" s="221"/>
      <c r="J3913" s="221"/>
      <c r="K3913" s="221"/>
      <c r="L3913" s="221"/>
      <c r="M3913" s="221"/>
      <c r="N3913" s="221"/>
      <c r="O3913" s="225"/>
      <c r="P3913" s="118" t="s">
        <v>12424</v>
      </c>
      <c r="Q3913" s="16" t="s">
        <v>20</v>
      </c>
      <c r="R3913" s="17" t="s">
        <v>12417</v>
      </c>
      <c r="S3913" s="121"/>
      <c r="T3913" s="122"/>
      <c r="U3913" s="22"/>
      <c r="V3913" s="123" t="s">
        <v>2472</v>
      </c>
      <c r="W3913" s="122">
        <v>80096</v>
      </c>
      <c r="X3913" s="221"/>
      <c r="Y3913" s="221"/>
      <c r="Z3913" s="221"/>
      <c r="AA3913" s="221"/>
      <c r="AB3913" s="223"/>
    </row>
    <row r="3914" spans="1:28" ht="17.100000000000001" customHeight="1" thickTop="1">
      <c r="A3914" s="226" t="s">
        <v>11843</v>
      </c>
      <c r="B3914" s="28">
        <v>45990</v>
      </c>
      <c r="C3914" s="25">
        <v>1278</v>
      </c>
      <c r="D3914" s="13" t="s">
        <v>2406</v>
      </c>
      <c r="E3914" s="228"/>
      <c r="F3914" s="109" t="s">
        <v>1854</v>
      </c>
      <c r="G3914" s="24"/>
      <c r="H3914" s="230">
        <v>4</v>
      </c>
      <c r="I3914" s="220">
        <v>1505000</v>
      </c>
      <c r="J3914" s="220">
        <f>I3914*0.1</f>
        <v>150500</v>
      </c>
      <c r="K3914" s="220">
        <v>0</v>
      </c>
      <c r="L3914" s="220">
        <v>19440</v>
      </c>
      <c r="M3914" s="220">
        <v>16500</v>
      </c>
      <c r="N3914" s="220">
        <f>SUM(I3914:M3915)</f>
        <v>1691440</v>
      </c>
      <c r="O3914" s="224"/>
      <c r="P3914" s="110" t="s">
        <v>12425</v>
      </c>
      <c r="Q3914" s="15" t="s">
        <v>19</v>
      </c>
      <c r="R3914" s="205"/>
      <c r="S3914" s="189" t="s">
        <v>25367</v>
      </c>
      <c r="T3914" s="114"/>
      <c r="U3914" s="21"/>
      <c r="V3914" s="115">
        <v>45997</v>
      </c>
      <c r="W3914" s="116">
        <v>1279</v>
      </c>
      <c r="X3914" s="220">
        <v>1705000</v>
      </c>
      <c r="Y3914" s="220">
        <f>X3914*0.1</f>
        <v>170500</v>
      </c>
      <c r="Z3914" s="220">
        <v>19440</v>
      </c>
      <c r="AA3914" s="220">
        <f>SUM(X3914:Z3914)</f>
        <v>1894940</v>
      </c>
      <c r="AB3914" s="222">
        <v>46001</v>
      </c>
    </row>
    <row r="3915" spans="1:28" ht="17.100000000000001" customHeight="1" thickBot="1">
      <c r="A3915" s="227"/>
      <c r="B3915" s="27" t="s">
        <v>2472</v>
      </c>
      <c r="C3915" s="27">
        <v>82452</v>
      </c>
      <c r="D3915" s="14" t="s">
        <v>898</v>
      </c>
      <c r="E3915" s="229"/>
      <c r="F3915" s="117" t="s">
        <v>11794</v>
      </c>
      <c r="G3915" s="26">
        <v>22985</v>
      </c>
      <c r="H3915" s="231"/>
      <c r="I3915" s="221"/>
      <c r="J3915" s="221"/>
      <c r="K3915" s="221"/>
      <c r="L3915" s="221"/>
      <c r="M3915" s="221"/>
      <c r="N3915" s="221"/>
      <c r="O3915" s="225"/>
      <c r="P3915" s="118" t="s">
        <v>12426</v>
      </c>
      <c r="Q3915" s="16" t="s">
        <v>20</v>
      </c>
      <c r="R3915" s="17" t="s">
        <v>12417</v>
      </c>
      <c r="S3915" s="121" t="s">
        <v>1731</v>
      </c>
      <c r="T3915" s="122"/>
      <c r="U3915" s="22"/>
      <c r="V3915" s="123" t="s">
        <v>2472</v>
      </c>
      <c r="W3915" s="122">
        <v>80098</v>
      </c>
      <c r="X3915" s="221"/>
      <c r="Y3915" s="221"/>
      <c r="Z3915" s="221"/>
      <c r="AA3915" s="221"/>
      <c r="AB3915" s="223"/>
    </row>
    <row r="3916" spans="1:28" ht="17.100000000000001" customHeight="1" thickTop="1">
      <c r="A3916" s="233" t="s">
        <v>11844</v>
      </c>
      <c r="B3916" s="28">
        <v>45990</v>
      </c>
      <c r="C3916" s="25">
        <v>1521</v>
      </c>
      <c r="D3916" s="13" t="s">
        <v>2264</v>
      </c>
      <c r="E3916" s="228"/>
      <c r="F3916" s="109" t="s">
        <v>9770</v>
      </c>
      <c r="G3916" s="24" t="s">
        <v>11769</v>
      </c>
      <c r="H3916" s="230">
        <v>4.5</v>
      </c>
      <c r="I3916" s="220">
        <v>1865000</v>
      </c>
      <c r="J3916" s="220">
        <f>I3916*0.1</f>
        <v>186500</v>
      </c>
      <c r="K3916" s="220">
        <v>0</v>
      </c>
      <c r="L3916" s="220">
        <v>17800</v>
      </c>
      <c r="M3916" s="220">
        <v>16500</v>
      </c>
      <c r="N3916" s="220">
        <f>SUM(I3916:M3917)</f>
        <v>2085800</v>
      </c>
      <c r="O3916" s="224"/>
      <c r="P3916" s="110" t="s">
        <v>12275</v>
      </c>
      <c r="Q3916" s="15" t="s">
        <v>19</v>
      </c>
      <c r="R3916" s="205"/>
      <c r="S3916" s="189" t="s">
        <v>1306</v>
      </c>
      <c r="T3916" s="114" t="s">
        <v>13273</v>
      </c>
      <c r="U3916" s="21"/>
      <c r="V3916" s="115"/>
      <c r="W3916" s="116"/>
      <c r="X3916" s="220"/>
      <c r="Y3916" s="220">
        <f>X3916*0.1</f>
        <v>0</v>
      </c>
      <c r="Z3916" s="220"/>
      <c r="AA3916" s="220">
        <f>SUM(X3916:Z3916)</f>
        <v>0</v>
      </c>
      <c r="AB3916" s="222"/>
    </row>
    <row r="3917" spans="1:28" ht="17.100000000000001" customHeight="1" thickBot="1">
      <c r="A3917" s="234"/>
      <c r="B3917" s="27" t="s">
        <v>1547</v>
      </c>
      <c r="C3917" s="27">
        <v>83052</v>
      </c>
      <c r="D3917" s="14" t="s">
        <v>898</v>
      </c>
      <c r="E3917" s="229"/>
      <c r="F3917" s="117" t="s">
        <v>11768</v>
      </c>
      <c r="G3917" s="26">
        <v>36746</v>
      </c>
      <c r="H3917" s="231"/>
      <c r="I3917" s="221"/>
      <c r="J3917" s="221"/>
      <c r="K3917" s="221"/>
      <c r="L3917" s="221"/>
      <c r="M3917" s="221"/>
      <c r="N3917" s="221"/>
      <c r="O3917" s="225"/>
      <c r="P3917" s="118" t="s">
        <v>12276</v>
      </c>
      <c r="Q3917" s="16" t="s">
        <v>20</v>
      </c>
      <c r="R3917" s="17" t="s">
        <v>1739</v>
      </c>
      <c r="S3917" s="121" t="s">
        <v>1606</v>
      </c>
      <c r="T3917" s="122"/>
      <c r="U3917" s="22"/>
      <c r="V3917" s="123"/>
      <c r="W3917" s="122"/>
      <c r="X3917" s="221"/>
      <c r="Y3917" s="221"/>
      <c r="Z3917" s="221"/>
      <c r="AA3917" s="221"/>
      <c r="AB3917" s="223"/>
    </row>
    <row r="3918" spans="1:28" ht="17.100000000000001" customHeight="1" thickTop="1">
      <c r="A3918" s="226" t="s">
        <v>11845</v>
      </c>
      <c r="B3918" s="28">
        <v>45990</v>
      </c>
      <c r="C3918" s="25">
        <v>1521</v>
      </c>
      <c r="D3918" s="13" t="s">
        <v>1632</v>
      </c>
      <c r="E3918" s="228"/>
      <c r="F3918" s="109" t="s">
        <v>2685</v>
      </c>
      <c r="G3918" s="24" t="s">
        <v>11771</v>
      </c>
      <c r="H3918" s="230">
        <v>4.5</v>
      </c>
      <c r="I3918" s="220">
        <v>730000</v>
      </c>
      <c r="J3918" s="220">
        <f>I3918*0.1</f>
        <v>73000</v>
      </c>
      <c r="K3918" s="220">
        <f>13100+1310</f>
        <v>14410</v>
      </c>
      <c r="L3918" s="220">
        <v>19090</v>
      </c>
      <c r="M3918" s="220">
        <v>16500</v>
      </c>
      <c r="N3918" s="220">
        <f>SUM(I3918:M3919)</f>
        <v>853000</v>
      </c>
      <c r="O3918" s="224"/>
      <c r="P3918" s="110" t="s">
        <v>11772</v>
      </c>
      <c r="Q3918" s="15" t="s">
        <v>19</v>
      </c>
      <c r="R3918" s="205"/>
      <c r="S3918" s="189"/>
      <c r="T3918" s="114"/>
      <c r="U3918" s="21"/>
      <c r="V3918" s="115">
        <v>46060</v>
      </c>
      <c r="W3918" s="116">
        <v>1287</v>
      </c>
      <c r="X3918" s="220">
        <v>825000</v>
      </c>
      <c r="Y3918" s="220">
        <f>X3918*0.1</f>
        <v>82500</v>
      </c>
      <c r="Z3918" s="220">
        <v>19090</v>
      </c>
      <c r="AA3918" s="220">
        <f>SUM(X3918:Z3918)</f>
        <v>926590</v>
      </c>
      <c r="AB3918" s="222">
        <v>46063</v>
      </c>
    </row>
    <row r="3919" spans="1:28" ht="17.100000000000001" customHeight="1" thickBot="1">
      <c r="A3919" s="227"/>
      <c r="B3919" s="27" t="s">
        <v>1547</v>
      </c>
      <c r="C3919" s="27">
        <v>83076</v>
      </c>
      <c r="D3919" s="14" t="s">
        <v>3274</v>
      </c>
      <c r="E3919" s="229"/>
      <c r="F3919" s="117" t="s">
        <v>11770</v>
      </c>
      <c r="G3919" s="26">
        <v>83713</v>
      </c>
      <c r="H3919" s="231"/>
      <c r="I3919" s="221"/>
      <c r="J3919" s="221"/>
      <c r="K3919" s="221"/>
      <c r="L3919" s="221"/>
      <c r="M3919" s="221"/>
      <c r="N3919" s="221"/>
      <c r="O3919" s="225"/>
      <c r="P3919" s="118" t="s">
        <v>12274</v>
      </c>
      <c r="Q3919" s="16" t="s">
        <v>20</v>
      </c>
      <c r="R3919" s="17" t="s">
        <v>1739</v>
      </c>
      <c r="S3919" s="121" t="s">
        <v>1731</v>
      </c>
      <c r="T3919" s="122"/>
      <c r="U3919" s="22"/>
      <c r="V3919" s="123" t="s">
        <v>7160</v>
      </c>
      <c r="W3919" s="122">
        <v>80195</v>
      </c>
      <c r="X3919" s="221"/>
      <c r="Y3919" s="221"/>
      <c r="Z3919" s="221"/>
      <c r="AA3919" s="221"/>
      <c r="AB3919" s="223"/>
    </row>
    <row r="3920" spans="1:28" ht="17.100000000000001" customHeight="1" thickTop="1">
      <c r="A3920" s="226" t="s">
        <v>11846</v>
      </c>
      <c r="B3920" s="28">
        <v>45990</v>
      </c>
      <c r="C3920" s="25">
        <v>1521</v>
      </c>
      <c r="D3920" s="13" t="s">
        <v>2920</v>
      </c>
      <c r="E3920" s="228"/>
      <c r="F3920" s="109" t="s">
        <v>11790</v>
      </c>
      <c r="G3920" s="24" t="s">
        <v>11792</v>
      </c>
      <c r="H3920" s="230">
        <v>4.5</v>
      </c>
      <c r="I3920" s="220">
        <v>1900000</v>
      </c>
      <c r="J3920" s="220">
        <f>I3920*0.1</f>
        <v>190000</v>
      </c>
      <c r="K3920" s="220">
        <f>10100+1010</f>
        <v>11110</v>
      </c>
      <c r="L3920" s="220">
        <v>17930</v>
      </c>
      <c r="M3920" s="220">
        <v>16500</v>
      </c>
      <c r="N3920" s="220">
        <f>SUM(I3920:M3921)</f>
        <v>2135540</v>
      </c>
      <c r="O3920" s="224"/>
      <c r="P3920" s="110" t="s">
        <v>11793</v>
      </c>
      <c r="Q3920" s="15" t="s">
        <v>19</v>
      </c>
      <c r="R3920" s="205"/>
      <c r="S3920" s="189"/>
      <c r="T3920" s="114"/>
      <c r="U3920" s="21"/>
      <c r="V3920" s="115">
        <v>46002</v>
      </c>
      <c r="W3920" s="116">
        <v>1310</v>
      </c>
      <c r="X3920" s="220">
        <v>2065000</v>
      </c>
      <c r="Y3920" s="220">
        <f>X3920*0.1</f>
        <v>206500</v>
      </c>
      <c r="Z3920" s="220">
        <v>17930</v>
      </c>
      <c r="AA3920" s="220">
        <f>SUM(X3920:Z3920)</f>
        <v>2289430</v>
      </c>
      <c r="AB3920" s="222">
        <v>46003</v>
      </c>
    </row>
    <row r="3921" spans="1:28" ht="17.100000000000001" customHeight="1" thickBot="1">
      <c r="A3921" s="227"/>
      <c r="B3921" s="27" t="s">
        <v>1547</v>
      </c>
      <c r="C3921" s="27">
        <v>83153</v>
      </c>
      <c r="D3921" s="14" t="s">
        <v>2753</v>
      </c>
      <c r="E3921" s="229"/>
      <c r="F3921" s="117" t="s">
        <v>11791</v>
      </c>
      <c r="G3921" s="26">
        <v>44429</v>
      </c>
      <c r="H3921" s="231"/>
      <c r="I3921" s="221"/>
      <c r="J3921" s="221"/>
      <c r="K3921" s="221"/>
      <c r="L3921" s="221"/>
      <c r="M3921" s="221"/>
      <c r="N3921" s="221"/>
      <c r="O3921" s="225"/>
      <c r="P3921" s="118" t="s">
        <v>12273</v>
      </c>
      <c r="Q3921" s="16" t="s">
        <v>20</v>
      </c>
      <c r="R3921" s="17" t="s">
        <v>1739</v>
      </c>
      <c r="S3921" s="121" t="s">
        <v>1606</v>
      </c>
      <c r="T3921" s="122"/>
      <c r="U3921" s="22"/>
      <c r="V3921" s="123" t="s">
        <v>1735</v>
      </c>
      <c r="W3921" s="122">
        <v>329</v>
      </c>
      <c r="X3921" s="221"/>
      <c r="Y3921" s="221"/>
      <c r="Z3921" s="221"/>
      <c r="AA3921" s="221"/>
      <c r="AB3921" s="223"/>
    </row>
    <row r="3922" spans="1:28" ht="17.100000000000001" customHeight="1" thickTop="1">
      <c r="A3922" s="226" t="s">
        <v>11883</v>
      </c>
      <c r="B3922" s="28">
        <v>45992</v>
      </c>
      <c r="C3922" s="25">
        <v>73</v>
      </c>
      <c r="D3922" s="13" t="s">
        <v>2113</v>
      </c>
      <c r="E3922" s="228"/>
      <c r="F3922" s="109" t="s">
        <v>11865</v>
      </c>
      <c r="G3922" s="24" t="s">
        <v>4038</v>
      </c>
      <c r="H3922" s="230">
        <v>3.5</v>
      </c>
      <c r="I3922" s="220">
        <v>470000</v>
      </c>
      <c r="J3922" s="220">
        <f>I3922*0.1</f>
        <v>47000</v>
      </c>
      <c r="K3922" s="220">
        <f>8600+860</f>
        <v>9460</v>
      </c>
      <c r="L3922" s="220">
        <v>9130</v>
      </c>
      <c r="M3922" s="220">
        <v>33000</v>
      </c>
      <c r="N3922" s="220">
        <f>SUM(I3922:M3923)</f>
        <v>568590</v>
      </c>
      <c r="O3922" s="224"/>
      <c r="P3922" s="110" t="s">
        <v>13879</v>
      </c>
      <c r="Q3922" s="15" t="s">
        <v>19</v>
      </c>
      <c r="R3922" s="205"/>
      <c r="S3922" s="189" t="s">
        <v>25607</v>
      </c>
      <c r="T3922" s="114"/>
      <c r="U3922" s="21"/>
      <c r="V3922" s="115">
        <v>46015</v>
      </c>
      <c r="W3922" s="116">
        <v>998</v>
      </c>
      <c r="X3922" s="220">
        <v>690000</v>
      </c>
      <c r="Y3922" s="220">
        <f>X3922*0.1</f>
        <v>69000</v>
      </c>
      <c r="Z3922" s="220">
        <v>9130</v>
      </c>
      <c r="AA3922" s="220">
        <f>SUM(X3922:Z3922)</f>
        <v>768130</v>
      </c>
      <c r="AB3922" s="222">
        <v>46027</v>
      </c>
    </row>
    <row r="3923" spans="1:28" ht="17.100000000000001" customHeight="1" thickBot="1">
      <c r="A3923" s="227"/>
      <c r="B3923" s="27" t="s">
        <v>4468</v>
      </c>
      <c r="C3923" s="27">
        <v>1011</v>
      </c>
      <c r="D3923" s="14" t="s">
        <v>1710</v>
      </c>
      <c r="E3923" s="229"/>
      <c r="F3923" s="117" t="s">
        <v>11861</v>
      </c>
      <c r="G3923" s="26">
        <v>58689</v>
      </c>
      <c r="H3923" s="231"/>
      <c r="I3923" s="221"/>
      <c r="J3923" s="221"/>
      <c r="K3923" s="221"/>
      <c r="L3923" s="221"/>
      <c r="M3923" s="221"/>
      <c r="N3923" s="221"/>
      <c r="O3923" s="225"/>
      <c r="P3923" s="118" t="s">
        <v>13880</v>
      </c>
      <c r="Q3923" s="16" t="s">
        <v>20</v>
      </c>
      <c r="R3923" s="17" t="s">
        <v>13841</v>
      </c>
      <c r="S3923" s="121" t="s">
        <v>13881</v>
      </c>
      <c r="T3923" s="122"/>
      <c r="U3923" s="22"/>
      <c r="V3923" s="123" t="s">
        <v>8877</v>
      </c>
      <c r="W3923" s="122">
        <v>1100</v>
      </c>
      <c r="X3923" s="221"/>
      <c r="Y3923" s="221"/>
      <c r="Z3923" s="221"/>
      <c r="AA3923" s="221"/>
      <c r="AB3923" s="223"/>
    </row>
    <row r="3924" spans="1:28" ht="17.100000000000001" customHeight="1" thickTop="1">
      <c r="A3924" s="226" t="s">
        <v>11884</v>
      </c>
      <c r="B3924" s="28">
        <v>45992</v>
      </c>
      <c r="C3924" s="25">
        <v>73</v>
      </c>
      <c r="D3924" s="13" t="s">
        <v>2167</v>
      </c>
      <c r="E3924" s="228"/>
      <c r="F3924" s="109" t="s">
        <v>4635</v>
      </c>
      <c r="G3924" s="24" t="s">
        <v>4315</v>
      </c>
      <c r="H3924" s="230">
        <v>4.5</v>
      </c>
      <c r="I3924" s="220">
        <v>855000</v>
      </c>
      <c r="J3924" s="220">
        <f>I3924*0.1</f>
        <v>85500</v>
      </c>
      <c r="K3924" s="220">
        <v>0</v>
      </c>
      <c r="L3924" s="220">
        <v>8400</v>
      </c>
      <c r="M3924" s="220">
        <v>33000</v>
      </c>
      <c r="N3924" s="220">
        <f>SUM(I3924:M3925)</f>
        <v>981900</v>
      </c>
      <c r="O3924" s="224"/>
      <c r="P3924" s="110" t="s">
        <v>13941</v>
      </c>
      <c r="Q3924" s="15" t="s">
        <v>19</v>
      </c>
      <c r="R3924" s="205"/>
      <c r="S3924" s="189" t="s">
        <v>25605</v>
      </c>
      <c r="T3924" s="114"/>
      <c r="U3924" s="21" t="s">
        <v>14619</v>
      </c>
      <c r="V3924" s="115">
        <v>46035</v>
      </c>
      <c r="W3924" s="116">
        <v>1924</v>
      </c>
      <c r="X3924" s="220">
        <v>908000</v>
      </c>
      <c r="Y3924" s="220">
        <f>X3924*0.1</f>
        <v>90800</v>
      </c>
      <c r="Z3924" s="220">
        <v>8400</v>
      </c>
      <c r="AA3924" s="220">
        <f>SUM(X3924:Z3924)</f>
        <v>1007200</v>
      </c>
      <c r="AB3924" s="222"/>
    </row>
    <row r="3925" spans="1:28" ht="17.100000000000001" customHeight="1" thickBot="1">
      <c r="A3925" s="227"/>
      <c r="B3925" s="27" t="s">
        <v>4468</v>
      </c>
      <c r="C3925" s="27">
        <v>1023</v>
      </c>
      <c r="D3925" s="14" t="s">
        <v>11866</v>
      </c>
      <c r="E3925" s="229"/>
      <c r="F3925" s="117" t="s">
        <v>11862</v>
      </c>
      <c r="G3925" s="26">
        <v>55545</v>
      </c>
      <c r="H3925" s="231"/>
      <c r="I3925" s="221"/>
      <c r="J3925" s="221"/>
      <c r="K3925" s="221"/>
      <c r="L3925" s="221"/>
      <c r="M3925" s="221"/>
      <c r="N3925" s="221"/>
      <c r="O3925" s="225"/>
      <c r="P3925" s="118" t="s">
        <v>2906</v>
      </c>
      <c r="Q3925" s="16" t="s">
        <v>20</v>
      </c>
      <c r="R3925" s="17" t="s">
        <v>13841</v>
      </c>
      <c r="S3925" s="121" t="s">
        <v>1601</v>
      </c>
      <c r="T3925" s="122"/>
      <c r="U3925" s="22"/>
      <c r="V3925" s="123" t="s">
        <v>2103</v>
      </c>
      <c r="W3925" s="122">
        <v>3147</v>
      </c>
      <c r="X3925" s="221"/>
      <c r="Y3925" s="221"/>
      <c r="Z3925" s="221"/>
      <c r="AA3925" s="221"/>
      <c r="AB3925" s="223"/>
    </row>
    <row r="3926" spans="1:28" ht="17.100000000000001" customHeight="1" thickTop="1">
      <c r="A3926" s="226" t="s">
        <v>11885</v>
      </c>
      <c r="B3926" s="28">
        <v>45992</v>
      </c>
      <c r="C3926" s="25">
        <v>73</v>
      </c>
      <c r="D3926" s="13" t="s">
        <v>3406</v>
      </c>
      <c r="E3926" s="228"/>
      <c r="F3926" s="109" t="s">
        <v>11867</v>
      </c>
      <c r="G3926" s="24" t="s">
        <v>2810</v>
      </c>
      <c r="H3926" s="230">
        <v>4.5</v>
      </c>
      <c r="I3926" s="220">
        <v>1245000</v>
      </c>
      <c r="J3926" s="220">
        <f>I3926*0.1</f>
        <v>124500</v>
      </c>
      <c r="K3926" s="220">
        <v>0</v>
      </c>
      <c r="L3926" s="220">
        <v>8200</v>
      </c>
      <c r="M3926" s="220">
        <v>44000</v>
      </c>
      <c r="N3926" s="220">
        <f>SUM(I3926:M3927)</f>
        <v>1421700</v>
      </c>
      <c r="O3926" s="224"/>
      <c r="P3926" s="110" t="s">
        <v>13633</v>
      </c>
      <c r="Q3926" s="15" t="s">
        <v>19</v>
      </c>
      <c r="R3926" s="205"/>
      <c r="S3926" s="189" t="s">
        <v>25607</v>
      </c>
      <c r="T3926" s="114"/>
      <c r="U3926" s="21"/>
      <c r="V3926" s="115">
        <v>46035</v>
      </c>
      <c r="W3926" s="116">
        <v>1924</v>
      </c>
      <c r="X3926" s="220">
        <v>1295000</v>
      </c>
      <c r="Y3926" s="220">
        <f>X3926*0.1</f>
        <v>129500</v>
      </c>
      <c r="Z3926" s="220">
        <v>8200</v>
      </c>
      <c r="AA3926" s="220">
        <f>SUM(X3926:Z3926)</f>
        <v>1432700</v>
      </c>
      <c r="AB3926" s="222"/>
    </row>
    <row r="3927" spans="1:28" ht="17.100000000000001" customHeight="1" thickBot="1">
      <c r="A3927" s="227"/>
      <c r="B3927" s="27" t="s">
        <v>4468</v>
      </c>
      <c r="C3927" s="27">
        <v>1029</v>
      </c>
      <c r="D3927" s="14" t="s">
        <v>2559</v>
      </c>
      <c r="E3927" s="229"/>
      <c r="F3927" s="117" t="s">
        <v>11863</v>
      </c>
      <c r="G3927" s="26">
        <v>33908</v>
      </c>
      <c r="H3927" s="231"/>
      <c r="I3927" s="221"/>
      <c r="J3927" s="221"/>
      <c r="K3927" s="221"/>
      <c r="L3927" s="221"/>
      <c r="M3927" s="221"/>
      <c r="N3927" s="221"/>
      <c r="O3927" s="225"/>
      <c r="P3927" s="118" t="s">
        <v>13634</v>
      </c>
      <c r="Q3927" s="16" t="s">
        <v>20</v>
      </c>
      <c r="R3927" s="17" t="s">
        <v>1794</v>
      </c>
      <c r="S3927" s="121" t="s">
        <v>2872</v>
      </c>
      <c r="T3927" s="122"/>
      <c r="U3927" s="22" t="s">
        <v>3427</v>
      </c>
      <c r="V3927" s="123" t="s">
        <v>2103</v>
      </c>
      <c r="W3927" s="122">
        <v>3073</v>
      </c>
      <c r="X3927" s="221"/>
      <c r="Y3927" s="221"/>
      <c r="Z3927" s="221"/>
      <c r="AA3927" s="221"/>
      <c r="AB3927" s="223"/>
    </row>
    <row r="3928" spans="1:28" ht="17.100000000000001" customHeight="1" thickTop="1">
      <c r="A3928" s="226" t="s">
        <v>11886</v>
      </c>
      <c r="B3928" s="28">
        <v>45992</v>
      </c>
      <c r="C3928" s="25"/>
      <c r="D3928" s="13" t="s">
        <v>1762</v>
      </c>
      <c r="E3928" s="228"/>
      <c r="F3928" s="109" t="s">
        <v>1916</v>
      </c>
      <c r="G3928" s="24"/>
      <c r="H3928" s="230">
        <v>4.5</v>
      </c>
      <c r="I3928" s="220">
        <v>402000</v>
      </c>
      <c r="J3928" s="220">
        <f>I3928*0.1</f>
        <v>40200</v>
      </c>
      <c r="K3928" s="220">
        <v>0</v>
      </c>
      <c r="L3928" s="220">
        <v>17700</v>
      </c>
      <c r="M3928" s="220">
        <v>14850</v>
      </c>
      <c r="N3928" s="220">
        <f>SUM(I3928:M3929)</f>
        <v>474750</v>
      </c>
      <c r="O3928" s="224"/>
      <c r="P3928" s="110" t="s">
        <v>12374</v>
      </c>
      <c r="Q3928" s="15" t="s">
        <v>19</v>
      </c>
      <c r="R3928" s="205"/>
      <c r="S3928" s="189" t="s">
        <v>758</v>
      </c>
      <c r="T3928" s="114"/>
      <c r="U3928" s="21"/>
      <c r="V3928" s="115">
        <v>46004</v>
      </c>
      <c r="W3928" s="116">
        <v>1702</v>
      </c>
      <c r="X3928" s="220">
        <v>490000</v>
      </c>
      <c r="Y3928" s="220">
        <f>X3928*0.1</f>
        <v>49000</v>
      </c>
      <c r="Z3928" s="220">
        <v>17700</v>
      </c>
      <c r="AA3928" s="220">
        <f>SUM(X3928:Z3928)</f>
        <v>556700</v>
      </c>
      <c r="AB3928" s="222">
        <v>46005</v>
      </c>
    </row>
    <row r="3929" spans="1:28" ht="17.100000000000001" customHeight="1" thickBot="1">
      <c r="A3929" s="227"/>
      <c r="B3929" s="27" t="s">
        <v>9764</v>
      </c>
      <c r="C3929" s="27">
        <v>28028</v>
      </c>
      <c r="D3929" s="14" t="s">
        <v>1584</v>
      </c>
      <c r="E3929" s="229"/>
      <c r="F3929" s="117" t="s">
        <v>11848</v>
      </c>
      <c r="G3929" s="26">
        <v>59021</v>
      </c>
      <c r="H3929" s="231"/>
      <c r="I3929" s="221"/>
      <c r="J3929" s="221"/>
      <c r="K3929" s="221"/>
      <c r="L3929" s="221"/>
      <c r="M3929" s="221"/>
      <c r="N3929" s="221"/>
      <c r="O3929" s="225"/>
      <c r="P3929" s="118" t="s">
        <v>12375</v>
      </c>
      <c r="Q3929" s="16" t="s">
        <v>20</v>
      </c>
      <c r="R3929" s="17" t="s">
        <v>3384</v>
      </c>
      <c r="S3929" s="121" t="s">
        <v>1731</v>
      </c>
      <c r="T3929" s="122"/>
      <c r="U3929" s="22"/>
      <c r="V3929" s="123" t="s">
        <v>1842</v>
      </c>
      <c r="W3929" s="122">
        <v>375</v>
      </c>
      <c r="X3929" s="221"/>
      <c r="Y3929" s="221"/>
      <c r="Z3929" s="221"/>
      <c r="AA3929" s="221"/>
      <c r="AB3929" s="223"/>
    </row>
    <row r="3930" spans="1:28" ht="17.100000000000001" customHeight="1" thickTop="1">
      <c r="A3930" s="226" t="s">
        <v>11887</v>
      </c>
      <c r="B3930" s="28">
        <v>45992</v>
      </c>
      <c r="C3930" s="25">
        <v>2071</v>
      </c>
      <c r="D3930" s="13" t="s">
        <v>1788</v>
      </c>
      <c r="E3930" s="228"/>
      <c r="F3930" s="109" t="s">
        <v>2685</v>
      </c>
      <c r="G3930" s="24"/>
      <c r="H3930" s="230">
        <v>4.5</v>
      </c>
      <c r="I3930" s="220">
        <v>985000</v>
      </c>
      <c r="J3930" s="220">
        <f>I3930*0.1</f>
        <v>98500</v>
      </c>
      <c r="K3930" s="220">
        <v>0</v>
      </c>
      <c r="L3930" s="220">
        <v>19090</v>
      </c>
      <c r="M3930" s="220">
        <v>11000</v>
      </c>
      <c r="N3930" s="220">
        <f>SUM(I3930:M3931)</f>
        <v>1113590</v>
      </c>
      <c r="O3930" s="224"/>
      <c r="P3930" s="110" t="s">
        <v>12427</v>
      </c>
      <c r="Q3930" s="15" t="s">
        <v>19</v>
      </c>
      <c r="R3930" s="205"/>
      <c r="S3930" s="189" t="s">
        <v>1361</v>
      </c>
      <c r="T3930" s="114"/>
      <c r="U3930" s="21"/>
      <c r="V3930" s="115">
        <v>45997</v>
      </c>
      <c r="W3930" s="116">
        <v>1279</v>
      </c>
      <c r="X3930" s="220">
        <v>1180000</v>
      </c>
      <c r="Y3930" s="220">
        <f>X3930*0.1</f>
        <v>118000</v>
      </c>
      <c r="Z3930" s="220">
        <v>19090</v>
      </c>
      <c r="AA3930" s="220">
        <f>SUM(X3930:Z3930)</f>
        <v>1317090</v>
      </c>
      <c r="AB3930" s="222">
        <v>46000</v>
      </c>
    </row>
    <row r="3931" spans="1:28" ht="17.100000000000001" customHeight="1" thickBot="1">
      <c r="A3931" s="227"/>
      <c r="B3931" s="27" t="s">
        <v>82</v>
      </c>
      <c r="C3931" s="27">
        <v>34505</v>
      </c>
      <c r="D3931" s="14" t="s">
        <v>1584</v>
      </c>
      <c r="E3931" s="229"/>
      <c r="F3931" s="117" t="s">
        <v>11864</v>
      </c>
      <c r="G3931" s="26">
        <v>76587</v>
      </c>
      <c r="H3931" s="231"/>
      <c r="I3931" s="221"/>
      <c r="J3931" s="221"/>
      <c r="K3931" s="221"/>
      <c r="L3931" s="221"/>
      <c r="M3931" s="221"/>
      <c r="N3931" s="221"/>
      <c r="O3931" s="225"/>
      <c r="P3931" s="118" t="s">
        <v>291</v>
      </c>
      <c r="Q3931" s="16" t="s">
        <v>20</v>
      </c>
      <c r="R3931" s="17" t="s">
        <v>12417</v>
      </c>
      <c r="S3931" s="121" t="s">
        <v>5180</v>
      </c>
      <c r="T3931" s="122"/>
      <c r="U3931" s="22"/>
      <c r="V3931" s="123" t="s">
        <v>2472</v>
      </c>
      <c r="W3931" s="122">
        <v>80389</v>
      </c>
      <c r="X3931" s="221"/>
      <c r="Y3931" s="221"/>
      <c r="Z3931" s="221"/>
      <c r="AA3931" s="221"/>
      <c r="AB3931" s="223"/>
    </row>
    <row r="3932" spans="1:28" ht="17.100000000000001" customHeight="1" thickTop="1">
      <c r="A3932" s="226" t="s">
        <v>11888</v>
      </c>
      <c r="B3932" s="28">
        <v>45992</v>
      </c>
      <c r="C3932" s="25">
        <v>2071</v>
      </c>
      <c r="D3932" s="13" t="s">
        <v>2150</v>
      </c>
      <c r="E3932" s="228"/>
      <c r="F3932" s="109" t="s">
        <v>1916</v>
      </c>
      <c r="G3932" s="24" t="s">
        <v>2926</v>
      </c>
      <c r="H3932" s="230">
        <v>4</v>
      </c>
      <c r="I3932" s="220">
        <v>490000</v>
      </c>
      <c r="J3932" s="220">
        <f>I3932*0.1</f>
        <v>49000</v>
      </c>
      <c r="K3932" s="220">
        <f>8600+860</f>
        <v>9460</v>
      </c>
      <c r="L3932" s="220">
        <v>17700</v>
      </c>
      <c r="M3932" s="220">
        <v>11000</v>
      </c>
      <c r="N3932" s="220">
        <f>SUM(I3932:M3933)</f>
        <v>577160</v>
      </c>
      <c r="O3932" s="224"/>
      <c r="P3932" s="110" t="s">
        <v>11892</v>
      </c>
      <c r="Q3932" s="15" t="s">
        <v>19</v>
      </c>
      <c r="R3932" s="205"/>
      <c r="S3932" s="189"/>
      <c r="T3932" s="114"/>
      <c r="U3932" s="21"/>
      <c r="V3932" s="115">
        <v>46004</v>
      </c>
      <c r="W3932" s="116">
        <v>1280</v>
      </c>
      <c r="X3932" s="220">
        <v>695000</v>
      </c>
      <c r="Y3932" s="220">
        <f>X3932*0.1</f>
        <v>69500</v>
      </c>
      <c r="Z3932" s="220">
        <v>17700</v>
      </c>
      <c r="AA3932" s="220">
        <f>SUM(X3932:Z3932)</f>
        <v>782200</v>
      </c>
      <c r="AB3932" s="222">
        <v>46007</v>
      </c>
    </row>
    <row r="3933" spans="1:28" ht="17.100000000000001" customHeight="1" thickBot="1">
      <c r="A3933" s="227"/>
      <c r="B3933" s="27" t="s">
        <v>82</v>
      </c>
      <c r="C3933" s="27">
        <v>34523</v>
      </c>
      <c r="D3933" s="14" t="s">
        <v>1584</v>
      </c>
      <c r="E3933" s="229"/>
      <c r="F3933" s="117" t="s">
        <v>11850</v>
      </c>
      <c r="G3933" s="26">
        <v>42974</v>
      </c>
      <c r="H3933" s="231"/>
      <c r="I3933" s="221"/>
      <c r="J3933" s="221"/>
      <c r="K3933" s="221"/>
      <c r="L3933" s="221"/>
      <c r="M3933" s="221"/>
      <c r="N3933" s="221"/>
      <c r="O3933" s="225"/>
      <c r="P3933" s="118" t="s">
        <v>9748</v>
      </c>
      <c r="Q3933" s="16" t="s">
        <v>20</v>
      </c>
      <c r="R3933" s="17" t="s">
        <v>12584</v>
      </c>
      <c r="S3933" s="121" t="s">
        <v>1731</v>
      </c>
      <c r="T3933" s="122"/>
      <c r="U3933" s="22"/>
      <c r="V3933" s="123" t="s">
        <v>2472</v>
      </c>
      <c r="W3933" s="122">
        <v>80096</v>
      </c>
      <c r="X3933" s="221"/>
      <c r="Y3933" s="221"/>
      <c r="Z3933" s="221"/>
      <c r="AA3933" s="221"/>
      <c r="AB3933" s="223"/>
    </row>
    <row r="3934" spans="1:28" ht="17.100000000000001" customHeight="1" thickTop="1">
      <c r="A3934" s="226" t="s">
        <v>11889</v>
      </c>
      <c r="B3934" s="28">
        <v>45992</v>
      </c>
      <c r="C3934" s="25">
        <v>2071</v>
      </c>
      <c r="D3934" s="13" t="s">
        <v>1754</v>
      </c>
      <c r="E3934" s="228"/>
      <c r="F3934" s="109" t="s">
        <v>3110</v>
      </c>
      <c r="G3934" s="24"/>
      <c r="H3934" s="230">
        <v>4</v>
      </c>
      <c r="I3934" s="220">
        <v>684000</v>
      </c>
      <c r="J3934" s="220">
        <f>I3934*0.1</f>
        <v>68400</v>
      </c>
      <c r="K3934" s="220">
        <v>0</v>
      </c>
      <c r="L3934" s="220">
        <v>19440</v>
      </c>
      <c r="M3934" s="220">
        <v>11000</v>
      </c>
      <c r="N3934" s="220">
        <f>SUM(I3934:M3935)</f>
        <v>782840</v>
      </c>
      <c r="O3934" s="224"/>
      <c r="P3934" s="110" t="s">
        <v>12438</v>
      </c>
      <c r="Q3934" s="15" t="s">
        <v>19</v>
      </c>
      <c r="R3934" s="205"/>
      <c r="S3934" s="189" t="s">
        <v>1361</v>
      </c>
      <c r="T3934" s="114"/>
      <c r="U3934" s="21"/>
      <c r="V3934" s="115">
        <v>46004</v>
      </c>
      <c r="W3934" s="116">
        <v>1280</v>
      </c>
      <c r="X3934" s="220">
        <v>830000</v>
      </c>
      <c r="Y3934" s="220">
        <f>X3934*0.1</f>
        <v>83000</v>
      </c>
      <c r="Z3934" s="220">
        <v>19440</v>
      </c>
      <c r="AA3934" s="220">
        <f>SUM(X3934:Z3934)</f>
        <v>932440</v>
      </c>
      <c r="AB3934" s="222">
        <v>46007</v>
      </c>
    </row>
    <row r="3935" spans="1:28" ht="17.100000000000001" customHeight="1" thickBot="1">
      <c r="A3935" s="227"/>
      <c r="B3935" s="27" t="s">
        <v>82</v>
      </c>
      <c r="C3935" s="27">
        <v>34532</v>
      </c>
      <c r="D3935" s="14" t="s">
        <v>1710</v>
      </c>
      <c r="E3935" s="229"/>
      <c r="F3935" s="117" t="s">
        <v>11851</v>
      </c>
      <c r="G3935" s="26">
        <v>58710</v>
      </c>
      <c r="H3935" s="231"/>
      <c r="I3935" s="221"/>
      <c r="J3935" s="221"/>
      <c r="K3935" s="221"/>
      <c r="L3935" s="221"/>
      <c r="M3935" s="221"/>
      <c r="N3935" s="221"/>
      <c r="O3935" s="225"/>
      <c r="P3935" s="118" t="s">
        <v>12439</v>
      </c>
      <c r="Q3935" s="16" t="s">
        <v>20</v>
      </c>
      <c r="R3935" s="17" t="s">
        <v>12417</v>
      </c>
      <c r="S3935" s="121" t="s">
        <v>169</v>
      </c>
      <c r="T3935" s="122"/>
      <c r="U3935" s="22"/>
      <c r="V3935" s="123" t="s">
        <v>2472</v>
      </c>
      <c r="W3935" s="122">
        <v>80259</v>
      </c>
      <c r="X3935" s="221"/>
      <c r="Y3935" s="221"/>
      <c r="Z3935" s="221"/>
      <c r="AA3935" s="221"/>
      <c r="AB3935" s="223"/>
    </row>
    <row r="3936" spans="1:28" ht="17.100000000000001" customHeight="1" thickTop="1">
      <c r="A3936" s="226" t="s">
        <v>11890</v>
      </c>
      <c r="B3936" s="28">
        <v>45992</v>
      </c>
      <c r="C3936" s="25">
        <v>2071</v>
      </c>
      <c r="D3936" s="13" t="s">
        <v>2295</v>
      </c>
      <c r="E3936" s="228"/>
      <c r="F3936" s="109" t="s">
        <v>11852</v>
      </c>
      <c r="G3936" s="24"/>
      <c r="H3936" s="230">
        <v>5</v>
      </c>
      <c r="I3936" s="220">
        <v>2000000</v>
      </c>
      <c r="J3936" s="220">
        <f>I3936*0.1</f>
        <v>200000</v>
      </c>
      <c r="K3936" s="220">
        <v>0</v>
      </c>
      <c r="L3936" s="220">
        <v>18220</v>
      </c>
      <c r="M3936" s="220">
        <v>11000</v>
      </c>
      <c r="N3936" s="220">
        <f>SUM(I3936:M3937)</f>
        <v>2229220</v>
      </c>
      <c r="O3936" s="224"/>
      <c r="P3936" s="110" t="s">
        <v>12437</v>
      </c>
      <c r="Q3936" s="15" t="s">
        <v>19</v>
      </c>
      <c r="R3936" s="205"/>
      <c r="S3936" s="189" t="s">
        <v>1361</v>
      </c>
      <c r="T3936" s="114"/>
      <c r="U3936" s="21"/>
      <c r="V3936" s="115">
        <v>46004</v>
      </c>
      <c r="W3936" s="116">
        <v>1280</v>
      </c>
      <c r="X3936" s="220">
        <v>2135000</v>
      </c>
      <c r="Y3936" s="220">
        <f>X3936*0.1</f>
        <v>213500</v>
      </c>
      <c r="Z3936" s="220">
        <v>18220</v>
      </c>
      <c r="AA3936" s="220">
        <f>SUM(X3936:Z3936)</f>
        <v>2366720</v>
      </c>
      <c r="AB3936" s="222">
        <v>46007</v>
      </c>
    </row>
    <row r="3937" spans="1:28" ht="17.100000000000001" customHeight="1" thickBot="1">
      <c r="A3937" s="227"/>
      <c r="B3937" s="27" t="s">
        <v>82</v>
      </c>
      <c r="C3937" s="27">
        <v>35011</v>
      </c>
      <c r="D3937" s="14" t="s">
        <v>1584</v>
      </c>
      <c r="E3937" s="229"/>
      <c r="F3937" s="117" t="s">
        <v>11853</v>
      </c>
      <c r="G3937" s="26">
        <v>28409</v>
      </c>
      <c r="H3937" s="231"/>
      <c r="I3937" s="221"/>
      <c r="J3937" s="221"/>
      <c r="K3937" s="221"/>
      <c r="L3937" s="221"/>
      <c r="M3937" s="221"/>
      <c r="N3937" s="221"/>
      <c r="O3937" s="225"/>
      <c r="P3937" s="118" t="s">
        <v>5148</v>
      </c>
      <c r="Q3937" s="16" t="s">
        <v>20</v>
      </c>
      <c r="R3937" s="17" t="s">
        <v>12417</v>
      </c>
      <c r="S3937" s="121" t="s">
        <v>1731</v>
      </c>
      <c r="T3937" s="122"/>
      <c r="U3937" s="22"/>
      <c r="V3937" s="123" t="s">
        <v>2472</v>
      </c>
      <c r="W3937" s="122">
        <v>80069</v>
      </c>
      <c r="X3937" s="221"/>
      <c r="Y3937" s="221"/>
      <c r="Z3937" s="221"/>
      <c r="AA3937" s="221"/>
      <c r="AB3937" s="223"/>
    </row>
    <row r="3938" spans="1:28" ht="17.100000000000001" customHeight="1" thickTop="1">
      <c r="A3938" s="226" t="s">
        <v>11891</v>
      </c>
      <c r="B3938" s="28">
        <v>45992</v>
      </c>
      <c r="C3938" s="25">
        <v>2071</v>
      </c>
      <c r="D3938" s="13" t="s">
        <v>1598</v>
      </c>
      <c r="E3938" s="228"/>
      <c r="F3938" s="109" t="s">
        <v>11854</v>
      </c>
      <c r="G3938" s="24" t="s">
        <v>2536</v>
      </c>
      <c r="H3938" s="230">
        <v>4.5</v>
      </c>
      <c r="I3938" s="220">
        <v>2500000</v>
      </c>
      <c r="J3938" s="220">
        <f>I3938*0.1</f>
        <v>250000</v>
      </c>
      <c r="K3938" s="220">
        <f>9800+980</f>
        <v>10780</v>
      </c>
      <c r="L3938" s="220">
        <v>13210</v>
      </c>
      <c r="M3938" s="220">
        <v>11000</v>
      </c>
      <c r="N3938" s="220">
        <f>SUM(I3938:M3939)</f>
        <v>2784990</v>
      </c>
      <c r="O3938" s="224"/>
      <c r="P3938" s="110" t="s">
        <v>12540</v>
      </c>
      <c r="Q3938" s="15" t="s">
        <v>19</v>
      </c>
      <c r="R3938" s="205"/>
      <c r="S3938" s="189" t="s">
        <v>1271</v>
      </c>
      <c r="T3938" s="114"/>
      <c r="U3938" s="21"/>
      <c r="V3938" s="115">
        <v>46004</v>
      </c>
      <c r="W3938" s="116">
        <v>1280</v>
      </c>
      <c r="X3938" s="220">
        <v>2790000</v>
      </c>
      <c r="Y3938" s="220">
        <f>X3938*0.1</f>
        <v>279000</v>
      </c>
      <c r="Z3938" s="220">
        <v>13210</v>
      </c>
      <c r="AA3938" s="220">
        <f>SUM(X3938:Z3938)</f>
        <v>3082210</v>
      </c>
      <c r="AB3938" s="222">
        <v>46007</v>
      </c>
    </row>
    <row r="3939" spans="1:28" ht="17.100000000000001" customHeight="1" thickBot="1">
      <c r="A3939" s="227"/>
      <c r="B3939" s="27" t="s">
        <v>82</v>
      </c>
      <c r="C3939" s="27">
        <v>36005</v>
      </c>
      <c r="D3939" s="14" t="s">
        <v>2788</v>
      </c>
      <c r="E3939" s="229"/>
      <c r="F3939" s="117" t="s">
        <v>11855</v>
      </c>
      <c r="G3939" s="26">
        <v>25175</v>
      </c>
      <c r="H3939" s="231"/>
      <c r="I3939" s="221"/>
      <c r="J3939" s="221"/>
      <c r="K3939" s="221"/>
      <c r="L3939" s="221"/>
      <c r="M3939" s="221"/>
      <c r="N3939" s="221"/>
      <c r="O3939" s="225"/>
      <c r="P3939" s="118" t="s">
        <v>12541</v>
      </c>
      <c r="Q3939" s="16" t="s">
        <v>20</v>
      </c>
      <c r="R3939" s="17" t="s">
        <v>2223</v>
      </c>
      <c r="S3939" s="121" t="s">
        <v>1606</v>
      </c>
      <c r="T3939" s="122"/>
      <c r="U3939" s="22"/>
      <c r="V3939" s="123" t="s">
        <v>2472</v>
      </c>
      <c r="W3939" s="122">
        <v>80070</v>
      </c>
      <c r="X3939" s="221"/>
      <c r="Y3939" s="221"/>
      <c r="Z3939" s="221"/>
      <c r="AA3939" s="221"/>
      <c r="AB3939" s="223"/>
    </row>
    <row r="3940" spans="1:28" ht="17.100000000000001" customHeight="1" thickTop="1">
      <c r="A3940" s="226" t="s">
        <v>11893</v>
      </c>
      <c r="B3940" s="28">
        <v>45992</v>
      </c>
      <c r="C3940" s="25"/>
      <c r="D3940" s="13" t="s">
        <v>2158</v>
      </c>
      <c r="E3940" s="228"/>
      <c r="F3940" s="109" t="s">
        <v>11856</v>
      </c>
      <c r="G3940" s="24"/>
      <c r="H3940" s="230">
        <v>4</v>
      </c>
      <c r="I3940" s="220">
        <v>1851000</v>
      </c>
      <c r="J3940" s="220">
        <f>I3940*0.1</f>
        <v>185100</v>
      </c>
      <c r="K3940" s="220">
        <v>0</v>
      </c>
      <c r="L3940" s="220">
        <v>17930</v>
      </c>
      <c r="M3940" s="220">
        <v>15950</v>
      </c>
      <c r="N3940" s="220">
        <f>SUM(I3940:M3941)</f>
        <v>2069980</v>
      </c>
      <c r="O3940" s="224"/>
      <c r="P3940" s="110" t="s">
        <v>12543</v>
      </c>
      <c r="Q3940" s="15" t="s">
        <v>19</v>
      </c>
      <c r="R3940" s="205"/>
      <c r="S3940" s="189"/>
      <c r="T3940" s="114"/>
      <c r="U3940" s="21"/>
      <c r="V3940" s="115">
        <v>45997</v>
      </c>
      <c r="W3940" s="116">
        <v>1279</v>
      </c>
      <c r="X3940" s="220">
        <v>2000000</v>
      </c>
      <c r="Y3940" s="220">
        <f>X3940*0.1</f>
        <v>200000</v>
      </c>
      <c r="Z3940" s="220">
        <v>17930</v>
      </c>
      <c r="AA3940" s="220">
        <f>SUM(X3940:Z3940)</f>
        <v>2217930</v>
      </c>
      <c r="AB3940" s="222">
        <v>46002</v>
      </c>
    </row>
    <row r="3941" spans="1:28" ht="17.100000000000001" customHeight="1" thickBot="1">
      <c r="A3941" s="227"/>
      <c r="B3941" s="27" t="s">
        <v>4400</v>
      </c>
      <c r="C3941" s="27">
        <v>80256</v>
      </c>
      <c r="D3941" s="14" t="s">
        <v>5400</v>
      </c>
      <c r="E3941" s="229"/>
      <c r="F3941" s="117" t="s">
        <v>12376</v>
      </c>
      <c r="G3941" s="26">
        <v>54502</v>
      </c>
      <c r="H3941" s="231"/>
      <c r="I3941" s="221"/>
      <c r="J3941" s="221"/>
      <c r="K3941" s="221"/>
      <c r="L3941" s="221"/>
      <c r="M3941" s="221"/>
      <c r="N3941" s="221"/>
      <c r="O3941" s="225"/>
      <c r="P3941" s="118" t="s">
        <v>2729</v>
      </c>
      <c r="Q3941" s="16" t="s">
        <v>20</v>
      </c>
      <c r="R3941" s="17" t="s">
        <v>1752</v>
      </c>
      <c r="S3941" s="121" t="s">
        <v>12281</v>
      </c>
      <c r="T3941" s="122"/>
      <c r="U3941" s="22"/>
      <c r="V3941" s="123" t="s">
        <v>2472</v>
      </c>
      <c r="W3941" s="122">
        <v>80105</v>
      </c>
      <c r="X3941" s="221"/>
      <c r="Y3941" s="221"/>
      <c r="Z3941" s="221"/>
      <c r="AA3941" s="221"/>
      <c r="AB3941" s="223"/>
    </row>
    <row r="3942" spans="1:28" ht="17.100000000000001" customHeight="1" thickTop="1">
      <c r="A3942" s="226" t="s">
        <v>11894</v>
      </c>
      <c r="B3942" s="28">
        <v>45992</v>
      </c>
      <c r="C3942" s="25"/>
      <c r="D3942" s="13" t="s">
        <v>1623</v>
      </c>
      <c r="E3942" s="228"/>
      <c r="F3942" s="109" t="s">
        <v>1716</v>
      </c>
      <c r="G3942" s="24" t="s">
        <v>2871</v>
      </c>
      <c r="H3942" s="230">
        <v>4</v>
      </c>
      <c r="I3942" s="220">
        <v>1394000</v>
      </c>
      <c r="J3942" s="220">
        <f>I3942*0.1</f>
        <v>139400</v>
      </c>
      <c r="K3942" s="220">
        <f>7600+760</f>
        <v>8360</v>
      </c>
      <c r="L3942" s="220">
        <v>12370</v>
      </c>
      <c r="M3942" s="220">
        <v>15950</v>
      </c>
      <c r="N3942" s="220">
        <f>SUM(I3942:M3943)</f>
        <v>1570080</v>
      </c>
      <c r="O3942" s="224"/>
      <c r="P3942" s="110" t="s">
        <v>11857</v>
      </c>
      <c r="Q3942" s="15" t="s">
        <v>19</v>
      </c>
      <c r="R3942" s="205"/>
      <c r="S3942" s="189" t="s">
        <v>758</v>
      </c>
      <c r="T3942" s="114"/>
      <c r="U3942" s="21"/>
      <c r="V3942" s="115">
        <v>46011</v>
      </c>
      <c r="W3942" s="116">
        <v>1281</v>
      </c>
      <c r="X3942" s="220">
        <v>1500000</v>
      </c>
      <c r="Y3942" s="220">
        <f>X3942*0.1</f>
        <v>150000</v>
      </c>
      <c r="Z3942" s="220">
        <v>12370</v>
      </c>
      <c r="AA3942" s="220">
        <f>SUM(X3942:Z3942)</f>
        <v>1662370</v>
      </c>
      <c r="AB3942" s="222">
        <v>46016</v>
      </c>
    </row>
    <row r="3943" spans="1:28" ht="17.100000000000001" customHeight="1" thickBot="1">
      <c r="A3943" s="227"/>
      <c r="B3943" s="27" t="s">
        <v>4400</v>
      </c>
      <c r="C3943" s="27">
        <v>80260</v>
      </c>
      <c r="D3943" s="14" t="s">
        <v>1584</v>
      </c>
      <c r="E3943" s="229"/>
      <c r="F3943" s="117" t="s">
        <v>12643</v>
      </c>
      <c r="G3943" s="26">
        <v>43235</v>
      </c>
      <c r="H3943" s="231"/>
      <c r="I3943" s="221"/>
      <c r="J3943" s="221"/>
      <c r="K3943" s="221"/>
      <c r="L3943" s="221"/>
      <c r="M3943" s="221"/>
      <c r="N3943" s="221"/>
      <c r="O3943" s="225"/>
      <c r="P3943" s="118" t="s">
        <v>3247</v>
      </c>
      <c r="Q3943" s="16" t="s">
        <v>20</v>
      </c>
      <c r="R3943" s="17" t="s">
        <v>12584</v>
      </c>
      <c r="S3943" s="121" t="s">
        <v>11197</v>
      </c>
      <c r="T3943" s="122"/>
      <c r="U3943" s="22"/>
      <c r="V3943" s="123" t="s">
        <v>6641</v>
      </c>
      <c r="W3943" s="122">
        <v>80144</v>
      </c>
      <c r="X3943" s="221"/>
      <c r="Y3943" s="221"/>
      <c r="Z3943" s="221"/>
      <c r="AA3943" s="221"/>
      <c r="AB3943" s="223"/>
    </row>
    <row r="3944" spans="1:28" ht="17.100000000000001" customHeight="1" thickTop="1">
      <c r="A3944" s="226" t="s">
        <v>11895</v>
      </c>
      <c r="B3944" s="28">
        <v>45992</v>
      </c>
      <c r="C3944" s="25"/>
      <c r="D3944" s="13" t="s">
        <v>2866</v>
      </c>
      <c r="E3944" s="228"/>
      <c r="F3944" s="109" t="s">
        <v>11860</v>
      </c>
      <c r="G3944" s="24"/>
      <c r="H3944" s="230">
        <v>4</v>
      </c>
      <c r="I3944" s="220">
        <v>1548000</v>
      </c>
      <c r="J3944" s="220">
        <f>I3944*0.1</f>
        <v>154800</v>
      </c>
      <c r="K3944" s="220">
        <v>0</v>
      </c>
      <c r="L3944" s="220">
        <v>18980</v>
      </c>
      <c r="M3944" s="220">
        <v>15950</v>
      </c>
      <c r="N3944" s="220">
        <f>SUM(I3944:M3945)</f>
        <v>1737730</v>
      </c>
      <c r="O3944" s="224"/>
      <c r="P3944" s="110" t="s">
        <v>12641</v>
      </c>
      <c r="Q3944" s="15" t="s">
        <v>19</v>
      </c>
      <c r="R3944" s="205"/>
      <c r="S3944" s="189"/>
      <c r="T3944" s="114"/>
      <c r="U3944" s="21"/>
      <c r="V3944" s="115">
        <v>46011</v>
      </c>
      <c r="W3944" s="116">
        <v>1281</v>
      </c>
      <c r="X3944" s="220">
        <v>1690000</v>
      </c>
      <c r="Y3944" s="220">
        <f>X3944*0.1</f>
        <v>169000</v>
      </c>
      <c r="Z3944" s="220">
        <v>18980</v>
      </c>
      <c r="AA3944" s="220">
        <f>SUM(X3944:Z3944)</f>
        <v>1877980</v>
      </c>
      <c r="AB3944" s="222">
        <v>46014</v>
      </c>
    </row>
    <row r="3945" spans="1:28" ht="17.100000000000001" customHeight="1" thickBot="1">
      <c r="A3945" s="227"/>
      <c r="B3945" s="27" t="s">
        <v>4400</v>
      </c>
      <c r="C3945" s="27">
        <v>80265</v>
      </c>
      <c r="D3945" s="14" t="s">
        <v>273</v>
      </c>
      <c r="E3945" s="229"/>
      <c r="F3945" s="117" t="s">
        <v>12640</v>
      </c>
      <c r="G3945" s="26">
        <v>54709</v>
      </c>
      <c r="H3945" s="231"/>
      <c r="I3945" s="221"/>
      <c r="J3945" s="221"/>
      <c r="K3945" s="221"/>
      <c r="L3945" s="221"/>
      <c r="M3945" s="221"/>
      <c r="N3945" s="221"/>
      <c r="O3945" s="225"/>
      <c r="P3945" s="118" t="s">
        <v>12642</v>
      </c>
      <c r="Q3945" s="16" t="s">
        <v>20</v>
      </c>
      <c r="R3945" s="17" t="s">
        <v>12584</v>
      </c>
      <c r="S3945" s="121" t="s">
        <v>7720</v>
      </c>
      <c r="T3945" s="122"/>
      <c r="U3945" s="22"/>
      <c r="V3945" s="123" t="s">
        <v>2472</v>
      </c>
      <c r="W3945" s="122">
        <v>80134</v>
      </c>
      <c r="X3945" s="221"/>
      <c r="Y3945" s="221"/>
      <c r="Z3945" s="221"/>
      <c r="AA3945" s="221"/>
      <c r="AB3945" s="223"/>
    </row>
    <row r="3946" spans="1:28" ht="17.100000000000001" customHeight="1" thickTop="1">
      <c r="A3946" s="226" t="s">
        <v>11896</v>
      </c>
      <c r="B3946" s="28">
        <v>45992</v>
      </c>
      <c r="C3946" s="25"/>
      <c r="D3946" s="13" t="s">
        <v>1733</v>
      </c>
      <c r="E3946" s="228"/>
      <c r="F3946" s="109" t="s">
        <v>11922</v>
      </c>
      <c r="G3946" s="24" t="s">
        <v>11923</v>
      </c>
      <c r="H3946" s="230">
        <v>4</v>
      </c>
      <c r="I3946" s="220">
        <f>620400/1.1</f>
        <v>564000</v>
      </c>
      <c r="J3946" s="220">
        <f>I3946*0.1</f>
        <v>56400</v>
      </c>
      <c r="K3946" s="220">
        <v>0</v>
      </c>
      <c r="L3946" s="220">
        <v>8400</v>
      </c>
      <c r="M3946" s="220">
        <v>0</v>
      </c>
      <c r="N3946" s="220">
        <f>SUM(I3946:M3947)</f>
        <v>628800</v>
      </c>
      <c r="O3946" s="224"/>
      <c r="P3946" s="110" t="s">
        <v>13490</v>
      </c>
      <c r="Q3946" s="15" t="s">
        <v>19</v>
      </c>
      <c r="R3946" s="205"/>
      <c r="S3946" s="189" t="s">
        <v>1361</v>
      </c>
      <c r="T3946" s="114"/>
      <c r="U3946" s="21" t="s">
        <v>14329</v>
      </c>
      <c r="V3946" s="115">
        <v>46035</v>
      </c>
      <c r="W3946" s="116">
        <v>1924</v>
      </c>
      <c r="X3946" s="220">
        <v>726000</v>
      </c>
      <c r="Y3946" s="220">
        <f>X3946*0.1</f>
        <v>72600</v>
      </c>
      <c r="Z3946" s="220">
        <v>8400</v>
      </c>
      <c r="AA3946" s="220">
        <f>SUM(X3946:Z3946)</f>
        <v>807000</v>
      </c>
      <c r="AB3946" s="222"/>
    </row>
    <row r="3947" spans="1:28" ht="17.100000000000001" customHeight="1" thickBot="1">
      <c r="A3947" s="227"/>
      <c r="B3947" s="27" t="s">
        <v>1708</v>
      </c>
      <c r="C3947" s="27" t="s">
        <v>11878</v>
      </c>
      <c r="D3947" s="14" t="s">
        <v>3955</v>
      </c>
      <c r="E3947" s="229"/>
      <c r="F3947" s="117" t="s">
        <v>11879</v>
      </c>
      <c r="G3947" s="26">
        <v>48146</v>
      </c>
      <c r="H3947" s="231"/>
      <c r="I3947" s="221"/>
      <c r="J3947" s="221"/>
      <c r="K3947" s="221"/>
      <c r="L3947" s="221"/>
      <c r="M3947" s="221"/>
      <c r="N3947" s="221"/>
      <c r="O3947" s="225"/>
      <c r="P3947" s="118" t="s">
        <v>13491</v>
      </c>
      <c r="Q3947" s="16" t="s">
        <v>20</v>
      </c>
      <c r="R3947" s="17" t="s">
        <v>3420</v>
      </c>
      <c r="S3947" s="121" t="s">
        <v>1731</v>
      </c>
      <c r="T3947" s="122"/>
      <c r="U3947" s="22"/>
      <c r="V3947" s="123" t="s">
        <v>2103</v>
      </c>
      <c r="W3947" s="122">
        <v>3043</v>
      </c>
      <c r="X3947" s="221"/>
      <c r="Y3947" s="221"/>
      <c r="Z3947" s="221"/>
      <c r="AA3947" s="221"/>
      <c r="AB3947" s="223"/>
    </row>
    <row r="3948" spans="1:28" ht="17.100000000000001" customHeight="1" thickTop="1">
      <c r="A3948" s="226" t="s">
        <v>11897</v>
      </c>
      <c r="B3948" s="28">
        <v>45992</v>
      </c>
      <c r="C3948" s="25"/>
      <c r="D3948" s="13" t="s">
        <v>2324</v>
      </c>
      <c r="E3948" s="228"/>
      <c r="F3948" s="109" t="s">
        <v>11924</v>
      </c>
      <c r="G3948" s="24" t="s">
        <v>9820</v>
      </c>
      <c r="H3948" s="230">
        <v>4.5</v>
      </c>
      <c r="I3948" s="220">
        <f>3690500/1.1</f>
        <v>3354999.9999999995</v>
      </c>
      <c r="J3948" s="220">
        <f>I3948*0.1</f>
        <v>335500</v>
      </c>
      <c r="K3948" s="220">
        <v>10800</v>
      </c>
      <c r="L3948" s="220">
        <v>14900</v>
      </c>
      <c r="M3948" s="220">
        <v>0</v>
      </c>
      <c r="N3948" s="220">
        <f>SUM(I3948:M3949)</f>
        <v>3716199.9999999995</v>
      </c>
      <c r="O3948" s="224"/>
      <c r="P3948" s="110" t="s">
        <v>13612</v>
      </c>
      <c r="Q3948" s="15" t="s">
        <v>19</v>
      </c>
      <c r="R3948" s="205"/>
      <c r="S3948" s="189" t="s">
        <v>25386</v>
      </c>
      <c r="T3948" s="114"/>
      <c r="U3948" s="21"/>
      <c r="V3948" s="115">
        <v>46008</v>
      </c>
      <c r="W3948" s="116">
        <v>997</v>
      </c>
      <c r="X3948" s="220">
        <v>3435000</v>
      </c>
      <c r="Y3948" s="220">
        <f>X3948*0.1</f>
        <v>343500</v>
      </c>
      <c r="Z3948" s="220">
        <v>14900</v>
      </c>
      <c r="AA3948" s="220">
        <f>SUM(X3948:Z3948)</f>
        <v>3793400</v>
      </c>
      <c r="AB3948" s="222">
        <v>46015</v>
      </c>
    </row>
    <row r="3949" spans="1:28" ht="17.100000000000001" customHeight="1" thickBot="1">
      <c r="A3949" s="227"/>
      <c r="B3949" s="27" t="s">
        <v>1708</v>
      </c>
      <c r="C3949" s="27" t="s">
        <v>11880</v>
      </c>
      <c r="D3949" s="14" t="s">
        <v>1584</v>
      </c>
      <c r="E3949" s="229"/>
      <c r="F3949" s="117" t="s">
        <v>11881</v>
      </c>
      <c r="G3949" s="26">
        <v>59100</v>
      </c>
      <c r="H3949" s="231"/>
      <c r="I3949" s="221"/>
      <c r="J3949" s="221"/>
      <c r="K3949" s="221"/>
      <c r="L3949" s="221"/>
      <c r="M3949" s="221"/>
      <c r="N3949" s="221"/>
      <c r="O3949" s="225"/>
      <c r="P3949" s="118" t="s">
        <v>8111</v>
      </c>
      <c r="Q3949" s="16" t="s">
        <v>20</v>
      </c>
      <c r="R3949" s="17" t="s">
        <v>13613</v>
      </c>
      <c r="S3949" s="121" t="s">
        <v>13614</v>
      </c>
      <c r="T3949" s="122"/>
      <c r="U3949" s="22"/>
      <c r="V3949" s="123" t="s">
        <v>2747</v>
      </c>
      <c r="W3949" s="122">
        <v>1087</v>
      </c>
      <c r="X3949" s="221"/>
      <c r="Y3949" s="221"/>
      <c r="Z3949" s="221"/>
      <c r="AA3949" s="221"/>
      <c r="AB3949" s="223"/>
    </row>
    <row r="3950" spans="1:28" ht="17.100000000000001" customHeight="1" thickTop="1">
      <c r="A3950" s="226" t="s">
        <v>11898</v>
      </c>
      <c r="B3950" s="28">
        <v>45992</v>
      </c>
      <c r="C3950" s="25"/>
      <c r="D3950" s="13" t="s">
        <v>7281</v>
      </c>
      <c r="E3950" s="228"/>
      <c r="F3950" s="109" t="s">
        <v>11925</v>
      </c>
      <c r="G3950" s="24" t="s">
        <v>11926</v>
      </c>
      <c r="H3950" s="230">
        <v>4.5</v>
      </c>
      <c r="I3950" s="220">
        <f>753500/1.1</f>
        <v>685000</v>
      </c>
      <c r="J3950" s="220">
        <f>I3950*0.1</f>
        <v>68500</v>
      </c>
      <c r="K3950" s="220">
        <v>0</v>
      </c>
      <c r="L3950" s="220">
        <v>7860</v>
      </c>
      <c r="M3950" s="220">
        <v>0</v>
      </c>
      <c r="N3950" s="220">
        <f>SUM(I3950:M3951)</f>
        <v>761360</v>
      </c>
      <c r="O3950" s="224"/>
      <c r="P3950" s="110" t="s">
        <v>12809</v>
      </c>
      <c r="Q3950" s="15" t="s">
        <v>19</v>
      </c>
      <c r="R3950" s="205"/>
      <c r="S3950" s="189" t="s">
        <v>1276</v>
      </c>
      <c r="T3950" s="114"/>
      <c r="U3950" s="21"/>
      <c r="V3950" s="115">
        <v>46011</v>
      </c>
      <c r="W3950" s="116">
        <v>1281</v>
      </c>
      <c r="X3950" s="220">
        <v>775000</v>
      </c>
      <c r="Y3950" s="220">
        <f>X3950*0.1</f>
        <v>77500</v>
      </c>
      <c r="Z3950" s="220">
        <v>7860</v>
      </c>
      <c r="AA3950" s="220">
        <f>SUM(X3950:Z3950)</f>
        <v>860360</v>
      </c>
      <c r="AB3950" s="222">
        <v>46014</v>
      </c>
    </row>
    <row r="3951" spans="1:28" ht="17.100000000000001" customHeight="1" thickBot="1">
      <c r="A3951" s="227"/>
      <c r="B3951" s="27" t="s">
        <v>1708</v>
      </c>
      <c r="C3951" s="27" t="s">
        <v>11906</v>
      </c>
      <c r="D3951" s="14" t="s">
        <v>1710</v>
      </c>
      <c r="E3951" s="229"/>
      <c r="F3951" s="117" t="s">
        <v>11907</v>
      </c>
      <c r="G3951" s="26">
        <v>10770</v>
      </c>
      <c r="H3951" s="231"/>
      <c r="I3951" s="221"/>
      <c r="J3951" s="221"/>
      <c r="K3951" s="221"/>
      <c r="L3951" s="221"/>
      <c r="M3951" s="221"/>
      <c r="N3951" s="221"/>
      <c r="O3951" s="225"/>
      <c r="P3951" s="118" t="s">
        <v>12810</v>
      </c>
      <c r="Q3951" s="16" t="s">
        <v>20</v>
      </c>
      <c r="R3951" s="17" t="s">
        <v>12649</v>
      </c>
      <c r="S3951" s="121" t="s">
        <v>9298</v>
      </c>
      <c r="T3951" s="122"/>
      <c r="U3951" s="22"/>
      <c r="V3951" s="123" t="s">
        <v>2472</v>
      </c>
      <c r="W3951" s="122">
        <v>65094</v>
      </c>
      <c r="X3951" s="221"/>
      <c r="Y3951" s="221"/>
      <c r="Z3951" s="221"/>
      <c r="AA3951" s="221"/>
      <c r="AB3951" s="223"/>
    </row>
    <row r="3952" spans="1:28" ht="17.100000000000001" customHeight="1" thickTop="1">
      <c r="A3952" s="233" t="s">
        <v>11899</v>
      </c>
      <c r="B3952" s="28">
        <v>45992</v>
      </c>
      <c r="C3952" s="25"/>
      <c r="D3952" s="13" t="s">
        <v>3327</v>
      </c>
      <c r="E3952" s="228"/>
      <c r="F3952" s="109" t="s">
        <v>11927</v>
      </c>
      <c r="G3952" s="24" t="s">
        <v>11928</v>
      </c>
      <c r="H3952" s="230">
        <v>3.5</v>
      </c>
      <c r="I3952" s="220">
        <f>202400/1.1</f>
        <v>183999.99999999997</v>
      </c>
      <c r="J3952" s="220">
        <f>I3952*0.1</f>
        <v>18399.999999999996</v>
      </c>
      <c r="K3952" s="220">
        <v>0</v>
      </c>
      <c r="L3952" s="220">
        <v>7750</v>
      </c>
      <c r="M3952" s="220">
        <v>0</v>
      </c>
      <c r="N3952" s="220">
        <f>SUM(I3952:M3953)</f>
        <v>210149.99999999997</v>
      </c>
      <c r="O3952" s="224"/>
      <c r="P3952" s="110" t="s">
        <v>12898</v>
      </c>
      <c r="Q3952" s="15" t="s">
        <v>19</v>
      </c>
      <c r="R3952" s="205"/>
      <c r="S3952" s="189" t="s">
        <v>1361</v>
      </c>
      <c r="T3952" s="114" t="s">
        <v>13628</v>
      </c>
      <c r="U3952" s="21"/>
      <c r="V3952" s="115"/>
      <c r="W3952" s="116"/>
      <c r="X3952" s="220"/>
      <c r="Y3952" s="220">
        <f>X3952*0.1</f>
        <v>0</v>
      </c>
      <c r="Z3952" s="220"/>
      <c r="AA3952" s="220">
        <f>SUM(X3952:Z3952)</f>
        <v>0</v>
      </c>
      <c r="AB3952" s="222"/>
    </row>
    <row r="3953" spans="1:28" ht="17.100000000000001" customHeight="1" thickBot="1">
      <c r="A3953" s="234"/>
      <c r="B3953" s="27" t="s">
        <v>1708</v>
      </c>
      <c r="C3953" s="27" t="s">
        <v>11908</v>
      </c>
      <c r="D3953" s="14" t="s">
        <v>2014</v>
      </c>
      <c r="E3953" s="229"/>
      <c r="F3953" s="117" t="s">
        <v>11909</v>
      </c>
      <c r="G3953" s="26">
        <v>59803</v>
      </c>
      <c r="H3953" s="231"/>
      <c r="I3953" s="221"/>
      <c r="J3953" s="221"/>
      <c r="K3953" s="221"/>
      <c r="L3953" s="221"/>
      <c r="M3953" s="221"/>
      <c r="N3953" s="221"/>
      <c r="O3953" s="225"/>
      <c r="P3953" s="118" t="s">
        <v>12899</v>
      </c>
      <c r="Q3953" s="16" t="s">
        <v>20</v>
      </c>
      <c r="R3953" s="17" t="s">
        <v>12777</v>
      </c>
      <c r="S3953" s="121" t="s">
        <v>1625</v>
      </c>
      <c r="T3953" s="122"/>
      <c r="U3953" s="22"/>
      <c r="V3953" s="123"/>
      <c r="W3953" s="122"/>
      <c r="X3953" s="221"/>
      <c r="Y3953" s="221"/>
      <c r="Z3953" s="221"/>
      <c r="AA3953" s="221"/>
      <c r="AB3953" s="223"/>
    </row>
    <row r="3954" spans="1:28" ht="17.100000000000001" customHeight="1" thickTop="1">
      <c r="A3954" s="226" t="s">
        <v>11900</v>
      </c>
      <c r="B3954" s="28">
        <v>45992</v>
      </c>
      <c r="C3954" s="25"/>
      <c r="D3954" s="13" t="s">
        <v>2239</v>
      </c>
      <c r="E3954" s="228"/>
      <c r="F3954" s="109" t="s">
        <v>11929</v>
      </c>
      <c r="G3954" s="24" t="s">
        <v>11930</v>
      </c>
      <c r="H3954" s="230">
        <v>4</v>
      </c>
      <c r="I3954" s="220">
        <f>4400000/1.1</f>
        <v>3999999.9999999995</v>
      </c>
      <c r="J3954" s="220">
        <f>I3954*0.1</f>
        <v>400000</v>
      </c>
      <c r="K3954" s="220">
        <v>10800</v>
      </c>
      <c r="L3954" s="220">
        <v>15470</v>
      </c>
      <c r="M3954" s="220">
        <v>0</v>
      </c>
      <c r="N3954" s="220">
        <v>4426270</v>
      </c>
      <c r="O3954" s="224"/>
      <c r="P3954" s="110" t="s">
        <v>12900</v>
      </c>
      <c r="Q3954" s="15" t="s">
        <v>19</v>
      </c>
      <c r="R3954" s="205"/>
      <c r="S3954" s="189" t="s">
        <v>1276</v>
      </c>
      <c r="T3954" s="114"/>
      <c r="U3954" s="21"/>
      <c r="V3954" s="115">
        <v>46004</v>
      </c>
      <c r="W3954" s="116">
        <v>1280</v>
      </c>
      <c r="X3954" s="220">
        <v>4150000</v>
      </c>
      <c r="Y3954" s="220">
        <f>X3954*0.1</f>
        <v>415000</v>
      </c>
      <c r="Z3954" s="220">
        <v>15470</v>
      </c>
      <c r="AA3954" s="220">
        <f>SUM(X3954:Z3954)</f>
        <v>4580470</v>
      </c>
      <c r="AB3954" s="222">
        <v>46008</v>
      </c>
    </row>
    <row r="3955" spans="1:28" ht="17.100000000000001" customHeight="1" thickBot="1">
      <c r="A3955" s="227"/>
      <c r="B3955" s="27" t="s">
        <v>1708</v>
      </c>
      <c r="C3955" s="27" t="s">
        <v>11910</v>
      </c>
      <c r="D3955" s="14" t="s">
        <v>2788</v>
      </c>
      <c r="E3955" s="229"/>
      <c r="F3955" s="117" t="s">
        <v>11911</v>
      </c>
      <c r="G3955" s="26">
        <v>19954</v>
      </c>
      <c r="H3955" s="231"/>
      <c r="I3955" s="221"/>
      <c r="J3955" s="221"/>
      <c r="K3955" s="221"/>
      <c r="L3955" s="221"/>
      <c r="M3955" s="221"/>
      <c r="N3955" s="221"/>
      <c r="O3955" s="225"/>
      <c r="P3955" s="118" t="s">
        <v>12901</v>
      </c>
      <c r="Q3955" s="16" t="s">
        <v>20</v>
      </c>
      <c r="R3955" s="17" t="s">
        <v>12777</v>
      </c>
      <c r="S3955" s="121" t="s">
        <v>1606</v>
      </c>
      <c r="T3955" s="122"/>
      <c r="U3955" s="22"/>
      <c r="V3955" s="123" t="s">
        <v>2472</v>
      </c>
      <c r="W3955" s="122">
        <v>37841</v>
      </c>
      <c r="X3955" s="221"/>
      <c r="Y3955" s="221"/>
      <c r="Z3955" s="221"/>
      <c r="AA3955" s="221"/>
      <c r="AB3955" s="223"/>
    </row>
    <row r="3956" spans="1:28" ht="17.100000000000001" customHeight="1" thickTop="1">
      <c r="A3956" s="233" t="s">
        <v>11901</v>
      </c>
      <c r="B3956" s="28">
        <v>45992</v>
      </c>
      <c r="C3956" s="25"/>
      <c r="D3956" s="13" t="s">
        <v>1908</v>
      </c>
      <c r="E3956" s="228"/>
      <c r="F3956" s="109" t="s">
        <v>11931</v>
      </c>
      <c r="G3956" s="24" t="s">
        <v>4689</v>
      </c>
      <c r="H3956" s="230">
        <v>4</v>
      </c>
      <c r="I3956" s="220">
        <f>598400/1.1</f>
        <v>544000</v>
      </c>
      <c r="J3956" s="220">
        <f>I3956*0.1</f>
        <v>54400</v>
      </c>
      <c r="K3956" s="220">
        <v>0</v>
      </c>
      <c r="L3956" s="220">
        <v>8510</v>
      </c>
      <c r="M3956" s="220">
        <v>0</v>
      </c>
      <c r="N3956" s="220">
        <f>SUM(I3956:M3957)</f>
        <v>606910</v>
      </c>
      <c r="O3956" s="224"/>
      <c r="P3956" s="110" t="s">
        <v>12813</v>
      </c>
      <c r="Q3956" s="15" t="s">
        <v>19</v>
      </c>
      <c r="R3956" s="205"/>
      <c r="S3956" s="189" t="s">
        <v>1361</v>
      </c>
      <c r="T3956" s="114" t="s">
        <v>13235</v>
      </c>
      <c r="U3956" s="21"/>
      <c r="V3956" s="115"/>
      <c r="W3956" s="116"/>
      <c r="X3956" s="220"/>
      <c r="Y3956" s="220">
        <f>X3956*0.1</f>
        <v>0</v>
      </c>
      <c r="Z3956" s="220"/>
      <c r="AA3956" s="220">
        <f>SUM(X3956:Z3956)</f>
        <v>0</v>
      </c>
      <c r="AB3956" s="222"/>
    </row>
    <row r="3957" spans="1:28" ht="17.100000000000001" customHeight="1" thickBot="1">
      <c r="A3957" s="234"/>
      <c r="B3957" s="27" t="s">
        <v>1708</v>
      </c>
      <c r="C3957" s="27" t="s">
        <v>11912</v>
      </c>
      <c r="D3957" s="14" t="s">
        <v>273</v>
      </c>
      <c r="E3957" s="229"/>
      <c r="F3957" s="117" t="s">
        <v>11913</v>
      </c>
      <c r="G3957" s="26">
        <v>64759</v>
      </c>
      <c r="H3957" s="231"/>
      <c r="I3957" s="221"/>
      <c r="J3957" s="221"/>
      <c r="K3957" s="221"/>
      <c r="L3957" s="221"/>
      <c r="M3957" s="221"/>
      <c r="N3957" s="221"/>
      <c r="O3957" s="225"/>
      <c r="P3957" s="118" t="s">
        <v>12814</v>
      </c>
      <c r="Q3957" s="16" t="s">
        <v>20</v>
      </c>
      <c r="R3957" s="17" t="s">
        <v>12649</v>
      </c>
      <c r="S3957" s="121" t="s">
        <v>1601</v>
      </c>
      <c r="T3957" s="122"/>
      <c r="U3957" s="22"/>
      <c r="V3957" s="123"/>
      <c r="W3957" s="122"/>
      <c r="X3957" s="221"/>
      <c r="Y3957" s="221"/>
      <c r="Z3957" s="221"/>
      <c r="AA3957" s="221"/>
      <c r="AB3957" s="223"/>
    </row>
    <row r="3958" spans="1:28" ht="17.100000000000001" customHeight="1" thickTop="1">
      <c r="A3958" s="226" t="s">
        <v>11902</v>
      </c>
      <c r="B3958" s="28">
        <v>45992</v>
      </c>
      <c r="C3958" s="25"/>
      <c r="D3958" s="13" t="s">
        <v>1915</v>
      </c>
      <c r="E3958" s="228"/>
      <c r="F3958" s="109" t="s">
        <v>11932</v>
      </c>
      <c r="G3958" s="24" t="s">
        <v>11933</v>
      </c>
      <c r="H3958" s="230">
        <v>4</v>
      </c>
      <c r="I3958" s="220">
        <f>669900/1.1</f>
        <v>609000</v>
      </c>
      <c r="J3958" s="220">
        <f>I3958*0.1</f>
        <v>60900</v>
      </c>
      <c r="K3958" s="220">
        <v>0</v>
      </c>
      <c r="L3958" s="220">
        <v>9200</v>
      </c>
      <c r="M3958" s="220">
        <v>0</v>
      </c>
      <c r="N3958" s="220">
        <f>SUM(I3958:M3959)</f>
        <v>679100</v>
      </c>
      <c r="O3958" s="224"/>
      <c r="P3958" s="110" t="s">
        <v>12811</v>
      </c>
      <c r="Q3958" s="15" t="s">
        <v>19</v>
      </c>
      <c r="R3958" s="205"/>
      <c r="S3958" s="189" t="s">
        <v>1361</v>
      </c>
      <c r="T3958" s="114"/>
      <c r="U3958" s="21" t="s">
        <v>14621</v>
      </c>
      <c r="V3958" s="115">
        <v>46035</v>
      </c>
      <c r="W3958" s="116">
        <v>1924</v>
      </c>
      <c r="X3958" s="220">
        <v>732000</v>
      </c>
      <c r="Y3958" s="220">
        <f>X3958*0.1</f>
        <v>73200</v>
      </c>
      <c r="Z3958" s="220">
        <v>9200</v>
      </c>
      <c r="AA3958" s="220">
        <f>SUM(X3958:Z3958)</f>
        <v>814400</v>
      </c>
      <c r="AB3958" s="222"/>
    </row>
    <row r="3959" spans="1:28" ht="17.100000000000001" customHeight="1" thickBot="1">
      <c r="A3959" s="227"/>
      <c r="B3959" s="27" t="s">
        <v>1708</v>
      </c>
      <c r="C3959" s="27" t="s">
        <v>11914</v>
      </c>
      <c r="D3959" s="14" t="s">
        <v>2014</v>
      </c>
      <c r="E3959" s="229"/>
      <c r="F3959" s="117" t="s">
        <v>11915</v>
      </c>
      <c r="G3959" s="26">
        <v>79877</v>
      </c>
      <c r="H3959" s="231"/>
      <c r="I3959" s="221"/>
      <c r="J3959" s="221"/>
      <c r="K3959" s="221"/>
      <c r="L3959" s="221"/>
      <c r="M3959" s="221"/>
      <c r="N3959" s="221"/>
      <c r="O3959" s="225"/>
      <c r="P3959" s="118" t="s">
        <v>12812</v>
      </c>
      <c r="Q3959" s="16" t="s">
        <v>20</v>
      </c>
      <c r="R3959" s="17" t="s">
        <v>12649</v>
      </c>
      <c r="S3959" s="121" t="s">
        <v>12800</v>
      </c>
      <c r="T3959" s="122"/>
      <c r="U3959" s="22"/>
      <c r="V3959" s="123" t="s">
        <v>2103</v>
      </c>
      <c r="W3959" s="122">
        <v>3055</v>
      </c>
      <c r="X3959" s="221"/>
      <c r="Y3959" s="221"/>
      <c r="Z3959" s="221"/>
      <c r="AA3959" s="221"/>
      <c r="AB3959" s="223"/>
    </row>
    <row r="3960" spans="1:28" ht="17.100000000000001" customHeight="1" thickTop="1">
      <c r="A3960" s="233" t="s">
        <v>11903</v>
      </c>
      <c r="B3960" s="28">
        <v>45992</v>
      </c>
      <c r="C3960" s="25"/>
      <c r="D3960" s="13" t="s">
        <v>2324</v>
      </c>
      <c r="E3960" s="228"/>
      <c r="F3960" s="109" t="s">
        <v>11934</v>
      </c>
      <c r="G3960" s="24" t="s">
        <v>3613</v>
      </c>
      <c r="H3960" s="230">
        <v>4.5</v>
      </c>
      <c r="I3960" s="220">
        <f>3118500/1.1</f>
        <v>2835000</v>
      </c>
      <c r="J3960" s="220">
        <f>I3960*0.1</f>
        <v>283500</v>
      </c>
      <c r="K3960" s="220">
        <v>6000</v>
      </c>
      <c r="L3960" s="220">
        <v>10750</v>
      </c>
      <c r="M3960" s="220">
        <v>0</v>
      </c>
      <c r="N3960" s="220">
        <f>SUM(I3960:M3961)</f>
        <v>3135250</v>
      </c>
      <c r="O3960" s="224"/>
      <c r="P3960" s="110" t="s">
        <v>13957</v>
      </c>
      <c r="Q3960" s="15" t="s">
        <v>19</v>
      </c>
      <c r="R3960" s="205"/>
      <c r="S3960" s="189" t="s">
        <v>1361</v>
      </c>
      <c r="T3960" s="114"/>
      <c r="U3960" s="21"/>
      <c r="V3960" s="115">
        <v>46032</v>
      </c>
      <c r="W3960" s="116">
        <v>1283</v>
      </c>
      <c r="X3960" s="220">
        <v>2900000</v>
      </c>
      <c r="Y3960" s="220">
        <f>X3960*0.1</f>
        <v>290000</v>
      </c>
      <c r="Z3960" s="220">
        <v>10750</v>
      </c>
      <c r="AA3960" s="220">
        <f>SUM(X3960:Z3960)</f>
        <v>3200750</v>
      </c>
      <c r="AB3960" s="222">
        <v>46036</v>
      </c>
    </row>
    <row r="3961" spans="1:28" ht="17.100000000000001" customHeight="1" thickBot="1">
      <c r="A3961" s="234"/>
      <c r="B3961" s="27" t="s">
        <v>1708</v>
      </c>
      <c r="C3961" s="27" t="s">
        <v>11916</v>
      </c>
      <c r="D3961" s="14" t="s">
        <v>273</v>
      </c>
      <c r="E3961" s="229"/>
      <c r="F3961" s="117" t="s">
        <v>11917</v>
      </c>
      <c r="G3961" s="26">
        <v>34442</v>
      </c>
      <c r="H3961" s="231"/>
      <c r="I3961" s="221"/>
      <c r="J3961" s="221"/>
      <c r="K3961" s="221"/>
      <c r="L3961" s="221"/>
      <c r="M3961" s="221"/>
      <c r="N3961" s="221"/>
      <c r="O3961" s="225"/>
      <c r="P3961" s="118" t="s">
        <v>2287</v>
      </c>
      <c r="Q3961" s="16" t="s">
        <v>20</v>
      </c>
      <c r="R3961" s="17" t="s">
        <v>3432</v>
      </c>
      <c r="S3961" s="121" t="s">
        <v>2025</v>
      </c>
      <c r="T3961" s="122"/>
      <c r="U3961" s="22"/>
      <c r="V3961" s="123" t="s">
        <v>2472</v>
      </c>
      <c r="W3961" s="122">
        <v>37108</v>
      </c>
      <c r="X3961" s="221"/>
      <c r="Y3961" s="221"/>
      <c r="Z3961" s="221"/>
      <c r="AA3961" s="221"/>
      <c r="AB3961" s="223"/>
    </row>
    <row r="3962" spans="1:28" ht="17.100000000000001" customHeight="1" thickTop="1">
      <c r="A3962" s="233" t="s">
        <v>11904</v>
      </c>
      <c r="B3962" s="28">
        <v>45992</v>
      </c>
      <c r="C3962" s="25"/>
      <c r="D3962" s="13" t="s">
        <v>3332</v>
      </c>
      <c r="E3962" s="228"/>
      <c r="F3962" s="109" t="s">
        <v>11935</v>
      </c>
      <c r="G3962" s="24" t="s">
        <v>11936</v>
      </c>
      <c r="H3962" s="230">
        <v>4.5</v>
      </c>
      <c r="I3962" s="220">
        <f>1100000/1.1</f>
        <v>999999.99999999988</v>
      </c>
      <c r="J3962" s="220">
        <f>I3962*0.1</f>
        <v>100000</v>
      </c>
      <c r="K3962" s="220">
        <v>0</v>
      </c>
      <c r="L3962" s="220">
        <v>7150</v>
      </c>
      <c r="M3962" s="220">
        <v>0</v>
      </c>
      <c r="N3962" s="220">
        <f>SUM(I3962:M3963)</f>
        <v>1107150</v>
      </c>
      <c r="O3962" s="224"/>
      <c r="P3962" s="110" t="s">
        <v>13959</v>
      </c>
      <c r="Q3962" s="15" t="s">
        <v>19</v>
      </c>
      <c r="R3962" s="205"/>
      <c r="S3962" s="189" t="s">
        <v>1113</v>
      </c>
      <c r="T3962" s="114"/>
      <c r="U3962" s="21"/>
      <c r="V3962" s="115">
        <v>46032</v>
      </c>
      <c r="W3962" s="116">
        <v>1283</v>
      </c>
      <c r="X3962" s="220">
        <v>1245000</v>
      </c>
      <c r="Y3962" s="220">
        <f>X3962*0.1</f>
        <v>124500</v>
      </c>
      <c r="Z3962" s="220">
        <v>7150</v>
      </c>
      <c r="AA3962" s="220">
        <f>SUM(X3962:Z3962)</f>
        <v>1376650</v>
      </c>
      <c r="AB3962" s="222">
        <v>46036</v>
      </c>
    </row>
    <row r="3963" spans="1:28" ht="17.100000000000001" customHeight="1" thickBot="1">
      <c r="A3963" s="234"/>
      <c r="B3963" s="27" t="s">
        <v>1708</v>
      </c>
      <c r="C3963" s="27" t="s">
        <v>11918</v>
      </c>
      <c r="D3963" s="14" t="s">
        <v>2559</v>
      </c>
      <c r="E3963" s="229"/>
      <c r="F3963" s="117" t="s">
        <v>11919</v>
      </c>
      <c r="G3963" s="26">
        <v>55191</v>
      </c>
      <c r="H3963" s="231"/>
      <c r="I3963" s="221"/>
      <c r="J3963" s="221"/>
      <c r="K3963" s="221"/>
      <c r="L3963" s="221"/>
      <c r="M3963" s="221"/>
      <c r="N3963" s="221"/>
      <c r="O3963" s="225"/>
      <c r="P3963" s="118" t="s">
        <v>13960</v>
      </c>
      <c r="Q3963" s="16" t="s">
        <v>20</v>
      </c>
      <c r="R3963" s="17" t="s">
        <v>3432</v>
      </c>
      <c r="S3963" s="121" t="s">
        <v>10516</v>
      </c>
      <c r="T3963" s="122"/>
      <c r="U3963" s="22"/>
      <c r="V3963" s="123" t="s">
        <v>2472</v>
      </c>
      <c r="W3963" s="122">
        <v>65085</v>
      </c>
      <c r="X3963" s="221"/>
      <c r="Y3963" s="221"/>
      <c r="Z3963" s="221"/>
      <c r="AA3963" s="221"/>
      <c r="AB3963" s="223"/>
    </row>
    <row r="3964" spans="1:28" ht="17.100000000000001" customHeight="1" thickTop="1">
      <c r="A3964" s="226" t="s">
        <v>11905</v>
      </c>
      <c r="B3964" s="28">
        <v>45992</v>
      </c>
      <c r="C3964" s="25"/>
      <c r="D3964" s="13" t="s">
        <v>2406</v>
      </c>
      <c r="E3964" s="228"/>
      <c r="F3964" s="109" t="s">
        <v>11937</v>
      </c>
      <c r="G3964" s="24" t="s">
        <v>4517</v>
      </c>
      <c r="H3964" s="230">
        <v>4.5</v>
      </c>
      <c r="I3964" s="220">
        <f>5203000/1.1</f>
        <v>4730000</v>
      </c>
      <c r="J3964" s="220">
        <f>I3964*0.1</f>
        <v>473000</v>
      </c>
      <c r="K3964" s="220">
        <v>19100</v>
      </c>
      <c r="L3964" s="220">
        <v>21560</v>
      </c>
      <c r="M3964" s="220">
        <v>0</v>
      </c>
      <c r="N3964" s="220">
        <f>SUM(I3964:M3965)</f>
        <v>5243660</v>
      </c>
      <c r="O3964" s="224"/>
      <c r="P3964" s="110" t="s">
        <v>12573</v>
      </c>
      <c r="Q3964" s="15" t="s">
        <v>19</v>
      </c>
      <c r="R3964" s="205"/>
      <c r="S3964" s="189"/>
      <c r="T3964" s="114"/>
      <c r="U3964" s="21"/>
      <c r="V3964" s="115"/>
      <c r="W3964" s="116"/>
      <c r="X3964" s="220"/>
      <c r="Y3964" s="220">
        <f>X3964*0.1</f>
        <v>0</v>
      </c>
      <c r="Z3964" s="220"/>
      <c r="AA3964" s="220">
        <f>SUM(X3964:Z3964)</f>
        <v>0</v>
      </c>
      <c r="AB3964" s="222"/>
    </row>
    <row r="3965" spans="1:28" ht="17.100000000000001" customHeight="1" thickBot="1">
      <c r="A3965" s="227"/>
      <c r="B3965" s="27" t="s">
        <v>1708</v>
      </c>
      <c r="C3965" s="27" t="s">
        <v>11920</v>
      </c>
      <c r="D3965" s="14" t="s">
        <v>273</v>
      </c>
      <c r="E3965" s="229"/>
      <c r="F3965" s="117" t="s">
        <v>11921</v>
      </c>
      <c r="G3965" s="26">
        <v>50150</v>
      </c>
      <c r="H3965" s="231"/>
      <c r="I3965" s="221"/>
      <c r="J3965" s="221"/>
      <c r="K3965" s="221"/>
      <c r="L3965" s="221"/>
      <c r="M3965" s="221"/>
      <c r="N3965" s="221"/>
      <c r="O3965" s="225"/>
      <c r="P3965" s="118" t="s">
        <v>12574</v>
      </c>
      <c r="Q3965" s="16" t="s">
        <v>20</v>
      </c>
      <c r="R3965" s="17" t="s">
        <v>1752</v>
      </c>
      <c r="S3965" s="121" t="s">
        <v>1731</v>
      </c>
      <c r="T3965" s="122"/>
      <c r="U3965" s="22"/>
      <c r="V3965" s="123"/>
      <c r="W3965" s="122"/>
      <c r="X3965" s="221"/>
      <c r="Y3965" s="221"/>
      <c r="Z3965" s="221"/>
      <c r="AA3965" s="221"/>
      <c r="AB3965" s="223"/>
    </row>
    <row r="3966" spans="1:28" ht="17.100000000000001" customHeight="1" thickTop="1">
      <c r="A3966" s="226" t="s">
        <v>11995</v>
      </c>
      <c r="B3966" s="28">
        <v>45993</v>
      </c>
      <c r="C3966" s="25">
        <v>1920</v>
      </c>
      <c r="D3966" s="13" t="s">
        <v>2195</v>
      </c>
      <c r="E3966" s="228"/>
      <c r="F3966" s="109" t="s">
        <v>6851</v>
      </c>
      <c r="G3966" s="24" t="s">
        <v>2536</v>
      </c>
      <c r="H3966" s="230">
        <v>6</v>
      </c>
      <c r="I3966" s="220">
        <v>1681000</v>
      </c>
      <c r="J3966" s="220">
        <f>I3966*0.1</f>
        <v>168100</v>
      </c>
      <c r="K3966" s="220">
        <v>0</v>
      </c>
      <c r="L3966" s="220">
        <v>9130</v>
      </c>
      <c r="M3966" s="220">
        <v>15950</v>
      </c>
      <c r="N3966" s="220">
        <f>SUM(I3966:M3967)</f>
        <v>1874180</v>
      </c>
      <c r="O3966" s="224"/>
      <c r="P3966" s="110" t="s">
        <v>12620</v>
      </c>
      <c r="Q3966" s="15" t="s">
        <v>19</v>
      </c>
      <c r="R3966" s="205"/>
      <c r="S3966" s="189" t="s">
        <v>25450</v>
      </c>
      <c r="T3966" s="114"/>
      <c r="U3966" s="21" t="s">
        <v>15020</v>
      </c>
      <c r="V3966" s="115"/>
      <c r="W3966" s="116"/>
      <c r="X3966" s="220"/>
      <c r="Y3966" s="220">
        <f>X3966*0.1</f>
        <v>0</v>
      </c>
      <c r="Z3966" s="220"/>
      <c r="AA3966" s="220">
        <f>SUM(X3966:Z3966)</f>
        <v>0</v>
      </c>
      <c r="AB3966" s="222"/>
    </row>
    <row r="3967" spans="1:28" ht="17.100000000000001" customHeight="1" thickBot="1">
      <c r="A3967" s="227"/>
      <c r="B3967" s="27" t="s">
        <v>2103</v>
      </c>
      <c r="C3967" s="27">
        <v>3011</v>
      </c>
      <c r="D3967" s="14" t="s">
        <v>2520</v>
      </c>
      <c r="E3967" s="229"/>
      <c r="F3967" s="117" t="s">
        <v>11938</v>
      </c>
      <c r="G3967" s="26">
        <v>1319</v>
      </c>
      <c r="H3967" s="231"/>
      <c r="I3967" s="221"/>
      <c r="J3967" s="221"/>
      <c r="K3967" s="221"/>
      <c r="L3967" s="221"/>
      <c r="M3967" s="221"/>
      <c r="N3967" s="221"/>
      <c r="O3967" s="225"/>
      <c r="P3967" s="118" t="s">
        <v>12621</v>
      </c>
      <c r="Q3967" s="16" t="s">
        <v>20</v>
      </c>
      <c r="R3967" s="17" t="s">
        <v>12584</v>
      </c>
      <c r="S3967" s="121" t="s">
        <v>12622</v>
      </c>
      <c r="T3967" s="122" t="s">
        <v>15042</v>
      </c>
      <c r="U3967" s="22"/>
      <c r="V3967" s="123"/>
      <c r="W3967" s="122"/>
      <c r="X3967" s="221"/>
      <c r="Y3967" s="221"/>
      <c r="Z3967" s="221"/>
      <c r="AA3967" s="221"/>
      <c r="AB3967" s="223"/>
    </row>
    <row r="3968" spans="1:28" ht="17.100000000000001" customHeight="1" thickTop="1">
      <c r="A3968" s="226" t="s">
        <v>11996</v>
      </c>
      <c r="B3968" s="28">
        <v>45993</v>
      </c>
      <c r="C3968" s="25">
        <v>1920</v>
      </c>
      <c r="D3968" s="13" t="s">
        <v>2428</v>
      </c>
      <c r="E3968" s="228"/>
      <c r="F3968" s="109" t="s">
        <v>11939</v>
      </c>
      <c r="G3968" s="24" t="s">
        <v>2128</v>
      </c>
      <c r="H3968" s="232" t="s">
        <v>4130</v>
      </c>
      <c r="I3968" s="220">
        <v>1798000</v>
      </c>
      <c r="J3968" s="220">
        <f>I3968*0.1</f>
        <v>179800</v>
      </c>
      <c r="K3968" s="220">
        <v>0</v>
      </c>
      <c r="L3968" s="220">
        <v>8310</v>
      </c>
      <c r="M3968" s="220">
        <v>15950</v>
      </c>
      <c r="N3968" s="220">
        <f>SUM(I3968:M3969)</f>
        <v>2002060</v>
      </c>
      <c r="O3968" s="224"/>
      <c r="P3968" s="110" t="s">
        <v>12623</v>
      </c>
      <c r="Q3968" s="15" t="s">
        <v>19</v>
      </c>
      <c r="R3968" s="205"/>
      <c r="S3968" s="189" t="s">
        <v>25626</v>
      </c>
      <c r="T3968" s="114"/>
      <c r="U3968" s="21" t="s">
        <v>15029</v>
      </c>
      <c r="V3968" s="115"/>
      <c r="W3968" s="116"/>
      <c r="X3968" s="220"/>
      <c r="Y3968" s="220">
        <f>X3968*0.1</f>
        <v>0</v>
      </c>
      <c r="Z3968" s="220"/>
      <c r="AA3968" s="220">
        <f>SUM(X3968:Z3968)</f>
        <v>0</v>
      </c>
      <c r="AB3968" s="222"/>
    </row>
    <row r="3969" spans="1:28" ht="17.100000000000001" customHeight="1" thickBot="1">
      <c r="A3969" s="227"/>
      <c r="B3969" s="27" t="s">
        <v>2103</v>
      </c>
      <c r="C3969" s="27">
        <v>3091</v>
      </c>
      <c r="D3969" s="14" t="s">
        <v>273</v>
      </c>
      <c r="E3969" s="229"/>
      <c r="F3969" s="117" t="s">
        <v>11940</v>
      </c>
      <c r="G3969" s="26">
        <v>21</v>
      </c>
      <c r="H3969" s="231"/>
      <c r="I3969" s="221"/>
      <c r="J3969" s="221"/>
      <c r="K3969" s="221"/>
      <c r="L3969" s="221"/>
      <c r="M3969" s="221"/>
      <c r="N3969" s="221"/>
      <c r="O3969" s="225"/>
      <c r="P3969" s="118" t="s">
        <v>12624</v>
      </c>
      <c r="Q3969" s="16" t="s">
        <v>20</v>
      </c>
      <c r="R3969" s="17" t="s">
        <v>12584</v>
      </c>
      <c r="S3969" s="121" t="s">
        <v>12625</v>
      </c>
      <c r="T3969" s="122" t="s">
        <v>15042</v>
      </c>
      <c r="U3969" s="22"/>
      <c r="V3969" s="123"/>
      <c r="W3969" s="122"/>
      <c r="X3969" s="221"/>
      <c r="Y3969" s="221"/>
      <c r="Z3969" s="221"/>
      <c r="AA3969" s="221"/>
      <c r="AB3969" s="223"/>
    </row>
    <row r="3970" spans="1:28" ht="17.100000000000001" customHeight="1" thickTop="1">
      <c r="A3970" s="226" t="s">
        <v>11997</v>
      </c>
      <c r="B3970" s="28">
        <v>45993</v>
      </c>
      <c r="C3970" s="25">
        <v>1920</v>
      </c>
      <c r="D3970" s="13" t="s">
        <v>1053</v>
      </c>
      <c r="E3970" s="228"/>
      <c r="F3970" s="109" t="s">
        <v>4844</v>
      </c>
      <c r="G3970" s="24" t="s">
        <v>4412</v>
      </c>
      <c r="H3970" s="230">
        <v>4</v>
      </c>
      <c r="I3970" s="220">
        <v>478000</v>
      </c>
      <c r="J3970" s="220">
        <f>I3970*0.1</f>
        <v>47800</v>
      </c>
      <c r="K3970" s="220">
        <v>0</v>
      </c>
      <c r="L3970" s="220">
        <v>7150</v>
      </c>
      <c r="M3970" s="220">
        <v>15950</v>
      </c>
      <c r="N3970" s="220">
        <f>SUM(I3970:M3971)</f>
        <v>548900</v>
      </c>
      <c r="O3970" s="224"/>
      <c r="P3970" s="110" t="s">
        <v>11942</v>
      </c>
      <c r="Q3970" s="15" t="s">
        <v>19</v>
      </c>
      <c r="R3970" s="205"/>
      <c r="S3970" s="189"/>
      <c r="T3970" s="114"/>
      <c r="U3970" s="21"/>
      <c r="V3970" s="115">
        <v>46001</v>
      </c>
      <c r="W3970" s="116">
        <v>996</v>
      </c>
      <c r="X3970" s="220">
        <v>600000</v>
      </c>
      <c r="Y3970" s="220">
        <f>X3970*0.1</f>
        <v>60000</v>
      </c>
      <c r="Z3970" s="220">
        <v>7140</v>
      </c>
      <c r="AA3970" s="220">
        <f>SUM(X3970:Z3970)</f>
        <v>667140</v>
      </c>
      <c r="AB3970" s="222">
        <v>46008</v>
      </c>
    </row>
    <row r="3971" spans="1:28" ht="17.100000000000001" customHeight="1" thickBot="1">
      <c r="A3971" s="227"/>
      <c r="B3971" s="27" t="s">
        <v>2103</v>
      </c>
      <c r="C3971" s="27">
        <v>3179</v>
      </c>
      <c r="D3971" s="14" t="s">
        <v>1710</v>
      </c>
      <c r="E3971" s="229"/>
      <c r="F3971" s="117" t="s">
        <v>11941</v>
      </c>
      <c r="G3971" s="26">
        <v>36701</v>
      </c>
      <c r="H3971" s="231"/>
      <c r="I3971" s="221"/>
      <c r="J3971" s="221"/>
      <c r="K3971" s="221"/>
      <c r="L3971" s="221"/>
      <c r="M3971" s="221"/>
      <c r="N3971" s="221"/>
      <c r="O3971" s="225"/>
      <c r="P3971" s="118" t="s">
        <v>12630</v>
      </c>
      <c r="Q3971" s="16" t="s">
        <v>20</v>
      </c>
      <c r="R3971" s="17" t="s">
        <v>12584</v>
      </c>
      <c r="S3971" s="121" t="s">
        <v>1573</v>
      </c>
      <c r="T3971" s="122"/>
      <c r="U3971" s="22"/>
      <c r="V3971" s="123" t="s">
        <v>7161</v>
      </c>
      <c r="W3971" s="122">
        <v>2061</v>
      </c>
      <c r="X3971" s="221"/>
      <c r="Y3971" s="221"/>
      <c r="Z3971" s="221"/>
      <c r="AA3971" s="221"/>
      <c r="AB3971" s="223"/>
    </row>
    <row r="3972" spans="1:28" ht="17.100000000000001" customHeight="1" thickTop="1">
      <c r="A3972" s="226" t="s">
        <v>11998</v>
      </c>
      <c r="B3972" s="28">
        <v>45993</v>
      </c>
      <c r="C3972" s="25">
        <v>1920</v>
      </c>
      <c r="D3972" s="13" t="s">
        <v>2182</v>
      </c>
      <c r="E3972" s="228"/>
      <c r="F3972" s="109" t="s">
        <v>11943</v>
      </c>
      <c r="G3972" s="24" t="s">
        <v>2038</v>
      </c>
      <c r="H3972" s="230">
        <v>4.5</v>
      </c>
      <c r="I3972" s="220">
        <v>1435000</v>
      </c>
      <c r="J3972" s="220">
        <f>I3972*0.1</f>
        <v>143500</v>
      </c>
      <c r="K3972" s="220">
        <v>0</v>
      </c>
      <c r="L3972" s="220">
        <v>11100</v>
      </c>
      <c r="M3972" s="220">
        <v>15950</v>
      </c>
      <c r="N3972" s="220">
        <f>SUM(I3972:M3973)</f>
        <v>1605550</v>
      </c>
      <c r="O3972" s="224"/>
      <c r="P3972" s="110" t="s">
        <v>11945</v>
      </c>
      <c r="Q3972" s="15" t="s">
        <v>19</v>
      </c>
      <c r="R3972" s="205"/>
      <c r="S3972" s="189" t="s">
        <v>25461</v>
      </c>
      <c r="T3972" s="114"/>
      <c r="U3972" s="21"/>
      <c r="V3972" s="115">
        <v>45997</v>
      </c>
      <c r="W3972" s="116">
        <v>1279</v>
      </c>
      <c r="X3972" s="220">
        <v>1510000</v>
      </c>
      <c r="Y3972" s="220">
        <f>X3972*0.1</f>
        <v>151000</v>
      </c>
      <c r="Z3972" s="220">
        <v>11100</v>
      </c>
      <c r="AA3972" s="220">
        <f>SUM(X3972:Z3972)</f>
        <v>1672100</v>
      </c>
      <c r="AB3972" s="222">
        <v>46007</v>
      </c>
    </row>
    <row r="3973" spans="1:28" ht="17.100000000000001" customHeight="1" thickBot="1">
      <c r="A3973" s="227"/>
      <c r="B3973" s="27" t="s">
        <v>2103</v>
      </c>
      <c r="C3973" s="27">
        <v>3191</v>
      </c>
      <c r="D3973" s="14" t="s">
        <v>2559</v>
      </c>
      <c r="E3973" s="229"/>
      <c r="F3973" s="117" t="s">
        <v>11944</v>
      </c>
      <c r="G3973" s="26">
        <v>15475</v>
      </c>
      <c r="H3973" s="231"/>
      <c r="I3973" s="221"/>
      <c r="J3973" s="221"/>
      <c r="K3973" s="221"/>
      <c r="L3973" s="221"/>
      <c r="M3973" s="221"/>
      <c r="N3973" s="221"/>
      <c r="O3973" s="225"/>
      <c r="P3973" s="118" t="s">
        <v>12627</v>
      </c>
      <c r="Q3973" s="16" t="s">
        <v>20</v>
      </c>
      <c r="R3973" s="17" t="s">
        <v>12584</v>
      </c>
      <c r="S3973" s="121" t="s">
        <v>12629</v>
      </c>
      <c r="T3973" s="122"/>
      <c r="U3973" s="22"/>
      <c r="V3973" s="123" t="s">
        <v>6641</v>
      </c>
      <c r="W3973" s="122">
        <v>60415</v>
      </c>
      <c r="X3973" s="221"/>
      <c r="Y3973" s="221"/>
      <c r="Z3973" s="221"/>
      <c r="AA3973" s="221"/>
      <c r="AB3973" s="223"/>
    </row>
    <row r="3974" spans="1:28" ht="17.100000000000001" customHeight="1" thickTop="1">
      <c r="A3974" s="226" t="s">
        <v>11999</v>
      </c>
      <c r="B3974" s="28">
        <v>45993</v>
      </c>
      <c r="C3974" s="25">
        <v>1920</v>
      </c>
      <c r="D3974" s="13" t="s">
        <v>3406</v>
      </c>
      <c r="E3974" s="228"/>
      <c r="F3974" s="109" t="s">
        <v>11946</v>
      </c>
      <c r="G3974" s="24" t="s">
        <v>4025</v>
      </c>
      <c r="H3974" s="230">
        <v>4.5</v>
      </c>
      <c r="I3974" s="220">
        <v>1261000</v>
      </c>
      <c r="J3974" s="220">
        <f>I3974*0.1</f>
        <v>126100</v>
      </c>
      <c r="K3974" s="220">
        <v>0</v>
      </c>
      <c r="L3974" s="220">
        <v>8630</v>
      </c>
      <c r="M3974" s="220">
        <v>15950</v>
      </c>
      <c r="N3974" s="220">
        <f>SUM(I3974:M3975)</f>
        <v>1411680</v>
      </c>
      <c r="O3974" s="224"/>
      <c r="P3974" s="110" t="s">
        <v>11948</v>
      </c>
      <c r="Q3974" s="15" t="s">
        <v>19</v>
      </c>
      <c r="R3974" s="205"/>
      <c r="S3974" s="189" t="s">
        <v>25461</v>
      </c>
      <c r="T3974" s="114"/>
      <c r="U3974" s="21" t="s">
        <v>15030</v>
      </c>
      <c r="V3974" s="115">
        <v>46057</v>
      </c>
      <c r="W3974" s="116">
        <v>1003</v>
      </c>
      <c r="X3974" s="220">
        <v>1320000</v>
      </c>
      <c r="Y3974" s="220">
        <f>X3974*0.1</f>
        <v>132000</v>
      </c>
      <c r="Z3974" s="220">
        <v>8630</v>
      </c>
      <c r="AA3974" s="220">
        <f>SUM(X3974:Z3974)</f>
        <v>1460630</v>
      </c>
      <c r="AB3974" s="222">
        <v>46063</v>
      </c>
    </row>
    <row r="3975" spans="1:28" ht="17.100000000000001" customHeight="1" thickBot="1">
      <c r="A3975" s="227"/>
      <c r="B3975" s="27" t="s">
        <v>2103</v>
      </c>
      <c r="C3975" s="27">
        <v>3256</v>
      </c>
      <c r="D3975" s="14" t="s">
        <v>2559</v>
      </c>
      <c r="E3975" s="229"/>
      <c r="F3975" s="117" t="s">
        <v>11947</v>
      </c>
      <c r="G3975" s="26">
        <v>51306</v>
      </c>
      <c r="H3975" s="231"/>
      <c r="I3975" s="221"/>
      <c r="J3975" s="221"/>
      <c r="K3975" s="221"/>
      <c r="L3975" s="221"/>
      <c r="M3975" s="221"/>
      <c r="N3975" s="221"/>
      <c r="O3975" s="225"/>
      <c r="P3975" s="118" t="s">
        <v>12627</v>
      </c>
      <c r="Q3975" s="16" t="s">
        <v>20</v>
      </c>
      <c r="R3975" s="17" t="s">
        <v>12584</v>
      </c>
      <c r="S3975" s="121" t="s">
        <v>12628</v>
      </c>
      <c r="T3975" s="122"/>
      <c r="U3975" s="22"/>
      <c r="V3975" s="123" t="s">
        <v>8648</v>
      </c>
      <c r="W3975" s="122">
        <v>2040</v>
      </c>
      <c r="X3975" s="221"/>
      <c r="Y3975" s="221"/>
      <c r="Z3975" s="221"/>
      <c r="AA3975" s="221"/>
      <c r="AB3975" s="223"/>
    </row>
    <row r="3976" spans="1:28" ht="17.100000000000001" customHeight="1" thickTop="1">
      <c r="A3976" s="233" t="s">
        <v>12000</v>
      </c>
      <c r="B3976" s="28">
        <v>45993</v>
      </c>
      <c r="C3976" s="25">
        <v>1920</v>
      </c>
      <c r="D3976" s="13" t="s">
        <v>2610</v>
      </c>
      <c r="E3976" s="228"/>
      <c r="F3976" s="109" t="s">
        <v>5334</v>
      </c>
      <c r="G3976" s="24" t="s">
        <v>4239</v>
      </c>
      <c r="H3976" s="230">
        <v>4</v>
      </c>
      <c r="I3976" s="220">
        <v>706000</v>
      </c>
      <c r="J3976" s="220">
        <f>I3976*0.1</f>
        <v>70600</v>
      </c>
      <c r="K3976" s="220">
        <v>0</v>
      </c>
      <c r="L3976" s="220">
        <v>7950</v>
      </c>
      <c r="M3976" s="220">
        <v>15950</v>
      </c>
      <c r="N3976" s="220">
        <f>SUM(I3976:M3977)</f>
        <v>800500</v>
      </c>
      <c r="O3976" s="224"/>
      <c r="P3976" s="110" t="s">
        <v>11950</v>
      </c>
      <c r="Q3976" s="15" t="s">
        <v>19</v>
      </c>
      <c r="R3976" s="205"/>
      <c r="S3976" s="189" t="s">
        <v>1113</v>
      </c>
      <c r="T3976" s="114" t="s">
        <v>12679</v>
      </c>
      <c r="U3976" s="21"/>
      <c r="V3976" s="115"/>
      <c r="W3976" s="116"/>
      <c r="X3976" s="220"/>
      <c r="Y3976" s="220">
        <f>X3976*0.1</f>
        <v>0</v>
      </c>
      <c r="Z3976" s="220"/>
      <c r="AA3976" s="220">
        <f>SUM(X3976:Z3976)</f>
        <v>0</v>
      </c>
      <c r="AB3976" s="222"/>
    </row>
    <row r="3977" spans="1:28" ht="17.100000000000001" customHeight="1" thickBot="1">
      <c r="A3977" s="234"/>
      <c r="B3977" s="27" t="s">
        <v>2103</v>
      </c>
      <c r="C3977" s="27">
        <v>3272</v>
      </c>
      <c r="D3977" s="14" t="s">
        <v>2753</v>
      </c>
      <c r="E3977" s="229"/>
      <c r="F3977" s="117" t="s">
        <v>11949</v>
      </c>
      <c r="G3977" s="26">
        <v>39721</v>
      </c>
      <c r="H3977" s="231"/>
      <c r="I3977" s="221"/>
      <c r="J3977" s="221"/>
      <c r="K3977" s="221"/>
      <c r="L3977" s="221"/>
      <c r="M3977" s="221"/>
      <c r="N3977" s="221"/>
      <c r="O3977" s="225"/>
      <c r="P3977" s="118" t="s">
        <v>12626</v>
      </c>
      <c r="Q3977" s="16" t="s">
        <v>20</v>
      </c>
      <c r="R3977" s="17" t="s">
        <v>12584</v>
      </c>
      <c r="S3977" s="121" t="s">
        <v>169</v>
      </c>
      <c r="T3977" s="122"/>
      <c r="U3977" s="22"/>
      <c r="V3977" s="123"/>
      <c r="W3977" s="122"/>
      <c r="X3977" s="221"/>
      <c r="Y3977" s="221"/>
      <c r="Z3977" s="221"/>
      <c r="AA3977" s="221"/>
      <c r="AB3977" s="223"/>
    </row>
    <row r="3978" spans="1:28" ht="17.100000000000001" customHeight="1" thickTop="1">
      <c r="A3978" s="226" t="s">
        <v>12001</v>
      </c>
      <c r="B3978" s="28">
        <v>45993</v>
      </c>
      <c r="C3978" s="25">
        <v>1920</v>
      </c>
      <c r="D3978" s="13" t="s">
        <v>1685</v>
      </c>
      <c r="E3978" s="228"/>
      <c r="F3978" s="109" t="s">
        <v>11960</v>
      </c>
      <c r="G3978" s="24"/>
      <c r="H3978" s="230">
        <v>4.5</v>
      </c>
      <c r="I3978" s="220">
        <v>1490000</v>
      </c>
      <c r="J3978" s="220">
        <f>I3978*0.1</f>
        <v>149000</v>
      </c>
      <c r="K3978" s="220">
        <v>0</v>
      </c>
      <c r="L3978" s="220">
        <v>14760</v>
      </c>
      <c r="M3978" s="220">
        <v>15950</v>
      </c>
      <c r="N3978" s="220">
        <f>SUM(I3978:M3979)</f>
        <v>1669710</v>
      </c>
      <c r="O3978" s="224"/>
      <c r="P3978" s="110" t="s">
        <v>12546</v>
      </c>
      <c r="Q3978" s="15" t="s">
        <v>19</v>
      </c>
      <c r="R3978" s="205"/>
      <c r="S3978" s="189"/>
      <c r="T3978" s="114"/>
      <c r="U3978" s="21"/>
      <c r="V3978" s="115">
        <v>45997</v>
      </c>
      <c r="W3978" s="116">
        <v>1279</v>
      </c>
      <c r="X3978" s="220">
        <v>1610000</v>
      </c>
      <c r="Y3978" s="220">
        <f>X3978*0.1</f>
        <v>161000</v>
      </c>
      <c r="Z3978" s="220">
        <v>14760</v>
      </c>
      <c r="AA3978" s="220">
        <f>SUM(X3978:Z3978)</f>
        <v>1785760</v>
      </c>
      <c r="AB3978" s="222">
        <v>46002</v>
      </c>
    </row>
    <row r="3979" spans="1:28" ht="17.100000000000001" customHeight="1" thickBot="1">
      <c r="A3979" s="227"/>
      <c r="B3979" s="27" t="s">
        <v>2103</v>
      </c>
      <c r="C3979" s="27">
        <v>32049</v>
      </c>
      <c r="D3979" s="14" t="s">
        <v>273</v>
      </c>
      <c r="E3979" s="229"/>
      <c r="F3979" s="117" t="s">
        <v>11961</v>
      </c>
      <c r="G3979" s="26">
        <v>40103</v>
      </c>
      <c r="H3979" s="231"/>
      <c r="I3979" s="221"/>
      <c r="J3979" s="221"/>
      <c r="K3979" s="221"/>
      <c r="L3979" s="221"/>
      <c r="M3979" s="221"/>
      <c r="N3979" s="221"/>
      <c r="O3979" s="225"/>
      <c r="P3979" s="118" t="s">
        <v>3336</v>
      </c>
      <c r="Q3979" s="16" t="s">
        <v>20</v>
      </c>
      <c r="R3979" s="17" t="s">
        <v>1752</v>
      </c>
      <c r="S3979" s="121" t="s">
        <v>7722</v>
      </c>
      <c r="T3979" s="122"/>
      <c r="U3979" s="22"/>
      <c r="V3979" s="123" t="s">
        <v>2472</v>
      </c>
      <c r="W3979" s="122">
        <v>80342</v>
      </c>
      <c r="X3979" s="221"/>
      <c r="Y3979" s="221"/>
      <c r="Z3979" s="221"/>
      <c r="AA3979" s="221"/>
      <c r="AB3979" s="223"/>
    </row>
    <row r="3980" spans="1:28" ht="17.100000000000001" customHeight="1" thickTop="1">
      <c r="A3980" s="226" t="s">
        <v>12002</v>
      </c>
      <c r="B3980" s="28">
        <v>45993</v>
      </c>
      <c r="C3980" s="25">
        <v>1920</v>
      </c>
      <c r="D3980" s="13" t="s">
        <v>812</v>
      </c>
      <c r="E3980" s="228"/>
      <c r="F3980" s="109" t="s">
        <v>11962</v>
      </c>
      <c r="G3980" s="24"/>
      <c r="H3980" s="230">
        <v>4.5</v>
      </c>
      <c r="I3980" s="220">
        <v>1368000</v>
      </c>
      <c r="J3980" s="220">
        <f>I3980*0.1</f>
        <v>136800</v>
      </c>
      <c r="K3980" s="220">
        <v>0</v>
      </c>
      <c r="L3980" s="220">
        <v>18130</v>
      </c>
      <c r="M3980" s="220">
        <v>15950</v>
      </c>
      <c r="N3980" s="220">
        <f>SUM(I3980:M3981)</f>
        <v>1538880</v>
      </c>
      <c r="O3980" s="224"/>
      <c r="P3980" s="110" t="s">
        <v>12545</v>
      </c>
      <c r="Q3980" s="15" t="s">
        <v>19</v>
      </c>
      <c r="R3980" s="205"/>
      <c r="S3980" s="189"/>
      <c r="T3980" s="114"/>
      <c r="U3980" s="21"/>
      <c r="V3980" s="115">
        <v>45997</v>
      </c>
      <c r="W3980" s="116">
        <v>1279</v>
      </c>
      <c r="X3980" s="220">
        <v>1480000</v>
      </c>
      <c r="Y3980" s="220">
        <f>X3980*0.1</f>
        <v>148000</v>
      </c>
      <c r="Z3980" s="220">
        <v>18130</v>
      </c>
      <c r="AA3980" s="220">
        <f>SUM(X3980:Z3980)</f>
        <v>1646130</v>
      </c>
      <c r="AB3980" s="222">
        <v>46002</v>
      </c>
    </row>
    <row r="3981" spans="1:28" ht="17.100000000000001" customHeight="1" thickBot="1">
      <c r="A3981" s="227"/>
      <c r="B3981" s="27" t="s">
        <v>2103</v>
      </c>
      <c r="C3981" s="27">
        <v>32057</v>
      </c>
      <c r="D3981" s="14" t="s">
        <v>273</v>
      </c>
      <c r="E3981" s="229"/>
      <c r="F3981" s="117" t="s">
        <v>11963</v>
      </c>
      <c r="G3981" s="26">
        <v>74649</v>
      </c>
      <c r="H3981" s="231"/>
      <c r="I3981" s="221"/>
      <c r="J3981" s="221"/>
      <c r="K3981" s="221"/>
      <c r="L3981" s="221"/>
      <c r="M3981" s="221"/>
      <c r="N3981" s="221"/>
      <c r="O3981" s="225"/>
      <c r="P3981" s="118" t="s">
        <v>3336</v>
      </c>
      <c r="Q3981" s="16" t="s">
        <v>20</v>
      </c>
      <c r="R3981" s="17" t="s">
        <v>1752</v>
      </c>
      <c r="S3981" s="121" t="s">
        <v>9265</v>
      </c>
      <c r="T3981" s="122"/>
      <c r="U3981" s="22"/>
      <c r="V3981" s="123" t="s">
        <v>2472</v>
      </c>
      <c r="W3981" s="122">
        <v>80340</v>
      </c>
      <c r="X3981" s="221"/>
      <c r="Y3981" s="221"/>
      <c r="Z3981" s="221"/>
      <c r="AA3981" s="221"/>
      <c r="AB3981" s="223"/>
    </row>
    <row r="3982" spans="1:28" ht="17.100000000000001" customHeight="1" thickTop="1">
      <c r="A3982" s="226" t="s">
        <v>12003</v>
      </c>
      <c r="B3982" s="28">
        <v>45993</v>
      </c>
      <c r="C3982" s="25">
        <v>798</v>
      </c>
      <c r="D3982" s="13" t="s">
        <v>3327</v>
      </c>
      <c r="E3982" s="228"/>
      <c r="F3982" s="109" t="s">
        <v>11951</v>
      </c>
      <c r="G3982" s="24"/>
      <c r="H3982" s="232" t="s">
        <v>11953</v>
      </c>
      <c r="I3982" s="220">
        <v>407000</v>
      </c>
      <c r="J3982" s="220">
        <v>40700</v>
      </c>
      <c r="K3982" s="220">
        <v>0</v>
      </c>
      <c r="L3982" s="220">
        <v>8640</v>
      </c>
      <c r="M3982" s="220">
        <v>15950</v>
      </c>
      <c r="N3982" s="220">
        <f>SUM(I3982:M3983)</f>
        <v>472290</v>
      </c>
      <c r="O3982" s="224"/>
      <c r="P3982" s="110" t="s">
        <v>12637</v>
      </c>
      <c r="Q3982" s="15" t="s">
        <v>19</v>
      </c>
      <c r="R3982" s="205"/>
      <c r="S3982" s="189" t="s">
        <v>1341</v>
      </c>
      <c r="T3982" s="114"/>
      <c r="U3982" s="21"/>
      <c r="V3982" s="115">
        <v>46008</v>
      </c>
      <c r="W3982" s="116">
        <v>997</v>
      </c>
      <c r="X3982" s="220">
        <v>450000</v>
      </c>
      <c r="Y3982" s="220">
        <f>X3982*0.1</f>
        <v>45000</v>
      </c>
      <c r="Z3982" s="220">
        <v>8640</v>
      </c>
      <c r="AA3982" s="220">
        <f>SUM(X3982:Z3982)</f>
        <v>503640</v>
      </c>
      <c r="AB3982" s="222">
        <v>46013</v>
      </c>
    </row>
    <row r="3983" spans="1:28" ht="17.100000000000001" customHeight="1" thickBot="1">
      <c r="A3983" s="227"/>
      <c r="B3983" s="27" t="s">
        <v>3314</v>
      </c>
      <c r="C3983" s="27">
        <v>3002</v>
      </c>
      <c r="D3983" s="14" t="s">
        <v>1797</v>
      </c>
      <c r="E3983" s="229"/>
      <c r="F3983" s="117" t="s">
        <v>11952</v>
      </c>
      <c r="G3983" s="26">
        <v>130753</v>
      </c>
      <c r="H3983" s="231"/>
      <c r="I3983" s="221"/>
      <c r="J3983" s="221"/>
      <c r="K3983" s="221"/>
      <c r="L3983" s="221"/>
      <c r="M3983" s="221"/>
      <c r="N3983" s="221"/>
      <c r="O3983" s="225"/>
      <c r="P3983" s="118" t="s">
        <v>12638</v>
      </c>
      <c r="Q3983" s="16" t="s">
        <v>20</v>
      </c>
      <c r="R3983" s="17" t="s">
        <v>12584</v>
      </c>
      <c r="S3983" s="121" t="s">
        <v>2360</v>
      </c>
      <c r="T3983" s="122"/>
      <c r="U3983" s="22"/>
      <c r="V3983" s="123" t="s">
        <v>2747</v>
      </c>
      <c r="W3983" s="122">
        <v>2042</v>
      </c>
      <c r="X3983" s="221"/>
      <c r="Y3983" s="221"/>
      <c r="Z3983" s="221"/>
      <c r="AA3983" s="221"/>
      <c r="AB3983" s="223"/>
    </row>
    <row r="3984" spans="1:28" ht="17.100000000000001" customHeight="1" thickTop="1">
      <c r="A3984" s="226" t="s">
        <v>12004</v>
      </c>
      <c r="B3984" s="28">
        <v>45993</v>
      </c>
      <c r="C3984" s="25">
        <v>798</v>
      </c>
      <c r="D3984" s="13" t="s">
        <v>1598</v>
      </c>
      <c r="E3984" s="228"/>
      <c r="F3984" s="109" t="s">
        <v>1854</v>
      </c>
      <c r="G3984" s="24"/>
      <c r="H3984" s="230">
        <v>4.5</v>
      </c>
      <c r="I3984" s="220">
        <v>694000</v>
      </c>
      <c r="J3984" s="220">
        <f>I3984*0.1</f>
        <v>69400</v>
      </c>
      <c r="K3984" s="220">
        <v>0</v>
      </c>
      <c r="L3984" s="220">
        <v>18960</v>
      </c>
      <c r="M3984" s="220">
        <v>15950</v>
      </c>
      <c r="N3984" s="220">
        <f>SUM(I3984:M3985)</f>
        <v>798310</v>
      </c>
      <c r="O3984" s="224"/>
      <c r="P3984" s="110" t="s">
        <v>12544</v>
      </c>
      <c r="Q3984" s="15" t="s">
        <v>19</v>
      </c>
      <c r="R3984" s="205"/>
      <c r="S3984" s="189"/>
      <c r="T3984" s="114"/>
      <c r="U3984" s="21"/>
      <c r="V3984" s="115">
        <v>45997</v>
      </c>
      <c r="W3984" s="116">
        <v>1279</v>
      </c>
      <c r="X3984" s="220">
        <v>920000</v>
      </c>
      <c r="Y3984" s="220">
        <f>X3984*0.1</f>
        <v>92000</v>
      </c>
      <c r="Z3984" s="220">
        <v>18960</v>
      </c>
      <c r="AA3984" s="220">
        <f>SUM(X3984:Z3984)</f>
        <v>1030960</v>
      </c>
      <c r="AB3984" s="222">
        <v>46002</v>
      </c>
    </row>
    <row r="3985" spans="1:28" ht="17.100000000000001" customHeight="1" thickBot="1">
      <c r="A3985" s="227"/>
      <c r="B3985" s="27" t="s">
        <v>3314</v>
      </c>
      <c r="C3985" s="27">
        <v>5004</v>
      </c>
      <c r="D3985" s="14" t="s">
        <v>2753</v>
      </c>
      <c r="E3985" s="229"/>
      <c r="F3985" s="117" t="s">
        <v>11964</v>
      </c>
      <c r="G3985" s="26">
        <v>32446</v>
      </c>
      <c r="H3985" s="231"/>
      <c r="I3985" s="221"/>
      <c r="J3985" s="221"/>
      <c r="K3985" s="221"/>
      <c r="L3985" s="221"/>
      <c r="M3985" s="221"/>
      <c r="N3985" s="221"/>
      <c r="O3985" s="225"/>
      <c r="P3985" s="118" t="s">
        <v>3316</v>
      </c>
      <c r="Q3985" s="16" t="s">
        <v>20</v>
      </c>
      <c r="R3985" s="17" t="s">
        <v>1752</v>
      </c>
      <c r="S3985" s="121" t="s">
        <v>12280</v>
      </c>
      <c r="T3985" s="122"/>
      <c r="U3985" s="22"/>
      <c r="V3985" s="123" t="s">
        <v>2472</v>
      </c>
      <c r="W3985" s="122">
        <v>80382</v>
      </c>
      <c r="X3985" s="221"/>
      <c r="Y3985" s="221"/>
      <c r="Z3985" s="221"/>
      <c r="AA3985" s="221"/>
      <c r="AB3985" s="223"/>
    </row>
    <row r="3986" spans="1:28" ht="17.100000000000001" customHeight="1" thickTop="1">
      <c r="A3986" s="226" t="s">
        <v>12005</v>
      </c>
      <c r="B3986" s="28">
        <v>45993</v>
      </c>
      <c r="C3986" s="25">
        <v>798</v>
      </c>
      <c r="D3986" s="13" t="s">
        <v>1676</v>
      </c>
      <c r="E3986" s="228"/>
      <c r="F3986" s="109" t="s">
        <v>11965</v>
      </c>
      <c r="G3986" s="24" t="s">
        <v>1551</v>
      </c>
      <c r="H3986" s="230">
        <v>3.5</v>
      </c>
      <c r="I3986" s="220">
        <v>935000</v>
      </c>
      <c r="J3986" s="220">
        <f>I3986*0.1</f>
        <v>93500</v>
      </c>
      <c r="K3986" s="220">
        <v>10780</v>
      </c>
      <c r="L3986" s="220">
        <v>19330</v>
      </c>
      <c r="M3986" s="220">
        <v>15950</v>
      </c>
      <c r="N3986" s="220">
        <f>SUM(I3986:M3987)</f>
        <v>1074560</v>
      </c>
      <c r="O3986" s="224"/>
      <c r="P3986" s="110" t="s">
        <v>11967</v>
      </c>
      <c r="Q3986" s="15" t="s">
        <v>19</v>
      </c>
      <c r="R3986" s="205"/>
      <c r="S3986" s="189" t="s">
        <v>25627</v>
      </c>
      <c r="T3986" s="114"/>
      <c r="U3986" s="21"/>
      <c r="V3986" s="115">
        <v>45997</v>
      </c>
      <c r="W3986" s="116">
        <v>1279</v>
      </c>
      <c r="X3986" s="220">
        <v>1140000</v>
      </c>
      <c r="Y3986" s="220">
        <f>X3986*0.1</f>
        <v>114000</v>
      </c>
      <c r="Z3986" s="220">
        <v>19330</v>
      </c>
      <c r="AA3986" s="220">
        <f>SUM(X3986:Z3986)</f>
        <v>1273330</v>
      </c>
      <c r="AB3986" s="222">
        <v>46002</v>
      </c>
    </row>
    <row r="3987" spans="1:28" ht="17.100000000000001" customHeight="1" thickBot="1">
      <c r="A3987" s="227"/>
      <c r="B3987" s="27" t="s">
        <v>3314</v>
      </c>
      <c r="C3987" s="27">
        <v>5005</v>
      </c>
      <c r="D3987" s="14" t="s">
        <v>273</v>
      </c>
      <c r="E3987" s="229"/>
      <c r="F3987" s="117" t="s">
        <v>11966</v>
      </c>
      <c r="G3987" s="26">
        <v>74362</v>
      </c>
      <c r="H3987" s="231"/>
      <c r="I3987" s="221"/>
      <c r="J3987" s="221"/>
      <c r="K3987" s="221"/>
      <c r="L3987" s="221"/>
      <c r="M3987" s="221"/>
      <c r="N3987" s="221"/>
      <c r="O3987" s="225"/>
      <c r="P3987" s="118" t="s">
        <v>1586</v>
      </c>
      <c r="Q3987" s="16" t="s">
        <v>20</v>
      </c>
      <c r="R3987" s="17" t="s">
        <v>1752</v>
      </c>
      <c r="S3987" s="121" t="s">
        <v>169</v>
      </c>
      <c r="T3987" s="122"/>
      <c r="U3987" s="22"/>
      <c r="V3987" s="123" t="s">
        <v>2472</v>
      </c>
      <c r="W3987" s="122">
        <v>80384</v>
      </c>
      <c r="X3987" s="221"/>
      <c r="Y3987" s="221"/>
      <c r="Z3987" s="221"/>
      <c r="AA3987" s="221"/>
      <c r="AB3987" s="223"/>
    </row>
    <row r="3988" spans="1:28" ht="17.100000000000001" customHeight="1" thickTop="1">
      <c r="A3988" s="233" t="s">
        <v>12006</v>
      </c>
      <c r="B3988" s="28">
        <v>45993</v>
      </c>
      <c r="C3988" s="25">
        <v>918</v>
      </c>
      <c r="D3988" s="13" t="s">
        <v>2158</v>
      </c>
      <c r="E3988" s="228"/>
      <c r="F3988" s="109" t="s">
        <v>3533</v>
      </c>
      <c r="G3988" s="24"/>
      <c r="H3988" s="230">
        <v>4</v>
      </c>
      <c r="I3988" s="220">
        <v>1023000</v>
      </c>
      <c r="J3988" s="220">
        <f>I3988*0.1</f>
        <v>102300</v>
      </c>
      <c r="K3988" s="220">
        <v>0</v>
      </c>
      <c r="L3988" s="220">
        <v>5340</v>
      </c>
      <c r="M3988" s="220">
        <v>15950</v>
      </c>
      <c r="N3988" s="220">
        <f>SUM(I3988:M3989)</f>
        <v>1146590</v>
      </c>
      <c r="O3988" s="224"/>
      <c r="P3988" s="110" t="s">
        <v>12583</v>
      </c>
      <c r="Q3988" s="15" t="s">
        <v>19</v>
      </c>
      <c r="R3988" s="205"/>
      <c r="S3988" s="189"/>
      <c r="T3988" s="114"/>
      <c r="U3988" s="21"/>
      <c r="V3988" s="115">
        <v>46032</v>
      </c>
      <c r="W3988" s="116">
        <v>1283</v>
      </c>
      <c r="X3988" s="220">
        <v>1075000</v>
      </c>
      <c r="Y3988" s="220">
        <v>107500</v>
      </c>
      <c r="Z3988" s="220">
        <v>5340</v>
      </c>
      <c r="AA3988" s="220">
        <f>SUM(X3988:Z3988)</f>
        <v>1187840</v>
      </c>
      <c r="AB3988" s="222">
        <v>46036</v>
      </c>
    </row>
    <row r="3989" spans="1:28" ht="17.100000000000001" customHeight="1" thickBot="1">
      <c r="A3989" s="234"/>
      <c r="B3989" s="27" t="s">
        <v>2654</v>
      </c>
      <c r="C3989" s="27">
        <v>3040</v>
      </c>
      <c r="D3989" s="14" t="s">
        <v>1568</v>
      </c>
      <c r="E3989" s="229"/>
      <c r="F3989" s="117" t="s">
        <v>11954</v>
      </c>
      <c r="G3989" s="26">
        <v>7093</v>
      </c>
      <c r="H3989" s="231"/>
      <c r="I3989" s="221"/>
      <c r="J3989" s="221"/>
      <c r="K3989" s="221"/>
      <c r="L3989" s="221"/>
      <c r="M3989" s="221"/>
      <c r="N3989" s="221"/>
      <c r="O3989" s="225"/>
      <c r="P3989" s="118" t="s">
        <v>4007</v>
      </c>
      <c r="Q3989" s="16" t="s">
        <v>20</v>
      </c>
      <c r="R3989" s="17" t="s">
        <v>12584</v>
      </c>
      <c r="S3989" s="121" t="s">
        <v>3566</v>
      </c>
      <c r="T3989" s="122"/>
      <c r="U3989" s="22"/>
      <c r="V3989" s="123" t="s">
        <v>2472</v>
      </c>
      <c r="W3989" s="122">
        <v>60157</v>
      </c>
      <c r="X3989" s="221"/>
      <c r="Y3989" s="221"/>
      <c r="Z3989" s="221"/>
      <c r="AA3989" s="221"/>
      <c r="AB3989" s="223"/>
    </row>
    <row r="3990" spans="1:28" ht="17.100000000000001" customHeight="1" thickTop="1">
      <c r="A3990" s="226" t="s">
        <v>12007</v>
      </c>
      <c r="B3990" s="28">
        <v>45993</v>
      </c>
      <c r="C3990" s="25">
        <v>918</v>
      </c>
      <c r="D3990" s="13" t="s">
        <v>2057</v>
      </c>
      <c r="E3990" s="228"/>
      <c r="F3990" s="109" t="s">
        <v>11968</v>
      </c>
      <c r="G3990" s="24"/>
      <c r="H3990" s="230">
        <v>4</v>
      </c>
      <c r="I3990" s="220">
        <v>900000</v>
      </c>
      <c r="J3990" s="220">
        <f>I3990*0.1</f>
        <v>90000</v>
      </c>
      <c r="K3990" s="220">
        <v>0</v>
      </c>
      <c r="L3990" s="220">
        <v>8510</v>
      </c>
      <c r="M3990" s="220">
        <v>15950</v>
      </c>
      <c r="N3990" s="220">
        <f>SUM(I3990:M3991)</f>
        <v>1014460</v>
      </c>
      <c r="O3990" s="224"/>
      <c r="P3990" s="110" t="s">
        <v>12634</v>
      </c>
      <c r="Q3990" s="15" t="s">
        <v>19</v>
      </c>
      <c r="R3990" s="205"/>
      <c r="S3990" s="189" t="s">
        <v>25628</v>
      </c>
      <c r="T3990" s="114"/>
      <c r="U3990" s="21"/>
      <c r="V3990" s="115">
        <v>46018</v>
      </c>
      <c r="W3990" s="116">
        <v>1282</v>
      </c>
      <c r="X3990" s="220">
        <v>1000000</v>
      </c>
      <c r="Y3990" s="220">
        <f>X3990*0.1</f>
        <v>100000</v>
      </c>
      <c r="Z3990" s="220">
        <v>8510</v>
      </c>
      <c r="AA3990" s="220">
        <f>SUM(X3990:Z3990)</f>
        <v>1108510</v>
      </c>
      <c r="AB3990" s="222">
        <v>46028</v>
      </c>
    </row>
    <row r="3991" spans="1:28" ht="17.100000000000001" customHeight="1" thickBot="1">
      <c r="A3991" s="227"/>
      <c r="B3991" s="27" t="s">
        <v>2654</v>
      </c>
      <c r="C3991" s="27">
        <v>3069</v>
      </c>
      <c r="D3991" s="14" t="s">
        <v>1710</v>
      </c>
      <c r="E3991" s="229"/>
      <c r="F3991" s="117" t="s">
        <v>11969</v>
      </c>
      <c r="G3991" s="26">
        <v>33823</v>
      </c>
      <c r="H3991" s="231"/>
      <c r="I3991" s="221"/>
      <c r="J3991" s="221"/>
      <c r="K3991" s="221"/>
      <c r="L3991" s="221"/>
      <c r="M3991" s="221"/>
      <c r="N3991" s="221"/>
      <c r="O3991" s="225"/>
      <c r="P3991" s="118" t="s">
        <v>12635</v>
      </c>
      <c r="Q3991" s="16" t="s">
        <v>20</v>
      </c>
      <c r="R3991" s="17" t="s">
        <v>12584</v>
      </c>
      <c r="S3991" s="121" t="s">
        <v>169</v>
      </c>
      <c r="T3991" s="122"/>
      <c r="U3991" s="22"/>
      <c r="V3991" s="123" t="s">
        <v>2472</v>
      </c>
      <c r="W3991" s="122">
        <v>60161</v>
      </c>
      <c r="X3991" s="221"/>
      <c r="Y3991" s="221"/>
      <c r="Z3991" s="221"/>
      <c r="AA3991" s="221"/>
      <c r="AB3991" s="223"/>
    </row>
    <row r="3992" spans="1:28" ht="17.100000000000001" customHeight="1" thickTop="1">
      <c r="A3992" s="226" t="s">
        <v>12008</v>
      </c>
      <c r="B3992" s="28">
        <v>45993</v>
      </c>
      <c r="C3992" s="25">
        <v>918</v>
      </c>
      <c r="D3992" s="13" t="s">
        <v>1831</v>
      </c>
      <c r="E3992" s="228"/>
      <c r="F3992" s="109" t="s">
        <v>11970</v>
      </c>
      <c r="G3992" s="24"/>
      <c r="H3992" s="230">
        <v>4</v>
      </c>
      <c r="I3992" s="220">
        <v>1612000</v>
      </c>
      <c r="J3992" s="220">
        <f>I3992*0.1</f>
        <v>161200</v>
      </c>
      <c r="K3992" s="220">
        <v>0</v>
      </c>
      <c r="L3992" s="220">
        <v>7340</v>
      </c>
      <c r="M3992" s="220">
        <v>15950</v>
      </c>
      <c r="N3992" s="220">
        <f>SUM(I3992:M3993)</f>
        <v>1796490</v>
      </c>
      <c r="O3992" s="224"/>
      <c r="P3992" s="110" t="s">
        <v>12547</v>
      </c>
      <c r="Q3992" s="15" t="s">
        <v>19</v>
      </c>
      <c r="R3992" s="205"/>
      <c r="S3992" s="189" t="s">
        <v>758</v>
      </c>
      <c r="T3992" s="114"/>
      <c r="U3992" s="21"/>
      <c r="V3992" s="115">
        <v>45997</v>
      </c>
      <c r="W3992" s="116">
        <v>1279</v>
      </c>
      <c r="X3992" s="220">
        <v>1675000</v>
      </c>
      <c r="Y3992" s="220">
        <f>X3992*0.1</f>
        <v>167500</v>
      </c>
      <c r="Z3992" s="220">
        <v>7340</v>
      </c>
      <c r="AA3992" s="220">
        <f>SUM(X3992:Z3992)</f>
        <v>1849840</v>
      </c>
      <c r="AB3992" s="222">
        <v>46002</v>
      </c>
    </row>
    <row r="3993" spans="1:28" ht="17.100000000000001" customHeight="1" thickBot="1">
      <c r="A3993" s="227"/>
      <c r="B3993" s="27" t="s">
        <v>2654</v>
      </c>
      <c r="C3993" s="27">
        <v>3076</v>
      </c>
      <c r="D3993" s="14" t="s">
        <v>273</v>
      </c>
      <c r="E3993" s="229"/>
      <c r="F3993" s="117" t="s">
        <v>11971</v>
      </c>
      <c r="G3993" s="26">
        <v>36432</v>
      </c>
      <c r="H3993" s="231"/>
      <c r="I3993" s="221"/>
      <c r="J3993" s="221"/>
      <c r="K3993" s="221"/>
      <c r="L3993" s="221"/>
      <c r="M3993" s="221"/>
      <c r="N3993" s="221"/>
      <c r="O3993" s="225"/>
      <c r="P3993" s="118" t="s">
        <v>12548</v>
      </c>
      <c r="Q3993" s="16" t="s">
        <v>20</v>
      </c>
      <c r="R3993" s="17" t="s">
        <v>1752</v>
      </c>
      <c r="S3993" s="121" t="s">
        <v>8880</v>
      </c>
      <c r="T3993" s="122"/>
      <c r="U3993" s="22"/>
      <c r="V3993" s="123" t="s">
        <v>2472</v>
      </c>
      <c r="W3993" s="122">
        <v>60411</v>
      </c>
      <c r="X3993" s="221"/>
      <c r="Y3993" s="221"/>
      <c r="Z3993" s="221"/>
      <c r="AA3993" s="221"/>
      <c r="AB3993" s="223"/>
    </row>
    <row r="3994" spans="1:28" ht="17.100000000000001" customHeight="1" thickTop="1">
      <c r="A3994" s="226" t="s">
        <v>12009</v>
      </c>
      <c r="B3994" s="28">
        <v>45993</v>
      </c>
      <c r="C3994" s="25">
        <v>918</v>
      </c>
      <c r="D3994" s="13" t="s">
        <v>2913</v>
      </c>
      <c r="E3994" s="228"/>
      <c r="F3994" s="109" t="s">
        <v>4214</v>
      </c>
      <c r="G3994" s="24" t="s">
        <v>1540</v>
      </c>
      <c r="H3994" s="230">
        <v>4.5</v>
      </c>
      <c r="I3994" s="220">
        <v>1250000</v>
      </c>
      <c r="J3994" s="220">
        <f>I3994*0.1</f>
        <v>125000</v>
      </c>
      <c r="K3994" s="220">
        <v>0</v>
      </c>
      <c r="L3994" s="220">
        <v>7150</v>
      </c>
      <c r="M3994" s="220">
        <v>15950</v>
      </c>
      <c r="N3994" s="220">
        <f>SUM(I3994:M3995)</f>
        <v>1398100</v>
      </c>
      <c r="O3994" s="224"/>
      <c r="P3994" s="110" t="s">
        <v>11973</v>
      </c>
      <c r="Q3994" s="15" t="s">
        <v>19</v>
      </c>
      <c r="R3994" s="205"/>
      <c r="S3994" s="189" t="s">
        <v>25629</v>
      </c>
      <c r="T3994" s="114"/>
      <c r="U3994" s="21"/>
      <c r="V3994" s="115">
        <v>46011</v>
      </c>
      <c r="W3994" s="116">
        <v>1281</v>
      </c>
      <c r="X3994" s="220">
        <v>1290000</v>
      </c>
      <c r="Y3994" s="220">
        <f>X3994*0.1</f>
        <v>129000</v>
      </c>
      <c r="Z3994" s="220">
        <v>7150</v>
      </c>
      <c r="AA3994" s="220">
        <f>SUM(X3994:Z3994)</f>
        <v>1426150</v>
      </c>
      <c r="AB3994" s="222">
        <v>46014</v>
      </c>
    </row>
    <row r="3995" spans="1:28" ht="16.5" customHeight="1" thickBot="1">
      <c r="A3995" s="227"/>
      <c r="B3995" s="27" t="s">
        <v>2654</v>
      </c>
      <c r="C3995" s="27">
        <v>3082</v>
      </c>
      <c r="D3995" s="14" t="s">
        <v>2559</v>
      </c>
      <c r="E3995" s="229"/>
      <c r="F3995" s="117" t="s">
        <v>11972</v>
      </c>
      <c r="G3995" s="26">
        <v>43660</v>
      </c>
      <c r="H3995" s="231"/>
      <c r="I3995" s="221"/>
      <c r="J3995" s="221"/>
      <c r="K3995" s="221"/>
      <c r="L3995" s="221"/>
      <c r="M3995" s="221"/>
      <c r="N3995" s="221"/>
      <c r="O3995" s="225"/>
      <c r="P3995" s="118" t="s">
        <v>12636</v>
      </c>
      <c r="Q3995" s="16" t="s">
        <v>20</v>
      </c>
      <c r="R3995" s="17" t="s">
        <v>12584</v>
      </c>
      <c r="S3995" s="121" t="s">
        <v>2312</v>
      </c>
      <c r="T3995" s="122"/>
      <c r="U3995" s="22"/>
      <c r="V3995" s="123" t="s">
        <v>2472</v>
      </c>
      <c r="W3995" s="122">
        <v>60037</v>
      </c>
      <c r="X3995" s="221"/>
      <c r="Y3995" s="221"/>
      <c r="Z3995" s="221"/>
      <c r="AA3995" s="221"/>
      <c r="AB3995" s="223"/>
    </row>
    <row r="3996" spans="1:28" ht="17.100000000000001" customHeight="1" thickTop="1">
      <c r="A3996" s="226" t="s">
        <v>12010</v>
      </c>
      <c r="B3996" s="28">
        <v>45993</v>
      </c>
      <c r="C3996" s="25">
        <v>1072</v>
      </c>
      <c r="D3996" s="13" t="s">
        <v>1816</v>
      </c>
      <c r="E3996" s="228"/>
      <c r="F3996" s="109" t="s">
        <v>12050</v>
      </c>
      <c r="G3996" s="24" t="s">
        <v>12052</v>
      </c>
      <c r="H3996" s="230">
        <v>4</v>
      </c>
      <c r="I3996" s="220">
        <v>2970000</v>
      </c>
      <c r="J3996" s="220">
        <f>I3996*0.1</f>
        <v>297000</v>
      </c>
      <c r="K3996" s="220">
        <f>12700+1270</f>
        <v>13970</v>
      </c>
      <c r="L3996" s="220">
        <v>23490</v>
      </c>
      <c r="M3996" s="220">
        <v>16500</v>
      </c>
      <c r="N3996" s="220">
        <f>SUM(I3996:M3997)</f>
        <v>3320960</v>
      </c>
      <c r="O3996" s="224"/>
      <c r="P3996" s="110" t="s">
        <v>12053</v>
      </c>
      <c r="Q3996" s="15" t="s">
        <v>2945</v>
      </c>
      <c r="R3996" s="205"/>
      <c r="S3996" s="189" t="s">
        <v>1306</v>
      </c>
      <c r="T3996" s="114"/>
      <c r="U3996" s="21"/>
      <c r="V3996" s="115"/>
      <c r="W3996" s="116"/>
      <c r="X3996" s="220"/>
      <c r="Y3996" s="220">
        <f>X3996*0.1</f>
        <v>0</v>
      </c>
      <c r="Z3996" s="220"/>
      <c r="AA3996" s="220">
        <f>SUM(X3996:Z3996)</f>
        <v>0</v>
      </c>
      <c r="AB3996" s="222"/>
    </row>
    <row r="3997" spans="1:28" ht="17.100000000000001" customHeight="1" thickBot="1">
      <c r="A3997" s="227"/>
      <c r="B3997" s="27" t="s">
        <v>1583</v>
      </c>
      <c r="C3997" s="27">
        <v>84152</v>
      </c>
      <c r="D3997" s="14" t="s">
        <v>1710</v>
      </c>
      <c r="E3997" s="229"/>
      <c r="F3997" s="117" t="s">
        <v>12051</v>
      </c>
      <c r="G3997" s="26">
        <v>48780</v>
      </c>
      <c r="H3997" s="231"/>
      <c r="I3997" s="221"/>
      <c r="J3997" s="221"/>
      <c r="K3997" s="221"/>
      <c r="L3997" s="221"/>
      <c r="M3997" s="221"/>
      <c r="N3997" s="221"/>
      <c r="O3997" s="225"/>
      <c r="P3997" s="118" t="s">
        <v>12542</v>
      </c>
      <c r="Q3997" s="16" t="s">
        <v>20</v>
      </c>
      <c r="R3997" s="17" t="s">
        <v>2223</v>
      </c>
      <c r="S3997" s="121" t="s">
        <v>1606</v>
      </c>
      <c r="T3997" s="122"/>
      <c r="U3997" s="22"/>
      <c r="V3997" s="123"/>
      <c r="W3997" s="122"/>
      <c r="X3997" s="221"/>
      <c r="Y3997" s="221"/>
      <c r="Z3997" s="221"/>
      <c r="AA3997" s="221"/>
      <c r="AB3997" s="223"/>
    </row>
    <row r="3998" spans="1:28" ht="17.100000000000001" customHeight="1" thickTop="1">
      <c r="A3998" s="226" t="s">
        <v>12011</v>
      </c>
      <c r="B3998" s="28">
        <v>45993</v>
      </c>
      <c r="C3998" s="25">
        <v>968</v>
      </c>
      <c r="D3998" s="13" t="s">
        <v>2057</v>
      </c>
      <c r="E3998" s="228"/>
      <c r="F3998" s="109" t="s">
        <v>12023</v>
      </c>
      <c r="G3998" s="24"/>
      <c r="H3998" s="230">
        <v>4.5</v>
      </c>
      <c r="I3998" s="220">
        <v>1318000</v>
      </c>
      <c r="J3998" s="220">
        <f>I3998*0.1</f>
        <v>131800</v>
      </c>
      <c r="K3998" s="220">
        <v>0</v>
      </c>
      <c r="L3998" s="220">
        <v>6470</v>
      </c>
      <c r="M3998" s="220">
        <v>22000</v>
      </c>
      <c r="N3998" s="220">
        <f>SUM(I3998:M3999)</f>
        <v>1478270</v>
      </c>
      <c r="O3998" s="224"/>
      <c r="P3998" s="110" t="s">
        <v>12819</v>
      </c>
      <c r="Q3998" s="15" t="s">
        <v>19</v>
      </c>
      <c r="R3998" s="205"/>
      <c r="S3998" s="189" t="s">
        <v>758</v>
      </c>
      <c r="T3998" s="114"/>
      <c r="U3998" s="21"/>
      <c r="V3998" s="115">
        <v>46007</v>
      </c>
      <c r="W3998" s="116">
        <v>1922</v>
      </c>
      <c r="X3998" s="220">
        <v>1322000</v>
      </c>
      <c r="Y3998" s="220">
        <f>X3998*0.1</f>
        <v>132200</v>
      </c>
      <c r="Z3998" s="220">
        <v>6470</v>
      </c>
      <c r="AA3998" s="220">
        <f>SUM(X3998:Z3998)</f>
        <v>1460670</v>
      </c>
      <c r="AB3998" s="222"/>
    </row>
    <row r="3999" spans="1:28" ht="17.100000000000001" customHeight="1" thickBot="1">
      <c r="A3999" s="227"/>
      <c r="B3999" s="27" t="s">
        <v>2029</v>
      </c>
      <c r="C3999" s="27">
        <v>128</v>
      </c>
      <c r="D3999" s="14" t="s">
        <v>273</v>
      </c>
      <c r="E3999" s="229"/>
      <c r="F3999" s="117" t="s">
        <v>12024</v>
      </c>
      <c r="G3999" s="26">
        <v>11359</v>
      </c>
      <c r="H3999" s="231"/>
      <c r="I3999" s="221"/>
      <c r="J3999" s="221"/>
      <c r="K3999" s="221"/>
      <c r="L3999" s="221"/>
      <c r="M3999" s="221"/>
      <c r="N3999" s="221"/>
      <c r="O3999" s="225"/>
      <c r="P3999" s="118" t="s">
        <v>2446</v>
      </c>
      <c r="Q3999" s="16" t="s">
        <v>20</v>
      </c>
      <c r="R3999" s="17" t="s">
        <v>12649</v>
      </c>
      <c r="S3999" s="121" t="s">
        <v>9304</v>
      </c>
      <c r="T3999" s="122"/>
      <c r="U3999" s="22"/>
      <c r="V3999" s="123" t="s">
        <v>2103</v>
      </c>
      <c r="W3999" s="122">
        <v>3081</v>
      </c>
      <c r="X3999" s="221"/>
      <c r="Y3999" s="221"/>
      <c r="Z3999" s="221"/>
      <c r="AA3999" s="221"/>
      <c r="AB3999" s="223"/>
    </row>
    <row r="4000" spans="1:28" ht="17.100000000000001" customHeight="1" thickTop="1">
      <c r="A4000" s="226" t="s">
        <v>12012</v>
      </c>
      <c r="B4000" s="28">
        <v>45994</v>
      </c>
      <c r="C4000" s="25">
        <v>2333</v>
      </c>
      <c r="D4000" s="13" t="s">
        <v>1754</v>
      </c>
      <c r="E4000" s="228"/>
      <c r="F4000" s="109" t="s">
        <v>12025</v>
      </c>
      <c r="G4000" s="24" t="s">
        <v>2813</v>
      </c>
      <c r="H4000" s="230">
        <v>4.5</v>
      </c>
      <c r="I4000" s="220">
        <v>2105000</v>
      </c>
      <c r="J4000" s="220">
        <f>I4000*0.1</f>
        <v>210500</v>
      </c>
      <c r="K4000" s="220">
        <f>9800+980</f>
        <v>10780</v>
      </c>
      <c r="L4000" s="220">
        <v>13210</v>
      </c>
      <c r="M4000" s="220">
        <v>16500</v>
      </c>
      <c r="N4000" s="220">
        <f>SUM(I4000:M4001)</f>
        <v>2355990</v>
      </c>
      <c r="O4000" s="224"/>
      <c r="P4000" s="110" t="s">
        <v>12372</v>
      </c>
      <c r="Q4000" s="15" t="s">
        <v>19</v>
      </c>
      <c r="R4000" s="205"/>
      <c r="S4000" s="189" t="s">
        <v>25367</v>
      </c>
      <c r="T4000" s="114"/>
      <c r="U4000" s="21"/>
      <c r="V4000" s="115"/>
      <c r="W4000" s="116"/>
      <c r="X4000" s="220"/>
      <c r="Y4000" s="220">
        <f>X4000*0.1</f>
        <v>0</v>
      </c>
      <c r="Z4000" s="220"/>
      <c r="AA4000" s="220">
        <f>SUM(X4000:Z4000)</f>
        <v>0</v>
      </c>
      <c r="AB4000" s="222"/>
    </row>
    <row r="4001" spans="1:28" ht="17.100000000000001" customHeight="1" thickBot="1">
      <c r="A4001" s="227"/>
      <c r="B4001" s="27" t="s">
        <v>3367</v>
      </c>
      <c r="C4001" s="27">
        <v>60231</v>
      </c>
      <c r="D4001" s="14" t="s">
        <v>1568</v>
      </c>
      <c r="E4001" s="229"/>
      <c r="F4001" s="117" t="s">
        <v>12026</v>
      </c>
      <c r="G4001" s="26">
        <v>41336</v>
      </c>
      <c r="H4001" s="231"/>
      <c r="I4001" s="221"/>
      <c r="J4001" s="221"/>
      <c r="K4001" s="221"/>
      <c r="L4001" s="221"/>
      <c r="M4001" s="221"/>
      <c r="N4001" s="221"/>
      <c r="O4001" s="225"/>
      <c r="P4001" s="118" t="s">
        <v>12373</v>
      </c>
      <c r="Q4001" s="16" t="s">
        <v>20</v>
      </c>
      <c r="R4001" s="17" t="s">
        <v>3384</v>
      </c>
      <c r="S4001" s="121" t="s">
        <v>1731</v>
      </c>
      <c r="T4001" s="122"/>
      <c r="U4001" s="22"/>
      <c r="V4001" s="123"/>
      <c r="W4001" s="122"/>
      <c r="X4001" s="221"/>
      <c r="Y4001" s="221"/>
      <c r="Z4001" s="221"/>
      <c r="AA4001" s="221"/>
      <c r="AB4001" s="223"/>
    </row>
    <row r="4002" spans="1:28" ht="17.100000000000001" customHeight="1" thickTop="1">
      <c r="A4002" s="226" t="s">
        <v>12013</v>
      </c>
      <c r="B4002" s="28">
        <v>45994</v>
      </c>
      <c r="C4002" s="25">
        <v>995</v>
      </c>
      <c r="D4002" s="13" t="s">
        <v>1685</v>
      </c>
      <c r="E4002" s="228"/>
      <c r="F4002" s="109" t="s">
        <v>12033</v>
      </c>
      <c r="G4002" s="24" t="s">
        <v>3528</v>
      </c>
      <c r="H4002" s="230">
        <v>4</v>
      </c>
      <c r="I4002" s="220">
        <v>1070000</v>
      </c>
      <c r="J4002" s="220">
        <f>I4002*0.1</f>
        <v>107000</v>
      </c>
      <c r="K4002" s="220">
        <f>9800+980</f>
        <v>10780</v>
      </c>
      <c r="L4002" s="220">
        <v>12500</v>
      </c>
      <c r="M4002" s="220">
        <v>12100</v>
      </c>
      <c r="N4002" s="220">
        <f>SUM(I4002:M4003)</f>
        <v>1212380</v>
      </c>
      <c r="O4002" s="224"/>
      <c r="P4002" s="110" t="s">
        <v>12035</v>
      </c>
      <c r="Q4002" s="15" t="s">
        <v>19</v>
      </c>
      <c r="R4002" s="205"/>
      <c r="S4002" s="189"/>
      <c r="T4002" s="114"/>
      <c r="U4002" s="21"/>
      <c r="V4002" s="115">
        <v>46004</v>
      </c>
      <c r="W4002" s="116">
        <v>1280</v>
      </c>
      <c r="X4002" s="220">
        <v>1115000</v>
      </c>
      <c r="Y4002" s="220">
        <f>X4002*0.1</f>
        <v>111500</v>
      </c>
      <c r="Z4002" s="220">
        <v>12500</v>
      </c>
      <c r="AA4002" s="220">
        <f>SUM(X4002:Z4002)</f>
        <v>1239000</v>
      </c>
      <c r="AB4002" s="222">
        <v>46008</v>
      </c>
    </row>
    <row r="4003" spans="1:28" ht="17.100000000000001" customHeight="1" thickBot="1">
      <c r="A4003" s="227"/>
      <c r="B4003" s="27" t="s">
        <v>2747</v>
      </c>
      <c r="C4003" s="27">
        <v>1009</v>
      </c>
      <c r="D4003" s="14" t="s">
        <v>273</v>
      </c>
      <c r="E4003" s="229"/>
      <c r="F4003" s="117" t="s">
        <v>12034</v>
      </c>
      <c r="G4003" s="26">
        <v>97111</v>
      </c>
      <c r="H4003" s="231"/>
      <c r="I4003" s="221"/>
      <c r="J4003" s="221"/>
      <c r="K4003" s="221"/>
      <c r="L4003" s="221"/>
      <c r="M4003" s="221"/>
      <c r="N4003" s="221"/>
      <c r="O4003" s="225"/>
      <c r="P4003" s="118" t="s">
        <v>1844</v>
      </c>
      <c r="Q4003" s="16" t="s">
        <v>20</v>
      </c>
      <c r="R4003" s="17" t="s">
        <v>12649</v>
      </c>
      <c r="S4003" s="121" t="s">
        <v>12816</v>
      </c>
      <c r="T4003" s="122"/>
      <c r="U4003" s="22"/>
      <c r="V4003" s="123" t="s">
        <v>2472</v>
      </c>
      <c r="W4003" s="122">
        <v>50048</v>
      </c>
      <c r="X4003" s="221"/>
      <c r="Y4003" s="221"/>
      <c r="Z4003" s="221"/>
      <c r="AA4003" s="221"/>
      <c r="AB4003" s="223"/>
    </row>
    <row r="4004" spans="1:28" ht="17.100000000000001" customHeight="1" thickTop="1">
      <c r="A4004" s="226" t="s">
        <v>12014</v>
      </c>
      <c r="B4004" s="28">
        <v>45994</v>
      </c>
      <c r="C4004" s="25">
        <v>995</v>
      </c>
      <c r="D4004" s="13" t="s">
        <v>2652</v>
      </c>
      <c r="E4004" s="228"/>
      <c r="F4004" s="109" t="s">
        <v>12036</v>
      </c>
      <c r="G4004" s="24" t="s">
        <v>4412</v>
      </c>
      <c r="H4004" s="230">
        <v>4.5</v>
      </c>
      <c r="I4004" s="220">
        <v>1715000</v>
      </c>
      <c r="J4004" s="220">
        <f>I4004*0.1</f>
        <v>171500</v>
      </c>
      <c r="K4004" s="220">
        <v>0</v>
      </c>
      <c r="L4004" s="220">
        <v>9130</v>
      </c>
      <c r="M4004" s="220">
        <v>12100</v>
      </c>
      <c r="N4004" s="220">
        <f>SUM(I4004:M4005)</f>
        <v>1907730</v>
      </c>
      <c r="O4004" s="224"/>
      <c r="P4004" s="110" t="s">
        <v>12038</v>
      </c>
      <c r="Q4004" s="15" t="s">
        <v>19</v>
      </c>
      <c r="R4004" s="205"/>
      <c r="S4004" s="189" t="s">
        <v>25630</v>
      </c>
      <c r="T4004" s="114"/>
      <c r="U4004" s="21"/>
      <c r="V4004" s="115">
        <v>46000</v>
      </c>
      <c r="W4004" s="116">
        <v>1921</v>
      </c>
      <c r="X4004" s="220">
        <v>1722000</v>
      </c>
      <c r="Y4004" s="220">
        <f>X4004*0.1</f>
        <v>172200</v>
      </c>
      <c r="Z4004" s="220">
        <v>9130</v>
      </c>
      <c r="AA4004" s="220">
        <f>SUM(X4004:Z4004)</f>
        <v>1903330</v>
      </c>
      <c r="AB4004" s="222">
        <v>46006</v>
      </c>
    </row>
    <row r="4005" spans="1:28" ht="17.100000000000001" customHeight="1" thickBot="1">
      <c r="A4005" s="227"/>
      <c r="B4005" s="27" t="s">
        <v>2747</v>
      </c>
      <c r="C4005" s="27">
        <v>1022</v>
      </c>
      <c r="D4005" s="14" t="s">
        <v>131</v>
      </c>
      <c r="E4005" s="229"/>
      <c r="F4005" s="117" t="s">
        <v>12037</v>
      </c>
      <c r="G4005" s="26">
        <v>4778</v>
      </c>
      <c r="H4005" s="231"/>
      <c r="I4005" s="221"/>
      <c r="J4005" s="221"/>
      <c r="K4005" s="221"/>
      <c r="L4005" s="221"/>
      <c r="M4005" s="221"/>
      <c r="N4005" s="221"/>
      <c r="O4005" s="225"/>
      <c r="P4005" s="118" t="s">
        <v>12742</v>
      </c>
      <c r="Q4005" s="16" t="s">
        <v>20</v>
      </c>
      <c r="R4005" s="17" t="s">
        <v>12649</v>
      </c>
      <c r="S4005" s="121" t="s">
        <v>1661</v>
      </c>
      <c r="T4005" s="122"/>
      <c r="U4005" s="22"/>
      <c r="V4005" s="123" t="s">
        <v>2103</v>
      </c>
      <c r="W4005" s="122">
        <v>3449</v>
      </c>
      <c r="X4005" s="221"/>
      <c r="Y4005" s="221"/>
      <c r="Z4005" s="221"/>
      <c r="AA4005" s="221"/>
      <c r="AB4005" s="223"/>
    </row>
    <row r="4006" spans="1:28" ht="17.100000000000001" customHeight="1" thickTop="1">
      <c r="A4006" s="226" t="s">
        <v>12015</v>
      </c>
      <c r="B4006" s="28">
        <v>45994</v>
      </c>
      <c r="C4006" s="25">
        <v>995</v>
      </c>
      <c r="D4006" s="13" t="s">
        <v>2010</v>
      </c>
      <c r="E4006" s="228"/>
      <c r="F4006" s="109" t="s">
        <v>12039</v>
      </c>
      <c r="G4006" s="24"/>
      <c r="H4006" s="230">
        <v>4.5</v>
      </c>
      <c r="I4006" s="220">
        <v>1350000</v>
      </c>
      <c r="J4006" s="220">
        <f>I4006*0.1</f>
        <v>135000</v>
      </c>
      <c r="K4006" s="220">
        <v>0</v>
      </c>
      <c r="L4006" s="220">
        <v>7040</v>
      </c>
      <c r="M4006" s="220">
        <v>12100</v>
      </c>
      <c r="N4006" s="220">
        <f>SUM(I4006:M4007)</f>
        <v>1504140</v>
      </c>
      <c r="O4006" s="224"/>
      <c r="P4006" s="110" t="s">
        <v>12818</v>
      </c>
      <c r="Q4006" s="15" t="s">
        <v>19</v>
      </c>
      <c r="R4006" s="205"/>
      <c r="S4006" s="189"/>
      <c r="T4006" s="114"/>
      <c r="U4006" s="21"/>
      <c r="V4006" s="115">
        <v>46007</v>
      </c>
      <c r="W4006" s="116">
        <v>1922</v>
      </c>
      <c r="X4006" s="220">
        <v>1410000</v>
      </c>
      <c r="Y4006" s="220">
        <f>X4006*0.1</f>
        <v>141000</v>
      </c>
      <c r="Z4006" s="220">
        <v>7040</v>
      </c>
      <c r="AA4006" s="220">
        <f>SUM(X4006:Z4006)</f>
        <v>1558040</v>
      </c>
      <c r="AB4006" s="222"/>
    </row>
    <row r="4007" spans="1:28" ht="17.100000000000001" customHeight="1" thickBot="1">
      <c r="A4007" s="227"/>
      <c r="B4007" s="27" t="s">
        <v>2747</v>
      </c>
      <c r="C4007" s="27">
        <v>1049</v>
      </c>
      <c r="D4007" s="14" t="s">
        <v>131</v>
      </c>
      <c r="E4007" s="229"/>
      <c r="F4007" s="117" t="s">
        <v>12040</v>
      </c>
      <c r="G4007" s="26">
        <v>579</v>
      </c>
      <c r="H4007" s="231"/>
      <c r="I4007" s="221"/>
      <c r="J4007" s="221"/>
      <c r="K4007" s="221"/>
      <c r="L4007" s="221"/>
      <c r="M4007" s="221"/>
      <c r="N4007" s="221"/>
      <c r="O4007" s="225"/>
      <c r="P4007" s="118" t="s">
        <v>6758</v>
      </c>
      <c r="Q4007" s="16" t="s">
        <v>20</v>
      </c>
      <c r="R4007" s="17" t="s">
        <v>12649</v>
      </c>
      <c r="S4007" s="121"/>
      <c r="T4007" s="122"/>
      <c r="U4007" s="22"/>
      <c r="V4007" s="123" t="s">
        <v>2103</v>
      </c>
      <c r="W4007" s="122">
        <v>3091</v>
      </c>
      <c r="X4007" s="221"/>
      <c r="Y4007" s="221"/>
      <c r="Z4007" s="221"/>
      <c r="AA4007" s="221"/>
      <c r="AB4007" s="223"/>
    </row>
    <row r="4008" spans="1:28" ht="17.100000000000001" customHeight="1" thickTop="1">
      <c r="A4008" s="226" t="s">
        <v>12016</v>
      </c>
      <c r="B4008" s="28">
        <v>45994</v>
      </c>
      <c r="C4008" s="25">
        <v>995</v>
      </c>
      <c r="D4008" s="13" t="s">
        <v>1704</v>
      </c>
      <c r="E4008" s="228"/>
      <c r="F4008" s="109" t="s">
        <v>10615</v>
      </c>
      <c r="G4008" s="24"/>
      <c r="H4008" s="230">
        <v>4.5</v>
      </c>
      <c r="I4008" s="220">
        <v>1355000</v>
      </c>
      <c r="J4008" s="220">
        <f>I4008*0.1</f>
        <v>135500</v>
      </c>
      <c r="K4008" s="220">
        <v>0</v>
      </c>
      <c r="L4008" s="220">
        <v>8740</v>
      </c>
      <c r="M4008" s="220">
        <v>12100</v>
      </c>
      <c r="N4008" s="220">
        <f>SUM(I4008:M4009)</f>
        <v>1511340</v>
      </c>
      <c r="O4008" s="224"/>
      <c r="P4008" s="110" t="s">
        <v>12743</v>
      </c>
      <c r="Q4008" s="15" t="s">
        <v>19</v>
      </c>
      <c r="R4008" s="205"/>
      <c r="S4008" s="189" t="s">
        <v>1406</v>
      </c>
      <c r="T4008" s="114"/>
      <c r="U4008" s="21"/>
      <c r="V4008" s="115">
        <v>46000</v>
      </c>
      <c r="W4008" s="116">
        <v>1921</v>
      </c>
      <c r="X4008" s="220">
        <v>1406000</v>
      </c>
      <c r="Y4008" s="220">
        <f>X4008*0.1</f>
        <v>140600</v>
      </c>
      <c r="Z4008" s="220">
        <v>8740</v>
      </c>
      <c r="AA4008" s="220">
        <f>SUM(X4008:Z4008)</f>
        <v>1555340</v>
      </c>
      <c r="AB4008" s="222">
        <v>46006</v>
      </c>
    </row>
    <row r="4009" spans="1:28" ht="17.100000000000001" customHeight="1" thickBot="1">
      <c r="A4009" s="227"/>
      <c r="B4009" s="27" t="s">
        <v>2747</v>
      </c>
      <c r="C4009" s="27">
        <v>1084</v>
      </c>
      <c r="D4009" s="14" t="s">
        <v>131</v>
      </c>
      <c r="E4009" s="229"/>
      <c r="F4009" s="117" t="s">
        <v>12041</v>
      </c>
      <c r="G4009" s="26">
        <v>31398</v>
      </c>
      <c r="H4009" s="231"/>
      <c r="I4009" s="221"/>
      <c r="J4009" s="221"/>
      <c r="K4009" s="221"/>
      <c r="L4009" s="221"/>
      <c r="M4009" s="221"/>
      <c r="N4009" s="221"/>
      <c r="O4009" s="225"/>
      <c r="P4009" s="118" t="s">
        <v>12744</v>
      </c>
      <c r="Q4009" s="16" t="s">
        <v>20</v>
      </c>
      <c r="R4009" s="17" t="s">
        <v>12649</v>
      </c>
      <c r="S4009" s="121" t="s">
        <v>7703</v>
      </c>
      <c r="T4009" s="122"/>
      <c r="U4009" s="22"/>
      <c r="V4009" s="123" t="s">
        <v>2103</v>
      </c>
      <c r="W4009" s="122">
        <v>3305</v>
      </c>
      <c r="X4009" s="221"/>
      <c r="Y4009" s="221"/>
      <c r="Z4009" s="221"/>
      <c r="AA4009" s="221"/>
      <c r="AB4009" s="223"/>
    </row>
    <row r="4010" spans="1:28" ht="17.100000000000001" customHeight="1" thickTop="1">
      <c r="A4010" s="226" t="s">
        <v>12017</v>
      </c>
      <c r="B4010" s="28">
        <v>45994</v>
      </c>
      <c r="C4010" s="25">
        <v>995</v>
      </c>
      <c r="D4010" s="13" t="s">
        <v>2652</v>
      </c>
      <c r="E4010" s="228"/>
      <c r="F4010" s="109" t="s">
        <v>12042</v>
      </c>
      <c r="G4010" s="24" t="s">
        <v>4412</v>
      </c>
      <c r="H4010" s="230">
        <v>5</v>
      </c>
      <c r="I4010" s="220">
        <v>1490000</v>
      </c>
      <c r="J4010" s="220">
        <f>I4010*0.1</f>
        <v>149000</v>
      </c>
      <c r="K4010" s="220">
        <v>0</v>
      </c>
      <c r="L4010" s="220">
        <v>9130</v>
      </c>
      <c r="M4010" s="220">
        <v>11000</v>
      </c>
      <c r="N4010" s="220">
        <f>SUM(I4010:M4011)</f>
        <v>1659130</v>
      </c>
      <c r="O4010" s="224"/>
      <c r="P4010" s="110" t="s">
        <v>12044</v>
      </c>
      <c r="Q4010" s="15" t="s">
        <v>19</v>
      </c>
      <c r="R4010" s="205"/>
      <c r="S4010" s="189" t="s">
        <v>758</v>
      </c>
      <c r="T4010" s="114"/>
      <c r="U4010" s="21"/>
      <c r="V4010" s="115">
        <v>46000</v>
      </c>
      <c r="W4010" s="116">
        <v>1921</v>
      </c>
      <c r="X4010" s="220">
        <v>1855000</v>
      </c>
      <c r="Y4010" s="220">
        <f>X4010*0.1</f>
        <v>185500</v>
      </c>
      <c r="Z4010" s="220">
        <v>9130</v>
      </c>
      <c r="AA4010" s="220">
        <f>SUM(X4010:Z4010)</f>
        <v>2049630</v>
      </c>
      <c r="AB4010" s="222">
        <v>46006</v>
      </c>
    </row>
    <row r="4011" spans="1:28" ht="17.100000000000001" customHeight="1" thickBot="1">
      <c r="A4011" s="227"/>
      <c r="B4011" s="27" t="s">
        <v>2747</v>
      </c>
      <c r="C4011" s="27">
        <v>2098</v>
      </c>
      <c r="D4011" s="14" t="s">
        <v>2753</v>
      </c>
      <c r="E4011" s="229"/>
      <c r="F4011" s="117" t="s">
        <v>12043</v>
      </c>
      <c r="G4011" s="26">
        <v>4808</v>
      </c>
      <c r="H4011" s="231"/>
      <c r="I4011" s="221"/>
      <c r="J4011" s="221"/>
      <c r="K4011" s="221"/>
      <c r="L4011" s="221"/>
      <c r="M4011" s="221"/>
      <c r="N4011" s="221"/>
      <c r="O4011" s="225"/>
      <c r="P4011" s="118" t="s">
        <v>12745</v>
      </c>
      <c r="Q4011" s="16" t="s">
        <v>20</v>
      </c>
      <c r="R4011" s="17" t="s">
        <v>12649</v>
      </c>
      <c r="S4011" s="121" t="s">
        <v>1731</v>
      </c>
      <c r="T4011" s="122"/>
      <c r="U4011" s="22"/>
      <c r="V4011" s="123" t="s">
        <v>2103</v>
      </c>
      <c r="W4011" s="122">
        <v>3445</v>
      </c>
      <c r="X4011" s="221"/>
      <c r="Y4011" s="221"/>
      <c r="Z4011" s="221"/>
      <c r="AA4011" s="221"/>
      <c r="AB4011" s="223"/>
    </row>
    <row r="4012" spans="1:28" ht="17.100000000000001" customHeight="1" thickTop="1">
      <c r="A4012" s="233" t="s">
        <v>12018</v>
      </c>
      <c r="B4012" s="28">
        <v>45994</v>
      </c>
      <c r="C4012" s="25">
        <v>995</v>
      </c>
      <c r="D4012" s="13" t="s">
        <v>1909</v>
      </c>
      <c r="E4012" s="228"/>
      <c r="F4012" s="109" t="s">
        <v>12046</v>
      </c>
      <c r="G4012" s="24"/>
      <c r="H4012" s="230">
        <v>4</v>
      </c>
      <c r="I4012" s="220">
        <v>1285000</v>
      </c>
      <c r="J4012" s="220">
        <f>I4012*0.1</f>
        <v>128500</v>
      </c>
      <c r="K4012" s="220">
        <v>0</v>
      </c>
      <c r="L4012" s="220">
        <v>7340</v>
      </c>
      <c r="M4012" s="220">
        <v>11000</v>
      </c>
      <c r="N4012" s="220">
        <f>SUM(I4012:M4013)</f>
        <v>1431840</v>
      </c>
      <c r="O4012" s="224"/>
      <c r="P4012" s="110" t="s">
        <v>12895</v>
      </c>
      <c r="Q4012" s="15" t="s">
        <v>19</v>
      </c>
      <c r="R4012" s="205"/>
      <c r="S4012" s="189" t="s">
        <v>758</v>
      </c>
      <c r="T4012" s="114"/>
      <c r="U4012" s="21"/>
      <c r="V4012" s="115">
        <v>46032</v>
      </c>
      <c r="W4012" s="116">
        <v>1283</v>
      </c>
      <c r="X4012" s="220">
        <v>1410000</v>
      </c>
      <c r="Y4012" s="220">
        <f>X4012*0.1</f>
        <v>141000</v>
      </c>
      <c r="Z4012" s="220">
        <v>7340</v>
      </c>
      <c r="AA4012" s="220">
        <f>SUM(X4012:Z4012)</f>
        <v>1558340</v>
      </c>
      <c r="AB4012" s="222">
        <v>46036</v>
      </c>
    </row>
    <row r="4013" spans="1:28" ht="17.100000000000001" customHeight="1" thickBot="1">
      <c r="A4013" s="234"/>
      <c r="B4013" s="27" t="s">
        <v>2747</v>
      </c>
      <c r="C4013" s="27">
        <v>2100</v>
      </c>
      <c r="D4013" s="14" t="s">
        <v>2753</v>
      </c>
      <c r="E4013" s="229"/>
      <c r="F4013" s="117" t="s">
        <v>12894</v>
      </c>
      <c r="G4013" s="26">
        <v>10911</v>
      </c>
      <c r="H4013" s="231"/>
      <c r="I4013" s="221"/>
      <c r="J4013" s="221"/>
      <c r="K4013" s="221"/>
      <c r="L4013" s="221"/>
      <c r="M4013" s="221"/>
      <c r="N4013" s="221"/>
      <c r="O4013" s="225"/>
      <c r="P4013" s="118" t="s">
        <v>12896</v>
      </c>
      <c r="Q4013" s="16" t="s">
        <v>20</v>
      </c>
      <c r="R4013" s="17" t="s">
        <v>12777</v>
      </c>
      <c r="S4013" s="126" t="s">
        <v>169</v>
      </c>
      <c r="T4013" s="122"/>
      <c r="U4013" s="22"/>
      <c r="V4013" s="123" t="s">
        <v>2472</v>
      </c>
      <c r="W4013" s="122">
        <v>60069</v>
      </c>
      <c r="X4013" s="221"/>
      <c r="Y4013" s="221"/>
      <c r="Z4013" s="221"/>
      <c r="AA4013" s="221"/>
      <c r="AB4013" s="223"/>
    </row>
    <row r="4014" spans="1:28" ht="17.100000000000001" customHeight="1" thickTop="1">
      <c r="A4014" s="233" t="s">
        <v>12019</v>
      </c>
      <c r="B4014" s="28">
        <v>45994</v>
      </c>
      <c r="C4014" s="25">
        <v>995</v>
      </c>
      <c r="D4014" s="13" t="s">
        <v>4755</v>
      </c>
      <c r="E4014" s="228"/>
      <c r="F4014" s="109" t="s">
        <v>5160</v>
      </c>
      <c r="G4014" s="24"/>
      <c r="H4014" s="230">
        <v>4</v>
      </c>
      <c r="I4014" s="220">
        <v>250000</v>
      </c>
      <c r="J4014" s="220">
        <f>I4014*0.1</f>
        <v>25000</v>
      </c>
      <c r="K4014" s="220">
        <v>0</v>
      </c>
      <c r="L4014" s="220">
        <v>8930</v>
      </c>
      <c r="M4014" s="220">
        <v>22000</v>
      </c>
      <c r="N4014" s="220">
        <f>SUM(I4014:M4015)</f>
        <v>305930</v>
      </c>
      <c r="O4014" s="224"/>
      <c r="P4014" s="110" t="s">
        <v>12817</v>
      </c>
      <c r="Q4014" s="15" t="s">
        <v>19</v>
      </c>
      <c r="R4014" s="205"/>
      <c r="S4014" s="189"/>
      <c r="T4014" s="114"/>
      <c r="U4014" s="21"/>
      <c r="V4014" s="115">
        <v>46039</v>
      </c>
      <c r="W4014" s="116">
        <v>1284</v>
      </c>
      <c r="X4014" s="220">
        <v>290000</v>
      </c>
      <c r="Y4014" s="220">
        <f>X4014*0.1</f>
        <v>29000</v>
      </c>
      <c r="Z4014" s="220">
        <v>8930</v>
      </c>
      <c r="AA4014" s="220">
        <f>SUM(X4014:Z4014)</f>
        <v>327930</v>
      </c>
      <c r="AB4014" s="222">
        <v>46042</v>
      </c>
    </row>
    <row r="4015" spans="1:28" ht="17.100000000000001" customHeight="1" thickBot="1">
      <c r="A4015" s="234"/>
      <c r="B4015" s="27" t="s">
        <v>2747</v>
      </c>
      <c r="C4015" s="27">
        <v>3083</v>
      </c>
      <c r="D4015" s="14" t="s">
        <v>273</v>
      </c>
      <c r="E4015" s="229"/>
      <c r="F4015" s="117" t="s">
        <v>12047</v>
      </c>
      <c r="G4015" s="26">
        <v>56969</v>
      </c>
      <c r="H4015" s="231"/>
      <c r="I4015" s="221"/>
      <c r="J4015" s="221"/>
      <c r="K4015" s="221"/>
      <c r="L4015" s="221"/>
      <c r="M4015" s="221"/>
      <c r="N4015" s="221"/>
      <c r="O4015" s="225"/>
      <c r="P4015" s="118" t="s">
        <v>2615</v>
      </c>
      <c r="Q4015" s="16" t="s">
        <v>20</v>
      </c>
      <c r="R4015" s="17" t="s">
        <v>12649</v>
      </c>
      <c r="S4015" s="121"/>
      <c r="T4015" s="122"/>
      <c r="U4015" s="22"/>
      <c r="V4015" s="123" t="s">
        <v>2472</v>
      </c>
      <c r="W4015" s="122">
        <v>60009</v>
      </c>
      <c r="X4015" s="221"/>
      <c r="Y4015" s="221"/>
      <c r="Z4015" s="221"/>
      <c r="AA4015" s="221"/>
      <c r="AB4015" s="223"/>
    </row>
    <row r="4016" spans="1:28" ht="17.100000000000001" customHeight="1" thickTop="1">
      <c r="A4016" s="226" t="s">
        <v>12020</v>
      </c>
      <c r="B4016" s="28">
        <v>45994</v>
      </c>
      <c r="C4016" s="25">
        <v>995</v>
      </c>
      <c r="D4016" s="13" t="s">
        <v>1831</v>
      </c>
      <c r="E4016" s="228"/>
      <c r="F4016" s="109" t="s">
        <v>12048</v>
      </c>
      <c r="G4016" s="24"/>
      <c r="H4016" s="230">
        <v>4</v>
      </c>
      <c r="I4016" s="220">
        <v>700000</v>
      </c>
      <c r="J4016" s="220">
        <f>I4016*0.1</f>
        <v>70000</v>
      </c>
      <c r="K4016" s="220">
        <v>0</v>
      </c>
      <c r="L4016" s="220">
        <v>6860</v>
      </c>
      <c r="M4016" s="220">
        <v>12100</v>
      </c>
      <c r="N4016" s="220">
        <f>SUM(I4016:M4017)</f>
        <v>788960</v>
      </c>
      <c r="O4016" s="224"/>
      <c r="P4016" s="110" t="s">
        <v>12747</v>
      </c>
      <c r="Q4016" s="15" t="s">
        <v>19</v>
      </c>
      <c r="R4016" s="205"/>
      <c r="S4016" s="189" t="s">
        <v>25461</v>
      </c>
      <c r="T4016" s="114"/>
      <c r="U4016" s="21"/>
      <c r="V4016" s="115">
        <v>45997</v>
      </c>
      <c r="W4016" s="116">
        <v>1279</v>
      </c>
      <c r="X4016" s="220">
        <v>800000</v>
      </c>
      <c r="Y4016" s="220">
        <f>X4016*0.1</f>
        <v>80000</v>
      </c>
      <c r="Z4016" s="220">
        <v>6860</v>
      </c>
      <c r="AA4016" s="220">
        <f>SUM(X4016:Z4016)</f>
        <v>886860</v>
      </c>
      <c r="AB4016" s="222">
        <v>46007</v>
      </c>
    </row>
    <row r="4017" spans="1:28" ht="17.100000000000001" customHeight="1" thickBot="1">
      <c r="A4017" s="227"/>
      <c r="B4017" s="27" t="s">
        <v>2747</v>
      </c>
      <c r="C4017" s="27">
        <v>8022</v>
      </c>
      <c r="D4017" s="14" t="s">
        <v>1710</v>
      </c>
      <c r="E4017" s="229"/>
      <c r="F4017" s="117" t="s">
        <v>12049</v>
      </c>
      <c r="G4017" s="26">
        <v>3136</v>
      </c>
      <c r="H4017" s="231"/>
      <c r="I4017" s="221"/>
      <c r="J4017" s="221"/>
      <c r="K4017" s="221"/>
      <c r="L4017" s="221"/>
      <c r="M4017" s="221"/>
      <c r="N4017" s="221"/>
      <c r="O4017" s="225"/>
      <c r="P4017" s="118" t="s">
        <v>12748</v>
      </c>
      <c r="Q4017" s="16" t="s">
        <v>20</v>
      </c>
      <c r="R4017" s="17" t="s">
        <v>12649</v>
      </c>
      <c r="S4017" s="121" t="s">
        <v>4895</v>
      </c>
      <c r="T4017" s="122"/>
      <c r="U4017" s="22"/>
      <c r="V4017" s="123" t="s">
        <v>6641</v>
      </c>
      <c r="W4017" s="122">
        <v>60478</v>
      </c>
      <c r="X4017" s="221"/>
      <c r="Y4017" s="221"/>
      <c r="Z4017" s="221"/>
      <c r="AA4017" s="221"/>
      <c r="AB4017" s="223"/>
    </row>
    <row r="4018" spans="1:28" ht="17.100000000000001" customHeight="1" thickTop="1">
      <c r="A4018" s="226" t="s">
        <v>12021</v>
      </c>
      <c r="B4018" s="28">
        <v>45994</v>
      </c>
      <c r="C4018" s="25">
        <v>1816</v>
      </c>
      <c r="D4018" s="13" t="s">
        <v>1839</v>
      </c>
      <c r="E4018" s="228"/>
      <c r="F4018" s="109" t="s">
        <v>12027</v>
      </c>
      <c r="G4018" s="24" t="s">
        <v>4120</v>
      </c>
      <c r="H4018" s="230">
        <v>4.5</v>
      </c>
      <c r="I4018" s="220">
        <v>574000</v>
      </c>
      <c r="J4018" s="220">
        <f>I4018*0.1</f>
        <v>57400</v>
      </c>
      <c r="K4018" s="220">
        <v>0</v>
      </c>
      <c r="L4018" s="220">
        <v>8460</v>
      </c>
      <c r="M4018" s="220">
        <v>18150</v>
      </c>
      <c r="N4018" s="220">
        <f>SUM(I4018:M4019)</f>
        <v>658010</v>
      </c>
      <c r="O4018" s="224"/>
      <c r="P4018" s="110" t="s">
        <v>12029</v>
      </c>
      <c r="Q4018" s="15" t="s">
        <v>19</v>
      </c>
      <c r="R4018" s="205"/>
      <c r="S4018" s="189" t="s">
        <v>25631</v>
      </c>
      <c r="T4018" s="114"/>
      <c r="U4018" s="21" t="s">
        <v>13161</v>
      </c>
      <c r="V4018" s="115">
        <v>46004</v>
      </c>
      <c r="W4018" s="116">
        <v>1280</v>
      </c>
      <c r="X4018" s="220">
        <v>595000</v>
      </c>
      <c r="Y4018" s="220">
        <f>X4018*0.1</f>
        <v>59500</v>
      </c>
      <c r="Z4018" s="220">
        <v>8460</v>
      </c>
      <c r="AA4018" s="220">
        <f>SUM(X4018:Z4018)</f>
        <v>662960</v>
      </c>
      <c r="AB4018" s="222">
        <v>46009</v>
      </c>
    </row>
    <row r="4019" spans="1:28" ht="17.100000000000001" customHeight="1" thickBot="1">
      <c r="A4019" s="227"/>
      <c r="B4019" s="27" t="s">
        <v>2519</v>
      </c>
      <c r="C4019" s="27">
        <v>3255</v>
      </c>
      <c r="D4019" s="14" t="s">
        <v>3731</v>
      </c>
      <c r="E4019" s="229"/>
      <c r="F4019" s="117" t="s">
        <v>12028</v>
      </c>
      <c r="G4019" s="26">
        <v>7125</v>
      </c>
      <c r="H4019" s="231"/>
      <c r="I4019" s="221"/>
      <c r="J4019" s="221"/>
      <c r="K4019" s="221"/>
      <c r="L4019" s="221"/>
      <c r="M4019" s="221"/>
      <c r="N4019" s="221"/>
      <c r="O4019" s="225"/>
      <c r="P4019" s="118" t="s">
        <v>12582</v>
      </c>
      <c r="Q4019" s="16" t="s">
        <v>20</v>
      </c>
      <c r="R4019" s="17" t="s">
        <v>1752</v>
      </c>
      <c r="S4019" s="121" t="s">
        <v>184</v>
      </c>
      <c r="T4019" s="122"/>
      <c r="U4019" s="22"/>
      <c r="V4019" s="123" t="s">
        <v>2472</v>
      </c>
      <c r="W4019" s="122">
        <v>60097</v>
      </c>
      <c r="X4019" s="221"/>
      <c r="Y4019" s="221"/>
      <c r="Z4019" s="221"/>
      <c r="AA4019" s="221"/>
      <c r="AB4019" s="223"/>
    </row>
    <row r="4020" spans="1:28" ht="17.100000000000001" customHeight="1" thickTop="1">
      <c r="A4020" s="226" t="s">
        <v>12022</v>
      </c>
      <c r="B4020" s="28">
        <v>45994</v>
      </c>
      <c r="C4020" s="25">
        <v>1816</v>
      </c>
      <c r="D4020" s="13" t="s">
        <v>2313</v>
      </c>
      <c r="E4020" s="228"/>
      <c r="F4020" s="109" t="s">
        <v>12030</v>
      </c>
      <c r="G4020" s="24" t="s">
        <v>3867</v>
      </c>
      <c r="H4020" s="230">
        <v>4.5</v>
      </c>
      <c r="I4020" s="220">
        <v>2570000</v>
      </c>
      <c r="J4020" s="220">
        <f>I4020*0.1</f>
        <v>257000</v>
      </c>
      <c r="K4020" s="220">
        <f>9800+980</f>
        <v>10780</v>
      </c>
      <c r="L4020" s="220">
        <v>23320</v>
      </c>
      <c r="M4020" s="220">
        <v>18150</v>
      </c>
      <c r="N4020" s="220">
        <f>SUM(I4020:M4021)</f>
        <v>2879250</v>
      </c>
      <c r="O4020" s="224"/>
      <c r="P4020" s="110" t="s">
        <v>12032</v>
      </c>
      <c r="Q4020" s="15" t="s">
        <v>19</v>
      </c>
      <c r="R4020" s="205"/>
      <c r="S4020" s="189"/>
      <c r="T4020" s="114"/>
      <c r="U4020" s="21"/>
      <c r="V4020" s="115">
        <v>46004</v>
      </c>
      <c r="W4020" s="116">
        <v>1280</v>
      </c>
      <c r="X4020" s="220">
        <v>2730000</v>
      </c>
      <c r="Y4020" s="220">
        <f>X4020*0.1</f>
        <v>273000</v>
      </c>
      <c r="Z4020" s="220">
        <v>23320</v>
      </c>
      <c r="AA4020" s="220">
        <f>SUM(X4020:Z4020)</f>
        <v>3026320</v>
      </c>
      <c r="AB4020" s="222">
        <v>46007</v>
      </c>
    </row>
    <row r="4021" spans="1:28" ht="17.100000000000001" customHeight="1" thickBot="1">
      <c r="A4021" s="227"/>
      <c r="B4021" s="27" t="s">
        <v>2519</v>
      </c>
      <c r="C4021" s="27">
        <v>38178</v>
      </c>
      <c r="D4021" s="14" t="s">
        <v>2559</v>
      </c>
      <c r="E4021" s="229"/>
      <c r="F4021" s="117" t="s">
        <v>12031</v>
      </c>
      <c r="G4021" s="26">
        <v>44267</v>
      </c>
      <c r="H4021" s="231"/>
      <c r="I4021" s="221"/>
      <c r="J4021" s="221"/>
      <c r="K4021" s="221"/>
      <c r="L4021" s="221"/>
      <c r="M4021" s="221"/>
      <c r="N4021" s="221"/>
      <c r="O4021" s="225"/>
      <c r="P4021" s="118" t="s">
        <v>12572</v>
      </c>
      <c r="Q4021" s="16" t="s">
        <v>20</v>
      </c>
      <c r="R4021" s="17" t="s">
        <v>1752</v>
      </c>
      <c r="S4021" s="121" t="s">
        <v>7305</v>
      </c>
      <c r="T4021" s="122"/>
      <c r="U4021" s="22"/>
      <c r="V4021" s="123" t="s">
        <v>2472</v>
      </c>
      <c r="W4021" s="122">
        <v>80010</v>
      </c>
      <c r="X4021" s="221"/>
      <c r="Y4021" s="221"/>
      <c r="Z4021" s="221"/>
      <c r="AA4021" s="221"/>
      <c r="AB4021" s="223"/>
    </row>
    <row r="4022" spans="1:28" ht="17.100000000000001" customHeight="1" thickTop="1">
      <c r="A4022" s="226" t="s">
        <v>12154</v>
      </c>
      <c r="B4022" s="28">
        <v>45995</v>
      </c>
      <c r="C4022" s="25">
        <v>2005</v>
      </c>
      <c r="D4022" s="13" t="s">
        <v>1883</v>
      </c>
      <c r="E4022" s="228"/>
      <c r="F4022" s="109" t="s">
        <v>12168</v>
      </c>
      <c r="G4022" s="24"/>
      <c r="H4022" s="230">
        <v>4.5</v>
      </c>
      <c r="I4022" s="220">
        <v>1760000</v>
      </c>
      <c r="J4022" s="220">
        <f>I4022*0.1</f>
        <v>176000</v>
      </c>
      <c r="K4022" s="220">
        <v>0</v>
      </c>
      <c r="L4022" s="220">
        <v>11710</v>
      </c>
      <c r="M4022" s="220">
        <v>22000</v>
      </c>
      <c r="N4022" s="220">
        <f>SUM(I4022:M4023)</f>
        <v>1969710</v>
      </c>
      <c r="O4022" s="224"/>
      <c r="P4022" s="110" t="s">
        <v>12795</v>
      </c>
      <c r="Q4022" s="15" t="s">
        <v>19</v>
      </c>
      <c r="R4022" s="205"/>
      <c r="S4022" s="189" t="s">
        <v>25632</v>
      </c>
      <c r="T4022" s="114"/>
      <c r="U4022" s="21"/>
      <c r="V4022" s="115">
        <v>46370</v>
      </c>
      <c r="W4022" s="116">
        <v>1000</v>
      </c>
      <c r="X4022" s="220">
        <v>1810000</v>
      </c>
      <c r="Y4022" s="220">
        <f>X4022*0.1</f>
        <v>181000</v>
      </c>
      <c r="Z4022" s="220">
        <v>11710</v>
      </c>
      <c r="AA4022" s="220">
        <f>SUM(X4022:Z4022)</f>
        <v>2002710</v>
      </c>
      <c r="AB4022" s="222">
        <v>46041</v>
      </c>
    </row>
    <row r="4023" spans="1:28" ht="17.100000000000001" customHeight="1" thickBot="1">
      <c r="A4023" s="227"/>
      <c r="B4023" s="27" t="s">
        <v>2171</v>
      </c>
      <c r="C4023" s="27">
        <v>30154</v>
      </c>
      <c r="D4023" s="14" t="s">
        <v>273</v>
      </c>
      <c r="E4023" s="229"/>
      <c r="F4023" s="117" t="s">
        <v>12152</v>
      </c>
      <c r="G4023" s="26">
        <v>34712</v>
      </c>
      <c r="H4023" s="231"/>
      <c r="I4023" s="221"/>
      <c r="J4023" s="221"/>
      <c r="K4023" s="221"/>
      <c r="L4023" s="221"/>
      <c r="M4023" s="221"/>
      <c r="N4023" s="221"/>
      <c r="O4023" s="225"/>
      <c r="P4023" s="118" t="s">
        <v>1972</v>
      </c>
      <c r="Q4023" s="16" t="s">
        <v>20</v>
      </c>
      <c r="R4023" s="17" t="s">
        <v>12649</v>
      </c>
      <c r="S4023" s="121" t="s">
        <v>12796</v>
      </c>
      <c r="T4023" s="122"/>
      <c r="U4023" s="22"/>
      <c r="V4023" s="123" t="s">
        <v>2747</v>
      </c>
      <c r="W4023" s="122">
        <v>6019</v>
      </c>
      <c r="X4023" s="221"/>
      <c r="Y4023" s="221"/>
      <c r="Z4023" s="221"/>
      <c r="AA4023" s="221"/>
      <c r="AB4023" s="223"/>
    </row>
    <row r="4024" spans="1:28" ht="17.100000000000001" customHeight="1" thickTop="1">
      <c r="A4024" s="226" t="s">
        <v>12155</v>
      </c>
      <c r="B4024" s="28">
        <v>45995</v>
      </c>
      <c r="C4024" s="25">
        <v>2005</v>
      </c>
      <c r="D4024" s="13" t="s">
        <v>2040</v>
      </c>
      <c r="E4024" s="228"/>
      <c r="F4024" s="109" t="s">
        <v>4807</v>
      </c>
      <c r="G4024" s="24" t="s">
        <v>2494</v>
      </c>
      <c r="H4024" s="230">
        <v>4</v>
      </c>
      <c r="I4024" s="220">
        <v>2550000</v>
      </c>
      <c r="J4024" s="220">
        <f>I4024*0.1</f>
        <v>255000</v>
      </c>
      <c r="K4024" s="220">
        <f>7600+760</f>
        <v>8360</v>
      </c>
      <c r="L4024" s="220">
        <v>10470</v>
      </c>
      <c r="M4024" s="220">
        <v>22000</v>
      </c>
      <c r="N4024" s="220">
        <f>SUM(I4024:M4025)</f>
        <v>2845830</v>
      </c>
      <c r="O4024" s="224"/>
      <c r="P4024" s="110" t="s">
        <v>12169</v>
      </c>
      <c r="Q4024" s="15" t="s">
        <v>19</v>
      </c>
      <c r="R4024" s="205"/>
      <c r="S4024" s="189" t="s">
        <v>1361</v>
      </c>
      <c r="T4024" s="114"/>
      <c r="U4024" s="21"/>
      <c r="V4024" s="115">
        <v>46018</v>
      </c>
      <c r="W4024" s="116">
        <v>1282</v>
      </c>
      <c r="X4024" s="220">
        <v>2560000</v>
      </c>
      <c r="Y4024" s="220">
        <f>X4024*0.1</f>
        <v>256000</v>
      </c>
      <c r="Z4024" s="220">
        <v>10470</v>
      </c>
      <c r="AA4024" s="220">
        <f>SUM(X4024:Z4024)</f>
        <v>2826470</v>
      </c>
      <c r="AB4024" s="222">
        <v>46028</v>
      </c>
    </row>
    <row r="4025" spans="1:28" ht="17.100000000000001" customHeight="1" thickBot="1">
      <c r="A4025" s="227"/>
      <c r="B4025" s="27" t="s">
        <v>2171</v>
      </c>
      <c r="C4025" s="27">
        <v>30177</v>
      </c>
      <c r="D4025" s="14" t="s">
        <v>2559</v>
      </c>
      <c r="E4025" s="229"/>
      <c r="F4025" s="117" t="s">
        <v>12153</v>
      </c>
      <c r="G4025" s="26">
        <v>7858</v>
      </c>
      <c r="H4025" s="231"/>
      <c r="I4025" s="221"/>
      <c r="J4025" s="221"/>
      <c r="K4025" s="221"/>
      <c r="L4025" s="221"/>
      <c r="M4025" s="221"/>
      <c r="N4025" s="221"/>
      <c r="O4025" s="225"/>
      <c r="P4025" s="118" t="s">
        <v>2287</v>
      </c>
      <c r="Q4025" s="16" t="s">
        <v>20</v>
      </c>
      <c r="R4025" s="17" t="s">
        <v>12649</v>
      </c>
      <c r="S4025" s="121" t="s">
        <v>2647</v>
      </c>
      <c r="T4025" s="122"/>
      <c r="U4025" s="22"/>
      <c r="V4025" s="123" t="s">
        <v>2472</v>
      </c>
      <c r="W4025" s="122">
        <v>55030</v>
      </c>
      <c r="X4025" s="221"/>
      <c r="Y4025" s="221"/>
      <c r="Z4025" s="221"/>
      <c r="AA4025" s="221"/>
      <c r="AB4025" s="223"/>
    </row>
    <row r="4026" spans="1:28" ht="17.100000000000001" customHeight="1" thickTop="1">
      <c r="A4026" s="226" t="s">
        <v>12156</v>
      </c>
      <c r="B4026" s="28">
        <v>45995</v>
      </c>
      <c r="C4026" s="25">
        <v>2005</v>
      </c>
      <c r="D4026" s="13" t="s">
        <v>3406</v>
      </c>
      <c r="E4026" s="228"/>
      <c r="F4026" s="109" t="s">
        <v>12054</v>
      </c>
      <c r="G4026" s="24" t="s">
        <v>4025</v>
      </c>
      <c r="H4026" s="230">
        <v>3.5</v>
      </c>
      <c r="I4026" s="220">
        <v>636000</v>
      </c>
      <c r="J4026" s="220">
        <f>I4026*0.1</f>
        <v>63600</v>
      </c>
      <c r="K4026" s="220">
        <v>0</v>
      </c>
      <c r="L4026" s="220">
        <v>8010</v>
      </c>
      <c r="M4026" s="220">
        <v>22000</v>
      </c>
      <c r="N4026" s="220">
        <f>SUM(I4026:M4027)</f>
        <v>729610</v>
      </c>
      <c r="O4026" s="224"/>
      <c r="P4026" s="110" t="s">
        <v>12056</v>
      </c>
      <c r="Q4026" s="15" t="s">
        <v>19</v>
      </c>
      <c r="R4026" s="205"/>
      <c r="S4026" s="189" t="s">
        <v>758</v>
      </c>
      <c r="T4026" s="114"/>
      <c r="U4026" s="21"/>
      <c r="V4026" s="115">
        <v>46001</v>
      </c>
      <c r="W4026" s="116">
        <v>996</v>
      </c>
      <c r="X4026" s="220">
        <v>750000</v>
      </c>
      <c r="Y4026" s="220">
        <f>X4026*0.1</f>
        <v>75000</v>
      </c>
      <c r="Z4026" s="220">
        <v>8010</v>
      </c>
      <c r="AA4026" s="220">
        <f>SUM(X4026:Z4026)</f>
        <v>833010</v>
      </c>
      <c r="AB4026" s="222">
        <v>46006</v>
      </c>
    </row>
    <row r="4027" spans="1:28" ht="17.100000000000001" customHeight="1" thickBot="1">
      <c r="A4027" s="227"/>
      <c r="B4027" s="27" t="s">
        <v>2171</v>
      </c>
      <c r="C4027" s="27">
        <v>50141</v>
      </c>
      <c r="D4027" s="14" t="s">
        <v>1797</v>
      </c>
      <c r="E4027" s="229"/>
      <c r="F4027" s="117" t="s">
        <v>12055</v>
      </c>
      <c r="G4027" s="26">
        <v>62648</v>
      </c>
      <c r="H4027" s="231"/>
      <c r="I4027" s="221"/>
      <c r="J4027" s="221"/>
      <c r="K4027" s="221"/>
      <c r="L4027" s="221"/>
      <c r="M4027" s="221"/>
      <c r="N4027" s="221"/>
      <c r="O4027" s="225"/>
      <c r="P4027" s="118" t="s">
        <v>12749</v>
      </c>
      <c r="Q4027" s="16" t="s">
        <v>20</v>
      </c>
      <c r="R4027" s="17" t="s">
        <v>12649</v>
      </c>
      <c r="S4027" s="121" t="s">
        <v>1625</v>
      </c>
      <c r="T4027" s="122"/>
      <c r="U4027" s="22"/>
      <c r="V4027" s="123" t="s">
        <v>2747</v>
      </c>
      <c r="W4027" s="122">
        <v>2039</v>
      </c>
      <c r="X4027" s="221"/>
      <c r="Y4027" s="221"/>
      <c r="Z4027" s="221"/>
      <c r="AA4027" s="221"/>
      <c r="AB4027" s="223"/>
    </row>
    <row r="4028" spans="1:28" ht="17.100000000000001" customHeight="1" thickTop="1">
      <c r="A4028" s="226" t="s">
        <v>12157</v>
      </c>
      <c r="B4028" s="28">
        <v>45995</v>
      </c>
      <c r="C4028" s="25">
        <v>2005</v>
      </c>
      <c r="D4028" s="13" t="s">
        <v>3243</v>
      </c>
      <c r="E4028" s="228"/>
      <c r="F4028" s="109" t="s">
        <v>10054</v>
      </c>
      <c r="G4028" s="24" t="s">
        <v>2926</v>
      </c>
      <c r="H4028" s="230">
        <v>4.5</v>
      </c>
      <c r="I4028" s="220">
        <v>1104000</v>
      </c>
      <c r="J4028" s="220">
        <f>I4028*0.1</f>
        <v>110400</v>
      </c>
      <c r="K4028" s="220">
        <v>0</v>
      </c>
      <c r="L4028" s="220">
        <v>7790</v>
      </c>
      <c r="M4028" s="220">
        <v>22000</v>
      </c>
      <c r="N4028" s="220">
        <f>SUM(I4028:M4029)</f>
        <v>1244190</v>
      </c>
      <c r="O4028" s="224"/>
      <c r="P4028" s="110" t="s">
        <v>12058</v>
      </c>
      <c r="Q4028" s="15" t="s">
        <v>19</v>
      </c>
      <c r="R4028" s="205"/>
      <c r="S4028" s="189"/>
      <c r="T4028" s="114"/>
      <c r="U4028" s="21"/>
      <c r="V4028" s="115">
        <v>46000</v>
      </c>
      <c r="W4028" s="116">
        <v>1921</v>
      </c>
      <c r="X4028" s="220">
        <v>1152000</v>
      </c>
      <c r="Y4028" s="220">
        <f>X4028*0.1</f>
        <v>115200</v>
      </c>
      <c r="Z4028" s="220">
        <v>7790</v>
      </c>
      <c r="AA4028" s="220">
        <f>SUM(X4028:Z4028)</f>
        <v>1274990</v>
      </c>
      <c r="AB4028" s="222">
        <v>46006</v>
      </c>
    </row>
    <row r="4029" spans="1:28" ht="17.100000000000001" customHeight="1" thickBot="1">
      <c r="A4029" s="227"/>
      <c r="B4029" s="27" t="s">
        <v>2171</v>
      </c>
      <c r="C4029" s="27">
        <v>50153</v>
      </c>
      <c r="D4029" s="14" t="s">
        <v>2559</v>
      </c>
      <c r="E4029" s="229"/>
      <c r="F4029" s="117" t="s">
        <v>12057</v>
      </c>
      <c r="G4029" s="26">
        <v>65446</v>
      </c>
      <c r="H4029" s="231"/>
      <c r="I4029" s="221"/>
      <c r="J4029" s="221"/>
      <c r="K4029" s="221"/>
      <c r="L4029" s="221"/>
      <c r="M4029" s="221"/>
      <c r="N4029" s="221"/>
      <c r="O4029" s="225"/>
      <c r="P4029" s="118" t="s">
        <v>11653</v>
      </c>
      <c r="Q4029" s="16" t="s">
        <v>20</v>
      </c>
      <c r="R4029" s="17" t="s">
        <v>12649</v>
      </c>
      <c r="S4029" s="121" t="s">
        <v>2405</v>
      </c>
      <c r="T4029" s="122"/>
      <c r="U4029" s="22"/>
      <c r="V4029" s="123" t="s">
        <v>2103</v>
      </c>
      <c r="W4029" s="122">
        <v>3373</v>
      </c>
      <c r="X4029" s="221"/>
      <c r="Y4029" s="221"/>
      <c r="Z4029" s="221"/>
      <c r="AA4029" s="221"/>
      <c r="AB4029" s="223"/>
    </row>
    <row r="4030" spans="1:28" ht="17.100000000000001" customHeight="1" thickTop="1">
      <c r="A4030" s="226" t="s">
        <v>12158</v>
      </c>
      <c r="B4030" s="28">
        <v>45995</v>
      </c>
      <c r="C4030" s="25">
        <v>2005</v>
      </c>
      <c r="D4030" s="13" t="s">
        <v>2491</v>
      </c>
      <c r="E4030" s="228"/>
      <c r="F4030" s="109" t="s">
        <v>12059</v>
      </c>
      <c r="G4030" s="24" t="s">
        <v>9243</v>
      </c>
      <c r="H4030" s="230">
        <v>4.5</v>
      </c>
      <c r="I4030" s="220">
        <v>1268000</v>
      </c>
      <c r="J4030" s="220">
        <f>I4030*0.1</f>
        <v>126800</v>
      </c>
      <c r="K4030" s="220">
        <v>0</v>
      </c>
      <c r="L4030" s="220">
        <v>8390</v>
      </c>
      <c r="M4030" s="220">
        <v>22000</v>
      </c>
      <c r="N4030" s="220">
        <f>SUM(I4030:M4031)</f>
        <v>1425190</v>
      </c>
      <c r="O4030" s="224"/>
      <c r="P4030" s="110" t="s">
        <v>12061</v>
      </c>
      <c r="Q4030" s="15" t="s">
        <v>19</v>
      </c>
      <c r="R4030" s="205"/>
      <c r="S4030" s="189" t="s">
        <v>25397</v>
      </c>
      <c r="T4030" s="114"/>
      <c r="U4030" s="21"/>
      <c r="V4030" s="115">
        <v>46007</v>
      </c>
      <c r="W4030" s="116">
        <v>1922</v>
      </c>
      <c r="X4030" s="220">
        <v>1355000</v>
      </c>
      <c r="Y4030" s="220">
        <f>X4030*0.1</f>
        <v>135500</v>
      </c>
      <c r="Z4030" s="220">
        <v>8390</v>
      </c>
      <c r="AA4030" s="220">
        <f>SUM(X4030:Z4030)</f>
        <v>1498890</v>
      </c>
      <c r="AB4030" s="222">
        <v>46013</v>
      </c>
    </row>
    <row r="4031" spans="1:28" ht="17.100000000000001" customHeight="1" thickBot="1">
      <c r="A4031" s="227"/>
      <c r="B4031" s="27" t="s">
        <v>2171</v>
      </c>
      <c r="C4031" s="27">
        <v>50165</v>
      </c>
      <c r="D4031" s="14" t="s">
        <v>1627</v>
      </c>
      <c r="E4031" s="229"/>
      <c r="F4031" s="117" t="s">
        <v>12060</v>
      </c>
      <c r="G4031" s="26">
        <v>3359</v>
      </c>
      <c r="H4031" s="231"/>
      <c r="I4031" s="221"/>
      <c r="J4031" s="221"/>
      <c r="K4031" s="221"/>
      <c r="L4031" s="221"/>
      <c r="M4031" s="221"/>
      <c r="N4031" s="221"/>
      <c r="O4031" s="225"/>
      <c r="P4031" s="118" t="s">
        <v>12798</v>
      </c>
      <c r="Q4031" s="16" t="s">
        <v>20</v>
      </c>
      <c r="R4031" s="17" t="s">
        <v>12649</v>
      </c>
      <c r="S4031" s="121" t="s">
        <v>1731</v>
      </c>
      <c r="T4031" s="122"/>
      <c r="U4031" s="22"/>
      <c r="V4031" s="123" t="s">
        <v>7507</v>
      </c>
      <c r="W4031" s="122">
        <v>3211</v>
      </c>
      <c r="X4031" s="221"/>
      <c r="Y4031" s="221"/>
      <c r="Z4031" s="221"/>
      <c r="AA4031" s="221"/>
      <c r="AB4031" s="223"/>
    </row>
    <row r="4032" spans="1:28" ht="17.100000000000001" customHeight="1" thickTop="1">
      <c r="A4032" s="226" t="s">
        <v>12159</v>
      </c>
      <c r="B4032" s="28">
        <v>45995</v>
      </c>
      <c r="C4032" s="25">
        <v>2005</v>
      </c>
      <c r="D4032" s="13" t="s">
        <v>1976</v>
      </c>
      <c r="E4032" s="228"/>
      <c r="F4032" s="109" t="s">
        <v>8866</v>
      </c>
      <c r="G4032" s="24"/>
      <c r="H4032" s="230">
        <v>4.5</v>
      </c>
      <c r="I4032" s="220">
        <v>1023000</v>
      </c>
      <c r="J4032" s="220">
        <f>I4032*0.1</f>
        <v>102300</v>
      </c>
      <c r="K4032" s="220">
        <v>0</v>
      </c>
      <c r="L4032" s="220">
        <v>8570</v>
      </c>
      <c r="M4032" s="220">
        <v>22000</v>
      </c>
      <c r="N4032" s="220">
        <f>SUM(I4032:M4033)</f>
        <v>1155870</v>
      </c>
      <c r="O4032" s="224"/>
      <c r="P4032" s="110" t="s">
        <v>13095</v>
      </c>
      <c r="Q4032" s="15" t="s">
        <v>19</v>
      </c>
      <c r="R4032" s="205"/>
      <c r="S4032" s="189" t="s">
        <v>1271</v>
      </c>
      <c r="T4032" s="114"/>
      <c r="U4032" s="21"/>
      <c r="V4032" s="115">
        <v>46000</v>
      </c>
      <c r="W4032" s="116">
        <v>1921</v>
      </c>
      <c r="X4032" s="220">
        <v>1094000</v>
      </c>
      <c r="Y4032" s="220">
        <f>X4032*0.1</f>
        <v>109400</v>
      </c>
      <c r="Z4032" s="220">
        <v>8570</v>
      </c>
      <c r="AA4032" s="220">
        <f>SUM(X4032:Z4032)</f>
        <v>1211970</v>
      </c>
      <c r="AB4032" s="222"/>
    </row>
    <row r="4033" spans="1:28" ht="17.100000000000001" customHeight="1" thickBot="1">
      <c r="A4033" s="227"/>
      <c r="B4033" s="27" t="s">
        <v>2171</v>
      </c>
      <c r="C4033" s="27">
        <v>50167</v>
      </c>
      <c r="D4033" s="14" t="s">
        <v>2014</v>
      </c>
      <c r="E4033" s="229"/>
      <c r="F4033" s="117" t="s">
        <v>12062</v>
      </c>
      <c r="G4033" s="26">
        <v>23790</v>
      </c>
      <c r="H4033" s="231"/>
      <c r="I4033" s="221"/>
      <c r="J4033" s="221"/>
      <c r="K4033" s="221"/>
      <c r="L4033" s="221"/>
      <c r="M4033" s="221"/>
      <c r="N4033" s="221"/>
      <c r="O4033" s="225"/>
      <c r="P4033" s="118" t="s">
        <v>13096</v>
      </c>
      <c r="Q4033" s="16" t="s">
        <v>20</v>
      </c>
      <c r="R4033" s="17" t="s">
        <v>3390</v>
      </c>
      <c r="S4033" s="121" t="s">
        <v>1731</v>
      </c>
      <c r="T4033" s="122"/>
      <c r="U4033" s="22"/>
      <c r="V4033" s="123" t="s">
        <v>2103</v>
      </c>
      <c r="W4033" s="122">
        <v>3361</v>
      </c>
      <c r="X4033" s="221"/>
      <c r="Y4033" s="221"/>
      <c r="Z4033" s="221"/>
      <c r="AA4033" s="221"/>
      <c r="AB4033" s="223"/>
    </row>
    <row r="4034" spans="1:28" ht="17.100000000000001" customHeight="1" thickTop="1">
      <c r="A4034" s="226" t="s">
        <v>12160</v>
      </c>
      <c r="B4034" s="28">
        <v>45995</v>
      </c>
      <c r="C4034" s="25">
        <v>2005</v>
      </c>
      <c r="D4034" s="13" t="s">
        <v>2264</v>
      </c>
      <c r="E4034" s="228"/>
      <c r="F4034" s="109" t="s">
        <v>12063</v>
      </c>
      <c r="G4034" s="24" t="s">
        <v>2543</v>
      </c>
      <c r="H4034" s="230">
        <v>4</v>
      </c>
      <c r="I4034" s="220">
        <v>962000</v>
      </c>
      <c r="J4034" s="220">
        <f>I4034*0.1</f>
        <v>96200</v>
      </c>
      <c r="K4034" s="220">
        <v>0</v>
      </c>
      <c r="L4034" s="220">
        <v>6560</v>
      </c>
      <c r="M4034" s="220">
        <v>22000</v>
      </c>
      <c r="N4034" s="220">
        <f>SUM(I4034:M4035)</f>
        <v>1086760</v>
      </c>
      <c r="O4034" s="224"/>
      <c r="P4034" s="110" t="s">
        <v>12065</v>
      </c>
      <c r="Q4034" s="15" t="s">
        <v>19</v>
      </c>
      <c r="R4034" s="205"/>
      <c r="S4034" s="189" t="s">
        <v>25617</v>
      </c>
      <c r="T4034" s="114"/>
      <c r="U4034" s="21"/>
      <c r="V4034" s="115">
        <v>46004</v>
      </c>
      <c r="W4034" s="116">
        <v>1280</v>
      </c>
      <c r="X4034" s="220">
        <v>1070000</v>
      </c>
      <c r="Y4034" s="220">
        <f>X4034*0.1</f>
        <v>107000</v>
      </c>
      <c r="Z4034" s="220">
        <v>6560</v>
      </c>
      <c r="AA4034" s="220">
        <f>SUM(X4034:Z4034)</f>
        <v>1183560</v>
      </c>
      <c r="AB4034" s="222">
        <v>46007</v>
      </c>
    </row>
    <row r="4035" spans="1:28" ht="17.100000000000001" customHeight="1" thickBot="1">
      <c r="A4035" s="227"/>
      <c r="B4035" s="27" t="s">
        <v>2171</v>
      </c>
      <c r="C4035" s="27">
        <v>50170</v>
      </c>
      <c r="D4035" s="14" t="s">
        <v>131</v>
      </c>
      <c r="E4035" s="229"/>
      <c r="F4035" s="117" t="s">
        <v>12064</v>
      </c>
      <c r="G4035" s="26">
        <v>40069</v>
      </c>
      <c r="H4035" s="231"/>
      <c r="I4035" s="221"/>
      <c r="J4035" s="221"/>
      <c r="K4035" s="221"/>
      <c r="L4035" s="221"/>
      <c r="M4035" s="221"/>
      <c r="N4035" s="221"/>
      <c r="O4035" s="225"/>
      <c r="P4035" s="118" t="s">
        <v>12799</v>
      </c>
      <c r="Q4035" s="16" t="s">
        <v>20</v>
      </c>
      <c r="R4035" s="17" t="s">
        <v>12649</v>
      </c>
      <c r="S4035" s="121" t="s">
        <v>12800</v>
      </c>
      <c r="T4035" s="122"/>
      <c r="U4035" s="22"/>
      <c r="V4035" s="123" t="s">
        <v>2472</v>
      </c>
      <c r="W4035" s="122">
        <v>60011</v>
      </c>
      <c r="X4035" s="221"/>
      <c r="Y4035" s="221"/>
      <c r="Z4035" s="221"/>
      <c r="AA4035" s="221"/>
      <c r="AB4035" s="223"/>
    </row>
    <row r="4036" spans="1:28" ht="17.100000000000001" customHeight="1" thickTop="1">
      <c r="A4036" s="226" t="s">
        <v>12161</v>
      </c>
      <c r="B4036" s="28">
        <v>45995</v>
      </c>
      <c r="C4036" s="25">
        <v>2005</v>
      </c>
      <c r="D4036" s="13" t="s">
        <v>3553</v>
      </c>
      <c r="E4036" s="228"/>
      <c r="F4036" s="109" t="s">
        <v>11513</v>
      </c>
      <c r="G4036" s="24"/>
      <c r="H4036" s="230">
        <v>3.5</v>
      </c>
      <c r="I4036" s="220">
        <v>447000</v>
      </c>
      <c r="J4036" s="220">
        <f>I4036*0.1</f>
        <v>44700</v>
      </c>
      <c r="K4036" s="220">
        <v>0</v>
      </c>
      <c r="L4036" s="220">
        <v>10400</v>
      </c>
      <c r="M4036" s="220">
        <v>22000</v>
      </c>
      <c r="N4036" s="220">
        <f>SUM(I4036:M4037)</f>
        <v>524100</v>
      </c>
      <c r="O4036" s="224"/>
      <c r="P4036" s="110" t="s">
        <v>12680</v>
      </c>
      <c r="Q4036" s="15" t="s">
        <v>19</v>
      </c>
      <c r="R4036" s="205"/>
      <c r="S4036" s="189" t="s">
        <v>25633</v>
      </c>
      <c r="T4036" s="114"/>
      <c r="U4036" s="21"/>
      <c r="V4036" s="115">
        <v>46008</v>
      </c>
      <c r="W4036" s="116">
        <v>997</v>
      </c>
      <c r="X4036" s="220">
        <v>470000</v>
      </c>
      <c r="Y4036" s="220">
        <f>X4036*0.1</f>
        <v>47000</v>
      </c>
      <c r="Z4036" s="220">
        <v>10400</v>
      </c>
      <c r="AA4036" s="220">
        <f>SUM(X4036:Z4036)</f>
        <v>527400</v>
      </c>
      <c r="AB4036" s="222">
        <v>46013</v>
      </c>
    </row>
    <row r="4037" spans="1:28" ht="17.100000000000001" customHeight="1" thickBot="1">
      <c r="A4037" s="227"/>
      <c r="B4037" s="27" t="s">
        <v>2171</v>
      </c>
      <c r="C4037" s="27">
        <v>90160</v>
      </c>
      <c r="D4037" s="14" t="s">
        <v>1710</v>
      </c>
      <c r="E4037" s="229"/>
      <c r="F4037" s="117" t="s">
        <v>12066</v>
      </c>
      <c r="G4037" s="26">
        <v>105207</v>
      </c>
      <c r="H4037" s="231"/>
      <c r="I4037" s="221"/>
      <c r="J4037" s="221"/>
      <c r="K4037" s="221"/>
      <c r="L4037" s="221"/>
      <c r="M4037" s="221"/>
      <c r="N4037" s="221"/>
      <c r="O4037" s="225"/>
      <c r="P4037" s="118" t="s">
        <v>2957</v>
      </c>
      <c r="Q4037" s="16" t="s">
        <v>20</v>
      </c>
      <c r="R4037" s="17" t="s">
        <v>12649</v>
      </c>
      <c r="S4037" s="121" t="s">
        <v>13046</v>
      </c>
      <c r="T4037" s="122"/>
      <c r="U4037" s="22"/>
      <c r="V4037" s="123" t="s">
        <v>2747</v>
      </c>
      <c r="W4037" s="122">
        <v>6020</v>
      </c>
      <c r="X4037" s="221"/>
      <c r="Y4037" s="221"/>
      <c r="Z4037" s="221"/>
      <c r="AA4037" s="221"/>
      <c r="AB4037" s="223"/>
    </row>
    <row r="4038" spans="1:28" ht="17.100000000000001" customHeight="1" thickTop="1">
      <c r="A4038" s="226" t="s">
        <v>12162</v>
      </c>
      <c r="B4038" s="28">
        <v>45995</v>
      </c>
      <c r="C4038" s="25">
        <v>2005</v>
      </c>
      <c r="D4038" s="13" t="s">
        <v>1021</v>
      </c>
      <c r="E4038" s="228"/>
      <c r="F4038" s="109" t="s">
        <v>4308</v>
      </c>
      <c r="G4038" s="24"/>
      <c r="H4038" s="230">
        <v>4</v>
      </c>
      <c r="I4038" s="220">
        <v>264000</v>
      </c>
      <c r="J4038" s="220">
        <f>I4038*0.1</f>
        <v>26400</v>
      </c>
      <c r="K4038" s="220">
        <v>0</v>
      </c>
      <c r="L4038" s="220">
        <v>9070</v>
      </c>
      <c r="M4038" s="220">
        <v>22000</v>
      </c>
      <c r="N4038" s="220">
        <f>SUM(I4038:M4039)</f>
        <v>321470</v>
      </c>
      <c r="O4038" s="224"/>
      <c r="P4038" s="110" t="s">
        <v>12755</v>
      </c>
      <c r="Q4038" s="15" t="s">
        <v>19</v>
      </c>
      <c r="R4038" s="205"/>
      <c r="S4038" s="189"/>
      <c r="T4038" s="114"/>
      <c r="U4038" s="21"/>
      <c r="V4038" s="115">
        <v>46001</v>
      </c>
      <c r="W4038" s="116">
        <v>996</v>
      </c>
      <c r="X4038" s="220">
        <v>345000</v>
      </c>
      <c r="Y4038" s="220">
        <f>X4038*0.1</f>
        <v>34500</v>
      </c>
      <c r="Z4038" s="220">
        <v>9070</v>
      </c>
      <c r="AA4038" s="220">
        <f>SUM(X4038:Z4038)</f>
        <v>388570</v>
      </c>
      <c r="AB4038" s="222">
        <v>46006</v>
      </c>
    </row>
    <row r="4039" spans="1:28" ht="17.100000000000001" customHeight="1" thickBot="1">
      <c r="A4039" s="227"/>
      <c r="B4039" s="27" t="s">
        <v>2171</v>
      </c>
      <c r="C4039" s="27">
        <v>90196</v>
      </c>
      <c r="D4039" s="14" t="s">
        <v>1568</v>
      </c>
      <c r="E4039" s="229"/>
      <c r="F4039" s="117" t="s">
        <v>12067</v>
      </c>
      <c r="G4039" s="26">
        <v>54550</v>
      </c>
      <c r="H4039" s="231"/>
      <c r="I4039" s="221"/>
      <c r="J4039" s="221"/>
      <c r="K4039" s="221"/>
      <c r="L4039" s="221"/>
      <c r="M4039" s="221"/>
      <c r="N4039" s="221"/>
      <c r="O4039" s="225"/>
      <c r="P4039" s="118" t="s">
        <v>2615</v>
      </c>
      <c r="Q4039" s="16" t="s">
        <v>20</v>
      </c>
      <c r="R4039" s="17" t="s">
        <v>12649</v>
      </c>
      <c r="S4039" s="121" t="s">
        <v>13175</v>
      </c>
      <c r="T4039" s="122"/>
      <c r="U4039" s="22"/>
      <c r="V4039" s="123" t="s">
        <v>2747</v>
      </c>
      <c r="W4039" s="122">
        <v>2049</v>
      </c>
      <c r="X4039" s="221"/>
      <c r="Y4039" s="221"/>
      <c r="Z4039" s="221"/>
      <c r="AA4039" s="221"/>
      <c r="AB4039" s="223"/>
    </row>
    <row r="4040" spans="1:28" ht="17.100000000000001" customHeight="1" thickTop="1">
      <c r="A4040" s="233" t="s">
        <v>12163</v>
      </c>
      <c r="B4040" s="28">
        <v>45995</v>
      </c>
      <c r="C4040" s="25">
        <v>2224</v>
      </c>
      <c r="D4040" s="13" t="s">
        <v>1829</v>
      </c>
      <c r="E4040" s="228"/>
      <c r="F4040" s="109" t="s">
        <v>12170</v>
      </c>
      <c r="G4040" s="24" t="s">
        <v>4315</v>
      </c>
      <c r="H4040" s="230">
        <v>4</v>
      </c>
      <c r="I4040" s="220">
        <v>848000</v>
      </c>
      <c r="J4040" s="220">
        <f>I4040*0.1</f>
        <v>84800</v>
      </c>
      <c r="K4040" s="220">
        <v>8360</v>
      </c>
      <c r="L4040" s="220">
        <v>17310</v>
      </c>
      <c r="M4040" s="220">
        <v>19250</v>
      </c>
      <c r="N4040" s="220">
        <f>SUM(I4040:M4041)</f>
        <v>977720</v>
      </c>
      <c r="O4040" s="224"/>
      <c r="P4040" s="110" t="s">
        <v>12172</v>
      </c>
      <c r="Q4040" s="15" t="s">
        <v>19</v>
      </c>
      <c r="R4040" s="205"/>
      <c r="S4040" s="189" t="s">
        <v>758</v>
      </c>
      <c r="T4040" s="114"/>
      <c r="U4040" s="21"/>
      <c r="V4040" s="115">
        <v>46032</v>
      </c>
      <c r="W4040" s="116">
        <v>1283</v>
      </c>
      <c r="X4040" s="220">
        <v>930000</v>
      </c>
      <c r="Y4040" s="220">
        <f>X4040*0.1</f>
        <v>93000</v>
      </c>
      <c r="Z4040" s="220">
        <v>17310</v>
      </c>
      <c r="AA4040" s="220">
        <f>SUM(X4040:Z4040)</f>
        <v>1040310</v>
      </c>
      <c r="AB4040" s="222">
        <v>46036</v>
      </c>
    </row>
    <row r="4041" spans="1:28" ht="17.100000000000001" customHeight="1" thickBot="1">
      <c r="A4041" s="234"/>
      <c r="B4041" s="27" t="s">
        <v>3549</v>
      </c>
      <c r="C4041" s="27">
        <v>5193</v>
      </c>
      <c r="D4041" s="14" t="s">
        <v>273</v>
      </c>
      <c r="E4041" s="229"/>
      <c r="F4041" s="117" t="s">
        <v>12171</v>
      </c>
      <c r="G4041" s="26">
        <v>27512</v>
      </c>
      <c r="H4041" s="231"/>
      <c r="I4041" s="221"/>
      <c r="J4041" s="221"/>
      <c r="K4041" s="221"/>
      <c r="L4041" s="221"/>
      <c r="M4041" s="221"/>
      <c r="N4041" s="221"/>
      <c r="O4041" s="225"/>
      <c r="P4041" s="118" t="s">
        <v>12920</v>
      </c>
      <c r="Q4041" s="16" t="s">
        <v>20</v>
      </c>
      <c r="R4041" s="17" t="s">
        <v>12777</v>
      </c>
      <c r="S4041" s="121" t="s">
        <v>9752</v>
      </c>
      <c r="T4041" s="122"/>
      <c r="U4041" s="22"/>
      <c r="V4041" s="123" t="s">
        <v>2472</v>
      </c>
      <c r="W4041" s="122">
        <v>80116</v>
      </c>
      <c r="X4041" s="221"/>
      <c r="Y4041" s="221"/>
      <c r="Z4041" s="221"/>
      <c r="AA4041" s="221"/>
      <c r="AB4041" s="223"/>
    </row>
    <row r="4042" spans="1:28" ht="17.100000000000001" customHeight="1" thickTop="1">
      <c r="A4042" s="226" t="s">
        <v>12164</v>
      </c>
      <c r="B4042" s="28">
        <v>45995</v>
      </c>
      <c r="C4042" s="25">
        <v>1961</v>
      </c>
      <c r="D4042" s="13" t="s">
        <v>1837</v>
      </c>
      <c r="E4042" s="228"/>
      <c r="F4042" s="109" t="s">
        <v>4893</v>
      </c>
      <c r="G4042" s="24"/>
      <c r="H4042" s="230">
        <v>4.5</v>
      </c>
      <c r="I4042" s="220">
        <v>950000</v>
      </c>
      <c r="J4042" s="220">
        <f>I4042*0.1</f>
        <v>95000</v>
      </c>
      <c r="K4042" s="220">
        <v>0</v>
      </c>
      <c r="L4042" s="220">
        <v>7440</v>
      </c>
      <c r="M4042" s="220">
        <v>15950</v>
      </c>
      <c r="N4042" s="220">
        <f>SUM(I4042:M4043)</f>
        <v>1068390</v>
      </c>
      <c r="O4042" s="224"/>
      <c r="P4042" s="110" t="s">
        <v>12587</v>
      </c>
      <c r="Q4042" s="15" t="s">
        <v>19</v>
      </c>
      <c r="R4042" s="205"/>
      <c r="S4042" s="189"/>
      <c r="T4042" s="114"/>
      <c r="U4042" s="21"/>
      <c r="V4042" s="115">
        <v>46036</v>
      </c>
      <c r="W4042" s="116">
        <v>1000</v>
      </c>
      <c r="X4042" s="220">
        <v>1050000</v>
      </c>
      <c r="Y4042" s="220">
        <f>X4042*0.1</f>
        <v>105000</v>
      </c>
      <c r="Z4042" s="220">
        <v>7440</v>
      </c>
      <c r="AA4042" s="220">
        <f>SUM(X4042:Z4042)</f>
        <v>1162440</v>
      </c>
      <c r="AB4042" s="222">
        <v>46042</v>
      </c>
    </row>
    <row r="4043" spans="1:28" ht="17.100000000000001" customHeight="1" thickBot="1">
      <c r="A4043" s="227"/>
      <c r="B4043" s="27" t="s">
        <v>3730</v>
      </c>
      <c r="C4043" s="27">
        <v>62015</v>
      </c>
      <c r="D4043" s="14" t="s">
        <v>1584</v>
      </c>
      <c r="E4043" s="229"/>
      <c r="F4043" s="117" t="s">
        <v>12173</v>
      </c>
      <c r="G4043" s="26">
        <v>31824</v>
      </c>
      <c r="H4043" s="231"/>
      <c r="I4043" s="221"/>
      <c r="J4043" s="221"/>
      <c r="K4043" s="221"/>
      <c r="L4043" s="221"/>
      <c r="M4043" s="221"/>
      <c r="N4043" s="221"/>
      <c r="O4043" s="225"/>
      <c r="P4043" s="118" t="s">
        <v>12588</v>
      </c>
      <c r="Q4043" s="16" t="s">
        <v>20</v>
      </c>
      <c r="R4043" s="17" t="s">
        <v>12584</v>
      </c>
      <c r="S4043" s="121" t="s">
        <v>11120</v>
      </c>
      <c r="T4043" s="122"/>
      <c r="U4043" s="22"/>
      <c r="V4043" s="123" t="s">
        <v>7161</v>
      </c>
      <c r="W4043" s="122">
        <v>5058</v>
      </c>
      <c r="X4043" s="221"/>
      <c r="Y4043" s="221"/>
      <c r="Z4043" s="221"/>
      <c r="AA4043" s="221"/>
      <c r="AB4043" s="223"/>
    </row>
    <row r="4044" spans="1:28" ht="17.100000000000001" customHeight="1" thickTop="1">
      <c r="A4044" s="226" t="s">
        <v>12165</v>
      </c>
      <c r="B4044" s="28">
        <v>45995</v>
      </c>
      <c r="C4044" s="25">
        <v>1544</v>
      </c>
      <c r="D4044" s="13" t="s">
        <v>2900</v>
      </c>
      <c r="E4044" s="228"/>
      <c r="F4044" s="109" t="s">
        <v>12174</v>
      </c>
      <c r="G4044" s="24" t="s">
        <v>12176</v>
      </c>
      <c r="H4044" s="230">
        <v>4.5</v>
      </c>
      <c r="I4044" s="220">
        <v>2040000</v>
      </c>
      <c r="J4044" s="220">
        <f>I4044*0.1</f>
        <v>204000</v>
      </c>
      <c r="K4044" s="220">
        <f>9000+900</f>
        <v>9900</v>
      </c>
      <c r="L4044" s="220">
        <v>21580</v>
      </c>
      <c r="M4044" s="220">
        <v>16500</v>
      </c>
      <c r="N4044" s="220">
        <f>SUM(I4044:M4045)</f>
        <v>2291980</v>
      </c>
      <c r="O4044" s="224"/>
      <c r="P4044" s="110" t="s">
        <v>12177</v>
      </c>
      <c r="Q4044" s="15" t="s">
        <v>19</v>
      </c>
      <c r="R4044" s="205"/>
      <c r="S4044" s="189" t="s">
        <v>758</v>
      </c>
      <c r="T4044" s="114"/>
      <c r="U4044" s="21"/>
      <c r="V4044" s="115">
        <v>46064</v>
      </c>
      <c r="W4044" s="116"/>
      <c r="X4044" s="220">
        <v>3650000</v>
      </c>
      <c r="Y4044" s="220">
        <v>0</v>
      </c>
      <c r="Z4044" s="220">
        <v>0</v>
      </c>
      <c r="AA4044" s="220">
        <f>SUM(X4044:Z4044)</f>
        <v>3650000</v>
      </c>
      <c r="AB4044" s="222">
        <v>46110</v>
      </c>
    </row>
    <row r="4045" spans="1:28" ht="17.100000000000001" customHeight="1" thickBot="1">
      <c r="A4045" s="227"/>
      <c r="B4045" s="27" t="s">
        <v>1592</v>
      </c>
      <c r="C4045" s="27">
        <v>75844</v>
      </c>
      <c r="D4045" s="14" t="s">
        <v>1584</v>
      </c>
      <c r="E4045" s="229"/>
      <c r="F4045" s="117" t="s">
        <v>12175</v>
      </c>
      <c r="G4045" s="26">
        <v>33233</v>
      </c>
      <c r="H4045" s="231"/>
      <c r="I4045" s="221"/>
      <c r="J4045" s="221"/>
      <c r="K4045" s="221"/>
      <c r="L4045" s="221"/>
      <c r="M4045" s="221"/>
      <c r="N4045" s="221"/>
      <c r="O4045" s="225"/>
      <c r="P4045" s="118" t="s">
        <v>12639</v>
      </c>
      <c r="Q4045" s="16" t="s">
        <v>20</v>
      </c>
      <c r="R4045" s="17" t="s">
        <v>12584</v>
      </c>
      <c r="S4045" s="121" t="s">
        <v>13166</v>
      </c>
      <c r="T4045" s="122"/>
      <c r="U4045" s="22"/>
      <c r="V4045" s="123" t="s">
        <v>23945</v>
      </c>
      <c r="W4045" s="122"/>
      <c r="X4045" s="221"/>
      <c r="Y4045" s="221"/>
      <c r="Z4045" s="221"/>
      <c r="AA4045" s="221"/>
      <c r="AB4045" s="223"/>
    </row>
    <row r="4046" spans="1:28" ht="17.100000000000001" customHeight="1" thickTop="1">
      <c r="A4046" s="226" t="s">
        <v>12166</v>
      </c>
      <c r="B4046" s="28">
        <v>45995</v>
      </c>
      <c r="C4046" s="25">
        <v>1309</v>
      </c>
      <c r="D4046" s="13" t="s">
        <v>2637</v>
      </c>
      <c r="E4046" s="228"/>
      <c r="F4046" s="109" t="s">
        <v>12185</v>
      </c>
      <c r="G4046" s="24" t="s">
        <v>2038</v>
      </c>
      <c r="H4046" s="230">
        <v>5</v>
      </c>
      <c r="I4046" s="220">
        <v>5470000</v>
      </c>
      <c r="J4046" s="220">
        <f>I4046*0.1</f>
        <v>547000</v>
      </c>
      <c r="K4046" s="220">
        <f>12500+1250</f>
        <v>13750</v>
      </c>
      <c r="L4046" s="220">
        <v>16930</v>
      </c>
      <c r="M4046" s="220">
        <v>14300</v>
      </c>
      <c r="N4046" s="220">
        <f>SUM(I4046:M4047)</f>
        <v>6061980</v>
      </c>
      <c r="O4046" s="224"/>
      <c r="P4046" s="110" t="s">
        <v>12190</v>
      </c>
      <c r="Q4046" s="15" t="s">
        <v>19</v>
      </c>
      <c r="R4046" s="205"/>
      <c r="S4046" s="189" t="s">
        <v>758</v>
      </c>
      <c r="T4046" s="114"/>
      <c r="U4046" s="21"/>
      <c r="V4046" s="115">
        <v>46004</v>
      </c>
      <c r="W4046" s="116">
        <v>1280</v>
      </c>
      <c r="X4046" s="220">
        <v>5600000</v>
      </c>
      <c r="Y4046" s="220">
        <f>X4046*0.1</f>
        <v>560000</v>
      </c>
      <c r="Z4046" s="220">
        <v>16930</v>
      </c>
      <c r="AA4046" s="220">
        <f>SUM(X4046:Z4046)</f>
        <v>6176930</v>
      </c>
      <c r="AB4046" s="222">
        <v>46007</v>
      </c>
    </row>
    <row r="4047" spans="1:28" ht="17.100000000000001" customHeight="1" thickBot="1">
      <c r="A4047" s="227"/>
      <c r="B4047" s="27" t="s">
        <v>1735</v>
      </c>
      <c r="C4047" s="27">
        <v>75</v>
      </c>
      <c r="D4047" s="14" t="s">
        <v>1584</v>
      </c>
      <c r="E4047" s="229"/>
      <c r="F4047" s="117" t="s">
        <v>12186</v>
      </c>
      <c r="G4047" s="26">
        <v>14274</v>
      </c>
      <c r="H4047" s="231"/>
      <c r="I4047" s="221"/>
      <c r="J4047" s="221"/>
      <c r="K4047" s="221"/>
      <c r="L4047" s="221"/>
      <c r="M4047" s="221"/>
      <c r="N4047" s="221"/>
      <c r="O4047" s="225"/>
      <c r="P4047" s="118" t="s">
        <v>12645</v>
      </c>
      <c r="Q4047" s="16" t="s">
        <v>20</v>
      </c>
      <c r="R4047" s="17" t="s">
        <v>12584</v>
      </c>
      <c r="S4047" s="121" t="s">
        <v>1731</v>
      </c>
      <c r="T4047" s="122"/>
      <c r="U4047" s="22"/>
      <c r="V4047" s="123" t="s">
        <v>2472</v>
      </c>
      <c r="W4047" s="122">
        <v>80029</v>
      </c>
      <c r="X4047" s="221"/>
      <c r="Y4047" s="221"/>
      <c r="Z4047" s="221"/>
      <c r="AA4047" s="221"/>
      <c r="AB4047" s="223"/>
    </row>
    <row r="4048" spans="1:28" ht="17.100000000000001" customHeight="1" thickTop="1">
      <c r="A4048" s="226" t="s">
        <v>12167</v>
      </c>
      <c r="B4048" s="28">
        <v>45995</v>
      </c>
      <c r="C4048" s="25">
        <v>1309</v>
      </c>
      <c r="D4048" s="13" t="s">
        <v>3406</v>
      </c>
      <c r="E4048" s="228"/>
      <c r="F4048" s="109" t="s">
        <v>12187</v>
      </c>
      <c r="G4048" s="24"/>
      <c r="H4048" s="230">
        <v>4.5</v>
      </c>
      <c r="I4048" s="220">
        <v>3540000</v>
      </c>
      <c r="J4048" s="220">
        <f>I4048*0.1</f>
        <v>354000</v>
      </c>
      <c r="K4048" s="220">
        <v>0</v>
      </c>
      <c r="L4048" s="220">
        <v>21600</v>
      </c>
      <c r="M4048" s="220">
        <v>14300</v>
      </c>
      <c r="N4048" s="220">
        <f>SUM(I4048:M4049)</f>
        <v>3929900</v>
      </c>
      <c r="O4048" s="224"/>
      <c r="P4048" s="110" t="s">
        <v>12919</v>
      </c>
      <c r="Q4048" s="15" t="s">
        <v>19</v>
      </c>
      <c r="R4048" s="205"/>
      <c r="S4048" s="189" t="s">
        <v>25634</v>
      </c>
      <c r="T4048" s="114"/>
      <c r="U4048" s="21"/>
      <c r="V4048" s="115">
        <v>46046</v>
      </c>
      <c r="W4048" s="116">
        <v>1285</v>
      </c>
      <c r="X4048" s="220">
        <v>3720000</v>
      </c>
      <c r="Y4048" s="220">
        <f>X4048*0.1</f>
        <v>372000</v>
      </c>
      <c r="Z4048" s="220">
        <v>21600</v>
      </c>
      <c r="AA4048" s="220">
        <f>SUM(X4048:Z4048)</f>
        <v>4113600</v>
      </c>
      <c r="AB4048" s="222">
        <v>46049</v>
      </c>
    </row>
    <row r="4049" spans="1:28" ht="17.100000000000001" customHeight="1" thickBot="1">
      <c r="A4049" s="227"/>
      <c r="B4049" s="27" t="s">
        <v>1735</v>
      </c>
      <c r="C4049" s="27">
        <v>117</v>
      </c>
      <c r="D4049" s="14" t="s">
        <v>2559</v>
      </c>
      <c r="E4049" s="229"/>
      <c r="F4049" s="117" t="s">
        <v>12188</v>
      </c>
      <c r="G4049" s="26">
        <v>44452</v>
      </c>
      <c r="H4049" s="231"/>
      <c r="I4049" s="221"/>
      <c r="J4049" s="221"/>
      <c r="K4049" s="221"/>
      <c r="L4049" s="221"/>
      <c r="M4049" s="221"/>
      <c r="N4049" s="221"/>
      <c r="O4049" s="225"/>
      <c r="P4049" s="118" t="s">
        <v>1844</v>
      </c>
      <c r="Q4049" s="16" t="s">
        <v>20</v>
      </c>
      <c r="R4049" s="17" t="s">
        <v>12777</v>
      </c>
      <c r="S4049" s="121" t="s">
        <v>1731</v>
      </c>
      <c r="T4049" s="122"/>
      <c r="U4049" s="22"/>
      <c r="V4049" s="123" t="s">
        <v>2472</v>
      </c>
      <c r="W4049" s="122">
        <v>80044</v>
      </c>
      <c r="X4049" s="221"/>
      <c r="Y4049" s="221"/>
      <c r="Z4049" s="221"/>
      <c r="AA4049" s="221"/>
      <c r="AB4049" s="223"/>
    </row>
    <row r="4050" spans="1:28" ht="17.100000000000001" customHeight="1" thickTop="1">
      <c r="A4050" s="226" t="s">
        <v>12178</v>
      </c>
      <c r="B4050" s="28">
        <v>45995</v>
      </c>
      <c r="C4050" s="25">
        <v>1309</v>
      </c>
      <c r="D4050" s="13" t="s">
        <v>1754</v>
      </c>
      <c r="E4050" s="228"/>
      <c r="F4050" s="109" t="s">
        <v>1854</v>
      </c>
      <c r="G4050" s="24"/>
      <c r="H4050" s="230">
        <v>4</v>
      </c>
      <c r="I4050" s="220">
        <v>420000</v>
      </c>
      <c r="J4050" s="220">
        <f>I4050*0.1</f>
        <v>42000</v>
      </c>
      <c r="K4050" s="220">
        <v>0</v>
      </c>
      <c r="L4050" s="220">
        <v>18960</v>
      </c>
      <c r="M4050" s="220">
        <v>14300</v>
      </c>
      <c r="N4050" s="220">
        <f>SUM(I4050:M4051)</f>
        <v>495260</v>
      </c>
      <c r="O4050" s="224"/>
      <c r="P4050" s="110" t="s">
        <v>12918</v>
      </c>
      <c r="Q4050" s="15" t="s">
        <v>19</v>
      </c>
      <c r="R4050" s="205"/>
      <c r="S4050" s="189"/>
      <c r="T4050" s="114"/>
      <c r="U4050" s="21"/>
      <c r="V4050" s="115">
        <v>46004</v>
      </c>
      <c r="W4050" s="116">
        <v>1280</v>
      </c>
      <c r="X4050" s="220">
        <v>605000</v>
      </c>
      <c r="Y4050" s="220">
        <f>X4050*0.1</f>
        <v>60500</v>
      </c>
      <c r="Z4050" s="220">
        <v>18960</v>
      </c>
      <c r="AA4050" s="220">
        <f>SUM(X4050:Z4050)</f>
        <v>684460</v>
      </c>
      <c r="AB4050" s="222">
        <v>46007</v>
      </c>
    </row>
    <row r="4051" spans="1:28" ht="17.100000000000001" customHeight="1" thickBot="1">
      <c r="A4051" s="227"/>
      <c r="B4051" s="27" t="s">
        <v>1735</v>
      </c>
      <c r="C4051" s="27">
        <v>844</v>
      </c>
      <c r="D4051" s="14" t="s">
        <v>273</v>
      </c>
      <c r="E4051" s="229"/>
      <c r="F4051" s="117" t="s">
        <v>12189</v>
      </c>
      <c r="G4051" s="26">
        <v>47795</v>
      </c>
      <c r="H4051" s="231"/>
      <c r="I4051" s="221"/>
      <c r="J4051" s="221"/>
      <c r="K4051" s="221"/>
      <c r="L4051" s="221"/>
      <c r="M4051" s="221"/>
      <c r="N4051" s="221"/>
      <c r="O4051" s="225"/>
      <c r="P4051" s="118" t="s">
        <v>1844</v>
      </c>
      <c r="Q4051" s="16" t="s">
        <v>20</v>
      </c>
      <c r="R4051" s="17" t="s">
        <v>12777</v>
      </c>
      <c r="S4051" s="121" t="s">
        <v>2405</v>
      </c>
      <c r="T4051" s="122"/>
      <c r="U4051" s="22"/>
      <c r="V4051" s="123" t="s">
        <v>2472</v>
      </c>
      <c r="W4051" s="122">
        <v>80061</v>
      </c>
      <c r="X4051" s="221"/>
      <c r="Y4051" s="221"/>
      <c r="Z4051" s="221"/>
      <c r="AA4051" s="221"/>
      <c r="AB4051" s="223"/>
    </row>
    <row r="4052" spans="1:28" ht="17.100000000000001" customHeight="1" thickTop="1">
      <c r="A4052" s="226" t="s">
        <v>12179</v>
      </c>
      <c r="B4052" s="28">
        <v>45995</v>
      </c>
      <c r="C4052" s="25">
        <v>2137</v>
      </c>
      <c r="D4052" s="13" t="s">
        <v>1632</v>
      </c>
      <c r="E4052" s="228"/>
      <c r="F4052" s="109" t="s">
        <v>12242</v>
      </c>
      <c r="G4052" s="24"/>
      <c r="H4052" s="230">
        <v>4</v>
      </c>
      <c r="I4052" s="220">
        <v>423000</v>
      </c>
      <c r="J4052" s="220">
        <f>I4052*0.1</f>
        <v>42300</v>
      </c>
      <c r="K4052" s="220">
        <v>0</v>
      </c>
      <c r="L4052" s="220">
        <v>9200</v>
      </c>
      <c r="M4052" s="220">
        <v>14300</v>
      </c>
      <c r="N4052" s="220">
        <f>SUM(I4052:M4053)</f>
        <v>488800</v>
      </c>
      <c r="O4052" s="224"/>
      <c r="P4052" s="110" t="s">
        <v>12753</v>
      </c>
      <c r="Q4052" s="15" t="s">
        <v>19</v>
      </c>
      <c r="R4052" s="205"/>
      <c r="S4052" s="189"/>
      <c r="T4052" s="114"/>
      <c r="U4052" s="21"/>
      <c r="V4052" s="115">
        <v>46001</v>
      </c>
      <c r="W4052" s="116">
        <v>996</v>
      </c>
      <c r="X4052" s="220">
        <v>500000</v>
      </c>
      <c r="Y4052" s="220">
        <f>X4052*0.1</f>
        <v>50000</v>
      </c>
      <c r="Z4052" s="220">
        <v>9200</v>
      </c>
      <c r="AA4052" s="220">
        <f>SUM(X4052:Z4052)</f>
        <v>559200</v>
      </c>
      <c r="AB4052" s="222">
        <v>46006</v>
      </c>
    </row>
    <row r="4053" spans="1:28" ht="17.100000000000001" customHeight="1" thickBot="1">
      <c r="A4053" s="227"/>
      <c r="B4053" s="27" t="s">
        <v>3228</v>
      </c>
      <c r="C4053" s="27">
        <v>2120</v>
      </c>
      <c r="D4053" s="14" t="s">
        <v>1627</v>
      </c>
      <c r="E4053" s="229"/>
      <c r="F4053" s="117" t="s">
        <v>12203</v>
      </c>
      <c r="G4053" s="26">
        <v>58700</v>
      </c>
      <c r="H4053" s="231"/>
      <c r="I4053" s="221"/>
      <c r="J4053" s="221"/>
      <c r="K4053" s="221"/>
      <c r="L4053" s="221"/>
      <c r="M4053" s="221"/>
      <c r="N4053" s="221"/>
      <c r="O4053" s="225"/>
      <c r="P4053" s="118" t="s">
        <v>12754</v>
      </c>
      <c r="Q4053" s="16" t="s">
        <v>20</v>
      </c>
      <c r="R4053" s="17" t="s">
        <v>3384</v>
      </c>
      <c r="S4053" s="121" t="s">
        <v>169</v>
      </c>
      <c r="T4053" s="122"/>
      <c r="U4053" s="22"/>
      <c r="V4053" s="123" t="s">
        <v>2747</v>
      </c>
      <c r="W4053" s="122">
        <v>2048</v>
      </c>
      <c r="X4053" s="221"/>
      <c r="Y4053" s="221"/>
      <c r="Z4053" s="221"/>
      <c r="AA4053" s="221"/>
      <c r="AB4053" s="223"/>
    </row>
    <row r="4054" spans="1:28" ht="17.100000000000001" customHeight="1" thickTop="1">
      <c r="A4054" s="226" t="s">
        <v>12180</v>
      </c>
      <c r="B4054" s="28">
        <v>45995</v>
      </c>
      <c r="C4054" s="25">
        <v>2137</v>
      </c>
      <c r="D4054" s="13" t="s">
        <v>1887</v>
      </c>
      <c r="E4054" s="228"/>
      <c r="F4054" s="109" t="s">
        <v>4308</v>
      </c>
      <c r="G4054" s="24" t="s">
        <v>3528</v>
      </c>
      <c r="H4054" s="230">
        <v>4.5</v>
      </c>
      <c r="I4054" s="220">
        <v>862000</v>
      </c>
      <c r="J4054" s="220">
        <f>I4054*0.1</f>
        <v>86200</v>
      </c>
      <c r="K4054" s="220">
        <v>0</v>
      </c>
      <c r="L4054" s="220">
        <v>5670</v>
      </c>
      <c r="M4054" s="220">
        <v>14300</v>
      </c>
      <c r="N4054" s="220">
        <f>SUM(I4054:M4055)</f>
        <v>968170</v>
      </c>
      <c r="O4054" s="224"/>
      <c r="P4054" s="110" t="s">
        <v>13441</v>
      </c>
      <c r="Q4054" s="15" t="s">
        <v>19</v>
      </c>
      <c r="R4054" s="205"/>
      <c r="S4054" s="189"/>
      <c r="T4054" s="114"/>
      <c r="U4054" s="21"/>
      <c r="V4054" s="115">
        <v>46050</v>
      </c>
      <c r="W4054" s="116">
        <v>1002</v>
      </c>
      <c r="X4054" s="220">
        <v>910000</v>
      </c>
      <c r="Y4054" s="220">
        <f>X4054*0.1</f>
        <v>91000</v>
      </c>
      <c r="Z4054" s="220">
        <v>5670</v>
      </c>
      <c r="AA4054" s="220">
        <f>SUM(X4054:Z4054)</f>
        <v>1006670</v>
      </c>
      <c r="AB4054" s="222">
        <v>46056</v>
      </c>
    </row>
    <row r="4055" spans="1:28" ht="17.100000000000001" customHeight="1" thickBot="1">
      <c r="A4055" s="227"/>
      <c r="B4055" s="27" t="s">
        <v>3228</v>
      </c>
      <c r="C4055" s="27">
        <v>2152</v>
      </c>
      <c r="D4055" s="14" t="s">
        <v>3274</v>
      </c>
      <c r="E4055" s="229"/>
      <c r="F4055" s="117" t="s">
        <v>12204</v>
      </c>
      <c r="G4055" s="26">
        <v>43090</v>
      </c>
      <c r="H4055" s="231"/>
      <c r="I4055" s="221"/>
      <c r="J4055" s="221"/>
      <c r="K4055" s="221"/>
      <c r="L4055" s="221"/>
      <c r="M4055" s="221"/>
      <c r="N4055" s="221"/>
      <c r="O4055" s="225"/>
      <c r="P4055" s="118" t="s">
        <v>13442</v>
      </c>
      <c r="Q4055" s="16" t="s">
        <v>20</v>
      </c>
      <c r="R4055" s="17" t="s">
        <v>1769</v>
      </c>
      <c r="S4055" s="121" t="s">
        <v>8746</v>
      </c>
      <c r="T4055" s="122"/>
      <c r="U4055" s="22"/>
      <c r="V4055" s="123" t="s">
        <v>8648</v>
      </c>
      <c r="W4055" s="122">
        <v>2049</v>
      </c>
      <c r="X4055" s="221"/>
      <c r="Y4055" s="221"/>
      <c r="Z4055" s="221"/>
      <c r="AA4055" s="221"/>
      <c r="AB4055" s="223"/>
    </row>
    <row r="4056" spans="1:28" ht="17.100000000000001" customHeight="1" thickTop="1">
      <c r="A4056" s="226" t="s">
        <v>12181</v>
      </c>
      <c r="B4056" s="28">
        <v>45995</v>
      </c>
      <c r="C4056" s="25">
        <v>2137</v>
      </c>
      <c r="D4056" s="13" t="s">
        <v>1704</v>
      </c>
      <c r="E4056" s="228"/>
      <c r="F4056" s="109" t="s">
        <v>12243</v>
      </c>
      <c r="G4056" s="24" t="s">
        <v>12244</v>
      </c>
      <c r="H4056" s="230">
        <v>4.5</v>
      </c>
      <c r="I4056" s="220">
        <v>1154000</v>
      </c>
      <c r="J4056" s="220">
        <f>I4056*0.1</f>
        <v>115400</v>
      </c>
      <c r="K4056" s="220">
        <v>0</v>
      </c>
      <c r="L4056" s="220">
        <v>8790</v>
      </c>
      <c r="M4056" s="220">
        <v>14300</v>
      </c>
      <c r="N4056" s="220">
        <f>SUM(I4056:M4057)</f>
        <v>1292490</v>
      </c>
      <c r="O4056" s="224"/>
      <c r="P4056" s="110" t="s">
        <v>12792</v>
      </c>
      <c r="Q4056" s="15" t="s">
        <v>19</v>
      </c>
      <c r="R4056" s="205"/>
      <c r="S4056" s="189" t="s">
        <v>758</v>
      </c>
      <c r="T4056" s="114"/>
      <c r="U4056" s="21"/>
      <c r="V4056" s="115">
        <v>46014</v>
      </c>
      <c r="W4056" s="116">
        <v>1923</v>
      </c>
      <c r="X4056" s="220">
        <v>1170000</v>
      </c>
      <c r="Y4056" s="220">
        <f>X4056*0.1</f>
        <v>117000</v>
      </c>
      <c r="Z4056" s="220">
        <v>8790</v>
      </c>
      <c r="AA4056" s="220">
        <f>SUM(X4056:Z4056)</f>
        <v>1295790</v>
      </c>
      <c r="AB4056" s="222">
        <v>46020</v>
      </c>
    </row>
    <row r="4057" spans="1:28" ht="17.100000000000001" customHeight="1" thickBot="1">
      <c r="A4057" s="227"/>
      <c r="B4057" s="27" t="s">
        <v>3228</v>
      </c>
      <c r="C4057" s="27">
        <v>2154</v>
      </c>
      <c r="D4057" s="14" t="s">
        <v>2753</v>
      </c>
      <c r="E4057" s="229"/>
      <c r="F4057" s="117" t="s">
        <v>12205</v>
      </c>
      <c r="G4057" s="26">
        <v>29000</v>
      </c>
      <c r="H4057" s="231"/>
      <c r="I4057" s="221"/>
      <c r="J4057" s="221"/>
      <c r="K4057" s="221"/>
      <c r="L4057" s="221"/>
      <c r="M4057" s="221"/>
      <c r="N4057" s="221"/>
      <c r="O4057" s="225"/>
      <c r="P4057" s="118" t="s">
        <v>12793</v>
      </c>
      <c r="Q4057" s="16" t="s">
        <v>20</v>
      </c>
      <c r="R4057" s="17" t="s">
        <v>12777</v>
      </c>
      <c r="S4057" s="121" t="s">
        <v>1661</v>
      </c>
      <c r="T4057" s="122"/>
      <c r="U4057" s="22"/>
      <c r="V4057" s="123" t="s">
        <v>2103</v>
      </c>
      <c r="W4057" s="122">
        <v>3141</v>
      </c>
      <c r="X4057" s="221"/>
      <c r="Y4057" s="221"/>
      <c r="Z4057" s="221"/>
      <c r="AA4057" s="221"/>
      <c r="AB4057" s="223"/>
    </row>
    <row r="4058" spans="1:28" ht="17.100000000000001" customHeight="1" thickTop="1">
      <c r="A4058" s="226" t="s">
        <v>12182</v>
      </c>
      <c r="B4058" s="28">
        <v>45995</v>
      </c>
      <c r="C4058" s="25">
        <v>2137</v>
      </c>
      <c r="D4058" s="13" t="s">
        <v>12245</v>
      </c>
      <c r="E4058" s="228"/>
      <c r="F4058" s="109" t="s">
        <v>12246</v>
      </c>
      <c r="G4058" s="24"/>
      <c r="H4058" s="230">
        <v>3.5</v>
      </c>
      <c r="I4058" s="220">
        <v>261000</v>
      </c>
      <c r="J4058" s="220">
        <f>I4058*0.1</f>
        <v>26100</v>
      </c>
      <c r="K4058" s="220">
        <v>0</v>
      </c>
      <c r="L4058" s="220">
        <v>10070</v>
      </c>
      <c r="M4058" s="220">
        <v>14300</v>
      </c>
      <c r="N4058" s="220">
        <f>SUM(I4058:M4059)</f>
        <v>311470</v>
      </c>
      <c r="O4058" s="224"/>
      <c r="P4058" s="110" t="s">
        <v>12790</v>
      </c>
      <c r="Q4058" s="15" t="s">
        <v>19</v>
      </c>
      <c r="R4058" s="205"/>
      <c r="S4058" s="189"/>
      <c r="T4058" s="114"/>
      <c r="U4058" s="21"/>
      <c r="V4058" s="115">
        <v>46008</v>
      </c>
      <c r="W4058" s="116">
        <v>997</v>
      </c>
      <c r="X4058" s="220">
        <v>340000</v>
      </c>
      <c r="Y4058" s="220">
        <f>X4058*0.1</f>
        <v>34000</v>
      </c>
      <c r="Z4058" s="220">
        <v>10070</v>
      </c>
      <c r="AA4058" s="220">
        <f>SUM(X4058:Z4058)</f>
        <v>384070</v>
      </c>
      <c r="AB4058" s="222">
        <v>46015</v>
      </c>
    </row>
    <row r="4059" spans="1:28" ht="17.100000000000001" customHeight="1" thickBot="1">
      <c r="A4059" s="227"/>
      <c r="B4059" s="27" t="s">
        <v>3228</v>
      </c>
      <c r="C4059" s="27">
        <v>2157</v>
      </c>
      <c r="D4059" s="14" t="s">
        <v>1710</v>
      </c>
      <c r="E4059" s="229"/>
      <c r="F4059" s="117" t="s">
        <v>12206</v>
      </c>
      <c r="G4059" s="26">
        <v>75633</v>
      </c>
      <c r="H4059" s="231"/>
      <c r="I4059" s="221"/>
      <c r="J4059" s="221"/>
      <c r="K4059" s="221"/>
      <c r="L4059" s="221"/>
      <c r="M4059" s="221"/>
      <c r="N4059" s="221"/>
      <c r="O4059" s="225"/>
      <c r="P4059" s="118" t="s">
        <v>12791</v>
      </c>
      <c r="Q4059" s="16" t="s">
        <v>20</v>
      </c>
      <c r="R4059" s="17" t="s">
        <v>12649</v>
      </c>
      <c r="S4059" s="121"/>
      <c r="T4059" s="122"/>
      <c r="U4059" s="22"/>
      <c r="V4059" s="123" t="s">
        <v>7161</v>
      </c>
      <c r="W4059" s="122">
        <v>2014</v>
      </c>
      <c r="X4059" s="221"/>
      <c r="Y4059" s="221"/>
      <c r="Z4059" s="221"/>
      <c r="AA4059" s="221"/>
      <c r="AB4059" s="223"/>
    </row>
    <row r="4060" spans="1:28" ht="17.100000000000001" customHeight="1" thickTop="1">
      <c r="A4060" s="226" t="s">
        <v>12183</v>
      </c>
      <c r="B4060" s="28">
        <v>45995</v>
      </c>
      <c r="C4060" s="25">
        <v>2137</v>
      </c>
      <c r="D4060" s="13" t="s">
        <v>1634</v>
      </c>
      <c r="E4060" s="228"/>
      <c r="F4060" s="109" t="s">
        <v>12247</v>
      </c>
      <c r="G4060" s="24" t="s">
        <v>8085</v>
      </c>
      <c r="H4060" s="230">
        <v>4.5</v>
      </c>
      <c r="I4060" s="220">
        <v>790000</v>
      </c>
      <c r="J4060" s="220">
        <f>I4060*0.1</f>
        <v>79000</v>
      </c>
      <c r="K4060" s="220">
        <v>0</v>
      </c>
      <c r="L4060" s="220">
        <v>8510</v>
      </c>
      <c r="M4060" s="220">
        <v>14300</v>
      </c>
      <c r="N4060" s="220">
        <f>SUM(I4060:M4061)</f>
        <v>891810</v>
      </c>
      <c r="O4060" s="224"/>
      <c r="P4060" s="110" t="s">
        <v>12775</v>
      </c>
      <c r="Q4060" s="15" t="s">
        <v>19</v>
      </c>
      <c r="R4060" s="205"/>
      <c r="S4060" s="189" t="s">
        <v>25495</v>
      </c>
      <c r="T4060" s="114"/>
      <c r="U4060" s="21"/>
      <c r="V4060" s="115">
        <v>46001</v>
      </c>
      <c r="W4060" s="116">
        <v>996</v>
      </c>
      <c r="X4060" s="220">
        <v>860000</v>
      </c>
      <c r="Y4060" s="220">
        <f>X4060*0.1</f>
        <v>86000</v>
      </c>
      <c r="Z4060" s="220">
        <v>8510</v>
      </c>
      <c r="AA4060" s="220">
        <f>SUM(X4060:Z4060)</f>
        <v>954510</v>
      </c>
      <c r="AB4060" s="222">
        <v>46006</v>
      </c>
    </row>
    <row r="4061" spans="1:28" ht="17.100000000000001" customHeight="1" thickBot="1">
      <c r="A4061" s="227"/>
      <c r="B4061" s="27" t="s">
        <v>3228</v>
      </c>
      <c r="C4061" s="27">
        <v>2512</v>
      </c>
      <c r="D4061" s="14" t="s">
        <v>1584</v>
      </c>
      <c r="E4061" s="229"/>
      <c r="F4061" s="117" t="s">
        <v>12207</v>
      </c>
      <c r="G4061" s="26">
        <v>42400</v>
      </c>
      <c r="H4061" s="231"/>
      <c r="I4061" s="221"/>
      <c r="J4061" s="221"/>
      <c r="K4061" s="221"/>
      <c r="L4061" s="221"/>
      <c r="M4061" s="221"/>
      <c r="N4061" s="221"/>
      <c r="O4061" s="225"/>
      <c r="P4061" s="118" t="s">
        <v>12776</v>
      </c>
      <c r="Q4061" s="16" t="s">
        <v>20</v>
      </c>
      <c r="R4061" s="17" t="s">
        <v>12777</v>
      </c>
      <c r="S4061" s="121" t="s">
        <v>6932</v>
      </c>
      <c r="T4061" s="122"/>
      <c r="U4061" s="22"/>
      <c r="V4061" s="123" t="s">
        <v>2747</v>
      </c>
      <c r="W4061" s="122">
        <v>2043</v>
      </c>
      <c r="X4061" s="221"/>
      <c r="Y4061" s="221"/>
      <c r="Z4061" s="221"/>
      <c r="AA4061" s="221"/>
      <c r="AB4061" s="223"/>
    </row>
    <row r="4062" spans="1:28" ht="17.100000000000001" customHeight="1" thickTop="1">
      <c r="A4062" s="226" t="s">
        <v>12184</v>
      </c>
      <c r="B4062" s="28">
        <v>45995</v>
      </c>
      <c r="C4062" s="25">
        <v>2137</v>
      </c>
      <c r="D4062" s="13" t="s">
        <v>3422</v>
      </c>
      <c r="E4062" s="228"/>
      <c r="F4062" s="109" t="s">
        <v>11370</v>
      </c>
      <c r="G4062" s="24" t="s">
        <v>12248</v>
      </c>
      <c r="H4062" s="230">
        <v>4.5</v>
      </c>
      <c r="I4062" s="220">
        <v>601000</v>
      </c>
      <c r="J4062" s="220">
        <f>I4062*0.1</f>
        <v>60100</v>
      </c>
      <c r="K4062" s="220">
        <v>0</v>
      </c>
      <c r="L4062" s="220">
        <v>7510</v>
      </c>
      <c r="M4062" s="220">
        <v>14300</v>
      </c>
      <c r="N4062" s="220">
        <f>SUM(I4062:M4063)</f>
        <v>682910</v>
      </c>
      <c r="O4062" s="224"/>
      <c r="P4062" s="110" t="s">
        <v>12788</v>
      </c>
      <c r="Q4062" s="15" t="s">
        <v>19</v>
      </c>
      <c r="R4062" s="205"/>
      <c r="S4062" s="189" t="s">
        <v>1361</v>
      </c>
      <c r="T4062" s="114"/>
      <c r="U4062" s="21"/>
      <c r="V4062" s="115">
        <v>46001</v>
      </c>
      <c r="W4062" s="116">
        <v>996</v>
      </c>
      <c r="X4062" s="220">
        <v>680000</v>
      </c>
      <c r="Y4062" s="220">
        <f>X4062*0.1</f>
        <v>68000</v>
      </c>
      <c r="Z4062" s="220">
        <v>7510</v>
      </c>
      <c r="AA4062" s="220">
        <f>SUM(X4062:Z4062)</f>
        <v>755510</v>
      </c>
      <c r="AB4062" s="222">
        <v>46007</v>
      </c>
    </row>
    <row r="4063" spans="1:28" ht="17.100000000000001" customHeight="1" thickBot="1">
      <c r="A4063" s="227"/>
      <c r="B4063" s="27" t="s">
        <v>3228</v>
      </c>
      <c r="C4063" s="27">
        <v>2552</v>
      </c>
      <c r="D4063" s="14" t="s">
        <v>273</v>
      </c>
      <c r="E4063" s="229"/>
      <c r="F4063" s="117" t="s">
        <v>12208</v>
      </c>
      <c r="G4063" s="26">
        <v>7980</v>
      </c>
      <c r="H4063" s="231"/>
      <c r="I4063" s="221"/>
      <c r="J4063" s="221"/>
      <c r="K4063" s="221"/>
      <c r="L4063" s="221"/>
      <c r="M4063" s="221"/>
      <c r="N4063" s="221"/>
      <c r="O4063" s="225"/>
      <c r="P4063" s="118" t="s">
        <v>12789</v>
      </c>
      <c r="Q4063" s="16" t="s">
        <v>20</v>
      </c>
      <c r="R4063" s="17" t="s">
        <v>12649</v>
      </c>
      <c r="S4063" s="121" t="s">
        <v>169</v>
      </c>
      <c r="T4063" s="122"/>
      <c r="U4063" s="22"/>
      <c r="V4063" s="123" t="s">
        <v>7161</v>
      </c>
      <c r="W4063" s="122">
        <v>2047</v>
      </c>
      <c r="X4063" s="221"/>
      <c r="Y4063" s="221"/>
      <c r="Z4063" s="221"/>
      <c r="AA4063" s="221"/>
      <c r="AB4063" s="223"/>
    </row>
    <row r="4064" spans="1:28" ht="17.100000000000001" customHeight="1" thickTop="1">
      <c r="A4064" s="226" t="s">
        <v>12191</v>
      </c>
      <c r="B4064" s="28">
        <v>45995</v>
      </c>
      <c r="C4064" s="25">
        <v>2137</v>
      </c>
      <c r="D4064" s="13" t="s">
        <v>3857</v>
      </c>
      <c r="E4064" s="228"/>
      <c r="F4064" s="109" t="s">
        <v>12249</v>
      </c>
      <c r="G4064" s="24" t="s">
        <v>2494</v>
      </c>
      <c r="H4064" s="230">
        <v>4.5</v>
      </c>
      <c r="I4064" s="220">
        <v>991000</v>
      </c>
      <c r="J4064" s="220">
        <f>I4064*0.1</f>
        <v>99100</v>
      </c>
      <c r="K4064" s="220">
        <v>0</v>
      </c>
      <c r="L4064" s="220">
        <v>8790</v>
      </c>
      <c r="M4064" s="220">
        <v>14300</v>
      </c>
      <c r="N4064" s="220">
        <f>SUM(I4064:M4065)</f>
        <v>1113190</v>
      </c>
      <c r="O4064" s="224"/>
      <c r="P4064" s="110" t="s">
        <v>12737</v>
      </c>
      <c r="Q4064" s="15" t="s">
        <v>19</v>
      </c>
      <c r="R4064" s="205"/>
      <c r="S4064" s="189" t="s">
        <v>25432</v>
      </c>
      <c r="T4064" s="114"/>
      <c r="U4064" s="21"/>
      <c r="V4064" s="115">
        <v>46000</v>
      </c>
      <c r="W4064" s="116">
        <v>1921</v>
      </c>
      <c r="X4064" s="220">
        <v>1112000</v>
      </c>
      <c r="Y4064" s="220">
        <f>X4064*0.1</f>
        <v>111200</v>
      </c>
      <c r="Z4064" s="220">
        <v>8790</v>
      </c>
      <c r="AA4064" s="220">
        <f>SUM(X4064:Z4064)</f>
        <v>1231990</v>
      </c>
      <c r="AB4064" s="222">
        <v>46006</v>
      </c>
    </row>
    <row r="4065" spans="1:28" ht="17.100000000000001" customHeight="1" thickBot="1">
      <c r="A4065" s="227"/>
      <c r="B4065" s="27" t="s">
        <v>3228</v>
      </c>
      <c r="C4065" s="27">
        <v>2557</v>
      </c>
      <c r="D4065" s="14" t="s">
        <v>2559</v>
      </c>
      <c r="E4065" s="229"/>
      <c r="F4065" s="117" t="s">
        <v>12209</v>
      </c>
      <c r="G4065" s="26">
        <v>59436</v>
      </c>
      <c r="H4065" s="231"/>
      <c r="I4065" s="221"/>
      <c r="J4065" s="221"/>
      <c r="K4065" s="221"/>
      <c r="L4065" s="221"/>
      <c r="M4065" s="221"/>
      <c r="N4065" s="221"/>
      <c r="O4065" s="225"/>
      <c r="P4065" s="118" t="s">
        <v>12738</v>
      </c>
      <c r="Q4065" s="16" t="s">
        <v>20</v>
      </c>
      <c r="R4065" s="17" t="s">
        <v>12649</v>
      </c>
      <c r="S4065" s="121" t="s">
        <v>3832</v>
      </c>
      <c r="T4065" s="122"/>
      <c r="U4065" s="22"/>
      <c r="V4065" s="123" t="s">
        <v>2103</v>
      </c>
      <c r="W4065" s="122">
        <v>3369</v>
      </c>
      <c r="X4065" s="221"/>
      <c r="Y4065" s="221"/>
      <c r="Z4065" s="221"/>
      <c r="AA4065" s="221"/>
      <c r="AB4065" s="223"/>
    </row>
    <row r="4066" spans="1:28" ht="17.100000000000001" customHeight="1" thickTop="1">
      <c r="A4066" s="226" t="s">
        <v>12192</v>
      </c>
      <c r="B4066" s="28">
        <v>45995</v>
      </c>
      <c r="C4066" s="25">
        <v>2137</v>
      </c>
      <c r="D4066" s="13" t="s">
        <v>1762</v>
      </c>
      <c r="E4066" s="228"/>
      <c r="F4066" s="109" t="s">
        <v>12250</v>
      </c>
      <c r="G4066" s="24" t="s">
        <v>4173</v>
      </c>
      <c r="H4066" s="230">
        <v>4</v>
      </c>
      <c r="I4066" s="220">
        <v>761000</v>
      </c>
      <c r="J4066" s="220">
        <f>I4066*0.1</f>
        <v>76100</v>
      </c>
      <c r="K4066" s="220">
        <v>0</v>
      </c>
      <c r="L4066" s="220">
        <v>8510</v>
      </c>
      <c r="M4066" s="220">
        <v>14300</v>
      </c>
      <c r="N4066" s="220">
        <f>SUM(I4066:M4067)</f>
        <v>859910</v>
      </c>
      <c r="O4066" s="224"/>
      <c r="P4066" s="110" t="s">
        <v>12786</v>
      </c>
      <c r="Q4066" s="15" t="s">
        <v>19</v>
      </c>
      <c r="R4066" s="205"/>
      <c r="S4066" s="189" t="s">
        <v>25372</v>
      </c>
      <c r="T4066" s="114"/>
      <c r="U4066" s="21"/>
      <c r="V4066" s="115"/>
      <c r="W4066" s="116"/>
      <c r="X4066" s="220"/>
      <c r="Y4066" s="220">
        <f>X4066*0.1</f>
        <v>0</v>
      </c>
      <c r="Z4066" s="220"/>
      <c r="AA4066" s="220">
        <f>SUM(X4066:Z4066)</f>
        <v>0</v>
      </c>
      <c r="AB4066" s="222"/>
    </row>
    <row r="4067" spans="1:28" ht="17.100000000000001" customHeight="1" thickBot="1">
      <c r="A4067" s="227"/>
      <c r="B4067" s="27" t="s">
        <v>3228</v>
      </c>
      <c r="C4067" s="27">
        <v>2567</v>
      </c>
      <c r="D4067" s="14" t="s">
        <v>273</v>
      </c>
      <c r="E4067" s="229"/>
      <c r="F4067" s="117" t="s">
        <v>12210</v>
      </c>
      <c r="G4067" s="26">
        <v>54669</v>
      </c>
      <c r="H4067" s="231"/>
      <c r="I4067" s="221"/>
      <c r="J4067" s="221"/>
      <c r="K4067" s="221"/>
      <c r="L4067" s="221"/>
      <c r="M4067" s="221"/>
      <c r="N4067" s="221"/>
      <c r="O4067" s="225"/>
      <c r="P4067" s="118" t="s">
        <v>12787</v>
      </c>
      <c r="Q4067" s="16" t="s">
        <v>20</v>
      </c>
      <c r="R4067" s="17" t="s">
        <v>12649</v>
      </c>
      <c r="S4067" s="121" t="s">
        <v>13176</v>
      </c>
      <c r="T4067" s="122"/>
      <c r="U4067" s="22"/>
      <c r="V4067" s="123"/>
      <c r="W4067" s="122"/>
      <c r="X4067" s="221"/>
      <c r="Y4067" s="221"/>
      <c r="Z4067" s="221"/>
      <c r="AA4067" s="221"/>
      <c r="AB4067" s="223"/>
    </row>
    <row r="4068" spans="1:28" ht="17.100000000000001" customHeight="1" thickTop="1">
      <c r="A4068" s="226" t="s">
        <v>12193</v>
      </c>
      <c r="B4068" s="28">
        <v>45995</v>
      </c>
      <c r="C4068" s="25">
        <v>2137</v>
      </c>
      <c r="D4068" s="13" t="s">
        <v>1887</v>
      </c>
      <c r="E4068" s="228"/>
      <c r="F4068" s="109" t="s">
        <v>12251</v>
      </c>
      <c r="G4068" s="24" t="s">
        <v>8570</v>
      </c>
      <c r="H4068" s="230">
        <v>4.5</v>
      </c>
      <c r="I4068" s="220">
        <v>1256000</v>
      </c>
      <c r="J4068" s="220">
        <f>I4068*0.1</f>
        <v>125600</v>
      </c>
      <c r="K4068" s="220">
        <v>0</v>
      </c>
      <c r="L4068" s="220">
        <v>8550</v>
      </c>
      <c r="M4068" s="220">
        <v>14300</v>
      </c>
      <c r="N4068" s="220">
        <f>SUM(I4068:M4069)</f>
        <v>1404450</v>
      </c>
      <c r="O4068" s="224"/>
      <c r="P4068" s="110" t="s">
        <v>12739</v>
      </c>
      <c r="Q4068" s="15" t="s">
        <v>19</v>
      </c>
      <c r="R4068" s="205"/>
      <c r="S4068" s="189" t="s">
        <v>25397</v>
      </c>
      <c r="T4068" s="114"/>
      <c r="U4068" s="21"/>
      <c r="V4068" s="115">
        <v>46000</v>
      </c>
      <c r="W4068" s="116">
        <v>1921</v>
      </c>
      <c r="X4068" s="220">
        <v>1363000</v>
      </c>
      <c r="Y4068" s="220">
        <f>X4068*0.1</f>
        <v>136300</v>
      </c>
      <c r="Z4068" s="220">
        <v>8550</v>
      </c>
      <c r="AA4068" s="220">
        <f>SUM(X4068:Z4068)</f>
        <v>1507850</v>
      </c>
      <c r="AB4068" s="222">
        <v>46006</v>
      </c>
    </row>
    <row r="4069" spans="1:28" ht="17.100000000000001" customHeight="1" thickBot="1">
      <c r="A4069" s="227"/>
      <c r="B4069" s="27" t="s">
        <v>3228</v>
      </c>
      <c r="C4069" s="27">
        <v>2589</v>
      </c>
      <c r="D4069" s="14" t="s">
        <v>2559</v>
      </c>
      <c r="E4069" s="229"/>
      <c r="F4069" s="117" t="s">
        <v>12212</v>
      </c>
      <c r="G4069" s="26">
        <v>16754</v>
      </c>
      <c r="H4069" s="231"/>
      <c r="I4069" s="221"/>
      <c r="J4069" s="221"/>
      <c r="K4069" s="221"/>
      <c r="L4069" s="221"/>
      <c r="M4069" s="221"/>
      <c r="N4069" s="221"/>
      <c r="O4069" s="225"/>
      <c r="P4069" s="118" t="s">
        <v>12740</v>
      </c>
      <c r="Q4069" s="16" t="s">
        <v>20</v>
      </c>
      <c r="R4069" s="17" t="s">
        <v>12649</v>
      </c>
      <c r="S4069" s="121" t="s">
        <v>1731</v>
      </c>
      <c r="T4069" s="122"/>
      <c r="U4069" s="22"/>
      <c r="V4069" s="123" t="s">
        <v>2103</v>
      </c>
      <c r="W4069" s="122">
        <v>3371</v>
      </c>
      <c r="X4069" s="221"/>
      <c r="Y4069" s="221"/>
      <c r="Z4069" s="221"/>
      <c r="AA4069" s="221"/>
      <c r="AB4069" s="223"/>
    </row>
    <row r="4070" spans="1:28" ht="17.100000000000001" customHeight="1" thickTop="1">
      <c r="A4070" s="226" t="s">
        <v>12194</v>
      </c>
      <c r="B4070" s="28">
        <v>45995</v>
      </c>
      <c r="C4070" s="25">
        <v>2137</v>
      </c>
      <c r="D4070" s="13" t="s">
        <v>1973</v>
      </c>
      <c r="E4070" s="228"/>
      <c r="F4070" s="109" t="s">
        <v>12213</v>
      </c>
      <c r="G4070" s="24" t="s">
        <v>1551</v>
      </c>
      <c r="H4070" s="230">
        <v>4.5</v>
      </c>
      <c r="I4070" s="220">
        <v>1410000</v>
      </c>
      <c r="J4070" s="220">
        <f>I4070*0.1</f>
        <v>141000</v>
      </c>
      <c r="K4070" s="220">
        <v>0</v>
      </c>
      <c r="L4070" s="220">
        <v>7230</v>
      </c>
      <c r="M4070" s="220">
        <v>14300</v>
      </c>
      <c r="N4070" s="220">
        <f>SUM(I4070:M4071)</f>
        <v>1572530</v>
      </c>
      <c r="O4070" s="224"/>
      <c r="P4070" s="110" t="s">
        <v>13027</v>
      </c>
      <c r="Q4070" s="15" t="s">
        <v>19</v>
      </c>
      <c r="R4070" s="205"/>
      <c r="S4070" s="189" t="s">
        <v>1361</v>
      </c>
      <c r="T4070" s="114"/>
      <c r="U4070" s="21"/>
      <c r="V4070" s="115">
        <v>46000</v>
      </c>
      <c r="W4070" s="116">
        <v>1921</v>
      </c>
      <c r="X4070" s="220">
        <v>1431000</v>
      </c>
      <c r="Y4070" s="220">
        <f>X4070*0.1</f>
        <v>143100</v>
      </c>
      <c r="Z4070" s="220">
        <v>7230</v>
      </c>
      <c r="AA4070" s="220">
        <f>SUM(X4070:Z4070)</f>
        <v>1581330</v>
      </c>
      <c r="AB4070" s="222">
        <v>46007</v>
      </c>
    </row>
    <row r="4071" spans="1:28" ht="17.100000000000001" customHeight="1" thickBot="1">
      <c r="A4071" s="227"/>
      <c r="B4071" s="27" t="s">
        <v>3228</v>
      </c>
      <c r="C4071" s="27">
        <v>2595</v>
      </c>
      <c r="D4071" s="14" t="s">
        <v>273</v>
      </c>
      <c r="E4071" s="229"/>
      <c r="F4071" s="117" t="s">
        <v>12214</v>
      </c>
      <c r="G4071" s="26">
        <v>23479</v>
      </c>
      <c r="H4071" s="231"/>
      <c r="I4071" s="221"/>
      <c r="J4071" s="221"/>
      <c r="K4071" s="221"/>
      <c r="L4071" s="221"/>
      <c r="M4071" s="221"/>
      <c r="N4071" s="221"/>
      <c r="O4071" s="225"/>
      <c r="P4071" s="118" t="s">
        <v>4226</v>
      </c>
      <c r="Q4071" s="16" t="s">
        <v>20</v>
      </c>
      <c r="R4071" s="17" t="s">
        <v>2235</v>
      </c>
      <c r="S4071" s="121" t="s">
        <v>13028</v>
      </c>
      <c r="T4071" s="122"/>
      <c r="U4071" s="22"/>
      <c r="V4071" s="123" t="s">
        <v>2103</v>
      </c>
      <c r="W4071" s="122">
        <v>3375</v>
      </c>
      <c r="X4071" s="221"/>
      <c r="Y4071" s="221"/>
      <c r="Z4071" s="221"/>
      <c r="AA4071" s="221"/>
      <c r="AB4071" s="223"/>
    </row>
    <row r="4072" spans="1:28" ht="17.100000000000001" customHeight="1" thickTop="1">
      <c r="A4072" s="226" t="s">
        <v>12195</v>
      </c>
      <c r="B4072" s="28">
        <v>45995</v>
      </c>
      <c r="C4072" s="25">
        <v>2137</v>
      </c>
      <c r="D4072" s="13" t="s">
        <v>1021</v>
      </c>
      <c r="E4072" s="228"/>
      <c r="F4072" s="109" t="s">
        <v>4508</v>
      </c>
      <c r="G4072" s="24"/>
      <c r="H4072" s="230">
        <v>3.5</v>
      </c>
      <c r="I4072" s="220">
        <v>727000</v>
      </c>
      <c r="J4072" s="220">
        <f>I4072*0.1</f>
        <v>72700</v>
      </c>
      <c r="K4072" s="220">
        <v>0</v>
      </c>
      <c r="L4072" s="220">
        <v>9010</v>
      </c>
      <c r="M4072" s="220">
        <v>14300</v>
      </c>
      <c r="N4072" s="220">
        <f>SUM(I4072:M4073)</f>
        <v>823010</v>
      </c>
      <c r="O4072" s="224"/>
      <c r="P4072" s="110" t="s">
        <v>13031</v>
      </c>
      <c r="Q4072" s="15" t="s">
        <v>19</v>
      </c>
      <c r="R4072" s="205"/>
      <c r="S4072" s="189"/>
      <c r="T4072" s="114"/>
      <c r="U4072" s="21"/>
      <c r="V4072" s="115">
        <v>46001</v>
      </c>
      <c r="W4072" s="116">
        <v>996</v>
      </c>
      <c r="X4072" s="220">
        <v>805000</v>
      </c>
      <c r="Y4072" s="220">
        <f>X4072*0.1</f>
        <v>80500</v>
      </c>
      <c r="Z4072" s="220">
        <v>9010</v>
      </c>
      <c r="AA4072" s="220">
        <f>SUM(X4072:Z4072)</f>
        <v>894510</v>
      </c>
      <c r="AB4072" s="222">
        <v>46007</v>
      </c>
    </row>
    <row r="4073" spans="1:28" ht="17.100000000000001" customHeight="1" thickBot="1">
      <c r="A4073" s="227"/>
      <c r="B4073" s="27" t="s">
        <v>3228</v>
      </c>
      <c r="C4073" s="27">
        <v>2617</v>
      </c>
      <c r="D4073" s="14" t="s">
        <v>273</v>
      </c>
      <c r="E4073" s="229"/>
      <c r="F4073" s="117" t="s">
        <v>12215</v>
      </c>
      <c r="G4073" s="26">
        <v>63545</v>
      </c>
      <c r="H4073" s="231"/>
      <c r="I4073" s="221"/>
      <c r="J4073" s="221"/>
      <c r="K4073" s="221"/>
      <c r="L4073" s="221"/>
      <c r="M4073" s="221"/>
      <c r="N4073" s="221"/>
      <c r="O4073" s="225"/>
      <c r="P4073" s="118" t="s">
        <v>13032</v>
      </c>
      <c r="Q4073" s="16" t="s">
        <v>20</v>
      </c>
      <c r="R4073" s="17" t="s">
        <v>2235</v>
      </c>
      <c r="S4073" s="121" t="s">
        <v>169</v>
      </c>
      <c r="T4073" s="122"/>
      <c r="U4073" s="22"/>
      <c r="V4073" s="123" t="s">
        <v>2747</v>
      </c>
      <c r="W4073" s="122">
        <v>2046</v>
      </c>
      <c r="X4073" s="221"/>
      <c r="Y4073" s="221"/>
      <c r="Z4073" s="221"/>
      <c r="AA4073" s="221"/>
      <c r="AB4073" s="223"/>
    </row>
    <row r="4074" spans="1:28" ht="17.100000000000001" customHeight="1" thickTop="1">
      <c r="A4074" s="226" t="s">
        <v>12196</v>
      </c>
      <c r="B4074" s="28">
        <v>45995</v>
      </c>
      <c r="C4074" s="25">
        <v>2137</v>
      </c>
      <c r="D4074" s="13" t="s">
        <v>2158</v>
      </c>
      <c r="E4074" s="228"/>
      <c r="F4074" s="109" t="s">
        <v>10615</v>
      </c>
      <c r="G4074" s="24"/>
      <c r="H4074" s="230">
        <v>4</v>
      </c>
      <c r="I4074" s="220">
        <v>1248000</v>
      </c>
      <c r="J4074" s="220">
        <f>I4074*0.1</f>
        <v>124800</v>
      </c>
      <c r="K4074" s="220">
        <v>0</v>
      </c>
      <c r="L4074" s="220">
        <v>8740</v>
      </c>
      <c r="M4074" s="220">
        <v>14300</v>
      </c>
      <c r="N4074" s="220">
        <f>SUM(I4074:M4075)</f>
        <v>1395840</v>
      </c>
      <c r="O4074" s="224"/>
      <c r="P4074" s="110" t="s">
        <v>13030</v>
      </c>
      <c r="Q4074" s="15" t="s">
        <v>19</v>
      </c>
      <c r="R4074" s="205"/>
      <c r="S4074" s="189" t="s">
        <v>25470</v>
      </c>
      <c r="T4074" s="114"/>
      <c r="U4074" s="21"/>
      <c r="V4074" s="115">
        <v>46001</v>
      </c>
      <c r="W4074" s="116">
        <v>996</v>
      </c>
      <c r="X4074" s="220">
        <v>1310000</v>
      </c>
      <c r="Y4074" s="220">
        <f>X4074*0.1</f>
        <v>131000</v>
      </c>
      <c r="Z4074" s="220">
        <v>8740</v>
      </c>
      <c r="AA4074" s="220">
        <f>SUM(X4074:Z4074)</f>
        <v>1449740</v>
      </c>
      <c r="AB4074" s="222">
        <v>46007</v>
      </c>
    </row>
    <row r="4075" spans="1:28" ht="17.100000000000001" customHeight="1" thickBot="1">
      <c r="A4075" s="227"/>
      <c r="B4075" s="27" t="s">
        <v>3228</v>
      </c>
      <c r="C4075" s="27">
        <v>2622</v>
      </c>
      <c r="D4075" s="14" t="s">
        <v>2559</v>
      </c>
      <c r="E4075" s="229"/>
      <c r="F4075" s="117" t="s">
        <v>12216</v>
      </c>
      <c r="G4075" s="26">
        <v>26772</v>
      </c>
      <c r="H4075" s="231"/>
      <c r="I4075" s="221"/>
      <c r="J4075" s="221"/>
      <c r="K4075" s="221"/>
      <c r="L4075" s="221"/>
      <c r="M4075" s="221"/>
      <c r="N4075" s="221"/>
      <c r="O4075" s="225"/>
      <c r="P4075" s="118" t="s">
        <v>4226</v>
      </c>
      <c r="Q4075" s="16" t="s">
        <v>20</v>
      </c>
      <c r="R4075" s="17" t="s">
        <v>2235</v>
      </c>
      <c r="S4075" s="121" t="s">
        <v>13029</v>
      </c>
      <c r="T4075" s="122"/>
      <c r="U4075" s="22"/>
      <c r="V4075" s="123" t="s">
        <v>2747</v>
      </c>
      <c r="W4075" s="122">
        <v>2035</v>
      </c>
      <c r="X4075" s="221"/>
      <c r="Y4075" s="221"/>
      <c r="Z4075" s="221"/>
      <c r="AA4075" s="221"/>
      <c r="AB4075" s="223"/>
    </row>
    <row r="4076" spans="1:28" ht="17.100000000000001" customHeight="1" thickTop="1">
      <c r="A4076" s="226" t="s">
        <v>12197</v>
      </c>
      <c r="B4076" s="28">
        <v>45995</v>
      </c>
      <c r="C4076" s="25">
        <v>2137</v>
      </c>
      <c r="D4076" s="13" t="s">
        <v>3269</v>
      </c>
      <c r="E4076" s="228"/>
      <c r="F4076" s="109" t="s">
        <v>12252</v>
      </c>
      <c r="G4076" s="24" t="s">
        <v>8358</v>
      </c>
      <c r="H4076" s="230">
        <v>4</v>
      </c>
      <c r="I4076" s="220">
        <v>619000</v>
      </c>
      <c r="J4076" s="220">
        <f>I4076*0.1</f>
        <v>61900</v>
      </c>
      <c r="K4076" s="220">
        <v>0</v>
      </c>
      <c r="L4076" s="220">
        <v>8030</v>
      </c>
      <c r="M4076" s="220">
        <v>14300</v>
      </c>
      <c r="N4076" s="220">
        <f>SUM(I4076:M4077)</f>
        <v>703230</v>
      </c>
      <c r="O4076" s="224"/>
      <c r="P4076" s="110" t="s">
        <v>12785</v>
      </c>
      <c r="Q4076" s="15" t="s">
        <v>19</v>
      </c>
      <c r="R4076" s="205"/>
      <c r="S4076" s="189" t="s">
        <v>1271</v>
      </c>
      <c r="T4076" s="114"/>
      <c r="U4076" s="21" t="s">
        <v>15035</v>
      </c>
      <c r="V4076" s="115">
        <v>46088</v>
      </c>
      <c r="W4076" s="116">
        <v>1291</v>
      </c>
      <c r="X4076" s="220">
        <v>680000</v>
      </c>
      <c r="Y4076" s="220">
        <f>X4076*0.1</f>
        <v>68000</v>
      </c>
      <c r="Z4076" s="220">
        <v>8030</v>
      </c>
      <c r="AA4076" s="220">
        <f>SUM(X4076:Z4076)</f>
        <v>756030</v>
      </c>
      <c r="AB4076" s="222">
        <v>46091</v>
      </c>
    </row>
    <row r="4077" spans="1:28" ht="17.100000000000001" customHeight="1" thickBot="1">
      <c r="A4077" s="227"/>
      <c r="B4077" s="27" t="s">
        <v>3228</v>
      </c>
      <c r="C4077" s="27">
        <v>70170</v>
      </c>
      <c r="D4077" s="14" t="s">
        <v>1710</v>
      </c>
      <c r="E4077" s="229"/>
      <c r="F4077" s="117" t="s">
        <v>12217</v>
      </c>
      <c r="G4077" s="26">
        <v>69256</v>
      </c>
      <c r="H4077" s="231"/>
      <c r="I4077" s="221"/>
      <c r="J4077" s="221"/>
      <c r="K4077" s="221"/>
      <c r="L4077" s="221"/>
      <c r="M4077" s="221"/>
      <c r="N4077" s="221"/>
      <c r="O4077" s="225"/>
      <c r="P4077" s="118" t="s">
        <v>12751</v>
      </c>
      <c r="Q4077" s="16" t="s">
        <v>20</v>
      </c>
      <c r="R4077" s="17" t="s">
        <v>12649</v>
      </c>
      <c r="S4077" s="121" t="s">
        <v>1601</v>
      </c>
      <c r="T4077" s="122"/>
      <c r="U4077" s="22"/>
      <c r="V4077" s="123" t="s">
        <v>2472</v>
      </c>
      <c r="W4077" s="122">
        <v>60435</v>
      </c>
      <c r="X4077" s="221"/>
      <c r="Y4077" s="221"/>
      <c r="Z4077" s="221"/>
      <c r="AA4077" s="221"/>
      <c r="AB4077" s="223"/>
    </row>
    <row r="4078" spans="1:28" ht="17.100000000000001" customHeight="1" thickTop="1">
      <c r="A4078" s="226" t="s">
        <v>12198</v>
      </c>
      <c r="B4078" s="28">
        <v>45995</v>
      </c>
      <c r="C4078" s="25">
        <v>2137</v>
      </c>
      <c r="D4078" s="13" t="s">
        <v>4739</v>
      </c>
      <c r="E4078" s="228"/>
      <c r="F4078" s="109" t="s">
        <v>12253</v>
      </c>
      <c r="G4078" s="24" t="s">
        <v>12254</v>
      </c>
      <c r="H4078" s="230">
        <v>3.5</v>
      </c>
      <c r="I4078" s="220">
        <v>427000</v>
      </c>
      <c r="J4078" s="220">
        <f>I4078*0.1</f>
        <v>42700</v>
      </c>
      <c r="K4078" s="220">
        <v>0</v>
      </c>
      <c r="L4078" s="220">
        <v>8550</v>
      </c>
      <c r="M4078" s="220">
        <v>14300</v>
      </c>
      <c r="N4078" s="220">
        <f>SUM(I4078:M4079)</f>
        <v>492550</v>
      </c>
      <c r="O4078" s="224"/>
      <c r="P4078" s="110" t="s">
        <v>12750</v>
      </c>
      <c r="Q4078" s="15" t="s">
        <v>19</v>
      </c>
      <c r="R4078" s="205"/>
      <c r="S4078" s="189" t="s">
        <v>25635</v>
      </c>
      <c r="T4078" s="114"/>
      <c r="U4078" s="21"/>
      <c r="V4078" s="115">
        <v>46001</v>
      </c>
      <c r="W4078" s="116">
        <v>996</v>
      </c>
      <c r="X4078" s="220">
        <v>510000</v>
      </c>
      <c r="Y4078" s="220">
        <f>X4078*0.1</f>
        <v>51000</v>
      </c>
      <c r="Z4078" s="220">
        <v>8550</v>
      </c>
      <c r="AA4078" s="220">
        <f>SUM(X4078:Z4078)</f>
        <v>569550</v>
      </c>
      <c r="AB4078" s="222">
        <v>46006</v>
      </c>
    </row>
    <row r="4079" spans="1:28" ht="17.100000000000001" customHeight="1" thickBot="1">
      <c r="A4079" s="227"/>
      <c r="B4079" s="27" t="s">
        <v>3228</v>
      </c>
      <c r="C4079" s="27">
        <v>70172</v>
      </c>
      <c r="D4079" s="14" t="s">
        <v>3274</v>
      </c>
      <c r="E4079" s="229"/>
      <c r="F4079" s="117" t="s">
        <v>12218</v>
      </c>
      <c r="G4079" s="26">
        <v>51752</v>
      </c>
      <c r="H4079" s="231"/>
      <c r="I4079" s="221"/>
      <c r="J4079" s="221"/>
      <c r="K4079" s="221"/>
      <c r="L4079" s="221"/>
      <c r="M4079" s="221"/>
      <c r="N4079" s="221"/>
      <c r="O4079" s="225"/>
      <c r="P4079" s="118" t="s">
        <v>12751</v>
      </c>
      <c r="Q4079" s="16" t="s">
        <v>20</v>
      </c>
      <c r="R4079" s="17" t="s">
        <v>12649</v>
      </c>
      <c r="S4079" s="121" t="s">
        <v>12752</v>
      </c>
      <c r="T4079" s="122"/>
      <c r="U4079" s="22"/>
      <c r="V4079" s="123" t="s">
        <v>2747</v>
      </c>
      <c r="W4079" s="122">
        <v>2045</v>
      </c>
      <c r="X4079" s="221"/>
      <c r="Y4079" s="221"/>
      <c r="Z4079" s="221"/>
      <c r="AA4079" s="221"/>
      <c r="AB4079" s="223"/>
    </row>
    <row r="4080" spans="1:28" ht="17.100000000000001" customHeight="1" thickTop="1">
      <c r="A4080" s="226" t="s">
        <v>12199</v>
      </c>
      <c r="B4080" s="28">
        <v>45995</v>
      </c>
      <c r="C4080" s="25">
        <v>2137</v>
      </c>
      <c r="D4080" s="13" t="s">
        <v>1953</v>
      </c>
      <c r="E4080" s="228"/>
      <c r="F4080" s="109" t="s">
        <v>4408</v>
      </c>
      <c r="G4080" s="24" t="s">
        <v>4868</v>
      </c>
      <c r="H4080" s="230">
        <v>4</v>
      </c>
      <c r="I4080" s="220">
        <v>801000</v>
      </c>
      <c r="J4080" s="220">
        <f>I4080*0.1</f>
        <v>80100</v>
      </c>
      <c r="K4080" s="220">
        <v>0</v>
      </c>
      <c r="L4080" s="220">
        <v>8400</v>
      </c>
      <c r="M4080" s="220">
        <v>14300</v>
      </c>
      <c r="N4080" s="220">
        <f>SUM(I4080:M4081)</f>
        <v>903800</v>
      </c>
      <c r="O4080" s="224"/>
      <c r="P4080" s="110" t="s">
        <v>12784</v>
      </c>
      <c r="Q4080" s="15" t="s">
        <v>19</v>
      </c>
      <c r="R4080" s="205"/>
      <c r="S4080" s="189" t="s">
        <v>25636</v>
      </c>
      <c r="T4080" s="114"/>
      <c r="U4080" s="21" t="s">
        <v>14332</v>
      </c>
      <c r="V4080" s="115">
        <v>46029</v>
      </c>
      <c r="W4080" s="116">
        <v>999</v>
      </c>
      <c r="X4080" s="220">
        <v>885000</v>
      </c>
      <c r="Y4080" s="220">
        <f>X4080*0.1</f>
        <v>88500</v>
      </c>
      <c r="Z4080" s="220">
        <v>8400</v>
      </c>
      <c r="AA4080" s="220">
        <f>SUM(X4080:Z4080)</f>
        <v>981900</v>
      </c>
      <c r="AB4080" s="222">
        <v>46035</v>
      </c>
    </row>
    <row r="4081" spans="1:28" ht="17.100000000000001" customHeight="1" thickBot="1">
      <c r="A4081" s="227"/>
      <c r="B4081" s="27" t="s">
        <v>3228</v>
      </c>
      <c r="C4081" s="27">
        <v>71167</v>
      </c>
      <c r="D4081" s="14" t="s">
        <v>898</v>
      </c>
      <c r="E4081" s="229"/>
      <c r="F4081" s="117" t="s">
        <v>12219</v>
      </c>
      <c r="G4081" s="26">
        <v>44130</v>
      </c>
      <c r="H4081" s="231"/>
      <c r="I4081" s="221"/>
      <c r="J4081" s="221"/>
      <c r="K4081" s="221"/>
      <c r="L4081" s="221"/>
      <c r="M4081" s="221"/>
      <c r="N4081" s="221"/>
      <c r="O4081" s="225"/>
      <c r="P4081" s="118" t="s">
        <v>12783</v>
      </c>
      <c r="Q4081" s="16" t="s">
        <v>20</v>
      </c>
      <c r="R4081" s="17" t="s">
        <v>12649</v>
      </c>
      <c r="S4081" s="121" t="s">
        <v>9008</v>
      </c>
      <c r="T4081" s="122"/>
      <c r="U4081" s="22"/>
      <c r="V4081" s="123" t="s">
        <v>2747</v>
      </c>
      <c r="W4081" s="122">
        <v>2086</v>
      </c>
      <c r="X4081" s="221"/>
      <c r="Y4081" s="221"/>
      <c r="Z4081" s="221"/>
      <c r="AA4081" s="221"/>
      <c r="AB4081" s="223"/>
    </row>
    <row r="4082" spans="1:28" ht="17.100000000000001" customHeight="1" thickTop="1">
      <c r="A4082" s="226" t="s">
        <v>12200</v>
      </c>
      <c r="B4082" s="28">
        <v>45995</v>
      </c>
      <c r="C4082" s="25">
        <v>2137</v>
      </c>
      <c r="D4082" s="13" t="s">
        <v>3327</v>
      </c>
      <c r="E4082" s="228"/>
      <c r="F4082" s="109" t="s">
        <v>5345</v>
      </c>
      <c r="G4082" s="24"/>
      <c r="H4082" s="230">
        <v>4</v>
      </c>
      <c r="I4082" s="220">
        <v>683000</v>
      </c>
      <c r="J4082" s="220">
        <f>I4082*0.1</f>
        <v>68300</v>
      </c>
      <c r="K4082" s="220">
        <v>0</v>
      </c>
      <c r="L4082" s="220">
        <v>8400</v>
      </c>
      <c r="M4082" s="220">
        <v>14300</v>
      </c>
      <c r="N4082" s="220">
        <f>SUM(I4082:M4083)</f>
        <v>774000</v>
      </c>
      <c r="O4082" s="224"/>
      <c r="P4082" s="110" t="s">
        <v>12782</v>
      </c>
      <c r="Q4082" s="15" t="s">
        <v>19</v>
      </c>
      <c r="R4082" s="205"/>
      <c r="S4082" s="189" t="s">
        <v>25413</v>
      </c>
      <c r="T4082" s="114"/>
      <c r="U4082" s="21"/>
      <c r="V4082" s="115">
        <v>46008</v>
      </c>
      <c r="W4082" s="116">
        <v>997</v>
      </c>
      <c r="X4082" s="220">
        <v>750000</v>
      </c>
      <c r="Y4082" s="220">
        <f>X4082*0.1</f>
        <v>75000</v>
      </c>
      <c r="Z4082" s="220">
        <v>8400</v>
      </c>
      <c r="AA4082" s="220">
        <f>SUM(X4082:Z4082)</f>
        <v>833400</v>
      </c>
      <c r="AB4082" s="222">
        <v>46013</v>
      </c>
    </row>
    <row r="4083" spans="1:28" ht="17.100000000000001" customHeight="1" thickBot="1">
      <c r="A4083" s="227"/>
      <c r="B4083" s="27" t="s">
        <v>3228</v>
      </c>
      <c r="C4083" s="27">
        <v>71187</v>
      </c>
      <c r="D4083" s="14" t="s">
        <v>898</v>
      </c>
      <c r="E4083" s="229"/>
      <c r="F4083" s="117" t="s">
        <v>12220</v>
      </c>
      <c r="G4083" s="26">
        <v>58471</v>
      </c>
      <c r="H4083" s="231"/>
      <c r="I4083" s="221"/>
      <c r="J4083" s="221"/>
      <c r="K4083" s="221"/>
      <c r="L4083" s="221"/>
      <c r="M4083" s="221"/>
      <c r="N4083" s="221"/>
      <c r="O4083" s="225"/>
      <c r="P4083" s="118" t="s">
        <v>12783</v>
      </c>
      <c r="Q4083" s="16" t="s">
        <v>20</v>
      </c>
      <c r="R4083" s="17" t="s">
        <v>12649</v>
      </c>
      <c r="S4083" s="121" t="s">
        <v>2405</v>
      </c>
      <c r="T4083" s="122"/>
      <c r="U4083" s="22"/>
      <c r="V4083" s="123" t="s">
        <v>2747</v>
      </c>
      <c r="W4083" s="122">
        <v>2055</v>
      </c>
      <c r="X4083" s="221"/>
      <c r="Y4083" s="221"/>
      <c r="Z4083" s="221"/>
      <c r="AA4083" s="221"/>
      <c r="AB4083" s="223"/>
    </row>
    <row r="4084" spans="1:28" ht="17.100000000000001" customHeight="1" thickTop="1">
      <c r="A4084" s="226" t="s">
        <v>12201</v>
      </c>
      <c r="B4084" s="28">
        <v>45995</v>
      </c>
      <c r="C4084" s="25">
        <v>2137</v>
      </c>
      <c r="D4084" s="13" t="s">
        <v>2428</v>
      </c>
      <c r="E4084" s="228"/>
      <c r="F4084" s="109" t="s">
        <v>12255</v>
      </c>
      <c r="G4084" s="24" t="s">
        <v>12256</v>
      </c>
      <c r="H4084" s="230">
        <v>5</v>
      </c>
      <c r="I4084" s="220">
        <v>1784000</v>
      </c>
      <c r="J4084" s="220">
        <f>I4084*0.1</f>
        <v>178400</v>
      </c>
      <c r="K4084" s="220">
        <f>5637+563</f>
        <v>6200</v>
      </c>
      <c r="L4084" s="220">
        <v>7450</v>
      </c>
      <c r="M4084" s="220">
        <v>14300</v>
      </c>
      <c r="N4084" s="220">
        <f>SUM(I4084:M4085)</f>
        <v>1990350</v>
      </c>
      <c r="O4084" s="224"/>
      <c r="P4084" s="110" t="s">
        <v>13092</v>
      </c>
      <c r="Q4084" s="15" t="s">
        <v>19</v>
      </c>
      <c r="R4084" s="205"/>
      <c r="S4084" s="189" t="s">
        <v>25637</v>
      </c>
      <c r="T4084" s="114"/>
      <c r="U4084" s="21"/>
      <c r="V4084" s="115">
        <v>46001</v>
      </c>
      <c r="W4084" s="116">
        <v>996</v>
      </c>
      <c r="X4084" s="220">
        <v>1970000</v>
      </c>
      <c r="Y4084" s="220">
        <f>X4084*0.1</f>
        <v>197000</v>
      </c>
      <c r="Z4084" s="220">
        <v>7450</v>
      </c>
      <c r="AA4084" s="220">
        <f>SUM(X4084:Z4084)</f>
        <v>2174450</v>
      </c>
      <c r="AB4084" s="222">
        <v>46008</v>
      </c>
    </row>
    <row r="4085" spans="1:28" ht="17.100000000000001" customHeight="1" thickBot="1">
      <c r="A4085" s="227"/>
      <c r="B4085" s="27" t="s">
        <v>3228</v>
      </c>
      <c r="C4085" s="27">
        <v>71374</v>
      </c>
      <c r="D4085" s="14" t="s">
        <v>2559</v>
      </c>
      <c r="E4085" s="229"/>
      <c r="F4085" s="117" t="s">
        <v>12221</v>
      </c>
      <c r="G4085" s="26">
        <v>4919</v>
      </c>
      <c r="H4085" s="231"/>
      <c r="I4085" s="221"/>
      <c r="J4085" s="221"/>
      <c r="K4085" s="221"/>
      <c r="L4085" s="221"/>
      <c r="M4085" s="221"/>
      <c r="N4085" s="221"/>
      <c r="O4085" s="225"/>
      <c r="P4085" s="118" t="s">
        <v>13093</v>
      </c>
      <c r="Q4085" s="16" t="s">
        <v>20</v>
      </c>
      <c r="R4085" s="17" t="s">
        <v>3390</v>
      </c>
      <c r="S4085" s="121" t="s">
        <v>13094</v>
      </c>
      <c r="T4085" s="122"/>
      <c r="U4085" s="22"/>
      <c r="V4085" s="123" t="s">
        <v>2747</v>
      </c>
      <c r="W4085" s="122">
        <v>5028</v>
      </c>
      <c r="X4085" s="221"/>
      <c r="Y4085" s="221"/>
      <c r="Z4085" s="221"/>
      <c r="AA4085" s="221"/>
      <c r="AB4085" s="223"/>
    </row>
    <row r="4086" spans="1:28" ht="17.100000000000001" customHeight="1" thickTop="1">
      <c r="A4086" s="226" t="s">
        <v>12202</v>
      </c>
      <c r="B4086" s="28">
        <v>45995</v>
      </c>
      <c r="C4086" s="25">
        <v>2137</v>
      </c>
      <c r="D4086" s="13" t="s">
        <v>1687</v>
      </c>
      <c r="E4086" s="228"/>
      <c r="F4086" s="109" t="s">
        <v>12046</v>
      </c>
      <c r="G4086" s="24" t="s">
        <v>11792</v>
      </c>
      <c r="H4086" s="230">
        <v>4</v>
      </c>
      <c r="I4086" s="220">
        <v>1501000</v>
      </c>
      <c r="J4086" s="220">
        <f>I4086*0.1</f>
        <v>150100</v>
      </c>
      <c r="K4086" s="220">
        <v>0</v>
      </c>
      <c r="L4086" s="220">
        <v>7340</v>
      </c>
      <c r="M4086" s="220">
        <v>14300</v>
      </c>
      <c r="N4086" s="220">
        <f>SUM(I4086:M4087)</f>
        <v>1672740</v>
      </c>
      <c r="O4086" s="224"/>
      <c r="P4086" s="110" t="s">
        <v>12757</v>
      </c>
      <c r="Q4086" s="15" t="s">
        <v>19</v>
      </c>
      <c r="R4086" s="205"/>
      <c r="S4086" s="189" t="s">
        <v>25638</v>
      </c>
      <c r="T4086" s="114"/>
      <c r="U4086" s="21"/>
      <c r="V4086" s="115">
        <v>46001</v>
      </c>
      <c r="W4086" s="116">
        <v>996</v>
      </c>
      <c r="X4086" s="220">
        <v>1655000</v>
      </c>
      <c r="Y4086" s="220">
        <f>X4086*0.1</f>
        <v>165500</v>
      </c>
      <c r="Z4086" s="220">
        <v>7340</v>
      </c>
      <c r="AA4086" s="220">
        <f>SUM(X4086:Z4086)</f>
        <v>1827840</v>
      </c>
      <c r="AB4086" s="222">
        <v>46006</v>
      </c>
    </row>
    <row r="4087" spans="1:28" ht="17.100000000000001" customHeight="1" thickBot="1">
      <c r="A4087" s="227"/>
      <c r="B4087" s="27" t="s">
        <v>3228</v>
      </c>
      <c r="C4087" s="27">
        <v>71439</v>
      </c>
      <c r="D4087" s="14" t="s">
        <v>2559</v>
      </c>
      <c r="E4087" s="229"/>
      <c r="F4087" s="117" t="s">
        <v>12222</v>
      </c>
      <c r="G4087" s="26">
        <v>42518</v>
      </c>
      <c r="H4087" s="231"/>
      <c r="I4087" s="221"/>
      <c r="J4087" s="221"/>
      <c r="K4087" s="221"/>
      <c r="L4087" s="221"/>
      <c r="M4087" s="221"/>
      <c r="N4087" s="221"/>
      <c r="O4087" s="225"/>
      <c r="P4087" s="118" t="s">
        <v>12751</v>
      </c>
      <c r="Q4087" s="16" t="s">
        <v>20</v>
      </c>
      <c r="R4087" s="17" t="s">
        <v>12649</v>
      </c>
      <c r="S4087" s="121" t="s">
        <v>8238</v>
      </c>
      <c r="T4087" s="122"/>
      <c r="U4087" s="22"/>
      <c r="V4087" s="123" t="s">
        <v>2747</v>
      </c>
      <c r="W4087" s="122">
        <v>2093</v>
      </c>
      <c r="X4087" s="221"/>
      <c r="Y4087" s="221"/>
      <c r="Z4087" s="221"/>
      <c r="AA4087" s="221"/>
      <c r="AB4087" s="223"/>
    </row>
    <row r="4088" spans="1:28" ht="17.100000000000001" customHeight="1" thickTop="1">
      <c r="A4088" s="226" t="s">
        <v>12284</v>
      </c>
      <c r="B4088" s="28">
        <v>45996</v>
      </c>
      <c r="C4088" s="25">
        <v>269</v>
      </c>
      <c r="D4088" s="13" t="s">
        <v>2441</v>
      </c>
      <c r="E4088" s="228"/>
      <c r="F4088" s="109" t="s">
        <v>12211</v>
      </c>
      <c r="G4088" s="24" t="s">
        <v>4412</v>
      </c>
      <c r="H4088" s="230">
        <v>5</v>
      </c>
      <c r="I4088" s="220">
        <v>1503000</v>
      </c>
      <c r="J4088" s="220">
        <f>I4088*0.1</f>
        <v>150300</v>
      </c>
      <c r="K4088" s="220">
        <v>0</v>
      </c>
      <c r="L4088" s="220">
        <v>14200</v>
      </c>
      <c r="M4088" s="220">
        <v>22000</v>
      </c>
      <c r="N4088" s="220">
        <f>SUM(I4088:M4089)</f>
        <v>1689500</v>
      </c>
      <c r="O4088" s="224"/>
      <c r="P4088" s="110" t="s">
        <v>12224</v>
      </c>
      <c r="Q4088" s="15" t="s">
        <v>19</v>
      </c>
      <c r="R4088" s="205"/>
      <c r="S4088" s="189"/>
      <c r="T4088" s="114"/>
      <c r="U4088" s="21" t="s">
        <v>15033</v>
      </c>
      <c r="V4088" s="115">
        <v>46078</v>
      </c>
      <c r="W4088" s="116">
        <v>1006</v>
      </c>
      <c r="X4088" s="220">
        <v>1510000</v>
      </c>
      <c r="Y4088" s="220">
        <f>X4088*0.1</f>
        <v>151000</v>
      </c>
      <c r="Z4088" s="220">
        <v>14200</v>
      </c>
      <c r="AA4088" s="220">
        <f>SUM(X4088:Z4088)</f>
        <v>1675200</v>
      </c>
      <c r="AB4088" s="222">
        <v>46083</v>
      </c>
    </row>
    <row r="4089" spans="1:28" ht="17.100000000000001" customHeight="1" thickBot="1">
      <c r="A4089" s="227"/>
      <c r="B4089" s="27" t="s">
        <v>3890</v>
      </c>
      <c r="C4089" s="27">
        <v>11</v>
      </c>
      <c r="D4089" s="14" t="s">
        <v>1568</v>
      </c>
      <c r="E4089" s="229"/>
      <c r="F4089" s="117" t="s">
        <v>12223</v>
      </c>
      <c r="G4089" s="26">
        <v>3967</v>
      </c>
      <c r="H4089" s="231"/>
      <c r="I4089" s="221"/>
      <c r="J4089" s="221"/>
      <c r="K4089" s="221"/>
      <c r="L4089" s="221"/>
      <c r="M4089" s="221"/>
      <c r="N4089" s="221"/>
      <c r="O4089" s="225"/>
      <c r="P4089" s="118" t="s">
        <v>12632</v>
      </c>
      <c r="Q4089" s="16" t="s">
        <v>20</v>
      </c>
      <c r="R4089" s="17" t="s">
        <v>12584</v>
      </c>
      <c r="S4089" s="121"/>
      <c r="T4089" s="122"/>
      <c r="U4089" s="22"/>
      <c r="V4089" s="123" t="s">
        <v>2747</v>
      </c>
      <c r="W4089" s="122">
        <v>2042</v>
      </c>
      <c r="X4089" s="221"/>
      <c r="Y4089" s="221"/>
      <c r="Z4089" s="221"/>
      <c r="AA4089" s="221"/>
      <c r="AB4089" s="223"/>
    </row>
    <row r="4090" spans="1:28" ht="17.100000000000001" customHeight="1" thickTop="1">
      <c r="A4090" s="226" t="s">
        <v>12285</v>
      </c>
      <c r="B4090" s="28">
        <v>45996</v>
      </c>
      <c r="C4090" s="25">
        <v>269</v>
      </c>
      <c r="D4090" s="13" t="s">
        <v>1676</v>
      </c>
      <c r="E4090" s="228"/>
      <c r="F4090" s="109" t="s">
        <v>12225</v>
      </c>
      <c r="G4090" s="24" t="s">
        <v>1551</v>
      </c>
      <c r="H4090" s="230">
        <v>3.5</v>
      </c>
      <c r="I4090" s="220">
        <v>501000</v>
      </c>
      <c r="J4090" s="220">
        <f>I4090*0.1</f>
        <v>50100</v>
      </c>
      <c r="K4090" s="220">
        <v>0</v>
      </c>
      <c r="L4090" s="220">
        <v>9290</v>
      </c>
      <c r="M4090" s="220">
        <v>22000</v>
      </c>
      <c r="N4090" s="220">
        <f>SUM(I4090:M4091)</f>
        <v>582390</v>
      </c>
      <c r="O4090" s="224"/>
      <c r="P4090" s="110" t="s">
        <v>12227</v>
      </c>
      <c r="Q4090" s="15" t="s">
        <v>19</v>
      </c>
      <c r="R4090" s="205"/>
      <c r="S4090" s="189" t="s">
        <v>1271</v>
      </c>
      <c r="T4090" s="114"/>
      <c r="U4090" s="21"/>
      <c r="V4090" s="115">
        <v>46001</v>
      </c>
      <c r="W4090" s="116">
        <v>996</v>
      </c>
      <c r="X4090" s="220">
        <v>695000</v>
      </c>
      <c r="Y4090" s="220">
        <f>X4090*0.1</f>
        <v>69500</v>
      </c>
      <c r="Z4090" s="220">
        <v>9290</v>
      </c>
      <c r="AA4090" s="220">
        <f>SUM(X4090:Z4090)</f>
        <v>773790</v>
      </c>
      <c r="AB4090" s="222">
        <v>46006</v>
      </c>
    </row>
    <row r="4091" spans="1:28" ht="17.100000000000001" customHeight="1" thickBot="1">
      <c r="A4091" s="227"/>
      <c r="B4091" s="27" t="s">
        <v>3890</v>
      </c>
      <c r="C4091" s="27">
        <v>17</v>
      </c>
      <c r="D4091" s="14" t="s">
        <v>898</v>
      </c>
      <c r="E4091" s="229"/>
      <c r="F4091" s="117" t="s">
        <v>12226</v>
      </c>
      <c r="G4091" s="26">
        <v>33531</v>
      </c>
      <c r="H4091" s="231"/>
      <c r="I4091" s="221"/>
      <c r="J4091" s="221"/>
      <c r="K4091" s="221"/>
      <c r="L4091" s="221"/>
      <c r="M4091" s="221"/>
      <c r="N4091" s="221"/>
      <c r="O4091" s="225"/>
      <c r="P4091" s="118" t="s">
        <v>12631</v>
      </c>
      <c r="Q4091" s="16" t="s">
        <v>20</v>
      </c>
      <c r="R4091" s="17" t="s">
        <v>12584</v>
      </c>
      <c r="S4091" s="121" t="s">
        <v>6932</v>
      </c>
      <c r="T4091" s="122"/>
      <c r="U4091" s="22"/>
      <c r="V4091" s="123" t="s">
        <v>2747</v>
      </c>
      <c r="W4091" s="122">
        <v>2051</v>
      </c>
      <c r="X4091" s="221"/>
      <c r="Y4091" s="221"/>
      <c r="Z4091" s="221"/>
      <c r="AA4091" s="221"/>
      <c r="AB4091" s="223"/>
    </row>
    <row r="4092" spans="1:28" ht="17.100000000000001" customHeight="1" thickTop="1">
      <c r="A4092" s="226" t="s">
        <v>12286</v>
      </c>
      <c r="B4092" s="28">
        <v>45996</v>
      </c>
      <c r="C4092" s="25">
        <v>269</v>
      </c>
      <c r="D4092" s="13" t="s">
        <v>2195</v>
      </c>
      <c r="E4092" s="228"/>
      <c r="F4092" s="109" t="s">
        <v>2673</v>
      </c>
      <c r="G4092" s="24" t="s">
        <v>4412</v>
      </c>
      <c r="H4092" s="230">
        <v>5</v>
      </c>
      <c r="I4092" s="220">
        <v>1208000</v>
      </c>
      <c r="J4092" s="220">
        <f>I4092*0.1</f>
        <v>120800</v>
      </c>
      <c r="K4092" s="220">
        <v>0</v>
      </c>
      <c r="L4092" s="220">
        <v>11100</v>
      </c>
      <c r="M4092" s="220">
        <v>22000</v>
      </c>
      <c r="N4092" s="220">
        <f>SUM(I4092:M4093)</f>
        <v>1361900</v>
      </c>
      <c r="O4092" s="224"/>
      <c r="P4092" s="110" t="s">
        <v>12229</v>
      </c>
      <c r="Q4092" s="15" t="s">
        <v>19</v>
      </c>
      <c r="R4092" s="205"/>
      <c r="S4092" s="189"/>
      <c r="T4092" s="114"/>
      <c r="U4092" s="21"/>
      <c r="V4092" s="115">
        <v>46000</v>
      </c>
      <c r="W4092" s="116">
        <v>1921</v>
      </c>
      <c r="X4092" s="220">
        <v>1275000</v>
      </c>
      <c r="Y4092" s="220">
        <f>X4092*0.1</f>
        <v>127500</v>
      </c>
      <c r="Z4092" s="220">
        <v>11100</v>
      </c>
      <c r="AA4092" s="220">
        <f>SUM(X4092:Z4092)</f>
        <v>1413600</v>
      </c>
      <c r="AB4092" s="222">
        <v>46007</v>
      </c>
    </row>
    <row r="4093" spans="1:28" ht="17.100000000000001" customHeight="1" thickBot="1">
      <c r="A4093" s="227"/>
      <c r="B4093" s="27" t="s">
        <v>3890</v>
      </c>
      <c r="C4093" s="27">
        <v>30</v>
      </c>
      <c r="D4093" s="14" t="s">
        <v>1710</v>
      </c>
      <c r="E4093" s="229"/>
      <c r="F4093" s="117" t="s">
        <v>12228</v>
      </c>
      <c r="G4093" s="26">
        <v>3902</v>
      </c>
      <c r="H4093" s="231"/>
      <c r="I4093" s="221"/>
      <c r="J4093" s="221"/>
      <c r="K4093" s="221"/>
      <c r="L4093" s="221"/>
      <c r="M4093" s="221"/>
      <c r="N4093" s="221"/>
      <c r="O4093" s="225"/>
      <c r="P4093" s="118" t="s">
        <v>12633</v>
      </c>
      <c r="Q4093" s="16" t="s">
        <v>20</v>
      </c>
      <c r="R4093" s="17" t="s">
        <v>12584</v>
      </c>
      <c r="S4093" s="126" t="s">
        <v>12646</v>
      </c>
      <c r="T4093" s="122"/>
      <c r="U4093" s="22"/>
      <c r="V4093" s="123" t="s">
        <v>7507</v>
      </c>
      <c r="W4093" s="122">
        <v>3415</v>
      </c>
      <c r="X4093" s="221"/>
      <c r="Y4093" s="221"/>
      <c r="Z4093" s="221"/>
      <c r="AA4093" s="221"/>
      <c r="AB4093" s="223"/>
    </row>
    <row r="4094" spans="1:28" ht="17.100000000000001" customHeight="1" thickTop="1">
      <c r="A4094" s="226" t="s">
        <v>12287</v>
      </c>
      <c r="B4094" s="28">
        <v>45996</v>
      </c>
      <c r="C4094" s="25">
        <v>269</v>
      </c>
      <c r="D4094" s="13" t="s">
        <v>2712</v>
      </c>
      <c r="E4094" s="228"/>
      <c r="F4094" s="109" t="s">
        <v>12230</v>
      </c>
      <c r="G4094" s="24"/>
      <c r="H4094" s="230">
        <v>5</v>
      </c>
      <c r="I4094" s="220">
        <v>1102000</v>
      </c>
      <c r="J4094" s="220">
        <f>I4094*0.1</f>
        <v>110200</v>
      </c>
      <c r="K4094" s="220">
        <v>0</v>
      </c>
      <c r="L4094" s="220">
        <v>6830</v>
      </c>
      <c r="M4094" s="220">
        <v>22000</v>
      </c>
      <c r="N4094" s="220">
        <f>SUM(I4094:M4095)</f>
        <v>1241030</v>
      </c>
      <c r="O4094" s="224"/>
      <c r="P4094" s="110" t="s">
        <v>12741</v>
      </c>
      <c r="Q4094" s="15" t="s">
        <v>19</v>
      </c>
      <c r="R4094" s="205"/>
      <c r="S4094" s="189" t="s">
        <v>1341</v>
      </c>
      <c r="T4094" s="114"/>
      <c r="U4094" s="21"/>
      <c r="V4094" s="115">
        <v>46000</v>
      </c>
      <c r="W4094" s="116">
        <v>1921</v>
      </c>
      <c r="X4094" s="220">
        <v>1173000</v>
      </c>
      <c r="Y4094" s="220">
        <f>X4094*0.1</f>
        <v>117300</v>
      </c>
      <c r="Z4094" s="220">
        <v>6830</v>
      </c>
      <c r="AA4094" s="220">
        <f>SUM(X4094:Z4094)</f>
        <v>1297130</v>
      </c>
      <c r="AB4094" s="222"/>
    </row>
    <row r="4095" spans="1:28" ht="17.100000000000001" customHeight="1" thickBot="1">
      <c r="A4095" s="227"/>
      <c r="B4095" s="27" t="s">
        <v>3890</v>
      </c>
      <c r="C4095" s="27">
        <v>83</v>
      </c>
      <c r="D4095" s="14" t="s">
        <v>1797</v>
      </c>
      <c r="E4095" s="229"/>
      <c r="F4095" s="117" t="s">
        <v>12231</v>
      </c>
      <c r="G4095" s="26">
        <v>40196</v>
      </c>
      <c r="H4095" s="231"/>
      <c r="I4095" s="221"/>
      <c r="J4095" s="221"/>
      <c r="K4095" s="221"/>
      <c r="L4095" s="221"/>
      <c r="M4095" s="221"/>
      <c r="N4095" s="221"/>
      <c r="O4095" s="225"/>
      <c r="P4095" s="118" t="s">
        <v>4425</v>
      </c>
      <c r="Q4095" s="16" t="s">
        <v>20</v>
      </c>
      <c r="R4095" s="17" t="s">
        <v>12649</v>
      </c>
      <c r="S4095" s="121" t="s">
        <v>2360</v>
      </c>
      <c r="T4095" s="122"/>
      <c r="U4095" s="22"/>
      <c r="V4095" s="123" t="s">
        <v>2103</v>
      </c>
      <c r="W4095" s="122">
        <v>3419</v>
      </c>
      <c r="X4095" s="221"/>
      <c r="Y4095" s="221"/>
      <c r="Z4095" s="221"/>
      <c r="AA4095" s="221"/>
      <c r="AB4095" s="223"/>
    </row>
    <row r="4096" spans="1:28" ht="17.100000000000001" customHeight="1" thickTop="1">
      <c r="A4096" s="226" t="s">
        <v>12288</v>
      </c>
      <c r="B4096" s="28">
        <v>45996</v>
      </c>
      <c r="C4096" s="25">
        <v>269</v>
      </c>
      <c r="D4096" s="13" t="s">
        <v>3406</v>
      </c>
      <c r="E4096" s="228"/>
      <c r="F4096" s="109" t="s">
        <v>5114</v>
      </c>
      <c r="G4096" s="24" t="s">
        <v>2543</v>
      </c>
      <c r="H4096" s="230">
        <v>5</v>
      </c>
      <c r="I4096" s="220">
        <v>1491000</v>
      </c>
      <c r="J4096" s="220">
        <f>I4096*0.1</f>
        <v>149100</v>
      </c>
      <c r="K4096" s="220">
        <v>0</v>
      </c>
      <c r="L4096" s="220">
        <v>7040</v>
      </c>
      <c r="M4096" s="220">
        <v>22000</v>
      </c>
      <c r="N4096" s="220">
        <f>SUM(I4096:M4097)</f>
        <v>1669140</v>
      </c>
      <c r="O4096" s="224"/>
      <c r="P4096" s="110" t="s">
        <v>12233</v>
      </c>
      <c r="Q4096" s="15" t="s">
        <v>19</v>
      </c>
      <c r="R4096" s="205"/>
      <c r="S4096" s="189" t="s">
        <v>1361</v>
      </c>
      <c r="T4096" s="114"/>
      <c r="U4096" s="21"/>
      <c r="V4096" s="115">
        <v>46000</v>
      </c>
      <c r="W4096" s="116">
        <v>1921</v>
      </c>
      <c r="X4096" s="220">
        <v>1528000</v>
      </c>
      <c r="Y4096" s="220">
        <f>X4096*0.1</f>
        <v>152800</v>
      </c>
      <c r="Z4096" s="220">
        <v>7040</v>
      </c>
      <c r="AA4096" s="220">
        <f>SUM(X4096:Z4096)</f>
        <v>1687840</v>
      </c>
      <c r="AB4096" s="222">
        <v>46006</v>
      </c>
    </row>
    <row r="4097" spans="1:28" ht="17.100000000000001" customHeight="1" thickBot="1">
      <c r="A4097" s="227"/>
      <c r="B4097" s="27" t="s">
        <v>3890</v>
      </c>
      <c r="C4097" s="27">
        <v>84</v>
      </c>
      <c r="D4097" s="14" t="s">
        <v>3746</v>
      </c>
      <c r="E4097" s="229"/>
      <c r="F4097" s="117" t="s">
        <v>12232</v>
      </c>
      <c r="G4097" s="26">
        <v>5150</v>
      </c>
      <c r="H4097" s="231"/>
      <c r="I4097" s="221"/>
      <c r="J4097" s="221"/>
      <c r="K4097" s="221"/>
      <c r="L4097" s="221"/>
      <c r="M4097" s="221"/>
      <c r="N4097" s="221"/>
      <c r="O4097" s="225"/>
      <c r="P4097" s="118" t="s">
        <v>9382</v>
      </c>
      <c r="Q4097" s="16" t="s">
        <v>20</v>
      </c>
      <c r="R4097" s="17" t="s">
        <v>12584</v>
      </c>
      <c r="S4097" s="121" t="s">
        <v>2360</v>
      </c>
      <c r="T4097" s="122"/>
      <c r="U4097" s="22"/>
      <c r="V4097" s="123" t="s">
        <v>2103</v>
      </c>
      <c r="W4097" s="122">
        <v>3425</v>
      </c>
      <c r="X4097" s="221"/>
      <c r="Y4097" s="221"/>
      <c r="Z4097" s="221"/>
      <c r="AA4097" s="221"/>
      <c r="AB4097" s="223"/>
    </row>
    <row r="4098" spans="1:28" ht="17.100000000000001" customHeight="1" thickTop="1">
      <c r="A4098" s="226" t="s">
        <v>12289</v>
      </c>
      <c r="B4098" s="28">
        <v>45996</v>
      </c>
      <c r="C4098" s="25">
        <v>269</v>
      </c>
      <c r="D4098" s="13" t="s">
        <v>2690</v>
      </c>
      <c r="E4098" s="228"/>
      <c r="F4098" s="109" t="s">
        <v>4601</v>
      </c>
      <c r="G4098" s="24"/>
      <c r="H4098" s="230">
        <v>4.5</v>
      </c>
      <c r="I4098" s="220">
        <v>997000</v>
      </c>
      <c r="J4098" s="220">
        <f>I4098*0.1</f>
        <v>99700</v>
      </c>
      <c r="K4098" s="220">
        <v>0</v>
      </c>
      <c r="L4098" s="220">
        <v>7150</v>
      </c>
      <c r="M4098" s="220">
        <v>22000</v>
      </c>
      <c r="N4098" s="220">
        <f>SUM(I4098:M4099)</f>
        <v>1125850</v>
      </c>
      <c r="O4098" s="224"/>
      <c r="P4098" s="110" t="s">
        <v>12797</v>
      </c>
      <c r="Q4098" s="15" t="s">
        <v>19</v>
      </c>
      <c r="R4098" s="205"/>
      <c r="S4098" s="189"/>
      <c r="T4098" s="114"/>
      <c r="U4098" s="21"/>
      <c r="V4098" s="115">
        <v>46008</v>
      </c>
      <c r="W4098" s="116">
        <v>997</v>
      </c>
      <c r="X4098" s="220">
        <v>1075000</v>
      </c>
      <c r="Y4098" s="220">
        <f>X4098*0.1</f>
        <v>107500</v>
      </c>
      <c r="Z4098" s="220">
        <v>7180</v>
      </c>
      <c r="AA4098" s="220">
        <f>SUM(X4098:Z4098)</f>
        <v>1189680</v>
      </c>
      <c r="AB4098" s="222">
        <v>46013</v>
      </c>
    </row>
    <row r="4099" spans="1:28" ht="17.100000000000001" customHeight="1" thickBot="1">
      <c r="A4099" s="227"/>
      <c r="B4099" s="27" t="s">
        <v>3890</v>
      </c>
      <c r="C4099" s="27">
        <v>94</v>
      </c>
      <c r="D4099" s="14" t="s">
        <v>1627</v>
      </c>
      <c r="E4099" s="229"/>
      <c r="F4099" s="117" t="s">
        <v>12234</v>
      </c>
      <c r="G4099" s="26">
        <v>28225</v>
      </c>
      <c r="H4099" s="231"/>
      <c r="I4099" s="221"/>
      <c r="J4099" s="221"/>
      <c r="K4099" s="221"/>
      <c r="L4099" s="221"/>
      <c r="M4099" s="221"/>
      <c r="N4099" s="221"/>
      <c r="O4099" s="225"/>
      <c r="P4099" s="118" t="s">
        <v>3820</v>
      </c>
      <c r="Q4099" s="16" t="s">
        <v>20</v>
      </c>
      <c r="R4099" s="17" t="s">
        <v>12649</v>
      </c>
      <c r="S4099" s="121"/>
      <c r="T4099" s="122"/>
      <c r="U4099" s="22"/>
      <c r="V4099" s="123" t="s">
        <v>2747</v>
      </c>
      <c r="W4099" s="122">
        <v>2054</v>
      </c>
      <c r="X4099" s="221"/>
      <c r="Y4099" s="221"/>
      <c r="Z4099" s="221"/>
      <c r="AA4099" s="221"/>
      <c r="AB4099" s="223"/>
    </row>
    <row r="4100" spans="1:28" ht="17.100000000000001" customHeight="1" thickTop="1">
      <c r="A4100" s="226" t="s">
        <v>12290</v>
      </c>
      <c r="B4100" s="28">
        <v>45996</v>
      </c>
      <c r="C4100" s="25">
        <v>2113</v>
      </c>
      <c r="D4100" s="13" t="s">
        <v>1973</v>
      </c>
      <c r="E4100" s="228"/>
      <c r="F4100" s="109" t="s">
        <v>11235</v>
      </c>
      <c r="G4100" s="24" t="s">
        <v>5310</v>
      </c>
      <c r="H4100" s="230">
        <v>5</v>
      </c>
      <c r="I4100" s="220">
        <v>1300000</v>
      </c>
      <c r="J4100" s="220">
        <f>I4100*0.1</f>
        <v>130000</v>
      </c>
      <c r="K4100" s="220">
        <f>7600+760</f>
        <v>8360</v>
      </c>
      <c r="L4100" s="220">
        <v>12270</v>
      </c>
      <c r="M4100" s="220">
        <v>16500</v>
      </c>
      <c r="N4100" s="220">
        <f>SUM(I4100:M4101)</f>
        <v>1467130</v>
      </c>
      <c r="O4100" s="224"/>
      <c r="P4100" s="110" t="s">
        <v>12236</v>
      </c>
      <c r="Q4100" s="15" t="s">
        <v>19</v>
      </c>
      <c r="R4100" s="205"/>
      <c r="S4100" s="189" t="s">
        <v>25394</v>
      </c>
      <c r="T4100" s="114"/>
      <c r="U4100" s="21"/>
      <c r="V4100" s="115">
        <v>46008</v>
      </c>
      <c r="W4100" s="116">
        <v>997</v>
      </c>
      <c r="X4100" s="220">
        <v>1620000</v>
      </c>
      <c r="Y4100" s="220">
        <f>X4100*0.1</f>
        <v>162000</v>
      </c>
      <c r="Z4100" s="220">
        <v>12270</v>
      </c>
      <c r="AA4100" s="220">
        <f>SUM(X4100:Z4100)</f>
        <v>1794270</v>
      </c>
      <c r="AB4100" s="222">
        <v>46013</v>
      </c>
    </row>
    <row r="4101" spans="1:28" ht="17.100000000000001" customHeight="1" thickBot="1">
      <c r="A4101" s="227"/>
      <c r="B4101" s="27" t="s">
        <v>1536</v>
      </c>
      <c r="C4101" s="27">
        <v>13054</v>
      </c>
      <c r="D4101" s="14" t="s">
        <v>1584</v>
      </c>
      <c r="E4101" s="229"/>
      <c r="F4101" s="117" t="s">
        <v>12235</v>
      </c>
      <c r="G4101" s="26">
        <v>7236</v>
      </c>
      <c r="H4101" s="231"/>
      <c r="I4101" s="221"/>
      <c r="J4101" s="221"/>
      <c r="K4101" s="221"/>
      <c r="L4101" s="221"/>
      <c r="M4101" s="221"/>
      <c r="N4101" s="221"/>
      <c r="O4101" s="225"/>
      <c r="P4101" s="118" t="s">
        <v>12142</v>
      </c>
      <c r="Q4101" s="16" t="s">
        <v>20</v>
      </c>
      <c r="R4101" s="17" t="s">
        <v>12777</v>
      </c>
      <c r="S4101" s="121" t="s">
        <v>4345</v>
      </c>
      <c r="T4101" s="122"/>
      <c r="U4101" s="22"/>
      <c r="V4101" s="123" t="s">
        <v>7161</v>
      </c>
      <c r="W4101" s="122">
        <v>5030</v>
      </c>
      <c r="X4101" s="221"/>
      <c r="Y4101" s="221"/>
      <c r="Z4101" s="221"/>
      <c r="AA4101" s="221"/>
      <c r="AB4101" s="223"/>
    </row>
    <row r="4102" spans="1:28" ht="17.100000000000001" customHeight="1" thickTop="1">
      <c r="A4102" s="226" t="s">
        <v>12291</v>
      </c>
      <c r="B4102" s="28">
        <v>45996</v>
      </c>
      <c r="C4102" s="25">
        <v>2113</v>
      </c>
      <c r="D4102" s="13" t="s">
        <v>1762</v>
      </c>
      <c r="E4102" s="228"/>
      <c r="F4102" s="109" t="s">
        <v>7061</v>
      </c>
      <c r="G4102" s="24"/>
      <c r="H4102" s="230">
        <v>4.5</v>
      </c>
      <c r="I4102" s="220">
        <v>925000</v>
      </c>
      <c r="J4102" s="220">
        <f>I4102*0.1</f>
        <v>92500</v>
      </c>
      <c r="K4102" s="220">
        <v>0</v>
      </c>
      <c r="L4102" s="220">
        <v>12450</v>
      </c>
      <c r="M4102" s="220">
        <v>16500</v>
      </c>
      <c r="N4102" s="220">
        <f>SUM(I4102:M4103)</f>
        <v>1046450</v>
      </c>
      <c r="O4102" s="224"/>
      <c r="P4102" s="110" t="s">
        <v>12916</v>
      </c>
      <c r="Q4102" s="15" t="s">
        <v>19</v>
      </c>
      <c r="R4102" s="205"/>
      <c r="S4102" s="189" t="s">
        <v>1271</v>
      </c>
      <c r="T4102" s="114"/>
      <c r="U4102" s="21"/>
      <c r="V4102" s="115">
        <v>46011</v>
      </c>
      <c r="W4102" s="116">
        <v>1281</v>
      </c>
      <c r="X4102" s="220">
        <v>1090000</v>
      </c>
      <c r="Y4102" s="220">
        <f>X4102*0.1</f>
        <v>109000</v>
      </c>
      <c r="Z4102" s="220">
        <v>12450</v>
      </c>
      <c r="AA4102" s="220">
        <f>SUM(X4102:Z4102)</f>
        <v>1211450</v>
      </c>
      <c r="AB4102" s="222">
        <v>46014</v>
      </c>
    </row>
    <row r="4103" spans="1:28" ht="17.100000000000001" customHeight="1" thickBot="1">
      <c r="A4103" s="227"/>
      <c r="B4103" s="27" t="s">
        <v>1536</v>
      </c>
      <c r="C4103" s="27">
        <v>13240</v>
      </c>
      <c r="D4103" s="14" t="s">
        <v>1584</v>
      </c>
      <c r="E4103" s="229"/>
      <c r="F4103" s="117" t="s">
        <v>12237</v>
      </c>
      <c r="G4103" s="26">
        <v>37478</v>
      </c>
      <c r="H4103" s="231"/>
      <c r="I4103" s="221"/>
      <c r="J4103" s="221"/>
      <c r="K4103" s="221"/>
      <c r="L4103" s="221"/>
      <c r="M4103" s="221"/>
      <c r="N4103" s="221"/>
      <c r="O4103" s="225"/>
      <c r="P4103" s="118" t="s">
        <v>3355</v>
      </c>
      <c r="Q4103" s="16" t="s">
        <v>20</v>
      </c>
      <c r="R4103" s="17" t="s">
        <v>12777</v>
      </c>
      <c r="S4103" s="121" t="s">
        <v>13167</v>
      </c>
      <c r="T4103" s="122"/>
      <c r="U4103" s="22"/>
      <c r="V4103" s="123" t="s">
        <v>2472</v>
      </c>
      <c r="W4103" s="122">
        <v>80026</v>
      </c>
      <c r="X4103" s="221"/>
      <c r="Y4103" s="221"/>
      <c r="Z4103" s="221"/>
      <c r="AA4103" s="221"/>
      <c r="AB4103" s="223"/>
    </row>
    <row r="4104" spans="1:28" ht="17.100000000000001" customHeight="1" thickTop="1">
      <c r="A4104" s="226" t="s">
        <v>12292</v>
      </c>
      <c r="B4104" s="28">
        <v>45996</v>
      </c>
      <c r="C4104" s="25">
        <v>2113</v>
      </c>
      <c r="D4104" s="13" t="s">
        <v>3406</v>
      </c>
      <c r="E4104" s="228"/>
      <c r="F4104" s="109" t="s">
        <v>12238</v>
      </c>
      <c r="G4104" s="24"/>
      <c r="H4104" s="230">
        <v>4.5</v>
      </c>
      <c r="I4104" s="220">
        <v>4285000</v>
      </c>
      <c r="J4104" s="220">
        <f>I4104*0.1</f>
        <v>428500</v>
      </c>
      <c r="K4104" s="220">
        <v>0</v>
      </c>
      <c r="L4104" s="220">
        <v>15620</v>
      </c>
      <c r="M4104" s="220">
        <v>16500</v>
      </c>
      <c r="N4104" s="220">
        <f>SUM(I4104:M4105)</f>
        <v>4745620</v>
      </c>
      <c r="O4104" s="224"/>
      <c r="P4104" s="110" t="s">
        <v>12917</v>
      </c>
      <c r="Q4104" s="15" t="s">
        <v>19</v>
      </c>
      <c r="R4104" s="205"/>
      <c r="S4104" s="189" t="s">
        <v>1271</v>
      </c>
      <c r="T4104" s="114"/>
      <c r="U4104" s="21"/>
      <c r="V4104" s="115">
        <v>46008</v>
      </c>
      <c r="W4104" s="116">
        <v>997</v>
      </c>
      <c r="X4104" s="220">
        <v>4400000</v>
      </c>
      <c r="Y4104" s="220">
        <f>X4104*0.1</f>
        <v>440000</v>
      </c>
      <c r="Z4104" s="220">
        <v>15620</v>
      </c>
      <c r="AA4104" s="220">
        <f>SUM(X4104:Z4104)</f>
        <v>4855620</v>
      </c>
      <c r="AB4104" s="222">
        <v>46013</v>
      </c>
    </row>
    <row r="4105" spans="1:28" ht="17.100000000000001" customHeight="1" thickBot="1">
      <c r="A4105" s="227"/>
      <c r="B4105" s="27" t="s">
        <v>1536</v>
      </c>
      <c r="C4105" s="27">
        <v>35098</v>
      </c>
      <c r="D4105" s="14" t="s">
        <v>273</v>
      </c>
      <c r="E4105" s="229"/>
      <c r="F4105" s="117" t="s">
        <v>12239</v>
      </c>
      <c r="G4105" s="26">
        <v>21955</v>
      </c>
      <c r="H4105" s="231"/>
      <c r="I4105" s="221"/>
      <c r="J4105" s="221"/>
      <c r="K4105" s="221"/>
      <c r="L4105" s="221"/>
      <c r="M4105" s="221"/>
      <c r="N4105" s="221"/>
      <c r="O4105" s="225"/>
      <c r="P4105" s="118" t="s">
        <v>3355</v>
      </c>
      <c r="Q4105" s="16" t="s">
        <v>20</v>
      </c>
      <c r="R4105" s="17" t="s">
        <v>12777</v>
      </c>
      <c r="S4105" s="121" t="s">
        <v>1606</v>
      </c>
      <c r="T4105" s="122"/>
      <c r="U4105" s="22"/>
      <c r="V4105" s="123" t="s">
        <v>2747</v>
      </c>
      <c r="W4105" s="122">
        <v>5029</v>
      </c>
      <c r="X4105" s="221"/>
      <c r="Y4105" s="221"/>
      <c r="Z4105" s="221"/>
      <c r="AA4105" s="221"/>
      <c r="AB4105" s="223"/>
    </row>
    <row r="4106" spans="1:28" ht="17.100000000000001" customHeight="1" thickTop="1">
      <c r="A4106" s="233" t="s">
        <v>12293</v>
      </c>
      <c r="B4106" s="28">
        <v>45996</v>
      </c>
      <c r="C4106" s="25"/>
      <c r="D4106" s="13" t="s">
        <v>1810</v>
      </c>
      <c r="E4106" s="228"/>
      <c r="F4106" s="109" t="s">
        <v>12300</v>
      </c>
      <c r="G4106" s="24" t="s">
        <v>12302</v>
      </c>
      <c r="H4106" s="230">
        <v>4.5</v>
      </c>
      <c r="I4106" s="220">
        <f>4620000/1.1</f>
        <v>4200000</v>
      </c>
      <c r="J4106" s="220">
        <f>I4106*0.1</f>
        <v>420000</v>
      </c>
      <c r="K4106" s="220">
        <v>8300</v>
      </c>
      <c r="L4106" s="220">
        <v>15540</v>
      </c>
      <c r="M4106" s="220">
        <v>0</v>
      </c>
      <c r="N4106" s="220">
        <f>SUM(I4106:M4107)</f>
        <v>4643840</v>
      </c>
      <c r="O4106" s="224"/>
      <c r="P4106" s="110" t="s">
        <v>14320</v>
      </c>
      <c r="Q4106" s="15" t="s">
        <v>19</v>
      </c>
      <c r="R4106" s="205"/>
      <c r="S4106" s="189"/>
      <c r="T4106" s="114"/>
      <c r="U4106" s="21"/>
      <c r="V4106" s="115">
        <v>46039</v>
      </c>
      <c r="W4106" s="116">
        <v>1284</v>
      </c>
      <c r="X4106" s="220">
        <v>4250000</v>
      </c>
      <c r="Y4106" s="220">
        <f>X4106*0.1</f>
        <v>425000</v>
      </c>
      <c r="Z4106" s="220">
        <v>15540</v>
      </c>
      <c r="AA4106" s="220">
        <f>SUM(X4106:Z4106)</f>
        <v>4690540</v>
      </c>
      <c r="AB4106" s="222">
        <v>46042</v>
      </c>
    </row>
    <row r="4107" spans="1:28" ht="17.100000000000001" customHeight="1" thickBot="1">
      <c r="A4107" s="234"/>
      <c r="B4107" s="27" t="s">
        <v>1708</v>
      </c>
      <c r="C4107" s="27" t="s">
        <v>12299</v>
      </c>
      <c r="D4107" s="14" t="s">
        <v>273</v>
      </c>
      <c r="E4107" s="229"/>
      <c r="F4107" s="117" t="s">
        <v>12301</v>
      </c>
      <c r="G4107" s="26">
        <v>29500</v>
      </c>
      <c r="H4107" s="231"/>
      <c r="I4107" s="221"/>
      <c r="J4107" s="221"/>
      <c r="K4107" s="221"/>
      <c r="L4107" s="221"/>
      <c r="M4107" s="221"/>
      <c r="N4107" s="221"/>
      <c r="O4107" s="225"/>
      <c r="P4107" s="118" t="s">
        <v>1972</v>
      </c>
      <c r="Q4107" s="16" t="s">
        <v>20</v>
      </c>
      <c r="R4107" s="17" t="s">
        <v>4050</v>
      </c>
      <c r="S4107" s="121"/>
      <c r="T4107" s="122"/>
      <c r="U4107" s="22"/>
      <c r="V4107" s="123" t="s">
        <v>2472</v>
      </c>
      <c r="W4107" s="122">
        <v>31154</v>
      </c>
      <c r="X4107" s="221"/>
      <c r="Y4107" s="221"/>
      <c r="Z4107" s="221"/>
      <c r="AA4107" s="221"/>
      <c r="AB4107" s="223"/>
    </row>
    <row r="4108" spans="1:28" ht="17.100000000000001" customHeight="1" thickTop="1">
      <c r="A4108" s="226" t="s">
        <v>12294</v>
      </c>
      <c r="B4108" s="28">
        <v>45996</v>
      </c>
      <c r="C4108" s="25"/>
      <c r="D4108" s="13" t="s">
        <v>2406</v>
      </c>
      <c r="E4108" s="228"/>
      <c r="F4108" s="109" t="s">
        <v>4809</v>
      </c>
      <c r="G4108" s="24" t="s">
        <v>3408</v>
      </c>
      <c r="H4108" s="230">
        <v>4</v>
      </c>
      <c r="I4108" s="220">
        <f>990000/1.1</f>
        <v>899999.99999999988</v>
      </c>
      <c r="J4108" s="220">
        <f>I4108*0.1</f>
        <v>90000</v>
      </c>
      <c r="K4108" s="220">
        <v>0</v>
      </c>
      <c r="L4108" s="220">
        <v>9200</v>
      </c>
      <c r="M4108" s="220">
        <v>0</v>
      </c>
      <c r="N4108" s="220">
        <f>SUM(I4108:M4109)</f>
        <v>999199.99999999988</v>
      </c>
      <c r="O4108" s="224"/>
      <c r="P4108" s="110" t="s">
        <v>14218</v>
      </c>
      <c r="Q4108" s="15" t="s">
        <v>19</v>
      </c>
      <c r="R4108" s="205"/>
      <c r="S4108" s="189" t="s">
        <v>1361</v>
      </c>
      <c r="T4108" s="114"/>
      <c r="U4108" s="21"/>
      <c r="V4108" s="115">
        <v>46053</v>
      </c>
      <c r="W4108" s="116">
        <v>1286</v>
      </c>
      <c r="X4108" s="220">
        <v>910000</v>
      </c>
      <c r="Y4108" s="220">
        <f>X4108*0.1</f>
        <v>91000</v>
      </c>
      <c r="Z4108" s="220">
        <v>9200</v>
      </c>
      <c r="AA4108" s="220">
        <f>SUM(X4108:Z4108)</f>
        <v>1010200</v>
      </c>
      <c r="AB4108" s="222">
        <v>46056</v>
      </c>
    </row>
    <row r="4109" spans="1:28" ht="17.100000000000001" customHeight="1" thickBot="1">
      <c r="A4109" s="227"/>
      <c r="B4109" s="27" t="s">
        <v>1708</v>
      </c>
      <c r="C4109" s="27" t="s">
        <v>12240</v>
      </c>
      <c r="D4109" s="14" t="s">
        <v>1584</v>
      </c>
      <c r="E4109" s="229"/>
      <c r="F4109" s="117" t="s">
        <v>12241</v>
      </c>
      <c r="G4109" s="26">
        <v>42406</v>
      </c>
      <c r="H4109" s="231"/>
      <c r="I4109" s="221"/>
      <c r="J4109" s="221"/>
      <c r="K4109" s="221"/>
      <c r="L4109" s="221"/>
      <c r="M4109" s="221"/>
      <c r="N4109" s="221"/>
      <c r="O4109" s="225"/>
      <c r="P4109" s="118" t="s">
        <v>14219</v>
      </c>
      <c r="Q4109" s="16" t="s">
        <v>20</v>
      </c>
      <c r="R4109" s="17" t="s">
        <v>1953</v>
      </c>
      <c r="S4109" s="121" t="s">
        <v>1731</v>
      </c>
      <c r="T4109" s="122"/>
      <c r="U4109" s="22"/>
      <c r="V4109" s="123" t="s">
        <v>2472</v>
      </c>
      <c r="W4109" s="122">
        <v>31262</v>
      </c>
      <c r="X4109" s="221"/>
      <c r="Y4109" s="221"/>
      <c r="Z4109" s="221"/>
      <c r="AA4109" s="221"/>
      <c r="AB4109" s="223"/>
    </row>
    <row r="4110" spans="1:28" ht="17.100000000000001" customHeight="1" thickTop="1">
      <c r="A4110" s="233" t="s">
        <v>12295</v>
      </c>
      <c r="B4110" s="28">
        <v>45996</v>
      </c>
      <c r="C4110" s="25"/>
      <c r="D4110" s="13" t="s">
        <v>1748</v>
      </c>
      <c r="E4110" s="228"/>
      <c r="F4110" s="109" t="s">
        <v>12304</v>
      </c>
      <c r="G4110" s="24" t="s">
        <v>12306</v>
      </c>
      <c r="H4110" s="230">
        <v>4</v>
      </c>
      <c r="I4110" s="220">
        <f>2667500/1.1</f>
        <v>2425000</v>
      </c>
      <c r="J4110" s="220">
        <f>I4110*0.1</f>
        <v>242500</v>
      </c>
      <c r="K4110" s="220">
        <v>9000</v>
      </c>
      <c r="L4110" s="220">
        <v>12030</v>
      </c>
      <c r="M4110" s="220">
        <v>0</v>
      </c>
      <c r="N4110" s="220">
        <f>SUM(I4110:M4111)</f>
        <v>2688530</v>
      </c>
      <c r="O4110" s="224"/>
      <c r="P4110" s="110" t="s">
        <v>13377</v>
      </c>
      <c r="Q4110" s="15" t="s">
        <v>19</v>
      </c>
      <c r="R4110" s="205"/>
      <c r="S4110" s="189" t="s">
        <v>1276</v>
      </c>
      <c r="T4110" s="114"/>
      <c r="U4110" s="21"/>
      <c r="V4110" s="115">
        <v>46032</v>
      </c>
      <c r="W4110" s="116">
        <v>1283</v>
      </c>
      <c r="X4110" s="220">
        <v>2315000</v>
      </c>
      <c r="Y4110" s="220">
        <v>231500</v>
      </c>
      <c r="Z4110" s="220">
        <v>12030</v>
      </c>
      <c r="AA4110" s="220">
        <f>SUM(X4110:Z4110)</f>
        <v>2558530</v>
      </c>
      <c r="AB4110" s="222">
        <v>46036</v>
      </c>
    </row>
    <row r="4111" spans="1:28" ht="17.100000000000001" customHeight="1" thickBot="1">
      <c r="A4111" s="234"/>
      <c r="B4111" s="27" t="s">
        <v>1708</v>
      </c>
      <c r="C4111" s="27" t="s">
        <v>12303</v>
      </c>
      <c r="D4111" s="14" t="s">
        <v>2559</v>
      </c>
      <c r="E4111" s="229"/>
      <c r="F4111" s="117" t="s">
        <v>12305</v>
      </c>
      <c r="G4111" s="26">
        <v>35463</v>
      </c>
      <c r="H4111" s="231"/>
      <c r="I4111" s="221"/>
      <c r="J4111" s="221"/>
      <c r="K4111" s="221"/>
      <c r="L4111" s="221"/>
      <c r="M4111" s="221"/>
      <c r="N4111" s="221"/>
      <c r="O4111" s="225"/>
      <c r="P4111" s="118" t="s">
        <v>13378</v>
      </c>
      <c r="Q4111" s="16" t="s">
        <v>20</v>
      </c>
      <c r="R4111" s="17" t="s">
        <v>1769</v>
      </c>
      <c r="S4111" s="121" t="s">
        <v>1606</v>
      </c>
      <c r="T4111" s="122"/>
      <c r="U4111" s="22"/>
      <c r="V4111" s="123" t="s">
        <v>2472</v>
      </c>
      <c r="W4111" s="122">
        <v>31204</v>
      </c>
      <c r="X4111" s="221"/>
      <c r="Y4111" s="221"/>
      <c r="Z4111" s="221"/>
      <c r="AA4111" s="221"/>
      <c r="AB4111" s="223"/>
    </row>
    <row r="4112" spans="1:28" ht="17.100000000000001" customHeight="1" thickTop="1">
      <c r="A4112" s="226" t="s">
        <v>12296</v>
      </c>
      <c r="B4112" s="28">
        <v>45996</v>
      </c>
      <c r="C4112" s="25"/>
      <c r="D4112" s="13" t="s">
        <v>1988</v>
      </c>
      <c r="E4112" s="228"/>
      <c r="F4112" s="109" t="s">
        <v>12308</v>
      </c>
      <c r="G4112" s="24" t="s">
        <v>11741</v>
      </c>
      <c r="H4112" s="230">
        <v>4.5</v>
      </c>
      <c r="I4112" s="220">
        <f>4961000/1.1</f>
        <v>4510000</v>
      </c>
      <c r="J4112" s="220">
        <v>451000</v>
      </c>
      <c r="K4112" s="220">
        <v>2600</v>
      </c>
      <c r="L4112" s="220">
        <v>13390</v>
      </c>
      <c r="M4112" s="220">
        <v>0</v>
      </c>
      <c r="N4112" s="220">
        <f>SUM(I4112:M4113)</f>
        <v>4976990</v>
      </c>
      <c r="O4112" s="224"/>
      <c r="P4112" s="110" t="s">
        <v>17689</v>
      </c>
      <c r="Q4112" s="15" t="s">
        <v>19</v>
      </c>
      <c r="R4112" s="205"/>
      <c r="S4112" s="189" t="s">
        <v>25386</v>
      </c>
      <c r="T4112" s="114"/>
      <c r="U4112" s="21"/>
      <c r="V4112" s="115">
        <v>46064</v>
      </c>
      <c r="W4112" s="116">
        <v>1004</v>
      </c>
      <c r="X4112" s="220">
        <v>4665000</v>
      </c>
      <c r="Y4112" s="220">
        <f>X4112*0.1</f>
        <v>466500</v>
      </c>
      <c r="Z4112" s="220">
        <v>13390</v>
      </c>
      <c r="AA4112" s="220">
        <f>SUM(X4112:Z4112)</f>
        <v>5144890</v>
      </c>
      <c r="AB4112" s="222">
        <v>46071</v>
      </c>
    </row>
    <row r="4113" spans="1:28" ht="17.100000000000001" customHeight="1" thickBot="1">
      <c r="A4113" s="227"/>
      <c r="B4113" s="27" t="s">
        <v>1708</v>
      </c>
      <c r="C4113" s="27" t="s">
        <v>12307</v>
      </c>
      <c r="D4113" s="14" t="s">
        <v>2559</v>
      </c>
      <c r="E4113" s="229"/>
      <c r="F4113" s="117" t="s">
        <v>12309</v>
      </c>
      <c r="G4113" s="26">
        <v>16000</v>
      </c>
      <c r="H4113" s="231"/>
      <c r="I4113" s="221"/>
      <c r="J4113" s="221"/>
      <c r="K4113" s="221"/>
      <c r="L4113" s="221"/>
      <c r="M4113" s="221"/>
      <c r="N4113" s="221"/>
      <c r="O4113" s="225"/>
      <c r="P4113" s="118" t="s">
        <v>17690</v>
      </c>
      <c r="Q4113" s="16" t="s">
        <v>20</v>
      </c>
      <c r="R4113" s="17" t="s">
        <v>3913</v>
      </c>
      <c r="S4113" s="121" t="s">
        <v>17691</v>
      </c>
      <c r="T4113" s="122"/>
      <c r="U4113" s="22"/>
      <c r="V4113" s="123" t="s">
        <v>8877</v>
      </c>
      <c r="W4113" s="122">
        <v>8005</v>
      </c>
      <c r="X4113" s="221"/>
      <c r="Y4113" s="221"/>
      <c r="Z4113" s="221"/>
      <c r="AA4113" s="221"/>
      <c r="AB4113" s="223"/>
    </row>
    <row r="4114" spans="1:28" ht="17.100000000000001" customHeight="1" thickTop="1">
      <c r="A4114" s="226" t="s">
        <v>12297</v>
      </c>
      <c r="B4114" s="28">
        <v>45996</v>
      </c>
      <c r="C4114" s="25"/>
      <c r="D4114" s="13" t="s">
        <v>1678</v>
      </c>
      <c r="E4114" s="228"/>
      <c r="F4114" s="109" t="s">
        <v>12311</v>
      </c>
      <c r="G4114" s="24" t="s">
        <v>9136</v>
      </c>
      <c r="H4114" s="230">
        <v>4.5</v>
      </c>
      <c r="I4114" s="220">
        <f>1446500/1.1</f>
        <v>1315000</v>
      </c>
      <c r="J4114" s="220">
        <f>I4114*0.1</f>
        <v>131500</v>
      </c>
      <c r="K4114" s="220">
        <v>0</v>
      </c>
      <c r="L4114" s="220">
        <v>6850</v>
      </c>
      <c r="M4114" s="220">
        <v>0</v>
      </c>
      <c r="N4114" s="220">
        <f>SUM(I4114:M4115)</f>
        <v>1453350</v>
      </c>
      <c r="O4114" s="224"/>
      <c r="P4114" s="110" t="s">
        <v>14731</v>
      </c>
      <c r="Q4114" s="15" t="s">
        <v>19</v>
      </c>
      <c r="R4114" s="205"/>
      <c r="S4114" s="189" t="s">
        <v>1276</v>
      </c>
      <c r="T4114" s="114"/>
      <c r="U4114" s="21"/>
      <c r="V4114" s="115">
        <v>46056</v>
      </c>
      <c r="W4114" s="116">
        <v>1927</v>
      </c>
      <c r="X4114" s="220">
        <v>1381000</v>
      </c>
      <c r="Y4114" s="220">
        <f>X4114*0.1</f>
        <v>138100</v>
      </c>
      <c r="Z4114" s="220">
        <v>6850</v>
      </c>
      <c r="AA4114" s="220">
        <f>SUM(X4114:Z4114)</f>
        <v>1525950</v>
      </c>
      <c r="AB4114" s="222">
        <v>46063</v>
      </c>
    </row>
    <row r="4115" spans="1:28" ht="17.100000000000001" customHeight="1" thickBot="1">
      <c r="A4115" s="227"/>
      <c r="B4115" s="27" t="s">
        <v>1708</v>
      </c>
      <c r="C4115" s="27" t="s">
        <v>12310</v>
      </c>
      <c r="D4115" s="14" t="s">
        <v>898</v>
      </c>
      <c r="E4115" s="229"/>
      <c r="F4115" s="117" t="s">
        <v>12312</v>
      </c>
      <c r="G4115" s="26">
        <v>31471</v>
      </c>
      <c r="H4115" s="231"/>
      <c r="I4115" s="221"/>
      <c r="J4115" s="221"/>
      <c r="K4115" s="221"/>
      <c r="L4115" s="221"/>
      <c r="M4115" s="221"/>
      <c r="N4115" s="221"/>
      <c r="O4115" s="225"/>
      <c r="P4115" s="118" t="s">
        <v>14732</v>
      </c>
      <c r="Q4115" s="16" t="s">
        <v>20</v>
      </c>
      <c r="R4115" s="17" t="s">
        <v>14717</v>
      </c>
      <c r="S4115" s="121" t="s">
        <v>1606</v>
      </c>
      <c r="T4115" s="122"/>
      <c r="U4115" s="22"/>
      <c r="V4115" s="123" t="s">
        <v>2103</v>
      </c>
      <c r="W4115" s="122">
        <v>3081</v>
      </c>
      <c r="X4115" s="221"/>
      <c r="Y4115" s="221"/>
      <c r="Z4115" s="221"/>
      <c r="AA4115" s="221"/>
      <c r="AB4115" s="223"/>
    </row>
    <row r="4116" spans="1:28" ht="17.100000000000001" customHeight="1" thickTop="1">
      <c r="A4116" s="233" t="s">
        <v>12298</v>
      </c>
      <c r="B4116" s="28">
        <v>45996</v>
      </c>
      <c r="C4116" s="25"/>
      <c r="D4116" s="13" t="s">
        <v>2379</v>
      </c>
      <c r="E4116" s="228"/>
      <c r="F4116" s="109" t="s">
        <v>12314</v>
      </c>
      <c r="G4116" s="24" t="s">
        <v>12316</v>
      </c>
      <c r="H4116" s="230">
        <v>5</v>
      </c>
      <c r="I4116" s="220">
        <f>5797000/1.1</f>
        <v>5270000</v>
      </c>
      <c r="J4116" s="220">
        <f>I4116*0.1</f>
        <v>527000</v>
      </c>
      <c r="K4116" s="220">
        <v>12500</v>
      </c>
      <c r="L4116" s="220">
        <v>14230</v>
      </c>
      <c r="M4116" s="220">
        <v>0</v>
      </c>
      <c r="N4116" s="220">
        <f>SUM(I4116:M4117)</f>
        <v>5823730</v>
      </c>
      <c r="O4116" s="224"/>
      <c r="P4116" s="110" t="s">
        <v>14746</v>
      </c>
      <c r="Q4116" s="15" t="s">
        <v>19</v>
      </c>
      <c r="R4116" s="205"/>
      <c r="S4116" s="189" t="s">
        <v>1276</v>
      </c>
      <c r="T4116" s="114"/>
      <c r="U4116" s="21"/>
      <c r="V4116" s="115">
        <v>46039</v>
      </c>
      <c r="W4116" s="116">
        <v>1284</v>
      </c>
      <c r="X4116" s="220">
        <v>5410000</v>
      </c>
      <c r="Y4116" s="220">
        <f>X4116*0.1</f>
        <v>541000</v>
      </c>
      <c r="Z4116" s="220">
        <v>14230</v>
      </c>
      <c r="AA4116" s="220">
        <f>SUM(X4116:Z4116)</f>
        <v>5965230</v>
      </c>
      <c r="AB4116" s="222">
        <v>46042</v>
      </c>
    </row>
    <row r="4117" spans="1:28" ht="17.100000000000001" customHeight="1" thickBot="1">
      <c r="A4117" s="234"/>
      <c r="B4117" s="27" t="s">
        <v>1708</v>
      </c>
      <c r="C4117" s="27" t="s">
        <v>12313</v>
      </c>
      <c r="D4117" s="14" t="s">
        <v>2559</v>
      </c>
      <c r="E4117" s="229"/>
      <c r="F4117" s="117" t="s">
        <v>12315</v>
      </c>
      <c r="G4117" s="26">
        <v>9071</v>
      </c>
      <c r="H4117" s="231"/>
      <c r="I4117" s="221"/>
      <c r="J4117" s="221"/>
      <c r="K4117" s="221"/>
      <c r="L4117" s="221"/>
      <c r="M4117" s="221"/>
      <c r="N4117" s="221"/>
      <c r="O4117" s="225"/>
      <c r="P4117" s="118" t="s">
        <v>11263</v>
      </c>
      <c r="Q4117" s="16" t="s">
        <v>20</v>
      </c>
      <c r="R4117" s="17" t="s">
        <v>14747</v>
      </c>
      <c r="S4117" s="121" t="s">
        <v>1606</v>
      </c>
      <c r="T4117" s="122"/>
      <c r="U4117" s="22"/>
      <c r="V4117" s="123" t="s">
        <v>2472</v>
      </c>
      <c r="W4117" s="122">
        <v>31152</v>
      </c>
      <c r="X4117" s="221"/>
      <c r="Y4117" s="221"/>
      <c r="Z4117" s="221"/>
      <c r="AA4117" s="221"/>
      <c r="AB4117" s="223"/>
    </row>
    <row r="4118" spans="1:28" ht="17.100000000000001" customHeight="1" thickTop="1">
      <c r="A4118" s="226" t="s">
        <v>12317</v>
      </c>
      <c r="B4118" s="28">
        <v>45996</v>
      </c>
      <c r="C4118" s="25">
        <v>74</v>
      </c>
      <c r="D4118" s="13" t="s">
        <v>2406</v>
      </c>
      <c r="E4118" s="228"/>
      <c r="F4118" s="109" t="s">
        <v>12260</v>
      </c>
      <c r="G4118" s="24" t="s">
        <v>2810</v>
      </c>
      <c r="H4118" s="230">
        <v>4.5</v>
      </c>
      <c r="I4118" s="220">
        <v>3135000</v>
      </c>
      <c r="J4118" s="220">
        <f>I4118*0.1</f>
        <v>313500</v>
      </c>
      <c r="K4118" s="220">
        <f>14500+1450</f>
        <v>15950</v>
      </c>
      <c r="L4118" s="220">
        <v>14980</v>
      </c>
      <c r="M4118" s="220">
        <v>88000</v>
      </c>
      <c r="N4118" s="220">
        <f>SUM(I4118:M4119)</f>
        <v>3567430</v>
      </c>
      <c r="O4118" s="224"/>
      <c r="P4118" s="110" t="s">
        <v>13056</v>
      </c>
      <c r="Q4118" s="15" t="s">
        <v>19</v>
      </c>
      <c r="R4118" s="205"/>
      <c r="S4118" s="189" t="s">
        <v>25605</v>
      </c>
      <c r="T4118" s="114"/>
      <c r="U4118" s="21"/>
      <c r="V4118" s="115">
        <v>46004</v>
      </c>
      <c r="W4118" s="116">
        <v>1280</v>
      </c>
      <c r="X4118" s="220">
        <v>3270000</v>
      </c>
      <c r="Y4118" s="220">
        <f>X4118*0.1</f>
        <v>327000</v>
      </c>
      <c r="Z4118" s="220">
        <v>14980</v>
      </c>
      <c r="AA4118" s="220">
        <f>SUM(X4118:Z4118)</f>
        <v>3611980</v>
      </c>
      <c r="AB4118" s="222">
        <v>46014</v>
      </c>
    </row>
    <row r="4119" spans="1:28" ht="17.100000000000001" customHeight="1" thickBot="1">
      <c r="A4119" s="227"/>
      <c r="B4119" s="27" t="s">
        <v>4468</v>
      </c>
      <c r="C4119" s="27">
        <v>1003</v>
      </c>
      <c r="D4119" s="14" t="s">
        <v>273</v>
      </c>
      <c r="E4119" s="229"/>
      <c r="F4119" s="117" t="s">
        <v>12257</v>
      </c>
      <c r="G4119" s="26">
        <v>52326</v>
      </c>
      <c r="H4119" s="231"/>
      <c r="I4119" s="221"/>
      <c r="J4119" s="221"/>
      <c r="K4119" s="221"/>
      <c r="L4119" s="221"/>
      <c r="M4119" s="221"/>
      <c r="N4119" s="221"/>
      <c r="O4119" s="225"/>
      <c r="P4119" s="118" t="s">
        <v>13057</v>
      </c>
      <c r="Q4119" s="16" t="s">
        <v>20</v>
      </c>
      <c r="R4119" s="17" t="s">
        <v>2235</v>
      </c>
      <c r="S4119" s="121" t="s">
        <v>13058</v>
      </c>
      <c r="T4119" s="122"/>
      <c r="U4119" s="22"/>
      <c r="V4119" s="123" t="s">
        <v>2472</v>
      </c>
      <c r="W4119" s="122">
        <v>37877</v>
      </c>
      <c r="X4119" s="221"/>
      <c r="Y4119" s="221"/>
      <c r="Z4119" s="221"/>
      <c r="AA4119" s="221"/>
      <c r="AB4119" s="223"/>
    </row>
    <row r="4120" spans="1:28" ht="17.100000000000001" customHeight="1" thickTop="1">
      <c r="A4120" s="233" t="s">
        <v>12318</v>
      </c>
      <c r="B4120" s="28">
        <v>45996</v>
      </c>
      <c r="C4120" s="25">
        <v>74</v>
      </c>
      <c r="D4120" s="13" t="s">
        <v>1961</v>
      </c>
      <c r="E4120" s="228"/>
      <c r="F4120" s="109" t="s">
        <v>12261</v>
      </c>
      <c r="G4120" s="24" t="s">
        <v>2894</v>
      </c>
      <c r="H4120" s="230">
        <v>4.5</v>
      </c>
      <c r="I4120" s="220">
        <v>3645000</v>
      </c>
      <c r="J4120" s="220">
        <f>I4120*0.1</f>
        <v>364500</v>
      </c>
      <c r="K4120" s="220">
        <f>10800+1080</f>
        <v>11880</v>
      </c>
      <c r="L4120" s="220">
        <v>14900</v>
      </c>
      <c r="M4120" s="220">
        <v>88000</v>
      </c>
      <c r="N4120" s="220">
        <f>SUM(I4120:M4121)</f>
        <v>4124280</v>
      </c>
      <c r="O4120" s="224"/>
      <c r="P4120" s="110" t="s">
        <v>14050</v>
      </c>
      <c r="Q4120" s="15" t="s">
        <v>19</v>
      </c>
      <c r="R4120" s="205"/>
      <c r="S4120" s="189" t="s">
        <v>25605</v>
      </c>
      <c r="T4120" s="114"/>
      <c r="U4120" s="21" t="s">
        <v>14182</v>
      </c>
      <c r="V4120" s="115">
        <v>46039</v>
      </c>
      <c r="W4120" s="116">
        <v>1284</v>
      </c>
      <c r="X4120" s="220">
        <v>3755000</v>
      </c>
      <c r="Y4120" s="220">
        <f>X4120*0.1</f>
        <v>375500</v>
      </c>
      <c r="Z4120" s="220">
        <v>14900</v>
      </c>
      <c r="AA4120" s="220">
        <f>SUM(X4120:Z4120)</f>
        <v>4145400</v>
      </c>
      <c r="AB4120" s="222">
        <v>46042</v>
      </c>
    </row>
    <row r="4121" spans="1:28" ht="17.100000000000001" customHeight="1" thickBot="1">
      <c r="A4121" s="234"/>
      <c r="B4121" s="27" t="s">
        <v>4468</v>
      </c>
      <c r="C4121" s="27">
        <v>1023</v>
      </c>
      <c r="D4121" s="14" t="s">
        <v>2559</v>
      </c>
      <c r="E4121" s="229"/>
      <c r="F4121" s="117" t="s">
        <v>12258</v>
      </c>
      <c r="G4121" s="26">
        <v>56295</v>
      </c>
      <c r="H4121" s="231"/>
      <c r="I4121" s="221"/>
      <c r="J4121" s="221"/>
      <c r="K4121" s="221"/>
      <c r="L4121" s="221"/>
      <c r="M4121" s="221"/>
      <c r="N4121" s="221"/>
      <c r="O4121" s="225"/>
      <c r="P4121" s="118" t="s">
        <v>14051</v>
      </c>
      <c r="Q4121" s="16" t="s">
        <v>20</v>
      </c>
      <c r="R4121" s="17" t="s">
        <v>14046</v>
      </c>
      <c r="S4121" s="121" t="s">
        <v>1606</v>
      </c>
      <c r="T4121" s="122"/>
      <c r="U4121" s="22"/>
      <c r="V4121" s="123" t="s">
        <v>2472</v>
      </c>
      <c r="W4121" s="122">
        <v>31148</v>
      </c>
      <c r="X4121" s="221"/>
      <c r="Y4121" s="221"/>
      <c r="Z4121" s="221"/>
      <c r="AA4121" s="221"/>
      <c r="AB4121" s="223"/>
    </row>
    <row r="4122" spans="1:28" ht="17.100000000000001" customHeight="1" thickTop="1">
      <c r="A4122" s="233" t="s">
        <v>12319</v>
      </c>
      <c r="B4122" s="28">
        <v>45996</v>
      </c>
      <c r="C4122" s="25">
        <v>74</v>
      </c>
      <c r="D4122" s="13" t="s">
        <v>1704</v>
      </c>
      <c r="E4122" s="228"/>
      <c r="F4122" s="109" t="s">
        <v>12262</v>
      </c>
      <c r="G4122" s="24" t="s">
        <v>2487</v>
      </c>
      <c r="H4122" s="230">
        <v>4.5</v>
      </c>
      <c r="I4122" s="220">
        <v>1710000</v>
      </c>
      <c r="J4122" s="220">
        <f>I4122*0.1</f>
        <v>171000</v>
      </c>
      <c r="K4122" s="220">
        <f>7600+760</f>
        <v>8360</v>
      </c>
      <c r="L4122" s="220">
        <v>8340</v>
      </c>
      <c r="M4122" s="220">
        <v>44000</v>
      </c>
      <c r="N4122" s="220">
        <f>SUM(I4122:M4123)</f>
        <v>1941700</v>
      </c>
      <c r="O4122" s="224"/>
      <c r="P4122" s="110" t="s">
        <v>14390</v>
      </c>
      <c r="Q4122" s="15" t="s">
        <v>19</v>
      </c>
      <c r="R4122" s="205"/>
      <c r="S4122" s="189" t="s">
        <v>25577</v>
      </c>
      <c r="T4122" s="114"/>
      <c r="U4122" s="21"/>
      <c r="V4122" s="115">
        <v>46032</v>
      </c>
      <c r="W4122" s="116">
        <v>1283</v>
      </c>
      <c r="X4122" s="220">
        <v>1805000</v>
      </c>
      <c r="Y4122" s="220">
        <f>X4122*0.1</f>
        <v>180500</v>
      </c>
      <c r="Z4122" s="220">
        <v>8340</v>
      </c>
      <c r="AA4122" s="220">
        <f>SUM(X4122:Z4122)</f>
        <v>1993840</v>
      </c>
      <c r="AB4122" s="222">
        <v>46042</v>
      </c>
    </row>
    <row r="4123" spans="1:28" ht="17.100000000000001" customHeight="1" thickBot="1">
      <c r="A4123" s="234"/>
      <c r="B4123" s="27" t="s">
        <v>4468</v>
      </c>
      <c r="C4123" s="27">
        <v>1064</v>
      </c>
      <c r="D4123" s="14" t="s">
        <v>2059</v>
      </c>
      <c r="E4123" s="229"/>
      <c r="F4123" s="117" t="s">
        <v>12259</v>
      </c>
      <c r="G4123" s="26">
        <v>47871</v>
      </c>
      <c r="H4123" s="231"/>
      <c r="I4123" s="221"/>
      <c r="J4123" s="221"/>
      <c r="K4123" s="221"/>
      <c r="L4123" s="221"/>
      <c r="M4123" s="221"/>
      <c r="N4123" s="221"/>
      <c r="O4123" s="225"/>
      <c r="P4123" s="118" t="s">
        <v>10182</v>
      </c>
      <c r="Q4123" s="16" t="s">
        <v>20</v>
      </c>
      <c r="R4123" s="17" t="s">
        <v>2900</v>
      </c>
      <c r="S4123" s="121" t="s">
        <v>1731</v>
      </c>
      <c r="T4123" s="122"/>
      <c r="U4123" s="22"/>
      <c r="V4123" s="123" t="s">
        <v>2472</v>
      </c>
      <c r="W4123" s="122">
        <v>37079</v>
      </c>
      <c r="X4123" s="221"/>
      <c r="Y4123" s="221"/>
      <c r="Z4123" s="221"/>
      <c r="AA4123" s="221"/>
      <c r="AB4123" s="223"/>
    </row>
    <row r="4124" spans="1:28" ht="17.100000000000001" customHeight="1" thickTop="1">
      <c r="A4124" s="226" t="s">
        <v>12320</v>
      </c>
      <c r="B4124" s="28">
        <v>45996</v>
      </c>
      <c r="C4124" s="25">
        <v>1397</v>
      </c>
      <c r="D4124" s="13" t="s">
        <v>1935</v>
      </c>
      <c r="E4124" s="228"/>
      <c r="F4124" s="109" t="s">
        <v>6914</v>
      </c>
      <c r="G4124" s="24" t="s">
        <v>12336</v>
      </c>
      <c r="H4124" s="230">
        <v>4</v>
      </c>
      <c r="I4124" s="220">
        <v>408000</v>
      </c>
      <c r="J4124" s="220">
        <f>I4124*0.1</f>
        <v>40800</v>
      </c>
      <c r="K4124" s="220">
        <v>0</v>
      </c>
      <c r="L4124" s="220">
        <v>8850</v>
      </c>
      <c r="M4124" s="220">
        <v>13200</v>
      </c>
      <c r="N4124" s="220">
        <f>SUM(I4124:M4125)</f>
        <v>470850</v>
      </c>
      <c r="O4124" s="224"/>
      <c r="P4124" s="110" t="s">
        <v>12815</v>
      </c>
      <c r="Q4124" s="15" t="s">
        <v>19</v>
      </c>
      <c r="R4124" s="205"/>
      <c r="S4124" s="189"/>
      <c r="T4124" s="114"/>
      <c r="U4124" s="21" t="s">
        <v>14331</v>
      </c>
      <c r="V4124" s="115">
        <v>46029</v>
      </c>
      <c r="W4124" s="116">
        <v>999</v>
      </c>
      <c r="X4124" s="220">
        <v>455000</v>
      </c>
      <c r="Y4124" s="220">
        <f>X4124*0.1</f>
        <v>45500</v>
      </c>
      <c r="Z4124" s="220">
        <v>8850</v>
      </c>
      <c r="AA4124" s="220">
        <f>SUM(X4124:Z4124)</f>
        <v>509350</v>
      </c>
      <c r="AB4124" s="222">
        <v>46035</v>
      </c>
    </row>
    <row r="4125" spans="1:28" ht="17.100000000000001" customHeight="1" thickBot="1">
      <c r="A4125" s="227"/>
      <c r="B4125" s="27" t="s">
        <v>2597</v>
      </c>
      <c r="C4125" s="27">
        <v>2011</v>
      </c>
      <c r="D4125" s="14" t="s">
        <v>2788</v>
      </c>
      <c r="E4125" s="229"/>
      <c r="F4125" s="117" t="s">
        <v>12335</v>
      </c>
      <c r="G4125" s="26">
        <v>57888</v>
      </c>
      <c r="H4125" s="231"/>
      <c r="I4125" s="221"/>
      <c r="J4125" s="221"/>
      <c r="K4125" s="221"/>
      <c r="L4125" s="221"/>
      <c r="M4125" s="221"/>
      <c r="N4125" s="221"/>
      <c r="O4125" s="225"/>
      <c r="P4125" s="118" t="s">
        <v>1972</v>
      </c>
      <c r="Q4125" s="16" t="s">
        <v>20</v>
      </c>
      <c r="R4125" s="17" t="s">
        <v>12649</v>
      </c>
      <c r="S4125" s="121" t="s">
        <v>2360</v>
      </c>
      <c r="T4125" s="122"/>
      <c r="U4125" s="22"/>
      <c r="V4125" s="123" t="s">
        <v>2747</v>
      </c>
      <c r="W4125" s="122">
        <v>2078</v>
      </c>
      <c r="X4125" s="221"/>
      <c r="Y4125" s="221"/>
      <c r="Z4125" s="221"/>
      <c r="AA4125" s="221"/>
      <c r="AB4125" s="223"/>
    </row>
    <row r="4126" spans="1:28" ht="17.100000000000001" customHeight="1" thickTop="1">
      <c r="A4126" s="226" t="s">
        <v>12321</v>
      </c>
      <c r="B4126" s="28">
        <v>45996</v>
      </c>
      <c r="C4126" s="25">
        <v>1397</v>
      </c>
      <c r="D4126" s="13" t="s">
        <v>2336</v>
      </c>
      <c r="E4126" s="228"/>
      <c r="F4126" s="109" t="s">
        <v>4601</v>
      </c>
      <c r="G4126" s="24" t="s">
        <v>12338</v>
      </c>
      <c r="H4126" s="230">
        <v>4</v>
      </c>
      <c r="I4126" s="220">
        <v>240000</v>
      </c>
      <c r="J4126" s="220">
        <f>I4126*0.1</f>
        <v>24000</v>
      </c>
      <c r="K4126" s="220">
        <v>0</v>
      </c>
      <c r="L4126" s="220">
        <v>9790</v>
      </c>
      <c r="M4126" s="220">
        <v>13200</v>
      </c>
      <c r="N4126" s="220">
        <f>SUM(I4126:M4127)</f>
        <v>286990</v>
      </c>
      <c r="O4126" s="224"/>
      <c r="P4126" s="110" t="s">
        <v>12820</v>
      </c>
      <c r="Q4126" s="15" t="s">
        <v>19</v>
      </c>
      <c r="R4126" s="205"/>
      <c r="S4126" s="189"/>
      <c r="T4126" s="114"/>
      <c r="U4126" s="21"/>
      <c r="V4126" s="115">
        <v>46088</v>
      </c>
      <c r="W4126" s="116">
        <v>1291</v>
      </c>
      <c r="X4126" s="220">
        <v>230000</v>
      </c>
      <c r="Y4126" s="220">
        <f>X4126*0.1</f>
        <v>23000</v>
      </c>
      <c r="Z4126" s="220">
        <v>9790</v>
      </c>
      <c r="AA4126" s="220">
        <f>SUM(X4126:Z4126)</f>
        <v>262790</v>
      </c>
      <c r="AB4126" s="222">
        <v>46091</v>
      </c>
    </row>
    <row r="4127" spans="1:28" ht="17.100000000000001" customHeight="1" thickBot="1">
      <c r="A4127" s="227"/>
      <c r="B4127" s="27" t="s">
        <v>2597</v>
      </c>
      <c r="C4127" s="27">
        <v>2062</v>
      </c>
      <c r="D4127" s="14" t="s">
        <v>273</v>
      </c>
      <c r="E4127" s="229"/>
      <c r="F4127" s="117" t="s">
        <v>12337</v>
      </c>
      <c r="G4127" s="26">
        <v>57215</v>
      </c>
      <c r="H4127" s="231"/>
      <c r="I4127" s="221"/>
      <c r="J4127" s="221"/>
      <c r="K4127" s="221"/>
      <c r="L4127" s="221"/>
      <c r="M4127" s="221"/>
      <c r="N4127" s="221"/>
      <c r="O4127" s="225"/>
      <c r="P4127" s="118" t="s">
        <v>1972</v>
      </c>
      <c r="Q4127" s="16" t="s">
        <v>20</v>
      </c>
      <c r="R4127" s="17" t="s">
        <v>12649</v>
      </c>
      <c r="S4127" s="121"/>
      <c r="T4127" s="122"/>
      <c r="U4127" s="22"/>
      <c r="V4127" s="186" t="s">
        <v>2472</v>
      </c>
      <c r="W4127" s="122">
        <v>60041</v>
      </c>
      <c r="X4127" s="221"/>
      <c r="Y4127" s="221"/>
      <c r="Z4127" s="221"/>
      <c r="AA4127" s="221"/>
      <c r="AB4127" s="223"/>
    </row>
    <row r="4128" spans="1:28" ht="17.100000000000001" customHeight="1" thickTop="1">
      <c r="A4128" s="226" t="s">
        <v>12322</v>
      </c>
      <c r="B4128" s="28">
        <v>45996</v>
      </c>
      <c r="C4128" s="25">
        <v>1397</v>
      </c>
      <c r="D4128" s="13" t="s">
        <v>2113</v>
      </c>
      <c r="E4128" s="228"/>
      <c r="F4128" s="109" t="s">
        <v>12339</v>
      </c>
      <c r="G4128" s="24" t="s">
        <v>12341</v>
      </c>
      <c r="H4128" s="230">
        <v>4</v>
      </c>
      <c r="I4128" s="220">
        <v>357000</v>
      </c>
      <c r="J4128" s="220">
        <f>I4128*0.1</f>
        <v>35700</v>
      </c>
      <c r="K4128" s="220">
        <v>0</v>
      </c>
      <c r="L4128" s="220">
        <v>9670</v>
      </c>
      <c r="M4128" s="220">
        <v>13200</v>
      </c>
      <c r="N4128" s="220">
        <f>SUM(I4128:M4129)</f>
        <v>415570</v>
      </c>
      <c r="O4128" s="224"/>
      <c r="P4128" s="110" t="s">
        <v>12756</v>
      </c>
      <c r="Q4128" s="15" t="s">
        <v>19</v>
      </c>
      <c r="R4128" s="205"/>
      <c r="S4128" s="189"/>
      <c r="T4128" s="114"/>
      <c r="U4128" s="21"/>
      <c r="V4128" s="115">
        <v>46001</v>
      </c>
      <c r="W4128" s="116">
        <v>996</v>
      </c>
      <c r="X4128" s="220">
        <v>430000</v>
      </c>
      <c r="Y4128" s="220">
        <f>X4128*0.1</f>
        <v>43000</v>
      </c>
      <c r="Z4128" s="220">
        <v>9670</v>
      </c>
      <c r="AA4128" s="220">
        <f>SUM(X4128:Z4128)</f>
        <v>482670</v>
      </c>
      <c r="AB4128" s="222">
        <v>46006</v>
      </c>
    </row>
    <row r="4129" spans="1:28" ht="17.100000000000001" customHeight="1" thickBot="1">
      <c r="A4129" s="227"/>
      <c r="B4129" s="27" t="s">
        <v>2597</v>
      </c>
      <c r="C4129" s="27">
        <v>2203</v>
      </c>
      <c r="D4129" s="14" t="s">
        <v>2559</v>
      </c>
      <c r="E4129" s="229"/>
      <c r="F4129" s="117" t="s">
        <v>12340</v>
      </c>
      <c r="G4129" s="26">
        <v>55617</v>
      </c>
      <c r="H4129" s="231"/>
      <c r="I4129" s="221"/>
      <c r="J4129" s="221"/>
      <c r="K4129" s="221"/>
      <c r="L4129" s="221"/>
      <c r="M4129" s="221"/>
      <c r="N4129" s="221"/>
      <c r="O4129" s="225"/>
      <c r="P4129" s="118" t="s">
        <v>1972</v>
      </c>
      <c r="Q4129" s="16" t="s">
        <v>20</v>
      </c>
      <c r="R4129" s="17" t="s">
        <v>12649</v>
      </c>
      <c r="S4129" s="121" t="s">
        <v>4008</v>
      </c>
      <c r="T4129" s="122"/>
      <c r="U4129" s="22"/>
      <c r="V4129" s="123" t="s">
        <v>2747</v>
      </c>
      <c r="W4129" s="122">
        <v>2053</v>
      </c>
      <c r="X4129" s="221"/>
      <c r="Y4129" s="221"/>
      <c r="Z4129" s="221"/>
      <c r="AA4129" s="221"/>
      <c r="AB4129" s="223"/>
    </row>
    <row r="4130" spans="1:28" ht="17.100000000000001" customHeight="1" thickTop="1">
      <c r="A4130" s="226" t="s">
        <v>12323</v>
      </c>
      <c r="B4130" s="28">
        <v>45996</v>
      </c>
      <c r="C4130" s="25">
        <v>1397</v>
      </c>
      <c r="D4130" s="13" t="s">
        <v>12342</v>
      </c>
      <c r="E4130" s="228"/>
      <c r="F4130" s="109" t="s">
        <v>12343</v>
      </c>
      <c r="G4130" s="24" t="s">
        <v>8085</v>
      </c>
      <c r="H4130" s="230">
        <v>4.5</v>
      </c>
      <c r="I4130" s="220">
        <v>2257000</v>
      </c>
      <c r="J4130" s="220">
        <f>I4130*0.1</f>
        <v>225700</v>
      </c>
      <c r="K4130" s="220">
        <f>11200+1120</f>
        <v>12320</v>
      </c>
      <c r="L4130" s="220">
        <v>11900</v>
      </c>
      <c r="M4130" s="220">
        <v>13200</v>
      </c>
      <c r="N4130" s="220">
        <f>SUM(I4130:M4131)</f>
        <v>2520120</v>
      </c>
      <c r="O4130" s="224"/>
      <c r="P4130" s="110" t="s">
        <v>12806</v>
      </c>
      <c r="Q4130" s="15" t="s">
        <v>19</v>
      </c>
      <c r="R4130" s="205"/>
      <c r="S4130" s="189" t="s">
        <v>25639</v>
      </c>
      <c r="T4130" s="114"/>
      <c r="U4130" s="21"/>
      <c r="V4130" s="115">
        <v>46029</v>
      </c>
      <c r="W4130" s="116">
        <v>999</v>
      </c>
      <c r="X4130" s="220">
        <v>2400000</v>
      </c>
      <c r="Y4130" s="220">
        <f>X4130*0.1</f>
        <v>240000</v>
      </c>
      <c r="Z4130" s="220">
        <v>11900</v>
      </c>
      <c r="AA4130" s="220">
        <f>SUM(X4130:Z4130)</f>
        <v>2651900</v>
      </c>
      <c r="AB4130" s="222">
        <v>46035</v>
      </c>
    </row>
    <row r="4131" spans="1:28" ht="17.100000000000001" customHeight="1" thickBot="1">
      <c r="A4131" s="227"/>
      <c r="B4131" s="27" t="s">
        <v>2597</v>
      </c>
      <c r="C4131" s="27">
        <v>3016</v>
      </c>
      <c r="D4131" s="14" t="s">
        <v>2559</v>
      </c>
      <c r="E4131" s="229"/>
      <c r="F4131" s="117" t="s">
        <v>12344</v>
      </c>
      <c r="G4131" s="26">
        <v>70577</v>
      </c>
      <c r="H4131" s="231"/>
      <c r="I4131" s="221"/>
      <c r="J4131" s="221"/>
      <c r="K4131" s="221"/>
      <c r="L4131" s="221"/>
      <c r="M4131" s="221"/>
      <c r="N4131" s="221"/>
      <c r="O4131" s="225"/>
      <c r="P4131" s="118" t="s">
        <v>12807</v>
      </c>
      <c r="Q4131" s="16" t="s">
        <v>20</v>
      </c>
      <c r="R4131" s="17" t="s">
        <v>12649</v>
      </c>
      <c r="S4131" s="121" t="s">
        <v>12808</v>
      </c>
      <c r="T4131" s="122"/>
      <c r="U4131" s="22"/>
      <c r="V4131" s="123" t="s">
        <v>2747</v>
      </c>
      <c r="W4131" s="122">
        <v>6097</v>
      </c>
      <c r="X4131" s="221"/>
      <c r="Y4131" s="221"/>
      <c r="Z4131" s="221"/>
      <c r="AA4131" s="221"/>
      <c r="AB4131" s="223"/>
    </row>
    <row r="4132" spans="1:28" ht="17.100000000000001" customHeight="1" thickTop="1">
      <c r="A4132" s="233" t="s">
        <v>12324</v>
      </c>
      <c r="B4132" s="28">
        <v>45996</v>
      </c>
      <c r="C4132" s="25">
        <v>1397</v>
      </c>
      <c r="D4132" s="13" t="s">
        <v>4050</v>
      </c>
      <c r="E4132" s="228"/>
      <c r="F4132" s="109" t="s">
        <v>12345</v>
      </c>
      <c r="G4132" s="24" t="s">
        <v>4459</v>
      </c>
      <c r="H4132" s="230">
        <v>4</v>
      </c>
      <c r="I4132" s="220">
        <v>869000</v>
      </c>
      <c r="J4132" s="220">
        <f>I4132*0.1</f>
        <v>86900</v>
      </c>
      <c r="K4132" s="220">
        <f>8600+860</f>
        <v>9460</v>
      </c>
      <c r="L4132" s="220">
        <v>9380</v>
      </c>
      <c r="M4132" s="220">
        <v>13200</v>
      </c>
      <c r="N4132" s="220">
        <f>SUM(I4132:M4133)</f>
        <v>987940</v>
      </c>
      <c r="O4132" s="224"/>
      <c r="P4132" s="110" t="s">
        <v>13261</v>
      </c>
      <c r="Q4132" s="15" t="s">
        <v>19</v>
      </c>
      <c r="R4132" s="205"/>
      <c r="S4132" s="189" t="s">
        <v>25447</v>
      </c>
      <c r="T4132" s="114"/>
      <c r="U4132" s="21"/>
      <c r="V4132" s="115">
        <v>46018</v>
      </c>
      <c r="W4132" s="116"/>
      <c r="X4132" s="220">
        <v>980000</v>
      </c>
      <c r="Y4132" s="220">
        <f>X4132*0.1</f>
        <v>98000</v>
      </c>
      <c r="Z4132" s="220">
        <v>9380</v>
      </c>
      <c r="AA4132" s="220">
        <f>SUM(X4132:Z4132)</f>
        <v>1087380</v>
      </c>
      <c r="AB4132" s="222"/>
    </row>
    <row r="4133" spans="1:28" ht="17.100000000000001" customHeight="1" thickBot="1">
      <c r="A4133" s="234"/>
      <c r="B4133" s="27" t="s">
        <v>2597</v>
      </c>
      <c r="C4133" s="27">
        <v>3020</v>
      </c>
      <c r="D4133" s="14" t="s">
        <v>1568</v>
      </c>
      <c r="E4133" s="229"/>
      <c r="F4133" s="117" t="s">
        <v>12346</v>
      </c>
      <c r="G4133" s="26">
        <v>52585</v>
      </c>
      <c r="H4133" s="231"/>
      <c r="I4133" s="221"/>
      <c r="J4133" s="221"/>
      <c r="K4133" s="221"/>
      <c r="L4133" s="221"/>
      <c r="M4133" s="221"/>
      <c r="N4133" s="221"/>
      <c r="O4133" s="225"/>
      <c r="P4133" s="118" t="s">
        <v>13262</v>
      </c>
      <c r="Q4133" s="16" t="s">
        <v>20</v>
      </c>
      <c r="R4133" s="17" t="s">
        <v>2235</v>
      </c>
      <c r="S4133" s="121" t="s">
        <v>13263</v>
      </c>
      <c r="T4133" s="122"/>
      <c r="U4133" s="22"/>
      <c r="V4133" s="123" t="s">
        <v>6682</v>
      </c>
      <c r="W4133" s="122">
        <v>53496</v>
      </c>
      <c r="X4133" s="221"/>
      <c r="Y4133" s="221"/>
      <c r="Z4133" s="221"/>
      <c r="AA4133" s="221"/>
      <c r="AB4133" s="223"/>
    </row>
    <row r="4134" spans="1:28" ht="17.100000000000001" customHeight="1" thickTop="1">
      <c r="A4134" s="226" t="s">
        <v>12325</v>
      </c>
      <c r="B4134" s="28">
        <v>45996</v>
      </c>
      <c r="C4134" s="25">
        <v>1397</v>
      </c>
      <c r="D4134" s="13" t="s">
        <v>2167</v>
      </c>
      <c r="E4134" s="228"/>
      <c r="F4134" s="109" t="s">
        <v>12347</v>
      </c>
      <c r="G4134" s="24" t="s">
        <v>12349</v>
      </c>
      <c r="H4134" s="230">
        <v>4</v>
      </c>
      <c r="I4134" s="220">
        <v>1386000</v>
      </c>
      <c r="J4134" s="220">
        <f>I4134*0.1</f>
        <v>138600</v>
      </c>
      <c r="K4134" s="220">
        <v>12320</v>
      </c>
      <c r="L4134" s="220">
        <v>10620</v>
      </c>
      <c r="M4134" s="220">
        <v>13200</v>
      </c>
      <c r="N4134" s="220">
        <f>SUM(I4134:M4135)</f>
        <v>1560740</v>
      </c>
      <c r="O4134" s="224"/>
      <c r="P4134" s="110" t="s">
        <v>12906</v>
      </c>
      <c r="Q4134" s="15" t="s">
        <v>19</v>
      </c>
      <c r="R4134" s="205"/>
      <c r="S4134" s="189" t="s">
        <v>25397</v>
      </c>
      <c r="T4134" s="114"/>
      <c r="U4134" s="21" t="s">
        <v>15014</v>
      </c>
      <c r="V4134" s="115">
        <v>46081</v>
      </c>
      <c r="W4134" s="116">
        <v>1290</v>
      </c>
      <c r="X4134" s="220">
        <v>1415000</v>
      </c>
      <c r="Y4134" s="220">
        <f>X4134*0.1</f>
        <v>141500</v>
      </c>
      <c r="Z4134" s="220">
        <v>10620</v>
      </c>
      <c r="AA4134" s="220">
        <f>SUM(X4134:Z4134)</f>
        <v>1567120</v>
      </c>
      <c r="AB4134" s="222">
        <v>46084</v>
      </c>
    </row>
    <row r="4135" spans="1:28" ht="17.100000000000001" customHeight="1" thickBot="1">
      <c r="A4135" s="227"/>
      <c r="B4135" s="27" t="s">
        <v>2597</v>
      </c>
      <c r="C4135" s="27">
        <v>3161</v>
      </c>
      <c r="D4135" s="14" t="s">
        <v>273</v>
      </c>
      <c r="E4135" s="229"/>
      <c r="F4135" s="117" t="s">
        <v>12348</v>
      </c>
      <c r="G4135" s="26">
        <v>140651</v>
      </c>
      <c r="H4135" s="231"/>
      <c r="I4135" s="221"/>
      <c r="J4135" s="221"/>
      <c r="K4135" s="221"/>
      <c r="L4135" s="221"/>
      <c r="M4135" s="221"/>
      <c r="N4135" s="221"/>
      <c r="O4135" s="225"/>
      <c r="P4135" s="118" t="s">
        <v>12907</v>
      </c>
      <c r="Q4135" s="16" t="s">
        <v>20</v>
      </c>
      <c r="R4135" s="17" t="s">
        <v>12777</v>
      </c>
      <c r="S4135" s="121" t="s">
        <v>10516</v>
      </c>
      <c r="T4135" s="122"/>
      <c r="U4135" s="22"/>
      <c r="V4135" s="123" t="s">
        <v>2472</v>
      </c>
      <c r="W4135" s="122">
        <v>50119</v>
      </c>
      <c r="X4135" s="221"/>
      <c r="Y4135" s="221"/>
      <c r="Z4135" s="221"/>
      <c r="AA4135" s="221"/>
      <c r="AB4135" s="223"/>
    </row>
    <row r="4136" spans="1:28" ht="17.100000000000001" customHeight="1" thickTop="1">
      <c r="A4136" s="226" t="s">
        <v>12326</v>
      </c>
      <c r="B4136" s="28">
        <v>45996</v>
      </c>
      <c r="C4136" s="25">
        <v>1397</v>
      </c>
      <c r="D4136" s="13" t="s">
        <v>2457</v>
      </c>
      <c r="E4136" s="228"/>
      <c r="F4136" s="109" t="s">
        <v>12350</v>
      </c>
      <c r="G4136" s="24" t="s">
        <v>12352</v>
      </c>
      <c r="H4136" s="230">
        <v>5</v>
      </c>
      <c r="I4136" s="220">
        <v>1217000</v>
      </c>
      <c r="J4136" s="220">
        <f>I4136*0.1</f>
        <v>121700</v>
      </c>
      <c r="K4136" s="220">
        <v>0</v>
      </c>
      <c r="L4136" s="220">
        <v>8450</v>
      </c>
      <c r="M4136" s="220">
        <v>13200</v>
      </c>
      <c r="N4136" s="220">
        <f>SUM(I4136:M4137)</f>
        <v>1360350</v>
      </c>
      <c r="O4136" s="224"/>
      <c r="P4136" s="110" t="s">
        <v>12803</v>
      </c>
      <c r="Q4136" s="15" t="s">
        <v>19</v>
      </c>
      <c r="R4136" s="205"/>
      <c r="S4136" s="189" t="s">
        <v>25640</v>
      </c>
      <c r="T4136" s="114"/>
      <c r="U4136" s="21"/>
      <c r="V4136" s="115">
        <v>46008</v>
      </c>
      <c r="W4136" s="116">
        <v>997</v>
      </c>
      <c r="X4136" s="220">
        <v>1290000</v>
      </c>
      <c r="Y4136" s="220">
        <f>X4136*0.1</f>
        <v>129000</v>
      </c>
      <c r="Z4136" s="220">
        <v>8450</v>
      </c>
      <c r="AA4136" s="220">
        <f>SUM(X4136:Z4136)</f>
        <v>1427450</v>
      </c>
      <c r="AB4136" s="222">
        <v>46013</v>
      </c>
    </row>
    <row r="4137" spans="1:28" ht="17.100000000000001" customHeight="1" thickBot="1">
      <c r="A4137" s="227"/>
      <c r="B4137" s="27" t="s">
        <v>2597</v>
      </c>
      <c r="C4137" s="27">
        <v>3209</v>
      </c>
      <c r="D4137" s="14" t="s">
        <v>898</v>
      </c>
      <c r="E4137" s="229"/>
      <c r="F4137" s="117" t="s">
        <v>12351</v>
      </c>
      <c r="G4137" s="26">
        <v>677</v>
      </c>
      <c r="H4137" s="231"/>
      <c r="I4137" s="221"/>
      <c r="J4137" s="221"/>
      <c r="K4137" s="221"/>
      <c r="L4137" s="221"/>
      <c r="M4137" s="221"/>
      <c r="N4137" s="221"/>
      <c r="O4137" s="225"/>
      <c r="P4137" s="118" t="s">
        <v>12804</v>
      </c>
      <c r="Q4137" s="16" t="s">
        <v>20</v>
      </c>
      <c r="R4137" s="17" t="s">
        <v>12649</v>
      </c>
      <c r="S4137" s="121" t="s">
        <v>9298</v>
      </c>
      <c r="T4137" s="122"/>
      <c r="U4137" s="22"/>
      <c r="V4137" s="123" t="s">
        <v>2747</v>
      </c>
      <c r="W4137" s="122">
        <v>2086</v>
      </c>
      <c r="X4137" s="221"/>
      <c r="Y4137" s="221"/>
      <c r="Z4137" s="221"/>
      <c r="AA4137" s="221"/>
      <c r="AB4137" s="223"/>
    </row>
    <row r="4138" spans="1:28" ht="17.100000000000001" customHeight="1" thickTop="1">
      <c r="A4138" s="226" t="s">
        <v>12327</v>
      </c>
      <c r="B4138" s="28">
        <v>45996</v>
      </c>
      <c r="C4138" s="25">
        <v>1397</v>
      </c>
      <c r="D4138" s="13" t="s">
        <v>1829</v>
      </c>
      <c r="E4138" s="228"/>
      <c r="F4138" s="109" t="s">
        <v>12353</v>
      </c>
      <c r="G4138" s="24"/>
      <c r="H4138" s="230">
        <v>4</v>
      </c>
      <c r="I4138" s="220">
        <v>810000</v>
      </c>
      <c r="J4138" s="220">
        <f>I4138*0.1</f>
        <v>81000</v>
      </c>
      <c r="K4138" s="220">
        <v>0</v>
      </c>
      <c r="L4138" s="220">
        <v>7950</v>
      </c>
      <c r="M4138" s="220">
        <v>13200</v>
      </c>
      <c r="N4138" s="220">
        <f>SUM(I4138:M4139)</f>
        <v>912150</v>
      </c>
      <c r="O4138" s="224"/>
      <c r="P4138" s="110" t="s">
        <v>12905</v>
      </c>
      <c r="Q4138" s="15" t="s">
        <v>19</v>
      </c>
      <c r="R4138" s="205"/>
      <c r="S4138" s="189" t="s">
        <v>1361</v>
      </c>
      <c r="T4138" s="114"/>
      <c r="U4138" s="21"/>
      <c r="V4138" s="115">
        <v>46004</v>
      </c>
      <c r="W4138" s="116">
        <v>1280</v>
      </c>
      <c r="X4138" s="220">
        <v>1015000</v>
      </c>
      <c r="Y4138" s="220">
        <f>X4138*0.1</f>
        <v>101500</v>
      </c>
      <c r="Z4138" s="220">
        <v>7950</v>
      </c>
      <c r="AA4138" s="220">
        <f>SUM(X4138:Z4138)</f>
        <v>1124450</v>
      </c>
      <c r="AB4138" s="222">
        <v>46008</v>
      </c>
    </row>
    <row r="4139" spans="1:28" ht="17.100000000000001" customHeight="1" thickBot="1">
      <c r="A4139" s="227"/>
      <c r="B4139" s="27" t="s">
        <v>2597</v>
      </c>
      <c r="C4139" s="27">
        <v>7530</v>
      </c>
      <c r="D4139" s="14" t="s">
        <v>1568</v>
      </c>
      <c r="E4139" s="229"/>
      <c r="F4139" s="117" t="s">
        <v>12354</v>
      </c>
      <c r="G4139" s="26">
        <v>28627</v>
      </c>
      <c r="H4139" s="231"/>
      <c r="I4139" s="221"/>
      <c r="J4139" s="221"/>
      <c r="K4139" s="221"/>
      <c r="L4139" s="221"/>
      <c r="M4139" s="221"/>
      <c r="N4139" s="221"/>
      <c r="O4139" s="225"/>
      <c r="P4139" s="118" t="s">
        <v>9670</v>
      </c>
      <c r="Q4139" s="16" t="s">
        <v>20</v>
      </c>
      <c r="R4139" s="17" t="s">
        <v>12777</v>
      </c>
      <c r="S4139" s="121" t="s">
        <v>7702</v>
      </c>
      <c r="T4139" s="122"/>
      <c r="U4139" s="22"/>
      <c r="V4139" s="123" t="s">
        <v>2472</v>
      </c>
      <c r="W4139" s="122">
        <v>60370</v>
      </c>
      <c r="X4139" s="221"/>
      <c r="Y4139" s="221"/>
      <c r="Z4139" s="221"/>
      <c r="AA4139" s="221"/>
      <c r="AB4139" s="223"/>
    </row>
    <row r="4140" spans="1:28" ht="17.100000000000001" customHeight="1" thickTop="1">
      <c r="A4140" s="226" t="s">
        <v>12328</v>
      </c>
      <c r="B4140" s="28">
        <v>45996</v>
      </c>
      <c r="C4140" s="25">
        <v>1397</v>
      </c>
      <c r="D4140" s="13" t="s">
        <v>2470</v>
      </c>
      <c r="E4140" s="228"/>
      <c r="F4140" s="109" t="s">
        <v>12355</v>
      </c>
      <c r="G4140" s="24" t="s">
        <v>12357</v>
      </c>
      <c r="H4140" s="230">
        <v>5</v>
      </c>
      <c r="I4140" s="220">
        <v>1278000</v>
      </c>
      <c r="J4140" s="220">
        <f>I4140*0.1</f>
        <v>127800</v>
      </c>
      <c r="K4140" s="220">
        <v>0</v>
      </c>
      <c r="L4140" s="220">
        <v>8200</v>
      </c>
      <c r="M4140" s="220">
        <v>13200</v>
      </c>
      <c r="N4140" s="220">
        <f>SUM(I4140:M4141)</f>
        <v>1427200</v>
      </c>
      <c r="O4140" s="224"/>
      <c r="P4140" s="110" t="s">
        <v>12805</v>
      </c>
      <c r="Q4140" s="15" t="s">
        <v>19</v>
      </c>
      <c r="R4140" s="205"/>
      <c r="S4140" s="189" t="s">
        <v>1361</v>
      </c>
      <c r="T4140" s="114"/>
      <c r="U4140" s="21"/>
      <c r="V4140" s="115">
        <v>46015</v>
      </c>
      <c r="W4140" s="116">
        <v>998</v>
      </c>
      <c r="X4140" s="220">
        <v>1285000</v>
      </c>
      <c r="Y4140" s="220">
        <f>X4140*0.1</f>
        <v>128500</v>
      </c>
      <c r="Z4140" s="220">
        <v>8200</v>
      </c>
      <c r="AA4140" s="220">
        <f>SUM(X4140:Z4140)</f>
        <v>1421700</v>
      </c>
      <c r="AB4140" s="222">
        <v>46027</v>
      </c>
    </row>
    <row r="4141" spans="1:28" ht="17.100000000000001" customHeight="1" thickBot="1">
      <c r="A4141" s="227"/>
      <c r="B4141" s="27" t="s">
        <v>2597</v>
      </c>
      <c r="C4141" s="27">
        <v>7557</v>
      </c>
      <c r="D4141" s="14" t="s">
        <v>1584</v>
      </c>
      <c r="E4141" s="229"/>
      <c r="F4141" s="117" t="s">
        <v>12356</v>
      </c>
      <c r="G4141" s="26">
        <v>2736</v>
      </c>
      <c r="H4141" s="231"/>
      <c r="I4141" s="221"/>
      <c r="J4141" s="221"/>
      <c r="K4141" s="221"/>
      <c r="L4141" s="221"/>
      <c r="M4141" s="221"/>
      <c r="N4141" s="221"/>
      <c r="O4141" s="225"/>
      <c r="P4141" s="118" t="s">
        <v>8379</v>
      </c>
      <c r="Q4141" s="16" t="s">
        <v>20</v>
      </c>
      <c r="R4141" s="17" t="s">
        <v>12649</v>
      </c>
      <c r="S4141" s="121" t="s">
        <v>169</v>
      </c>
      <c r="T4141" s="122"/>
      <c r="U4141" s="22"/>
      <c r="V4141" s="123" t="s">
        <v>2747</v>
      </c>
      <c r="W4141" s="122">
        <v>2022</v>
      </c>
      <c r="X4141" s="221"/>
      <c r="Y4141" s="221"/>
      <c r="Z4141" s="221"/>
      <c r="AA4141" s="221"/>
      <c r="AB4141" s="223"/>
    </row>
    <row r="4142" spans="1:28" ht="17.100000000000001" customHeight="1" thickTop="1">
      <c r="A4142" s="226" t="s">
        <v>12329</v>
      </c>
      <c r="B4142" s="28">
        <v>45996</v>
      </c>
      <c r="C4142" s="25">
        <v>1397</v>
      </c>
      <c r="D4142" s="13" t="s">
        <v>2324</v>
      </c>
      <c r="E4142" s="228"/>
      <c r="F4142" s="109" t="s">
        <v>10027</v>
      </c>
      <c r="G4142" s="24" t="s">
        <v>11744</v>
      </c>
      <c r="H4142" s="230">
        <v>3.5</v>
      </c>
      <c r="I4142" s="220">
        <v>358000</v>
      </c>
      <c r="J4142" s="220">
        <f>I4142*0.1</f>
        <v>35800</v>
      </c>
      <c r="K4142" s="220">
        <v>0</v>
      </c>
      <c r="L4142" s="220">
        <v>6960</v>
      </c>
      <c r="M4142" s="220">
        <v>13200</v>
      </c>
      <c r="N4142" s="220">
        <f>SUM(I4142:M4143)</f>
        <v>413960</v>
      </c>
      <c r="O4142" s="224"/>
      <c r="P4142" s="110" t="s">
        <v>12821</v>
      </c>
      <c r="Q4142" s="15" t="s">
        <v>19</v>
      </c>
      <c r="R4142" s="205"/>
      <c r="S4142" s="189"/>
      <c r="T4142" s="114"/>
      <c r="U4142" s="21"/>
      <c r="V4142" s="115">
        <v>46018</v>
      </c>
      <c r="W4142" s="116">
        <v>1282</v>
      </c>
      <c r="X4142" s="220">
        <v>365000</v>
      </c>
      <c r="Y4142" s="220">
        <f>X4142*0.1</f>
        <v>36500</v>
      </c>
      <c r="Z4142" s="220">
        <v>6960</v>
      </c>
      <c r="AA4142" s="220">
        <f>SUM(X4142:Z4142)</f>
        <v>408460</v>
      </c>
      <c r="AB4142" s="222">
        <v>46028</v>
      </c>
    </row>
    <row r="4143" spans="1:28" ht="17.100000000000001" customHeight="1" thickBot="1">
      <c r="A4143" s="227"/>
      <c r="B4143" s="27" t="s">
        <v>2597</v>
      </c>
      <c r="C4143" s="27">
        <v>9013</v>
      </c>
      <c r="D4143" s="14" t="s">
        <v>11866</v>
      </c>
      <c r="E4143" s="229"/>
      <c r="F4143" s="117" t="s">
        <v>12358</v>
      </c>
      <c r="G4143" s="26">
        <v>39160</v>
      </c>
      <c r="H4143" s="231"/>
      <c r="I4143" s="221"/>
      <c r="J4143" s="221"/>
      <c r="K4143" s="221"/>
      <c r="L4143" s="221"/>
      <c r="M4143" s="221"/>
      <c r="N4143" s="221"/>
      <c r="O4143" s="225"/>
      <c r="P4143" s="118" t="s">
        <v>12822</v>
      </c>
      <c r="Q4143" s="16" t="s">
        <v>20</v>
      </c>
      <c r="R4143" s="17" t="s">
        <v>12649</v>
      </c>
      <c r="S4143" s="121"/>
      <c r="T4143" s="122"/>
      <c r="U4143" s="22"/>
      <c r="V4143" s="123" t="s">
        <v>2472</v>
      </c>
      <c r="W4143" s="122">
        <v>60045</v>
      </c>
      <c r="X4143" s="221"/>
      <c r="Y4143" s="221"/>
      <c r="Z4143" s="221"/>
      <c r="AA4143" s="221"/>
      <c r="AB4143" s="223"/>
    </row>
    <row r="4144" spans="1:28" ht="17.100000000000001" customHeight="1" thickTop="1">
      <c r="A4144" s="226" t="s">
        <v>12330</v>
      </c>
      <c r="B4144" s="28">
        <v>45996</v>
      </c>
      <c r="C4144" s="25">
        <v>1397</v>
      </c>
      <c r="D4144" s="13" t="s">
        <v>2129</v>
      </c>
      <c r="E4144" s="228"/>
      <c r="F4144" s="109" t="s">
        <v>12359</v>
      </c>
      <c r="G4144" s="24" t="s">
        <v>11739</v>
      </c>
      <c r="H4144" s="230">
        <v>4</v>
      </c>
      <c r="I4144" s="220">
        <v>283000</v>
      </c>
      <c r="J4144" s="220">
        <f>I4144*0.1</f>
        <v>28300</v>
      </c>
      <c r="K4144" s="220">
        <v>0</v>
      </c>
      <c r="L4144" s="220">
        <v>9070</v>
      </c>
      <c r="M4144" s="220">
        <v>13200</v>
      </c>
      <c r="N4144" s="220">
        <f>SUM(I4144:M4145)</f>
        <v>333570</v>
      </c>
      <c r="O4144" s="224"/>
      <c r="P4144" s="110" t="s">
        <v>12823</v>
      </c>
      <c r="Q4144" s="15" t="s">
        <v>19</v>
      </c>
      <c r="R4144" s="205"/>
      <c r="S4144" s="189"/>
      <c r="T4144" s="114"/>
      <c r="U4144" s="21" t="s">
        <v>15021</v>
      </c>
      <c r="V4144" s="115">
        <v>46046</v>
      </c>
      <c r="W4144" s="116">
        <v>1285</v>
      </c>
      <c r="X4144" s="220">
        <v>275000</v>
      </c>
      <c r="Y4144" s="220">
        <f>X4144*0.1</f>
        <v>27500</v>
      </c>
      <c r="Z4144" s="220">
        <v>9070</v>
      </c>
      <c r="AA4144" s="220">
        <f>SUM(X4144:Z4144)</f>
        <v>311570</v>
      </c>
      <c r="AB4144" s="222">
        <v>46049</v>
      </c>
    </row>
    <row r="4145" spans="1:28" ht="17.100000000000001" customHeight="1" thickBot="1">
      <c r="A4145" s="227"/>
      <c r="B4145" s="27" t="s">
        <v>2597</v>
      </c>
      <c r="C4145" s="27">
        <v>9025</v>
      </c>
      <c r="D4145" s="14" t="s">
        <v>3792</v>
      </c>
      <c r="E4145" s="229"/>
      <c r="F4145" s="117" t="s">
        <v>12360</v>
      </c>
      <c r="G4145" s="26">
        <v>81820</v>
      </c>
      <c r="H4145" s="231"/>
      <c r="I4145" s="221"/>
      <c r="J4145" s="221"/>
      <c r="K4145" s="221"/>
      <c r="L4145" s="221"/>
      <c r="M4145" s="221"/>
      <c r="N4145" s="221"/>
      <c r="O4145" s="225"/>
      <c r="P4145" s="118" t="s">
        <v>12824</v>
      </c>
      <c r="Q4145" s="16" t="s">
        <v>20</v>
      </c>
      <c r="R4145" s="17" t="s">
        <v>12649</v>
      </c>
      <c r="S4145" s="121" t="s">
        <v>169</v>
      </c>
      <c r="T4145" s="122"/>
      <c r="U4145" s="22"/>
      <c r="V4145" s="123" t="s">
        <v>2472</v>
      </c>
      <c r="W4145" s="122">
        <v>60083</v>
      </c>
      <c r="X4145" s="221"/>
      <c r="Y4145" s="221"/>
      <c r="Z4145" s="221"/>
      <c r="AA4145" s="221"/>
      <c r="AB4145" s="223"/>
    </row>
    <row r="4146" spans="1:28" ht="17.100000000000001" customHeight="1" thickTop="1">
      <c r="A4146" s="226" t="s">
        <v>12331</v>
      </c>
      <c r="B4146" s="28">
        <v>45996</v>
      </c>
      <c r="C4146" s="25">
        <v>1397</v>
      </c>
      <c r="D4146" s="13" t="s">
        <v>1666</v>
      </c>
      <c r="E4146" s="228"/>
      <c r="F4146" s="109" t="s">
        <v>4308</v>
      </c>
      <c r="G4146" s="24"/>
      <c r="H4146" s="230">
        <v>3.5</v>
      </c>
      <c r="I4146" s="220">
        <v>277000</v>
      </c>
      <c r="J4146" s="220">
        <f>I4146*0.1</f>
        <v>27700</v>
      </c>
      <c r="K4146" s="220">
        <v>0</v>
      </c>
      <c r="L4146" s="220">
        <v>9070</v>
      </c>
      <c r="M4146" s="220">
        <v>13200</v>
      </c>
      <c r="N4146" s="220">
        <f>SUM(I4146:M4147)</f>
        <v>326970</v>
      </c>
      <c r="O4146" s="224"/>
      <c r="P4146" s="110" t="s">
        <v>12825</v>
      </c>
      <c r="Q4146" s="15" t="s">
        <v>19</v>
      </c>
      <c r="R4146" s="205"/>
      <c r="S4146" s="189"/>
      <c r="T4146" s="114"/>
      <c r="U4146" s="21"/>
      <c r="V4146" s="115">
        <v>46039</v>
      </c>
      <c r="W4146" s="116">
        <v>1284</v>
      </c>
      <c r="X4146" s="220">
        <v>350000</v>
      </c>
      <c r="Y4146" s="220">
        <f>X4146*0.1</f>
        <v>35000</v>
      </c>
      <c r="Z4146" s="220">
        <v>9070</v>
      </c>
      <c r="AA4146" s="220">
        <f>SUM(X4146:Z4146)</f>
        <v>394070</v>
      </c>
      <c r="AB4146" s="222">
        <v>46043</v>
      </c>
    </row>
    <row r="4147" spans="1:28" ht="17.100000000000001" customHeight="1" thickBot="1">
      <c r="A4147" s="227"/>
      <c r="B4147" s="27" t="s">
        <v>2597</v>
      </c>
      <c r="C4147" s="27">
        <v>9034</v>
      </c>
      <c r="D4147" s="14" t="s">
        <v>1568</v>
      </c>
      <c r="E4147" s="229"/>
      <c r="F4147" s="117" t="s">
        <v>12361</v>
      </c>
      <c r="G4147" s="26">
        <v>34499</v>
      </c>
      <c r="H4147" s="231"/>
      <c r="I4147" s="221"/>
      <c r="J4147" s="221"/>
      <c r="K4147" s="221"/>
      <c r="L4147" s="221"/>
      <c r="M4147" s="221"/>
      <c r="N4147" s="221"/>
      <c r="O4147" s="225"/>
      <c r="P4147" s="118" t="s">
        <v>1972</v>
      </c>
      <c r="Q4147" s="16" t="s">
        <v>20</v>
      </c>
      <c r="R4147" s="17" t="s">
        <v>12649</v>
      </c>
      <c r="S4147" s="121" t="s">
        <v>4413</v>
      </c>
      <c r="T4147" s="122"/>
      <c r="U4147" s="22"/>
      <c r="V4147" s="123" t="s">
        <v>6641</v>
      </c>
      <c r="W4147" s="122">
        <v>60074</v>
      </c>
      <c r="X4147" s="221"/>
      <c r="Y4147" s="221"/>
      <c r="Z4147" s="221"/>
      <c r="AA4147" s="221"/>
      <c r="AB4147" s="223"/>
    </row>
    <row r="4148" spans="1:28" ht="17.100000000000001" customHeight="1" thickTop="1">
      <c r="A4148" s="226" t="s">
        <v>12332</v>
      </c>
      <c r="B4148" s="28">
        <v>45996</v>
      </c>
      <c r="C4148" s="25">
        <v>1397</v>
      </c>
      <c r="D4148" s="13" t="s">
        <v>7368</v>
      </c>
      <c r="E4148" s="228"/>
      <c r="F4148" s="109" t="s">
        <v>3783</v>
      </c>
      <c r="G4148" s="24"/>
      <c r="H4148" s="230">
        <v>3.5</v>
      </c>
      <c r="I4148" s="220">
        <v>67000</v>
      </c>
      <c r="J4148" s="220">
        <f>I4148*0.1</f>
        <v>6700</v>
      </c>
      <c r="K4148" s="220">
        <v>0</v>
      </c>
      <c r="L4148" s="220">
        <v>9790</v>
      </c>
      <c r="M4148" s="220">
        <v>13200</v>
      </c>
      <c r="N4148" s="220">
        <f>SUM(I4148:M4149)</f>
        <v>96690</v>
      </c>
      <c r="O4148" s="224"/>
      <c r="P4148" s="110" t="s">
        <v>12801</v>
      </c>
      <c r="Q4148" s="15" t="s">
        <v>19</v>
      </c>
      <c r="R4148" s="205"/>
      <c r="S4148" s="189"/>
      <c r="T4148" s="114"/>
      <c r="U4148" s="21"/>
      <c r="V4148" s="115">
        <v>46004</v>
      </c>
      <c r="W4148" s="116">
        <v>1280</v>
      </c>
      <c r="X4148" s="220">
        <v>61000</v>
      </c>
      <c r="Y4148" s="220">
        <f>X4148*0.1</f>
        <v>6100</v>
      </c>
      <c r="Z4148" s="220">
        <v>9790</v>
      </c>
      <c r="AA4148" s="220">
        <f>SUM(X4148:Z4148)</f>
        <v>76890</v>
      </c>
      <c r="AB4148" s="222">
        <v>46008</v>
      </c>
    </row>
    <row r="4149" spans="1:28" ht="17.100000000000001" customHeight="1" thickBot="1">
      <c r="A4149" s="227"/>
      <c r="B4149" s="27" t="s">
        <v>2597</v>
      </c>
      <c r="C4149" s="27">
        <v>9100</v>
      </c>
      <c r="D4149" s="14" t="s">
        <v>2753</v>
      </c>
      <c r="E4149" s="229"/>
      <c r="F4149" s="117" t="s">
        <v>12362</v>
      </c>
      <c r="G4149" s="26">
        <v>145274</v>
      </c>
      <c r="H4149" s="231"/>
      <c r="I4149" s="221"/>
      <c r="J4149" s="221"/>
      <c r="K4149" s="221"/>
      <c r="L4149" s="221"/>
      <c r="M4149" s="221"/>
      <c r="N4149" s="221"/>
      <c r="O4149" s="225"/>
      <c r="P4149" s="118" t="s">
        <v>12802</v>
      </c>
      <c r="Q4149" s="16" t="s">
        <v>20</v>
      </c>
      <c r="R4149" s="17" t="s">
        <v>12649</v>
      </c>
      <c r="S4149" s="121" t="s">
        <v>169</v>
      </c>
      <c r="T4149" s="122"/>
      <c r="U4149" s="22"/>
      <c r="V4149" s="123" t="s">
        <v>2472</v>
      </c>
      <c r="W4149" s="122">
        <v>90242</v>
      </c>
      <c r="X4149" s="221"/>
      <c r="Y4149" s="221"/>
      <c r="Z4149" s="221"/>
      <c r="AA4149" s="221"/>
      <c r="AB4149" s="223"/>
    </row>
    <row r="4150" spans="1:28" ht="17.100000000000001" customHeight="1" thickTop="1">
      <c r="A4150" s="226" t="s">
        <v>12383</v>
      </c>
      <c r="B4150" s="28">
        <v>45997</v>
      </c>
      <c r="C4150" s="25"/>
      <c r="D4150" s="13" t="s">
        <v>2355</v>
      </c>
      <c r="E4150" s="228"/>
      <c r="F4150" s="109" t="s">
        <v>12379</v>
      </c>
      <c r="G4150" s="24" t="s">
        <v>12248</v>
      </c>
      <c r="H4150" s="230"/>
      <c r="I4150" s="220">
        <v>40000</v>
      </c>
      <c r="J4150" s="220">
        <v>0</v>
      </c>
      <c r="K4150" s="220">
        <v>0</v>
      </c>
      <c r="L4150" s="220">
        <v>0</v>
      </c>
      <c r="M4150" s="220">
        <v>0</v>
      </c>
      <c r="N4150" s="220">
        <f>SUM(I4150:M4151)</f>
        <v>40000</v>
      </c>
      <c r="O4150" s="224"/>
      <c r="P4150" s="110" t="s">
        <v>12381</v>
      </c>
      <c r="Q4150" s="15" t="s">
        <v>19</v>
      </c>
      <c r="R4150" s="205"/>
      <c r="S4150" s="189"/>
      <c r="T4150" s="114"/>
      <c r="U4150" s="21"/>
      <c r="V4150" s="115">
        <v>46004</v>
      </c>
      <c r="W4150" s="116">
        <v>1280</v>
      </c>
      <c r="X4150" s="220">
        <v>115000</v>
      </c>
      <c r="Y4150" s="220">
        <f>X4150*0.1</f>
        <v>11500</v>
      </c>
      <c r="Z4150" s="220">
        <v>17490</v>
      </c>
      <c r="AA4150" s="220">
        <f>SUM(X4150:Z4150)</f>
        <v>143990</v>
      </c>
      <c r="AB4150" s="222">
        <v>46007</v>
      </c>
    </row>
    <row r="4151" spans="1:28" ht="17.100000000000001" customHeight="1" thickBot="1">
      <c r="A4151" s="227"/>
      <c r="B4151" s="27" t="s">
        <v>12378</v>
      </c>
      <c r="C4151" s="27"/>
      <c r="D4151" s="14"/>
      <c r="E4151" s="229"/>
      <c r="F4151" s="117" t="s">
        <v>12380</v>
      </c>
      <c r="G4151" s="26">
        <v>102520</v>
      </c>
      <c r="H4151" s="231"/>
      <c r="I4151" s="221"/>
      <c r="J4151" s="221"/>
      <c r="K4151" s="221"/>
      <c r="L4151" s="221"/>
      <c r="M4151" s="221"/>
      <c r="N4151" s="221"/>
      <c r="O4151" s="225"/>
      <c r="P4151" s="118" t="s">
        <v>12382</v>
      </c>
      <c r="Q4151" s="16" t="s">
        <v>20</v>
      </c>
      <c r="R4151" s="17" t="s">
        <v>3384</v>
      </c>
      <c r="S4151" s="121" t="s">
        <v>169</v>
      </c>
      <c r="T4151" s="122"/>
      <c r="U4151" s="22"/>
      <c r="V4151" s="123" t="s">
        <v>2472</v>
      </c>
      <c r="W4151" s="122">
        <v>90113</v>
      </c>
      <c r="X4151" s="221"/>
      <c r="Y4151" s="221"/>
      <c r="Z4151" s="221"/>
      <c r="AA4151" s="221"/>
      <c r="AB4151" s="223"/>
    </row>
    <row r="4152" spans="1:28" ht="17.100000000000001" customHeight="1" thickTop="1">
      <c r="A4152" s="226" t="s">
        <v>12440</v>
      </c>
      <c r="B4152" s="28">
        <v>45997</v>
      </c>
      <c r="C4152" s="25">
        <v>290</v>
      </c>
      <c r="D4152" s="13" t="s">
        <v>2491</v>
      </c>
      <c r="E4152" s="228"/>
      <c r="F4152" s="109" t="s">
        <v>5101</v>
      </c>
      <c r="G4152" s="24" t="s">
        <v>3672</v>
      </c>
      <c r="H4152" s="230">
        <v>5</v>
      </c>
      <c r="I4152" s="220">
        <v>875000</v>
      </c>
      <c r="J4152" s="220">
        <f>I4152*0.1</f>
        <v>87500</v>
      </c>
      <c r="K4152" s="220">
        <v>0</v>
      </c>
      <c r="L4152" s="220">
        <v>7200</v>
      </c>
      <c r="M4152" s="220">
        <v>15950</v>
      </c>
      <c r="N4152" s="220">
        <f>SUM(I4152:M4153)</f>
        <v>985650</v>
      </c>
      <c r="O4152" s="224"/>
      <c r="P4152" s="110" t="s">
        <v>12334</v>
      </c>
      <c r="Q4152" s="15" t="s">
        <v>19</v>
      </c>
      <c r="R4152" s="205"/>
      <c r="S4152" s="189" t="s">
        <v>758</v>
      </c>
      <c r="T4152" s="114"/>
      <c r="U4152" s="21"/>
      <c r="V4152" s="115">
        <v>46011</v>
      </c>
      <c r="W4152" s="116">
        <v>1281</v>
      </c>
      <c r="X4152" s="220">
        <v>1000000</v>
      </c>
      <c r="Y4152" s="220">
        <f>X4152*0.1</f>
        <v>100000</v>
      </c>
      <c r="Z4152" s="220">
        <v>7200</v>
      </c>
      <c r="AA4152" s="220">
        <f>SUM(X4152:Z4152)</f>
        <v>1107200</v>
      </c>
      <c r="AB4152" s="222">
        <v>46014</v>
      </c>
    </row>
    <row r="4153" spans="1:28" ht="17.100000000000001" customHeight="1" thickBot="1">
      <c r="A4153" s="227"/>
      <c r="B4153" s="27" t="s">
        <v>3518</v>
      </c>
      <c r="C4153" s="27">
        <v>3091</v>
      </c>
      <c r="D4153" s="14" t="s">
        <v>2559</v>
      </c>
      <c r="E4153" s="229"/>
      <c r="F4153" s="117" t="s">
        <v>12333</v>
      </c>
      <c r="G4153" s="26">
        <v>1955</v>
      </c>
      <c r="H4153" s="231"/>
      <c r="I4153" s="221"/>
      <c r="J4153" s="221"/>
      <c r="K4153" s="221"/>
      <c r="L4153" s="221"/>
      <c r="M4153" s="221"/>
      <c r="N4153" s="221"/>
      <c r="O4153" s="225"/>
      <c r="P4153" s="118" t="s">
        <v>12589</v>
      </c>
      <c r="Q4153" s="16" t="s">
        <v>20</v>
      </c>
      <c r="R4153" s="17" t="s">
        <v>12584</v>
      </c>
      <c r="S4153" s="121" t="s">
        <v>11197</v>
      </c>
      <c r="T4153" s="122"/>
      <c r="U4153" s="22"/>
      <c r="V4153" s="123" t="s">
        <v>2472</v>
      </c>
      <c r="W4153" s="122">
        <v>60178</v>
      </c>
      <c r="X4153" s="221"/>
      <c r="Y4153" s="221"/>
      <c r="Z4153" s="221"/>
      <c r="AA4153" s="221"/>
      <c r="AB4153" s="223"/>
    </row>
    <row r="4154" spans="1:28" ht="17.100000000000001" customHeight="1" thickTop="1">
      <c r="A4154" s="226" t="s">
        <v>12441</v>
      </c>
      <c r="B4154" s="28">
        <v>45997</v>
      </c>
      <c r="C4154" s="25">
        <v>1444</v>
      </c>
      <c r="D4154" s="13" t="s">
        <v>4739</v>
      </c>
      <c r="E4154" s="228"/>
      <c r="F4154" s="109" t="s">
        <v>12384</v>
      </c>
      <c r="G4154" s="24" t="s">
        <v>12386</v>
      </c>
      <c r="H4154" s="230">
        <v>4.5</v>
      </c>
      <c r="I4154" s="220">
        <v>665000</v>
      </c>
      <c r="J4154" s="220">
        <f>I4154*0.1</f>
        <v>66500</v>
      </c>
      <c r="K4154" s="220">
        <f>9800+980</f>
        <v>10780</v>
      </c>
      <c r="L4154" s="220">
        <v>11810</v>
      </c>
      <c r="M4154" s="220">
        <v>16500</v>
      </c>
      <c r="N4154" s="220">
        <f>SUM(I4154:M4155)</f>
        <v>770590</v>
      </c>
      <c r="O4154" s="224"/>
      <c r="P4154" s="110" t="s">
        <v>12387</v>
      </c>
      <c r="Q4154" s="15" t="s">
        <v>19</v>
      </c>
      <c r="R4154" s="205"/>
      <c r="S4154" s="189" t="s">
        <v>25641</v>
      </c>
      <c r="T4154" s="114"/>
      <c r="U4154" s="21" t="s">
        <v>15017</v>
      </c>
      <c r="V4154" s="115">
        <v>46099</v>
      </c>
      <c r="W4154" s="116">
        <v>1009</v>
      </c>
      <c r="X4154" s="220">
        <v>660000</v>
      </c>
      <c r="Y4154" s="220">
        <f>X4154*0.1</f>
        <v>66000</v>
      </c>
      <c r="Z4154" s="220">
        <v>11810</v>
      </c>
      <c r="AA4154" s="220">
        <f>SUM(X4154:Z4154)</f>
        <v>737810</v>
      </c>
      <c r="AB4154" s="222">
        <v>46105</v>
      </c>
    </row>
    <row r="4155" spans="1:28" ht="17.100000000000001" customHeight="1" thickBot="1">
      <c r="A4155" s="227"/>
      <c r="B4155" s="27" t="s">
        <v>1765</v>
      </c>
      <c r="C4155" s="27">
        <v>7195</v>
      </c>
      <c r="D4155" s="14" t="s">
        <v>2559</v>
      </c>
      <c r="E4155" s="229"/>
      <c r="F4155" s="117" t="s">
        <v>12385</v>
      </c>
      <c r="G4155" s="26">
        <v>78983</v>
      </c>
      <c r="H4155" s="231"/>
      <c r="I4155" s="221"/>
      <c r="J4155" s="221"/>
      <c r="K4155" s="221"/>
      <c r="L4155" s="221"/>
      <c r="M4155" s="221"/>
      <c r="N4155" s="221"/>
      <c r="O4155" s="225"/>
      <c r="P4155" s="118" t="s">
        <v>12897</v>
      </c>
      <c r="Q4155" s="16" t="s">
        <v>20</v>
      </c>
      <c r="R4155" s="17" t="s">
        <v>12777</v>
      </c>
      <c r="S4155" s="121" t="s">
        <v>10516</v>
      </c>
      <c r="T4155" s="122"/>
      <c r="U4155" s="22"/>
      <c r="V4155" s="123" t="s">
        <v>8877</v>
      </c>
      <c r="W4155" s="122">
        <v>6071</v>
      </c>
      <c r="X4155" s="221"/>
      <c r="Y4155" s="221"/>
      <c r="Z4155" s="221"/>
      <c r="AA4155" s="221"/>
      <c r="AB4155" s="223"/>
    </row>
    <row r="4156" spans="1:28" ht="17.100000000000001" customHeight="1" thickTop="1">
      <c r="A4156" s="226" t="s">
        <v>12442</v>
      </c>
      <c r="B4156" s="28">
        <v>45997</v>
      </c>
      <c r="C4156" s="25">
        <v>1522</v>
      </c>
      <c r="D4156" s="13" t="s">
        <v>1685</v>
      </c>
      <c r="E4156" s="228"/>
      <c r="F4156" s="109" t="s">
        <v>12388</v>
      </c>
      <c r="G4156" s="24" t="s">
        <v>12390</v>
      </c>
      <c r="H4156" s="230">
        <v>4.5</v>
      </c>
      <c r="I4156" s="220">
        <v>1555000</v>
      </c>
      <c r="J4156" s="220">
        <f>I4156*0.1</f>
        <v>155500</v>
      </c>
      <c r="K4156" s="220">
        <f>9800+980</f>
        <v>10780</v>
      </c>
      <c r="L4156" s="220">
        <v>14760</v>
      </c>
      <c r="M4156" s="220">
        <v>16500</v>
      </c>
      <c r="N4156" s="220">
        <f>SUM(I4156:M4157)</f>
        <v>1752540</v>
      </c>
      <c r="O4156" s="224"/>
      <c r="P4156" s="110" t="s">
        <v>12391</v>
      </c>
      <c r="Q4156" s="15" t="s">
        <v>19</v>
      </c>
      <c r="R4156" s="205"/>
      <c r="S4156" s="189"/>
      <c r="T4156" s="114"/>
      <c r="U4156" s="21"/>
      <c r="V4156" s="115">
        <v>46016</v>
      </c>
      <c r="W4156" s="116">
        <v>1312</v>
      </c>
      <c r="X4156" s="220">
        <v>1525000</v>
      </c>
      <c r="Y4156" s="220">
        <f>X4156*0.1</f>
        <v>152500</v>
      </c>
      <c r="Z4156" s="220">
        <v>14760</v>
      </c>
      <c r="AA4156" s="220">
        <f>SUM(X4156:Z4156)</f>
        <v>1692260</v>
      </c>
      <c r="AB4156" s="222">
        <v>46017</v>
      </c>
    </row>
    <row r="4157" spans="1:28" ht="17.100000000000001" customHeight="1" thickBot="1">
      <c r="A4157" s="227"/>
      <c r="B4157" s="27" t="s">
        <v>1547</v>
      </c>
      <c r="C4157" s="27">
        <v>83027</v>
      </c>
      <c r="D4157" s="14" t="s">
        <v>1584</v>
      </c>
      <c r="E4157" s="229"/>
      <c r="F4157" s="117" t="s">
        <v>12389</v>
      </c>
      <c r="G4157" s="26">
        <v>52997</v>
      </c>
      <c r="H4157" s="231"/>
      <c r="I4157" s="221"/>
      <c r="J4157" s="221"/>
      <c r="K4157" s="221"/>
      <c r="L4157" s="221"/>
      <c r="M4157" s="221"/>
      <c r="N4157" s="221"/>
      <c r="O4157" s="225"/>
      <c r="P4157" s="118" t="s">
        <v>12922</v>
      </c>
      <c r="Q4157" s="16" t="s">
        <v>20</v>
      </c>
      <c r="R4157" s="17" t="s">
        <v>12777</v>
      </c>
      <c r="S4157" s="121" t="s">
        <v>2784</v>
      </c>
      <c r="T4157" s="122"/>
      <c r="U4157" s="22"/>
      <c r="V4157" s="123" t="s">
        <v>13379</v>
      </c>
      <c r="W4157" s="122">
        <v>31</v>
      </c>
      <c r="X4157" s="221"/>
      <c r="Y4157" s="221"/>
      <c r="Z4157" s="221"/>
      <c r="AA4157" s="221"/>
      <c r="AB4157" s="223"/>
    </row>
    <row r="4158" spans="1:28" ht="17.100000000000001" customHeight="1" thickTop="1">
      <c r="A4158" s="226" t="s">
        <v>12443</v>
      </c>
      <c r="B4158" s="28">
        <v>45997</v>
      </c>
      <c r="C4158" s="25">
        <v>1522</v>
      </c>
      <c r="D4158" s="13" t="s">
        <v>1598</v>
      </c>
      <c r="E4158" s="228"/>
      <c r="F4158" s="109" t="s">
        <v>12392</v>
      </c>
      <c r="G4158" s="24"/>
      <c r="H4158" s="230">
        <v>4</v>
      </c>
      <c r="I4158" s="220">
        <v>945000</v>
      </c>
      <c r="J4158" s="220">
        <f>I4158*0.1</f>
        <v>94500</v>
      </c>
      <c r="K4158" s="220">
        <v>0</v>
      </c>
      <c r="L4158" s="220">
        <v>16640</v>
      </c>
      <c r="M4158" s="220">
        <v>16500</v>
      </c>
      <c r="N4158" s="220">
        <f>SUM(I4158:M4159)</f>
        <v>1072640</v>
      </c>
      <c r="O4158" s="224"/>
      <c r="P4158" s="110" t="s">
        <v>13042</v>
      </c>
      <c r="Q4158" s="15" t="s">
        <v>19</v>
      </c>
      <c r="R4158" s="205"/>
      <c r="S4158" s="189"/>
      <c r="T4158" s="114"/>
      <c r="U4158" s="21"/>
      <c r="V4158" s="115">
        <v>46053</v>
      </c>
      <c r="W4158" s="116">
        <v>1286</v>
      </c>
      <c r="X4158" s="220">
        <v>1035000</v>
      </c>
      <c r="Y4158" s="220">
        <f>X4158*0.1</f>
        <v>103500</v>
      </c>
      <c r="Z4158" s="220">
        <v>16640</v>
      </c>
      <c r="AA4158" s="220">
        <f>SUM(X4158:Z4158)</f>
        <v>1155140</v>
      </c>
      <c r="AB4158" s="222">
        <v>46056</v>
      </c>
    </row>
    <row r="4159" spans="1:28" ht="17.100000000000001" customHeight="1" thickBot="1">
      <c r="A4159" s="227"/>
      <c r="B4159" s="27" t="s">
        <v>1547</v>
      </c>
      <c r="C4159" s="27">
        <v>83252</v>
      </c>
      <c r="D4159" s="14" t="s">
        <v>2559</v>
      </c>
      <c r="E4159" s="229"/>
      <c r="F4159" s="117" t="s">
        <v>12393</v>
      </c>
      <c r="G4159" s="26">
        <v>42942</v>
      </c>
      <c r="H4159" s="231"/>
      <c r="I4159" s="221"/>
      <c r="J4159" s="221"/>
      <c r="K4159" s="221"/>
      <c r="L4159" s="221"/>
      <c r="M4159" s="221"/>
      <c r="N4159" s="221"/>
      <c r="O4159" s="225"/>
      <c r="P4159" s="118" t="s">
        <v>13043</v>
      </c>
      <c r="Q4159" s="16" t="s">
        <v>20</v>
      </c>
      <c r="R4159" s="17" t="s">
        <v>2235</v>
      </c>
      <c r="S4159" s="121" t="s">
        <v>169</v>
      </c>
      <c r="T4159" s="122"/>
      <c r="U4159" s="22"/>
      <c r="V4159" s="123" t="s">
        <v>2472</v>
      </c>
      <c r="W4159" s="122">
        <v>80180</v>
      </c>
      <c r="X4159" s="221"/>
      <c r="Y4159" s="221"/>
      <c r="Z4159" s="221"/>
      <c r="AA4159" s="221"/>
      <c r="AB4159" s="223"/>
    </row>
    <row r="4160" spans="1:28" ht="17.100000000000001" customHeight="1" thickTop="1">
      <c r="A4160" s="226" t="s">
        <v>12444</v>
      </c>
      <c r="B4160" s="28">
        <v>45997</v>
      </c>
      <c r="C4160" s="25">
        <v>1522</v>
      </c>
      <c r="D4160" s="13" t="s">
        <v>2073</v>
      </c>
      <c r="E4160" s="228"/>
      <c r="F4160" s="109" t="s">
        <v>9472</v>
      </c>
      <c r="G4160" s="24" t="s">
        <v>4239</v>
      </c>
      <c r="H4160" s="230">
        <v>4.5</v>
      </c>
      <c r="I4160" s="220">
        <v>800000</v>
      </c>
      <c r="J4160" s="220">
        <f>I4160*0.1</f>
        <v>80000</v>
      </c>
      <c r="K4160" s="220">
        <f>8600+860</f>
        <v>9460</v>
      </c>
      <c r="L4160" s="220">
        <v>12370</v>
      </c>
      <c r="M4160" s="220">
        <v>16500</v>
      </c>
      <c r="N4160" s="220">
        <f>SUM(I4160:M4161)</f>
        <v>918330</v>
      </c>
      <c r="O4160" s="224"/>
      <c r="P4160" s="110" t="s">
        <v>12395</v>
      </c>
      <c r="Q4160" s="15" t="s">
        <v>19</v>
      </c>
      <c r="R4160" s="205"/>
      <c r="S4160" s="189" t="s">
        <v>758</v>
      </c>
      <c r="T4160" s="114"/>
      <c r="U4160" s="21"/>
      <c r="V4160" s="115">
        <v>46009</v>
      </c>
      <c r="W4160" s="116">
        <v>1311</v>
      </c>
      <c r="X4160" s="220">
        <v>990000</v>
      </c>
      <c r="Y4160" s="220">
        <f>X4160*0.1</f>
        <v>99000</v>
      </c>
      <c r="Z4160" s="220">
        <v>12370</v>
      </c>
      <c r="AA4160" s="220">
        <f>SUM(X4160:Z4160)</f>
        <v>1101370</v>
      </c>
      <c r="AB4160" s="222">
        <v>46010</v>
      </c>
    </row>
    <row r="4161" spans="1:28" ht="17.100000000000001" customHeight="1" thickBot="1">
      <c r="A4161" s="227"/>
      <c r="B4161" s="27" t="s">
        <v>1547</v>
      </c>
      <c r="C4161" s="27">
        <v>83265</v>
      </c>
      <c r="D4161" s="14" t="s">
        <v>131</v>
      </c>
      <c r="E4161" s="229"/>
      <c r="F4161" s="117" t="s">
        <v>12394</v>
      </c>
      <c r="G4161" s="26">
        <v>35700</v>
      </c>
      <c r="H4161" s="231"/>
      <c r="I4161" s="221"/>
      <c r="J4161" s="221"/>
      <c r="K4161" s="221"/>
      <c r="L4161" s="221"/>
      <c r="M4161" s="221"/>
      <c r="N4161" s="221"/>
      <c r="O4161" s="225"/>
      <c r="P4161" s="118" t="s">
        <v>12923</v>
      </c>
      <c r="Q4161" s="16" t="s">
        <v>20</v>
      </c>
      <c r="R4161" s="17" t="s">
        <v>12777</v>
      </c>
      <c r="S4161" s="121" t="s">
        <v>13165</v>
      </c>
      <c r="T4161" s="122"/>
      <c r="U4161" s="22"/>
      <c r="V4161" s="123" t="s">
        <v>13379</v>
      </c>
      <c r="W4161" s="122">
        <v>106</v>
      </c>
      <c r="X4161" s="221"/>
      <c r="Y4161" s="221"/>
      <c r="Z4161" s="221"/>
      <c r="AA4161" s="221"/>
      <c r="AB4161" s="223"/>
    </row>
    <row r="4162" spans="1:28" ht="17.100000000000001" customHeight="1" thickTop="1">
      <c r="A4162" s="226" t="s">
        <v>12445</v>
      </c>
      <c r="B4162" s="28">
        <v>45997</v>
      </c>
      <c r="C4162" s="25">
        <v>1279</v>
      </c>
      <c r="D4162" s="13" t="s">
        <v>1810</v>
      </c>
      <c r="E4162" s="228"/>
      <c r="F4162" s="109" t="s">
        <v>12396</v>
      </c>
      <c r="G4162" s="24" t="s">
        <v>3867</v>
      </c>
      <c r="H4162" s="230">
        <v>4.5</v>
      </c>
      <c r="I4162" s="220">
        <v>2065000</v>
      </c>
      <c r="J4162" s="220">
        <f>I4162*0.1</f>
        <v>206500</v>
      </c>
      <c r="K4162" s="220">
        <f>7600+760</f>
        <v>8360</v>
      </c>
      <c r="L4162" s="220">
        <v>8600</v>
      </c>
      <c r="M4162" s="220">
        <v>12100</v>
      </c>
      <c r="N4162" s="220">
        <f>SUM(I4162:M4163)</f>
        <v>2300560</v>
      </c>
      <c r="O4162" s="224"/>
      <c r="P4162" s="110" t="s">
        <v>12398</v>
      </c>
      <c r="Q4162" s="15" t="s">
        <v>19</v>
      </c>
      <c r="R4162" s="205"/>
      <c r="S4162" s="189" t="s">
        <v>25581</v>
      </c>
      <c r="T4162" s="114"/>
      <c r="U4162" s="21" t="s">
        <v>15080</v>
      </c>
      <c r="V4162" s="115">
        <v>46095</v>
      </c>
      <c r="W4162" s="116">
        <v>1292</v>
      </c>
      <c r="X4162" s="220">
        <v>2035000</v>
      </c>
      <c r="Y4162" s="220">
        <f>X4162*0.1</f>
        <v>203500</v>
      </c>
      <c r="Z4162" s="220">
        <v>8600</v>
      </c>
      <c r="AA4162" s="220">
        <f>SUM(X4162:Z4162)</f>
        <v>2247100</v>
      </c>
      <c r="AB4162" s="222">
        <v>46098</v>
      </c>
    </row>
    <row r="4163" spans="1:28" ht="17.100000000000001" customHeight="1" thickBot="1">
      <c r="A4163" s="227"/>
      <c r="B4163" s="27" t="s">
        <v>2472</v>
      </c>
      <c r="C4163" s="27">
        <v>31016</v>
      </c>
      <c r="D4163" s="14" t="s">
        <v>2559</v>
      </c>
      <c r="E4163" s="229"/>
      <c r="F4163" s="117" t="s">
        <v>12397</v>
      </c>
      <c r="G4163" s="26">
        <v>7663</v>
      </c>
      <c r="H4163" s="231"/>
      <c r="I4163" s="221"/>
      <c r="J4163" s="221"/>
      <c r="K4163" s="221"/>
      <c r="L4163" s="221"/>
      <c r="M4163" s="221"/>
      <c r="N4163" s="221"/>
      <c r="O4163" s="225"/>
      <c r="P4163" s="118" t="s">
        <v>13114</v>
      </c>
      <c r="Q4163" s="16" t="s">
        <v>20</v>
      </c>
      <c r="R4163" s="17" t="s">
        <v>3390</v>
      </c>
      <c r="S4163" s="121" t="s">
        <v>2844</v>
      </c>
      <c r="T4163" s="122"/>
      <c r="U4163" s="22"/>
      <c r="V4163" s="123" t="s">
        <v>2472</v>
      </c>
      <c r="W4163" s="122">
        <v>55060</v>
      </c>
      <c r="X4163" s="221"/>
      <c r="Y4163" s="221"/>
      <c r="Z4163" s="221"/>
      <c r="AA4163" s="221"/>
      <c r="AB4163" s="223"/>
    </row>
    <row r="4164" spans="1:28" ht="17.100000000000001" customHeight="1" thickTop="1">
      <c r="A4164" s="226" t="s">
        <v>12446</v>
      </c>
      <c r="B4164" s="28">
        <v>45997</v>
      </c>
      <c r="C4164" s="25">
        <v>1279</v>
      </c>
      <c r="D4164" s="13" t="s">
        <v>1687</v>
      </c>
      <c r="E4164" s="228"/>
      <c r="F4164" s="109" t="s">
        <v>12399</v>
      </c>
      <c r="G4164" s="24" t="s">
        <v>3653</v>
      </c>
      <c r="H4164" s="230">
        <v>6</v>
      </c>
      <c r="I4164" s="220">
        <v>2285000</v>
      </c>
      <c r="J4164" s="220">
        <f>I4164*0.1</f>
        <v>228500</v>
      </c>
      <c r="K4164" s="220">
        <f>7600+760</f>
        <v>8360</v>
      </c>
      <c r="L4164" s="220">
        <v>10720</v>
      </c>
      <c r="M4164" s="220">
        <v>12100</v>
      </c>
      <c r="N4164" s="220">
        <f>SUM(I4164:M4165)</f>
        <v>2544680</v>
      </c>
      <c r="O4164" s="224"/>
      <c r="P4164" s="110" t="s">
        <v>12401</v>
      </c>
      <c r="Q4164" s="15" t="s">
        <v>19</v>
      </c>
      <c r="R4164" s="205"/>
      <c r="S4164" s="189" t="s">
        <v>1276</v>
      </c>
      <c r="T4164" s="114"/>
      <c r="U4164" s="21"/>
      <c r="V4164" s="115">
        <v>46036</v>
      </c>
      <c r="W4164" s="116">
        <v>1000</v>
      </c>
      <c r="X4164" s="220">
        <v>2295000</v>
      </c>
      <c r="Y4164" s="220">
        <f>X4164*0.1</f>
        <v>229500</v>
      </c>
      <c r="Z4164" s="220">
        <v>10720</v>
      </c>
      <c r="AA4164" s="220">
        <f>SUM(X4164:Z4164)</f>
        <v>2535220</v>
      </c>
      <c r="AB4164" s="222">
        <v>46041</v>
      </c>
    </row>
    <row r="4165" spans="1:28" ht="17.100000000000001" customHeight="1" thickBot="1">
      <c r="A4165" s="227"/>
      <c r="B4165" s="27" t="s">
        <v>2472</v>
      </c>
      <c r="C4165" s="27">
        <v>31196</v>
      </c>
      <c r="D4165" s="14" t="s">
        <v>2559</v>
      </c>
      <c r="E4165" s="229"/>
      <c r="F4165" s="117" t="s">
        <v>12400</v>
      </c>
      <c r="G4165" s="26">
        <v>5079</v>
      </c>
      <c r="H4165" s="231"/>
      <c r="I4165" s="221"/>
      <c r="J4165" s="221"/>
      <c r="K4165" s="221"/>
      <c r="L4165" s="221"/>
      <c r="M4165" s="221"/>
      <c r="N4165" s="221"/>
      <c r="O4165" s="225"/>
      <c r="P4165" s="118" t="s">
        <v>13115</v>
      </c>
      <c r="Q4165" s="16" t="s">
        <v>20</v>
      </c>
      <c r="R4165" s="17" t="s">
        <v>3390</v>
      </c>
      <c r="S4165" s="121" t="s">
        <v>9218</v>
      </c>
      <c r="T4165" s="122"/>
      <c r="U4165" s="22"/>
      <c r="V4165" s="123" t="s">
        <v>2747</v>
      </c>
      <c r="W4165" s="122">
        <v>5011</v>
      </c>
      <c r="X4165" s="221"/>
      <c r="Y4165" s="221"/>
      <c r="Z4165" s="221"/>
      <c r="AA4165" s="221"/>
      <c r="AB4165" s="223"/>
    </row>
    <row r="4166" spans="1:28" ht="17.100000000000001" customHeight="1" thickTop="1">
      <c r="A4166" s="226" t="s">
        <v>12447</v>
      </c>
      <c r="B4166" s="28">
        <v>45997</v>
      </c>
      <c r="C4166" s="25">
        <v>1279</v>
      </c>
      <c r="D4166" s="13" t="s">
        <v>3553</v>
      </c>
      <c r="E4166" s="228"/>
      <c r="F4166" s="109" t="s">
        <v>12402</v>
      </c>
      <c r="G4166" s="24"/>
      <c r="H4166" s="230">
        <v>4</v>
      </c>
      <c r="I4166" s="220">
        <v>390000</v>
      </c>
      <c r="J4166" s="220">
        <f>I4166*0.1</f>
        <v>39000</v>
      </c>
      <c r="K4166" s="220">
        <v>0</v>
      </c>
      <c r="L4166" s="220">
        <v>10400</v>
      </c>
      <c r="M4166" s="220">
        <v>12100</v>
      </c>
      <c r="N4166" s="220">
        <f>SUM(I4166:M4167)</f>
        <v>451500</v>
      </c>
      <c r="O4166" s="224"/>
      <c r="P4166" s="110" t="s">
        <v>13111</v>
      </c>
      <c r="Q4166" s="15" t="s">
        <v>19</v>
      </c>
      <c r="R4166" s="205"/>
      <c r="S4166" s="189" t="s">
        <v>1361</v>
      </c>
      <c r="T4166" s="114"/>
      <c r="U4166" s="21"/>
      <c r="V4166" s="115">
        <v>46029</v>
      </c>
      <c r="W4166" s="116">
        <v>999</v>
      </c>
      <c r="X4166" s="220">
        <v>450000</v>
      </c>
      <c r="Y4166" s="220">
        <f>X4166*0.1</f>
        <v>45000</v>
      </c>
      <c r="Z4166" s="220">
        <v>10400</v>
      </c>
      <c r="AA4166" s="220">
        <f>SUM(X4166:Z4166)</f>
        <v>505400</v>
      </c>
      <c r="AB4166" s="222">
        <v>46036</v>
      </c>
    </row>
    <row r="4167" spans="1:28" ht="17.100000000000001" customHeight="1" thickBot="1">
      <c r="A4167" s="227"/>
      <c r="B4167" s="27" t="s">
        <v>2472</v>
      </c>
      <c r="C4167" s="27">
        <v>37212</v>
      </c>
      <c r="D4167" s="14" t="s">
        <v>2559</v>
      </c>
      <c r="E4167" s="229"/>
      <c r="F4167" s="117" t="s">
        <v>12403</v>
      </c>
      <c r="G4167" s="26">
        <v>69200</v>
      </c>
      <c r="H4167" s="231"/>
      <c r="I4167" s="221"/>
      <c r="J4167" s="221"/>
      <c r="K4167" s="221"/>
      <c r="L4167" s="221"/>
      <c r="M4167" s="221"/>
      <c r="N4167" s="221"/>
      <c r="O4167" s="225"/>
      <c r="P4167" s="118" t="s">
        <v>13112</v>
      </c>
      <c r="Q4167" s="16" t="s">
        <v>20</v>
      </c>
      <c r="R4167" s="17" t="s">
        <v>3390</v>
      </c>
      <c r="S4167" s="121" t="s">
        <v>13113</v>
      </c>
      <c r="T4167" s="122"/>
      <c r="U4167" s="22"/>
      <c r="V4167" s="123" t="s">
        <v>7161</v>
      </c>
      <c r="W4167" s="122">
        <v>6104</v>
      </c>
      <c r="X4167" s="221"/>
      <c r="Y4167" s="221"/>
      <c r="Z4167" s="221"/>
      <c r="AA4167" s="221"/>
      <c r="AB4167" s="223"/>
    </row>
    <row r="4168" spans="1:28" ht="17.100000000000001" customHeight="1" thickTop="1">
      <c r="A4168" s="226" t="s">
        <v>12448</v>
      </c>
      <c r="B4168" s="28">
        <v>45997</v>
      </c>
      <c r="C4168" s="25">
        <v>1279</v>
      </c>
      <c r="D4168" s="13" t="s">
        <v>1837</v>
      </c>
      <c r="E4168" s="228"/>
      <c r="F4168" s="109" t="s">
        <v>12404</v>
      </c>
      <c r="G4168" s="24"/>
      <c r="H4168" s="230">
        <v>4.5</v>
      </c>
      <c r="I4168" s="220">
        <v>755000</v>
      </c>
      <c r="J4168" s="220">
        <v>75500</v>
      </c>
      <c r="K4168" s="220">
        <v>0</v>
      </c>
      <c r="L4168" s="220">
        <v>6560</v>
      </c>
      <c r="M4168" s="220">
        <v>9900</v>
      </c>
      <c r="N4168" s="220">
        <f>SUM(I4168:M4169)</f>
        <v>846960</v>
      </c>
      <c r="O4168" s="224"/>
      <c r="P4168" s="110" t="s">
        <v>13090</v>
      </c>
      <c r="Q4168" s="15" t="s">
        <v>19</v>
      </c>
      <c r="R4168" s="205"/>
      <c r="S4168" s="189"/>
      <c r="T4168" s="114"/>
      <c r="U4168" s="21"/>
      <c r="V4168" s="115">
        <v>46001</v>
      </c>
      <c r="W4168" s="116">
        <v>996</v>
      </c>
      <c r="X4168" s="220">
        <v>990000</v>
      </c>
      <c r="Y4168" s="220">
        <f>X4168*0.1</f>
        <v>99000</v>
      </c>
      <c r="Z4168" s="220">
        <v>6560</v>
      </c>
      <c r="AA4168" s="220">
        <f>SUM(X4168:Z4168)</f>
        <v>1095560</v>
      </c>
      <c r="AB4168" s="222">
        <v>46008</v>
      </c>
    </row>
    <row r="4169" spans="1:28" ht="17.100000000000001" customHeight="1" thickBot="1">
      <c r="A4169" s="227"/>
      <c r="B4169" s="27" t="s">
        <v>2472</v>
      </c>
      <c r="C4169" s="27">
        <v>60467</v>
      </c>
      <c r="D4169" s="14" t="s">
        <v>1568</v>
      </c>
      <c r="E4169" s="229"/>
      <c r="F4169" s="117" t="s">
        <v>12405</v>
      </c>
      <c r="G4169" s="26">
        <v>36280</v>
      </c>
      <c r="H4169" s="231"/>
      <c r="I4169" s="221"/>
      <c r="J4169" s="221"/>
      <c r="K4169" s="221"/>
      <c r="L4169" s="221"/>
      <c r="M4169" s="221"/>
      <c r="N4169" s="221"/>
      <c r="O4169" s="225"/>
      <c r="P4169" s="118" t="s">
        <v>13091</v>
      </c>
      <c r="Q4169" s="16" t="s">
        <v>20</v>
      </c>
      <c r="R4169" s="17" t="s">
        <v>3390</v>
      </c>
      <c r="S4169" s="121" t="s">
        <v>5207</v>
      </c>
      <c r="T4169" s="122"/>
      <c r="U4169" s="22"/>
      <c r="V4169" s="123" t="s">
        <v>2747</v>
      </c>
      <c r="W4169" s="122">
        <v>2099</v>
      </c>
      <c r="X4169" s="221"/>
      <c r="Y4169" s="221"/>
      <c r="Z4169" s="221"/>
      <c r="AA4169" s="221"/>
      <c r="AB4169" s="223"/>
    </row>
    <row r="4170" spans="1:28" ht="17.100000000000001" customHeight="1" thickTop="1">
      <c r="A4170" s="226" t="s">
        <v>12449</v>
      </c>
      <c r="B4170" s="28">
        <v>45997</v>
      </c>
      <c r="C4170" s="25">
        <v>1279</v>
      </c>
      <c r="D4170" s="13" t="s">
        <v>2441</v>
      </c>
      <c r="E4170" s="228"/>
      <c r="F4170" s="109" t="s">
        <v>5101</v>
      </c>
      <c r="G4170" s="24" t="s">
        <v>2124</v>
      </c>
      <c r="H4170" s="230">
        <v>5</v>
      </c>
      <c r="I4170" s="220">
        <v>855000</v>
      </c>
      <c r="J4170" s="220">
        <f>I4170*0.1</f>
        <v>85500</v>
      </c>
      <c r="K4170" s="220">
        <v>0</v>
      </c>
      <c r="L4170" s="220">
        <v>7200</v>
      </c>
      <c r="M4170" s="220">
        <v>11000</v>
      </c>
      <c r="N4170" s="220">
        <f>SUM(I4170:M4171)</f>
        <v>958700</v>
      </c>
      <c r="O4170" s="224"/>
      <c r="P4170" s="110" t="s">
        <v>12407</v>
      </c>
      <c r="Q4170" s="15" t="s">
        <v>19</v>
      </c>
      <c r="R4170" s="205"/>
      <c r="S4170" s="189" t="s">
        <v>758</v>
      </c>
      <c r="T4170" s="114"/>
      <c r="U4170" s="21"/>
      <c r="V4170" s="115">
        <v>46004</v>
      </c>
      <c r="W4170" s="116">
        <v>1280</v>
      </c>
      <c r="X4170" s="220">
        <v>910000</v>
      </c>
      <c r="Y4170" s="220">
        <f>X4170*0.1</f>
        <v>91000</v>
      </c>
      <c r="Z4170" s="220">
        <v>7200</v>
      </c>
      <c r="AA4170" s="220">
        <f>SUM(X4170:Z4170)</f>
        <v>1008200</v>
      </c>
      <c r="AB4170" s="222">
        <v>46008</v>
      </c>
    </row>
    <row r="4171" spans="1:28" ht="17.100000000000001" customHeight="1" thickBot="1">
      <c r="A4171" s="227"/>
      <c r="B4171" s="27" t="s">
        <v>2472</v>
      </c>
      <c r="C4171" s="27">
        <v>62050</v>
      </c>
      <c r="D4171" s="14" t="s">
        <v>2559</v>
      </c>
      <c r="E4171" s="229"/>
      <c r="F4171" s="117" t="s">
        <v>12406</v>
      </c>
      <c r="G4171" s="26">
        <v>1651</v>
      </c>
      <c r="H4171" s="231"/>
      <c r="I4171" s="221"/>
      <c r="J4171" s="221"/>
      <c r="K4171" s="221"/>
      <c r="L4171" s="221"/>
      <c r="M4171" s="221"/>
      <c r="N4171" s="221"/>
      <c r="O4171" s="225"/>
      <c r="P4171" s="118" t="s">
        <v>10518</v>
      </c>
      <c r="Q4171" s="16" t="s">
        <v>20</v>
      </c>
      <c r="R4171" s="17" t="s">
        <v>3390</v>
      </c>
      <c r="S4171" s="121" t="s">
        <v>1661</v>
      </c>
      <c r="T4171" s="122"/>
      <c r="U4171" s="22"/>
      <c r="V4171" s="123" t="s">
        <v>2472</v>
      </c>
      <c r="W4171" s="122">
        <v>60240</v>
      </c>
      <c r="X4171" s="221"/>
      <c r="Y4171" s="221"/>
      <c r="Z4171" s="221"/>
      <c r="AA4171" s="221"/>
      <c r="AB4171" s="223"/>
    </row>
    <row r="4172" spans="1:28" ht="17.100000000000001" customHeight="1" thickTop="1">
      <c r="A4172" s="226" t="s">
        <v>12450</v>
      </c>
      <c r="B4172" s="28">
        <v>45997</v>
      </c>
      <c r="C4172" s="25">
        <v>1279</v>
      </c>
      <c r="D4172" s="13" t="s">
        <v>1685</v>
      </c>
      <c r="E4172" s="228"/>
      <c r="F4172" s="109" t="s">
        <v>1633</v>
      </c>
      <c r="G4172" s="24" t="s">
        <v>12408</v>
      </c>
      <c r="H4172" s="230">
        <v>4.5</v>
      </c>
      <c r="I4172" s="220">
        <v>3045000</v>
      </c>
      <c r="J4172" s="220">
        <f>I4172*0.1</f>
        <v>304500</v>
      </c>
      <c r="K4172" s="220">
        <f>12700+1270</f>
        <v>13970</v>
      </c>
      <c r="L4172" s="220">
        <v>20990</v>
      </c>
      <c r="M4172" s="220">
        <v>16500</v>
      </c>
      <c r="N4172" s="220">
        <f>SUM(I4172:M4173)</f>
        <v>3400960</v>
      </c>
      <c r="O4172" s="224"/>
      <c r="P4172" s="110" t="s">
        <v>12409</v>
      </c>
      <c r="Q4172" s="15" t="s">
        <v>19</v>
      </c>
      <c r="R4172" s="205"/>
      <c r="S4172" s="189"/>
      <c r="T4172" s="114"/>
      <c r="U4172" s="21" t="s">
        <v>15884</v>
      </c>
      <c r="V4172" s="115"/>
      <c r="W4172" s="116"/>
      <c r="X4172" s="220"/>
      <c r="Y4172" s="220">
        <f>X4172*0.1</f>
        <v>0</v>
      </c>
      <c r="Z4172" s="220"/>
      <c r="AA4172" s="220">
        <f>SUM(X4172:Z4172)</f>
        <v>0</v>
      </c>
      <c r="AB4172" s="222"/>
    </row>
    <row r="4173" spans="1:28" ht="17.100000000000001" customHeight="1" thickBot="1">
      <c r="A4173" s="227"/>
      <c r="B4173" s="27" t="s">
        <v>2472</v>
      </c>
      <c r="C4173" s="27">
        <v>81025</v>
      </c>
      <c r="D4173" s="14" t="s">
        <v>1710</v>
      </c>
      <c r="E4173" s="229"/>
      <c r="F4173" s="117" t="s">
        <v>22820</v>
      </c>
      <c r="G4173" s="26">
        <v>45238</v>
      </c>
      <c r="H4173" s="231"/>
      <c r="I4173" s="221"/>
      <c r="J4173" s="221"/>
      <c r="K4173" s="221"/>
      <c r="L4173" s="221"/>
      <c r="M4173" s="221"/>
      <c r="N4173" s="221"/>
      <c r="O4173" s="225"/>
      <c r="P4173" s="118" t="s">
        <v>3355</v>
      </c>
      <c r="Q4173" s="16" t="s">
        <v>20</v>
      </c>
      <c r="R4173" s="17" t="s">
        <v>3390</v>
      </c>
      <c r="S4173" s="121" t="s">
        <v>169</v>
      </c>
      <c r="T4173" s="122"/>
      <c r="U4173" s="22"/>
      <c r="V4173" s="123"/>
      <c r="W4173" s="122"/>
      <c r="X4173" s="221"/>
      <c r="Y4173" s="221"/>
      <c r="Z4173" s="221"/>
      <c r="AA4173" s="221"/>
      <c r="AB4173" s="223"/>
    </row>
    <row r="4174" spans="1:28" ht="17.100000000000001" customHeight="1" thickTop="1">
      <c r="A4174" s="226" t="s">
        <v>12451</v>
      </c>
      <c r="B4174" s="28">
        <v>45997</v>
      </c>
      <c r="C4174" s="25">
        <v>1279</v>
      </c>
      <c r="D4174" s="13" t="s">
        <v>2324</v>
      </c>
      <c r="E4174" s="228"/>
      <c r="F4174" s="109" t="s">
        <v>12170</v>
      </c>
      <c r="G4174" s="24" t="s">
        <v>3345</v>
      </c>
      <c r="H4174" s="230">
        <v>4.5</v>
      </c>
      <c r="I4174" s="220">
        <v>905000</v>
      </c>
      <c r="J4174" s="220">
        <f>I4174*0.1</f>
        <v>90500</v>
      </c>
      <c r="K4174" s="220">
        <f>7600+760</f>
        <v>8360</v>
      </c>
      <c r="L4174" s="220">
        <v>17310</v>
      </c>
      <c r="M4174" s="220">
        <v>16500</v>
      </c>
      <c r="N4174" s="220">
        <f>SUM(I4174:M4175)</f>
        <v>1037670</v>
      </c>
      <c r="O4174" s="224"/>
      <c r="P4174" s="110" t="s">
        <v>12411</v>
      </c>
      <c r="Q4174" s="15" t="s">
        <v>19</v>
      </c>
      <c r="R4174" s="205"/>
      <c r="S4174" s="189" t="s">
        <v>25642</v>
      </c>
      <c r="T4174" s="114"/>
      <c r="U4174" s="21"/>
      <c r="V4174" s="115">
        <v>46009</v>
      </c>
      <c r="W4174" s="116">
        <v>1311</v>
      </c>
      <c r="X4174" s="220">
        <v>1075000</v>
      </c>
      <c r="Y4174" s="220">
        <f>X4174*0.1</f>
        <v>107500</v>
      </c>
      <c r="Z4174" s="220">
        <v>17310</v>
      </c>
      <c r="AA4174" s="220">
        <f>SUM(X4174:Z4174)</f>
        <v>1199810</v>
      </c>
      <c r="AB4174" s="222">
        <v>46010</v>
      </c>
    </row>
    <row r="4175" spans="1:28" ht="17.100000000000001" customHeight="1" thickBot="1">
      <c r="A4175" s="227"/>
      <c r="B4175" s="27" t="s">
        <v>2472</v>
      </c>
      <c r="C4175" s="27">
        <v>82167</v>
      </c>
      <c r="D4175" s="14" t="s">
        <v>1548</v>
      </c>
      <c r="E4175" s="229"/>
      <c r="F4175" s="117" t="s">
        <v>12410</v>
      </c>
      <c r="G4175" s="26">
        <v>40724</v>
      </c>
      <c r="H4175" s="231"/>
      <c r="I4175" s="221"/>
      <c r="J4175" s="221"/>
      <c r="K4175" s="221"/>
      <c r="L4175" s="221"/>
      <c r="M4175" s="221"/>
      <c r="N4175" s="221"/>
      <c r="O4175" s="225"/>
      <c r="P4175" s="118" t="s">
        <v>13117</v>
      </c>
      <c r="Q4175" s="16" t="s">
        <v>20</v>
      </c>
      <c r="R4175" s="17" t="s">
        <v>3390</v>
      </c>
      <c r="S4175" s="121" t="s">
        <v>1731</v>
      </c>
      <c r="T4175" s="122"/>
      <c r="U4175" s="22"/>
      <c r="V4175" s="123" t="s">
        <v>13379</v>
      </c>
      <c r="W4175" s="122">
        <v>68</v>
      </c>
      <c r="X4175" s="221"/>
      <c r="Y4175" s="221"/>
      <c r="Z4175" s="221"/>
      <c r="AA4175" s="221"/>
      <c r="AB4175" s="223"/>
    </row>
    <row r="4176" spans="1:28" ht="17.100000000000001" customHeight="1" thickTop="1">
      <c r="A4176" s="226" t="s">
        <v>12452</v>
      </c>
      <c r="B4176" s="28">
        <v>45997</v>
      </c>
      <c r="C4176" s="25">
        <v>1279</v>
      </c>
      <c r="D4176" s="13" t="s">
        <v>2573</v>
      </c>
      <c r="E4176" s="228"/>
      <c r="F4176" s="109" t="s">
        <v>12412</v>
      </c>
      <c r="G4176" s="24" t="s">
        <v>7399</v>
      </c>
      <c r="H4176" s="230">
        <v>4.5</v>
      </c>
      <c r="I4176" s="220">
        <v>2205000</v>
      </c>
      <c r="J4176" s="220">
        <f>I4176*0.1</f>
        <v>220500</v>
      </c>
      <c r="K4176" s="220">
        <f>9000+900</f>
        <v>9900</v>
      </c>
      <c r="L4176" s="220">
        <v>21720</v>
      </c>
      <c r="M4176" s="220">
        <v>16500</v>
      </c>
      <c r="N4176" s="220">
        <f>SUM(I4176:M4177)</f>
        <v>2473620</v>
      </c>
      <c r="O4176" s="224"/>
      <c r="P4176" s="110" t="s">
        <v>12414</v>
      </c>
      <c r="Q4176" s="15" t="s">
        <v>19</v>
      </c>
      <c r="R4176" s="205"/>
      <c r="S4176" s="189"/>
      <c r="T4176" s="114"/>
      <c r="U4176" s="21"/>
      <c r="V4176" s="115">
        <v>46011</v>
      </c>
      <c r="W4176" s="116">
        <v>1281</v>
      </c>
      <c r="X4176" s="220">
        <v>2285000</v>
      </c>
      <c r="Y4176" s="220">
        <f>X4176*0.1</f>
        <v>228500</v>
      </c>
      <c r="Z4176" s="220">
        <v>21720</v>
      </c>
      <c r="AA4176" s="220">
        <f>SUM(X4176:Z4176)</f>
        <v>2535220</v>
      </c>
      <c r="AB4176" s="222">
        <v>46014</v>
      </c>
    </row>
    <row r="4177" spans="1:28" ht="17.100000000000001" customHeight="1" thickBot="1">
      <c r="A4177" s="227"/>
      <c r="B4177" s="27" t="s">
        <v>2472</v>
      </c>
      <c r="C4177" s="27">
        <v>82292</v>
      </c>
      <c r="D4177" s="14" t="s">
        <v>1584</v>
      </c>
      <c r="E4177" s="229"/>
      <c r="F4177" s="117" t="s">
        <v>12413</v>
      </c>
      <c r="G4177" s="26">
        <v>60433</v>
      </c>
      <c r="H4177" s="231"/>
      <c r="I4177" s="221"/>
      <c r="J4177" s="221"/>
      <c r="K4177" s="221"/>
      <c r="L4177" s="221"/>
      <c r="M4177" s="221"/>
      <c r="N4177" s="221"/>
      <c r="O4177" s="225"/>
      <c r="P4177" s="118" t="s">
        <v>13116</v>
      </c>
      <c r="Q4177" s="16" t="s">
        <v>20</v>
      </c>
      <c r="R4177" s="17" t="s">
        <v>3390</v>
      </c>
      <c r="S4177" s="121" t="s">
        <v>2872</v>
      </c>
      <c r="T4177" s="122"/>
      <c r="U4177" s="22"/>
      <c r="V4177" s="123" t="s">
        <v>2472</v>
      </c>
      <c r="W4177" s="122">
        <v>80192</v>
      </c>
      <c r="X4177" s="221"/>
      <c r="Y4177" s="221"/>
      <c r="Z4177" s="221"/>
      <c r="AA4177" s="221"/>
      <c r="AB4177" s="223"/>
    </row>
    <row r="4178" spans="1:28" ht="17.100000000000001" customHeight="1" thickTop="1">
      <c r="A4178" s="226" t="s">
        <v>12453</v>
      </c>
      <c r="B4178" s="28">
        <v>45997</v>
      </c>
      <c r="C4178" s="25">
        <v>1279</v>
      </c>
      <c r="D4178" s="13" t="s">
        <v>2324</v>
      </c>
      <c r="E4178" s="228"/>
      <c r="F4178" s="109" t="s">
        <v>1916</v>
      </c>
      <c r="G4178" s="24" t="s">
        <v>3345</v>
      </c>
      <c r="H4178" s="230">
        <v>4.5</v>
      </c>
      <c r="I4178" s="220">
        <v>1160000</v>
      </c>
      <c r="J4178" s="220">
        <f>I4178*0.1</f>
        <v>116000</v>
      </c>
      <c r="K4178" s="220">
        <f>7600+760</f>
        <v>8360</v>
      </c>
      <c r="L4178" s="220">
        <v>16240</v>
      </c>
      <c r="M4178" s="220">
        <v>23100</v>
      </c>
      <c r="N4178" s="220">
        <f>SUM(I4178:M4179)</f>
        <v>1323700</v>
      </c>
      <c r="O4178" s="224"/>
      <c r="P4178" s="110" t="s">
        <v>12455</v>
      </c>
      <c r="Q4178" s="15" t="s">
        <v>19</v>
      </c>
      <c r="R4178" s="205"/>
      <c r="S4178" s="189" t="s">
        <v>25643</v>
      </c>
      <c r="T4178" s="114"/>
      <c r="U4178" s="21"/>
      <c r="V4178" s="115">
        <v>46004</v>
      </c>
      <c r="W4178" s="116">
        <v>1280</v>
      </c>
      <c r="X4178" s="220">
        <v>1315000</v>
      </c>
      <c r="Y4178" s="220">
        <f>X4178*0.1</f>
        <v>131500</v>
      </c>
      <c r="Z4178" s="220">
        <v>16240</v>
      </c>
      <c r="AA4178" s="220">
        <f>SUM(X4178:Z4178)</f>
        <v>1462740</v>
      </c>
      <c r="AB4178" s="222">
        <v>46008</v>
      </c>
    </row>
    <row r="4179" spans="1:28" ht="17.100000000000001" customHeight="1" thickBot="1">
      <c r="A4179" s="227"/>
      <c r="B4179" s="27" t="s">
        <v>2472</v>
      </c>
      <c r="C4179" s="27">
        <v>82389</v>
      </c>
      <c r="D4179" s="14" t="s">
        <v>898</v>
      </c>
      <c r="E4179" s="229"/>
      <c r="F4179" s="117" t="s">
        <v>12454</v>
      </c>
      <c r="G4179" s="26">
        <v>37810</v>
      </c>
      <c r="H4179" s="231"/>
      <c r="I4179" s="221"/>
      <c r="J4179" s="221"/>
      <c r="K4179" s="221"/>
      <c r="L4179" s="221"/>
      <c r="M4179" s="221"/>
      <c r="N4179" s="221"/>
      <c r="O4179" s="225"/>
      <c r="P4179" s="118" t="s">
        <v>1586</v>
      </c>
      <c r="Q4179" s="16" t="s">
        <v>20</v>
      </c>
      <c r="R4179" s="17" t="s">
        <v>3390</v>
      </c>
      <c r="S4179" s="121" t="s">
        <v>1722</v>
      </c>
      <c r="T4179" s="122"/>
      <c r="U4179" s="22"/>
      <c r="V4179" s="123" t="s">
        <v>2472</v>
      </c>
      <c r="W4179" s="122">
        <v>80068</v>
      </c>
      <c r="X4179" s="221"/>
      <c r="Y4179" s="221"/>
      <c r="Z4179" s="221"/>
      <c r="AA4179" s="221"/>
      <c r="AB4179" s="223"/>
    </row>
    <row r="4180" spans="1:28" ht="17.100000000000001" customHeight="1" thickTop="1">
      <c r="A4180" s="226" t="s">
        <v>12459</v>
      </c>
      <c r="B4180" s="28">
        <v>45997</v>
      </c>
      <c r="C4180" s="25"/>
      <c r="D4180" s="13" t="s">
        <v>3769</v>
      </c>
      <c r="E4180" s="228"/>
      <c r="F4180" s="109" t="s">
        <v>12457</v>
      </c>
      <c r="G4180" s="24" t="s">
        <v>8706</v>
      </c>
      <c r="H4180" s="230">
        <v>4.5</v>
      </c>
      <c r="I4180" s="220">
        <f>1474000/1.1</f>
        <v>1340000</v>
      </c>
      <c r="J4180" s="220">
        <f>I4180*0.1</f>
        <v>134000</v>
      </c>
      <c r="K4180" s="220">
        <v>0</v>
      </c>
      <c r="L4180" s="220">
        <v>6830</v>
      </c>
      <c r="M4180" s="220">
        <v>0</v>
      </c>
      <c r="N4180" s="220">
        <f>SUM(I4180:M4181)</f>
        <v>1480830</v>
      </c>
      <c r="O4180" s="224"/>
      <c r="P4180" s="110" t="s">
        <v>13484</v>
      </c>
      <c r="Q4180" s="15" t="s">
        <v>19</v>
      </c>
      <c r="R4180" s="205"/>
      <c r="S4180" s="189" t="s">
        <v>1312</v>
      </c>
      <c r="T4180" s="114"/>
      <c r="U4180" s="21" t="s">
        <v>14334</v>
      </c>
      <c r="V4180" s="115">
        <v>46035</v>
      </c>
      <c r="W4180" s="116">
        <v>1924</v>
      </c>
      <c r="X4180" s="220">
        <v>1490000</v>
      </c>
      <c r="Y4180" s="220">
        <f>X4180*0.1</f>
        <v>149000</v>
      </c>
      <c r="Z4180" s="220">
        <v>6830</v>
      </c>
      <c r="AA4180" s="220">
        <f>SUM(X4180:Z4180)</f>
        <v>1645830</v>
      </c>
      <c r="AB4180" s="222"/>
    </row>
    <row r="4181" spans="1:28" ht="17.100000000000001" customHeight="1" thickBot="1">
      <c r="A4181" s="227"/>
      <c r="B4181" s="27" t="s">
        <v>1708</v>
      </c>
      <c r="C4181" s="27" t="s">
        <v>12456</v>
      </c>
      <c r="D4181" s="14" t="s">
        <v>273</v>
      </c>
      <c r="E4181" s="229"/>
      <c r="F4181" s="117" t="s">
        <v>12458</v>
      </c>
      <c r="G4181" s="26">
        <v>14604</v>
      </c>
      <c r="H4181" s="231"/>
      <c r="I4181" s="221"/>
      <c r="J4181" s="221"/>
      <c r="K4181" s="221"/>
      <c r="L4181" s="221"/>
      <c r="M4181" s="221"/>
      <c r="N4181" s="221"/>
      <c r="O4181" s="225"/>
      <c r="P4181" s="118" t="s">
        <v>13485</v>
      </c>
      <c r="Q4181" s="16" t="s">
        <v>20</v>
      </c>
      <c r="R4181" s="17" t="s">
        <v>3420</v>
      </c>
      <c r="S4181" s="121" t="s">
        <v>1606</v>
      </c>
      <c r="T4181" s="122"/>
      <c r="U4181" s="22"/>
      <c r="V4181" s="123" t="s">
        <v>2103</v>
      </c>
      <c r="W4181" s="122">
        <v>3033</v>
      </c>
      <c r="X4181" s="221"/>
      <c r="Y4181" s="221"/>
      <c r="Z4181" s="221"/>
      <c r="AA4181" s="221"/>
      <c r="AB4181" s="223"/>
    </row>
    <row r="4182" spans="1:28" ht="17.100000000000001" customHeight="1" thickTop="1">
      <c r="A4182" s="233" t="s">
        <v>12510</v>
      </c>
      <c r="B4182" s="28">
        <v>45999</v>
      </c>
      <c r="C4182" s="25">
        <v>2072</v>
      </c>
      <c r="D4182" s="13" t="s">
        <v>2900</v>
      </c>
      <c r="E4182" s="228"/>
      <c r="F4182" s="109" t="s">
        <v>12460</v>
      </c>
      <c r="G4182" s="24"/>
      <c r="H4182" s="230">
        <v>4.5</v>
      </c>
      <c r="I4182" s="220">
        <v>1890000</v>
      </c>
      <c r="J4182" s="220">
        <f>I4182*0.1</f>
        <v>189000</v>
      </c>
      <c r="K4182" s="220">
        <v>0</v>
      </c>
      <c r="L4182" s="220">
        <v>15790</v>
      </c>
      <c r="M4182" s="220">
        <v>11000</v>
      </c>
      <c r="N4182" s="220">
        <f>SUM(I4182:M4183)</f>
        <v>2105790</v>
      </c>
      <c r="O4182" s="224"/>
      <c r="P4182" s="110" t="s">
        <v>12924</v>
      </c>
      <c r="Q4182" s="15" t="s">
        <v>19</v>
      </c>
      <c r="R4182" s="205"/>
      <c r="S4182" s="189" t="s">
        <v>1361</v>
      </c>
      <c r="T4182" s="114"/>
      <c r="U4182" s="21"/>
      <c r="V4182" s="115">
        <v>46039</v>
      </c>
      <c r="W4182" s="116">
        <v>1284</v>
      </c>
      <c r="X4182" s="220">
        <v>1995000</v>
      </c>
      <c r="Y4182" s="220">
        <f>X4182*0.1</f>
        <v>199500</v>
      </c>
      <c r="Z4182" s="220">
        <v>15790</v>
      </c>
      <c r="AA4182" s="220">
        <f>SUM(X4182:Z4182)</f>
        <v>2210290</v>
      </c>
      <c r="AB4182" s="222">
        <v>46042</v>
      </c>
    </row>
    <row r="4183" spans="1:28" ht="17.100000000000001" customHeight="1" thickBot="1">
      <c r="A4183" s="234"/>
      <c r="B4183" s="27" t="s">
        <v>82</v>
      </c>
      <c r="C4183" s="27">
        <v>31005</v>
      </c>
      <c r="D4183" s="14" t="s">
        <v>1568</v>
      </c>
      <c r="E4183" s="229"/>
      <c r="F4183" s="117" t="s">
        <v>12461</v>
      </c>
      <c r="G4183" s="26">
        <v>49941</v>
      </c>
      <c r="H4183" s="231"/>
      <c r="I4183" s="221"/>
      <c r="J4183" s="221"/>
      <c r="K4183" s="221"/>
      <c r="L4183" s="221"/>
      <c r="M4183" s="221"/>
      <c r="N4183" s="221"/>
      <c r="O4183" s="225"/>
      <c r="P4183" s="118" t="s">
        <v>9498</v>
      </c>
      <c r="Q4183" s="16" t="s">
        <v>20</v>
      </c>
      <c r="R4183" s="17" t="s">
        <v>12777</v>
      </c>
      <c r="S4183" s="121" t="s">
        <v>1606</v>
      </c>
      <c r="T4183" s="122"/>
      <c r="U4183" s="22"/>
      <c r="V4183" s="123" t="s">
        <v>2472</v>
      </c>
      <c r="W4183" s="122">
        <v>80109</v>
      </c>
      <c r="X4183" s="221"/>
      <c r="Y4183" s="221"/>
      <c r="Z4183" s="221"/>
      <c r="AA4183" s="221"/>
      <c r="AB4183" s="223"/>
    </row>
    <row r="4184" spans="1:28" ht="17.100000000000001" customHeight="1" thickTop="1">
      <c r="A4184" s="226" t="s">
        <v>12511</v>
      </c>
      <c r="B4184" s="28">
        <v>45999</v>
      </c>
      <c r="C4184" s="25">
        <v>2072</v>
      </c>
      <c r="D4184" s="13" t="s">
        <v>1837</v>
      </c>
      <c r="E4184" s="228"/>
      <c r="F4184" s="109" t="s">
        <v>12462</v>
      </c>
      <c r="G4184" s="24"/>
      <c r="H4184" s="230">
        <v>4.5</v>
      </c>
      <c r="I4184" s="220">
        <v>1195000</v>
      </c>
      <c r="J4184" s="220">
        <f>I4184*0.1</f>
        <v>119500</v>
      </c>
      <c r="K4184" s="220">
        <v>0</v>
      </c>
      <c r="L4184" s="220">
        <v>15160</v>
      </c>
      <c r="M4184" s="220">
        <v>11000</v>
      </c>
      <c r="N4184" s="220">
        <f>SUM(I4184:M4185)</f>
        <v>1340660</v>
      </c>
      <c r="O4184" s="224"/>
      <c r="P4184" s="110" t="s">
        <v>13041</v>
      </c>
      <c r="Q4184" s="15" t="s">
        <v>19</v>
      </c>
      <c r="R4184" s="205"/>
      <c r="S4184" s="189" t="s">
        <v>1361</v>
      </c>
      <c r="T4184" s="114"/>
      <c r="U4184" s="21"/>
      <c r="V4184" s="115">
        <v>46018</v>
      </c>
      <c r="W4184" s="116">
        <v>1282</v>
      </c>
      <c r="X4184" s="220">
        <v>1260000</v>
      </c>
      <c r="Y4184" s="220">
        <f>X4184*0.1</f>
        <v>126000</v>
      </c>
      <c r="Z4184" s="220">
        <v>15160</v>
      </c>
      <c r="AA4184" s="220">
        <f>SUM(X4184:Z4184)</f>
        <v>1401160</v>
      </c>
      <c r="AB4184" s="222">
        <v>46028</v>
      </c>
    </row>
    <row r="4185" spans="1:28" ht="17.100000000000001" customHeight="1" thickBot="1">
      <c r="A4185" s="227"/>
      <c r="B4185" s="27" t="s">
        <v>82</v>
      </c>
      <c r="C4185" s="27">
        <v>33519</v>
      </c>
      <c r="D4185" s="14" t="s">
        <v>273</v>
      </c>
      <c r="E4185" s="229"/>
      <c r="F4185" s="117" t="s">
        <v>12463</v>
      </c>
      <c r="G4185" s="26">
        <v>72015</v>
      </c>
      <c r="H4185" s="231"/>
      <c r="I4185" s="221"/>
      <c r="J4185" s="221"/>
      <c r="K4185" s="221"/>
      <c r="L4185" s="221"/>
      <c r="M4185" s="221"/>
      <c r="N4185" s="221"/>
      <c r="O4185" s="225"/>
      <c r="P4185" s="118" t="s">
        <v>4735</v>
      </c>
      <c r="Q4185" s="16" t="s">
        <v>20</v>
      </c>
      <c r="R4185" s="17" t="s">
        <v>2235</v>
      </c>
      <c r="S4185" s="121" t="s">
        <v>5180</v>
      </c>
      <c r="T4185" s="122"/>
      <c r="U4185" s="22"/>
      <c r="V4185" s="123" t="s">
        <v>2472</v>
      </c>
      <c r="W4185" s="122">
        <v>80210</v>
      </c>
      <c r="X4185" s="221"/>
      <c r="Y4185" s="221"/>
      <c r="Z4185" s="221"/>
      <c r="AA4185" s="221"/>
      <c r="AB4185" s="223"/>
    </row>
    <row r="4186" spans="1:28" ht="17.100000000000001" customHeight="1" thickTop="1">
      <c r="A4186" s="233" t="s">
        <v>12512</v>
      </c>
      <c r="B4186" s="28">
        <v>45999</v>
      </c>
      <c r="C4186" s="25">
        <v>2072</v>
      </c>
      <c r="D4186" s="13" t="s">
        <v>3327</v>
      </c>
      <c r="E4186" s="228"/>
      <c r="F4186" s="109" t="s">
        <v>12464</v>
      </c>
      <c r="G4186" s="24"/>
      <c r="H4186" s="230">
        <v>4.5</v>
      </c>
      <c r="I4186" s="220">
        <v>815000</v>
      </c>
      <c r="J4186" s="220">
        <f>I4186*0.1</f>
        <v>81500</v>
      </c>
      <c r="K4186" s="220">
        <v>0</v>
      </c>
      <c r="L4186" s="220">
        <v>11850</v>
      </c>
      <c r="M4186" s="220">
        <v>11000</v>
      </c>
      <c r="N4186" s="220">
        <f>SUM(I4186:M4187)</f>
        <v>919350</v>
      </c>
      <c r="O4186" s="224"/>
      <c r="P4186" s="110" t="s">
        <v>13039</v>
      </c>
      <c r="Q4186" s="15" t="s">
        <v>19</v>
      </c>
      <c r="R4186" s="205"/>
      <c r="S4186" s="189" t="s">
        <v>1271</v>
      </c>
      <c r="T4186" s="114"/>
      <c r="U4186" s="21"/>
      <c r="V4186" s="115">
        <v>46032</v>
      </c>
      <c r="W4186" s="116">
        <v>1283</v>
      </c>
      <c r="X4186" s="220">
        <v>920000</v>
      </c>
      <c r="Y4186" s="220">
        <f>X4186*0.1</f>
        <v>92000</v>
      </c>
      <c r="Z4186" s="220">
        <v>11850</v>
      </c>
      <c r="AA4186" s="220">
        <f>SUM(X4186:Z4186)</f>
        <v>1023850</v>
      </c>
      <c r="AB4186" s="222">
        <v>46036</v>
      </c>
    </row>
    <row r="4187" spans="1:28" ht="17.100000000000001" customHeight="1" thickBot="1">
      <c r="A4187" s="234"/>
      <c r="B4187" s="27" t="s">
        <v>82</v>
      </c>
      <c r="C4187" s="27">
        <v>36014</v>
      </c>
      <c r="D4187" s="14" t="s">
        <v>2559</v>
      </c>
      <c r="E4187" s="229"/>
      <c r="F4187" s="117" t="s">
        <v>12465</v>
      </c>
      <c r="G4187" s="26">
        <v>37076</v>
      </c>
      <c r="H4187" s="231"/>
      <c r="I4187" s="221"/>
      <c r="J4187" s="221"/>
      <c r="K4187" s="221"/>
      <c r="L4187" s="221"/>
      <c r="M4187" s="221"/>
      <c r="N4187" s="221"/>
      <c r="O4187" s="225"/>
      <c r="P4187" s="118" t="s">
        <v>13040</v>
      </c>
      <c r="Q4187" s="16" t="s">
        <v>20</v>
      </c>
      <c r="R4187" s="17" t="s">
        <v>2235</v>
      </c>
      <c r="S4187" s="121" t="s">
        <v>1731</v>
      </c>
      <c r="T4187" s="122"/>
      <c r="U4187" s="22"/>
      <c r="V4187" s="123" t="s">
        <v>2472</v>
      </c>
      <c r="W4187" s="122">
        <v>80121</v>
      </c>
      <c r="X4187" s="221"/>
      <c r="Y4187" s="221"/>
      <c r="Z4187" s="221"/>
      <c r="AA4187" s="221"/>
      <c r="AB4187" s="223"/>
    </row>
    <row r="4188" spans="1:28" ht="17.100000000000001" customHeight="1" thickTop="1">
      <c r="A4188" s="226" t="s">
        <v>12513</v>
      </c>
      <c r="B4188" s="28">
        <v>45999</v>
      </c>
      <c r="C4188" s="25"/>
      <c r="D4188" s="13" t="s">
        <v>2073</v>
      </c>
      <c r="E4188" s="228"/>
      <c r="F4188" s="109" t="s">
        <v>12480</v>
      </c>
      <c r="G4188" s="24" t="s">
        <v>4239</v>
      </c>
      <c r="H4188" s="230">
        <v>4</v>
      </c>
      <c r="I4188" s="220">
        <v>672000</v>
      </c>
      <c r="J4188" s="220">
        <f>I4188*0.1</f>
        <v>67200</v>
      </c>
      <c r="K4188" s="220">
        <f>9800+980</f>
        <v>10780</v>
      </c>
      <c r="L4188" s="220">
        <v>17700</v>
      </c>
      <c r="M4188" s="220">
        <v>14850</v>
      </c>
      <c r="N4188" s="220">
        <f>SUM(I4188:M4189)</f>
        <v>782530</v>
      </c>
      <c r="O4188" s="224"/>
      <c r="P4188" s="110" t="s">
        <v>12481</v>
      </c>
      <c r="Q4188" s="15" t="s">
        <v>19</v>
      </c>
      <c r="R4188" s="205"/>
      <c r="S4188" s="189"/>
      <c r="T4188" s="114"/>
      <c r="U4188" s="21"/>
      <c r="V4188" s="115">
        <v>46004</v>
      </c>
      <c r="W4188" s="116">
        <v>1280</v>
      </c>
      <c r="X4188" s="220">
        <v>820000</v>
      </c>
      <c r="Y4188" s="220">
        <f>X4188*0.1</f>
        <v>82000</v>
      </c>
      <c r="Z4188" s="220">
        <v>17700</v>
      </c>
      <c r="AA4188" s="220">
        <f>SUM(X4188:Z4188)</f>
        <v>919700</v>
      </c>
      <c r="AB4188" s="222">
        <v>46008</v>
      </c>
    </row>
    <row r="4189" spans="1:28" ht="17.100000000000001" customHeight="1" thickBot="1">
      <c r="A4189" s="227"/>
      <c r="B4189" s="27" t="s">
        <v>2727</v>
      </c>
      <c r="C4189" s="27">
        <v>70409</v>
      </c>
      <c r="D4189" s="14" t="s">
        <v>1568</v>
      </c>
      <c r="E4189" s="229"/>
      <c r="F4189" s="117" t="s">
        <v>13087</v>
      </c>
      <c r="G4189" s="26">
        <v>66681</v>
      </c>
      <c r="H4189" s="231"/>
      <c r="I4189" s="221"/>
      <c r="J4189" s="221"/>
      <c r="K4189" s="221"/>
      <c r="L4189" s="221"/>
      <c r="M4189" s="221"/>
      <c r="N4189" s="221"/>
      <c r="O4189" s="225"/>
      <c r="P4189" s="118" t="s">
        <v>2499</v>
      </c>
      <c r="Q4189" s="16" t="s">
        <v>20</v>
      </c>
      <c r="R4189" s="17" t="s">
        <v>3390</v>
      </c>
      <c r="S4189" s="121" t="s">
        <v>7722</v>
      </c>
      <c r="T4189" s="122"/>
      <c r="U4189" s="22"/>
      <c r="V4189" s="123" t="s">
        <v>2472</v>
      </c>
      <c r="W4189" s="122">
        <v>80094</v>
      </c>
      <c r="X4189" s="221"/>
      <c r="Y4189" s="221"/>
      <c r="Z4189" s="221"/>
      <c r="AA4189" s="221"/>
      <c r="AB4189" s="223"/>
    </row>
    <row r="4190" spans="1:28" ht="17.100000000000001" customHeight="1" thickTop="1">
      <c r="A4190" s="226" t="s">
        <v>12514</v>
      </c>
      <c r="B4190" s="28">
        <v>45999</v>
      </c>
      <c r="C4190" s="25"/>
      <c r="D4190" s="13" t="s">
        <v>2264</v>
      </c>
      <c r="E4190" s="228"/>
      <c r="F4190" s="109" t="s">
        <v>4483</v>
      </c>
      <c r="G4190" s="24"/>
      <c r="H4190" s="230">
        <v>4</v>
      </c>
      <c r="I4190" s="220">
        <v>1003000</v>
      </c>
      <c r="J4190" s="220">
        <f>I4190*0.1</f>
        <v>100300</v>
      </c>
      <c r="K4190" s="220">
        <v>0</v>
      </c>
      <c r="L4190" s="220">
        <v>17600</v>
      </c>
      <c r="M4190" s="220">
        <v>14850</v>
      </c>
      <c r="N4190" s="220">
        <f>SUM(I4190:M4191)</f>
        <v>1135750</v>
      </c>
      <c r="O4190" s="224"/>
      <c r="P4190" s="110" t="s">
        <v>13100</v>
      </c>
      <c r="Q4190" s="15" t="s">
        <v>19</v>
      </c>
      <c r="R4190" s="205"/>
      <c r="S4190" s="189"/>
      <c r="T4190" s="114"/>
      <c r="U4190" s="21"/>
      <c r="V4190" s="115">
        <v>46004</v>
      </c>
      <c r="W4190" s="116">
        <v>1280</v>
      </c>
      <c r="X4190" s="220">
        <v>1285000</v>
      </c>
      <c r="Y4190" s="220">
        <f>X4190*0.1</f>
        <v>128500</v>
      </c>
      <c r="Z4190" s="220">
        <v>17600</v>
      </c>
      <c r="AA4190" s="220">
        <f>SUM(X4190:Z4190)</f>
        <v>1431100</v>
      </c>
      <c r="AB4190" s="222">
        <v>46008</v>
      </c>
    </row>
    <row r="4191" spans="1:28" ht="17.100000000000001" customHeight="1" thickBot="1">
      <c r="A4191" s="227"/>
      <c r="B4191" s="27" t="s">
        <v>2727</v>
      </c>
      <c r="C4191" s="27">
        <v>80253</v>
      </c>
      <c r="D4191" s="14" t="s">
        <v>1584</v>
      </c>
      <c r="E4191" s="229"/>
      <c r="F4191" s="117" t="s">
        <v>13086</v>
      </c>
      <c r="G4191" s="26">
        <v>59038</v>
      </c>
      <c r="H4191" s="231"/>
      <c r="I4191" s="221"/>
      <c r="J4191" s="221"/>
      <c r="K4191" s="221"/>
      <c r="L4191" s="221"/>
      <c r="M4191" s="221"/>
      <c r="N4191" s="221"/>
      <c r="O4191" s="225"/>
      <c r="P4191" s="118" t="s">
        <v>13101</v>
      </c>
      <c r="Q4191" s="16" t="s">
        <v>20</v>
      </c>
      <c r="R4191" s="17" t="s">
        <v>3390</v>
      </c>
      <c r="S4191" s="121" t="s">
        <v>1680</v>
      </c>
      <c r="T4191" s="122"/>
      <c r="U4191" s="22"/>
      <c r="V4191" s="123" t="s">
        <v>2472</v>
      </c>
      <c r="W4191" s="122">
        <v>80092</v>
      </c>
      <c r="X4191" s="221"/>
      <c r="Y4191" s="221"/>
      <c r="Z4191" s="221"/>
      <c r="AA4191" s="221"/>
      <c r="AB4191" s="223"/>
    </row>
    <row r="4192" spans="1:28" ht="17.100000000000001" customHeight="1" thickTop="1">
      <c r="A4192" s="226" t="s">
        <v>12515</v>
      </c>
      <c r="B4192" s="28">
        <v>45999</v>
      </c>
      <c r="C4192" s="25"/>
      <c r="D4192" s="13" t="s">
        <v>1837</v>
      </c>
      <c r="E4192" s="228"/>
      <c r="F4192" s="109" t="s">
        <v>12466</v>
      </c>
      <c r="G4192" s="24"/>
      <c r="H4192" s="230">
        <v>4</v>
      </c>
      <c r="I4192" s="220">
        <v>1422000</v>
      </c>
      <c r="J4192" s="220">
        <f>I4192*0.1</f>
        <v>142200</v>
      </c>
      <c r="K4192" s="220">
        <v>0</v>
      </c>
      <c r="L4192" s="220">
        <v>15420</v>
      </c>
      <c r="M4192" s="220">
        <v>14850</v>
      </c>
      <c r="N4192" s="220">
        <f>SUM(I4192:M4193)</f>
        <v>1594470</v>
      </c>
      <c r="O4192" s="224"/>
      <c r="P4192" s="110" t="s">
        <v>13098</v>
      </c>
      <c r="Q4192" s="15" t="s">
        <v>19</v>
      </c>
      <c r="R4192" s="205"/>
      <c r="S4192" s="189"/>
      <c r="T4192" s="114"/>
      <c r="U4192" s="21"/>
      <c r="V4192" s="115">
        <v>46004</v>
      </c>
      <c r="W4192" s="116">
        <v>1280</v>
      </c>
      <c r="X4192" s="220">
        <v>1565000</v>
      </c>
      <c r="Y4192" s="220">
        <f>X4192*0.1</f>
        <v>156500</v>
      </c>
      <c r="Z4192" s="220">
        <v>15420</v>
      </c>
      <c r="AA4192" s="220">
        <f>SUM(X4192:Z4192)</f>
        <v>1736920</v>
      </c>
      <c r="AB4192" s="222">
        <v>46008</v>
      </c>
    </row>
    <row r="4193" spans="1:28" ht="17.100000000000001" customHeight="1" thickBot="1">
      <c r="A4193" s="227"/>
      <c r="B4193" s="27" t="s">
        <v>2727</v>
      </c>
      <c r="C4193" s="27">
        <v>80260</v>
      </c>
      <c r="D4193" s="14" t="s">
        <v>1584</v>
      </c>
      <c r="E4193" s="229"/>
      <c r="F4193" s="117" t="s">
        <v>13085</v>
      </c>
      <c r="G4193" s="26">
        <v>53129</v>
      </c>
      <c r="H4193" s="231"/>
      <c r="I4193" s="221"/>
      <c r="J4193" s="221"/>
      <c r="K4193" s="221"/>
      <c r="L4193" s="221"/>
      <c r="M4193" s="221"/>
      <c r="N4193" s="221"/>
      <c r="O4193" s="225"/>
      <c r="P4193" s="118" t="s">
        <v>2729</v>
      </c>
      <c r="Q4193" s="16" t="s">
        <v>20</v>
      </c>
      <c r="R4193" s="17" t="s">
        <v>3390</v>
      </c>
      <c r="S4193" s="121" t="s">
        <v>1680</v>
      </c>
      <c r="T4193" s="122"/>
      <c r="U4193" s="22"/>
      <c r="V4193" s="123" t="s">
        <v>2472</v>
      </c>
      <c r="W4193" s="122">
        <v>80087</v>
      </c>
      <c r="X4193" s="221"/>
      <c r="Y4193" s="221"/>
      <c r="Z4193" s="221"/>
      <c r="AA4193" s="221"/>
      <c r="AB4193" s="223"/>
    </row>
    <row r="4194" spans="1:28" ht="17.100000000000001" customHeight="1" thickTop="1">
      <c r="A4194" s="226" t="s">
        <v>12516</v>
      </c>
      <c r="B4194" s="28">
        <v>45999</v>
      </c>
      <c r="C4194" s="25"/>
      <c r="D4194" s="13" t="s">
        <v>853</v>
      </c>
      <c r="E4194" s="228"/>
      <c r="F4194" s="109" t="s">
        <v>12467</v>
      </c>
      <c r="G4194" s="24"/>
      <c r="H4194" s="230">
        <v>4.5</v>
      </c>
      <c r="I4194" s="220">
        <v>1219000</v>
      </c>
      <c r="J4194" s="220">
        <f>I4194*0.1</f>
        <v>121900</v>
      </c>
      <c r="K4194" s="220">
        <v>0</v>
      </c>
      <c r="L4194" s="220">
        <v>11810</v>
      </c>
      <c r="M4194" s="220">
        <v>14850</v>
      </c>
      <c r="N4194" s="220">
        <f>SUM(I4194:M4195)</f>
        <v>1367560</v>
      </c>
      <c r="O4194" s="224"/>
      <c r="P4194" s="110" t="s">
        <v>13103</v>
      </c>
      <c r="Q4194" s="15" t="s">
        <v>19</v>
      </c>
      <c r="R4194" s="205"/>
      <c r="S4194" s="189" t="s">
        <v>758</v>
      </c>
      <c r="T4194" s="114"/>
      <c r="U4194" s="21"/>
      <c r="V4194" s="115">
        <v>46004</v>
      </c>
      <c r="W4194" s="116">
        <v>1280</v>
      </c>
      <c r="X4194" s="220">
        <v>1530000</v>
      </c>
      <c r="Y4194" s="220">
        <f>X4194*0.1</f>
        <v>153000</v>
      </c>
      <c r="Z4194" s="220">
        <v>11810</v>
      </c>
      <c r="AA4194" s="220">
        <f>SUM(X4194:Z4194)</f>
        <v>1694810</v>
      </c>
      <c r="AB4194" s="222">
        <v>46008</v>
      </c>
    </row>
    <row r="4195" spans="1:28" ht="17.100000000000001" customHeight="1" thickBot="1">
      <c r="A4195" s="227"/>
      <c r="B4195" s="27" t="s">
        <v>2727</v>
      </c>
      <c r="C4195" s="27">
        <v>80263</v>
      </c>
      <c r="D4195" s="14" t="s">
        <v>1584</v>
      </c>
      <c r="E4195" s="229"/>
      <c r="F4195" s="117" t="s">
        <v>13102</v>
      </c>
      <c r="G4195" s="26">
        <v>25153</v>
      </c>
      <c r="H4195" s="231"/>
      <c r="I4195" s="221"/>
      <c r="J4195" s="221"/>
      <c r="K4195" s="221"/>
      <c r="L4195" s="221"/>
      <c r="M4195" s="221"/>
      <c r="N4195" s="221"/>
      <c r="O4195" s="225"/>
      <c r="P4195" s="118" t="s">
        <v>3247</v>
      </c>
      <c r="Q4195" s="16" t="s">
        <v>20</v>
      </c>
      <c r="R4195" s="17" t="s">
        <v>3390</v>
      </c>
      <c r="S4195" s="121" t="s">
        <v>1625</v>
      </c>
      <c r="T4195" s="122"/>
      <c r="U4195" s="22"/>
      <c r="V4195" s="123" t="s">
        <v>2472</v>
      </c>
      <c r="W4195" s="122">
        <v>80366</v>
      </c>
      <c r="X4195" s="221"/>
      <c r="Y4195" s="221"/>
      <c r="Z4195" s="221"/>
      <c r="AA4195" s="221"/>
      <c r="AB4195" s="223"/>
    </row>
    <row r="4196" spans="1:28" ht="17.100000000000001" customHeight="1" thickTop="1">
      <c r="A4196" s="226" t="s">
        <v>12517</v>
      </c>
      <c r="B4196" s="28">
        <v>45999</v>
      </c>
      <c r="C4196" s="25"/>
      <c r="D4196" s="13" t="s">
        <v>2313</v>
      </c>
      <c r="E4196" s="228"/>
      <c r="F4196" s="109" t="s">
        <v>12471</v>
      </c>
      <c r="G4196" s="24"/>
      <c r="H4196" s="230">
        <v>4</v>
      </c>
      <c r="I4196" s="220">
        <v>1283000</v>
      </c>
      <c r="J4196" s="220">
        <f>I4196*0.1</f>
        <v>128300</v>
      </c>
      <c r="K4196" s="220">
        <v>0</v>
      </c>
      <c r="L4196" s="220">
        <v>15280</v>
      </c>
      <c r="M4196" s="220">
        <v>15950</v>
      </c>
      <c r="N4196" s="220">
        <f>SUM(I4196:M4197)</f>
        <v>1442530</v>
      </c>
      <c r="O4196" s="224"/>
      <c r="P4196" s="110" t="s">
        <v>13253</v>
      </c>
      <c r="Q4196" s="15" t="s">
        <v>19</v>
      </c>
      <c r="R4196" s="205"/>
      <c r="S4196" s="189"/>
      <c r="T4196" s="114"/>
      <c r="U4196" s="21"/>
      <c r="V4196" s="115">
        <v>46053</v>
      </c>
      <c r="W4196" s="116">
        <v>1286</v>
      </c>
      <c r="X4196" s="220">
        <v>1380000</v>
      </c>
      <c r="Y4196" s="220">
        <f>X4196*0.1</f>
        <v>138000</v>
      </c>
      <c r="Z4196" s="220">
        <v>15200</v>
      </c>
      <c r="AA4196" s="220">
        <f>SUM(X4196:Z4196)</f>
        <v>1533200</v>
      </c>
      <c r="AB4196" s="222">
        <v>46056</v>
      </c>
    </row>
    <row r="4197" spans="1:28" ht="17.100000000000001" customHeight="1" thickBot="1">
      <c r="A4197" s="227"/>
      <c r="B4197" s="27" t="s">
        <v>12470</v>
      </c>
      <c r="C4197" s="27">
        <v>30031</v>
      </c>
      <c r="D4197" s="14" t="s">
        <v>898</v>
      </c>
      <c r="E4197" s="229"/>
      <c r="F4197" s="117" t="s">
        <v>13252</v>
      </c>
      <c r="G4197" s="26">
        <v>44738</v>
      </c>
      <c r="H4197" s="231"/>
      <c r="I4197" s="221"/>
      <c r="J4197" s="221"/>
      <c r="K4197" s="221"/>
      <c r="L4197" s="221"/>
      <c r="M4197" s="221"/>
      <c r="N4197" s="221"/>
      <c r="O4197" s="225"/>
      <c r="P4197" s="118" t="s">
        <v>13254</v>
      </c>
      <c r="Q4197" s="16" t="s">
        <v>20</v>
      </c>
      <c r="R4197" s="17" t="s">
        <v>1745</v>
      </c>
      <c r="S4197" s="121" t="s">
        <v>7722</v>
      </c>
      <c r="T4197" s="122"/>
      <c r="U4197" s="22"/>
      <c r="V4197" s="123" t="s">
        <v>2472</v>
      </c>
      <c r="W4197" s="122">
        <v>80182</v>
      </c>
      <c r="X4197" s="221"/>
      <c r="Y4197" s="221"/>
      <c r="Z4197" s="221"/>
      <c r="AA4197" s="221"/>
      <c r="AB4197" s="223"/>
    </row>
    <row r="4198" spans="1:28" ht="17.100000000000001" customHeight="1" thickTop="1">
      <c r="A4198" s="226" t="s">
        <v>12518</v>
      </c>
      <c r="B4198" s="28">
        <v>45999</v>
      </c>
      <c r="C4198" s="25"/>
      <c r="D4198" s="13" t="s">
        <v>1953</v>
      </c>
      <c r="E4198" s="228"/>
      <c r="F4198" s="109" t="s">
        <v>12468</v>
      </c>
      <c r="G4198" s="24" t="s">
        <v>4038</v>
      </c>
      <c r="H4198" s="230">
        <v>4</v>
      </c>
      <c r="I4198" s="220">
        <v>861000</v>
      </c>
      <c r="J4198" s="220">
        <f>I4198*0.1</f>
        <v>86100</v>
      </c>
      <c r="K4198" s="220">
        <f>8600+860</f>
        <v>9460</v>
      </c>
      <c r="L4198" s="220">
        <v>11810</v>
      </c>
      <c r="M4198" s="220">
        <v>15950</v>
      </c>
      <c r="N4198" s="220">
        <f>SUM(I4198:M4199)</f>
        <v>984320</v>
      </c>
      <c r="O4198" s="224"/>
      <c r="P4198" s="110" t="s">
        <v>12469</v>
      </c>
      <c r="Q4198" s="15" t="s">
        <v>19</v>
      </c>
      <c r="R4198" s="205"/>
      <c r="S4198" s="189" t="s">
        <v>758</v>
      </c>
      <c r="T4198" s="114"/>
      <c r="U4198" s="21"/>
      <c r="V4198" s="115">
        <v>46004</v>
      </c>
      <c r="W4198" s="116">
        <v>1280</v>
      </c>
      <c r="X4198" s="220">
        <v>1080000</v>
      </c>
      <c r="Y4198" s="220">
        <f>X4198*0.1</f>
        <v>108000</v>
      </c>
      <c r="Z4198" s="220">
        <v>11810</v>
      </c>
      <c r="AA4198" s="220">
        <f>SUM(X4198:Z4198)</f>
        <v>1199810</v>
      </c>
      <c r="AB4198" s="222">
        <v>46008</v>
      </c>
    </row>
    <row r="4199" spans="1:28" ht="17.100000000000001" customHeight="1" thickBot="1">
      <c r="A4199" s="227"/>
      <c r="B4199" s="27" t="s">
        <v>3663</v>
      </c>
      <c r="C4199" s="27">
        <v>50055</v>
      </c>
      <c r="D4199" s="14" t="s">
        <v>1584</v>
      </c>
      <c r="E4199" s="229"/>
      <c r="F4199" s="117" t="s">
        <v>13104</v>
      </c>
      <c r="G4199" s="26">
        <v>47167</v>
      </c>
      <c r="H4199" s="231"/>
      <c r="I4199" s="221"/>
      <c r="J4199" s="221"/>
      <c r="K4199" s="221"/>
      <c r="L4199" s="221"/>
      <c r="M4199" s="221"/>
      <c r="N4199" s="221"/>
      <c r="O4199" s="225"/>
      <c r="P4199" s="118" t="s">
        <v>13105</v>
      </c>
      <c r="Q4199" s="16" t="s">
        <v>20</v>
      </c>
      <c r="R4199" s="17" t="s">
        <v>3390</v>
      </c>
      <c r="S4199" s="121" t="s">
        <v>1625</v>
      </c>
      <c r="T4199" s="122"/>
      <c r="U4199" s="22"/>
      <c r="V4199" s="123" t="s">
        <v>2472</v>
      </c>
      <c r="W4199" s="122">
        <v>80262</v>
      </c>
      <c r="X4199" s="221"/>
      <c r="Y4199" s="221"/>
      <c r="Z4199" s="221"/>
      <c r="AA4199" s="221"/>
      <c r="AB4199" s="223"/>
    </row>
    <row r="4200" spans="1:28" ht="17.100000000000001" customHeight="1" thickTop="1">
      <c r="A4200" s="226" t="s">
        <v>12519</v>
      </c>
      <c r="B4200" s="28">
        <v>45999</v>
      </c>
      <c r="C4200" s="25"/>
      <c r="D4200" s="13" t="s">
        <v>1816</v>
      </c>
      <c r="E4200" s="228"/>
      <c r="F4200" s="109" t="s">
        <v>1916</v>
      </c>
      <c r="G4200" s="24"/>
      <c r="H4200" s="230">
        <v>4</v>
      </c>
      <c r="I4200" s="220">
        <v>381000</v>
      </c>
      <c r="J4200" s="220">
        <f>I4200*0.1</f>
        <v>38100</v>
      </c>
      <c r="K4200" s="220">
        <v>0</v>
      </c>
      <c r="L4200" s="220">
        <v>17700</v>
      </c>
      <c r="M4200" s="220">
        <v>15950</v>
      </c>
      <c r="N4200" s="220">
        <f>SUM(I4200:M4201)</f>
        <v>452750</v>
      </c>
      <c r="O4200" s="224"/>
      <c r="P4200" s="110" t="s">
        <v>13248</v>
      </c>
      <c r="Q4200" s="15" t="s">
        <v>19</v>
      </c>
      <c r="R4200" s="205"/>
      <c r="S4200" s="189" t="s">
        <v>1422</v>
      </c>
      <c r="T4200" s="114"/>
      <c r="U4200" s="21"/>
      <c r="V4200" s="115">
        <v>46004</v>
      </c>
      <c r="W4200" s="116">
        <v>1280</v>
      </c>
      <c r="X4200" s="220">
        <v>535000</v>
      </c>
      <c r="Y4200" s="220">
        <f>X4200*0.1</f>
        <v>53500</v>
      </c>
      <c r="Z4200" s="220">
        <v>17700</v>
      </c>
      <c r="AA4200" s="220">
        <f>SUM(X4200:Z4200)</f>
        <v>606200</v>
      </c>
      <c r="AB4200" s="222">
        <v>46009</v>
      </c>
    </row>
    <row r="4201" spans="1:28" ht="17.100000000000001" customHeight="1" thickBot="1">
      <c r="A4201" s="227"/>
      <c r="B4201" s="27" t="s">
        <v>3663</v>
      </c>
      <c r="C4201" s="27">
        <v>55247</v>
      </c>
      <c r="D4201" s="14" t="s">
        <v>273</v>
      </c>
      <c r="E4201" s="229"/>
      <c r="F4201" s="117" t="s">
        <v>13247</v>
      </c>
      <c r="G4201" s="26">
        <v>48403</v>
      </c>
      <c r="H4201" s="231"/>
      <c r="I4201" s="221"/>
      <c r="J4201" s="221"/>
      <c r="K4201" s="221"/>
      <c r="L4201" s="221"/>
      <c r="M4201" s="221"/>
      <c r="N4201" s="221"/>
      <c r="O4201" s="225"/>
      <c r="P4201" s="118" t="s">
        <v>4094</v>
      </c>
      <c r="Q4201" s="16" t="s">
        <v>20</v>
      </c>
      <c r="R4201" s="17" t="s">
        <v>1745</v>
      </c>
      <c r="S4201" s="121" t="s">
        <v>13249</v>
      </c>
      <c r="T4201" s="122"/>
      <c r="U4201" s="22"/>
      <c r="V4201" s="123" t="s">
        <v>2472</v>
      </c>
      <c r="W4201" s="122">
        <v>80337</v>
      </c>
      <c r="X4201" s="221"/>
      <c r="Y4201" s="221"/>
      <c r="Z4201" s="221"/>
      <c r="AA4201" s="221"/>
      <c r="AB4201" s="223"/>
    </row>
    <row r="4202" spans="1:28" ht="17.100000000000001" customHeight="1" thickTop="1">
      <c r="A4202" s="226" t="s">
        <v>12520</v>
      </c>
      <c r="B4202" s="28">
        <v>45999</v>
      </c>
      <c r="C4202" s="25">
        <v>75</v>
      </c>
      <c r="D4202" s="13" t="s">
        <v>2422</v>
      </c>
      <c r="E4202" s="228"/>
      <c r="F4202" s="109" t="s">
        <v>4809</v>
      </c>
      <c r="G4202" s="24" t="s">
        <v>4025</v>
      </c>
      <c r="H4202" s="230">
        <v>4</v>
      </c>
      <c r="I4202" s="220">
        <v>805000</v>
      </c>
      <c r="J4202" s="220">
        <f>I4202*0.1</f>
        <v>80500</v>
      </c>
      <c r="K4202" s="220">
        <v>0</v>
      </c>
      <c r="L4202" s="220">
        <v>9200</v>
      </c>
      <c r="M4202" s="220">
        <v>33000</v>
      </c>
      <c r="N4202" s="220">
        <f>SUM(I4202:M4203)</f>
        <v>927700</v>
      </c>
      <c r="O4202" s="224"/>
      <c r="P4202" s="110" t="s">
        <v>14108</v>
      </c>
      <c r="Q4202" s="15" t="s">
        <v>19</v>
      </c>
      <c r="R4202" s="205"/>
      <c r="S4202" s="189" t="s">
        <v>25620</v>
      </c>
      <c r="T4202" s="114"/>
      <c r="U4202" s="21" t="s">
        <v>14217</v>
      </c>
      <c r="V4202" s="115">
        <v>46035</v>
      </c>
      <c r="W4202" s="116">
        <v>1924</v>
      </c>
      <c r="X4202" s="220">
        <v>1070000</v>
      </c>
      <c r="Y4202" s="220">
        <f>X4202*0.1</f>
        <v>107000</v>
      </c>
      <c r="Z4202" s="220">
        <v>9200</v>
      </c>
      <c r="AA4202" s="220">
        <f>SUM(X4202:Z4202)</f>
        <v>1186200</v>
      </c>
      <c r="AB4202" s="222"/>
    </row>
    <row r="4203" spans="1:28" ht="17.100000000000001" customHeight="1" thickBot="1">
      <c r="A4203" s="227"/>
      <c r="B4203" s="27" t="s">
        <v>4468</v>
      </c>
      <c r="C4203" s="27">
        <v>1001</v>
      </c>
      <c r="D4203" s="14" t="s">
        <v>273</v>
      </c>
      <c r="E4203" s="229"/>
      <c r="F4203" s="117" t="s">
        <v>12475</v>
      </c>
      <c r="G4203" s="26">
        <v>54466</v>
      </c>
      <c r="H4203" s="231"/>
      <c r="I4203" s="221"/>
      <c r="J4203" s="221"/>
      <c r="K4203" s="221"/>
      <c r="L4203" s="221"/>
      <c r="M4203" s="221"/>
      <c r="N4203" s="221"/>
      <c r="O4203" s="225"/>
      <c r="P4203" s="118" t="s">
        <v>14109</v>
      </c>
      <c r="Q4203" s="16" t="s">
        <v>20</v>
      </c>
      <c r="R4203" s="17" t="s">
        <v>14101</v>
      </c>
      <c r="S4203" s="121" t="s">
        <v>14110</v>
      </c>
      <c r="T4203" s="122"/>
      <c r="U4203" s="22"/>
      <c r="V4203" s="123" t="s">
        <v>2103</v>
      </c>
      <c r="W4203" s="122">
        <v>3039</v>
      </c>
      <c r="X4203" s="221"/>
      <c r="Y4203" s="221"/>
      <c r="Z4203" s="221"/>
      <c r="AA4203" s="221"/>
      <c r="AB4203" s="223"/>
    </row>
    <row r="4204" spans="1:28" ht="17.100000000000001" customHeight="1" thickTop="1">
      <c r="A4204" s="226" t="s">
        <v>12521</v>
      </c>
      <c r="B4204" s="28">
        <v>45999</v>
      </c>
      <c r="C4204" s="25">
        <v>75</v>
      </c>
      <c r="D4204" s="13" t="s">
        <v>2150</v>
      </c>
      <c r="E4204" s="228"/>
      <c r="F4204" s="109" t="s">
        <v>12482</v>
      </c>
      <c r="G4204" s="24" t="s">
        <v>1540</v>
      </c>
      <c r="H4204" s="230">
        <v>4</v>
      </c>
      <c r="I4204" s="220">
        <v>940000</v>
      </c>
      <c r="J4204" s="220">
        <f>I4204*0.1</f>
        <v>94000</v>
      </c>
      <c r="K4204" s="220">
        <v>0</v>
      </c>
      <c r="L4204" s="220">
        <v>9010</v>
      </c>
      <c r="M4204" s="220">
        <v>33000</v>
      </c>
      <c r="N4204" s="220">
        <f>SUM(I4204:M4205)</f>
        <v>1076010</v>
      </c>
      <c r="O4204" s="224"/>
      <c r="P4204" s="110" t="s">
        <v>14386</v>
      </c>
      <c r="Q4204" s="15" t="s">
        <v>19</v>
      </c>
      <c r="R4204" s="205"/>
      <c r="S4204" s="189" t="s">
        <v>25605</v>
      </c>
      <c r="T4204" s="114"/>
      <c r="U4204" s="21" t="s">
        <v>15337</v>
      </c>
      <c r="V4204" s="115">
        <v>46036</v>
      </c>
      <c r="W4204" s="116">
        <v>1000</v>
      </c>
      <c r="X4204" s="220">
        <v>1030000</v>
      </c>
      <c r="Y4204" s="220">
        <f>X4204*0.1</f>
        <v>103000</v>
      </c>
      <c r="Z4204" s="220">
        <v>9010</v>
      </c>
      <c r="AA4204" s="220">
        <f>SUM(X4204:Z4204)</f>
        <v>1142010</v>
      </c>
      <c r="AB4204" s="222">
        <v>46048</v>
      </c>
    </row>
    <row r="4205" spans="1:28" ht="17.100000000000001" customHeight="1" thickBot="1">
      <c r="A4205" s="227"/>
      <c r="B4205" s="27" t="s">
        <v>4468</v>
      </c>
      <c r="C4205" s="27">
        <v>1022</v>
      </c>
      <c r="D4205" s="14" t="s">
        <v>273</v>
      </c>
      <c r="E4205" s="229"/>
      <c r="F4205" s="117" t="s">
        <v>12476</v>
      </c>
      <c r="G4205" s="26">
        <v>84712</v>
      </c>
      <c r="H4205" s="231"/>
      <c r="I4205" s="221"/>
      <c r="J4205" s="221"/>
      <c r="K4205" s="221"/>
      <c r="L4205" s="221"/>
      <c r="M4205" s="221"/>
      <c r="N4205" s="221"/>
      <c r="O4205" s="225"/>
      <c r="P4205" s="118" t="s">
        <v>14387</v>
      </c>
      <c r="Q4205" s="16" t="s">
        <v>20</v>
      </c>
      <c r="R4205" s="17" t="s">
        <v>2900</v>
      </c>
      <c r="S4205" s="121" t="s">
        <v>1625</v>
      </c>
      <c r="T4205" s="122"/>
      <c r="U4205" s="22"/>
      <c r="V4205" s="123" t="s">
        <v>2747</v>
      </c>
      <c r="W4205" s="122">
        <v>4007</v>
      </c>
      <c r="X4205" s="221"/>
      <c r="Y4205" s="221"/>
      <c r="Z4205" s="221"/>
      <c r="AA4205" s="221"/>
      <c r="AB4205" s="223"/>
    </row>
    <row r="4206" spans="1:28" ht="17.100000000000001" customHeight="1" thickTop="1">
      <c r="A4206" s="226" t="s">
        <v>12522</v>
      </c>
      <c r="B4206" s="28">
        <v>45999</v>
      </c>
      <c r="C4206" s="25">
        <v>75</v>
      </c>
      <c r="D4206" s="13" t="s">
        <v>1053</v>
      </c>
      <c r="E4206" s="228"/>
      <c r="F4206" s="109" t="s">
        <v>12477</v>
      </c>
      <c r="G4206" s="24" t="s">
        <v>4239</v>
      </c>
      <c r="H4206" s="230">
        <v>3.5</v>
      </c>
      <c r="I4206" s="220">
        <v>4195000</v>
      </c>
      <c r="J4206" s="220">
        <f>I4206*0.1</f>
        <v>419500</v>
      </c>
      <c r="K4206" s="220">
        <f>10800+1080</f>
        <v>11880</v>
      </c>
      <c r="L4206" s="220">
        <v>14900</v>
      </c>
      <c r="M4206" s="220">
        <v>110000</v>
      </c>
      <c r="N4206" s="220">
        <f>SUM(I4206:M4207)</f>
        <v>4751280</v>
      </c>
      <c r="O4206" s="224"/>
      <c r="P4206" s="110" t="s">
        <v>13807</v>
      </c>
      <c r="Q4206" s="15" t="s">
        <v>19</v>
      </c>
      <c r="R4206" s="205"/>
      <c r="S4206" s="189" t="s">
        <v>1361</v>
      </c>
      <c r="T4206" s="114"/>
      <c r="U4206" s="21"/>
      <c r="V4206" s="115">
        <v>46008</v>
      </c>
      <c r="W4206" s="116">
        <v>997</v>
      </c>
      <c r="X4206" s="220">
        <v>4565000</v>
      </c>
      <c r="Y4206" s="220">
        <f>X4206*0.1</f>
        <v>456500</v>
      </c>
      <c r="Z4206" s="220">
        <v>14900</v>
      </c>
      <c r="AA4206" s="220">
        <f>SUM(X4206:Z4206)</f>
        <v>5036400</v>
      </c>
      <c r="AB4206" s="222">
        <v>46017</v>
      </c>
    </row>
    <row r="4207" spans="1:28" ht="17.100000000000001" customHeight="1" thickBot="1">
      <c r="A4207" s="227"/>
      <c r="B4207" s="27" t="s">
        <v>4468</v>
      </c>
      <c r="C4207" s="27">
        <v>1024</v>
      </c>
      <c r="D4207" s="14" t="s">
        <v>273</v>
      </c>
      <c r="E4207" s="229"/>
      <c r="F4207" s="117" t="s">
        <v>12478</v>
      </c>
      <c r="G4207" s="26">
        <v>55887</v>
      </c>
      <c r="H4207" s="231"/>
      <c r="I4207" s="221"/>
      <c r="J4207" s="221"/>
      <c r="K4207" s="221"/>
      <c r="L4207" s="221"/>
      <c r="M4207" s="221"/>
      <c r="N4207" s="221"/>
      <c r="O4207" s="225"/>
      <c r="P4207" s="118" t="s">
        <v>5155</v>
      </c>
      <c r="Q4207" s="16" t="s">
        <v>20</v>
      </c>
      <c r="R4207" s="17" t="s">
        <v>3913</v>
      </c>
      <c r="S4207" s="121" t="s">
        <v>8657</v>
      </c>
      <c r="T4207" s="122"/>
      <c r="U4207" s="22"/>
      <c r="V4207" s="123" t="s">
        <v>2747</v>
      </c>
      <c r="W4207" s="122">
        <v>1099</v>
      </c>
      <c r="X4207" s="221"/>
      <c r="Y4207" s="221"/>
      <c r="Z4207" s="221"/>
      <c r="AA4207" s="221"/>
      <c r="AB4207" s="223"/>
    </row>
    <row r="4208" spans="1:28" ht="17.100000000000001" customHeight="1" thickTop="1">
      <c r="A4208" s="233" t="s">
        <v>12523</v>
      </c>
      <c r="B4208" s="28">
        <v>45999</v>
      </c>
      <c r="C4208" s="25">
        <v>75</v>
      </c>
      <c r="D4208" s="13" t="s">
        <v>1632</v>
      </c>
      <c r="E4208" s="228"/>
      <c r="F4208" s="109" t="s">
        <v>7043</v>
      </c>
      <c r="G4208" s="24" t="s">
        <v>3345</v>
      </c>
      <c r="H4208" s="230">
        <v>4.5</v>
      </c>
      <c r="I4208" s="220">
        <v>720000</v>
      </c>
      <c r="J4208" s="220">
        <f>I4208*0.1</f>
        <v>72000</v>
      </c>
      <c r="K4208" s="220">
        <v>0</v>
      </c>
      <c r="L4208" s="220">
        <v>8230</v>
      </c>
      <c r="M4208" s="220">
        <v>33000</v>
      </c>
      <c r="N4208" s="220">
        <f>SUM(I4208:M4209)</f>
        <v>833230</v>
      </c>
      <c r="O4208" s="224"/>
      <c r="P4208" s="110" t="s">
        <v>14388</v>
      </c>
      <c r="Q4208" s="15" t="s">
        <v>19</v>
      </c>
      <c r="R4208" s="205"/>
      <c r="S4208" s="189" t="s">
        <v>25605</v>
      </c>
      <c r="T4208" s="114"/>
      <c r="U4208" s="21"/>
      <c r="V4208" s="115">
        <v>46032</v>
      </c>
      <c r="W4208" s="116">
        <v>1283</v>
      </c>
      <c r="X4208" s="220">
        <v>880000</v>
      </c>
      <c r="Y4208" s="220">
        <f>X4208*0.1</f>
        <v>88000</v>
      </c>
      <c r="Z4208" s="220">
        <v>8230</v>
      </c>
      <c r="AA4208" s="220">
        <f>SUM(X4208:Z4208)</f>
        <v>976230</v>
      </c>
      <c r="AB4208" s="222">
        <v>46042</v>
      </c>
    </row>
    <row r="4209" spans="1:28" ht="17.100000000000001" customHeight="1" thickBot="1">
      <c r="A4209" s="234"/>
      <c r="B4209" s="27" t="s">
        <v>4468</v>
      </c>
      <c r="C4209" s="27">
        <v>1028</v>
      </c>
      <c r="D4209" s="14" t="s">
        <v>2559</v>
      </c>
      <c r="E4209" s="229"/>
      <c r="F4209" s="117" t="s">
        <v>12479</v>
      </c>
      <c r="G4209" s="26">
        <v>45672</v>
      </c>
      <c r="H4209" s="231"/>
      <c r="I4209" s="221"/>
      <c r="J4209" s="221"/>
      <c r="K4209" s="221"/>
      <c r="L4209" s="221"/>
      <c r="M4209" s="221"/>
      <c r="N4209" s="221"/>
      <c r="O4209" s="225"/>
      <c r="P4209" s="118" t="s">
        <v>14389</v>
      </c>
      <c r="Q4209" s="16" t="s">
        <v>20</v>
      </c>
      <c r="R4209" s="17" t="s">
        <v>2900</v>
      </c>
      <c r="S4209" s="121" t="s">
        <v>9318</v>
      </c>
      <c r="T4209" s="122"/>
      <c r="U4209" s="22"/>
      <c r="V4209" s="123" t="s">
        <v>2472</v>
      </c>
      <c r="W4209" s="122">
        <v>65101</v>
      </c>
      <c r="X4209" s="221"/>
      <c r="Y4209" s="221"/>
      <c r="Z4209" s="221"/>
      <c r="AA4209" s="221"/>
      <c r="AB4209" s="223"/>
    </row>
    <row r="4210" spans="1:28" ht="17.100000000000001" customHeight="1" thickTop="1">
      <c r="A4210" s="226" t="s">
        <v>12524</v>
      </c>
      <c r="B4210" s="28">
        <v>45999</v>
      </c>
      <c r="C4210" s="25">
        <v>75</v>
      </c>
      <c r="D4210" s="13" t="s">
        <v>2320</v>
      </c>
      <c r="E4210" s="228"/>
      <c r="F4210" s="109" t="s">
        <v>5334</v>
      </c>
      <c r="G4210" s="24" t="s">
        <v>3867</v>
      </c>
      <c r="H4210" s="230">
        <v>4.5</v>
      </c>
      <c r="I4210" s="220">
        <v>1150000</v>
      </c>
      <c r="J4210" s="220">
        <f>I4210*0.1</f>
        <v>115000</v>
      </c>
      <c r="K4210" s="220">
        <v>0</v>
      </c>
      <c r="L4210" s="220">
        <v>5670</v>
      </c>
      <c r="M4210" s="220">
        <v>44000</v>
      </c>
      <c r="N4210" s="220">
        <f>SUM(I4210:M4211)</f>
        <v>1314670</v>
      </c>
      <c r="O4210" s="224"/>
      <c r="P4210" s="110" t="s">
        <v>14104</v>
      </c>
      <c r="Q4210" s="15" t="s">
        <v>19</v>
      </c>
      <c r="R4210" s="205"/>
      <c r="S4210" s="189" t="s">
        <v>25605</v>
      </c>
      <c r="T4210" s="114"/>
      <c r="U4210" s="21" t="s">
        <v>14215</v>
      </c>
      <c r="V4210" s="115">
        <v>46035</v>
      </c>
      <c r="W4210" s="116">
        <v>1924</v>
      </c>
      <c r="X4210" s="220">
        <v>1204000</v>
      </c>
      <c r="Y4210" s="220">
        <f>X4210*0.1</f>
        <v>120400</v>
      </c>
      <c r="Z4210" s="220">
        <v>5670</v>
      </c>
      <c r="AA4210" s="220">
        <f>SUM(X4210:Z4210)</f>
        <v>1330070</v>
      </c>
      <c r="AB4210" s="222"/>
    </row>
    <row r="4211" spans="1:28" ht="17.100000000000001" customHeight="1" thickBot="1">
      <c r="A4211" s="227"/>
      <c r="B4211" s="27" t="s">
        <v>4468</v>
      </c>
      <c r="C4211" s="27">
        <v>1033</v>
      </c>
      <c r="D4211" s="14" t="s">
        <v>3792</v>
      </c>
      <c r="E4211" s="229"/>
      <c r="F4211" s="117" t="s">
        <v>12472</v>
      </c>
      <c r="G4211" s="26">
        <v>4188</v>
      </c>
      <c r="H4211" s="231"/>
      <c r="I4211" s="221"/>
      <c r="J4211" s="221"/>
      <c r="K4211" s="221"/>
      <c r="L4211" s="221"/>
      <c r="M4211" s="221"/>
      <c r="N4211" s="221"/>
      <c r="O4211" s="225"/>
      <c r="P4211" s="118" t="s">
        <v>14105</v>
      </c>
      <c r="Q4211" s="16" t="s">
        <v>20</v>
      </c>
      <c r="R4211" s="17" t="s">
        <v>14101</v>
      </c>
      <c r="S4211" s="121" t="s">
        <v>1606</v>
      </c>
      <c r="T4211" s="122"/>
      <c r="U4211" s="22"/>
      <c r="V4211" s="123" t="s">
        <v>2103</v>
      </c>
      <c r="W4211" s="122">
        <v>3053</v>
      </c>
      <c r="X4211" s="221"/>
      <c r="Y4211" s="221"/>
      <c r="Z4211" s="221"/>
      <c r="AA4211" s="221"/>
      <c r="AB4211" s="223"/>
    </row>
    <row r="4212" spans="1:28" ht="17.100000000000001" customHeight="1" thickTop="1">
      <c r="A4212" s="226" t="s">
        <v>12525</v>
      </c>
      <c r="B4212" s="28">
        <v>45999</v>
      </c>
      <c r="C4212" s="25">
        <v>75</v>
      </c>
      <c r="D4212" s="13" t="s">
        <v>2406</v>
      </c>
      <c r="E4212" s="228"/>
      <c r="F4212" s="109" t="s">
        <v>12483</v>
      </c>
      <c r="G4212" s="24" t="s">
        <v>2810</v>
      </c>
      <c r="H4212" s="230">
        <v>4</v>
      </c>
      <c r="I4212" s="220">
        <v>1290000</v>
      </c>
      <c r="J4212" s="220">
        <f>I4212*0.1</f>
        <v>129000</v>
      </c>
      <c r="K4212" s="220">
        <v>0</v>
      </c>
      <c r="L4212" s="220">
        <v>8360</v>
      </c>
      <c r="M4212" s="220">
        <v>44000</v>
      </c>
      <c r="N4212" s="220">
        <f>SUM(I4212:M4213)</f>
        <v>1471360</v>
      </c>
      <c r="O4212" s="224"/>
      <c r="P4212" s="110" t="s">
        <v>13635</v>
      </c>
      <c r="Q4212" s="15" t="s">
        <v>19</v>
      </c>
      <c r="R4212" s="205"/>
      <c r="S4212" s="189" t="s">
        <v>25605</v>
      </c>
      <c r="T4212" s="114"/>
      <c r="U4212" s="21"/>
      <c r="V4212" s="115">
        <v>46014</v>
      </c>
      <c r="W4212" s="116">
        <v>1923</v>
      </c>
      <c r="X4212" s="220">
        <v>1527000</v>
      </c>
      <c r="Y4212" s="220">
        <f>X4212*0.1</f>
        <v>152700</v>
      </c>
      <c r="Z4212" s="220">
        <v>8360</v>
      </c>
      <c r="AA4212" s="220">
        <f>SUM(X4212:Z4212)</f>
        <v>1688060</v>
      </c>
      <c r="AB4212" s="222">
        <v>46020</v>
      </c>
    </row>
    <row r="4213" spans="1:28" ht="17.100000000000001" customHeight="1" thickBot="1">
      <c r="A4213" s="227"/>
      <c r="B4213" s="27" t="s">
        <v>4468</v>
      </c>
      <c r="C4213" s="27">
        <v>1038</v>
      </c>
      <c r="D4213" s="14" t="s">
        <v>131</v>
      </c>
      <c r="E4213" s="229"/>
      <c r="F4213" s="117" t="s">
        <v>12473</v>
      </c>
      <c r="G4213" s="26">
        <v>81296</v>
      </c>
      <c r="H4213" s="231"/>
      <c r="I4213" s="221"/>
      <c r="J4213" s="221"/>
      <c r="K4213" s="221"/>
      <c r="L4213" s="221"/>
      <c r="M4213" s="221"/>
      <c r="N4213" s="221"/>
      <c r="O4213" s="225"/>
      <c r="P4213" s="118" t="s">
        <v>13636</v>
      </c>
      <c r="Q4213" s="16" t="s">
        <v>20</v>
      </c>
      <c r="R4213" s="17" t="s">
        <v>1794</v>
      </c>
      <c r="S4213" s="121" t="s">
        <v>13716</v>
      </c>
      <c r="T4213" s="122"/>
      <c r="U4213" s="22" t="s">
        <v>3427</v>
      </c>
      <c r="V4213" s="123" t="s">
        <v>2103</v>
      </c>
      <c r="W4213" s="122">
        <v>3093</v>
      </c>
      <c r="X4213" s="221"/>
      <c r="Y4213" s="221"/>
      <c r="Z4213" s="221"/>
      <c r="AA4213" s="221"/>
      <c r="AB4213" s="223"/>
    </row>
    <row r="4214" spans="1:28" ht="17.100000000000001" customHeight="1" thickTop="1">
      <c r="A4214" s="233" t="s">
        <v>12526</v>
      </c>
      <c r="B4214" s="28">
        <v>45999</v>
      </c>
      <c r="C4214" s="25">
        <v>75</v>
      </c>
      <c r="D4214" s="13" t="s">
        <v>2766</v>
      </c>
      <c r="E4214" s="228"/>
      <c r="F4214" s="109" t="s">
        <v>8120</v>
      </c>
      <c r="G4214" s="24" t="s">
        <v>2894</v>
      </c>
      <c r="H4214" s="230">
        <v>4</v>
      </c>
      <c r="I4214" s="220">
        <v>2570000</v>
      </c>
      <c r="J4214" s="220">
        <f>I4214*0.1</f>
        <v>257000</v>
      </c>
      <c r="K4214" s="220">
        <v>4400</v>
      </c>
      <c r="L4214" s="220">
        <v>9550</v>
      </c>
      <c r="M4214" s="220">
        <v>66000</v>
      </c>
      <c r="N4214" s="220">
        <f>SUM(I4214:M4215)</f>
        <v>2906950</v>
      </c>
      <c r="O4214" s="224"/>
      <c r="P4214" s="110" t="s">
        <v>14118</v>
      </c>
      <c r="Q4214" s="15" t="s">
        <v>19</v>
      </c>
      <c r="R4214" s="205"/>
      <c r="S4214" s="189" t="s">
        <v>25605</v>
      </c>
      <c r="T4214" s="114"/>
      <c r="U4214" s="21" t="s">
        <v>14267</v>
      </c>
      <c r="V4214" s="115">
        <v>46032</v>
      </c>
      <c r="W4214" s="116">
        <v>1283</v>
      </c>
      <c r="X4214" s="220">
        <v>2750000</v>
      </c>
      <c r="Y4214" s="220">
        <f>X4214*0.1</f>
        <v>275000</v>
      </c>
      <c r="Z4214" s="220">
        <v>9550</v>
      </c>
      <c r="AA4214" s="220">
        <f>SUM(X4214:Z4214)</f>
        <v>3034550</v>
      </c>
      <c r="AB4214" s="222">
        <v>46036</v>
      </c>
    </row>
    <row r="4215" spans="1:28" ht="17.100000000000001" customHeight="1" thickBot="1">
      <c r="A4215" s="234"/>
      <c r="B4215" s="27" t="s">
        <v>4468</v>
      </c>
      <c r="C4215" s="27">
        <v>1052</v>
      </c>
      <c r="D4215" s="14" t="s">
        <v>2559</v>
      </c>
      <c r="E4215" s="229"/>
      <c r="F4215" s="117" t="s">
        <v>12474</v>
      </c>
      <c r="G4215" s="26">
        <v>102748</v>
      </c>
      <c r="H4215" s="231"/>
      <c r="I4215" s="221"/>
      <c r="J4215" s="221"/>
      <c r="K4215" s="221"/>
      <c r="L4215" s="221"/>
      <c r="M4215" s="221"/>
      <c r="N4215" s="221"/>
      <c r="O4215" s="225"/>
      <c r="P4215" s="118" t="s">
        <v>14119</v>
      </c>
      <c r="Q4215" s="16" t="s">
        <v>20</v>
      </c>
      <c r="R4215" s="17" t="s">
        <v>14101</v>
      </c>
      <c r="S4215" s="121" t="s">
        <v>1731</v>
      </c>
      <c r="T4215" s="122"/>
      <c r="U4215" s="22"/>
      <c r="V4215" s="123" t="s">
        <v>2472</v>
      </c>
      <c r="W4215" s="122">
        <v>40106</v>
      </c>
      <c r="X4215" s="221"/>
      <c r="Y4215" s="221"/>
      <c r="Z4215" s="221"/>
      <c r="AA4215" s="221"/>
      <c r="AB4215" s="223"/>
    </row>
    <row r="4216" spans="1:28" ht="17.100000000000001" customHeight="1" thickTop="1">
      <c r="A4216" s="226" t="s">
        <v>12527</v>
      </c>
      <c r="B4216" s="28">
        <v>45999</v>
      </c>
      <c r="C4216" s="25"/>
      <c r="D4216" s="13" t="s">
        <v>2195</v>
      </c>
      <c r="E4216" s="228"/>
      <c r="F4216" s="109" t="s">
        <v>12536</v>
      </c>
      <c r="G4216" s="24" t="s">
        <v>12537</v>
      </c>
      <c r="H4216" s="230">
        <v>5</v>
      </c>
      <c r="I4216" s="220">
        <f>5665000/1.1</f>
        <v>5150000</v>
      </c>
      <c r="J4216" s="220">
        <f>I4216*0.1</f>
        <v>515000</v>
      </c>
      <c r="K4216" s="220">
        <v>10800</v>
      </c>
      <c r="L4216" s="220">
        <v>16370</v>
      </c>
      <c r="M4216" s="220">
        <v>0</v>
      </c>
      <c r="N4216" s="220">
        <f>SUM(I4216:M4217)</f>
        <v>5692170</v>
      </c>
      <c r="O4216" s="224"/>
      <c r="P4216" s="110" t="s">
        <v>14049</v>
      </c>
      <c r="Q4216" s="15" t="s">
        <v>19</v>
      </c>
      <c r="R4216" s="205"/>
      <c r="S4216" s="189" t="s">
        <v>1276</v>
      </c>
      <c r="T4216" s="114"/>
      <c r="U4216" s="21"/>
      <c r="V4216" s="115">
        <v>46018</v>
      </c>
      <c r="W4216" s="116">
        <v>1282</v>
      </c>
      <c r="X4216" s="220">
        <v>5160000</v>
      </c>
      <c r="Y4216" s="220">
        <f>X4216*0.1</f>
        <v>516000</v>
      </c>
      <c r="Z4216" s="220">
        <v>16370</v>
      </c>
      <c r="AA4216" s="220">
        <f>SUM(X4216:Z4216)</f>
        <v>5692370</v>
      </c>
      <c r="AB4216" s="222">
        <v>46028</v>
      </c>
    </row>
    <row r="4217" spans="1:28" ht="17.100000000000001" customHeight="1" thickBot="1">
      <c r="A4217" s="227"/>
      <c r="B4217" s="27" t="s">
        <v>1708</v>
      </c>
      <c r="C4217" s="27" t="s">
        <v>12530</v>
      </c>
      <c r="D4217" s="14" t="s">
        <v>2559</v>
      </c>
      <c r="E4217" s="229"/>
      <c r="F4217" s="117" t="s">
        <v>12531</v>
      </c>
      <c r="G4217" s="26">
        <v>19598</v>
      </c>
      <c r="H4217" s="231"/>
      <c r="I4217" s="221"/>
      <c r="J4217" s="221"/>
      <c r="K4217" s="221"/>
      <c r="L4217" s="221"/>
      <c r="M4217" s="221"/>
      <c r="N4217" s="221"/>
      <c r="O4217" s="225"/>
      <c r="P4217" s="118" t="s">
        <v>4583</v>
      </c>
      <c r="Q4217" s="16" t="s">
        <v>20</v>
      </c>
      <c r="R4217" s="17" t="s">
        <v>14046</v>
      </c>
      <c r="S4217" s="121" t="s">
        <v>1606</v>
      </c>
      <c r="T4217" s="122"/>
      <c r="U4217" s="22"/>
      <c r="V4217" s="123" t="s">
        <v>2472</v>
      </c>
      <c r="W4217" s="122">
        <v>31162</v>
      </c>
      <c r="X4217" s="221"/>
      <c r="Y4217" s="221"/>
      <c r="Z4217" s="221"/>
      <c r="AA4217" s="221"/>
      <c r="AB4217" s="223"/>
    </row>
    <row r="4218" spans="1:28" ht="17.100000000000001" customHeight="1" thickTop="1">
      <c r="A4218" s="226" t="s">
        <v>12528</v>
      </c>
      <c r="B4218" s="28">
        <v>45999</v>
      </c>
      <c r="C4218" s="25"/>
      <c r="D4218" s="13" t="s">
        <v>2328</v>
      </c>
      <c r="E4218" s="228"/>
      <c r="F4218" s="109" t="s">
        <v>12538</v>
      </c>
      <c r="G4218" s="24" t="s">
        <v>12539</v>
      </c>
      <c r="H4218" s="230">
        <v>4.5</v>
      </c>
      <c r="I4218" s="220">
        <f>4697000/1.1</f>
        <v>4270000</v>
      </c>
      <c r="J4218" s="220">
        <f>I4218*0.1</f>
        <v>427000</v>
      </c>
      <c r="K4218" s="220">
        <v>7200</v>
      </c>
      <c r="L4218" s="220">
        <v>13110</v>
      </c>
      <c r="M4218" s="220">
        <v>0</v>
      </c>
      <c r="N4218" s="220">
        <f>SUM(I4218:M4219)</f>
        <v>4717310</v>
      </c>
      <c r="O4218" s="224"/>
      <c r="P4218" s="110" t="s">
        <v>14690</v>
      </c>
      <c r="Q4218" s="15" t="s">
        <v>19</v>
      </c>
      <c r="R4218" s="205"/>
      <c r="S4218" s="189" t="s">
        <v>1312</v>
      </c>
      <c r="T4218" s="114"/>
      <c r="U4218" s="21" t="s">
        <v>17061</v>
      </c>
      <c r="V4218" s="115">
        <v>46095</v>
      </c>
      <c r="W4218" s="116">
        <v>1292</v>
      </c>
      <c r="X4218" s="220">
        <v>4085000</v>
      </c>
      <c r="Y4218" s="220">
        <f>X4218*0.1</f>
        <v>408500</v>
      </c>
      <c r="Z4218" s="220">
        <v>13110</v>
      </c>
      <c r="AA4218" s="220">
        <f>SUM(X4218:Z4218)</f>
        <v>4506610</v>
      </c>
      <c r="AB4218" s="222">
        <v>46098</v>
      </c>
    </row>
    <row r="4219" spans="1:28" ht="17.100000000000001" customHeight="1" thickBot="1">
      <c r="A4219" s="227"/>
      <c r="B4219" s="27" t="s">
        <v>1708</v>
      </c>
      <c r="C4219" s="27" t="s">
        <v>12532</v>
      </c>
      <c r="D4219" s="14" t="s">
        <v>273</v>
      </c>
      <c r="E4219" s="229"/>
      <c r="F4219" s="117" t="s">
        <v>12533</v>
      </c>
      <c r="G4219" s="26">
        <v>22298</v>
      </c>
      <c r="H4219" s="231"/>
      <c r="I4219" s="221"/>
      <c r="J4219" s="221"/>
      <c r="K4219" s="221"/>
      <c r="L4219" s="221"/>
      <c r="M4219" s="221"/>
      <c r="N4219" s="221"/>
      <c r="O4219" s="225"/>
      <c r="P4219" s="118" t="s">
        <v>14691</v>
      </c>
      <c r="Q4219" s="16" t="s">
        <v>20</v>
      </c>
      <c r="R4219" s="17" t="s">
        <v>1800</v>
      </c>
      <c r="S4219" s="121" t="s">
        <v>1606</v>
      </c>
      <c r="T4219" s="122"/>
      <c r="U4219" s="22"/>
      <c r="V4219" s="123" t="s">
        <v>2472</v>
      </c>
      <c r="W4219" s="122">
        <v>13019</v>
      </c>
      <c r="X4219" s="221"/>
      <c r="Y4219" s="221"/>
      <c r="Z4219" s="221"/>
      <c r="AA4219" s="221"/>
      <c r="AB4219" s="223"/>
    </row>
    <row r="4220" spans="1:28" ht="17.100000000000001" customHeight="1" thickTop="1">
      <c r="A4220" s="226" t="s">
        <v>12529</v>
      </c>
      <c r="B4220" s="28">
        <v>45999</v>
      </c>
      <c r="C4220" s="25"/>
      <c r="D4220" s="13" t="s">
        <v>1976</v>
      </c>
      <c r="E4220" s="228"/>
      <c r="F4220" s="109" t="s">
        <v>3958</v>
      </c>
      <c r="G4220" s="24" t="s">
        <v>3775</v>
      </c>
      <c r="H4220" s="230">
        <v>4.5</v>
      </c>
      <c r="I4220" s="220">
        <f>1122000/1.1</f>
        <v>1019999.9999999999</v>
      </c>
      <c r="J4220" s="220">
        <f>I4220*0.1</f>
        <v>102000</v>
      </c>
      <c r="K4220" s="220">
        <v>0</v>
      </c>
      <c r="L4220" s="220">
        <v>6850</v>
      </c>
      <c r="M4220" s="220">
        <v>0</v>
      </c>
      <c r="N4220" s="220">
        <f>SUM(I4220:M4221)</f>
        <v>1128850</v>
      </c>
      <c r="O4220" s="224"/>
      <c r="P4220" s="110" t="s">
        <v>14301</v>
      </c>
      <c r="Q4220" s="15" t="s">
        <v>19</v>
      </c>
      <c r="R4220" s="205"/>
      <c r="S4220" s="189" t="s">
        <v>1276</v>
      </c>
      <c r="T4220" s="114"/>
      <c r="U4220" s="21"/>
      <c r="V4220" s="115">
        <v>46042</v>
      </c>
      <c r="W4220" s="116">
        <v>1925</v>
      </c>
      <c r="X4220" s="220">
        <v>1107000</v>
      </c>
      <c r="Y4220" s="220">
        <f>X4220*0.1</f>
        <v>110700</v>
      </c>
      <c r="Z4220" s="220">
        <v>6850</v>
      </c>
      <c r="AA4220" s="220">
        <f>SUM(X4220:Z4220)</f>
        <v>1224550</v>
      </c>
      <c r="AB4220" s="222"/>
    </row>
    <row r="4221" spans="1:28" ht="17.100000000000001" customHeight="1" thickBot="1">
      <c r="A4221" s="227"/>
      <c r="B4221" s="27" t="s">
        <v>1708</v>
      </c>
      <c r="C4221" s="27" t="s">
        <v>12534</v>
      </c>
      <c r="D4221" s="14" t="s">
        <v>1797</v>
      </c>
      <c r="E4221" s="229"/>
      <c r="F4221" s="117" t="s">
        <v>12535</v>
      </c>
      <c r="G4221" s="26">
        <v>46837</v>
      </c>
      <c r="H4221" s="231"/>
      <c r="I4221" s="221"/>
      <c r="J4221" s="221"/>
      <c r="K4221" s="221"/>
      <c r="L4221" s="221"/>
      <c r="M4221" s="221"/>
      <c r="N4221" s="221"/>
      <c r="O4221" s="225"/>
      <c r="P4221" s="118" t="s">
        <v>14302</v>
      </c>
      <c r="Q4221" s="16" t="s">
        <v>20</v>
      </c>
      <c r="R4221" s="17" t="s">
        <v>3857</v>
      </c>
      <c r="S4221" s="121" t="s">
        <v>2312</v>
      </c>
      <c r="T4221" s="122"/>
      <c r="U4221" s="22"/>
      <c r="V4221" s="123" t="s">
        <v>2103</v>
      </c>
      <c r="W4221" s="122">
        <v>3363</v>
      </c>
      <c r="X4221" s="221"/>
      <c r="Y4221" s="221"/>
      <c r="Z4221" s="221"/>
      <c r="AA4221" s="221"/>
      <c r="AB4221" s="223"/>
    </row>
    <row r="4222" spans="1:28" ht="17.100000000000001" customHeight="1" thickTop="1">
      <c r="A4222" s="226" t="s">
        <v>12654</v>
      </c>
      <c r="B4222" s="28">
        <v>46000</v>
      </c>
      <c r="C4222" s="25">
        <v>1921</v>
      </c>
      <c r="D4222" s="13" t="s">
        <v>1746</v>
      </c>
      <c r="E4222" s="228"/>
      <c r="F4222" s="109" t="s">
        <v>8222</v>
      </c>
      <c r="G4222" s="24"/>
      <c r="H4222" s="230">
        <v>3</v>
      </c>
      <c r="I4222" s="220">
        <v>303000</v>
      </c>
      <c r="J4222" s="220">
        <f>I4222*0.1</f>
        <v>30300</v>
      </c>
      <c r="K4222" s="220">
        <v>0</v>
      </c>
      <c r="L4222" s="220">
        <v>8140</v>
      </c>
      <c r="M4222" s="220">
        <v>15950</v>
      </c>
      <c r="N4222" s="220">
        <f>SUM(I4222:M4223)</f>
        <v>357390</v>
      </c>
      <c r="O4222" s="224"/>
      <c r="P4222" s="110" t="s">
        <v>13064</v>
      </c>
      <c r="Q4222" s="15" t="s">
        <v>19</v>
      </c>
      <c r="R4222" s="205"/>
      <c r="S4222" s="189" t="s">
        <v>25644</v>
      </c>
      <c r="T4222" s="114"/>
      <c r="U4222" s="21"/>
      <c r="V4222" s="115">
        <v>46011</v>
      </c>
      <c r="W4222" s="116">
        <v>1281</v>
      </c>
      <c r="X4222" s="220">
        <v>340000</v>
      </c>
      <c r="Y4222" s="220">
        <f>X4222*0.1</f>
        <v>34000</v>
      </c>
      <c r="Z4222" s="220">
        <v>8140</v>
      </c>
      <c r="AA4222" s="220">
        <f>SUM(X4222:Z4222)</f>
        <v>382140</v>
      </c>
      <c r="AB4222" s="222">
        <v>46014</v>
      </c>
    </row>
    <row r="4223" spans="1:28" ht="17.100000000000001" customHeight="1" thickBot="1">
      <c r="A4223" s="227"/>
      <c r="B4223" s="27" t="s">
        <v>2103</v>
      </c>
      <c r="C4223" s="27">
        <v>3166</v>
      </c>
      <c r="D4223" s="14" t="s">
        <v>1568</v>
      </c>
      <c r="E4223" s="229"/>
      <c r="F4223" s="117" t="s">
        <v>12549</v>
      </c>
      <c r="G4223" s="26">
        <v>58762</v>
      </c>
      <c r="H4223" s="231"/>
      <c r="I4223" s="221"/>
      <c r="J4223" s="221"/>
      <c r="K4223" s="221"/>
      <c r="L4223" s="221"/>
      <c r="M4223" s="221"/>
      <c r="N4223" s="221"/>
      <c r="O4223" s="225"/>
      <c r="P4223" s="118" t="s">
        <v>13065</v>
      </c>
      <c r="Q4223" s="16" t="s">
        <v>20</v>
      </c>
      <c r="R4223" s="17" t="s">
        <v>2235</v>
      </c>
      <c r="S4223" s="121" t="s">
        <v>1557</v>
      </c>
      <c r="T4223" s="122"/>
      <c r="U4223" s="22"/>
      <c r="V4223" s="123" t="s">
        <v>2472</v>
      </c>
      <c r="W4223" s="122">
        <v>60125</v>
      </c>
      <c r="X4223" s="221"/>
      <c r="Y4223" s="221"/>
      <c r="Z4223" s="221"/>
      <c r="AA4223" s="221"/>
      <c r="AB4223" s="223"/>
    </row>
    <row r="4224" spans="1:28" ht="17.100000000000001" customHeight="1" thickTop="1">
      <c r="A4224" s="226" t="s">
        <v>12655</v>
      </c>
      <c r="B4224" s="28">
        <v>46000</v>
      </c>
      <c r="C4224" s="25">
        <v>1921</v>
      </c>
      <c r="D4224" s="13" t="s">
        <v>1973</v>
      </c>
      <c r="E4224" s="228"/>
      <c r="F4224" s="109" t="s">
        <v>9821</v>
      </c>
      <c r="G4224" s="24"/>
      <c r="H4224" s="230">
        <v>4.5</v>
      </c>
      <c r="I4224" s="220">
        <v>1283000</v>
      </c>
      <c r="J4224" s="220">
        <f>I4224*0.1</f>
        <v>128300</v>
      </c>
      <c r="K4224" s="220">
        <v>0</v>
      </c>
      <c r="L4224" s="220">
        <v>7230</v>
      </c>
      <c r="M4224" s="220">
        <v>15950</v>
      </c>
      <c r="N4224" s="220">
        <f>SUM(I4224:M4225)</f>
        <v>1434480</v>
      </c>
      <c r="O4224" s="224"/>
      <c r="P4224" s="110" t="s">
        <v>13063</v>
      </c>
      <c r="Q4224" s="15" t="s">
        <v>19</v>
      </c>
      <c r="R4224" s="205"/>
      <c r="S4224" s="189" t="s">
        <v>758</v>
      </c>
      <c r="T4224" s="114"/>
      <c r="U4224" s="21"/>
      <c r="V4224" s="115">
        <v>46011</v>
      </c>
      <c r="W4224" s="116">
        <v>1281</v>
      </c>
      <c r="X4224" s="220">
        <v>1450000</v>
      </c>
      <c r="Y4224" s="220">
        <f>X4224*0.1</f>
        <v>145000</v>
      </c>
      <c r="Z4224" s="220">
        <v>7230</v>
      </c>
      <c r="AA4224" s="220">
        <f>SUM(X4224:Z4224)</f>
        <v>1602230</v>
      </c>
      <c r="AB4224" s="222">
        <v>46014</v>
      </c>
    </row>
    <row r="4225" spans="1:28" ht="17.100000000000001" customHeight="1" thickBot="1">
      <c r="A4225" s="227"/>
      <c r="B4225" s="27" t="s">
        <v>2103</v>
      </c>
      <c r="C4225" s="27">
        <v>3207</v>
      </c>
      <c r="D4225" s="14" t="s">
        <v>1710</v>
      </c>
      <c r="E4225" s="229"/>
      <c r="F4225" s="117" t="s">
        <v>12550</v>
      </c>
      <c r="G4225" s="26">
        <v>44453</v>
      </c>
      <c r="H4225" s="231"/>
      <c r="I4225" s="221"/>
      <c r="J4225" s="221"/>
      <c r="K4225" s="221"/>
      <c r="L4225" s="221"/>
      <c r="M4225" s="221"/>
      <c r="N4225" s="221"/>
      <c r="O4225" s="225"/>
      <c r="P4225" s="118" t="s">
        <v>3957</v>
      </c>
      <c r="Q4225" s="16" t="s">
        <v>20</v>
      </c>
      <c r="R4225" s="17" t="s">
        <v>2235</v>
      </c>
      <c r="S4225" s="121" t="s">
        <v>1661</v>
      </c>
      <c r="T4225" s="122"/>
      <c r="U4225" s="22"/>
      <c r="V4225" s="123" t="s">
        <v>2472</v>
      </c>
      <c r="W4225" s="122">
        <v>60051</v>
      </c>
      <c r="X4225" s="221"/>
      <c r="Y4225" s="221"/>
      <c r="Z4225" s="221"/>
      <c r="AA4225" s="221"/>
      <c r="AB4225" s="223"/>
    </row>
    <row r="4226" spans="1:28" ht="17.100000000000001" customHeight="1" thickTop="1">
      <c r="A4226" s="226" t="s">
        <v>12656</v>
      </c>
      <c r="B4226" s="28">
        <v>46000</v>
      </c>
      <c r="C4226" s="25">
        <v>1921</v>
      </c>
      <c r="D4226" s="13" t="s">
        <v>2010</v>
      </c>
      <c r="E4226" s="228"/>
      <c r="F4226" s="109" t="s">
        <v>12552</v>
      </c>
      <c r="G4226" s="24"/>
      <c r="H4226" s="230">
        <v>4</v>
      </c>
      <c r="I4226" s="220">
        <v>883000</v>
      </c>
      <c r="J4226" s="220">
        <f>I4226*0.1</f>
        <v>88300</v>
      </c>
      <c r="K4226" s="220">
        <v>0</v>
      </c>
      <c r="L4226" s="220">
        <v>8100</v>
      </c>
      <c r="M4226" s="220">
        <v>15950</v>
      </c>
      <c r="N4226" s="220">
        <f>SUM(I4226:M4227)</f>
        <v>995350</v>
      </c>
      <c r="O4226" s="224"/>
      <c r="P4226" s="110" t="s">
        <v>13062</v>
      </c>
      <c r="Q4226" s="15" t="s">
        <v>19</v>
      </c>
      <c r="R4226" s="205"/>
      <c r="S4226" s="189" t="s">
        <v>758</v>
      </c>
      <c r="T4226" s="114"/>
      <c r="U4226" s="21"/>
      <c r="V4226" s="115">
        <v>46011</v>
      </c>
      <c r="W4226" s="116">
        <v>1281</v>
      </c>
      <c r="X4226" s="220">
        <v>975000</v>
      </c>
      <c r="Y4226" s="220">
        <f>X4226*0.1</f>
        <v>97500</v>
      </c>
      <c r="Z4226" s="220">
        <v>8100</v>
      </c>
      <c r="AA4226" s="220">
        <f>SUM(X4226:Z4226)</f>
        <v>1080600</v>
      </c>
      <c r="AB4226" s="222">
        <v>46014</v>
      </c>
    </row>
    <row r="4227" spans="1:28" ht="17.100000000000001" customHeight="1" thickBot="1">
      <c r="A4227" s="227"/>
      <c r="B4227" s="27" t="s">
        <v>2103</v>
      </c>
      <c r="C4227" s="27">
        <v>3400</v>
      </c>
      <c r="D4227" s="14" t="s">
        <v>898</v>
      </c>
      <c r="E4227" s="229"/>
      <c r="F4227" s="117" t="s">
        <v>12551</v>
      </c>
      <c r="G4227" s="26">
        <v>41828</v>
      </c>
      <c r="H4227" s="231"/>
      <c r="I4227" s="221"/>
      <c r="J4227" s="221"/>
      <c r="K4227" s="221"/>
      <c r="L4227" s="221"/>
      <c r="M4227" s="221"/>
      <c r="N4227" s="221"/>
      <c r="O4227" s="225"/>
      <c r="P4227" s="118" t="s">
        <v>8371</v>
      </c>
      <c r="Q4227" s="16" t="s">
        <v>20</v>
      </c>
      <c r="R4227" s="17" t="s">
        <v>2235</v>
      </c>
      <c r="S4227" s="121" t="s">
        <v>9752</v>
      </c>
      <c r="T4227" s="122"/>
      <c r="U4227" s="22"/>
      <c r="V4227" s="123" t="s">
        <v>2472</v>
      </c>
      <c r="W4227" s="122">
        <v>60069</v>
      </c>
      <c r="X4227" s="221"/>
      <c r="Y4227" s="221"/>
      <c r="Z4227" s="221"/>
      <c r="AA4227" s="221"/>
      <c r="AB4227" s="223"/>
    </row>
    <row r="4228" spans="1:28" ht="17.100000000000001" customHeight="1" thickTop="1">
      <c r="A4228" s="226" t="s">
        <v>12657</v>
      </c>
      <c r="B4228" s="28">
        <v>46000</v>
      </c>
      <c r="C4228" s="25">
        <v>1921</v>
      </c>
      <c r="D4228" s="13" t="s">
        <v>1702</v>
      </c>
      <c r="E4228" s="228"/>
      <c r="F4228" s="109" t="s">
        <v>10426</v>
      </c>
      <c r="G4228" s="24"/>
      <c r="H4228" s="230">
        <v>4</v>
      </c>
      <c r="I4228" s="220">
        <v>1155000</v>
      </c>
      <c r="J4228" s="220">
        <f>I4228*0.1</f>
        <v>115500</v>
      </c>
      <c r="K4228" s="220">
        <v>0</v>
      </c>
      <c r="L4228" s="220">
        <v>22590</v>
      </c>
      <c r="M4228" s="220">
        <v>19250</v>
      </c>
      <c r="N4228" s="220">
        <f>SUM(I4228:M4229)</f>
        <v>1312340</v>
      </c>
      <c r="O4228" s="224"/>
      <c r="P4228" s="110" t="s">
        <v>13097</v>
      </c>
      <c r="Q4228" s="15" t="s">
        <v>19</v>
      </c>
      <c r="R4228" s="205"/>
      <c r="S4228" s="189"/>
      <c r="T4228" s="114"/>
      <c r="U4228" s="21"/>
      <c r="V4228" s="115">
        <v>46004</v>
      </c>
      <c r="W4228" s="116">
        <v>1280</v>
      </c>
      <c r="X4228" s="220">
        <v>1360000</v>
      </c>
      <c r="Y4228" s="220">
        <f>X4228*0.1</f>
        <v>136000</v>
      </c>
      <c r="Z4228" s="220">
        <v>22590</v>
      </c>
      <c r="AA4228" s="220">
        <f>SUM(X4228:Z4228)</f>
        <v>1518590</v>
      </c>
      <c r="AB4228" s="222">
        <v>46008</v>
      </c>
    </row>
    <row r="4229" spans="1:28" ht="17.100000000000001" customHeight="1" thickBot="1">
      <c r="A4229" s="227"/>
      <c r="B4229" s="27" t="s">
        <v>2103</v>
      </c>
      <c r="C4229" s="27">
        <v>5012</v>
      </c>
      <c r="D4229" s="14" t="s">
        <v>1584</v>
      </c>
      <c r="E4229" s="229"/>
      <c r="F4229" s="117" t="s">
        <v>12553</v>
      </c>
      <c r="G4229" s="26">
        <v>56076</v>
      </c>
      <c r="H4229" s="231"/>
      <c r="I4229" s="221"/>
      <c r="J4229" s="221"/>
      <c r="K4229" s="221"/>
      <c r="L4229" s="221"/>
      <c r="M4229" s="221"/>
      <c r="N4229" s="221"/>
      <c r="O4229" s="225"/>
      <c r="P4229" s="118" t="s">
        <v>9366</v>
      </c>
      <c r="Q4229" s="16" t="s">
        <v>20</v>
      </c>
      <c r="R4229" s="17" t="s">
        <v>3390</v>
      </c>
      <c r="S4229" s="121" t="s">
        <v>1625</v>
      </c>
      <c r="T4229" s="122"/>
      <c r="U4229" s="22"/>
      <c r="V4229" s="123" t="s">
        <v>2472</v>
      </c>
      <c r="W4229" s="122">
        <v>80336</v>
      </c>
      <c r="X4229" s="221"/>
      <c r="Y4229" s="221"/>
      <c r="Z4229" s="221"/>
      <c r="AA4229" s="221"/>
      <c r="AB4229" s="223"/>
    </row>
    <row r="4230" spans="1:28" ht="17.100000000000001" customHeight="1" thickTop="1">
      <c r="A4230" s="226" t="s">
        <v>12658</v>
      </c>
      <c r="B4230" s="28">
        <v>46000</v>
      </c>
      <c r="C4230" s="25">
        <v>1921</v>
      </c>
      <c r="D4230" s="13" t="s">
        <v>1746</v>
      </c>
      <c r="E4230" s="228"/>
      <c r="F4230" s="109" t="s">
        <v>2943</v>
      </c>
      <c r="G4230" s="24"/>
      <c r="H4230" s="230">
        <v>3.5</v>
      </c>
      <c r="I4230" s="220">
        <v>409000</v>
      </c>
      <c r="J4230" s="220">
        <f>I4230*0.1</f>
        <v>40900</v>
      </c>
      <c r="K4230" s="220">
        <v>0</v>
      </c>
      <c r="L4230" s="220">
        <v>8400</v>
      </c>
      <c r="M4230" s="220">
        <v>15950</v>
      </c>
      <c r="N4230" s="220">
        <f>SUM(I4230:M4231)</f>
        <v>474250</v>
      </c>
      <c r="O4230" s="224"/>
      <c r="P4230" s="110" t="s">
        <v>13106</v>
      </c>
      <c r="Q4230" s="15" t="s">
        <v>19</v>
      </c>
      <c r="R4230" s="205"/>
      <c r="S4230" s="189" t="s">
        <v>25512</v>
      </c>
      <c r="T4230" s="114"/>
      <c r="U4230" s="21"/>
      <c r="V4230" s="115">
        <v>46004</v>
      </c>
      <c r="W4230" s="116">
        <v>1280</v>
      </c>
      <c r="X4230" s="220">
        <v>480000</v>
      </c>
      <c r="Y4230" s="220">
        <f>X4230*0.1</f>
        <v>48000</v>
      </c>
      <c r="Z4230" s="220">
        <v>8400</v>
      </c>
      <c r="AA4230" s="220">
        <f>SUM(X4230:Z4230)</f>
        <v>536400</v>
      </c>
      <c r="AB4230" s="222">
        <v>46008</v>
      </c>
    </row>
    <row r="4231" spans="1:28" ht="17.100000000000001" customHeight="1" thickBot="1">
      <c r="A4231" s="227"/>
      <c r="B4231" s="27" t="s">
        <v>2103</v>
      </c>
      <c r="C4231" s="27">
        <v>30004</v>
      </c>
      <c r="D4231" s="14" t="s">
        <v>1568</v>
      </c>
      <c r="E4231" s="229"/>
      <c r="F4231" s="117" t="s">
        <v>12554</v>
      </c>
      <c r="G4231" s="26">
        <v>36442</v>
      </c>
      <c r="H4231" s="231"/>
      <c r="I4231" s="221"/>
      <c r="J4231" s="221"/>
      <c r="K4231" s="221"/>
      <c r="L4231" s="221"/>
      <c r="M4231" s="221"/>
      <c r="N4231" s="221"/>
      <c r="O4231" s="225"/>
      <c r="P4231" s="118" t="s">
        <v>13107</v>
      </c>
      <c r="Q4231" s="16" t="s">
        <v>20</v>
      </c>
      <c r="R4231" s="17" t="s">
        <v>3390</v>
      </c>
      <c r="S4231" s="121" t="s">
        <v>1625</v>
      </c>
      <c r="T4231" s="122"/>
      <c r="U4231" s="22"/>
      <c r="V4231" s="123" t="s">
        <v>2472</v>
      </c>
      <c r="W4231" s="122">
        <v>60432</v>
      </c>
      <c r="X4231" s="221"/>
      <c r="Y4231" s="221"/>
      <c r="Z4231" s="221"/>
      <c r="AA4231" s="221"/>
      <c r="AB4231" s="223"/>
    </row>
    <row r="4232" spans="1:28" ht="17.100000000000001" customHeight="1" thickTop="1">
      <c r="A4232" s="226" t="s">
        <v>12659</v>
      </c>
      <c r="B4232" s="28">
        <v>46000</v>
      </c>
      <c r="C4232" s="25">
        <v>1921</v>
      </c>
      <c r="D4232" s="13" t="s">
        <v>2573</v>
      </c>
      <c r="E4232" s="228"/>
      <c r="F4232" s="109" t="s">
        <v>9934</v>
      </c>
      <c r="G4232" s="24"/>
      <c r="H4232" s="230">
        <v>4</v>
      </c>
      <c r="I4232" s="220">
        <v>692000</v>
      </c>
      <c r="J4232" s="220">
        <f>I4232*0.1</f>
        <v>69200</v>
      </c>
      <c r="K4232" s="220">
        <v>0</v>
      </c>
      <c r="L4232" s="220">
        <v>7150</v>
      </c>
      <c r="M4232" s="220">
        <v>15950</v>
      </c>
      <c r="N4232" s="220">
        <f>SUM(I4232:M4233)</f>
        <v>784300</v>
      </c>
      <c r="O4232" s="224"/>
      <c r="P4232" s="110" t="s">
        <v>13350</v>
      </c>
      <c r="Q4232" s="15" t="s">
        <v>19</v>
      </c>
      <c r="R4232" s="205"/>
      <c r="S4232" s="189"/>
      <c r="T4232" s="114"/>
      <c r="U4232" s="21"/>
      <c r="V4232" s="115">
        <v>46004</v>
      </c>
      <c r="W4232" s="116">
        <v>1280</v>
      </c>
      <c r="X4232" s="220">
        <v>780000</v>
      </c>
      <c r="Y4232" s="220">
        <f>X4232*0.1</f>
        <v>78000</v>
      </c>
      <c r="Z4232" s="220">
        <v>7150</v>
      </c>
      <c r="AA4232" s="220">
        <f>SUM(X4232:Z4232)</f>
        <v>865150</v>
      </c>
      <c r="AB4232" s="222">
        <v>46014</v>
      </c>
    </row>
    <row r="4233" spans="1:28" ht="17.100000000000001" customHeight="1" thickBot="1">
      <c r="A4233" s="227"/>
      <c r="B4233" s="27" t="s">
        <v>2103</v>
      </c>
      <c r="C4233" s="27">
        <v>70015</v>
      </c>
      <c r="D4233" s="14" t="s">
        <v>1627</v>
      </c>
      <c r="E4233" s="229"/>
      <c r="F4233" s="117" t="s">
        <v>12555</v>
      </c>
      <c r="G4233" s="26">
        <v>56926</v>
      </c>
      <c r="H4233" s="231"/>
      <c r="I4233" s="221"/>
      <c r="J4233" s="221"/>
      <c r="K4233" s="221"/>
      <c r="L4233" s="221"/>
      <c r="M4233" s="221"/>
      <c r="N4233" s="221"/>
      <c r="O4233" s="225"/>
      <c r="P4233" s="118" t="s">
        <v>5155</v>
      </c>
      <c r="Q4233" s="16" t="s">
        <v>20</v>
      </c>
      <c r="R4233" s="17" t="s">
        <v>1769</v>
      </c>
      <c r="S4233" s="121"/>
      <c r="T4233" s="122"/>
      <c r="U4233" s="22"/>
      <c r="V4233" s="123" t="s">
        <v>2472</v>
      </c>
      <c r="W4233" s="122">
        <v>60451</v>
      </c>
      <c r="X4233" s="221"/>
      <c r="Y4233" s="221"/>
      <c r="Z4233" s="221"/>
      <c r="AA4233" s="221"/>
      <c r="AB4233" s="223"/>
    </row>
    <row r="4234" spans="1:28" ht="17.100000000000001" customHeight="1" thickTop="1">
      <c r="A4234" s="226" t="s">
        <v>12660</v>
      </c>
      <c r="B4234" s="28">
        <v>46000</v>
      </c>
      <c r="C4234" s="25">
        <v>799</v>
      </c>
      <c r="D4234" s="13" t="s">
        <v>1983</v>
      </c>
      <c r="E4234" s="228"/>
      <c r="F4234" s="109" t="s">
        <v>11370</v>
      </c>
      <c r="G4234" s="24"/>
      <c r="H4234" s="230">
        <v>4</v>
      </c>
      <c r="I4234" s="220">
        <v>750000</v>
      </c>
      <c r="J4234" s="220">
        <f>I4234*0.1</f>
        <v>75000</v>
      </c>
      <c r="K4234" s="220">
        <v>0</v>
      </c>
      <c r="L4234" s="220">
        <v>8510</v>
      </c>
      <c r="M4234" s="220">
        <v>15950</v>
      </c>
      <c r="N4234" s="220">
        <f>SUM(I4234:M4235)</f>
        <v>849460</v>
      </c>
      <c r="O4234" s="224"/>
      <c r="P4234" s="110" t="s">
        <v>13066</v>
      </c>
      <c r="Q4234" s="15" t="s">
        <v>19</v>
      </c>
      <c r="R4234" s="205"/>
      <c r="S4234" s="189"/>
      <c r="T4234" s="114"/>
      <c r="U4234" s="21"/>
      <c r="V4234" s="115">
        <v>46011</v>
      </c>
      <c r="W4234" s="116">
        <v>1281</v>
      </c>
      <c r="X4234" s="220">
        <v>850000</v>
      </c>
      <c r="Y4234" s="220">
        <f>X4234*0.1</f>
        <v>85000</v>
      </c>
      <c r="Z4234" s="220">
        <v>8510</v>
      </c>
      <c r="AA4234" s="220">
        <f>SUM(X4234:Z4234)</f>
        <v>943510</v>
      </c>
      <c r="AB4234" s="222">
        <v>46014</v>
      </c>
    </row>
    <row r="4235" spans="1:28" ht="17.100000000000001" customHeight="1" thickBot="1">
      <c r="A4235" s="227"/>
      <c r="B4235" s="27" t="s">
        <v>3314</v>
      </c>
      <c r="C4235" s="27">
        <v>3077</v>
      </c>
      <c r="D4235" s="14" t="s">
        <v>1584</v>
      </c>
      <c r="E4235" s="229"/>
      <c r="F4235" s="117" t="s">
        <v>12556</v>
      </c>
      <c r="G4235" s="26">
        <v>59353</v>
      </c>
      <c r="H4235" s="231"/>
      <c r="I4235" s="221"/>
      <c r="J4235" s="221"/>
      <c r="K4235" s="221"/>
      <c r="L4235" s="221"/>
      <c r="M4235" s="221"/>
      <c r="N4235" s="221"/>
      <c r="O4235" s="225"/>
      <c r="P4235" s="118" t="s">
        <v>3919</v>
      </c>
      <c r="Q4235" s="16" t="s">
        <v>20</v>
      </c>
      <c r="R4235" s="17" t="s">
        <v>2235</v>
      </c>
      <c r="S4235" s="121"/>
      <c r="T4235" s="122"/>
      <c r="U4235" s="22"/>
      <c r="V4235" s="123" t="s">
        <v>2472</v>
      </c>
      <c r="W4235" s="122">
        <v>60047</v>
      </c>
      <c r="X4235" s="221"/>
      <c r="Y4235" s="221"/>
      <c r="Z4235" s="221"/>
      <c r="AA4235" s="221"/>
      <c r="AB4235" s="223"/>
    </row>
    <row r="4236" spans="1:28" ht="17.100000000000001" customHeight="1" thickTop="1">
      <c r="A4236" s="226" t="s">
        <v>12661</v>
      </c>
      <c r="B4236" s="28">
        <v>46000</v>
      </c>
      <c r="C4236" s="25">
        <v>919</v>
      </c>
      <c r="D4236" s="13" t="s">
        <v>1733</v>
      </c>
      <c r="E4236" s="228"/>
      <c r="F4236" s="109" t="s">
        <v>12557</v>
      </c>
      <c r="G4236" s="24"/>
      <c r="H4236" s="230">
        <v>3.5</v>
      </c>
      <c r="I4236" s="220">
        <v>558000</v>
      </c>
      <c r="J4236" s="220">
        <f>I4236*0.1</f>
        <v>55800</v>
      </c>
      <c r="K4236" s="220">
        <v>0</v>
      </c>
      <c r="L4236" s="220">
        <v>9770</v>
      </c>
      <c r="M4236" s="220">
        <v>15950</v>
      </c>
      <c r="N4236" s="220">
        <f>SUM(I4236:M4237)</f>
        <v>639520</v>
      </c>
      <c r="O4236" s="224"/>
      <c r="P4236" s="110" t="s">
        <v>13061</v>
      </c>
      <c r="Q4236" s="15" t="s">
        <v>19</v>
      </c>
      <c r="R4236" s="205"/>
      <c r="S4236" s="189"/>
      <c r="T4236" s="114"/>
      <c r="U4236" s="21"/>
      <c r="V4236" s="115">
        <v>46018</v>
      </c>
      <c r="W4236" s="116">
        <v>1282</v>
      </c>
      <c r="X4236" s="220">
        <v>625000</v>
      </c>
      <c r="Y4236" s="220">
        <f>X4236*0.1</f>
        <v>62500</v>
      </c>
      <c r="Z4236" s="220">
        <v>9770</v>
      </c>
      <c r="AA4236" s="220">
        <f>SUM(X4236:Z4236)</f>
        <v>697270</v>
      </c>
      <c r="AB4236" s="222">
        <v>46028</v>
      </c>
    </row>
    <row r="4237" spans="1:28" ht="17.100000000000001" customHeight="1" thickBot="1">
      <c r="A4237" s="227"/>
      <c r="B4237" s="27" t="s">
        <v>2654</v>
      </c>
      <c r="C4237" s="27">
        <v>3042</v>
      </c>
      <c r="D4237" s="14" t="s">
        <v>3792</v>
      </c>
      <c r="E4237" s="229"/>
      <c r="F4237" s="117" t="s">
        <v>12558</v>
      </c>
      <c r="G4237" s="26">
        <v>48881</v>
      </c>
      <c r="H4237" s="231"/>
      <c r="I4237" s="221"/>
      <c r="J4237" s="221"/>
      <c r="K4237" s="221"/>
      <c r="L4237" s="221"/>
      <c r="M4237" s="221"/>
      <c r="N4237" s="221"/>
      <c r="O4237" s="225"/>
      <c r="P4237" s="118" t="s">
        <v>4550</v>
      </c>
      <c r="Q4237" s="16" t="s">
        <v>20</v>
      </c>
      <c r="R4237" s="17" t="s">
        <v>2235</v>
      </c>
      <c r="S4237" s="121" t="s">
        <v>2166</v>
      </c>
      <c r="T4237" s="122"/>
      <c r="U4237" s="22"/>
      <c r="V4237" s="123" t="s">
        <v>2472</v>
      </c>
      <c r="W4237" s="122">
        <v>60124</v>
      </c>
      <c r="X4237" s="221"/>
      <c r="Y4237" s="221"/>
      <c r="Z4237" s="221"/>
      <c r="AA4237" s="221"/>
      <c r="AB4237" s="223"/>
    </row>
    <row r="4238" spans="1:28" ht="17.100000000000001" customHeight="1" thickTop="1">
      <c r="A4238" s="226" t="s">
        <v>12662</v>
      </c>
      <c r="B4238" s="28">
        <v>46000</v>
      </c>
      <c r="C4238" s="25">
        <v>919</v>
      </c>
      <c r="D4238" s="13" t="s">
        <v>2406</v>
      </c>
      <c r="E4238" s="228"/>
      <c r="F4238" s="109" t="s">
        <v>12311</v>
      </c>
      <c r="G4238" s="24"/>
      <c r="H4238" s="230">
        <v>4</v>
      </c>
      <c r="I4238" s="220">
        <v>800000</v>
      </c>
      <c r="J4238" s="220">
        <f>I4238*0.1</f>
        <v>80000</v>
      </c>
      <c r="K4238" s="220">
        <v>0</v>
      </c>
      <c r="L4238" s="220">
        <v>8400</v>
      </c>
      <c r="M4238" s="220">
        <v>15950</v>
      </c>
      <c r="N4238" s="220">
        <f>SUM(I4238:M4239)</f>
        <v>904350</v>
      </c>
      <c r="O4238" s="224"/>
      <c r="P4238" s="110" t="s">
        <v>13060</v>
      </c>
      <c r="Q4238" s="15" t="s">
        <v>19</v>
      </c>
      <c r="R4238" s="205"/>
      <c r="S4238" s="189"/>
      <c r="T4238" s="114"/>
      <c r="U4238" s="21"/>
      <c r="V4238" s="115">
        <v>46004</v>
      </c>
      <c r="W4238" s="116">
        <v>1280</v>
      </c>
      <c r="X4238" s="220">
        <v>905000</v>
      </c>
      <c r="Y4238" s="220">
        <f>X4238*0.1</f>
        <v>90500</v>
      </c>
      <c r="Z4238" s="220">
        <v>8400</v>
      </c>
      <c r="AA4238" s="220">
        <f>SUM(X4238:Z4238)</f>
        <v>1003900</v>
      </c>
      <c r="AB4238" s="222">
        <v>46008</v>
      </c>
    </row>
    <row r="4239" spans="1:28" ht="17.100000000000001" customHeight="1" thickBot="1">
      <c r="A4239" s="227"/>
      <c r="B4239" s="27" t="s">
        <v>2654</v>
      </c>
      <c r="C4239" s="27">
        <v>3100</v>
      </c>
      <c r="D4239" s="14" t="s">
        <v>273</v>
      </c>
      <c r="E4239" s="229"/>
      <c r="F4239" s="117" t="s">
        <v>12559</v>
      </c>
      <c r="G4239" s="26">
        <v>21766</v>
      </c>
      <c r="H4239" s="231"/>
      <c r="I4239" s="221"/>
      <c r="J4239" s="221"/>
      <c r="K4239" s="221"/>
      <c r="L4239" s="221"/>
      <c r="M4239" s="221"/>
      <c r="N4239" s="221"/>
      <c r="O4239" s="225"/>
      <c r="P4239" s="118" t="s">
        <v>3506</v>
      </c>
      <c r="Q4239" s="16" t="s">
        <v>20</v>
      </c>
      <c r="R4239" s="17" t="s">
        <v>2235</v>
      </c>
      <c r="S4239" s="121" t="s">
        <v>7721</v>
      </c>
      <c r="T4239" s="122"/>
      <c r="U4239" s="22"/>
      <c r="V4239" s="123" t="s">
        <v>2472</v>
      </c>
      <c r="W4239" s="122">
        <v>60435</v>
      </c>
      <c r="X4239" s="221"/>
      <c r="Y4239" s="221"/>
      <c r="Z4239" s="221"/>
      <c r="AA4239" s="221"/>
      <c r="AB4239" s="223"/>
    </row>
    <row r="4240" spans="1:28" ht="17.100000000000001" customHeight="1" thickTop="1">
      <c r="A4240" s="226" t="s">
        <v>12663</v>
      </c>
      <c r="B4240" s="28">
        <v>46000</v>
      </c>
      <c r="C4240" s="25">
        <v>919</v>
      </c>
      <c r="D4240" s="13" t="s">
        <v>4050</v>
      </c>
      <c r="E4240" s="228"/>
      <c r="F4240" s="109" t="s">
        <v>4601</v>
      </c>
      <c r="G4240" s="24"/>
      <c r="H4240" s="230">
        <v>4.5</v>
      </c>
      <c r="I4240" s="220">
        <v>1033000</v>
      </c>
      <c r="J4240" s="220">
        <f>I4240*0.1</f>
        <v>103300</v>
      </c>
      <c r="K4240" s="220">
        <v>0</v>
      </c>
      <c r="L4240" s="220">
        <v>7150</v>
      </c>
      <c r="M4240" s="220">
        <v>15950</v>
      </c>
      <c r="N4240" s="220">
        <f>SUM(I4240:M4241)</f>
        <v>1159400</v>
      </c>
      <c r="O4240" s="224"/>
      <c r="P4240" s="110" t="s">
        <v>13110</v>
      </c>
      <c r="Q4240" s="15" t="s">
        <v>19</v>
      </c>
      <c r="R4240" s="205"/>
      <c r="S4240" s="189"/>
      <c r="T4240" s="114"/>
      <c r="U4240" s="21"/>
      <c r="V4240" s="115">
        <v>46011</v>
      </c>
      <c r="W4240" s="116">
        <v>1281</v>
      </c>
      <c r="X4240" s="220">
        <v>1155000</v>
      </c>
      <c r="Y4240" s="220">
        <f>X4240*0.1</f>
        <v>115500</v>
      </c>
      <c r="Z4240" s="220">
        <v>7150</v>
      </c>
      <c r="AA4240" s="220">
        <f>SUM(X4240:Z4240)</f>
        <v>1277650</v>
      </c>
      <c r="AB4240" s="222">
        <v>46014</v>
      </c>
    </row>
    <row r="4241" spans="1:28" ht="17.100000000000001" customHeight="1" thickBot="1">
      <c r="A4241" s="227"/>
      <c r="B4241" s="27" t="s">
        <v>2654</v>
      </c>
      <c r="C4241" s="27">
        <v>3129</v>
      </c>
      <c r="D4241" s="14" t="s">
        <v>273</v>
      </c>
      <c r="E4241" s="229"/>
      <c r="F4241" s="117" t="s">
        <v>12560</v>
      </c>
      <c r="G4241" s="26">
        <v>32265</v>
      </c>
      <c r="H4241" s="231"/>
      <c r="I4241" s="221"/>
      <c r="J4241" s="221"/>
      <c r="K4241" s="221"/>
      <c r="L4241" s="221"/>
      <c r="M4241" s="221"/>
      <c r="N4241" s="221"/>
      <c r="O4241" s="225"/>
      <c r="P4241" s="118" t="s">
        <v>8237</v>
      </c>
      <c r="Q4241" s="16" t="s">
        <v>20</v>
      </c>
      <c r="R4241" s="17" t="s">
        <v>3390</v>
      </c>
      <c r="S4241" s="121"/>
      <c r="T4241" s="122"/>
      <c r="U4241" s="22"/>
      <c r="V4241" s="123" t="s">
        <v>2472</v>
      </c>
      <c r="W4241" s="122">
        <v>60091</v>
      </c>
      <c r="X4241" s="221"/>
      <c r="Y4241" s="221"/>
      <c r="Z4241" s="221"/>
      <c r="AA4241" s="221"/>
      <c r="AB4241" s="223"/>
    </row>
    <row r="4242" spans="1:28" ht="17.100000000000001" customHeight="1" thickTop="1">
      <c r="A4242" s="233" t="s">
        <v>12664</v>
      </c>
      <c r="B4242" s="28">
        <v>46000</v>
      </c>
      <c r="C4242" s="25">
        <v>919</v>
      </c>
      <c r="D4242" s="13" t="s">
        <v>1837</v>
      </c>
      <c r="E4242" s="228"/>
      <c r="F4242" s="109" t="s">
        <v>12561</v>
      </c>
      <c r="G4242" s="24"/>
      <c r="H4242" s="230">
        <v>4</v>
      </c>
      <c r="I4242" s="220">
        <v>972000</v>
      </c>
      <c r="J4242" s="220">
        <f>I4242*0.1</f>
        <v>97200</v>
      </c>
      <c r="K4242" s="220">
        <v>0</v>
      </c>
      <c r="L4242" s="220">
        <v>8510</v>
      </c>
      <c r="M4242" s="220">
        <v>15950</v>
      </c>
      <c r="N4242" s="220">
        <f>SUM(I4242:M4243)</f>
        <v>1093660</v>
      </c>
      <c r="O4242" s="224"/>
      <c r="P4242" s="110" t="s">
        <v>13109</v>
      </c>
      <c r="Q4242" s="15" t="s">
        <v>19</v>
      </c>
      <c r="R4242" s="205"/>
      <c r="S4242" s="189"/>
      <c r="T4242" s="114"/>
      <c r="U4242" s="21"/>
      <c r="V4242" s="115">
        <v>46039</v>
      </c>
      <c r="W4242" s="116">
        <v>1284</v>
      </c>
      <c r="X4242" s="220">
        <v>1020000</v>
      </c>
      <c r="Y4242" s="220">
        <f>X4242*0.1</f>
        <v>102000</v>
      </c>
      <c r="Z4242" s="220">
        <v>8510</v>
      </c>
      <c r="AA4242" s="220">
        <f>SUM(X4242:Z4242)</f>
        <v>1130510</v>
      </c>
      <c r="AB4242" s="222">
        <v>46042</v>
      </c>
    </row>
    <row r="4243" spans="1:28" ht="17.100000000000001" customHeight="1" thickBot="1">
      <c r="A4243" s="234"/>
      <c r="B4243" s="27" t="s">
        <v>2654</v>
      </c>
      <c r="C4243" s="27">
        <v>3137</v>
      </c>
      <c r="D4243" s="14" t="s">
        <v>3955</v>
      </c>
      <c r="E4243" s="229"/>
      <c r="F4243" s="117" t="s">
        <v>12562</v>
      </c>
      <c r="G4243" s="26">
        <v>46891</v>
      </c>
      <c r="H4243" s="231"/>
      <c r="I4243" s="221"/>
      <c r="J4243" s="221"/>
      <c r="K4243" s="221"/>
      <c r="L4243" s="221"/>
      <c r="M4243" s="221"/>
      <c r="N4243" s="221"/>
      <c r="O4243" s="225"/>
      <c r="P4243" s="118" t="s">
        <v>4555</v>
      </c>
      <c r="Q4243" s="16" t="s">
        <v>20</v>
      </c>
      <c r="R4243" s="17" t="s">
        <v>3390</v>
      </c>
      <c r="S4243" s="121"/>
      <c r="T4243" s="122"/>
      <c r="U4243" s="22"/>
      <c r="V4243" s="123" t="s">
        <v>2472</v>
      </c>
      <c r="W4243" s="122">
        <v>60077</v>
      </c>
      <c r="X4243" s="221"/>
      <c r="Y4243" s="221"/>
      <c r="Z4243" s="221"/>
      <c r="AA4243" s="221"/>
      <c r="AB4243" s="223"/>
    </row>
    <row r="4244" spans="1:28" ht="17.100000000000001" customHeight="1" thickTop="1">
      <c r="A4244" s="226" t="s">
        <v>12665</v>
      </c>
      <c r="B4244" s="28">
        <v>46000</v>
      </c>
      <c r="C4244" s="25">
        <v>919</v>
      </c>
      <c r="D4244" s="13" t="s">
        <v>1909</v>
      </c>
      <c r="E4244" s="228"/>
      <c r="F4244" s="109" t="s">
        <v>12350</v>
      </c>
      <c r="G4244" s="24" t="s">
        <v>2487</v>
      </c>
      <c r="H4244" s="230">
        <v>4</v>
      </c>
      <c r="I4244" s="220">
        <v>1024000</v>
      </c>
      <c r="J4244" s="220">
        <f>I4244*0.1</f>
        <v>102400</v>
      </c>
      <c r="K4244" s="220">
        <v>0</v>
      </c>
      <c r="L4244" s="220">
        <v>6860</v>
      </c>
      <c r="M4244" s="220">
        <v>15950</v>
      </c>
      <c r="N4244" s="220">
        <f>SUM(I4244:M4245)</f>
        <v>1149210</v>
      </c>
      <c r="O4244" s="224"/>
      <c r="P4244" s="110" t="s">
        <v>12564</v>
      </c>
      <c r="Q4244" s="15" t="s">
        <v>19</v>
      </c>
      <c r="R4244" s="205"/>
      <c r="S4244" s="189"/>
      <c r="T4244" s="114"/>
      <c r="U4244" s="21"/>
      <c r="V4244" s="115">
        <v>46011</v>
      </c>
      <c r="W4244" s="116">
        <v>1281</v>
      </c>
      <c r="X4244" s="220">
        <v>1020000</v>
      </c>
      <c r="Y4244" s="220">
        <f>X4244*0.1</f>
        <v>102000</v>
      </c>
      <c r="Z4244" s="220">
        <v>6860</v>
      </c>
      <c r="AA4244" s="220">
        <f>SUM(X4244:Z4244)</f>
        <v>1128860</v>
      </c>
      <c r="AB4244" s="222">
        <v>46014</v>
      </c>
    </row>
    <row r="4245" spans="1:28" ht="17.100000000000001" customHeight="1" thickBot="1">
      <c r="A4245" s="227"/>
      <c r="B4245" s="27" t="s">
        <v>2654</v>
      </c>
      <c r="C4245" s="27">
        <v>3141</v>
      </c>
      <c r="D4245" s="14" t="s">
        <v>2177</v>
      </c>
      <c r="E4245" s="229"/>
      <c r="F4245" s="117" t="s">
        <v>12563</v>
      </c>
      <c r="G4245" s="26">
        <v>15365</v>
      </c>
      <c r="H4245" s="231"/>
      <c r="I4245" s="221"/>
      <c r="J4245" s="221"/>
      <c r="K4245" s="221"/>
      <c r="L4245" s="221"/>
      <c r="M4245" s="221"/>
      <c r="N4245" s="221"/>
      <c r="O4245" s="225"/>
      <c r="P4245" s="118" t="s">
        <v>13068</v>
      </c>
      <c r="Q4245" s="16" t="s">
        <v>20</v>
      </c>
      <c r="R4245" s="17" t="s">
        <v>2235</v>
      </c>
      <c r="S4245" s="121" t="s">
        <v>1722</v>
      </c>
      <c r="T4245" s="122"/>
      <c r="U4245" s="22"/>
      <c r="V4245" s="123" t="s">
        <v>2472</v>
      </c>
      <c r="W4245" s="122">
        <v>60061</v>
      </c>
      <c r="X4245" s="221"/>
      <c r="Y4245" s="221"/>
      <c r="Z4245" s="221"/>
      <c r="AA4245" s="221"/>
      <c r="AB4245" s="223"/>
    </row>
    <row r="4246" spans="1:28" ht="17.100000000000001" customHeight="1" thickTop="1">
      <c r="A4246" s="226" t="s">
        <v>12666</v>
      </c>
      <c r="B4246" s="28">
        <v>46000</v>
      </c>
      <c r="C4246" s="25">
        <v>919</v>
      </c>
      <c r="D4246" s="13" t="s">
        <v>2964</v>
      </c>
      <c r="E4246" s="228"/>
      <c r="F4246" s="109" t="s">
        <v>12565</v>
      </c>
      <c r="G4246" s="24"/>
      <c r="H4246" s="230">
        <v>4</v>
      </c>
      <c r="I4246" s="220">
        <v>2096000</v>
      </c>
      <c r="J4246" s="220">
        <f>I4246*0.1</f>
        <v>209600</v>
      </c>
      <c r="K4246" s="220">
        <v>0</v>
      </c>
      <c r="L4246" s="220">
        <v>17060</v>
      </c>
      <c r="M4246" s="220">
        <v>15950</v>
      </c>
      <c r="N4246" s="220">
        <f>SUM(I4246:M4247)</f>
        <v>2338610</v>
      </c>
      <c r="O4246" s="224"/>
      <c r="P4246" s="110" t="s">
        <v>13050</v>
      </c>
      <c r="Q4246" s="15" t="s">
        <v>19</v>
      </c>
      <c r="R4246" s="205"/>
      <c r="S4246" s="189"/>
      <c r="T4246" s="114"/>
      <c r="U4246" s="21"/>
      <c r="V4246" s="115">
        <v>46018</v>
      </c>
      <c r="W4246" s="116">
        <v>1282</v>
      </c>
      <c r="X4246" s="220">
        <v>2260000</v>
      </c>
      <c r="Y4246" s="220">
        <f>X4246*0.1</f>
        <v>226000</v>
      </c>
      <c r="Z4246" s="220">
        <v>17060</v>
      </c>
      <c r="AA4246" s="220">
        <f>SUM(X4246:Z4246)</f>
        <v>2503060</v>
      </c>
      <c r="AB4246" s="222">
        <v>46028</v>
      </c>
    </row>
    <row r="4247" spans="1:28" ht="17.100000000000001" customHeight="1" thickBot="1">
      <c r="A4247" s="227"/>
      <c r="B4247" s="27" t="s">
        <v>2654</v>
      </c>
      <c r="C4247" s="27">
        <v>50016</v>
      </c>
      <c r="D4247" s="14" t="s">
        <v>273</v>
      </c>
      <c r="E4247" s="229"/>
      <c r="F4247" s="117" t="s">
        <v>12566</v>
      </c>
      <c r="G4247" s="26">
        <v>39355</v>
      </c>
      <c r="H4247" s="231"/>
      <c r="I4247" s="221"/>
      <c r="J4247" s="221"/>
      <c r="K4247" s="221"/>
      <c r="L4247" s="221"/>
      <c r="M4247" s="221"/>
      <c r="N4247" s="221"/>
      <c r="O4247" s="225"/>
      <c r="P4247" s="118" t="s">
        <v>13051</v>
      </c>
      <c r="Q4247" s="16" t="s">
        <v>20</v>
      </c>
      <c r="R4247" s="17" t="s">
        <v>2235</v>
      </c>
      <c r="S4247" s="121" t="s">
        <v>2166</v>
      </c>
      <c r="T4247" s="122"/>
      <c r="U4247" s="22"/>
      <c r="V4247" s="123" t="s">
        <v>2472</v>
      </c>
      <c r="W4247" s="122">
        <v>80226</v>
      </c>
      <c r="X4247" s="221"/>
      <c r="Y4247" s="221"/>
      <c r="Z4247" s="221"/>
      <c r="AA4247" s="221"/>
      <c r="AB4247" s="223"/>
    </row>
    <row r="4248" spans="1:28" ht="17.100000000000001" customHeight="1" thickTop="1">
      <c r="A4248" s="226" t="s">
        <v>12667</v>
      </c>
      <c r="B4248" s="28">
        <v>46000</v>
      </c>
      <c r="C4248" s="25">
        <v>919</v>
      </c>
      <c r="D4248" s="13" t="s">
        <v>2264</v>
      </c>
      <c r="E4248" s="228"/>
      <c r="F4248" s="109" t="s">
        <v>4893</v>
      </c>
      <c r="G4248" s="24"/>
      <c r="H4248" s="230">
        <v>4</v>
      </c>
      <c r="I4248" s="220">
        <v>953000</v>
      </c>
      <c r="J4248" s="220">
        <f>I4248*0.1</f>
        <v>95300</v>
      </c>
      <c r="K4248" s="220">
        <v>0</v>
      </c>
      <c r="L4248" s="220">
        <v>7440</v>
      </c>
      <c r="M4248" s="220">
        <v>15950</v>
      </c>
      <c r="N4248" s="220">
        <f>SUM(I4248:M4249)</f>
        <v>1071690</v>
      </c>
      <c r="O4248" s="224"/>
      <c r="P4248" s="110" t="s">
        <v>13059</v>
      </c>
      <c r="Q4248" s="15" t="s">
        <v>19</v>
      </c>
      <c r="R4248" s="205"/>
      <c r="S4248" s="189"/>
      <c r="T4248" s="114"/>
      <c r="U4248" s="21"/>
      <c r="V4248" s="115">
        <v>46043</v>
      </c>
      <c r="W4248" s="116">
        <v>1001</v>
      </c>
      <c r="X4248" s="220">
        <v>1000000</v>
      </c>
      <c r="Y4248" s="220">
        <f>X4248*0.1</f>
        <v>100000</v>
      </c>
      <c r="Z4248" s="220">
        <v>7440</v>
      </c>
      <c r="AA4248" s="220">
        <f>SUM(X4248:Z4248)</f>
        <v>1107440</v>
      </c>
      <c r="AB4248" s="222">
        <v>46048</v>
      </c>
    </row>
    <row r="4249" spans="1:28" ht="17.100000000000001" customHeight="1" thickBot="1">
      <c r="A4249" s="227"/>
      <c r="B4249" s="27" t="s">
        <v>2654</v>
      </c>
      <c r="C4249" s="27">
        <v>62044</v>
      </c>
      <c r="D4249" s="14" t="s">
        <v>1710</v>
      </c>
      <c r="E4249" s="229"/>
      <c r="F4249" s="117" t="s">
        <v>12567</v>
      </c>
      <c r="G4249" s="26">
        <v>16873</v>
      </c>
      <c r="H4249" s="231"/>
      <c r="I4249" s="221"/>
      <c r="J4249" s="221"/>
      <c r="K4249" s="221"/>
      <c r="L4249" s="221"/>
      <c r="M4249" s="221"/>
      <c r="N4249" s="221"/>
      <c r="O4249" s="225"/>
      <c r="P4249" s="118" t="s">
        <v>8552</v>
      </c>
      <c r="Q4249" s="16" t="s">
        <v>20</v>
      </c>
      <c r="R4249" s="17" t="s">
        <v>2235</v>
      </c>
      <c r="S4249" s="121" t="s">
        <v>4852</v>
      </c>
      <c r="T4249" s="122"/>
      <c r="U4249" s="22"/>
      <c r="V4249" s="123" t="s">
        <v>2747</v>
      </c>
      <c r="W4249" s="122">
        <v>80033</v>
      </c>
      <c r="X4249" s="221"/>
      <c r="Y4249" s="221"/>
      <c r="Z4249" s="221"/>
      <c r="AA4249" s="221"/>
      <c r="AB4249" s="223"/>
    </row>
    <row r="4250" spans="1:28" ht="17.100000000000001" customHeight="1" thickTop="1">
      <c r="A4250" s="226" t="s">
        <v>12668</v>
      </c>
      <c r="B4250" s="28">
        <v>46000</v>
      </c>
      <c r="C4250" s="25">
        <v>1220</v>
      </c>
      <c r="D4250" s="13" t="s">
        <v>3269</v>
      </c>
      <c r="E4250" s="228"/>
      <c r="F4250" s="109" t="s">
        <v>5164</v>
      </c>
      <c r="G4250" s="24" t="s">
        <v>2530</v>
      </c>
      <c r="H4250" s="230">
        <v>4</v>
      </c>
      <c r="I4250" s="220">
        <v>812000</v>
      </c>
      <c r="J4250" s="220">
        <f>I4250*0.1</f>
        <v>81200</v>
      </c>
      <c r="K4250" s="220">
        <v>8360</v>
      </c>
      <c r="L4250" s="220">
        <v>11810</v>
      </c>
      <c r="M4250" s="220">
        <v>19250</v>
      </c>
      <c r="N4250" s="220">
        <f>SUM(I4250:M4251)</f>
        <v>932620</v>
      </c>
      <c r="O4250" s="224"/>
      <c r="P4250" s="110" t="s">
        <v>12569</v>
      </c>
      <c r="Q4250" s="15" t="s">
        <v>19</v>
      </c>
      <c r="R4250" s="205"/>
      <c r="S4250" s="189"/>
      <c r="T4250" s="114"/>
      <c r="U4250" s="21"/>
      <c r="V4250" s="115">
        <v>46004</v>
      </c>
      <c r="W4250" s="116">
        <v>1280</v>
      </c>
      <c r="X4250" s="220">
        <v>1220000</v>
      </c>
      <c r="Y4250" s="220">
        <f>X4250*0.1</f>
        <v>122000</v>
      </c>
      <c r="Z4250" s="220">
        <v>11810</v>
      </c>
      <c r="AA4250" s="220">
        <f>SUM(X4250:Z4250)</f>
        <v>1353810</v>
      </c>
      <c r="AB4250" s="222">
        <v>46007</v>
      </c>
    </row>
    <row r="4251" spans="1:28" ht="17.100000000000001" customHeight="1" thickBot="1">
      <c r="A4251" s="227"/>
      <c r="B4251" s="27" t="s">
        <v>2344</v>
      </c>
      <c r="C4251" s="27">
        <v>32014</v>
      </c>
      <c r="D4251" s="14" t="s">
        <v>2177</v>
      </c>
      <c r="E4251" s="229"/>
      <c r="F4251" s="117" t="s">
        <v>12568</v>
      </c>
      <c r="G4251" s="26">
        <v>59337</v>
      </c>
      <c r="H4251" s="231"/>
      <c r="I4251" s="221"/>
      <c r="J4251" s="221"/>
      <c r="K4251" s="221"/>
      <c r="L4251" s="221"/>
      <c r="M4251" s="221"/>
      <c r="N4251" s="221"/>
      <c r="O4251" s="225"/>
      <c r="P4251" s="118" t="s">
        <v>13036</v>
      </c>
      <c r="Q4251" s="16" t="s">
        <v>20</v>
      </c>
      <c r="R4251" s="17" t="s">
        <v>2235</v>
      </c>
      <c r="S4251" s="121" t="s">
        <v>13037</v>
      </c>
      <c r="T4251" s="122"/>
      <c r="U4251" s="22"/>
      <c r="V4251" s="123" t="s">
        <v>2472</v>
      </c>
      <c r="W4251" s="122">
        <v>80401</v>
      </c>
      <c r="X4251" s="221"/>
      <c r="Y4251" s="221"/>
      <c r="Z4251" s="221"/>
      <c r="AA4251" s="221"/>
      <c r="AB4251" s="223"/>
    </row>
    <row r="4252" spans="1:28" ht="17.100000000000001" customHeight="1" thickTop="1">
      <c r="A4252" s="233" t="s">
        <v>12669</v>
      </c>
      <c r="B4252" s="28">
        <v>46000</v>
      </c>
      <c r="C4252" s="25">
        <v>75</v>
      </c>
      <c r="D4252" s="13" t="s">
        <v>1837</v>
      </c>
      <c r="E4252" s="228"/>
      <c r="F4252" s="109" t="s">
        <v>12571</v>
      </c>
      <c r="G4252" s="24" t="s">
        <v>4412</v>
      </c>
      <c r="H4252" s="230">
        <v>5</v>
      </c>
      <c r="I4252" s="220">
        <v>2260000</v>
      </c>
      <c r="J4252" s="220">
        <f>I4252*0.1</f>
        <v>226000</v>
      </c>
      <c r="K4252" s="220">
        <v>9900</v>
      </c>
      <c r="L4252" s="220">
        <v>10510</v>
      </c>
      <c r="M4252" s="220">
        <v>66000</v>
      </c>
      <c r="N4252" s="220">
        <f>SUM(I4252:M4253)</f>
        <v>2572410</v>
      </c>
      <c r="O4252" s="224"/>
      <c r="P4252" s="110" t="s">
        <v>14113</v>
      </c>
      <c r="Q4252" s="15" t="s">
        <v>19</v>
      </c>
      <c r="R4252" s="205"/>
      <c r="S4252" s="189" t="s">
        <v>25605</v>
      </c>
      <c r="T4252" s="114"/>
      <c r="U4252" s="21" t="s">
        <v>14184</v>
      </c>
      <c r="V4252" s="115">
        <v>46032</v>
      </c>
      <c r="W4252" s="116">
        <v>1283</v>
      </c>
      <c r="X4252" s="220">
        <v>2340000</v>
      </c>
      <c r="Y4252" s="220">
        <v>234000</v>
      </c>
      <c r="Z4252" s="220">
        <v>10510</v>
      </c>
      <c r="AA4252" s="220">
        <f>SUM(X4252:Z4252)</f>
        <v>2584510</v>
      </c>
      <c r="AB4252" s="222">
        <v>46036</v>
      </c>
    </row>
    <row r="4253" spans="1:28" ht="17.100000000000001" customHeight="1" thickBot="1">
      <c r="A4253" s="234"/>
      <c r="B4253" s="27" t="s">
        <v>4468</v>
      </c>
      <c r="C4253" s="27">
        <v>1063</v>
      </c>
      <c r="D4253" s="14" t="s">
        <v>898</v>
      </c>
      <c r="E4253" s="229"/>
      <c r="F4253" s="117" t="s">
        <v>12570</v>
      </c>
      <c r="G4253" s="26">
        <v>22001</v>
      </c>
      <c r="H4253" s="231"/>
      <c r="I4253" s="221"/>
      <c r="J4253" s="221"/>
      <c r="K4253" s="221"/>
      <c r="L4253" s="221"/>
      <c r="M4253" s="221"/>
      <c r="N4253" s="221"/>
      <c r="O4253" s="225"/>
      <c r="P4253" s="118" t="s">
        <v>14114</v>
      </c>
      <c r="Q4253" s="16" t="s">
        <v>20</v>
      </c>
      <c r="R4253" s="17" t="s">
        <v>14101</v>
      </c>
      <c r="S4253" s="121" t="s">
        <v>14115</v>
      </c>
      <c r="T4253" s="122"/>
      <c r="U4253" s="22"/>
      <c r="V4253" s="123" t="s">
        <v>2472</v>
      </c>
      <c r="W4253" s="122">
        <v>37523</v>
      </c>
      <c r="X4253" s="221"/>
      <c r="Y4253" s="221"/>
      <c r="Z4253" s="221"/>
      <c r="AA4253" s="221"/>
      <c r="AB4253" s="223"/>
    </row>
    <row r="4254" spans="1:28" ht="17.100000000000001" customHeight="1" thickTop="1">
      <c r="A4254" s="226" t="s">
        <v>12670</v>
      </c>
      <c r="B4254" s="28">
        <v>46000</v>
      </c>
      <c r="C4254" s="25">
        <v>1268</v>
      </c>
      <c r="D4254" s="13" t="s">
        <v>3739</v>
      </c>
      <c r="E4254" s="228"/>
      <c r="F4254" s="109" t="s">
        <v>6997</v>
      </c>
      <c r="G4254" s="24"/>
      <c r="H4254" s="230">
        <v>4</v>
      </c>
      <c r="I4254" s="220">
        <v>1315000</v>
      </c>
      <c r="J4254" s="220">
        <f>I4254*0.1</f>
        <v>131500</v>
      </c>
      <c r="K4254" s="220">
        <v>0</v>
      </c>
      <c r="L4254" s="220">
        <v>19090</v>
      </c>
      <c r="M4254" s="220">
        <v>18150</v>
      </c>
      <c r="N4254" s="220">
        <f>SUM(I4254:M4255)</f>
        <v>1483740</v>
      </c>
      <c r="O4254" s="224"/>
      <c r="P4254" s="110" t="s">
        <v>13545</v>
      </c>
      <c r="Q4254" s="15" t="s">
        <v>19</v>
      </c>
      <c r="R4254" s="205"/>
      <c r="S4254" s="189"/>
      <c r="T4254" s="114"/>
      <c r="U4254" s="21"/>
      <c r="V4254" s="115">
        <v>46011</v>
      </c>
      <c r="W4254" s="116">
        <v>1281</v>
      </c>
      <c r="X4254" s="220">
        <v>1540000</v>
      </c>
      <c r="Y4254" s="220">
        <f>X4254*0.1</f>
        <v>154000</v>
      </c>
      <c r="Z4254" s="220">
        <v>19090</v>
      </c>
      <c r="AA4254" s="220">
        <f>SUM(X4254:Z4254)</f>
        <v>1713090</v>
      </c>
      <c r="AB4254" s="222">
        <v>46028</v>
      </c>
    </row>
    <row r="4255" spans="1:28" ht="17.100000000000001" customHeight="1" thickBot="1">
      <c r="A4255" s="227"/>
      <c r="B4255" s="27" t="s">
        <v>3543</v>
      </c>
      <c r="C4255" s="27">
        <v>38040</v>
      </c>
      <c r="D4255" s="14" t="s">
        <v>2788</v>
      </c>
      <c r="E4255" s="229"/>
      <c r="F4255" s="117" t="s">
        <v>12681</v>
      </c>
      <c r="G4255" s="26">
        <v>57727</v>
      </c>
      <c r="H4255" s="231"/>
      <c r="I4255" s="221"/>
      <c r="J4255" s="221"/>
      <c r="K4255" s="221"/>
      <c r="L4255" s="221"/>
      <c r="M4255" s="221"/>
      <c r="N4255" s="221"/>
      <c r="O4255" s="225"/>
      <c r="P4255" s="118" t="s">
        <v>10210</v>
      </c>
      <c r="Q4255" s="16" t="s">
        <v>20</v>
      </c>
      <c r="R4255" s="17" t="s">
        <v>13537</v>
      </c>
      <c r="S4255" s="121" t="s">
        <v>13684</v>
      </c>
      <c r="T4255" s="122"/>
      <c r="U4255" s="22"/>
      <c r="V4255" s="123" t="s">
        <v>6641</v>
      </c>
      <c r="W4255" s="122">
        <v>80008</v>
      </c>
      <c r="X4255" s="221"/>
      <c r="Y4255" s="221"/>
      <c r="Z4255" s="221"/>
      <c r="AA4255" s="221"/>
      <c r="AB4255" s="223"/>
    </row>
    <row r="4256" spans="1:28" ht="17.100000000000001" customHeight="1" thickTop="1">
      <c r="A4256" s="226" t="s">
        <v>12671</v>
      </c>
      <c r="B4256" s="28">
        <v>46000</v>
      </c>
      <c r="C4256" s="25">
        <v>969</v>
      </c>
      <c r="D4256" s="13" t="s">
        <v>3271</v>
      </c>
      <c r="E4256" s="228"/>
      <c r="F4256" s="109" t="s">
        <v>2673</v>
      </c>
      <c r="G4256" s="24"/>
      <c r="H4256" s="230">
        <v>4.5</v>
      </c>
      <c r="I4256" s="220">
        <v>1218000</v>
      </c>
      <c r="J4256" s="220">
        <f>I4256*0.1</f>
        <v>121800</v>
      </c>
      <c r="K4256" s="220">
        <v>0</v>
      </c>
      <c r="L4256" s="220">
        <v>14200</v>
      </c>
      <c r="M4256" s="220">
        <v>22000</v>
      </c>
      <c r="N4256" s="220">
        <f>SUM(I4256:M4257)</f>
        <v>1376000</v>
      </c>
      <c r="O4256" s="224"/>
      <c r="P4256" s="110" t="s">
        <v>13467</v>
      </c>
      <c r="Q4256" s="15" t="s">
        <v>19</v>
      </c>
      <c r="R4256" s="205"/>
      <c r="S4256" s="189" t="s">
        <v>758</v>
      </c>
      <c r="T4256" s="114"/>
      <c r="U4256" s="21"/>
      <c r="V4256" s="115">
        <v>46014</v>
      </c>
      <c r="W4256" s="116">
        <v>1923</v>
      </c>
      <c r="X4256" s="220">
        <v>1295000</v>
      </c>
      <c r="Y4256" s="220">
        <f>X4256*0.1</f>
        <v>129500</v>
      </c>
      <c r="Z4256" s="220">
        <v>14200</v>
      </c>
      <c r="AA4256" s="220">
        <f>SUM(X4256:Z4256)</f>
        <v>1438700</v>
      </c>
      <c r="AB4256" s="222">
        <v>46029</v>
      </c>
    </row>
    <row r="4257" spans="1:28" ht="17.100000000000001" customHeight="1" thickBot="1">
      <c r="A4257" s="227"/>
      <c r="B4257" s="27" t="s">
        <v>2029</v>
      </c>
      <c r="C4257" s="27">
        <v>75</v>
      </c>
      <c r="D4257" s="14" t="s">
        <v>1710</v>
      </c>
      <c r="E4257" s="229"/>
      <c r="F4257" s="117" t="s">
        <v>12682</v>
      </c>
      <c r="G4257" s="26">
        <v>4587</v>
      </c>
      <c r="H4257" s="231"/>
      <c r="I4257" s="221"/>
      <c r="J4257" s="221"/>
      <c r="K4257" s="221"/>
      <c r="L4257" s="221"/>
      <c r="M4257" s="221"/>
      <c r="N4257" s="221"/>
      <c r="O4257" s="225"/>
      <c r="P4257" s="118" t="s">
        <v>2446</v>
      </c>
      <c r="Q4257" s="16" t="s">
        <v>20</v>
      </c>
      <c r="R4257" s="17" t="s">
        <v>1769</v>
      </c>
      <c r="S4257" s="121" t="s">
        <v>1661</v>
      </c>
      <c r="T4257" s="122"/>
      <c r="U4257" s="22"/>
      <c r="V4257" s="123" t="s">
        <v>7507</v>
      </c>
      <c r="W4257" s="122">
        <v>3051</v>
      </c>
      <c r="X4257" s="221"/>
      <c r="Y4257" s="221"/>
      <c r="Z4257" s="221"/>
      <c r="AA4257" s="221"/>
      <c r="AB4257" s="223"/>
    </row>
    <row r="4258" spans="1:28" ht="17.100000000000001" customHeight="1" thickTop="1">
      <c r="A4258" s="226" t="s">
        <v>12672</v>
      </c>
      <c r="B4258" s="28">
        <v>46000</v>
      </c>
      <c r="C4258" s="25">
        <v>969</v>
      </c>
      <c r="D4258" s="13" t="s">
        <v>2267</v>
      </c>
      <c r="E4258" s="228"/>
      <c r="F4258" s="109" t="s">
        <v>3844</v>
      </c>
      <c r="G4258" s="24"/>
      <c r="H4258" s="230">
        <v>3.5</v>
      </c>
      <c r="I4258" s="220">
        <v>448000</v>
      </c>
      <c r="J4258" s="220">
        <f>I4258*0.1</f>
        <v>44800</v>
      </c>
      <c r="K4258" s="220">
        <v>0</v>
      </c>
      <c r="L4258" s="220">
        <v>7950</v>
      </c>
      <c r="M4258" s="220">
        <v>22000</v>
      </c>
      <c r="N4258" s="220">
        <f>SUM(I4258:M4259)</f>
        <v>522750</v>
      </c>
      <c r="O4258" s="224"/>
      <c r="P4258" s="110" t="s">
        <v>13468</v>
      </c>
      <c r="Q4258" s="15" t="s">
        <v>19</v>
      </c>
      <c r="R4258" s="205"/>
      <c r="S4258" s="189" t="s">
        <v>25387</v>
      </c>
      <c r="T4258" s="114"/>
      <c r="U4258" s="21"/>
      <c r="V4258" s="115">
        <v>46014</v>
      </c>
      <c r="W4258" s="116">
        <v>1923</v>
      </c>
      <c r="X4258" s="220">
        <v>700000</v>
      </c>
      <c r="Y4258" s="220">
        <f>X4258*0.1</f>
        <v>70000</v>
      </c>
      <c r="Z4258" s="220">
        <v>7950</v>
      </c>
      <c r="AA4258" s="220">
        <f>SUM(X4258:Z4258)</f>
        <v>777950</v>
      </c>
      <c r="AB4258" s="222">
        <v>46020</v>
      </c>
    </row>
    <row r="4259" spans="1:28" ht="17.100000000000001" customHeight="1" thickBot="1">
      <c r="A4259" s="227"/>
      <c r="B4259" s="27" t="s">
        <v>2029</v>
      </c>
      <c r="C4259" s="27">
        <v>125</v>
      </c>
      <c r="D4259" s="14" t="s">
        <v>3792</v>
      </c>
      <c r="E4259" s="229"/>
      <c r="F4259" s="117" t="s">
        <v>12683</v>
      </c>
      <c r="G4259" s="26">
        <v>32431</v>
      </c>
      <c r="H4259" s="231"/>
      <c r="I4259" s="221"/>
      <c r="J4259" s="221"/>
      <c r="K4259" s="221"/>
      <c r="L4259" s="221"/>
      <c r="M4259" s="221"/>
      <c r="N4259" s="221"/>
      <c r="O4259" s="225"/>
      <c r="P4259" s="118" t="s">
        <v>2446</v>
      </c>
      <c r="Q4259" s="16" t="s">
        <v>20</v>
      </c>
      <c r="R4259" s="17" t="s">
        <v>1769</v>
      </c>
      <c r="S4259" s="121" t="s">
        <v>8880</v>
      </c>
      <c r="T4259" s="122"/>
      <c r="U4259" s="22"/>
      <c r="V4259" s="123" t="s">
        <v>2103</v>
      </c>
      <c r="W4259" s="122">
        <v>3105</v>
      </c>
      <c r="X4259" s="221"/>
      <c r="Y4259" s="221"/>
      <c r="Z4259" s="221"/>
      <c r="AA4259" s="221"/>
      <c r="AB4259" s="223"/>
    </row>
    <row r="4260" spans="1:28" ht="17.100000000000001" customHeight="1" thickTop="1">
      <c r="A4260" s="226" t="s">
        <v>12673</v>
      </c>
      <c r="B4260" s="28">
        <v>46000</v>
      </c>
      <c r="C4260" s="25">
        <v>969</v>
      </c>
      <c r="D4260" s="13" t="s">
        <v>2790</v>
      </c>
      <c r="E4260" s="228"/>
      <c r="F4260" s="109" t="s">
        <v>5101</v>
      </c>
      <c r="G4260" s="24"/>
      <c r="H4260" s="230">
        <v>4</v>
      </c>
      <c r="I4260" s="220">
        <v>778000</v>
      </c>
      <c r="J4260" s="220">
        <f>I4260*0.1</f>
        <v>77800</v>
      </c>
      <c r="K4260" s="220">
        <v>0</v>
      </c>
      <c r="L4260" s="220">
        <v>7200</v>
      </c>
      <c r="M4260" s="220">
        <v>22000</v>
      </c>
      <c r="N4260" s="220">
        <f>SUM(I4260:M4261)</f>
        <v>885000</v>
      </c>
      <c r="O4260" s="224"/>
      <c r="P4260" s="110" t="s">
        <v>13363</v>
      </c>
      <c r="Q4260" s="15" t="s">
        <v>19</v>
      </c>
      <c r="R4260" s="205"/>
      <c r="S4260" s="189" t="s">
        <v>758</v>
      </c>
      <c r="T4260" s="114"/>
      <c r="U4260" s="21"/>
      <c r="V4260" s="115">
        <v>46007</v>
      </c>
      <c r="W4260" s="116">
        <v>1922</v>
      </c>
      <c r="X4260" s="220">
        <v>819000</v>
      </c>
      <c r="Y4260" s="220">
        <v>81900</v>
      </c>
      <c r="Z4260" s="220">
        <v>7200</v>
      </c>
      <c r="AA4260" s="220">
        <f>SUM(X4260:Z4260)</f>
        <v>908100</v>
      </c>
      <c r="AB4260" s="222"/>
    </row>
    <row r="4261" spans="1:28" ht="17.100000000000001" customHeight="1" thickBot="1">
      <c r="A4261" s="227"/>
      <c r="B4261" s="27" t="s">
        <v>2029</v>
      </c>
      <c r="C4261" s="27">
        <v>156</v>
      </c>
      <c r="D4261" s="14" t="s">
        <v>273</v>
      </c>
      <c r="E4261" s="229"/>
      <c r="F4261" s="117" t="s">
        <v>12684</v>
      </c>
      <c r="G4261" s="26">
        <v>8114</v>
      </c>
      <c r="H4261" s="231"/>
      <c r="I4261" s="221"/>
      <c r="J4261" s="221"/>
      <c r="K4261" s="221"/>
      <c r="L4261" s="221"/>
      <c r="M4261" s="221"/>
      <c r="N4261" s="221"/>
      <c r="O4261" s="225"/>
      <c r="P4261" s="118" t="s">
        <v>2446</v>
      </c>
      <c r="Q4261" s="16" t="s">
        <v>20</v>
      </c>
      <c r="R4261" s="17" t="s">
        <v>1769</v>
      </c>
      <c r="S4261" s="121" t="s">
        <v>1661</v>
      </c>
      <c r="T4261" s="122"/>
      <c r="U4261" s="22"/>
      <c r="V4261" s="123" t="s">
        <v>2103</v>
      </c>
      <c r="W4261" s="122">
        <v>3337</v>
      </c>
      <c r="X4261" s="221"/>
      <c r="Y4261" s="221"/>
      <c r="Z4261" s="221"/>
      <c r="AA4261" s="221"/>
      <c r="AB4261" s="223"/>
    </row>
    <row r="4262" spans="1:28" ht="17.100000000000001" customHeight="1" thickTop="1">
      <c r="A4262" s="226" t="s">
        <v>12674</v>
      </c>
      <c r="B4262" s="28">
        <v>46000</v>
      </c>
      <c r="C4262" s="25">
        <v>969</v>
      </c>
      <c r="D4262" s="13" t="s">
        <v>1909</v>
      </c>
      <c r="E4262" s="228"/>
      <c r="F4262" s="109" t="s">
        <v>2673</v>
      </c>
      <c r="G4262" s="24"/>
      <c r="H4262" s="230">
        <v>4</v>
      </c>
      <c r="I4262" s="220">
        <v>1098000</v>
      </c>
      <c r="J4262" s="220">
        <f>I4262*0.1</f>
        <v>109800</v>
      </c>
      <c r="K4262" s="220">
        <v>0</v>
      </c>
      <c r="L4262" s="220">
        <v>11100</v>
      </c>
      <c r="M4262" s="220">
        <v>22000</v>
      </c>
      <c r="N4262" s="220">
        <f>SUM(I4262:M4263)</f>
        <v>1240900</v>
      </c>
      <c r="O4262" s="224"/>
      <c r="P4262" s="110" t="s">
        <v>13469</v>
      </c>
      <c r="Q4262" s="15" t="s">
        <v>19</v>
      </c>
      <c r="R4262" s="205"/>
      <c r="S4262" s="189" t="s">
        <v>758</v>
      </c>
      <c r="T4262" s="114"/>
      <c r="U4262" s="21"/>
      <c r="V4262" s="115">
        <v>46035</v>
      </c>
      <c r="W4262" s="116">
        <v>1924</v>
      </c>
      <c r="X4262" s="220">
        <v>1179000</v>
      </c>
      <c r="Y4262" s="220">
        <f>X4262*0.1</f>
        <v>117900</v>
      </c>
      <c r="Z4262" s="220">
        <v>11100</v>
      </c>
      <c r="AA4262" s="220">
        <f>SUM(X4262:Z4262)</f>
        <v>1308000</v>
      </c>
      <c r="AB4262" s="222"/>
    </row>
    <row r="4263" spans="1:28" ht="17.100000000000001" customHeight="1" thickBot="1">
      <c r="A4263" s="227"/>
      <c r="B4263" s="27" t="s">
        <v>2029</v>
      </c>
      <c r="C4263" s="27">
        <v>243</v>
      </c>
      <c r="D4263" s="14" t="s">
        <v>2559</v>
      </c>
      <c r="E4263" s="229"/>
      <c r="F4263" s="117" t="s">
        <v>12685</v>
      </c>
      <c r="G4263" s="26">
        <v>34181</v>
      </c>
      <c r="H4263" s="231"/>
      <c r="I4263" s="221"/>
      <c r="J4263" s="221"/>
      <c r="K4263" s="221"/>
      <c r="L4263" s="221"/>
      <c r="M4263" s="221"/>
      <c r="N4263" s="221"/>
      <c r="O4263" s="225"/>
      <c r="P4263" s="118" t="s">
        <v>2446</v>
      </c>
      <c r="Q4263" s="16" t="s">
        <v>20</v>
      </c>
      <c r="R4263" s="17" t="s">
        <v>1769</v>
      </c>
      <c r="S4263" s="121" t="s">
        <v>8880</v>
      </c>
      <c r="T4263" s="122"/>
      <c r="U4263" s="22"/>
      <c r="V4263" s="123" t="s">
        <v>2103</v>
      </c>
      <c r="W4263" s="122">
        <v>3065</v>
      </c>
      <c r="X4263" s="221"/>
      <c r="Y4263" s="221"/>
      <c r="Z4263" s="221"/>
      <c r="AA4263" s="221"/>
      <c r="AB4263" s="223"/>
    </row>
    <row r="4264" spans="1:28" ht="17.100000000000001" customHeight="1" thickTop="1">
      <c r="A4264" s="226" t="s">
        <v>12675</v>
      </c>
      <c r="B4264" s="28">
        <v>46001</v>
      </c>
      <c r="C4264" s="25">
        <v>1310</v>
      </c>
      <c r="D4264" s="13" t="s">
        <v>1772</v>
      </c>
      <c r="E4264" s="228"/>
      <c r="F4264" s="109" t="s">
        <v>1916</v>
      </c>
      <c r="G4264" s="24" t="s">
        <v>6947</v>
      </c>
      <c r="H4264" s="230">
        <v>4.5</v>
      </c>
      <c r="I4264" s="220">
        <v>2061000</v>
      </c>
      <c r="J4264" s="220">
        <f>I4264*0.1</f>
        <v>206100</v>
      </c>
      <c r="K4264" s="220">
        <f>7600+760</f>
        <v>8360</v>
      </c>
      <c r="L4264" s="220">
        <v>17600</v>
      </c>
      <c r="M4264" s="220">
        <v>13200</v>
      </c>
      <c r="N4264" s="220">
        <f>SUM(I4264:M4265)</f>
        <v>2306260</v>
      </c>
      <c r="O4264" s="224"/>
      <c r="P4264" s="110" t="s">
        <v>13250</v>
      </c>
      <c r="Q4264" s="15" t="s">
        <v>19</v>
      </c>
      <c r="R4264" s="205"/>
      <c r="S4264" s="189" t="s">
        <v>1271</v>
      </c>
      <c r="T4264" s="114"/>
      <c r="U4264" s="21"/>
      <c r="V4264" s="115">
        <v>46004</v>
      </c>
      <c r="W4264" s="116">
        <v>1280</v>
      </c>
      <c r="X4264" s="220">
        <v>2295000</v>
      </c>
      <c r="Y4264" s="220">
        <f>X4264*0.1</f>
        <v>229500</v>
      </c>
      <c r="Z4264" s="220">
        <v>17600</v>
      </c>
      <c r="AA4264" s="220">
        <f>SUM(X4264:Z4264)</f>
        <v>2542100</v>
      </c>
      <c r="AB4264" s="222">
        <v>46009</v>
      </c>
    </row>
    <row r="4265" spans="1:28" ht="17.100000000000001" customHeight="1" thickBot="1">
      <c r="A4265" s="227"/>
      <c r="B4265" s="27" t="s">
        <v>5197</v>
      </c>
      <c r="C4265" s="27">
        <v>6011</v>
      </c>
      <c r="D4265" s="14" t="s">
        <v>273</v>
      </c>
      <c r="E4265" s="229"/>
      <c r="F4265" s="117" t="s">
        <v>12686</v>
      </c>
      <c r="G4265" s="26">
        <v>21444</v>
      </c>
      <c r="H4265" s="231"/>
      <c r="I4265" s="221"/>
      <c r="J4265" s="221"/>
      <c r="K4265" s="221"/>
      <c r="L4265" s="221"/>
      <c r="M4265" s="221"/>
      <c r="N4265" s="221"/>
      <c r="O4265" s="225"/>
      <c r="P4265" s="118" t="s">
        <v>13251</v>
      </c>
      <c r="Q4265" s="16" t="s">
        <v>20</v>
      </c>
      <c r="R4265" s="17" t="s">
        <v>1745</v>
      </c>
      <c r="S4265" s="121" t="s">
        <v>1731</v>
      </c>
      <c r="T4265" s="122"/>
      <c r="U4265" s="22"/>
      <c r="V4265" s="123" t="s">
        <v>2472</v>
      </c>
      <c r="W4265" s="122">
        <v>80372</v>
      </c>
      <c r="X4265" s="221"/>
      <c r="Y4265" s="221"/>
      <c r="Z4265" s="221"/>
      <c r="AA4265" s="221"/>
      <c r="AB4265" s="223"/>
    </row>
    <row r="4266" spans="1:28" ht="17.100000000000001" customHeight="1" thickTop="1">
      <c r="A4266" s="226" t="s">
        <v>12676</v>
      </c>
      <c r="B4266" s="28">
        <v>46001</v>
      </c>
      <c r="C4266" s="25">
        <v>2334</v>
      </c>
      <c r="D4266" s="13" t="s">
        <v>3332</v>
      </c>
      <c r="E4266" s="228"/>
      <c r="F4266" s="109" t="s">
        <v>9664</v>
      </c>
      <c r="G4266" s="24"/>
      <c r="H4266" s="230">
        <v>4.5</v>
      </c>
      <c r="I4266" s="220">
        <v>645000</v>
      </c>
      <c r="J4266" s="220">
        <f>I4266*0.1</f>
        <v>64500</v>
      </c>
      <c r="K4266" s="220">
        <v>0</v>
      </c>
      <c r="L4266" s="220">
        <v>7510</v>
      </c>
      <c r="M4266" s="220">
        <v>16500</v>
      </c>
      <c r="N4266" s="220">
        <f>SUM(I4266:M4267)</f>
        <v>733510</v>
      </c>
      <c r="O4266" s="224"/>
      <c r="P4266" s="110" t="s">
        <v>13479</v>
      </c>
      <c r="Q4266" s="15" t="s">
        <v>19</v>
      </c>
      <c r="R4266" s="205"/>
      <c r="S4266" s="189" t="s">
        <v>1113</v>
      </c>
      <c r="T4266" s="114"/>
      <c r="U4266" s="21"/>
      <c r="V4266" s="115">
        <v>46011</v>
      </c>
      <c r="W4266" s="116">
        <v>1281</v>
      </c>
      <c r="X4266" s="220">
        <v>748000</v>
      </c>
      <c r="Y4266" s="220">
        <f>X4266*0.1</f>
        <v>74800</v>
      </c>
      <c r="Z4266" s="220">
        <v>7510</v>
      </c>
      <c r="AA4266" s="220">
        <f>SUM(X4266:Z4266)</f>
        <v>830310</v>
      </c>
      <c r="AB4266" s="222">
        <v>46028</v>
      </c>
    </row>
    <row r="4267" spans="1:28" ht="17.100000000000001" customHeight="1" thickBot="1">
      <c r="A4267" s="227"/>
      <c r="B4267" s="27" t="s">
        <v>3367</v>
      </c>
      <c r="C4267" s="27">
        <v>20222</v>
      </c>
      <c r="D4267" s="14" t="s">
        <v>1584</v>
      </c>
      <c r="E4267" s="229"/>
      <c r="F4267" s="117" t="s">
        <v>12687</v>
      </c>
      <c r="G4267" s="26">
        <v>45566</v>
      </c>
      <c r="H4267" s="231"/>
      <c r="I4267" s="221"/>
      <c r="J4267" s="221"/>
      <c r="K4267" s="221"/>
      <c r="L4267" s="221"/>
      <c r="M4267" s="221"/>
      <c r="N4267" s="221"/>
      <c r="O4267" s="225"/>
      <c r="P4267" s="118" t="s">
        <v>4314</v>
      </c>
      <c r="Q4267" s="16" t="s">
        <v>20</v>
      </c>
      <c r="R4267" s="17" t="s">
        <v>3420</v>
      </c>
      <c r="S4267" s="121" t="s">
        <v>13480</v>
      </c>
      <c r="T4267" s="122"/>
      <c r="U4267" s="22"/>
      <c r="V4267" s="123" t="s">
        <v>6641</v>
      </c>
      <c r="W4267" s="122">
        <v>60064</v>
      </c>
      <c r="X4267" s="221"/>
      <c r="Y4267" s="221"/>
      <c r="Z4267" s="221"/>
      <c r="AA4267" s="221"/>
      <c r="AB4267" s="223"/>
    </row>
    <row r="4268" spans="1:28" ht="17.100000000000001" customHeight="1" thickTop="1">
      <c r="A4268" s="226" t="s">
        <v>12677</v>
      </c>
      <c r="B4268" s="28">
        <v>46001</v>
      </c>
      <c r="C4268" s="25">
        <v>2334</v>
      </c>
      <c r="D4268" s="13" t="s">
        <v>3243</v>
      </c>
      <c r="E4268" s="228"/>
      <c r="F4268" s="109" t="s">
        <v>12689</v>
      </c>
      <c r="G4268" s="24" t="s">
        <v>2926</v>
      </c>
      <c r="H4268" s="230">
        <v>4</v>
      </c>
      <c r="I4268" s="220">
        <v>1380000</v>
      </c>
      <c r="J4268" s="220">
        <f>I4268*0.1</f>
        <v>138000</v>
      </c>
      <c r="K4268" s="220">
        <f>9800+980</f>
        <v>10780</v>
      </c>
      <c r="L4268" s="220">
        <v>12030</v>
      </c>
      <c r="M4268" s="220">
        <v>16500</v>
      </c>
      <c r="N4268" s="220">
        <f>SUM(I4268:M4269)</f>
        <v>1557310</v>
      </c>
      <c r="O4268" s="224"/>
      <c r="P4268" s="110" t="s">
        <v>12902</v>
      </c>
      <c r="Q4268" s="15" t="s">
        <v>19</v>
      </c>
      <c r="R4268" s="205"/>
      <c r="S4268" s="189" t="s">
        <v>25645</v>
      </c>
      <c r="T4268" s="114"/>
      <c r="U4268" s="21"/>
      <c r="V4268" s="115">
        <v>46004</v>
      </c>
      <c r="W4268" s="116">
        <v>1280</v>
      </c>
      <c r="X4268" s="220">
        <v>1505000</v>
      </c>
      <c r="Y4268" s="220">
        <f>X4268*0.1</f>
        <v>150500</v>
      </c>
      <c r="Z4268" s="220">
        <v>12030</v>
      </c>
      <c r="AA4268" s="220">
        <f>SUM(X4268:Z4268)</f>
        <v>1667530</v>
      </c>
      <c r="AB4268" s="222">
        <v>46008</v>
      </c>
    </row>
    <row r="4269" spans="1:28" ht="17.100000000000001" customHeight="1" thickBot="1">
      <c r="A4269" s="227"/>
      <c r="B4269" s="27" t="s">
        <v>3367</v>
      </c>
      <c r="C4269" s="27">
        <v>60103</v>
      </c>
      <c r="D4269" s="14" t="s">
        <v>2559</v>
      </c>
      <c r="E4269" s="229"/>
      <c r="F4269" s="117" t="s">
        <v>12688</v>
      </c>
      <c r="G4269" s="26">
        <v>33207</v>
      </c>
      <c r="H4269" s="231"/>
      <c r="I4269" s="221"/>
      <c r="J4269" s="221"/>
      <c r="K4269" s="221"/>
      <c r="L4269" s="221"/>
      <c r="M4269" s="221"/>
      <c r="N4269" s="221"/>
      <c r="O4269" s="225"/>
      <c r="P4269" s="118" t="s">
        <v>12903</v>
      </c>
      <c r="Q4269" s="16" t="s">
        <v>20</v>
      </c>
      <c r="R4269" s="17" t="s">
        <v>12777</v>
      </c>
      <c r="S4269" s="121" t="s">
        <v>12904</v>
      </c>
      <c r="T4269" s="122"/>
      <c r="U4269" s="22"/>
      <c r="V4269" s="123" t="s">
        <v>2472</v>
      </c>
      <c r="W4269" s="122">
        <v>139</v>
      </c>
      <c r="X4269" s="221"/>
      <c r="Y4269" s="221"/>
      <c r="Z4269" s="221"/>
      <c r="AA4269" s="221"/>
      <c r="AB4269" s="223"/>
    </row>
    <row r="4270" spans="1:28" ht="17.100000000000001" customHeight="1" thickTop="1">
      <c r="A4270" s="226" t="s">
        <v>12678</v>
      </c>
      <c r="B4270" s="28">
        <v>46001</v>
      </c>
      <c r="C4270" s="25">
        <v>2334</v>
      </c>
      <c r="D4270" s="13" t="s">
        <v>1578</v>
      </c>
      <c r="E4270" s="228"/>
      <c r="F4270" s="109" t="s">
        <v>12690</v>
      </c>
      <c r="G4270" s="24" t="s">
        <v>6678</v>
      </c>
      <c r="H4270" s="230">
        <v>4.5</v>
      </c>
      <c r="I4270" s="220">
        <v>1105000</v>
      </c>
      <c r="J4270" s="220">
        <f>I4270*0.1</f>
        <v>110500</v>
      </c>
      <c r="K4270" s="220">
        <f>8600+860</f>
        <v>9460</v>
      </c>
      <c r="L4270" s="220">
        <v>20340</v>
      </c>
      <c r="M4270" s="220">
        <v>16500</v>
      </c>
      <c r="N4270" s="220">
        <f>SUM(I4270:M4271)</f>
        <v>1261800</v>
      </c>
      <c r="O4270" s="224"/>
      <c r="P4270" s="110" t="s">
        <v>13033</v>
      </c>
      <c r="Q4270" s="15" t="s">
        <v>19</v>
      </c>
      <c r="R4270" s="205"/>
      <c r="S4270" s="189" t="s">
        <v>25392</v>
      </c>
      <c r="T4270" s="114"/>
      <c r="U4270" s="21"/>
      <c r="V4270" s="115">
        <v>46011</v>
      </c>
      <c r="W4270" s="116">
        <v>1281</v>
      </c>
      <c r="X4270" s="220">
        <v>1235000</v>
      </c>
      <c r="Y4270" s="220">
        <f>X4270*0.1</f>
        <v>123500</v>
      </c>
      <c r="Z4270" s="220">
        <v>20340</v>
      </c>
      <c r="AA4270" s="220">
        <f>SUM(X4270:Z4270)</f>
        <v>1378840</v>
      </c>
      <c r="AB4270" s="222">
        <v>46014</v>
      </c>
    </row>
    <row r="4271" spans="1:28" ht="17.100000000000001" customHeight="1" thickBot="1">
      <c r="A4271" s="227"/>
      <c r="B4271" s="27" t="s">
        <v>3367</v>
      </c>
      <c r="C4271" s="27">
        <v>60173</v>
      </c>
      <c r="D4271" s="14" t="s">
        <v>1584</v>
      </c>
      <c r="E4271" s="229"/>
      <c r="F4271" s="117" t="s">
        <v>12691</v>
      </c>
      <c r="G4271" s="26">
        <v>44444</v>
      </c>
      <c r="H4271" s="231"/>
      <c r="I4271" s="221"/>
      <c r="J4271" s="221"/>
      <c r="K4271" s="221"/>
      <c r="L4271" s="221"/>
      <c r="M4271" s="221"/>
      <c r="N4271" s="221"/>
      <c r="O4271" s="225"/>
      <c r="P4271" s="118" t="s">
        <v>13034</v>
      </c>
      <c r="Q4271" s="16" t="s">
        <v>20</v>
      </c>
      <c r="R4271" s="17" t="s">
        <v>2235</v>
      </c>
      <c r="S4271" s="121" t="s">
        <v>13035</v>
      </c>
      <c r="T4271" s="122"/>
      <c r="U4271" s="22"/>
      <c r="V4271" s="123" t="s">
        <v>2472</v>
      </c>
      <c r="W4271" s="122">
        <v>80010</v>
      </c>
      <c r="X4271" s="221"/>
      <c r="Y4271" s="221"/>
      <c r="Z4271" s="221"/>
      <c r="AA4271" s="221"/>
      <c r="AB4271" s="223"/>
    </row>
    <row r="4272" spans="1:28" ht="17.100000000000001" customHeight="1" thickTop="1">
      <c r="A4272" s="226" t="s">
        <v>12692</v>
      </c>
      <c r="B4272" s="28">
        <v>46001</v>
      </c>
      <c r="C4272" s="25">
        <v>1817</v>
      </c>
      <c r="D4272" s="13" t="s">
        <v>2065</v>
      </c>
      <c r="E4272" s="228"/>
      <c r="F4272" s="109" t="s">
        <v>2556</v>
      </c>
      <c r="G4272" s="24"/>
      <c r="H4272" s="230">
        <v>4.5</v>
      </c>
      <c r="I4272" s="220">
        <v>1248000</v>
      </c>
      <c r="J4272" s="220">
        <f>I4272*0.1</f>
        <v>124800</v>
      </c>
      <c r="K4272" s="220">
        <v>0</v>
      </c>
      <c r="L4272" s="220">
        <v>6850</v>
      </c>
      <c r="M4272" s="220">
        <v>18150</v>
      </c>
      <c r="N4272" s="220">
        <f>SUM(I4272:M4273)</f>
        <v>1397800</v>
      </c>
      <c r="O4272" s="224"/>
      <c r="P4272" s="110" t="s">
        <v>13465</v>
      </c>
      <c r="Q4272" s="15" t="s">
        <v>19</v>
      </c>
      <c r="R4272" s="205"/>
      <c r="S4272" s="189" t="s">
        <v>1361</v>
      </c>
      <c r="T4272" s="114"/>
      <c r="U4272" s="21"/>
      <c r="V4272" s="115">
        <v>46018</v>
      </c>
      <c r="W4272" s="116">
        <v>1282</v>
      </c>
      <c r="X4272" s="220">
        <v>1390000</v>
      </c>
      <c r="Y4272" s="220">
        <f>X4272*0.1</f>
        <v>139000</v>
      </c>
      <c r="Z4272" s="220">
        <v>6850</v>
      </c>
      <c r="AA4272" s="220">
        <f>SUM(X4272:Z4272)</f>
        <v>1535850</v>
      </c>
      <c r="AB4272" s="222">
        <v>46028</v>
      </c>
    </row>
    <row r="4273" spans="1:28" ht="17.100000000000001" customHeight="1" thickBot="1">
      <c r="A4273" s="227"/>
      <c r="B4273" s="27" t="s">
        <v>2519</v>
      </c>
      <c r="C4273" s="27">
        <v>3055</v>
      </c>
      <c r="D4273" s="14" t="s">
        <v>2559</v>
      </c>
      <c r="E4273" s="229"/>
      <c r="F4273" s="117" t="s">
        <v>12696</v>
      </c>
      <c r="G4273" s="26">
        <v>39486</v>
      </c>
      <c r="H4273" s="231"/>
      <c r="I4273" s="221"/>
      <c r="J4273" s="221"/>
      <c r="K4273" s="221"/>
      <c r="L4273" s="221"/>
      <c r="M4273" s="221"/>
      <c r="N4273" s="221"/>
      <c r="O4273" s="225"/>
      <c r="P4273" s="118" t="s">
        <v>4425</v>
      </c>
      <c r="Q4273" s="16" t="s">
        <v>20</v>
      </c>
      <c r="R4273" s="17" t="s">
        <v>1769</v>
      </c>
      <c r="S4273" s="121" t="s">
        <v>3552</v>
      </c>
      <c r="T4273" s="122"/>
      <c r="U4273" s="22"/>
      <c r="V4273" s="123" t="s">
        <v>2472</v>
      </c>
      <c r="W4273" s="122">
        <v>60043</v>
      </c>
      <c r="X4273" s="221"/>
      <c r="Y4273" s="221"/>
      <c r="Z4273" s="221"/>
      <c r="AA4273" s="221"/>
      <c r="AB4273" s="223"/>
    </row>
    <row r="4274" spans="1:28" ht="17.100000000000001" customHeight="1" thickTop="1">
      <c r="A4274" s="226" t="s">
        <v>12693</v>
      </c>
      <c r="B4274" s="28">
        <v>46001</v>
      </c>
      <c r="C4274" s="25">
        <v>1817</v>
      </c>
      <c r="D4274" s="13" t="s">
        <v>1762</v>
      </c>
      <c r="E4274" s="228"/>
      <c r="F4274" s="109" t="s">
        <v>12700</v>
      </c>
      <c r="G4274" s="24"/>
      <c r="H4274" s="230">
        <v>4.5</v>
      </c>
      <c r="I4274" s="220">
        <v>634000</v>
      </c>
      <c r="J4274" s="220">
        <f>I4274*0.1</f>
        <v>63400</v>
      </c>
      <c r="K4274" s="220">
        <v>0</v>
      </c>
      <c r="L4274" s="220">
        <v>9790</v>
      </c>
      <c r="M4274" s="220">
        <v>18150</v>
      </c>
      <c r="N4274" s="220">
        <f>SUM(I4274:M4275)</f>
        <v>725340</v>
      </c>
      <c r="O4274" s="224"/>
      <c r="P4274" s="110" t="s">
        <v>13466</v>
      </c>
      <c r="Q4274" s="15" t="s">
        <v>19</v>
      </c>
      <c r="R4274" s="205"/>
      <c r="S4274" s="189"/>
      <c r="T4274" s="114"/>
      <c r="U4274" s="21"/>
      <c r="V4274" s="115">
        <v>46011</v>
      </c>
      <c r="W4274" s="116">
        <v>1281</v>
      </c>
      <c r="X4274" s="220">
        <v>680000</v>
      </c>
      <c r="Y4274" s="220">
        <f>X4274*0.1</f>
        <v>68000</v>
      </c>
      <c r="Z4274" s="220">
        <v>9790</v>
      </c>
      <c r="AA4274" s="220">
        <f>SUM(X4274:Z4274)</f>
        <v>757790</v>
      </c>
      <c r="AB4274" s="222">
        <v>46014</v>
      </c>
    </row>
    <row r="4275" spans="1:28" ht="17.100000000000001" customHeight="1" thickBot="1">
      <c r="A4275" s="227"/>
      <c r="B4275" s="27" t="s">
        <v>2519</v>
      </c>
      <c r="C4275" s="27">
        <v>3382</v>
      </c>
      <c r="D4275" s="14" t="s">
        <v>273</v>
      </c>
      <c r="E4275" s="229"/>
      <c r="F4275" s="117" t="s">
        <v>12697</v>
      </c>
      <c r="G4275" s="26">
        <v>67709</v>
      </c>
      <c r="H4275" s="231"/>
      <c r="I4275" s="221"/>
      <c r="J4275" s="221"/>
      <c r="K4275" s="221"/>
      <c r="L4275" s="221"/>
      <c r="M4275" s="221"/>
      <c r="N4275" s="221"/>
      <c r="O4275" s="225"/>
      <c r="P4275" s="118" t="s">
        <v>1972</v>
      </c>
      <c r="Q4275" s="16" t="s">
        <v>20</v>
      </c>
      <c r="R4275" s="17" t="s">
        <v>1769</v>
      </c>
      <c r="S4275" s="121" t="s">
        <v>1731</v>
      </c>
      <c r="T4275" s="122"/>
      <c r="U4275" s="22"/>
      <c r="V4275" s="123" t="s">
        <v>2472</v>
      </c>
      <c r="W4275" s="122">
        <v>60029</v>
      </c>
      <c r="X4275" s="221"/>
      <c r="Y4275" s="221"/>
      <c r="Z4275" s="221"/>
      <c r="AA4275" s="221"/>
      <c r="AB4275" s="223"/>
    </row>
    <row r="4276" spans="1:28" ht="17.100000000000001" customHeight="1" thickTop="1">
      <c r="A4276" s="226" t="s">
        <v>12694</v>
      </c>
      <c r="B4276" s="28">
        <v>46001</v>
      </c>
      <c r="C4276" s="25">
        <v>1817</v>
      </c>
      <c r="D4276" s="13" t="s">
        <v>2324</v>
      </c>
      <c r="E4276" s="228"/>
      <c r="F4276" s="109" t="s">
        <v>12701</v>
      </c>
      <c r="G4276" s="24"/>
      <c r="H4276" s="230">
        <v>4.5</v>
      </c>
      <c r="I4276" s="220">
        <v>1005000</v>
      </c>
      <c r="J4276" s="220">
        <f>I4276*0.1</f>
        <v>100500</v>
      </c>
      <c r="K4276" s="220">
        <v>0</v>
      </c>
      <c r="L4276" s="220">
        <v>8190</v>
      </c>
      <c r="M4276" s="220">
        <v>18150</v>
      </c>
      <c r="N4276" s="220">
        <f>SUM(I4276:M4277)</f>
        <v>1131840</v>
      </c>
      <c r="O4276" s="224"/>
      <c r="P4276" s="110" t="s">
        <v>13108</v>
      </c>
      <c r="Q4276" s="15" t="s">
        <v>19</v>
      </c>
      <c r="R4276" s="205"/>
      <c r="S4276" s="189" t="s">
        <v>758</v>
      </c>
      <c r="T4276" s="114"/>
      <c r="U4276" s="21"/>
      <c r="V4276" s="115">
        <v>46011</v>
      </c>
      <c r="W4276" s="116">
        <v>1281</v>
      </c>
      <c r="X4276" s="220">
        <v>1100000</v>
      </c>
      <c r="Y4276" s="220">
        <f>X4276*0.1</f>
        <v>110000</v>
      </c>
      <c r="Z4276" s="220">
        <v>8190</v>
      </c>
      <c r="AA4276" s="220">
        <f>SUM(X4276:Z4276)</f>
        <v>1218190</v>
      </c>
      <c r="AB4276" s="222">
        <v>46014</v>
      </c>
    </row>
    <row r="4277" spans="1:28" ht="17.100000000000001" customHeight="1" thickBot="1">
      <c r="A4277" s="227"/>
      <c r="B4277" s="27" t="s">
        <v>2519</v>
      </c>
      <c r="C4277" s="27">
        <v>36131</v>
      </c>
      <c r="D4277" s="14" t="s">
        <v>2559</v>
      </c>
      <c r="E4277" s="229"/>
      <c r="F4277" s="117" t="s">
        <v>12698</v>
      </c>
      <c r="G4277" s="26">
        <v>27635</v>
      </c>
      <c r="H4277" s="231"/>
      <c r="I4277" s="221"/>
      <c r="J4277" s="221"/>
      <c r="K4277" s="221"/>
      <c r="L4277" s="221"/>
      <c r="M4277" s="221"/>
      <c r="N4277" s="221"/>
      <c r="O4277" s="225"/>
      <c r="P4277" s="118" t="s">
        <v>3400</v>
      </c>
      <c r="Q4277" s="16" t="s">
        <v>20</v>
      </c>
      <c r="R4277" s="17" t="s">
        <v>3390</v>
      </c>
      <c r="S4277" s="121" t="s">
        <v>13168</v>
      </c>
      <c r="T4277" s="122"/>
      <c r="U4277" s="22"/>
      <c r="V4277" s="123" t="s">
        <v>2472</v>
      </c>
      <c r="W4277" s="122">
        <v>55017</v>
      </c>
      <c r="X4277" s="221"/>
      <c r="Y4277" s="221"/>
      <c r="Z4277" s="221"/>
      <c r="AA4277" s="221"/>
      <c r="AB4277" s="223"/>
    </row>
    <row r="4278" spans="1:28" ht="17.100000000000001" customHeight="1" thickTop="1">
      <c r="A4278" s="226" t="s">
        <v>12695</v>
      </c>
      <c r="B4278" s="28">
        <v>46001</v>
      </c>
      <c r="C4278" s="25">
        <v>1817</v>
      </c>
      <c r="D4278" s="13" t="s">
        <v>1754</v>
      </c>
      <c r="E4278" s="228"/>
      <c r="F4278" s="109" t="s">
        <v>11311</v>
      </c>
      <c r="G4278" s="24"/>
      <c r="H4278" s="230">
        <v>4</v>
      </c>
      <c r="I4278" s="220">
        <v>850000</v>
      </c>
      <c r="J4278" s="220">
        <f>I4278*0.1</f>
        <v>85000</v>
      </c>
      <c r="K4278" s="220">
        <v>0</v>
      </c>
      <c r="L4278" s="220">
        <v>22520</v>
      </c>
      <c r="M4278" s="220">
        <v>18150</v>
      </c>
      <c r="N4278" s="220">
        <f>SUM(I4278:M4279)</f>
        <v>975670</v>
      </c>
      <c r="O4278" s="224"/>
      <c r="P4278" s="110" t="s">
        <v>13099</v>
      </c>
      <c r="Q4278" s="15" t="s">
        <v>19</v>
      </c>
      <c r="R4278" s="205"/>
      <c r="S4278" s="189"/>
      <c r="T4278" s="114"/>
      <c r="U4278" s="21"/>
      <c r="V4278" s="115">
        <v>46004</v>
      </c>
      <c r="W4278" s="116">
        <v>1280</v>
      </c>
      <c r="X4278" s="220">
        <v>1070000</v>
      </c>
      <c r="Y4278" s="220">
        <f>X4278*0.1</f>
        <v>107000</v>
      </c>
      <c r="Z4278" s="220">
        <v>22520</v>
      </c>
      <c r="AA4278" s="220">
        <f>SUM(X4278:Z4278)</f>
        <v>1199520</v>
      </c>
      <c r="AB4278" s="222">
        <v>46008</v>
      </c>
    </row>
    <row r="4279" spans="1:28" ht="17.100000000000001" customHeight="1" thickBot="1">
      <c r="A4279" s="227"/>
      <c r="B4279" s="27" t="s">
        <v>2519</v>
      </c>
      <c r="C4279" s="27">
        <v>38012</v>
      </c>
      <c r="D4279" s="14" t="s">
        <v>2559</v>
      </c>
      <c r="E4279" s="229"/>
      <c r="F4279" s="117" t="s">
        <v>12699</v>
      </c>
      <c r="G4279" s="26">
        <v>44778</v>
      </c>
      <c r="H4279" s="231"/>
      <c r="I4279" s="221"/>
      <c r="J4279" s="221"/>
      <c r="K4279" s="221"/>
      <c r="L4279" s="221"/>
      <c r="M4279" s="221"/>
      <c r="N4279" s="221"/>
      <c r="O4279" s="225"/>
      <c r="P4279" s="118" t="s">
        <v>3400</v>
      </c>
      <c r="Q4279" s="16" t="s">
        <v>20</v>
      </c>
      <c r="R4279" s="17" t="s">
        <v>3390</v>
      </c>
      <c r="S4279" s="121" t="s">
        <v>1625</v>
      </c>
      <c r="T4279" s="122"/>
      <c r="U4279" s="22"/>
      <c r="V4279" s="123" t="s">
        <v>2472</v>
      </c>
      <c r="W4279" s="122">
        <v>80335</v>
      </c>
      <c r="X4279" s="221"/>
      <c r="Y4279" s="221"/>
      <c r="Z4279" s="221"/>
      <c r="AA4279" s="221"/>
      <c r="AB4279" s="223"/>
    </row>
    <row r="4280" spans="1:28" ht="17.100000000000001" customHeight="1" thickTop="1">
      <c r="A4280" s="226" t="s">
        <v>12826</v>
      </c>
      <c r="B4280" s="28">
        <v>46002</v>
      </c>
      <c r="C4280" s="25">
        <v>2225</v>
      </c>
      <c r="D4280" s="13" t="s">
        <v>2264</v>
      </c>
      <c r="E4280" s="228"/>
      <c r="F4280" s="109" t="s">
        <v>12702</v>
      </c>
      <c r="G4280" s="24"/>
      <c r="H4280" s="230">
        <v>4</v>
      </c>
      <c r="I4280" s="220">
        <v>1426000</v>
      </c>
      <c r="J4280" s="220">
        <f>I4280*0.1</f>
        <v>142600</v>
      </c>
      <c r="K4280" s="220">
        <v>0</v>
      </c>
      <c r="L4280" s="220">
        <v>17930</v>
      </c>
      <c r="M4280" s="220">
        <v>19250</v>
      </c>
      <c r="N4280" s="220">
        <f>SUM(I4280:M4281)</f>
        <v>1605780</v>
      </c>
      <c r="O4280" s="224"/>
      <c r="P4280" s="110" t="s">
        <v>13118</v>
      </c>
      <c r="Q4280" s="15" t="s">
        <v>19</v>
      </c>
      <c r="R4280" s="205"/>
      <c r="S4280" s="189" t="s">
        <v>758</v>
      </c>
      <c r="T4280" s="114"/>
      <c r="U4280" s="21"/>
      <c r="V4280" s="115">
        <v>46046</v>
      </c>
      <c r="W4280" s="116">
        <v>1285</v>
      </c>
      <c r="X4280" s="220">
        <v>1580000</v>
      </c>
      <c r="Y4280" s="220">
        <f>X4280*0.1</f>
        <v>158000</v>
      </c>
      <c r="Z4280" s="220">
        <v>17930</v>
      </c>
      <c r="AA4280" s="220">
        <f>SUM(X4280:Z4280)</f>
        <v>1755930</v>
      </c>
      <c r="AB4280" s="222">
        <v>46051</v>
      </c>
    </row>
    <row r="4281" spans="1:28" ht="17.100000000000001" customHeight="1" thickBot="1">
      <c r="A4281" s="227"/>
      <c r="B4281" s="27" t="s">
        <v>3549</v>
      </c>
      <c r="C4281" s="27">
        <v>81006</v>
      </c>
      <c r="D4281" s="14" t="s">
        <v>1568</v>
      </c>
      <c r="E4281" s="229"/>
      <c r="F4281" s="117" t="s">
        <v>12703</v>
      </c>
      <c r="G4281" s="26">
        <v>58841</v>
      </c>
      <c r="H4281" s="231"/>
      <c r="I4281" s="221"/>
      <c r="J4281" s="221"/>
      <c r="K4281" s="221"/>
      <c r="L4281" s="221"/>
      <c r="M4281" s="221"/>
      <c r="N4281" s="221"/>
      <c r="O4281" s="225"/>
      <c r="P4281" s="118" t="s">
        <v>13119</v>
      </c>
      <c r="Q4281" s="16" t="s">
        <v>20</v>
      </c>
      <c r="R4281" s="17" t="s">
        <v>3390</v>
      </c>
      <c r="S4281" s="121" t="s">
        <v>13553</v>
      </c>
      <c r="T4281" s="122"/>
      <c r="U4281" s="22"/>
      <c r="V4281" s="123" t="s">
        <v>6641</v>
      </c>
      <c r="W4281" s="122">
        <v>80091</v>
      </c>
      <c r="X4281" s="221"/>
      <c r="Y4281" s="221"/>
      <c r="Z4281" s="221"/>
      <c r="AA4281" s="221"/>
      <c r="AB4281" s="223"/>
    </row>
    <row r="4282" spans="1:28" ht="16.5" customHeight="1" thickTop="1">
      <c r="A4282" s="226" t="s">
        <v>12827</v>
      </c>
      <c r="B4282" s="28">
        <v>46002</v>
      </c>
      <c r="C4282" s="25">
        <v>1962</v>
      </c>
      <c r="D4282" s="13" t="s">
        <v>1908</v>
      </c>
      <c r="E4282" s="228"/>
      <c r="F4282" s="109" t="s">
        <v>4508</v>
      </c>
      <c r="G4282" s="24"/>
      <c r="H4282" s="230">
        <v>4</v>
      </c>
      <c r="I4282" s="220">
        <v>781000</v>
      </c>
      <c r="J4282" s="220">
        <f>I4282*0.1</f>
        <v>78100</v>
      </c>
      <c r="K4282" s="220">
        <v>0</v>
      </c>
      <c r="L4282" s="220">
        <v>9010</v>
      </c>
      <c r="M4282" s="220">
        <v>15950</v>
      </c>
      <c r="N4282" s="220">
        <f>SUM(I4282:M4283)</f>
        <v>884060</v>
      </c>
      <c r="O4282" s="224"/>
      <c r="P4282" s="110" t="s">
        <v>13257</v>
      </c>
      <c r="Q4282" s="15" t="s">
        <v>19</v>
      </c>
      <c r="R4282" s="205"/>
      <c r="S4282" s="189"/>
      <c r="T4282" s="114"/>
      <c r="U4282" s="21"/>
      <c r="V4282" s="115">
        <v>46018</v>
      </c>
      <c r="W4282" s="116">
        <v>1282</v>
      </c>
      <c r="X4282" s="220">
        <v>960000</v>
      </c>
      <c r="Y4282" s="220">
        <f>X4282*0.1</f>
        <v>96000</v>
      </c>
      <c r="Z4282" s="220">
        <v>9010</v>
      </c>
      <c r="AA4282" s="220">
        <f>SUM(X4282:Z4282)</f>
        <v>1065010</v>
      </c>
      <c r="AB4282" s="222">
        <v>46028</v>
      </c>
    </row>
    <row r="4283" spans="1:28" ht="17.100000000000001" customHeight="1" thickBot="1">
      <c r="A4283" s="227"/>
      <c r="B4283" s="27" t="s">
        <v>3730</v>
      </c>
      <c r="C4283" s="27">
        <v>3547</v>
      </c>
      <c r="D4283" s="14" t="s">
        <v>273</v>
      </c>
      <c r="E4283" s="229"/>
      <c r="F4283" s="117" t="s">
        <v>12704</v>
      </c>
      <c r="G4283" s="26">
        <v>83782</v>
      </c>
      <c r="H4283" s="231"/>
      <c r="I4283" s="221"/>
      <c r="J4283" s="221"/>
      <c r="K4283" s="221"/>
      <c r="L4283" s="221"/>
      <c r="M4283" s="221"/>
      <c r="N4283" s="221"/>
      <c r="O4283" s="225"/>
      <c r="P4283" s="118" t="s">
        <v>13258</v>
      </c>
      <c r="Q4283" s="16" t="s">
        <v>20</v>
      </c>
      <c r="R4283" s="17" t="s">
        <v>1745</v>
      </c>
      <c r="S4283" s="121"/>
      <c r="T4283" s="122"/>
      <c r="U4283" s="22"/>
      <c r="V4283" s="123" t="s">
        <v>2472</v>
      </c>
      <c r="W4283" s="122">
        <v>60173</v>
      </c>
      <c r="X4283" s="221"/>
      <c r="Y4283" s="221"/>
      <c r="Z4283" s="221"/>
      <c r="AA4283" s="221"/>
      <c r="AB4283" s="223"/>
    </row>
    <row r="4284" spans="1:28" ht="17.100000000000001" customHeight="1" thickTop="1">
      <c r="A4284" s="233" t="s">
        <v>12828</v>
      </c>
      <c r="B4284" s="28">
        <v>46002</v>
      </c>
      <c r="C4284" s="25">
        <v>1962</v>
      </c>
      <c r="D4284" s="13" t="s">
        <v>1837</v>
      </c>
      <c r="E4284" s="228"/>
      <c r="F4284" s="109" t="s">
        <v>4893</v>
      </c>
      <c r="G4284" s="24"/>
      <c r="H4284" s="230">
        <v>4.5</v>
      </c>
      <c r="I4284" s="220">
        <v>931000</v>
      </c>
      <c r="J4284" s="220">
        <f>I4284*0.1</f>
        <v>93100</v>
      </c>
      <c r="K4284" s="220">
        <v>0</v>
      </c>
      <c r="L4284" s="220">
        <v>7440</v>
      </c>
      <c r="M4284" s="220">
        <v>15950</v>
      </c>
      <c r="N4284" s="220">
        <f>SUM(I4284:M4285)</f>
        <v>1047490</v>
      </c>
      <c r="O4284" s="224"/>
      <c r="P4284" s="110" t="s">
        <v>13259</v>
      </c>
      <c r="Q4284" s="15" t="s">
        <v>19</v>
      </c>
      <c r="R4284" s="205"/>
      <c r="S4284" s="189"/>
      <c r="T4284" s="114"/>
      <c r="U4284" s="21"/>
      <c r="V4284" s="115">
        <v>46032</v>
      </c>
      <c r="W4284" s="116">
        <v>1283</v>
      </c>
      <c r="X4284" s="220">
        <v>1000000</v>
      </c>
      <c r="Y4284" s="220">
        <f>X4284*0.1</f>
        <v>100000</v>
      </c>
      <c r="Z4284" s="220">
        <v>7440</v>
      </c>
      <c r="AA4284" s="220">
        <f>SUM(X4284:Z4284)</f>
        <v>1107440</v>
      </c>
      <c r="AB4284" s="222">
        <v>46036</v>
      </c>
    </row>
    <row r="4285" spans="1:28" ht="17.100000000000001" customHeight="1" thickBot="1">
      <c r="A4285" s="234"/>
      <c r="B4285" s="27" t="s">
        <v>3730</v>
      </c>
      <c r="C4285" s="27">
        <v>62005</v>
      </c>
      <c r="D4285" s="14" t="s">
        <v>1584</v>
      </c>
      <c r="E4285" s="229"/>
      <c r="F4285" s="117" t="s">
        <v>12705</v>
      </c>
      <c r="G4285" s="26">
        <v>36135</v>
      </c>
      <c r="H4285" s="231"/>
      <c r="I4285" s="221"/>
      <c r="J4285" s="221"/>
      <c r="K4285" s="221"/>
      <c r="L4285" s="221"/>
      <c r="M4285" s="221"/>
      <c r="N4285" s="221"/>
      <c r="O4285" s="225"/>
      <c r="P4285" s="118" t="s">
        <v>13260</v>
      </c>
      <c r="Q4285" s="16" t="s">
        <v>13552</v>
      </c>
      <c r="R4285" s="17" t="s">
        <v>1745</v>
      </c>
      <c r="S4285" s="121" t="s">
        <v>10120</v>
      </c>
      <c r="T4285" s="122"/>
      <c r="U4285" s="22"/>
      <c r="V4285" s="123" t="s">
        <v>2472</v>
      </c>
      <c r="W4285" s="122">
        <v>41013</v>
      </c>
      <c r="X4285" s="221"/>
      <c r="Y4285" s="221"/>
      <c r="Z4285" s="221"/>
      <c r="AA4285" s="221"/>
      <c r="AB4285" s="223"/>
    </row>
    <row r="4286" spans="1:28" ht="17.100000000000001" customHeight="1" thickTop="1">
      <c r="A4286" s="226" t="s">
        <v>12829</v>
      </c>
      <c r="B4286" s="28">
        <v>46002</v>
      </c>
      <c r="C4286" s="25">
        <v>1962</v>
      </c>
      <c r="D4286" s="13" t="s">
        <v>1829</v>
      </c>
      <c r="E4286" s="228"/>
      <c r="F4286" s="109" t="s">
        <v>4893</v>
      </c>
      <c r="G4286" s="24" t="s">
        <v>2494</v>
      </c>
      <c r="H4286" s="230">
        <v>4</v>
      </c>
      <c r="I4286" s="220">
        <v>795000</v>
      </c>
      <c r="J4286" s="220">
        <f>I4286*0.1</f>
        <v>79500</v>
      </c>
      <c r="K4286" s="220">
        <v>3850</v>
      </c>
      <c r="L4286" s="220">
        <v>7440</v>
      </c>
      <c r="M4286" s="220">
        <v>15950</v>
      </c>
      <c r="N4286" s="220">
        <f>SUM(I4286:M4287)</f>
        <v>901740</v>
      </c>
      <c r="O4286" s="224"/>
      <c r="P4286" s="110" t="s">
        <v>12707</v>
      </c>
      <c r="Q4286" s="15" t="s">
        <v>19</v>
      </c>
      <c r="R4286" s="205"/>
      <c r="S4286" s="189"/>
      <c r="T4286" s="114"/>
      <c r="U4286" s="21"/>
      <c r="V4286" s="115">
        <v>46011</v>
      </c>
      <c r="W4286" s="116">
        <v>1281</v>
      </c>
      <c r="X4286" s="220">
        <v>850000</v>
      </c>
      <c r="Y4286" s="220">
        <f>X4286*0.1</f>
        <v>85000</v>
      </c>
      <c r="Z4286" s="220">
        <v>7440</v>
      </c>
      <c r="AA4286" s="220">
        <f>SUM(X4286:Z4286)</f>
        <v>942440</v>
      </c>
      <c r="AB4286" s="222">
        <v>46014</v>
      </c>
    </row>
    <row r="4287" spans="1:28" ht="17.100000000000001" customHeight="1" thickBot="1">
      <c r="A4287" s="227"/>
      <c r="B4287" s="27" t="s">
        <v>3730</v>
      </c>
      <c r="C4287" s="27">
        <v>62081</v>
      </c>
      <c r="D4287" s="14" t="s">
        <v>1584</v>
      </c>
      <c r="E4287" s="229"/>
      <c r="F4287" s="117" t="s">
        <v>12706</v>
      </c>
      <c r="G4287" s="26">
        <v>32971</v>
      </c>
      <c r="H4287" s="231"/>
      <c r="I4287" s="221"/>
      <c r="J4287" s="221"/>
      <c r="K4287" s="221"/>
      <c r="L4287" s="221"/>
      <c r="M4287" s="221"/>
      <c r="N4287" s="221"/>
      <c r="O4287" s="225"/>
      <c r="P4287" s="118" t="s">
        <v>13067</v>
      </c>
      <c r="Q4287" s="16" t="s">
        <v>20</v>
      </c>
      <c r="R4287" s="17" t="s">
        <v>2235</v>
      </c>
      <c r="S4287" s="121" t="s">
        <v>2236</v>
      </c>
      <c r="T4287" s="122"/>
      <c r="U4287" s="22"/>
      <c r="V4287" s="123" t="s">
        <v>2472</v>
      </c>
      <c r="W4287" s="122">
        <v>41005</v>
      </c>
      <c r="X4287" s="221"/>
      <c r="Y4287" s="221"/>
      <c r="Z4287" s="221"/>
      <c r="AA4287" s="221"/>
      <c r="AB4287" s="223"/>
    </row>
    <row r="4288" spans="1:28" ht="17.100000000000001" customHeight="1" thickTop="1">
      <c r="A4288" s="226" t="s">
        <v>12832</v>
      </c>
      <c r="B4288" s="28">
        <v>46002</v>
      </c>
      <c r="C4288" s="25">
        <v>2006</v>
      </c>
      <c r="D4288" s="13" t="s">
        <v>2920</v>
      </c>
      <c r="E4288" s="228"/>
      <c r="F4288" s="109" t="s">
        <v>12708</v>
      </c>
      <c r="G4288" s="24"/>
      <c r="H4288" s="230">
        <v>4.5</v>
      </c>
      <c r="I4288" s="220">
        <v>2386000</v>
      </c>
      <c r="J4288" s="220">
        <f>I4288*0.1</f>
        <v>238600</v>
      </c>
      <c r="K4288" s="220">
        <v>0</v>
      </c>
      <c r="L4288" s="220">
        <v>11740</v>
      </c>
      <c r="M4288" s="220">
        <v>22000</v>
      </c>
      <c r="N4288" s="220">
        <f>SUM(I4288:M4289)</f>
        <v>2658340</v>
      </c>
      <c r="O4288" s="224"/>
      <c r="P4288" s="110" t="s">
        <v>13474</v>
      </c>
      <c r="Q4288" s="15" t="s">
        <v>19</v>
      </c>
      <c r="R4288" s="205"/>
      <c r="S4288" s="189" t="s">
        <v>1113</v>
      </c>
      <c r="T4288" s="114"/>
      <c r="U4288" s="21"/>
      <c r="V4288" s="115">
        <v>46029</v>
      </c>
      <c r="W4288" s="116">
        <v>999</v>
      </c>
      <c r="X4288" s="220">
        <v>2375000</v>
      </c>
      <c r="Y4288" s="220">
        <f>X4288*0.1</f>
        <v>237500</v>
      </c>
      <c r="Z4288" s="220">
        <v>11740</v>
      </c>
      <c r="AA4288" s="220">
        <f>SUM(X4288:Z4288)</f>
        <v>2624240</v>
      </c>
      <c r="AB4288" s="222">
        <v>46035</v>
      </c>
    </row>
    <row r="4289" spans="1:28" ht="17.100000000000001" customHeight="1" thickBot="1">
      <c r="A4289" s="227"/>
      <c r="B4289" s="27" t="s">
        <v>2171</v>
      </c>
      <c r="C4289" s="27">
        <v>10024</v>
      </c>
      <c r="D4289" s="14" t="s">
        <v>2559</v>
      </c>
      <c r="E4289" s="229"/>
      <c r="F4289" s="117" t="s">
        <v>12709</v>
      </c>
      <c r="G4289" s="26">
        <v>19462</v>
      </c>
      <c r="H4289" s="231"/>
      <c r="I4289" s="221"/>
      <c r="J4289" s="221"/>
      <c r="K4289" s="221"/>
      <c r="L4289" s="221"/>
      <c r="M4289" s="221"/>
      <c r="N4289" s="221"/>
      <c r="O4289" s="225"/>
      <c r="P4289" s="118" t="s">
        <v>13475</v>
      </c>
      <c r="Q4289" s="16" t="s">
        <v>20</v>
      </c>
      <c r="R4289" s="17" t="s">
        <v>3420</v>
      </c>
      <c r="S4289" s="121" t="s">
        <v>1731</v>
      </c>
      <c r="T4289" s="122"/>
      <c r="U4289" s="22"/>
      <c r="V4289" s="123" t="s">
        <v>2747</v>
      </c>
      <c r="W4289" s="122">
        <v>6051</v>
      </c>
      <c r="X4289" s="221"/>
      <c r="Y4289" s="221"/>
      <c r="Z4289" s="221"/>
      <c r="AA4289" s="221"/>
      <c r="AB4289" s="223"/>
    </row>
    <row r="4290" spans="1:28" ht="17.100000000000001" customHeight="1" thickTop="1">
      <c r="A4290" s="226" t="s">
        <v>12833</v>
      </c>
      <c r="B4290" s="28">
        <v>46002</v>
      </c>
      <c r="C4290" s="25">
        <v>2006</v>
      </c>
      <c r="D4290" s="13" t="s">
        <v>3687</v>
      </c>
      <c r="E4290" s="228"/>
      <c r="F4290" s="109" t="s">
        <v>12710</v>
      </c>
      <c r="G4290" s="24"/>
      <c r="H4290" s="230">
        <v>4</v>
      </c>
      <c r="I4290" s="220">
        <v>1097000</v>
      </c>
      <c r="J4290" s="220">
        <f>I4290*0.1</f>
        <v>109700</v>
      </c>
      <c r="K4290" s="220">
        <v>0</v>
      </c>
      <c r="L4290" s="220">
        <v>14930</v>
      </c>
      <c r="M4290" s="220">
        <v>22000</v>
      </c>
      <c r="N4290" s="220">
        <f>SUM(I4290:M4291)</f>
        <v>1243630</v>
      </c>
      <c r="O4290" s="224"/>
      <c r="P4290" s="110" t="s">
        <v>13458</v>
      </c>
      <c r="Q4290" s="15" t="s">
        <v>19</v>
      </c>
      <c r="R4290" s="205"/>
      <c r="S4290" s="189" t="s">
        <v>25646</v>
      </c>
      <c r="T4290" s="114"/>
      <c r="U4290" s="21"/>
      <c r="V4290" s="115">
        <v>46050</v>
      </c>
      <c r="W4290" s="116">
        <v>1002</v>
      </c>
      <c r="X4290" s="220">
        <v>1200000</v>
      </c>
      <c r="Y4290" s="220">
        <f>X4290*0.1</f>
        <v>120000</v>
      </c>
      <c r="Z4290" s="220">
        <v>14930</v>
      </c>
      <c r="AA4290" s="220">
        <f>SUM(X4290:Z4290)</f>
        <v>1334930</v>
      </c>
      <c r="AB4290" s="222">
        <v>46055</v>
      </c>
    </row>
    <row r="4291" spans="1:28" ht="17.100000000000001" customHeight="1" thickBot="1">
      <c r="A4291" s="227"/>
      <c r="B4291" s="27" t="s">
        <v>2171</v>
      </c>
      <c r="C4291" s="27">
        <v>30026</v>
      </c>
      <c r="D4291" s="14" t="s">
        <v>2559</v>
      </c>
      <c r="E4291" s="229"/>
      <c r="F4291" s="117" t="s">
        <v>12711</v>
      </c>
      <c r="G4291" s="26">
        <v>76841</v>
      </c>
      <c r="H4291" s="231"/>
      <c r="I4291" s="221"/>
      <c r="J4291" s="221"/>
      <c r="K4291" s="221"/>
      <c r="L4291" s="221"/>
      <c r="M4291" s="221"/>
      <c r="N4291" s="221"/>
      <c r="O4291" s="225"/>
      <c r="P4291" s="118" t="s">
        <v>4490</v>
      </c>
      <c r="Q4291" s="16" t="s">
        <v>20</v>
      </c>
      <c r="R4291" s="17" t="s">
        <v>1769</v>
      </c>
      <c r="S4291" s="121" t="s">
        <v>13683</v>
      </c>
      <c r="T4291" s="122"/>
      <c r="U4291" s="22"/>
      <c r="V4291" s="123" t="s">
        <v>2747</v>
      </c>
      <c r="W4291" s="122">
        <v>6033</v>
      </c>
      <c r="X4291" s="221"/>
      <c r="Y4291" s="221"/>
      <c r="Z4291" s="221"/>
      <c r="AA4291" s="221"/>
      <c r="AB4291" s="223"/>
    </row>
    <row r="4292" spans="1:28" ht="17.100000000000001" customHeight="1" thickTop="1">
      <c r="A4292" s="226" t="s">
        <v>12834</v>
      </c>
      <c r="B4292" s="28">
        <v>46002</v>
      </c>
      <c r="C4292" s="25">
        <v>2006</v>
      </c>
      <c r="D4292" s="13" t="s">
        <v>1862</v>
      </c>
      <c r="E4292" s="228"/>
      <c r="F4292" s="109" t="s">
        <v>12830</v>
      </c>
      <c r="G4292" s="24"/>
      <c r="H4292" s="230">
        <v>3.5</v>
      </c>
      <c r="I4292" s="220">
        <v>324000</v>
      </c>
      <c r="J4292" s="220">
        <f>I4292*0.1</f>
        <v>32400</v>
      </c>
      <c r="K4292" s="220">
        <v>0</v>
      </c>
      <c r="L4292" s="220">
        <v>18290</v>
      </c>
      <c r="M4292" s="220">
        <v>22000</v>
      </c>
      <c r="N4292" s="220">
        <f>SUM(I4292:M4293)</f>
        <v>396690</v>
      </c>
      <c r="O4292" s="224"/>
      <c r="P4292" s="110" t="s">
        <v>13476</v>
      </c>
      <c r="Q4292" s="15" t="s">
        <v>19</v>
      </c>
      <c r="R4292" s="205"/>
      <c r="S4292" s="189" t="s">
        <v>25647</v>
      </c>
      <c r="T4292" s="114"/>
      <c r="U4292" s="21"/>
      <c r="V4292" s="115">
        <v>46008</v>
      </c>
      <c r="W4292" s="116">
        <v>997</v>
      </c>
      <c r="X4292" s="220">
        <v>480000</v>
      </c>
      <c r="Y4292" s="220">
        <f>X4292*0.1</f>
        <v>48000</v>
      </c>
      <c r="Z4292" s="220">
        <v>18290</v>
      </c>
      <c r="AA4292" s="220">
        <f>SUM(X4292:Z4292)</f>
        <v>546290</v>
      </c>
      <c r="AB4292" s="222">
        <v>46014</v>
      </c>
    </row>
    <row r="4293" spans="1:28" ht="17.100000000000001" customHeight="1" thickBot="1">
      <c r="A4293" s="227"/>
      <c r="B4293" s="27" t="s">
        <v>2171</v>
      </c>
      <c r="C4293" s="27">
        <v>30115</v>
      </c>
      <c r="D4293" s="14" t="s">
        <v>273</v>
      </c>
      <c r="E4293" s="229"/>
      <c r="F4293" s="117" t="s">
        <v>12831</v>
      </c>
      <c r="G4293" s="26">
        <v>122751</v>
      </c>
      <c r="H4293" s="231"/>
      <c r="I4293" s="221"/>
      <c r="J4293" s="221"/>
      <c r="K4293" s="221"/>
      <c r="L4293" s="221"/>
      <c r="M4293" s="221"/>
      <c r="N4293" s="221"/>
      <c r="O4293" s="225"/>
      <c r="P4293" s="118" t="s">
        <v>6795</v>
      </c>
      <c r="Q4293" s="16" t="s">
        <v>20</v>
      </c>
      <c r="R4293" s="17" t="s">
        <v>3420</v>
      </c>
      <c r="S4293" s="121" t="s">
        <v>13477</v>
      </c>
      <c r="T4293" s="122"/>
      <c r="U4293" s="22"/>
      <c r="V4293" s="123" t="s">
        <v>7161</v>
      </c>
      <c r="W4293" s="122">
        <v>5039</v>
      </c>
      <c r="X4293" s="221"/>
      <c r="Y4293" s="221"/>
      <c r="Z4293" s="221"/>
      <c r="AA4293" s="221"/>
      <c r="AB4293" s="223"/>
    </row>
    <row r="4294" spans="1:28" ht="17.100000000000001" customHeight="1" thickTop="1">
      <c r="A4294" s="226" t="s">
        <v>12835</v>
      </c>
      <c r="B4294" s="28">
        <v>46002</v>
      </c>
      <c r="C4294" s="25">
        <v>2006</v>
      </c>
      <c r="D4294" s="13" t="s">
        <v>3257</v>
      </c>
      <c r="E4294" s="228"/>
      <c r="F4294" s="109" t="s">
        <v>11037</v>
      </c>
      <c r="G4294" s="24"/>
      <c r="H4294" s="230">
        <v>4</v>
      </c>
      <c r="I4294" s="220">
        <v>620000</v>
      </c>
      <c r="J4294" s="220">
        <f>I4294*0.1</f>
        <v>62000</v>
      </c>
      <c r="K4294" s="220">
        <v>0</v>
      </c>
      <c r="L4294" s="220">
        <v>8790</v>
      </c>
      <c r="M4294" s="220">
        <v>22000</v>
      </c>
      <c r="N4294" s="220">
        <f>SUM(I4294:M4295)</f>
        <v>712790</v>
      </c>
      <c r="O4294" s="224"/>
      <c r="P4294" s="110" t="s">
        <v>13360</v>
      </c>
      <c r="Q4294" s="15" t="s">
        <v>19</v>
      </c>
      <c r="R4294" s="205"/>
      <c r="S4294" s="189" t="s">
        <v>25559</v>
      </c>
      <c r="T4294" s="114"/>
      <c r="U4294" s="21"/>
      <c r="V4294" s="115">
        <v>46008</v>
      </c>
      <c r="W4294" s="116">
        <v>997</v>
      </c>
      <c r="X4294" s="220">
        <v>630000</v>
      </c>
      <c r="Y4294" s="220">
        <f>X4294*0.1</f>
        <v>63000</v>
      </c>
      <c r="Z4294" s="220">
        <v>8790</v>
      </c>
      <c r="AA4294" s="220">
        <f>SUM(X4294:Z4294)</f>
        <v>701790</v>
      </c>
      <c r="AB4294" s="222">
        <v>46013</v>
      </c>
    </row>
    <row r="4295" spans="1:28" ht="17.100000000000001" customHeight="1" thickBot="1">
      <c r="A4295" s="227"/>
      <c r="B4295" s="27" t="s">
        <v>2171</v>
      </c>
      <c r="C4295" s="27">
        <v>50043</v>
      </c>
      <c r="D4295" s="14" t="s">
        <v>3274</v>
      </c>
      <c r="E4295" s="229"/>
      <c r="F4295" s="117" t="s">
        <v>12712</v>
      </c>
      <c r="G4295" s="26">
        <v>44704</v>
      </c>
      <c r="H4295" s="231"/>
      <c r="I4295" s="221"/>
      <c r="J4295" s="221"/>
      <c r="K4295" s="221"/>
      <c r="L4295" s="221"/>
      <c r="M4295" s="221"/>
      <c r="N4295" s="221"/>
      <c r="O4295" s="225"/>
      <c r="P4295" s="118" t="s">
        <v>1972</v>
      </c>
      <c r="Q4295" s="16" t="s">
        <v>20</v>
      </c>
      <c r="R4295" s="17" t="s">
        <v>1769</v>
      </c>
      <c r="S4295" s="121" t="s">
        <v>13361</v>
      </c>
      <c r="T4295" s="122"/>
      <c r="U4295" s="22"/>
      <c r="V4295" s="123" t="s">
        <v>2747</v>
      </c>
      <c r="W4295" s="122">
        <v>2030</v>
      </c>
      <c r="X4295" s="221"/>
      <c r="Y4295" s="221"/>
      <c r="Z4295" s="221"/>
      <c r="AA4295" s="221"/>
      <c r="AB4295" s="223"/>
    </row>
    <row r="4296" spans="1:28" ht="17.100000000000001" customHeight="1" thickTop="1">
      <c r="A4296" s="226" t="s">
        <v>12836</v>
      </c>
      <c r="B4296" s="28">
        <v>46002</v>
      </c>
      <c r="C4296" s="25">
        <v>2006</v>
      </c>
      <c r="D4296" s="13" t="s">
        <v>1704</v>
      </c>
      <c r="E4296" s="228"/>
      <c r="F4296" s="109" t="s">
        <v>12713</v>
      </c>
      <c r="G4296" s="24" t="s">
        <v>1540</v>
      </c>
      <c r="H4296" s="230">
        <v>4</v>
      </c>
      <c r="I4296" s="220">
        <v>577000</v>
      </c>
      <c r="J4296" s="220">
        <f>I4296*0.1</f>
        <v>57700</v>
      </c>
      <c r="K4296" s="220">
        <v>0</v>
      </c>
      <c r="L4296" s="220">
        <v>6540</v>
      </c>
      <c r="M4296" s="220">
        <v>22000</v>
      </c>
      <c r="N4296" s="220">
        <f>SUM(I4296:M4297)</f>
        <v>663240</v>
      </c>
      <c r="O4296" s="224"/>
      <c r="P4296" s="110" t="s">
        <v>12715</v>
      </c>
      <c r="Q4296" s="15" t="s">
        <v>19</v>
      </c>
      <c r="R4296" s="205"/>
      <c r="S4296" s="189" t="s">
        <v>1312</v>
      </c>
      <c r="T4296" s="114"/>
      <c r="U4296" s="21"/>
      <c r="V4296" s="115">
        <v>46008</v>
      </c>
      <c r="W4296" s="116">
        <v>997</v>
      </c>
      <c r="X4296" s="220">
        <v>650000</v>
      </c>
      <c r="Y4296" s="220">
        <f>X4296*0.1</f>
        <v>65000</v>
      </c>
      <c r="Z4296" s="220">
        <v>6540</v>
      </c>
      <c r="AA4296" s="220">
        <f>SUM(X4296:Z4296)</f>
        <v>721540</v>
      </c>
      <c r="AB4296" s="222">
        <v>46016</v>
      </c>
    </row>
    <row r="4297" spans="1:28" ht="17.100000000000001" customHeight="1" thickBot="1">
      <c r="A4297" s="227"/>
      <c r="B4297" s="27" t="s">
        <v>2171</v>
      </c>
      <c r="C4297" s="27">
        <v>50123</v>
      </c>
      <c r="D4297" s="14" t="s">
        <v>1584</v>
      </c>
      <c r="E4297" s="229"/>
      <c r="F4297" s="117" t="s">
        <v>12714</v>
      </c>
      <c r="G4297" s="26">
        <v>5061</v>
      </c>
      <c r="H4297" s="231"/>
      <c r="I4297" s="221"/>
      <c r="J4297" s="221"/>
      <c r="K4297" s="221"/>
      <c r="L4297" s="221"/>
      <c r="M4297" s="221"/>
      <c r="N4297" s="221"/>
      <c r="O4297" s="225"/>
      <c r="P4297" s="118" t="s">
        <v>13470</v>
      </c>
      <c r="Q4297" s="16" t="s">
        <v>20</v>
      </c>
      <c r="R4297" s="17" t="s">
        <v>1769</v>
      </c>
      <c r="S4297" s="121" t="s">
        <v>1722</v>
      </c>
      <c r="T4297" s="122"/>
      <c r="U4297" s="22"/>
      <c r="V4297" s="123" t="s">
        <v>7161</v>
      </c>
      <c r="W4297" s="122">
        <v>2025</v>
      </c>
      <c r="X4297" s="221"/>
      <c r="Y4297" s="221"/>
      <c r="Z4297" s="221"/>
      <c r="AA4297" s="221"/>
      <c r="AB4297" s="223"/>
    </row>
    <row r="4298" spans="1:28" ht="17.100000000000001" customHeight="1" thickTop="1">
      <c r="A4298" s="226" t="s">
        <v>12837</v>
      </c>
      <c r="B4298" s="28">
        <v>46002</v>
      </c>
      <c r="C4298" s="25">
        <v>2006</v>
      </c>
      <c r="D4298" s="13" t="s">
        <v>2239</v>
      </c>
      <c r="E4298" s="228"/>
      <c r="F4298" s="109" t="s">
        <v>7868</v>
      </c>
      <c r="G4298" s="24" t="s">
        <v>2926</v>
      </c>
      <c r="H4298" s="230">
        <v>4.5</v>
      </c>
      <c r="I4298" s="220">
        <v>1598000</v>
      </c>
      <c r="J4298" s="220">
        <f>I4298*0.1</f>
        <v>159800</v>
      </c>
      <c r="K4298" s="220">
        <v>0</v>
      </c>
      <c r="L4298" s="220">
        <v>7230</v>
      </c>
      <c r="M4298" s="220">
        <v>22000</v>
      </c>
      <c r="N4298" s="220">
        <f>SUM(I4298:M4299)</f>
        <v>1787030</v>
      </c>
      <c r="O4298" s="224"/>
      <c r="P4298" s="110" t="s">
        <v>12717</v>
      </c>
      <c r="Q4298" s="15" t="s">
        <v>19</v>
      </c>
      <c r="R4298" s="205"/>
      <c r="S4298" s="189"/>
      <c r="T4298" s="114"/>
      <c r="U4298" s="21" t="s">
        <v>15022</v>
      </c>
      <c r="V4298" s="115">
        <v>46049</v>
      </c>
      <c r="W4298" s="116">
        <v>1926</v>
      </c>
      <c r="X4298" s="220">
        <v>1657000</v>
      </c>
      <c r="Y4298" s="220">
        <f>X4298*0.1</f>
        <v>165700</v>
      </c>
      <c r="Z4298" s="220">
        <v>7230</v>
      </c>
      <c r="AA4298" s="220">
        <f>SUM(X4298:Z4298)</f>
        <v>1829930</v>
      </c>
      <c r="AB4298" s="222"/>
    </row>
    <row r="4299" spans="1:28" ht="17.100000000000001" customHeight="1" thickBot="1">
      <c r="A4299" s="227"/>
      <c r="B4299" s="27" t="s">
        <v>2171</v>
      </c>
      <c r="C4299" s="27">
        <v>50133</v>
      </c>
      <c r="D4299" s="14" t="s">
        <v>1568</v>
      </c>
      <c r="E4299" s="229"/>
      <c r="F4299" s="117" t="s">
        <v>12716</v>
      </c>
      <c r="G4299" s="26">
        <v>4029</v>
      </c>
      <c r="H4299" s="231"/>
      <c r="I4299" s="221"/>
      <c r="J4299" s="221"/>
      <c r="K4299" s="221"/>
      <c r="L4299" s="221"/>
      <c r="M4299" s="221"/>
      <c r="N4299" s="221"/>
      <c r="O4299" s="225"/>
      <c r="P4299" s="118" t="s">
        <v>11653</v>
      </c>
      <c r="Q4299" s="16" t="s">
        <v>20</v>
      </c>
      <c r="R4299" s="17" t="s">
        <v>1769</v>
      </c>
      <c r="S4299" s="121" t="s">
        <v>4035</v>
      </c>
      <c r="T4299" s="122" t="s">
        <v>15042</v>
      </c>
      <c r="U4299" s="22"/>
      <c r="V4299" s="123" t="s">
        <v>2103</v>
      </c>
      <c r="W4299" s="122">
        <v>3021</v>
      </c>
      <c r="X4299" s="221"/>
      <c r="Y4299" s="221"/>
      <c r="Z4299" s="221"/>
      <c r="AA4299" s="221"/>
      <c r="AB4299" s="223"/>
    </row>
    <row r="4300" spans="1:28" ht="17.100000000000001" customHeight="1" thickTop="1">
      <c r="A4300" s="226" t="s">
        <v>12838</v>
      </c>
      <c r="B4300" s="28">
        <v>46002</v>
      </c>
      <c r="C4300" s="25">
        <v>2006</v>
      </c>
      <c r="D4300" s="13" t="s">
        <v>1931</v>
      </c>
      <c r="E4300" s="228"/>
      <c r="F4300" s="109" t="s">
        <v>12718</v>
      </c>
      <c r="G4300" s="24" t="s">
        <v>3859</v>
      </c>
      <c r="H4300" s="230">
        <v>4.5</v>
      </c>
      <c r="I4300" s="220">
        <v>1220000</v>
      </c>
      <c r="J4300" s="220">
        <f>I4300*0.1</f>
        <v>122000</v>
      </c>
      <c r="K4300" s="220">
        <v>0</v>
      </c>
      <c r="L4300" s="220">
        <v>8110</v>
      </c>
      <c r="M4300" s="220">
        <v>22000</v>
      </c>
      <c r="N4300" s="220">
        <f>SUM(I4300:M4301)</f>
        <v>1372110</v>
      </c>
      <c r="O4300" s="224"/>
      <c r="P4300" s="110" t="s">
        <v>12720</v>
      </c>
      <c r="Q4300" s="15" t="s">
        <v>19</v>
      </c>
      <c r="R4300" s="205"/>
      <c r="S4300" s="189" t="s">
        <v>25648</v>
      </c>
      <c r="T4300" s="114"/>
      <c r="U4300" s="21"/>
      <c r="V4300" s="115">
        <v>46007</v>
      </c>
      <c r="W4300" s="116">
        <v>1922</v>
      </c>
      <c r="X4300" s="220">
        <v>1280000</v>
      </c>
      <c r="Y4300" s="220">
        <f>X4300*0.1</f>
        <v>128000</v>
      </c>
      <c r="Z4300" s="220">
        <v>8110</v>
      </c>
      <c r="AA4300" s="220">
        <f>SUM(X4300:Z4300)</f>
        <v>1416110</v>
      </c>
      <c r="AB4300" s="222"/>
    </row>
    <row r="4301" spans="1:28" ht="17.100000000000001" customHeight="1" thickBot="1">
      <c r="A4301" s="227"/>
      <c r="B4301" s="27" t="s">
        <v>2171</v>
      </c>
      <c r="C4301" s="27">
        <v>50151</v>
      </c>
      <c r="D4301" s="14" t="s">
        <v>2559</v>
      </c>
      <c r="E4301" s="229"/>
      <c r="F4301" s="117" t="s">
        <v>12719</v>
      </c>
      <c r="G4301" s="26">
        <v>15366</v>
      </c>
      <c r="H4301" s="231"/>
      <c r="I4301" s="221"/>
      <c r="J4301" s="221"/>
      <c r="K4301" s="221"/>
      <c r="L4301" s="221"/>
      <c r="M4301" s="221"/>
      <c r="N4301" s="221"/>
      <c r="O4301" s="225"/>
      <c r="P4301" s="118" t="s">
        <v>13362</v>
      </c>
      <c r="Q4301" s="16" t="s">
        <v>20</v>
      </c>
      <c r="R4301" s="17" t="s">
        <v>1769</v>
      </c>
      <c r="S4301" s="121" t="s">
        <v>4984</v>
      </c>
      <c r="T4301" s="122"/>
      <c r="U4301" s="22"/>
      <c r="V4301" s="123" t="s">
        <v>2103</v>
      </c>
      <c r="W4301" s="122">
        <v>3175</v>
      </c>
      <c r="X4301" s="221"/>
      <c r="Y4301" s="221"/>
      <c r="Z4301" s="221"/>
      <c r="AA4301" s="221"/>
      <c r="AB4301" s="223"/>
    </row>
    <row r="4302" spans="1:28" ht="17.100000000000001" customHeight="1" thickTop="1">
      <c r="A4302" s="226" t="s">
        <v>12839</v>
      </c>
      <c r="B4302" s="28">
        <v>46002</v>
      </c>
      <c r="C4302" s="25">
        <v>2006</v>
      </c>
      <c r="D4302" s="13" t="s">
        <v>2324</v>
      </c>
      <c r="E4302" s="228"/>
      <c r="F4302" s="109" t="s">
        <v>9009</v>
      </c>
      <c r="G4302" s="24"/>
      <c r="H4302" s="230">
        <v>4</v>
      </c>
      <c r="I4302" s="220">
        <v>602000</v>
      </c>
      <c r="J4302" s="220">
        <f>I4302*0.1</f>
        <v>60200</v>
      </c>
      <c r="K4302" s="220">
        <v>0</v>
      </c>
      <c r="L4302" s="220">
        <v>8740</v>
      </c>
      <c r="M4302" s="220">
        <v>22000</v>
      </c>
      <c r="N4302" s="220">
        <f>SUM(I4302:M4303)</f>
        <v>692940</v>
      </c>
      <c r="O4302" s="224"/>
      <c r="P4302" s="110" t="s">
        <v>13471</v>
      </c>
      <c r="Q4302" s="15" t="s">
        <v>19</v>
      </c>
      <c r="R4302" s="205"/>
      <c r="S4302" s="189" t="s">
        <v>758</v>
      </c>
      <c r="T4302" s="114"/>
      <c r="U4302" s="21"/>
      <c r="V4302" s="115">
        <v>46029</v>
      </c>
      <c r="W4302" s="116">
        <v>999</v>
      </c>
      <c r="X4302" s="220">
        <v>740000</v>
      </c>
      <c r="Y4302" s="220">
        <f>X4302*0.1</f>
        <v>74000</v>
      </c>
      <c r="Z4302" s="220">
        <v>8740</v>
      </c>
      <c r="AA4302" s="220">
        <f>SUM(X4302:Z4302)</f>
        <v>822740</v>
      </c>
      <c r="AB4302" s="222">
        <v>46035</v>
      </c>
    </row>
    <row r="4303" spans="1:28" ht="17.100000000000001" customHeight="1" thickBot="1">
      <c r="A4303" s="227"/>
      <c r="B4303" s="27" t="s">
        <v>2171</v>
      </c>
      <c r="C4303" s="27">
        <v>50164</v>
      </c>
      <c r="D4303" s="14" t="s">
        <v>1710</v>
      </c>
      <c r="E4303" s="229"/>
      <c r="F4303" s="117" t="s">
        <v>12722</v>
      </c>
      <c r="G4303" s="26">
        <v>59878</v>
      </c>
      <c r="H4303" s="231"/>
      <c r="I4303" s="221"/>
      <c r="J4303" s="221"/>
      <c r="K4303" s="221"/>
      <c r="L4303" s="221"/>
      <c r="M4303" s="221"/>
      <c r="N4303" s="221"/>
      <c r="O4303" s="225"/>
      <c r="P4303" s="118" t="s">
        <v>3919</v>
      </c>
      <c r="Q4303" s="16" t="s">
        <v>20</v>
      </c>
      <c r="R4303" s="17" t="s">
        <v>1769</v>
      </c>
      <c r="S4303" s="121" t="s">
        <v>1661</v>
      </c>
      <c r="T4303" s="122"/>
      <c r="U4303" s="22"/>
      <c r="V4303" s="123" t="s">
        <v>7161</v>
      </c>
      <c r="W4303" s="122">
        <v>2021</v>
      </c>
      <c r="X4303" s="221"/>
      <c r="Y4303" s="221"/>
      <c r="Z4303" s="221"/>
      <c r="AA4303" s="221"/>
      <c r="AB4303" s="223"/>
    </row>
    <row r="4304" spans="1:28" ht="17.100000000000001" customHeight="1" thickTop="1">
      <c r="A4304" s="226" t="s">
        <v>12840</v>
      </c>
      <c r="B4304" s="28">
        <v>46002</v>
      </c>
      <c r="C4304" s="25">
        <v>2006</v>
      </c>
      <c r="D4304" s="13" t="s">
        <v>2288</v>
      </c>
      <c r="E4304" s="228"/>
      <c r="F4304" s="109" t="s">
        <v>12723</v>
      </c>
      <c r="G4304" s="24" t="s">
        <v>3859</v>
      </c>
      <c r="H4304" s="230">
        <v>4</v>
      </c>
      <c r="I4304" s="220">
        <v>615000</v>
      </c>
      <c r="J4304" s="220">
        <f>I4304*0.1</f>
        <v>61500</v>
      </c>
      <c r="K4304" s="220">
        <v>0</v>
      </c>
      <c r="L4304" s="220">
        <v>8600</v>
      </c>
      <c r="M4304" s="220">
        <v>22000</v>
      </c>
      <c r="N4304" s="220">
        <f>SUM(I4304:M4305)</f>
        <v>707100</v>
      </c>
      <c r="O4304" s="224"/>
      <c r="P4304" s="110" t="s">
        <v>12725</v>
      </c>
      <c r="Q4304" s="15" t="s">
        <v>19</v>
      </c>
      <c r="R4304" s="205"/>
      <c r="S4304" s="189" t="s">
        <v>25649</v>
      </c>
      <c r="T4304" s="114"/>
      <c r="U4304" s="21" t="s">
        <v>14577</v>
      </c>
      <c r="V4304" s="115">
        <v>46032</v>
      </c>
      <c r="W4304" s="116"/>
      <c r="X4304" s="220">
        <v>800000</v>
      </c>
      <c r="Y4304" s="220">
        <f>X4304*0.1</f>
        <v>80000</v>
      </c>
      <c r="Z4304" s="220">
        <v>8600</v>
      </c>
      <c r="AA4304" s="220">
        <f>SUM(X4304:Z4304)</f>
        <v>888600</v>
      </c>
      <c r="AB4304" s="222"/>
    </row>
    <row r="4305" spans="1:28" ht="17.100000000000001" customHeight="1" thickBot="1">
      <c r="A4305" s="227"/>
      <c r="B4305" s="27" t="s">
        <v>2171</v>
      </c>
      <c r="C4305" s="27">
        <v>50185</v>
      </c>
      <c r="D4305" s="14" t="s">
        <v>898</v>
      </c>
      <c r="E4305" s="229"/>
      <c r="F4305" s="117" t="s">
        <v>12724</v>
      </c>
      <c r="G4305" s="26">
        <v>48840</v>
      </c>
      <c r="H4305" s="231"/>
      <c r="I4305" s="221"/>
      <c r="J4305" s="221"/>
      <c r="K4305" s="221"/>
      <c r="L4305" s="221"/>
      <c r="M4305" s="221"/>
      <c r="N4305" s="221"/>
      <c r="O4305" s="225"/>
      <c r="P4305" s="118" t="s">
        <v>13107</v>
      </c>
      <c r="Q4305" s="16" t="s">
        <v>20</v>
      </c>
      <c r="R4305" s="17" t="s">
        <v>1769</v>
      </c>
      <c r="S4305" s="121" t="s">
        <v>13472</v>
      </c>
      <c r="T4305" s="122"/>
      <c r="U4305" s="22"/>
      <c r="V4305" s="123" t="s">
        <v>6682</v>
      </c>
      <c r="W4305" s="122">
        <v>53961</v>
      </c>
      <c r="X4305" s="221"/>
      <c r="Y4305" s="221"/>
      <c r="Z4305" s="221"/>
      <c r="AA4305" s="221"/>
      <c r="AB4305" s="223"/>
    </row>
    <row r="4306" spans="1:28" ht="17.100000000000001" customHeight="1" thickTop="1">
      <c r="A4306" s="226" t="s">
        <v>12841</v>
      </c>
      <c r="B4306" s="28">
        <v>46002</v>
      </c>
      <c r="C4306" s="25">
        <v>2138</v>
      </c>
      <c r="D4306" s="13" t="s">
        <v>1658</v>
      </c>
      <c r="E4306" s="228"/>
      <c r="F4306" s="109" t="s">
        <v>9188</v>
      </c>
      <c r="G4306" s="24" t="s">
        <v>4255</v>
      </c>
      <c r="H4306" s="232" t="s">
        <v>1705</v>
      </c>
      <c r="I4306" s="220">
        <v>179000</v>
      </c>
      <c r="J4306" s="220">
        <f>I4306*0.1</f>
        <v>17900</v>
      </c>
      <c r="K4306" s="220">
        <v>0</v>
      </c>
      <c r="L4306" s="220">
        <v>9790</v>
      </c>
      <c r="M4306" s="220">
        <v>14300</v>
      </c>
      <c r="N4306" s="220">
        <f>SUM(I4306:M4307)</f>
        <v>220990</v>
      </c>
      <c r="O4306" s="224"/>
      <c r="P4306" s="110" t="s">
        <v>12727</v>
      </c>
      <c r="Q4306" s="15" t="s">
        <v>19</v>
      </c>
      <c r="R4306" s="205"/>
      <c r="S4306" s="189" t="s">
        <v>25372</v>
      </c>
      <c r="T4306" s="114" t="s">
        <v>13630</v>
      </c>
      <c r="U4306" s="21"/>
      <c r="V4306" s="115">
        <v>46011</v>
      </c>
      <c r="W4306" s="116">
        <v>1281</v>
      </c>
      <c r="X4306" s="220">
        <v>155000</v>
      </c>
      <c r="Y4306" s="220">
        <f>X4306*0.1</f>
        <v>15500</v>
      </c>
      <c r="Z4306" s="220">
        <v>9790</v>
      </c>
      <c r="AA4306" s="220">
        <f>SUM(X4306:Z4306)</f>
        <v>180290</v>
      </c>
      <c r="AB4306" s="222">
        <v>46016</v>
      </c>
    </row>
    <row r="4307" spans="1:28" ht="17.100000000000001" customHeight="1" thickBot="1">
      <c r="A4307" s="227"/>
      <c r="B4307" s="27" t="s">
        <v>3228</v>
      </c>
      <c r="C4307" s="27">
        <v>88</v>
      </c>
      <c r="D4307" s="14" t="s">
        <v>2559</v>
      </c>
      <c r="E4307" s="229"/>
      <c r="F4307" s="117" t="s">
        <v>12726</v>
      </c>
      <c r="G4307" s="26">
        <v>140570</v>
      </c>
      <c r="H4307" s="231"/>
      <c r="I4307" s="221"/>
      <c r="J4307" s="221"/>
      <c r="K4307" s="221"/>
      <c r="L4307" s="221"/>
      <c r="M4307" s="221"/>
      <c r="N4307" s="221"/>
      <c r="O4307" s="225"/>
      <c r="P4307" s="118" t="s">
        <v>13440</v>
      </c>
      <c r="Q4307" s="16" t="s">
        <v>20</v>
      </c>
      <c r="R4307" s="17" t="s">
        <v>1769</v>
      </c>
      <c r="S4307" s="121" t="s">
        <v>13629</v>
      </c>
      <c r="T4307" s="122"/>
      <c r="U4307" s="22"/>
      <c r="V4307" s="123" t="s">
        <v>2472</v>
      </c>
      <c r="W4307" s="122">
        <v>60381</v>
      </c>
      <c r="X4307" s="221"/>
      <c r="Y4307" s="221"/>
      <c r="Z4307" s="221"/>
      <c r="AA4307" s="221"/>
      <c r="AB4307" s="223"/>
    </row>
    <row r="4308" spans="1:28" ht="17.100000000000001" customHeight="1" thickTop="1">
      <c r="A4308" s="233" t="s">
        <v>12842</v>
      </c>
      <c r="B4308" s="28">
        <v>46002</v>
      </c>
      <c r="C4308" s="25">
        <v>2138</v>
      </c>
      <c r="D4308" s="13" t="s">
        <v>1816</v>
      </c>
      <c r="E4308" s="228"/>
      <c r="F4308" s="109" t="s">
        <v>12728</v>
      </c>
      <c r="G4308" s="24"/>
      <c r="H4308" s="232" t="s">
        <v>1705</v>
      </c>
      <c r="I4308" s="220">
        <v>232000</v>
      </c>
      <c r="J4308" s="220">
        <f>I4308*0.1</f>
        <v>23200</v>
      </c>
      <c r="K4308" s="220">
        <v>0</v>
      </c>
      <c r="L4308" s="220">
        <v>9790</v>
      </c>
      <c r="M4308" s="220">
        <v>14300</v>
      </c>
      <c r="N4308" s="220">
        <f>SUM(I4308:M4309)</f>
        <v>279290</v>
      </c>
      <c r="O4308" s="224"/>
      <c r="P4308" s="110" t="s">
        <v>13445</v>
      </c>
      <c r="Q4308" s="15" t="s">
        <v>19</v>
      </c>
      <c r="R4308" s="205"/>
      <c r="S4308" s="189" t="s">
        <v>25386</v>
      </c>
      <c r="T4308" s="114"/>
      <c r="U4308" s="21"/>
      <c r="V4308" s="115">
        <v>46032</v>
      </c>
      <c r="W4308" s="116">
        <v>1283</v>
      </c>
      <c r="X4308" s="220">
        <v>290000</v>
      </c>
      <c r="Y4308" s="220">
        <f>X4308*0.1</f>
        <v>29000</v>
      </c>
      <c r="Z4308" s="220">
        <v>9790</v>
      </c>
      <c r="AA4308" s="220">
        <f>SUM(X4308:Z4308)</f>
        <v>328790</v>
      </c>
      <c r="AB4308" s="222">
        <v>46036</v>
      </c>
    </row>
    <row r="4309" spans="1:28" ht="17.100000000000001" customHeight="1" thickBot="1">
      <c r="A4309" s="234"/>
      <c r="B4309" s="27" t="s">
        <v>3228</v>
      </c>
      <c r="C4309" s="27">
        <v>102</v>
      </c>
      <c r="D4309" s="14" t="s">
        <v>273</v>
      </c>
      <c r="E4309" s="229"/>
      <c r="F4309" s="117" t="s">
        <v>12729</v>
      </c>
      <c r="G4309" s="26">
        <v>79967</v>
      </c>
      <c r="H4309" s="231"/>
      <c r="I4309" s="221"/>
      <c r="J4309" s="221"/>
      <c r="K4309" s="221"/>
      <c r="L4309" s="221"/>
      <c r="M4309" s="221"/>
      <c r="N4309" s="221"/>
      <c r="O4309" s="225"/>
      <c r="P4309" s="118" t="s">
        <v>3355</v>
      </c>
      <c r="Q4309" s="16" t="s">
        <v>20</v>
      </c>
      <c r="R4309" s="17" t="s">
        <v>1769</v>
      </c>
      <c r="S4309" s="121" t="s">
        <v>13446</v>
      </c>
      <c r="T4309" s="122"/>
      <c r="U4309" s="22"/>
      <c r="V4309" s="123" t="s">
        <v>2472</v>
      </c>
      <c r="W4309" s="122">
        <v>60410</v>
      </c>
      <c r="X4309" s="221"/>
      <c r="Y4309" s="221"/>
      <c r="Z4309" s="221"/>
      <c r="AA4309" s="221"/>
      <c r="AB4309" s="223"/>
    </row>
    <row r="4310" spans="1:28" ht="17.100000000000001" customHeight="1" thickTop="1">
      <c r="A4310" s="226" t="s">
        <v>12843</v>
      </c>
      <c r="B4310" s="28">
        <v>46002</v>
      </c>
      <c r="C4310" s="25">
        <v>2138</v>
      </c>
      <c r="D4310" s="13" t="s">
        <v>1021</v>
      </c>
      <c r="E4310" s="228"/>
      <c r="F4310" s="109" t="s">
        <v>12730</v>
      </c>
      <c r="G4310" s="24"/>
      <c r="H4310" s="230">
        <v>4</v>
      </c>
      <c r="I4310" s="220">
        <v>305000</v>
      </c>
      <c r="J4310" s="220">
        <f>I4310*0.1</f>
        <v>30500</v>
      </c>
      <c r="K4310" s="220">
        <v>0</v>
      </c>
      <c r="L4310" s="220">
        <v>8460</v>
      </c>
      <c r="M4310" s="220">
        <v>14300</v>
      </c>
      <c r="N4310" s="220">
        <f>SUM(I4310:M4311)</f>
        <v>358260</v>
      </c>
      <c r="O4310" s="224"/>
      <c r="P4310" s="110" t="s">
        <v>13443</v>
      </c>
      <c r="Q4310" s="15" t="s">
        <v>19</v>
      </c>
      <c r="R4310" s="205"/>
      <c r="S4310" s="189"/>
      <c r="T4310" s="114"/>
      <c r="U4310" s="21"/>
      <c r="V4310" s="115">
        <v>46050</v>
      </c>
      <c r="W4310" s="116">
        <v>1002</v>
      </c>
      <c r="X4310" s="220">
        <v>315000</v>
      </c>
      <c r="Y4310" s="220">
        <f>X4310*0.1</f>
        <v>31500</v>
      </c>
      <c r="Z4310" s="220">
        <v>8460</v>
      </c>
      <c r="AA4310" s="220">
        <f>SUM(X4310:Z4310)</f>
        <v>354960</v>
      </c>
      <c r="AB4310" s="222">
        <v>46055</v>
      </c>
    </row>
    <row r="4311" spans="1:28" ht="17.100000000000001" customHeight="1" thickBot="1">
      <c r="A4311" s="227"/>
      <c r="B4311" s="27" t="s">
        <v>3228</v>
      </c>
      <c r="C4311" s="27">
        <v>263</v>
      </c>
      <c r="D4311" s="14" t="s">
        <v>1710</v>
      </c>
      <c r="E4311" s="229"/>
      <c r="F4311" s="117" t="s">
        <v>12731</v>
      </c>
      <c r="G4311" s="26">
        <v>89493</v>
      </c>
      <c r="H4311" s="231"/>
      <c r="I4311" s="221"/>
      <c r="J4311" s="221"/>
      <c r="K4311" s="221"/>
      <c r="L4311" s="221"/>
      <c r="M4311" s="221"/>
      <c r="N4311" s="221"/>
      <c r="O4311" s="225"/>
      <c r="P4311" s="118" t="s">
        <v>13444</v>
      </c>
      <c r="Q4311" s="16" t="s">
        <v>20</v>
      </c>
      <c r="R4311" s="17" t="s">
        <v>1769</v>
      </c>
      <c r="S4311" s="121" t="s">
        <v>2360</v>
      </c>
      <c r="T4311" s="122"/>
      <c r="U4311" s="22"/>
      <c r="V4311" s="123" t="s">
        <v>2747</v>
      </c>
      <c r="W4311" s="122">
        <v>2039</v>
      </c>
      <c r="X4311" s="221"/>
      <c r="Y4311" s="221"/>
      <c r="Z4311" s="221"/>
      <c r="AA4311" s="221"/>
      <c r="AB4311" s="223"/>
    </row>
    <row r="4312" spans="1:28" ht="17.100000000000001" customHeight="1" thickTop="1">
      <c r="A4312" s="226" t="s">
        <v>12844</v>
      </c>
      <c r="B4312" s="28">
        <v>46002</v>
      </c>
      <c r="C4312" s="25">
        <v>2138</v>
      </c>
      <c r="D4312" s="13" t="s">
        <v>1704</v>
      </c>
      <c r="E4312" s="228"/>
      <c r="F4312" s="109" t="s">
        <v>8863</v>
      </c>
      <c r="G4312" s="24"/>
      <c r="H4312" s="230">
        <v>4</v>
      </c>
      <c r="I4312" s="220">
        <v>1136000</v>
      </c>
      <c r="J4312" s="220">
        <f>I4312*0.1</f>
        <v>113600</v>
      </c>
      <c r="K4312" s="220">
        <v>0</v>
      </c>
      <c r="L4312" s="220">
        <v>6830</v>
      </c>
      <c r="M4312" s="220">
        <v>14300</v>
      </c>
      <c r="N4312" s="220">
        <f>SUM(I4312:M4313)</f>
        <v>1270730</v>
      </c>
      <c r="O4312" s="224"/>
      <c r="P4312" s="110" t="s">
        <v>13548</v>
      </c>
      <c r="Q4312" s="15" t="s">
        <v>19</v>
      </c>
      <c r="R4312" s="205"/>
      <c r="S4312" s="189" t="s">
        <v>1276</v>
      </c>
      <c r="T4312" s="114"/>
      <c r="U4312" s="21"/>
      <c r="V4312" s="115">
        <v>46011</v>
      </c>
      <c r="W4312" s="116">
        <v>1281</v>
      </c>
      <c r="X4312" s="220">
        <v>1190000</v>
      </c>
      <c r="Y4312" s="220">
        <f>X4312*0.1</f>
        <v>119000</v>
      </c>
      <c r="Z4312" s="220">
        <v>6830</v>
      </c>
      <c r="AA4312" s="220">
        <f>SUM(X4312:Z4312)</f>
        <v>1315830</v>
      </c>
      <c r="AB4312" s="222">
        <v>46014</v>
      </c>
    </row>
    <row r="4313" spans="1:28" ht="17.100000000000001" customHeight="1" thickBot="1">
      <c r="A4313" s="227"/>
      <c r="B4313" s="27" t="s">
        <v>3228</v>
      </c>
      <c r="C4313" s="27">
        <v>2561</v>
      </c>
      <c r="D4313" s="14" t="s">
        <v>1568</v>
      </c>
      <c r="E4313" s="229"/>
      <c r="F4313" s="117" t="s">
        <v>12732</v>
      </c>
      <c r="G4313" s="26">
        <v>11059</v>
      </c>
      <c r="H4313" s="231"/>
      <c r="I4313" s="221"/>
      <c r="J4313" s="221"/>
      <c r="K4313" s="221"/>
      <c r="L4313" s="221"/>
      <c r="M4313" s="221"/>
      <c r="N4313" s="221"/>
      <c r="O4313" s="225"/>
      <c r="P4313" s="118" t="s">
        <v>8539</v>
      </c>
      <c r="Q4313" s="16" t="s">
        <v>20</v>
      </c>
      <c r="R4313" s="17" t="s">
        <v>13537</v>
      </c>
      <c r="S4313" s="121" t="s">
        <v>13549</v>
      </c>
      <c r="T4313" s="122"/>
      <c r="U4313" s="22"/>
      <c r="V4313" s="123" t="s">
        <v>2472</v>
      </c>
      <c r="W4313" s="122">
        <v>60013</v>
      </c>
      <c r="X4313" s="221"/>
      <c r="Y4313" s="221"/>
      <c r="Z4313" s="221"/>
      <c r="AA4313" s="221"/>
      <c r="AB4313" s="223"/>
    </row>
    <row r="4314" spans="1:28" ht="17.100000000000001" customHeight="1" thickTop="1">
      <c r="A4314" s="226" t="s">
        <v>12845</v>
      </c>
      <c r="B4314" s="28">
        <v>46002</v>
      </c>
      <c r="C4314" s="25">
        <v>2138</v>
      </c>
      <c r="D4314" s="13" t="s">
        <v>1640</v>
      </c>
      <c r="E4314" s="228"/>
      <c r="F4314" s="109" t="s">
        <v>12733</v>
      </c>
      <c r="G4314" s="24" t="s">
        <v>9488</v>
      </c>
      <c r="H4314" s="230">
        <v>4</v>
      </c>
      <c r="I4314" s="220">
        <v>304000</v>
      </c>
      <c r="J4314" s="220">
        <f>I4314*0.1</f>
        <v>30400</v>
      </c>
      <c r="K4314" s="220">
        <v>0</v>
      </c>
      <c r="L4314" s="220">
        <v>9470</v>
      </c>
      <c r="M4314" s="220">
        <v>14300</v>
      </c>
      <c r="N4314" s="220">
        <f>SUM(I4314:M4315)</f>
        <v>358170</v>
      </c>
      <c r="O4314" s="224"/>
      <c r="P4314" s="110" t="s">
        <v>12735</v>
      </c>
      <c r="Q4314" s="15" t="s">
        <v>19</v>
      </c>
      <c r="R4314" s="205"/>
      <c r="S4314" s="189"/>
      <c r="T4314" s="114"/>
      <c r="U4314" s="21"/>
      <c r="V4314" s="115">
        <v>46008</v>
      </c>
      <c r="W4314" s="116">
        <v>997</v>
      </c>
      <c r="X4314" s="220">
        <v>420000</v>
      </c>
      <c r="Y4314" s="220">
        <f>X4314*0.1</f>
        <v>42000</v>
      </c>
      <c r="Z4314" s="220">
        <v>9470</v>
      </c>
      <c r="AA4314" s="220">
        <f>SUM(X4314:Z4314)</f>
        <v>471470</v>
      </c>
      <c r="AB4314" s="222">
        <v>46013</v>
      </c>
    </row>
    <row r="4315" spans="1:28" ht="17.100000000000001" customHeight="1" thickBot="1">
      <c r="A4315" s="227"/>
      <c r="B4315" s="27" t="s">
        <v>3228</v>
      </c>
      <c r="C4315" s="27">
        <v>2564</v>
      </c>
      <c r="D4315" s="14" t="s">
        <v>3274</v>
      </c>
      <c r="E4315" s="229"/>
      <c r="F4315" s="117" t="s">
        <v>12734</v>
      </c>
      <c r="G4315" s="26">
        <v>45859</v>
      </c>
      <c r="H4315" s="231"/>
      <c r="I4315" s="221"/>
      <c r="J4315" s="221"/>
      <c r="K4315" s="221"/>
      <c r="L4315" s="221"/>
      <c r="M4315" s="221"/>
      <c r="N4315" s="221"/>
      <c r="O4315" s="225"/>
      <c r="P4315" s="118" t="s">
        <v>13346</v>
      </c>
      <c r="Q4315" s="16" t="s">
        <v>20</v>
      </c>
      <c r="R4315" s="17" t="s">
        <v>1769</v>
      </c>
      <c r="S4315" s="121"/>
      <c r="T4315" s="122"/>
      <c r="U4315" s="22"/>
      <c r="V4315" s="123" t="s">
        <v>2747</v>
      </c>
      <c r="W4315" s="122">
        <v>2031</v>
      </c>
      <c r="X4315" s="221"/>
      <c r="Y4315" s="221"/>
      <c r="Z4315" s="221"/>
      <c r="AA4315" s="221"/>
      <c r="AB4315" s="223"/>
    </row>
    <row r="4316" spans="1:28" ht="17.100000000000001" customHeight="1" thickTop="1">
      <c r="A4316" s="226" t="s">
        <v>12846</v>
      </c>
      <c r="B4316" s="28">
        <v>46002</v>
      </c>
      <c r="C4316" s="25">
        <v>2138</v>
      </c>
      <c r="D4316" s="13" t="s">
        <v>1810</v>
      </c>
      <c r="E4316" s="228"/>
      <c r="F4316" s="109" t="s">
        <v>6851</v>
      </c>
      <c r="G4316" s="24"/>
      <c r="H4316" s="230">
        <v>4</v>
      </c>
      <c r="I4316" s="220">
        <v>1200000</v>
      </c>
      <c r="J4316" s="220">
        <f>I4316*0.1</f>
        <v>120000</v>
      </c>
      <c r="K4316" s="220">
        <v>0</v>
      </c>
      <c r="L4316" s="220">
        <v>7040</v>
      </c>
      <c r="M4316" s="220">
        <v>14300</v>
      </c>
      <c r="N4316" s="220">
        <f>SUM(I4316:M4317)</f>
        <v>1341340</v>
      </c>
      <c r="O4316" s="224"/>
      <c r="P4316" s="110" t="s">
        <v>13447</v>
      </c>
      <c r="Q4316" s="15" t="s">
        <v>19</v>
      </c>
      <c r="R4316" s="205"/>
      <c r="S4316" s="189"/>
      <c r="T4316" s="114"/>
      <c r="U4316" s="21"/>
      <c r="V4316" s="115">
        <v>46015</v>
      </c>
      <c r="W4316" s="116">
        <v>998</v>
      </c>
      <c r="X4316" s="220">
        <v>1300000</v>
      </c>
      <c r="Y4316" s="220">
        <f>X4316*0.1</f>
        <v>130000</v>
      </c>
      <c r="Z4316" s="220">
        <v>7040</v>
      </c>
      <c r="AA4316" s="220">
        <f>SUM(X4316:Z4316)</f>
        <v>1437040</v>
      </c>
      <c r="AB4316" s="222">
        <v>46027</v>
      </c>
    </row>
    <row r="4317" spans="1:28" ht="17.100000000000001" customHeight="1" thickBot="1">
      <c r="A4317" s="227"/>
      <c r="B4317" s="27" t="s">
        <v>3228</v>
      </c>
      <c r="C4317" s="27">
        <v>2571</v>
      </c>
      <c r="D4317" s="14" t="s">
        <v>273</v>
      </c>
      <c r="E4317" s="229"/>
      <c r="F4317" s="117" t="s">
        <v>12736</v>
      </c>
      <c r="G4317" s="26">
        <v>28741</v>
      </c>
      <c r="H4317" s="231"/>
      <c r="I4317" s="221"/>
      <c r="J4317" s="221"/>
      <c r="K4317" s="221"/>
      <c r="L4317" s="221"/>
      <c r="M4317" s="221"/>
      <c r="N4317" s="221"/>
      <c r="O4317" s="225"/>
      <c r="P4317" s="118" t="s">
        <v>2615</v>
      </c>
      <c r="Q4317" s="16" t="s">
        <v>20</v>
      </c>
      <c r="R4317" s="17" t="s">
        <v>1769</v>
      </c>
      <c r="S4317" s="121"/>
      <c r="T4317" s="122"/>
      <c r="U4317" s="22"/>
      <c r="V4317" s="123" t="s">
        <v>2747</v>
      </c>
      <c r="W4317" s="122">
        <v>2023</v>
      </c>
      <c r="X4317" s="221"/>
      <c r="Y4317" s="221"/>
      <c r="Z4317" s="221"/>
      <c r="AA4317" s="221"/>
      <c r="AB4317" s="223"/>
    </row>
    <row r="4318" spans="1:28" ht="17.100000000000001" customHeight="1" thickTop="1">
      <c r="A4318" s="226" t="s">
        <v>12847</v>
      </c>
      <c r="B4318" s="28">
        <v>46002</v>
      </c>
      <c r="C4318" s="25">
        <v>1545</v>
      </c>
      <c r="D4318" s="13" t="s">
        <v>3739</v>
      </c>
      <c r="E4318" s="228"/>
      <c r="F4318" s="109" t="s">
        <v>12851</v>
      </c>
      <c r="G4318" s="24" t="s">
        <v>4968</v>
      </c>
      <c r="H4318" s="230">
        <v>4.5</v>
      </c>
      <c r="I4318" s="220">
        <v>2410000</v>
      </c>
      <c r="J4318" s="220">
        <f>I4318*0.1</f>
        <v>241000</v>
      </c>
      <c r="K4318" s="220">
        <f>7600+760</f>
        <v>8360</v>
      </c>
      <c r="L4318" s="220">
        <v>11740</v>
      </c>
      <c r="M4318" s="220">
        <v>16500</v>
      </c>
      <c r="N4318" s="220">
        <f>SUM(I4318:M4319)</f>
        <v>2687600</v>
      </c>
      <c r="O4318" s="224"/>
      <c r="P4318" s="110" t="s">
        <v>13464</v>
      </c>
      <c r="Q4318" s="15" t="s">
        <v>19</v>
      </c>
      <c r="R4318" s="205"/>
      <c r="S4318" s="189" t="s">
        <v>1271</v>
      </c>
      <c r="T4318" s="114"/>
      <c r="U4318" s="21"/>
      <c r="V4318" s="115"/>
      <c r="W4318" s="116"/>
      <c r="X4318" s="220"/>
      <c r="Y4318" s="220">
        <f>X4318*0.1</f>
        <v>0</v>
      </c>
      <c r="Z4318" s="220"/>
      <c r="AA4318" s="220">
        <f>SUM(X4318:Z4318)</f>
        <v>0</v>
      </c>
      <c r="AB4318" s="222"/>
    </row>
    <row r="4319" spans="1:28" ht="17.100000000000001" customHeight="1" thickBot="1">
      <c r="A4319" s="227"/>
      <c r="B4319" s="27" t="s">
        <v>1592</v>
      </c>
      <c r="C4319" s="27">
        <v>75783</v>
      </c>
      <c r="D4319" s="14" t="s">
        <v>1797</v>
      </c>
      <c r="E4319" s="229"/>
      <c r="F4319" s="117" t="s">
        <v>12852</v>
      </c>
      <c r="G4319" s="26">
        <v>23877</v>
      </c>
      <c r="H4319" s="231"/>
      <c r="I4319" s="221"/>
      <c r="J4319" s="221"/>
      <c r="K4319" s="221"/>
      <c r="L4319" s="221"/>
      <c r="M4319" s="221"/>
      <c r="N4319" s="221"/>
      <c r="O4319" s="225"/>
      <c r="P4319" s="118" t="s">
        <v>2782</v>
      </c>
      <c r="Q4319" s="16" t="s">
        <v>20</v>
      </c>
      <c r="R4319" s="17" t="s">
        <v>1769</v>
      </c>
      <c r="S4319" s="121" t="s">
        <v>1625</v>
      </c>
      <c r="T4319" s="122"/>
      <c r="U4319" s="22"/>
      <c r="V4319" s="123"/>
      <c r="W4319" s="122"/>
      <c r="X4319" s="221"/>
      <c r="Y4319" s="221"/>
      <c r="Z4319" s="221"/>
      <c r="AA4319" s="221"/>
      <c r="AB4319" s="223"/>
    </row>
    <row r="4320" spans="1:28" ht="17.100000000000001" customHeight="1" thickTop="1">
      <c r="A4320" s="233" t="s">
        <v>12848</v>
      </c>
      <c r="B4320" s="28">
        <v>46002</v>
      </c>
      <c r="C4320" s="25">
        <v>1310</v>
      </c>
      <c r="D4320" s="13" t="s">
        <v>1915</v>
      </c>
      <c r="E4320" s="228"/>
      <c r="F4320" s="109" t="s">
        <v>12854</v>
      </c>
      <c r="G4320" s="24"/>
      <c r="H4320" s="230">
        <v>4.5</v>
      </c>
      <c r="I4320" s="220">
        <v>1580000</v>
      </c>
      <c r="J4320" s="220">
        <f>I4320*0.1</f>
        <v>158000</v>
      </c>
      <c r="K4320" s="220">
        <v>0</v>
      </c>
      <c r="L4320" s="220">
        <v>21480</v>
      </c>
      <c r="M4320" s="220">
        <v>14300</v>
      </c>
      <c r="N4320" s="220">
        <f>SUM(I4320:M4321)</f>
        <v>1773780</v>
      </c>
      <c r="O4320" s="224"/>
      <c r="P4320" s="110" t="s">
        <v>13366</v>
      </c>
      <c r="Q4320" s="15" t="s">
        <v>19</v>
      </c>
      <c r="R4320" s="205"/>
      <c r="S4320" s="189" t="s">
        <v>1271</v>
      </c>
      <c r="T4320" s="114"/>
      <c r="U4320" s="21"/>
      <c r="V4320" s="115">
        <v>46039</v>
      </c>
      <c r="W4320" s="116">
        <v>1284</v>
      </c>
      <c r="X4320" s="220">
        <v>1680000</v>
      </c>
      <c r="Y4320" s="220">
        <f>X4320*0.1</f>
        <v>168000</v>
      </c>
      <c r="Z4320" s="220">
        <v>21480</v>
      </c>
      <c r="AA4320" s="220">
        <f>SUM(X4320:Z4320)</f>
        <v>1869480</v>
      </c>
      <c r="AB4320" s="222">
        <v>46042</v>
      </c>
    </row>
    <row r="4321" spans="1:28" ht="17.100000000000001" customHeight="1" thickBot="1">
      <c r="A4321" s="234"/>
      <c r="B4321" s="27" t="s">
        <v>1735</v>
      </c>
      <c r="C4321" s="27">
        <v>14</v>
      </c>
      <c r="D4321" s="14" t="s">
        <v>1584</v>
      </c>
      <c r="E4321" s="229"/>
      <c r="F4321" s="117" t="s">
        <v>12855</v>
      </c>
      <c r="G4321" s="26">
        <v>54188</v>
      </c>
      <c r="H4321" s="231"/>
      <c r="I4321" s="221"/>
      <c r="J4321" s="221"/>
      <c r="K4321" s="221"/>
      <c r="L4321" s="221"/>
      <c r="M4321" s="221"/>
      <c r="N4321" s="221"/>
      <c r="O4321" s="225"/>
      <c r="P4321" s="118" t="s">
        <v>8883</v>
      </c>
      <c r="Q4321" s="16" t="s">
        <v>20</v>
      </c>
      <c r="R4321" s="17" t="s">
        <v>1769</v>
      </c>
      <c r="S4321" s="121" t="s">
        <v>1731</v>
      </c>
      <c r="T4321" s="122"/>
      <c r="U4321" s="22"/>
      <c r="V4321" s="123" t="s">
        <v>2472</v>
      </c>
      <c r="W4321" s="122">
        <v>80106</v>
      </c>
      <c r="X4321" s="221"/>
      <c r="Y4321" s="221"/>
      <c r="Z4321" s="221"/>
      <c r="AA4321" s="221"/>
      <c r="AB4321" s="223"/>
    </row>
    <row r="4322" spans="1:28" ht="17.100000000000001" customHeight="1" thickTop="1">
      <c r="A4322" s="233" t="s">
        <v>12849</v>
      </c>
      <c r="B4322" s="28">
        <v>46002</v>
      </c>
      <c r="C4322" s="25">
        <v>1310</v>
      </c>
      <c r="D4322" s="13" t="s">
        <v>1754</v>
      </c>
      <c r="E4322" s="228"/>
      <c r="F4322" s="109" t="s">
        <v>1916</v>
      </c>
      <c r="G4322" s="24" t="s">
        <v>4315</v>
      </c>
      <c r="H4322" s="230">
        <v>4</v>
      </c>
      <c r="I4322" s="220">
        <v>485000</v>
      </c>
      <c r="J4322" s="220">
        <f>I4322*0.1</f>
        <v>48500</v>
      </c>
      <c r="K4322" s="220">
        <f>8600+860</f>
        <v>9460</v>
      </c>
      <c r="L4322" s="220">
        <v>18960</v>
      </c>
      <c r="M4322" s="220">
        <v>14300</v>
      </c>
      <c r="N4322" s="220">
        <f>SUM(I4322:M4323)</f>
        <v>576220</v>
      </c>
      <c r="O4322" s="224"/>
      <c r="P4322" s="110" t="s">
        <v>12858</v>
      </c>
      <c r="Q4322" s="15" t="s">
        <v>19</v>
      </c>
      <c r="R4322" s="205"/>
      <c r="S4322" s="189" t="s">
        <v>758</v>
      </c>
      <c r="T4322" s="114"/>
      <c r="U4322" s="21"/>
      <c r="V4322" s="115">
        <v>46032</v>
      </c>
      <c r="W4322" s="116">
        <v>1283</v>
      </c>
      <c r="X4322" s="220">
        <v>550000</v>
      </c>
      <c r="Y4322" s="220">
        <f>X4322*0.1</f>
        <v>55000</v>
      </c>
      <c r="Z4322" s="220">
        <v>18960</v>
      </c>
      <c r="AA4322" s="220">
        <f>SUM(X4322:Z4322)</f>
        <v>623960</v>
      </c>
      <c r="AB4322" s="222">
        <v>46036</v>
      </c>
    </row>
    <row r="4323" spans="1:28" ht="17.100000000000001" customHeight="1" thickBot="1">
      <c r="A4323" s="234"/>
      <c r="B4323" s="27" t="s">
        <v>1735</v>
      </c>
      <c r="C4323" s="27">
        <v>207</v>
      </c>
      <c r="D4323" s="14" t="s">
        <v>1568</v>
      </c>
      <c r="E4323" s="229"/>
      <c r="F4323" s="117" t="s">
        <v>12856</v>
      </c>
      <c r="G4323" s="26">
        <v>51440</v>
      </c>
      <c r="H4323" s="231"/>
      <c r="I4323" s="221"/>
      <c r="J4323" s="221"/>
      <c r="K4323" s="221"/>
      <c r="L4323" s="221"/>
      <c r="M4323" s="221"/>
      <c r="N4323" s="221"/>
      <c r="O4323" s="225"/>
      <c r="P4323" s="118" t="s">
        <v>3545</v>
      </c>
      <c r="Q4323" s="16" t="s">
        <v>20</v>
      </c>
      <c r="R4323" s="17" t="s">
        <v>1745</v>
      </c>
      <c r="S4323" s="121" t="s">
        <v>169</v>
      </c>
      <c r="T4323" s="122"/>
      <c r="U4323" s="22"/>
      <c r="V4323" s="123" t="s">
        <v>2472</v>
      </c>
      <c r="W4323" s="122">
        <v>80065</v>
      </c>
      <c r="X4323" s="221"/>
      <c r="Y4323" s="221"/>
      <c r="Z4323" s="221"/>
      <c r="AA4323" s="221"/>
      <c r="AB4323" s="223"/>
    </row>
    <row r="4324" spans="1:28" ht="17.100000000000001" customHeight="1" thickTop="1">
      <c r="A4324" s="226" t="s">
        <v>12850</v>
      </c>
      <c r="B4324" s="28">
        <v>46002</v>
      </c>
      <c r="C4324" s="25">
        <v>1310</v>
      </c>
      <c r="D4324" s="13" t="s">
        <v>1810</v>
      </c>
      <c r="E4324" s="228"/>
      <c r="F4324" s="109" t="s">
        <v>12857</v>
      </c>
      <c r="G4324" s="24"/>
      <c r="H4324" s="230">
        <v>4.5</v>
      </c>
      <c r="I4324" s="220">
        <v>2815000</v>
      </c>
      <c r="J4324" s="220">
        <f>I4324*0.1</f>
        <v>281500</v>
      </c>
      <c r="K4324" s="220">
        <v>0</v>
      </c>
      <c r="L4324" s="220">
        <v>12550</v>
      </c>
      <c r="M4324" s="220">
        <v>14300</v>
      </c>
      <c r="N4324" s="220">
        <f>SUM(I4324:M4325)</f>
        <v>3123350</v>
      </c>
      <c r="O4324" s="224"/>
      <c r="P4324" s="110" t="s">
        <v>13375</v>
      </c>
      <c r="Q4324" s="15" t="s">
        <v>19</v>
      </c>
      <c r="R4324" s="205"/>
      <c r="S4324" s="189" t="s">
        <v>1271</v>
      </c>
      <c r="T4324" s="114"/>
      <c r="U4324" s="21"/>
      <c r="V4324" s="115">
        <v>46015</v>
      </c>
      <c r="W4324" s="116">
        <v>998</v>
      </c>
      <c r="X4324" s="220">
        <v>2900000</v>
      </c>
      <c r="Y4324" s="220">
        <f>X4324*0.1</f>
        <v>290000</v>
      </c>
      <c r="Z4324" s="220">
        <v>12550</v>
      </c>
      <c r="AA4324" s="220">
        <f>SUM(X4324:Z4324)</f>
        <v>3202550</v>
      </c>
      <c r="AB4324" s="222">
        <v>46027</v>
      </c>
    </row>
    <row r="4325" spans="1:28" ht="17.100000000000001" customHeight="1" thickBot="1">
      <c r="A4325" s="227"/>
      <c r="B4325" s="27" t="s">
        <v>1735</v>
      </c>
      <c r="C4325" s="27">
        <v>759</v>
      </c>
      <c r="D4325" s="14" t="s">
        <v>273</v>
      </c>
      <c r="E4325" s="229"/>
      <c r="F4325" s="117" t="s">
        <v>12859</v>
      </c>
      <c r="G4325" s="26">
        <v>28692</v>
      </c>
      <c r="H4325" s="231"/>
      <c r="I4325" s="221"/>
      <c r="J4325" s="221"/>
      <c r="K4325" s="221"/>
      <c r="L4325" s="221"/>
      <c r="M4325" s="221"/>
      <c r="N4325" s="221"/>
      <c r="O4325" s="225"/>
      <c r="P4325" s="118" t="s">
        <v>8883</v>
      </c>
      <c r="Q4325" s="16" t="s">
        <v>20</v>
      </c>
      <c r="R4325" s="17" t="s">
        <v>1769</v>
      </c>
      <c r="S4325" s="121" t="s">
        <v>1731</v>
      </c>
      <c r="T4325" s="122"/>
      <c r="U4325" s="22"/>
      <c r="V4325" s="123" t="s">
        <v>2747</v>
      </c>
      <c r="W4325" s="122">
        <v>6057</v>
      </c>
      <c r="X4325" s="221"/>
      <c r="Y4325" s="221"/>
      <c r="Z4325" s="221"/>
      <c r="AA4325" s="221"/>
      <c r="AB4325" s="223"/>
    </row>
    <row r="4326" spans="1:28" ht="17.100000000000001" customHeight="1" thickTop="1">
      <c r="A4326" s="226" t="s">
        <v>12853</v>
      </c>
      <c r="B4326" s="28">
        <v>46002</v>
      </c>
      <c r="C4326" s="25">
        <v>1310</v>
      </c>
      <c r="D4326" s="13" t="s">
        <v>2010</v>
      </c>
      <c r="E4326" s="228"/>
      <c r="F4326" s="109" t="s">
        <v>12860</v>
      </c>
      <c r="G4326" s="24" t="s">
        <v>2487</v>
      </c>
      <c r="H4326" s="230">
        <v>4.5</v>
      </c>
      <c r="I4326" s="220">
        <v>3420000</v>
      </c>
      <c r="J4326" s="220">
        <f>I4326*0.1</f>
        <v>342000</v>
      </c>
      <c r="K4326" s="220">
        <f>10800+1080</f>
        <v>11880</v>
      </c>
      <c r="L4326" s="220">
        <v>14930</v>
      </c>
      <c r="M4326" s="220">
        <v>14300</v>
      </c>
      <c r="N4326" s="220">
        <f>SUM(I4326:M4327)</f>
        <v>3803110</v>
      </c>
      <c r="O4326" s="224"/>
      <c r="P4326" s="110" t="s">
        <v>12862</v>
      </c>
      <c r="Q4326" s="15" t="s">
        <v>19</v>
      </c>
      <c r="R4326" s="205"/>
      <c r="S4326" s="189" t="s">
        <v>1271</v>
      </c>
      <c r="T4326" s="114"/>
      <c r="U4326" s="21"/>
      <c r="V4326" s="115">
        <v>46008</v>
      </c>
      <c r="W4326" s="116">
        <v>997</v>
      </c>
      <c r="X4326" s="220">
        <v>3580000</v>
      </c>
      <c r="Y4326" s="220">
        <f>X4326*0.1</f>
        <v>358000</v>
      </c>
      <c r="Z4326" s="220">
        <v>14930</v>
      </c>
      <c r="AA4326" s="220">
        <f>SUM(X4326:Z4326)</f>
        <v>3952930</v>
      </c>
      <c r="AB4326" s="222">
        <v>46013</v>
      </c>
    </row>
    <row r="4327" spans="1:28" ht="17.100000000000001" customHeight="1" thickBot="1">
      <c r="A4327" s="227"/>
      <c r="B4327" s="27" t="s">
        <v>1735</v>
      </c>
      <c r="C4327" s="27">
        <v>766</v>
      </c>
      <c r="D4327" s="14" t="s">
        <v>2559</v>
      </c>
      <c r="E4327" s="229"/>
      <c r="F4327" s="117" t="s">
        <v>12861</v>
      </c>
      <c r="G4327" s="26">
        <v>39667</v>
      </c>
      <c r="H4327" s="231"/>
      <c r="I4327" s="221"/>
      <c r="J4327" s="221"/>
      <c r="K4327" s="221"/>
      <c r="L4327" s="221"/>
      <c r="M4327" s="221"/>
      <c r="N4327" s="221"/>
      <c r="O4327" s="225"/>
      <c r="P4327" s="118" t="s">
        <v>1844</v>
      </c>
      <c r="Q4327" s="16" t="s">
        <v>20</v>
      </c>
      <c r="R4327" s="17" t="s">
        <v>1769</v>
      </c>
      <c r="S4327" s="121" t="s">
        <v>13347</v>
      </c>
      <c r="T4327" s="122"/>
      <c r="U4327" s="22"/>
      <c r="V4327" s="123" t="s">
        <v>2747</v>
      </c>
      <c r="W4327" s="122">
        <v>5037</v>
      </c>
      <c r="X4327" s="221"/>
      <c r="Y4327" s="221"/>
      <c r="Z4327" s="221"/>
      <c r="AA4327" s="221"/>
      <c r="AB4327" s="223"/>
    </row>
    <row r="4328" spans="1:28" ht="17.100000000000001" customHeight="1" thickTop="1">
      <c r="A4328" s="226" t="s">
        <v>12910</v>
      </c>
      <c r="B4328" s="28">
        <v>46002</v>
      </c>
      <c r="C4328" s="25"/>
      <c r="D4328" s="13" t="s">
        <v>3644</v>
      </c>
      <c r="E4328" s="228"/>
      <c r="F4328" s="109" t="s">
        <v>12912</v>
      </c>
      <c r="G4328" s="24" t="s">
        <v>2894</v>
      </c>
      <c r="H4328" s="230"/>
      <c r="I4328" s="220">
        <v>0</v>
      </c>
      <c r="J4328" s="220">
        <f>I4328*0.1</f>
        <v>0</v>
      </c>
      <c r="K4328" s="220">
        <v>0</v>
      </c>
      <c r="L4328" s="220">
        <v>0</v>
      </c>
      <c r="M4328" s="220">
        <v>0</v>
      </c>
      <c r="N4328" s="220">
        <f>SUM(I4328:M4329)</f>
        <v>0</v>
      </c>
      <c r="O4328" s="224"/>
      <c r="P4328" s="110" t="s">
        <v>12914</v>
      </c>
      <c r="Q4328" s="15" t="s">
        <v>19</v>
      </c>
      <c r="R4328" s="205"/>
      <c r="S4328" s="189"/>
      <c r="T4328" s="114"/>
      <c r="U4328" s="21"/>
      <c r="V4328" s="115">
        <v>46092</v>
      </c>
      <c r="W4328" s="116">
        <v>1008</v>
      </c>
      <c r="X4328" s="220">
        <v>116000</v>
      </c>
      <c r="Y4328" s="220">
        <f>X4328*0.1</f>
        <v>11600</v>
      </c>
      <c r="Z4328" s="220">
        <v>16380</v>
      </c>
      <c r="AA4328" s="220">
        <f>SUM(X4328:Z4328)</f>
        <v>143980</v>
      </c>
      <c r="AB4328" s="222">
        <v>46098</v>
      </c>
    </row>
    <row r="4329" spans="1:28" ht="17.100000000000001" customHeight="1" thickBot="1">
      <c r="A4329" s="227"/>
      <c r="B4329" s="27" t="s">
        <v>12911</v>
      </c>
      <c r="C4329" s="27"/>
      <c r="D4329" s="14"/>
      <c r="E4329" s="229"/>
      <c r="F4329" s="117" t="s">
        <v>12913</v>
      </c>
      <c r="G4329" s="26"/>
      <c r="H4329" s="231"/>
      <c r="I4329" s="221"/>
      <c r="J4329" s="221"/>
      <c r="K4329" s="221"/>
      <c r="L4329" s="221"/>
      <c r="M4329" s="221"/>
      <c r="N4329" s="221"/>
      <c r="O4329" s="225"/>
      <c r="P4329" s="118" t="s">
        <v>12915</v>
      </c>
      <c r="Q4329" s="16" t="s">
        <v>20</v>
      </c>
      <c r="R4329" s="17" t="s">
        <v>12649</v>
      </c>
      <c r="S4329" s="121" t="s">
        <v>1597</v>
      </c>
      <c r="T4329" s="122"/>
      <c r="U4329" s="22" t="s">
        <v>3427</v>
      </c>
      <c r="V4329" s="123" t="s">
        <v>19459</v>
      </c>
      <c r="W4329" s="122">
        <v>9090</v>
      </c>
      <c r="X4329" s="221"/>
      <c r="Y4329" s="221"/>
      <c r="Z4329" s="221"/>
      <c r="AA4329" s="221"/>
      <c r="AB4329" s="223"/>
    </row>
    <row r="4330" spans="1:28" ht="17.100000000000001" customHeight="1" thickTop="1">
      <c r="A4330" s="226" t="s">
        <v>12925</v>
      </c>
      <c r="B4330" s="28">
        <v>46003</v>
      </c>
      <c r="C4330" s="25">
        <v>1771</v>
      </c>
      <c r="D4330" s="13" t="s">
        <v>2264</v>
      </c>
      <c r="E4330" s="228"/>
      <c r="F4330" s="109" t="s">
        <v>12854</v>
      </c>
      <c r="G4330" s="24"/>
      <c r="H4330" s="230">
        <v>4</v>
      </c>
      <c r="I4330" s="220">
        <v>1575000</v>
      </c>
      <c r="J4330" s="220">
        <f>I4330*0.1</f>
        <v>157500</v>
      </c>
      <c r="K4330" s="220">
        <v>0</v>
      </c>
      <c r="L4330" s="220">
        <v>20630</v>
      </c>
      <c r="M4330" s="220">
        <v>16500</v>
      </c>
      <c r="N4330" s="220">
        <f>SUM(I4330:M4331)</f>
        <v>1769630</v>
      </c>
      <c r="O4330" s="224"/>
      <c r="P4330" s="110" t="s">
        <v>13372</v>
      </c>
      <c r="Q4330" s="15" t="s">
        <v>19</v>
      </c>
      <c r="R4330" s="205"/>
      <c r="S4330" s="189" t="s">
        <v>1406</v>
      </c>
      <c r="T4330" s="114"/>
      <c r="U4330" s="21"/>
      <c r="V4330" s="115">
        <v>46067</v>
      </c>
      <c r="W4330" s="116">
        <v>1288</v>
      </c>
      <c r="X4330" s="220">
        <v>1700000</v>
      </c>
      <c r="Y4330" s="220">
        <f>X4330*0.1</f>
        <v>170000</v>
      </c>
      <c r="Z4330" s="220">
        <v>20630</v>
      </c>
      <c r="AA4330" s="220">
        <f>SUM(X4330:Z4330)</f>
        <v>1890630</v>
      </c>
      <c r="AB4330" s="222">
        <v>46070</v>
      </c>
    </row>
    <row r="4331" spans="1:28" ht="17.100000000000001" customHeight="1" thickBot="1">
      <c r="A4331" s="227"/>
      <c r="B4331" s="27" t="s">
        <v>2455</v>
      </c>
      <c r="C4331" s="27">
        <v>3481</v>
      </c>
      <c r="D4331" s="14" t="s">
        <v>1710</v>
      </c>
      <c r="E4331" s="229"/>
      <c r="F4331" s="117" t="s">
        <v>12863</v>
      </c>
      <c r="G4331" s="26">
        <v>60170</v>
      </c>
      <c r="H4331" s="231"/>
      <c r="I4331" s="221"/>
      <c r="J4331" s="221"/>
      <c r="K4331" s="221"/>
      <c r="L4331" s="221"/>
      <c r="M4331" s="221"/>
      <c r="N4331" s="221"/>
      <c r="O4331" s="225"/>
      <c r="P4331" s="118" t="s">
        <v>4626</v>
      </c>
      <c r="Q4331" s="16" t="s">
        <v>20</v>
      </c>
      <c r="R4331" s="17" t="s">
        <v>1769</v>
      </c>
      <c r="S4331" s="121" t="s">
        <v>1731</v>
      </c>
      <c r="T4331" s="122"/>
      <c r="U4331" s="22"/>
      <c r="V4331" s="123" t="s">
        <v>2472</v>
      </c>
      <c r="W4331" s="122">
        <v>80117</v>
      </c>
      <c r="X4331" s="221"/>
      <c r="Y4331" s="221"/>
      <c r="Z4331" s="221"/>
      <c r="AA4331" s="221"/>
      <c r="AB4331" s="223"/>
    </row>
    <row r="4332" spans="1:28" ht="17.100000000000001" customHeight="1" thickTop="1">
      <c r="A4332" s="226" t="s">
        <v>12926</v>
      </c>
      <c r="B4332" s="28">
        <v>46003</v>
      </c>
      <c r="C4332" s="25">
        <v>270</v>
      </c>
      <c r="D4332" s="13" t="s">
        <v>3332</v>
      </c>
      <c r="E4332" s="228"/>
      <c r="F4332" s="109" t="s">
        <v>12864</v>
      </c>
      <c r="G4332" s="24"/>
      <c r="H4332" s="230">
        <v>5</v>
      </c>
      <c r="I4332" s="220">
        <v>534000</v>
      </c>
      <c r="J4332" s="220">
        <f>I4332*0.1</f>
        <v>53400</v>
      </c>
      <c r="K4332" s="220">
        <v>0</v>
      </c>
      <c r="L4332" s="220">
        <v>7140</v>
      </c>
      <c r="M4332" s="220">
        <v>22000</v>
      </c>
      <c r="N4332" s="220">
        <f>SUM(I4332:M4333)</f>
        <v>616540</v>
      </c>
      <c r="O4332" s="224"/>
      <c r="P4332" s="110" t="s">
        <v>13272</v>
      </c>
      <c r="Q4332" s="15" t="s">
        <v>19</v>
      </c>
      <c r="R4332" s="205"/>
      <c r="S4332" s="189" t="s">
        <v>25394</v>
      </c>
      <c r="T4332" s="114"/>
      <c r="U4332" s="21"/>
      <c r="V4332" s="115">
        <v>46050</v>
      </c>
      <c r="W4332" s="116">
        <v>1002</v>
      </c>
      <c r="X4332" s="220">
        <v>585000</v>
      </c>
      <c r="Y4332" s="220">
        <f>X4332*0.1</f>
        <v>58500</v>
      </c>
      <c r="Z4332" s="220">
        <v>7140</v>
      </c>
      <c r="AA4332" s="220">
        <f>SUM(X4332:Z4332)</f>
        <v>650640</v>
      </c>
      <c r="AB4332" s="222">
        <v>46055</v>
      </c>
    </row>
    <row r="4333" spans="1:28" ht="17.100000000000001" customHeight="1" thickBot="1">
      <c r="A4333" s="227"/>
      <c r="B4333" s="27" t="s">
        <v>3890</v>
      </c>
      <c r="C4333" s="27">
        <v>10</v>
      </c>
      <c r="D4333" s="14" t="s">
        <v>2559</v>
      </c>
      <c r="E4333" s="229"/>
      <c r="F4333" s="117" t="s">
        <v>12865</v>
      </c>
      <c r="G4333" s="26">
        <v>45941</v>
      </c>
      <c r="H4333" s="231"/>
      <c r="I4333" s="221"/>
      <c r="J4333" s="221"/>
      <c r="K4333" s="221"/>
      <c r="L4333" s="221"/>
      <c r="M4333" s="221"/>
      <c r="N4333" s="221"/>
      <c r="O4333" s="225"/>
      <c r="P4333" s="118" t="s">
        <v>12142</v>
      </c>
      <c r="Q4333" s="16" t="s">
        <v>20</v>
      </c>
      <c r="R4333" s="17" t="s">
        <v>1745</v>
      </c>
      <c r="S4333" s="121" t="s">
        <v>15040</v>
      </c>
      <c r="T4333" s="122"/>
      <c r="U4333" s="22"/>
      <c r="V4333" s="123" t="s">
        <v>2747</v>
      </c>
      <c r="W4333" s="122">
        <v>2014</v>
      </c>
      <c r="X4333" s="221"/>
      <c r="Y4333" s="221"/>
      <c r="Z4333" s="221"/>
      <c r="AA4333" s="221"/>
      <c r="AB4333" s="223"/>
    </row>
    <row r="4334" spans="1:28" ht="17.100000000000001" customHeight="1" thickTop="1">
      <c r="A4334" s="226" t="s">
        <v>12927</v>
      </c>
      <c r="B4334" s="28">
        <v>46003</v>
      </c>
      <c r="C4334" s="25">
        <v>270</v>
      </c>
      <c r="D4334" s="13" t="s">
        <v>1808</v>
      </c>
      <c r="E4334" s="228"/>
      <c r="F4334" s="109" t="s">
        <v>12866</v>
      </c>
      <c r="G4334" s="24" t="s">
        <v>4120</v>
      </c>
      <c r="H4334" s="230">
        <v>4</v>
      </c>
      <c r="I4334" s="220">
        <v>180000</v>
      </c>
      <c r="J4334" s="220">
        <f>I4334*0.1</f>
        <v>18000</v>
      </c>
      <c r="K4334" s="220">
        <v>0</v>
      </c>
      <c r="L4334" s="220">
        <v>9770</v>
      </c>
      <c r="M4334" s="220">
        <v>22000</v>
      </c>
      <c r="N4334" s="220">
        <f>SUM(I4334:M4335)</f>
        <v>229770</v>
      </c>
      <c r="O4334" s="224"/>
      <c r="P4334" s="110" t="s">
        <v>12868</v>
      </c>
      <c r="Q4334" s="15" t="s">
        <v>19</v>
      </c>
      <c r="R4334" s="205"/>
      <c r="S4334" s="189"/>
      <c r="T4334" s="114"/>
      <c r="U4334" s="21"/>
      <c r="V4334" s="115">
        <v>46008</v>
      </c>
      <c r="W4334" s="116">
        <v>997</v>
      </c>
      <c r="X4334" s="220">
        <v>350000</v>
      </c>
      <c r="Y4334" s="220">
        <f>X4334*0.1</f>
        <v>35000</v>
      </c>
      <c r="Z4334" s="220">
        <v>9770</v>
      </c>
      <c r="AA4334" s="220">
        <f>SUM(X4334:Z4334)</f>
        <v>394770</v>
      </c>
      <c r="AB4334" s="222">
        <v>46014</v>
      </c>
    </row>
    <row r="4335" spans="1:28" ht="17.100000000000001" customHeight="1" thickBot="1">
      <c r="A4335" s="227"/>
      <c r="B4335" s="27" t="s">
        <v>3890</v>
      </c>
      <c r="C4335" s="27">
        <v>35</v>
      </c>
      <c r="D4335" s="14" t="s">
        <v>1568</v>
      </c>
      <c r="E4335" s="229"/>
      <c r="F4335" s="117" t="s">
        <v>12867</v>
      </c>
      <c r="G4335" s="26">
        <v>62594</v>
      </c>
      <c r="H4335" s="231"/>
      <c r="I4335" s="221"/>
      <c r="J4335" s="221"/>
      <c r="K4335" s="221"/>
      <c r="L4335" s="221"/>
      <c r="M4335" s="221"/>
      <c r="N4335" s="221"/>
      <c r="O4335" s="225"/>
      <c r="P4335" s="118" t="s">
        <v>13364</v>
      </c>
      <c r="Q4335" s="16" t="s">
        <v>20</v>
      </c>
      <c r="R4335" s="17" t="s">
        <v>1769</v>
      </c>
      <c r="S4335" s="121"/>
      <c r="T4335" s="122"/>
      <c r="U4335" s="22"/>
      <c r="V4335" s="123" t="s">
        <v>2747</v>
      </c>
      <c r="W4335" s="122">
        <v>2035</v>
      </c>
      <c r="X4335" s="221"/>
      <c r="Y4335" s="221"/>
      <c r="Z4335" s="221"/>
      <c r="AA4335" s="221"/>
      <c r="AB4335" s="223"/>
    </row>
    <row r="4336" spans="1:28" ht="17.100000000000001" customHeight="1" thickTop="1">
      <c r="A4336" s="226" t="s">
        <v>12928</v>
      </c>
      <c r="B4336" s="28">
        <v>46003</v>
      </c>
      <c r="C4336" s="25">
        <v>270</v>
      </c>
      <c r="D4336" s="13" t="s">
        <v>3271</v>
      </c>
      <c r="E4336" s="228"/>
      <c r="F4336" s="109" t="s">
        <v>9048</v>
      </c>
      <c r="G4336" s="24" t="s">
        <v>2543</v>
      </c>
      <c r="H4336" s="230">
        <v>4.5</v>
      </c>
      <c r="I4336" s="220">
        <v>1305000</v>
      </c>
      <c r="J4336" s="220">
        <f>I4336*0.1</f>
        <v>130500</v>
      </c>
      <c r="K4336" s="220">
        <v>0</v>
      </c>
      <c r="L4336" s="220">
        <v>7230</v>
      </c>
      <c r="M4336" s="220">
        <v>22000</v>
      </c>
      <c r="N4336" s="220">
        <f>SUM(I4336:M4337)</f>
        <v>1464730</v>
      </c>
      <c r="O4336" s="224"/>
      <c r="P4336" s="110" t="s">
        <v>12870</v>
      </c>
      <c r="Q4336" s="15" t="s">
        <v>19</v>
      </c>
      <c r="R4336" s="205"/>
      <c r="S4336" s="189"/>
      <c r="T4336" s="114"/>
      <c r="U4336" s="21" t="s">
        <v>14620</v>
      </c>
      <c r="V4336" s="115">
        <v>46035</v>
      </c>
      <c r="W4336" s="116">
        <v>1924</v>
      </c>
      <c r="X4336" s="220">
        <v>1376000</v>
      </c>
      <c r="Y4336" s="220">
        <f>X4336*0.1</f>
        <v>137600</v>
      </c>
      <c r="Z4336" s="220">
        <v>7230</v>
      </c>
      <c r="AA4336" s="220">
        <f>SUM(X4336:Z4336)</f>
        <v>1520830</v>
      </c>
      <c r="AB4336" s="222"/>
    </row>
    <row r="4337" spans="1:28" ht="17.100000000000001" customHeight="1" thickBot="1">
      <c r="A4337" s="227"/>
      <c r="B4337" s="27" t="s">
        <v>3890</v>
      </c>
      <c r="C4337" s="27">
        <v>40</v>
      </c>
      <c r="D4337" s="14" t="s">
        <v>131</v>
      </c>
      <c r="E4337" s="229"/>
      <c r="F4337" s="117" t="s">
        <v>12869</v>
      </c>
      <c r="G4337" s="26">
        <v>3718</v>
      </c>
      <c r="H4337" s="231"/>
      <c r="I4337" s="221"/>
      <c r="J4337" s="221"/>
      <c r="K4337" s="221"/>
      <c r="L4337" s="221"/>
      <c r="M4337" s="221"/>
      <c r="N4337" s="221"/>
      <c r="O4337" s="225"/>
      <c r="P4337" s="118" t="s">
        <v>13473</v>
      </c>
      <c r="Q4337" s="16" t="s">
        <v>20</v>
      </c>
      <c r="R4337" s="17" t="s">
        <v>1769</v>
      </c>
      <c r="S4337" s="121"/>
      <c r="T4337" s="122"/>
      <c r="U4337" s="22"/>
      <c r="V4337" s="123" t="s">
        <v>2103</v>
      </c>
      <c r="W4337" s="122">
        <v>3129</v>
      </c>
      <c r="X4337" s="221"/>
      <c r="Y4337" s="221"/>
      <c r="Z4337" s="221"/>
      <c r="AA4337" s="221"/>
      <c r="AB4337" s="223"/>
    </row>
    <row r="4338" spans="1:28" ht="17.100000000000001" customHeight="1" thickTop="1">
      <c r="A4338" s="226" t="s">
        <v>12931</v>
      </c>
      <c r="B4338" s="28">
        <v>46003</v>
      </c>
      <c r="C4338" s="25">
        <v>76</v>
      </c>
      <c r="D4338" s="13" t="s">
        <v>2644</v>
      </c>
      <c r="E4338" s="228"/>
      <c r="F4338" s="109" t="s">
        <v>12881</v>
      </c>
      <c r="G4338" s="24" t="s">
        <v>2494</v>
      </c>
      <c r="H4338" s="230">
        <v>4</v>
      </c>
      <c r="I4338" s="220">
        <v>555000</v>
      </c>
      <c r="J4338" s="220">
        <f>I4338*0.1</f>
        <v>55500</v>
      </c>
      <c r="K4338" s="220">
        <v>0</v>
      </c>
      <c r="L4338" s="220">
        <v>7140</v>
      </c>
      <c r="M4338" s="220">
        <v>33000</v>
      </c>
      <c r="N4338" s="220">
        <f>SUM(I4338:M4339)</f>
        <v>650640</v>
      </c>
      <c r="O4338" s="224"/>
      <c r="P4338" s="110" t="s">
        <v>14676</v>
      </c>
      <c r="Q4338" s="15" t="s">
        <v>19</v>
      </c>
      <c r="R4338" s="205"/>
      <c r="S4338" s="189" t="s">
        <v>25620</v>
      </c>
      <c r="T4338" s="114"/>
      <c r="U4338" s="21" t="s">
        <v>14741</v>
      </c>
      <c r="V4338" s="115">
        <v>46035</v>
      </c>
      <c r="W4338" s="116">
        <v>1924</v>
      </c>
      <c r="X4338" s="220">
        <v>692000</v>
      </c>
      <c r="Y4338" s="220">
        <f>X4338*0.1</f>
        <v>69200</v>
      </c>
      <c r="Z4338" s="220">
        <v>7140</v>
      </c>
      <c r="AA4338" s="220">
        <f>SUM(X4338:Z4338)</f>
        <v>768340</v>
      </c>
      <c r="AB4338" s="222"/>
    </row>
    <row r="4339" spans="1:28" ht="17.100000000000001" customHeight="1" thickBot="1">
      <c r="A4339" s="227"/>
      <c r="B4339" s="27" t="s">
        <v>4468</v>
      </c>
      <c r="C4339" s="27">
        <v>1017</v>
      </c>
      <c r="D4339" s="14" t="s">
        <v>898</v>
      </c>
      <c r="E4339" s="229"/>
      <c r="F4339" s="117" t="s">
        <v>12871</v>
      </c>
      <c r="G4339" s="26">
        <v>16772</v>
      </c>
      <c r="H4339" s="231"/>
      <c r="I4339" s="221"/>
      <c r="J4339" s="221"/>
      <c r="K4339" s="221"/>
      <c r="L4339" s="221"/>
      <c r="M4339" s="221"/>
      <c r="N4339" s="221"/>
      <c r="O4339" s="225"/>
      <c r="P4339" s="118" t="s">
        <v>14677</v>
      </c>
      <c r="Q4339" s="16" t="s">
        <v>20</v>
      </c>
      <c r="R4339" s="17" t="s">
        <v>1800</v>
      </c>
      <c r="S4339" s="121" t="s">
        <v>1625</v>
      </c>
      <c r="T4339" s="122"/>
      <c r="U4339" s="22"/>
      <c r="V4339" s="123" t="s">
        <v>2103</v>
      </c>
      <c r="W4339" s="122">
        <v>3025</v>
      </c>
      <c r="X4339" s="221"/>
      <c r="Y4339" s="221"/>
      <c r="Z4339" s="221"/>
      <c r="AA4339" s="221"/>
      <c r="AB4339" s="223"/>
    </row>
    <row r="4340" spans="1:28" ht="17.100000000000001" customHeight="1" thickTop="1">
      <c r="A4340" s="226" t="s">
        <v>12932</v>
      </c>
      <c r="B4340" s="28">
        <v>46003</v>
      </c>
      <c r="C4340" s="25">
        <v>76</v>
      </c>
      <c r="D4340" s="13" t="s">
        <v>1678</v>
      </c>
      <c r="E4340" s="228"/>
      <c r="F4340" s="109" t="s">
        <v>12930</v>
      </c>
      <c r="G4340" s="24" t="s">
        <v>3345</v>
      </c>
      <c r="H4340" s="230">
        <v>4</v>
      </c>
      <c r="I4340" s="220">
        <v>2260000</v>
      </c>
      <c r="J4340" s="220">
        <f>I4340*0.1</f>
        <v>226000</v>
      </c>
      <c r="K4340" s="220">
        <f>14200+1420</f>
        <v>15620</v>
      </c>
      <c r="L4340" s="220">
        <v>15890</v>
      </c>
      <c r="M4340" s="220">
        <v>66000</v>
      </c>
      <c r="N4340" s="220">
        <f>SUM(I4340:M4341)</f>
        <v>2583510</v>
      </c>
      <c r="O4340" s="224"/>
      <c r="P4340" s="110" t="s">
        <v>16584</v>
      </c>
      <c r="Q4340" s="15" t="s">
        <v>19</v>
      </c>
      <c r="R4340" s="205"/>
      <c r="S4340" s="189" t="s">
        <v>25605</v>
      </c>
      <c r="T4340" s="114"/>
      <c r="U4340" s="21"/>
      <c r="V4340" s="115">
        <v>46074</v>
      </c>
      <c r="W4340" s="116">
        <v>1289</v>
      </c>
      <c r="X4340" s="220">
        <v>2420000</v>
      </c>
      <c r="Y4340" s="220">
        <f>X4340*0.1</f>
        <v>242000</v>
      </c>
      <c r="Z4340" s="220">
        <v>15890</v>
      </c>
      <c r="AA4340" s="220">
        <f>SUM(X4340:Z4340)</f>
        <v>2677890</v>
      </c>
      <c r="AB4340" s="222">
        <v>46079</v>
      </c>
    </row>
    <row r="4341" spans="1:28" ht="17.100000000000001" customHeight="1" thickBot="1">
      <c r="A4341" s="227"/>
      <c r="B4341" s="27" t="s">
        <v>12929</v>
      </c>
      <c r="C4341" s="27">
        <v>1033</v>
      </c>
      <c r="D4341" s="14" t="s">
        <v>131</v>
      </c>
      <c r="E4341" s="229"/>
      <c r="F4341" s="117" t="s">
        <v>13026</v>
      </c>
      <c r="G4341" s="26">
        <v>34847</v>
      </c>
      <c r="H4341" s="231"/>
      <c r="I4341" s="221"/>
      <c r="J4341" s="221"/>
      <c r="K4341" s="221"/>
      <c r="L4341" s="221"/>
      <c r="M4341" s="221"/>
      <c r="N4341" s="221"/>
      <c r="O4341" s="225"/>
      <c r="P4341" s="118" t="s">
        <v>13107</v>
      </c>
      <c r="Q4341" s="16" t="s">
        <v>20</v>
      </c>
      <c r="R4341" s="17" t="s">
        <v>3494</v>
      </c>
      <c r="S4341" s="121" t="s">
        <v>4062</v>
      </c>
      <c r="T4341" s="122"/>
      <c r="U4341" s="22"/>
      <c r="V4341" s="123" t="s">
        <v>2472</v>
      </c>
      <c r="W4341" s="122">
        <v>127</v>
      </c>
      <c r="X4341" s="221"/>
      <c r="Y4341" s="221"/>
      <c r="Z4341" s="221"/>
      <c r="AA4341" s="221"/>
      <c r="AB4341" s="223"/>
    </row>
    <row r="4342" spans="1:28" ht="17.100000000000001" customHeight="1" thickTop="1">
      <c r="A4342" s="226" t="s">
        <v>12933</v>
      </c>
      <c r="B4342" s="28">
        <v>46003</v>
      </c>
      <c r="C4342" s="25">
        <v>76</v>
      </c>
      <c r="D4342" s="13" t="s">
        <v>853</v>
      </c>
      <c r="E4342" s="228"/>
      <c r="F4342" s="109" t="s">
        <v>12882</v>
      </c>
      <c r="G4342" s="24" t="s">
        <v>2926</v>
      </c>
      <c r="H4342" s="230">
        <v>4</v>
      </c>
      <c r="I4342" s="220">
        <v>1000000</v>
      </c>
      <c r="J4342" s="220">
        <f>I4342*0.1</f>
        <v>100000</v>
      </c>
      <c r="K4342" s="220">
        <v>0</v>
      </c>
      <c r="L4342" s="220">
        <v>7510</v>
      </c>
      <c r="M4342" s="220">
        <v>44000</v>
      </c>
      <c r="N4342" s="220">
        <f>SUM(I4342:M4343)</f>
        <v>1151510</v>
      </c>
      <c r="O4342" s="224"/>
      <c r="P4342" s="110" t="s">
        <v>14391</v>
      </c>
      <c r="Q4342" s="15" t="s">
        <v>19</v>
      </c>
      <c r="R4342" s="205"/>
      <c r="S4342" s="189" t="s">
        <v>25605</v>
      </c>
      <c r="T4342" s="114"/>
      <c r="U4342" s="21" t="s">
        <v>14742</v>
      </c>
      <c r="V4342" s="115">
        <v>46035</v>
      </c>
      <c r="W4342" s="116">
        <v>1924</v>
      </c>
      <c r="X4342" s="220">
        <v>1125000</v>
      </c>
      <c r="Y4342" s="220">
        <f>X4342*0.1</f>
        <v>112500</v>
      </c>
      <c r="Z4342" s="220">
        <v>7510</v>
      </c>
      <c r="AA4342" s="220">
        <f>SUM(X4342:Z4342)</f>
        <v>1245010</v>
      </c>
      <c r="AB4342" s="222">
        <v>46042</v>
      </c>
    </row>
    <row r="4343" spans="1:28" ht="17.100000000000001" customHeight="1" thickBot="1">
      <c r="A4343" s="227"/>
      <c r="B4343" s="27" t="s">
        <v>4468</v>
      </c>
      <c r="C4343" s="27">
        <v>1062</v>
      </c>
      <c r="D4343" s="14" t="s">
        <v>273</v>
      </c>
      <c r="E4343" s="229"/>
      <c r="F4343" s="117" t="s">
        <v>12872</v>
      </c>
      <c r="G4343" s="26">
        <v>9570</v>
      </c>
      <c r="H4343" s="231"/>
      <c r="I4343" s="221"/>
      <c r="J4343" s="221"/>
      <c r="K4343" s="221"/>
      <c r="L4343" s="221"/>
      <c r="M4343" s="221"/>
      <c r="N4343" s="221"/>
      <c r="O4343" s="225"/>
      <c r="P4343" s="118" t="s">
        <v>14392</v>
      </c>
      <c r="Q4343" s="16" t="s">
        <v>20</v>
      </c>
      <c r="R4343" s="17" t="s">
        <v>2900</v>
      </c>
      <c r="S4343" s="121" t="s">
        <v>1625</v>
      </c>
      <c r="T4343" s="122"/>
      <c r="U4343" s="22"/>
      <c r="V4343" s="123" t="s">
        <v>2103</v>
      </c>
      <c r="W4343" s="122">
        <v>3431</v>
      </c>
      <c r="X4343" s="221"/>
      <c r="Y4343" s="221"/>
      <c r="Z4343" s="221"/>
      <c r="AA4343" s="221"/>
      <c r="AB4343" s="223"/>
    </row>
    <row r="4344" spans="1:28" ht="17.100000000000001" customHeight="1" thickTop="1">
      <c r="A4344" s="226" t="s">
        <v>12934</v>
      </c>
      <c r="B4344" s="28">
        <v>46003</v>
      </c>
      <c r="C4344" s="25">
        <v>76</v>
      </c>
      <c r="D4344" s="13" t="s">
        <v>3243</v>
      </c>
      <c r="E4344" s="228"/>
      <c r="F4344" s="109" t="s">
        <v>4178</v>
      </c>
      <c r="G4344" s="24" t="s">
        <v>2926</v>
      </c>
      <c r="H4344" s="230">
        <v>4</v>
      </c>
      <c r="I4344" s="220">
        <v>455000</v>
      </c>
      <c r="J4344" s="220">
        <f>I4344*0.1</f>
        <v>45500</v>
      </c>
      <c r="K4344" s="220">
        <v>0</v>
      </c>
      <c r="L4344" s="220">
        <v>9790</v>
      </c>
      <c r="M4344" s="220">
        <v>33000</v>
      </c>
      <c r="N4344" s="220">
        <f>SUM(I4344:M4345)</f>
        <v>543290</v>
      </c>
      <c r="O4344" s="224"/>
      <c r="P4344" s="110" t="s">
        <v>14106</v>
      </c>
      <c r="Q4344" s="15" t="s">
        <v>19</v>
      </c>
      <c r="R4344" s="205"/>
      <c r="S4344" s="189" t="s">
        <v>25605</v>
      </c>
      <c r="T4344" s="114"/>
      <c r="U4344" s="21" t="s">
        <v>14216</v>
      </c>
      <c r="V4344" s="115">
        <v>46035</v>
      </c>
      <c r="W4344" s="116">
        <v>1924</v>
      </c>
      <c r="X4344" s="220">
        <v>652000</v>
      </c>
      <c r="Y4344" s="220">
        <f>X4344*0.1</f>
        <v>65200</v>
      </c>
      <c r="Z4344" s="220">
        <v>9790</v>
      </c>
      <c r="AA4344" s="220">
        <f>SUM(X4344:Z4344)</f>
        <v>726990</v>
      </c>
      <c r="AB4344" s="222"/>
    </row>
    <row r="4345" spans="1:28" ht="17.100000000000001" customHeight="1" thickBot="1">
      <c r="A4345" s="227"/>
      <c r="B4345" s="27" t="s">
        <v>4468</v>
      </c>
      <c r="C4345" s="27">
        <v>1070</v>
      </c>
      <c r="D4345" s="14" t="s">
        <v>2559</v>
      </c>
      <c r="E4345" s="229"/>
      <c r="F4345" s="117" t="s">
        <v>12873</v>
      </c>
      <c r="G4345" s="26">
        <v>58536</v>
      </c>
      <c r="H4345" s="231"/>
      <c r="I4345" s="221"/>
      <c r="J4345" s="221"/>
      <c r="K4345" s="221"/>
      <c r="L4345" s="221"/>
      <c r="M4345" s="221"/>
      <c r="N4345" s="221"/>
      <c r="O4345" s="225"/>
      <c r="P4345" s="118" t="s">
        <v>14107</v>
      </c>
      <c r="Q4345" s="16" t="s">
        <v>20</v>
      </c>
      <c r="R4345" s="17" t="s">
        <v>14101</v>
      </c>
      <c r="S4345" s="121" t="s">
        <v>2360</v>
      </c>
      <c r="T4345" s="122"/>
      <c r="U4345" s="22"/>
      <c r="V4345" s="123" t="s">
        <v>2103</v>
      </c>
      <c r="W4345" s="122">
        <v>3051</v>
      </c>
      <c r="X4345" s="221"/>
      <c r="Y4345" s="221"/>
      <c r="Z4345" s="221"/>
      <c r="AA4345" s="221"/>
      <c r="AB4345" s="223"/>
    </row>
    <row r="4346" spans="1:28" ht="17.100000000000001" customHeight="1" thickTop="1">
      <c r="A4346" s="226" t="s">
        <v>12935</v>
      </c>
      <c r="B4346" s="28">
        <v>46003</v>
      </c>
      <c r="C4346" s="25">
        <v>1185</v>
      </c>
      <c r="D4346" s="13" t="s">
        <v>2057</v>
      </c>
      <c r="E4346" s="228"/>
      <c r="F4346" s="109" t="s">
        <v>12874</v>
      </c>
      <c r="G4346" s="24" t="s">
        <v>3453</v>
      </c>
      <c r="H4346" s="230">
        <v>4.5</v>
      </c>
      <c r="I4346" s="220">
        <v>3415000</v>
      </c>
      <c r="J4346" s="220">
        <f>I4346*0.1</f>
        <v>341500</v>
      </c>
      <c r="K4346" s="220">
        <f>9000+900</f>
        <v>9900</v>
      </c>
      <c r="L4346" s="220">
        <v>15290</v>
      </c>
      <c r="M4346" s="220">
        <v>16500</v>
      </c>
      <c r="N4346" s="220">
        <f>SUM(I4346:M4347)</f>
        <v>3798190</v>
      </c>
      <c r="O4346" s="224"/>
      <c r="P4346" s="110" t="s">
        <v>12876</v>
      </c>
      <c r="Q4346" s="15" t="s">
        <v>19</v>
      </c>
      <c r="R4346" s="205"/>
      <c r="S4346" s="189" t="s">
        <v>1361</v>
      </c>
      <c r="T4346" s="114"/>
      <c r="U4346" s="21"/>
      <c r="V4346" s="115">
        <v>46032</v>
      </c>
      <c r="W4346" s="116"/>
      <c r="X4346" s="220">
        <v>4200000</v>
      </c>
      <c r="Y4346" s="220">
        <v>0</v>
      </c>
      <c r="Z4346" s="220">
        <v>0</v>
      </c>
      <c r="AA4346" s="220">
        <f>SUM(X4346:Z4346)</f>
        <v>4200000</v>
      </c>
      <c r="AB4346" s="222">
        <v>46058</v>
      </c>
    </row>
    <row r="4347" spans="1:28" ht="17.100000000000001" customHeight="1" thickBot="1">
      <c r="A4347" s="227"/>
      <c r="B4347" s="27" t="s">
        <v>1813</v>
      </c>
      <c r="C4347" s="27">
        <v>88070</v>
      </c>
      <c r="D4347" s="14" t="s">
        <v>273</v>
      </c>
      <c r="E4347" s="229"/>
      <c r="F4347" s="117" t="s">
        <v>12875</v>
      </c>
      <c r="G4347" s="26">
        <v>6184</v>
      </c>
      <c r="H4347" s="231"/>
      <c r="I4347" s="221"/>
      <c r="J4347" s="221"/>
      <c r="K4347" s="221"/>
      <c r="L4347" s="221"/>
      <c r="M4347" s="221"/>
      <c r="N4347" s="221"/>
      <c r="O4347" s="225"/>
      <c r="P4347" s="118" t="s">
        <v>13367</v>
      </c>
      <c r="Q4347" s="16" t="s">
        <v>20</v>
      </c>
      <c r="R4347" s="17" t="s">
        <v>1769</v>
      </c>
      <c r="S4347" s="121" t="s">
        <v>1606</v>
      </c>
      <c r="T4347" s="122"/>
      <c r="U4347" s="22"/>
      <c r="V4347" s="123" t="s">
        <v>21085</v>
      </c>
      <c r="W4347" s="122"/>
      <c r="X4347" s="221"/>
      <c r="Y4347" s="221"/>
      <c r="Z4347" s="221"/>
      <c r="AA4347" s="221"/>
      <c r="AB4347" s="223"/>
    </row>
    <row r="4348" spans="1:28" ht="17.100000000000001" customHeight="1" thickTop="1">
      <c r="A4348" s="226" t="s">
        <v>12936</v>
      </c>
      <c r="B4348" s="28">
        <v>46003</v>
      </c>
      <c r="C4348" s="25">
        <v>2114</v>
      </c>
      <c r="D4348" s="13" t="s">
        <v>2264</v>
      </c>
      <c r="E4348" s="228"/>
      <c r="F4348" s="109" t="s">
        <v>12877</v>
      </c>
      <c r="G4348" s="24"/>
      <c r="H4348" s="230">
        <v>4</v>
      </c>
      <c r="I4348" s="220">
        <v>1790000</v>
      </c>
      <c r="J4348" s="220">
        <f>I4348*0.1</f>
        <v>179000</v>
      </c>
      <c r="K4348" s="220">
        <v>0</v>
      </c>
      <c r="L4348" s="220">
        <v>21220</v>
      </c>
      <c r="M4348" s="220">
        <v>16500</v>
      </c>
      <c r="N4348" s="220">
        <f>SUM(I4348:M4349)</f>
        <v>2006720</v>
      </c>
      <c r="O4348" s="224"/>
      <c r="P4348" s="110" t="s">
        <v>13557</v>
      </c>
      <c r="Q4348" s="15" t="s">
        <v>19</v>
      </c>
      <c r="R4348" s="205"/>
      <c r="S4348" s="189" t="s">
        <v>25367</v>
      </c>
      <c r="T4348" s="114"/>
      <c r="U4348" s="21"/>
      <c r="V4348" s="115">
        <v>46009</v>
      </c>
      <c r="W4348" s="116">
        <v>1311</v>
      </c>
      <c r="X4348" s="220">
        <v>1995000</v>
      </c>
      <c r="Y4348" s="220">
        <f>X4348*0.1</f>
        <v>199500</v>
      </c>
      <c r="Z4348" s="220">
        <v>21220</v>
      </c>
      <c r="AA4348" s="220">
        <f>SUM(X4348:Z4348)</f>
        <v>2215720</v>
      </c>
      <c r="AB4348" s="222">
        <v>46010</v>
      </c>
    </row>
    <row r="4349" spans="1:28" ht="17.100000000000001" customHeight="1" thickBot="1">
      <c r="A4349" s="227"/>
      <c r="B4349" s="27" t="s">
        <v>1536</v>
      </c>
      <c r="C4349" s="27">
        <v>58240</v>
      </c>
      <c r="D4349" s="14" t="s">
        <v>131</v>
      </c>
      <c r="E4349" s="229"/>
      <c r="F4349" s="117" t="s">
        <v>12878</v>
      </c>
      <c r="G4349" s="26">
        <v>32315</v>
      </c>
      <c r="H4349" s="231"/>
      <c r="I4349" s="221"/>
      <c r="J4349" s="221"/>
      <c r="K4349" s="221"/>
      <c r="L4349" s="221"/>
      <c r="M4349" s="221"/>
      <c r="N4349" s="221"/>
      <c r="O4349" s="225"/>
      <c r="P4349" s="118" t="s">
        <v>13558</v>
      </c>
      <c r="Q4349" s="16" t="s">
        <v>20</v>
      </c>
      <c r="R4349" s="17" t="s">
        <v>13537</v>
      </c>
      <c r="S4349" s="121" t="s">
        <v>13559</v>
      </c>
      <c r="T4349" s="122"/>
      <c r="U4349" s="22"/>
      <c r="V4349" s="123" t="s">
        <v>13379</v>
      </c>
      <c r="W4349" s="122">
        <v>50</v>
      </c>
      <c r="X4349" s="221"/>
      <c r="Y4349" s="221"/>
      <c r="Z4349" s="221"/>
      <c r="AA4349" s="221"/>
      <c r="AB4349" s="223"/>
    </row>
    <row r="4350" spans="1:28" ht="17.100000000000001" customHeight="1" thickTop="1">
      <c r="A4350" s="226" t="s">
        <v>12937</v>
      </c>
      <c r="B4350" s="28">
        <v>46003</v>
      </c>
      <c r="C4350" s="25">
        <v>2114</v>
      </c>
      <c r="D4350" s="13" t="s">
        <v>1883</v>
      </c>
      <c r="E4350" s="228"/>
      <c r="F4350" s="109" t="s">
        <v>12879</v>
      </c>
      <c r="G4350" s="24"/>
      <c r="H4350" s="230">
        <v>4.5</v>
      </c>
      <c r="I4350" s="220">
        <v>1500000</v>
      </c>
      <c r="J4350" s="220">
        <f>I4350*0.1</f>
        <v>150000</v>
      </c>
      <c r="K4350" s="220">
        <v>0</v>
      </c>
      <c r="L4350" s="220">
        <v>20580</v>
      </c>
      <c r="M4350" s="220">
        <v>27500</v>
      </c>
      <c r="N4350" s="220">
        <f>SUM(I4350:M4351)</f>
        <v>1698080</v>
      </c>
      <c r="O4350" s="224"/>
      <c r="P4350" s="110" t="s">
        <v>13368</v>
      </c>
      <c r="Q4350" s="15" t="s">
        <v>19</v>
      </c>
      <c r="R4350" s="205"/>
      <c r="S4350" s="189" t="s">
        <v>25565</v>
      </c>
      <c r="T4350" s="114"/>
      <c r="U4350" s="21"/>
      <c r="V4350" s="115">
        <v>46074</v>
      </c>
      <c r="W4350" s="116">
        <v>1289</v>
      </c>
      <c r="X4350" s="220">
        <v>1620000</v>
      </c>
      <c r="Y4350" s="220">
        <f>X4350*0.1</f>
        <v>162000</v>
      </c>
      <c r="Z4350" s="220">
        <v>20580</v>
      </c>
      <c r="AA4350" s="220">
        <f>SUM(X4350:Z4350)</f>
        <v>1802580</v>
      </c>
      <c r="AB4350" s="222">
        <v>46077</v>
      </c>
    </row>
    <row r="4351" spans="1:28" ht="17.100000000000001" customHeight="1" thickBot="1">
      <c r="A4351" s="227"/>
      <c r="B4351" s="27" t="s">
        <v>1536</v>
      </c>
      <c r="C4351" s="27">
        <v>58389</v>
      </c>
      <c r="D4351" s="14" t="s">
        <v>54</v>
      </c>
      <c r="E4351" s="229"/>
      <c r="F4351" s="117" t="s">
        <v>12880</v>
      </c>
      <c r="G4351" s="26">
        <v>52652</v>
      </c>
      <c r="H4351" s="231"/>
      <c r="I4351" s="221"/>
      <c r="J4351" s="221"/>
      <c r="K4351" s="221"/>
      <c r="L4351" s="221"/>
      <c r="M4351" s="221"/>
      <c r="N4351" s="221"/>
      <c r="O4351" s="225"/>
      <c r="P4351" s="118" t="s">
        <v>13369</v>
      </c>
      <c r="Q4351" s="16" t="s">
        <v>20</v>
      </c>
      <c r="R4351" s="17" t="s">
        <v>1769</v>
      </c>
      <c r="S4351" s="121" t="s">
        <v>13370</v>
      </c>
      <c r="T4351" s="122"/>
      <c r="U4351" s="22"/>
      <c r="V4351" s="123" t="s">
        <v>2472</v>
      </c>
      <c r="W4351" s="122">
        <v>80114</v>
      </c>
      <c r="X4351" s="221"/>
      <c r="Y4351" s="221"/>
      <c r="Z4351" s="221"/>
      <c r="AA4351" s="221"/>
      <c r="AB4351" s="223"/>
    </row>
    <row r="4352" spans="1:28" ht="17.100000000000001" customHeight="1" thickTop="1">
      <c r="A4352" s="233" t="s">
        <v>12938</v>
      </c>
      <c r="B4352" s="28">
        <v>46003</v>
      </c>
      <c r="C4352" s="25"/>
      <c r="D4352" s="13" t="s">
        <v>3406</v>
      </c>
      <c r="E4352" s="228"/>
      <c r="F4352" s="109" t="s">
        <v>12884</v>
      </c>
      <c r="G4352" s="24" t="s">
        <v>7549</v>
      </c>
      <c r="H4352" s="230">
        <v>4</v>
      </c>
      <c r="I4352" s="220">
        <f>2854500/1.1</f>
        <v>2595000</v>
      </c>
      <c r="J4352" s="220">
        <f>I4352*0.1</f>
        <v>259500</v>
      </c>
      <c r="K4352" s="220">
        <v>7200</v>
      </c>
      <c r="L4352" s="220">
        <v>14660</v>
      </c>
      <c r="M4352" s="220">
        <v>0</v>
      </c>
      <c r="N4352" s="220">
        <f>SUM(I4352:M4353)</f>
        <v>2876360</v>
      </c>
      <c r="O4352" s="224"/>
      <c r="P4352" s="110" t="s">
        <v>14753</v>
      </c>
      <c r="Q4352" s="15" t="s">
        <v>19</v>
      </c>
      <c r="R4352" s="205"/>
      <c r="S4352" s="189" t="s">
        <v>1276</v>
      </c>
      <c r="T4352" s="114"/>
      <c r="U4352" s="21"/>
      <c r="V4352" s="115">
        <v>46032</v>
      </c>
      <c r="W4352" s="116">
        <v>1283</v>
      </c>
      <c r="X4352" s="220">
        <v>2610000</v>
      </c>
      <c r="Y4352" s="220">
        <v>261000</v>
      </c>
      <c r="Z4352" s="220">
        <v>14660</v>
      </c>
      <c r="AA4352" s="220">
        <f>SUM(X4352:Z4352)</f>
        <v>2885660</v>
      </c>
      <c r="AB4352" s="222">
        <v>46043</v>
      </c>
    </row>
    <row r="4353" spans="1:28" ht="17.100000000000001" customHeight="1" thickBot="1">
      <c r="A4353" s="234"/>
      <c r="B4353" s="27" t="s">
        <v>1708</v>
      </c>
      <c r="C4353" s="27" t="s">
        <v>12883</v>
      </c>
      <c r="D4353" s="14" t="s">
        <v>2559</v>
      </c>
      <c r="E4353" s="229"/>
      <c r="F4353" s="117" t="s">
        <v>12885</v>
      </c>
      <c r="G4353" s="26">
        <v>29717</v>
      </c>
      <c r="H4353" s="231"/>
      <c r="I4353" s="221"/>
      <c r="J4353" s="221"/>
      <c r="K4353" s="221"/>
      <c r="L4353" s="221"/>
      <c r="M4353" s="221"/>
      <c r="N4353" s="221"/>
      <c r="O4353" s="225"/>
      <c r="P4353" s="118" t="s">
        <v>14754</v>
      </c>
      <c r="Q4353" s="16" t="s">
        <v>20</v>
      </c>
      <c r="R4353" s="17" t="s">
        <v>14747</v>
      </c>
      <c r="S4353" s="121" t="s">
        <v>14755</v>
      </c>
      <c r="T4353" s="122"/>
      <c r="U4353" s="22"/>
      <c r="V4353" s="123" t="s">
        <v>2472</v>
      </c>
      <c r="W4353" s="122">
        <v>37134</v>
      </c>
      <c r="X4353" s="221"/>
      <c r="Y4353" s="221"/>
      <c r="Z4353" s="221"/>
      <c r="AA4353" s="221"/>
      <c r="AB4353" s="223"/>
    </row>
    <row r="4354" spans="1:28" ht="17.100000000000001" customHeight="1" thickTop="1">
      <c r="A4354" s="226" t="s">
        <v>12939</v>
      </c>
      <c r="B4354" s="28">
        <v>46003</v>
      </c>
      <c r="C4354" s="25"/>
      <c r="D4354" s="13" t="s">
        <v>3857</v>
      </c>
      <c r="E4354" s="228"/>
      <c r="F4354" s="109" t="s">
        <v>12887</v>
      </c>
      <c r="G4354" s="24" t="s">
        <v>8707</v>
      </c>
      <c r="H4354" s="230">
        <v>4</v>
      </c>
      <c r="I4354" s="220">
        <f>2244000/1.1</f>
        <v>2039999.9999999998</v>
      </c>
      <c r="J4354" s="220">
        <f>I4354*0.1</f>
        <v>204000</v>
      </c>
      <c r="K4354" s="220">
        <v>5700</v>
      </c>
      <c r="L4354" s="220">
        <v>10230</v>
      </c>
      <c r="M4354" s="220">
        <v>0</v>
      </c>
      <c r="N4354" s="220">
        <f>SUM(I4354:M4355)</f>
        <v>2259930</v>
      </c>
      <c r="O4354" s="224"/>
      <c r="P4354" s="110" t="s">
        <v>16340</v>
      </c>
      <c r="Q4354" s="15" t="s">
        <v>19</v>
      </c>
      <c r="R4354" s="205"/>
      <c r="S4354" s="189" t="s">
        <v>1072</v>
      </c>
      <c r="T4354" s="114"/>
      <c r="U4354" s="21"/>
      <c r="V4354" s="115">
        <v>46057</v>
      </c>
      <c r="W4354" s="116">
        <v>1003</v>
      </c>
      <c r="X4354" s="220">
        <v>2335000</v>
      </c>
      <c r="Y4354" s="220">
        <f>X4354*0.1</f>
        <v>233500</v>
      </c>
      <c r="Z4354" s="220">
        <v>10230</v>
      </c>
      <c r="AA4354" s="220">
        <f>SUM(X4354:Z4354)</f>
        <v>2578730</v>
      </c>
      <c r="AB4354" s="222">
        <v>46062</v>
      </c>
    </row>
    <row r="4355" spans="1:28" ht="17.100000000000001" customHeight="1" thickBot="1">
      <c r="A4355" s="227"/>
      <c r="B4355" s="27" t="s">
        <v>1708</v>
      </c>
      <c r="C4355" s="27" t="s">
        <v>12886</v>
      </c>
      <c r="D4355" s="14" t="s">
        <v>1584</v>
      </c>
      <c r="E4355" s="229"/>
      <c r="F4355" s="117" t="s">
        <v>12888</v>
      </c>
      <c r="G4355" s="26">
        <v>108133</v>
      </c>
      <c r="H4355" s="231"/>
      <c r="I4355" s="221"/>
      <c r="J4355" s="221"/>
      <c r="K4355" s="221"/>
      <c r="L4355" s="221"/>
      <c r="M4355" s="221"/>
      <c r="N4355" s="221"/>
      <c r="O4355" s="225"/>
      <c r="P4355" s="118" t="s">
        <v>16341</v>
      </c>
      <c r="Q4355" s="16" t="s">
        <v>20</v>
      </c>
      <c r="R4355" s="17" t="s">
        <v>2610</v>
      </c>
      <c r="S4355" s="121" t="s">
        <v>1731</v>
      </c>
      <c r="T4355" s="122"/>
      <c r="U4355" s="22"/>
      <c r="V4355" s="123" t="s">
        <v>2747</v>
      </c>
      <c r="W4355" s="122">
        <v>1133</v>
      </c>
      <c r="X4355" s="221"/>
      <c r="Y4355" s="221"/>
      <c r="Z4355" s="221"/>
      <c r="AA4355" s="221"/>
      <c r="AB4355" s="223"/>
    </row>
    <row r="4356" spans="1:28" ht="17.100000000000001" customHeight="1" thickTop="1">
      <c r="A4356" s="226" t="s">
        <v>12940</v>
      </c>
      <c r="B4356" s="28">
        <v>46003</v>
      </c>
      <c r="C4356" s="25"/>
      <c r="D4356" s="13" t="s">
        <v>1883</v>
      </c>
      <c r="E4356" s="228"/>
      <c r="F4356" s="109" t="s">
        <v>6972</v>
      </c>
      <c r="G4356" s="24" t="s">
        <v>8516</v>
      </c>
      <c r="H4356" s="230">
        <v>4.5</v>
      </c>
      <c r="I4356" s="220">
        <f>1688500/1.1</f>
        <v>1534999.9999999998</v>
      </c>
      <c r="J4356" s="220">
        <f>I4356*0.1</f>
        <v>153499.99999999997</v>
      </c>
      <c r="K4356" s="220">
        <v>0</v>
      </c>
      <c r="L4356" s="220">
        <v>8360</v>
      </c>
      <c r="M4356" s="220">
        <v>0</v>
      </c>
      <c r="N4356" s="220">
        <f>SUM(I4356:M4357)</f>
        <v>1696859.9999999998</v>
      </c>
      <c r="O4356" s="224"/>
      <c r="P4356" s="110" t="s">
        <v>15266</v>
      </c>
      <c r="Q4356" s="15" t="s">
        <v>19</v>
      </c>
      <c r="R4356" s="205"/>
      <c r="S4356" s="189" t="s">
        <v>1276</v>
      </c>
      <c r="T4356" s="114"/>
      <c r="U4356" s="21"/>
      <c r="V4356" s="115">
        <v>46049</v>
      </c>
      <c r="W4356" s="116">
        <v>1926</v>
      </c>
      <c r="X4356" s="220">
        <v>1622000</v>
      </c>
      <c r="Y4356" s="220">
        <f>X4356*0.1</f>
        <v>162200</v>
      </c>
      <c r="Z4356" s="220">
        <v>8360</v>
      </c>
      <c r="AA4356" s="220">
        <f>SUM(X4356:Z4356)</f>
        <v>1792560</v>
      </c>
      <c r="AB4356" s="222"/>
    </row>
    <row r="4357" spans="1:28" ht="17.100000000000001" customHeight="1" thickBot="1">
      <c r="A4357" s="227"/>
      <c r="B4357" s="27" t="s">
        <v>1708</v>
      </c>
      <c r="C4357" s="27" t="s">
        <v>12889</v>
      </c>
      <c r="D4357" s="14" t="s">
        <v>2753</v>
      </c>
      <c r="E4357" s="229"/>
      <c r="F4357" s="117" t="s">
        <v>12890</v>
      </c>
      <c r="G4357" s="26">
        <v>29425</v>
      </c>
      <c r="H4357" s="231"/>
      <c r="I4357" s="221"/>
      <c r="J4357" s="221"/>
      <c r="K4357" s="221"/>
      <c r="L4357" s="221"/>
      <c r="M4357" s="221"/>
      <c r="N4357" s="221"/>
      <c r="O4357" s="225"/>
      <c r="P4357" s="118" t="s">
        <v>15267</v>
      </c>
      <c r="Q4357" s="16" t="s">
        <v>20</v>
      </c>
      <c r="R4357" s="17" t="s">
        <v>15265</v>
      </c>
      <c r="S4357" s="121" t="s">
        <v>1606</v>
      </c>
      <c r="T4357" s="122"/>
      <c r="U4357" s="22"/>
      <c r="V4357" s="123" t="s">
        <v>2103</v>
      </c>
      <c r="W4357" s="122">
        <v>3379</v>
      </c>
      <c r="X4357" s="221"/>
      <c r="Y4357" s="221"/>
      <c r="Z4357" s="221"/>
      <c r="AA4357" s="221"/>
      <c r="AB4357" s="223"/>
    </row>
    <row r="4358" spans="1:28" ht="17.100000000000001" customHeight="1" thickTop="1">
      <c r="A4358" s="226" t="s">
        <v>12941</v>
      </c>
      <c r="B4358" s="28">
        <v>46003</v>
      </c>
      <c r="C4358" s="25"/>
      <c r="D4358" s="13" t="s">
        <v>7281</v>
      </c>
      <c r="E4358" s="228"/>
      <c r="F4358" s="109" t="s">
        <v>12892</v>
      </c>
      <c r="G4358" s="24" t="s">
        <v>4333</v>
      </c>
      <c r="H4358" s="230">
        <v>4</v>
      </c>
      <c r="I4358" s="220">
        <f>713900/1.1</f>
        <v>649000</v>
      </c>
      <c r="J4358" s="220">
        <v>64900</v>
      </c>
      <c r="K4358" s="220">
        <v>0</v>
      </c>
      <c r="L4358" s="220">
        <v>9200</v>
      </c>
      <c r="M4358" s="220">
        <v>0</v>
      </c>
      <c r="N4358" s="220">
        <f>SUM(I4358:M4359)</f>
        <v>723100</v>
      </c>
      <c r="O4358" s="224"/>
      <c r="P4358" s="110" t="s">
        <v>14303</v>
      </c>
      <c r="Q4358" s="15" t="s">
        <v>19</v>
      </c>
      <c r="R4358" s="205"/>
      <c r="S4358" s="189" t="s">
        <v>1276</v>
      </c>
      <c r="T4358" s="114"/>
      <c r="U4358" s="21"/>
      <c r="V4358" s="115">
        <v>46060</v>
      </c>
      <c r="W4358" s="116">
        <v>1287</v>
      </c>
      <c r="X4358" s="220">
        <v>650000</v>
      </c>
      <c r="Y4358" s="220">
        <f>X4358*0.1</f>
        <v>65000</v>
      </c>
      <c r="Z4358" s="220">
        <v>9200</v>
      </c>
      <c r="AA4358" s="220">
        <f>SUM(X4358:Z4358)</f>
        <v>724200</v>
      </c>
      <c r="AB4358" s="222">
        <v>46065</v>
      </c>
    </row>
    <row r="4359" spans="1:28" ht="17.100000000000001" customHeight="1" thickBot="1">
      <c r="A4359" s="227"/>
      <c r="B4359" s="27" t="s">
        <v>1708</v>
      </c>
      <c r="C4359" s="27" t="s">
        <v>12891</v>
      </c>
      <c r="D4359" s="14" t="s">
        <v>131</v>
      </c>
      <c r="E4359" s="229"/>
      <c r="F4359" s="117" t="s">
        <v>12893</v>
      </c>
      <c r="G4359" s="26">
        <v>35267</v>
      </c>
      <c r="H4359" s="231"/>
      <c r="I4359" s="221"/>
      <c r="J4359" s="221"/>
      <c r="K4359" s="221"/>
      <c r="L4359" s="221"/>
      <c r="M4359" s="221"/>
      <c r="N4359" s="221"/>
      <c r="O4359" s="225"/>
      <c r="P4359" s="118" t="s">
        <v>14304</v>
      </c>
      <c r="Q4359" s="16" t="s">
        <v>20</v>
      </c>
      <c r="R4359" s="17" t="s">
        <v>3857</v>
      </c>
      <c r="S4359" s="121" t="s">
        <v>1722</v>
      </c>
      <c r="T4359" s="122"/>
      <c r="U4359" s="22"/>
      <c r="V4359" s="123" t="s">
        <v>2472</v>
      </c>
      <c r="W4359" s="122">
        <v>31355</v>
      </c>
      <c r="X4359" s="221"/>
      <c r="Y4359" s="221"/>
      <c r="Z4359" s="221"/>
      <c r="AA4359" s="221"/>
      <c r="AB4359" s="223"/>
    </row>
    <row r="4360" spans="1:28" ht="17.100000000000001" customHeight="1" thickTop="1">
      <c r="A4360" s="226" t="s">
        <v>12942</v>
      </c>
      <c r="B4360" s="28">
        <v>46003</v>
      </c>
      <c r="C4360" s="25">
        <v>1398</v>
      </c>
      <c r="D4360" s="13" t="s">
        <v>1908</v>
      </c>
      <c r="E4360" s="228"/>
      <c r="F4360" s="109" t="s">
        <v>9344</v>
      </c>
      <c r="G4360" s="24" t="s">
        <v>10107</v>
      </c>
      <c r="H4360" s="230">
        <v>3.5</v>
      </c>
      <c r="I4360" s="220">
        <v>609000</v>
      </c>
      <c r="J4360" s="220">
        <f>I4360*0.1</f>
        <v>60900</v>
      </c>
      <c r="K4360" s="220">
        <v>0</v>
      </c>
      <c r="L4360" s="220">
        <v>9550</v>
      </c>
      <c r="M4360" s="220">
        <v>13200</v>
      </c>
      <c r="N4360" s="220">
        <f>SUM(I4360:M4361)</f>
        <v>692650</v>
      </c>
      <c r="O4360" s="224"/>
      <c r="P4360" s="110" t="s">
        <v>13452</v>
      </c>
      <c r="Q4360" s="15" t="s">
        <v>19</v>
      </c>
      <c r="R4360" s="205"/>
      <c r="S4360" s="189"/>
      <c r="T4360" s="114"/>
      <c r="U4360" s="21"/>
      <c r="V4360" s="115">
        <v>46011</v>
      </c>
      <c r="W4360" s="116">
        <v>1281</v>
      </c>
      <c r="X4360" s="220">
        <v>790000</v>
      </c>
      <c r="Y4360" s="220">
        <f>X4360*0.1</f>
        <v>79000</v>
      </c>
      <c r="Z4360" s="220">
        <v>9550</v>
      </c>
      <c r="AA4360" s="220">
        <f>SUM(X4360:Z4360)</f>
        <v>878550</v>
      </c>
      <c r="AB4360" s="222">
        <v>46014</v>
      </c>
    </row>
    <row r="4361" spans="1:28" ht="17.100000000000001" customHeight="1" thickBot="1">
      <c r="A4361" s="227"/>
      <c r="B4361" s="27" t="s">
        <v>2597</v>
      </c>
      <c r="C4361" s="27">
        <v>2009</v>
      </c>
      <c r="D4361" s="14" t="s">
        <v>2559</v>
      </c>
      <c r="E4361" s="229"/>
      <c r="F4361" s="117" t="s">
        <v>12960</v>
      </c>
      <c r="G4361" s="26">
        <v>46901</v>
      </c>
      <c r="H4361" s="231"/>
      <c r="I4361" s="221"/>
      <c r="J4361" s="221"/>
      <c r="K4361" s="221"/>
      <c r="L4361" s="221"/>
      <c r="M4361" s="221"/>
      <c r="N4361" s="221"/>
      <c r="O4361" s="225"/>
      <c r="P4361" s="118" t="s">
        <v>13453</v>
      </c>
      <c r="Q4361" s="16" t="s">
        <v>20</v>
      </c>
      <c r="R4361" s="17" t="s">
        <v>1769</v>
      </c>
      <c r="S4361" s="121"/>
      <c r="T4361" s="122"/>
      <c r="U4361" s="22"/>
      <c r="V4361" s="123" t="s">
        <v>2472</v>
      </c>
      <c r="W4361" s="122">
        <v>60322</v>
      </c>
      <c r="X4361" s="221"/>
      <c r="Y4361" s="221"/>
      <c r="Z4361" s="221"/>
      <c r="AA4361" s="221"/>
      <c r="AB4361" s="223"/>
    </row>
    <row r="4362" spans="1:28" ht="17.100000000000001" customHeight="1" thickTop="1">
      <c r="A4362" s="226" t="s">
        <v>12943</v>
      </c>
      <c r="B4362" s="28">
        <v>46003</v>
      </c>
      <c r="C4362" s="25">
        <v>1398</v>
      </c>
      <c r="D4362" s="13" t="s">
        <v>1553</v>
      </c>
      <c r="E4362" s="228"/>
      <c r="F4362" s="109" t="s">
        <v>12961</v>
      </c>
      <c r="G4362" s="24"/>
      <c r="H4362" s="232" t="s">
        <v>1705</v>
      </c>
      <c r="I4362" s="220">
        <v>1356000</v>
      </c>
      <c r="J4362" s="220">
        <f>I4362*0.1</f>
        <v>135600</v>
      </c>
      <c r="K4362" s="220">
        <v>0</v>
      </c>
      <c r="L4362" s="220">
        <v>12900</v>
      </c>
      <c r="M4362" s="220">
        <v>13200</v>
      </c>
      <c r="N4362" s="220">
        <f>SUM(I4362:M4363)</f>
        <v>1517700</v>
      </c>
      <c r="O4362" s="224"/>
      <c r="P4362" s="110" t="s">
        <v>13461</v>
      </c>
      <c r="Q4362" s="15" t="s">
        <v>19</v>
      </c>
      <c r="R4362" s="205"/>
      <c r="S4362" s="189"/>
      <c r="T4362" s="114"/>
      <c r="U4362" s="21"/>
      <c r="V4362" s="115">
        <v>46165</v>
      </c>
      <c r="W4362" s="116">
        <v>1301</v>
      </c>
      <c r="X4362" s="220">
        <v>1360000</v>
      </c>
      <c r="Y4362" s="220">
        <f>X4362*0.1</f>
        <v>136000</v>
      </c>
      <c r="Z4362" s="220">
        <v>12900</v>
      </c>
      <c r="AA4362" s="220">
        <f>SUM(X4362:Z4362)</f>
        <v>1508900</v>
      </c>
      <c r="AB4362" s="222">
        <v>46168</v>
      </c>
    </row>
    <row r="4363" spans="1:28" ht="17.100000000000001" customHeight="1" thickBot="1">
      <c r="A4363" s="227"/>
      <c r="B4363" s="27" t="s">
        <v>2597</v>
      </c>
      <c r="C4363" s="27">
        <v>2193</v>
      </c>
      <c r="D4363" s="14" t="s">
        <v>273</v>
      </c>
      <c r="E4363" s="229"/>
      <c r="F4363" s="117" t="s">
        <v>12962</v>
      </c>
      <c r="G4363" s="26">
        <v>104610</v>
      </c>
      <c r="H4363" s="231"/>
      <c r="I4363" s="221"/>
      <c r="J4363" s="221"/>
      <c r="K4363" s="221"/>
      <c r="L4363" s="221"/>
      <c r="M4363" s="221"/>
      <c r="N4363" s="221"/>
      <c r="O4363" s="225"/>
      <c r="P4363" s="118" t="s">
        <v>1972</v>
      </c>
      <c r="Q4363" s="16" t="s">
        <v>20</v>
      </c>
      <c r="R4363" s="17" t="s">
        <v>1769</v>
      </c>
      <c r="S4363" s="121" t="s">
        <v>3231</v>
      </c>
      <c r="T4363" s="122"/>
      <c r="U4363" s="22"/>
      <c r="V4363" s="123" t="s">
        <v>2472</v>
      </c>
      <c r="W4363" s="122">
        <v>50075</v>
      </c>
      <c r="X4363" s="221"/>
      <c r="Y4363" s="221"/>
      <c r="Z4363" s="221"/>
      <c r="AA4363" s="221"/>
      <c r="AB4363" s="223"/>
    </row>
    <row r="4364" spans="1:28" ht="17.100000000000001" customHeight="1" thickTop="1">
      <c r="A4364" s="226" t="s">
        <v>12944</v>
      </c>
      <c r="B4364" s="28">
        <v>46003</v>
      </c>
      <c r="C4364" s="25">
        <v>1398</v>
      </c>
      <c r="D4364" s="13" t="s">
        <v>3739</v>
      </c>
      <c r="E4364" s="228"/>
      <c r="F4364" s="109" t="s">
        <v>12963</v>
      </c>
      <c r="G4364" s="24"/>
      <c r="H4364" s="230">
        <v>4.5</v>
      </c>
      <c r="I4364" s="220">
        <v>2208000</v>
      </c>
      <c r="J4364" s="220">
        <f>I4364*0.1</f>
        <v>220800</v>
      </c>
      <c r="K4364" s="220">
        <v>0</v>
      </c>
      <c r="L4364" s="220">
        <v>10750</v>
      </c>
      <c r="M4364" s="220">
        <v>13200</v>
      </c>
      <c r="N4364" s="220">
        <f>SUM(I4364:M4365)</f>
        <v>2452750</v>
      </c>
      <c r="O4364" s="224"/>
      <c r="P4364" s="110" t="s">
        <v>13348</v>
      </c>
      <c r="Q4364" s="15" t="s">
        <v>19</v>
      </c>
      <c r="R4364" s="205"/>
      <c r="S4364" s="189" t="s">
        <v>25650</v>
      </c>
      <c r="T4364" s="114"/>
      <c r="U4364" s="21"/>
      <c r="V4364" s="115">
        <v>46008</v>
      </c>
      <c r="W4364" s="116">
        <v>997</v>
      </c>
      <c r="X4364" s="220">
        <v>2290000</v>
      </c>
      <c r="Y4364" s="220">
        <f>X4364*0.1</f>
        <v>229000</v>
      </c>
      <c r="Z4364" s="220">
        <v>10750</v>
      </c>
      <c r="AA4364" s="220">
        <f>SUM(X4364:Z4364)</f>
        <v>2529750</v>
      </c>
      <c r="AB4364" s="222">
        <v>46013</v>
      </c>
    </row>
    <row r="4365" spans="1:28" ht="17.100000000000001" customHeight="1" thickBot="1">
      <c r="A4365" s="227"/>
      <c r="B4365" s="27" t="s">
        <v>2597</v>
      </c>
      <c r="C4365" s="27">
        <v>3036</v>
      </c>
      <c r="D4365" s="14" t="s">
        <v>273</v>
      </c>
      <c r="E4365" s="229"/>
      <c r="F4365" s="117" t="s">
        <v>12964</v>
      </c>
      <c r="G4365" s="26">
        <v>46449</v>
      </c>
      <c r="H4365" s="231"/>
      <c r="I4365" s="221"/>
      <c r="J4365" s="221"/>
      <c r="K4365" s="221"/>
      <c r="L4365" s="221"/>
      <c r="M4365" s="221"/>
      <c r="N4365" s="221"/>
      <c r="O4365" s="225"/>
      <c r="P4365" s="118" t="s">
        <v>3281</v>
      </c>
      <c r="Q4365" s="16" t="s">
        <v>20</v>
      </c>
      <c r="R4365" s="17" t="s">
        <v>1769</v>
      </c>
      <c r="S4365" s="121" t="s">
        <v>13349</v>
      </c>
      <c r="T4365" s="122"/>
      <c r="U4365" s="22"/>
      <c r="V4365" s="123" t="s">
        <v>2747</v>
      </c>
      <c r="W4365" s="122">
        <v>5061</v>
      </c>
      <c r="X4365" s="221"/>
      <c r="Y4365" s="221"/>
      <c r="Z4365" s="221"/>
      <c r="AA4365" s="221"/>
      <c r="AB4365" s="223"/>
    </row>
    <row r="4366" spans="1:28" ht="17.100000000000001" customHeight="1" thickTop="1">
      <c r="A4366" s="226" t="s">
        <v>12945</v>
      </c>
      <c r="B4366" s="28">
        <v>46003</v>
      </c>
      <c r="C4366" s="25">
        <v>1398</v>
      </c>
      <c r="D4366" s="13" t="s">
        <v>2040</v>
      </c>
      <c r="E4366" s="228"/>
      <c r="F4366" s="109" t="s">
        <v>12965</v>
      </c>
      <c r="G4366" s="24" t="s">
        <v>12982</v>
      </c>
      <c r="H4366" s="230">
        <v>4</v>
      </c>
      <c r="I4366" s="220">
        <v>1666000</v>
      </c>
      <c r="J4366" s="220">
        <f>I4366*0.1</f>
        <v>166600</v>
      </c>
      <c r="K4366" s="220">
        <f>7600+760</f>
        <v>8360</v>
      </c>
      <c r="L4366" s="220">
        <v>8170</v>
      </c>
      <c r="M4366" s="220">
        <v>13200</v>
      </c>
      <c r="N4366" s="220">
        <f>SUM(I4366:M4367)</f>
        <v>1862330</v>
      </c>
      <c r="O4366" s="224"/>
      <c r="P4366" s="110" t="s">
        <v>13459</v>
      </c>
      <c r="Q4366" s="15" t="s">
        <v>19</v>
      </c>
      <c r="R4366" s="205"/>
      <c r="S4366" s="189" t="s">
        <v>1361</v>
      </c>
      <c r="T4366" s="114"/>
      <c r="U4366" s="21"/>
      <c r="V4366" s="115">
        <v>46029</v>
      </c>
      <c r="W4366" s="116">
        <v>999</v>
      </c>
      <c r="X4366" s="220">
        <v>1710000</v>
      </c>
      <c r="Y4366" s="220">
        <f>X4366*0.1</f>
        <v>171000</v>
      </c>
      <c r="Z4366" s="220">
        <v>8170</v>
      </c>
      <c r="AA4366" s="220">
        <f>SUM(X4366:Z4366)</f>
        <v>1889170</v>
      </c>
      <c r="AB4366" s="222">
        <v>46035</v>
      </c>
    </row>
    <row r="4367" spans="1:28" ht="17.100000000000001" customHeight="1" thickBot="1">
      <c r="A4367" s="227"/>
      <c r="B4367" s="27" t="s">
        <v>2597</v>
      </c>
      <c r="C4367" s="27">
        <v>3043</v>
      </c>
      <c r="D4367" s="14" t="s">
        <v>2559</v>
      </c>
      <c r="E4367" s="229"/>
      <c r="F4367" s="117" t="s">
        <v>12966</v>
      </c>
      <c r="G4367" s="26">
        <v>10269</v>
      </c>
      <c r="H4367" s="231"/>
      <c r="I4367" s="221"/>
      <c r="J4367" s="221"/>
      <c r="K4367" s="221"/>
      <c r="L4367" s="221"/>
      <c r="M4367" s="221"/>
      <c r="N4367" s="221"/>
      <c r="O4367" s="225"/>
      <c r="P4367" s="118" t="s">
        <v>4161</v>
      </c>
      <c r="Q4367" s="16" t="s">
        <v>20</v>
      </c>
      <c r="R4367" s="17" t="s">
        <v>1769</v>
      </c>
      <c r="S4367" s="121" t="s">
        <v>13460</v>
      </c>
      <c r="T4367" s="122"/>
      <c r="U4367" s="22"/>
      <c r="V4367" s="123" t="s">
        <v>2747</v>
      </c>
      <c r="W4367" s="122">
        <v>6084</v>
      </c>
      <c r="X4367" s="221"/>
      <c r="Y4367" s="221"/>
      <c r="Z4367" s="221"/>
      <c r="AA4367" s="221"/>
      <c r="AB4367" s="223"/>
    </row>
    <row r="4368" spans="1:28" ht="17.100000000000001" customHeight="1" thickTop="1">
      <c r="A4368" s="226" t="s">
        <v>12946</v>
      </c>
      <c r="B4368" s="28">
        <v>46003</v>
      </c>
      <c r="C4368" s="25">
        <v>1398</v>
      </c>
      <c r="D4368" s="13" t="s">
        <v>4775</v>
      </c>
      <c r="E4368" s="228"/>
      <c r="F4368" s="109" t="s">
        <v>12967</v>
      </c>
      <c r="G4368" s="24" t="s">
        <v>4462</v>
      </c>
      <c r="H4368" s="230">
        <v>4</v>
      </c>
      <c r="I4368" s="220">
        <v>1470000</v>
      </c>
      <c r="J4368" s="220">
        <f>I4368*0.1</f>
        <v>147000</v>
      </c>
      <c r="K4368" s="220">
        <f>9800+980</f>
        <v>10780</v>
      </c>
      <c r="L4368" s="220">
        <v>9320</v>
      </c>
      <c r="M4368" s="220">
        <v>13200</v>
      </c>
      <c r="N4368" s="220">
        <f>SUM(I4368:M4369)</f>
        <v>1650300</v>
      </c>
      <c r="O4368" s="224"/>
      <c r="P4368" s="110" t="s">
        <v>13462</v>
      </c>
      <c r="Q4368" s="15" t="s">
        <v>19</v>
      </c>
      <c r="R4368" s="205"/>
      <c r="S4368" s="189" t="s">
        <v>25651</v>
      </c>
      <c r="T4368" s="114"/>
      <c r="U4368" s="21"/>
      <c r="V4368" s="115">
        <v>46015</v>
      </c>
      <c r="W4368" s="116">
        <v>998</v>
      </c>
      <c r="X4368" s="220">
        <v>1620000</v>
      </c>
      <c r="Y4368" s="220">
        <f>X4368*0.1</f>
        <v>162000</v>
      </c>
      <c r="Z4368" s="220">
        <v>9320</v>
      </c>
      <c r="AA4368" s="220">
        <f>SUM(X4368:Z4368)</f>
        <v>1791320</v>
      </c>
      <c r="AB4368" s="222">
        <v>46027</v>
      </c>
    </row>
    <row r="4369" spans="1:28" ht="17.100000000000001" customHeight="1" thickBot="1">
      <c r="A4369" s="227"/>
      <c r="B4369" s="27" t="s">
        <v>2597</v>
      </c>
      <c r="C4369" s="27">
        <v>3160</v>
      </c>
      <c r="D4369" s="14" t="s">
        <v>7144</v>
      </c>
      <c r="E4369" s="229"/>
      <c r="F4369" s="117" t="s">
        <v>12968</v>
      </c>
      <c r="G4369" s="26">
        <v>38447</v>
      </c>
      <c r="H4369" s="231"/>
      <c r="I4369" s="221"/>
      <c r="J4369" s="221"/>
      <c r="K4369" s="221"/>
      <c r="L4369" s="221"/>
      <c r="M4369" s="221"/>
      <c r="N4369" s="221"/>
      <c r="O4369" s="225"/>
      <c r="P4369" s="118" t="s">
        <v>13463</v>
      </c>
      <c r="Q4369" s="16" t="s">
        <v>20</v>
      </c>
      <c r="R4369" s="17" t="s">
        <v>1769</v>
      </c>
      <c r="S4369" s="121" t="s">
        <v>13167</v>
      </c>
      <c r="T4369" s="122"/>
      <c r="U4369" s="22"/>
      <c r="V4369" s="123" t="s">
        <v>2747</v>
      </c>
      <c r="W4369" s="122">
        <v>6061</v>
      </c>
      <c r="X4369" s="221"/>
      <c r="Y4369" s="221"/>
      <c r="Z4369" s="221"/>
      <c r="AA4369" s="221"/>
      <c r="AB4369" s="223"/>
    </row>
    <row r="4370" spans="1:28" ht="17.100000000000001" customHeight="1" thickTop="1">
      <c r="A4370" s="226" t="s">
        <v>12947</v>
      </c>
      <c r="B4370" s="28">
        <v>46003</v>
      </c>
      <c r="C4370" s="25">
        <v>1398</v>
      </c>
      <c r="D4370" s="13" t="s">
        <v>2010</v>
      </c>
      <c r="E4370" s="228"/>
      <c r="F4370" s="109" t="s">
        <v>12969</v>
      </c>
      <c r="G4370" s="24" t="s">
        <v>7877</v>
      </c>
      <c r="H4370" s="230">
        <v>4</v>
      </c>
      <c r="I4370" s="220">
        <v>769000</v>
      </c>
      <c r="J4370" s="220">
        <f>I4370*0.1</f>
        <v>76900</v>
      </c>
      <c r="K4370" s="220">
        <v>0</v>
      </c>
      <c r="L4370" s="220">
        <v>8010</v>
      </c>
      <c r="M4370" s="220">
        <v>13200</v>
      </c>
      <c r="N4370" s="220">
        <f>SUM(I4370:M4371)</f>
        <v>867110</v>
      </c>
      <c r="O4370" s="224"/>
      <c r="P4370" s="110" t="s">
        <v>13456</v>
      </c>
      <c r="Q4370" s="15" t="s">
        <v>19</v>
      </c>
      <c r="R4370" s="205"/>
      <c r="S4370" s="189" t="s">
        <v>1271</v>
      </c>
      <c r="T4370" s="114"/>
      <c r="U4370" s="21" t="s">
        <v>15023</v>
      </c>
      <c r="V4370" s="115">
        <v>46043</v>
      </c>
      <c r="W4370" s="116">
        <v>1001</v>
      </c>
      <c r="X4370" s="220">
        <v>875000</v>
      </c>
      <c r="Y4370" s="220">
        <f>X4370*0.1</f>
        <v>87500</v>
      </c>
      <c r="Z4370" s="220">
        <v>8010</v>
      </c>
      <c r="AA4370" s="220">
        <f>SUM(X4370:Z4370)</f>
        <v>970510</v>
      </c>
      <c r="AB4370" s="222">
        <v>46048</v>
      </c>
    </row>
    <row r="4371" spans="1:28" ht="17.100000000000001" customHeight="1" thickBot="1">
      <c r="A4371" s="227"/>
      <c r="B4371" s="27" t="s">
        <v>2597</v>
      </c>
      <c r="C4371" s="27">
        <v>3209</v>
      </c>
      <c r="D4371" s="14" t="s">
        <v>1584</v>
      </c>
      <c r="E4371" s="229"/>
      <c r="F4371" s="117" t="s">
        <v>12970</v>
      </c>
      <c r="G4371" s="26">
        <v>21886</v>
      </c>
      <c r="H4371" s="231"/>
      <c r="I4371" s="221"/>
      <c r="J4371" s="221"/>
      <c r="K4371" s="221"/>
      <c r="L4371" s="221"/>
      <c r="M4371" s="221"/>
      <c r="N4371" s="221"/>
      <c r="O4371" s="225"/>
      <c r="P4371" s="118" t="s">
        <v>13457</v>
      </c>
      <c r="Q4371" s="16" t="s">
        <v>20</v>
      </c>
      <c r="R4371" s="17" t="s">
        <v>1769</v>
      </c>
      <c r="S4371" s="121" t="s">
        <v>1625</v>
      </c>
      <c r="T4371" s="122"/>
      <c r="U4371" s="22"/>
      <c r="V4371" s="123" t="s">
        <v>2747</v>
      </c>
      <c r="W4371" s="122">
        <v>2050</v>
      </c>
      <c r="X4371" s="221"/>
      <c r="Y4371" s="221"/>
      <c r="Z4371" s="221"/>
      <c r="AA4371" s="221"/>
      <c r="AB4371" s="223"/>
    </row>
    <row r="4372" spans="1:28" ht="17.100000000000001" customHeight="1" thickTop="1">
      <c r="A4372" s="226" t="s">
        <v>12948</v>
      </c>
      <c r="B4372" s="28">
        <v>46003</v>
      </c>
      <c r="C4372" s="25">
        <v>1398</v>
      </c>
      <c r="D4372" s="13" t="s">
        <v>2264</v>
      </c>
      <c r="E4372" s="228"/>
      <c r="F4372" s="109" t="s">
        <v>9009</v>
      </c>
      <c r="G4372" s="24" t="s">
        <v>12983</v>
      </c>
      <c r="H4372" s="230">
        <v>4.5</v>
      </c>
      <c r="I4372" s="220">
        <v>753000</v>
      </c>
      <c r="J4372" s="220">
        <f>I4372*0.1</f>
        <v>75300</v>
      </c>
      <c r="K4372" s="220">
        <v>0</v>
      </c>
      <c r="L4372" s="220">
        <v>8740</v>
      </c>
      <c r="M4372" s="220">
        <v>13200</v>
      </c>
      <c r="N4372" s="220">
        <f>SUM(I4372:M4373)</f>
        <v>850240</v>
      </c>
      <c r="O4372" s="224"/>
      <c r="P4372" s="110" t="s">
        <v>13454</v>
      </c>
      <c r="Q4372" s="15" t="s">
        <v>19</v>
      </c>
      <c r="R4372" s="205"/>
      <c r="S4372" s="189" t="s">
        <v>25450</v>
      </c>
      <c r="T4372" s="114"/>
      <c r="U4372" s="21"/>
      <c r="V4372" s="115">
        <v>46011</v>
      </c>
      <c r="W4372" s="116">
        <v>1281</v>
      </c>
      <c r="X4372" s="220">
        <v>840000</v>
      </c>
      <c r="Y4372" s="220">
        <f>X4372*0.1</f>
        <v>84000</v>
      </c>
      <c r="Z4372" s="220">
        <v>8740</v>
      </c>
      <c r="AA4372" s="220">
        <f>SUM(X4372:Z4372)</f>
        <v>932740</v>
      </c>
      <c r="AB4372" s="222">
        <v>46014</v>
      </c>
    </row>
    <row r="4373" spans="1:28" ht="17.100000000000001" customHeight="1" thickBot="1">
      <c r="A4373" s="227"/>
      <c r="B4373" s="27" t="s">
        <v>2597</v>
      </c>
      <c r="C4373" s="27">
        <v>7011</v>
      </c>
      <c r="D4373" s="14" t="s">
        <v>1710</v>
      </c>
      <c r="E4373" s="229"/>
      <c r="F4373" s="117" t="s">
        <v>12971</v>
      </c>
      <c r="G4373" s="26">
        <v>58888</v>
      </c>
      <c r="H4373" s="231"/>
      <c r="I4373" s="221"/>
      <c r="J4373" s="221"/>
      <c r="K4373" s="221"/>
      <c r="L4373" s="221"/>
      <c r="M4373" s="221"/>
      <c r="N4373" s="221"/>
      <c r="O4373" s="225"/>
      <c r="P4373" s="118" t="s">
        <v>8646</v>
      </c>
      <c r="Q4373" s="16" t="s">
        <v>20</v>
      </c>
      <c r="R4373" s="17" t="s">
        <v>1769</v>
      </c>
      <c r="S4373" s="121" t="s">
        <v>13455</v>
      </c>
      <c r="T4373" s="122"/>
      <c r="U4373" s="22"/>
      <c r="V4373" s="123" t="s">
        <v>2472</v>
      </c>
      <c r="W4373" s="122">
        <v>60328</v>
      </c>
      <c r="X4373" s="221"/>
      <c r="Y4373" s="221"/>
      <c r="Z4373" s="221"/>
      <c r="AA4373" s="221"/>
      <c r="AB4373" s="223"/>
    </row>
    <row r="4374" spans="1:28" ht="17.100000000000001" customHeight="1" thickTop="1">
      <c r="A4374" s="226" t="s">
        <v>12949</v>
      </c>
      <c r="B4374" s="28">
        <v>46003</v>
      </c>
      <c r="C4374" s="25">
        <v>1398</v>
      </c>
      <c r="D4374" s="13" t="s">
        <v>2107</v>
      </c>
      <c r="E4374" s="228"/>
      <c r="F4374" s="109" t="s">
        <v>12972</v>
      </c>
      <c r="G4374" s="24" t="s">
        <v>12984</v>
      </c>
      <c r="H4374" s="230">
        <v>4</v>
      </c>
      <c r="I4374" s="220">
        <v>400000</v>
      </c>
      <c r="J4374" s="220">
        <f>I4374*0.1</f>
        <v>40000</v>
      </c>
      <c r="K4374" s="220">
        <v>0</v>
      </c>
      <c r="L4374" s="220">
        <v>9190</v>
      </c>
      <c r="M4374" s="220">
        <v>13200</v>
      </c>
      <c r="N4374" s="220">
        <f>SUM(I4374:M4375)</f>
        <v>462390</v>
      </c>
      <c r="O4374" s="224"/>
      <c r="P4374" s="110" t="s">
        <v>13451</v>
      </c>
      <c r="Q4374" s="15" t="s">
        <v>19</v>
      </c>
      <c r="R4374" s="205"/>
      <c r="S4374" s="189"/>
      <c r="T4374" s="114"/>
      <c r="U4374" s="21"/>
      <c r="V4374" s="115">
        <v>46018</v>
      </c>
      <c r="W4374" s="116">
        <v>1282</v>
      </c>
      <c r="X4374" s="220">
        <v>435000</v>
      </c>
      <c r="Y4374" s="220">
        <f>X4374*0.1</f>
        <v>43500</v>
      </c>
      <c r="Z4374" s="220">
        <v>9190</v>
      </c>
      <c r="AA4374" s="220">
        <f>SUM(X4374:Z4374)</f>
        <v>487690</v>
      </c>
      <c r="AB4374" s="222">
        <v>46028</v>
      </c>
    </row>
    <row r="4375" spans="1:28" ht="17.100000000000001" customHeight="1" thickBot="1">
      <c r="A4375" s="227"/>
      <c r="B4375" s="27" t="s">
        <v>2597</v>
      </c>
      <c r="C4375" s="27">
        <v>7013</v>
      </c>
      <c r="D4375" s="14" t="s">
        <v>898</v>
      </c>
      <c r="E4375" s="229"/>
      <c r="F4375" s="117" t="s">
        <v>12973</v>
      </c>
      <c r="G4375" s="26">
        <v>78759</v>
      </c>
      <c r="H4375" s="231"/>
      <c r="I4375" s="221"/>
      <c r="J4375" s="221"/>
      <c r="K4375" s="221"/>
      <c r="L4375" s="221"/>
      <c r="M4375" s="221"/>
      <c r="N4375" s="221"/>
      <c r="O4375" s="225"/>
      <c r="P4375" s="118" t="s">
        <v>13449</v>
      </c>
      <c r="Q4375" s="16" t="s">
        <v>20</v>
      </c>
      <c r="R4375" s="17" t="s">
        <v>1769</v>
      </c>
      <c r="S4375" s="121" t="s">
        <v>3566</v>
      </c>
      <c r="T4375" s="122"/>
      <c r="U4375" s="22"/>
      <c r="V4375" s="123" t="s">
        <v>2472</v>
      </c>
      <c r="W4375" s="122">
        <v>60181</v>
      </c>
      <c r="X4375" s="221"/>
      <c r="Y4375" s="221"/>
      <c r="Z4375" s="221"/>
      <c r="AA4375" s="221"/>
      <c r="AB4375" s="223"/>
    </row>
    <row r="4376" spans="1:28" ht="17.100000000000001" customHeight="1" thickTop="1">
      <c r="A4376" s="226" t="s">
        <v>12950</v>
      </c>
      <c r="B4376" s="28">
        <v>46003</v>
      </c>
      <c r="C4376" s="25">
        <v>1398</v>
      </c>
      <c r="D4376" s="13" t="s">
        <v>2010</v>
      </c>
      <c r="E4376" s="228"/>
      <c r="F4376" s="109" t="s">
        <v>11139</v>
      </c>
      <c r="G4376" s="24"/>
      <c r="H4376" s="230">
        <v>4</v>
      </c>
      <c r="I4376" s="220">
        <v>1090000</v>
      </c>
      <c r="J4376" s="220">
        <f>I4376*0.1</f>
        <v>109000</v>
      </c>
      <c r="K4376" s="220">
        <v>0</v>
      </c>
      <c r="L4376" s="220">
        <v>6880</v>
      </c>
      <c r="M4376" s="220">
        <v>13200</v>
      </c>
      <c r="N4376" s="220">
        <f>SUM(I4376:M4377)</f>
        <v>1219080</v>
      </c>
      <c r="O4376" s="224"/>
      <c r="P4376" s="110" t="s">
        <v>13450</v>
      </c>
      <c r="Q4376" s="15" t="s">
        <v>19</v>
      </c>
      <c r="R4376" s="205"/>
      <c r="S4376" s="189"/>
      <c r="T4376" s="114"/>
      <c r="U4376" s="21"/>
      <c r="V4376" s="115">
        <v>46008</v>
      </c>
      <c r="W4376" s="116">
        <v>997</v>
      </c>
      <c r="X4376" s="220">
        <v>1180000</v>
      </c>
      <c r="Y4376" s="220">
        <f>X4376*0.1</f>
        <v>118000</v>
      </c>
      <c r="Z4376" s="220">
        <v>6880</v>
      </c>
      <c r="AA4376" s="220">
        <f>SUM(X4376:Z4376)</f>
        <v>1304880</v>
      </c>
      <c r="AB4376" s="222">
        <v>46014</v>
      </c>
    </row>
    <row r="4377" spans="1:28" ht="17.100000000000001" customHeight="1" thickBot="1">
      <c r="A4377" s="227"/>
      <c r="B4377" s="27" t="s">
        <v>2597</v>
      </c>
      <c r="C4377" s="27">
        <v>7017</v>
      </c>
      <c r="D4377" s="14" t="s">
        <v>1568</v>
      </c>
      <c r="E4377" s="229"/>
      <c r="F4377" s="117" t="s">
        <v>12974</v>
      </c>
      <c r="G4377" s="26">
        <v>39875</v>
      </c>
      <c r="H4377" s="231"/>
      <c r="I4377" s="221"/>
      <c r="J4377" s="221"/>
      <c r="K4377" s="221"/>
      <c r="L4377" s="221"/>
      <c r="M4377" s="221"/>
      <c r="N4377" s="221"/>
      <c r="O4377" s="225"/>
      <c r="P4377" s="118" t="s">
        <v>8735</v>
      </c>
      <c r="Q4377" s="16" t="s">
        <v>20</v>
      </c>
      <c r="R4377" s="17" t="s">
        <v>1769</v>
      </c>
      <c r="S4377" s="121" t="s">
        <v>2236</v>
      </c>
      <c r="T4377" s="122"/>
      <c r="U4377" s="22"/>
      <c r="V4377" s="123" t="s">
        <v>7161</v>
      </c>
      <c r="W4377" s="122">
        <v>2037</v>
      </c>
      <c r="X4377" s="221"/>
      <c r="Y4377" s="221"/>
      <c r="Z4377" s="221"/>
      <c r="AA4377" s="221"/>
      <c r="AB4377" s="223"/>
    </row>
    <row r="4378" spans="1:28" ht="17.100000000000001" customHeight="1" thickTop="1">
      <c r="A4378" s="226" t="s">
        <v>12951</v>
      </c>
      <c r="B4378" s="28">
        <v>46003</v>
      </c>
      <c r="C4378" s="25">
        <v>1398</v>
      </c>
      <c r="D4378" s="13" t="s">
        <v>1883</v>
      </c>
      <c r="E4378" s="228"/>
      <c r="F4378" s="109" t="s">
        <v>12975</v>
      </c>
      <c r="G4378" s="24" t="s">
        <v>12985</v>
      </c>
      <c r="H4378" s="230">
        <v>4.5</v>
      </c>
      <c r="I4378" s="220">
        <v>1650000</v>
      </c>
      <c r="J4378" s="220">
        <f>I4378*0.1</f>
        <v>165000</v>
      </c>
      <c r="K4378" s="220">
        <f>9000+900</f>
        <v>9900</v>
      </c>
      <c r="L4378" s="220">
        <v>20580</v>
      </c>
      <c r="M4378" s="220">
        <v>19800</v>
      </c>
      <c r="N4378" s="220">
        <f>SUM(I4378:M4379)</f>
        <v>1865280</v>
      </c>
      <c r="O4378" s="224"/>
      <c r="P4378" s="110" t="s">
        <v>13554</v>
      </c>
      <c r="Q4378" s="15" t="s">
        <v>19</v>
      </c>
      <c r="R4378" s="205"/>
      <c r="S4378" s="189" t="s">
        <v>1276</v>
      </c>
      <c r="T4378" s="114"/>
      <c r="U4378" s="21"/>
      <c r="V4378" s="115">
        <v>46009</v>
      </c>
      <c r="W4378" s="116">
        <v>1311</v>
      </c>
      <c r="X4378" s="220">
        <v>1850000</v>
      </c>
      <c r="Y4378" s="220">
        <f>X4378*0.1</f>
        <v>185000</v>
      </c>
      <c r="Z4378" s="220">
        <v>20580</v>
      </c>
      <c r="AA4378" s="220">
        <f>SUM(X4378:Z4378)</f>
        <v>2055580</v>
      </c>
      <c r="AB4378" s="222">
        <v>46010</v>
      </c>
    </row>
    <row r="4379" spans="1:28" ht="17.100000000000001" customHeight="1" thickBot="1">
      <c r="A4379" s="227"/>
      <c r="B4379" s="27" t="s">
        <v>2597</v>
      </c>
      <c r="C4379" s="27">
        <v>7088</v>
      </c>
      <c r="D4379" s="14" t="s">
        <v>1584</v>
      </c>
      <c r="E4379" s="229"/>
      <c r="F4379" s="117" t="s">
        <v>12976</v>
      </c>
      <c r="G4379" s="26">
        <v>54186</v>
      </c>
      <c r="H4379" s="231"/>
      <c r="I4379" s="221"/>
      <c r="J4379" s="221"/>
      <c r="K4379" s="221"/>
      <c r="L4379" s="221"/>
      <c r="M4379" s="221"/>
      <c r="N4379" s="221"/>
      <c r="O4379" s="225"/>
      <c r="P4379" s="118" t="s">
        <v>13555</v>
      </c>
      <c r="Q4379" s="16" t="s">
        <v>20</v>
      </c>
      <c r="R4379" s="17" t="s">
        <v>13537</v>
      </c>
      <c r="S4379" s="121" t="s">
        <v>13556</v>
      </c>
      <c r="T4379" s="122"/>
      <c r="U4379" s="22"/>
      <c r="V4379" s="123" t="s">
        <v>13379</v>
      </c>
      <c r="W4379" s="122">
        <v>150</v>
      </c>
      <c r="X4379" s="221"/>
      <c r="Y4379" s="221"/>
      <c r="Z4379" s="221"/>
      <c r="AA4379" s="221"/>
      <c r="AB4379" s="223"/>
    </row>
    <row r="4380" spans="1:28" ht="17.100000000000001" customHeight="1" thickTop="1">
      <c r="A4380" s="226" t="s">
        <v>12952</v>
      </c>
      <c r="B4380" s="28">
        <v>46003</v>
      </c>
      <c r="C4380" s="25">
        <v>1398</v>
      </c>
      <c r="D4380" s="13" t="s">
        <v>2964</v>
      </c>
      <c r="E4380" s="228"/>
      <c r="F4380" s="109" t="s">
        <v>11790</v>
      </c>
      <c r="G4380" s="24"/>
      <c r="H4380" s="230">
        <v>4</v>
      </c>
      <c r="I4380" s="220">
        <v>1750000</v>
      </c>
      <c r="J4380" s="220">
        <f>I4380*0.1</f>
        <v>175000</v>
      </c>
      <c r="K4380" s="220">
        <v>0</v>
      </c>
      <c r="L4380" s="220">
        <v>17930</v>
      </c>
      <c r="M4380" s="220">
        <v>19800</v>
      </c>
      <c r="N4380" s="220">
        <f>SUM(I4380:M4381)</f>
        <v>1962730</v>
      </c>
      <c r="O4380" s="224"/>
      <c r="P4380" s="110" t="s">
        <v>13758</v>
      </c>
      <c r="Q4380" s="15" t="s">
        <v>19</v>
      </c>
      <c r="R4380" s="205"/>
      <c r="S4380" s="189" t="s">
        <v>25367</v>
      </c>
      <c r="T4380" s="114" t="s">
        <v>14397</v>
      </c>
      <c r="U4380" s="21"/>
      <c r="V4380" s="115">
        <v>46060</v>
      </c>
      <c r="W4380" s="116">
        <v>1287</v>
      </c>
      <c r="X4380" s="220">
        <v>1885000</v>
      </c>
      <c r="Y4380" s="220">
        <f>X4380*0.1</f>
        <v>188500</v>
      </c>
      <c r="Z4380" s="220">
        <v>17930</v>
      </c>
      <c r="AA4380" s="220">
        <f>SUM(X4380:Z4380)</f>
        <v>2091430</v>
      </c>
      <c r="AB4380" s="222">
        <v>46063</v>
      </c>
    </row>
    <row r="4381" spans="1:28" ht="17.100000000000001" customHeight="1" thickBot="1">
      <c r="A4381" s="227"/>
      <c r="B4381" s="27" t="s">
        <v>2597</v>
      </c>
      <c r="C4381" s="27">
        <v>7136</v>
      </c>
      <c r="D4381" s="14" t="s">
        <v>12986</v>
      </c>
      <c r="E4381" s="229"/>
      <c r="F4381" s="117" t="s">
        <v>12977</v>
      </c>
      <c r="G4381" s="26">
        <v>44454</v>
      </c>
      <c r="H4381" s="231"/>
      <c r="I4381" s="221"/>
      <c r="J4381" s="221"/>
      <c r="K4381" s="221"/>
      <c r="L4381" s="221"/>
      <c r="M4381" s="221"/>
      <c r="N4381" s="221"/>
      <c r="O4381" s="225"/>
      <c r="P4381" s="118" t="s">
        <v>13759</v>
      </c>
      <c r="Q4381" s="16" t="s">
        <v>20</v>
      </c>
      <c r="R4381" s="17" t="s">
        <v>13750</v>
      </c>
      <c r="S4381" s="121" t="s">
        <v>14396</v>
      </c>
      <c r="T4381" s="122"/>
      <c r="U4381" s="22"/>
      <c r="V4381" s="123" t="s">
        <v>2472</v>
      </c>
      <c r="W4381" s="122">
        <v>80185</v>
      </c>
      <c r="X4381" s="221"/>
      <c r="Y4381" s="221"/>
      <c r="Z4381" s="221"/>
      <c r="AA4381" s="221"/>
      <c r="AB4381" s="223"/>
    </row>
    <row r="4382" spans="1:28" ht="17.100000000000001" customHeight="1" thickTop="1">
      <c r="A4382" s="233" t="s">
        <v>12953</v>
      </c>
      <c r="B4382" s="28">
        <v>46003</v>
      </c>
      <c r="C4382" s="25">
        <v>1398</v>
      </c>
      <c r="D4382" s="13" t="s">
        <v>2564</v>
      </c>
      <c r="E4382" s="228"/>
      <c r="F4382" s="109" t="s">
        <v>4601</v>
      </c>
      <c r="G4382" s="24" t="s">
        <v>12987</v>
      </c>
      <c r="H4382" s="230">
        <v>4.5</v>
      </c>
      <c r="I4382" s="220">
        <v>941000</v>
      </c>
      <c r="J4382" s="220">
        <f>I4382*0.1</f>
        <v>94100</v>
      </c>
      <c r="K4382" s="220">
        <v>0</v>
      </c>
      <c r="L4382" s="220">
        <v>7150</v>
      </c>
      <c r="M4382" s="220">
        <v>13200</v>
      </c>
      <c r="N4382" s="220">
        <f>SUM(I4382:M4383)</f>
        <v>1055450</v>
      </c>
      <c r="O4382" s="224"/>
      <c r="P4382" s="110" t="s">
        <v>13448</v>
      </c>
      <c r="Q4382" s="15" t="s">
        <v>19</v>
      </c>
      <c r="R4382" s="205"/>
      <c r="S4382" s="189"/>
      <c r="T4382" s="114" t="s">
        <v>13678</v>
      </c>
      <c r="U4382" s="21"/>
      <c r="V4382" s="115"/>
      <c r="W4382" s="116"/>
      <c r="X4382" s="220"/>
      <c r="Y4382" s="220">
        <f>X4382*0.1</f>
        <v>0</v>
      </c>
      <c r="Z4382" s="220"/>
      <c r="AA4382" s="220">
        <f>SUM(X4382:Z4382)</f>
        <v>0</v>
      </c>
      <c r="AB4382" s="222"/>
    </row>
    <row r="4383" spans="1:28" ht="17.100000000000001" customHeight="1" thickBot="1">
      <c r="A4383" s="234"/>
      <c r="B4383" s="27" t="s">
        <v>2597</v>
      </c>
      <c r="C4383" s="27">
        <v>7217</v>
      </c>
      <c r="D4383" s="14" t="s">
        <v>1568</v>
      </c>
      <c r="E4383" s="229"/>
      <c r="F4383" s="117" t="s">
        <v>12978</v>
      </c>
      <c r="G4383" s="26">
        <v>43593</v>
      </c>
      <c r="H4383" s="231"/>
      <c r="I4383" s="221"/>
      <c r="J4383" s="221"/>
      <c r="K4383" s="221"/>
      <c r="L4383" s="221"/>
      <c r="M4383" s="221"/>
      <c r="N4383" s="221"/>
      <c r="O4383" s="225"/>
      <c r="P4383" s="118" t="s">
        <v>13449</v>
      </c>
      <c r="Q4383" s="16" t="s">
        <v>20</v>
      </c>
      <c r="R4383" s="17" t="s">
        <v>1769</v>
      </c>
      <c r="S4383" s="121"/>
      <c r="T4383" s="122"/>
      <c r="U4383" s="22"/>
      <c r="V4383" s="123"/>
      <c r="W4383" s="122"/>
      <c r="X4383" s="221"/>
      <c r="Y4383" s="221"/>
      <c r="Z4383" s="221"/>
      <c r="AA4383" s="221"/>
      <c r="AB4383" s="223"/>
    </row>
    <row r="4384" spans="1:28" ht="17.100000000000001" customHeight="1" thickTop="1">
      <c r="A4384" s="226" t="s">
        <v>12954</v>
      </c>
      <c r="B4384" s="28">
        <v>46003</v>
      </c>
      <c r="C4384" s="25">
        <v>1398</v>
      </c>
      <c r="D4384" s="13" t="s">
        <v>2690</v>
      </c>
      <c r="E4384" s="228"/>
      <c r="F4384" s="109" t="s">
        <v>9048</v>
      </c>
      <c r="G4384" s="24" t="s">
        <v>4446</v>
      </c>
      <c r="H4384" s="230">
        <v>4.5</v>
      </c>
      <c r="I4384" s="220">
        <v>877000</v>
      </c>
      <c r="J4384" s="220">
        <f>I4384*0.1</f>
        <v>87700</v>
      </c>
      <c r="K4384" s="220">
        <v>0</v>
      </c>
      <c r="L4384" s="220">
        <v>8740</v>
      </c>
      <c r="M4384" s="220">
        <v>13200</v>
      </c>
      <c r="N4384" s="220">
        <f>SUM(I4384:M4385)</f>
        <v>986640</v>
      </c>
      <c r="O4384" s="224"/>
      <c r="P4384" s="110" t="s">
        <v>13762</v>
      </c>
      <c r="Q4384" s="15" t="s">
        <v>19</v>
      </c>
      <c r="R4384" s="205"/>
      <c r="S4384" s="189" t="s">
        <v>1271</v>
      </c>
      <c r="T4384" s="114"/>
      <c r="U4384" s="21"/>
      <c r="V4384" s="115">
        <v>46018</v>
      </c>
      <c r="W4384" s="116">
        <v>1282</v>
      </c>
      <c r="X4384" s="220">
        <v>960000</v>
      </c>
      <c r="Y4384" s="220">
        <f>X4384*0.1</f>
        <v>96000</v>
      </c>
      <c r="Z4384" s="220">
        <v>8740</v>
      </c>
      <c r="AA4384" s="220">
        <f>SUM(X4384:Z4384)</f>
        <v>1064740</v>
      </c>
      <c r="AB4384" s="222">
        <v>46028</v>
      </c>
    </row>
    <row r="4385" spans="1:28" ht="17.100000000000001" customHeight="1" thickBot="1">
      <c r="A4385" s="227"/>
      <c r="B4385" s="27" t="s">
        <v>2597</v>
      </c>
      <c r="C4385" s="27">
        <v>7225</v>
      </c>
      <c r="D4385" s="14" t="s">
        <v>1568</v>
      </c>
      <c r="E4385" s="229"/>
      <c r="F4385" s="117" t="s">
        <v>12979</v>
      </c>
      <c r="G4385" s="26">
        <v>63783</v>
      </c>
      <c r="H4385" s="231"/>
      <c r="I4385" s="221"/>
      <c r="J4385" s="221"/>
      <c r="K4385" s="221"/>
      <c r="L4385" s="221"/>
      <c r="M4385" s="221"/>
      <c r="N4385" s="221"/>
      <c r="O4385" s="225"/>
      <c r="P4385" s="118" t="s">
        <v>4541</v>
      </c>
      <c r="Q4385" s="16" t="s">
        <v>20</v>
      </c>
      <c r="R4385" s="17" t="s">
        <v>13750</v>
      </c>
      <c r="S4385" s="121" t="s">
        <v>1649</v>
      </c>
      <c r="T4385" s="122"/>
      <c r="U4385" s="22"/>
      <c r="V4385" s="123" t="s">
        <v>2472</v>
      </c>
      <c r="W4385" s="122">
        <v>60134</v>
      </c>
      <c r="X4385" s="221"/>
      <c r="Y4385" s="221"/>
      <c r="Z4385" s="221"/>
      <c r="AA4385" s="221"/>
      <c r="AB4385" s="223"/>
    </row>
    <row r="4386" spans="1:28" ht="17.100000000000001" customHeight="1" thickTop="1">
      <c r="A4386" s="226" t="s">
        <v>12955</v>
      </c>
      <c r="B4386" s="28">
        <v>46003</v>
      </c>
      <c r="C4386" s="25">
        <v>1398</v>
      </c>
      <c r="D4386" s="13" t="s">
        <v>4531</v>
      </c>
      <c r="E4386" s="228"/>
      <c r="F4386" s="109" t="s">
        <v>12980</v>
      </c>
      <c r="G4386" s="24"/>
      <c r="H4386" s="230">
        <v>3.5</v>
      </c>
      <c r="I4386" s="220">
        <v>210000</v>
      </c>
      <c r="J4386" s="220">
        <f>I4386*0.1</f>
        <v>21000</v>
      </c>
      <c r="K4386" s="220">
        <v>0</v>
      </c>
      <c r="L4386" s="220">
        <v>9200</v>
      </c>
      <c r="M4386" s="220">
        <v>13200</v>
      </c>
      <c r="N4386" s="220">
        <f>SUM(I4386:M4387)</f>
        <v>253400</v>
      </c>
      <c r="O4386" s="224"/>
      <c r="P4386" s="110" t="s">
        <v>13478</v>
      </c>
      <c r="Q4386" s="15" t="s">
        <v>19</v>
      </c>
      <c r="R4386" s="205"/>
      <c r="S4386" s="189"/>
      <c r="T4386" s="114"/>
      <c r="U4386" s="21"/>
      <c r="V4386" s="115">
        <v>46011</v>
      </c>
      <c r="W4386" s="116">
        <v>1281</v>
      </c>
      <c r="X4386" s="220">
        <v>290000</v>
      </c>
      <c r="Y4386" s="220">
        <f>X4386*0.1</f>
        <v>29000</v>
      </c>
      <c r="Z4386" s="220">
        <v>9200</v>
      </c>
      <c r="AA4386" s="220">
        <f>SUM(X4386:Z4386)</f>
        <v>328200</v>
      </c>
      <c r="AB4386" s="222">
        <v>46014</v>
      </c>
    </row>
    <row r="4387" spans="1:28" ht="17.100000000000001" customHeight="1" thickBot="1">
      <c r="A4387" s="227"/>
      <c r="B4387" s="27" t="s">
        <v>2597</v>
      </c>
      <c r="C4387" s="27">
        <v>9067</v>
      </c>
      <c r="D4387" s="14" t="s">
        <v>2014</v>
      </c>
      <c r="E4387" s="229"/>
      <c r="F4387" s="117" t="s">
        <v>12981</v>
      </c>
      <c r="G4387" s="26">
        <v>40650</v>
      </c>
      <c r="H4387" s="231"/>
      <c r="I4387" s="221"/>
      <c r="J4387" s="221"/>
      <c r="K4387" s="221"/>
      <c r="L4387" s="221"/>
      <c r="M4387" s="221"/>
      <c r="N4387" s="221"/>
      <c r="O4387" s="225"/>
      <c r="P4387" s="118" t="s">
        <v>2870</v>
      </c>
      <c r="Q4387" s="16" t="s">
        <v>20</v>
      </c>
      <c r="R4387" s="17" t="s">
        <v>3420</v>
      </c>
      <c r="S4387" s="121"/>
      <c r="T4387" s="122"/>
      <c r="U4387" s="22"/>
      <c r="V4387" s="123" t="s">
        <v>2472</v>
      </c>
      <c r="W4387" s="122">
        <v>60320</v>
      </c>
      <c r="X4387" s="221"/>
      <c r="Y4387" s="221"/>
      <c r="Z4387" s="221"/>
      <c r="AA4387" s="221"/>
      <c r="AB4387" s="223"/>
    </row>
    <row r="4388" spans="1:28" ht="17.100000000000001" customHeight="1" thickTop="1">
      <c r="A4388" s="226" t="s">
        <v>13121</v>
      </c>
      <c r="B4388" s="28">
        <v>46004</v>
      </c>
      <c r="C4388" s="25"/>
      <c r="D4388" s="13" t="s">
        <v>2690</v>
      </c>
      <c r="E4388" s="228"/>
      <c r="F4388" s="109" t="s">
        <v>12957</v>
      </c>
      <c r="G4388" s="24" t="s">
        <v>5323</v>
      </c>
      <c r="H4388" s="230">
        <v>4.5</v>
      </c>
      <c r="I4388" s="220">
        <f>2893000/1.1</f>
        <v>2630000</v>
      </c>
      <c r="J4388" s="220">
        <f>I4388*0.1</f>
        <v>263000</v>
      </c>
      <c r="K4388" s="220">
        <v>6000</v>
      </c>
      <c r="L4388" s="220">
        <v>14490</v>
      </c>
      <c r="M4388" s="220">
        <v>0</v>
      </c>
      <c r="N4388" s="220">
        <f>SUM(I4388:M4389)</f>
        <v>2913490</v>
      </c>
      <c r="O4388" s="224"/>
      <c r="P4388" s="110" t="s">
        <v>15813</v>
      </c>
      <c r="Q4388" s="15" t="s">
        <v>19</v>
      </c>
      <c r="R4388" s="205"/>
      <c r="S4388" s="189" t="s">
        <v>1276</v>
      </c>
      <c r="T4388" s="114"/>
      <c r="U4388" s="21"/>
      <c r="V4388" s="115">
        <v>46046</v>
      </c>
      <c r="W4388" s="116">
        <v>1285</v>
      </c>
      <c r="X4388" s="220">
        <v>2755000</v>
      </c>
      <c r="Y4388" s="220">
        <f>X4388*0.1</f>
        <v>275500</v>
      </c>
      <c r="Z4388" s="220">
        <v>14490</v>
      </c>
      <c r="AA4388" s="220">
        <f>SUM(X4388:Z4388)</f>
        <v>3044990</v>
      </c>
      <c r="AB4388" s="222">
        <v>46051</v>
      </c>
    </row>
    <row r="4389" spans="1:28" ht="17.100000000000001" customHeight="1" thickBot="1">
      <c r="A4389" s="227"/>
      <c r="B4389" s="27" t="s">
        <v>1708</v>
      </c>
      <c r="C4389" s="27" t="s">
        <v>12956</v>
      </c>
      <c r="D4389" s="14" t="s">
        <v>2559</v>
      </c>
      <c r="E4389" s="229"/>
      <c r="F4389" s="117" t="s">
        <v>12958</v>
      </c>
      <c r="G4389" s="26">
        <v>47961</v>
      </c>
      <c r="H4389" s="231"/>
      <c r="I4389" s="221"/>
      <c r="J4389" s="221"/>
      <c r="K4389" s="221"/>
      <c r="L4389" s="221"/>
      <c r="M4389" s="221"/>
      <c r="N4389" s="221"/>
      <c r="O4389" s="225"/>
      <c r="P4389" s="118" t="s">
        <v>4211</v>
      </c>
      <c r="Q4389" s="16" t="s">
        <v>20</v>
      </c>
      <c r="R4389" s="17" t="s">
        <v>15814</v>
      </c>
      <c r="S4389" s="121" t="s">
        <v>1606</v>
      </c>
      <c r="T4389" s="122"/>
      <c r="U4389" s="22"/>
      <c r="V4389" s="123" t="s">
        <v>2472</v>
      </c>
      <c r="W4389" s="122">
        <v>37597</v>
      </c>
      <c r="X4389" s="221"/>
      <c r="Y4389" s="221"/>
      <c r="Z4389" s="221"/>
      <c r="AA4389" s="221"/>
      <c r="AB4389" s="223"/>
    </row>
    <row r="4390" spans="1:28" ht="17.100000000000001" customHeight="1" thickTop="1">
      <c r="A4390" s="226" t="s">
        <v>13122</v>
      </c>
      <c r="B4390" s="28">
        <v>46004</v>
      </c>
      <c r="C4390" s="25">
        <v>291</v>
      </c>
      <c r="D4390" s="13" t="s">
        <v>1899</v>
      </c>
      <c r="E4390" s="228"/>
      <c r="F4390" s="109" t="s">
        <v>16490</v>
      </c>
      <c r="G4390" s="24"/>
      <c r="H4390" s="230">
        <v>4</v>
      </c>
      <c r="I4390" s="220">
        <v>1101000</v>
      </c>
      <c r="J4390" s="220">
        <f>I4390*0.1</f>
        <v>110100</v>
      </c>
      <c r="K4390" s="220">
        <v>0</v>
      </c>
      <c r="L4390" s="220">
        <v>13610</v>
      </c>
      <c r="M4390" s="220">
        <v>15950</v>
      </c>
      <c r="N4390" s="220">
        <f>SUM(I4390:M4391)</f>
        <v>1240660</v>
      </c>
      <c r="O4390" s="224"/>
      <c r="P4390" s="110" t="s">
        <v>13376</v>
      </c>
      <c r="Q4390" s="15" t="s">
        <v>19</v>
      </c>
      <c r="R4390" s="205"/>
      <c r="S4390" s="189" t="s">
        <v>1361</v>
      </c>
      <c r="T4390" s="114"/>
      <c r="U4390" s="21"/>
      <c r="V4390" s="115">
        <v>46057</v>
      </c>
      <c r="W4390" s="116">
        <v>1003</v>
      </c>
      <c r="X4390" s="220">
        <v>1185000</v>
      </c>
      <c r="Y4390" s="220">
        <f>X4390*0.1</f>
        <v>118500</v>
      </c>
      <c r="Z4390" s="220">
        <v>13610</v>
      </c>
      <c r="AA4390" s="220">
        <f>SUM(X4390:Z4390)</f>
        <v>1317110</v>
      </c>
      <c r="AB4390" s="222">
        <v>46062</v>
      </c>
    </row>
    <row r="4391" spans="1:28" ht="17.100000000000001" customHeight="1" thickBot="1">
      <c r="A4391" s="227"/>
      <c r="B4391" s="27" t="s">
        <v>3518</v>
      </c>
      <c r="C4391" s="27">
        <v>80072</v>
      </c>
      <c r="D4391" s="14" t="s">
        <v>2559</v>
      </c>
      <c r="E4391" s="229"/>
      <c r="F4391" s="117" t="s">
        <v>12959</v>
      </c>
      <c r="G4391" s="26">
        <v>29922</v>
      </c>
      <c r="H4391" s="231"/>
      <c r="I4391" s="221"/>
      <c r="J4391" s="221"/>
      <c r="K4391" s="221"/>
      <c r="L4391" s="221"/>
      <c r="M4391" s="221"/>
      <c r="N4391" s="221"/>
      <c r="O4391" s="225"/>
      <c r="P4391" s="118" t="s">
        <v>3520</v>
      </c>
      <c r="Q4391" s="16" t="s">
        <v>20</v>
      </c>
      <c r="R4391" s="17" t="s">
        <v>1769</v>
      </c>
      <c r="S4391" s="121" t="s">
        <v>3552</v>
      </c>
      <c r="T4391" s="122"/>
      <c r="U4391" s="22"/>
      <c r="V4391" s="123" t="s">
        <v>2747</v>
      </c>
      <c r="W4391" s="122">
        <v>6124</v>
      </c>
      <c r="X4391" s="221"/>
      <c r="Y4391" s="221"/>
      <c r="Z4391" s="221"/>
      <c r="AA4391" s="221"/>
      <c r="AB4391" s="223"/>
    </row>
    <row r="4392" spans="1:28" ht="17.100000000000001" customHeight="1" thickTop="1">
      <c r="A4392" s="226" t="s">
        <v>13123</v>
      </c>
      <c r="B4392" s="28">
        <v>46004</v>
      </c>
      <c r="C4392" s="25">
        <v>1002</v>
      </c>
      <c r="D4392" s="13" t="s">
        <v>1640</v>
      </c>
      <c r="E4392" s="228"/>
      <c r="F4392" s="109" t="s">
        <v>1916</v>
      </c>
      <c r="G4392" s="24"/>
      <c r="H4392" s="230">
        <v>4</v>
      </c>
      <c r="I4392" s="220">
        <v>535000</v>
      </c>
      <c r="J4392" s="220">
        <f>I4392*0.1</f>
        <v>53500</v>
      </c>
      <c r="K4392" s="220">
        <v>0</v>
      </c>
      <c r="L4392" s="220">
        <v>18960</v>
      </c>
      <c r="M4392" s="220">
        <v>19250</v>
      </c>
      <c r="N4392" s="220">
        <f>SUM(I4392:M4393)</f>
        <v>626710</v>
      </c>
      <c r="O4392" s="224"/>
      <c r="P4392" s="110" t="s">
        <v>13546</v>
      </c>
      <c r="Q4392" s="15" t="s">
        <v>19</v>
      </c>
      <c r="R4392" s="205"/>
      <c r="S4392" s="189" t="s">
        <v>1072</v>
      </c>
      <c r="T4392" s="114"/>
      <c r="U4392" s="21"/>
      <c r="V4392" s="115">
        <v>46011</v>
      </c>
      <c r="W4392" s="116">
        <v>1281</v>
      </c>
      <c r="X4392" s="220">
        <v>675000</v>
      </c>
      <c r="Y4392" s="220">
        <f>X4392*0.1</f>
        <v>67500</v>
      </c>
      <c r="Z4392" s="220">
        <v>18960</v>
      </c>
      <c r="AA4392" s="220">
        <f>SUM(X4392:Z4392)</f>
        <v>761460</v>
      </c>
      <c r="AB4392" s="222">
        <v>46014</v>
      </c>
    </row>
    <row r="4393" spans="1:28" ht="17.100000000000001" customHeight="1" thickBot="1">
      <c r="A4393" s="227"/>
      <c r="B4393" s="27" t="s">
        <v>1697</v>
      </c>
      <c r="C4393" s="27">
        <v>5106</v>
      </c>
      <c r="D4393" s="14" t="s">
        <v>131</v>
      </c>
      <c r="E4393" s="229"/>
      <c r="F4393" s="117" t="s">
        <v>13120</v>
      </c>
      <c r="G4393" s="26">
        <v>44677</v>
      </c>
      <c r="H4393" s="231"/>
      <c r="I4393" s="221"/>
      <c r="J4393" s="221"/>
      <c r="K4393" s="221"/>
      <c r="L4393" s="221"/>
      <c r="M4393" s="221"/>
      <c r="N4393" s="221"/>
      <c r="O4393" s="225"/>
      <c r="P4393" s="118" t="s">
        <v>13547</v>
      </c>
      <c r="Q4393" s="16" t="s">
        <v>20</v>
      </c>
      <c r="R4393" s="17" t="s">
        <v>13537</v>
      </c>
      <c r="S4393" s="121" t="s">
        <v>5180</v>
      </c>
      <c r="T4393" s="122"/>
      <c r="U4393" s="22"/>
      <c r="V4393" s="123" t="s">
        <v>2472</v>
      </c>
      <c r="W4393" s="122">
        <v>80328</v>
      </c>
      <c r="X4393" s="221"/>
      <c r="Y4393" s="221"/>
      <c r="Z4393" s="221"/>
      <c r="AA4393" s="221"/>
      <c r="AB4393" s="223"/>
    </row>
    <row r="4394" spans="1:28" ht="17.100000000000001" customHeight="1" thickTop="1">
      <c r="A4394" s="226" t="s">
        <v>13124</v>
      </c>
      <c r="B4394" s="28">
        <v>46004</v>
      </c>
      <c r="C4394" s="25">
        <v>1280</v>
      </c>
      <c r="D4394" s="13" t="s">
        <v>1963</v>
      </c>
      <c r="E4394" s="228"/>
      <c r="F4394" s="109" t="s">
        <v>12988</v>
      </c>
      <c r="G4394" s="24" t="s">
        <v>12990</v>
      </c>
      <c r="H4394" s="230">
        <v>4.5</v>
      </c>
      <c r="I4394" s="220">
        <v>1805000</v>
      </c>
      <c r="J4394" s="220">
        <f>I4394*0.1</f>
        <v>180500</v>
      </c>
      <c r="K4394" s="220">
        <f>7600+760</f>
        <v>8360</v>
      </c>
      <c r="L4394" s="220">
        <v>11650</v>
      </c>
      <c r="M4394" s="220">
        <v>12100</v>
      </c>
      <c r="N4394" s="220">
        <f>SUM(I4394:M4395)</f>
        <v>2017610</v>
      </c>
      <c r="O4394" s="224"/>
      <c r="P4394" s="110" t="s">
        <v>12991</v>
      </c>
      <c r="Q4394" s="15" t="s">
        <v>19</v>
      </c>
      <c r="R4394" s="205"/>
      <c r="S4394" s="189" t="s">
        <v>25445</v>
      </c>
      <c r="T4394" s="114"/>
      <c r="U4394" s="21"/>
      <c r="V4394" s="115">
        <v>46029</v>
      </c>
      <c r="W4394" s="116">
        <v>999</v>
      </c>
      <c r="X4394" s="220">
        <v>1825000</v>
      </c>
      <c r="Y4394" s="220">
        <f>X4394*0.1</f>
        <v>182500</v>
      </c>
      <c r="Z4394" s="220">
        <v>11650</v>
      </c>
      <c r="AA4394" s="220">
        <f>SUM(X4394:Z4394)</f>
        <v>2019150</v>
      </c>
      <c r="AB4394" s="222">
        <v>46035</v>
      </c>
    </row>
    <row r="4395" spans="1:28" ht="17.100000000000001" customHeight="1" thickBot="1">
      <c r="A4395" s="227"/>
      <c r="B4395" s="27" t="s">
        <v>2472</v>
      </c>
      <c r="C4395" s="27">
        <v>31099</v>
      </c>
      <c r="D4395" s="14" t="s">
        <v>898</v>
      </c>
      <c r="E4395" s="229"/>
      <c r="F4395" s="117" t="s">
        <v>12989</v>
      </c>
      <c r="G4395" s="26">
        <v>40295</v>
      </c>
      <c r="H4395" s="231"/>
      <c r="I4395" s="221"/>
      <c r="J4395" s="221"/>
      <c r="K4395" s="221"/>
      <c r="L4395" s="221"/>
      <c r="M4395" s="221"/>
      <c r="N4395" s="221"/>
      <c r="O4395" s="225"/>
      <c r="P4395" s="118" t="s">
        <v>13641</v>
      </c>
      <c r="Q4395" s="16" t="s">
        <v>20</v>
      </c>
      <c r="R4395" s="17" t="s">
        <v>1794</v>
      </c>
      <c r="S4395" s="121" t="s">
        <v>3581</v>
      </c>
      <c r="T4395" s="122"/>
      <c r="U4395" s="22"/>
      <c r="V4395" s="123" t="s">
        <v>2747</v>
      </c>
      <c r="W4395" s="122">
        <v>6089</v>
      </c>
      <c r="X4395" s="221"/>
      <c r="Y4395" s="221"/>
      <c r="Z4395" s="221"/>
      <c r="AA4395" s="221"/>
      <c r="AB4395" s="223"/>
    </row>
    <row r="4396" spans="1:28" ht="17.100000000000001" customHeight="1" thickTop="1">
      <c r="A4396" s="226" t="s">
        <v>13125</v>
      </c>
      <c r="B4396" s="28">
        <v>46004</v>
      </c>
      <c r="C4396" s="25">
        <v>1280</v>
      </c>
      <c r="D4396" s="13" t="s">
        <v>1883</v>
      </c>
      <c r="E4396" s="228"/>
      <c r="F4396" s="109" t="s">
        <v>12992</v>
      </c>
      <c r="G4396" s="24"/>
      <c r="H4396" s="230">
        <v>4</v>
      </c>
      <c r="I4396" s="220">
        <v>1935000</v>
      </c>
      <c r="J4396" s="220">
        <f>I4396*0.1</f>
        <v>193500</v>
      </c>
      <c r="K4396" s="220">
        <v>0</v>
      </c>
      <c r="L4396" s="220">
        <v>10060</v>
      </c>
      <c r="M4396" s="220">
        <v>12100</v>
      </c>
      <c r="N4396" s="220">
        <f>SUM(I4396:M4397)</f>
        <v>2150660</v>
      </c>
      <c r="O4396" s="224"/>
      <c r="P4396" s="110" t="s">
        <v>13631</v>
      </c>
      <c r="Q4396" s="15" t="s">
        <v>19</v>
      </c>
      <c r="R4396" s="205"/>
      <c r="S4396" s="189" t="s">
        <v>25648</v>
      </c>
      <c r="T4396" s="114"/>
      <c r="U4396" s="21"/>
      <c r="V4396" s="115">
        <v>46015</v>
      </c>
      <c r="W4396" s="116">
        <v>998</v>
      </c>
      <c r="X4396" s="220">
        <v>2060000</v>
      </c>
      <c r="Y4396" s="220">
        <f>X4396*0.1</f>
        <v>206000</v>
      </c>
      <c r="Z4396" s="220">
        <v>10060</v>
      </c>
      <c r="AA4396" s="220">
        <f>SUM(X4396:Z4396)</f>
        <v>2276060</v>
      </c>
      <c r="AB4396" s="222">
        <v>46027</v>
      </c>
    </row>
    <row r="4397" spans="1:28" ht="17.100000000000001" customHeight="1" thickBot="1">
      <c r="A4397" s="227"/>
      <c r="B4397" s="27" t="s">
        <v>2472</v>
      </c>
      <c r="C4397" s="27">
        <v>31110</v>
      </c>
      <c r="D4397" s="14" t="s">
        <v>2559</v>
      </c>
      <c r="E4397" s="229"/>
      <c r="F4397" s="117" t="s">
        <v>12993</v>
      </c>
      <c r="G4397" s="26">
        <v>43401</v>
      </c>
      <c r="H4397" s="231"/>
      <c r="I4397" s="221"/>
      <c r="J4397" s="221"/>
      <c r="K4397" s="221"/>
      <c r="L4397" s="221"/>
      <c r="M4397" s="221"/>
      <c r="N4397" s="221"/>
      <c r="O4397" s="225"/>
      <c r="P4397" s="118" t="s">
        <v>13632</v>
      </c>
      <c r="Q4397" s="16" t="s">
        <v>20</v>
      </c>
      <c r="R4397" s="17" t="s">
        <v>1794</v>
      </c>
      <c r="S4397" s="121" t="s">
        <v>14230</v>
      </c>
      <c r="T4397" s="122"/>
      <c r="U4397" s="22"/>
      <c r="V4397" s="123" t="s">
        <v>2747</v>
      </c>
      <c r="W4397" s="122">
        <v>6067</v>
      </c>
      <c r="X4397" s="221"/>
      <c r="Y4397" s="221"/>
      <c r="Z4397" s="221"/>
      <c r="AA4397" s="221"/>
      <c r="AB4397" s="223"/>
    </row>
    <row r="4398" spans="1:28" ht="17.100000000000001" customHeight="1" thickTop="1">
      <c r="A4398" s="226" t="s">
        <v>13126</v>
      </c>
      <c r="B4398" s="28">
        <v>46004</v>
      </c>
      <c r="C4398" s="25">
        <v>1280</v>
      </c>
      <c r="D4398" s="13" t="s">
        <v>2264</v>
      </c>
      <c r="E4398" s="228"/>
      <c r="F4398" s="109" t="s">
        <v>12994</v>
      </c>
      <c r="G4398" s="24"/>
      <c r="H4398" s="230">
        <v>5</v>
      </c>
      <c r="I4398" s="220">
        <v>630000</v>
      </c>
      <c r="J4398" s="220">
        <f>I4398*0.1</f>
        <v>63000</v>
      </c>
      <c r="K4398" s="220">
        <v>0</v>
      </c>
      <c r="L4398" s="220">
        <v>8190</v>
      </c>
      <c r="M4398" s="220">
        <v>12100</v>
      </c>
      <c r="N4398" s="220">
        <f>SUM(I4398:M4399)</f>
        <v>713290</v>
      </c>
      <c r="O4398" s="224"/>
      <c r="P4398" s="110" t="s">
        <v>13642</v>
      </c>
      <c r="Q4398" s="15" t="s">
        <v>19</v>
      </c>
      <c r="R4398" s="205"/>
      <c r="S4398" s="189" t="s">
        <v>25652</v>
      </c>
      <c r="T4398" s="114"/>
      <c r="U4398" s="21"/>
      <c r="V4398" s="115">
        <v>46029</v>
      </c>
      <c r="W4398" s="116">
        <v>999</v>
      </c>
      <c r="X4398" s="220">
        <v>690000</v>
      </c>
      <c r="Y4398" s="220">
        <f>X4398*0.1</f>
        <v>69000</v>
      </c>
      <c r="Z4398" s="220">
        <v>8190</v>
      </c>
      <c r="AA4398" s="220">
        <f>SUM(X4398:Z4398)</f>
        <v>767190</v>
      </c>
      <c r="AB4398" s="222">
        <v>46035</v>
      </c>
    </row>
    <row r="4399" spans="1:28" ht="17.100000000000001" customHeight="1" thickBot="1">
      <c r="A4399" s="227"/>
      <c r="B4399" s="27" t="s">
        <v>2472</v>
      </c>
      <c r="C4399" s="27">
        <v>31115</v>
      </c>
      <c r="D4399" s="14" t="s">
        <v>2753</v>
      </c>
      <c r="E4399" s="229"/>
      <c r="F4399" s="117" t="s">
        <v>12995</v>
      </c>
      <c r="G4399" s="26">
        <v>4286</v>
      </c>
      <c r="H4399" s="231"/>
      <c r="I4399" s="221"/>
      <c r="J4399" s="221"/>
      <c r="K4399" s="221"/>
      <c r="L4399" s="221"/>
      <c r="M4399" s="221"/>
      <c r="N4399" s="221"/>
      <c r="O4399" s="225"/>
      <c r="P4399" s="118" t="s">
        <v>13643</v>
      </c>
      <c r="Q4399" s="16" t="s">
        <v>20</v>
      </c>
      <c r="R4399" s="17" t="s">
        <v>1794</v>
      </c>
      <c r="S4399" s="121" t="s">
        <v>10307</v>
      </c>
      <c r="T4399" s="122" t="s">
        <v>13174</v>
      </c>
      <c r="U4399" s="22"/>
      <c r="V4399" s="123" t="s">
        <v>2747</v>
      </c>
      <c r="W4399" s="122">
        <v>6088</v>
      </c>
      <c r="X4399" s="221"/>
      <c r="Y4399" s="221"/>
      <c r="Z4399" s="221"/>
      <c r="AA4399" s="221"/>
      <c r="AB4399" s="223"/>
    </row>
    <row r="4400" spans="1:28" ht="17.100000000000001" customHeight="1" thickTop="1">
      <c r="A4400" s="226" t="s">
        <v>13127</v>
      </c>
      <c r="B4400" s="28">
        <v>46004</v>
      </c>
      <c r="C4400" s="25">
        <v>1280</v>
      </c>
      <c r="D4400" s="13" t="s">
        <v>4213</v>
      </c>
      <c r="E4400" s="228"/>
      <c r="F4400" s="109" t="s">
        <v>12996</v>
      </c>
      <c r="G4400" s="24" t="s">
        <v>12998</v>
      </c>
      <c r="H4400" s="230">
        <v>4.5</v>
      </c>
      <c r="I4400" s="220">
        <v>1930000</v>
      </c>
      <c r="J4400" s="220">
        <f>I4400*0.1</f>
        <v>193000</v>
      </c>
      <c r="K4400" s="220">
        <f>7600+760</f>
        <v>8360</v>
      </c>
      <c r="L4400" s="220">
        <v>6450</v>
      </c>
      <c r="M4400" s="220">
        <v>12100</v>
      </c>
      <c r="N4400" s="220">
        <f>SUM(I4400:M4401)</f>
        <v>2149910</v>
      </c>
      <c r="O4400" s="224"/>
      <c r="P4400" s="110" t="s">
        <v>12999</v>
      </c>
      <c r="Q4400" s="15" t="s">
        <v>19</v>
      </c>
      <c r="R4400" s="205"/>
      <c r="S4400" s="189" t="s">
        <v>758</v>
      </c>
      <c r="T4400" s="114"/>
      <c r="U4400" s="21"/>
      <c r="V4400" s="115">
        <v>46015</v>
      </c>
      <c r="W4400" s="116">
        <v>998</v>
      </c>
      <c r="X4400" s="220">
        <v>2000000</v>
      </c>
      <c r="Y4400" s="220">
        <f>X4400*0.1</f>
        <v>200000</v>
      </c>
      <c r="Z4400" s="220">
        <v>6450</v>
      </c>
      <c r="AA4400" s="220">
        <f>SUM(X4400:Z4400)</f>
        <v>2206450</v>
      </c>
      <c r="AB4400" s="222">
        <v>46027</v>
      </c>
    </row>
    <row r="4401" spans="1:28" ht="17.100000000000001" customHeight="1" thickBot="1">
      <c r="A4401" s="227"/>
      <c r="B4401" s="27" t="s">
        <v>2472</v>
      </c>
      <c r="C4401" s="27">
        <v>31135</v>
      </c>
      <c r="D4401" s="14" t="s">
        <v>131</v>
      </c>
      <c r="E4401" s="229"/>
      <c r="F4401" s="117" t="s">
        <v>12997</v>
      </c>
      <c r="G4401" s="26">
        <v>55872</v>
      </c>
      <c r="H4401" s="231"/>
      <c r="I4401" s="221"/>
      <c r="J4401" s="221"/>
      <c r="K4401" s="221"/>
      <c r="L4401" s="221"/>
      <c r="M4401" s="221"/>
      <c r="N4401" s="221"/>
      <c r="O4401" s="225"/>
      <c r="P4401" s="118" t="s">
        <v>2870</v>
      </c>
      <c r="Q4401" s="16" t="s">
        <v>20</v>
      </c>
      <c r="R4401" s="17" t="s">
        <v>1794</v>
      </c>
      <c r="S4401" s="121" t="s">
        <v>2360</v>
      </c>
      <c r="T4401" s="122"/>
      <c r="U4401" s="22"/>
      <c r="V4401" s="123" t="s">
        <v>2747</v>
      </c>
      <c r="W4401" s="122">
        <v>6062</v>
      </c>
      <c r="X4401" s="221"/>
      <c r="Y4401" s="221"/>
      <c r="Z4401" s="221"/>
      <c r="AA4401" s="221"/>
      <c r="AB4401" s="223"/>
    </row>
    <row r="4402" spans="1:28" ht="17.100000000000001" customHeight="1" thickTop="1">
      <c r="A4402" s="226" t="s">
        <v>13128</v>
      </c>
      <c r="B4402" s="28">
        <v>46004</v>
      </c>
      <c r="C4402" s="25">
        <v>1280</v>
      </c>
      <c r="D4402" s="13" t="s">
        <v>4775</v>
      </c>
      <c r="E4402" s="228"/>
      <c r="F4402" s="109" t="s">
        <v>13000</v>
      </c>
      <c r="G4402" s="24" t="s">
        <v>10068</v>
      </c>
      <c r="H4402" s="230">
        <v>4</v>
      </c>
      <c r="I4402" s="220">
        <v>890000</v>
      </c>
      <c r="J4402" s="220">
        <f>I4402*0.1</f>
        <v>89000</v>
      </c>
      <c r="K4402" s="220">
        <f>9800+980</f>
        <v>10780</v>
      </c>
      <c r="L4402" s="220">
        <v>12030</v>
      </c>
      <c r="M4402" s="220">
        <v>12100</v>
      </c>
      <c r="N4402" s="220">
        <f>SUM(I4402:M4403)</f>
        <v>1013910</v>
      </c>
      <c r="O4402" s="224"/>
      <c r="P4402" s="110" t="s">
        <v>13002</v>
      </c>
      <c r="Q4402" s="15" t="s">
        <v>19</v>
      </c>
      <c r="R4402" s="205"/>
      <c r="S4402" s="189" t="s">
        <v>25496</v>
      </c>
      <c r="T4402" s="114"/>
      <c r="U4402" s="21"/>
      <c r="V4402" s="115">
        <v>46015</v>
      </c>
      <c r="W4402" s="116">
        <v>998</v>
      </c>
      <c r="X4402" s="220">
        <v>920000</v>
      </c>
      <c r="Y4402" s="220">
        <f>X4402*0.1</f>
        <v>92000</v>
      </c>
      <c r="Z4402" s="220">
        <v>12030</v>
      </c>
      <c r="AA4402" s="220">
        <f>SUM(X4402:Z4402)</f>
        <v>1024030</v>
      </c>
      <c r="AB4402" s="222">
        <v>46027</v>
      </c>
    </row>
    <row r="4403" spans="1:28" ht="17.100000000000001" customHeight="1" thickBot="1">
      <c r="A4403" s="227"/>
      <c r="B4403" s="27" t="s">
        <v>2472</v>
      </c>
      <c r="C4403" s="27">
        <v>31248</v>
      </c>
      <c r="D4403" s="14" t="s">
        <v>898</v>
      </c>
      <c r="E4403" s="229"/>
      <c r="F4403" s="117" t="s">
        <v>13001</v>
      </c>
      <c r="G4403" s="26">
        <v>74199</v>
      </c>
      <c r="H4403" s="231"/>
      <c r="I4403" s="221"/>
      <c r="J4403" s="221"/>
      <c r="K4403" s="221"/>
      <c r="L4403" s="221"/>
      <c r="M4403" s="221"/>
      <c r="N4403" s="221"/>
      <c r="O4403" s="225"/>
      <c r="P4403" s="118" t="s">
        <v>13638</v>
      </c>
      <c r="Q4403" s="16" t="s">
        <v>20</v>
      </c>
      <c r="R4403" s="17" t="s">
        <v>1794</v>
      </c>
      <c r="S4403" s="121" t="s">
        <v>13639</v>
      </c>
      <c r="T4403" s="122" t="s">
        <v>13172</v>
      </c>
      <c r="U4403" s="22"/>
      <c r="V4403" s="123" t="s">
        <v>2747</v>
      </c>
      <c r="W4403" s="122">
        <v>6065</v>
      </c>
      <c r="X4403" s="221"/>
      <c r="Y4403" s="221"/>
      <c r="Z4403" s="221"/>
      <c r="AA4403" s="221"/>
      <c r="AB4403" s="223"/>
    </row>
    <row r="4404" spans="1:28" ht="17.100000000000001" customHeight="1" thickTop="1">
      <c r="A4404" s="226" t="s">
        <v>13129</v>
      </c>
      <c r="B4404" s="28">
        <v>46004</v>
      </c>
      <c r="C4404" s="25">
        <v>1280</v>
      </c>
      <c r="D4404" s="13" t="s">
        <v>1976</v>
      </c>
      <c r="E4404" s="228"/>
      <c r="F4404" s="109" t="s">
        <v>3978</v>
      </c>
      <c r="G4404" s="24"/>
      <c r="H4404" s="230">
        <v>4</v>
      </c>
      <c r="I4404" s="220">
        <v>1500000</v>
      </c>
      <c r="J4404" s="220">
        <f>I4404*0.1</f>
        <v>150000</v>
      </c>
      <c r="K4404" s="220">
        <v>0</v>
      </c>
      <c r="L4404" s="220">
        <v>10720</v>
      </c>
      <c r="M4404" s="220">
        <v>23100</v>
      </c>
      <c r="N4404" s="220">
        <f>SUM(I4404:M4405)</f>
        <v>1683820</v>
      </c>
      <c r="O4404" s="224"/>
      <c r="P4404" s="110" t="s">
        <v>13591</v>
      </c>
      <c r="Q4404" s="15" t="s">
        <v>19</v>
      </c>
      <c r="R4404" s="205"/>
      <c r="S4404" s="189" t="s">
        <v>1276</v>
      </c>
      <c r="T4404" s="114"/>
      <c r="U4404" s="21"/>
      <c r="V4404" s="115">
        <v>46008</v>
      </c>
      <c r="W4404" s="116">
        <v>997</v>
      </c>
      <c r="X4404" s="220">
        <v>1590000</v>
      </c>
      <c r="Y4404" s="220">
        <f>X4404*0.1</f>
        <v>159000</v>
      </c>
      <c r="Z4404" s="220">
        <v>10720</v>
      </c>
      <c r="AA4404" s="220">
        <f>SUM(X4404:Z4404)</f>
        <v>1759720</v>
      </c>
      <c r="AB4404" s="222">
        <v>46014</v>
      </c>
    </row>
    <row r="4405" spans="1:28" ht="17.100000000000001" customHeight="1" thickBot="1">
      <c r="A4405" s="227"/>
      <c r="B4405" s="27" t="s">
        <v>2472</v>
      </c>
      <c r="C4405" s="27">
        <v>31270</v>
      </c>
      <c r="D4405" s="14" t="s">
        <v>273</v>
      </c>
      <c r="E4405" s="229"/>
      <c r="F4405" s="117" t="s">
        <v>13003</v>
      </c>
      <c r="G4405" s="26">
        <v>39634</v>
      </c>
      <c r="H4405" s="231"/>
      <c r="I4405" s="221"/>
      <c r="J4405" s="221"/>
      <c r="K4405" s="221"/>
      <c r="L4405" s="221"/>
      <c r="M4405" s="221"/>
      <c r="N4405" s="221"/>
      <c r="O4405" s="225"/>
      <c r="P4405" s="118" t="s">
        <v>3355</v>
      </c>
      <c r="Q4405" s="16" t="s">
        <v>20</v>
      </c>
      <c r="R4405" s="17" t="s">
        <v>1794</v>
      </c>
      <c r="S4405" s="121" t="s">
        <v>4360</v>
      </c>
      <c r="T4405" s="122"/>
      <c r="U4405" s="22"/>
      <c r="V4405" s="123" t="s">
        <v>2747</v>
      </c>
      <c r="W4405" s="122">
        <v>5132</v>
      </c>
      <c r="X4405" s="221"/>
      <c r="Y4405" s="221"/>
      <c r="Z4405" s="221"/>
      <c r="AA4405" s="221"/>
      <c r="AB4405" s="223"/>
    </row>
    <row r="4406" spans="1:28" ht="17.100000000000001" customHeight="1" thickTop="1">
      <c r="A4406" s="233" t="s">
        <v>13130</v>
      </c>
      <c r="B4406" s="28">
        <v>46004</v>
      </c>
      <c r="C4406" s="25">
        <v>1280</v>
      </c>
      <c r="D4406" s="13" t="s">
        <v>1846</v>
      </c>
      <c r="E4406" s="228"/>
      <c r="F4406" s="109" t="s">
        <v>13004</v>
      </c>
      <c r="G4406" s="24" t="s">
        <v>2894</v>
      </c>
      <c r="H4406" s="230">
        <v>4.5</v>
      </c>
      <c r="I4406" s="220">
        <v>1115000</v>
      </c>
      <c r="J4406" s="220">
        <f>I4406*0.1</f>
        <v>111500</v>
      </c>
      <c r="K4406" s="220">
        <f>8600+860</f>
        <v>9460</v>
      </c>
      <c r="L4406" s="220">
        <v>11010</v>
      </c>
      <c r="M4406" s="220">
        <v>12100</v>
      </c>
      <c r="N4406" s="220">
        <f>SUM(I4406:M4407)</f>
        <v>1259070</v>
      </c>
      <c r="O4406" s="224"/>
      <c r="P4406" s="110" t="s">
        <v>13006</v>
      </c>
      <c r="Q4406" s="15" t="s">
        <v>19</v>
      </c>
      <c r="R4406" s="205"/>
      <c r="S4406" s="189" t="s">
        <v>758</v>
      </c>
      <c r="T4406" s="114"/>
      <c r="U4406" s="21"/>
      <c r="V4406" s="115">
        <v>46039</v>
      </c>
      <c r="W4406" s="116">
        <v>1284</v>
      </c>
      <c r="X4406" s="220">
        <v>1200000</v>
      </c>
      <c r="Y4406" s="220">
        <f>X4406*0.1</f>
        <v>120000</v>
      </c>
      <c r="Z4406" s="220">
        <v>11010</v>
      </c>
      <c r="AA4406" s="220">
        <f>SUM(X4406:Z4406)</f>
        <v>1331010</v>
      </c>
      <c r="AB4406" s="222">
        <v>46042</v>
      </c>
    </row>
    <row r="4407" spans="1:28" ht="17.100000000000001" customHeight="1" thickBot="1">
      <c r="A4407" s="234"/>
      <c r="B4407" s="27" t="s">
        <v>2472</v>
      </c>
      <c r="C4407" s="27">
        <v>37140</v>
      </c>
      <c r="D4407" s="14" t="s">
        <v>1584</v>
      </c>
      <c r="E4407" s="229"/>
      <c r="F4407" s="117" t="s">
        <v>13005</v>
      </c>
      <c r="G4407" s="26">
        <v>46446</v>
      </c>
      <c r="H4407" s="231"/>
      <c r="I4407" s="221"/>
      <c r="J4407" s="221"/>
      <c r="K4407" s="221"/>
      <c r="L4407" s="221"/>
      <c r="M4407" s="221"/>
      <c r="N4407" s="221"/>
      <c r="O4407" s="225"/>
      <c r="P4407" s="118" t="s">
        <v>13644</v>
      </c>
      <c r="Q4407" s="16" t="s">
        <v>20</v>
      </c>
      <c r="R4407" s="17" t="s">
        <v>1794</v>
      </c>
      <c r="S4407" s="121" t="s">
        <v>13686</v>
      </c>
      <c r="T4407" s="122"/>
      <c r="U4407" s="22"/>
      <c r="V4407" s="123" t="s">
        <v>2472</v>
      </c>
      <c r="W4407" s="122">
        <v>182</v>
      </c>
      <c r="X4407" s="221"/>
      <c r="Y4407" s="221"/>
      <c r="Z4407" s="221"/>
      <c r="AA4407" s="221"/>
      <c r="AB4407" s="223"/>
    </row>
    <row r="4408" spans="1:28" ht="17.100000000000001" customHeight="1" thickTop="1">
      <c r="A4408" s="233" t="s">
        <v>13131</v>
      </c>
      <c r="B4408" s="28">
        <v>46004</v>
      </c>
      <c r="C4408" s="25">
        <v>1280</v>
      </c>
      <c r="D4408" s="13" t="s">
        <v>1947</v>
      </c>
      <c r="E4408" s="228"/>
      <c r="F4408" s="109" t="s">
        <v>12262</v>
      </c>
      <c r="G4408" s="24" t="s">
        <v>13147</v>
      </c>
      <c r="H4408" s="230">
        <v>4.5</v>
      </c>
      <c r="I4408" s="220">
        <v>2165000</v>
      </c>
      <c r="J4408" s="220">
        <f>I4408*0.1</f>
        <v>216500</v>
      </c>
      <c r="K4408" s="220">
        <f>7600+760</f>
        <v>8360</v>
      </c>
      <c r="L4408" s="220">
        <v>10470</v>
      </c>
      <c r="M4408" s="220">
        <v>12100</v>
      </c>
      <c r="N4408" s="220">
        <f>SUM(I4408:M4409)</f>
        <v>2412430</v>
      </c>
      <c r="O4408" s="224"/>
      <c r="P4408" s="110" t="s">
        <v>13148</v>
      </c>
      <c r="Q4408" s="15" t="s">
        <v>19</v>
      </c>
      <c r="R4408" s="205"/>
      <c r="S4408" s="189" t="s">
        <v>1422</v>
      </c>
      <c r="T4408" s="114" t="s">
        <v>7899</v>
      </c>
      <c r="U4408" s="21"/>
      <c r="V4408" s="115"/>
      <c r="W4408" s="116"/>
      <c r="X4408" s="220"/>
      <c r="Y4408" s="220">
        <f>X4408*0.1</f>
        <v>0</v>
      </c>
      <c r="Z4408" s="220"/>
      <c r="AA4408" s="220">
        <f>SUM(X4408:Z4408)</f>
        <v>0</v>
      </c>
      <c r="AB4408" s="222"/>
    </row>
    <row r="4409" spans="1:28" ht="17.100000000000001" customHeight="1" thickBot="1">
      <c r="A4409" s="234"/>
      <c r="B4409" s="27" t="s">
        <v>2472</v>
      </c>
      <c r="C4409" s="27">
        <v>37397</v>
      </c>
      <c r="D4409" s="14" t="s">
        <v>273</v>
      </c>
      <c r="E4409" s="229"/>
      <c r="F4409" s="117" t="s">
        <v>13146</v>
      </c>
      <c r="G4409" s="26">
        <v>71920</v>
      </c>
      <c r="H4409" s="231"/>
      <c r="I4409" s="221"/>
      <c r="J4409" s="221"/>
      <c r="K4409" s="221"/>
      <c r="L4409" s="221"/>
      <c r="M4409" s="221"/>
      <c r="N4409" s="221"/>
      <c r="O4409" s="225"/>
      <c r="P4409" s="118"/>
      <c r="Q4409" s="16" t="s">
        <v>20</v>
      </c>
      <c r="R4409" s="17" t="s">
        <v>10331</v>
      </c>
      <c r="S4409" s="121"/>
      <c r="T4409" s="122"/>
      <c r="U4409" s="22"/>
      <c r="V4409" s="123"/>
      <c r="W4409" s="122"/>
      <c r="X4409" s="221"/>
      <c r="Y4409" s="221"/>
      <c r="Z4409" s="221"/>
      <c r="AA4409" s="221"/>
      <c r="AB4409" s="223"/>
    </row>
    <row r="4410" spans="1:28" ht="17.100000000000001" customHeight="1" thickTop="1">
      <c r="A4410" s="226" t="s">
        <v>13132</v>
      </c>
      <c r="B4410" s="28">
        <v>46004</v>
      </c>
      <c r="C4410" s="25">
        <v>1280</v>
      </c>
      <c r="D4410" s="13" t="s">
        <v>1831</v>
      </c>
      <c r="E4410" s="228"/>
      <c r="F4410" s="109" t="s">
        <v>13073</v>
      </c>
      <c r="G4410" s="24" t="s">
        <v>13075</v>
      </c>
      <c r="H4410" s="230">
        <v>4.5</v>
      </c>
      <c r="I4410" s="220">
        <v>1580000</v>
      </c>
      <c r="J4410" s="220">
        <f>I4410*0.1</f>
        <v>158000</v>
      </c>
      <c r="K4410" s="220">
        <f>7600+760</f>
        <v>8360</v>
      </c>
      <c r="L4410" s="220">
        <v>11890</v>
      </c>
      <c r="M4410" s="220">
        <v>13200</v>
      </c>
      <c r="N4410" s="220">
        <f>SUM(I4410:M4411)</f>
        <v>1771450</v>
      </c>
      <c r="O4410" s="224"/>
      <c r="P4410" s="110" t="s">
        <v>13076</v>
      </c>
      <c r="Q4410" s="15" t="s">
        <v>19</v>
      </c>
      <c r="R4410" s="205"/>
      <c r="S4410" s="189" t="s">
        <v>25471</v>
      </c>
      <c r="T4410" s="114"/>
      <c r="U4410" s="21" t="s">
        <v>15015</v>
      </c>
      <c r="V4410" s="115">
        <v>46050</v>
      </c>
      <c r="W4410" s="116">
        <v>1002</v>
      </c>
      <c r="X4410" s="220">
        <v>1630000</v>
      </c>
      <c r="Y4410" s="220">
        <f>X4410*0.1</f>
        <v>163000</v>
      </c>
      <c r="Z4410" s="220">
        <v>11890</v>
      </c>
      <c r="AA4410" s="220">
        <f>SUM(X4410:Z4410)</f>
        <v>1804890</v>
      </c>
      <c r="AB4410" s="222">
        <v>46055</v>
      </c>
    </row>
    <row r="4411" spans="1:28" ht="17.100000000000001" customHeight="1" thickBot="1">
      <c r="A4411" s="227"/>
      <c r="B4411" s="27" t="s">
        <v>2472</v>
      </c>
      <c r="C4411" s="27">
        <v>37762</v>
      </c>
      <c r="D4411" s="14" t="s">
        <v>1584</v>
      </c>
      <c r="E4411" s="229"/>
      <c r="F4411" s="117" t="s">
        <v>13074</v>
      </c>
      <c r="G4411" s="26">
        <v>31700</v>
      </c>
      <c r="H4411" s="231"/>
      <c r="I4411" s="221"/>
      <c r="J4411" s="221"/>
      <c r="K4411" s="221"/>
      <c r="L4411" s="221"/>
      <c r="M4411" s="221"/>
      <c r="N4411" s="221"/>
      <c r="O4411" s="225"/>
      <c r="P4411" s="118" t="s">
        <v>13640</v>
      </c>
      <c r="Q4411" s="16" t="s">
        <v>20</v>
      </c>
      <c r="R4411" s="17" t="s">
        <v>1794</v>
      </c>
      <c r="S4411" s="121" t="s">
        <v>5027</v>
      </c>
      <c r="T4411" s="122"/>
      <c r="U4411" s="22"/>
      <c r="V4411" s="123" t="s">
        <v>2747</v>
      </c>
      <c r="W4411" s="122">
        <v>6058</v>
      </c>
      <c r="X4411" s="221"/>
      <c r="Y4411" s="221"/>
      <c r="Z4411" s="221"/>
      <c r="AA4411" s="221"/>
      <c r="AB4411" s="223"/>
    </row>
    <row r="4412" spans="1:28" ht="17.100000000000001" customHeight="1" thickTop="1">
      <c r="A4412" s="226" t="s">
        <v>13133</v>
      </c>
      <c r="B4412" s="28">
        <v>46004</v>
      </c>
      <c r="C4412" s="25">
        <v>1280</v>
      </c>
      <c r="D4412" s="13" t="s">
        <v>1589</v>
      </c>
      <c r="E4412" s="228"/>
      <c r="F4412" s="109" t="s">
        <v>7049</v>
      </c>
      <c r="G4412" s="24"/>
      <c r="H4412" s="230">
        <v>4.5</v>
      </c>
      <c r="I4412" s="220">
        <v>760000</v>
      </c>
      <c r="J4412" s="220">
        <f>I4412*0.1</f>
        <v>76000</v>
      </c>
      <c r="K4412" s="220">
        <v>0</v>
      </c>
      <c r="L4412" s="220">
        <v>9200</v>
      </c>
      <c r="M4412" s="220">
        <v>9900</v>
      </c>
      <c r="N4412" s="220">
        <f>SUM(I4412:M4413)</f>
        <v>855100</v>
      </c>
      <c r="O4412" s="224"/>
      <c r="P4412" s="110" t="s">
        <v>13647</v>
      </c>
      <c r="Q4412" s="15" t="s">
        <v>19</v>
      </c>
      <c r="R4412" s="205"/>
      <c r="S4412" s="189"/>
      <c r="T4412" s="114"/>
      <c r="U4412" s="21"/>
      <c r="V4412" s="115">
        <v>46015</v>
      </c>
      <c r="W4412" s="116">
        <v>998</v>
      </c>
      <c r="X4412" s="220">
        <v>850000</v>
      </c>
      <c r="Y4412" s="220">
        <f>X4412*0.1</f>
        <v>85000</v>
      </c>
      <c r="Z4412" s="220">
        <v>9200</v>
      </c>
      <c r="AA4412" s="220">
        <f>SUM(X4412:Z4412)</f>
        <v>944200</v>
      </c>
      <c r="AB4412" s="222">
        <v>46027</v>
      </c>
    </row>
    <row r="4413" spans="1:28" ht="17.100000000000001" customHeight="1" thickBot="1">
      <c r="A4413" s="227"/>
      <c r="B4413" s="27" t="s">
        <v>2472</v>
      </c>
      <c r="C4413" s="27">
        <v>60010</v>
      </c>
      <c r="D4413" s="14" t="s">
        <v>273</v>
      </c>
      <c r="E4413" s="229"/>
      <c r="F4413" s="117" t="s">
        <v>13077</v>
      </c>
      <c r="G4413" s="26">
        <v>59809</v>
      </c>
      <c r="H4413" s="231"/>
      <c r="I4413" s="221"/>
      <c r="J4413" s="221"/>
      <c r="K4413" s="221"/>
      <c r="L4413" s="221"/>
      <c r="M4413" s="221"/>
      <c r="N4413" s="221"/>
      <c r="O4413" s="225"/>
      <c r="P4413" s="118" t="s">
        <v>13648</v>
      </c>
      <c r="Q4413" s="16" t="s">
        <v>20</v>
      </c>
      <c r="R4413" s="17" t="s">
        <v>1794</v>
      </c>
      <c r="S4413" s="121" t="s">
        <v>13685</v>
      </c>
      <c r="T4413" s="122" t="s">
        <v>13171</v>
      </c>
      <c r="U4413" s="22"/>
      <c r="V4413" s="123" t="s">
        <v>2747</v>
      </c>
      <c r="W4413" s="122">
        <v>2035</v>
      </c>
      <c r="X4413" s="221"/>
      <c r="Y4413" s="221"/>
      <c r="Z4413" s="221"/>
      <c r="AA4413" s="221"/>
      <c r="AB4413" s="223"/>
    </row>
    <row r="4414" spans="1:28" ht="17.100000000000001" customHeight="1" thickTop="1">
      <c r="A4414" s="226" t="s">
        <v>13134</v>
      </c>
      <c r="B4414" s="28">
        <v>46004</v>
      </c>
      <c r="C4414" s="25">
        <v>1280</v>
      </c>
      <c r="D4414" s="13" t="s">
        <v>1578</v>
      </c>
      <c r="E4414" s="228"/>
      <c r="F4414" s="109" t="s">
        <v>13007</v>
      </c>
      <c r="G4414" s="24" t="s">
        <v>2487</v>
      </c>
      <c r="H4414" s="230">
        <v>4.5</v>
      </c>
      <c r="I4414" s="220">
        <v>950000</v>
      </c>
      <c r="J4414" s="220">
        <f>I4414*0.1</f>
        <v>95000</v>
      </c>
      <c r="K4414" s="220">
        <v>0</v>
      </c>
      <c r="L4414" s="220">
        <v>8790</v>
      </c>
      <c r="M4414" s="220">
        <v>13200</v>
      </c>
      <c r="N4414" s="220">
        <f>SUM(I4414:M4415)</f>
        <v>1066990</v>
      </c>
      <c r="O4414" s="224"/>
      <c r="P4414" s="110" t="s">
        <v>13009</v>
      </c>
      <c r="Q4414" s="15" t="s">
        <v>19</v>
      </c>
      <c r="R4414" s="205"/>
      <c r="S4414" s="189" t="s">
        <v>25367</v>
      </c>
      <c r="T4414" s="114"/>
      <c r="U4414" s="21"/>
      <c r="V4414" s="115">
        <v>46057</v>
      </c>
      <c r="W4414" s="116">
        <v>1003</v>
      </c>
      <c r="X4414" s="220">
        <v>1000000</v>
      </c>
      <c r="Y4414" s="220">
        <v>100000</v>
      </c>
      <c r="Z4414" s="220">
        <v>8790</v>
      </c>
      <c r="AA4414" s="220">
        <f>SUM(X4414:Z4414)</f>
        <v>1108790</v>
      </c>
      <c r="AB4414" s="222">
        <v>46062</v>
      </c>
    </row>
    <row r="4415" spans="1:28" ht="17.100000000000001" customHeight="1" thickBot="1">
      <c r="A4415" s="227"/>
      <c r="B4415" s="27" t="s">
        <v>2472</v>
      </c>
      <c r="C4415" s="27">
        <v>65030</v>
      </c>
      <c r="D4415" s="14" t="s">
        <v>273</v>
      </c>
      <c r="E4415" s="229"/>
      <c r="F4415" s="117" t="s">
        <v>13008</v>
      </c>
      <c r="G4415" s="26">
        <v>56799</v>
      </c>
      <c r="H4415" s="231"/>
      <c r="I4415" s="221"/>
      <c r="J4415" s="221"/>
      <c r="K4415" s="221"/>
      <c r="L4415" s="221"/>
      <c r="M4415" s="221"/>
      <c r="N4415" s="221"/>
      <c r="O4415" s="225"/>
      <c r="P4415" s="118" t="s">
        <v>13646</v>
      </c>
      <c r="Q4415" s="16" t="s">
        <v>20</v>
      </c>
      <c r="R4415" s="17" t="s">
        <v>1794</v>
      </c>
      <c r="S4415" s="121" t="s">
        <v>10350</v>
      </c>
      <c r="T4415" s="122" t="s">
        <v>13173</v>
      </c>
      <c r="U4415" s="22"/>
      <c r="V4415" s="123" t="s">
        <v>2747</v>
      </c>
      <c r="W4415" s="122">
        <v>2005</v>
      </c>
      <c r="X4415" s="221"/>
      <c r="Y4415" s="221"/>
      <c r="Z4415" s="221"/>
      <c r="AA4415" s="221"/>
      <c r="AB4415" s="223"/>
    </row>
    <row r="4416" spans="1:28" ht="17.100000000000001" customHeight="1" thickTop="1">
      <c r="A4416" s="226" t="s">
        <v>13135</v>
      </c>
      <c r="B4416" s="28">
        <v>46004</v>
      </c>
      <c r="C4416" s="25">
        <v>1280</v>
      </c>
      <c r="D4416" s="13" t="s">
        <v>13010</v>
      </c>
      <c r="E4416" s="228"/>
      <c r="F4416" s="109" t="s">
        <v>5223</v>
      </c>
      <c r="G4416" s="24" t="s">
        <v>13012</v>
      </c>
      <c r="H4416" s="230">
        <v>4</v>
      </c>
      <c r="I4416" s="220">
        <v>500000</v>
      </c>
      <c r="J4416" s="220">
        <f>I4416*0.1</f>
        <v>50000</v>
      </c>
      <c r="K4416" s="220">
        <v>0</v>
      </c>
      <c r="L4416" s="220">
        <v>8540</v>
      </c>
      <c r="M4416" s="220">
        <v>12100</v>
      </c>
      <c r="N4416" s="220">
        <f>SUM(I4416:M4417)</f>
        <v>570640</v>
      </c>
      <c r="O4416" s="224"/>
      <c r="P4416" s="110" t="s">
        <v>13013</v>
      </c>
      <c r="Q4416" s="15" t="s">
        <v>19</v>
      </c>
      <c r="R4416" s="205"/>
      <c r="S4416" s="189" t="s">
        <v>25371</v>
      </c>
      <c r="T4416" s="114"/>
      <c r="U4416" s="21" t="s">
        <v>15024</v>
      </c>
      <c r="V4416" s="115">
        <v>46043</v>
      </c>
      <c r="W4416" s="116">
        <v>1001</v>
      </c>
      <c r="X4416" s="220">
        <v>560000</v>
      </c>
      <c r="Y4416" s="220">
        <f>X4416*0.1</f>
        <v>56000</v>
      </c>
      <c r="Z4416" s="220">
        <v>8540</v>
      </c>
      <c r="AA4416" s="220">
        <f>SUM(X4416:Z4416)</f>
        <v>624540</v>
      </c>
      <c r="AB4416" s="222">
        <v>46048</v>
      </c>
    </row>
    <row r="4417" spans="1:28" ht="17.100000000000001" customHeight="1" thickBot="1">
      <c r="A4417" s="227"/>
      <c r="B4417" s="27" t="s">
        <v>2472</v>
      </c>
      <c r="C4417" s="27">
        <v>65059</v>
      </c>
      <c r="D4417" s="14" t="s">
        <v>1584</v>
      </c>
      <c r="E4417" s="229"/>
      <c r="F4417" s="117" t="s">
        <v>13011</v>
      </c>
      <c r="G4417" s="26">
        <v>84414</v>
      </c>
      <c r="H4417" s="231"/>
      <c r="I4417" s="221"/>
      <c r="J4417" s="221"/>
      <c r="K4417" s="221"/>
      <c r="L4417" s="221"/>
      <c r="M4417" s="221"/>
      <c r="N4417" s="221"/>
      <c r="O4417" s="225"/>
      <c r="P4417" s="118" t="s">
        <v>13645</v>
      </c>
      <c r="Q4417" s="16" t="s">
        <v>20</v>
      </c>
      <c r="R4417" s="17" t="s">
        <v>1794</v>
      </c>
      <c r="S4417" s="121" t="s">
        <v>1680</v>
      </c>
      <c r="T4417" s="122"/>
      <c r="U4417" s="22"/>
      <c r="V4417" s="123" t="s">
        <v>2747</v>
      </c>
      <c r="W4417" s="122">
        <v>2023</v>
      </c>
      <c r="X4417" s="221"/>
      <c r="Y4417" s="221"/>
      <c r="Z4417" s="221"/>
      <c r="AA4417" s="221"/>
      <c r="AB4417" s="223"/>
    </row>
    <row r="4418" spans="1:28" ht="17.100000000000001" customHeight="1" thickTop="1">
      <c r="A4418" s="226" t="s">
        <v>13136</v>
      </c>
      <c r="B4418" s="28">
        <v>46004</v>
      </c>
      <c r="C4418" s="25">
        <v>1280</v>
      </c>
      <c r="D4418" s="13" t="s">
        <v>2150</v>
      </c>
      <c r="E4418" s="228"/>
      <c r="F4418" s="109" t="s">
        <v>13014</v>
      </c>
      <c r="G4418" s="24" t="s">
        <v>1540</v>
      </c>
      <c r="H4418" s="230">
        <v>4</v>
      </c>
      <c r="I4418" s="220">
        <v>540000</v>
      </c>
      <c r="J4418" s="220">
        <v>0</v>
      </c>
      <c r="K4418" s="220">
        <v>0</v>
      </c>
      <c r="L4418" s="220">
        <v>9200</v>
      </c>
      <c r="M4418" s="220">
        <v>13200</v>
      </c>
      <c r="N4418" s="220">
        <f>SUM(I4418:M4419)</f>
        <v>562400</v>
      </c>
      <c r="O4418" s="224"/>
      <c r="P4418" s="110" t="s">
        <v>13016</v>
      </c>
      <c r="Q4418" s="15" t="s">
        <v>19</v>
      </c>
      <c r="R4418" s="205"/>
      <c r="S4418" s="189" t="s">
        <v>25653</v>
      </c>
      <c r="T4418" s="114"/>
      <c r="U4418" s="21"/>
      <c r="V4418" s="115">
        <v>46018</v>
      </c>
      <c r="W4418" s="116">
        <v>1282</v>
      </c>
      <c r="X4418" s="220">
        <v>625000</v>
      </c>
      <c r="Y4418" s="220">
        <f>X4418*0.1</f>
        <v>62500</v>
      </c>
      <c r="Z4418" s="220">
        <v>9200</v>
      </c>
      <c r="AA4418" s="220">
        <f>SUM(X4418:Z4418)</f>
        <v>696700</v>
      </c>
      <c r="AB4418" s="222">
        <v>46028</v>
      </c>
    </row>
    <row r="4419" spans="1:28" ht="17.100000000000001" customHeight="1" thickBot="1">
      <c r="A4419" s="227"/>
      <c r="B4419" s="27" t="s">
        <v>2472</v>
      </c>
      <c r="C4419" s="27">
        <v>65206</v>
      </c>
      <c r="D4419" s="14" t="s">
        <v>1710</v>
      </c>
      <c r="E4419" s="229"/>
      <c r="F4419" s="117" t="s">
        <v>13015</v>
      </c>
      <c r="G4419" s="26">
        <v>50606</v>
      </c>
      <c r="H4419" s="231"/>
      <c r="I4419" s="221"/>
      <c r="J4419" s="221"/>
      <c r="K4419" s="221"/>
      <c r="L4419" s="221"/>
      <c r="M4419" s="221"/>
      <c r="N4419" s="221"/>
      <c r="O4419" s="225"/>
      <c r="P4419" s="118" t="s">
        <v>13650</v>
      </c>
      <c r="Q4419" s="16" t="s">
        <v>20</v>
      </c>
      <c r="R4419" s="17" t="s">
        <v>1794</v>
      </c>
      <c r="S4419" s="121" t="s">
        <v>13948</v>
      </c>
      <c r="T4419" s="122"/>
      <c r="U4419" s="22"/>
      <c r="V4419" s="123" t="s">
        <v>2472</v>
      </c>
      <c r="W4419" s="122">
        <v>60247</v>
      </c>
      <c r="X4419" s="221"/>
      <c r="Y4419" s="221"/>
      <c r="Z4419" s="221"/>
      <c r="AA4419" s="221"/>
      <c r="AB4419" s="223"/>
    </row>
    <row r="4420" spans="1:28" ht="17.100000000000001" customHeight="1" thickTop="1">
      <c r="A4420" s="226" t="s">
        <v>13137</v>
      </c>
      <c r="B4420" s="28">
        <v>46004</v>
      </c>
      <c r="C4420" s="25">
        <v>1280</v>
      </c>
      <c r="D4420" s="13" t="s">
        <v>1829</v>
      </c>
      <c r="E4420" s="228"/>
      <c r="F4420" s="109" t="s">
        <v>11931</v>
      </c>
      <c r="G4420" s="24"/>
      <c r="H4420" s="230">
        <v>4.5</v>
      </c>
      <c r="I4420" s="220">
        <v>755000</v>
      </c>
      <c r="J4420" s="220">
        <f>I4420*0.1</f>
        <v>75500</v>
      </c>
      <c r="K4420" s="220">
        <v>0</v>
      </c>
      <c r="L4420" s="220">
        <v>8510</v>
      </c>
      <c r="M4420" s="220">
        <v>13200</v>
      </c>
      <c r="N4420" s="220">
        <f>SUM(I4420:M4421)</f>
        <v>852210</v>
      </c>
      <c r="O4420" s="224"/>
      <c r="P4420" s="110" t="s">
        <v>13649</v>
      </c>
      <c r="Q4420" s="15" t="s">
        <v>19</v>
      </c>
      <c r="R4420" s="205"/>
      <c r="S4420" s="189" t="s">
        <v>1361</v>
      </c>
      <c r="T4420" s="114"/>
      <c r="U4420" s="21"/>
      <c r="V4420" s="115">
        <v>46046</v>
      </c>
      <c r="W4420" s="116">
        <v>1285</v>
      </c>
      <c r="X4420" s="220">
        <v>830000</v>
      </c>
      <c r="Y4420" s="220">
        <f>X4420*0.1</f>
        <v>83000</v>
      </c>
      <c r="Z4420" s="220">
        <v>8510</v>
      </c>
      <c r="AA4420" s="220">
        <f>SUM(X4420:Z4420)</f>
        <v>921510</v>
      </c>
      <c r="AB4420" s="222">
        <v>46049</v>
      </c>
    </row>
    <row r="4421" spans="1:28" ht="17.100000000000001" customHeight="1" thickBot="1">
      <c r="A4421" s="227"/>
      <c r="B4421" s="27" t="s">
        <v>2472</v>
      </c>
      <c r="C4421" s="27">
        <v>65492</v>
      </c>
      <c r="D4421" s="14" t="s">
        <v>273</v>
      </c>
      <c r="E4421" s="229"/>
      <c r="F4421" s="117" t="s">
        <v>13078</v>
      </c>
      <c r="G4421" s="26">
        <v>65490</v>
      </c>
      <c r="H4421" s="231"/>
      <c r="I4421" s="221"/>
      <c r="J4421" s="221"/>
      <c r="K4421" s="221"/>
      <c r="L4421" s="221"/>
      <c r="M4421" s="221"/>
      <c r="N4421" s="221"/>
      <c r="O4421" s="225"/>
      <c r="P4421" s="118" t="s">
        <v>5163</v>
      </c>
      <c r="Q4421" s="16" t="s">
        <v>20</v>
      </c>
      <c r="R4421" s="17" t="s">
        <v>1794</v>
      </c>
      <c r="S4421" s="121" t="s">
        <v>3552</v>
      </c>
      <c r="T4421" s="122"/>
      <c r="U4421" s="22"/>
      <c r="V4421" s="123" t="s">
        <v>2472</v>
      </c>
      <c r="W4421" s="122">
        <v>60003</v>
      </c>
      <c r="X4421" s="221"/>
      <c r="Y4421" s="221"/>
      <c r="Z4421" s="221"/>
      <c r="AA4421" s="221"/>
      <c r="AB4421" s="223"/>
    </row>
    <row r="4422" spans="1:28" ht="16.5" customHeight="1" thickTop="1">
      <c r="A4422" s="226" t="s">
        <v>13138</v>
      </c>
      <c r="B4422" s="28">
        <v>46004</v>
      </c>
      <c r="C4422" s="25">
        <v>1280</v>
      </c>
      <c r="D4422" s="13" t="s">
        <v>2712</v>
      </c>
      <c r="E4422" s="228"/>
      <c r="F4422" s="109" t="s">
        <v>4009</v>
      </c>
      <c r="G4422" s="24"/>
      <c r="H4422" s="230">
        <v>4</v>
      </c>
      <c r="I4422" s="220">
        <v>915000</v>
      </c>
      <c r="J4422" s="220">
        <f>I4422*0.1</f>
        <v>91500</v>
      </c>
      <c r="K4422" s="220">
        <v>0</v>
      </c>
      <c r="L4422" s="220">
        <v>16580</v>
      </c>
      <c r="M4422" s="220">
        <v>16500</v>
      </c>
      <c r="N4422" s="220">
        <f>SUM(I4422:M4423)</f>
        <v>1039580</v>
      </c>
      <c r="O4422" s="224"/>
      <c r="P4422" s="110" t="s">
        <v>13592</v>
      </c>
      <c r="Q4422" s="15" t="s">
        <v>19</v>
      </c>
      <c r="R4422" s="205"/>
      <c r="S4422" s="189" t="s">
        <v>1306</v>
      </c>
      <c r="T4422" s="114"/>
      <c r="U4422" s="21"/>
      <c r="V4422" s="115">
        <v>46011</v>
      </c>
      <c r="W4422" s="116">
        <v>1281</v>
      </c>
      <c r="X4422" s="220">
        <v>1030000</v>
      </c>
      <c r="Y4422" s="220">
        <f>X4422*0.1</f>
        <v>103000</v>
      </c>
      <c r="Z4422" s="220">
        <v>16580</v>
      </c>
      <c r="AA4422" s="220">
        <f>SUM(X4422:Z4422)</f>
        <v>1149580</v>
      </c>
      <c r="AB4422" s="222">
        <v>46014</v>
      </c>
    </row>
    <row r="4423" spans="1:28" ht="17.100000000000001" customHeight="1" thickBot="1">
      <c r="A4423" s="227"/>
      <c r="B4423" s="27" t="s">
        <v>2472</v>
      </c>
      <c r="C4423" s="27">
        <v>82166</v>
      </c>
      <c r="D4423" s="14" t="s">
        <v>1584</v>
      </c>
      <c r="E4423" s="229"/>
      <c r="F4423" s="117" t="s">
        <v>13017</v>
      </c>
      <c r="G4423" s="26">
        <v>55880</v>
      </c>
      <c r="H4423" s="231"/>
      <c r="I4423" s="221"/>
      <c r="J4423" s="221"/>
      <c r="K4423" s="221"/>
      <c r="L4423" s="221"/>
      <c r="M4423" s="221"/>
      <c r="N4423" s="221"/>
      <c r="O4423" s="225"/>
      <c r="P4423" s="118" t="s">
        <v>1586</v>
      </c>
      <c r="Q4423" s="16" t="s">
        <v>20</v>
      </c>
      <c r="R4423" s="17" t="s">
        <v>1794</v>
      </c>
      <c r="S4423" s="121" t="s">
        <v>1625</v>
      </c>
      <c r="T4423" s="122"/>
      <c r="U4423" s="22"/>
      <c r="V4423" s="123" t="s">
        <v>2472</v>
      </c>
      <c r="W4423" s="122">
        <v>80082</v>
      </c>
      <c r="X4423" s="221"/>
      <c r="Y4423" s="221"/>
      <c r="Z4423" s="221"/>
      <c r="AA4423" s="221"/>
      <c r="AB4423" s="223"/>
    </row>
    <row r="4424" spans="1:28" ht="17.100000000000001" customHeight="1" thickTop="1">
      <c r="A4424" s="226" t="s">
        <v>13139</v>
      </c>
      <c r="B4424" s="28">
        <v>46004</v>
      </c>
      <c r="C4424" s="25">
        <v>1280</v>
      </c>
      <c r="D4424" s="13" t="s">
        <v>1578</v>
      </c>
      <c r="E4424" s="228"/>
      <c r="F4424" s="109" t="s">
        <v>13018</v>
      </c>
      <c r="G4424" s="24" t="s">
        <v>2487</v>
      </c>
      <c r="H4424" s="230">
        <v>4.5</v>
      </c>
      <c r="I4424" s="220">
        <v>2095000</v>
      </c>
      <c r="J4424" s="220">
        <f>I4424*0.1</f>
        <v>209500</v>
      </c>
      <c r="K4424" s="220">
        <f>9800+980</f>
        <v>10780</v>
      </c>
      <c r="L4424" s="220">
        <v>19090</v>
      </c>
      <c r="M4424" s="220">
        <v>16500</v>
      </c>
      <c r="N4424" s="220">
        <f>SUM(I4424:M4425)</f>
        <v>2350870</v>
      </c>
      <c r="O4424" s="224"/>
      <c r="P4424" s="110" t="s">
        <v>13020</v>
      </c>
      <c r="Q4424" s="15" t="s">
        <v>19</v>
      </c>
      <c r="R4424" s="205"/>
      <c r="S4424" s="189" t="s">
        <v>1312</v>
      </c>
      <c r="T4424" s="114"/>
      <c r="U4424" s="21"/>
      <c r="V4424" s="115">
        <v>46067</v>
      </c>
      <c r="W4424" s="116">
        <v>1288</v>
      </c>
      <c r="X4424" s="220">
        <v>2185000</v>
      </c>
      <c r="Y4424" s="220">
        <f>X4424*0.1</f>
        <v>218500</v>
      </c>
      <c r="Z4424" s="220">
        <v>19090</v>
      </c>
      <c r="AA4424" s="220">
        <f>SUM(X4424:Z4424)</f>
        <v>2422590</v>
      </c>
      <c r="AB4424" s="222">
        <v>46070</v>
      </c>
    </row>
    <row r="4425" spans="1:28" ht="17.100000000000001" customHeight="1" thickBot="1">
      <c r="A4425" s="227"/>
      <c r="B4425" s="27" t="s">
        <v>2472</v>
      </c>
      <c r="C4425" s="27">
        <v>82172</v>
      </c>
      <c r="D4425" s="14" t="s">
        <v>1627</v>
      </c>
      <c r="E4425" s="229"/>
      <c r="F4425" s="117" t="s">
        <v>13019</v>
      </c>
      <c r="G4425" s="26">
        <v>38294</v>
      </c>
      <c r="H4425" s="231"/>
      <c r="I4425" s="221"/>
      <c r="J4425" s="221"/>
      <c r="K4425" s="221"/>
      <c r="L4425" s="221"/>
      <c r="M4425" s="221"/>
      <c r="N4425" s="221"/>
      <c r="O4425" s="225"/>
      <c r="P4425" s="118" t="s">
        <v>1586</v>
      </c>
      <c r="Q4425" s="16" t="s">
        <v>20</v>
      </c>
      <c r="R4425" s="17" t="s">
        <v>1794</v>
      </c>
      <c r="S4425" s="121" t="s">
        <v>1606</v>
      </c>
      <c r="T4425" s="122"/>
      <c r="U4425" s="22"/>
      <c r="V4425" s="123" t="s">
        <v>2472</v>
      </c>
      <c r="W4425" s="122">
        <v>80118</v>
      </c>
      <c r="X4425" s="221"/>
      <c r="Y4425" s="221"/>
      <c r="Z4425" s="221"/>
      <c r="AA4425" s="221"/>
      <c r="AB4425" s="223"/>
    </row>
    <row r="4426" spans="1:28" ht="17.100000000000001" customHeight="1" thickTop="1">
      <c r="A4426" s="233" t="s">
        <v>13140</v>
      </c>
      <c r="B4426" s="28">
        <v>46004</v>
      </c>
      <c r="C4426" s="25">
        <v>1280</v>
      </c>
      <c r="D4426" s="13" t="s">
        <v>2267</v>
      </c>
      <c r="E4426" s="228"/>
      <c r="F4426" s="109" t="s">
        <v>1916</v>
      </c>
      <c r="G4426" s="24"/>
      <c r="H4426" s="230">
        <v>4.5</v>
      </c>
      <c r="I4426" s="220">
        <v>1145000</v>
      </c>
      <c r="J4426" s="220">
        <f>I4426*0.1</f>
        <v>114500</v>
      </c>
      <c r="K4426" s="220">
        <v>0</v>
      </c>
      <c r="L4426" s="220">
        <v>17600</v>
      </c>
      <c r="M4426" s="220">
        <v>16500</v>
      </c>
      <c r="N4426" s="220">
        <f>SUM(I4426:M4427)</f>
        <v>1293600</v>
      </c>
      <c r="O4426" s="224"/>
      <c r="P4426" s="110" t="s">
        <v>13656</v>
      </c>
      <c r="Q4426" s="15" t="s">
        <v>19</v>
      </c>
      <c r="R4426" s="205"/>
      <c r="S4426" s="189" t="s">
        <v>25386</v>
      </c>
      <c r="T4426" s="114"/>
      <c r="U4426" s="21"/>
      <c r="V4426" s="115">
        <v>46032</v>
      </c>
      <c r="W4426" s="116">
        <v>1283</v>
      </c>
      <c r="X4426" s="220">
        <v>1280000</v>
      </c>
      <c r="Y4426" s="220">
        <f>X4426*0.1</f>
        <v>128000</v>
      </c>
      <c r="Z4426" s="220">
        <v>17600</v>
      </c>
      <c r="AA4426" s="220">
        <f>SUM(X4426:Z4426)</f>
        <v>1425600</v>
      </c>
      <c r="AB4426" s="222">
        <v>46036</v>
      </c>
    </row>
    <row r="4427" spans="1:28" ht="17.100000000000001" customHeight="1" thickBot="1">
      <c r="A4427" s="234"/>
      <c r="B4427" s="27" t="s">
        <v>2472</v>
      </c>
      <c r="C4427" s="27">
        <v>82195</v>
      </c>
      <c r="D4427" s="14" t="s">
        <v>898</v>
      </c>
      <c r="E4427" s="229"/>
      <c r="F4427" s="117" t="s">
        <v>13021</v>
      </c>
      <c r="G4427" s="26">
        <v>24537</v>
      </c>
      <c r="H4427" s="231"/>
      <c r="I4427" s="221"/>
      <c r="J4427" s="221"/>
      <c r="K4427" s="221"/>
      <c r="L4427" s="221"/>
      <c r="M4427" s="221"/>
      <c r="N4427" s="221"/>
      <c r="O4427" s="225"/>
      <c r="P4427" s="118" t="s">
        <v>5155</v>
      </c>
      <c r="Q4427" s="16" t="s">
        <v>20</v>
      </c>
      <c r="R4427" s="17" t="s">
        <v>1794</v>
      </c>
      <c r="S4427" s="121" t="s">
        <v>13657</v>
      </c>
      <c r="T4427" s="122"/>
      <c r="U4427" s="22"/>
      <c r="V4427" s="123" t="s">
        <v>2472</v>
      </c>
      <c r="W4427" s="122">
        <v>80114</v>
      </c>
      <c r="X4427" s="221"/>
      <c r="Y4427" s="221"/>
      <c r="Z4427" s="221"/>
      <c r="AA4427" s="221"/>
      <c r="AB4427" s="223"/>
    </row>
    <row r="4428" spans="1:28" ht="17.100000000000001" customHeight="1" thickTop="1">
      <c r="A4428" s="226" t="s">
        <v>13141</v>
      </c>
      <c r="B4428" s="28">
        <v>46004</v>
      </c>
      <c r="C4428" s="25">
        <v>1280</v>
      </c>
      <c r="D4428" s="13" t="s">
        <v>4050</v>
      </c>
      <c r="E4428" s="228"/>
      <c r="F4428" s="109" t="s">
        <v>4580</v>
      </c>
      <c r="G4428" s="24"/>
      <c r="H4428" s="230">
        <v>4.5</v>
      </c>
      <c r="I4428" s="220">
        <v>1520000</v>
      </c>
      <c r="J4428" s="220">
        <f>I4428*0.1</f>
        <v>152000</v>
      </c>
      <c r="K4428" s="220">
        <v>0</v>
      </c>
      <c r="L4428" s="220">
        <v>20950</v>
      </c>
      <c r="M4428" s="220">
        <v>16500</v>
      </c>
      <c r="N4428" s="220">
        <f>SUM(I4428:M4429)</f>
        <v>1709450</v>
      </c>
      <c r="O4428" s="224"/>
      <c r="P4428" s="110" t="s">
        <v>13593</v>
      </c>
      <c r="Q4428" s="15" t="s">
        <v>19</v>
      </c>
      <c r="R4428" s="205"/>
      <c r="S4428" s="189"/>
      <c r="T4428" s="114"/>
      <c r="U4428" s="21"/>
      <c r="V4428" s="115">
        <v>46011</v>
      </c>
      <c r="W4428" s="116">
        <v>1281</v>
      </c>
      <c r="X4428" s="220">
        <v>1660000</v>
      </c>
      <c r="Y4428" s="220">
        <f>X4428*0.1</f>
        <v>166000</v>
      </c>
      <c r="Z4428" s="220">
        <v>20950</v>
      </c>
      <c r="AA4428" s="220">
        <f>SUM(X4428:Z4428)</f>
        <v>1846950</v>
      </c>
      <c r="AB4428" s="222">
        <v>46014</v>
      </c>
    </row>
    <row r="4429" spans="1:28" ht="17.100000000000001" customHeight="1" thickBot="1">
      <c r="A4429" s="227"/>
      <c r="B4429" s="27" t="s">
        <v>2472</v>
      </c>
      <c r="C4429" s="27">
        <v>82441</v>
      </c>
      <c r="D4429" s="14" t="s">
        <v>1584</v>
      </c>
      <c r="E4429" s="229"/>
      <c r="F4429" s="117" t="s">
        <v>13079</v>
      </c>
      <c r="G4429" s="26">
        <v>21590</v>
      </c>
      <c r="H4429" s="231"/>
      <c r="I4429" s="221"/>
      <c r="J4429" s="221"/>
      <c r="K4429" s="221"/>
      <c r="L4429" s="221"/>
      <c r="M4429" s="221"/>
      <c r="N4429" s="221"/>
      <c r="O4429" s="225"/>
      <c r="P4429" s="118" t="s">
        <v>5155</v>
      </c>
      <c r="Q4429" s="16" t="s">
        <v>20</v>
      </c>
      <c r="R4429" s="17" t="s">
        <v>1794</v>
      </c>
      <c r="S4429" s="121" t="s">
        <v>1625</v>
      </c>
      <c r="T4429" s="122"/>
      <c r="U4429" s="22"/>
      <c r="V4429" s="123" t="s">
        <v>2472</v>
      </c>
      <c r="W4429" s="122">
        <v>80090</v>
      </c>
      <c r="X4429" s="221"/>
      <c r="Y4429" s="221"/>
      <c r="Z4429" s="221"/>
      <c r="AA4429" s="221"/>
      <c r="AB4429" s="223"/>
    </row>
    <row r="4430" spans="1:28" ht="17.100000000000001" customHeight="1" thickTop="1">
      <c r="A4430" s="226" t="s">
        <v>13142</v>
      </c>
      <c r="B4430" s="28">
        <v>46004</v>
      </c>
      <c r="C4430" s="25">
        <v>1280</v>
      </c>
      <c r="D4430" s="13" t="s">
        <v>2324</v>
      </c>
      <c r="E4430" s="228"/>
      <c r="F4430" s="109" t="s">
        <v>13080</v>
      </c>
      <c r="G4430" s="24" t="s">
        <v>6678</v>
      </c>
      <c r="H4430" s="230">
        <v>4.5</v>
      </c>
      <c r="I4430" s="220">
        <v>1280000</v>
      </c>
      <c r="J4430" s="220">
        <f>I4430*0.1</f>
        <v>128000</v>
      </c>
      <c r="K4430" s="220">
        <f>7600+760</f>
        <v>8360</v>
      </c>
      <c r="L4430" s="220">
        <v>15100</v>
      </c>
      <c r="M4430" s="220">
        <v>16500</v>
      </c>
      <c r="N4430" s="220">
        <f>SUM(I4430:M4431)</f>
        <v>1447960</v>
      </c>
      <c r="O4430" s="224"/>
      <c r="P4430" s="110" t="s">
        <v>13082</v>
      </c>
      <c r="Q4430" s="15" t="s">
        <v>19</v>
      </c>
      <c r="R4430" s="205"/>
      <c r="S4430" s="189" t="s">
        <v>25654</v>
      </c>
      <c r="T4430" s="114"/>
      <c r="U4430" s="21"/>
      <c r="V4430" s="115"/>
      <c r="W4430" s="116"/>
      <c r="X4430" s="220"/>
      <c r="Y4430" s="220">
        <f>X4430*0.1</f>
        <v>0</v>
      </c>
      <c r="Z4430" s="220"/>
      <c r="AA4430" s="220">
        <f>SUM(X4430:Z4430)</f>
        <v>0</v>
      </c>
      <c r="AB4430" s="222"/>
    </row>
    <row r="4431" spans="1:28" ht="17.100000000000001" customHeight="1" thickBot="1">
      <c r="A4431" s="227"/>
      <c r="B4431" s="27" t="s">
        <v>2472</v>
      </c>
      <c r="C4431" s="27">
        <v>82575</v>
      </c>
      <c r="D4431" s="14" t="s">
        <v>1568</v>
      </c>
      <c r="E4431" s="229"/>
      <c r="F4431" s="117" t="s">
        <v>13081</v>
      </c>
      <c r="G4431" s="26">
        <v>31240</v>
      </c>
      <c r="H4431" s="231"/>
      <c r="I4431" s="221"/>
      <c r="J4431" s="221"/>
      <c r="K4431" s="221"/>
      <c r="L4431" s="221"/>
      <c r="M4431" s="221"/>
      <c r="N4431" s="221"/>
      <c r="O4431" s="225"/>
      <c r="P4431" s="118" t="s">
        <v>13658</v>
      </c>
      <c r="Q4431" s="16" t="s">
        <v>20</v>
      </c>
      <c r="R4431" s="17" t="s">
        <v>1794</v>
      </c>
      <c r="S4431" s="121" t="s">
        <v>13682</v>
      </c>
      <c r="T4431" s="122"/>
      <c r="U4431" s="22"/>
      <c r="V4431" s="123"/>
      <c r="W4431" s="122"/>
      <c r="X4431" s="221"/>
      <c r="Y4431" s="221"/>
      <c r="Z4431" s="221"/>
      <c r="AA4431" s="221"/>
      <c r="AB4431" s="223"/>
    </row>
    <row r="4432" spans="1:28" ht="17.100000000000001" customHeight="1" thickTop="1">
      <c r="A4432" s="226" t="s">
        <v>13143</v>
      </c>
      <c r="B4432" s="28">
        <v>46004</v>
      </c>
      <c r="C4432" s="25">
        <v>1280</v>
      </c>
      <c r="D4432" s="13" t="s">
        <v>1762</v>
      </c>
      <c r="E4432" s="228"/>
      <c r="F4432" s="109" t="s">
        <v>13083</v>
      </c>
      <c r="G4432" s="24"/>
      <c r="H4432" s="230">
        <v>4.5</v>
      </c>
      <c r="I4432" s="220">
        <v>635000</v>
      </c>
      <c r="J4432" s="220">
        <f>I4432*0.1</f>
        <v>63500</v>
      </c>
      <c r="K4432" s="220">
        <v>0</v>
      </c>
      <c r="L4432" s="220">
        <v>22520</v>
      </c>
      <c r="M4432" s="220">
        <v>16500</v>
      </c>
      <c r="N4432" s="220">
        <f>SUM(I4432:M4433)</f>
        <v>737520</v>
      </c>
      <c r="O4432" s="224"/>
      <c r="P4432" s="110" t="s">
        <v>13655</v>
      </c>
      <c r="Q4432" s="15" t="s">
        <v>19</v>
      </c>
      <c r="R4432" s="205"/>
      <c r="S4432" s="189"/>
      <c r="T4432" s="114"/>
      <c r="U4432" s="21"/>
      <c r="V4432" s="115">
        <v>46018</v>
      </c>
      <c r="W4432" s="116">
        <v>1282</v>
      </c>
      <c r="X4432" s="220">
        <v>615000</v>
      </c>
      <c r="Y4432" s="220">
        <f>X4432*0.1</f>
        <v>61500</v>
      </c>
      <c r="Z4432" s="220">
        <v>22520</v>
      </c>
      <c r="AA4432" s="220">
        <f>SUM(X4432:Z4432)</f>
        <v>699020</v>
      </c>
      <c r="AB4432" s="222">
        <v>46028</v>
      </c>
    </row>
    <row r="4433" spans="1:28" ht="17.100000000000001" customHeight="1" thickBot="1">
      <c r="A4433" s="227"/>
      <c r="B4433" s="27" t="s">
        <v>2472</v>
      </c>
      <c r="C4433" s="27">
        <v>82658</v>
      </c>
      <c r="D4433" s="14" t="s">
        <v>273</v>
      </c>
      <c r="E4433" s="229"/>
      <c r="F4433" s="117" t="s">
        <v>13084</v>
      </c>
      <c r="G4433" s="26">
        <v>70974</v>
      </c>
      <c r="H4433" s="231"/>
      <c r="I4433" s="221"/>
      <c r="J4433" s="221"/>
      <c r="K4433" s="221"/>
      <c r="L4433" s="221"/>
      <c r="M4433" s="221"/>
      <c r="N4433" s="221"/>
      <c r="O4433" s="225"/>
      <c r="P4433" s="118" t="s">
        <v>2729</v>
      </c>
      <c r="Q4433" s="16" t="s">
        <v>20</v>
      </c>
      <c r="R4433" s="17" t="s">
        <v>1794</v>
      </c>
      <c r="S4433" s="121" t="s">
        <v>2166</v>
      </c>
      <c r="T4433" s="122"/>
      <c r="U4433" s="22"/>
      <c r="V4433" s="123" t="s">
        <v>2472</v>
      </c>
      <c r="W4433" s="122">
        <v>80109</v>
      </c>
      <c r="X4433" s="221"/>
      <c r="Y4433" s="221"/>
      <c r="Z4433" s="221"/>
      <c r="AA4433" s="221"/>
      <c r="AB4433" s="223"/>
    </row>
    <row r="4434" spans="1:28" ht="17.100000000000001" customHeight="1" thickTop="1">
      <c r="A4434" s="226" t="s">
        <v>13144</v>
      </c>
      <c r="B4434" s="28">
        <v>46004</v>
      </c>
      <c r="C4434" s="25">
        <v>1445</v>
      </c>
      <c r="D4434" s="13" t="s">
        <v>2766</v>
      </c>
      <c r="E4434" s="228"/>
      <c r="F4434" s="109" t="s">
        <v>13022</v>
      </c>
      <c r="G4434" s="24" t="s">
        <v>13024</v>
      </c>
      <c r="H4434" s="230">
        <v>4.5</v>
      </c>
      <c r="I4434" s="220">
        <v>910000</v>
      </c>
      <c r="J4434" s="220">
        <f>I4434*0.1</f>
        <v>91000</v>
      </c>
      <c r="K4434" s="220">
        <f>8600+860</f>
        <v>9460</v>
      </c>
      <c r="L4434" s="220">
        <v>18960</v>
      </c>
      <c r="M4434" s="220">
        <v>16500</v>
      </c>
      <c r="N4434" s="220">
        <f>SUM(I4434:M4435)</f>
        <v>1045920</v>
      </c>
      <c r="O4434" s="224"/>
      <c r="P4434" s="110" t="s">
        <v>13025</v>
      </c>
      <c r="Q4434" s="15" t="s">
        <v>19</v>
      </c>
      <c r="R4434" s="205"/>
      <c r="S4434" s="189" t="s">
        <v>758</v>
      </c>
      <c r="T4434" s="114"/>
      <c r="U4434" s="21"/>
      <c r="V4434" s="115">
        <v>46008</v>
      </c>
      <c r="W4434" s="116">
        <v>997</v>
      </c>
      <c r="X4434" s="220">
        <v>1050000</v>
      </c>
      <c r="Y4434" s="220">
        <f>X4434*0.1</f>
        <v>105000</v>
      </c>
      <c r="Z4434" s="220">
        <v>18960</v>
      </c>
      <c r="AA4434" s="220">
        <f>SUM(X4434:Z4434)</f>
        <v>1173960</v>
      </c>
      <c r="AB4434" s="222">
        <v>46014</v>
      </c>
    </row>
    <row r="4435" spans="1:28" ht="17.100000000000001" customHeight="1" thickBot="1">
      <c r="A4435" s="227"/>
      <c r="B4435" s="27" t="s">
        <v>1765</v>
      </c>
      <c r="C4435" s="27">
        <v>5062</v>
      </c>
      <c r="D4435" s="14" t="s">
        <v>898</v>
      </c>
      <c r="E4435" s="229"/>
      <c r="F4435" s="117" t="s">
        <v>13023</v>
      </c>
      <c r="G4435" s="26">
        <v>23495</v>
      </c>
      <c r="H4435" s="231"/>
      <c r="I4435" s="221"/>
      <c r="J4435" s="221"/>
      <c r="K4435" s="221"/>
      <c r="L4435" s="221"/>
      <c r="M4435" s="221"/>
      <c r="N4435" s="221"/>
      <c r="O4435" s="225"/>
      <c r="P4435" s="118" t="s">
        <v>3383</v>
      </c>
      <c r="Q4435" s="16" t="s">
        <v>20</v>
      </c>
      <c r="R4435" s="17" t="s">
        <v>13537</v>
      </c>
      <c r="S4435" s="121" t="s">
        <v>1861</v>
      </c>
      <c r="T4435" s="122"/>
      <c r="U4435" s="22"/>
      <c r="V4435" s="123" t="s">
        <v>2747</v>
      </c>
      <c r="W4435" s="122">
        <v>5174</v>
      </c>
      <c r="X4435" s="221"/>
      <c r="Y4435" s="221"/>
      <c r="Z4435" s="221"/>
      <c r="AA4435" s="221"/>
      <c r="AB4435" s="223"/>
    </row>
    <row r="4436" spans="1:28" ht="16.5" customHeight="1" thickTop="1">
      <c r="A4436" s="226" t="s">
        <v>13145</v>
      </c>
      <c r="B4436" s="28">
        <v>46004</v>
      </c>
      <c r="C4436" s="25">
        <v>1523</v>
      </c>
      <c r="D4436" s="13" t="s">
        <v>2920</v>
      </c>
      <c r="E4436" s="228"/>
      <c r="F4436" s="109" t="s">
        <v>13069</v>
      </c>
      <c r="G4436" s="24" t="s">
        <v>13071</v>
      </c>
      <c r="H4436" s="230">
        <v>4.5</v>
      </c>
      <c r="I4436" s="220">
        <v>1135000</v>
      </c>
      <c r="J4436" s="220">
        <f>I4436*0.1</f>
        <v>113500</v>
      </c>
      <c r="K4436" s="220">
        <f>6200+620</f>
        <v>6820</v>
      </c>
      <c r="L4436" s="220">
        <v>12470</v>
      </c>
      <c r="M4436" s="220">
        <v>16500</v>
      </c>
      <c r="N4436" s="220">
        <f>SUM(I4436:M4437)</f>
        <v>1284290</v>
      </c>
      <c r="O4436" s="224"/>
      <c r="P4436" s="110" t="s">
        <v>13072</v>
      </c>
      <c r="Q4436" s="15" t="s">
        <v>19</v>
      </c>
      <c r="R4436" s="205"/>
      <c r="S4436" s="189" t="s">
        <v>25367</v>
      </c>
      <c r="T4436" s="114"/>
      <c r="U4436" s="21"/>
      <c r="V4436" s="115">
        <v>46060</v>
      </c>
      <c r="W4436" s="116">
        <v>1287</v>
      </c>
      <c r="X4436" s="220">
        <v>1280000</v>
      </c>
      <c r="Y4436" s="220">
        <f>X4436*0.1</f>
        <v>128000</v>
      </c>
      <c r="Z4436" s="220">
        <v>12470</v>
      </c>
      <c r="AA4436" s="220">
        <f>SUM(X4436:Z4436)</f>
        <v>1420470</v>
      </c>
      <c r="AB4436" s="222">
        <v>46063</v>
      </c>
    </row>
    <row r="4437" spans="1:28" ht="17.100000000000001" customHeight="1" thickBot="1">
      <c r="A4437" s="227"/>
      <c r="B4437" s="27" t="s">
        <v>1547</v>
      </c>
      <c r="C4437" s="27">
        <v>83106</v>
      </c>
      <c r="D4437" s="14" t="s">
        <v>2559</v>
      </c>
      <c r="E4437" s="229"/>
      <c r="F4437" s="117" t="s">
        <v>13070</v>
      </c>
      <c r="G4437" s="26">
        <v>26493</v>
      </c>
      <c r="H4437" s="231"/>
      <c r="I4437" s="221"/>
      <c r="J4437" s="221"/>
      <c r="K4437" s="221"/>
      <c r="L4437" s="221"/>
      <c r="M4437" s="221"/>
      <c r="N4437" s="221"/>
      <c r="O4437" s="225"/>
      <c r="P4437" s="118" t="s">
        <v>13371</v>
      </c>
      <c r="Q4437" s="16" t="s">
        <v>20</v>
      </c>
      <c r="R4437" s="17" t="s">
        <v>1769</v>
      </c>
      <c r="S4437" s="121" t="s">
        <v>7305</v>
      </c>
      <c r="T4437" s="122"/>
      <c r="U4437" s="22"/>
      <c r="V4437" s="123" t="s">
        <v>2472</v>
      </c>
      <c r="W4437" s="122">
        <v>80156</v>
      </c>
      <c r="X4437" s="221"/>
      <c r="Y4437" s="221"/>
      <c r="Z4437" s="221"/>
      <c r="AA4437" s="221"/>
      <c r="AB4437" s="223"/>
    </row>
    <row r="4438" spans="1:28" ht="17.100000000000001" customHeight="1" thickTop="1">
      <c r="A4438" s="233" t="s">
        <v>13151</v>
      </c>
      <c r="B4438" s="28">
        <v>46004</v>
      </c>
      <c r="C4438" s="25">
        <v>1702</v>
      </c>
      <c r="D4438" s="13" t="s">
        <v>2712</v>
      </c>
      <c r="E4438" s="228"/>
      <c r="F4438" s="109" t="s">
        <v>13149</v>
      </c>
      <c r="G4438" s="24"/>
      <c r="H4438" s="230">
        <v>4.5</v>
      </c>
      <c r="I4438" s="220">
        <v>1850000</v>
      </c>
      <c r="J4438" s="220">
        <f>I4438*0.1</f>
        <v>185000</v>
      </c>
      <c r="K4438" s="220">
        <v>0</v>
      </c>
      <c r="L4438" s="220">
        <v>20460</v>
      </c>
      <c r="M4438" s="220">
        <v>14300</v>
      </c>
      <c r="N4438" s="220">
        <f>SUM(I4438:M4439)</f>
        <v>2069760</v>
      </c>
      <c r="O4438" s="224"/>
      <c r="P4438" s="110" t="s">
        <v>13562</v>
      </c>
      <c r="Q4438" s="15" t="s">
        <v>19</v>
      </c>
      <c r="R4438" s="205"/>
      <c r="S4438" s="189" t="s">
        <v>1271</v>
      </c>
      <c r="T4438" s="114"/>
      <c r="U4438" s="21"/>
      <c r="V4438" s="115">
        <v>46039</v>
      </c>
      <c r="W4438" s="116">
        <v>1284</v>
      </c>
      <c r="X4438" s="220">
        <v>2150000</v>
      </c>
      <c r="Y4438" s="220">
        <f>X4438*0.1</f>
        <v>215000</v>
      </c>
      <c r="Z4438" s="220">
        <v>20460</v>
      </c>
      <c r="AA4438" s="220">
        <f>SUM(X4438:Z4438)</f>
        <v>2385460</v>
      </c>
      <c r="AB4438" s="222">
        <v>46042</v>
      </c>
    </row>
    <row r="4439" spans="1:28" ht="17.100000000000001" customHeight="1" thickBot="1">
      <c r="A4439" s="234"/>
      <c r="B4439" s="27" t="s">
        <v>1842</v>
      </c>
      <c r="C4439" s="27">
        <v>554</v>
      </c>
      <c r="D4439" s="14" t="s">
        <v>898</v>
      </c>
      <c r="E4439" s="229"/>
      <c r="F4439" s="117" t="s">
        <v>13150</v>
      </c>
      <c r="G4439" s="26">
        <v>13066</v>
      </c>
      <c r="H4439" s="231"/>
      <c r="I4439" s="221"/>
      <c r="J4439" s="221"/>
      <c r="K4439" s="221"/>
      <c r="L4439" s="221"/>
      <c r="M4439" s="221"/>
      <c r="N4439" s="221"/>
      <c r="O4439" s="225"/>
      <c r="P4439" s="118" t="s">
        <v>2404</v>
      </c>
      <c r="Q4439" s="16" t="s">
        <v>20</v>
      </c>
      <c r="R4439" s="17" t="s">
        <v>13537</v>
      </c>
      <c r="S4439" s="121" t="s">
        <v>1731</v>
      </c>
      <c r="T4439" s="122"/>
      <c r="U4439" s="22"/>
      <c r="V4439" s="123" t="s">
        <v>2472</v>
      </c>
      <c r="W4439" s="122">
        <v>80113</v>
      </c>
      <c r="X4439" s="221"/>
      <c r="Y4439" s="221"/>
      <c r="Z4439" s="221"/>
      <c r="AA4439" s="221"/>
      <c r="AB4439" s="223"/>
    </row>
    <row r="4440" spans="1:28" ht="17.100000000000001" customHeight="1" thickTop="1">
      <c r="A4440" s="226" t="s">
        <v>13185</v>
      </c>
      <c r="B4440" s="28">
        <v>46006</v>
      </c>
      <c r="C4440" s="25"/>
      <c r="D4440" s="13" t="s">
        <v>1953</v>
      </c>
      <c r="E4440" s="228"/>
      <c r="F4440" s="109" t="s">
        <v>1916</v>
      </c>
      <c r="G4440" s="24"/>
      <c r="H4440" s="230">
        <v>4.5</v>
      </c>
      <c r="I4440" s="220">
        <v>1372000</v>
      </c>
      <c r="J4440" s="220">
        <f>I4440*0.1</f>
        <v>137200</v>
      </c>
      <c r="K4440" s="220">
        <v>0</v>
      </c>
      <c r="L4440" s="220">
        <v>17600</v>
      </c>
      <c r="M4440" s="220">
        <v>14850</v>
      </c>
      <c r="N4440" s="220">
        <f>SUM(I4440:M4441)</f>
        <v>1541650</v>
      </c>
      <c r="O4440" s="224"/>
      <c r="P4440" s="110" t="s">
        <v>13538</v>
      </c>
      <c r="Q4440" s="15" t="s">
        <v>19</v>
      </c>
      <c r="R4440" s="205"/>
      <c r="S4440" s="189" t="s">
        <v>758</v>
      </c>
      <c r="T4440" s="114"/>
      <c r="U4440" s="21"/>
      <c r="V4440" s="115">
        <v>46032</v>
      </c>
      <c r="W4440" s="116">
        <v>1283</v>
      </c>
      <c r="X4440" s="220">
        <v>1485000</v>
      </c>
      <c r="Y4440" s="220">
        <f>X4440*0.1</f>
        <v>148500</v>
      </c>
      <c r="Z4440" s="220">
        <v>17600</v>
      </c>
      <c r="AA4440" s="220">
        <f>SUM(X4440:Z4440)</f>
        <v>1651100</v>
      </c>
      <c r="AB4440" s="222">
        <v>46036</v>
      </c>
    </row>
    <row r="4441" spans="1:28" ht="17.100000000000001" customHeight="1" thickBot="1">
      <c r="A4441" s="227"/>
      <c r="B4441" s="27" t="s">
        <v>9764</v>
      </c>
      <c r="C4441" s="27">
        <v>28042</v>
      </c>
      <c r="D4441" s="14" t="s">
        <v>898</v>
      </c>
      <c r="E4441" s="229"/>
      <c r="F4441" s="117" t="s">
        <v>13152</v>
      </c>
      <c r="G4441" s="26">
        <v>26689</v>
      </c>
      <c r="H4441" s="231"/>
      <c r="I4441" s="221"/>
      <c r="J4441" s="221"/>
      <c r="K4441" s="221"/>
      <c r="L4441" s="221"/>
      <c r="M4441" s="221"/>
      <c r="N4441" s="221"/>
      <c r="O4441" s="225"/>
      <c r="P4441" s="118" t="s">
        <v>12375</v>
      </c>
      <c r="Q4441" s="16" t="s">
        <v>20</v>
      </c>
      <c r="R4441" s="17" t="s">
        <v>13537</v>
      </c>
      <c r="S4441" s="121" t="s">
        <v>1606</v>
      </c>
      <c r="T4441" s="122"/>
      <c r="U4441" s="22"/>
      <c r="V4441" s="123" t="s">
        <v>2472</v>
      </c>
      <c r="W4441" s="122">
        <v>80083</v>
      </c>
      <c r="X4441" s="221"/>
      <c r="Y4441" s="221"/>
      <c r="Z4441" s="221"/>
      <c r="AA4441" s="221"/>
      <c r="AB4441" s="223"/>
    </row>
    <row r="4442" spans="1:28" ht="17.100000000000001" customHeight="1" thickTop="1">
      <c r="A4442" s="226" t="s">
        <v>13186</v>
      </c>
      <c r="B4442" s="28">
        <v>46006</v>
      </c>
      <c r="C4442" s="25"/>
      <c r="D4442" s="13" t="s">
        <v>1931</v>
      </c>
      <c r="E4442" s="228"/>
      <c r="F4442" s="109" t="s">
        <v>13610</v>
      </c>
      <c r="G4442" s="24" t="s">
        <v>3859</v>
      </c>
      <c r="H4442" s="230">
        <v>4</v>
      </c>
      <c r="I4442" s="220">
        <v>960000</v>
      </c>
      <c r="J4442" s="220">
        <f>I4442*0.1</f>
        <v>96000</v>
      </c>
      <c r="K4442" s="220">
        <f>8600+860</f>
        <v>9460</v>
      </c>
      <c r="L4442" s="220">
        <v>11810</v>
      </c>
      <c r="M4442" s="220">
        <v>14850</v>
      </c>
      <c r="N4442" s="220">
        <f>SUM(I4442:M4443)</f>
        <v>1092120</v>
      </c>
      <c r="O4442" s="224"/>
      <c r="P4442" s="110" t="s">
        <v>13159</v>
      </c>
      <c r="Q4442" s="15" t="s">
        <v>19</v>
      </c>
      <c r="R4442" s="205"/>
      <c r="S4442" s="189" t="s">
        <v>1422</v>
      </c>
      <c r="T4442" s="114"/>
      <c r="U4442" s="21"/>
      <c r="V4442" s="115">
        <v>46165</v>
      </c>
      <c r="W4442" s="116">
        <v>1301</v>
      </c>
      <c r="X4442" s="220">
        <v>880000</v>
      </c>
      <c r="Y4442" s="220">
        <f>X4442*0.1</f>
        <v>88000</v>
      </c>
      <c r="Z4442" s="220">
        <v>11810</v>
      </c>
      <c r="AA4442" s="220">
        <f>SUM(X4442:Z4442)</f>
        <v>979810</v>
      </c>
      <c r="AB4442" s="222">
        <v>46168</v>
      </c>
    </row>
    <row r="4443" spans="1:28" ht="17.100000000000001" customHeight="1" thickBot="1">
      <c r="A4443" s="227"/>
      <c r="B4443" s="27" t="s">
        <v>4777</v>
      </c>
      <c r="C4443" s="27">
        <v>55211</v>
      </c>
      <c r="D4443" s="14" t="s">
        <v>1584</v>
      </c>
      <c r="E4443" s="229"/>
      <c r="F4443" s="117" t="s">
        <v>13158</v>
      </c>
      <c r="G4443" s="26">
        <v>39336</v>
      </c>
      <c r="H4443" s="231"/>
      <c r="I4443" s="221"/>
      <c r="J4443" s="221"/>
      <c r="K4443" s="221"/>
      <c r="L4443" s="221"/>
      <c r="M4443" s="221"/>
      <c r="N4443" s="221"/>
      <c r="O4443" s="225"/>
      <c r="P4443" s="118" t="s">
        <v>4094</v>
      </c>
      <c r="Q4443" s="16" t="s">
        <v>20</v>
      </c>
      <c r="R4443" s="17" t="s">
        <v>1794</v>
      </c>
      <c r="S4443" s="121" t="s">
        <v>13611</v>
      </c>
      <c r="T4443" s="122"/>
      <c r="U4443" s="22"/>
      <c r="V4443" s="123" t="s">
        <v>2472</v>
      </c>
      <c r="W4443" s="122">
        <v>80063</v>
      </c>
      <c r="X4443" s="221"/>
      <c r="Y4443" s="221"/>
      <c r="Z4443" s="221"/>
      <c r="AA4443" s="221"/>
      <c r="AB4443" s="223"/>
    </row>
    <row r="4444" spans="1:28" ht="17.100000000000001" customHeight="1" thickTop="1">
      <c r="A4444" s="233" t="s">
        <v>13187</v>
      </c>
      <c r="B4444" s="28">
        <v>46006</v>
      </c>
      <c r="C4444" s="25"/>
      <c r="D4444" s="13" t="s">
        <v>1658</v>
      </c>
      <c r="E4444" s="228"/>
      <c r="F4444" s="109" t="s">
        <v>1916</v>
      </c>
      <c r="G4444" s="24" t="s">
        <v>2084</v>
      </c>
      <c r="H4444" s="230">
        <v>4</v>
      </c>
      <c r="I4444" s="220">
        <v>542000</v>
      </c>
      <c r="J4444" s="220">
        <f>I4444*0.1</f>
        <v>54200</v>
      </c>
      <c r="K4444" s="220">
        <f>8600+860</f>
        <v>9460</v>
      </c>
      <c r="L4444" s="220">
        <v>17700</v>
      </c>
      <c r="M4444" s="220">
        <v>14850</v>
      </c>
      <c r="N4444" s="220">
        <f>SUM(I4444:M4445)</f>
        <v>638210</v>
      </c>
      <c r="O4444" s="224"/>
      <c r="P4444" s="110" t="s">
        <v>13160</v>
      </c>
      <c r="Q4444" s="15" t="s">
        <v>19</v>
      </c>
      <c r="R4444" s="205"/>
      <c r="S4444" s="189"/>
      <c r="T4444" s="114"/>
      <c r="U4444" s="21"/>
      <c r="V4444" s="115">
        <v>46032</v>
      </c>
      <c r="W4444" s="116">
        <v>1283</v>
      </c>
      <c r="X4444" s="220">
        <v>675000</v>
      </c>
      <c r="Y4444" s="220">
        <f>X4444*0.1</f>
        <v>67500</v>
      </c>
      <c r="Z4444" s="220">
        <v>17700</v>
      </c>
      <c r="AA4444" s="220">
        <f>SUM(X4444:Z4444)</f>
        <v>760200</v>
      </c>
      <c r="AB4444" s="222">
        <v>46036</v>
      </c>
    </row>
    <row r="4445" spans="1:28" ht="17.100000000000001" customHeight="1" thickBot="1">
      <c r="A4445" s="234"/>
      <c r="B4445" s="27" t="s">
        <v>2727</v>
      </c>
      <c r="C4445" s="27">
        <v>70381</v>
      </c>
      <c r="D4445" s="14" t="s">
        <v>3746</v>
      </c>
      <c r="E4445" s="229"/>
      <c r="F4445" s="117" t="s">
        <v>13539</v>
      </c>
      <c r="G4445" s="26">
        <v>55603</v>
      </c>
      <c r="H4445" s="231"/>
      <c r="I4445" s="221"/>
      <c r="J4445" s="221"/>
      <c r="K4445" s="221"/>
      <c r="L4445" s="221"/>
      <c r="M4445" s="221"/>
      <c r="N4445" s="221"/>
      <c r="O4445" s="225"/>
      <c r="P4445" s="118" t="s">
        <v>3247</v>
      </c>
      <c r="Q4445" s="16" t="s">
        <v>20</v>
      </c>
      <c r="R4445" s="17" t="s">
        <v>13537</v>
      </c>
      <c r="S4445" s="121"/>
      <c r="T4445" s="122"/>
      <c r="U4445" s="22"/>
      <c r="V4445" s="123" t="s">
        <v>2472</v>
      </c>
      <c r="W4445" s="122">
        <v>80112</v>
      </c>
      <c r="X4445" s="221"/>
      <c r="Y4445" s="221"/>
      <c r="Z4445" s="221"/>
      <c r="AA4445" s="221"/>
      <c r="AB4445" s="223"/>
    </row>
    <row r="4446" spans="1:28" ht="17.100000000000001" customHeight="1" thickTop="1">
      <c r="A4446" s="226" t="s">
        <v>13188</v>
      </c>
      <c r="B4446" s="28">
        <v>46006</v>
      </c>
      <c r="C4446" s="25"/>
      <c r="D4446" s="13" t="s">
        <v>1632</v>
      </c>
      <c r="E4446" s="228"/>
      <c r="F4446" s="109" t="s">
        <v>13154</v>
      </c>
      <c r="G4446" s="24"/>
      <c r="H4446" s="230">
        <v>4</v>
      </c>
      <c r="I4446" s="220">
        <v>1056000</v>
      </c>
      <c r="J4446" s="220">
        <f>I4446*0.1</f>
        <v>105600</v>
      </c>
      <c r="K4446" s="220">
        <v>0</v>
      </c>
      <c r="L4446" s="220">
        <v>15010</v>
      </c>
      <c r="M4446" s="220">
        <v>14850</v>
      </c>
      <c r="N4446" s="220">
        <f>SUM(I4446:M4447)</f>
        <v>1191460</v>
      </c>
      <c r="O4446" s="224"/>
      <c r="P4446" s="110" t="s">
        <v>13541</v>
      </c>
      <c r="Q4446" s="15" t="s">
        <v>19</v>
      </c>
      <c r="R4446" s="205"/>
      <c r="S4446" s="189"/>
      <c r="T4446" s="114"/>
      <c r="U4446" s="21"/>
      <c r="V4446" s="115">
        <v>46011</v>
      </c>
      <c r="W4446" s="116">
        <v>1281</v>
      </c>
      <c r="X4446" s="220">
        <v>1180000</v>
      </c>
      <c r="Y4446" s="220">
        <f>X4446*0.1</f>
        <v>118000</v>
      </c>
      <c r="Z4446" s="220">
        <v>15010</v>
      </c>
      <c r="AA4446" s="220">
        <f>SUM(X4446:Z4446)</f>
        <v>1313010</v>
      </c>
      <c r="AB4446" s="222">
        <v>46014</v>
      </c>
    </row>
    <row r="4447" spans="1:28" ht="17.100000000000001" customHeight="1" thickBot="1">
      <c r="A4447" s="227"/>
      <c r="B4447" s="27" t="s">
        <v>2727</v>
      </c>
      <c r="C4447" s="27">
        <v>80259</v>
      </c>
      <c r="D4447" s="14" t="s">
        <v>1584</v>
      </c>
      <c r="E4447" s="229"/>
      <c r="F4447" s="117" t="s">
        <v>13540</v>
      </c>
      <c r="G4447" s="26">
        <v>53829</v>
      </c>
      <c r="H4447" s="231"/>
      <c r="I4447" s="221"/>
      <c r="J4447" s="221"/>
      <c r="K4447" s="221"/>
      <c r="L4447" s="221"/>
      <c r="M4447" s="221"/>
      <c r="N4447" s="221"/>
      <c r="O4447" s="225"/>
      <c r="P4447" s="118" t="s">
        <v>2729</v>
      </c>
      <c r="Q4447" s="16" t="s">
        <v>20</v>
      </c>
      <c r="R4447" s="17" t="s">
        <v>13537</v>
      </c>
      <c r="S4447" s="121" t="s">
        <v>7720</v>
      </c>
      <c r="T4447" s="122"/>
      <c r="U4447" s="22"/>
      <c r="V4447" s="123" t="s">
        <v>2472</v>
      </c>
      <c r="W4447" s="122">
        <v>80124</v>
      </c>
      <c r="X4447" s="221"/>
      <c r="Y4447" s="221"/>
      <c r="Z4447" s="221"/>
      <c r="AA4447" s="221"/>
      <c r="AB4447" s="223"/>
    </row>
    <row r="4448" spans="1:28" ht="17.100000000000001" customHeight="1" thickTop="1">
      <c r="A4448" s="226" t="s">
        <v>13189</v>
      </c>
      <c r="B4448" s="28">
        <v>46006</v>
      </c>
      <c r="C4448" s="25"/>
      <c r="D4448" s="13" t="s">
        <v>2406</v>
      </c>
      <c r="E4448" s="228"/>
      <c r="F4448" s="109" t="s">
        <v>1608</v>
      </c>
      <c r="G4448" s="24"/>
      <c r="H4448" s="230">
        <v>4.5</v>
      </c>
      <c r="I4448" s="220">
        <v>715000</v>
      </c>
      <c r="J4448" s="220">
        <f>I4448*0.1</f>
        <v>71500</v>
      </c>
      <c r="K4448" s="220">
        <v>0</v>
      </c>
      <c r="L4448" s="220">
        <v>17250</v>
      </c>
      <c r="M4448" s="220">
        <v>14850</v>
      </c>
      <c r="N4448" s="220">
        <f>SUM(I4448:M4449)</f>
        <v>818600</v>
      </c>
      <c r="O4448" s="224"/>
      <c r="P4448" s="110" t="s">
        <v>13543</v>
      </c>
      <c r="Q4448" s="15" t="s">
        <v>19</v>
      </c>
      <c r="R4448" s="205"/>
      <c r="S4448" s="189"/>
      <c r="T4448" s="114"/>
      <c r="U4448" s="21"/>
      <c r="V4448" s="115">
        <v>46095</v>
      </c>
      <c r="W4448" s="116">
        <v>1292</v>
      </c>
      <c r="X4448" s="220">
        <v>800000</v>
      </c>
      <c r="Y4448" s="220">
        <f>X4448*0.1</f>
        <v>80000</v>
      </c>
      <c r="Z4448" s="220">
        <v>17250</v>
      </c>
      <c r="AA4448" s="220">
        <f>SUM(X4448:Z4448)</f>
        <v>897250</v>
      </c>
      <c r="AB4448" s="222">
        <v>46098</v>
      </c>
    </row>
    <row r="4449" spans="1:28" ht="17.100000000000001" customHeight="1" thickBot="1">
      <c r="A4449" s="227"/>
      <c r="B4449" s="27" t="s">
        <v>2727</v>
      </c>
      <c r="C4449" s="27">
        <v>80292</v>
      </c>
      <c r="D4449" s="14" t="s">
        <v>898</v>
      </c>
      <c r="E4449" s="229"/>
      <c r="F4449" s="117" t="s">
        <v>13542</v>
      </c>
      <c r="G4449" s="26">
        <v>13568</v>
      </c>
      <c r="H4449" s="231"/>
      <c r="I4449" s="221"/>
      <c r="J4449" s="221"/>
      <c r="K4449" s="221"/>
      <c r="L4449" s="221"/>
      <c r="M4449" s="221"/>
      <c r="N4449" s="221"/>
      <c r="O4449" s="225"/>
      <c r="P4449" s="118" t="s">
        <v>13544</v>
      </c>
      <c r="Q4449" s="16" t="s">
        <v>20</v>
      </c>
      <c r="R4449" s="17" t="s">
        <v>13537</v>
      </c>
      <c r="S4449" s="121" t="s">
        <v>7720</v>
      </c>
      <c r="T4449" s="122"/>
      <c r="U4449" s="22"/>
      <c r="V4449" s="123" t="s">
        <v>2472</v>
      </c>
      <c r="W4449" s="122">
        <v>80180</v>
      </c>
      <c r="X4449" s="221"/>
      <c r="Y4449" s="221"/>
      <c r="Z4449" s="221"/>
      <c r="AA4449" s="221"/>
      <c r="AB4449" s="223"/>
    </row>
    <row r="4450" spans="1:28" ht="17.100000000000001" customHeight="1" thickTop="1">
      <c r="A4450" s="226" t="s">
        <v>13190</v>
      </c>
      <c r="B4450" s="28">
        <v>46006</v>
      </c>
      <c r="C4450" s="25"/>
      <c r="D4450" s="13" t="s">
        <v>2264</v>
      </c>
      <c r="E4450" s="228"/>
      <c r="F4450" s="109" t="s">
        <v>9789</v>
      </c>
      <c r="G4450" s="24"/>
      <c r="H4450" s="230">
        <v>4</v>
      </c>
      <c r="I4450" s="220">
        <v>1368000</v>
      </c>
      <c r="J4450" s="220">
        <f>I4450*0.1</f>
        <v>136800</v>
      </c>
      <c r="K4450" s="220">
        <v>0</v>
      </c>
      <c r="L4450" s="220">
        <v>17800</v>
      </c>
      <c r="M4450" s="220">
        <v>14850</v>
      </c>
      <c r="N4450" s="220">
        <f>SUM(I4450:M4451)</f>
        <v>1537450</v>
      </c>
      <c r="O4450" s="224"/>
      <c r="P4450" s="110" t="s">
        <v>13659</v>
      </c>
      <c r="Q4450" s="15" t="s">
        <v>19</v>
      </c>
      <c r="R4450" s="205"/>
      <c r="S4450" s="189"/>
      <c r="T4450" s="114"/>
      <c r="U4450" s="21"/>
      <c r="V4450" s="115">
        <v>46018</v>
      </c>
      <c r="W4450" s="116">
        <v>1282</v>
      </c>
      <c r="X4450" s="220">
        <v>1675000</v>
      </c>
      <c r="Y4450" s="220">
        <f>X4450*0.1</f>
        <v>167500</v>
      </c>
      <c r="Z4450" s="220">
        <v>17800</v>
      </c>
      <c r="AA4450" s="220">
        <f>SUM(X4450:Z4450)</f>
        <v>1860300</v>
      </c>
      <c r="AB4450" s="222">
        <v>46028</v>
      </c>
    </row>
    <row r="4451" spans="1:28" ht="17.100000000000001" customHeight="1" thickBot="1">
      <c r="A4451" s="227"/>
      <c r="B4451" s="27" t="s">
        <v>8691</v>
      </c>
      <c r="C4451" s="27">
        <v>60116</v>
      </c>
      <c r="D4451" s="14" t="s">
        <v>898</v>
      </c>
      <c r="E4451" s="229"/>
      <c r="F4451" s="117" t="s">
        <v>13153</v>
      </c>
      <c r="G4451" s="26">
        <v>38346</v>
      </c>
      <c r="H4451" s="231"/>
      <c r="I4451" s="221"/>
      <c r="J4451" s="221"/>
      <c r="K4451" s="221"/>
      <c r="L4451" s="221"/>
      <c r="M4451" s="221"/>
      <c r="N4451" s="221"/>
      <c r="O4451" s="225"/>
      <c r="P4451" s="118" t="s">
        <v>2898</v>
      </c>
      <c r="Q4451" s="16" t="s">
        <v>20</v>
      </c>
      <c r="R4451" s="17" t="s">
        <v>1794</v>
      </c>
      <c r="S4451" s="121" t="s">
        <v>7720</v>
      </c>
      <c r="T4451" s="122"/>
      <c r="U4451" s="22"/>
      <c r="V4451" s="123" t="s">
        <v>2472</v>
      </c>
      <c r="W4451" s="122">
        <v>80008</v>
      </c>
      <c r="X4451" s="221"/>
      <c r="Y4451" s="221"/>
      <c r="Z4451" s="221"/>
      <c r="AA4451" s="221"/>
      <c r="AB4451" s="223"/>
    </row>
    <row r="4452" spans="1:28" ht="17.100000000000001" customHeight="1" thickTop="1">
      <c r="A4452" s="226" t="s">
        <v>13191</v>
      </c>
      <c r="B4452" s="28">
        <v>46006</v>
      </c>
      <c r="C4452" s="25">
        <v>2073</v>
      </c>
      <c r="D4452" s="13" t="s">
        <v>1780</v>
      </c>
      <c r="E4452" s="228"/>
      <c r="F4452" s="109" t="s">
        <v>13155</v>
      </c>
      <c r="G4452" s="24" t="s">
        <v>2536</v>
      </c>
      <c r="H4452" s="230">
        <v>4.5</v>
      </c>
      <c r="I4452" s="220">
        <v>1795000</v>
      </c>
      <c r="J4452" s="220">
        <f>I4452*0.1</f>
        <v>179500</v>
      </c>
      <c r="K4452" s="220">
        <f>7600+760</f>
        <v>8360</v>
      </c>
      <c r="L4452" s="220">
        <v>11810</v>
      </c>
      <c r="M4452" s="220">
        <v>11000</v>
      </c>
      <c r="N4452" s="220">
        <f>SUM(I4452:M4453)</f>
        <v>2005670</v>
      </c>
      <c r="O4452" s="224"/>
      <c r="P4452" s="110" t="s">
        <v>13157</v>
      </c>
      <c r="Q4452" s="15" t="s">
        <v>19</v>
      </c>
      <c r="R4452" s="205"/>
      <c r="S4452" s="189" t="s">
        <v>1276</v>
      </c>
      <c r="T4452" s="114"/>
      <c r="U4452" s="21" t="s">
        <v>14590</v>
      </c>
      <c r="V4452" s="115">
        <v>46053</v>
      </c>
      <c r="W4452" s="116">
        <v>1286</v>
      </c>
      <c r="X4452" s="220">
        <v>1920000</v>
      </c>
      <c r="Y4452" s="220">
        <f>X4452*0.1</f>
        <v>192000</v>
      </c>
      <c r="Z4452" s="220">
        <v>11810</v>
      </c>
      <c r="AA4452" s="220">
        <f>SUM(X4452:Z4452)</f>
        <v>2123810</v>
      </c>
      <c r="AB4452" s="222">
        <v>46056</v>
      </c>
    </row>
    <row r="4453" spans="1:28" ht="17.100000000000001" customHeight="1" thickBot="1">
      <c r="A4453" s="227"/>
      <c r="B4453" s="27" t="s">
        <v>82</v>
      </c>
      <c r="C4453" s="27">
        <v>32011</v>
      </c>
      <c r="D4453" s="14" t="s">
        <v>1584</v>
      </c>
      <c r="E4453" s="229"/>
      <c r="F4453" s="117" t="s">
        <v>13156</v>
      </c>
      <c r="G4453" s="26">
        <v>27149</v>
      </c>
      <c r="H4453" s="231"/>
      <c r="I4453" s="221"/>
      <c r="J4453" s="221"/>
      <c r="K4453" s="221"/>
      <c r="L4453" s="221"/>
      <c r="M4453" s="221"/>
      <c r="N4453" s="221"/>
      <c r="O4453" s="225"/>
      <c r="P4453" s="118" t="s">
        <v>13499</v>
      </c>
      <c r="Q4453" s="16" t="s">
        <v>20</v>
      </c>
      <c r="R4453" s="17" t="s">
        <v>3420</v>
      </c>
      <c r="S4453" s="121" t="s">
        <v>10712</v>
      </c>
      <c r="T4453" s="122"/>
      <c r="U4453" s="22"/>
      <c r="V4453" s="123" t="s">
        <v>2472</v>
      </c>
      <c r="W4453" s="122">
        <v>80097</v>
      </c>
      <c r="X4453" s="221"/>
      <c r="Y4453" s="221"/>
      <c r="Z4453" s="221"/>
      <c r="AA4453" s="221"/>
      <c r="AB4453" s="223"/>
    </row>
    <row r="4454" spans="1:28" ht="17.100000000000001" customHeight="1" thickTop="1">
      <c r="A4454" s="233" t="s">
        <v>13193</v>
      </c>
      <c r="B4454" s="28">
        <v>46006</v>
      </c>
      <c r="C4454" s="25">
        <v>77</v>
      </c>
      <c r="D4454" s="13" t="s">
        <v>1715</v>
      </c>
      <c r="E4454" s="228"/>
      <c r="F4454" s="109" t="s">
        <v>13196</v>
      </c>
      <c r="G4454" s="24" t="s">
        <v>2487</v>
      </c>
      <c r="H4454" s="230">
        <v>4</v>
      </c>
      <c r="I4454" s="220">
        <v>700000</v>
      </c>
      <c r="J4454" s="220">
        <f>I4454*0.1</f>
        <v>70000</v>
      </c>
      <c r="K4454" s="220">
        <v>0</v>
      </c>
      <c r="L4454" s="220">
        <v>8110</v>
      </c>
      <c r="M4454" s="220">
        <v>33000</v>
      </c>
      <c r="N4454" s="220">
        <f>SUM(I4454:M4455)</f>
        <v>811110</v>
      </c>
      <c r="O4454" s="224"/>
      <c r="P4454" s="110" t="s">
        <v>14116</v>
      </c>
      <c r="Q4454" s="15" t="s">
        <v>19</v>
      </c>
      <c r="R4454" s="205"/>
      <c r="S4454" s="189" t="s">
        <v>25608</v>
      </c>
      <c r="T4454" s="114"/>
      <c r="U4454" s="21" t="s">
        <v>14214</v>
      </c>
      <c r="V4454" s="115">
        <v>46039</v>
      </c>
      <c r="W4454" s="116">
        <v>1284</v>
      </c>
      <c r="X4454" s="220">
        <v>705000</v>
      </c>
      <c r="Y4454" s="220">
        <f>X4454*0.1</f>
        <v>70500</v>
      </c>
      <c r="Z4454" s="220">
        <v>8110</v>
      </c>
      <c r="AA4454" s="220">
        <f>SUM(X4454:Z4454)</f>
        <v>783610</v>
      </c>
      <c r="AB4454" s="222">
        <v>46042</v>
      </c>
    </row>
    <row r="4455" spans="1:28" ht="17.100000000000001" customHeight="1" thickBot="1">
      <c r="A4455" s="234"/>
      <c r="B4455" s="27" t="s">
        <v>4468</v>
      </c>
      <c r="C4455" s="27">
        <v>1001</v>
      </c>
      <c r="D4455" s="14" t="s">
        <v>2788</v>
      </c>
      <c r="E4455" s="229"/>
      <c r="F4455" s="117" t="s">
        <v>13192</v>
      </c>
      <c r="G4455" s="26">
        <v>29215</v>
      </c>
      <c r="H4455" s="231"/>
      <c r="I4455" s="221"/>
      <c r="J4455" s="221"/>
      <c r="K4455" s="221"/>
      <c r="L4455" s="221"/>
      <c r="M4455" s="221"/>
      <c r="N4455" s="221"/>
      <c r="O4455" s="225"/>
      <c r="P4455" s="118" t="s">
        <v>14117</v>
      </c>
      <c r="Q4455" s="16" t="s">
        <v>20</v>
      </c>
      <c r="R4455" s="17" t="s">
        <v>14101</v>
      </c>
      <c r="S4455" s="121" t="s">
        <v>1731</v>
      </c>
      <c r="T4455" s="122"/>
      <c r="U4455" s="22"/>
      <c r="V4455" s="123" t="s">
        <v>2472</v>
      </c>
      <c r="W4455" s="122">
        <v>31091</v>
      </c>
      <c r="X4455" s="221"/>
      <c r="Y4455" s="221"/>
      <c r="Z4455" s="221"/>
      <c r="AA4455" s="221"/>
      <c r="AB4455" s="223"/>
    </row>
    <row r="4456" spans="1:28" ht="17.100000000000001" customHeight="1" thickTop="1">
      <c r="A4456" s="233" t="s">
        <v>13194</v>
      </c>
      <c r="B4456" s="28">
        <v>46006</v>
      </c>
      <c r="C4456" s="25">
        <v>77</v>
      </c>
      <c r="D4456" s="13" t="s">
        <v>1678</v>
      </c>
      <c r="E4456" s="228"/>
      <c r="F4456" s="109" t="s">
        <v>10431</v>
      </c>
      <c r="G4456" s="24" t="s">
        <v>3345</v>
      </c>
      <c r="H4456" s="230">
        <v>3.5</v>
      </c>
      <c r="I4456" s="220">
        <v>1295000</v>
      </c>
      <c r="J4456" s="220">
        <f>I4456*0.1</f>
        <v>129500</v>
      </c>
      <c r="K4456" s="220">
        <f>7600+760</f>
        <v>8360</v>
      </c>
      <c r="L4456" s="220">
        <v>10720</v>
      </c>
      <c r="M4456" s="220">
        <v>44000</v>
      </c>
      <c r="N4456" s="220">
        <f>SUM(I4456:M4457)</f>
        <v>1487580</v>
      </c>
      <c r="O4456" s="224"/>
      <c r="P4456" s="110" t="s">
        <v>14120</v>
      </c>
      <c r="Q4456" s="15" t="s">
        <v>19</v>
      </c>
      <c r="R4456" s="205"/>
      <c r="S4456" s="189" t="s">
        <v>25620</v>
      </c>
      <c r="T4456" s="114"/>
      <c r="U4456" s="21"/>
      <c r="V4456" s="115">
        <v>46032</v>
      </c>
      <c r="W4456" s="116">
        <v>1283</v>
      </c>
      <c r="X4456" s="220">
        <v>1350000</v>
      </c>
      <c r="Y4456" s="220">
        <f>X4456*0.1</f>
        <v>135000</v>
      </c>
      <c r="Z4456" s="220">
        <v>10720</v>
      </c>
      <c r="AA4456" s="220">
        <f>SUM(X4456:Z4456)</f>
        <v>1495720</v>
      </c>
      <c r="AB4456" s="222">
        <v>46036</v>
      </c>
    </row>
    <row r="4457" spans="1:28" ht="17.100000000000001" customHeight="1" thickBot="1">
      <c r="A4457" s="234"/>
      <c r="B4457" s="27" t="s">
        <v>4468</v>
      </c>
      <c r="C4457" s="27">
        <v>1013</v>
      </c>
      <c r="D4457" s="14" t="s">
        <v>2753</v>
      </c>
      <c r="E4457" s="229"/>
      <c r="F4457" s="117" t="s">
        <v>13195</v>
      </c>
      <c r="G4457" s="26">
        <v>51804</v>
      </c>
      <c r="H4457" s="231"/>
      <c r="I4457" s="221"/>
      <c r="J4457" s="221"/>
      <c r="K4457" s="221"/>
      <c r="L4457" s="221"/>
      <c r="M4457" s="221"/>
      <c r="N4457" s="221"/>
      <c r="O4457" s="225"/>
      <c r="P4457" s="118" t="s">
        <v>14121</v>
      </c>
      <c r="Q4457" s="16" t="s">
        <v>20</v>
      </c>
      <c r="R4457" s="17" t="s">
        <v>14101</v>
      </c>
      <c r="S4457" s="121" t="s">
        <v>3071</v>
      </c>
      <c r="T4457" s="122"/>
      <c r="U4457" s="22"/>
      <c r="V4457" s="123" t="s">
        <v>2472</v>
      </c>
      <c r="W4457" s="122">
        <v>37203</v>
      </c>
      <c r="X4457" s="221"/>
      <c r="Y4457" s="221"/>
      <c r="Z4457" s="221"/>
      <c r="AA4457" s="221"/>
      <c r="AB4457" s="223"/>
    </row>
    <row r="4458" spans="1:28" ht="17.100000000000001" customHeight="1" thickTop="1">
      <c r="A4458" s="226" t="s">
        <v>13197</v>
      </c>
      <c r="B4458" s="28">
        <v>46006</v>
      </c>
      <c r="C4458" s="25"/>
      <c r="D4458" s="13" t="s">
        <v>3474</v>
      </c>
      <c r="E4458" s="228"/>
      <c r="F4458" s="109" t="s">
        <v>13218</v>
      </c>
      <c r="G4458" s="24" t="s">
        <v>13219</v>
      </c>
      <c r="H4458" s="230">
        <v>4.5</v>
      </c>
      <c r="I4458" s="220">
        <f>4268000/1.1</f>
        <v>3879999.9999999995</v>
      </c>
      <c r="J4458" s="220">
        <f>I4458*0.1</f>
        <v>388000</v>
      </c>
      <c r="K4458" s="220">
        <v>0</v>
      </c>
      <c r="L4458" s="220">
        <v>14140</v>
      </c>
      <c r="M4458" s="220">
        <v>0</v>
      </c>
      <c r="N4458" s="220">
        <f>SUM(I4458:M4459)</f>
        <v>4282140</v>
      </c>
      <c r="O4458" s="224"/>
      <c r="P4458" s="110" t="s">
        <v>17195</v>
      </c>
      <c r="Q4458" s="15" t="s">
        <v>19</v>
      </c>
      <c r="R4458" s="205"/>
      <c r="S4458" s="189" t="s">
        <v>1312</v>
      </c>
      <c r="T4458" s="114"/>
      <c r="U4458" s="21"/>
      <c r="V4458" s="115">
        <v>46060</v>
      </c>
      <c r="W4458" s="116">
        <v>1287</v>
      </c>
      <c r="X4458" s="220">
        <v>3850000</v>
      </c>
      <c r="Y4458" s="220">
        <f>X4458*0.1</f>
        <v>385000</v>
      </c>
      <c r="Z4458" s="220">
        <v>14140</v>
      </c>
      <c r="AA4458" s="220">
        <f>SUM(X4458:Z4458)</f>
        <v>4249140</v>
      </c>
      <c r="AB4458" s="222">
        <v>46065</v>
      </c>
    </row>
    <row r="4459" spans="1:28" ht="17.100000000000001" customHeight="1" thickBot="1">
      <c r="A4459" s="227"/>
      <c r="B4459" s="27" t="s">
        <v>1708</v>
      </c>
      <c r="C4459" s="27" t="s">
        <v>13202</v>
      </c>
      <c r="D4459" s="14" t="s">
        <v>273</v>
      </c>
      <c r="E4459" s="229"/>
      <c r="F4459" s="117" t="s">
        <v>13203</v>
      </c>
      <c r="G4459" s="26">
        <v>19992</v>
      </c>
      <c r="H4459" s="231"/>
      <c r="I4459" s="221"/>
      <c r="J4459" s="221"/>
      <c r="K4459" s="221"/>
      <c r="L4459" s="221"/>
      <c r="M4459" s="221"/>
      <c r="N4459" s="221"/>
      <c r="O4459" s="225"/>
      <c r="P4459" s="118" t="s">
        <v>1647</v>
      </c>
      <c r="Q4459" s="16" t="s">
        <v>20</v>
      </c>
      <c r="R4459" s="17" t="s">
        <v>3913</v>
      </c>
      <c r="S4459" s="121" t="s">
        <v>1606</v>
      </c>
      <c r="T4459" s="122"/>
      <c r="U4459" s="22"/>
      <c r="V4459" s="123" t="s">
        <v>2472</v>
      </c>
      <c r="W4459" s="122">
        <v>37138</v>
      </c>
      <c r="X4459" s="221"/>
      <c r="Y4459" s="221"/>
      <c r="Z4459" s="221"/>
      <c r="AA4459" s="221"/>
      <c r="AB4459" s="223"/>
    </row>
    <row r="4460" spans="1:28" ht="17.100000000000001" customHeight="1" thickTop="1">
      <c r="A4460" s="226" t="s">
        <v>13198</v>
      </c>
      <c r="B4460" s="28">
        <v>46006</v>
      </c>
      <c r="C4460" s="25"/>
      <c r="D4460" s="13" t="s">
        <v>2324</v>
      </c>
      <c r="E4460" s="228"/>
      <c r="F4460" s="109" t="s">
        <v>13220</v>
      </c>
      <c r="G4460" s="24" t="s">
        <v>3613</v>
      </c>
      <c r="H4460" s="230">
        <v>4</v>
      </c>
      <c r="I4460" s="220">
        <f>1716000/1.1</f>
        <v>1559999.9999999998</v>
      </c>
      <c r="J4460" s="220">
        <f>I4460*0.1</f>
        <v>155999.99999999997</v>
      </c>
      <c r="K4460" s="220">
        <v>6000</v>
      </c>
      <c r="L4460" s="220">
        <v>10120</v>
      </c>
      <c r="M4460" s="220">
        <v>0</v>
      </c>
      <c r="N4460" s="220">
        <f>SUM(I4460:M4461)</f>
        <v>1732119.9999999998</v>
      </c>
      <c r="O4460" s="224"/>
      <c r="P4460" s="110" t="s">
        <v>15044</v>
      </c>
      <c r="Q4460" s="15" t="s">
        <v>19</v>
      </c>
      <c r="R4460" s="205"/>
      <c r="S4460" s="189" t="s">
        <v>1312</v>
      </c>
      <c r="T4460" s="114"/>
      <c r="U4460" s="21"/>
      <c r="V4460" s="115">
        <v>46036</v>
      </c>
      <c r="W4460" s="116">
        <v>1000</v>
      </c>
      <c r="X4460" s="220">
        <v>1675000</v>
      </c>
      <c r="Y4460" s="220">
        <f>X4460*0.1</f>
        <v>167500</v>
      </c>
      <c r="Z4460" s="220">
        <v>10120</v>
      </c>
      <c r="AA4460" s="220">
        <f>SUM(X4460:Z4460)</f>
        <v>1852620</v>
      </c>
      <c r="AB4460" s="222">
        <v>46043</v>
      </c>
    </row>
    <row r="4461" spans="1:28" ht="17.100000000000001" customHeight="1" thickBot="1">
      <c r="A4461" s="227"/>
      <c r="B4461" s="27" t="s">
        <v>1708</v>
      </c>
      <c r="C4461" s="27" t="s">
        <v>13204</v>
      </c>
      <c r="D4461" s="14" t="s">
        <v>273</v>
      </c>
      <c r="E4461" s="229"/>
      <c r="F4461" s="117" t="s">
        <v>13205</v>
      </c>
      <c r="G4461" s="26">
        <v>53539</v>
      </c>
      <c r="H4461" s="231"/>
      <c r="I4461" s="221"/>
      <c r="J4461" s="221"/>
      <c r="K4461" s="221"/>
      <c r="L4461" s="221"/>
      <c r="M4461" s="221"/>
      <c r="N4461" s="221"/>
      <c r="O4461" s="225"/>
      <c r="P4461" s="118" t="s">
        <v>15045</v>
      </c>
      <c r="Q4461" s="16" t="s">
        <v>20</v>
      </c>
      <c r="R4461" s="17" t="s">
        <v>3913</v>
      </c>
      <c r="S4461" s="121" t="s">
        <v>15046</v>
      </c>
      <c r="T4461" s="122"/>
      <c r="U4461" s="22"/>
      <c r="V4461" s="123" t="s">
        <v>2747</v>
      </c>
      <c r="W4461" s="122">
        <v>1124</v>
      </c>
      <c r="X4461" s="221"/>
      <c r="Y4461" s="221"/>
      <c r="Z4461" s="221"/>
      <c r="AA4461" s="221"/>
      <c r="AB4461" s="223"/>
    </row>
    <row r="4462" spans="1:28" ht="17.100000000000001" customHeight="1" thickTop="1">
      <c r="A4462" s="226" t="s">
        <v>13199</v>
      </c>
      <c r="B4462" s="28">
        <v>46006</v>
      </c>
      <c r="C4462" s="25"/>
      <c r="D4462" s="13" t="s">
        <v>2264</v>
      </c>
      <c r="E4462" s="228"/>
      <c r="F4462" s="109" t="s">
        <v>13221</v>
      </c>
      <c r="G4462" s="24" t="s">
        <v>13222</v>
      </c>
      <c r="H4462" s="230">
        <v>4</v>
      </c>
      <c r="I4462" s="220">
        <f>3338500/1.1</f>
        <v>3034999.9999999995</v>
      </c>
      <c r="J4462" s="220">
        <f>I4462*0.1</f>
        <v>303499.99999999994</v>
      </c>
      <c r="K4462" s="220">
        <v>2600</v>
      </c>
      <c r="L4462" s="220">
        <v>9550</v>
      </c>
      <c r="M4462" s="220">
        <v>0</v>
      </c>
      <c r="N4462" s="220">
        <f>SUM(I4462:M4463)</f>
        <v>3350649.9999999995</v>
      </c>
      <c r="O4462" s="224"/>
      <c r="P4462" s="110" t="s">
        <v>16522</v>
      </c>
      <c r="Q4462" s="15" t="s">
        <v>19</v>
      </c>
      <c r="R4462" s="205"/>
      <c r="S4462" s="189" t="s">
        <v>1276</v>
      </c>
      <c r="T4462" s="114"/>
      <c r="U4462" s="21"/>
      <c r="V4462" s="115">
        <v>46057</v>
      </c>
      <c r="W4462" s="116">
        <v>1003</v>
      </c>
      <c r="X4462" s="220">
        <v>3110000</v>
      </c>
      <c r="Y4462" s="220">
        <f>X4462*0.1</f>
        <v>311000</v>
      </c>
      <c r="Z4462" s="220">
        <v>9550</v>
      </c>
      <c r="AA4462" s="220">
        <f>SUM(X4462:Z4462)</f>
        <v>3430550</v>
      </c>
      <c r="AB4462" s="222">
        <v>46063</v>
      </c>
    </row>
    <row r="4463" spans="1:28" ht="17.100000000000001" customHeight="1" thickBot="1">
      <c r="A4463" s="227"/>
      <c r="B4463" s="27" t="s">
        <v>1708</v>
      </c>
      <c r="C4463" s="27" t="s">
        <v>13206</v>
      </c>
      <c r="D4463" s="14" t="s">
        <v>1584</v>
      </c>
      <c r="E4463" s="229"/>
      <c r="F4463" s="117" t="s">
        <v>13207</v>
      </c>
      <c r="G4463" s="26">
        <v>43144</v>
      </c>
      <c r="H4463" s="231"/>
      <c r="I4463" s="221"/>
      <c r="J4463" s="221"/>
      <c r="K4463" s="221"/>
      <c r="L4463" s="221"/>
      <c r="M4463" s="221"/>
      <c r="N4463" s="221"/>
      <c r="O4463" s="225"/>
      <c r="P4463" s="118" t="s">
        <v>1647</v>
      </c>
      <c r="Q4463" s="16" t="s">
        <v>20</v>
      </c>
      <c r="R4463" s="17" t="s">
        <v>3739</v>
      </c>
      <c r="S4463" s="121" t="s">
        <v>2312</v>
      </c>
      <c r="T4463" s="122"/>
      <c r="U4463" s="22"/>
      <c r="V4463" s="123" t="s">
        <v>8877</v>
      </c>
      <c r="W4463" s="122">
        <v>8010</v>
      </c>
      <c r="X4463" s="221"/>
      <c r="Y4463" s="221"/>
      <c r="Z4463" s="221"/>
      <c r="AA4463" s="221"/>
      <c r="AB4463" s="223"/>
    </row>
    <row r="4464" spans="1:28" ht="17.100000000000001" customHeight="1" thickTop="1">
      <c r="A4464" s="233" t="s">
        <v>13200</v>
      </c>
      <c r="B4464" s="28">
        <v>46006</v>
      </c>
      <c r="C4464" s="25"/>
      <c r="D4464" s="13" t="s">
        <v>4739</v>
      </c>
      <c r="E4464" s="228"/>
      <c r="F4464" s="109" t="s">
        <v>13209</v>
      </c>
      <c r="G4464" s="24" t="s">
        <v>12254</v>
      </c>
      <c r="H4464" s="230">
        <v>4.5</v>
      </c>
      <c r="I4464" s="220">
        <f>6006000/1.1</f>
        <v>5460000</v>
      </c>
      <c r="J4464" s="220">
        <f>I4464*0.1</f>
        <v>546000</v>
      </c>
      <c r="K4464" s="220">
        <v>14600</v>
      </c>
      <c r="L4464" s="220">
        <v>13340</v>
      </c>
      <c r="M4464" s="220">
        <v>0</v>
      </c>
      <c r="N4464" s="220">
        <f>SUM(I4464:M4465)</f>
        <v>6033940</v>
      </c>
      <c r="O4464" s="224"/>
      <c r="P4464" s="110" t="s">
        <v>13481</v>
      </c>
      <c r="Q4464" s="15" t="s">
        <v>19</v>
      </c>
      <c r="R4464" s="205"/>
      <c r="S4464" s="189" t="s">
        <v>1361</v>
      </c>
      <c r="T4464" s="114"/>
      <c r="U4464" s="21"/>
      <c r="V4464" s="115">
        <v>46032</v>
      </c>
      <c r="W4464" s="116">
        <v>1283</v>
      </c>
      <c r="X4464" s="220">
        <v>5665000</v>
      </c>
      <c r="Y4464" s="220">
        <f>X4464*0.1</f>
        <v>566500</v>
      </c>
      <c r="Z4464" s="220">
        <v>13340</v>
      </c>
      <c r="AA4464" s="220">
        <f>SUM(X4464:Z4464)</f>
        <v>6244840</v>
      </c>
      <c r="AB4464" s="222">
        <v>46036</v>
      </c>
    </row>
    <row r="4465" spans="1:28" ht="17.100000000000001" customHeight="1" thickBot="1">
      <c r="A4465" s="234"/>
      <c r="B4465" s="27" t="s">
        <v>1708</v>
      </c>
      <c r="C4465" s="27" t="s">
        <v>13208</v>
      </c>
      <c r="D4465" s="14" t="s">
        <v>273</v>
      </c>
      <c r="E4465" s="229"/>
      <c r="F4465" s="117" t="s">
        <v>13210</v>
      </c>
      <c r="G4465" s="26">
        <v>39796</v>
      </c>
      <c r="H4465" s="231"/>
      <c r="I4465" s="221"/>
      <c r="J4465" s="221"/>
      <c r="K4465" s="221"/>
      <c r="L4465" s="221"/>
      <c r="M4465" s="221"/>
      <c r="N4465" s="221"/>
      <c r="O4465" s="225"/>
      <c r="P4465" s="118" t="s">
        <v>13482</v>
      </c>
      <c r="Q4465" s="16" t="s">
        <v>20</v>
      </c>
      <c r="R4465" s="17" t="s">
        <v>3420</v>
      </c>
      <c r="S4465" s="121" t="s">
        <v>13483</v>
      </c>
      <c r="T4465" s="122"/>
      <c r="U4465" s="22"/>
      <c r="V4465" s="123" t="s">
        <v>2472</v>
      </c>
      <c r="W4465" s="122">
        <v>37195</v>
      </c>
      <c r="X4465" s="221"/>
      <c r="Y4465" s="221"/>
      <c r="Z4465" s="221"/>
      <c r="AA4465" s="221"/>
      <c r="AB4465" s="223"/>
    </row>
    <row r="4466" spans="1:28" ht="17.100000000000001" customHeight="1" thickTop="1">
      <c r="A4466" s="233" t="s">
        <v>13201</v>
      </c>
      <c r="B4466" s="28">
        <v>46006</v>
      </c>
      <c r="C4466" s="25"/>
      <c r="D4466" s="13" t="s">
        <v>2324</v>
      </c>
      <c r="E4466" s="228"/>
      <c r="F4466" s="109" t="s">
        <v>13223</v>
      </c>
      <c r="G4466" s="24" t="s">
        <v>9820</v>
      </c>
      <c r="H4466" s="230">
        <v>4.5</v>
      </c>
      <c r="I4466" s="220">
        <f>3927000/1.1</f>
        <v>3569999.9999999995</v>
      </c>
      <c r="J4466" s="220">
        <f>I4466*0.1</f>
        <v>357000</v>
      </c>
      <c r="K4466" s="220">
        <v>7200</v>
      </c>
      <c r="L4466" s="220">
        <v>14900</v>
      </c>
      <c r="M4466" s="220">
        <v>0</v>
      </c>
      <c r="N4466" s="220">
        <f>SUM(I4466:M4467)</f>
        <v>3949099.9999999995</v>
      </c>
      <c r="O4466" s="224"/>
      <c r="P4466" s="110" t="s">
        <v>14446</v>
      </c>
      <c r="Q4466" s="15" t="s">
        <v>19</v>
      </c>
      <c r="R4466" s="205"/>
      <c r="S4466" s="189" t="s">
        <v>1271</v>
      </c>
      <c r="T4466" s="114"/>
      <c r="U4466" s="21"/>
      <c r="V4466" s="115">
        <v>46039</v>
      </c>
      <c r="W4466" s="116">
        <v>1284</v>
      </c>
      <c r="X4466" s="220">
        <v>3610000</v>
      </c>
      <c r="Y4466" s="220">
        <f>X4466*0.1</f>
        <v>361000</v>
      </c>
      <c r="Z4466" s="220">
        <v>14900</v>
      </c>
      <c r="AA4466" s="220">
        <f>SUM(X4466:Z4466)</f>
        <v>3985900</v>
      </c>
      <c r="AB4466" s="222">
        <v>46042</v>
      </c>
    </row>
    <row r="4467" spans="1:28" ht="17.100000000000001" customHeight="1" thickBot="1">
      <c r="A4467" s="234"/>
      <c r="B4467" s="27" t="s">
        <v>1708</v>
      </c>
      <c r="C4467" s="27" t="s">
        <v>13211</v>
      </c>
      <c r="D4467" s="14" t="s">
        <v>2559</v>
      </c>
      <c r="E4467" s="229"/>
      <c r="F4467" s="117" t="s">
        <v>13212</v>
      </c>
      <c r="G4467" s="26">
        <v>68874</v>
      </c>
      <c r="H4467" s="231"/>
      <c r="I4467" s="221"/>
      <c r="J4467" s="221"/>
      <c r="K4467" s="221"/>
      <c r="L4467" s="221"/>
      <c r="M4467" s="221"/>
      <c r="N4467" s="221"/>
      <c r="O4467" s="225"/>
      <c r="P4467" s="118" t="s">
        <v>14447</v>
      </c>
      <c r="Q4467" s="16" t="s">
        <v>20</v>
      </c>
      <c r="R4467" s="17" t="s">
        <v>2573</v>
      </c>
      <c r="S4467" s="121" t="s">
        <v>4035</v>
      </c>
      <c r="T4467" s="122"/>
      <c r="U4467" s="22"/>
      <c r="V4467" s="123" t="s">
        <v>2472</v>
      </c>
      <c r="W4467" s="122">
        <v>37423</v>
      </c>
      <c r="X4467" s="221"/>
      <c r="Y4467" s="221"/>
      <c r="Z4467" s="221"/>
      <c r="AA4467" s="221"/>
      <c r="AB4467" s="223"/>
    </row>
    <row r="4468" spans="1:28" ht="17.100000000000001" customHeight="1" thickTop="1">
      <c r="A4468" s="226" t="s">
        <v>13213</v>
      </c>
      <c r="B4468" s="28">
        <v>46006</v>
      </c>
      <c r="C4468" s="25"/>
      <c r="D4468" s="13" t="s">
        <v>2920</v>
      </c>
      <c r="E4468" s="228"/>
      <c r="F4468" s="109" t="s">
        <v>13218</v>
      </c>
      <c r="G4468" s="24" t="s">
        <v>13224</v>
      </c>
      <c r="H4468" s="230">
        <v>4.5</v>
      </c>
      <c r="I4468" s="220">
        <f>4004000/1.1</f>
        <v>3639999.9999999995</v>
      </c>
      <c r="J4468" s="220">
        <f>I4468*0.1</f>
        <v>364000</v>
      </c>
      <c r="K4468" s="220">
        <v>8300</v>
      </c>
      <c r="L4468" s="220">
        <v>12490</v>
      </c>
      <c r="M4468" s="220">
        <v>0</v>
      </c>
      <c r="N4468" s="220">
        <f>SUM(I4468:M4469)</f>
        <v>4024789.9999999995</v>
      </c>
      <c r="O4468" s="224"/>
      <c r="P4468" s="110" t="s">
        <v>15874</v>
      </c>
      <c r="Q4468" s="15" t="s">
        <v>19</v>
      </c>
      <c r="R4468" s="205"/>
      <c r="S4468" s="189" t="s">
        <v>1276</v>
      </c>
      <c r="T4468" s="114"/>
      <c r="U4468" s="21"/>
      <c r="V4468" s="115">
        <v>46057</v>
      </c>
      <c r="W4468" s="116">
        <v>1003</v>
      </c>
      <c r="X4468" s="220">
        <v>3710000</v>
      </c>
      <c r="Y4468" s="220">
        <f>X4468*0.1</f>
        <v>371000</v>
      </c>
      <c r="Z4468" s="220">
        <v>12490</v>
      </c>
      <c r="AA4468" s="220">
        <f>SUM(X4468:Z4468)</f>
        <v>4093490</v>
      </c>
      <c r="AB4468" s="222">
        <v>46062</v>
      </c>
    </row>
    <row r="4469" spans="1:28" ht="17.100000000000001" customHeight="1" thickBot="1">
      <c r="A4469" s="227"/>
      <c r="B4469" s="27" t="s">
        <v>1708</v>
      </c>
      <c r="C4469" s="27" t="s">
        <v>13214</v>
      </c>
      <c r="D4469" s="14" t="s">
        <v>2559</v>
      </c>
      <c r="E4469" s="229"/>
      <c r="F4469" s="117" t="s">
        <v>13215</v>
      </c>
      <c r="G4469" s="26">
        <v>53052</v>
      </c>
      <c r="H4469" s="231"/>
      <c r="I4469" s="221"/>
      <c r="J4469" s="221"/>
      <c r="K4469" s="221"/>
      <c r="L4469" s="221"/>
      <c r="M4469" s="221"/>
      <c r="N4469" s="221"/>
      <c r="O4469" s="225"/>
      <c r="P4469" s="118" t="s">
        <v>15875</v>
      </c>
      <c r="Q4469" s="16" t="s">
        <v>20</v>
      </c>
      <c r="R4469" s="17" t="s">
        <v>15814</v>
      </c>
      <c r="S4469" s="121" t="s">
        <v>16622</v>
      </c>
      <c r="T4469" s="122"/>
      <c r="U4469" s="22"/>
      <c r="V4469" s="123" t="s">
        <v>2747</v>
      </c>
      <c r="W4469" s="122">
        <v>1115</v>
      </c>
      <c r="X4469" s="221"/>
      <c r="Y4469" s="221"/>
      <c r="Z4469" s="221"/>
      <c r="AA4469" s="221"/>
      <c r="AB4469" s="223"/>
    </row>
    <row r="4470" spans="1:28" ht="17.100000000000001" customHeight="1" thickTop="1">
      <c r="A4470" s="226" t="s">
        <v>13274</v>
      </c>
      <c r="B4470" s="28">
        <v>46007</v>
      </c>
      <c r="C4470" s="25">
        <v>1074</v>
      </c>
      <c r="D4470" s="13" t="s">
        <v>1780</v>
      </c>
      <c r="E4470" s="228"/>
      <c r="F4470" s="109" t="s">
        <v>13216</v>
      </c>
      <c r="G4470" s="24"/>
      <c r="H4470" s="230">
        <v>4.5</v>
      </c>
      <c r="I4470" s="220">
        <v>1725000</v>
      </c>
      <c r="J4470" s="220">
        <f>I4470*0.1</f>
        <v>172500</v>
      </c>
      <c r="K4470" s="220">
        <v>0</v>
      </c>
      <c r="L4470" s="220">
        <v>11810</v>
      </c>
      <c r="M4470" s="220">
        <v>16500</v>
      </c>
      <c r="N4470" s="220">
        <f>SUM(I4470:M4471)</f>
        <v>1925810</v>
      </c>
      <c r="O4470" s="224"/>
      <c r="P4470" s="110" t="s">
        <v>13567</v>
      </c>
      <c r="Q4470" s="15" t="s">
        <v>19</v>
      </c>
      <c r="R4470" s="205"/>
      <c r="S4470" s="189" t="s">
        <v>25421</v>
      </c>
      <c r="T4470" s="114"/>
      <c r="U4470" s="21"/>
      <c r="V4470" s="115">
        <v>46053</v>
      </c>
      <c r="W4470" s="116">
        <v>1286</v>
      </c>
      <c r="X4470" s="220">
        <v>1785000</v>
      </c>
      <c r="Y4470" s="220">
        <f>X4470*0.1</f>
        <v>178500</v>
      </c>
      <c r="Z4470" s="220">
        <v>11810</v>
      </c>
      <c r="AA4470" s="220">
        <f>SUM(X4470:Z4470)</f>
        <v>1975310</v>
      </c>
      <c r="AB4470" s="222">
        <v>46056</v>
      </c>
    </row>
    <row r="4471" spans="1:28" ht="17.100000000000001" customHeight="1" thickBot="1">
      <c r="A4471" s="227"/>
      <c r="B4471" s="27" t="s">
        <v>1583</v>
      </c>
      <c r="C4471" s="27">
        <v>82037</v>
      </c>
      <c r="D4471" s="14" t="s">
        <v>898</v>
      </c>
      <c r="E4471" s="229"/>
      <c r="F4471" s="117" t="s">
        <v>13217</v>
      </c>
      <c r="G4471" s="26">
        <v>29209</v>
      </c>
      <c r="H4471" s="231"/>
      <c r="I4471" s="221"/>
      <c r="J4471" s="221"/>
      <c r="K4471" s="221"/>
      <c r="L4471" s="221"/>
      <c r="M4471" s="221"/>
      <c r="N4471" s="221"/>
      <c r="O4471" s="225"/>
      <c r="P4471" s="118" t="s">
        <v>1844</v>
      </c>
      <c r="Q4471" s="16" t="s">
        <v>20</v>
      </c>
      <c r="R4471" s="17" t="s">
        <v>13537</v>
      </c>
      <c r="S4471" s="121" t="s">
        <v>1625</v>
      </c>
      <c r="T4471" s="122"/>
      <c r="U4471" s="22"/>
      <c r="V4471" s="123" t="s">
        <v>2472</v>
      </c>
      <c r="W4471" s="122">
        <v>80113</v>
      </c>
      <c r="X4471" s="221"/>
      <c r="Y4471" s="221"/>
      <c r="Z4471" s="221"/>
      <c r="AA4471" s="221"/>
      <c r="AB4471" s="223"/>
    </row>
    <row r="4472" spans="1:28" ht="17.100000000000001" customHeight="1" thickTop="1">
      <c r="A4472" s="226" t="s">
        <v>13275</v>
      </c>
      <c r="B4472" s="28">
        <v>46007</v>
      </c>
      <c r="C4472" s="25">
        <v>1074</v>
      </c>
      <c r="D4472" s="13" t="s">
        <v>1837</v>
      </c>
      <c r="E4472" s="228"/>
      <c r="F4472" s="109" t="s">
        <v>1854</v>
      </c>
      <c r="G4472" s="24"/>
      <c r="H4472" s="230">
        <v>4</v>
      </c>
      <c r="I4472" s="220">
        <v>1460000</v>
      </c>
      <c r="J4472" s="220">
        <f>I4472*0.1</f>
        <v>146000</v>
      </c>
      <c r="K4472" s="220">
        <v>0</v>
      </c>
      <c r="L4472" s="220">
        <v>16240</v>
      </c>
      <c r="M4472" s="220">
        <v>16500</v>
      </c>
      <c r="N4472" s="220">
        <f>SUM(I4472:M4473)</f>
        <v>1638740</v>
      </c>
      <c r="O4472" s="224"/>
      <c r="P4472" s="110" t="s">
        <v>13568</v>
      </c>
      <c r="Q4472" s="15" t="s">
        <v>19</v>
      </c>
      <c r="R4472" s="205"/>
      <c r="S4472" s="189" t="s">
        <v>758</v>
      </c>
      <c r="T4472" s="114"/>
      <c r="U4472" s="21"/>
      <c r="V4472" s="115">
        <v>46011</v>
      </c>
      <c r="W4472" s="116">
        <v>1281</v>
      </c>
      <c r="X4472" s="220">
        <v>1620000</v>
      </c>
      <c r="Y4472" s="220">
        <f>X4472*0.1</f>
        <v>162000</v>
      </c>
      <c r="Z4472" s="220">
        <v>16240</v>
      </c>
      <c r="AA4472" s="220">
        <f>SUM(X4472:Z4472)</f>
        <v>1798240</v>
      </c>
      <c r="AB4472" s="222">
        <v>46014</v>
      </c>
    </row>
    <row r="4473" spans="1:28" ht="17.100000000000001" customHeight="1" thickBot="1">
      <c r="A4473" s="227"/>
      <c r="B4473" s="27" t="s">
        <v>1583</v>
      </c>
      <c r="C4473" s="27">
        <v>84144</v>
      </c>
      <c r="D4473" s="14" t="s">
        <v>273</v>
      </c>
      <c r="E4473" s="229"/>
      <c r="F4473" s="117" t="s">
        <v>13265</v>
      </c>
      <c r="G4473" s="26">
        <v>38300</v>
      </c>
      <c r="H4473" s="231"/>
      <c r="I4473" s="221"/>
      <c r="J4473" s="221"/>
      <c r="K4473" s="221"/>
      <c r="L4473" s="221"/>
      <c r="M4473" s="221"/>
      <c r="N4473" s="221"/>
      <c r="O4473" s="225"/>
      <c r="P4473" s="118" t="s">
        <v>1604</v>
      </c>
      <c r="Q4473" s="16" t="s">
        <v>20</v>
      </c>
      <c r="R4473" s="17" t="s">
        <v>13537</v>
      </c>
      <c r="S4473" s="121" t="s">
        <v>169</v>
      </c>
      <c r="T4473" s="122"/>
      <c r="U4473" s="22"/>
      <c r="V4473" s="123" t="s">
        <v>2472</v>
      </c>
      <c r="W4473" s="122">
        <v>80378</v>
      </c>
      <c r="X4473" s="221"/>
      <c r="Y4473" s="221"/>
      <c r="Z4473" s="221"/>
      <c r="AA4473" s="221"/>
      <c r="AB4473" s="223"/>
    </row>
    <row r="4474" spans="1:28" ht="17.100000000000001" customHeight="1" thickTop="1">
      <c r="A4474" s="226" t="s">
        <v>13285</v>
      </c>
      <c r="B4474" s="28">
        <v>46007</v>
      </c>
      <c r="C4474" s="25">
        <v>1922</v>
      </c>
      <c r="D4474" s="13" t="s">
        <v>1961</v>
      </c>
      <c r="E4474" s="228"/>
      <c r="F4474" s="109" t="s">
        <v>13225</v>
      </c>
      <c r="G4474" s="24" t="s">
        <v>2894</v>
      </c>
      <c r="H4474" s="230">
        <v>4</v>
      </c>
      <c r="I4474" s="220">
        <v>1161000</v>
      </c>
      <c r="J4474" s="220">
        <f>I4474*0.1</f>
        <v>116100</v>
      </c>
      <c r="K4474" s="220">
        <v>0</v>
      </c>
      <c r="L4474" s="220">
        <v>8740</v>
      </c>
      <c r="M4474" s="220">
        <v>15950</v>
      </c>
      <c r="N4474" s="220">
        <f>SUM(I4474:M4475)</f>
        <v>1301790</v>
      </c>
      <c r="O4474" s="224"/>
      <c r="P4474" s="110" t="s">
        <v>13227</v>
      </c>
      <c r="Q4474" s="15" t="s">
        <v>19</v>
      </c>
      <c r="R4474" s="205"/>
      <c r="S4474" s="189" t="s">
        <v>25648</v>
      </c>
      <c r="T4474" s="114"/>
      <c r="U4474" s="21"/>
      <c r="V4474" s="115">
        <v>46011</v>
      </c>
      <c r="W4474" s="116">
        <v>1281</v>
      </c>
      <c r="X4474" s="220">
        <v>1195000</v>
      </c>
      <c r="Y4474" s="220">
        <f>X4474*0.1</f>
        <v>119500</v>
      </c>
      <c r="Z4474" s="220">
        <v>8740</v>
      </c>
      <c r="AA4474" s="220">
        <f>SUM(X4474:Z4474)</f>
        <v>1323240</v>
      </c>
      <c r="AB4474" s="222">
        <v>46016</v>
      </c>
    </row>
    <row r="4475" spans="1:28" ht="17.100000000000001" customHeight="1" thickBot="1">
      <c r="A4475" s="227"/>
      <c r="B4475" s="27" t="s">
        <v>2103</v>
      </c>
      <c r="C4475" s="27">
        <v>3005</v>
      </c>
      <c r="D4475" s="14" t="s">
        <v>273</v>
      </c>
      <c r="E4475" s="229"/>
      <c r="F4475" s="117" t="s">
        <v>13226</v>
      </c>
      <c r="G4475" s="26">
        <v>35806</v>
      </c>
      <c r="H4475" s="231"/>
      <c r="I4475" s="221"/>
      <c r="J4475" s="221"/>
      <c r="K4475" s="221"/>
      <c r="L4475" s="221"/>
      <c r="M4475" s="221"/>
      <c r="N4475" s="221"/>
      <c r="O4475" s="225"/>
      <c r="P4475" s="118" t="s">
        <v>9181</v>
      </c>
      <c r="Q4475" s="16" t="s">
        <v>20</v>
      </c>
      <c r="R4475" s="17" t="s">
        <v>13750</v>
      </c>
      <c r="S4475" s="121" t="s">
        <v>1625</v>
      </c>
      <c r="T4475" s="122"/>
      <c r="U4475" s="22"/>
      <c r="V4475" s="123" t="s">
        <v>2472</v>
      </c>
      <c r="W4475" s="122">
        <v>60417</v>
      </c>
      <c r="X4475" s="221"/>
      <c r="Y4475" s="221"/>
      <c r="Z4475" s="221"/>
      <c r="AA4475" s="221"/>
      <c r="AB4475" s="223"/>
    </row>
    <row r="4476" spans="1:28" ht="17.100000000000001" customHeight="1" thickTop="1">
      <c r="A4476" s="226" t="s">
        <v>13286</v>
      </c>
      <c r="B4476" s="28">
        <v>46007</v>
      </c>
      <c r="C4476" s="25">
        <v>1922</v>
      </c>
      <c r="D4476" s="13" t="s">
        <v>2637</v>
      </c>
      <c r="E4476" s="228"/>
      <c r="F4476" s="109" t="s">
        <v>10594</v>
      </c>
      <c r="G4476" s="24"/>
      <c r="H4476" s="230">
        <v>4</v>
      </c>
      <c r="I4476" s="220">
        <v>1012000</v>
      </c>
      <c r="J4476" s="220">
        <f>I4476*0.1</f>
        <v>101200</v>
      </c>
      <c r="K4476" s="220">
        <v>0</v>
      </c>
      <c r="L4476" s="220">
        <v>8640</v>
      </c>
      <c r="M4476" s="220">
        <v>15950</v>
      </c>
      <c r="N4476" s="220">
        <f>SUM(I4476:M4477)</f>
        <v>1137790</v>
      </c>
      <c r="O4476" s="224"/>
      <c r="P4476" s="110" t="s">
        <v>13774</v>
      </c>
      <c r="Q4476" s="15" t="s">
        <v>19</v>
      </c>
      <c r="R4476" s="205"/>
      <c r="S4476" s="189" t="s">
        <v>758</v>
      </c>
      <c r="T4476" s="114"/>
      <c r="U4476" s="21"/>
      <c r="V4476" s="115">
        <v>46018</v>
      </c>
      <c r="W4476" s="116">
        <v>1282</v>
      </c>
      <c r="X4476" s="220">
        <v>1125000</v>
      </c>
      <c r="Y4476" s="220">
        <f>X4476*0.1</f>
        <v>112500</v>
      </c>
      <c r="Z4476" s="220">
        <v>8640</v>
      </c>
      <c r="AA4476" s="220">
        <f>SUM(X4476:Z4476)</f>
        <v>1246140</v>
      </c>
      <c r="AB4476" s="222">
        <v>46028</v>
      </c>
    </row>
    <row r="4477" spans="1:28" ht="17.100000000000001" customHeight="1" thickBot="1">
      <c r="A4477" s="227"/>
      <c r="B4477" s="27" t="s">
        <v>2103</v>
      </c>
      <c r="C4477" s="27">
        <v>3045</v>
      </c>
      <c r="D4477" s="14" t="s">
        <v>2559</v>
      </c>
      <c r="E4477" s="229"/>
      <c r="F4477" s="117" t="s">
        <v>13228</v>
      </c>
      <c r="G4477" s="26">
        <v>65322</v>
      </c>
      <c r="H4477" s="231"/>
      <c r="I4477" s="221"/>
      <c r="J4477" s="221"/>
      <c r="K4477" s="221"/>
      <c r="L4477" s="221"/>
      <c r="M4477" s="221"/>
      <c r="N4477" s="221"/>
      <c r="O4477" s="225"/>
      <c r="P4477" s="118" t="s">
        <v>3957</v>
      </c>
      <c r="Q4477" s="16" t="s">
        <v>20</v>
      </c>
      <c r="R4477" s="17" t="s">
        <v>13750</v>
      </c>
      <c r="S4477" s="121" t="s">
        <v>13887</v>
      </c>
      <c r="T4477" s="122"/>
      <c r="U4477" s="22"/>
      <c r="V4477" s="123" t="s">
        <v>2472</v>
      </c>
      <c r="W4477" s="122">
        <v>60066</v>
      </c>
      <c r="X4477" s="221"/>
      <c r="Y4477" s="221"/>
      <c r="Z4477" s="221"/>
      <c r="AA4477" s="221"/>
      <c r="AB4477" s="223"/>
    </row>
    <row r="4478" spans="1:28" ht="17.100000000000001" customHeight="1" thickTop="1">
      <c r="A4478" s="226" t="s">
        <v>13287</v>
      </c>
      <c r="B4478" s="28">
        <v>46007</v>
      </c>
      <c r="C4478" s="25">
        <v>1922</v>
      </c>
      <c r="D4478" s="13" t="s">
        <v>2288</v>
      </c>
      <c r="E4478" s="228"/>
      <c r="F4478" s="109" t="s">
        <v>8522</v>
      </c>
      <c r="G4478" s="24" t="s">
        <v>3453</v>
      </c>
      <c r="H4478" s="230">
        <v>4.5</v>
      </c>
      <c r="I4478" s="220">
        <v>811000</v>
      </c>
      <c r="J4478" s="220">
        <f>I4478*0.1</f>
        <v>81100</v>
      </c>
      <c r="K4478" s="220">
        <v>0</v>
      </c>
      <c r="L4478" s="220">
        <v>9200</v>
      </c>
      <c r="M4478" s="220">
        <v>15950</v>
      </c>
      <c r="N4478" s="220">
        <f>SUM(I4478:M4479)</f>
        <v>917250</v>
      </c>
      <c r="O4478" s="224"/>
      <c r="P4478" s="110" t="s">
        <v>13230</v>
      </c>
      <c r="Q4478" s="15" t="s">
        <v>19</v>
      </c>
      <c r="R4478" s="205"/>
      <c r="S4478" s="189"/>
      <c r="T4478" s="114"/>
      <c r="U4478" s="21"/>
      <c r="V4478" s="115">
        <v>46011</v>
      </c>
      <c r="W4478" s="116">
        <v>1281</v>
      </c>
      <c r="X4478" s="220">
        <v>938000</v>
      </c>
      <c r="Y4478" s="220">
        <f>X4478*0.1</f>
        <v>93800</v>
      </c>
      <c r="Z4478" s="220">
        <v>9200</v>
      </c>
      <c r="AA4478" s="220">
        <f>SUM(X4478:Z4478)</f>
        <v>1041000</v>
      </c>
      <c r="AB4478" s="222">
        <v>46016</v>
      </c>
    </row>
    <row r="4479" spans="1:28" ht="17.100000000000001" customHeight="1" thickBot="1">
      <c r="A4479" s="227"/>
      <c r="B4479" s="27" t="s">
        <v>2103</v>
      </c>
      <c r="C4479" s="27">
        <v>3066</v>
      </c>
      <c r="D4479" s="14" t="s">
        <v>273</v>
      </c>
      <c r="E4479" s="229"/>
      <c r="F4479" s="117" t="s">
        <v>13229</v>
      </c>
      <c r="G4479" s="26">
        <v>45039</v>
      </c>
      <c r="H4479" s="231"/>
      <c r="I4479" s="221"/>
      <c r="J4479" s="221"/>
      <c r="K4479" s="221"/>
      <c r="L4479" s="221"/>
      <c r="M4479" s="221"/>
      <c r="N4479" s="221"/>
      <c r="O4479" s="225"/>
      <c r="P4479" s="118" t="s">
        <v>2729</v>
      </c>
      <c r="Q4479" s="16" t="s">
        <v>20</v>
      </c>
      <c r="R4479" s="17" t="s">
        <v>13750</v>
      </c>
      <c r="S4479" s="121" t="s">
        <v>7703</v>
      </c>
      <c r="T4479" s="122"/>
      <c r="U4479" s="22"/>
      <c r="V4479" s="123" t="s">
        <v>6641</v>
      </c>
      <c r="W4479" s="122">
        <v>60437</v>
      </c>
      <c r="X4479" s="221"/>
      <c r="Y4479" s="221"/>
      <c r="Z4479" s="221"/>
      <c r="AA4479" s="221"/>
      <c r="AB4479" s="223"/>
    </row>
    <row r="4480" spans="1:28" ht="17.100000000000001" customHeight="1" thickTop="1">
      <c r="A4480" s="233" t="s">
        <v>13288</v>
      </c>
      <c r="B4480" s="28">
        <v>46007</v>
      </c>
      <c r="C4480" s="25">
        <v>1922</v>
      </c>
      <c r="D4480" s="13" t="s">
        <v>1748</v>
      </c>
      <c r="E4480" s="228"/>
      <c r="F4480" s="109" t="s">
        <v>12059</v>
      </c>
      <c r="G4480" s="24"/>
      <c r="H4480" s="230">
        <v>4</v>
      </c>
      <c r="I4480" s="220">
        <v>1109000</v>
      </c>
      <c r="J4480" s="220">
        <f>I4480*0.1</f>
        <v>110900</v>
      </c>
      <c r="K4480" s="220">
        <v>0</v>
      </c>
      <c r="L4480" s="220">
        <v>6880</v>
      </c>
      <c r="M4480" s="220">
        <v>15950</v>
      </c>
      <c r="N4480" s="220">
        <f>SUM(I4480:M4481)</f>
        <v>1242730</v>
      </c>
      <c r="O4480" s="224"/>
      <c r="P4480" s="110" t="s">
        <v>13772</v>
      </c>
      <c r="Q4480" s="15" t="s">
        <v>19</v>
      </c>
      <c r="R4480" s="205"/>
      <c r="S4480" s="189" t="s">
        <v>758</v>
      </c>
      <c r="T4480" s="114"/>
      <c r="U4480" s="21"/>
      <c r="V4480" s="115">
        <v>46032</v>
      </c>
      <c r="W4480" s="116">
        <v>1283</v>
      </c>
      <c r="X4480" s="220">
        <v>1155000</v>
      </c>
      <c r="Y4480" s="220">
        <v>115500</v>
      </c>
      <c r="Z4480" s="220">
        <v>6880</v>
      </c>
      <c r="AA4480" s="220">
        <f>SUM(X4480:Z4480)</f>
        <v>1277380</v>
      </c>
      <c r="AB4480" s="222">
        <v>46036</v>
      </c>
    </row>
    <row r="4481" spans="1:28" ht="17.100000000000001" customHeight="1" thickBot="1">
      <c r="A4481" s="234"/>
      <c r="B4481" s="27" t="s">
        <v>2103</v>
      </c>
      <c r="C4481" s="27">
        <v>3137</v>
      </c>
      <c r="D4481" s="14" t="s">
        <v>1568</v>
      </c>
      <c r="E4481" s="229"/>
      <c r="F4481" s="117" t="s">
        <v>13231</v>
      </c>
      <c r="G4481" s="26">
        <v>9844</v>
      </c>
      <c r="H4481" s="231"/>
      <c r="I4481" s="221"/>
      <c r="J4481" s="221"/>
      <c r="K4481" s="221"/>
      <c r="L4481" s="221"/>
      <c r="M4481" s="221"/>
      <c r="N4481" s="221"/>
      <c r="O4481" s="225"/>
      <c r="P4481" s="118" t="s">
        <v>5155</v>
      </c>
      <c r="Q4481" s="16" t="s">
        <v>20</v>
      </c>
      <c r="R4481" s="17" t="s">
        <v>13750</v>
      </c>
      <c r="S4481" s="121" t="s">
        <v>13773</v>
      </c>
      <c r="T4481" s="122"/>
      <c r="U4481" s="22"/>
      <c r="V4481" s="123" t="s">
        <v>2472</v>
      </c>
      <c r="W4481" s="122">
        <v>60039</v>
      </c>
      <c r="X4481" s="221"/>
      <c r="Y4481" s="221"/>
      <c r="Z4481" s="221"/>
      <c r="AA4481" s="221"/>
      <c r="AB4481" s="223"/>
    </row>
    <row r="4482" spans="1:28" ht="17.100000000000001" customHeight="1" thickTop="1">
      <c r="A4482" s="226" t="s">
        <v>13289</v>
      </c>
      <c r="B4482" s="28">
        <v>46007</v>
      </c>
      <c r="C4482" s="25">
        <v>1922</v>
      </c>
      <c r="D4482" s="13" t="s">
        <v>2288</v>
      </c>
      <c r="E4482" s="228"/>
      <c r="F4482" s="109" t="s">
        <v>13236</v>
      </c>
      <c r="G4482" s="24"/>
      <c r="H4482" s="230">
        <v>4.5</v>
      </c>
      <c r="I4482" s="220">
        <v>1072000</v>
      </c>
      <c r="J4482" s="220">
        <f>I4482*0.1</f>
        <v>107200</v>
      </c>
      <c r="K4482" s="220">
        <v>0</v>
      </c>
      <c r="L4482" s="220">
        <v>20540</v>
      </c>
      <c r="M4482" s="220">
        <v>15950</v>
      </c>
      <c r="N4482" s="220">
        <f>SUM(I4482:M4483)</f>
        <v>1215690</v>
      </c>
      <c r="O4482" s="224"/>
      <c r="P4482" s="110" t="s">
        <v>13760</v>
      </c>
      <c r="Q4482" s="15" t="s">
        <v>19</v>
      </c>
      <c r="R4482" s="205"/>
      <c r="S4482" s="189"/>
      <c r="T4482" s="114"/>
      <c r="U4482" s="21"/>
      <c r="V4482" s="115">
        <v>46011</v>
      </c>
      <c r="W4482" s="116">
        <v>1281</v>
      </c>
      <c r="X4482" s="220">
        <v>1220000</v>
      </c>
      <c r="Y4482" s="220">
        <f>X4482*0.1</f>
        <v>122000</v>
      </c>
      <c r="Z4482" s="220">
        <v>20540</v>
      </c>
      <c r="AA4482" s="220">
        <f>SUM(X4482:Z4482)</f>
        <v>1362540</v>
      </c>
      <c r="AB4482" s="222">
        <v>46028</v>
      </c>
    </row>
    <row r="4483" spans="1:28" ht="17.100000000000001" customHeight="1" thickBot="1">
      <c r="A4483" s="227"/>
      <c r="B4483" s="27" t="s">
        <v>2103</v>
      </c>
      <c r="C4483" s="27">
        <v>5003</v>
      </c>
      <c r="D4483" s="14" t="s">
        <v>2559</v>
      </c>
      <c r="E4483" s="229"/>
      <c r="F4483" s="117" t="s">
        <v>13237</v>
      </c>
      <c r="G4483" s="26">
        <v>78909</v>
      </c>
      <c r="H4483" s="231"/>
      <c r="I4483" s="221"/>
      <c r="J4483" s="221"/>
      <c r="K4483" s="221"/>
      <c r="L4483" s="221"/>
      <c r="M4483" s="221"/>
      <c r="N4483" s="221"/>
      <c r="O4483" s="225"/>
      <c r="P4483" s="118" t="s">
        <v>5155</v>
      </c>
      <c r="Q4483" s="16" t="s">
        <v>20</v>
      </c>
      <c r="R4483" s="17" t="s">
        <v>13750</v>
      </c>
      <c r="S4483" s="121" t="s">
        <v>2166</v>
      </c>
      <c r="T4483" s="122"/>
      <c r="U4483" s="22"/>
      <c r="V4483" s="123" t="s">
        <v>6641</v>
      </c>
      <c r="W4483" s="122">
        <v>80315</v>
      </c>
      <c r="X4483" s="221"/>
      <c r="Y4483" s="221"/>
      <c r="Z4483" s="221"/>
      <c r="AA4483" s="221"/>
      <c r="AB4483" s="223"/>
    </row>
    <row r="4484" spans="1:28" ht="17.100000000000001" customHeight="1" thickTop="1">
      <c r="A4484" s="226" t="s">
        <v>13290</v>
      </c>
      <c r="B4484" s="28">
        <v>46007</v>
      </c>
      <c r="C4484" s="25">
        <v>1922</v>
      </c>
      <c r="D4484" s="13" t="s">
        <v>2406</v>
      </c>
      <c r="E4484" s="228"/>
      <c r="F4484" s="109" t="s">
        <v>13238</v>
      </c>
      <c r="G4484" s="24"/>
      <c r="H4484" s="230">
        <v>3.5</v>
      </c>
      <c r="I4484" s="220">
        <v>1271000</v>
      </c>
      <c r="J4484" s="220">
        <f>I4484*0.1</f>
        <v>127100</v>
      </c>
      <c r="K4484" s="220">
        <v>0</v>
      </c>
      <c r="L4484" s="220">
        <v>12450</v>
      </c>
      <c r="M4484" s="220">
        <v>15950</v>
      </c>
      <c r="N4484" s="220">
        <f>SUM(I4484:M4485)</f>
        <v>1426500</v>
      </c>
      <c r="O4484" s="224"/>
      <c r="P4484" s="110" t="s">
        <v>13761</v>
      </c>
      <c r="Q4484" s="15" t="s">
        <v>19</v>
      </c>
      <c r="R4484" s="205"/>
      <c r="S4484" s="189"/>
      <c r="T4484" s="114"/>
      <c r="U4484" s="21"/>
      <c r="V4484" s="115">
        <v>46123</v>
      </c>
      <c r="W4484" s="116">
        <v>1296</v>
      </c>
      <c r="X4484" s="220">
        <v>1370000</v>
      </c>
      <c r="Y4484" s="220">
        <f>X4484*0.1</f>
        <v>137000</v>
      </c>
      <c r="Z4484" s="220">
        <v>12450</v>
      </c>
      <c r="AA4484" s="220">
        <f>SUM(X4484:Z4484)</f>
        <v>1519450</v>
      </c>
      <c r="AB4484" s="222">
        <v>46126</v>
      </c>
    </row>
    <row r="4485" spans="1:28" ht="17.100000000000001" customHeight="1" thickBot="1">
      <c r="A4485" s="227"/>
      <c r="B4485" s="27" t="s">
        <v>2103</v>
      </c>
      <c r="C4485" s="27">
        <v>32005</v>
      </c>
      <c r="D4485" s="14" t="s">
        <v>1584</v>
      </c>
      <c r="E4485" s="229"/>
      <c r="F4485" s="117" t="s">
        <v>13239</v>
      </c>
      <c r="G4485" s="26">
        <v>48419</v>
      </c>
      <c r="H4485" s="231"/>
      <c r="I4485" s="221"/>
      <c r="J4485" s="221"/>
      <c r="K4485" s="221"/>
      <c r="L4485" s="221"/>
      <c r="M4485" s="221"/>
      <c r="N4485" s="221"/>
      <c r="O4485" s="225"/>
      <c r="P4485" s="118" t="s">
        <v>7944</v>
      </c>
      <c r="Q4485" s="16" t="s">
        <v>20</v>
      </c>
      <c r="R4485" s="17" t="s">
        <v>13750</v>
      </c>
      <c r="S4485" s="121" t="s">
        <v>13687</v>
      </c>
      <c r="T4485" s="122"/>
      <c r="U4485" s="22"/>
      <c r="V4485" s="123" t="s">
        <v>2472</v>
      </c>
      <c r="W4485" s="122">
        <v>80148</v>
      </c>
      <c r="X4485" s="221"/>
      <c r="Y4485" s="221"/>
      <c r="Z4485" s="221"/>
      <c r="AA4485" s="221"/>
      <c r="AB4485" s="223"/>
    </row>
    <row r="4486" spans="1:28" ht="17.100000000000001" customHeight="1" thickTop="1">
      <c r="A4486" s="226" t="s">
        <v>13291</v>
      </c>
      <c r="B4486" s="28">
        <v>46007</v>
      </c>
      <c r="C4486" s="25">
        <v>1922</v>
      </c>
      <c r="D4486" s="13" t="s">
        <v>1702</v>
      </c>
      <c r="E4486" s="228"/>
      <c r="F4486" s="109" t="s">
        <v>2678</v>
      </c>
      <c r="G4486" s="24"/>
      <c r="H4486" s="230">
        <v>3.5</v>
      </c>
      <c r="I4486" s="220">
        <v>343000</v>
      </c>
      <c r="J4486" s="220">
        <f>I4486*0.1</f>
        <v>34300</v>
      </c>
      <c r="K4486" s="220">
        <v>0</v>
      </c>
      <c r="L4486" s="220">
        <v>17700</v>
      </c>
      <c r="M4486" s="220">
        <v>15950</v>
      </c>
      <c r="N4486" s="220">
        <f>SUM(I4486:M4487)</f>
        <v>410950</v>
      </c>
      <c r="O4486" s="224"/>
      <c r="P4486" s="110" t="s">
        <v>13776</v>
      </c>
      <c r="Q4486" s="15" t="s">
        <v>19</v>
      </c>
      <c r="R4486" s="205"/>
      <c r="S4486" s="189"/>
      <c r="T4486" s="114"/>
      <c r="U4486" s="21"/>
      <c r="V4486" s="115">
        <v>46011</v>
      </c>
      <c r="W4486" s="116">
        <v>1281</v>
      </c>
      <c r="X4486" s="220">
        <v>385000</v>
      </c>
      <c r="Y4486" s="220">
        <f>X4486*0.1</f>
        <v>38500</v>
      </c>
      <c r="Z4486" s="220">
        <v>17700</v>
      </c>
      <c r="AA4486" s="220">
        <f>SUM(X4486:Z4486)</f>
        <v>441200</v>
      </c>
      <c r="AB4486" s="222">
        <v>46016</v>
      </c>
    </row>
    <row r="4487" spans="1:28" ht="17.100000000000001" customHeight="1" thickBot="1">
      <c r="A4487" s="227"/>
      <c r="B4487" s="27" t="s">
        <v>2103</v>
      </c>
      <c r="C4487" s="27">
        <v>32031</v>
      </c>
      <c r="D4487" s="14" t="s">
        <v>1584</v>
      </c>
      <c r="E4487" s="229"/>
      <c r="F4487" s="117" t="s">
        <v>13240</v>
      </c>
      <c r="G4487" s="26">
        <v>75039</v>
      </c>
      <c r="H4487" s="231"/>
      <c r="I4487" s="221"/>
      <c r="J4487" s="221"/>
      <c r="K4487" s="221"/>
      <c r="L4487" s="221"/>
      <c r="M4487" s="221"/>
      <c r="N4487" s="221"/>
      <c r="O4487" s="225"/>
      <c r="P4487" s="118" t="s">
        <v>3336</v>
      </c>
      <c r="Q4487" s="16" t="s">
        <v>20</v>
      </c>
      <c r="R4487" s="17" t="s">
        <v>13750</v>
      </c>
      <c r="S4487" s="121" t="s">
        <v>7722</v>
      </c>
      <c r="T4487" s="122"/>
      <c r="U4487" s="22"/>
      <c r="V4487" s="123" t="s">
        <v>2472</v>
      </c>
      <c r="W4487" s="122">
        <v>80316</v>
      </c>
      <c r="X4487" s="221"/>
      <c r="Y4487" s="221"/>
      <c r="Z4487" s="221"/>
      <c r="AA4487" s="221"/>
      <c r="AB4487" s="223"/>
    </row>
    <row r="4488" spans="1:28" ht="17.100000000000001" customHeight="1" thickTop="1">
      <c r="A4488" s="226" t="s">
        <v>13292</v>
      </c>
      <c r="B4488" s="28">
        <v>46007</v>
      </c>
      <c r="C4488" s="25">
        <v>1922</v>
      </c>
      <c r="D4488" s="13" t="s">
        <v>1953</v>
      </c>
      <c r="E4488" s="228"/>
      <c r="F4488" s="109" t="s">
        <v>13241</v>
      </c>
      <c r="G4488" s="24"/>
      <c r="H4488" s="230">
        <v>4.5</v>
      </c>
      <c r="I4488" s="220">
        <v>1379000</v>
      </c>
      <c r="J4488" s="220">
        <f>I4488*0.1</f>
        <v>137900</v>
      </c>
      <c r="K4488" s="220">
        <v>0</v>
      </c>
      <c r="L4488" s="220">
        <v>9810</v>
      </c>
      <c r="M4488" s="220">
        <v>15950</v>
      </c>
      <c r="N4488" s="220">
        <f>SUM(I4488:M4489)</f>
        <v>1542660</v>
      </c>
      <c r="O4488" s="224"/>
      <c r="P4488" s="110" t="s">
        <v>13778</v>
      </c>
      <c r="Q4488" s="15" t="s">
        <v>19</v>
      </c>
      <c r="R4488" s="205"/>
      <c r="S4488" s="189" t="s">
        <v>758</v>
      </c>
      <c r="T4488" s="114"/>
      <c r="U4488" s="21"/>
      <c r="V4488" s="115">
        <v>46011</v>
      </c>
      <c r="W4488" s="116">
        <v>1281</v>
      </c>
      <c r="X4488" s="220">
        <v>1500000</v>
      </c>
      <c r="Y4488" s="220">
        <f>X4488*0.1</f>
        <v>150000</v>
      </c>
      <c r="Z4488" s="220">
        <v>9810</v>
      </c>
      <c r="AA4488" s="220">
        <f>SUM(X4488:Z4488)</f>
        <v>1659810</v>
      </c>
      <c r="AB4488" s="222">
        <v>46016</v>
      </c>
    </row>
    <row r="4489" spans="1:28" ht="17.100000000000001" customHeight="1" thickBot="1">
      <c r="A4489" s="227"/>
      <c r="B4489" s="27" t="s">
        <v>2103</v>
      </c>
      <c r="C4489" s="27">
        <v>32058</v>
      </c>
      <c r="D4489" s="14" t="s">
        <v>2559</v>
      </c>
      <c r="E4489" s="229"/>
      <c r="F4489" s="117" t="s">
        <v>13242</v>
      </c>
      <c r="G4489" s="26">
        <v>57686</v>
      </c>
      <c r="H4489" s="231"/>
      <c r="I4489" s="221"/>
      <c r="J4489" s="221"/>
      <c r="K4489" s="221"/>
      <c r="L4489" s="221"/>
      <c r="M4489" s="221"/>
      <c r="N4489" s="221"/>
      <c r="O4489" s="225"/>
      <c r="P4489" s="118" t="s">
        <v>3670</v>
      </c>
      <c r="Q4489" s="16" t="s">
        <v>20</v>
      </c>
      <c r="R4489" s="17" t="s">
        <v>13750</v>
      </c>
      <c r="S4489" s="121" t="s">
        <v>13779</v>
      </c>
      <c r="T4489" s="122"/>
      <c r="U4489" s="22"/>
      <c r="V4489" s="123" t="s">
        <v>2472</v>
      </c>
      <c r="W4489" s="122">
        <v>126</v>
      </c>
      <c r="X4489" s="221"/>
      <c r="Y4489" s="221"/>
      <c r="Z4489" s="221"/>
      <c r="AA4489" s="221"/>
      <c r="AB4489" s="223"/>
    </row>
    <row r="4490" spans="1:28" ht="17.100000000000001" customHeight="1" thickTop="1">
      <c r="A4490" s="226" t="s">
        <v>13293</v>
      </c>
      <c r="B4490" s="28">
        <v>46007</v>
      </c>
      <c r="C4490" s="25">
        <v>1922</v>
      </c>
      <c r="D4490" s="13" t="s">
        <v>2644</v>
      </c>
      <c r="E4490" s="228"/>
      <c r="F4490" s="109" t="s">
        <v>13243</v>
      </c>
      <c r="G4490" s="24"/>
      <c r="H4490" s="230">
        <v>4.5</v>
      </c>
      <c r="I4490" s="220">
        <v>2130000</v>
      </c>
      <c r="J4490" s="220">
        <f>I4490*0.1</f>
        <v>213000</v>
      </c>
      <c r="K4490" s="220">
        <v>0</v>
      </c>
      <c r="L4490" s="220">
        <v>21340</v>
      </c>
      <c r="M4490" s="220">
        <v>19250</v>
      </c>
      <c r="N4490" s="220">
        <f>SUM(I4490:M4491)</f>
        <v>2383590</v>
      </c>
      <c r="O4490" s="224"/>
      <c r="P4490" s="110" t="s">
        <v>13775</v>
      </c>
      <c r="Q4490" s="15" t="s">
        <v>19</v>
      </c>
      <c r="R4490" s="205"/>
      <c r="S4490" s="189"/>
      <c r="T4490" s="114"/>
      <c r="U4490" s="21"/>
      <c r="V4490" s="115">
        <v>46011</v>
      </c>
      <c r="W4490" s="116">
        <v>1281</v>
      </c>
      <c r="X4490" s="220">
        <v>2255000</v>
      </c>
      <c r="Y4490" s="220">
        <f>X4490*0.1</f>
        <v>225500</v>
      </c>
      <c r="Z4490" s="220">
        <v>21340</v>
      </c>
      <c r="AA4490" s="220">
        <f>SUM(X4490:Z4490)</f>
        <v>2501840</v>
      </c>
      <c r="AB4490" s="222">
        <v>46016</v>
      </c>
    </row>
    <row r="4491" spans="1:28" ht="17.100000000000001" customHeight="1" thickBot="1">
      <c r="A4491" s="227"/>
      <c r="B4491" s="27" t="s">
        <v>2103</v>
      </c>
      <c r="C4491" s="27">
        <v>32090</v>
      </c>
      <c r="D4491" s="14" t="s">
        <v>1568</v>
      </c>
      <c r="E4491" s="229"/>
      <c r="F4491" s="117" t="s">
        <v>13244</v>
      </c>
      <c r="G4491" s="26">
        <v>11552</v>
      </c>
      <c r="H4491" s="231"/>
      <c r="I4491" s="221"/>
      <c r="J4491" s="221"/>
      <c r="K4491" s="221"/>
      <c r="L4491" s="221"/>
      <c r="M4491" s="221"/>
      <c r="N4491" s="221"/>
      <c r="O4491" s="225"/>
      <c r="P4491" s="118" t="s">
        <v>3336</v>
      </c>
      <c r="Q4491" s="16" t="s">
        <v>20</v>
      </c>
      <c r="R4491" s="17" t="s">
        <v>13750</v>
      </c>
      <c r="S4491" s="121"/>
      <c r="T4491" s="122"/>
      <c r="U4491" s="22"/>
      <c r="V4491" s="123" t="s">
        <v>2472</v>
      </c>
      <c r="W4491" s="122">
        <v>80418</v>
      </c>
      <c r="X4491" s="221"/>
      <c r="Y4491" s="221"/>
      <c r="Z4491" s="221"/>
      <c r="AA4491" s="221"/>
      <c r="AB4491" s="223"/>
    </row>
    <row r="4492" spans="1:28" ht="17.100000000000001" customHeight="1" thickTop="1">
      <c r="A4492" s="226" t="s">
        <v>13294</v>
      </c>
      <c r="B4492" s="28">
        <v>46007</v>
      </c>
      <c r="C4492" s="25">
        <v>1922</v>
      </c>
      <c r="D4492" s="13" t="s">
        <v>2158</v>
      </c>
      <c r="E4492" s="228"/>
      <c r="F4492" s="109" t="s">
        <v>9009</v>
      </c>
      <c r="G4492" s="24"/>
      <c r="H4492" s="230">
        <v>3.5</v>
      </c>
      <c r="I4492" s="220">
        <v>572000</v>
      </c>
      <c r="J4492" s="220">
        <f>I4492*0.1</f>
        <v>57200</v>
      </c>
      <c r="K4492" s="220">
        <v>0</v>
      </c>
      <c r="L4492" s="220">
        <v>8740</v>
      </c>
      <c r="M4492" s="220">
        <v>15950</v>
      </c>
      <c r="N4492" s="220">
        <f>SUM(I4492:M4493)</f>
        <v>653890</v>
      </c>
      <c r="O4492" s="224"/>
      <c r="P4492" s="110" t="s">
        <v>13777</v>
      </c>
      <c r="Q4492" s="15" t="s">
        <v>19</v>
      </c>
      <c r="R4492" s="205"/>
      <c r="S4492" s="189"/>
      <c r="T4492" s="114"/>
      <c r="U4492" s="21"/>
      <c r="V4492" s="115">
        <v>46011</v>
      </c>
      <c r="W4492" s="116">
        <v>1281</v>
      </c>
      <c r="X4492" s="220">
        <v>720000</v>
      </c>
      <c r="Y4492" s="220">
        <f>X4492*0.1</f>
        <v>72000</v>
      </c>
      <c r="Z4492" s="220">
        <v>8740</v>
      </c>
      <c r="AA4492" s="220">
        <f>SUM(X4492:Z4492)</f>
        <v>800740</v>
      </c>
      <c r="AB4492" s="222">
        <v>46016</v>
      </c>
    </row>
    <row r="4493" spans="1:28" ht="17.100000000000001" customHeight="1" thickBot="1">
      <c r="A4493" s="227"/>
      <c r="B4493" s="27" t="s">
        <v>2103</v>
      </c>
      <c r="C4493" s="27">
        <v>70044</v>
      </c>
      <c r="D4493" s="14" t="s">
        <v>273</v>
      </c>
      <c r="E4493" s="229"/>
      <c r="F4493" s="117" t="s">
        <v>13264</v>
      </c>
      <c r="G4493" s="26">
        <v>59932</v>
      </c>
      <c r="H4493" s="231"/>
      <c r="I4493" s="221"/>
      <c r="J4493" s="221"/>
      <c r="K4493" s="221"/>
      <c r="L4493" s="221"/>
      <c r="M4493" s="221"/>
      <c r="N4493" s="221"/>
      <c r="O4493" s="225"/>
      <c r="P4493" s="118" t="s">
        <v>5155</v>
      </c>
      <c r="Q4493" s="16" t="s">
        <v>20</v>
      </c>
      <c r="R4493" s="17" t="s">
        <v>13750</v>
      </c>
      <c r="S4493" s="121" t="s">
        <v>10808</v>
      </c>
      <c r="T4493" s="122"/>
      <c r="U4493" s="22"/>
      <c r="V4493" s="123" t="s">
        <v>2472</v>
      </c>
      <c r="W4493" s="122">
        <v>60445</v>
      </c>
      <c r="X4493" s="221"/>
      <c r="Y4493" s="221"/>
      <c r="Z4493" s="221"/>
      <c r="AA4493" s="221"/>
      <c r="AB4493" s="223"/>
    </row>
    <row r="4494" spans="1:28" ht="17.100000000000001" customHeight="1" thickTop="1">
      <c r="A4494" s="226" t="s">
        <v>13295</v>
      </c>
      <c r="B4494" s="28">
        <v>46007</v>
      </c>
      <c r="C4494" s="25">
        <v>1922</v>
      </c>
      <c r="D4494" s="13" t="s">
        <v>2010</v>
      </c>
      <c r="E4494" s="228"/>
      <c r="F4494" s="109" t="s">
        <v>9344</v>
      </c>
      <c r="G4494" s="24"/>
      <c r="H4494" s="230">
        <v>4.5</v>
      </c>
      <c r="I4494" s="220">
        <v>1382000</v>
      </c>
      <c r="J4494" s="220">
        <f>I4494*0.1</f>
        <v>138200</v>
      </c>
      <c r="K4494" s="220">
        <v>0</v>
      </c>
      <c r="L4494" s="220">
        <v>8630</v>
      </c>
      <c r="M4494" s="220">
        <v>15950</v>
      </c>
      <c r="N4494" s="220">
        <f>SUM(I4494:M4495)</f>
        <v>1544780</v>
      </c>
      <c r="O4494" s="224"/>
      <c r="P4494" s="110" t="s">
        <v>13765</v>
      </c>
      <c r="Q4494" s="15" t="s">
        <v>19</v>
      </c>
      <c r="R4494" s="205"/>
      <c r="S4494" s="189"/>
      <c r="T4494" s="114"/>
      <c r="U4494" s="21"/>
      <c r="V4494" s="115">
        <v>46050</v>
      </c>
      <c r="W4494" s="116">
        <v>1002</v>
      </c>
      <c r="X4494" s="220">
        <v>1450000</v>
      </c>
      <c r="Y4494" s="220">
        <f>X4494*0.1</f>
        <v>145000</v>
      </c>
      <c r="Z4494" s="220">
        <v>8630</v>
      </c>
      <c r="AA4494" s="220">
        <f>SUM(X4494:Z4494)</f>
        <v>1603630</v>
      </c>
      <c r="AB4494" s="222">
        <v>46056</v>
      </c>
    </row>
    <row r="4495" spans="1:28" ht="17.100000000000001" customHeight="1" thickBot="1">
      <c r="A4495" s="227"/>
      <c r="B4495" s="27" t="s">
        <v>2103</v>
      </c>
      <c r="C4495" s="27">
        <v>70072</v>
      </c>
      <c r="D4495" s="14" t="s">
        <v>273</v>
      </c>
      <c r="E4495" s="229"/>
      <c r="F4495" s="117" t="s">
        <v>13679</v>
      </c>
      <c r="G4495" s="26">
        <v>48466</v>
      </c>
      <c r="H4495" s="231"/>
      <c r="I4495" s="221"/>
      <c r="J4495" s="221"/>
      <c r="K4495" s="221"/>
      <c r="L4495" s="221"/>
      <c r="M4495" s="221"/>
      <c r="N4495" s="221"/>
      <c r="O4495" s="225"/>
      <c r="P4495" s="118" t="s">
        <v>4913</v>
      </c>
      <c r="Q4495" s="16" t="s">
        <v>20</v>
      </c>
      <c r="R4495" s="17" t="s">
        <v>13750</v>
      </c>
      <c r="S4495" s="121" t="s">
        <v>2166</v>
      </c>
      <c r="T4495" s="122"/>
      <c r="U4495" s="22"/>
      <c r="V4495" s="123" t="s">
        <v>8648</v>
      </c>
      <c r="W4495" s="122">
        <v>5158</v>
      </c>
      <c r="X4495" s="221"/>
      <c r="Y4495" s="221"/>
      <c r="Z4495" s="221"/>
      <c r="AA4495" s="221"/>
      <c r="AB4495" s="223"/>
    </row>
    <row r="4496" spans="1:28" ht="17.100000000000001" customHeight="1" thickTop="1">
      <c r="A4496" s="233" t="s">
        <v>13296</v>
      </c>
      <c r="B4496" s="28">
        <v>46007</v>
      </c>
      <c r="C4496" s="25">
        <v>800</v>
      </c>
      <c r="D4496" s="13" t="s">
        <v>1589</v>
      </c>
      <c r="E4496" s="228"/>
      <c r="F4496" s="109" t="s">
        <v>13276</v>
      </c>
      <c r="G4496" s="24"/>
      <c r="H4496" s="230">
        <v>4.5</v>
      </c>
      <c r="I4496" s="220">
        <v>859000</v>
      </c>
      <c r="J4496" s="220">
        <f>I4496*0.1</f>
        <v>85900</v>
      </c>
      <c r="K4496" s="220">
        <v>0</v>
      </c>
      <c r="L4496" s="220">
        <v>9140</v>
      </c>
      <c r="M4496" s="220">
        <v>15950</v>
      </c>
      <c r="N4496" s="220">
        <f>SUM(I4496:M4497)</f>
        <v>969990</v>
      </c>
      <c r="O4496" s="224"/>
      <c r="P4496" s="110" t="s">
        <v>13942</v>
      </c>
      <c r="Q4496" s="15" t="s">
        <v>19</v>
      </c>
      <c r="R4496" s="205"/>
      <c r="S4496" s="189" t="s">
        <v>25553</v>
      </c>
      <c r="T4496" s="114"/>
      <c r="U4496" s="21"/>
      <c r="V4496" s="115">
        <v>46039</v>
      </c>
      <c r="W4496" s="116">
        <v>1284</v>
      </c>
      <c r="X4496" s="220">
        <v>955000</v>
      </c>
      <c r="Y4496" s="220">
        <f>X4496*0.1</f>
        <v>95500</v>
      </c>
      <c r="Z4496" s="220">
        <v>9140</v>
      </c>
      <c r="AA4496" s="220">
        <f>SUM(X4496:Z4496)</f>
        <v>1059640</v>
      </c>
      <c r="AB4496" s="222">
        <v>46042</v>
      </c>
    </row>
    <row r="4497" spans="1:28" ht="17.100000000000001" customHeight="1" thickBot="1">
      <c r="A4497" s="234"/>
      <c r="B4497" s="27" t="s">
        <v>3314</v>
      </c>
      <c r="C4497" s="27">
        <v>3018</v>
      </c>
      <c r="D4497" s="14" t="s">
        <v>2559</v>
      </c>
      <c r="E4497" s="229"/>
      <c r="F4497" s="117" t="s">
        <v>13277</v>
      </c>
      <c r="G4497" s="26">
        <v>59282</v>
      </c>
      <c r="H4497" s="231"/>
      <c r="I4497" s="221"/>
      <c r="J4497" s="221"/>
      <c r="K4497" s="221"/>
      <c r="L4497" s="221"/>
      <c r="M4497" s="221"/>
      <c r="N4497" s="221"/>
      <c r="O4497" s="225"/>
      <c r="P4497" s="118" t="s">
        <v>13943</v>
      </c>
      <c r="Q4497" s="16" t="s">
        <v>20</v>
      </c>
      <c r="R4497" s="17" t="s">
        <v>13841</v>
      </c>
      <c r="S4497" s="121" t="s">
        <v>13944</v>
      </c>
      <c r="T4497" s="122"/>
      <c r="U4497" s="22"/>
      <c r="V4497" s="123" t="s">
        <v>2472</v>
      </c>
      <c r="W4497" s="122">
        <v>60067</v>
      </c>
      <c r="X4497" s="221"/>
      <c r="Y4497" s="221"/>
      <c r="Z4497" s="221"/>
      <c r="AA4497" s="221"/>
      <c r="AB4497" s="223"/>
    </row>
    <row r="4498" spans="1:28" ht="17.100000000000001" customHeight="1" thickTop="1">
      <c r="A4498" s="233" t="s">
        <v>13297</v>
      </c>
      <c r="B4498" s="28">
        <v>46007</v>
      </c>
      <c r="C4498" s="25">
        <v>800</v>
      </c>
      <c r="D4498" s="13" t="s">
        <v>2900</v>
      </c>
      <c r="E4498" s="228"/>
      <c r="F4498" s="109" t="s">
        <v>12881</v>
      </c>
      <c r="G4498" s="24" t="s">
        <v>2871</v>
      </c>
      <c r="H4498" s="230">
        <v>4</v>
      </c>
      <c r="I4498" s="220">
        <v>430000</v>
      </c>
      <c r="J4498" s="220">
        <f>I4498*0.1</f>
        <v>43000</v>
      </c>
      <c r="K4498" s="220">
        <v>0</v>
      </c>
      <c r="L4498" s="220">
        <v>7140</v>
      </c>
      <c r="M4498" s="220">
        <v>15950</v>
      </c>
      <c r="N4498" s="220">
        <f>SUM(I4498:M4499)</f>
        <v>496090</v>
      </c>
      <c r="O4498" s="224"/>
      <c r="P4498" s="110" t="s">
        <v>13279</v>
      </c>
      <c r="Q4498" s="15" t="s">
        <v>19</v>
      </c>
      <c r="R4498" s="205"/>
      <c r="S4498" s="189" t="s">
        <v>1361</v>
      </c>
      <c r="T4498" s="114"/>
      <c r="U4498" s="21" t="s">
        <v>15031</v>
      </c>
      <c r="V4498" s="115">
        <v>46039</v>
      </c>
      <c r="W4498" s="116">
        <v>1284</v>
      </c>
      <c r="X4498" s="220">
        <v>490000</v>
      </c>
      <c r="Y4498" s="220">
        <f>X4498*0.1</f>
        <v>49000</v>
      </c>
      <c r="Z4498" s="220">
        <v>7140</v>
      </c>
      <c r="AA4498" s="220">
        <f>SUM(X4498:Z4498)</f>
        <v>546140</v>
      </c>
      <c r="AB4498" s="222">
        <v>46043</v>
      </c>
    </row>
    <row r="4499" spans="1:28" ht="17.100000000000001" customHeight="1" thickBot="1">
      <c r="A4499" s="234"/>
      <c r="B4499" s="27" t="s">
        <v>3314</v>
      </c>
      <c r="C4499" s="27">
        <v>3082</v>
      </c>
      <c r="D4499" s="14" t="s">
        <v>1568</v>
      </c>
      <c r="E4499" s="229"/>
      <c r="F4499" s="117" t="s">
        <v>13278</v>
      </c>
      <c r="G4499" s="26">
        <v>43265</v>
      </c>
      <c r="H4499" s="231"/>
      <c r="I4499" s="221"/>
      <c r="J4499" s="221"/>
      <c r="K4499" s="221"/>
      <c r="L4499" s="221"/>
      <c r="M4499" s="221"/>
      <c r="N4499" s="221"/>
      <c r="O4499" s="225"/>
      <c r="P4499" s="118" t="s">
        <v>13771</v>
      </c>
      <c r="Q4499" s="16" t="s">
        <v>20</v>
      </c>
      <c r="R4499" s="17" t="s">
        <v>13750</v>
      </c>
      <c r="S4499" s="121" t="s">
        <v>169</v>
      </c>
      <c r="T4499" s="122"/>
      <c r="U4499" s="22"/>
      <c r="V4499" s="123" t="s">
        <v>2472</v>
      </c>
      <c r="W4499" s="122">
        <v>60125</v>
      </c>
      <c r="X4499" s="221"/>
      <c r="Y4499" s="221"/>
      <c r="Z4499" s="221"/>
      <c r="AA4499" s="221"/>
      <c r="AB4499" s="223"/>
    </row>
    <row r="4500" spans="1:28" ht="17.100000000000001" customHeight="1" thickTop="1">
      <c r="A4500" s="226" t="s">
        <v>13298</v>
      </c>
      <c r="B4500" s="28">
        <v>46007</v>
      </c>
      <c r="C4500" s="25">
        <v>800</v>
      </c>
      <c r="D4500" s="13" t="s">
        <v>2406</v>
      </c>
      <c r="E4500" s="228"/>
      <c r="F4500" s="109" t="s">
        <v>5271</v>
      </c>
      <c r="G4500" s="24"/>
      <c r="H4500" s="230">
        <v>4</v>
      </c>
      <c r="I4500" s="220">
        <v>428000</v>
      </c>
      <c r="J4500" s="220">
        <f>I4500*0.1</f>
        <v>42800</v>
      </c>
      <c r="K4500" s="220">
        <v>0</v>
      </c>
      <c r="L4500" s="220">
        <v>8850</v>
      </c>
      <c r="M4500" s="220">
        <v>15950</v>
      </c>
      <c r="N4500" s="220">
        <f>SUM(I4500:M4501)</f>
        <v>495600</v>
      </c>
      <c r="O4500" s="224"/>
      <c r="P4500" s="110" t="s">
        <v>13766</v>
      </c>
      <c r="Q4500" s="15" t="s">
        <v>19</v>
      </c>
      <c r="R4500" s="205"/>
      <c r="S4500" s="189"/>
      <c r="T4500" s="114"/>
      <c r="U4500" s="21"/>
      <c r="V4500" s="115">
        <v>46018</v>
      </c>
      <c r="W4500" s="116">
        <v>1282</v>
      </c>
      <c r="X4500" s="220">
        <v>480000</v>
      </c>
      <c r="Y4500" s="220">
        <f>X4500*0.1</f>
        <v>48000</v>
      </c>
      <c r="Z4500" s="220">
        <v>8850</v>
      </c>
      <c r="AA4500" s="220">
        <f>SUM(X4500:Z4500)</f>
        <v>536850</v>
      </c>
      <c r="AB4500" s="222">
        <v>46028</v>
      </c>
    </row>
    <row r="4501" spans="1:28" ht="17.100000000000001" customHeight="1" thickBot="1">
      <c r="A4501" s="227"/>
      <c r="B4501" s="27" t="s">
        <v>3314</v>
      </c>
      <c r="C4501" s="27">
        <v>3088</v>
      </c>
      <c r="D4501" s="14" t="s">
        <v>273</v>
      </c>
      <c r="E4501" s="229"/>
      <c r="F4501" s="117" t="s">
        <v>13280</v>
      </c>
      <c r="G4501" s="26">
        <v>49604</v>
      </c>
      <c r="H4501" s="231"/>
      <c r="I4501" s="221"/>
      <c r="J4501" s="221"/>
      <c r="K4501" s="221"/>
      <c r="L4501" s="221"/>
      <c r="M4501" s="221"/>
      <c r="N4501" s="221"/>
      <c r="O4501" s="225"/>
      <c r="P4501" s="118" t="s">
        <v>8379</v>
      </c>
      <c r="Q4501" s="16" t="s">
        <v>20</v>
      </c>
      <c r="R4501" s="17" t="s">
        <v>13750</v>
      </c>
      <c r="S4501" s="121" t="s">
        <v>11872</v>
      </c>
      <c r="T4501" s="122"/>
      <c r="U4501" s="22"/>
      <c r="V4501" s="123" t="s">
        <v>2472</v>
      </c>
      <c r="W4501" s="122">
        <v>60025</v>
      </c>
      <c r="X4501" s="221"/>
      <c r="Y4501" s="221"/>
      <c r="Z4501" s="221"/>
      <c r="AA4501" s="221"/>
      <c r="AB4501" s="223"/>
    </row>
    <row r="4502" spans="1:28" ht="17.100000000000001" customHeight="1" thickTop="1">
      <c r="A4502" s="226" t="s">
        <v>13299</v>
      </c>
      <c r="B4502" s="28">
        <v>46007</v>
      </c>
      <c r="C4502" s="25">
        <v>800</v>
      </c>
      <c r="D4502" s="13" t="s">
        <v>3769</v>
      </c>
      <c r="E4502" s="228"/>
      <c r="F4502" s="109" t="s">
        <v>6851</v>
      </c>
      <c r="G4502" s="24"/>
      <c r="H4502" s="230">
        <v>5</v>
      </c>
      <c r="I4502" s="220">
        <v>1327000</v>
      </c>
      <c r="J4502" s="220">
        <f>I4502*0.1</f>
        <v>132700</v>
      </c>
      <c r="K4502" s="220">
        <v>0</v>
      </c>
      <c r="L4502" s="220">
        <v>7040</v>
      </c>
      <c r="M4502" s="220">
        <v>15950</v>
      </c>
      <c r="N4502" s="220">
        <f>SUM(I4502:M4503)</f>
        <v>1482690</v>
      </c>
      <c r="O4502" s="224"/>
      <c r="P4502" s="110" t="s">
        <v>13767</v>
      </c>
      <c r="Q4502" s="15" t="s">
        <v>19</v>
      </c>
      <c r="R4502" s="205"/>
      <c r="S4502" s="189" t="s">
        <v>1361</v>
      </c>
      <c r="T4502" s="114"/>
      <c r="U4502" s="21"/>
      <c r="V4502" s="115">
        <v>46018</v>
      </c>
      <c r="W4502" s="116">
        <v>1282</v>
      </c>
      <c r="X4502" s="220">
        <v>1415000</v>
      </c>
      <c r="Y4502" s="220">
        <f>X4502*0.1</f>
        <v>141500</v>
      </c>
      <c r="Z4502" s="220">
        <v>7040</v>
      </c>
      <c r="AA4502" s="220">
        <f>SUM(X4502:Z4502)</f>
        <v>1563540</v>
      </c>
      <c r="AB4502" s="222">
        <v>46028</v>
      </c>
    </row>
    <row r="4503" spans="1:28" ht="17.100000000000001" customHeight="1" thickBot="1">
      <c r="A4503" s="227"/>
      <c r="B4503" s="27" t="s">
        <v>3314</v>
      </c>
      <c r="C4503" s="27">
        <v>3110</v>
      </c>
      <c r="D4503" s="14" t="s">
        <v>2177</v>
      </c>
      <c r="E4503" s="229"/>
      <c r="F4503" s="117" t="s">
        <v>13281</v>
      </c>
      <c r="G4503" s="26">
        <v>230</v>
      </c>
      <c r="H4503" s="231"/>
      <c r="I4503" s="221"/>
      <c r="J4503" s="221"/>
      <c r="K4503" s="221"/>
      <c r="L4503" s="221"/>
      <c r="M4503" s="221"/>
      <c r="N4503" s="221"/>
      <c r="O4503" s="225"/>
      <c r="P4503" s="118" t="s">
        <v>13768</v>
      </c>
      <c r="Q4503" s="16" t="s">
        <v>20</v>
      </c>
      <c r="R4503" s="17" t="s">
        <v>13750</v>
      </c>
      <c r="S4503" s="121" t="s">
        <v>3552</v>
      </c>
      <c r="T4503" s="122"/>
      <c r="U4503" s="22"/>
      <c r="V4503" s="123" t="s">
        <v>2472</v>
      </c>
      <c r="W4503" s="122">
        <v>60203</v>
      </c>
      <c r="X4503" s="221"/>
      <c r="Y4503" s="221"/>
      <c r="Z4503" s="221"/>
      <c r="AA4503" s="221"/>
      <c r="AB4503" s="223"/>
    </row>
    <row r="4504" spans="1:28" ht="17.100000000000001" customHeight="1" thickTop="1">
      <c r="A4504" s="226" t="s">
        <v>13300</v>
      </c>
      <c r="B4504" s="28">
        <v>46007</v>
      </c>
      <c r="C4504" s="25">
        <v>800</v>
      </c>
      <c r="D4504" s="13" t="s">
        <v>2610</v>
      </c>
      <c r="E4504" s="228"/>
      <c r="F4504" s="109" t="s">
        <v>13282</v>
      </c>
      <c r="G4504" s="24" t="s">
        <v>4239</v>
      </c>
      <c r="H4504" s="230">
        <v>4.5</v>
      </c>
      <c r="I4504" s="220">
        <v>1453000</v>
      </c>
      <c r="J4504" s="220">
        <f>I4504*0.1</f>
        <v>145300</v>
      </c>
      <c r="K4504" s="220">
        <v>6820</v>
      </c>
      <c r="L4504" s="220">
        <v>11930</v>
      </c>
      <c r="M4504" s="220">
        <v>15950</v>
      </c>
      <c r="N4504" s="220">
        <f>SUM(I4504:M4505)</f>
        <v>1633000</v>
      </c>
      <c r="O4504" s="224"/>
      <c r="P4504" s="110" t="s">
        <v>13284</v>
      </c>
      <c r="Q4504" s="15" t="s">
        <v>19</v>
      </c>
      <c r="R4504" s="205"/>
      <c r="S4504" s="189" t="s">
        <v>1361</v>
      </c>
      <c r="T4504" s="114"/>
      <c r="U4504" s="21"/>
      <c r="V4504" s="115">
        <v>46018</v>
      </c>
      <c r="W4504" s="116">
        <v>1282</v>
      </c>
      <c r="X4504" s="220">
        <v>1630000</v>
      </c>
      <c r="Y4504" s="220">
        <f>X4504*0.1</f>
        <v>163000</v>
      </c>
      <c r="Z4504" s="220">
        <v>11930</v>
      </c>
      <c r="AA4504" s="220">
        <f>SUM(X4504:Z4504)</f>
        <v>1804930</v>
      </c>
      <c r="AB4504" s="222">
        <v>46028</v>
      </c>
    </row>
    <row r="4505" spans="1:28" ht="17.100000000000001" customHeight="1" thickBot="1">
      <c r="A4505" s="227"/>
      <c r="B4505" s="27" t="s">
        <v>3314</v>
      </c>
      <c r="C4505" s="27">
        <v>70122</v>
      </c>
      <c r="D4505" s="14" t="s">
        <v>3792</v>
      </c>
      <c r="E4505" s="229"/>
      <c r="F4505" s="117" t="s">
        <v>13283</v>
      </c>
      <c r="G4505" s="26">
        <v>52908</v>
      </c>
      <c r="H4505" s="231"/>
      <c r="I4505" s="221"/>
      <c r="J4505" s="221"/>
      <c r="K4505" s="221"/>
      <c r="L4505" s="221"/>
      <c r="M4505" s="221"/>
      <c r="N4505" s="221"/>
      <c r="O4505" s="225"/>
      <c r="P4505" s="118" t="s">
        <v>13752</v>
      </c>
      <c r="Q4505" s="16" t="s">
        <v>20</v>
      </c>
      <c r="R4505" s="17" t="s">
        <v>13750</v>
      </c>
      <c r="S4505" s="121" t="s">
        <v>169</v>
      </c>
      <c r="T4505" s="122"/>
      <c r="U4505" s="22"/>
      <c r="V4505" s="123" t="s">
        <v>2472</v>
      </c>
      <c r="W4505" s="122">
        <v>80060</v>
      </c>
      <c r="X4505" s="221"/>
      <c r="Y4505" s="221"/>
      <c r="Z4505" s="221"/>
      <c r="AA4505" s="221"/>
      <c r="AB4505" s="223"/>
    </row>
    <row r="4506" spans="1:28" ht="17.100000000000001" customHeight="1" thickTop="1">
      <c r="A4506" s="233" t="s">
        <v>13301</v>
      </c>
      <c r="B4506" s="28">
        <v>46007</v>
      </c>
      <c r="C4506" s="25">
        <v>800</v>
      </c>
      <c r="D4506" s="13" t="s">
        <v>1578</v>
      </c>
      <c r="E4506" s="228"/>
      <c r="F4506" s="109" t="s">
        <v>13232</v>
      </c>
      <c r="G4506" s="24"/>
      <c r="H4506" s="230">
        <v>4</v>
      </c>
      <c r="I4506" s="220">
        <v>1389000</v>
      </c>
      <c r="J4506" s="220">
        <f>I4506*0.1</f>
        <v>138900</v>
      </c>
      <c r="K4506" s="220">
        <v>0</v>
      </c>
      <c r="L4506" s="220">
        <v>12030</v>
      </c>
      <c r="M4506" s="220">
        <v>17050</v>
      </c>
      <c r="N4506" s="220">
        <f>SUM(I4506:M4507)</f>
        <v>1556980</v>
      </c>
      <c r="O4506" s="224"/>
      <c r="P4506" s="110" t="s">
        <v>13769</v>
      </c>
      <c r="Q4506" s="15" t="s">
        <v>19</v>
      </c>
      <c r="R4506" s="205"/>
      <c r="S4506" s="189"/>
      <c r="T4506" s="114"/>
      <c r="U4506" s="21"/>
      <c r="V4506" s="115">
        <v>46032</v>
      </c>
      <c r="W4506" s="116">
        <v>1283</v>
      </c>
      <c r="X4506" s="220">
        <v>1575000</v>
      </c>
      <c r="Y4506" s="220">
        <v>157500</v>
      </c>
      <c r="Z4506" s="220">
        <v>12030</v>
      </c>
      <c r="AA4506" s="220">
        <f>SUM(X4506:Z4506)</f>
        <v>1744530</v>
      </c>
      <c r="AB4506" s="222">
        <v>46036</v>
      </c>
    </row>
    <row r="4507" spans="1:28" ht="17.100000000000001" customHeight="1" thickBot="1">
      <c r="A4507" s="234"/>
      <c r="B4507" s="27" t="s">
        <v>3314</v>
      </c>
      <c r="C4507" s="27">
        <v>72033</v>
      </c>
      <c r="D4507" s="14" t="s">
        <v>273</v>
      </c>
      <c r="E4507" s="229"/>
      <c r="F4507" s="117" t="s">
        <v>13233</v>
      </c>
      <c r="G4507" s="26">
        <v>72996</v>
      </c>
      <c r="H4507" s="231"/>
      <c r="I4507" s="221"/>
      <c r="J4507" s="221"/>
      <c r="K4507" s="221"/>
      <c r="L4507" s="221"/>
      <c r="M4507" s="221"/>
      <c r="N4507" s="221"/>
      <c r="O4507" s="225"/>
      <c r="P4507" s="118" t="s">
        <v>13770</v>
      </c>
      <c r="Q4507" s="16" t="s">
        <v>20</v>
      </c>
      <c r="R4507" s="17" t="s">
        <v>13750</v>
      </c>
      <c r="S4507" s="121" t="s">
        <v>2166</v>
      </c>
      <c r="T4507" s="122"/>
      <c r="U4507" s="22"/>
      <c r="V4507" s="123" t="s">
        <v>2472</v>
      </c>
      <c r="W4507" s="122">
        <v>50076</v>
      </c>
      <c r="X4507" s="221"/>
      <c r="Y4507" s="221"/>
      <c r="Z4507" s="221"/>
      <c r="AA4507" s="221"/>
      <c r="AB4507" s="223"/>
    </row>
    <row r="4508" spans="1:28" ht="17.100000000000001" customHeight="1" thickTop="1">
      <c r="A4508" s="226" t="s">
        <v>13302</v>
      </c>
      <c r="B4508" s="28">
        <v>46007</v>
      </c>
      <c r="C4508" s="25">
        <v>920</v>
      </c>
      <c r="D4508" s="13" t="s">
        <v>1983</v>
      </c>
      <c r="E4508" s="228"/>
      <c r="F4508" s="109" t="s">
        <v>13245</v>
      </c>
      <c r="G4508" s="24"/>
      <c r="H4508" s="230">
        <v>4.5</v>
      </c>
      <c r="I4508" s="220">
        <v>1426000</v>
      </c>
      <c r="J4508" s="220">
        <f>I4508*0.1</f>
        <v>142600</v>
      </c>
      <c r="K4508" s="220">
        <v>0</v>
      </c>
      <c r="L4508" s="220">
        <v>12270</v>
      </c>
      <c r="M4508" s="220">
        <v>15950</v>
      </c>
      <c r="N4508" s="220">
        <f>SUM(I4508:M4509)</f>
        <v>1596820</v>
      </c>
      <c r="O4508" s="224"/>
      <c r="P4508" s="110" t="s">
        <v>13780</v>
      </c>
      <c r="Q4508" s="15" t="s">
        <v>19</v>
      </c>
      <c r="R4508" s="205"/>
      <c r="S4508" s="189"/>
      <c r="T4508" s="114"/>
      <c r="U4508" s="21"/>
      <c r="V4508" s="115">
        <v>46011</v>
      </c>
      <c r="W4508" s="116">
        <v>1281</v>
      </c>
      <c r="X4508" s="220">
        <v>1580000</v>
      </c>
      <c r="Y4508" s="220">
        <f>X4508*0.1</f>
        <v>158000</v>
      </c>
      <c r="Z4508" s="220">
        <v>12270</v>
      </c>
      <c r="AA4508" s="220">
        <f>SUM(X4508:Z4508)</f>
        <v>1750270</v>
      </c>
      <c r="AB4508" s="222">
        <v>46016</v>
      </c>
    </row>
    <row r="4509" spans="1:28" ht="17.100000000000001" customHeight="1" thickBot="1">
      <c r="A4509" s="227"/>
      <c r="B4509" s="27" t="s">
        <v>2654</v>
      </c>
      <c r="C4509" s="27">
        <v>5016</v>
      </c>
      <c r="D4509" s="14" t="s">
        <v>1584</v>
      </c>
      <c r="E4509" s="229"/>
      <c r="F4509" s="117" t="s">
        <v>13246</v>
      </c>
      <c r="G4509" s="26">
        <v>7270</v>
      </c>
      <c r="H4509" s="231"/>
      <c r="I4509" s="221"/>
      <c r="J4509" s="221"/>
      <c r="K4509" s="221"/>
      <c r="L4509" s="221"/>
      <c r="M4509" s="221"/>
      <c r="N4509" s="221"/>
      <c r="O4509" s="225"/>
      <c r="P4509" s="118" t="s">
        <v>13051</v>
      </c>
      <c r="Q4509" s="16" t="s">
        <v>20</v>
      </c>
      <c r="R4509" s="17" t="s">
        <v>13750</v>
      </c>
      <c r="S4509" s="121" t="s">
        <v>2166</v>
      </c>
      <c r="T4509" s="122"/>
      <c r="U4509" s="22"/>
      <c r="V4509" s="123" t="s">
        <v>2472</v>
      </c>
      <c r="W4509" s="122">
        <v>80402</v>
      </c>
      <c r="X4509" s="221"/>
      <c r="Y4509" s="221"/>
      <c r="Z4509" s="221"/>
      <c r="AA4509" s="221"/>
      <c r="AB4509" s="223"/>
    </row>
    <row r="4510" spans="1:28" ht="17.100000000000001" customHeight="1" thickTop="1">
      <c r="A4510" s="226" t="s">
        <v>13303</v>
      </c>
      <c r="B4510" s="28">
        <v>46007</v>
      </c>
      <c r="C4510" s="25">
        <v>970</v>
      </c>
      <c r="D4510" s="13" t="s">
        <v>1687</v>
      </c>
      <c r="E4510" s="228"/>
      <c r="F4510" s="109" t="s">
        <v>5042</v>
      </c>
      <c r="G4510" s="24"/>
      <c r="H4510" s="230">
        <v>4</v>
      </c>
      <c r="I4510" s="220">
        <v>1398000</v>
      </c>
      <c r="J4510" s="220">
        <f>I4510*0.1</f>
        <v>139800</v>
      </c>
      <c r="K4510" s="220">
        <v>0</v>
      </c>
      <c r="L4510" s="220">
        <v>8630</v>
      </c>
      <c r="M4510" s="220">
        <v>22000</v>
      </c>
      <c r="N4510" s="220">
        <f>SUM(I4510:M4511)</f>
        <v>1568430</v>
      </c>
      <c r="O4510" s="224"/>
      <c r="P4510" s="110" t="s">
        <v>13928</v>
      </c>
      <c r="Q4510" s="15" t="s">
        <v>19</v>
      </c>
      <c r="R4510" s="205"/>
      <c r="S4510" s="189"/>
      <c r="T4510" s="114"/>
      <c r="U4510" s="21"/>
      <c r="V4510" s="115">
        <v>46042</v>
      </c>
      <c r="W4510" s="116">
        <v>1925</v>
      </c>
      <c r="X4510" s="220">
        <v>1371000</v>
      </c>
      <c r="Y4510" s="220">
        <f>X4510*0.1</f>
        <v>137100</v>
      </c>
      <c r="Z4510" s="220">
        <v>8630</v>
      </c>
      <c r="AA4510" s="220">
        <f>SUM(X4510:Z4510)</f>
        <v>1516730</v>
      </c>
      <c r="AB4510" s="222"/>
    </row>
    <row r="4511" spans="1:28" ht="17.100000000000001" customHeight="1" thickBot="1">
      <c r="A4511" s="227"/>
      <c r="B4511" s="27" t="s">
        <v>2029</v>
      </c>
      <c r="C4511" s="27">
        <v>298</v>
      </c>
      <c r="D4511" s="14" t="s">
        <v>3955</v>
      </c>
      <c r="E4511" s="229"/>
      <c r="F4511" s="117" t="s">
        <v>13310</v>
      </c>
      <c r="G4511" s="26">
        <v>28427</v>
      </c>
      <c r="H4511" s="231"/>
      <c r="I4511" s="221"/>
      <c r="J4511" s="221"/>
      <c r="K4511" s="221"/>
      <c r="L4511" s="221"/>
      <c r="M4511" s="221"/>
      <c r="N4511" s="221"/>
      <c r="O4511" s="225"/>
      <c r="P4511" s="118" t="s">
        <v>10934</v>
      </c>
      <c r="Q4511" s="16" t="s">
        <v>20</v>
      </c>
      <c r="R4511" s="17" t="s">
        <v>13841</v>
      </c>
      <c r="S4511" s="121"/>
      <c r="T4511" s="122"/>
      <c r="U4511" s="22"/>
      <c r="V4511" s="123" t="s">
        <v>2103</v>
      </c>
      <c r="W4511" s="122">
        <v>3155</v>
      </c>
      <c r="X4511" s="221"/>
      <c r="Y4511" s="221"/>
      <c r="Z4511" s="221"/>
      <c r="AA4511" s="221"/>
      <c r="AB4511" s="223"/>
    </row>
    <row r="4512" spans="1:28" ht="17.100000000000001" customHeight="1" thickTop="1">
      <c r="A4512" s="226" t="s">
        <v>13304</v>
      </c>
      <c r="B4512" s="28">
        <v>46008</v>
      </c>
      <c r="C4512" s="25">
        <v>1818</v>
      </c>
      <c r="D4512" s="13" t="s">
        <v>2429</v>
      </c>
      <c r="E4512" s="228"/>
      <c r="F4512" s="109" t="s">
        <v>5329</v>
      </c>
      <c r="G4512" s="24" t="s">
        <v>3859</v>
      </c>
      <c r="H4512" s="230">
        <v>4</v>
      </c>
      <c r="I4512" s="220">
        <v>702000</v>
      </c>
      <c r="J4512" s="220">
        <f>I4512*0.1</f>
        <v>70200</v>
      </c>
      <c r="K4512" s="220">
        <v>0</v>
      </c>
      <c r="L4512" s="220">
        <v>9790</v>
      </c>
      <c r="M4512" s="220">
        <v>18150</v>
      </c>
      <c r="N4512" s="220">
        <f>SUM(I4512:M4513)</f>
        <v>800140</v>
      </c>
      <c r="O4512" s="224"/>
      <c r="P4512" s="110" t="s">
        <v>13312</v>
      </c>
      <c r="Q4512" s="15" t="s">
        <v>19</v>
      </c>
      <c r="R4512" s="205"/>
      <c r="S4512" s="189" t="s">
        <v>1361</v>
      </c>
      <c r="T4512" s="114"/>
      <c r="U4512" s="21"/>
      <c r="V4512" s="115">
        <v>46011</v>
      </c>
      <c r="W4512" s="116">
        <v>1281</v>
      </c>
      <c r="X4512" s="220">
        <v>795000</v>
      </c>
      <c r="Y4512" s="220">
        <f>X4512*0.1</f>
        <v>79500</v>
      </c>
      <c r="Z4512" s="220">
        <v>9790</v>
      </c>
      <c r="AA4512" s="220">
        <f>SUM(X4512:Z4512)</f>
        <v>884290</v>
      </c>
      <c r="AB4512" s="222">
        <v>46028</v>
      </c>
    </row>
    <row r="4513" spans="1:28" ht="17.100000000000001" customHeight="1" thickBot="1">
      <c r="A4513" s="227"/>
      <c r="B4513" s="27" t="s">
        <v>2519</v>
      </c>
      <c r="C4513" s="27">
        <v>3038</v>
      </c>
      <c r="D4513" s="14" t="s">
        <v>273</v>
      </c>
      <c r="E4513" s="229"/>
      <c r="F4513" s="117" t="s">
        <v>13311</v>
      </c>
      <c r="G4513" s="26">
        <v>58035</v>
      </c>
      <c r="H4513" s="231"/>
      <c r="I4513" s="221"/>
      <c r="J4513" s="221"/>
      <c r="K4513" s="221"/>
      <c r="L4513" s="221"/>
      <c r="M4513" s="221"/>
      <c r="N4513" s="221"/>
      <c r="O4513" s="225"/>
      <c r="P4513" s="118" t="s">
        <v>11992</v>
      </c>
      <c r="Q4513" s="16" t="s">
        <v>20</v>
      </c>
      <c r="R4513" s="17" t="s">
        <v>3432</v>
      </c>
      <c r="S4513" s="121" t="s">
        <v>169</v>
      </c>
      <c r="T4513" s="122"/>
      <c r="U4513" s="22"/>
      <c r="V4513" s="123" t="s">
        <v>2472</v>
      </c>
      <c r="W4513" s="122">
        <v>60413</v>
      </c>
      <c r="X4513" s="221"/>
      <c r="Y4513" s="221"/>
      <c r="Z4513" s="221"/>
      <c r="AA4513" s="221"/>
      <c r="AB4513" s="223"/>
    </row>
    <row r="4514" spans="1:28" ht="17.100000000000001" customHeight="1" thickTop="1">
      <c r="A4514" s="226" t="s">
        <v>13305</v>
      </c>
      <c r="B4514" s="28">
        <v>46008</v>
      </c>
      <c r="C4514" s="25">
        <v>1818</v>
      </c>
      <c r="D4514" s="13" t="s">
        <v>1542</v>
      </c>
      <c r="E4514" s="228"/>
      <c r="F4514" s="109" t="s">
        <v>1916</v>
      </c>
      <c r="G4514" s="24" t="s">
        <v>2894</v>
      </c>
      <c r="H4514" s="230">
        <v>4.5</v>
      </c>
      <c r="I4514" s="220">
        <v>450000</v>
      </c>
      <c r="J4514" s="220">
        <f>I4514*0.1</f>
        <v>45000</v>
      </c>
      <c r="K4514" s="220">
        <f>8600+860</f>
        <v>9460</v>
      </c>
      <c r="L4514" s="220">
        <v>18960</v>
      </c>
      <c r="M4514" s="220">
        <v>18150</v>
      </c>
      <c r="N4514" s="220">
        <f>SUM(I4514:M4515)</f>
        <v>541570</v>
      </c>
      <c r="O4514" s="224"/>
      <c r="P4514" s="110" t="s">
        <v>13314</v>
      </c>
      <c r="Q4514" s="15" t="s">
        <v>19</v>
      </c>
      <c r="R4514" s="205"/>
      <c r="S4514" s="189"/>
      <c r="T4514" s="114"/>
      <c r="U4514" s="21"/>
      <c r="V4514" s="115">
        <v>46067</v>
      </c>
      <c r="W4514" s="116">
        <v>1288</v>
      </c>
      <c r="X4514" s="220">
        <v>550000</v>
      </c>
      <c r="Y4514" s="220">
        <f>X4514*0.1</f>
        <v>55000</v>
      </c>
      <c r="Z4514" s="220">
        <v>18960</v>
      </c>
      <c r="AA4514" s="220">
        <f>SUM(X4514:Z4514)</f>
        <v>623960</v>
      </c>
      <c r="AB4514" s="222">
        <v>46070</v>
      </c>
    </row>
    <row r="4515" spans="1:28" ht="17.100000000000001" customHeight="1" thickBot="1">
      <c r="A4515" s="227"/>
      <c r="B4515" s="27" t="s">
        <v>2519</v>
      </c>
      <c r="C4515" s="27">
        <v>38150</v>
      </c>
      <c r="D4515" s="14" t="s">
        <v>898</v>
      </c>
      <c r="E4515" s="229"/>
      <c r="F4515" s="117" t="s">
        <v>13313</v>
      </c>
      <c r="G4515" s="26">
        <v>48149</v>
      </c>
      <c r="H4515" s="231"/>
      <c r="I4515" s="221"/>
      <c r="J4515" s="221"/>
      <c r="K4515" s="221"/>
      <c r="L4515" s="221"/>
      <c r="M4515" s="221"/>
      <c r="N4515" s="221"/>
      <c r="O4515" s="225"/>
      <c r="P4515" s="118" t="s">
        <v>13918</v>
      </c>
      <c r="Q4515" s="16" t="s">
        <v>20</v>
      </c>
      <c r="R4515" s="17" t="s">
        <v>13841</v>
      </c>
      <c r="S4515" s="121" t="s">
        <v>7722</v>
      </c>
      <c r="T4515" s="122"/>
      <c r="U4515" s="22"/>
      <c r="V4515" s="123" t="s">
        <v>2472</v>
      </c>
      <c r="W4515" s="122">
        <v>80104</v>
      </c>
      <c r="X4515" s="221"/>
      <c r="Y4515" s="221"/>
      <c r="Z4515" s="221"/>
      <c r="AA4515" s="221"/>
      <c r="AB4515" s="223"/>
    </row>
    <row r="4516" spans="1:28" ht="17.100000000000001" customHeight="1" thickTop="1">
      <c r="A4516" s="226" t="s">
        <v>13306</v>
      </c>
      <c r="B4516" s="28">
        <v>46008</v>
      </c>
      <c r="C4516" s="25">
        <v>2335</v>
      </c>
      <c r="D4516" s="13" t="s">
        <v>2429</v>
      </c>
      <c r="E4516" s="228"/>
      <c r="F4516" s="109" t="s">
        <v>13315</v>
      </c>
      <c r="G4516" s="24"/>
      <c r="H4516" s="230">
        <v>4</v>
      </c>
      <c r="I4516" s="220">
        <v>565000</v>
      </c>
      <c r="J4516" s="220">
        <f>I4516*0.1</f>
        <v>56500</v>
      </c>
      <c r="K4516" s="220">
        <v>0</v>
      </c>
      <c r="L4516" s="220">
        <v>7900</v>
      </c>
      <c r="M4516" s="220">
        <v>16500</v>
      </c>
      <c r="N4516" s="220">
        <f>SUM(I4516:M4517)</f>
        <v>645900</v>
      </c>
      <c r="O4516" s="224"/>
      <c r="P4516" s="110" t="s">
        <v>13566</v>
      </c>
      <c r="Q4516" s="15" t="s">
        <v>19</v>
      </c>
      <c r="R4516" s="205"/>
      <c r="S4516" s="189"/>
      <c r="T4516" s="114"/>
      <c r="U4516" s="21"/>
      <c r="V4516" s="115">
        <v>46383</v>
      </c>
      <c r="W4516" s="116">
        <v>1282</v>
      </c>
      <c r="X4516" s="220">
        <v>650000</v>
      </c>
      <c r="Y4516" s="220">
        <f>X4516*0.1</f>
        <v>65000</v>
      </c>
      <c r="Z4516" s="220">
        <v>7900</v>
      </c>
      <c r="AA4516" s="220">
        <f>SUM(X4516:Z4516)</f>
        <v>722900</v>
      </c>
      <c r="AB4516" s="222">
        <v>46030</v>
      </c>
    </row>
    <row r="4517" spans="1:28" ht="17.100000000000001" customHeight="1" thickBot="1">
      <c r="A4517" s="227"/>
      <c r="B4517" s="27" t="s">
        <v>3367</v>
      </c>
      <c r="C4517" s="27">
        <v>20092</v>
      </c>
      <c r="D4517" s="14" t="s">
        <v>2559</v>
      </c>
      <c r="E4517" s="229"/>
      <c r="F4517" s="117" t="s">
        <v>13316</v>
      </c>
      <c r="G4517" s="26">
        <v>46849</v>
      </c>
      <c r="H4517" s="231"/>
      <c r="I4517" s="221"/>
      <c r="J4517" s="221"/>
      <c r="K4517" s="221"/>
      <c r="L4517" s="221"/>
      <c r="M4517" s="221"/>
      <c r="N4517" s="221"/>
      <c r="O4517" s="225"/>
      <c r="P4517" s="118" t="s">
        <v>4711</v>
      </c>
      <c r="Q4517" s="16" t="s">
        <v>20</v>
      </c>
      <c r="R4517" s="17" t="s">
        <v>13537</v>
      </c>
      <c r="S4517" s="121" t="s">
        <v>4954</v>
      </c>
      <c r="T4517" s="122"/>
      <c r="U4517" s="22"/>
      <c r="V4517" s="123" t="s">
        <v>6641</v>
      </c>
      <c r="W4517" s="122">
        <v>60037</v>
      </c>
      <c r="X4517" s="221"/>
      <c r="Y4517" s="221"/>
      <c r="Z4517" s="221"/>
      <c r="AA4517" s="221"/>
      <c r="AB4517" s="223"/>
    </row>
    <row r="4518" spans="1:28" ht="17.100000000000001" customHeight="1" thickTop="1">
      <c r="A4518" s="233" t="s">
        <v>13307</v>
      </c>
      <c r="B4518" s="28">
        <v>46008</v>
      </c>
      <c r="C4518" s="25">
        <v>2335</v>
      </c>
      <c r="D4518" s="13" t="s">
        <v>2295</v>
      </c>
      <c r="E4518" s="228"/>
      <c r="F4518" s="109" t="s">
        <v>13317</v>
      </c>
      <c r="G4518" s="24" t="s">
        <v>1540</v>
      </c>
      <c r="H4518" s="230">
        <v>4.5</v>
      </c>
      <c r="I4518" s="220">
        <v>1070000</v>
      </c>
      <c r="J4518" s="220">
        <f>I4518*0.1</f>
        <v>107000</v>
      </c>
      <c r="K4518" s="220">
        <f>7600+760</f>
        <v>8360</v>
      </c>
      <c r="L4518" s="220">
        <v>11810</v>
      </c>
      <c r="M4518" s="220">
        <v>16500</v>
      </c>
      <c r="N4518" s="220">
        <f>SUM(I4518:M4519)</f>
        <v>1213670</v>
      </c>
      <c r="O4518" s="224"/>
      <c r="P4518" s="110" t="s">
        <v>13560</v>
      </c>
      <c r="Q4518" s="15" t="s">
        <v>19</v>
      </c>
      <c r="R4518" s="205"/>
      <c r="S4518" s="189" t="s">
        <v>25470</v>
      </c>
      <c r="T4518" s="114"/>
      <c r="U4518" s="21" t="s">
        <v>14589</v>
      </c>
      <c r="V4518" s="115">
        <v>46039</v>
      </c>
      <c r="W4518" s="116">
        <v>1284</v>
      </c>
      <c r="X4518" s="220">
        <v>1185000</v>
      </c>
      <c r="Y4518" s="220">
        <f>X4518*0.1</f>
        <v>118500</v>
      </c>
      <c r="Z4518" s="220">
        <v>11810</v>
      </c>
      <c r="AA4518" s="220">
        <f>SUM(X4518:Z4518)</f>
        <v>1315310</v>
      </c>
      <c r="AB4518" s="222">
        <v>46042</v>
      </c>
    </row>
    <row r="4519" spans="1:28" ht="17.100000000000001" customHeight="1" thickBot="1">
      <c r="A4519" s="234"/>
      <c r="B4519" s="27" t="s">
        <v>3367</v>
      </c>
      <c r="C4519" s="27">
        <v>60107</v>
      </c>
      <c r="D4519" s="14" t="s">
        <v>898</v>
      </c>
      <c r="E4519" s="229"/>
      <c r="F4519" s="117" t="s">
        <v>13318</v>
      </c>
      <c r="G4519" s="26">
        <v>14522</v>
      </c>
      <c r="H4519" s="231"/>
      <c r="I4519" s="221"/>
      <c r="J4519" s="221"/>
      <c r="K4519" s="221"/>
      <c r="L4519" s="221"/>
      <c r="M4519" s="221"/>
      <c r="N4519" s="221"/>
      <c r="O4519" s="225"/>
      <c r="P4519" s="118" t="s">
        <v>13561</v>
      </c>
      <c r="Q4519" s="16" t="s">
        <v>20</v>
      </c>
      <c r="R4519" s="17" t="s">
        <v>13537</v>
      </c>
      <c r="S4519" s="121" t="s">
        <v>169</v>
      </c>
      <c r="T4519" s="122"/>
      <c r="U4519" s="22"/>
      <c r="V4519" s="123" t="s">
        <v>2472</v>
      </c>
      <c r="W4519" s="122">
        <v>80307</v>
      </c>
      <c r="X4519" s="221"/>
      <c r="Y4519" s="221"/>
      <c r="Z4519" s="221"/>
      <c r="AA4519" s="221"/>
      <c r="AB4519" s="223"/>
    </row>
    <row r="4520" spans="1:28" ht="17.100000000000001" customHeight="1" thickTop="1">
      <c r="A4520" s="226" t="s">
        <v>13308</v>
      </c>
      <c r="B4520" s="28">
        <v>46008</v>
      </c>
      <c r="C4520" s="25">
        <v>2335</v>
      </c>
      <c r="D4520" s="13" t="s">
        <v>1908</v>
      </c>
      <c r="E4520" s="228"/>
      <c r="F4520" s="109" t="s">
        <v>13319</v>
      </c>
      <c r="G4520" s="24" t="s">
        <v>2487</v>
      </c>
      <c r="H4520" s="230">
        <v>4.5</v>
      </c>
      <c r="I4520" s="220">
        <v>845000</v>
      </c>
      <c r="J4520" s="220">
        <f>I4520*0.1</f>
        <v>84500</v>
      </c>
      <c r="K4520" s="220">
        <f>9800+980</f>
        <v>10780</v>
      </c>
      <c r="L4520" s="220">
        <v>10830</v>
      </c>
      <c r="M4520" s="220">
        <v>16500</v>
      </c>
      <c r="N4520" s="220">
        <f>SUM(I4520:M4521)</f>
        <v>967610</v>
      </c>
      <c r="O4520" s="224"/>
      <c r="P4520" s="110" t="s">
        <v>13563</v>
      </c>
      <c r="Q4520" s="15" t="s">
        <v>19</v>
      </c>
      <c r="R4520" s="205"/>
      <c r="S4520" s="189" t="s">
        <v>25655</v>
      </c>
      <c r="T4520" s="114"/>
      <c r="U4520" s="21"/>
      <c r="V4520" s="115">
        <v>46018</v>
      </c>
      <c r="W4520" s="116">
        <v>1282</v>
      </c>
      <c r="X4520" s="220">
        <v>935000</v>
      </c>
      <c r="Y4520" s="220">
        <f>X4520*0.1</f>
        <v>93500</v>
      </c>
      <c r="Z4520" s="220">
        <v>10830</v>
      </c>
      <c r="AA4520" s="220">
        <f>SUM(X4520:Z4520)</f>
        <v>1039330</v>
      </c>
      <c r="AB4520" s="222">
        <v>46028</v>
      </c>
    </row>
    <row r="4521" spans="1:28" ht="17.100000000000001" customHeight="1" thickBot="1">
      <c r="A4521" s="227"/>
      <c r="B4521" s="27" t="s">
        <v>3367</v>
      </c>
      <c r="C4521" s="27">
        <v>60175</v>
      </c>
      <c r="D4521" s="14" t="s">
        <v>2559</v>
      </c>
      <c r="E4521" s="229"/>
      <c r="F4521" s="117" t="s">
        <v>13320</v>
      </c>
      <c r="G4521" s="26">
        <v>90403</v>
      </c>
      <c r="H4521" s="231"/>
      <c r="I4521" s="221"/>
      <c r="J4521" s="221"/>
      <c r="K4521" s="221"/>
      <c r="L4521" s="221"/>
      <c r="M4521" s="221"/>
      <c r="N4521" s="221"/>
      <c r="O4521" s="225"/>
      <c r="P4521" s="118" t="s">
        <v>13564</v>
      </c>
      <c r="Q4521" s="16" t="s">
        <v>20</v>
      </c>
      <c r="R4521" s="17" t="s">
        <v>13537</v>
      </c>
      <c r="S4521" s="121" t="s">
        <v>13565</v>
      </c>
      <c r="T4521" s="122"/>
      <c r="U4521" s="22"/>
      <c r="V4521" s="123" t="s">
        <v>2472</v>
      </c>
      <c r="W4521" s="122">
        <v>50012</v>
      </c>
      <c r="X4521" s="221"/>
      <c r="Y4521" s="221"/>
      <c r="Z4521" s="221"/>
      <c r="AA4521" s="221"/>
      <c r="AB4521" s="223"/>
    </row>
    <row r="4522" spans="1:28" ht="17.100000000000001" customHeight="1" thickTop="1">
      <c r="A4522" s="226" t="s">
        <v>13309</v>
      </c>
      <c r="B4522" s="28">
        <v>46008</v>
      </c>
      <c r="C4522" s="25">
        <v>997</v>
      </c>
      <c r="D4522" s="13" t="s">
        <v>3422</v>
      </c>
      <c r="E4522" s="228"/>
      <c r="F4522" s="109" t="s">
        <v>13323</v>
      </c>
      <c r="G4522" s="24"/>
      <c r="H4522" s="230">
        <v>4</v>
      </c>
      <c r="I4522" s="220">
        <v>750000</v>
      </c>
      <c r="J4522" s="220">
        <f>I4522*0.1</f>
        <v>75000</v>
      </c>
      <c r="K4522" s="220">
        <v>0</v>
      </c>
      <c r="L4522" s="220">
        <v>8160</v>
      </c>
      <c r="M4522" s="220">
        <v>12100</v>
      </c>
      <c r="N4522" s="220">
        <f>SUM(I4522:M4523)</f>
        <v>845260</v>
      </c>
      <c r="O4522" s="224"/>
      <c r="P4522" s="110" t="s">
        <v>13854</v>
      </c>
      <c r="Q4522" s="15" t="s">
        <v>19</v>
      </c>
      <c r="R4522" s="205"/>
      <c r="S4522" s="189"/>
      <c r="T4522" s="114"/>
      <c r="U4522" s="21"/>
      <c r="V4522" s="115">
        <v>46011</v>
      </c>
      <c r="W4522" s="116">
        <v>1281</v>
      </c>
      <c r="X4522" s="220">
        <v>800000</v>
      </c>
      <c r="Y4522" s="220">
        <f>X4522*0.1</f>
        <v>80000</v>
      </c>
      <c r="Z4522" s="220">
        <v>8160</v>
      </c>
      <c r="AA4522" s="220">
        <f>SUM(X4522:Z4522)</f>
        <v>888160</v>
      </c>
      <c r="AB4522" s="222">
        <v>46014</v>
      </c>
    </row>
    <row r="4523" spans="1:28" ht="17.100000000000001" customHeight="1" thickBot="1">
      <c r="A4523" s="227"/>
      <c r="B4523" s="27" t="s">
        <v>2747</v>
      </c>
      <c r="C4523" s="27">
        <v>1081</v>
      </c>
      <c r="D4523" s="14" t="s">
        <v>1797</v>
      </c>
      <c r="E4523" s="229"/>
      <c r="F4523" s="117" t="s">
        <v>13324</v>
      </c>
      <c r="G4523" s="26">
        <v>27000</v>
      </c>
      <c r="H4523" s="231"/>
      <c r="I4523" s="221"/>
      <c r="J4523" s="221"/>
      <c r="K4523" s="221"/>
      <c r="L4523" s="221"/>
      <c r="M4523" s="221"/>
      <c r="N4523" s="221"/>
      <c r="O4523" s="225"/>
      <c r="P4523" s="118" t="s">
        <v>13855</v>
      </c>
      <c r="Q4523" s="16" t="s">
        <v>20</v>
      </c>
      <c r="R4523" s="17" t="s">
        <v>3913</v>
      </c>
      <c r="S4523" s="121"/>
      <c r="T4523" s="122"/>
      <c r="U4523" s="22"/>
      <c r="V4523" s="123" t="s">
        <v>2472</v>
      </c>
      <c r="W4523" s="122">
        <v>151</v>
      </c>
      <c r="X4523" s="221"/>
      <c r="Y4523" s="221"/>
      <c r="Z4523" s="221"/>
      <c r="AA4523" s="221"/>
      <c r="AB4523" s="223"/>
    </row>
    <row r="4524" spans="1:28" ht="17.100000000000001" customHeight="1" thickTop="1">
      <c r="A4524" s="226" t="s">
        <v>13321</v>
      </c>
      <c r="B4524" s="28">
        <v>46008</v>
      </c>
      <c r="C4524" s="25">
        <v>997</v>
      </c>
      <c r="D4524" s="13" t="s">
        <v>853</v>
      </c>
      <c r="E4524" s="228"/>
      <c r="F4524" s="109" t="s">
        <v>4807</v>
      </c>
      <c r="G4524" s="24" t="s">
        <v>3528</v>
      </c>
      <c r="H4524" s="230">
        <v>5</v>
      </c>
      <c r="I4524" s="220">
        <v>2170000</v>
      </c>
      <c r="J4524" s="220">
        <f>I4524*0.1</f>
        <v>217000</v>
      </c>
      <c r="K4524" s="220">
        <f>7600+760</f>
        <v>8360</v>
      </c>
      <c r="L4524" s="220">
        <v>8340</v>
      </c>
      <c r="M4524" s="220">
        <v>12100</v>
      </c>
      <c r="N4524" s="220">
        <f>SUM(I4524:M4525)</f>
        <v>2415800</v>
      </c>
      <c r="O4524" s="224"/>
      <c r="P4524" s="110" t="s">
        <v>13326</v>
      </c>
      <c r="Q4524" s="15" t="s">
        <v>19</v>
      </c>
      <c r="R4524" s="205"/>
      <c r="S4524" s="189" t="s">
        <v>25656</v>
      </c>
      <c r="T4524" s="114"/>
      <c r="U4524" s="21"/>
      <c r="V4524" s="115">
        <v>46018</v>
      </c>
      <c r="W4524" s="116">
        <v>1282</v>
      </c>
      <c r="X4524" s="220">
        <v>2220000</v>
      </c>
      <c r="Y4524" s="220">
        <f>X4524*0.1</f>
        <v>222000</v>
      </c>
      <c r="Z4524" s="220">
        <v>8340</v>
      </c>
      <c r="AA4524" s="220">
        <f>SUM(X4524:Z4524)</f>
        <v>2450340</v>
      </c>
      <c r="AB4524" s="222">
        <v>46028</v>
      </c>
    </row>
    <row r="4525" spans="1:28" ht="17.100000000000001" customHeight="1" thickBot="1">
      <c r="A4525" s="227"/>
      <c r="B4525" s="27" t="s">
        <v>2747</v>
      </c>
      <c r="C4525" s="27">
        <v>1114</v>
      </c>
      <c r="D4525" s="14" t="s">
        <v>273</v>
      </c>
      <c r="E4525" s="229"/>
      <c r="F4525" s="117" t="s">
        <v>13325</v>
      </c>
      <c r="G4525" s="26">
        <v>40988</v>
      </c>
      <c r="H4525" s="231"/>
      <c r="I4525" s="221"/>
      <c r="J4525" s="221"/>
      <c r="K4525" s="221"/>
      <c r="L4525" s="221"/>
      <c r="M4525" s="221"/>
      <c r="N4525" s="221"/>
      <c r="O4525" s="225"/>
      <c r="P4525" s="118" t="s">
        <v>13961</v>
      </c>
      <c r="Q4525" s="16" t="s">
        <v>20</v>
      </c>
      <c r="R4525" s="17" t="s">
        <v>3432</v>
      </c>
      <c r="S4525" s="121" t="s">
        <v>5047</v>
      </c>
      <c r="T4525" s="122"/>
      <c r="U4525" s="22"/>
      <c r="V4525" s="123" t="s">
        <v>2472</v>
      </c>
      <c r="W4525" s="122">
        <v>55045</v>
      </c>
      <c r="X4525" s="221"/>
      <c r="Y4525" s="221"/>
      <c r="Z4525" s="221"/>
      <c r="AA4525" s="221"/>
      <c r="AB4525" s="223"/>
    </row>
    <row r="4526" spans="1:28" ht="17.100000000000001" customHeight="1" thickTop="1">
      <c r="A4526" s="233" t="s">
        <v>13322</v>
      </c>
      <c r="B4526" s="28">
        <v>46008</v>
      </c>
      <c r="C4526" s="25">
        <v>997</v>
      </c>
      <c r="D4526" s="13" t="s">
        <v>853</v>
      </c>
      <c r="E4526" s="228"/>
      <c r="F4526" s="109" t="s">
        <v>4807</v>
      </c>
      <c r="G4526" s="24" t="s">
        <v>12338</v>
      </c>
      <c r="H4526" s="230">
        <v>4.5</v>
      </c>
      <c r="I4526" s="220">
        <v>2085000</v>
      </c>
      <c r="J4526" s="220">
        <f>I4526*0.1</f>
        <v>208500</v>
      </c>
      <c r="K4526" s="220">
        <f>7600+760</f>
        <v>8360</v>
      </c>
      <c r="L4526" s="220">
        <v>8340</v>
      </c>
      <c r="M4526" s="220">
        <v>12100</v>
      </c>
      <c r="N4526" s="220">
        <f>SUM(I4526:M4527)</f>
        <v>2322300</v>
      </c>
      <c r="O4526" s="224"/>
      <c r="P4526" s="110" t="s">
        <v>13328</v>
      </c>
      <c r="Q4526" s="15" t="s">
        <v>19</v>
      </c>
      <c r="R4526" s="205"/>
      <c r="S4526" s="189" t="s">
        <v>25496</v>
      </c>
      <c r="T4526" s="114"/>
      <c r="U4526" s="21"/>
      <c r="V4526" s="115">
        <v>46032</v>
      </c>
      <c r="W4526" s="116">
        <v>1283</v>
      </c>
      <c r="X4526" s="220">
        <v>2200000</v>
      </c>
      <c r="Y4526" s="220">
        <f>X4526*0.1</f>
        <v>220000</v>
      </c>
      <c r="Z4526" s="220">
        <v>8340</v>
      </c>
      <c r="AA4526" s="220">
        <f>SUM(X4526:Z4526)</f>
        <v>2428340</v>
      </c>
      <c r="AB4526" s="222">
        <v>46036</v>
      </c>
    </row>
    <row r="4527" spans="1:28" ht="17.100000000000001" customHeight="1" thickBot="1">
      <c r="A4527" s="234"/>
      <c r="B4527" s="27" t="s">
        <v>2747</v>
      </c>
      <c r="C4527" s="27">
        <v>1123</v>
      </c>
      <c r="D4527" s="14" t="s">
        <v>273</v>
      </c>
      <c r="E4527" s="229"/>
      <c r="F4527" s="117" t="s">
        <v>13327</v>
      </c>
      <c r="G4527" s="26">
        <v>17134</v>
      </c>
      <c r="H4527" s="231"/>
      <c r="I4527" s="221"/>
      <c r="J4527" s="221"/>
      <c r="K4527" s="221"/>
      <c r="L4527" s="221"/>
      <c r="M4527" s="221"/>
      <c r="N4527" s="221"/>
      <c r="O4527" s="225"/>
      <c r="P4527" s="118" t="s">
        <v>13956</v>
      </c>
      <c r="Q4527" s="16" t="s">
        <v>20</v>
      </c>
      <c r="R4527" s="17" t="s">
        <v>3432</v>
      </c>
      <c r="S4527" s="121" t="s">
        <v>1731</v>
      </c>
      <c r="T4527" s="122"/>
      <c r="U4527" s="22"/>
      <c r="V4527" s="123" t="s">
        <v>2472</v>
      </c>
      <c r="W4527" s="122">
        <v>55075</v>
      </c>
      <c r="X4527" s="221"/>
      <c r="Y4527" s="221"/>
      <c r="Z4527" s="221"/>
      <c r="AA4527" s="221"/>
      <c r="AB4527" s="223"/>
    </row>
    <row r="4528" spans="1:28" ht="17.100000000000001" customHeight="1" thickTop="1">
      <c r="A4528" s="226" t="s">
        <v>13382</v>
      </c>
      <c r="B4528" s="28">
        <v>46005</v>
      </c>
      <c r="C4528" s="25"/>
      <c r="D4528" s="13" t="s">
        <v>1715</v>
      </c>
      <c r="E4528" s="228"/>
      <c r="F4528" s="109" t="s">
        <v>4051</v>
      </c>
      <c r="G4528" s="24" t="s">
        <v>2494</v>
      </c>
      <c r="H4528" s="230"/>
      <c r="I4528" s="220">
        <v>2000000</v>
      </c>
      <c r="J4528" s="220">
        <v>0</v>
      </c>
      <c r="K4528" s="220">
        <v>0</v>
      </c>
      <c r="L4528" s="220">
        <v>0</v>
      </c>
      <c r="M4528" s="220">
        <v>0</v>
      </c>
      <c r="N4528" s="220">
        <f>SUM(I4528:M4529)</f>
        <v>2000000</v>
      </c>
      <c r="O4528" s="224"/>
      <c r="P4528" s="110" t="s">
        <v>13385</v>
      </c>
      <c r="Q4528" s="15" t="s">
        <v>19</v>
      </c>
      <c r="R4528" s="205"/>
      <c r="S4528" s="189"/>
      <c r="T4528" s="114"/>
      <c r="U4528" s="21"/>
      <c r="V4528" s="115"/>
      <c r="W4528" s="116"/>
      <c r="X4528" s="220"/>
      <c r="Y4528" s="220">
        <f>X4528*0.1</f>
        <v>0</v>
      </c>
      <c r="Z4528" s="220"/>
      <c r="AA4528" s="220">
        <f>SUM(X4528:Z4528)</f>
        <v>0</v>
      </c>
      <c r="AB4528" s="222"/>
    </row>
    <row r="4529" spans="1:28" ht="17.100000000000001" customHeight="1" thickBot="1">
      <c r="A4529" s="227"/>
      <c r="B4529" s="27" t="s">
        <v>13383</v>
      </c>
      <c r="C4529" s="27"/>
      <c r="D4529" s="14"/>
      <c r="E4529" s="229"/>
      <c r="F4529" s="117" t="s">
        <v>13384</v>
      </c>
      <c r="G4529" s="26"/>
      <c r="H4529" s="231"/>
      <c r="I4529" s="221"/>
      <c r="J4529" s="221"/>
      <c r="K4529" s="221"/>
      <c r="L4529" s="221"/>
      <c r="M4529" s="221"/>
      <c r="N4529" s="221"/>
      <c r="O4529" s="225"/>
      <c r="P4529" s="118" t="s">
        <v>13386</v>
      </c>
      <c r="Q4529" s="16" t="s">
        <v>20</v>
      </c>
      <c r="R4529" s="17" t="s">
        <v>3390</v>
      </c>
      <c r="S4529" s="121" t="s">
        <v>1731</v>
      </c>
      <c r="T4529" s="122"/>
      <c r="U4529" s="22"/>
      <c r="V4529" s="123"/>
      <c r="W4529" s="122"/>
      <c r="X4529" s="221"/>
      <c r="Y4529" s="221"/>
      <c r="Z4529" s="221"/>
      <c r="AA4529" s="221"/>
      <c r="AB4529" s="223"/>
    </row>
    <row r="4530" spans="1:28" ht="17.100000000000001" customHeight="1" thickTop="1">
      <c r="A4530" s="226" t="s">
        <v>13387</v>
      </c>
      <c r="B4530" s="28">
        <v>46009</v>
      </c>
      <c r="C4530" s="25">
        <v>2007</v>
      </c>
      <c r="D4530" s="13" t="s">
        <v>2195</v>
      </c>
      <c r="E4530" s="228"/>
      <c r="F4530" s="109" t="s">
        <v>13329</v>
      </c>
      <c r="G4530" s="24" t="s">
        <v>2871</v>
      </c>
      <c r="H4530" s="230">
        <v>3.5</v>
      </c>
      <c r="I4530" s="220">
        <v>735000</v>
      </c>
      <c r="J4530" s="220">
        <f>I4530*0.1</f>
        <v>73500</v>
      </c>
      <c r="K4530" s="220">
        <v>0</v>
      </c>
      <c r="L4530" s="220">
        <v>11130</v>
      </c>
      <c r="M4530" s="220">
        <v>22000</v>
      </c>
      <c r="N4530" s="220">
        <f>SUM(I4530:M4531)</f>
        <v>841630</v>
      </c>
      <c r="O4530" s="224"/>
      <c r="P4530" s="110" t="s">
        <v>13331</v>
      </c>
      <c r="Q4530" s="15" t="s">
        <v>19</v>
      </c>
      <c r="R4530" s="205"/>
      <c r="S4530" s="189" t="s">
        <v>1361</v>
      </c>
      <c r="T4530" s="114"/>
      <c r="U4530" s="21"/>
      <c r="V4530" s="115">
        <v>46015</v>
      </c>
      <c r="W4530" s="116">
        <v>998</v>
      </c>
      <c r="X4530" s="220">
        <v>1260000</v>
      </c>
      <c r="Y4530" s="220">
        <f>X4530*0.1</f>
        <v>126000</v>
      </c>
      <c r="Z4530" s="220">
        <v>11130</v>
      </c>
      <c r="AA4530" s="220">
        <f>SUM(X4530:Z4530)</f>
        <v>1397130</v>
      </c>
      <c r="AB4530" s="222">
        <v>46027</v>
      </c>
    </row>
    <row r="4531" spans="1:28" ht="17.100000000000001" customHeight="1" thickBot="1">
      <c r="A4531" s="227"/>
      <c r="B4531" s="27" t="s">
        <v>2171</v>
      </c>
      <c r="C4531" s="27">
        <v>50042</v>
      </c>
      <c r="D4531" s="14" t="s">
        <v>273</v>
      </c>
      <c r="E4531" s="229"/>
      <c r="F4531" s="117" t="s">
        <v>13330</v>
      </c>
      <c r="G4531" s="26">
        <v>14190</v>
      </c>
      <c r="H4531" s="231"/>
      <c r="I4531" s="221"/>
      <c r="J4531" s="221"/>
      <c r="K4531" s="221"/>
      <c r="L4531" s="221"/>
      <c r="M4531" s="221"/>
      <c r="N4531" s="221"/>
      <c r="O4531" s="225"/>
      <c r="P4531" s="118" t="s">
        <v>2287</v>
      </c>
      <c r="Q4531" s="16" t="s">
        <v>20</v>
      </c>
      <c r="R4531" s="17" t="s">
        <v>13841</v>
      </c>
      <c r="S4531" s="121" t="s">
        <v>9528</v>
      </c>
      <c r="T4531" s="122"/>
      <c r="U4531" s="22"/>
      <c r="V4531" s="123" t="s">
        <v>2747</v>
      </c>
      <c r="W4531" s="122">
        <v>2056</v>
      </c>
      <c r="X4531" s="221"/>
      <c r="Y4531" s="221"/>
      <c r="Z4531" s="221"/>
      <c r="AA4531" s="221"/>
      <c r="AB4531" s="223"/>
    </row>
    <row r="4532" spans="1:28" ht="17.100000000000001" customHeight="1" thickTop="1">
      <c r="A4532" s="226" t="s">
        <v>13388</v>
      </c>
      <c r="B4532" s="28">
        <v>46009</v>
      </c>
      <c r="C4532" s="25">
        <v>2007</v>
      </c>
      <c r="D4532" s="13" t="s">
        <v>3332</v>
      </c>
      <c r="E4532" s="228"/>
      <c r="F4532" s="109" t="s">
        <v>12042</v>
      </c>
      <c r="G4532" s="24" t="s">
        <v>4025</v>
      </c>
      <c r="H4532" s="230">
        <v>4</v>
      </c>
      <c r="I4532" s="220">
        <v>1121000</v>
      </c>
      <c r="J4532" s="220">
        <f>I4532*0.1</f>
        <v>112100</v>
      </c>
      <c r="K4532" s="220">
        <v>0</v>
      </c>
      <c r="L4532" s="220">
        <v>7040</v>
      </c>
      <c r="M4532" s="220">
        <v>22000</v>
      </c>
      <c r="N4532" s="220">
        <f>SUM(I4532:M4533)</f>
        <v>1262140</v>
      </c>
      <c r="O4532" s="224"/>
      <c r="P4532" s="110" t="s">
        <v>13333</v>
      </c>
      <c r="Q4532" s="15" t="s">
        <v>19</v>
      </c>
      <c r="R4532" s="205"/>
      <c r="S4532" s="189" t="s">
        <v>25574</v>
      </c>
      <c r="T4532" s="114"/>
      <c r="U4532" s="85" t="s">
        <v>13333</v>
      </c>
      <c r="V4532" s="115">
        <v>46063</v>
      </c>
      <c r="W4532" s="116">
        <v>1928</v>
      </c>
      <c r="X4532" s="220">
        <v>1170000</v>
      </c>
      <c r="Y4532" s="220">
        <f>X4532*0.1</f>
        <v>117000</v>
      </c>
      <c r="Z4532" s="220">
        <v>7040</v>
      </c>
      <c r="AA4532" s="220">
        <f>SUM(X4532:Z4532)</f>
        <v>1294040</v>
      </c>
      <c r="AB4532" s="222"/>
    </row>
    <row r="4533" spans="1:28" ht="17.100000000000001" customHeight="1" thickBot="1">
      <c r="A4533" s="227"/>
      <c r="B4533" s="27" t="s">
        <v>2171</v>
      </c>
      <c r="C4533" s="27">
        <v>50106</v>
      </c>
      <c r="D4533" s="14" t="s">
        <v>898</v>
      </c>
      <c r="E4533" s="229"/>
      <c r="F4533" s="117" t="s">
        <v>13332</v>
      </c>
      <c r="G4533" s="26">
        <v>54713</v>
      </c>
      <c r="H4533" s="231"/>
      <c r="I4533" s="221"/>
      <c r="J4533" s="221"/>
      <c r="K4533" s="221"/>
      <c r="L4533" s="221"/>
      <c r="M4533" s="221"/>
      <c r="N4533" s="221"/>
      <c r="O4533" s="225"/>
      <c r="P4533" s="118" t="s">
        <v>13936</v>
      </c>
      <c r="Q4533" s="16" t="s">
        <v>20</v>
      </c>
      <c r="R4533" s="17" t="s">
        <v>13841</v>
      </c>
      <c r="S4533" s="121" t="s">
        <v>169</v>
      </c>
      <c r="T4533" s="122"/>
      <c r="U4533" s="22"/>
      <c r="V4533" s="123" t="s">
        <v>2103</v>
      </c>
      <c r="W4533" s="122">
        <v>3073</v>
      </c>
      <c r="X4533" s="221"/>
      <c r="Y4533" s="221"/>
      <c r="Z4533" s="221"/>
      <c r="AA4533" s="221"/>
      <c r="AB4533" s="223"/>
    </row>
    <row r="4534" spans="1:28" ht="17.100000000000001" customHeight="1" thickTop="1">
      <c r="A4534" s="226" t="s">
        <v>13389</v>
      </c>
      <c r="B4534" s="28">
        <v>46009</v>
      </c>
      <c r="C4534" s="25">
        <v>2007</v>
      </c>
      <c r="D4534" s="13" t="s">
        <v>1733</v>
      </c>
      <c r="E4534" s="228"/>
      <c r="F4534" s="109" t="s">
        <v>3270</v>
      </c>
      <c r="G4534" s="24"/>
      <c r="H4534" s="230">
        <v>4</v>
      </c>
      <c r="I4534" s="220">
        <v>937000</v>
      </c>
      <c r="J4534" s="220">
        <f>I4534*0.1</f>
        <v>93700</v>
      </c>
      <c r="K4534" s="220">
        <v>0</v>
      </c>
      <c r="L4534" s="220">
        <v>8110</v>
      </c>
      <c r="M4534" s="220">
        <v>22000</v>
      </c>
      <c r="N4534" s="220">
        <f>SUM(I4534:M4535)</f>
        <v>1060810</v>
      </c>
      <c r="O4534" s="224"/>
      <c r="P4534" s="110" t="s">
        <v>13651</v>
      </c>
      <c r="Q4534" s="15" t="s">
        <v>19</v>
      </c>
      <c r="R4534" s="205"/>
      <c r="S4534" s="189" t="s">
        <v>25657</v>
      </c>
      <c r="T4534" s="114"/>
      <c r="U4534" s="21"/>
      <c r="V4534" s="115">
        <v>46036</v>
      </c>
      <c r="W4534" s="116">
        <v>1000</v>
      </c>
      <c r="X4534" s="220">
        <v>990000</v>
      </c>
      <c r="Y4534" s="220">
        <f>X4534*0.1</f>
        <v>99000</v>
      </c>
      <c r="Z4534" s="220">
        <v>8110</v>
      </c>
      <c r="AA4534" s="220">
        <f>SUM(X4534:Z4534)</f>
        <v>1097110</v>
      </c>
      <c r="AB4534" s="222">
        <v>46041</v>
      </c>
    </row>
    <row r="4535" spans="1:28" ht="17.100000000000001" customHeight="1" thickBot="1">
      <c r="A4535" s="227"/>
      <c r="B4535" s="27" t="s">
        <v>2171</v>
      </c>
      <c r="C4535" s="27">
        <v>50118</v>
      </c>
      <c r="D4535" s="14" t="s">
        <v>2559</v>
      </c>
      <c r="E4535" s="229"/>
      <c r="F4535" s="117" t="s">
        <v>13334</v>
      </c>
      <c r="G4535" s="26">
        <v>54878</v>
      </c>
      <c r="H4535" s="231"/>
      <c r="I4535" s="221"/>
      <c r="J4535" s="221"/>
      <c r="K4535" s="221"/>
      <c r="L4535" s="221"/>
      <c r="M4535" s="221"/>
      <c r="N4535" s="221"/>
      <c r="O4535" s="225"/>
      <c r="P4535" s="118" t="s">
        <v>13652</v>
      </c>
      <c r="Q4535" s="16" t="s">
        <v>20</v>
      </c>
      <c r="R4535" s="17" t="s">
        <v>1794</v>
      </c>
      <c r="S4535" s="121" t="s">
        <v>13653</v>
      </c>
      <c r="T4535" s="122"/>
      <c r="U4535" s="22"/>
      <c r="V4535" s="123" t="s">
        <v>2747</v>
      </c>
      <c r="W4535" s="122">
        <v>2048</v>
      </c>
      <c r="X4535" s="221"/>
      <c r="Y4535" s="221"/>
      <c r="Z4535" s="221"/>
      <c r="AA4535" s="221"/>
      <c r="AB4535" s="223"/>
    </row>
    <row r="4536" spans="1:28" ht="17.100000000000001" customHeight="1" thickTop="1">
      <c r="A4536" s="226" t="s">
        <v>13390</v>
      </c>
      <c r="B4536" s="28">
        <v>46009</v>
      </c>
      <c r="C4536" s="25">
        <v>2007</v>
      </c>
      <c r="D4536" s="13" t="s">
        <v>1589</v>
      </c>
      <c r="E4536" s="228"/>
      <c r="F4536" s="109" t="s">
        <v>13196</v>
      </c>
      <c r="G4536" s="24"/>
      <c r="H4536" s="230">
        <v>4</v>
      </c>
      <c r="I4536" s="220">
        <v>555000</v>
      </c>
      <c r="J4536" s="220">
        <f>I4536*0.1</f>
        <v>55500</v>
      </c>
      <c r="K4536" s="220">
        <v>0</v>
      </c>
      <c r="L4536" s="220">
        <v>8110</v>
      </c>
      <c r="M4536" s="220">
        <v>22000</v>
      </c>
      <c r="N4536" s="220">
        <f>SUM(I4536:M4537)</f>
        <v>640610</v>
      </c>
      <c r="O4536" s="224"/>
      <c r="P4536" s="110" t="s">
        <v>13933</v>
      </c>
      <c r="Q4536" s="15" t="s">
        <v>19</v>
      </c>
      <c r="R4536" s="205"/>
      <c r="S4536" s="189" t="s">
        <v>1312</v>
      </c>
      <c r="T4536" s="114"/>
      <c r="U4536" s="21"/>
      <c r="V4536" s="115">
        <v>46029</v>
      </c>
      <c r="W4536" s="116">
        <v>999</v>
      </c>
      <c r="X4536" s="220">
        <v>660000</v>
      </c>
      <c r="Y4536" s="220">
        <f>X4536*0.1</f>
        <v>66000</v>
      </c>
      <c r="Z4536" s="220">
        <v>8110</v>
      </c>
      <c r="AA4536" s="220">
        <f>SUM(X4536:Z4536)</f>
        <v>734110</v>
      </c>
      <c r="AB4536" s="222">
        <v>46036</v>
      </c>
    </row>
    <row r="4537" spans="1:28" ht="17.100000000000001" customHeight="1" thickBot="1">
      <c r="A4537" s="227"/>
      <c r="B4537" s="27" t="s">
        <v>2171</v>
      </c>
      <c r="C4537" s="27">
        <v>50156</v>
      </c>
      <c r="D4537" s="14" t="s">
        <v>1568</v>
      </c>
      <c r="E4537" s="229"/>
      <c r="F4537" s="117" t="s">
        <v>13335</v>
      </c>
      <c r="G4537" s="26">
        <v>58211</v>
      </c>
      <c r="H4537" s="231"/>
      <c r="I4537" s="221"/>
      <c r="J4537" s="221"/>
      <c r="K4537" s="221"/>
      <c r="L4537" s="221"/>
      <c r="M4537" s="221"/>
      <c r="N4537" s="221"/>
      <c r="O4537" s="225"/>
      <c r="P4537" s="118" t="s">
        <v>13934</v>
      </c>
      <c r="Q4537" s="16" t="s">
        <v>20</v>
      </c>
      <c r="R4537" s="17" t="s">
        <v>13841</v>
      </c>
      <c r="S4537" s="121" t="s">
        <v>13935</v>
      </c>
      <c r="T4537" s="122"/>
      <c r="U4537" s="22"/>
      <c r="V4537" s="123" t="s">
        <v>7161</v>
      </c>
      <c r="W4537" s="122">
        <v>2034</v>
      </c>
      <c r="X4537" s="221"/>
      <c r="Y4537" s="221"/>
      <c r="Z4537" s="221"/>
      <c r="AA4537" s="221"/>
      <c r="AB4537" s="223"/>
    </row>
    <row r="4538" spans="1:28" ht="17.100000000000001" customHeight="1" thickTop="1">
      <c r="A4538" s="233" t="s">
        <v>13391</v>
      </c>
      <c r="B4538" s="28">
        <v>46009</v>
      </c>
      <c r="C4538" s="25">
        <v>2007</v>
      </c>
      <c r="D4538" s="13" t="s">
        <v>2811</v>
      </c>
      <c r="E4538" s="228"/>
      <c r="F4538" s="109" t="s">
        <v>13336</v>
      </c>
      <c r="G4538" s="24"/>
      <c r="H4538" s="230">
        <v>4</v>
      </c>
      <c r="I4538" s="220">
        <v>722000</v>
      </c>
      <c r="J4538" s="220">
        <f>I4538*0.1</f>
        <v>72200</v>
      </c>
      <c r="K4538" s="220">
        <v>0</v>
      </c>
      <c r="L4538" s="220">
        <v>8430</v>
      </c>
      <c r="M4538" s="220">
        <v>22000</v>
      </c>
      <c r="N4538" s="220">
        <f>SUM(I4538:M4539)</f>
        <v>824630</v>
      </c>
      <c r="O4538" s="224"/>
      <c r="P4538" s="110" t="s">
        <v>13937</v>
      </c>
      <c r="Q4538" s="15" t="s">
        <v>19</v>
      </c>
      <c r="R4538" s="205"/>
      <c r="S4538" s="189" t="s">
        <v>1361</v>
      </c>
      <c r="T4538" s="114"/>
      <c r="U4538" s="21"/>
      <c r="V4538" s="115">
        <v>46039</v>
      </c>
      <c r="W4538" s="116">
        <v>1284</v>
      </c>
      <c r="X4538" s="220">
        <v>795000</v>
      </c>
      <c r="Y4538" s="220">
        <f>X4538*0.1</f>
        <v>79500</v>
      </c>
      <c r="Z4538" s="220">
        <v>8430</v>
      </c>
      <c r="AA4538" s="220">
        <f>SUM(X4538:Z4538)</f>
        <v>882930</v>
      </c>
      <c r="AB4538" s="222">
        <v>46042</v>
      </c>
    </row>
    <row r="4539" spans="1:28" ht="17.100000000000001" customHeight="1" thickBot="1">
      <c r="A4539" s="234"/>
      <c r="B4539" s="27" t="s">
        <v>2171</v>
      </c>
      <c r="C4539" s="27">
        <v>50167</v>
      </c>
      <c r="D4539" s="14" t="s">
        <v>273</v>
      </c>
      <c r="E4539" s="229"/>
      <c r="F4539" s="117" t="s">
        <v>13337</v>
      </c>
      <c r="G4539" s="26">
        <v>59066</v>
      </c>
      <c r="H4539" s="231"/>
      <c r="I4539" s="221"/>
      <c r="J4539" s="221"/>
      <c r="K4539" s="221"/>
      <c r="L4539" s="221"/>
      <c r="M4539" s="221"/>
      <c r="N4539" s="221"/>
      <c r="O4539" s="225"/>
      <c r="P4539" s="118" t="s">
        <v>13938</v>
      </c>
      <c r="Q4539" s="16" t="s">
        <v>20</v>
      </c>
      <c r="R4539" s="17" t="s">
        <v>13841</v>
      </c>
      <c r="S4539" s="121" t="s">
        <v>1601</v>
      </c>
      <c r="T4539" s="122"/>
      <c r="U4539" s="22"/>
      <c r="V4539" s="123" t="s">
        <v>2472</v>
      </c>
      <c r="W4539" s="122">
        <v>60076</v>
      </c>
      <c r="X4539" s="221"/>
      <c r="Y4539" s="221"/>
      <c r="Z4539" s="221"/>
      <c r="AA4539" s="221"/>
      <c r="AB4539" s="223"/>
    </row>
    <row r="4540" spans="1:28" ht="17.100000000000001" customHeight="1" thickTop="1">
      <c r="A4540" s="226" t="s">
        <v>13392</v>
      </c>
      <c r="B4540" s="28">
        <v>46009</v>
      </c>
      <c r="C4540" s="25">
        <v>2007</v>
      </c>
      <c r="D4540" s="13" t="s">
        <v>1589</v>
      </c>
      <c r="E4540" s="228"/>
      <c r="F4540" s="109" t="s">
        <v>13338</v>
      </c>
      <c r="G4540" s="24"/>
      <c r="H4540" s="230">
        <v>4</v>
      </c>
      <c r="I4540" s="220">
        <v>883000</v>
      </c>
      <c r="J4540" s="220">
        <f>I4540*0.1</f>
        <v>88300</v>
      </c>
      <c r="K4540" s="220">
        <v>0</v>
      </c>
      <c r="L4540" s="220">
        <v>8790</v>
      </c>
      <c r="M4540" s="220">
        <v>22000</v>
      </c>
      <c r="N4540" s="220">
        <f>SUM(I4540:M4541)</f>
        <v>1002090</v>
      </c>
      <c r="O4540" s="224"/>
      <c r="P4540" s="110" t="s">
        <v>13929</v>
      </c>
      <c r="Q4540" s="15" t="s">
        <v>19</v>
      </c>
      <c r="R4540" s="205"/>
      <c r="S4540" s="189" t="s">
        <v>758</v>
      </c>
      <c r="T4540" s="114"/>
      <c r="U4540" s="21"/>
      <c r="V4540" s="115">
        <v>46064</v>
      </c>
      <c r="W4540" s="116">
        <v>1004</v>
      </c>
      <c r="X4540" s="220">
        <v>960000</v>
      </c>
      <c r="Y4540" s="220">
        <f>X4540*0.1</f>
        <v>96000</v>
      </c>
      <c r="Z4540" s="220">
        <v>8790</v>
      </c>
      <c r="AA4540" s="220">
        <f>SUM(X4540:Z4540)</f>
        <v>1064790</v>
      </c>
      <c r="AB4540" s="222">
        <v>46070</v>
      </c>
    </row>
    <row r="4541" spans="1:28" ht="17.100000000000001" customHeight="1" thickBot="1">
      <c r="A4541" s="227"/>
      <c r="B4541" s="27" t="s">
        <v>2171</v>
      </c>
      <c r="C4541" s="27">
        <v>50173</v>
      </c>
      <c r="D4541" s="14" t="s">
        <v>898</v>
      </c>
      <c r="E4541" s="229"/>
      <c r="F4541" s="117" t="s">
        <v>13339</v>
      </c>
      <c r="G4541" s="26">
        <v>20777</v>
      </c>
      <c r="H4541" s="231"/>
      <c r="I4541" s="221"/>
      <c r="J4541" s="221"/>
      <c r="K4541" s="221"/>
      <c r="L4541" s="221"/>
      <c r="M4541" s="221"/>
      <c r="N4541" s="221"/>
      <c r="O4541" s="225"/>
      <c r="P4541" s="118" t="s">
        <v>1972</v>
      </c>
      <c r="Q4541" s="16" t="s">
        <v>20</v>
      </c>
      <c r="R4541" s="17" t="s">
        <v>13841</v>
      </c>
      <c r="S4541" s="121" t="s">
        <v>1661</v>
      </c>
      <c r="T4541" s="122"/>
      <c r="U4541" s="22"/>
      <c r="V4541" s="123" t="s">
        <v>7161</v>
      </c>
      <c r="W4541" s="122">
        <v>2049</v>
      </c>
      <c r="X4541" s="221"/>
      <c r="Y4541" s="221"/>
      <c r="Z4541" s="221"/>
      <c r="AA4541" s="221"/>
      <c r="AB4541" s="223"/>
    </row>
    <row r="4542" spans="1:28" ht="17.100000000000001" customHeight="1" thickTop="1">
      <c r="A4542" s="233" t="s">
        <v>13393</v>
      </c>
      <c r="B4542" s="28">
        <v>46009</v>
      </c>
      <c r="C4542" s="25">
        <v>2007</v>
      </c>
      <c r="D4542" s="13" t="s">
        <v>1702</v>
      </c>
      <c r="E4542" s="228"/>
      <c r="F4542" s="109" t="s">
        <v>5334</v>
      </c>
      <c r="G4542" s="24"/>
      <c r="H4542" s="230">
        <v>4</v>
      </c>
      <c r="I4542" s="220">
        <v>609000</v>
      </c>
      <c r="J4542" s="220">
        <f>I4542*0.1</f>
        <v>60900</v>
      </c>
      <c r="K4542" s="220">
        <v>0</v>
      </c>
      <c r="L4542" s="220">
        <v>7950</v>
      </c>
      <c r="M4542" s="220">
        <v>22000</v>
      </c>
      <c r="N4542" s="220">
        <f>SUM(I4542:M4543)</f>
        <v>699850</v>
      </c>
      <c r="O4542" s="224"/>
      <c r="P4542" s="110" t="s">
        <v>13927</v>
      </c>
      <c r="Q4542" s="15" t="s">
        <v>19</v>
      </c>
      <c r="R4542" s="205"/>
      <c r="S4542" s="189" t="s">
        <v>1406</v>
      </c>
      <c r="T4542" s="114"/>
      <c r="U4542" s="21"/>
      <c r="V4542" s="115">
        <v>46032</v>
      </c>
      <c r="W4542" s="116">
        <v>1283</v>
      </c>
      <c r="X4542" s="220">
        <v>745000</v>
      </c>
      <c r="Y4542" s="220">
        <f>X4542*0.1</f>
        <v>74500</v>
      </c>
      <c r="Z4542" s="220">
        <v>7950</v>
      </c>
      <c r="AA4542" s="220">
        <f>SUM(X4542:Z4542)</f>
        <v>827450</v>
      </c>
      <c r="AB4542" s="222">
        <v>46036</v>
      </c>
    </row>
    <row r="4543" spans="1:28" ht="17.100000000000001" customHeight="1" thickBot="1">
      <c r="A4543" s="234"/>
      <c r="B4543" s="27" t="s">
        <v>2171</v>
      </c>
      <c r="C4543" s="27">
        <v>50207</v>
      </c>
      <c r="D4543" s="14" t="s">
        <v>3274</v>
      </c>
      <c r="E4543" s="229"/>
      <c r="F4543" s="117" t="s">
        <v>13340</v>
      </c>
      <c r="G4543" s="26">
        <v>57336</v>
      </c>
      <c r="H4543" s="231"/>
      <c r="I4543" s="221"/>
      <c r="J4543" s="221"/>
      <c r="K4543" s="221"/>
      <c r="L4543" s="221"/>
      <c r="M4543" s="221"/>
      <c r="N4543" s="221"/>
      <c r="O4543" s="225"/>
      <c r="P4543" s="118" t="s">
        <v>1664</v>
      </c>
      <c r="Q4543" s="16" t="s">
        <v>20</v>
      </c>
      <c r="R4543" s="17" t="s">
        <v>13841</v>
      </c>
      <c r="S4543" s="121" t="s">
        <v>13926</v>
      </c>
      <c r="T4543" s="122"/>
      <c r="U4543" s="22"/>
      <c r="V4543" s="123" t="s">
        <v>2472</v>
      </c>
      <c r="W4543" s="122">
        <v>60073</v>
      </c>
      <c r="X4543" s="221"/>
      <c r="Y4543" s="221"/>
      <c r="Z4543" s="221"/>
      <c r="AA4543" s="221"/>
      <c r="AB4543" s="223"/>
    </row>
    <row r="4544" spans="1:28" ht="17.100000000000001" customHeight="1" thickTop="1">
      <c r="A4544" s="226" t="s">
        <v>13394</v>
      </c>
      <c r="B4544" s="28">
        <v>46009</v>
      </c>
      <c r="C4544" s="25">
        <v>2007</v>
      </c>
      <c r="D4544" s="13" t="s">
        <v>1976</v>
      </c>
      <c r="E4544" s="228"/>
      <c r="F4544" s="109" t="s">
        <v>13341</v>
      </c>
      <c r="G4544" s="24"/>
      <c r="H4544" s="230">
        <v>4</v>
      </c>
      <c r="I4544" s="220">
        <v>937000</v>
      </c>
      <c r="J4544" s="220">
        <f>I4544*0.1</f>
        <v>93700</v>
      </c>
      <c r="K4544" s="220">
        <v>0</v>
      </c>
      <c r="L4544" s="220">
        <v>7040</v>
      </c>
      <c r="M4544" s="220">
        <v>22000</v>
      </c>
      <c r="N4544" s="220">
        <f>SUM(I4544:M4545)</f>
        <v>1059740</v>
      </c>
      <c r="O4544" s="224"/>
      <c r="P4544" s="110" t="s">
        <v>13925</v>
      </c>
      <c r="Q4544" s="15" t="s">
        <v>19</v>
      </c>
      <c r="R4544" s="205"/>
      <c r="S4544" s="189" t="s">
        <v>1406</v>
      </c>
      <c r="T4544" s="114"/>
      <c r="U4544" s="21"/>
      <c r="V4544" s="115">
        <v>46029</v>
      </c>
      <c r="W4544" s="116">
        <v>999</v>
      </c>
      <c r="X4544" s="220">
        <v>995000</v>
      </c>
      <c r="Y4544" s="220">
        <f>X4544*0.1</f>
        <v>99500</v>
      </c>
      <c r="Z4544" s="220">
        <v>7040</v>
      </c>
      <c r="AA4544" s="220">
        <f>SUM(X4544:Z4544)</f>
        <v>1101540</v>
      </c>
      <c r="AB4544" s="222">
        <v>46035</v>
      </c>
    </row>
    <row r="4545" spans="1:28" ht="17.100000000000001" customHeight="1" thickBot="1">
      <c r="A4545" s="227"/>
      <c r="B4545" s="27" t="s">
        <v>2171</v>
      </c>
      <c r="C4545" s="27">
        <v>50213</v>
      </c>
      <c r="D4545" s="14" t="s">
        <v>3274</v>
      </c>
      <c r="E4545" s="229"/>
      <c r="F4545" s="117" t="s">
        <v>13342</v>
      </c>
      <c r="G4545" s="26">
        <v>8567</v>
      </c>
      <c r="H4545" s="231"/>
      <c r="I4545" s="221"/>
      <c r="J4545" s="221"/>
      <c r="K4545" s="221"/>
      <c r="L4545" s="221"/>
      <c r="M4545" s="221"/>
      <c r="N4545" s="221"/>
      <c r="O4545" s="225"/>
      <c r="P4545" s="118" t="s">
        <v>1664</v>
      </c>
      <c r="Q4545" s="16" t="s">
        <v>20</v>
      </c>
      <c r="R4545" s="17" t="s">
        <v>13841</v>
      </c>
      <c r="S4545" s="121" t="s">
        <v>13926</v>
      </c>
      <c r="T4545" s="122"/>
      <c r="U4545" s="22"/>
      <c r="V4545" s="123" t="s">
        <v>2747</v>
      </c>
      <c r="W4545" s="122">
        <v>2048</v>
      </c>
      <c r="X4545" s="221"/>
      <c r="Y4545" s="221"/>
      <c r="Z4545" s="221"/>
      <c r="AA4545" s="221"/>
      <c r="AB4545" s="223"/>
    </row>
    <row r="4546" spans="1:28" ht="17.100000000000001" customHeight="1" thickTop="1">
      <c r="A4546" s="233" t="s">
        <v>13395</v>
      </c>
      <c r="B4546" s="28">
        <v>46009</v>
      </c>
      <c r="C4546" s="25">
        <v>2007</v>
      </c>
      <c r="D4546" s="13" t="s">
        <v>11049</v>
      </c>
      <c r="E4546" s="228"/>
      <c r="F4546" s="109" t="s">
        <v>4828</v>
      </c>
      <c r="G4546" s="24"/>
      <c r="H4546" s="230">
        <v>4</v>
      </c>
      <c r="I4546" s="220">
        <v>315000</v>
      </c>
      <c r="J4546" s="220">
        <f>I4546*0.1</f>
        <v>31500</v>
      </c>
      <c r="K4546" s="220">
        <v>0</v>
      </c>
      <c r="L4546" s="220">
        <v>9170</v>
      </c>
      <c r="M4546" s="220">
        <v>22000</v>
      </c>
      <c r="N4546" s="220">
        <f>SUM(I4546:M4547)</f>
        <v>377670</v>
      </c>
      <c r="O4546" s="224"/>
      <c r="P4546" s="110" t="s">
        <v>13930</v>
      </c>
      <c r="Q4546" s="15" t="s">
        <v>19</v>
      </c>
      <c r="R4546" s="205"/>
      <c r="S4546" s="189"/>
      <c r="T4546" s="114"/>
      <c r="U4546" s="21"/>
      <c r="V4546" s="115">
        <v>46032</v>
      </c>
      <c r="W4546" s="116">
        <v>1283</v>
      </c>
      <c r="X4546" s="220">
        <v>380000</v>
      </c>
      <c r="Y4546" s="220">
        <f>X4546*0.1</f>
        <v>38000</v>
      </c>
      <c r="Z4546" s="220">
        <v>9170</v>
      </c>
      <c r="AA4546" s="220">
        <f>SUM(X4546:Z4546)</f>
        <v>427170</v>
      </c>
      <c r="AB4546" s="222">
        <v>46036</v>
      </c>
    </row>
    <row r="4547" spans="1:28" ht="17.100000000000001" customHeight="1" thickBot="1">
      <c r="A4547" s="234"/>
      <c r="B4547" s="27" t="s">
        <v>2171</v>
      </c>
      <c r="C4547" s="27">
        <v>90068</v>
      </c>
      <c r="D4547" s="14" t="s">
        <v>3274</v>
      </c>
      <c r="E4547" s="229"/>
      <c r="F4547" s="117" t="s">
        <v>13343</v>
      </c>
      <c r="G4547" s="26">
        <v>40366</v>
      </c>
      <c r="H4547" s="231"/>
      <c r="I4547" s="221"/>
      <c r="J4547" s="221"/>
      <c r="K4547" s="221"/>
      <c r="L4547" s="221"/>
      <c r="M4547" s="221"/>
      <c r="N4547" s="221"/>
      <c r="O4547" s="225"/>
      <c r="P4547" s="118" t="s">
        <v>13931</v>
      </c>
      <c r="Q4547" s="16" t="s">
        <v>20</v>
      </c>
      <c r="R4547" s="17" t="s">
        <v>13841</v>
      </c>
      <c r="S4547" s="121" t="s">
        <v>13932</v>
      </c>
      <c r="T4547" s="122"/>
      <c r="U4547" s="22"/>
      <c r="V4547" s="123" t="s">
        <v>2472</v>
      </c>
      <c r="W4547" s="122">
        <v>60055</v>
      </c>
      <c r="X4547" s="221"/>
      <c r="Y4547" s="221"/>
      <c r="Z4547" s="221"/>
      <c r="AA4547" s="221"/>
      <c r="AB4547" s="223"/>
    </row>
    <row r="4548" spans="1:28" ht="17.100000000000001" customHeight="1" thickTop="1" thickBot="1">
      <c r="A4548" s="226" t="s">
        <v>13396</v>
      </c>
      <c r="B4548" s="28">
        <v>46009</v>
      </c>
      <c r="C4548" s="25">
        <v>1963</v>
      </c>
      <c r="D4548" s="13" t="s">
        <v>2264</v>
      </c>
      <c r="E4548" s="228"/>
      <c r="F4548" s="109" t="s">
        <v>13344</v>
      </c>
      <c r="G4548" s="24"/>
      <c r="H4548" s="230">
        <v>4.5</v>
      </c>
      <c r="I4548" s="220">
        <v>1132000</v>
      </c>
      <c r="J4548" s="220">
        <f>I4548*0.1</f>
        <v>113200</v>
      </c>
      <c r="K4548" s="220">
        <v>0</v>
      </c>
      <c r="L4548" s="220">
        <v>9810</v>
      </c>
      <c r="M4548" s="220">
        <v>17050</v>
      </c>
      <c r="N4548" s="220">
        <f>SUM(I4548:M4549)</f>
        <v>1272060</v>
      </c>
      <c r="O4548" s="224"/>
      <c r="P4548" s="110" t="s">
        <v>13654</v>
      </c>
      <c r="Q4548" s="15" t="s">
        <v>19</v>
      </c>
      <c r="R4548" s="205"/>
      <c r="S4548" s="189"/>
      <c r="T4548" s="114"/>
      <c r="U4548" s="21"/>
      <c r="V4548" s="115">
        <v>46064</v>
      </c>
      <c r="W4548" s="116">
        <v>1004</v>
      </c>
      <c r="X4548" s="220">
        <v>1305000</v>
      </c>
      <c r="Y4548" s="220">
        <f>X4548*0.1</f>
        <v>130500</v>
      </c>
      <c r="Z4548" s="220">
        <v>9810</v>
      </c>
      <c r="AA4548" s="220">
        <f>SUM(X4548:Z4548)</f>
        <v>1445310</v>
      </c>
      <c r="AB4548" s="222">
        <v>46069</v>
      </c>
    </row>
    <row r="4549" spans="1:28" ht="17.100000000000001" customHeight="1" thickBot="1">
      <c r="A4549" s="227"/>
      <c r="B4549" s="27" t="s">
        <v>3730</v>
      </c>
      <c r="C4549" s="27">
        <v>2065</v>
      </c>
      <c r="D4549" s="14" t="s">
        <v>1710</v>
      </c>
      <c r="E4549" s="229"/>
      <c r="F4549" s="117" t="s">
        <v>13345</v>
      </c>
      <c r="G4549" s="26">
        <v>47904</v>
      </c>
      <c r="H4549" s="231"/>
      <c r="I4549" s="221"/>
      <c r="J4549" s="221"/>
      <c r="K4549" s="221"/>
      <c r="L4549" s="221"/>
      <c r="M4549" s="221"/>
      <c r="N4549" s="221"/>
      <c r="O4549" s="225"/>
      <c r="P4549" s="118" t="s">
        <v>3733</v>
      </c>
      <c r="Q4549" s="16" t="s">
        <v>20</v>
      </c>
      <c r="R4549" s="17" t="s">
        <v>1794</v>
      </c>
      <c r="S4549" s="113" t="s">
        <v>13870</v>
      </c>
      <c r="T4549" s="122"/>
      <c r="U4549" s="22"/>
      <c r="V4549" s="123" t="s">
        <v>8877</v>
      </c>
      <c r="W4549" s="122">
        <v>6054</v>
      </c>
      <c r="X4549" s="221"/>
      <c r="Y4549" s="221"/>
      <c r="Z4549" s="221"/>
      <c r="AA4549" s="221"/>
      <c r="AB4549" s="223"/>
    </row>
    <row r="4550" spans="1:28" ht="17.100000000000001" customHeight="1" thickTop="1">
      <c r="A4550" s="226" t="s">
        <v>13397</v>
      </c>
      <c r="B4550" s="28">
        <v>46009</v>
      </c>
      <c r="C4550" s="25">
        <v>2139</v>
      </c>
      <c r="D4550" s="13" t="s">
        <v>2379</v>
      </c>
      <c r="E4550" s="228"/>
      <c r="F4550" s="109" t="s">
        <v>9638</v>
      </c>
      <c r="G4550" s="24" t="s">
        <v>13352</v>
      </c>
      <c r="H4550" s="230">
        <v>5</v>
      </c>
      <c r="I4550" s="220">
        <v>1479000</v>
      </c>
      <c r="J4550" s="220">
        <f>I4550*0.1</f>
        <v>147900</v>
      </c>
      <c r="K4550" s="220">
        <v>0</v>
      </c>
      <c r="L4550" s="220">
        <v>14200</v>
      </c>
      <c r="M4550" s="220">
        <v>14300</v>
      </c>
      <c r="N4550" s="220">
        <f>SUM(I4550:M4551)</f>
        <v>1655400</v>
      </c>
      <c r="O4550" s="224"/>
      <c r="P4550" s="110" t="s">
        <v>14102</v>
      </c>
      <c r="Q4550" s="15" t="s">
        <v>19</v>
      </c>
      <c r="R4550" s="205"/>
      <c r="S4550" s="189"/>
      <c r="T4550" s="114"/>
      <c r="U4550" s="21" t="s">
        <v>14618</v>
      </c>
      <c r="V4550" s="115">
        <v>46035</v>
      </c>
      <c r="W4550" s="116">
        <v>1924</v>
      </c>
      <c r="X4550" s="220">
        <v>1504000</v>
      </c>
      <c r="Y4550" s="220">
        <f>X4550*0.1</f>
        <v>150400</v>
      </c>
      <c r="Z4550" s="220">
        <v>14200</v>
      </c>
      <c r="AA4550" s="220">
        <f>SUM(X4550:Z4550)</f>
        <v>1668600</v>
      </c>
      <c r="AB4550" s="222"/>
    </row>
    <row r="4551" spans="1:28" ht="17.100000000000001" customHeight="1" thickBot="1">
      <c r="A4551" s="227"/>
      <c r="B4551" s="27" t="s">
        <v>3228</v>
      </c>
      <c r="C4551" s="27">
        <v>2526</v>
      </c>
      <c r="D4551" s="14" t="s">
        <v>2559</v>
      </c>
      <c r="E4551" s="229"/>
      <c r="F4551" s="117" t="s">
        <v>13351</v>
      </c>
      <c r="G4551" s="26">
        <v>3584</v>
      </c>
      <c r="H4551" s="231"/>
      <c r="I4551" s="221"/>
      <c r="J4551" s="221"/>
      <c r="K4551" s="221"/>
      <c r="L4551" s="221"/>
      <c r="M4551" s="221"/>
      <c r="N4551" s="221"/>
      <c r="O4551" s="225"/>
      <c r="P4551" s="118" t="s">
        <v>14103</v>
      </c>
      <c r="Q4551" s="16" t="s">
        <v>20</v>
      </c>
      <c r="R4551" s="17" t="s">
        <v>14101</v>
      </c>
      <c r="S4551" s="121" t="s">
        <v>3071</v>
      </c>
      <c r="T4551" s="122"/>
      <c r="U4551" s="22"/>
      <c r="V4551" s="123" t="s">
        <v>2103</v>
      </c>
      <c r="W4551" s="122">
        <v>3061</v>
      </c>
      <c r="X4551" s="221"/>
      <c r="Y4551" s="221"/>
      <c r="Z4551" s="221"/>
      <c r="AA4551" s="221"/>
      <c r="AB4551" s="223"/>
    </row>
    <row r="4552" spans="1:28" ht="17.100000000000001" customHeight="1" thickTop="1">
      <c r="A4552" s="226" t="s">
        <v>13398</v>
      </c>
      <c r="B4552" s="28">
        <v>46009</v>
      </c>
      <c r="C4552" s="25">
        <v>2139</v>
      </c>
      <c r="D4552" s="13" t="s">
        <v>4589</v>
      </c>
      <c r="E4552" s="228"/>
      <c r="F4552" s="109" t="s">
        <v>13353</v>
      </c>
      <c r="G4552" s="24"/>
      <c r="H4552" s="230">
        <v>4</v>
      </c>
      <c r="I4552" s="220">
        <v>660000</v>
      </c>
      <c r="J4552" s="220">
        <f>I4552*0.1</f>
        <v>66000</v>
      </c>
      <c r="K4552" s="220">
        <v>0</v>
      </c>
      <c r="L4552" s="220">
        <v>8440</v>
      </c>
      <c r="M4552" s="220">
        <v>14300</v>
      </c>
      <c r="N4552" s="220">
        <f>SUM(I4552:M4553)</f>
        <v>748740</v>
      </c>
      <c r="O4552" s="224"/>
      <c r="P4552" s="110" t="s">
        <v>13945</v>
      </c>
      <c r="Q4552" s="15" t="s">
        <v>19</v>
      </c>
      <c r="R4552" s="205"/>
      <c r="S4552" s="189"/>
      <c r="T4552" s="114"/>
      <c r="U4552" s="21"/>
      <c r="V4552" s="115">
        <v>46029</v>
      </c>
      <c r="W4552" s="116">
        <v>999</v>
      </c>
      <c r="X4552" s="220">
        <v>700000</v>
      </c>
      <c r="Y4552" s="220">
        <f>X4552*0.1</f>
        <v>70000</v>
      </c>
      <c r="Z4552" s="220">
        <v>8440</v>
      </c>
      <c r="AA4552" s="220">
        <f>SUM(X4552:Z4552)</f>
        <v>778440</v>
      </c>
      <c r="AB4552" s="222">
        <v>46035</v>
      </c>
    </row>
    <row r="4553" spans="1:28" ht="17.100000000000001" customHeight="1" thickBot="1">
      <c r="A4553" s="227"/>
      <c r="B4553" s="27" t="s">
        <v>3228</v>
      </c>
      <c r="C4553" s="27">
        <v>2563</v>
      </c>
      <c r="D4553" s="14" t="s">
        <v>1710</v>
      </c>
      <c r="E4553" s="229"/>
      <c r="F4553" s="117" t="s">
        <v>13354</v>
      </c>
      <c r="G4553" s="26">
        <v>51789</v>
      </c>
      <c r="H4553" s="231"/>
      <c r="I4553" s="221"/>
      <c r="J4553" s="221"/>
      <c r="K4553" s="221"/>
      <c r="L4553" s="221"/>
      <c r="M4553" s="221"/>
      <c r="N4553" s="221"/>
      <c r="O4553" s="225"/>
      <c r="P4553" s="118" t="s">
        <v>13946</v>
      </c>
      <c r="Q4553" s="16" t="s">
        <v>20</v>
      </c>
      <c r="R4553" s="17" t="s">
        <v>13841</v>
      </c>
      <c r="S4553" s="121" t="s">
        <v>3796</v>
      </c>
      <c r="T4553" s="122"/>
      <c r="U4553" s="22"/>
      <c r="V4553" s="123" t="s">
        <v>2747</v>
      </c>
      <c r="W4553" s="122">
        <v>2024</v>
      </c>
      <c r="X4553" s="221"/>
      <c r="Y4553" s="221"/>
      <c r="Z4553" s="221"/>
      <c r="AA4553" s="221"/>
      <c r="AB4553" s="223"/>
    </row>
    <row r="4554" spans="1:28" ht="17.100000000000001" customHeight="1" thickTop="1">
      <c r="A4554" s="226" t="s">
        <v>13399</v>
      </c>
      <c r="B4554" s="28">
        <v>46009</v>
      </c>
      <c r="C4554" s="25">
        <v>2139</v>
      </c>
      <c r="D4554" s="13" t="s">
        <v>2320</v>
      </c>
      <c r="E4554" s="228"/>
      <c r="F4554" s="109" t="s">
        <v>13355</v>
      </c>
      <c r="G4554" s="24"/>
      <c r="H4554" s="230">
        <v>4.5</v>
      </c>
      <c r="I4554" s="220">
        <v>1205000</v>
      </c>
      <c r="J4554" s="220">
        <f>I4554*0.1</f>
        <v>120500</v>
      </c>
      <c r="K4554" s="220">
        <v>0</v>
      </c>
      <c r="L4554" s="220">
        <v>8350</v>
      </c>
      <c r="M4554" s="220">
        <v>14300</v>
      </c>
      <c r="N4554" s="220">
        <f>SUM(I4554:M4555)</f>
        <v>1348150</v>
      </c>
      <c r="O4554" s="224"/>
      <c r="P4554" s="110" t="s">
        <v>13840</v>
      </c>
      <c r="Q4554" s="15" t="s">
        <v>19</v>
      </c>
      <c r="R4554" s="205"/>
      <c r="S4554" s="189"/>
      <c r="T4554" s="114"/>
      <c r="U4554" s="21"/>
      <c r="V4554" s="115">
        <v>46014</v>
      </c>
      <c r="W4554" s="116">
        <v>1923</v>
      </c>
      <c r="X4554" s="220">
        <v>1252000</v>
      </c>
      <c r="Y4554" s="220">
        <f>X4554*0.1</f>
        <v>125200</v>
      </c>
      <c r="Z4554" s="220">
        <v>8350</v>
      </c>
      <c r="AA4554" s="220">
        <f>SUM(X4554:Z4554)</f>
        <v>1385550</v>
      </c>
      <c r="AB4554" s="222">
        <v>46020</v>
      </c>
    </row>
    <row r="4555" spans="1:28" ht="17.100000000000001" customHeight="1" thickBot="1">
      <c r="A4555" s="227"/>
      <c r="B4555" s="27" t="s">
        <v>3228</v>
      </c>
      <c r="C4555" s="27">
        <v>2595</v>
      </c>
      <c r="D4555" s="14" t="s">
        <v>2559</v>
      </c>
      <c r="E4555" s="229"/>
      <c r="F4555" s="117" t="s">
        <v>13356</v>
      </c>
      <c r="G4555" s="26">
        <v>6691</v>
      </c>
      <c r="H4555" s="231"/>
      <c r="I4555" s="221"/>
      <c r="J4555" s="221"/>
      <c r="K4555" s="221"/>
      <c r="L4555" s="221"/>
      <c r="M4555" s="221"/>
      <c r="N4555" s="221"/>
      <c r="O4555" s="225"/>
      <c r="P4555" s="118" t="s">
        <v>2404</v>
      </c>
      <c r="Q4555" s="16" t="s">
        <v>20</v>
      </c>
      <c r="R4555" s="17" t="s">
        <v>13841</v>
      </c>
      <c r="S4555" s="121"/>
      <c r="T4555" s="122"/>
      <c r="U4555" s="22"/>
      <c r="V4555" s="123" t="s">
        <v>2103</v>
      </c>
      <c r="W4555" s="122">
        <v>3073</v>
      </c>
      <c r="X4555" s="221"/>
      <c r="Y4555" s="221"/>
      <c r="Z4555" s="221"/>
      <c r="AA4555" s="221"/>
      <c r="AB4555" s="223"/>
    </row>
    <row r="4556" spans="1:28" ht="17.100000000000001" customHeight="1" thickTop="1">
      <c r="A4556" s="226" t="s">
        <v>13400</v>
      </c>
      <c r="B4556" s="28">
        <v>46009</v>
      </c>
      <c r="C4556" s="25">
        <v>2139</v>
      </c>
      <c r="D4556" s="13" t="s">
        <v>2964</v>
      </c>
      <c r="E4556" s="228"/>
      <c r="F4556" s="109" t="s">
        <v>13357</v>
      </c>
      <c r="G4556" s="24"/>
      <c r="H4556" s="230">
        <v>4</v>
      </c>
      <c r="I4556" s="220">
        <v>413000</v>
      </c>
      <c r="J4556" s="220">
        <f>I4556*0.1</f>
        <v>41300</v>
      </c>
      <c r="K4556" s="220">
        <v>0</v>
      </c>
      <c r="L4556" s="220">
        <v>7140</v>
      </c>
      <c r="M4556" s="220">
        <v>14300</v>
      </c>
      <c r="N4556" s="220">
        <f>SUM(I4556:M4557)</f>
        <v>475740</v>
      </c>
      <c r="O4556" s="224"/>
      <c r="P4556" s="110" t="s">
        <v>13882</v>
      </c>
      <c r="Q4556" s="15" t="s">
        <v>19</v>
      </c>
      <c r="R4556" s="205"/>
      <c r="S4556" s="189"/>
      <c r="T4556" s="114"/>
      <c r="U4556" s="21"/>
      <c r="V4556" s="115">
        <v>46015</v>
      </c>
      <c r="W4556" s="116">
        <v>998</v>
      </c>
      <c r="X4556" s="220">
        <v>535000</v>
      </c>
      <c r="Y4556" s="220">
        <f>X4556*0.1</f>
        <v>53500</v>
      </c>
      <c r="Z4556" s="220">
        <v>7140</v>
      </c>
      <c r="AA4556" s="220">
        <f>SUM(X4556:Z4556)</f>
        <v>595640</v>
      </c>
      <c r="AB4556" s="222">
        <v>46027</v>
      </c>
    </row>
    <row r="4557" spans="1:28" ht="17.100000000000001" customHeight="1" thickBot="1">
      <c r="A4557" s="227"/>
      <c r="B4557" s="27" t="s">
        <v>3228</v>
      </c>
      <c r="C4557" s="27">
        <v>35249</v>
      </c>
      <c r="D4557" s="14" t="s">
        <v>1568</v>
      </c>
      <c r="E4557" s="229"/>
      <c r="F4557" s="117" t="s">
        <v>13358</v>
      </c>
      <c r="G4557" s="26">
        <v>18287</v>
      </c>
      <c r="H4557" s="231"/>
      <c r="I4557" s="221"/>
      <c r="J4557" s="221"/>
      <c r="K4557" s="221"/>
      <c r="L4557" s="221"/>
      <c r="M4557" s="221"/>
      <c r="N4557" s="221"/>
      <c r="O4557" s="225"/>
      <c r="P4557" s="118" t="s">
        <v>12896</v>
      </c>
      <c r="Q4557" s="16" t="s">
        <v>20</v>
      </c>
      <c r="R4557" s="17" t="s">
        <v>13841</v>
      </c>
      <c r="S4557" s="121"/>
      <c r="T4557" s="122"/>
      <c r="U4557" s="22"/>
      <c r="V4557" s="123" t="s">
        <v>2747</v>
      </c>
      <c r="W4557" s="122">
        <v>2054</v>
      </c>
      <c r="X4557" s="221"/>
      <c r="Y4557" s="221"/>
      <c r="Z4557" s="221"/>
      <c r="AA4557" s="221"/>
      <c r="AB4557" s="223"/>
    </row>
    <row r="4558" spans="1:28" ht="17.100000000000001" customHeight="1" thickTop="1">
      <c r="A4558" s="226" t="s">
        <v>13401</v>
      </c>
      <c r="B4558" s="28">
        <v>46009</v>
      </c>
      <c r="C4558" s="25">
        <v>1311</v>
      </c>
      <c r="D4558" s="13" t="s">
        <v>2690</v>
      </c>
      <c r="E4558" s="228"/>
      <c r="F4558" s="109" t="s">
        <v>4696</v>
      </c>
      <c r="G4558" s="24" t="s">
        <v>3453</v>
      </c>
      <c r="H4558" s="230">
        <v>5</v>
      </c>
      <c r="I4558" s="220">
        <v>1310000</v>
      </c>
      <c r="J4558" s="220">
        <f>I4558*0.1</f>
        <v>131000</v>
      </c>
      <c r="K4558" s="220">
        <f>7600+760</f>
        <v>8360</v>
      </c>
      <c r="L4558" s="220">
        <v>12650</v>
      </c>
      <c r="M4558" s="220">
        <v>16500</v>
      </c>
      <c r="N4558" s="220">
        <f>SUM(I4558:M4559)</f>
        <v>1478510</v>
      </c>
      <c r="O4558" s="224"/>
      <c r="P4558" s="110" t="s">
        <v>13410</v>
      </c>
      <c r="Q4558" s="15" t="s">
        <v>19</v>
      </c>
      <c r="R4558" s="205"/>
      <c r="S4558" s="189" t="s">
        <v>1406</v>
      </c>
      <c r="T4558" s="114"/>
      <c r="U4558" s="21" t="s">
        <v>14591</v>
      </c>
      <c r="V4558" s="115">
        <v>46034</v>
      </c>
      <c r="W4558" s="116"/>
      <c r="X4558" s="220">
        <v>1590000</v>
      </c>
      <c r="Y4558" s="220">
        <f>X4558*0.1</f>
        <v>159000</v>
      </c>
      <c r="Z4558" s="220">
        <v>16250</v>
      </c>
      <c r="AA4558" s="220">
        <f>SUM(X4558:Z4558)</f>
        <v>1765250</v>
      </c>
      <c r="AB4558" s="222"/>
    </row>
    <row r="4559" spans="1:28" ht="17.100000000000001" customHeight="1" thickBot="1">
      <c r="A4559" s="227"/>
      <c r="B4559" s="27" t="s">
        <v>13379</v>
      </c>
      <c r="C4559" s="27">
        <v>126</v>
      </c>
      <c r="D4559" s="14" t="s">
        <v>2788</v>
      </c>
      <c r="E4559" s="229"/>
      <c r="F4559" s="117" t="s">
        <v>13409</v>
      </c>
      <c r="G4559" s="26">
        <v>11954</v>
      </c>
      <c r="H4559" s="231"/>
      <c r="I4559" s="221"/>
      <c r="J4559" s="221"/>
      <c r="K4559" s="221"/>
      <c r="L4559" s="221"/>
      <c r="M4559" s="221"/>
      <c r="N4559" s="221"/>
      <c r="O4559" s="225"/>
      <c r="P4559" s="118" t="s">
        <v>13749</v>
      </c>
      <c r="Q4559" s="16" t="s">
        <v>20</v>
      </c>
      <c r="R4559" s="17" t="s">
        <v>13750</v>
      </c>
      <c r="S4559" s="121" t="s">
        <v>13751</v>
      </c>
      <c r="T4559" s="122"/>
      <c r="U4559" s="22"/>
      <c r="V4559" s="123" t="s">
        <v>6682</v>
      </c>
      <c r="W4559" s="122">
        <v>53994</v>
      </c>
      <c r="X4559" s="221"/>
      <c r="Y4559" s="221"/>
      <c r="Z4559" s="221"/>
      <c r="AA4559" s="221"/>
      <c r="AB4559" s="223"/>
    </row>
    <row r="4560" spans="1:28" ht="17.100000000000001" customHeight="1" thickTop="1">
      <c r="A4560" s="226" t="s">
        <v>13402</v>
      </c>
      <c r="B4560" s="28">
        <v>46009</v>
      </c>
      <c r="C4560" s="25">
        <v>1311</v>
      </c>
      <c r="D4560" s="13" t="s">
        <v>2406</v>
      </c>
      <c r="E4560" s="228"/>
      <c r="F4560" s="109" t="s">
        <v>13411</v>
      </c>
      <c r="G4560" s="24"/>
      <c r="H4560" s="230">
        <v>4.5</v>
      </c>
      <c r="I4560" s="220">
        <v>1675000</v>
      </c>
      <c r="J4560" s="220">
        <f>I4560*0.1</f>
        <v>167500</v>
      </c>
      <c r="K4560" s="220">
        <v>0</v>
      </c>
      <c r="L4560" s="220">
        <v>19040</v>
      </c>
      <c r="M4560" s="220">
        <v>16500</v>
      </c>
      <c r="N4560" s="220">
        <v>1878040</v>
      </c>
      <c r="O4560" s="224"/>
      <c r="P4560" s="110" t="s">
        <v>13756</v>
      </c>
      <c r="Q4560" s="15" t="s">
        <v>19</v>
      </c>
      <c r="R4560" s="205"/>
      <c r="S4560" s="189" t="s">
        <v>25634</v>
      </c>
      <c r="T4560" s="114"/>
      <c r="U4560" s="21"/>
      <c r="V4560" s="115">
        <v>46015</v>
      </c>
      <c r="W4560" s="116"/>
      <c r="X4560" s="220">
        <v>1850000</v>
      </c>
      <c r="Y4560" s="220">
        <f>X4560*0.1</f>
        <v>185000</v>
      </c>
      <c r="Z4560" s="220">
        <v>19040</v>
      </c>
      <c r="AA4560" s="220">
        <f>SUM(X4560:Z4560)</f>
        <v>2054040</v>
      </c>
      <c r="AB4560" s="222"/>
    </row>
    <row r="4561" spans="1:28" ht="17.100000000000001" customHeight="1" thickBot="1">
      <c r="A4561" s="227"/>
      <c r="B4561" s="27" t="s">
        <v>13379</v>
      </c>
      <c r="C4561" s="27">
        <v>502</v>
      </c>
      <c r="D4561" s="14" t="s">
        <v>1584</v>
      </c>
      <c r="E4561" s="229"/>
      <c r="F4561" s="117" t="s">
        <v>13412</v>
      </c>
      <c r="G4561" s="26">
        <v>58794</v>
      </c>
      <c r="H4561" s="231"/>
      <c r="I4561" s="221"/>
      <c r="J4561" s="221"/>
      <c r="K4561" s="221"/>
      <c r="L4561" s="221"/>
      <c r="M4561" s="221"/>
      <c r="N4561" s="221"/>
      <c r="O4561" s="225"/>
      <c r="P4561" s="118" t="s">
        <v>1844</v>
      </c>
      <c r="Q4561" s="16" t="s">
        <v>20</v>
      </c>
      <c r="R4561" s="17" t="s">
        <v>13750</v>
      </c>
      <c r="S4561" s="121" t="s">
        <v>1731</v>
      </c>
      <c r="T4561" s="122"/>
      <c r="U4561" s="22"/>
      <c r="V4561" s="123" t="s">
        <v>6682</v>
      </c>
      <c r="W4561" s="122">
        <v>87357</v>
      </c>
      <c r="X4561" s="221"/>
      <c r="Y4561" s="221"/>
      <c r="Z4561" s="221"/>
      <c r="AA4561" s="221"/>
      <c r="AB4561" s="223"/>
    </row>
    <row r="4562" spans="1:28" ht="17.100000000000001" customHeight="1" thickTop="1">
      <c r="A4562" s="233" t="s">
        <v>13403</v>
      </c>
      <c r="B4562" s="28">
        <v>46009</v>
      </c>
      <c r="C4562" s="25">
        <v>1311</v>
      </c>
      <c r="D4562" s="13" t="s">
        <v>1589</v>
      </c>
      <c r="E4562" s="228"/>
      <c r="F4562" s="109" t="s">
        <v>13413</v>
      </c>
      <c r="G4562" s="24" t="s">
        <v>2487</v>
      </c>
      <c r="H4562" s="230">
        <v>4</v>
      </c>
      <c r="I4562" s="220">
        <v>2145000</v>
      </c>
      <c r="J4562" s="220">
        <f>I4562*0.1</f>
        <v>214500</v>
      </c>
      <c r="K4562" s="220">
        <f>9800+980</f>
        <v>10780</v>
      </c>
      <c r="L4562" s="220">
        <v>21650</v>
      </c>
      <c r="M4562" s="220">
        <v>16500</v>
      </c>
      <c r="N4562" s="220">
        <f>SUM(I4562:M4563)</f>
        <v>2408430</v>
      </c>
      <c r="O4562" s="224"/>
      <c r="P4562" s="110" t="s">
        <v>13415</v>
      </c>
      <c r="Q4562" s="15" t="s">
        <v>19</v>
      </c>
      <c r="R4562" s="205"/>
      <c r="S4562" s="189" t="s">
        <v>758</v>
      </c>
      <c r="T4562" s="114"/>
      <c r="U4562" s="21"/>
      <c r="V4562" s="115">
        <v>46039</v>
      </c>
      <c r="W4562" s="116">
        <v>1284</v>
      </c>
      <c r="X4562" s="220">
        <v>2300000</v>
      </c>
      <c r="Y4562" s="220">
        <f>X4562*0.1</f>
        <v>230000</v>
      </c>
      <c r="Z4562" s="220">
        <v>21650</v>
      </c>
      <c r="AA4562" s="220">
        <f>SUM(X4562:Z4562)</f>
        <v>2551650</v>
      </c>
      <c r="AB4562" s="222">
        <v>46044</v>
      </c>
    </row>
    <row r="4563" spans="1:28" ht="17.100000000000001" customHeight="1" thickBot="1">
      <c r="A4563" s="234"/>
      <c r="B4563" s="27" t="s">
        <v>13379</v>
      </c>
      <c r="C4563" s="27">
        <v>515</v>
      </c>
      <c r="D4563" s="14" t="s">
        <v>131</v>
      </c>
      <c r="E4563" s="229"/>
      <c r="F4563" s="117" t="s">
        <v>13414</v>
      </c>
      <c r="G4563" s="26">
        <v>28739</v>
      </c>
      <c r="H4563" s="231"/>
      <c r="I4563" s="221"/>
      <c r="J4563" s="221"/>
      <c r="K4563" s="221"/>
      <c r="L4563" s="221"/>
      <c r="M4563" s="221"/>
      <c r="N4563" s="221"/>
      <c r="O4563" s="225"/>
      <c r="P4563" s="118" t="s">
        <v>4922</v>
      </c>
      <c r="Q4563" s="16" t="s">
        <v>20</v>
      </c>
      <c r="R4563" s="17" t="s">
        <v>13750</v>
      </c>
      <c r="S4563" s="121" t="s">
        <v>1731</v>
      </c>
      <c r="T4563" s="122"/>
      <c r="U4563" s="22"/>
      <c r="V4563" s="123" t="s">
        <v>2472</v>
      </c>
      <c r="W4563" s="122">
        <v>80069</v>
      </c>
      <c r="X4563" s="221"/>
      <c r="Y4563" s="221"/>
      <c r="Z4563" s="221"/>
      <c r="AA4563" s="221"/>
      <c r="AB4563" s="223"/>
    </row>
    <row r="4564" spans="1:28" ht="17.100000000000001" customHeight="1" thickTop="1">
      <c r="A4564" s="226" t="s">
        <v>13404</v>
      </c>
      <c r="B4564" s="28">
        <v>46009</v>
      </c>
      <c r="C4564" s="25">
        <v>1311</v>
      </c>
      <c r="D4564" s="13" t="s">
        <v>3422</v>
      </c>
      <c r="E4564" s="228"/>
      <c r="F4564" s="109" t="s">
        <v>13416</v>
      </c>
      <c r="G4564" s="24"/>
      <c r="H4564" s="230">
        <v>4</v>
      </c>
      <c r="I4564" s="220">
        <v>2785000</v>
      </c>
      <c r="J4564" s="220">
        <f>I4564*0.1</f>
        <v>278500</v>
      </c>
      <c r="K4564" s="220">
        <v>0</v>
      </c>
      <c r="L4564" s="220">
        <v>16550</v>
      </c>
      <c r="M4564" s="220">
        <v>16500</v>
      </c>
      <c r="N4564" s="220">
        <f>SUM(I4564:M4565)</f>
        <v>3096550</v>
      </c>
      <c r="O4564" s="224"/>
      <c r="P4564" s="110" t="s">
        <v>13763</v>
      </c>
      <c r="Q4564" s="15" t="s">
        <v>19</v>
      </c>
      <c r="R4564" s="205"/>
      <c r="S4564" s="189" t="s">
        <v>25658</v>
      </c>
      <c r="T4564" s="114"/>
      <c r="U4564" s="21"/>
      <c r="V4564" s="115">
        <v>46380</v>
      </c>
      <c r="W4564" s="116">
        <v>998</v>
      </c>
      <c r="X4564" s="220">
        <v>2940000</v>
      </c>
      <c r="Y4564" s="220">
        <f>X4564*0.1</f>
        <v>294000</v>
      </c>
      <c r="Z4564" s="237">
        <v>16550</v>
      </c>
      <c r="AA4564" s="220">
        <f>SUM(X4564:Z4564)</f>
        <v>3250550</v>
      </c>
      <c r="AB4564" s="222">
        <v>46028</v>
      </c>
    </row>
    <row r="4565" spans="1:28" ht="17.100000000000001" customHeight="1" thickBot="1">
      <c r="A4565" s="227"/>
      <c r="B4565" s="27" t="s">
        <v>13379</v>
      </c>
      <c r="C4565" s="27">
        <v>516</v>
      </c>
      <c r="D4565" s="14" t="s">
        <v>2559</v>
      </c>
      <c r="E4565" s="229"/>
      <c r="F4565" s="117" t="s">
        <v>13417</v>
      </c>
      <c r="G4565" s="26">
        <v>58452</v>
      </c>
      <c r="H4565" s="231"/>
      <c r="I4565" s="221"/>
      <c r="J4565" s="221"/>
      <c r="K4565" s="221"/>
      <c r="L4565" s="221"/>
      <c r="M4565" s="221"/>
      <c r="N4565" s="221"/>
      <c r="O4565" s="225"/>
      <c r="P4565" s="118" t="s">
        <v>4922</v>
      </c>
      <c r="Q4565" s="16" t="s">
        <v>20</v>
      </c>
      <c r="R4565" s="17" t="s">
        <v>13750</v>
      </c>
      <c r="S4565" s="121" t="s">
        <v>13764</v>
      </c>
      <c r="T4565" s="122"/>
      <c r="U4565" s="22"/>
      <c r="V4565" s="123" t="s">
        <v>7161</v>
      </c>
      <c r="W4565" s="122">
        <v>5066</v>
      </c>
      <c r="X4565" s="221"/>
      <c r="Y4565" s="221"/>
      <c r="Z4565" s="238"/>
      <c r="AA4565" s="221"/>
      <c r="AB4565" s="223"/>
    </row>
    <row r="4566" spans="1:28" ht="17.100000000000001" customHeight="1" thickTop="1">
      <c r="A4566" s="233" t="s">
        <v>13405</v>
      </c>
      <c r="B4566" s="28">
        <v>46009</v>
      </c>
      <c r="C4566" s="25">
        <v>1311</v>
      </c>
      <c r="D4566" s="13" t="s">
        <v>2264</v>
      </c>
      <c r="E4566" s="228"/>
      <c r="F4566" s="109" t="s">
        <v>13418</v>
      </c>
      <c r="G4566" s="24"/>
      <c r="H4566" s="230">
        <v>4.5</v>
      </c>
      <c r="I4566" s="220">
        <v>2280000</v>
      </c>
      <c r="J4566" s="220">
        <f>I4566*0.1</f>
        <v>228000</v>
      </c>
      <c r="K4566" s="220">
        <v>0</v>
      </c>
      <c r="L4566" s="220">
        <v>18170</v>
      </c>
      <c r="M4566" s="220">
        <v>16500</v>
      </c>
      <c r="N4566" s="220">
        <f>SUM(I4566:M4567)</f>
        <v>2542670</v>
      </c>
      <c r="O4566" s="224"/>
      <c r="P4566" s="110" t="s">
        <v>13757</v>
      </c>
      <c r="Q4566" s="15" t="s">
        <v>19</v>
      </c>
      <c r="R4566" s="205"/>
      <c r="S4566" s="189"/>
      <c r="T4566" s="114"/>
      <c r="U4566" s="21"/>
      <c r="V4566" s="115">
        <v>46039</v>
      </c>
      <c r="W4566" s="116">
        <v>1284</v>
      </c>
      <c r="X4566" s="220">
        <v>2425000</v>
      </c>
      <c r="Y4566" s="220">
        <f>X4566*0.1</f>
        <v>242500</v>
      </c>
      <c r="Z4566" s="220">
        <v>18170</v>
      </c>
      <c r="AA4566" s="220">
        <f>SUM(X4566:Z4566)</f>
        <v>2685670</v>
      </c>
      <c r="AB4566" s="222">
        <v>46042</v>
      </c>
    </row>
    <row r="4567" spans="1:28" ht="17.100000000000001" customHeight="1" thickBot="1">
      <c r="A4567" s="234"/>
      <c r="B4567" s="27" t="s">
        <v>13379</v>
      </c>
      <c r="C4567" s="27">
        <v>531</v>
      </c>
      <c r="D4567" s="14" t="s">
        <v>273</v>
      </c>
      <c r="E4567" s="229"/>
      <c r="F4567" s="117" t="s">
        <v>13419</v>
      </c>
      <c r="G4567" s="26">
        <v>51683</v>
      </c>
      <c r="H4567" s="231"/>
      <c r="I4567" s="221"/>
      <c r="J4567" s="221"/>
      <c r="K4567" s="221"/>
      <c r="L4567" s="221"/>
      <c r="M4567" s="221"/>
      <c r="N4567" s="221"/>
      <c r="O4567" s="225"/>
      <c r="P4567" s="118" t="s">
        <v>4922</v>
      </c>
      <c r="Q4567" s="16" t="s">
        <v>20</v>
      </c>
      <c r="R4567" s="17" t="s">
        <v>13750</v>
      </c>
      <c r="S4567" s="121" t="s">
        <v>2784</v>
      </c>
      <c r="T4567" s="122"/>
      <c r="U4567" s="22"/>
      <c r="V4567" s="123" t="s">
        <v>2472</v>
      </c>
      <c r="W4567" s="122">
        <v>80116</v>
      </c>
      <c r="X4567" s="221"/>
      <c r="Y4567" s="221"/>
      <c r="Z4567" s="221"/>
      <c r="AA4567" s="221"/>
      <c r="AB4567" s="223"/>
    </row>
    <row r="4568" spans="1:28" ht="17.100000000000001" customHeight="1" thickTop="1">
      <c r="A4568" s="226" t="s">
        <v>13406</v>
      </c>
      <c r="B4568" s="28">
        <v>46009</v>
      </c>
      <c r="C4568" s="25">
        <v>1311</v>
      </c>
      <c r="D4568" s="13" t="s">
        <v>2712</v>
      </c>
      <c r="E4568" s="228"/>
      <c r="F4568" s="109" t="s">
        <v>13420</v>
      </c>
      <c r="G4568" s="24"/>
      <c r="H4568" s="230">
        <v>4.5</v>
      </c>
      <c r="I4568" s="220">
        <v>1755000</v>
      </c>
      <c r="J4568" s="220">
        <f>I4568*0.1</f>
        <v>175500</v>
      </c>
      <c r="K4568" s="220">
        <v>0</v>
      </c>
      <c r="L4568" s="220">
        <v>21650</v>
      </c>
      <c r="M4568" s="220">
        <v>16500</v>
      </c>
      <c r="N4568" s="220">
        <f>SUM(I4568:M4569)</f>
        <v>1968650</v>
      </c>
      <c r="O4568" s="224"/>
      <c r="P4568" s="110" t="s">
        <v>13753</v>
      </c>
      <c r="Q4568" s="15" t="s">
        <v>19</v>
      </c>
      <c r="R4568" s="205"/>
      <c r="S4568" s="189" t="s">
        <v>1271</v>
      </c>
      <c r="T4568" s="114"/>
      <c r="U4568" s="21"/>
      <c r="V4568" s="115">
        <v>46053</v>
      </c>
      <c r="W4568" s="116">
        <v>1286</v>
      </c>
      <c r="X4568" s="220">
        <v>1920000</v>
      </c>
      <c r="Y4568" s="220">
        <f>X4568*0.1</f>
        <v>192000</v>
      </c>
      <c r="Z4568" s="220">
        <v>21650</v>
      </c>
      <c r="AA4568" s="220">
        <f>SUM(X4568:Z4568)</f>
        <v>2133650</v>
      </c>
      <c r="AB4568" s="222">
        <v>46056</v>
      </c>
    </row>
    <row r="4569" spans="1:28" ht="17.100000000000001" customHeight="1" thickBot="1">
      <c r="A4569" s="227"/>
      <c r="B4569" s="27" t="s">
        <v>13379</v>
      </c>
      <c r="C4569" s="27">
        <v>564</v>
      </c>
      <c r="D4569" s="14" t="s">
        <v>898</v>
      </c>
      <c r="E4569" s="229"/>
      <c r="F4569" s="117" t="s">
        <v>13421</v>
      </c>
      <c r="G4569" s="26">
        <v>61970</v>
      </c>
      <c r="H4569" s="231"/>
      <c r="I4569" s="221"/>
      <c r="J4569" s="221"/>
      <c r="K4569" s="221"/>
      <c r="L4569" s="221"/>
      <c r="M4569" s="221"/>
      <c r="N4569" s="221"/>
      <c r="O4569" s="225"/>
      <c r="P4569" s="118" t="s">
        <v>1844</v>
      </c>
      <c r="Q4569" s="16" t="s">
        <v>20</v>
      </c>
      <c r="R4569" s="17" t="s">
        <v>13750</v>
      </c>
      <c r="S4569" s="121" t="s">
        <v>1731</v>
      </c>
      <c r="T4569" s="122"/>
      <c r="U4569" s="22"/>
      <c r="V4569" s="123" t="s">
        <v>2472</v>
      </c>
      <c r="W4569" s="122">
        <v>80101</v>
      </c>
      <c r="X4569" s="221"/>
      <c r="Y4569" s="221"/>
      <c r="Z4569" s="221"/>
      <c r="AA4569" s="221"/>
      <c r="AB4569" s="223"/>
    </row>
    <row r="4570" spans="1:28" ht="17.100000000000001" customHeight="1" thickTop="1">
      <c r="A4570" s="226" t="s">
        <v>13407</v>
      </c>
      <c r="B4570" s="28">
        <v>46009</v>
      </c>
      <c r="C4570" s="25">
        <v>1311</v>
      </c>
      <c r="D4570" s="13" t="s">
        <v>1883</v>
      </c>
      <c r="E4570" s="228"/>
      <c r="F4570" s="109" t="s">
        <v>13422</v>
      </c>
      <c r="G4570" s="24"/>
      <c r="H4570" s="230">
        <v>4.5</v>
      </c>
      <c r="I4570" s="220">
        <v>3935000</v>
      </c>
      <c r="J4570" s="220">
        <f>I4570*0.1</f>
        <v>393500</v>
      </c>
      <c r="K4570" s="220">
        <v>0</v>
      </c>
      <c r="L4570" s="220">
        <v>17760</v>
      </c>
      <c r="M4570" s="220">
        <v>16500</v>
      </c>
      <c r="N4570" s="220">
        <f>SUM(I4570:M4571)</f>
        <v>4362760</v>
      </c>
      <c r="O4570" s="224"/>
      <c r="P4570" s="110" t="s">
        <v>13754</v>
      </c>
      <c r="Q4570" s="15" t="s">
        <v>19</v>
      </c>
      <c r="R4570" s="205"/>
      <c r="S4570" s="189" t="s">
        <v>1271</v>
      </c>
      <c r="T4570" s="114"/>
      <c r="U4570" s="21"/>
      <c r="V4570" s="115">
        <v>46074</v>
      </c>
      <c r="W4570" s="116">
        <v>1289</v>
      </c>
      <c r="X4570" s="220">
        <v>3950000</v>
      </c>
      <c r="Y4570" s="220">
        <f>X4570*0.1</f>
        <v>395000</v>
      </c>
      <c r="Z4570" s="220">
        <v>17760</v>
      </c>
      <c r="AA4570" s="220">
        <f>SUM(X4570:Z4570)</f>
        <v>4362760</v>
      </c>
      <c r="AB4570" s="222">
        <v>46077</v>
      </c>
    </row>
    <row r="4571" spans="1:28" ht="17.100000000000001" customHeight="1" thickBot="1">
      <c r="A4571" s="227"/>
      <c r="B4571" s="27" t="s">
        <v>13379</v>
      </c>
      <c r="C4571" s="27">
        <v>595</v>
      </c>
      <c r="D4571" s="14" t="s">
        <v>273</v>
      </c>
      <c r="E4571" s="229"/>
      <c r="F4571" s="117" t="s">
        <v>13423</v>
      </c>
      <c r="G4571" s="26">
        <v>56561</v>
      </c>
      <c r="H4571" s="231"/>
      <c r="I4571" s="221"/>
      <c r="J4571" s="221"/>
      <c r="K4571" s="221"/>
      <c r="L4571" s="221"/>
      <c r="M4571" s="221"/>
      <c r="N4571" s="221"/>
      <c r="O4571" s="225"/>
      <c r="P4571" s="118" t="s">
        <v>1844</v>
      </c>
      <c r="Q4571" s="16" t="s">
        <v>20</v>
      </c>
      <c r="R4571" s="17" t="s">
        <v>13750</v>
      </c>
      <c r="S4571" s="121" t="s">
        <v>1731</v>
      </c>
      <c r="T4571" s="122"/>
      <c r="U4571" s="22"/>
      <c r="V4571" s="123" t="s">
        <v>2472</v>
      </c>
      <c r="W4571" s="122">
        <v>80038</v>
      </c>
      <c r="X4571" s="221"/>
      <c r="Y4571" s="221"/>
      <c r="Z4571" s="221"/>
      <c r="AA4571" s="221"/>
      <c r="AB4571" s="223"/>
    </row>
    <row r="4572" spans="1:28" ht="17.100000000000001" customHeight="1" thickTop="1">
      <c r="A4572" s="226" t="s">
        <v>13408</v>
      </c>
      <c r="B4572" s="28">
        <v>46009</v>
      </c>
      <c r="C4572" s="25">
        <v>1311</v>
      </c>
      <c r="D4572" s="13" t="s">
        <v>2712</v>
      </c>
      <c r="E4572" s="228"/>
      <c r="F4572" s="109" t="s">
        <v>13424</v>
      </c>
      <c r="G4572" s="24"/>
      <c r="H4572" s="230">
        <v>4.5</v>
      </c>
      <c r="I4572" s="220">
        <v>2640000</v>
      </c>
      <c r="J4572" s="220">
        <f>I4572*0.1</f>
        <v>264000</v>
      </c>
      <c r="K4572" s="220">
        <v>0</v>
      </c>
      <c r="L4572" s="220">
        <v>21570</v>
      </c>
      <c r="M4572" s="220">
        <v>16500</v>
      </c>
      <c r="N4572" s="220">
        <f>SUM(I4572:M4573)</f>
        <v>2942070</v>
      </c>
      <c r="O4572" s="224"/>
      <c r="P4572" s="110" t="s">
        <v>13755</v>
      </c>
      <c r="Q4572" s="15" t="s">
        <v>19</v>
      </c>
      <c r="R4572" s="205"/>
      <c r="S4572" s="189" t="s">
        <v>1271</v>
      </c>
      <c r="T4572" s="114"/>
      <c r="U4572" s="21"/>
      <c r="V4572" s="115">
        <v>46018</v>
      </c>
      <c r="W4572" s="116">
        <v>1282</v>
      </c>
      <c r="X4572" s="220">
        <v>2760000</v>
      </c>
      <c r="Y4572" s="220">
        <f>X4572*0.1</f>
        <v>276000</v>
      </c>
      <c r="Z4572" s="220">
        <v>21570</v>
      </c>
      <c r="AA4572" s="220">
        <f>SUM(X4572:Z4572)</f>
        <v>3057570</v>
      </c>
      <c r="AB4572" s="222">
        <v>46028</v>
      </c>
    </row>
    <row r="4573" spans="1:28" ht="17.100000000000001" customHeight="1" thickBot="1">
      <c r="A4573" s="227"/>
      <c r="B4573" s="27" t="s">
        <v>13379</v>
      </c>
      <c r="C4573" s="27">
        <v>607</v>
      </c>
      <c r="D4573" s="14" t="s">
        <v>1584</v>
      </c>
      <c r="E4573" s="229"/>
      <c r="F4573" s="117" t="s">
        <v>13425</v>
      </c>
      <c r="G4573" s="26">
        <v>49715</v>
      </c>
      <c r="H4573" s="231"/>
      <c r="I4573" s="221"/>
      <c r="J4573" s="221"/>
      <c r="K4573" s="221"/>
      <c r="L4573" s="221"/>
      <c r="M4573" s="221"/>
      <c r="N4573" s="221"/>
      <c r="O4573" s="225"/>
      <c r="P4573" s="118" t="s">
        <v>1844</v>
      </c>
      <c r="Q4573" s="16" t="s">
        <v>20</v>
      </c>
      <c r="R4573" s="17" t="s">
        <v>13750</v>
      </c>
      <c r="S4573" s="121" t="s">
        <v>1731</v>
      </c>
      <c r="T4573" s="122"/>
      <c r="U4573" s="22"/>
      <c r="V4573" s="123" t="s">
        <v>2472</v>
      </c>
      <c r="W4573" s="122">
        <v>80013</v>
      </c>
      <c r="X4573" s="221"/>
      <c r="Y4573" s="221"/>
      <c r="Z4573" s="221"/>
      <c r="AA4573" s="221"/>
      <c r="AB4573" s="223"/>
    </row>
    <row r="4574" spans="1:28" ht="17.100000000000001" customHeight="1" thickTop="1">
      <c r="A4574" s="226" t="s">
        <v>13500</v>
      </c>
      <c r="B4574" s="28">
        <v>46010</v>
      </c>
      <c r="C4574" s="25">
        <v>271</v>
      </c>
      <c r="D4574" s="13" t="s">
        <v>1947</v>
      </c>
      <c r="E4574" s="228"/>
      <c r="F4574" s="109" t="s">
        <v>13426</v>
      </c>
      <c r="G4574" s="24" t="s">
        <v>2543</v>
      </c>
      <c r="H4574" s="230">
        <v>4.5</v>
      </c>
      <c r="I4574" s="220">
        <v>1434000</v>
      </c>
      <c r="J4574" s="220">
        <f>I4574*0.1</f>
        <v>143400</v>
      </c>
      <c r="K4574" s="220">
        <v>0</v>
      </c>
      <c r="L4574" s="220">
        <v>7040</v>
      </c>
      <c r="M4574" s="220">
        <v>22000</v>
      </c>
      <c r="N4574" s="220">
        <f>SUM(I4574:M4575)</f>
        <v>1606440</v>
      </c>
      <c r="O4574" s="224"/>
      <c r="P4574" s="110" t="s">
        <v>13428</v>
      </c>
      <c r="Q4574" s="15" t="s">
        <v>19</v>
      </c>
      <c r="R4574" s="205"/>
      <c r="S4574" s="189" t="s">
        <v>25397</v>
      </c>
      <c r="T4574" s="114"/>
      <c r="U4574" s="21"/>
      <c r="V4574" s="115">
        <v>46014</v>
      </c>
      <c r="W4574" s="116">
        <v>1923</v>
      </c>
      <c r="X4574" s="220">
        <v>1525000</v>
      </c>
      <c r="Y4574" s="220">
        <f>X4574*0.1</f>
        <v>152500</v>
      </c>
      <c r="Z4574" s="220">
        <v>7040</v>
      </c>
      <c r="AA4574" s="220">
        <f>SUM(X4574:Z4574)</f>
        <v>1684540</v>
      </c>
      <c r="AB4574" s="222">
        <v>46029</v>
      </c>
    </row>
    <row r="4575" spans="1:28" ht="17.100000000000001" customHeight="1" thickBot="1">
      <c r="A4575" s="227"/>
      <c r="B4575" s="27" t="s">
        <v>4960</v>
      </c>
      <c r="C4575" s="27">
        <v>4</v>
      </c>
      <c r="D4575" s="14" t="s">
        <v>2559</v>
      </c>
      <c r="E4575" s="229"/>
      <c r="F4575" s="117" t="s">
        <v>13427</v>
      </c>
      <c r="G4575" s="26">
        <v>13613</v>
      </c>
      <c r="H4575" s="231"/>
      <c r="I4575" s="221"/>
      <c r="J4575" s="221"/>
      <c r="K4575" s="221"/>
      <c r="L4575" s="221"/>
      <c r="M4575" s="221"/>
      <c r="N4575" s="221"/>
      <c r="O4575" s="225"/>
      <c r="P4575" s="118" t="s">
        <v>9382</v>
      </c>
      <c r="Q4575" s="16" t="s">
        <v>20</v>
      </c>
      <c r="R4575" s="17" t="s">
        <v>13750</v>
      </c>
      <c r="S4575" s="121" t="s">
        <v>5047</v>
      </c>
      <c r="T4575" s="122"/>
      <c r="U4575" s="22"/>
      <c r="V4575" s="123" t="s">
        <v>7507</v>
      </c>
      <c r="W4575" s="122">
        <v>3267</v>
      </c>
      <c r="X4575" s="221"/>
      <c r="Y4575" s="221"/>
      <c r="Z4575" s="221"/>
      <c r="AA4575" s="221"/>
      <c r="AB4575" s="223"/>
    </row>
    <row r="4576" spans="1:28" ht="17.100000000000001" customHeight="1" thickTop="1">
      <c r="A4576" s="233" t="s">
        <v>13501</v>
      </c>
      <c r="B4576" s="28">
        <v>46010</v>
      </c>
      <c r="C4576" s="25">
        <v>271</v>
      </c>
      <c r="D4576" s="13" t="s">
        <v>4827</v>
      </c>
      <c r="E4576" s="228"/>
      <c r="F4576" s="109" t="s">
        <v>4601</v>
      </c>
      <c r="G4576" s="24" t="s">
        <v>3453</v>
      </c>
      <c r="H4576" s="230">
        <v>3.5</v>
      </c>
      <c r="I4576" s="220">
        <v>150000</v>
      </c>
      <c r="J4576" s="220">
        <f>I4576*0.1</f>
        <v>15000</v>
      </c>
      <c r="K4576" s="220">
        <v>0</v>
      </c>
      <c r="L4576" s="220">
        <v>9790</v>
      </c>
      <c r="M4576" s="220">
        <v>22000</v>
      </c>
      <c r="N4576" s="220">
        <f>SUM(I4576:M4577)</f>
        <v>196790</v>
      </c>
      <c r="O4576" s="224"/>
      <c r="P4576" s="110" t="s">
        <v>13430</v>
      </c>
      <c r="Q4576" s="15" t="s">
        <v>19</v>
      </c>
      <c r="R4576" s="205"/>
      <c r="S4576" s="189"/>
      <c r="T4576" s="114"/>
      <c r="U4576" s="21" t="s">
        <v>15032</v>
      </c>
      <c r="V4576" s="115">
        <v>46039</v>
      </c>
      <c r="W4576" s="116">
        <v>1284</v>
      </c>
      <c r="X4576" s="220">
        <v>180000</v>
      </c>
      <c r="Y4576" s="220">
        <f>X4576*0.1</f>
        <v>18000</v>
      </c>
      <c r="Z4576" s="220">
        <v>9790</v>
      </c>
      <c r="AA4576" s="220">
        <f>SUM(X4576:Z4576)</f>
        <v>207790</v>
      </c>
      <c r="AB4576" s="222">
        <v>46043</v>
      </c>
    </row>
    <row r="4577" spans="1:28" ht="17.100000000000001" customHeight="1" thickBot="1">
      <c r="A4577" s="234"/>
      <c r="B4577" s="27" t="s">
        <v>4960</v>
      </c>
      <c r="C4577" s="27">
        <v>49</v>
      </c>
      <c r="D4577" s="14" t="s">
        <v>131</v>
      </c>
      <c r="E4577" s="229"/>
      <c r="F4577" s="117" t="s">
        <v>13429</v>
      </c>
      <c r="G4577" s="26">
        <v>60386</v>
      </c>
      <c r="H4577" s="231"/>
      <c r="I4577" s="221"/>
      <c r="J4577" s="221"/>
      <c r="K4577" s="221"/>
      <c r="L4577" s="221"/>
      <c r="M4577" s="221"/>
      <c r="N4577" s="221"/>
      <c r="O4577" s="225"/>
      <c r="P4577" s="118" t="s">
        <v>4348</v>
      </c>
      <c r="Q4577" s="16" t="s">
        <v>20</v>
      </c>
      <c r="R4577" s="17" t="s">
        <v>13841</v>
      </c>
      <c r="S4577" s="121" t="s">
        <v>13871</v>
      </c>
      <c r="T4577" s="122"/>
      <c r="U4577" s="22"/>
      <c r="V4577" s="123" t="s">
        <v>2472</v>
      </c>
      <c r="W4577" s="122">
        <v>60122</v>
      </c>
      <c r="X4577" s="221"/>
      <c r="Y4577" s="221"/>
      <c r="Z4577" s="221"/>
      <c r="AA4577" s="221"/>
      <c r="AB4577" s="223"/>
    </row>
    <row r="4578" spans="1:28" ht="17.100000000000001" customHeight="1" thickTop="1">
      <c r="A4578" s="226" t="s">
        <v>13502</v>
      </c>
      <c r="B4578" s="28">
        <v>46010</v>
      </c>
      <c r="C4578" s="25">
        <v>271</v>
      </c>
      <c r="D4578" s="13" t="s">
        <v>2790</v>
      </c>
      <c r="E4578" s="228"/>
      <c r="F4578" s="109" t="s">
        <v>13431</v>
      </c>
      <c r="G4578" s="24" t="s">
        <v>2543</v>
      </c>
      <c r="H4578" s="230">
        <v>6</v>
      </c>
      <c r="I4578" s="220">
        <v>1305000</v>
      </c>
      <c r="J4578" s="220">
        <f>I4578*0.1</f>
        <v>130500</v>
      </c>
      <c r="K4578" s="220">
        <v>0</v>
      </c>
      <c r="L4578" s="220">
        <v>8200</v>
      </c>
      <c r="M4578" s="220">
        <v>22000</v>
      </c>
      <c r="N4578" s="220">
        <f>SUM(I4578:M4579)</f>
        <v>1465700</v>
      </c>
      <c r="O4578" s="224"/>
      <c r="P4578" s="110" t="s">
        <v>13433</v>
      </c>
      <c r="Q4578" s="15" t="s">
        <v>19</v>
      </c>
      <c r="R4578" s="205"/>
      <c r="S4578" s="189"/>
      <c r="T4578" s="114"/>
      <c r="U4578" s="21"/>
      <c r="V4578" s="115">
        <v>46014</v>
      </c>
      <c r="W4578" s="116">
        <v>1923</v>
      </c>
      <c r="X4578" s="220">
        <v>1319000</v>
      </c>
      <c r="Y4578" s="220">
        <f>X4578*0.1</f>
        <v>131900</v>
      </c>
      <c r="Z4578" s="220">
        <v>8200</v>
      </c>
      <c r="AA4578" s="220">
        <f>SUM(X4578:Z4578)</f>
        <v>1459100</v>
      </c>
      <c r="AB4578" s="222">
        <v>46020</v>
      </c>
    </row>
    <row r="4579" spans="1:28" ht="17.100000000000001" customHeight="1" thickBot="1">
      <c r="A4579" s="227"/>
      <c r="B4579" s="27" t="s">
        <v>4960</v>
      </c>
      <c r="C4579" s="27">
        <v>55</v>
      </c>
      <c r="D4579" s="14" t="s">
        <v>131</v>
      </c>
      <c r="E4579" s="229"/>
      <c r="F4579" s="117" t="s">
        <v>13432</v>
      </c>
      <c r="G4579" s="26">
        <v>3984</v>
      </c>
      <c r="H4579" s="231"/>
      <c r="I4579" s="221"/>
      <c r="J4579" s="221"/>
      <c r="K4579" s="221"/>
      <c r="L4579" s="221"/>
      <c r="M4579" s="221"/>
      <c r="N4579" s="221"/>
      <c r="O4579" s="225"/>
      <c r="P4579" s="118" t="s">
        <v>9382</v>
      </c>
      <c r="Q4579" s="16" t="s">
        <v>20</v>
      </c>
      <c r="R4579" s="17" t="s">
        <v>13750</v>
      </c>
      <c r="S4579" s="121"/>
      <c r="T4579" s="122"/>
      <c r="U4579" s="22"/>
      <c r="V4579" s="123" t="s">
        <v>2103</v>
      </c>
      <c r="W4579" s="122">
        <v>3171</v>
      </c>
      <c r="X4579" s="221"/>
      <c r="Y4579" s="221"/>
      <c r="Z4579" s="221"/>
      <c r="AA4579" s="221"/>
      <c r="AB4579" s="223"/>
    </row>
    <row r="4580" spans="1:28" ht="17.100000000000001" customHeight="1" thickTop="1">
      <c r="A4580" s="226" t="s">
        <v>13503</v>
      </c>
      <c r="B4580" s="28">
        <v>46010</v>
      </c>
      <c r="C4580" s="25">
        <v>2115</v>
      </c>
      <c r="D4580" s="13" t="s">
        <v>1996</v>
      </c>
      <c r="E4580" s="228"/>
      <c r="F4580" s="109" t="s">
        <v>13434</v>
      </c>
      <c r="G4580" s="24" t="s">
        <v>4596</v>
      </c>
      <c r="H4580" s="230">
        <v>4.5</v>
      </c>
      <c r="I4580" s="220">
        <v>700000</v>
      </c>
      <c r="J4580" s="220">
        <f>I4580*0.1</f>
        <v>70000</v>
      </c>
      <c r="K4580" s="220">
        <f>9800+980</f>
        <v>10780</v>
      </c>
      <c r="L4580" s="220">
        <v>19120</v>
      </c>
      <c r="M4580" s="220">
        <v>16500</v>
      </c>
      <c r="N4580" s="220">
        <f>SUM(I4580:M4581)</f>
        <v>816400</v>
      </c>
      <c r="O4580" s="224"/>
      <c r="P4580" s="110" t="s">
        <v>13436</v>
      </c>
      <c r="Q4580" s="15" t="s">
        <v>19</v>
      </c>
      <c r="R4580" s="205"/>
      <c r="S4580" s="189" t="s">
        <v>25367</v>
      </c>
      <c r="T4580" s="114"/>
      <c r="U4580" s="21" t="s">
        <v>14335</v>
      </c>
      <c r="V4580" s="115">
        <v>46053</v>
      </c>
      <c r="W4580" s="116">
        <v>1286</v>
      </c>
      <c r="X4580" s="220">
        <v>790000</v>
      </c>
      <c r="Y4580" s="220">
        <f>X4580*0.1</f>
        <v>79000</v>
      </c>
      <c r="Z4580" s="220">
        <v>19120</v>
      </c>
      <c r="AA4580" s="220">
        <f>SUM(X4580:Z4580)</f>
        <v>888120</v>
      </c>
      <c r="AB4580" s="222">
        <v>46056</v>
      </c>
    </row>
    <row r="4581" spans="1:28" ht="17.100000000000001" customHeight="1" thickBot="1">
      <c r="A4581" s="227"/>
      <c r="B4581" s="27" t="s">
        <v>1536</v>
      </c>
      <c r="C4581" s="27">
        <v>13199</v>
      </c>
      <c r="D4581" s="14" t="s">
        <v>1568</v>
      </c>
      <c r="E4581" s="229"/>
      <c r="F4581" s="117" t="s">
        <v>13435</v>
      </c>
      <c r="G4581" s="26">
        <v>65855</v>
      </c>
      <c r="H4581" s="231"/>
      <c r="I4581" s="221"/>
      <c r="J4581" s="221"/>
      <c r="K4581" s="221"/>
      <c r="L4581" s="221"/>
      <c r="M4581" s="221"/>
      <c r="N4581" s="221"/>
      <c r="O4581" s="225"/>
      <c r="P4581" s="118" t="s">
        <v>13890</v>
      </c>
      <c r="Q4581" s="16" t="s">
        <v>20</v>
      </c>
      <c r="R4581" s="17" t="s">
        <v>13841</v>
      </c>
      <c r="S4581" s="121" t="s">
        <v>2703</v>
      </c>
      <c r="T4581" s="122"/>
      <c r="U4581" s="22"/>
      <c r="V4581" s="123" t="s">
        <v>2472</v>
      </c>
      <c r="W4581" s="122">
        <v>80138</v>
      </c>
      <c r="X4581" s="221"/>
      <c r="Y4581" s="221"/>
      <c r="Z4581" s="221"/>
      <c r="AA4581" s="221"/>
      <c r="AB4581" s="223"/>
    </row>
    <row r="4582" spans="1:28" ht="17.100000000000001" customHeight="1" thickTop="1">
      <c r="A4582" s="233" t="s">
        <v>13504</v>
      </c>
      <c r="B4582" s="28">
        <v>46010</v>
      </c>
      <c r="C4582" s="25">
        <v>2115</v>
      </c>
      <c r="D4582" s="13" t="s">
        <v>2920</v>
      </c>
      <c r="E4582" s="228"/>
      <c r="F4582" s="109" t="s">
        <v>13437</v>
      </c>
      <c r="G4582" s="24"/>
      <c r="H4582" s="230">
        <v>4</v>
      </c>
      <c r="I4582" s="220">
        <v>1690000</v>
      </c>
      <c r="J4582" s="220">
        <f>I4582*0.1</f>
        <v>169000</v>
      </c>
      <c r="K4582" s="220">
        <v>0</v>
      </c>
      <c r="L4582" s="220">
        <v>12370</v>
      </c>
      <c r="M4582" s="220">
        <v>16500</v>
      </c>
      <c r="N4582" s="220">
        <f>SUM(I4582:M4583)</f>
        <v>1887870</v>
      </c>
      <c r="O4582" s="224"/>
      <c r="P4582" s="110" t="s">
        <v>13951</v>
      </c>
      <c r="Q4582" s="15" t="s">
        <v>19</v>
      </c>
      <c r="R4582" s="205"/>
      <c r="S4582" s="189" t="s">
        <v>1361</v>
      </c>
      <c r="T4582" s="114" t="s">
        <v>16163</v>
      </c>
      <c r="U4582" s="21"/>
      <c r="V4582" s="115"/>
      <c r="W4582" s="116"/>
      <c r="X4582" s="220"/>
      <c r="Y4582" s="220">
        <f>X4582*0.1</f>
        <v>0</v>
      </c>
      <c r="Z4582" s="220"/>
      <c r="AA4582" s="220">
        <f>SUM(X4582:Z4582)</f>
        <v>0</v>
      </c>
      <c r="AB4582" s="222"/>
    </row>
    <row r="4583" spans="1:28" ht="17.100000000000001" customHeight="1" thickBot="1">
      <c r="A4583" s="234"/>
      <c r="B4583" s="27" t="s">
        <v>1536</v>
      </c>
      <c r="C4583" s="27">
        <v>35174</v>
      </c>
      <c r="D4583" s="14" t="s">
        <v>273</v>
      </c>
      <c r="E4583" s="229"/>
      <c r="F4583" s="117" t="s">
        <v>13438</v>
      </c>
      <c r="G4583" s="26">
        <v>14550</v>
      </c>
      <c r="H4583" s="231"/>
      <c r="I4583" s="221"/>
      <c r="J4583" s="221"/>
      <c r="K4583" s="221"/>
      <c r="L4583" s="221"/>
      <c r="M4583" s="221"/>
      <c r="N4583" s="221"/>
      <c r="O4583" s="225"/>
      <c r="P4583" s="118" t="s">
        <v>2870</v>
      </c>
      <c r="Q4583" s="16" t="s">
        <v>20</v>
      </c>
      <c r="R4583" s="17" t="s">
        <v>3432</v>
      </c>
      <c r="S4583" s="121" t="s">
        <v>13952</v>
      </c>
      <c r="T4583" s="122"/>
      <c r="U4583" s="22"/>
      <c r="V4583" s="123"/>
      <c r="W4583" s="122"/>
      <c r="X4583" s="221"/>
      <c r="Y4583" s="221"/>
      <c r="Z4583" s="221"/>
      <c r="AA4583" s="221"/>
      <c r="AB4583" s="223"/>
    </row>
    <row r="4584" spans="1:28" ht="17.100000000000001" customHeight="1" thickTop="1">
      <c r="A4584" s="226" t="s">
        <v>13505</v>
      </c>
      <c r="B4584" s="28">
        <v>46010</v>
      </c>
      <c r="C4584" s="25">
        <v>2115</v>
      </c>
      <c r="D4584" s="13" t="s">
        <v>1853</v>
      </c>
      <c r="E4584" s="228"/>
      <c r="F4584" s="109" t="s">
        <v>1854</v>
      </c>
      <c r="G4584" s="24"/>
      <c r="H4584" s="230">
        <v>4</v>
      </c>
      <c r="I4584" s="220">
        <v>980000</v>
      </c>
      <c r="J4584" s="220">
        <f>I4584*0.1</f>
        <v>98000</v>
      </c>
      <c r="K4584" s="220">
        <v>0</v>
      </c>
      <c r="L4584" s="220">
        <v>17700</v>
      </c>
      <c r="M4584" s="220">
        <v>16500</v>
      </c>
      <c r="N4584" s="220">
        <f>SUM(I4584:M4585)</f>
        <v>1112200</v>
      </c>
      <c r="O4584" s="224"/>
      <c r="P4584" s="110" t="s">
        <v>13920</v>
      </c>
      <c r="Q4584" s="15" t="s">
        <v>19</v>
      </c>
      <c r="R4584" s="205"/>
      <c r="S4584" s="189"/>
      <c r="T4584" s="114"/>
      <c r="U4584" s="21"/>
      <c r="V4584" s="115">
        <v>46037</v>
      </c>
      <c r="W4584" s="116">
        <v>1314</v>
      </c>
      <c r="X4584" s="220">
        <v>1095000</v>
      </c>
      <c r="Y4584" s="220">
        <f>X4584*0.1</f>
        <v>109500</v>
      </c>
      <c r="Z4584" s="220">
        <v>17700</v>
      </c>
      <c r="AA4584" s="220">
        <f>SUM(X4584:Z4584)</f>
        <v>1222200</v>
      </c>
      <c r="AB4584" s="222">
        <v>46038</v>
      </c>
    </row>
    <row r="4585" spans="1:28" ht="17.100000000000001" customHeight="1" thickBot="1">
      <c r="A4585" s="227"/>
      <c r="B4585" s="27" t="s">
        <v>1536</v>
      </c>
      <c r="C4585" s="27">
        <v>58224</v>
      </c>
      <c r="D4585" s="14" t="s">
        <v>1568</v>
      </c>
      <c r="E4585" s="229"/>
      <c r="F4585" s="117" t="s">
        <v>13439</v>
      </c>
      <c r="G4585" s="26">
        <v>56080</v>
      </c>
      <c r="H4585" s="231"/>
      <c r="I4585" s="221"/>
      <c r="J4585" s="221"/>
      <c r="K4585" s="221"/>
      <c r="L4585" s="221"/>
      <c r="M4585" s="221"/>
      <c r="N4585" s="221"/>
      <c r="O4585" s="225"/>
      <c r="P4585" s="118" t="s">
        <v>2615</v>
      </c>
      <c r="Q4585" s="16" t="s">
        <v>20</v>
      </c>
      <c r="R4585" s="17" t="s">
        <v>13841</v>
      </c>
      <c r="S4585" s="121"/>
      <c r="T4585" s="122"/>
      <c r="U4585" s="22"/>
      <c r="V4585" s="123" t="s">
        <v>13379</v>
      </c>
      <c r="W4585" s="122">
        <v>70</v>
      </c>
      <c r="X4585" s="221"/>
      <c r="Y4585" s="221"/>
      <c r="Z4585" s="221"/>
      <c r="AA4585" s="221"/>
      <c r="AB4585" s="223"/>
    </row>
    <row r="4586" spans="1:28" ht="17.100000000000001" customHeight="1" thickTop="1">
      <c r="A4586" s="226" t="s">
        <v>13506</v>
      </c>
      <c r="B4586" s="28">
        <v>46010</v>
      </c>
      <c r="C4586" s="25">
        <v>2115</v>
      </c>
      <c r="D4586" s="13" t="s">
        <v>5235</v>
      </c>
      <c r="E4586" s="228"/>
      <c r="F4586" s="109" t="s">
        <v>2189</v>
      </c>
      <c r="G4586" s="24" t="s">
        <v>13488</v>
      </c>
      <c r="H4586" s="230">
        <v>4.5</v>
      </c>
      <c r="I4586" s="220">
        <v>2240000</v>
      </c>
      <c r="J4586" s="220">
        <f>I4586*0.1</f>
        <v>224000</v>
      </c>
      <c r="K4586" s="220">
        <f>25300+2530</f>
        <v>27830</v>
      </c>
      <c r="L4586" s="220">
        <v>20100</v>
      </c>
      <c r="M4586" s="220">
        <v>16500</v>
      </c>
      <c r="N4586" s="220">
        <f>SUM(I4586:M4587)</f>
        <v>2528430</v>
      </c>
      <c r="O4586" s="224"/>
      <c r="P4586" s="110" t="s">
        <v>13489</v>
      </c>
      <c r="Q4586" s="15" t="s">
        <v>19</v>
      </c>
      <c r="R4586" s="205"/>
      <c r="S4586" s="189" t="s">
        <v>1271</v>
      </c>
      <c r="T4586" s="114"/>
      <c r="U4586" s="21"/>
      <c r="V4586" s="115"/>
      <c r="W4586" s="116"/>
      <c r="X4586" s="220"/>
      <c r="Y4586" s="220">
        <f>X4586*0.1</f>
        <v>0</v>
      </c>
      <c r="Z4586" s="220"/>
      <c r="AA4586" s="220">
        <f>SUM(X4586:Z4586)</f>
        <v>0</v>
      </c>
      <c r="AB4586" s="222"/>
    </row>
    <row r="4587" spans="1:28" ht="17.100000000000001" customHeight="1" thickBot="1">
      <c r="A4587" s="227"/>
      <c r="B4587" s="27" t="s">
        <v>1536</v>
      </c>
      <c r="C4587" s="27">
        <v>58514</v>
      </c>
      <c r="D4587" s="14" t="s">
        <v>5198</v>
      </c>
      <c r="E4587" s="229"/>
      <c r="F4587" s="117" t="s">
        <v>13487</v>
      </c>
      <c r="G4587" s="26">
        <v>51673</v>
      </c>
      <c r="H4587" s="231"/>
      <c r="I4587" s="221"/>
      <c r="J4587" s="221"/>
      <c r="K4587" s="221"/>
      <c r="L4587" s="221"/>
      <c r="M4587" s="221"/>
      <c r="N4587" s="221"/>
      <c r="O4587" s="225"/>
      <c r="P4587" s="118" t="s">
        <v>13891</v>
      </c>
      <c r="Q4587" s="16" t="s">
        <v>20</v>
      </c>
      <c r="R4587" s="17" t="s">
        <v>13841</v>
      </c>
      <c r="S4587" s="121" t="s">
        <v>4035</v>
      </c>
      <c r="T4587" s="122"/>
      <c r="U4587" s="22"/>
      <c r="V4587" s="123"/>
      <c r="W4587" s="122"/>
      <c r="X4587" s="221"/>
      <c r="Y4587" s="221"/>
      <c r="Z4587" s="221"/>
      <c r="AA4587" s="221"/>
      <c r="AB4587" s="223"/>
    </row>
    <row r="4588" spans="1:28" ht="17.100000000000001" customHeight="1" thickTop="1">
      <c r="A4588" s="233" t="s">
        <v>13507</v>
      </c>
      <c r="B4588" s="28">
        <v>46010</v>
      </c>
      <c r="C4588" s="25">
        <v>78</v>
      </c>
      <c r="D4588" s="13" t="s">
        <v>1542</v>
      </c>
      <c r="E4588" s="228"/>
      <c r="F4588" s="109" t="s">
        <v>13496</v>
      </c>
      <c r="G4588" s="24" t="s">
        <v>3345</v>
      </c>
      <c r="H4588" s="230">
        <v>4</v>
      </c>
      <c r="I4588" s="220">
        <v>1895000</v>
      </c>
      <c r="J4588" s="220">
        <f>I4588*0.1</f>
        <v>189500</v>
      </c>
      <c r="K4588" s="220">
        <f>11200+1120</f>
        <v>12320</v>
      </c>
      <c r="L4588" s="220">
        <v>12840</v>
      </c>
      <c r="M4588" s="220">
        <v>44000</v>
      </c>
      <c r="N4588" s="220">
        <f>SUM(I4588:M4589)</f>
        <v>2153660</v>
      </c>
      <c r="O4588" s="224"/>
      <c r="P4588" s="110"/>
      <c r="Q4588" s="15" t="s">
        <v>19</v>
      </c>
      <c r="R4588" s="205"/>
      <c r="S4588" s="189" t="s">
        <v>25608</v>
      </c>
      <c r="T4588" s="114" t="s">
        <v>7899</v>
      </c>
      <c r="U4588" s="21"/>
      <c r="V4588" s="115"/>
      <c r="W4588" s="116"/>
      <c r="X4588" s="220"/>
      <c r="Y4588" s="220">
        <f>X4588*0.1</f>
        <v>0</v>
      </c>
      <c r="Z4588" s="220"/>
      <c r="AA4588" s="220">
        <f>SUM(X4588:Z4588)</f>
        <v>0</v>
      </c>
      <c r="AB4588" s="222"/>
    </row>
    <row r="4589" spans="1:28" ht="17.100000000000001" customHeight="1" thickBot="1">
      <c r="A4589" s="234"/>
      <c r="B4589" s="27" t="s">
        <v>4468</v>
      </c>
      <c r="C4589" s="27">
        <v>1011</v>
      </c>
      <c r="D4589" s="14" t="s">
        <v>131</v>
      </c>
      <c r="E4589" s="229"/>
      <c r="F4589" s="117" t="s">
        <v>13492</v>
      </c>
      <c r="G4589" s="26">
        <v>77054</v>
      </c>
      <c r="H4589" s="231"/>
      <c r="I4589" s="221"/>
      <c r="J4589" s="221"/>
      <c r="K4589" s="221"/>
      <c r="L4589" s="221"/>
      <c r="M4589" s="221"/>
      <c r="N4589" s="221"/>
      <c r="O4589" s="225"/>
      <c r="P4589" s="118"/>
      <c r="Q4589" s="16" t="s">
        <v>20</v>
      </c>
      <c r="R4589" s="17" t="s">
        <v>10331</v>
      </c>
      <c r="S4589" s="121"/>
      <c r="T4589" s="122"/>
      <c r="U4589" s="22"/>
      <c r="V4589" s="123"/>
      <c r="W4589" s="122"/>
      <c r="X4589" s="221"/>
      <c r="Y4589" s="221"/>
      <c r="Z4589" s="221"/>
      <c r="AA4589" s="221"/>
      <c r="AB4589" s="223"/>
    </row>
    <row r="4590" spans="1:28" ht="17.100000000000001" customHeight="1" thickTop="1">
      <c r="A4590" s="226" t="s">
        <v>13508</v>
      </c>
      <c r="B4590" s="28">
        <v>46010</v>
      </c>
      <c r="C4590" s="25">
        <v>78</v>
      </c>
      <c r="D4590" s="13" t="s">
        <v>2203</v>
      </c>
      <c r="E4590" s="228"/>
      <c r="F4590" s="109" t="s">
        <v>13497</v>
      </c>
      <c r="G4590" s="24" t="s">
        <v>2494</v>
      </c>
      <c r="H4590" s="230">
        <v>3.5</v>
      </c>
      <c r="I4590" s="220">
        <v>665000</v>
      </c>
      <c r="J4590" s="220">
        <f>I4590*0.1</f>
        <v>66500</v>
      </c>
      <c r="K4590" s="220">
        <v>0</v>
      </c>
      <c r="L4590" s="220">
        <v>8400</v>
      </c>
      <c r="M4590" s="220">
        <v>33000</v>
      </c>
      <c r="N4590" s="220">
        <f>SUM(I4590:M4591)</f>
        <v>772900</v>
      </c>
      <c r="O4590" s="224"/>
      <c r="P4590" s="110" t="s">
        <v>15974</v>
      </c>
      <c r="Q4590" s="15" t="s">
        <v>19</v>
      </c>
      <c r="R4590" s="205"/>
      <c r="S4590" s="189" t="s">
        <v>25659</v>
      </c>
      <c r="T4590" s="114"/>
      <c r="U4590" s="21" t="s">
        <v>16162</v>
      </c>
      <c r="V4590" s="115">
        <v>46064</v>
      </c>
      <c r="W4590" s="116">
        <v>1004</v>
      </c>
      <c r="X4590" s="220">
        <v>940000</v>
      </c>
      <c r="Y4590" s="220">
        <f>X4590*0.1</f>
        <v>94000</v>
      </c>
      <c r="Z4590" s="220">
        <v>8400</v>
      </c>
      <c r="AA4590" s="220">
        <f>SUM(X4590:Z4590)</f>
        <v>1042400</v>
      </c>
      <c r="AB4590" s="222">
        <v>46069</v>
      </c>
    </row>
    <row r="4591" spans="1:28" ht="17.100000000000001" customHeight="1" thickBot="1">
      <c r="A4591" s="227"/>
      <c r="B4591" s="27" t="s">
        <v>4468</v>
      </c>
      <c r="C4591" s="27">
        <v>1018</v>
      </c>
      <c r="D4591" s="14" t="s">
        <v>2559</v>
      </c>
      <c r="E4591" s="229"/>
      <c r="F4591" s="117" t="s">
        <v>13493</v>
      </c>
      <c r="G4591" s="26">
        <v>44295</v>
      </c>
      <c r="H4591" s="231"/>
      <c r="I4591" s="221"/>
      <c r="J4591" s="221"/>
      <c r="K4591" s="221"/>
      <c r="L4591" s="221"/>
      <c r="M4591" s="221"/>
      <c r="N4591" s="221"/>
      <c r="O4591" s="225"/>
      <c r="P4591" s="118" t="s">
        <v>15975</v>
      </c>
      <c r="Q4591" s="16" t="s">
        <v>20</v>
      </c>
      <c r="R4591" s="17" t="s">
        <v>1822</v>
      </c>
      <c r="S4591" s="121"/>
      <c r="T4591" s="122"/>
      <c r="U4591" s="22"/>
      <c r="V4591" s="123" t="s">
        <v>2747</v>
      </c>
      <c r="W4591" s="122">
        <v>1044</v>
      </c>
      <c r="X4591" s="221"/>
      <c r="Y4591" s="221"/>
      <c r="Z4591" s="221"/>
      <c r="AA4591" s="221"/>
      <c r="AB4591" s="223"/>
    </row>
    <row r="4592" spans="1:28" ht="17.100000000000001" customHeight="1" thickTop="1">
      <c r="A4592" s="233" t="s">
        <v>13509</v>
      </c>
      <c r="B4592" s="28">
        <v>46010</v>
      </c>
      <c r="C4592" s="25">
        <v>78</v>
      </c>
      <c r="D4592" s="13" t="s">
        <v>3769</v>
      </c>
      <c r="E4592" s="228"/>
      <c r="F4592" s="109" t="s">
        <v>13426</v>
      </c>
      <c r="G4592" s="24" t="s">
        <v>4239</v>
      </c>
      <c r="H4592" s="230">
        <v>4</v>
      </c>
      <c r="I4592" s="220">
        <v>1185000</v>
      </c>
      <c r="J4592" s="220">
        <f>I4592*0.1</f>
        <v>118500</v>
      </c>
      <c r="K4592" s="220">
        <v>0</v>
      </c>
      <c r="L4592" s="220">
        <v>7040</v>
      </c>
      <c r="M4592" s="220">
        <v>44000</v>
      </c>
      <c r="N4592" s="220">
        <f>SUM(I4592:M4593)</f>
        <v>1354540</v>
      </c>
      <c r="O4592" s="224"/>
      <c r="P4592" s="110" t="s">
        <v>14409</v>
      </c>
      <c r="Q4592" s="15" t="s">
        <v>19</v>
      </c>
      <c r="R4592" s="205"/>
      <c r="S4592" s="189" t="s">
        <v>25660</v>
      </c>
      <c r="T4592" s="114"/>
      <c r="U4592" s="21"/>
      <c r="V4592" s="115">
        <v>46032</v>
      </c>
      <c r="W4592" s="116">
        <v>1283</v>
      </c>
      <c r="X4592" s="220">
        <v>1355000</v>
      </c>
      <c r="Y4592" s="220">
        <f>X4592*0.1</f>
        <v>135500</v>
      </c>
      <c r="Z4592" s="220">
        <v>7040</v>
      </c>
      <c r="AA4592" s="220">
        <f>SUM(X4592:Z4592)</f>
        <v>1497540</v>
      </c>
      <c r="AB4592" s="222">
        <v>46036</v>
      </c>
    </row>
    <row r="4593" spans="1:28" ht="17.100000000000001" customHeight="1" thickBot="1">
      <c r="A4593" s="234"/>
      <c r="B4593" s="27" t="s">
        <v>4468</v>
      </c>
      <c r="C4593" s="27">
        <v>1041</v>
      </c>
      <c r="D4593" s="14" t="s">
        <v>273</v>
      </c>
      <c r="E4593" s="229"/>
      <c r="F4593" s="117" t="s">
        <v>13494</v>
      </c>
      <c r="G4593" s="26">
        <v>18243</v>
      </c>
      <c r="H4593" s="231"/>
      <c r="I4593" s="221"/>
      <c r="J4593" s="221"/>
      <c r="K4593" s="221"/>
      <c r="L4593" s="221"/>
      <c r="M4593" s="221"/>
      <c r="N4593" s="221"/>
      <c r="O4593" s="225"/>
      <c r="P4593" s="118" t="s">
        <v>14410</v>
      </c>
      <c r="Q4593" s="16" t="s">
        <v>20</v>
      </c>
      <c r="R4593" s="17" t="s">
        <v>2900</v>
      </c>
      <c r="S4593" s="121" t="s">
        <v>8262</v>
      </c>
      <c r="T4593" s="122"/>
      <c r="U4593" s="22"/>
      <c r="V4593" s="123" t="s">
        <v>2472</v>
      </c>
      <c r="W4593" s="122">
        <v>65431</v>
      </c>
      <c r="X4593" s="221"/>
      <c r="Y4593" s="221"/>
      <c r="Z4593" s="221"/>
      <c r="AA4593" s="221"/>
      <c r="AB4593" s="223"/>
    </row>
    <row r="4594" spans="1:28" ht="17.100000000000001" customHeight="1" thickTop="1">
      <c r="A4594" s="226" t="s">
        <v>13510</v>
      </c>
      <c r="B4594" s="28">
        <v>46010</v>
      </c>
      <c r="C4594" s="25">
        <v>78</v>
      </c>
      <c r="D4594" s="13" t="s">
        <v>3422</v>
      </c>
      <c r="E4594" s="228"/>
      <c r="F4594" s="109" t="s">
        <v>13498</v>
      </c>
      <c r="G4594" s="24" t="s">
        <v>4412</v>
      </c>
      <c r="H4594" s="230">
        <v>4</v>
      </c>
      <c r="I4594" s="220">
        <v>2695000</v>
      </c>
      <c r="J4594" s="220">
        <f>I4594*0.1</f>
        <v>269500</v>
      </c>
      <c r="K4594" s="220">
        <f>7500+750</f>
        <v>8250</v>
      </c>
      <c r="L4594" s="220">
        <v>16550</v>
      </c>
      <c r="M4594" s="220">
        <v>66000</v>
      </c>
      <c r="N4594" s="220">
        <f>SUM(I4594:M4595)</f>
        <v>3055300</v>
      </c>
      <c r="O4594" s="224"/>
      <c r="P4594" s="110" t="s">
        <v>14694</v>
      </c>
      <c r="Q4594" s="15" t="s">
        <v>19</v>
      </c>
      <c r="R4594" s="205"/>
      <c r="S4594" s="189" t="s">
        <v>25661</v>
      </c>
      <c r="T4594" s="114"/>
      <c r="U4594" s="21" t="s">
        <v>16146</v>
      </c>
      <c r="V4594" s="115">
        <v>46071</v>
      </c>
      <c r="W4594" s="116">
        <v>1005</v>
      </c>
      <c r="X4594" s="220">
        <v>2755000</v>
      </c>
      <c r="Y4594" s="220">
        <f>X4594*0.1</f>
        <v>275500</v>
      </c>
      <c r="Z4594" s="220">
        <v>16550</v>
      </c>
      <c r="AA4594" s="220">
        <f>SUM(X4594:Z4594)</f>
        <v>3047050</v>
      </c>
      <c r="AB4594" s="222">
        <v>46073</v>
      </c>
    </row>
    <row r="4595" spans="1:28" ht="17.100000000000001" customHeight="1" thickBot="1">
      <c r="A4595" s="227"/>
      <c r="B4595" s="27" t="s">
        <v>4468</v>
      </c>
      <c r="C4595" s="27">
        <v>1070</v>
      </c>
      <c r="D4595" s="14" t="s">
        <v>273</v>
      </c>
      <c r="E4595" s="229"/>
      <c r="F4595" s="117" t="s">
        <v>13495</v>
      </c>
      <c r="G4595" s="26">
        <v>40474</v>
      </c>
      <c r="H4595" s="231"/>
      <c r="I4595" s="221"/>
      <c r="J4595" s="221"/>
      <c r="K4595" s="221"/>
      <c r="L4595" s="221"/>
      <c r="M4595" s="221"/>
      <c r="N4595" s="221"/>
      <c r="O4595" s="225"/>
      <c r="P4595" s="118" t="s">
        <v>14695</v>
      </c>
      <c r="Q4595" s="16" t="s">
        <v>20</v>
      </c>
      <c r="R4595" s="17" t="s">
        <v>1800</v>
      </c>
      <c r="S4595" s="121" t="s">
        <v>16619</v>
      </c>
      <c r="T4595" s="122"/>
      <c r="U4595" s="22"/>
      <c r="V4595" s="123" t="s">
        <v>8877</v>
      </c>
      <c r="W4595" s="122">
        <v>4020</v>
      </c>
      <c r="X4595" s="221"/>
      <c r="Y4595" s="221"/>
      <c r="Z4595" s="221"/>
      <c r="AA4595" s="221"/>
      <c r="AB4595" s="223"/>
    </row>
    <row r="4596" spans="1:28" ht="17.100000000000001" customHeight="1" thickTop="1">
      <c r="A4596" s="233" t="s">
        <v>13511</v>
      </c>
      <c r="B4596" s="28">
        <v>46010</v>
      </c>
      <c r="C4596" s="25">
        <v>1399</v>
      </c>
      <c r="D4596" s="13" t="s">
        <v>894</v>
      </c>
      <c r="E4596" s="228"/>
      <c r="F4596" s="109" t="s">
        <v>13524</v>
      </c>
      <c r="G4596" s="24" t="s">
        <v>10635</v>
      </c>
      <c r="H4596" s="230">
        <v>4</v>
      </c>
      <c r="I4596" s="220">
        <v>279000</v>
      </c>
      <c r="J4596" s="220">
        <f>I4596*0.1</f>
        <v>27900</v>
      </c>
      <c r="K4596" s="220">
        <v>0</v>
      </c>
      <c r="L4596" s="220">
        <v>8490</v>
      </c>
      <c r="M4596" s="220">
        <v>13200</v>
      </c>
      <c r="N4596" s="220">
        <f>SUM(I4596:M4597)</f>
        <v>328590</v>
      </c>
      <c r="O4596" s="224"/>
      <c r="P4596" s="110" t="s">
        <v>13923</v>
      </c>
      <c r="Q4596" s="15" t="s">
        <v>19</v>
      </c>
      <c r="R4596" s="205"/>
      <c r="S4596" s="189"/>
      <c r="T4596" s="114"/>
      <c r="U4596" s="21" t="s">
        <v>14580</v>
      </c>
      <c r="V4596" s="115">
        <v>46032</v>
      </c>
      <c r="W4596" s="116">
        <v>1283</v>
      </c>
      <c r="X4596" s="220">
        <v>315000</v>
      </c>
      <c r="Y4596" s="220">
        <f>X4596*0.1</f>
        <v>31500</v>
      </c>
      <c r="Z4596" s="220">
        <v>8490</v>
      </c>
      <c r="AA4596" s="220">
        <f>SUM(X4596:Z4596)</f>
        <v>354990</v>
      </c>
      <c r="AB4596" s="222">
        <v>46037</v>
      </c>
    </row>
    <row r="4597" spans="1:28" ht="17.100000000000001" customHeight="1" thickBot="1">
      <c r="A4597" s="234"/>
      <c r="B4597" s="27" t="s">
        <v>2597</v>
      </c>
      <c r="C4597" s="27">
        <v>2193</v>
      </c>
      <c r="D4597" s="14" t="s">
        <v>3955</v>
      </c>
      <c r="E4597" s="229"/>
      <c r="F4597" s="117" t="s">
        <v>13525</v>
      </c>
      <c r="G4597" s="26">
        <v>44647</v>
      </c>
      <c r="H4597" s="231"/>
      <c r="I4597" s="221"/>
      <c r="J4597" s="221"/>
      <c r="K4597" s="221"/>
      <c r="L4597" s="221"/>
      <c r="M4597" s="221"/>
      <c r="N4597" s="221"/>
      <c r="O4597" s="225"/>
      <c r="P4597" s="118" t="s">
        <v>13924</v>
      </c>
      <c r="Q4597" s="16" t="s">
        <v>20</v>
      </c>
      <c r="R4597" s="17" t="s">
        <v>13841</v>
      </c>
      <c r="S4597" s="121" t="s">
        <v>169</v>
      </c>
      <c r="T4597" s="122"/>
      <c r="U4597" s="22"/>
      <c r="V4597" s="123" t="s">
        <v>2472</v>
      </c>
      <c r="W4597" s="122">
        <v>60234</v>
      </c>
      <c r="X4597" s="221"/>
      <c r="Y4597" s="221"/>
      <c r="Z4597" s="221"/>
      <c r="AA4597" s="221"/>
      <c r="AB4597" s="223"/>
    </row>
    <row r="4598" spans="1:28" ht="17.100000000000001" customHeight="1" thickTop="1">
      <c r="A4598" s="226" t="s">
        <v>13512</v>
      </c>
      <c r="B4598" s="28">
        <v>46010</v>
      </c>
      <c r="C4598" s="25">
        <v>1399</v>
      </c>
      <c r="D4598" s="13" t="s">
        <v>2920</v>
      </c>
      <c r="E4598" s="228"/>
      <c r="F4598" s="109" t="s">
        <v>3533</v>
      </c>
      <c r="G4598" s="24" t="s">
        <v>10433</v>
      </c>
      <c r="H4598" s="230">
        <v>5</v>
      </c>
      <c r="I4598" s="220">
        <v>1065000</v>
      </c>
      <c r="J4598" s="220">
        <f>I4598*0.1</f>
        <v>106500</v>
      </c>
      <c r="K4598" s="220">
        <v>0</v>
      </c>
      <c r="L4598" s="220">
        <v>5340</v>
      </c>
      <c r="M4598" s="220">
        <v>13200</v>
      </c>
      <c r="N4598" s="220">
        <f>SUM(I4598:M4599)</f>
        <v>1190040</v>
      </c>
      <c r="O4598" s="224"/>
      <c r="P4598" s="110" t="s">
        <v>14070</v>
      </c>
      <c r="Q4598" s="15" t="s">
        <v>19</v>
      </c>
      <c r="R4598" s="205"/>
      <c r="S4598" s="189" t="s">
        <v>1276</v>
      </c>
      <c r="T4598" s="114"/>
      <c r="U4598" s="21" t="s">
        <v>15025</v>
      </c>
      <c r="V4598" s="115">
        <v>46046</v>
      </c>
      <c r="W4598" s="116">
        <v>1285</v>
      </c>
      <c r="X4598" s="220">
        <v>1125000</v>
      </c>
      <c r="Y4598" s="220">
        <f>X4598*0.1</f>
        <v>112500</v>
      </c>
      <c r="Z4598" s="220">
        <v>5340</v>
      </c>
      <c r="AA4598" s="220">
        <f>SUM(X4598:Z4598)</f>
        <v>1242840</v>
      </c>
      <c r="AB4598" s="222">
        <v>46049</v>
      </c>
    </row>
    <row r="4599" spans="1:28" ht="17.100000000000001" customHeight="1" thickBot="1">
      <c r="A4599" s="227"/>
      <c r="B4599" s="27" t="s">
        <v>2597</v>
      </c>
      <c r="C4599" s="27">
        <v>3013</v>
      </c>
      <c r="D4599" s="14" t="s">
        <v>1568</v>
      </c>
      <c r="E4599" s="229"/>
      <c r="F4599" s="117" t="s">
        <v>13526</v>
      </c>
      <c r="G4599" s="26">
        <v>9911</v>
      </c>
      <c r="H4599" s="231"/>
      <c r="I4599" s="221"/>
      <c r="J4599" s="221"/>
      <c r="K4599" s="221"/>
      <c r="L4599" s="221"/>
      <c r="M4599" s="221"/>
      <c r="N4599" s="221"/>
      <c r="O4599" s="225"/>
      <c r="P4599" s="118" t="s">
        <v>14071</v>
      </c>
      <c r="Q4599" s="16" t="s">
        <v>20</v>
      </c>
      <c r="R4599" s="17" t="s">
        <v>14046</v>
      </c>
      <c r="S4599" s="121" t="s">
        <v>14072</v>
      </c>
      <c r="T4599" s="122"/>
      <c r="U4599" s="22"/>
      <c r="V4599" s="123" t="s">
        <v>2472</v>
      </c>
      <c r="W4599" s="122">
        <v>60045</v>
      </c>
      <c r="X4599" s="221"/>
      <c r="Y4599" s="221"/>
      <c r="Z4599" s="221"/>
      <c r="AA4599" s="221"/>
      <c r="AB4599" s="223"/>
    </row>
    <row r="4600" spans="1:28" ht="17.100000000000001" customHeight="1" thickTop="1">
      <c r="A4600" s="233" t="s">
        <v>13513</v>
      </c>
      <c r="B4600" s="28">
        <v>46010</v>
      </c>
      <c r="C4600" s="25">
        <v>1399</v>
      </c>
      <c r="D4600" s="13" t="s">
        <v>1754</v>
      </c>
      <c r="E4600" s="228"/>
      <c r="F4600" s="109" t="s">
        <v>13527</v>
      </c>
      <c r="G4600" s="24"/>
      <c r="H4600" s="230">
        <v>4.5</v>
      </c>
      <c r="I4600" s="220">
        <v>953000</v>
      </c>
      <c r="J4600" s="220">
        <f>I4600*0.1</f>
        <v>95300</v>
      </c>
      <c r="K4600" s="220">
        <v>0</v>
      </c>
      <c r="L4600" s="220">
        <v>19330</v>
      </c>
      <c r="M4600" s="220">
        <v>13200</v>
      </c>
      <c r="N4600" s="220">
        <f>SUM(I4600:M4601)</f>
        <v>1080830</v>
      </c>
      <c r="O4600" s="224"/>
      <c r="P4600" s="110" t="s">
        <v>13919</v>
      </c>
      <c r="Q4600" s="15" t="s">
        <v>19</v>
      </c>
      <c r="R4600" s="205"/>
      <c r="S4600" s="189" t="s">
        <v>758</v>
      </c>
      <c r="T4600" s="114"/>
      <c r="U4600" s="21"/>
      <c r="V4600" s="115">
        <v>46032</v>
      </c>
      <c r="W4600" s="116">
        <v>1283</v>
      </c>
      <c r="X4600" s="220">
        <v>1080000</v>
      </c>
      <c r="Y4600" s="220">
        <f>X4600*0.1</f>
        <v>108000</v>
      </c>
      <c r="Z4600" s="220">
        <v>19330</v>
      </c>
      <c r="AA4600" s="220">
        <f>SUM(X4600:Z4600)</f>
        <v>1207330</v>
      </c>
      <c r="AB4600" s="222">
        <v>46036</v>
      </c>
    </row>
    <row r="4601" spans="1:28" ht="17.100000000000001" customHeight="1" thickBot="1">
      <c r="A4601" s="234"/>
      <c r="B4601" s="27" t="s">
        <v>2597</v>
      </c>
      <c r="C4601" s="27">
        <v>7163</v>
      </c>
      <c r="D4601" s="14" t="s">
        <v>1568</v>
      </c>
      <c r="E4601" s="229"/>
      <c r="F4601" s="117" t="s">
        <v>13528</v>
      </c>
      <c r="G4601" s="26">
        <v>28886</v>
      </c>
      <c r="H4601" s="231"/>
      <c r="I4601" s="221"/>
      <c r="J4601" s="221"/>
      <c r="K4601" s="221"/>
      <c r="L4601" s="221"/>
      <c r="M4601" s="221"/>
      <c r="N4601" s="221"/>
      <c r="O4601" s="225"/>
      <c r="P4601" s="118" t="s">
        <v>8646</v>
      </c>
      <c r="Q4601" s="16" t="s">
        <v>20</v>
      </c>
      <c r="R4601" s="17" t="s">
        <v>13841</v>
      </c>
      <c r="S4601" s="121" t="s">
        <v>3071</v>
      </c>
      <c r="T4601" s="122"/>
      <c r="U4601" s="22"/>
      <c r="V4601" s="123" t="s">
        <v>2472</v>
      </c>
      <c r="W4601" s="122">
        <v>80375</v>
      </c>
      <c r="X4601" s="221"/>
      <c r="Y4601" s="221"/>
      <c r="Z4601" s="221"/>
      <c r="AA4601" s="221"/>
      <c r="AB4601" s="223"/>
    </row>
    <row r="4602" spans="1:28" ht="17.100000000000001" customHeight="1" thickTop="1">
      <c r="A4602" s="226" t="s">
        <v>13514</v>
      </c>
      <c r="B4602" s="28">
        <v>46010</v>
      </c>
      <c r="C4602" s="25">
        <v>1399</v>
      </c>
      <c r="D4602" s="13" t="s">
        <v>1578</v>
      </c>
      <c r="E4602" s="228"/>
      <c r="F4602" s="109" t="s">
        <v>13529</v>
      </c>
      <c r="G4602" s="24" t="s">
        <v>3482</v>
      </c>
      <c r="H4602" s="232" t="s">
        <v>1705</v>
      </c>
      <c r="I4602" s="220">
        <v>442000</v>
      </c>
      <c r="J4602" s="220">
        <f>I4602*0.1</f>
        <v>44200</v>
      </c>
      <c r="K4602" s="220">
        <f>7300+730</f>
        <v>8030</v>
      </c>
      <c r="L4602" s="220">
        <v>9630</v>
      </c>
      <c r="M4602" s="220">
        <v>13200</v>
      </c>
      <c r="N4602" s="220">
        <f>SUM(I4602:M4603)</f>
        <v>517060</v>
      </c>
      <c r="O4602" s="224"/>
      <c r="P4602" s="110" t="s">
        <v>14068</v>
      </c>
      <c r="Q4602" s="15" t="s">
        <v>19</v>
      </c>
      <c r="R4602" s="205"/>
      <c r="S4602" s="189"/>
      <c r="T4602" s="114"/>
      <c r="U4602" s="21"/>
      <c r="V4602" s="115">
        <v>46046</v>
      </c>
      <c r="W4602" s="116">
        <v>1285</v>
      </c>
      <c r="X4602" s="220">
        <v>545000</v>
      </c>
      <c r="Y4602" s="220">
        <f>X4602*0.1</f>
        <v>54500</v>
      </c>
      <c r="Z4602" s="220">
        <v>9630</v>
      </c>
      <c r="AA4602" s="220">
        <f>SUM(X4602:Z4602)</f>
        <v>609130</v>
      </c>
      <c r="AB4602" s="222">
        <v>46049</v>
      </c>
    </row>
    <row r="4603" spans="1:28" ht="17.100000000000001" customHeight="1" thickBot="1">
      <c r="A4603" s="227"/>
      <c r="B4603" s="27" t="s">
        <v>2597</v>
      </c>
      <c r="C4603" s="27">
        <v>9044</v>
      </c>
      <c r="D4603" s="14" t="s">
        <v>1568</v>
      </c>
      <c r="E4603" s="229"/>
      <c r="F4603" s="117" t="s">
        <v>13530</v>
      </c>
      <c r="G4603" s="26">
        <v>57545</v>
      </c>
      <c r="H4603" s="231"/>
      <c r="I4603" s="221"/>
      <c r="J4603" s="221"/>
      <c r="K4603" s="221"/>
      <c r="L4603" s="221"/>
      <c r="M4603" s="221"/>
      <c r="N4603" s="221"/>
      <c r="O4603" s="225"/>
      <c r="P4603" s="118" t="s">
        <v>14069</v>
      </c>
      <c r="Q4603" s="16" t="s">
        <v>20</v>
      </c>
      <c r="R4603" s="17" t="s">
        <v>14046</v>
      </c>
      <c r="S4603" s="121" t="s">
        <v>10516</v>
      </c>
      <c r="T4603" s="122"/>
      <c r="U4603" s="22"/>
      <c r="V4603" s="123" t="s">
        <v>2472</v>
      </c>
      <c r="W4603" s="122">
        <v>55125</v>
      </c>
      <c r="X4603" s="221"/>
      <c r="Y4603" s="221"/>
      <c r="Z4603" s="221"/>
      <c r="AA4603" s="221"/>
      <c r="AB4603" s="223"/>
    </row>
    <row r="4604" spans="1:28" ht="17.100000000000001" customHeight="1" thickTop="1">
      <c r="A4604" s="233" t="s">
        <v>13515</v>
      </c>
      <c r="B4604" s="28">
        <v>46010</v>
      </c>
      <c r="C4604" s="25">
        <v>1399</v>
      </c>
      <c r="D4604" s="13" t="s">
        <v>13531</v>
      </c>
      <c r="E4604" s="228"/>
      <c r="F4604" s="109" t="s">
        <v>4508</v>
      </c>
      <c r="G4604" s="24" t="s">
        <v>13533</v>
      </c>
      <c r="H4604" s="230">
        <v>4</v>
      </c>
      <c r="I4604" s="220">
        <v>460000</v>
      </c>
      <c r="J4604" s="220">
        <f>I4604*0.1</f>
        <v>46000</v>
      </c>
      <c r="K4604" s="220">
        <v>0</v>
      </c>
      <c r="L4604" s="220">
        <v>8540</v>
      </c>
      <c r="M4604" s="220">
        <v>13200</v>
      </c>
      <c r="N4604" s="220">
        <f>SUM(I4604:M4605)</f>
        <v>527740</v>
      </c>
      <c r="O4604" s="224"/>
      <c r="P4604" s="110" t="s">
        <v>13921</v>
      </c>
      <c r="Q4604" s="15" t="s">
        <v>19</v>
      </c>
      <c r="R4604" s="205"/>
      <c r="S4604" s="189"/>
      <c r="T4604" s="114"/>
      <c r="U4604" s="21" t="s">
        <v>14581</v>
      </c>
      <c r="V4604" s="115">
        <v>46032</v>
      </c>
      <c r="W4604" s="116">
        <v>1283</v>
      </c>
      <c r="X4604" s="220">
        <v>590000</v>
      </c>
      <c r="Y4604" s="220">
        <f>X4604*0.1</f>
        <v>59000</v>
      </c>
      <c r="Z4604" s="220">
        <v>8540</v>
      </c>
      <c r="AA4604" s="220">
        <f>SUM(X4604:Z4604)</f>
        <v>657540</v>
      </c>
      <c r="AB4604" s="222">
        <v>46037</v>
      </c>
    </row>
    <row r="4605" spans="1:28" ht="17.100000000000001" customHeight="1" thickBot="1">
      <c r="A4605" s="234"/>
      <c r="B4605" s="27" t="s">
        <v>2597</v>
      </c>
      <c r="C4605" s="27">
        <v>9219</v>
      </c>
      <c r="D4605" s="14" t="s">
        <v>2559</v>
      </c>
      <c r="E4605" s="229"/>
      <c r="F4605" s="117" t="s">
        <v>13532</v>
      </c>
      <c r="G4605" s="26">
        <v>72374</v>
      </c>
      <c r="H4605" s="231"/>
      <c r="I4605" s="221"/>
      <c r="J4605" s="221"/>
      <c r="K4605" s="221"/>
      <c r="L4605" s="221"/>
      <c r="M4605" s="221"/>
      <c r="N4605" s="221"/>
      <c r="O4605" s="225"/>
      <c r="P4605" s="118" t="s">
        <v>13922</v>
      </c>
      <c r="Q4605" s="16" t="s">
        <v>20</v>
      </c>
      <c r="R4605" s="17" t="s">
        <v>13841</v>
      </c>
      <c r="S4605" s="121"/>
      <c r="T4605" s="122"/>
      <c r="U4605" s="22"/>
      <c r="V4605" s="123" t="s">
        <v>2472</v>
      </c>
      <c r="W4605" s="122">
        <v>60232</v>
      </c>
      <c r="X4605" s="221"/>
      <c r="Y4605" s="221"/>
      <c r="Z4605" s="221"/>
      <c r="AA4605" s="221"/>
      <c r="AB4605" s="223"/>
    </row>
    <row r="4606" spans="1:28" ht="17.100000000000001" customHeight="1" thickTop="1">
      <c r="A4606" s="226" t="s">
        <v>13516</v>
      </c>
      <c r="B4606" s="28">
        <v>46010</v>
      </c>
      <c r="C4606" s="25">
        <v>1399</v>
      </c>
      <c r="D4606" s="13" t="s">
        <v>1640</v>
      </c>
      <c r="E4606" s="228"/>
      <c r="F4606" s="109" t="s">
        <v>2943</v>
      </c>
      <c r="G4606" s="24"/>
      <c r="H4606" s="232" t="s">
        <v>1705</v>
      </c>
      <c r="I4606" s="220">
        <v>250000</v>
      </c>
      <c r="J4606" s="220">
        <f>I4606*0.1</f>
        <v>25000</v>
      </c>
      <c r="K4606" s="220">
        <v>0</v>
      </c>
      <c r="L4606" s="220">
        <v>8860</v>
      </c>
      <c r="M4606" s="220">
        <v>13200</v>
      </c>
      <c r="N4606" s="220">
        <f>SUM(I4606:M4607)</f>
        <v>297060</v>
      </c>
      <c r="O4606" s="224"/>
      <c r="P4606" s="110" t="s">
        <v>13939</v>
      </c>
      <c r="Q4606" s="15" t="s">
        <v>19</v>
      </c>
      <c r="R4606" s="205"/>
      <c r="S4606" s="189" t="s">
        <v>25662</v>
      </c>
      <c r="T4606" s="114"/>
      <c r="U4606" s="21"/>
      <c r="V4606" s="115">
        <v>46018</v>
      </c>
      <c r="W4606" s="116">
        <v>1282</v>
      </c>
      <c r="X4606" s="220">
        <v>270000</v>
      </c>
      <c r="Y4606" s="220">
        <f>X4606*0.1</f>
        <v>27000</v>
      </c>
      <c r="Z4606" s="220">
        <v>8860</v>
      </c>
      <c r="AA4606" s="220">
        <f>SUM(X4606:Z4606)</f>
        <v>305860</v>
      </c>
      <c r="AB4606" s="222">
        <v>46028</v>
      </c>
    </row>
    <row r="4607" spans="1:28" ht="17.100000000000001" customHeight="1" thickBot="1">
      <c r="A4607" s="227"/>
      <c r="B4607" s="27" t="s">
        <v>2597</v>
      </c>
      <c r="C4607" s="27">
        <v>9265</v>
      </c>
      <c r="D4607" s="14" t="s">
        <v>898</v>
      </c>
      <c r="E4607" s="229"/>
      <c r="F4607" s="117" t="s">
        <v>13534</v>
      </c>
      <c r="G4607" s="26">
        <v>77746</v>
      </c>
      <c r="H4607" s="231"/>
      <c r="I4607" s="221"/>
      <c r="J4607" s="221"/>
      <c r="K4607" s="221"/>
      <c r="L4607" s="221"/>
      <c r="M4607" s="221"/>
      <c r="N4607" s="221"/>
      <c r="O4607" s="225"/>
      <c r="P4607" s="118" t="s">
        <v>3281</v>
      </c>
      <c r="Q4607" s="16" t="s">
        <v>20</v>
      </c>
      <c r="R4607" s="17" t="s">
        <v>13841</v>
      </c>
      <c r="S4607" s="121" t="s">
        <v>13940</v>
      </c>
      <c r="T4607" s="122"/>
      <c r="U4607" s="22"/>
      <c r="V4607" s="123" t="s">
        <v>2472</v>
      </c>
      <c r="W4607" s="122">
        <v>60220</v>
      </c>
      <c r="X4607" s="221"/>
      <c r="Y4607" s="221"/>
      <c r="Z4607" s="221"/>
      <c r="AA4607" s="221"/>
      <c r="AB4607" s="223"/>
    </row>
    <row r="4608" spans="1:28" ht="17.100000000000001" customHeight="1" thickTop="1">
      <c r="A4608" s="226" t="s">
        <v>13596</v>
      </c>
      <c r="B4608" s="28">
        <v>46011</v>
      </c>
      <c r="C4608" s="25">
        <v>1524</v>
      </c>
      <c r="D4608" s="13" t="s">
        <v>2866</v>
      </c>
      <c r="E4608" s="228"/>
      <c r="F4608" s="109" t="s">
        <v>13517</v>
      </c>
      <c r="G4608" s="24" t="s">
        <v>8358</v>
      </c>
      <c r="H4608" s="230">
        <v>4.5</v>
      </c>
      <c r="I4608" s="220">
        <v>3190000</v>
      </c>
      <c r="J4608" s="220">
        <f>I4608*0.1</f>
        <v>319000</v>
      </c>
      <c r="K4608" s="220">
        <f>9800+980</f>
        <v>10780</v>
      </c>
      <c r="L4608" s="220">
        <v>21530</v>
      </c>
      <c r="M4608" s="220">
        <v>16500</v>
      </c>
      <c r="N4608" s="220">
        <f>SUM(I4608:M4609)</f>
        <v>3557810</v>
      </c>
      <c r="O4608" s="224"/>
      <c r="P4608" s="110" t="s">
        <v>13519</v>
      </c>
      <c r="Q4608" s="15" t="s">
        <v>19</v>
      </c>
      <c r="R4608" s="205"/>
      <c r="S4608" s="189" t="s">
        <v>1312</v>
      </c>
      <c r="T4608" s="114"/>
      <c r="U4608" s="21"/>
      <c r="V4608" s="115">
        <v>46384</v>
      </c>
      <c r="W4608" s="116"/>
      <c r="X4608" s="220">
        <v>4919000</v>
      </c>
      <c r="Y4608" s="220">
        <v>0</v>
      </c>
      <c r="Z4608" s="220">
        <v>0</v>
      </c>
      <c r="AA4608" s="220">
        <f>SUM(X4608:Z4608)</f>
        <v>4919000</v>
      </c>
      <c r="AB4608" s="222">
        <v>46082</v>
      </c>
    </row>
    <row r="4609" spans="1:28" ht="17.100000000000001" customHeight="1" thickBot="1">
      <c r="A4609" s="227"/>
      <c r="B4609" s="27" t="s">
        <v>1547</v>
      </c>
      <c r="C4609" s="27">
        <v>73014</v>
      </c>
      <c r="D4609" s="14" t="s">
        <v>1584</v>
      </c>
      <c r="E4609" s="229"/>
      <c r="F4609" s="117" t="s">
        <v>13518</v>
      </c>
      <c r="G4609" s="26">
        <v>48635</v>
      </c>
      <c r="H4609" s="231"/>
      <c r="I4609" s="221"/>
      <c r="J4609" s="221"/>
      <c r="K4609" s="221"/>
      <c r="L4609" s="221"/>
      <c r="M4609" s="221"/>
      <c r="N4609" s="221"/>
      <c r="O4609" s="225"/>
      <c r="P4609" s="118" t="s">
        <v>13899</v>
      </c>
      <c r="Q4609" s="16" t="s">
        <v>20</v>
      </c>
      <c r="R4609" s="17" t="s">
        <v>13841</v>
      </c>
      <c r="S4609" s="121" t="s">
        <v>1606</v>
      </c>
      <c r="T4609" s="122"/>
      <c r="U4609" s="22"/>
      <c r="V4609" s="123" t="s">
        <v>23938</v>
      </c>
      <c r="W4609" s="122"/>
      <c r="X4609" s="221"/>
      <c r="Y4609" s="221"/>
      <c r="Z4609" s="221"/>
      <c r="AA4609" s="221"/>
      <c r="AB4609" s="223"/>
    </row>
    <row r="4610" spans="1:28" ht="17.100000000000001" customHeight="1" thickTop="1">
      <c r="A4610" s="226" t="s">
        <v>13597</v>
      </c>
      <c r="B4610" s="28">
        <v>46011</v>
      </c>
      <c r="C4610" s="25">
        <v>1524</v>
      </c>
      <c r="D4610" s="13" t="s">
        <v>1589</v>
      </c>
      <c r="E4610" s="228"/>
      <c r="F4610" s="109" t="s">
        <v>13571</v>
      </c>
      <c r="G4610" s="24" t="s">
        <v>13573</v>
      </c>
      <c r="H4610" s="230">
        <v>4.5</v>
      </c>
      <c r="I4610" s="220">
        <v>3375000</v>
      </c>
      <c r="J4610" s="220">
        <f>I4610*0.1</f>
        <v>337500</v>
      </c>
      <c r="K4610" s="220">
        <f>12700+1270</f>
        <v>13970</v>
      </c>
      <c r="L4610" s="220">
        <v>23430</v>
      </c>
      <c r="M4610" s="220">
        <v>16500</v>
      </c>
      <c r="N4610" s="220">
        <f>SUM(I4610:M4611)</f>
        <v>3766400</v>
      </c>
      <c r="O4610" s="224"/>
      <c r="P4610" s="110" t="s">
        <v>13574</v>
      </c>
      <c r="Q4610" s="15" t="s">
        <v>19</v>
      </c>
      <c r="R4610" s="205"/>
      <c r="S4610" s="189"/>
      <c r="T4610" s="114" t="s">
        <v>15043</v>
      </c>
      <c r="U4610" s="21" t="s">
        <v>15011</v>
      </c>
      <c r="V4610" s="115"/>
      <c r="W4610" s="116"/>
      <c r="X4610" s="220"/>
      <c r="Y4610" s="220">
        <f>X4610*0.1</f>
        <v>0</v>
      </c>
      <c r="Z4610" s="220"/>
      <c r="AA4610" s="220">
        <f>SUM(X4610:Z4610)</f>
        <v>0</v>
      </c>
      <c r="AB4610" s="222"/>
    </row>
    <row r="4611" spans="1:28" ht="17.100000000000001" customHeight="1" thickBot="1">
      <c r="A4611" s="227"/>
      <c r="B4611" s="27" t="s">
        <v>1547</v>
      </c>
      <c r="C4611" s="27">
        <v>83018</v>
      </c>
      <c r="D4611" s="14" t="s">
        <v>273</v>
      </c>
      <c r="E4611" s="229"/>
      <c r="F4611" s="117" t="s">
        <v>13572</v>
      </c>
      <c r="G4611" s="26">
        <v>60194</v>
      </c>
      <c r="H4611" s="231"/>
      <c r="I4611" s="221"/>
      <c r="J4611" s="221"/>
      <c r="K4611" s="221"/>
      <c r="L4611" s="221"/>
      <c r="M4611" s="221"/>
      <c r="N4611" s="221"/>
      <c r="O4611" s="225"/>
      <c r="P4611" s="118" t="s">
        <v>2287</v>
      </c>
      <c r="Q4611" s="16" t="s">
        <v>20</v>
      </c>
      <c r="R4611" s="17" t="s">
        <v>13841</v>
      </c>
      <c r="S4611" s="121" t="s">
        <v>1731</v>
      </c>
      <c r="T4611" s="122"/>
      <c r="U4611" s="22"/>
      <c r="V4611" s="123"/>
      <c r="W4611" s="122"/>
      <c r="X4611" s="221"/>
      <c r="Y4611" s="221"/>
      <c r="Z4611" s="221"/>
      <c r="AA4611" s="221"/>
      <c r="AB4611" s="223"/>
    </row>
    <row r="4612" spans="1:28" ht="17.100000000000001" customHeight="1" thickTop="1">
      <c r="A4612" s="226" t="s">
        <v>13615</v>
      </c>
      <c r="B4612" s="28">
        <v>46011</v>
      </c>
      <c r="C4612" s="25">
        <v>1281</v>
      </c>
      <c r="D4612" s="13" t="s">
        <v>1908</v>
      </c>
      <c r="E4612" s="228"/>
      <c r="F4612" s="109" t="s">
        <v>13520</v>
      </c>
      <c r="G4612" s="24" t="s">
        <v>13522</v>
      </c>
      <c r="H4612" s="230">
        <v>4.5</v>
      </c>
      <c r="I4612" s="220">
        <v>321000</v>
      </c>
      <c r="J4612" s="220">
        <f>I4612*0.1</f>
        <v>32100</v>
      </c>
      <c r="K4612" s="220">
        <f>7300+730</f>
        <v>8030</v>
      </c>
      <c r="L4612" s="220">
        <v>14520</v>
      </c>
      <c r="M4612" s="220">
        <v>16500</v>
      </c>
      <c r="N4612" s="220">
        <f>SUM(I4612:M4613)</f>
        <v>392150</v>
      </c>
      <c r="O4612" s="224"/>
      <c r="P4612" s="110" t="s">
        <v>13523</v>
      </c>
      <c r="Q4612" s="15" t="s">
        <v>19</v>
      </c>
      <c r="R4612" s="205"/>
      <c r="S4612" s="189" t="s">
        <v>1271</v>
      </c>
      <c r="T4612" s="114"/>
      <c r="U4612" s="21"/>
      <c r="V4612" s="115">
        <v>46030</v>
      </c>
      <c r="W4612" s="116">
        <v>1313</v>
      </c>
      <c r="X4612" s="220">
        <v>460000</v>
      </c>
      <c r="Y4612" s="220">
        <f>X4612*0.1</f>
        <v>46000</v>
      </c>
      <c r="Z4612" s="220">
        <v>14520</v>
      </c>
      <c r="AA4612" s="220">
        <f>SUM(X4612:Z4612)</f>
        <v>520520</v>
      </c>
      <c r="AB4612" s="222">
        <v>46031</v>
      </c>
    </row>
    <row r="4613" spans="1:28" ht="17.100000000000001" customHeight="1" thickBot="1">
      <c r="A4613" s="227"/>
      <c r="B4613" s="27" t="s">
        <v>2472</v>
      </c>
      <c r="C4613" s="27">
        <v>53075</v>
      </c>
      <c r="D4613" s="14" t="s">
        <v>1568</v>
      </c>
      <c r="E4613" s="229"/>
      <c r="F4613" s="117" t="s">
        <v>13521</v>
      </c>
      <c r="G4613" s="26">
        <v>49283</v>
      </c>
      <c r="H4613" s="231"/>
      <c r="I4613" s="221"/>
      <c r="J4613" s="221"/>
      <c r="K4613" s="221"/>
      <c r="L4613" s="221"/>
      <c r="M4613" s="221"/>
      <c r="N4613" s="221"/>
      <c r="O4613" s="225"/>
      <c r="P4613" s="118" t="s">
        <v>1647</v>
      </c>
      <c r="Q4613" s="16" t="s">
        <v>20</v>
      </c>
      <c r="R4613" s="17" t="s">
        <v>2250</v>
      </c>
      <c r="S4613" s="121" t="s">
        <v>14132</v>
      </c>
      <c r="T4613" s="122"/>
      <c r="U4613" s="22"/>
      <c r="V4613" s="123" t="s">
        <v>13379</v>
      </c>
      <c r="W4613" s="122">
        <v>98</v>
      </c>
      <c r="X4613" s="221"/>
      <c r="Y4613" s="221"/>
      <c r="Z4613" s="221"/>
      <c r="AA4613" s="221"/>
      <c r="AB4613" s="223"/>
    </row>
    <row r="4614" spans="1:28" ht="17.100000000000001" customHeight="1" thickTop="1">
      <c r="A4614" s="226" t="s">
        <v>13616</v>
      </c>
      <c r="B4614" s="28">
        <v>46011</v>
      </c>
      <c r="C4614" s="25">
        <v>1281</v>
      </c>
      <c r="D4614" s="13" t="s">
        <v>2324</v>
      </c>
      <c r="E4614" s="228"/>
      <c r="F4614" s="109" t="s">
        <v>13598</v>
      </c>
      <c r="G4614" s="24" t="s">
        <v>1551</v>
      </c>
      <c r="H4614" s="230">
        <v>4.5</v>
      </c>
      <c r="I4614" s="220">
        <v>890000</v>
      </c>
      <c r="J4614" s="220">
        <f>I4614*0.1</f>
        <v>89000</v>
      </c>
      <c r="K4614" s="220">
        <v>0</v>
      </c>
      <c r="L4614" s="220">
        <v>7510</v>
      </c>
      <c r="M4614" s="220">
        <v>20900</v>
      </c>
      <c r="N4614" s="220">
        <f>SUM(I4614:M4615)</f>
        <v>1007410</v>
      </c>
      <c r="O4614" s="224"/>
      <c r="P4614" s="110" t="s">
        <v>13600</v>
      </c>
      <c r="Q4614" s="15" t="s">
        <v>19</v>
      </c>
      <c r="R4614" s="205"/>
      <c r="S4614" s="189" t="s">
        <v>1312</v>
      </c>
      <c r="T4614" s="114"/>
      <c r="U4614" s="21" t="s">
        <v>14737</v>
      </c>
      <c r="V4614" s="115">
        <v>46029</v>
      </c>
      <c r="W4614" s="116">
        <v>999</v>
      </c>
      <c r="X4614" s="220">
        <v>1090000</v>
      </c>
      <c r="Y4614" s="220">
        <f>X4614*0.1</f>
        <v>109000</v>
      </c>
      <c r="Z4614" s="220">
        <v>7510</v>
      </c>
      <c r="AA4614" s="220">
        <f>SUM(X4614:Z4614)</f>
        <v>1206510</v>
      </c>
      <c r="AB4614" s="222">
        <v>46037</v>
      </c>
    </row>
    <row r="4615" spans="1:28" ht="17.100000000000001" customHeight="1" thickBot="1">
      <c r="A4615" s="227"/>
      <c r="B4615" s="27" t="s">
        <v>2472</v>
      </c>
      <c r="C4615" s="27">
        <v>60347</v>
      </c>
      <c r="D4615" s="14" t="s">
        <v>273</v>
      </c>
      <c r="E4615" s="229"/>
      <c r="F4615" s="117" t="s">
        <v>13599</v>
      </c>
      <c r="G4615" s="26">
        <v>3609</v>
      </c>
      <c r="H4615" s="231"/>
      <c r="I4615" s="221"/>
      <c r="J4615" s="221"/>
      <c r="K4615" s="221"/>
      <c r="L4615" s="221"/>
      <c r="M4615" s="221"/>
      <c r="N4615" s="221"/>
      <c r="O4615" s="225"/>
      <c r="P4615" s="118" t="s">
        <v>14133</v>
      </c>
      <c r="Q4615" s="16" t="s">
        <v>20</v>
      </c>
      <c r="R4615" s="17" t="s">
        <v>2250</v>
      </c>
      <c r="S4615" s="121" t="s">
        <v>1722</v>
      </c>
      <c r="T4615" s="122"/>
      <c r="U4615" s="22"/>
      <c r="V4615" s="123" t="s">
        <v>2747</v>
      </c>
      <c r="W4615" s="122">
        <v>2025</v>
      </c>
      <c r="X4615" s="221"/>
      <c r="Y4615" s="221"/>
      <c r="Z4615" s="221"/>
      <c r="AA4615" s="221"/>
      <c r="AB4615" s="223"/>
    </row>
    <row r="4616" spans="1:28" ht="17.100000000000001" customHeight="1" thickTop="1">
      <c r="A4616" s="226" t="s">
        <v>13617</v>
      </c>
      <c r="B4616" s="28">
        <v>46011</v>
      </c>
      <c r="C4616" s="25">
        <v>1281</v>
      </c>
      <c r="D4616" s="13" t="s">
        <v>1578</v>
      </c>
      <c r="E4616" s="228"/>
      <c r="F4616" s="109" t="s">
        <v>3270</v>
      </c>
      <c r="G4616" s="24" t="s">
        <v>3482</v>
      </c>
      <c r="H4616" s="230">
        <v>4</v>
      </c>
      <c r="I4616" s="220">
        <v>990000</v>
      </c>
      <c r="J4616" s="220">
        <f>I4616*0.1</f>
        <v>99000</v>
      </c>
      <c r="K4616" s="220">
        <v>0</v>
      </c>
      <c r="L4616" s="220">
        <v>8110</v>
      </c>
      <c r="M4616" s="220">
        <v>12100</v>
      </c>
      <c r="N4616" s="220">
        <f>SUM(I4616:M4617)</f>
        <v>1109210</v>
      </c>
      <c r="O4616" s="224"/>
      <c r="P4616" s="110" t="s">
        <v>13602</v>
      </c>
      <c r="Q4616" s="15" t="s">
        <v>19</v>
      </c>
      <c r="R4616" s="205"/>
      <c r="S4616" s="189" t="s">
        <v>1271</v>
      </c>
      <c r="T4616" s="114"/>
      <c r="U4616" s="21"/>
      <c r="V4616" s="115">
        <v>46043</v>
      </c>
      <c r="W4616" s="116">
        <v>1001</v>
      </c>
      <c r="X4616" s="220">
        <v>1070000</v>
      </c>
      <c r="Y4616" s="220">
        <f>X4616*0.1</f>
        <v>107000</v>
      </c>
      <c r="Z4616" s="220">
        <v>8110</v>
      </c>
      <c r="AA4616" s="220">
        <f>SUM(X4616:Z4616)</f>
        <v>1185110</v>
      </c>
      <c r="AB4616" s="222">
        <v>46048</v>
      </c>
    </row>
    <row r="4617" spans="1:28" ht="17.100000000000001" customHeight="1" thickBot="1">
      <c r="A4617" s="227"/>
      <c r="B4617" s="27" t="s">
        <v>2472</v>
      </c>
      <c r="C4617" s="27">
        <v>65026</v>
      </c>
      <c r="D4617" s="14" t="s">
        <v>2559</v>
      </c>
      <c r="E4617" s="229"/>
      <c r="F4617" s="117" t="s">
        <v>13601</v>
      </c>
      <c r="G4617" s="26">
        <v>34454</v>
      </c>
      <c r="H4617" s="231"/>
      <c r="I4617" s="221"/>
      <c r="J4617" s="221"/>
      <c r="K4617" s="221"/>
      <c r="L4617" s="221"/>
      <c r="M4617" s="221"/>
      <c r="N4617" s="221"/>
      <c r="O4617" s="225"/>
      <c r="P4617" s="118" t="s">
        <v>2287</v>
      </c>
      <c r="Q4617" s="16" t="s">
        <v>20</v>
      </c>
      <c r="R4617" s="17" t="s">
        <v>2250</v>
      </c>
      <c r="S4617" s="121" t="s">
        <v>5047</v>
      </c>
      <c r="T4617" s="122"/>
      <c r="U4617" s="22"/>
      <c r="V4617" s="123" t="s">
        <v>2747</v>
      </c>
      <c r="W4617" s="122">
        <v>2018</v>
      </c>
      <c r="X4617" s="221"/>
      <c r="Y4617" s="221"/>
      <c r="Z4617" s="221"/>
      <c r="AA4617" s="221"/>
      <c r="AB4617" s="223"/>
    </row>
    <row r="4618" spans="1:28" ht="17.100000000000001" customHeight="1" thickTop="1">
      <c r="A4618" s="226" t="s">
        <v>13618</v>
      </c>
      <c r="B4618" s="28">
        <v>46011</v>
      </c>
      <c r="C4618" s="25">
        <v>1281</v>
      </c>
      <c r="D4618" s="13" t="s">
        <v>1555</v>
      </c>
      <c r="E4618" s="228"/>
      <c r="F4618" s="109" t="s">
        <v>13575</v>
      </c>
      <c r="G4618" s="24" t="s">
        <v>13577</v>
      </c>
      <c r="H4618" s="230">
        <v>4</v>
      </c>
      <c r="I4618" s="220">
        <v>570000</v>
      </c>
      <c r="J4618" s="220">
        <f>I4618*0.1</f>
        <v>57000</v>
      </c>
      <c r="K4618" s="220">
        <v>0</v>
      </c>
      <c r="L4618" s="220">
        <v>5990</v>
      </c>
      <c r="M4618" s="220">
        <v>12100</v>
      </c>
      <c r="N4618" s="220">
        <f>SUM(I4618:M4619)</f>
        <v>645090</v>
      </c>
      <c r="O4618" s="224"/>
      <c r="P4618" s="110" t="s">
        <v>13578</v>
      </c>
      <c r="Q4618" s="15" t="s">
        <v>19</v>
      </c>
      <c r="R4618" s="205"/>
      <c r="S4618" s="189" t="s">
        <v>25386</v>
      </c>
      <c r="T4618" s="114"/>
      <c r="U4618" s="21" t="s">
        <v>14738</v>
      </c>
      <c r="V4618" s="115">
        <v>46095</v>
      </c>
      <c r="W4618" s="116">
        <v>1292</v>
      </c>
      <c r="X4618" s="220">
        <v>610000</v>
      </c>
      <c r="Y4618" s="220">
        <f>X4618*0.1</f>
        <v>61000</v>
      </c>
      <c r="Z4618" s="220">
        <v>5990</v>
      </c>
      <c r="AA4618" s="220">
        <f>SUM(X4618:Z4618)</f>
        <v>676990</v>
      </c>
      <c r="AB4618" s="222">
        <v>46098</v>
      </c>
    </row>
    <row r="4619" spans="1:28" ht="16.5" customHeight="1" thickBot="1">
      <c r="A4619" s="227"/>
      <c r="B4619" s="27" t="s">
        <v>2472</v>
      </c>
      <c r="C4619" s="27">
        <v>65117</v>
      </c>
      <c r="D4619" s="14" t="s">
        <v>1710</v>
      </c>
      <c r="E4619" s="229"/>
      <c r="F4619" s="117" t="s">
        <v>13576</v>
      </c>
      <c r="G4619" s="26">
        <v>68966</v>
      </c>
      <c r="H4619" s="231"/>
      <c r="I4619" s="221"/>
      <c r="J4619" s="221"/>
      <c r="K4619" s="221"/>
      <c r="L4619" s="221"/>
      <c r="M4619" s="221"/>
      <c r="N4619" s="221"/>
      <c r="O4619" s="225"/>
      <c r="P4619" s="118" t="s">
        <v>14134</v>
      </c>
      <c r="Q4619" s="16" t="s">
        <v>20</v>
      </c>
      <c r="R4619" s="17" t="s">
        <v>2250</v>
      </c>
      <c r="S4619" s="121" t="s">
        <v>14135</v>
      </c>
      <c r="T4619" s="122"/>
      <c r="U4619" s="22"/>
      <c r="V4619" s="123" t="s">
        <v>2472</v>
      </c>
      <c r="W4619" s="122">
        <v>60073</v>
      </c>
      <c r="X4619" s="221"/>
      <c r="Y4619" s="221"/>
      <c r="Z4619" s="221"/>
      <c r="AA4619" s="221"/>
      <c r="AB4619" s="223"/>
    </row>
    <row r="4620" spans="1:28" ht="17.100000000000001" customHeight="1" thickTop="1">
      <c r="A4620" s="226" t="s">
        <v>13619</v>
      </c>
      <c r="B4620" s="28">
        <v>46011</v>
      </c>
      <c r="C4620" s="25">
        <v>1281</v>
      </c>
      <c r="D4620" s="13" t="s">
        <v>2264</v>
      </c>
      <c r="E4620" s="228"/>
      <c r="F4620" s="109" t="s">
        <v>2556</v>
      </c>
      <c r="G4620" s="24"/>
      <c r="H4620" s="230">
        <v>4.5</v>
      </c>
      <c r="I4620" s="220">
        <v>1030000</v>
      </c>
      <c r="J4620" s="220">
        <f>I4620*0.1</f>
        <v>103000</v>
      </c>
      <c r="K4620" s="220">
        <v>0</v>
      </c>
      <c r="L4620" s="220">
        <v>8390</v>
      </c>
      <c r="M4620" s="220">
        <v>12100</v>
      </c>
      <c r="N4620" s="220">
        <f>SUM(I4620:M4621)</f>
        <v>1153490</v>
      </c>
      <c r="O4620" s="224"/>
      <c r="P4620" s="110" t="s">
        <v>14136</v>
      </c>
      <c r="Q4620" s="15" t="s">
        <v>19</v>
      </c>
      <c r="R4620" s="205"/>
      <c r="S4620" s="189" t="s">
        <v>1271</v>
      </c>
      <c r="T4620" s="114"/>
      <c r="U4620" s="21"/>
      <c r="V4620" s="115">
        <v>46057</v>
      </c>
      <c r="W4620" s="116">
        <v>1003</v>
      </c>
      <c r="X4620" s="220">
        <v>1110000</v>
      </c>
      <c r="Y4620" s="220">
        <f>X4620*0.1</f>
        <v>111000</v>
      </c>
      <c r="Z4620" s="220">
        <v>8390</v>
      </c>
      <c r="AA4620" s="220">
        <f>SUM(X4620:Z4620)</f>
        <v>1229390</v>
      </c>
      <c r="AB4620" s="222">
        <v>46062</v>
      </c>
    </row>
    <row r="4621" spans="1:28" ht="17.100000000000001" customHeight="1" thickBot="1">
      <c r="A4621" s="227"/>
      <c r="B4621" s="27" t="s">
        <v>2472</v>
      </c>
      <c r="C4621" s="27">
        <v>65125</v>
      </c>
      <c r="D4621" s="14" t="s">
        <v>2559</v>
      </c>
      <c r="E4621" s="229"/>
      <c r="F4621" s="117" t="s">
        <v>13579</v>
      </c>
      <c r="G4621" s="26">
        <v>60720</v>
      </c>
      <c r="H4621" s="231"/>
      <c r="I4621" s="221"/>
      <c r="J4621" s="221"/>
      <c r="K4621" s="221"/>
      <c r="L4621" s="221"/>
      <c r="M4621" s="221"/>
      <c r="N4621" s="221"/>
      <c r="O4621" s="225"/>
      <c r="P4621" s="118" t="s">
        <v>6770</v>
      </c>
      <c r="Q4621" s="16" t="s">
        <v>20</v>
      </c>
      <c r="R4621" s="17" t="s">
        <v>2250</v>
      </c>
      <c r="S4621" s="121" t="s">
        <v>4035</v>
      </c>
      <c r="T4621" s="122"/>
      <c r="U4621" s="22"/>
      <c r="V4621" s="123" t="s">
        <v>2747</v>
      </c>
      <c r="W4621" s="122">
        <v>2011</v>
      </c>
      <c r="X4621" s="221"/>
      <c r="Y4621" s="221"/>
      <c r="Z4621" s="221"/>
      <c r="AA4621" s="221"/>
      <c r="AB4621" s="223"/>
    </row>
    <row r="4622" spans="1:28" ht="17.100000000000001" customHeight="1" thickTop="1">
      <c r="A4622" s="233" t="s">
        <v>13620</v>
      </c>
      <c r="B4622" s="28">
        <v>46011</v>
      </c>
      <c r="C4622" s="25">
        <v>1281</v>
      </c>
      <c r="D4622" s="13" t="s">
        <v>2441</v>
      </c>
      <c r="E4622" s="228"/>
      <c r="F4622" s="109" t="s">
        <v>6851</v>
      </c>
      <c r="G4622" s="24" t="s">
        <v>2543</v>
      </c>
      <c r="H4622" s="230">
        <v>5</v>
      </c>
      <c r="I4622" s="220">
        <v>1635000</v>
      </c>
      <c r="J4622" s="220">
        <f>I4622*0.1</f>
        <v>163500</v>
      </c>
      <c r="K4622" s="220">
        <v>0</v>
      </c>
      <c r="L4622" s="220">
        <v>9130</v>
      </c>
      <c r="M4622" s="220">
        <v>12100</v>
      </c>
      <c r="N4622" s="220">
        <f>SUM(I4622:M4623)</f>
        <v>1819730</v>
      </c>
      <c r="O4622" s="224"/>
      <c r="P4622" s="110" t="s">
        <v>13581</v>
      </c>
      <c r="Q4622" s="15" t="s">
        <v>19</v>
      </c>
      <c r="R4622" s="205"/>
      <c r="S4622" s="189" t="s">
        <v>25663</v>
      </c>
      <c r="T4622" s="114" t="s">
        <v>23123</v>
      </c>
      <c r="U4622" s="21" t="s">
        <v>15019</v>
      </c>
      <c r="V4622" s="115"/>
      <c r="W4622" s="116"/>
      <c r="X4622" s="220"/>
      <c r="Y4622" s="220">
        <f>X4622*0.1</f>
        <v>0</v>
      </c>
      <c r="Z4622" s="220"/>
      <c r="AA4622" s="220">
        <f>SUM(X4622:Z4622)</f>
        <v>0</v>
      </c>
      <c r="AB4622" s="222"/>
    </row>
    <row r="4623" spans="1:28" ht="17.100000000000001" customHeight="1" thickBot="1">
      <c r="A4623" s="234"/>
      <c r="B4623" s="27" t="s">
        <v>2472</v>
      </c>
      <c r="C4623" s="27">
        <v>65272</v>
      </c>
      <c r="D4623" s="14" t="s">
        <v>1568</v>
      </c>
      <c r="E4623" s="229"/>
      <c r="F4623" s="117" t="s">
        <v>13580</v>
      </c>
      <c r="G4623" s="26">
        <v>2715</v>
      </c>
      <c r="H4623" s="231"/>
      <c r="I4623" s="221"/>
      <c r="J4623" s="221"/>
      <c r="K4623" s="221"/>
      <c r="L4623" s="221"/>
      <c r="M4623" s="221"/>
      <c r="N4623" s="221"/>
      <c r="O4623" s="225"/>
      <c r="P4623" s="118" t="s">
        <v>14137</v>
      </c>
      <c r="Q4623" s="16" t="s">
        <v>20</v>
      </c>
      <c r="R4623" s="17" t="s">
        <v>2250</v>
      </c>
      <c r="S4623" s="121" t="s">
        <v>9008</v>
      </c>
      <c r="T4623" s="122" t="s">
        <v>24580</v>
      </c>
      <c r="U4623" s="22"/>
      <c r="V4623" s="123"/>
      <c r="W4623" s="122"/>
      <c r="X4623" s="221"/>
      <c r="Y4623" s="221"/>
      <c r="Z4623" s="221"/>
      <c r="AA4623" s="221"/>
      <c r="AB4623" s="223"/>
    </row>
    <row r="4624" spans="1:28" ht="17.100000000000001" customHeight="1" thickTop="1">
      <c r="A4624" s="226" t="s">
        <v>13621</v>
      </c>
      <c r="B4624" s="28">
        <v>46011</v>
      </c>
      <c r="C4624" s="25">
        <v>1281</v>
      </c>
      <c r="D4624" s="13" t="s">
        <v>2429</v>
      </c>
      <c r="E4624" s="228"/>
      <c r="F4624" s="109" t="s">
        <v>4508</v>
      </c>
      <c r="G4624" s="24"/>
      <c r="H4624" s="230">
        <v>4.5</v>
      </c>
      <c r="I4624" s="220">
        <v>1210000</v>
      </c>
      <c r="J4624" s="220">
        <f>I4624*0.1</f>
        <v>121000</v>
      </c>
      <c r="K4624" s="220">
        <v>0</v>
      </c>
      <c r="L4624" s="220">
        <v>9010</v>
      </c>
      <c r="M4624" s="220">
        <v>12100</v>
      </c>
      <c r="N4624" s="220">
        <f>SUM(I4624:M4625)</f>
        <v>1352110</v>
      </c>
      <c r="O4624" s="224"/>
      <c r="P4624" s="110" t="s">
        <v>14138</v>
      </c>
      <c r="Q4624" s="15" t="s">
        <v>19</v>
      </c>
      <c r="R4624" s="205"/>
      <c r="S4624" s="189"/>
      <c r="T4624" s="114"/>
      <c r="U4624" s="21"/>
      <c r="V4624" s="115">
        <v>46383</v>
      </c>
      <c r="W4624" s="116">
        <v>1282</v>
      </c>
      <c r="X4624" s="220">
        <v>1295000</v>
      </c>
      <c r="Y4624" s="220">
        <f>X4624*0.1</f>
        <v>129500</v>
      </c>
      <c r="Z4624" s="220">
        <v>9010</v>
      </c>
      <c r="AA4624" s="220">
        <f>SUM(X4624:Z4624)</f>
        <v>1433510</v>
      </c>
      <c r="AB4624" s="222">
        <v>46036</v>
      </c>
    </row>
    <row r="4625" spans="1:28" ht="17.100000000000001" customHeight="1" thickBot="1">
      <c r="A4625" s="227"/>
      <c r="B4625" s="27" t="s">
        <v>2472</v>
      </c>
      <c r="C4625" s="27">
        <v>65287</v>
      </c>
      <c r="D4625" s="14" t="s">
        <v>273</v>
      </c>
      <c r="E4625" s="229"/>
      <c r="F4625" s="117" t="s">
        <v>13582</v>
      </c>
      <c r="G4625" s="26">
        <v>48115</v>
      </c>
      <c r="H4625" s="231"/>
      <c r="I4625" s="221"/>
      <c r="J4625" s="221"/>
      <c r="K4625" s="221"/>
      <c r="L4625" s="221"/>
      <c r="M4625" s="221"/>
      <c r="N4625" s="221"/>
      <c r="O4625" s="225"/>
      <c r="P4625" s="118" t="s">
        <v>3355</v>
      </c>
      <c r="Q4625" s="16" t="s">
        <v>20</v>
      </c>
      <c r="R4625" s="17" t="s">
        <v>2250</v>
      </c>
      <c r="S4625" s="121" t="s">
        <v>6802</v>
      </c>
      <c r="T4625" s="122"/>
      <c r="U4625" s="22"/>
      <c r="V4625" s="123" t="s">
        <v>6641</v>
      </c>
      <c r="W4625" s="122">
        <v>60005</v>
      </c>
      <c r="X4625" s="221"/>
      <c r="Y4625" s="221"/>
      <c r="Z4625" s="221"/>
      <c r="AA4625" s="221"/>
      <c r="AB4625" s="223"/>
    </row>
    <row r="4626" spans="1:28" ht="17.100000000000001" customHeight="1" thickTop="1">
      <c r="A4626" s="226" t="s">
        <v>13622</v>
      </c>
      <c r="B4626" s="28">
        <v>46011</v>
      </c>
      <c r="C4626" s="25">
        <v>1281</v>
      </c>
      <c r="D4626" s="13" t="s">
        <v>1883</v>
      </c>
      <c r="E4626" s="228"/>
      <c r="F4626" s="109" t="s">
        <v>13603</v>
      </c>
      <c r="G4626" s="24" t="s">
        <v>2124</v>
      </c>
      <c r="H4626" s="230">
        <v>4</v>
      </c>
      <c r="I4626" s="220">
        <v>1085000</v>
      </c>
      <c r="J4626" s="220">
        <f>I4626*0.1</f>
        <v>108500</v>
      </c>
      <c r="K4626" s="220">
        <v>0</v>
      </c>
      <c r="L4626" s="220">
        <v>8740</v>
      </c>
      <c r="M4626" s="220">
        <v>12100</v>
      </c>
      <c r="N4626" s="220">
        <f>SUM(I4626:M4627)</f>
        <v>1214340</v>
      </c>
      <c r="O4626" s="224"/>
      <c r="P4626" s="110" t="s">
        <v>13605</v>
      </c>
      <c r="Q4626" s="15" t="s">
        <v>19</v>
      </c>
      <c r="R4626" s="205"/>
      <c r="S4626" s="189" t="s">
        <v>1271</v>
      </c>
      <c r="T4626" s="114"/>
      <c r="U4626" s="21" t="s">
        <v>15026</v>
      </c>
      <c r="V4626" s="115">
        <v>46050</v>
      </c>
      <c r="W4626" s="116">
        <v>1002</v>
      </c>
      <c r="X4626" s="220">
        <v>1145000</v>
      </c>
      <c r="Y4626" s="220">
        <f>X4626*0.1</f>
        <v>114500</v>
      </c>
      <c r="Z4626" s="220">
        <v>8740</v>
      </c>
      <c r="AA4626" s="220">
        <f>SUM(X4626:Z4626)</f>
        <v>1268240</v>
      </c>
      <c r="AB4626" s="222">
        <v>46055</v>
      </c>
    </row>
    <row r="4627" spans="1:28" ht="17.100000000000001" customHeight="1" thickBot="1">
      <c r="A4627" s="227"/>
      <c r="B4627" s="27" t="s">
        <v>2472</v>
      </c>
      <c r="C4627" s="27">
        <v>65301</v>
      </c>
      <c r="D4627" s="14" t="s">
        <v>898</v>
      </c>
      <c r="E4627" s="229"/>
      <c r="F4627" s="117" t="s">
        <v>13604</v>
      </c>
      <c r="G4627" s="26">
        <v>26080</v>
      </c>
      <c r="H4627" s="231"/>
      <c r="I4627" s="221"/>
      <c r="J4627" s="221"/>
      <c r="K4627" s="221"/>
      <c r="L4627" s="221"/>
      <c r="M4627" s="221"/>
      <c r="N4627" s="221"/>
      <c r="O4627" s="225"/>
      <c r="P4627" s="118" t="s">
        <v>14139</v>
      </c>
      <c r="Q4627" s="16" t="s">
        <v>20</v>
      </c>
      <c r="R4627" s="17" t="s">
        <v>2250</v>
      </c>
      <c r="S4627" s="121" t="s">
        <v>4378</v>
      </c>
      <c r="T4627" s="122"/>
      <c r="U4627" s="22"/>
      <c r="V4627" s="123" t="s">
        <v>2747</v>
      </c>
      <c r="W4627" s="122">
        <v>2038</v>
      </c>
      <c r="X4627" s="221"/>
      <c r="Y4627" s="221"/>
      <c r="Z4627" s="221"/>
      <c r="AA4627" s="221"/>
      <c r="AB4627" s="223"/>
    </row>
    <row r="4628" spans="1:28" ht="17.100000000000001" customHeight="1" thickTop="1">
      <c r="A4628" s="226" t="s">
        <v>13623</v>
      </c>
      <c r="B4628" s="28">
        <v>46011</v>
      </c>
      <c r="C4628" s="25">
        <v>1281</v>
      </c>
      <c r="D4628" s="13" t="s">
        <v>1837</v>
      </c>
      <c r="E4628" s="228"/>
      <c r="F4628" s="109" t="s">
        <v>13606</v>
      </c>
      <c r="G4628" s="24"/>
      <c r="H4628" s="230">
        <v>4.5</v>
      </c>
      <c r="I4628" s="220">
        <v>975000</v>
      </c>
      <c r="J4628" s="220">
        <f>I4628*0.1</f>
        <v>97500</v>
      </c>
      <c r="K4628" s="220">
        <v>0</v>
      </c>
      <c r="L4628" s="220">
        <v>8790</v>
      </c>
      <c r="M4628" s="220">
        <v>12100</v>
      </c>
      <c r="N4628" s="220">
        <f>SUM(I4628:M4629)</f>
        <v>1093390</v>
      </c>
      <c r="O4628" s="224"/>
      <c r="P4628" s="110" t="s">
        <v>14140</v>
      </c>
      <c r="Q4628" s="15" t="s">
        <v>19</v>
      </c>
      <c r="R4628" s="205"/>
      <c r="S4628" s="189" t="s">
        <v>1361</v>
      </c>
      <c r="T4628" s="114"/>
      <c r="U4628" s="21"/>
      <c r="V4628" s="115">
        <v>46050</v>
      </c>
      <c r="W4628" s="116">
        <v>1002</v>
      </c>
      <c r="X4628" s="220">
        <v>1080000</v>
      </c>
      <c r="Y4628" s="220">
        <f>X4628*0.1</f>
        <v>108000</v>
      </c>
      <c r="Z4628" s="220">
        <v>8790</v>
      </c>
      <c r="AA4628" s="220">
        <f>SUM(X4628:Z4628)</f>
        <v>1196790</v>
      </c>
      <c r="AB4628" s="222">
        <v>46055</v>
      </c>
    </row>
    <row r="4629" spans="1:28" ht="17.100000000000001" customHeight="1" thickBot="1">
      <c r="A4629" s="227"/>
      <c r="B4629" s="27" t="s">
        <v>2472</v>
      </c>
      <c r="C4629" s="27">
        <v>65385</v>
      </c>
      <c r="D4629" s="14" t="s">
        <v>2559</v>
      </c>
      <c r="E4629" s="229"/>
      <c r="F4629" s="117" t="s">
        <v>13607</v>
      </c>
      <c r="G4629" s="26">
        <v>48120</v>
      </c>
      <c r="H4629" s="231"/>
      <c r="I4629" s="221"/>
      <c r="J4629" s="221"/>
      <c r="K4629" s="221"/>
      <c r="L4629" s="221"/>
      <c r="M4629" s="221"/>
      <c r="N4629" s="221"/>
      <c r="O4629" s="225"/>
      <c r="P4629" s="118" t="s">
        <v>7954</v>
      </c>
      <c r="Q4629" s="16" t="s">
        <v>20</v>
      </c>
      <c r="R4629" s="17" t="s">
        <v>2250</v>
      </c>
      <c r="S4629" s="121" t="s">
        <v>4530</v>
      </c>
      <c r="T4629" s="122"/>
      <c r="U4629" s="22"/>
      <c r="V4629" s="123" t="s">
        <v>2747</v>
      </c>
      <c r="W4629" s="122">
        <v>2057</v>
      </c>
      <c r="X4629" s="221"/>
      <c r="Y4629" s="221"/>
      <c r="Z4629" s="221"/>
      <c r="AA4629" s="221"/>
      <c r="AB4629" s="223"/>
    </row>
    <row r="4630" spans="1:28" ht="17.100000000000001" customHeight="1" thickTop="1">
      <c r="A4630" s="226" t="s">
        <v>13624</v>
      </c>
      <c r="B4630" s="28">
        <v>46011</v>
      </c>
      <c r="C4630" s="25">
        <v>1281</v>
      </c>
      <c r="D4630" s="13" t="s">
        <v>2065</v>
      </c>
      <c r="E4630" s="228"/>
      <c r="F4630" s="109" t="s">
        <v>13608</v>
      </c>
      <c r="G4630" s="24"/>
      <c r="H4630" s="230">
        <v>4.5</v>
      </c>
      <c r="I4630" s="220">
        <v>970000</v>
      </c>
      <c r="J4630" s="220">
        <f>I4630*0.1</f>
        <v>97000</v>
      </c>
      <c r="K4630" s="220">
        <v>0</v>
      </c>
      <c r="L4630" s="220">
        <v>6470</v>
      </c>
      <c r="M4630" s="220">
        <v>12100</v>
      </c>
      <c r="N4630" s="220">
        <f>SUM(I4630:M4631)</f>
        <v>1085570</v>
      </c>
      <c r="O4630" s="224"/>
      <c r="P4630" s="110" t="s">
        <v>14141</v>
      </c>
      <c r="Q4630" s="15" t="s">
        <v>19</v>
      </c>
      <c r="R4630" s="205"/>
      <c r="S4630" s="189" t="s">
        <v>1361</v>
      </c>
      <c r="T4630" s="114"/>
      <c r="U4630" s="21"/>
      <c r="V4630" s="115">
        <v>46036</v>
      </c>
      <c r="W4630" s="116">
        <v>1000</v>
      </c>
      <c r="X4630" s="220">
        <v>1100000</v>
      </c>
      <c r="Y4630" s="220">
        <f>X4630*0.1</f>
        <v>110000</v>
      </c>
      <c r="Z4630" s="220">
        <v>6470</v>
      </c>
      <c r="AA4630" s="220">
        <f>SUM(X4630:Z4630)</f>
        <v>1216470</v>
      </c>
      <c r="AB4630" s="222">
        <v>46042</v>
      </c>
    </row>
    <row r="4631" spans="1:28" ht="17.100000000000001" customHeight="1" thickBot="1">
      <c r="A4631" s="227"/>
      <c r="B4631" s="27" t="s">
        <v>2472</v>
      </c>
      <c r="C4631" s="27">
        <v>65419</v>
      </c>
      <c r="D4631" s="14" t="s">
        <v>1568</v>
      </c>
      <c r="E4631" s="229"/>
      <c r="F4631" s="117" t="s">
        <v>13609</v>
      </c>
      <c r="G4631" s="26">
        <v>12340</v>
      </c>
      <c r="H4631" s="231"/>
      <c r="I4631" s="221"/>
      <c r="J4631" s="221"/>
      <c r="K4631" s="221"/>
      <c r="L4631" s="221"/>
      <c r="M4631" s="221"/>
      <c r="N4631" s="221"/>
      <c r="O4631" s="225"/>
      <c r="P4631" s="118" t="s">
        <v>14142</v>
      </c>
      <c r="Q4631" s="16" t="s">
        <v>20</v>
      </c>
      <c r="R4631" s="17" t="s">
        <v>2250</v>
      </c>
      <c r="S4631" s="121" t="s">
        <v>2360</v>
      </c>
      <c r="T4631" s="122"/>
      <c r="U4631" s="22"/>
      <c r="V4631" s="123" t="s">
        <v>7161</v>
      </c>
      <c r="W4631" s="122">
        <v>2009</v>
      </c>
      <c r="X4631" s="221"/>
      <c r="Y4631" s="221"/>
      <c r="Z4631" s="221"/>
      <c r="AA4631" s="221"/>
      <c r="AB4631" s="223"/>
    </row>
    <row r="4632" spans="1:28" ht="17.100000000000001" customHeight="1" thickTop="1">
      <c r="A4632" s="226" t="s">
        <v>13625</v>
      </c>
      <c r="B4632" s="28">
        <v>46011</v>
      </c>
      <c r="C4632" s="25">
        <v>1281</v>
      </c>
      <c r="D4632" s="13" t="s">
        <v>2195</v>
      </c>
      <c r="E4632" s="228"/>
      <c r="F4632" s="109" t="s">
        <v>9638</v>
      </c>
      <c r="G4632" s="24"/>
      <c r="H4632" s="230">
        <v>5</v>
      </c>
      <c r="I4632" s="220">
        <v>1365000</v>
      </c>
      <c r="J4632" s="220">
        <f>I4632*0.1</f>
        <v>136500</v>
      </c>
      <c r="K4632" s="220">
        <v>0</v>
      </c>
      <c r="L4632" s="220">
        <v>14200</v>
      </c>
      <c r="M4632" s="220">
        <v>12100</v>
      </c>
      <c r="N4632" s="220">
        <f>SUM(I4632:M4633)</f>
        <v>1527800</v>
      </c>
      <c r="O4632" s="224"/>
      <c r="P4632" s="110" t="s">
        <v>14099</v>
      </c>
      <c r="Q4632" s="15" t="s">
        <v>19</v>
      </c>
      <c r="R4632" s="205"/>
      <c r="S4632" s="189"/>
      <c r="T4632" s="114"/>
      <c r="U4632" s="21"/>
      <c r="V4632" s="115">
        <v>46014</v>
      </c>
      <c r="W4632" s="116">
        <v>1923</v>
      </c>
      <c r="X4632" s="220">
        <v>1431000</v>
      </c>
      <c r="Y4632" s="220">
        <f>X4632*0.1</f>
        <v>143100</v>
      </c>
      <c r="Z4632" s="220">
        <v>14200</v>
      </c>
      <c r="AA4632" s="220">
        <f>SUM(X4632:Z4632)</f>
        <v>1588300</v>
      </c>
      <c r="AB4632" s="222">
        <v>46029</v>
      </c>
    </row>
    <row r="4633" spans="1:28" ht="17.100000000000001" customHeight="1" thickBot="1">
      <c r="A4633" s="227"/>
      <c r="B4633" s="27" t="s">
        <v>2472</v>
      </c>
      <c r="C4633" s="27">
        <v>65473</v>
      </c>
      <c r="D4633" s="14" t="s">
        <v>1627</v>
      </c>
      <c r="E4633" s="229"/>
      <c r="F4633" s="117" t="s">
        <v>13583</v>
      </c>
      <c r="G4633" s="26">
        <v>8722</v>
      </c>
      <c r="H4633" s="231"/>
      <c r="I4633" s="221"/>
      <c r="J4633" s="221"/>
      <c r="K4633" s="221"/>
      <c r="L4633" s="221"/>
      <c r="M4633" s="221"/>
      <c r="N4633" s="221"/>
      <c r="O4633" s="225"/>
      <c r="P4633" s="118" t="s">
        <v>2615</v>
      </c>
      <c r="Q4633" s="16" t="s">
        <v>20</v>
      </c>
      <c r="R4633" s="17" t="s">
        <v>2250</v>
      </c>
      <c r="S4633" s="121"/>
      <c r="T4633" s="122"/>
      <c r="U4633" s="22"/>
      <c r="V4633" s="123" t="s">
        <v>2103</v>
      </c>
      <c r="W4633" s="122">
        <v>3305</v>
      </c>
      <c r="X4633" s="221"/>
      <c r="Y4633" s="221"/>
      <c r="Z4633" s="221"/>
      <c r="AA4633" s="221"/>
      <c r="AB4633" s="223"/>
    </row>
    <row r="4634" spans="1:28" ht="17.100000000000001" customHeight="1" thickTop="1">
      <c r="A4634" s="233" t="s">
        <v>13626</v>
      </c>
      <c r="B4634" s="28">
        <v>46011</v>
      </c>
      <c r="C4634" s="25">
        <v>1281</v>
      </c>
      <c r="D4634" s="13" t="s">
        <v>1615</v>
      </c>
      <c r="E4634" s="228"/>
      <c r="F4634" s="109" t="s">
        <v>13584</v>
      </c>
      <c r="G4634" s="24" t="s">
        <v>13586</v>
      </c>
      <c r="H4634" s="230">
        <v>4</v>
      </c>
      <c r="I4634" s="220">
        <v>2775000</v>
      </c>
      <c r="J4634" s="220">
        <f>I4634*0.1</f>
        <v>277500</v>
      </c>
      <c r="K4634" s="220">
        <f>12700+1270</f>
        <v>13970</v>
      </c>
      <c r="L4634" s="220">
        <v>23490</v>
      </c>
      <c r="M4634" s="220">
        <v>16500</v>
      </c>
      <c r="N4634" s="220">
        <f>SUM(I4634:M4635)</f>
        <v>3106460</v>
      </c>
      <c r="O4634" s="224"/>
      <c r="P4634" s="110" t="s">
        <v>13587</v>
      </c>
      <c r="Q4634" s="15" t="s">
        <v>19</v>
      </c>
      <c r="R4634" s="205"/>
      <c r="S4634" s="189" t="s">
        <v>758</v>
      </c>
      <c r="T4634" s="114" t="s">
        <v>14212</v>
      </c>
      <c r="U4634" s="21"/>
      <c r="V4634" s="115"/>
      <c r="W4634" s="116"/>
      <c r="X4634" s="220"/>
      <c r="Y4634" s="220">
        <f>X4634*0.1</f>
        <v>0</v>
      </c>
      <c r="Z4634" s="220"/>
      <c r="AA4634" s="220">
        <f>SUM(X4634:Z4634)</f>
        <v>0</v>
      </c>
      <c r="AB4634" s="222"/>
    </row>
    <row r="4635" spans="1:28" ht="17.100000000000001" customHeight="1" thickBot="1">
      <c r="A4635" s="234"/>
      <c r="B4635" s="27" t="s">
        <v>2472</v>
      </c>
      <c r="C4635" s="27">
        <v>82521</v>
      </c>
      <c r="D4635" s="14" t="s">
        <v>1710</v>
      </c>
      <c r="E4635" s="229"/>
      <c r="F4635" s="117" t="s">
        <v>13585</v>
      </c>
      <c r="G4635" s="26">
        <v>50806</v>
      </c>
      <c r="H4635" s="231"/>
      <c r="I4635" s="221"/>
      <c r="J4635" s="221"/>
      <c r="K4635" s="221"/>
      <c r="L4635" s="221"/>
      <c r="M4635" s="221"/>
      <c r="N4635" s="221"/>
      <c r="O4635" s="225"/>
      <c r="P4635" s="118" t="s">
        <v>14131</v>
      </c>
      <c r="Q4635" s="16" t="s">
        <v>20</v>
      </c>
      <c r="R4635" s="17" t="s">
        <v>2250</v>
      </c>
      <c r="S4635" s="121" t="s">
        <v>3071</v>
      </c>
      <c r="T4635" s="122"/>
      <c r="U4635" s="22"/>
      <c r="V4635" s="123"/>
      <c r="W4635" s="122"/>
      <c r="X4635" s="221"/>
      <c r="Y4635" s="221"/>
      <c r="Z4635" s="221"/>
      <c r="AA4635" s="221"/>
      <c r="AB4635" s="223"/>
    </row>
    <row r="4636" spans="1:28" ht="17.100000000000001" customHeight="1" thickTop="1">
      <c r="A4636" s="233" t="s">
        <v>13627</v>
      </c>
      <c r="B4636" s="28">
        <v>46011</v>
      </c>
      <c r="C4636" s="25">
        <v>1281</v>
      </c>
      <c r="D4636" s="13" t="s">
        <v>2040</v>
      </c>
      <c r="E4636" s="228"/>
      <c r="F4636" s="109" t="s">
        <v>13588</v>
      </c>
      <c r="G4636" s="24" t="s">
        <v>5390</v>
      </c>
      <c r="H4636" s="230">
        <v>4.5</v>
      </c>
      <c r="I4636" s="220">
        <v>2580000</v>
      </c>
      <c r="J4636" s="220">
        <f>I4636*0.1</f>
        <v>258000</v>
      </c>
      <c r="K4636" s="220">
        <f>7600+760</f>
        <v>8360</v>
      </c>
      <c r="L4636" s="220">
        <v>15910</v>
      </c>
      <c r="M4636" s="220">
        <v>16500</v>
      </c>
      <c r="N4636" s="220">
        <f>SUM(I4636:M4637)</f>
        <v>2878770</v>
      </c>
      <c r="O4636" s="224"/>
      <c r="P4636" s="110" t="s">
        <v>13590</v>
      </c>
      <c r="Q4636" s="15" t="s">
        <v>19</v>
      </c>
      <c r="R4636" s="205"/>
      <c r="S4636" s="189" t="s">
        <v>25643</v>
      </c>
      <c r="T4636" s="114" t="s">
        <v>7899</v>
      </c>
      <c r="U4636" s="21"/>
      <c r="V4636" s="115"/>
      <c r="W4636" s="116"/>
      <c r="X4636" s="220"/>
      <c r="Y4636" s="220">
        <f>X4636*0.1</f>
        <v>0</v>
      </c>
      <c r="Z4636" s="220"/>
      <c r="AA4636" s="220">
        <f>SUM(X4636:Z4636)</f>
        <v>0</v>
      </c>
      <c r="AB4636" s="222"/>
    </row>
    <row r="4637" spans="1:28" ht="17.100000000000001" customHeight="1" thickBot="1">
      <c r="A4637" s="234"/>
      <c r="B4637" s="27" t="s">
        <v>2472</v>
      </c>
      <c r="C4637" s="27">
        <v>82574</v>
      </c>
      <c r="D4637" s="14" t="s">
        <v>273</v>
      </c>
      <c r="E4637" s="229"/>
      <c r="F4637" s="117" t="s">
        <v>13589</v>
      </c>
      <c r="G4637" s="26">
        <v>22546</v>
      </c>
      <c r="H4637" s="231"/>
      <c r="I4637" s="221"/>
      <c r="J4637" s="221"/>
      <c r="K4637" s="221"/>
      <c r="L4637" s="221"/>
      <c r="M4637" s="221"/>
      <c r="N4637" s="221"/>
      <c r="O4637" s="225"/>
      <c r="P4637" s="118"/>
      <c r="Q4637" s="16" t="s">
        <v>20</v>
      </c>
      <c r="R4637" s="17" t="s">
        <v>10331</v>
      </c>
      <c r="S4637" s="121"/>
      <c r="T4637" s="122"/>
      <c r="U4637" s="22"/>
      <c r="V4637" s="123"/>
      <c r="W4637" s="122"/>
      <c r="X4637" s="221"/>
      <c r="Y4637" s="221"/>
      <c r="Z4637" s="221"/>
      <c r="AA4637" s="221"/>
      <c r="AB4637" s="223"/>
    </row>
    <row r="4638" spans="1:28" ht="17.100000000000001" customHeight="1" thickTop="1">
      <c r="A4638" s="226" t="s">
        <v>13691</v>
      </c>
      <c r="B4638" s="28">
        <v>46012</v>
      </c>
      <c r="C4638" s="25"/>
      <c r="D4638" s="13" t="s">
        <v>1878</v>
      </c>
      <c r="E4638" s="228"/>
      <c r="F4638" s="109" t="s">
        <v>13694</v>
      </c>
      <c r="G4638" s="24" t="s">
        <v>2813</v>
      </c>
      <c r="H4638" s="230"/>
      <c r="I4638" s="220">
        <v>300000</v>
      </c>
      <c r="J4638" s="220">
        <v>0</v>
      </c>
      <c r="K4638" s="220">
        <v>0</v>
      </c>
      <c r="L4638" s="220">
        <v>0</v>
      </c>
      <c r="M4638" s="220">
        <v>0</v>
      </c>
      <c r="N4638" s="220">
        <f>SUM(I4638:M4639)</f>
        <v>300000</v>
      </c>
      <c r="O4638" s="224"/>
      <c r="P4638" s="110" t="s">
        <v>13696</v>
      </c>
      <c r="Q4638" s="15" t="s">
        <v>19</v>
      </c>
      <c r="R4638" s="205"/>
      <c r="S4638" s="189"/>
      <c r="T4638" s="114"/>
      <c r="U4638" s="21"/>
      <c r="V4638" s="115">
        <v>46053</v>
      </c>
      <c r="W4638" s="116">
        <v>1286</v>
      </c>
      <c r="X4638" s="220">
        <v>360000</v>
      </c>
      <c r="Y4638" s="220">
        <f>X4638*0.1</f>
        <v>36000</v>
      </c>
      <c r="Z4638" s="220">
        <v>13300</v>
      </c>
      <c r="AA4638" s="220">
        <f>SUM(X4638:Z4638)</f>
        <v>409300</v>
      </c>
      <c r="AB4638" s="222">
        <v>46056</v>
      </c>
    </row>
    <row r="4639" spans="1:28" ht="17.100000000000001" customHeight="1" thickBot="1">
      <c r="A4639" s="227"/>
      <c r="B4639" s="27" t="s">
        <v>13693</v>
      </c>
      <c r="C4639" s="27"/>
      <c r="D4639" s="14" t="s">
        <v>1710</v>
      </c>
      <c r="E4639" s="229"/>
      <c r="F4639" s="117" t="s">
        <v>13695</v>
      </c>
      <c r="G4639" s="26">
        <v>148862</v>
      </c>
      <c r="H4639" s="231"/>
      <c r="I4639" s="221"/>
      <c r="J4639" s="221"/>
      <c r="K4639" s="221"/>
      <c r="L4639" s="221"/>
      <c r="M4639" s="221"/>
      <c r="N4639" s="221"/>
      <c r="O4639" s="225"/>
      <c r="P4639" s="118" t="s">
        <v>13697</v>
      </c>
      <c r="Q4639" s="16" t="s">
        <v>20</v>
      </c>
      <c r="R4639" s="17" t="s">
        <v>1794</v>
      </c>
      <c r="S4639" s="121" t="s">
        <v>15039</v>
      </c>
      <c r="T4639" s="122"/>
      <c r="U4639" s="22"/>
      <c r="V4639" s="123" t="s">
        <v>2472</v>
      </c>
      <c r="W4639" s="122">
        <v>37120</v>
      </c>
      <c r="X4639" s="221"/>
      <c r="Y4639" s="221"/>
      <c r="Z4639" s="221"/>
      <c r="AA4639" s="221"/>
      <c r="AB4639" s="223"/>
    </row>
    <row r="4640" spans="1:28" ht="17.100000000000001" customHeight="1" thickTop="1">
      <c r="A4640" s="226" t="s">
        <v>13692</v>
      </c>
      <c r="B4640" s="28">
        <v>46012</v>
      </c>
      <c r="C4640" s="25"/>
      <c r="D4640" s="13" t="s">
        <v>1996</v>
      </c>
      <c r="E4640" s="228"/>
      <c r="F4640" s="109" t="s">
        <v>13699</v>
      </c>
      <c r="G4640" s="24"/>
      <c r="H4640" s="230"/>
      <c r="I4640" s="220"/>
      <c r="J4640" s="220">
        <f>I4640*0.1</f>
        <v>0</v>
      </c>
      <c r="K4640" s="220">
        <v>0</v>
      </c>
      <c r="L4640" s="220"/>
      <c r="M4640" s="220"/>
      <c r="N4640" s="220">
        <f>SUM(I4640:M4641)</f>
        <v>0</v>
      </c>
      <c r="O4640" s="224"/>
      <c r="P4640" s="110" t="s">
        <v>13701</v>
      </c>
      <c r="Q4640" s="15" t="s">
        <v>19</v>
      </c>
      <c r="R4640" s="205"/>
      <c r="S4640" s="189"/>
      <c r="T4640" s="114"/>
      <c r="U4640" s="21"/>
      <c r="V4640" s="115">
        <v>46046</v>
      </c>
      <c r="W4640" s="116">
        <v>1285</v>
      </c>
      <c r="X4640" s="220">
        <v>1165000</v>
      </c>
      <c r="Y4640" s="220">
        <f>X4640*0.1</f>
        <v>116500</v>
      </c>
      <c r="Z4640" s="220">
        <v>21460</v>
      </c>
      <c r="AA4640" s="220">
        <f>SUM(X4640:Z4640)</f>
        <v>1302960</v>
      </c>
      <c r="AB4640" s="222">
        <v>46049</v>
      </c>
    </row>
    <row r="4641" spans="1:28" ht="17.100000000000001" customHeight="1" thickBot="1">
      <c r="A4641" s="227"/>
      <c r="B4641" s="27" t="s">
        <v>13698</v>
      </c>
      <c r="C4641" s="27"/>
      <c r="D4641" s="14"/>
      <c r="E4641" s="229"/>
      <c r="F4641" s="117" t="s">
        <v>13700</v>
      </c>
      <c r="G4641" s="26"/>
      <c r="H4641" s="231"/>
      <c r="I4641" s="221"/>
      <c r="J4641" s="221"/>
      <c r="K4641" s="221"/>
      <c r="L4641" s="221"/>
      <c r="M4641" s="221"/>
      <c r="N4641" s="221"/>
      <c r="O4641" s="225"/>
      <c r="P4641" s="118" t="s">
        <v>13702</v>
      </c>
      <c r="Q4641" s="16" t="s">
        <v>20</v>
      </c>
      <c r="R4641" s="17" t="s">
        <v>1794</v>
      </c>
      <c r="S4641" s="121" t="s">
        <v>4031</v>
      </c>
      <c r="T4641" s="122"/>
      <c r="U4641" s="22"/>
      <c r="V4641" s="123" t="s">
        <v>2472</v>
      </c>
      <c r="W4641" s="122">
        <v>82253</v>
      </c>
      <c r="X4641" s="221"/>
      <c r="Y4641" s="221"/>
      <c r="Z4641" s="221"/>
      <c r="AA4641" s="221"/>
      <c r="AB4641" s="223"/>
    </row>
    <row r="4642" spans="1:28" ht="17.100000000000001" customHeight="1" thickTop="1">
      <c r="A4642" s="233" t="s">
        <v>13703</v>
      </c>
      <c r="B4642" s="28">
        <v>46013</v>
      </c>
      <c r="C4642" s="25">
        <v>79</v>
      </c>
      <c r="D4642" s="13" t="s">
        <v>1632</v>
      </c>
      <c r="E4642" s="228"/>
      <c r="F4642" s="109" t="s">
        <v>5345</v>
      </c>
      <c r="G4642" s="24" t="s">
        <v>2487</v>
      </c>
      <c r="H4642" s="230">
        <v>4</v>
      </c>
      <c r="I4642" s="220">
        <v>565000</v>
      </c>
      <c r="J4642" s="220">
        <f>I4642*0.1</f>
        <v>56500</v>
      </c>
      <c r="K4642" s="220">
        <v>0</v>
      </c>
      <c r="L4642" s="220">
        <v>8400</v>
      </c>
      <c r="M4642" s="220">
        <v>33000</v>
      </c>
      <c r="N4642" s="220">
        <f>SUM(I4642:M4643)</f>
        <v>662900</v>
      </c>
      <c r="O4642" s="224"/>
      <c r="P4642" s="110"/>
      <c r="Q4642" s="15" t="s">
        <v>19</v>
      </c>
      <c r="R4642" s="205"/>
      <c r="S4642" s="189" t="s">
        <v>25661</v>
      </c>
      <c r="T4642" s="114" t="s">
        <v>7899</v>
      </c>
      <c r="U4642" s="21"/>
      <c r="V4642" s="115"/>
      <c r="W4642" s="116"/>
      <c r="X4642" s="220"/>
      <c r="Y4642" s="220">
        <f>X4642*0.1</f>
        <v>0</v>
      </c>
      <c r="Z4642" s="220"/>
      <c r="AA4642" s="220">
        <f>SUM(X4642:Z4642)</f>
        <v>0</v>
      </c>
      <c r="AB4642" s="222"/>
    </row>
    <row r="4643" spans="1:28" ht="17.100000000000001" customHeight="1" thickBot="1">
      <c r="A4643" s="234"/>
      <c r="B4643" s="27" t="s">
        <v>4468</v>
      </c>
      <c r="C4643" s="27">
        <v>1056</v>
      </c>
      <c r="D4643" s="14" t="s">
        <v>2788</v>
      </c>
      <c r="E4643" s="229"/>
      <c r="F4643" s="117" t="s">
        <v>13663</v>
      </c>
      <c r="G4643" s="26">
        <v>51725</v>
      </c>
      <c r="H4643" s="231"/>
      <c r="I4643" s="221"/>
      <c r="J4643" s="221"/>
      <c r="K4643" s="221"/>
      <c r="L4643" s="221"/>
      <c r="M4643" s="221"/>
      <c r="N4643" s="221"/>
      <c r="O4643" s="225"/>
      <c r="P4643" s="118"/>
      <c r="Q4643" s="16" t="s">
        <v>20</v>
      </c>
      <c r="R4643" s="17" t="s">
        <v>10331</v>
      </c>
      <c r="S4643" s="121"/>
      <c r="T4643" s="122"/>
      <c r="U4643" s="22"/>
      <c r="V4643" s="123"/>
      <c r="W4643" s="122"/>
      <c r="X4643" s="221"/>
      <c r="Y4643" s="221"/>
      <c r="Z4643" s="221"/>
      <c r="AA4643" s="221"/>
      <c r="AB4643" s="223"/>
    </row>
    <row r="4644" spans="1:28" ht="16.5" customHeight="1" thickTop="1">
      <c r="A4644" s="226" t="s">
        <v>13704</v>
      </c>
      <c r="B4644" s="28">
        <v>46013</v>
      </c>
      <c r="C4644" s="25"/>
      <c r="D4644" s="13" t="s">
        <v>2073</v>
      </c>
      <c r="E4644" s="228"/>
      <c r="F4644" s="109" t="s">
        <v>5345</v>
      </c>
      <c r="G4644" s="24" t="s">
        <v>10068</v>
      </c>
      <c r="H4644" s="230">
        <v>4</v>
      </c>
      <c r="I4644" s="220">
        <f>746900/1.1</f>
        <v>679000</v>
      </c>
      <c r="J4644" s="220">
        <f>I4644*0.1</f>
        <v>67900</v>
      </c>
      <c r="K4644" s="220">
        <v>0</v>
      </c>
      <c r="L4644" s="220">
        <v>8400</v>
      </c>
      <c r="M4644" s="220">
        <v>0</v>
      </c>
      <c r="N4644" s="220">
        <f>SUM(I4644:M4645)</f>
        <v>755300</v>
      </c>
      <c r="O4644" s="224"/>
      <c r="P4644" s="110" t="s">
        <v>14448</v>
      </c>
      <c r="Q4644" s="15" t="s">
        <v>19</v>
      </c>
      <c r="R4644" s="205"/>
      <c r="S4644" s="189" t="s">
        <v>1276</v>
      </c>
      <c r="T4644" s="114"/>
      <c r="U4644" s="21"/>
      <c r="V4644" s="115">
        <v>46116</v>
      </c>
      <c r="W4644" s="116">
        <v>1295</v>
      </c>
      <c r="X4644" s="220">
        <v>750000</v>
      </c>
      <c r="Y4644" s="220">
        <f>X4644*0.1</f>
        <v>75000</v>
      </c>
      <c r="Z4644" s="220">
        <v>8400</v>
      </c>
      <c r="AA4644" s="220">
        <f>SUM(X4644:Z4644)</f>
        <v>833400</v>
      </c>
      <c r="AB4644" s="222">
        <v>46119</v>
      </c>
    </row>
    <row r="4645" spans="1:28" ht="17.100000000000001" customHeight="1" thickBot="1">
      <c r="A4645" s="227"/>
      <c r="B4645" s="27" t="s">
        <v>1708</v>
      </c>
      <c r="C4645" s="27" t="s">
        <v>13664</v>
      </c>
      <c r="D4645" s="14" t="s">
        <v>1548</v>
      </c>
      <c r="E4645" s="229"/>
      <c r="F4645" s="117" t="s">
        <v>13665</v>
      </c>
      <c r="G4645" s="26">
        <v>44607</v>
      </c>
      <c r="H4645" s="231"/>
      <c r="I4645" s="221"/>
      <c r="J4645" s="221"/>
      <c r="K4645" s="221"/>
      <c r="L4645" s="221"/>
      <c r="M4645" s="221"/>
      <c r="N4645" s="221"/>
      <c r="O4645" s="225"/>
      <c r="P4645" s="118" t="s">
        <v>14449</v>
      </c>
      <c r="Q4645" s="16" t="s">
        <v>20</v>
      </c>
      <c r="R4645" s="17" t="s">
        <v>2573</v>
      </c>
      <c r="S4645" s="121" t="s">
        <v>13167</v>
      </c>
      <c r="T4645" s="122"/>
      <c r="U4645" s="22"/>
      <c r="V4645" s="123" t="s">
        <v>2472</v>
      </c>
      <c r="W4645" s="122">
        <v>60204</v>
      </c>
      <c r="X4645" s="221"/>
      <c r="Y4645" s="221"/>
      <c r="Z4645" s="221"/>
      <c r="AA4645" s="221"/>
      <c r="AB4645" s="223"/>
    </row>
    <row r="4646" spans="1:28" ht="17.100000000000001" customHeight="1" thickTop="1">
      <c r="A4646" s="233" t="s">
        <v>13705</v>
      </c>
      <c r="B4646" s="28">
        <v>46013</v>
      </c>
      <c r="C4646" s="25"/>
      <c r="D4646" s="13" t="s">
        <v>2324</v>
      </c>
      <c r="E4646" s="228"/>
      <c r="F4646" s="109" t="s">
        <v>13707</v>
      </c>
      <c r="G4646" s="24" t="s">
        <v>5043</v>
      </c>
      <c r="H4646" s="230">
        <v>4</v>
      </c>
      <c r="I4646" s="220">
        <f>2260500/1.1</f>
        <v>2054999.9999999998</v>
      </c>
      <c r="J4646" s="220">
        <f>I4646*0.1</f>
        <v>205500</v>
      </c>
      <c r="K4646" s="220">
        <v>6000</v>
      </c>
      <c r="L4646" s="220">
        <v>12470</v>
      </c>
      <c r="M4646" s="220">
        <v>0</v>
      </c>
      <c r="N4646" s="220">
        <f>SUM(I4646:M4647)</f>
        <v>2278970</v>
      </c>
      <c r="O4646" s="224"/>
      <c r="P4646" s="110" t="s">
        <v>14423</v>
      </c>
      <c r="Q4646" s="15" t="s">
        <v>19</v>
      </c>
      <c r="R4646" s="205"/>
      <c r="S4646" s="189" t="s">
        <v>1312</v>
      </c>
      <c r="T4646" s="114"/>
      <c r="U4646" s="21"/>
      <c r="V4646" s="115">
        <v>46039</v>
      </c>
      <c r="W4646" s="116">
        <v>1284</v>
      </c>
      <c r="X4646" s="220">
        <v>2200000</v>
      </c>
      <c r="Y4646" s="220">
        <f>X4646*0.1</f>
        <v>220000</v>
      </c>
      <c r="Z4646" s="220">
        <v>12470</v>
      </c>
      <c r="AA4646" s="220">
        <f>SUM(X4646:Z4646)</f>
        <v>2432470</v>
      </c>
      <c r="AB4646" s="222">
        <v>46042</v>
      </c>
    </row>
    <row r="4647" spans="1:28" ht="17.100000000000001" customHeight="1" thickBot="1">
      <c r="A4647" s="234"/>
      <c r="B4647" s="27" t="s">
        <v>1708</v>
      </c>
      <c r="C4647" s="27" t="s">
        <v>13706</v>
      </c>
      <c r="D4647" s="14" t="s">
        <v>2559</v>
      </c>
      <c r="E4647" s="229"/>
      <c r="F4647" s="117" t="s">
        <v>13708</v>
      </c>
      <c r="G4647" s="26">
        <v>76995</v>
      </c>
      <c r="H4647" s="231"/>
      <c r="I4647" s="221"/>
      <c r="J4647" s="221"/>
      <c r="K4647" s="221"/>
      <c r="L4647" s="221"/>
      <c r="M4647" s="221"/>
      <c r="N4647" s="221"/>
      <c r="O4647" s="225"/>
      <c r="P4647" s="118" t="s">
        <v>14424</v>
      </c>
      <c r="Q4647" s="16" t="s">
        <v>20</v>
      </c>
      <c r="R4647" s="17" t="s">
        <v>2900</v>
      </c>
      <c r="S4647" s="121" t="s">
        <v>14425</v>
      </c>
      <c r="T4647" s="122"/>
      <c r="U4647" s="22"/>
      <c r="V4647" s="123" t="s">
        <v>2472</v>
      </c>
      <c r="W4647" s="122">
        <v>37791</v>
      </c>
      <c r="X4647" s="221"/>
      <c r="Y4647" s="221"/>
      <c r="Z4647" s="221"/>
      <c r="AA4647" s="221"/>
      <c r="AB4647" s="223"/>
    </row>
    <row r="4648" spans="1:28" ht="17.100000000000001" customHeight="1" thickTop="1">
      <c r="A4648" s="226" t="s">
        <v>13709</v>
      </c>
      <c r="B4648" s="28">
        <v>46013</v>
      </c>
      <c r="C4648" s="25">
        <v>2074</v>
      </c>
      <c r="D4648" s="13" t="s">
        <v>2158</v>
      </c>
      <c r="E4648" s="228"/>
      <c r="F4648" s="109" t="s">
        <v>13666</v>
      </c>
      <c r="G4648" s="24"/>
      <c r="H4648" s="230">
        <v>4</v>
      </c>
      <c r="I4648" s="220">
        <v>1930000</v>
      </c>
      <c r="J4648" s="220">
        <f>I4648*0.1</f>
        <v>193000</v>
      </c>
      <c r="K4648" s="220">
        <v>0</v>
      </c>
      <c r="L4648" s="220">
        <v>21020</v>
      </c>
      <c r="M4648" s="220">
        <v>11000</v>
      </c>
      <c r="N4648" s="220">
        <f>SUM(I4648:M4649)</f>
        <v>2155020</v>
      </c>
      <c r="O4648" s="224"/>
      <c r="P4648" s="110" t="s">
        <v>13917</v>
      </c>
      <c r="Q4648" s="15" t="s">
        <v>19</v>
      </c>
      <c r="R4648" s="205"/>
      <c r="S4648" s="189" t="s">
        <v>1361</v>
      </c>
      <c r="T4648" s="114"/>
      <c r="U4648" s="21"/>
      <c r="V4648" s="115">
        <v>46081</v>
      </c>
      <c r="W4648" s="116">
        <v>1290</v>
      </c>
      <c r="X4648" s="220">
        <v>2170000</v>
      </c>
      <c r="Y4648" s="220">
        <f>X4648*0.1</f>
        <v>217000</v>
      </c>
      <c r="Z4648" s="220">
        <v>21020</v>
      </c>
      <c r="AA4648" s="220">
        <f>SUM(X4648:Z4648)</f>
        <v>2408020</v>
      </c>
      <c r="AB4648" s="222">
        <v>46084</v>
      </c>
    </row>
    <row r="4649" spans="1:28" ht="17.100000000000001" customHeight="1" thickBot="1">
      <c r="A4649" s="227"/>
      <c r="B4649" s="27" t="s">
        <v>82</v>
      </c>
      <c r="C4649" s="27">
        <v>32002</v>
      </c>
      <c r="D4649" s="14" t="s">
        <v>898</v>
      </c>
      <c r="E4649" s="229"/>
      <c r="F4649" s="117" t="s">
        <v>13667</v>
      </c>
      <c r="G4649" s="26">
        <v>45902</v>
      </c>
      <c r="H4649" s="231"/>
      <c r="I4649" s="221"/>
      <c r="J4649" s="221"/>
      <c r="K4649" s="221"/>
      <c r="L4649" s="221"/>
      <c r="M4649" s="221"/>
      <c r="N4649" s="221"/>
      <c r="O4649" s="225"/>
      <c r="P4649" s="118" t="s">
        <v>3989</v>
      </c>
      <c r="Q4649" s="16" t="s">
        <v>20</v>
      </c>
      <c r="R4649" s="17" t="s">
        <v>13841</v>
      </c>
      <c r="S4649" s="121" t="s">
        <v>1606</v>
      </c>
      <c r="T4649" s="122"/>
      <c r="U4649" s="22"/>
      <c r="V4649" s="123" t="s">
        <v>2472</v>
      </c>
      <c r="W4649" s="122">
        <v>80208</v>
      </c>
      <c r="X4649" s="221"/>
      <c r="Y4649" s="221"/>
      <c r="Z4649" s="221"/>
      <c r="AA4649" s="221"/>
      <c r="AB4649" s="223"/>
    </row>
    <row r="4650" spans="1:28" ht="17.100000000000001" customHeight="1" thickTop="1">
      <c r="A4650" s="233" t="s">
        <v>13710</v>
      </c>
      <c r="B4650" s="28">
        <v>46013</v>
      </c>
      <c r="C4650" s="25">
        <v>2074</v>
      </c>
      <c r="D4650" s="13" t="s">
        <v>1908</v>
      </c>
      <c r="E4650" s="228"/>
      <c r="F4650" s="109" t="s">
        <v>13668</v>
      </c>
      <c r="G4650" s="24"/>
      <c r="H4650" s="230">
        <v>4</v>
      </c>
      <c r="I4650" s="220">
        <v>797000</v>
      </c>
      <c r="J4650" s="220">
        <f>I4650*0.1</f>
        <v>79700</v>
      </c>
      <c r="K4650" s="220">
        <v>0</v>
      </c>
      <c r="L4650" s="220">
        <v>20250</v>
      </c>
      <c r="M4650" s="220">
        <v>11000</v>
      </c>
      <c r="N4650" s="220">
        <f>SUM(I4650:M4651)</f>
        <v>907950</v>
      </c>
      <c r="O4650" s="224"/>
      <c r="P4650" s="110" t="s">
        <v>14221</v>
      </c>
      <c r="Q4650" s="15" t="s">
        <v>19</v>
      </c>
      <c r="R4650" s="205"/>
      <c r="S4650" s="189" t="s">
        <v>1361</v>
      </c>
      <c r="T4650" s="114"/>
      <c r="U4650" s="21"/>
      <c r="V4650" s="115">
        <v>46039</v>
      </c>
      <c r="W4650" s="116">
        <v>1284</v>
      </c>
      <c r="X4650" s="220">
        <v>950000</v>
      </c>
      <c r="Y4650" s="220">
        <f>X4650*0.1</f>
        <v>95000</v>
      </c>
      <c r="Z4650" s="220">
        <v>20250</v>
      </c>
      <c r="AA4650" s="220">
        <f>SUM(X4650:Z4650)</f>
        <v>1065250</v>
      </c>
      <c r="AB4650" s="222">
        <v>46042</v>
      </c>
    </row>
    <row r="4651" spans="1:28" ht="17.100000000000001" customHeight="1" thickBot="1">
      <c r="A4651" s="234"/>
      <c r="B4651" s="27" t="s">
        <v>82</v>
      </c>
      <c r="C4651" s="27">
        <v>34511</v>
      </c>
      <c r="D4651" s="14" t="s">
        <v>273</v>
      </c>
      <c r="E4651" s="229"/>
      <c r="F4651" s="117" t="s">
        <v>13669</v>
      </c>
      <c r="G4651" s="26">
        <v>54894</v>
      </c>
      <c r="H4651" s="231"/>
      <c r="I4651" s="221"/>
      <c r="J4651" s="221"/>
      <c r="K4651" s="221"/>
      <c r="L4651" s="221"/>
      <c r="M4651" s="221"/>
      <c r="N4651" s="221"/>
      <c r="O4651" s="225"/>
      <c r="P4651" s="118" t="s">
        <v>1828</v>
      </c>
      <c r="Q4651" s="16" t="s">
        <v>20</v>
      </c>
      <c r="R4651" s="17" t="s">
        <v>1953</v>
      </c>
      <c r="S4651" s="121" t="s">
        <v>1731</v>
      </c>
      <c r="T4651" s="122"/>
      <c r="U4651" s="22"/>
      <c r="V4651" s="123" t="s">
        <v>2472</v>
      </c>
      <c r="W4651" s="122">
        <v>80070</v>
      </c>
      <c r="X4651" s="221"/>
      <c r="Y4651" s="221"/>
      <c r="Z4651" s="221"/>
      <c r="AA4651" s="221"/>
      <c r="AB4651" s="223"/>
    </row>
    <row r="4652" spans="1:28" ht="17.100000000000001" customHeight="1" thickTop="1">
      <c r="A4652" s="233" t="s">
        <v>13711</v>
      </c>
      <c r="B4652" s="28">
        <v>46013</v>
      </c>
      <c r="C4652" s="25">
        <v>2074</v>
      </c>
      <c r="D4652" s="13" t="s">
        <v>2524</v>
      </c>
      <c r="E4652" s="228"/>
      <c r="F4652" s="109" t="s">
        <v>13670</v>
      </c>
      <c r="G4652" s="24" t="s">
        <v>4120</v>
      </c>
      <c r="H4652" s="230">
        <v>4</v>
      </c>
      <c r="I4652" s="220">
        <v>700000</v>
      </c>
      <c r="J4652" s="220">
        <f>I4652*0.1</f>
        <v>70000</v>
      </c>
      <c r="K4652" s="220">
        <f>9800+980</f>
        <v>10780</v>
      </c>
      <c r="L4652" s="220">
        <v>15920</v>
      </c>
      <c r="M4652" s="220">
        <v>17600</v>
      </c>
      <c r="N4652" s="220">
        <f>SUM(I4652:M4653)</f>
        <v>814300</v>
      </c>
      <c r="O4652" s="224"/>
      <c r="P4652" s="110" t="s">
        <v>14060</v>
      </c>
      <c r="Q4652" s="15" t="s">
        <v>19</v>
      </c>
      <c r="R4652" s="205"/>
      <c r="S4652" s="189" t="s">
        <v>1361</v>
      </c>
      <c r="T4652" s="114"/>
      <c r="U4652" s="21"/>
      <c r="V4652" s="115">
        <v>46032</v>
      </c>
      <c r="W4652" s="116">
        <v>1283</v>
      </c>
      <c r="X4652" s="220">
        <v>1040000</v>
      </c>
      <c r="Y4652" s="220">
        <f>X4652*0.1</f>
        <v>104000</v>
      </c>
      <c r="Z4652" s="220">
        <v>15920</v>
      </c>
      <c r="AA4652" s="220">
        <f>SUM(X4652:Z4652)</f>
        <v>1159920</v>
      </c>
      <c r="AB4652" s="222">
        <v>46036</v>
      </c>
    </row>
    <row r="4653" spans="1:28" ht="17.100000000000001" customHeight="1" thickBot="1">
      <c r="A4653" s="234"/>
      <c r="B4653" s="27" t="s">
        <v>82</v>
      </c>
      <c r="C4653" s="27">
        <v>34514</v>
      </c>
      <c r="D4653" s="14" t="s">
        <v>273</v>
      </c>
      <c r="E4653" s="229"/>
      <c r="F4653" s="117" t="s">
        <v>13671</v>
      </c>
      <c r="G4653" s="26">
        <v>25980</v>
      </c>
      <c r="H4653" s="231"/>
      <c r="I4653" s="221"/>
      <c r="J4653" s="221"/>
      <c r="K4653" s="221"/>
      <c r="L4653" s="221"/>
      <c r="M4653" s="221"/>
      <c r="N4653" s="221"/>
      <c r="O4653" s="225"/>
      <c r="P4653" s="118" t="s">
        <v>14061</v>
      </c>
      <c r="Q4653" s="16" t="s">
        <v>20</v>
      </c>
      <c r="R4653" s="17" t="s">
        <v>14046</v>
      </c>
      <c r="S4653" s="121" t="s">
        <v>3552</v>
      </c>
      <c r="T4653" s="122"/>
      <c r="U4653" s="22"/>
      <c r="V4653" s="123" t="s">
        <v>2472</v>
      </c>
      <c r="W4653" s="122">
        <v>80055</v>
      </c>
      <c r="X4653" s="221"/>
      <c r="Y4653" s="221"/>
      <c r="Z4653" s="221"/>
      <c r="AA4653" s="221"/>
      <c r="AB4653" s="223"/>
    </row>
    <row r="4654" spans="1:28" ht="17.100000000000001" customHeight="1" thickTop="1">
      <c r="A4654" s="226" t="s">
        <v>13712</v>
      </c>
      <c r="B4654" s="28">
        <v>46013</v>
      </c>
      <c r="C4654" s="25">
        <v>2074</v>
      </c>
      <c r="D4654" s="13" t="s">
        <v>2900</v>
      </c>
      <c r="E4654" s="228"/>
      <c r="F4654" s="109" t="s">
        <v>5436</v>
      </c>
      <c r="G4654" s="24" t="s">
        <v>2871</v>
      </c>
      <c r="H4654" s="230">
        <v>4.5</v>
      </c>
      <c r="I4654" s="220">
        <v>1385000</v>
      </c>
      <c r="J4654" s="220">
        <f>I4654*0.1</f>
        <v>138500</v>
      </c>
      <c r="K4654" s="220">
        <f>7600+760</f>
        <v>8360</v>
      </c>
      <c r="L4654" s="220">
        <v>17800</v>
      </c>
      <c r="M4654" s="220">
        <v>11000</v>
      </c>
      <c r="N4654" s="220">
        <f>SUM(I4654:M4655)</f>
        <v>1560660</v>
      </c>
      <c r="O4654" s="224"/>
      <c r="P4654" s="110" t="s">
        <v>13673</v>
      </c>
      <c r="Q4654" s="15" t="s">
        <v>19</v>
      </c>
      <c r="R4654" s="205"/>
      <c r="S4654" s="189"/>
      <c r="T4654" s="114"/>
      <c r="U4654" s="21"/>
      <c r="V4654" s="115">
        <v>46018</v>
      </c>
      <c r="W4654" s="116">
        <v>1282</v>
      </c>
      <c r="X4654" s="220">
        <v>1555000</v>
      </c>
      <c r="Y4654" s="220">
        <f>X4654*0.1</f>
        <v>155500</v>
      </c>
      <c r="Z4654" s="220">
        <v>17800</v>
      </c>
      <c r="AA4654" s="220">
        <f>SUM(X4654:Z4654)</f>
        <v>1728300</v>
      </c>
      <c r="AB4654" s="222">
        <v>46028</v>
      </c>
    </row>
    <row r="4655" spans="1:28" ht="17.100000000000001" customHeight="1" thickBot="1">
      <c r="A4655" s="227"/>
      <c r="B4655" s="27" t="s">
        <v>82</v>
      </c>
      <c r="C4655" s="27">
        <v>34529</v>
      </c>
      <c r="D4655" s="14" t="s">
        <v>1627</v>
      </c>
      <c r="E4655" s="229"/>
      <c r="F4655" s="117" t="s">
        <v>13672</v>
      </c>
      <c r="G4655" s="26">
        <v>64396</v>
      </c>
      <c r="H4655" s="231"/>
      <c r="I4655" s="221"/>
      <c r="J4655" s="221"/>
      <c r="K4655" s="221"/>
      <c r="L4655" s="221"/>
      <c r="M4655" s="221"/>
      <c r="N4655" s="221"/>
      <c r="O4655" s="225"/>
      <c r="P4655" s="118" t="s">
        <v>4743</v>
      </c>
      <c r="Q4655" s="16" t="s">
        <v>20</v>
      </c>
      <c r="R4655" s="17" t="s">
        <v>3432</v>
      </c>
      <c r="S4655" s="121" t="s">
        <v>3552</v>
      </c>
      <c r="T4655" s="122"/>
      <c r="U4655" s="22"/>
      <c r="V4655" s="123" t="s">
        <v>2472</v>
      </c>
      <c r="W4655" s="122">
        <v>80338</v>
      </c>
      <c r="X4655" s="221"/>
      <c r="Y4655" s="221"/>
      <c r="Z4655" s="221"/>
      <c r="AA4655" s="221"/>
      <c r="AB4655" s="223"/>
    </row>
    <row r="4656" spans="1:28" ht="17.100000000000001" customHeight="1" thickTop="1">
      <c r="A4656" s="226" t="s">
        <v>13713</v>
      </c>
      <c r="B4656" s="28">
        <v>46013</v>
      </c>
      <c r="C4656" s="25">
        <v>2074</v>
      </c>
      <c r="D4656" s="13" t="s">
        <v>2288</v>
      </c>
      <c r="E4656" s="228"/>
      <c r="F4656" s="109" t="s">
        <v>13674</v>
      </c>
      <c r="G4656" s="24" t="s">
        <v>3453</v>
      </c>
      <c r="H4656" s="230">
        <v>4</v>
      </c>
      <c r="I4656" s="220">
        <v>1740000</v>
      </c>
      <c r="J4656" s="220">
        <f>I4656*0.1</f>
        <v>174000</v>
      </c>
      <c r="K4656" s="220">
        <f>9800+980</f>
        <v>10780</v>
      </c>
      <c r="L4656" s="220">
        <v>15180</v>
      </c>
      <c r="M4656" s="220">
        <v>11000</v>
      </c>
      <c r="N4656" s="220">
        <f>SUM(I4656:M4657)</f>
        <v>1950960</v>
      </c>
      <c r="O4656" s="224"/>
      <c r="P4656" s="110" t="s">
        <v>13676</v>
      </c>
      <c r="Q4656" s="15" t="s">
        <v>19</v>
      </c>
      <c r="R4656" s="205"/>
      <c r="S4656" s="189" t="s">
        <v>1289</v>
      </c>
      <c r="T4656" s="114"/>
      <c r="U4656" s="21"/>
      <c r="V4656" s="115">
        <v>46018</v>
      </c>
      <c r="W4656" s="116">
        <v>1282</v>
      </c>
      <c r="X4656" s="220">
        <v>1905000</v>
      </c>
      <c r="Y4656" s="220">
        <f>X4656*0.1</f>
        <v>190500</v>
      </c>
      <c r="Z4656" s="220">
        <v>15180</v>
      </c>
      <c r="AA4656" s="220">
        <f>SUM(X4656:Z4656)</f>
        <v>2110680</v>
      </c>
      <c r="AB4656" s="222">
        <v>46036</v>
      </c>
    </row>
    <row r="4657" spans="1:28" ht="17.100000000000001" customHeight="1" thickBot="1">
      <c r="A4657" s="227"/>
      <c r="B4657" s="27" t="s">
        <v>82</v>
      </c>
      <c r="C4657" s="27">
        <v>36031</v>
      </c>
      <c r="D4657" s="14" t="s">
        <v>2559</v>
      </c>
      <c r="E4657" s="229"/>
      <c r="F4657" s="117" t="s">
        <v>13675</v>
      </c>
      <c r="G4657" s="26">
        <v>40664</v>
      </c>
      <c r="H4657" s="231"/>
      <c r="I4657" s="221"/>
      <c r="J4657" s="221"/>
      <c r="K4657" s="221"/>
      <c r="L4657" s="221"/>
      <c r="M4657" s="221"/>
      <c r="N4657" s="221"/>
      <c r="O4657" s="225"/>
      <c r="P4657" s="118" t="s">
        <v>14220</v>
      </c>
      <c r="Q4657" s="16" t="s">
        <v>20</v>
      </c>
      <c r="R4657" s="17" t="s">
        <v>1953</v>
      </c>
      <c r="S4657" s="121" t="s">
        <v>1731</v>
      </c>
      <c r="T4657" s="122"/>
      <c r="U4657" s="22"/>
      <c r="V4657" s="123" t="s">
        <v>2472</v>
      </c>
      <c r="W4657" s="122">
        <v>80329</v>
      </c>
      <c r="X4657" s="221"/>
      <c r="Y4657" s="221"/>
      <c r="Z4657" s="221"/>
      <c r="AA4657" s="221"/>
      <c r="AB4657" s="223"/>
    </row>
    <row r="4658" spans="1:28" ht="17.100000000000001" customHeight="1" thickTop="1">
      <c r="A4658" s="226" t="s">
        <v>13714</v>
      </c>
      <c r="B4658" s="28">
        <v>46013</v>
      </c>
      <c r="C4658" s="25"/>
      <c r="D4658" s="13" t="s">
        <v>4750</v>
      </c>
      <c r="E4658" s="228"/>
      <c r="F4658" s="109" t="s">
        <v>1916</v>
      </c>
      <c r="G4658" s="24"/>
      <c r="H4658" s="230">
        <v>4</v>
      </c>
      <c r="I4658" s="220">
        <v>386000</v>
      </c>
      <c r="J4658" s="220">
        <f>I4658*0.1</f>
        <v>38600</v>
      </c>
      <c r="K4658" s="220">
        <v>0</v>
      </c>
      <c r="L4658" s="220">
        <v>17700</v>
      </c>
      <c r="M4658" s="220">
        <v>15950</v>
      </c>
      <c r="N4658" s="220">
        <f>SUM(I4658:M4659)</f>
        <v>458250</v>
      </c>
      <c r="O4658" s="224"/>
      <c r="P4658" s="110" t="s">
        <v>14226</v>
      </c>
      <c r="Q4658" s="15" t="s">
        <v>19</v>
      </c>
      <c r="R4658" s="205"/>
      <c r="S4658" s="189"/>
      <c r="T4658" s="114"/>
      <c r="U4658" s="21"/>
      <c r="V4658" s="115">
        <v>46046</v>
      </c>
      <c r="W4658" s="116">
        <v>1285</v>
      </c>
      <c r="X4658" s="220">
        <v>510000</v>
      </c>
      <c r="Y4658" s="220">
        <f>X4658*0.1</f>
        <v>51000</v>
      </c>
      <c r="Z4658" s="220">
        <v>17700</v>
      </c>
      <c r="AA4658" s="220">
        <f>SUM(X4658:Z4658)</f>
        <v>578700</v>
      </c>
      <c r="AB4658" s="222">
        <v>46049</v>
      </c>
    </row>
    <row r="4659" spans="1:28" ht="17.100000000000001" customHeight="1" thickBot="1">
      <c r="A4659" s="227"/>
      <c r="B4659" s="27" t="s">
        <v>3663</v>
      </c>
      <c r="C4659" s="27">
        <v>55194</v>
      </c>
      <c r="D4659" s="14" t="s">
        <v>1584</v>
      </c>
      <c r="E4659" s="229"/>
      <c r="F4659" s="117" t="s">
        <v>13677</v>
      </c>
      <c r="G4659" s="26">
        <v>49944</v>
      </c>
      <c r="H4659" s="231"/>
      <c r="I4659" s="221"/>
      <c r="J4659" s="221"/>
      <c r="K4659" s="221"/>
      <c r="L4659" s="221"/>
      <c r="M4659" s="221"/>
      <c r="N4659" s="221"/>
      <c r="O4659" s="225"/>
      <c r="P4659" s="118" t="s">
        <v>4094</v>
      </c>
      <c r="Q4659" s="16" t="s">
        <v>20</v>
      </c>
      <c r="R4659" s="17" t="s">
        <v>1953</v>
      </c>
      <c r="S4659" s="121" t="s">
        <v>13869</v>
      </c>
      <c r="T4659" s="122"/>
      <c r="U4659" s="22"/>
      <c r="V4659" s="123" t="s">
        <v>2472</v>
      </c>
      <c r="W4659" s="122">
        <v>80084</v>
      </c>
      <c r="X4659" s="221"/>
      <c r="Y4659" s="221"/>
      <c r="Z4659" s="221"/>
      <c r="AA4659" s="221"/>
      <c r="AB4659" s="223"/>
    </row>
    <row r="4660" spans="1:28" ht="17.100000000000001" customHeight="1" thickTop="1">
      <c r="A4660" s="226" t="s">
        <v>13715</v>
      </c>
      <c r="B4660" s="28">
        <v>46013</v>
      </c>
      <c r="C4660" s="25"/>
      <c r="D4660" s="13" t="s">
        <v>2892</v>
      </c>
      <c r="E4660" s="228"/>
      <c r="F4660" s="109" t="s">
        <v>13680</v>
      </c>
      <c r="G4660" s="24"/>
      <c r="H4660" s="230">
        <v>4</v>
      </c>
      <c r="I4660" s="220">
        <v>1457000</v>
      </c>
      <c r="J4660" s="220">
        <f>I4660*0.1</f>
        <v>145700</v>
      </c>
      <c r="K4660" s="220">
        <v>0</v>
      </c>
      <c r="L4660" s="220">
        <v>16970</v>
      </c>
      <c r="M4660" s="220">
        <v>15950</v>
      </c>
      <c r="N4660" s="220">
        <f>SUM(I4660:M4661)</f>
        <v>1635620</v>
      </c>
      <c r="O4660" s="224"/>
      <c r="P4660" s="110" t="s">
        <v>14222</v>
      </c>
      <c r="Q4660" s="15" t="s">
        <v>19</v>
      </c>
      <c r="R4660" s="205"/>
      <c r="S4660" s="189" t="s">
        <v>758</v>
      </c>
      <c r="T4660" s="114"/>
      <c r="U4660" s="21"/>
      <c r="V4660" s="115">
        <v>46032</v>
      </c>
      <c r="W4660" s="116">
        <v>1283</v>
      </c>
      <c r="X4660" s="220">
        <v>1680000</v>
      </c>
      <c r="Y4660" s="220">
        <f>X4660*0.1</f>
        <v>168000</v>
      </c>
      <c r="Z4660" s="220">
        <v>16970</v>
      </c>
      <c r="AA4660" s="220">
        <f>SUM(X4660:Z4660)</f>
        <v>1864970</v>
      </c>
      <c r="AB4660" s="222">
        <v>46036</v>
      </c>
    </row>
    <row r="4661" spans="1:28" ht="17.100000000000001" customHeight="1" thickBot="1">
      <c r="A4661" s="227"/>
      <c r="B4661" s="27" t="s">
        <v>3663</v>
      </c>
      <c r="C4661" s="27">
        <v>55300</v>
      </c>
      <c r="D4661" s="14" t="s">
        <v>131</v>
      </c>
      <c r="E4661" s="229"/>
      <c r="F4661" s="117" t="s">
        <v>13681</v>
      </c>
      <c r="G4661" s="26">
        <v>50099</v>
      </c>
      <c r="H4661" s="231"/>
      <c r="I4661" s="221"/>
      <c r="J4661" s="221"/>
      <c r="K4661" s="221"/>
      <c r="L4661" s="221"/>
      <c r="M4661" s="221"/>
      <c r="N4661" s="221"/>
      <c r="O4661" s="225"/>
      <c r="P4661" s="118" t="s">
        <v>14223</v>
      </c>
      <c r="Q4661" s="16" t="s">
        <v>20</v>
      </c>
      <c r="R4661" s="17" t="s">
        <v>1953</v>
      </c>
      <c r="S4661" s="121" t="s">
        <v>14224</v>
      </c>
      <c r="T4661" s="122"/>
      <c r="U4661" s="22"/>
      <c r="V4661" s="123" t="s">
        <v>2472</v>
      </c>
      <c r="W4661" s="122">
        <v>80084</v>
      </c>
      <c r="X4661" s="221"/>
      <c r="Y4661" s="221"/>
      <c r="Z4661" s="221"/>
      <c r="AA4661" s="221"/>
      <c r="AB4661" s="223"/>
    </row>
    <row r="4662" spans="1:28" ht="17.100000000000001" customHeight="1" thickTop="1">
      <c r="A4662" s="226" t="s">
        <v>13782</v>
      </c>
      <c r="B4662" s="28">
        <v>46014</v>
      </c>
      <c r="C4662" s="25">
        <v>1075</v>
      </c>
      <c r="D4662" s="13" t="s">
        <v>2811</v>
      </c>
      <c r="E4662" s="228"/>
      <c r="F4662" s="109" t="s">
        <v>10340</v>
      </c>
      <c r="G4662" s="24"/>
      <c r="H4662" s="230">
        <v>4</v>
      </c>
      <c r="I4662" s="220">
        <v>1210000</v>
      </c>
      <c r="J4662" s="220">
        <f>I4662*0.1</f>
        <v>121000</v>
      </c>
      <c r="K4662" s="220">
        <v>0</v>
      </c>
      <c r="L4662" s="220">
        <v>12680</v>
      </c>
      <c r="M4662" s="220">
        <v>16500</v>
      </c>
      <c r="N4662" s="220">
        <f>SUM(I4662:M4663)</f>
        <v>1360180</v>
      </c>
      <c r="O4662" s="224"/>
      <c r="P4662" s="110" t="s">
        <v>14082</v>
      </c>
      <c r="Q4662" s="15" t="s">
        <v>19</v>
      </c>
      <c r="R4662" s="205"/>
      <c r="S4662" s="189" t="s">
        <v>25498</v>
      </c>
      <c r="T4662" s="114"/>
      <c r="U4662" s="21"/>
      <c r="V4662" s="115">
        <v>46043</v>
      </c>
      <c r="W4662" s="116">
        <v>1001</v>
      </c>
      <c r="X4662" s="220">
        <v>1380000</v>
      </c>
      <c r="Y4662" s="220">
        <f>X4662*0.1</f>
        <v>138000</v>
      </c>
      <c r="Z4662" s="220">
        <v>12680</v>
      </c>
      <c r="AA4662" s="220">
        <f>SUM(X4662:Z4662)</f>
        <v>1530680</v>
      </c>
      <c r="AB4662" s="222">
        <v>46048</v>
      </c>
    </row>
    <row r="4663" spans="1:28" ht="17.100000000000001" customHeight="1" thickBot="1">
      <c r="A4663" s="227"/>
      <c r="B4663" s="27" t="s">
        <v>1583</v>
      </c>
      <c r="C4663" s="27">
        <v>82001</v>
      </c>
      <c r="D4663" s="14" t="s">
        <v>1548</v>
      </c>
      <c r="E4663" s="229"/>
      <c r="F4663" s="117" t="s">
        <v>13724</v>
      </c>
      <c r="G4663" s="26">
        <v>57033</v>
      </c>
      <c r="H4663" s="231"/>
      <c r="I4663" s="221"/>
      <c r="J4663" s="221"/>
      <c r="K4663" s="221"/>
      <c r="L4663" s="221"/>
      <c r="M4663" s="221"/>
      <c r="N4663" s="221"/>
      <c r="O4663" s="225"/>
      <c r="P4663" s="118" t="s">
        <v>14083</v>
      </c>
      <c r="Q4663" s="16" t="s">
        <v>20</v>
      </c>
      <c r="R4663" s="17" t="s">
        <v>14046</v>
      </c>
      <c r="S4663" s="121" t="s">
        <v>14084</v>
      </c>
      <c r="T4663" s="122"/>
      <c r="U4663" s="22"/>
      <c r="V4663" s="123" t="s">
        <v>2747</v>
      </c>
      <c r="W4663" s="122">
        <v>5025</v>
      </c>
      <c r="X4663" s="221"/>
      <c r="Y4663" s="221"/>
      <c r="Z4663" s="221"/>
      <c r="AA4663" s="221"/>
      <c r="AB4663" s="223"/>
    </row>
    <row r="4664" spans="1:28" ht="17.100000000000001" customHeight="1" thickTop="1">
      <c r="A4664" s="226" t="s">
        <v>13783</v>
      </c>
      <c r="B4664" s="28">
        <v>46014</v>
      </c>
      <c r="C4664" s="25">
        <v>1075</v>
      </c>
      <c r="D4664" s="13" t="s">
        <v>1702</v>
      </c>
      <c r="E4664" s="228"/>
      <c r="F4664" s="109" t="s">
        <v>13725</v>
      </c>
      <c r="G4664" s="24" t="s">
        <v>2487</v>
      </c>
      <c r="H4664" s="230">
        <v>4.5</v>
      </c>
      <c r="I4664" s="220">
        <v>700000</v>
      </c>
      <c r="J4664" s="220">
        <f>I4664*0.1</f>
        <v>70000</v>
      </c>
      <c r="K4664" s="220">
        <f>9800+980</f>
        <v>10780</v>
      </c>
      <c r="L4664" s="220">
        <v>18930</v>
      </c>
      <c r="M4664" s="220">
        <v>27500</v>
      </c>
      <c r="N4664" s="220">
        <f>SUM(I4664:M4665)</f>
        <v>827210</v>
      </c>
      <c r="O4664" s="224"/>
      <c r="P4664" s="110" t="s">
        <v>13727</v>
      </c>
      <c r="Q4664" s="15" t="s">
        <v>19</v>
      </c>
      <c r="R4664" s="205"/>
      <c r="S4664" s="189" t="s">
        <v>1422</v>
      </c>
      <c r="T4664" s="114"/>
      <c r="U4664" s="21"/>
      <c r="V4664" s="115">
        <v>46030</v>
      </c>
      <c r="W4664" s="116">
        <v>1313</v>
      </c>
      <c r="X4664" s="220">
        <v>880000</v>
      </c>
      <c r="Y4664" s="220">
        <f>X4664*0.1</f>
        <v>88000</v>
      </c>
      <c r="Z4664" s="220">
        <v>18930</v>
      </c>
      <c r="AA4664" s="220">
        <f>SUM(X4664:Z4664)</f>
        <v>986930</v>
      </c>
      <c r="AB4664" s="222">
        <v>46031</v>
      </c>
    </row>
    <row r="4665" spans="1:28" ht="17.100000000000001" customHeight="1" thickBot="1">
      <c r="A4665" s="227"/>
      <c r="B4665" s="27" t="s">
        <v>1583</v>
      </c>
      <c r="C4665" s="27">
        <v>84024</v>
      </c>
      <c r="D4665" s="14" t="s">
        <v>3274</v>
      </c>
      <c r="E4665" s="229"/>
      <c r="F4665" s="117" t="s">
        <v>13726</v>
      </c>
      <c r="G4665" s="26">
        <v>43066</v>
      </c>
      <c r="H4665" s="231"/>
      <c r="I4665" s="221"/>
      <c r="J4665" s="221"/>
      <c r="K4665" s="221"/>
      <c r="L4665" s="221"/>
      <c r="M4665" s="221"/>
      <c r="N4665" s="221"/>
      <c r="O4665" s="225"/>
      <c r="P4665" s="118" t="s">
        <v>2287</v>
      </c>
      <c r="Q4665" s="16" t="s">
        <v>20</v>
      </c>
      <c r="R4665" s="17" t="s">
        <v>14046</v>
      </c>
      <c r="S4665" s="121" t="s">
        <v>1606</v>
      </c>
      <c r="T4665" s="122"/>
      <c r="U4665" s="22"/>
      <c r="V4665" s="123" t="s">
        <v>14285</v>
      </c>
      <c r="W4665" s="122" t="s">
        <v>14286</v>
      </c>
      <c r="X4665" s="221"/>
      <c r="Y4665" s="221"/>
      <c r="Z4665" s="221"/>
      <c r="AA4665" s="221"/>
      <c r="AB4665" s="223"/>
    </row>
    <row r="4666" spans="1:28" ht="17.100000000000001" customHeight="1" thickTop="1">
      <c r="A4666" s="233" t="s">
        <v>13784</v>
      </c>
      <c r="B4666" s="28">
        <v>46014</v>
      </c>
      <c r="C4666" s="25">
        <v>1923</v>
      </c>
      <c r="D4666" s="13" t="s">
        <v>4368</v>
      </c>
      <c r="E4666" s="228"/>
      <c r="F4666" s="109" t="s">
        <v>13728</v>
      </c>
      <c r="G4666" s="24"/>
      <c r="H4666" s="230">
        <v>4</v>
      </c>
      <c r="I4666" s="220">
        <v>325000</v>
      </c>
      <c r="J4666" s="220">
        <f>I4666*0.1</f>
        <v>32500</v>
      </c>
      <c r="K4666" s="220">
        <v>0</v>
      </c>
      <c r="L4666" s="220">
        <v>9470</v>
      </c>
      <c r="M4666" s="220">
        <v>15950</v>
      </c>
      <c r="N4666" s="220">
        <f>SUM(I4666:M4667)</f>
        <v>382920</v>
      </c>
      <c r="O4666" s="224"/>
      <c r="P4666" s="110" t="s">
        <v>14298</v>
      </c>
      <c r="Q4666" s="15" t="s">
        <v>19</v>
      </c>
      <c r="R4666" s="205"/>
      <c r="S4666" s="189"/>
      <c r="T4666" s="114"/>
      <c r="U4666" s="21"/>
      <c r="V4666" s="115">
        <v>46032</v>
      </c>
      <c r="W4666" s="116">
        <v>1283</v>
      </c>
      <c r="X4666" s="220">
        <v>365000</v>
      </c>
      <c r="Y4666" s="220">
        <f>X4666*0.1</f>
        <v>36500</v>
      </c>
      <c r="Z4666" s="220">
        <v>9470</v>
      </c>
      <c r="AA4666" s="220">
        <f>SUM(X4666:Z4666)</f>
        <v>410970</v>
      </c>
      <c r="AB4666" s="222">
        <v>46036</v>
      </c>
    </row>
    <row r="4667" spans="1:28" ht="17.100000000000001" customHeight="1" thickBot="1">
      <c r="A4667" s="234"/>
      <c r="B4667" s="27" t="s">
        <v>2103</v>
      </c>
      <c r="C4667" s="27">
        <v>3103</v>
      </c>
      <c r="D4667" s="14" t="s">
        <v>2177</v>
      </c>
      <c r="E4667" s="229"/>
      <c r="F4667" s="117" t="s">
        <v>13729</v>
      </c>
      <c r="G4667" s="26">
        <v>57291</v>
      </c>
      <c r="H4667" s="231"/>
      <c r="I4667" s="221"/>
      <c r="J4667" s="221"/>
      <c r="K4667" s="221"/>
      <c r="L4667" s="221"/>
      <c r="M4667" s="221"/>
      <c r="N4667" s="221"/>
      <c r="O4667" s="225"/>
      <c r="P4667" s="118" t="s">
        <v>14299</v>
      </c>
      <c r="Q4667" s="16" t="s">
        <v>20</v>
      </c>
      <c r="R4667" s="17" t="s">
        <v>3857</v>
      </c>
      <c r="S4667" s="121" t="s">
        <v>11872</v>
      </c>
      <c r="T4667" s="122"/>
      <c r="U4667" s="22"/>
      <c r="V4667" s="123" t="s">
        <v>2472</v>
      </c>
      <c r="W4667" s="122">
        <v>60098</v>
      </c>
      <c r="X4667" s="221"/>
      <c r="Y4667" s="221"/>
      <c r="Z4667" s="221"/>
      <c r="AA4667" s="221"/>
      <c r="AB4667" s="223"/>
    </row>
    <row r="4668" spans="1:28" ht="17.100000000000001" customHeight="1" thickTop="1">
      <c r="A4668" s="226" t="s">
        <v>13785</v>
      </c>
      <c r="B4668" s="28">
        <v>46014</v>
      </c>
      <c r="C4668" s="25">
        <v>1923</v>
      </c>
      <c r="D4668" s="13" t="s">
        <v>1901</v>
      </c>
      <c r="E4668" s="228"/>
      <c r="F4668" s="109" t="s">
        <v>4595</v>
      </c>
      <c r="G4668" s="24" t="s">
        <v>2038</v>
      </c>
      <c r="H4668" s="230">
        <v>4.5</v>
      </c>
      <c r="I4668" s="220">
        <v>681000</v>
      </c>
      <c r="J4668" s="220">
        <f>I4668*0.1</f>
        <v>68100</v>
      </c>
      <c r="K4668" s="220">
        <v>0</v>
      </c>
      <c r="L4668" s="220">
        <v>7150</v>
      </c>
      <c r="M4668" s="220">
        <v>15950</v>
      </c>
      <c r="N4668" s="220">
        <f>SUM(I4668:M4669)</f>
        <v>772200</v>
      </c>
      <c r="O4668" s="224"/>
      <c r="P4668" s="110" t="s">
        <v>13731</v>
      </c>
      <c r="Q4668" s="15" t="s">
        <v>19</v>
      </c>
      <c r="R4668" s="205"/>
      <c r="S4668" s="189" t="s">
        <v>25461</v>
      </c>
      <c r="T4668" s="114"/>
      <c r="U4668" s="21" t="s">
        <v>14745</v>
      </c>
      <c r="V4668" s="115">
        <v>46032</v>
      </c>
      <c r="W4668" s="116">
        <v>1283</v>
      </c>
      <c r="X4668" s="220">
        <v>840000</v>
      </c>
      <c r="Y4668" s="220">
        <f>X4668*0.1</f>
        <v>84000</v>
      </c>
      <c r="Z4668" s="220">
        <v>7150</v>
      </c>
      <c r="AA4668" s="220">
        <f>SUM(X4668:Z4668)</f>
        <v>931150</v>
      </c>
      <c r="AB4668" s="222">
        <v>46042</v>
      </c>
    </row>
    <row r="4669" spans="1:28" ht="17.100000000000001" customHeight="1" thickBot="1">
      <c r="A4669" s="227"/>
      <c r="B4669" s="27" t="s">
        <v>2103</v>
      </c>
      <c r="C4669" s="27">
        <v>3229</v>
      </c>
      <c r="D4669" s="14" t="s">
        <v>2559</v>
      </c>
      <c r="E4669" s="229"/>
      <c r="F4669" s="117" t="s">
        <v>13730</v>
      </c>
      <c r="G4669" s="26">
        <v>54723</v>
      </c>
      <c r="H4669" s="231"/>
      <c r="I4669" s="221"/>
      <c r="J4669" s="221"/>
      <c r="K4669" s="221"/>
      <c r="L4669" s="221"/>
      <c r="M4669" s="221"/>
      <c r="N4669" s="221"/>
      <c r="O4669" s="225"/>
      <c r="P4669" s="118" t="s">
        <v>10976</v>
      </c>
      <c r="Q4669" s="16" t="s">
        <v>20</v>
      </c>
      <c r="R4669" s="17" t="s">
        <v>14046</v>
      </c>
      <c r="S4669" s="121" t="s">
        <v>14055</v>
      </c>
      <c r="T4669" s="122"/>
      <c r="U4669" s="22"/>
      <c r="V4669" s="123" t="s">
        <v>6641</v>
      </c>
      <c r="W4669" s="122">
        <v>60407</v>
      </c>
      <c r="X4669" s="221"/>
      <c r="Y4669" s="221"/>
      <c r="Z4669" s="221"/>
      <c r="AA4669" s="221"/>
      <c r="AB4669" s="223"/>
    </row>
    <row r="4670" spans="1:28" ht="17.100000000000001" customHeight="1" thickTop="1">
      <c r="A4670" s="233" t="s">
        <v>13786</v>
      </c>
      <c r="B4670" s="28">
        <v>46014</v>
      </c>
      <c r="C4670" s="25">
        <v>1923</v>
      </c>
      <c r="D4670" s="13" t="s">
        <v>1901</v>
      </c>
      <c r="E4670" s="228"/>
      <c r="F4670" s="109" t="s">
        <v>13732</v>
      </c>
      <c r="G4670" s="24"/>
      <c r="H4670" s="230">
        <v>4.5</v>
      </c>
      <c r="I4670" s="220">
        <v>796000</v>
      </c>
      <c r="J4670" s="220">
        <v>0</v>
      </c>
      <c r="K4670" s="220">
        <v>0</v>
      </c>
      <c r="L4670" s="220">
        <v>8430</v>
      </c>
      <c r="M4670" s="220">
        <v>15950</v>
      </c>
      <c r="N4670" s="220">
        <f>SUM(I4670:M4671)</f>
        <v>820380</v>
      </c>
      <c r="O4670" s="224"/>
      <c r="P4670" s="110" t="s">
        <v>14053</v>
      </c>
      <c r="Q4670" s="15" t="s">
        <v>19</v>
      </c>
      <c r="R4670" s="205"/>
      <c r="S4670" s="189" t="s">
        <v>1361</v>
      </c>
      <c r="T4670" s="114"/>
      <c r="U4670" s="21"/>
      <c r="V4670" s="115">
        <v>46039</v>
      </c>
      <c r="W4670" s="116">
        <v>1284</v>
      </c>
      <c r="X4670" s="220">
        <v>810000</v>
      </c>
      <c r="Y4670" s="220">
        <f>X4670*0.1</f>
        <v>81000</v>
      </c>
      <c r="Z4670" s="220">
        <v>8430</v>
      </c>
      <c r="AA4670" s="220">
        <f>SUM(X4670:Z4670)</f>
        <v>899430</v>
      </c>
      <c r="AB4670" s="222">
        <v>46042</v>
      </c>
    </row>
    <row r="4671" spans="1:28" ht="17.100000000000001" customHeight="1" thickBot="1">
      <c r="A4671" s="234"/>
      <c r="B4671" s="27" t="s">
        <v>2103</v>
      </c>
      <c r="C4671" s="27">
        <v>5416</v>
      </c>
      <c r="D4671" s="14" t="s">
        <v>2753</v>
      </c>
      <c r="E4671" s="229"/>
      <c r="F4671" s="117" t="s">
        <v>13733</v>
      </c>
      <c r="G4671" s="26">
        <v>9766</v>
      </c>
      <c r="H4671" s="231"/>
      <c r="I4671" s="221"/>
      <c r="J4671" s="221"/>
      <c r="K4671" s="221"/>
      <c r="L4671" s="221"/>
      <c r="M4671" s="221"/>
      <c r="N4671" s="221"/>
      <c r="O4671" s="225"/>
      <c r="P4671" s="118" t="s">
        <v>14054</v>
      </c>
      <c r="Q4671" s="16" t="s">
        <v>20</v>
      </c>
      <c r="R4671" s="17" t="s">
        <v>14046</v>
      </c>
      <c r="S4671" s="121" t="s">
        <v>3547</v>
      </c>
      <c r="T4671" s="122"/>
      <c r="U4671" s="22"/>
      <c r="V4671" s="123" t="s">
        <v>2472</v>
      </c>
      <c r="W4671" s="122">
        <v>60088</v>
      </c>
      <c r="X4671" s="221"/>
      <c r="Y4671" s="221"/>
      <c r="Z4671" s="221"/>
      <c r="AA4671" s="221"/>
      <c r="AB4671" s="223"/>
    </row>
    <row r="4672" spans="1:28" ht="17.100000000000001" customHeight="1" thickTop="1">
      <c r="A4672" s="226" t="s">
        <v>13787</v>
      </c>
      <c r="B4672" s="28">
        <v>46014</v>
      </c>
      <c r="C4672" s="25">
        <v>921</v>
      </c>
      <c r="D4672" s="13" t="s">
        <v>5508</v>
      </c>
      <c r="E4672" s="228"/>
      <c r="F4672" s="109" t="s">
        <v>4303</v>
      </c>
      <c r="G4672" s="24"/>
      <c r="H4672" s="230">
        <v>4.5</v>
      </c>
      <c r="I4672" s="220">
        <v>859000</v>
      </c>
      <c r="J4672" s="220">
        <f>I4672*0.1</f>
        <v>85900</v>
      </c>
      <c r="K4672" s="220">
        <v>0</v>
      </c>
      <c r="L4672" s="220">
        <v>16260</v>
      </c>
      <c r="M4672" s="220">
        <v>15950</v>
      </c>
      <c r="N4672" s="220">
        <f>SUM(I4672:M4673)</f>
        <v>977110</v>
      </c>
      <c r="O4672" s="224"/>
      <c r="P4672" s="110" t="s">
        <v>14052</v>
      </c>
      <c r="Q4672" s="15" t="s">
        <v>19</v>
      </c>
      <c r="R4672" s="205"/>
      <c r="S4672" s="189"/>
      <c r="T4672" s="114"/>
      <c r="U4672" s="21"/>
      <c r="V4672" s="115">
        <v>46018</v>
      </c>
      <c r="W4672" s="116">
        <v>1282</v>
      </c>
      <c r="X4672" s="220">
        <v>980000</v>
      </c>
      <c r="Y4672" s="220">
        <f>X4672*0.1</f>
        <v>98000</v>
      </c>
      <c r="Z4672" s="220">
        <v>16260</v>
      </c>
      <c r="AA4672" s="220">
        <f>SUM(X4672:Z4672)</f>
        <v>1094260</v>
      </c>
      <c r="AB4672" s="222">
        <v>46028</v>
      </c>
    </row>
    <row r="4673" spans="1:28" ht="17.100000000000001" customHeight="1" thickBot="1">
      <c r="A4673" s="227"/>
      <c r="B4673" s="27" t="s">
        <v>2654</v>
      </c>
      <c r="C4673" s="27">
        <v>208</v>
      </c>
      <c r="D4673" s="14" t="s">
        <v>2559</v>
      </c>
      <c r="E4673" s="229"/>
      <c r="F4673" s="117" t="s">
        <v>13734</v>
      </c>
      <c r="G4673" s="26">
        <v>92106</v>
      </c>
      <c r="H4673" s="231"/>
      <c r="I4673" s="221"/>
      <c r="J4673" s="221"/>
      <c r="K4673" s="221"/>
      <c r="L4673" s="221"/>
      <c r="M4673" s="221"/>
      <c r="N4673" s="221"/>
      <c r="O4673" s="225"/>
      <c r="P4673" s="118" t="s">
        <v>3506</v>
      </c>
      <c r="Q4673" s="16" t="s">
        <v>20</v>
      </c>
      <c r="R4673" s="17" t="s">
        <v>14046</v>
      </c>
      <c r="S4673" s="121"/>
      <c r="T4673" s="122"/>
      <c r="U4673" s="22"/>
      <c r="V4673" s="123" t="s">
        <v>2472</v>
      </c>
      <c r="W4673" s="122">
        <v>180</v>
      </c>
      <c r="X4673" s="221"/>
      <c r="Y4673" s="221"/>
      <c r="Z4673" s="221"/>
      <c r="AA4673" s="221"/>
      <c r="AB4673" s="223"/>
    </row>
    <row r="4674" spans="1:28" ht="17.100000000000001" customHeight="1" thickTop="1">
      <c r="A4674" s="233" t="s">
        <v>13788</v>
      </c>
      <c r="B4674" s="28">
        <v>46014</v>
      </c>
      <c r="C4674" s="25">
        <v>921</v>
      </c>
      <c r="D4674" s="13" t="s">
        <v>1702</v>
      </c>
      <c r="E4674" s="228"/>
      <c r="F4674" s="109" t="s">
        <v>13735</v>
      </c>
      <c r="G4674" s="24"/>
      <c r="H4674" s="230">
        <v>4</v>
      </c>
      <c r="I4674" s="220">
        <v>601000</v>
      </c>
      <c r="J4674" s="220">
        <f>I4674*0.1</f>
        <v>60100</v>
      </c>
      <c r="K4674" s="220">
        <v>0</v>
      </c>
      <c r="L4674" s="220">
        <v>8550</v>
      </c>
      <c r="M4674" s="220">
        <v>15950</v>
      </c>
      <c r="N4674" s="220">
        <f>SUM(I4674:M4675)</f>
        <v>685600</v>
      </c>
      <c r="O4674" s="224"/>
      <c r="P4674" s="110" t="s">
        <v>14056</v>
      </c>
      <c r="Q4674" s="15" t="s">
        <v>19</v>
      </c>
      <c r="R4674" s="205"/>
      <c r="S4674" s="189"/>
      <c r="T4674" s="114"/>
      <c r="U4674" s="21"/>
      <c r="V4674" s="115">
        <v>46032</v>
      </c>
      <c r="W4674" s="116">
        <v>1283</v>
      </c>
      <c r="X4674" s="220">
        <v>705000</v>
      </c>
      <c r="Y4674" s="220">
        <v>70500</v>
      </c>
      <c r="Z4674" s="220">
        <v>8550</v>
      </c>
      <c r="AA4674" s="220">
        <f>SUM(X4674:Z4674)</f>
        <v>784050</v>
      </c>
      <c r="AB4674" s="222">
        <v>46036</v>
      </c>
    </row>
    <row r="4675" spans="1:28" ht="17.100000000000001" customHeight="1" thickBot="1">
      <c r="A4675" s="234"/>
      <c r="B4675" s="27" t="s">
        <v>2654</v>
      </c>
      <c r="C4675" s="27">
        <v>3035</v>
      </c>
      <c r="D4675" s="14" t="s">
        <v>1568</v>
      </c>
      <c r="E4675" s="229"/>
      <c r="F4675" s="117" t="s">
        <v>13736</v>
      </c>
      <c r="G4675" s="26">
        <v>51049</v>
      </c>
      <c r="H4675" s="231"/>
      <c r="I4675" s="221"/>
      <c r="J4675" s="221"/>
      <c r="K4675" s="221"/>
      <c r="L4675" s="221"/>
      <c r="M4675" s="221"/>
      <c r="N4675" s="221"/>
      <c r="O4675" s="225"/>
      <c r="P4675" s="118" t="s">
        <v>4842</v>
      </c>
      <c r="Q4675" s="16" t="s">
        <v>20</v>
      </c>
      <c r="R4675" s="17" t="s">
        <v>14046</v>
      </c>
      <c r="S4675" s="121" t="s">
        <v>4843</v>
      </c>
      <c r="T4675" s="122"/>
      <c r="U4675" s="22"/>
      <c r="V4675" s="123" t="s">
        <v>2472</v>
      </c>
      <c r="W4675" s="122">
        <v>60090</v>
      </c>
      <c r="X4675" s="221"/>
      <c r="Y4675" s="221"/>
      <c r="Z4675" s="221"/>
      <c r="AA4675" s="221"/>
      <c r="AB4675" s="223"/>
    </row>
    <row r="4676" spans="1:28" ht="17.100000000000001" customHeight="1" thickTop="1">
      <c r="A4676" s="233" t="s">
        <v>13789</v>
      </c>
      <c r="B4676" s="28">
        <v>46014</v>
      </c>
      <c r="C4676" s="25">
        <v>921</v>
      </c>
      <c r="D4676" s="13" t="s">
        <v>4213</v>
      </c>
      <c r="E4676" s="228"/>
      <c r="F4676" s="109" t="s">
        <v>13737</v>
      </c>
      <c r="G4676" s="24" t="s">
        <v>4120</v>
      </c>
      <c r="H4676" s="230">
        <v>4</v>
      </c>
      <c r="I4676" s="220">
        <v>1134000</v>
      </c>
      <c r="J4676" s="220">
        <f>I4676*0.1</f>
        <v>113400</v>
      </c>
      <c r="K4676" s="220">
        <v>0</v>
      </c>
      <c r="L4676" s="220">
        <v>6850</v>
      </c>
      <c r="M4676" s="220">
        <v>15950</v>
      </c>
      <c r="N4676" s="220">
        <f>SUM(I4676:M4677)</f>
        <v>1270200</v>
      </c>
      <c r="O4676" s="224"/>
      <c r="P4676" s="110" t="s">
        <v>13739</v>
      </c>
      <c r="Q4676" s="15" t="s">
        <v>19</v>
      </c>
      <c r="R4676" s="205"/>
      <c r="S4676" s="189" t="s">
        <v>1361</v>
      </c>
      <c r="T4676" s="114"/>
      <c r="U4676" s="21" t="s">
        <v>14579</v>
      </c>
      <c r="V4676" s="115">
        <v>46032</v>
      </c>
      <c r="W4676" s="116">
        <v>1283</v>
      </c>
      <c r="X4676" s="220">
        <v>1220000</v>
      </c>
      <c r="Y4676" s="220">
        <f>X4676*0.1</f>
        <v>122000</v>
      </c>
      <c r="Z4676" s="220">
        <v>6850</v>
      </c>
      <c r="AA4676" s="220">
        <f>SUM(X4676:Z4676)</f>
        <v>1348850</v>
      </c>
      <c r="AB4676" s="222">
        <v>46037</v>
      </c>
    </row>
    <row r="4677" spans="1:28" ht="17.100000000000001" customHeight="1" thickBot="1">
      <c r="A4677" s="234"/>
      <c r="B4677" s="27" t="s">
        <v>2654</v>
      </c>
      <c r="C4677" s="27">
        <v>3036</v>
      </c>
      <c r="D4677" s="14" t="s">
        <v>3955</v>
      </c>
      <c r="E4677" s="229"/>
      <c r="F4677" s="117" t="s">
        <v>13738</v>
      </c>
      <c r="G4677" s="26">
        <v>31446</v>
      </c>
      <c r="H4677" s="231"/>
      <c r="I4677" s="221"/>
      <c r="J4677" s="221"/>
      <c r="K4677" s="221"/>
      <c r="L4677" s="221"/>
      <c r="M4677" s="221"/>
      <c r="N4677" s="221"/>
      <c r="O4677" s="225"/>
      <c r="P4677" s="118" t="s">
        <v>14059</v>
      </c>
      <c r="Q4677" s="16" t="s">
        <v>20</v>
      </c>
      <c r="R4677" s="17" t="s">
        <v>14046</v>
      </c>
      <c r="S4677" s="121" t="s">
        <v>2360</v>
      </c>
      <c r="T4677" s="122"/>
      <c r="U4677" s="22"/>
      <c r="V4677" s="123" t="s">
        <v>2472</v>
      </c>
      <c r="W4677" s="122">
        <v>60295</v>
      </c>
      <c r="X4677" s="221"/>
      <c r="Y4677" s="221"/>
      <c r="Z4677" s="221"/>
      <c r="AA4677" s="221"/>
      <c r="AB4677" s="223"/>
    </row>
    <row r="4678" spans="1:28" ht="17.100000000000001" customHeight="1" thickTop="1">
      <c r="A4678" s="226" t="s">
        <v>13790</v>
      </c>
      <c r="B4678" s="28">
        <v>46014</v>
      </c>
      <c r="C4678" s="25">
        <v>921</v>
      </c>
      <c r="D4678" s="13" t="s">
        <v>2892</v>
      </c>
      <c r="E4678" s="228"/>
      <c r="F4678" s="109" t="s">
        <v>13740</v>
      </c>
      <c r="G4678" s="24" t="s">
        <v>2894</v>
      </c>
      <c r="H4678" s="230">
        <v>4</v>
      </c>
      <c r="I4678" s="220">
        <v>994000</v>
      </c>
      <c r="J4678" s="220">
        <f>I4678*0.1</f>
        <v>99400</v>
      </c>
      <c r="K4678" s="220">
        <v>0</v>
      </c>
      <c r="L4678" s="220">
        <v>9310</v>
      </c>
      <c r="M4678" s="220">
        <v>15950</v>
      </c>
      <c r="N4678" s="220">
        <f>SUM(I4678:M4679)</f>
        <v>1118660</v>
      </c>
      <c r="O4678" s="224"/>
      <c r="P4678" s="110" t="s">
        <v>13742</v>
      </c>
      <c r="Q4678" s="15" t="s">
        <v>19</v>
      </c>
      <c r="R4678" s="205"/>
      <c r="S4678" s="189" t="s">
        <v>25664</v>
      </c>
      <c r="T4678" s="114"/>
      <c r="U4678" s="21" t="s">
        <v>14743</v>
      </c>
      <c r="V4678" s="115">
        <v>46032</v>
      </c>
      <c r="W4678" s="116">
        <v>1283</v>
      </c>
      <c r="X4678" s="220">
        <v>1140000</v>
      </c>
      <c r="Y4678" s="220">
        <f>X4678*0.1</f>
        <v>114000</v>
      </c>
      <c r="Z4678" s="220">
        <v>9310</v>
      </c>
      <c r="AA4678" s="220">
        <f>SUM(X4678:Z4678)</f>
        <v>1263310</v>
      </c>
      <c r="AB4678" s="222">
        <v>46042</v>
      </c>
    </row>
    <row r="4679" spans="1:28" ht="17.100000000000001" customHeight="1" thickBot="1">
      <c r="A4679" s="227"/>
      <c r="B4679" s="27" t="s">
        <v>2654</v>
      </c>
      <c r="C4679" s="27">
        <v>3048</v>
      </c>
      <c r="D4679" s="14" t="s">
        <v>1568</v>
      </c>
      <c r="E4679" s="229"/>
      <c r="F4679" s="117" t="s">
        <v>13741</v>
      </c>
      <c r="G4679" s="26">
        <v>48070</v>
      </c>
      <c r="H4679" s="231"/>
      <c r="I4679" s="221"/>
      <c r="J4679" s="221"/>
      <c r="K4679" s="221"/>
      <c r="L4679" s="221"/>
      <c r="M4679" s="221"/>
      <c r="N4679" s="221"/>
      <c r="O4679" s="225"/>
      <c r="P4679" s="118" t="s">
        <v>14057</v>
      </c>
      <c r="Q4679" s="16" t="s">
        <v>20</v>
      </c>
      <c r="R4679" s="17" t="s">
        <v>14046</v>
      </c>
      <c r="S4679" s="121" t="s">
        <v>9723</v>
      </c>
      <c r="T4679" s="122"/>
      <c r="U4679" s="22"/>
      <c r="V4679" s="123" t="s">
        <v>6641</v>
      </c>
      <c r="W4679" s="122">
        <v>60247</v>
      </c>
      <c r="X4679" s="221"/>
      <c r="Y4679" s="221"/>
      <c r="Z4679" s="221"/>
      <c r="AA4679" s="221"/>
      <c r="AB4679" s="223"/>
    </row>
    <row r="4680" spans="1:28" ht="17.100000000000001" customHeight="1" thickTop="1">
      <c r="A4680" s="226" t="s">
        <v>13791</v>
      </c>
      <c r="B4680" s="28">
        <v>46014</v>
      </c>
      <c r="C4680" s="25">
        <v>921</v>
      </c>
      <c r="D4680" s="13" t="s">
        <v>3769</v>
      </c>
      <c r="E4680" s="228"/>
      <c r="F4680" s="109" t="s">
        <v>3958</v>
      </c>
      <c r="G4680" s="24" t="s">
        <v>2084</v>
      </c>
      <c r="H4680" s="230">
        <v>4</v>
      </c>
      <c r="I4680" s="220">
        <v>1095000</v>
      </c>
      <c r="J4680" s="220">
        <f>I4680*0.1</f>
        <v>109500</v>
      </c>
      <c r="K4680" s="220">
        <v>0</v>
      </c>
      <c r="L4680" s="220">
        <v>6830</v>
      </c>
      <c r="M4680" s="220">
        <v>15950</v>
      </c>
      <c r="N4680" s="220">
        <f>SUM(I4680:M4681)</f>
        <v>1227280</v>
      </c>
      <c r="O4680" s="224"/>
      <c r="P4680" s="110" t="s">
        <v>13744</v>
      </c>
      <c r="Q4680" s="15" t="s">
        <v>19</v>
      </c>
      <c r="R4680" s="205"/>
      <c r="S4680" s="189" t="s">
        <v>1322</v>
      </c>
      <c r="T4680" s="114"/>
      <c r="U4680" s="21"/>
      <c r="V4680" s="115">
        <v>46018</v>
      </c>
      <c r="W4680" s="116">
        <v>1282</v>
      </c>
      <c r="X4680" s="220">
        <v>1160000</v>
      </c>
      <c r="Y4680" s="220">
        <f>X4680*0.1</f>
        <v>116000</v>
      </c>
      <c r="Z4680" s="220">
        <v>6830</v>
      </c>
      <c r="AA4680" s="220">
        <f>SUM(X4680:Z4680)</f>
        <v>1282830</v>
      </c>
      <c r="AB4680" s="222">
        <v>46028</v>
      </c>
    </row>
    <row r="4681" spans="1:28" ht="17.100000000000001" customHeight="1" thickBot="1">
      <c r="A4681" s="227"/>
      <c r="B4681" s="27" t="s">
        <v>2654</v>
      </c>
      <c r="C4681" s="27">
        <v>3062</v>
      </c>
      <c r="D4681" s="14" t="s">
        <v>2788</v>
      </c>
      <c r="E4681" s="229"/>
      <c r="F4681" s="117" t="s">
        <v>13743</v>
      </c>
      <c r="G4681" s="26">
        <v>33492</v>
      </c>
      <c r="H4681" s="231"/>
      <c r="I4681" s="221"/>
      <c r="J4681" s="221"/>
      <c r="K4681" s="221"/>
      <c r="L4681" s="221"/>
      <c r="M4681" s="221"/>
      <c r="N4681" s="221"/>
      <c r="O4681" s="225"/>
      <c r="P4681" s="118" t="s">
        <v>14058</v>
      </c>
      <c r="Q4681" s="16" t="s">
        <v>20</v>
      </c>
      <c r="R4681" s="17" t="s">
        <v>14046</v>
      </c>
      <c r="S4681" s="121" t="s">
        <v>4035</v>
      </c>
      <c r="T4681" s="122"/>
      <c r="U4681" s="22"/>
      <c r="V4681" s="123" t="s">
        <v>2472</v>
      </c>
      <c r="W4681" s="122">
        <v>60389</v>
      </c>
      <c r="X4681" s="221"/>
      <c r="Y4681" s="221"/>
      <c r="Z4681" s="221"/>
      <c r="AA4681" s="221"/>
      <c r="AB4681" s="223"/>
    </row>
    <row r="4682" spans="1:28" ht="17.100000000000001" customHeight="1" thickTop="1">
      <c r="A4682" s="233" t="s">
        <v>13792</v>
      </c>
      <c r="B4682" s="28">
        <v>46014</v>
      </c>
      <c r="C4682" s="25">
        <v>1222</v>
      </c>
      <c r="D4682" s="13" t="s">
        <v>1607</v>
      </c>
      <c r="E4682" s="228"/>
      <c r="F4682" s="109" t="s">
        <v>13745</v>
      </c>
      <c r="G4682" s="24"/>
      <c r="H4682" s="230">
        <v>4.5</v>
      </c>
      <c r="I4682" s="220">
        <v>1820000</v>
      </c>
      <c r="J4682" s="220">
        <f>I4682*0.1</f>
        <v>182000</v>
      </c>
      <c r="K4682" s="220">
        <v>0</v>
      </c>
      <c r="L4682" s="220">
        <v>15790</v>
      </c>
      <c r="M4682" s="220">
        <v>15950</v>
      </c>
      <c r="N4682" s="220">
        <f>SUM(I4682:M4683)</f>
        <v>2033740</v>
      </c>
      <c r="O4682" s="224"/>
      <c r="P4682" s="110" t="s">
        <v>14045</v>
      </c>
      <c r="Q4682" s="15" t="s">
        <v>19</v>
      </c>
      <c r="R4682" s="205"/>
      <c r="S4682" s="189"/>
      <c r="T4682" s="114"/>
      <c r="U4682" s="21"/>
      <c r="V4682" s="115">
        <v>46032</v>
      </c>
      <c r="W4682" s="116">
        <v>1283</v>
      </c>
      <c r="X4682" s="220">
        <v>1970000</v>
      </c>
      <c r="Y4682" s="220">
        <f>X4682*0.1</f>
        <v>197000</v>
      </c>
      <c r="Z4682" s="220">
        <v>15790</v>
      </c>
      <c r="AA4682" s="220">
        <f>SUM(X4682:Z4682)</f>
        <v>2182790</v>
      </c>
      <c r="AB4682" s="222">
        <v>46036</v>
      </c>
    </row>
    <row r="4683" spans="1:28" ht="17.100000000000001" customHeight="1" thickBot="1">
      <c r="A4683" s="234"/>
      <c r="B4683" s="27" t="s">
        <v>2344</v>
      </c>
      <c r="C4683" s="27">
        <v>5036</v>
      </c>
      <c r="D4683" s="14" t="s">
        <v>1584</v>
      </c>
      <c r="E4683" s="229"/>
      <c r="F4683" s="117" t="s">
        <v>13746</v>
      </c>
      <c r="G4683" s="26">
        <v>40374</v>
      </c>
      <c r="H4683" s="231"/>
      <c r="I4683" s="221"/>
      <c r="J4683" s="221"/>
      <c r="K4683" s="221"/>
      <c r="L4683" s="221"/>
      <c r="M4683" s="221"/>
      <c r="N4683" s="221"/>
      <c r="O4683" s="225"/>
      <c r="P4683" s="118" t="s">
        <v>5183</v>
      </c>
      <c r="Q4683" s="16" t="s">
        <v>20</v>
      </c>
      <c r="R4683" s="17" t="s">
        <v>14046</v>
      </c>
      <c r="S4683" s="121" t="s">
        <v>5222</v>
      </c>
      <c r="T4683" s="122"/>
      <c r="U4683" s="22"/>
      <c r="V4683" s="123" t="s">
        <v>2472</v>
      </c>
      <c r="W4683" s="122">
        <v>80054</v>
      </c>
      <c r="X4683" s="221"/>
      <c r="Y4683" s="221"/>
      <c r="Z4683" s="221"/>
      <c r="AA4683" s="221"/>
      <c r="AB4683" s="223"/>
    </row>
    <row r="4684" spans="1:28" ht="17.100000000000001" customHeight="1" thickTop="1">
      <c r="A4684" s="233" t="s">
        <v>13793</v>
      </c>
      <c r="B4684" s="28">
        <v>46014</v>
      </c>
      <c r="C4684" s="25">
        <v>1222</v>
      </c>
      <c r="D4684" s="13" t="s">
        <v>2264</v>
      </c>
      <c r="E4684" s="228"/>
      <c r="F4684" s="109" t="s">
        <v>13747</v>
      </c>
      <c r="G4684" s="24"/>
      <c r="H4684" s="230">
        <v>4</v>
      </c>
      <c r="I4684" s="220">
        <v>1291000</v>
      </c>
      <c r="J4684" s="220">
        <f>I4684*0.1</f>
        <v>129100</v>
      </c>
      <c r="K4684" s="220">
        <v>0</v>
      </c>
      <c r="L4684" s="220">
        <v>20170</v>
      </c>
      <c r="M4684" s="220">
        <v>15950</v>
      </c>
      <c r="N4684" s="220">
        <f>SUM(I4684:M4685)</f>
        <v>1456220</v>
      </c>
      <c r="O4684" s="224"/>
      <c r="P4684" s="110" t="s">
        <v>14047</v>
      </c>
      <c r="Q4684" s="15" t="s">
        <v>19</v>
      </c>
      <c r="R4684" s="205"/>
      <c r="S4684" s="189" t="s">
        <v>25451</v>
      </c>
      <c r="T4684" s="114"/>
      <c r="U4684" s="21"/>
      <c r="V4684" s="115">
        <v>46039</v>
      </c>
      <c r="W4684" s="116">
        <v>1284</v>
      </c>
      <c r="X4684" s="220">
        <v>1455000</v>
      </c>
      <c r="Y4684" s="220">
        <f>X4684*0.1</f>
        <v>145500</v>
      </c>
      <c r="Z4684" s="220">
        <v>20170</v>
      </c>
      <c r="AA4684" s="220">
        <f>SUM(X4684:Z4684)</f>
        <v>1620670</v>
      </c>
      <c r="AB4684" s="222">
        <v>46042</v>
      </c>
    </row>
    <row r="4685" spans="1:28" ht="17.100000000000001" customHeight="1" thickBot="1">
      <c r="A4685" s="234"/>
      <c r="B4685" s="27" t="s">
        <v>2344</v>
      </c>
      <c r="C4685" s="27">
        <v>5044</v>
      </c>
      <c r="D4685" s="14" t="s">
        <v>273</v>
      </c>
      <c r="E4685" s="229"/>
      <c r="F4685" s="117" t="s">
        <v>13748</v>
      </c>
      <c r="G4685" s="26">
        <v>24069</v>
      </c>
      <c r="H4685" s="231"/>
      <c r="I4685" s="221"/>
      <c r="J4685" s="221"/>
      <c r="K4685" s="221"/>
      <c r="L4685" s="221"/>
      <c r="M4685" s="221"/>
      <c r="N4685" s="221"/>
      <c r="O4685" s="225"/>
      <c r="P4685" s="118" t="s">
        <v>14048</v>
      </c>
      <c r="Q4685" s="16" t="s">
        <v>20</v>
      </c>
      <c r="R4685" s="17" t="s">
        <v>14046</v>
      </c>
      <c r="S4685" s="121" t="s">
        <v>4544</v>
      </c>
      <c r="T4685" s="122"/>
      <c r="U4685" s="22"/>
      <c r="V4685" s="123" t="s">
        <v>2472</v>
      </c>
      <c r="W4685" s="122">
        <v>80123</v>
      </c>
      <c r="X4685" s="221"/>
      <c r="Y4685" s="221"/>
      <c r="Z4685" s="221"/>
      <c r="AA4685" s="221"/>
      <c r="AB4685" s="223"/>
    </row>
    <row r="4686" spans="1:28" ht="17.100000000000001" customHeight="1" thickTop="1">
      <c r="A4686" s="226" t="s">
        <v>13794</v>
      </c>
      <c r="B4686" s="28">
        <v>46014</v>
      </c>
      <c r="C4686" s="25">
        <v>971</v>
      </c>
      <c r="D4686" s="13" t="s">
        <v>2264</v>
      </c>
      <c r="E4686" s="228"/>
      <c r="F4686" s="109" t="s">
        <v>13820</v>
      </c>
      <c r="G4686" s="24"/>
      <c r="H4686" s="230">
        <v>4</v>
      </c>
      <c r="I4686" s="220">
        <v>558000</v>
      </c>
      <c r="J4686" s="220">
        <f>I4686*0.1</f>
        <v>55800</v>
      </c>
      <c r="K4686" s="220">
        <v>0</v>
      </c>
      <c r="L4686" s="220">
        <v>6470</v>
      </c>
      <c r="M4686" s="220">
        <v>22000</v>
      </c>
      <c r="N4686" s="220">
        <f>SUM(I4686:M4687)</f>
        <v>642270</v>
      </c>
      <c r="O4686" s="224"/>
      <c r="P4686" s="110" t="s">
        <v>14289</v>
      </c>
      <c r="Q4686" s="15" t="s">
        <v>19</v>
      </c>
      <c r="R4686" s="205"/>
      <c r="S4686" s="189" t="s">
        <v>25387</v>
      </c>
      <c r="T4686" s="114"/>
      <c r="U4686" s="21"/>
      <c r="V4686" s="115">
        <v>46035</v>
      </c>
      <c r="W4686" s="116">
        <v>1924</v>
      </c>
      <c r="X4686" s="220">
        <v>694000</v>
      </c>
      <c r="Y4686" s="220">
        <f>X4686*0.1</f>
        <v>69400</v>
      </c>
      <c r="Z4686" s="220">
        <v>6470</v>
      </c>
      <c r="AA4686" s="220">
        <f>SUM(X4686:Z4686)</f>
        <v>769870</v>
      </c>
      <c r="AB4686" s="222"/>
    </row>
    <row r="4687" spans="1:28" ht="17.100000000000001" customHeight="1" thickBot="1">
      <c r="A4687" s="227"/>
      <c r="B4687" s="27" t="s">
        <v>2029</v>
      </c>
      <c r="C4687" s="27">
        <v>95</v>
      </c>
      <c r="D4687" s="14" t="s">
        <v>1584</v>
      </c>
      <c r="E4687" s="229"/>
      <c r="F4687" s="117" t="s">
        <v>13804</v>
      </c>
      <c r="G4687" s="26">
        <v>50446</v>
      </c>
      <c r="H4687" s="231"/>
      <c r="I4687" s="221"/>
      <c r="J4687" s="221"/>
      <c r="K4687" s="221"/>
      <c r="L4687" s="221"/>
      <c r="M4687" s="221"/>
      <c r="N4687" s="221"/>
      <c r="O4687" s="225"/>
      <c r="P4687" s="118" t="s">
        <v>2446</v>
      </c>
      <c r="Q4687" s="16" t="s">
        <v>20</v>
      </c>
      <c r="R4687" s="17" t="s">
        <v>3857</v>
      </c>
      <c r="S4687" s="121" t="s">
        <v>8880</v>
      </c>
      <c r="T4687" s="122"/>
      <c r="U4687" s="22"/>
      <c r="V4687" s="123" t="s">
        <v>2103</v>
      </c>
      <c r="W4687" s="122">
        <v>3415</v>
      </c>
      <c r="X4687" s="221"/>
      <c r="Y4687" s="221"/>
      <c r="Z4687" s="221"/>
      <c r="AA4687" s="221"/>
      <c r="AB4687" s="223"/>
    </row>
    <row r="4688" spans="1:28" ht="17.100000000000001" customHeight="1" thickTop="1">
      <c r="A4688" s="233" t="s">
        <v>13795</v>
      </c>
      <c r="B4688" s="28">
        <v>46014</v>
      </c>
      <c r="C4688" s="25">
        <v>971</v>
      </c>
      <c r="D4688" s="13" t="s">
        <v>2264</v>
      </c>
      <c r="E4688" s="228"/>
      <c r="F4688" s="109" t="s">
        <v>5101</v>
      </c>
      <c r="G4688" s="24"/>
      <c r="H4688" s="230">
        <v>3.5</v>
      </c>
      <c r="I4688" s="220">
        <v>338000</v>
      </c>
      <c r="J4688" s="220">
        <f>I4688*0.1</f>
        <v>33800</v>
      </c>
      <c r="K4688" s="220">
        <v>0</v>
      </c>
      <c r="L4688" s="220">
        <v>7140</v>
      </c>
      <c r="M4688" s="220">
        <v>22000</v>
      </c>
      <c r="N4688" s="220">
        <f>SUM(I4688:M4689)</f>
        <v>400940</v>
      </c>
      <c r="O4688" s="224"/>
      <c r="P4688" s="110" t="s">
        <v>14288</v>
      </c>
      <c r="Q4688" s="15" t="s">
        <v>19</v>
      </c>
      <c r="R4688" s="205"/>
      <c r="S4688" s="189" t="s">
        <v>25387</v>
      </c>
      <c r="T4688" s="114"/>
      <c r="U4688" s="21"/>
      <c r="V4688" s="115">
        <v>46039</v>
      </c>
      <c r="W4688" s="116">
        <v>1284</v>
      </c>
      <c r="X4688" s="220">
        <v>420000</v>
      </c>
      <c r="Y4688" s="220">
        <f>X4688*0.1</f>
        <v>42000</v>
      </c>
      <c r="Z4688" s="220">
        <v>7140</v>
      </c>
      <c r="AA4688" s="220">
        <f>SUM(X4688:Z4688)</f>
        <v>469140</v>
      </c>
      <c r="AB4688" s="222">
        <v>46042</v>
      </c>
    </row>
    <row r="4689" spans="1:28" ht="17.100000000000001" customHeight="1" thickBot="1">
      <c r="A4689" s="234"/>
      <c r="B4689" s="27" t="s">
        <v>2029</v>
      </c>
      <c r="C4689" s="27">
        <v>208</v>
      </c>
      <c r="D4689" s="14" t="s">
        <v>1584</v>
      </c>
      <c r="E4689" s="229"/>
      <c r="F4689" s="117" t="s">
        <v>13805</v>
      </c>
      <c r="G4689" s="26">
        <v>39836</v>
      </c>
      <c r="H4689" s="231"/>
      <c r="I4689" s="221"/>
      <c r="J4689" s="221"/>
      <c r="K4689" s="221"/>
      <c r="L4689" s="221"/>
      <c r="M4689" s="221"/>
      <c r="N4689" s="221"/>
      <c r="O4689" s="225"/>
      <c r="P4689" s="118" t="s">
        <v>2446</v>
      </c>
      <c r="Q4689" s="16" t="s">
        <v>20</v>
      </c>
      <c r="R4689" s="17" t="s">
        <v>3857</v>
      </c>
      <c r="S4689" s="121" t="s">
        <v>11197</v>
      </c>
      <c r="T4689" s="122"/>
      <c r="U4689" s="22"/>
      <c r="V4689" s="123" t="s">
        <v>2472</v>
      </c>
      <c r="W4689" s="122">
        <v>62066</v>
      </c>
      <c r="X4689" s="221"/>
      <c r="Y4689" s="221"/>
      <c r="Z4689" s="221"/>
      <c r="AA4689" s="221"/>
      <c r="AB4689" s="223"/>
    </row>
    <row r="4690" spans="1:28" ht="17.100000000000001" customHeight="1" thickTop="1">
      <c r="A4690" s="226" t="s">
        <v>13796</v>
      </c>
      <c r="B4690" s="28">
        <v>46014</v>
      </c>
      <c r="C4690" s="25">
        <v>971</v>
      </c>
      <c r="D4690" s="13" t="s">
        <v>2564</v>
      </c>
      <c r="E4690" s="228"/>
      <c r="F4690" s="109" t="s">
        <v>13821</v>
      </c>
      <c r="G4690" s="24"/>
      <c r="H4690" s="230">
        <v>4</v>
      </c>
      <c r="I4690" s="220">
        <v>829000</v>
      </c>
      <c r="J4690" s="220">
        <f>I4690*0.1</f>
        <v>82900</v>
      </c>
      <c r="K4690" s="220">
        <v>0</v>
      </c>
      <c r="L4690" s="220">
        <v>7590</v>
      </c>
      <c r="M4690" s="220">
        <v>22000</v>
      </c>
      <c r="N4690" s="220">
        <f>SUM(I4690:M4691)</f>
        <v>941490</v>
      </c>
      <c r="O4690" s="224"/>
      <c r="P4690" s="110" t="s">
        <v>14287</v>
      </c>
      <c r="Q4690" s="15" t="s">
        <v>19</v>
      </c>
      <c r="R4690" s="205"/>
      <c r="S4690" s="189" t="s">
        <v>25491</v>
      </c>
      <c r="T4690" s="114"/>
      <c r="U4690" s="21"/>
      <c r="V4690" s="115">
        <v>46035</v>
      </c>
      <c r="W4690" s="116">
        <v>1924</v>
      </c>
      <c r="X4690" s="220">
        <v>867000</v>
      </c>
      <c r="Y4690" s="220">
        <f>X4690*0.1</f>
        <v>86700</v>
      </c>
      <c r="Z4690" s="220">
        <v>7590</v>
      </c>
      <c r="AA4690" s="220">
        <f>SUM(X4690:Z4690)</f>
        <v>961290</v>
      </c>
      <c r="AB4690" s="222"/>
    </row>
    <row r="4691" spans="1:28" ht="17.100000000000001" customHeight="1" thickBot="1">
      <c r="A4691" s="227"/>
      <c r="B4691" s="27" t="s">
        <v>2029</v>
      </c>
      <c r="C4691" s="27">
        <v>1038</v>
      </c>
      <c r="D4691" s="14" t="s">
        <v>273</v>
      </c>
      <c r="E4691" s="229"/>
      <c r="F4691" s="117" t="s">
        <v>13806</v>
      </c>
      <c r="G4691" s="26">
        <v>45462</v>
      </c>
      <c r="H4691" s="231"/>
      <c r="I4691" s="221"/>
      <c r="J4691" s="221"/>
      <c r="K4691" s="221"/>
      <c r="L4691" s="221"/>
      <c r="M4691" s="221"/>
      <c r="N4691" s="221"/>
      <c r="O4691" s="225"/>
      <c r="P4691" s="118" t="s">
        <v>4946</v>
      </c>
      <c r="Q4691" s="16" t="s">
        <v>20</v>
      </c>
      <c r="R4691" s="17" t="s">
        <v>3857</v>
      </c>
      <c r="S4691" s="121" t="s">
        <v>14269</v>
      </c>
      <c r="T4691" s="122"/>
      <c r="U4691" s="22"/>
      <c r="V4691" s="123" t="s">
        <v>2103</v>
      </c>
      <c r="W4691" s="122">
        <v>3417</v>
      </c>
      <c r="X4691" s="221"/>
      <c r="Y4691" s="221"/>
      <c r="Z4691" s="221"/>
      <c r="AA4691" s="221"/>
      <c r="AB4691" s="223"/>
    </row>
    <row r="4692" spans="1:28" ht="17.100000000000001" customHeight="1" thickTop="1">
      <c r="A4692" s="233" t="s">
        <v>13797</v>
      </c>
      <c r="B4692" s="28">
        <v>46014</v>
      </c>
      <c r="C4692" s="25">
        <v>971</v>
      </c>
      <c r="D4692" s="13" t="s">
        <v>2564</v>
      </c>
      <c r="E4692" s="228"/>
      <c r="F4692" s="109" t="s">
        <v>13822</v>
      </c>
      <c r="G4692" s="24"/>
      <c r="H4692" s="230">
        <v>4.5</v>
      </c>
      <c r="I4692" s="220">
        <v>752000</v>
      </c>
      <c r="J4692" s="220">
        <f>I4692*0.1</f>
        <v>75200</v>
      </c>
      <c r="K4692" s="220">
        <v>0</v>
      </c>
      <c r="L4692" s="220">
        <v>20170</v>
      </c>
      <c r="M4692" s="220">
        <v>22000</v>
      </c>
      <c r="N4692" s="220">
        <f>SUM(I4692:M4693)</f>
        <v>869370</v>
      </c>
      <c r="O4692" s="224"/>
      <c r="P4692" s="110" t="s">
        <v>14268</v>
      </c>
      <c r="Q4692" s="15" t="s">
        <v>19</v>
      </c>
      <c r="R4692" s="205"/>
      <c r="S4692" s="189" t="s">
        <v>25491</v>
      </c>
      <c r="T4692" s="114"/>
      <c r="U4692" s="21"/>
      <c r="V4692" s="115">
        <v>46039</v>
      </c>
      <c r="W4692" s="116">
        <v>1284</v>
      </c>
      <c r="X4692" s="220">
        <v>870000</v>
      </c>
      <c r="Y4692" s="220">
        <f>X4692*0.1</f>
        <v>87000</v>
      </c>
      <c r="Z4692" s="220">
        <v>20170</v>
      </c>
      <c r="AA4692" s="220">
        <f>SUM(X4692:Z4692)</f>
        <v>977170</v>
      </c>
      <c r="AB4692" s="222">
        <v>46042</v>
      </c>
    </row>
    <row r="4693" spans="1:28" ht="17.100000000000001" customHeight="1" thickBot="1">
      <c r="A4693" s="234"/>
      <c r="B4693" s="27" t="s">
        <v>2029</v>
      </c>
      <c r="C4693" s="27">
        <v>1024</v>
      </c>
      <c r="D4693" s="14" t="s">
        <v>1584</v>
      </c>
      <c r="E4693" s="229"/>
      <c r="F4693" s="117" t="s">
        <v>13949</v>
      </c>
      <c r="G4693" s="26">
        <v>34550</v>
      </c>
      <c r="H4693" s="231"/>
      <c r="I4693" s="221"/>
      <c r="J4693" s="221"/>
      <c r="K4693" s="221"/>
      <c r="L4693" s="221"/>
      <c r="M4693" s="221"/>
      <c r="N4693" s="221"/>
      <c r="O4693" s="225"/>
      <c r="P4693" s="118" t="s">
        <v>4946</v>
      </c>
      <c r="Q4693" s="16" t="s">
        <v>20</v>
      </c>
      <c r="R4693" s="17" t="s">
        <v>3857</v>
      </c>
      <c r="S4693" s="121" t="s">
        <v>9586</v>
      </c>
      <c r="T4693" s="122"/>
      <c r="U4693" s="22"/>
      <c r="V4693" s="123" t="s">
        <v>2472</v>
      </c>
      <c r="W4693" s="122">
        <v>80100</v>
      </c>
      <c r="X4693" s="221"/>
      <c r="Y4693" s="221"/>
      <c r="Z4693" s="221"/>
      <c r="AA4693" s="221"/>
      <c r="AB4693" s="223"/>
    </row>
    <row r="4694" spans="1:28" ht="17.100000000000001" customHeight="1" thickTop="1">
      <c r="A4694" s="233" t="s">
        <v>13798</v>
      </c>
      <c r="B4694" s="28">
        <v>46014</v>
      </c>
      <c r="C4694" s="25">
        <v>1270</v>
      </c>
      <c r="D4694" s="13" t="s">
        <v>2324</v>
      </c>
      <c r="E4694" s="228"/>
      <c r="F4694" s="109" t="s">
        <v>1854</v>
      </c>
      <c r="G4694" s="24"/>
      <c r="H4694" s="230">
        <v>5</v>
      </c>
      <c r="I4694" s="220">
        <v>1779000</v>
      </c>
      <c r="J4694" s="220">
        <f>I4694*0.1</f>
        <v>177900</v>
      </c>
      <c r="K4694" s="220">
        <v>0</v>
      </c>
      <c r="L4694" s="220">
        <v>16240</v>
      </c>
      <c r="M4694" s="220">
        <v>18150</v>
      </c>
      <c r="N4694" s="220">
        <f>SUM(I4694:M4695)</f>
        <v>1991290</v>
      </c>
      <c r="O4694" s="224"/>
      <c r="P4694" s="110" t="s">
        <v>14100</v>
      </c>
      <c r="Q4694" s="15" t="s">
        <v>19</v>
      </c>
      <c r="R4694" s="205"/>
      <c r="S4694" s="189" t="s">
        <v>1306</v>
      </c>
      <c r="T4694" s="114"/>
      <c r="U4694" s="21"/>
      <c r="V4694" s="115">
        <v>46032</v>
      </c>
      <c r="W4694" s="116">
        <v>1283</v>
      </c>
      <c r="X4694" s="220">
        <v>1925000</v>
      </c>
      <c r="Y4694" s="220">
        <f>X4694*0.1</f>
        <v>192500</v>
      </c>
      <c r="Z4694" s="220">
        <v>16240</v>
      </c>
      <c r="AA4694" s="220">
        <f>SUM(X4694:Z4694)</f>
        <v>2133740</v>
      </c>
      <c r="AB4694" s="222">
        <v>46036</v>
      </c>
    </row>
    <row r="4695" spans="1:28" ht="17.100000000000001" customHeight="1" thickBot="1">
      <c r="A4695" s="234"/>
      <c r="B4695" s="27" t="s">
        <v>7351</v>
      </c>
      <c r="C4695" s="27">
        <v>38004</v>
      </c>
      <c r="D4695" s="14" t="s">
        <v>1710</v>
      </c>
      <c r="E4695" s="229"/>
      <c r="F4695" s="117" t="s">
        <v>13808</v>
      </c>
      <c r="G4695" s="26">
        <v>29597</v>
      </c>
      <c r="H4695" s="231"/>
      <c r="I4695" s="221"/>
      <c r="J4695" s="221"/>
      <c r="K4695" s="221"/>
      <c r="L4695" s="221"/>
      <c r="M4695" s="221"/>
      <c r="N4695" s="221"/>
      <c r="O4695" s="225"/>
      <c r="P4695" s="118" t="s">
        <v>2870</v>
      </c>
      <c r="Q4695" s="16" t="s">
        <v>20</v>
      </c>
      <c r="R4695" s="17" t="s">
        <v>14101</v>
      </c>
      <c r="S4695" s="126" t="s">
        <v>1315</v>
      </c>
      <c r="T4695" s="122"/>
      <c r="U4695" s="22"/>
      <c r="V4695" s="123" t="s">
        <v>2472</v>
      </c>
      <c r="W4695" s="122">
        <v>80148</v>
      </c>
      <c r="X4695" s="221"/>
      <c r="Y4695" s="221"/>
      <c r="Z4695" s="221"/>
      <c r="AA4695" s="221"/>
      <c r="AB4695" s="223"/>
    </row>
    <row r="4696" spans="1:28" ht="17.100000000000001" customHeight="1" thickTop="1">
      <c r="A4696" s="226" t="s">
        <v>13799</v>
      </c>
      <c r="B4696" s="28">
        <v>46014</v>
      </c>
      <c r="C4696" s="25">
        <v>1270</v>
      </c>
      <c r="D4696" s="13" t="s">
        <v>1754</v>
      </c>
      <c r="E4696" s="228"/>
      <c r="F4696" s="109" t="s">
        <v>13823</v>
      </c>
      <c r="G4696" s="24" t="s">
        <v>2494</v>
      </c>
      <c r="H4696" s="230">
        <v>4.5</v>
      </c>
      <c r="I4696" s="220">
        <v>927000</v>
      </c>
      <c r="J4696" s="220">
        <f>I4696*0.1</f>
        <v>92700</v>
      </c>
      <c r="K4696" s="220">
        <f>9800+980</f>
        <v>10780</v>
      </c>
      <c r="L4696" s="220">
        <v>20310</v>
      </c>
      <c r="M4696" s="220">
        <v>18150</v>
      </c>
      <c r="N4696" s="220">
        <f>SUM(I4696:M4697)</f>
        <v>1068940</v>
      </c>
      <c r="O4696" s="224"/>
      <c r="P4696" s="110" t="s">
        <v>14228</v>
      </c>
      <c r="Q4696" s="15" t="s">
        <v>19</v>
      </c>
      <c r="R4696" s="205"/>
      <c r="S4696" s="189"/>
      <c r="T4696" s="114"/>
      <c r="U4696" s="21"/>
      <c r="V4696" s="115">
        <v>46046</v>
      </c>
      <c r="W4696" s="116">
        <v>1285</v>
      </c>
      <c r="X4696" s="220">
        <v>1100000</v>
      </c>
      <c r="Y4696" s="220">
        <f>X4696*0.1</f>
        <v>110000</v>
      </c>
      <c r="Z4696" s="220">
        <v>20310</v>
      </c>
      <c r="AA4696" s="220">
        <f>SUM(X4696:Z4696)</f>
        <v>1230310</v>
      </c>
      <c r="AB4696" s="222">
        <v>46049</v>
      </c>
    </row>
    <row r="4697" spans="1:28" ht="17.100000000000001" customHeight="1" thickBot="1">
      <c r="A4697" s="227"/>
      <c r="B4697" s="27" t="s">
        <v>7351</v>
      </c>
      <c r="C4697" s="27">
        <v>38041</v>
      </c>
      <c r="D4697" s="14" t="s">
        <v>1584</v>
      </c>
      <c r="E4697" s="229"/>
      <c r="F4697" s="117" t="s">
        <v>13809</v>
      </c>
      <c r="G4697" s="26">
        <v>40363</v>
      </c>
      <c r="H4697" s="231"/>
      <c r="I4697" s="221"/>
      <c r="J4697" s="221"/>
      <c r="K4697" s="221"/>
      <c r="L4697" s="221"/>
      <c r="M4697" s="221"/>
      <c r="N4697" s="221"/>
      <c r="O4697" s="225"/>
      <c r="P4697" s="118" t="s">
        <v>14229</v>
      </c>
      <c r="Q4697" s="16" t="s">
        <v>20</v>
      </c>
      <c r="R4697" s="17" t="s">
        <v>1953</v>
      </c>
      <c r="S4697" s="121" t="s">
        <v>3734</v>
      </c>
      <c r="T4697" s="122"/>
      <c r="U4697" s="22"/>
      <c r="V4697" s="123" t="s">
        <v>2472</v>
      </c>
      <c r="W4697" s="122">
        <v>80076</v>
      </c>
      <c r="X4697" s="221"/>
      <c r="Y4697" s="221"/>
      <c r="Z4697" s="221"/>
      <c r="AA4697" s="221"/>
      <c r="AB4697" s="223"/>
    </row>
    <row r="4698" spans="1:28" ht="17.100000000000001" customHeight="1" thickTop="1">
      <c r="A4698" s="226" t="s">
        <v>13800</v>
      </c>
      <c r="B4698" s="28">
        <v>46015</v>
      </c>
      <c r="C4698" s="25"/>
      <c r="D4698" s="13" t="s">
        <v>2811</v>
      </c>
      <c r="E4698" s="228"/>
      <c r="F4698" s="109" t="s">
        <v>4214</v>
      </c>
      <c r="G4698" s="24" t="s">
        <v>9136</v>
      </c>
      <c r="H4698" s="230">
        <v>4.5</v>
      </c>
      <c r="I4698" s="220">
        <v>960000</v>
      </c>
      <c r="J4698" s="220">
        <f>I4698*0.1</f>
        <v>96000</v>
      </c>
      <c r="K4698" s="220">
        <f>15000</f>
        <v>15000</v>
      </c>
      <c r="L4698" s="220">
        <v>9200</v>
      </c>
      <c r="M4698" s="220">
        <v>16500</v>
      </c>
      <c r="N4698" s="220">
        <f>SUM(I4698:M4699)</f>
        <v>1096700</v>
      </c>
      <c r="O4698" s="224"/>
      <c r="P4698" s="110" t="s">
        <v>14062</v>
      </c>
      <c r="Q4698" s="15" t="s">
        <v>19</v>
      </c>
      <c r="R4698" s="205"/>
      <c r="S4698" s="189" t="s">
        <v>25665</v>
      </c>
      <c r="T4698" s="114"/>
      <c r="U4698" s="21"/>
      <c r="V4698" s="115">
        <v>46383</v>
      </c>
      <c r="W4698" s="116">
        <v>1282</v>
      </c>
      <c r="X4698" s="220">
        <v>1050000</v>
      </c>
      <c r="Y4698" s="220">
        <f>X4698*0.1</f>
        <v>105000</v>
      </c>
      <c r="Z4698" s="220">
        <v>9200</v>
      </c>
      <c r="AA4698" s="220">
        <f>SUM(X4698:Z4698)</f>
        <v>1164200</v>
      </c>
      <c r="AB4698" s="222">
        <v>46036</v>
      </c>
    </row>
    <row r="4699" spans="1:28" ht="17.100000000000001" customHeight="1" thickBot="1">
      <c r="A4699" s="227"/>
      <c r="B4699" s="27" t="s">
        <v>3367</v>
      </c>
      <c r="C4699" s="27">
        <v>20151</v>
      </c>
      <c r="D4699" s="14" t="s">
        <v>1568</v>
      </c>
      <c r="E4699" s="229"/>
      <c r="F4699" s="117" t="s">
        <v>13810</v>
      </c>
      <c r="G4699" s="26">
        <v>33458</v>
      </c>
      <c r="H4699" s="231"/>
      <c r="I4699" s="221"/>
      <c r="J4699" s="221"/>
      <c r="K4699" s="221"/>
      <c r="L4699" s="221"/>
      <c r="M4699" s="221"/>
      <c r="N4699" s="221"/>
      <c r="O4699" s="225"/>
      <c r="P4699" s="118" t="s">
        <v>14063</v>
      </c>
      <c r="Q4699" s="16" t="s">
        <v>20</v>
      </c>
      <c r="R4699" s="17" t="s">
        <v>14046</v>
      </c>
      <c r="S4699" s="121" t="s">
        <v>14064</v>
      </c>
      <c r="T4699" s="122"/>
      <c r="U4699" s="22"/>
      <c r="V4699" s="123" t="s">
        <v>6641</v>
      </c>
      <c r="W4699" s="122">
        <v>60371</v>
      </c>
      <c r="X4699" s="221"/>
      <c r="Y4699" s="221"/>
      <c r="Z4699" s="221"/>
      <c r="AA4699" s="221"/>
      <c r="AB4699" s="223"/>
    </row>
    <row r="4700" spans="1:28" ht="17.100000000000001" customHeight="1" thickTop="1">
      <c r="A4700" s="226" t="s">
        <v>13801</v>
      </c>
      <c r="B4700" s="28">
        <v>46015</v>
      </c>
      <c r="C4700" s="25"/>
      <c r="D4700" s="13" t="s">
        <v>1676</v>
      </c>
      <c r="E4700" s="228"/>
      <c r="F4700" s="109" t="s">
        <v>8562</v>
      </c>
      <c r="G4700" s="24" t="s">
        <v>1551</v>
      </c>
      <c r="H4700" s="230">
        <v>4.5</v>
      </c>
      <c r="I4700" s="220">
        <v>935000</v>
      </c>
      <c r="J4700" s="220">
        <f>I4700*0.1</f>
        <v>93500</v>
      </c>
      <c r="K4700" s="220">
        <f>8600+860</f>
        <v>9460</v>
      </c>
      <c r="L4700" s="220">
        <v>10780</v>
      </c>
      <c r="M4700" s="220">
        <v>16500</v>
      </c>
      <c r="N4700" s="220">
        <f>SUM(I4700:M4701)</f>
        <v>1065240</v>
      </c>
      <c r="O4700" s="224"/>
      <c r="P4700" s="110" t="s">
        <v>14065</v>
      </c>
      <c r="Q4700" s="15" t="s">
        <v>19</v>
      </c>
      <c r="R4700" s="205"/>
      <c r="S4700" s="189" t="s">
        <v>25666</v>
      </c>
      <c r="T4700" s="114"/>
      <c r="U4700" s="21" t="s">
        <v>15016</v>
      </c>
      <c r="V4700" s="115">
        <v>46057</v>
      </c>
      <c r="W4700" s="116">
        <v>1003</v>
      </c>
      <c r="X4700" s="220">
        <v>1000000</v>
      </c>
      <c r="Y4700" s="220">
        <f>X4700*0.1</f>
        <v>100000</v>
      </c>
      <c r="Z4700" s="220">
        <v>10780</v>
      </c>
      <c r="AA4700" s="220">
        <f>SUM(X4700:Z4700)</f>
        <v>1110780</v>
      </c>
      <c r="AB4700" s="222">
        <v>46065</v>
      </c>
    </row>
    <row r="4701" spans="1:28" ht="17.100000000000001" customHeight="1" thickBot="1">
      <c r="A4701" s="227"/>
      <c r="B4701" s="27" t="s">
        <v>3367</v>
      </c>
      <c r="C4701" s="27">
        <v>60007</v>
      </c>
      <c r="D4701" s="14" t="s">
        <v>7144</v>
      </c>
      <c r="E4701" s="229"/>
      <c r="F4701" s="117" t="s">
        <v>13811</v>
      </c>
      <c r="G4701" s="26">
        <v>50406</v>
      </c>
      <c r="H4701" s="231"/>
      <c r="I4701" s="221"/>
      <c r="J4701" s="221"/>
      <c r="K4701" s="221"/>
      <c r="L4701" s="221"/>
      <c r="M4701" s="221"/>
      <c r="N4701" s="221"/>
      <c r="O4701" s="225"/>
      <c r="P4701" s="118" t="s">
        <v>14066</v>
      </c>
      <c r="Q4701" s="16" t="s">
        <v>20</v>
      </c>
      <c r="R4701" s="17" t="s">
        <v>14046</v>
      </c>
      <c r="S4701" s="121" t="s">
        <v>14067</v>
      </c>
      <c r="T4701" s="122"/>
      <c r="U4701" s="22"/>
      <c r="V4701" s="123" t="s">
        <v>7161</v>
      </c>
      <c r="W4701" s="122">
        <v>6053</v>
      </c>
      <c r="X4701" s="221"/>
      <c r="Y4701" s="221"/>
      <c r="Z4701" s="221"/>
      <c r="AA4701" s="221"/>
      <c r="AB4701" s="223"/>
    </row>
    <row r="4702" spans="1:28" ht="17.100000000000001" customHeight="1" thickTop="1">
      <c r="A4702" s="233" t="s">
        <v>13802</v>
      </c>
      <c r="B4702" s="28">
        <v>46015</v>
      </c>
      <c r="C4702" s="25"/>
      <c r="D4702" s="13" t="s">
        <v>2288</v>
      </c>
      <c r="E4702" s="228"/>
      <c r="F4702" s="109" t="s">
        <v>13812</v>
      </c>
      <c r="G4702" s="24" t="s">
        <v>1551</v>
      </c>
      <c r="H4702" s="230">
        <v>4.5</v>
      </c>
      <c r="I4702" s="220">
        <v>1300000</v>
      </c>
      <c r="J4702" s="220">
        <f>I4702*0.1</f>
        <v>130000</v>
      </c>
      <c r="K4702" s="220">
        <f>9800+980</f>
        <v>10780</v>
      </c>
      <c r="L4702" s="220">
        <v>11480</v>
      </c>
      <c r="M4702" s="220">
        <v>16500</v>
      </c>
      <c r="N4702" s="220">
        <f>SUM(I4702:M4703)</f>
        <v>1468760</v>
      </c>
      <c r="O4702" s="224"/>
      <c r="P4702" s="110" t="s">
        <v>14143</v>
      </c>
      <c r="Q4702" s="15" t="s">
        <v>19</v>
      </c>
      <c r="R4702" s="205"/>
      <c r="S4702" s="189" t="s">
        <v>25603</v>
      </c>
      <c r="T4702" s="114"/>
      <c r="U4702" s="21"/>
      <c r="V4702" s="115">
        <v>46032</v>
      </c>
      <c r="W4702" s="116">
        <v>1283</v>
      </c>
      <c r="X4702" s="220">
        <v>1655000</v>
      </c>
      <c r="Y4702" s="220">
        <f>X4702*0.1</f>
        <v>165500</v>
      </c>
      <c r="Z4702" s="220">
        <v>11480</v>
      </c>
      <c r="AA4702" s="220">
        <f>SUM(X4702:Z4702)</f>
        <v>1831980</v>
      </c>
      <c r="AB4702" s="222">
        <v>46036</v>
      </c>
    </row>
    <row r="4703" spans="1:28" ht="17.100000000000001" customHeight="1" thickBot="1">
      <c r="A4703" s="234"/>
      <c r="B4703" s="27" t="s">
        <v>3367</v>
      </c>
      <c r="C4703" s="27">
        <v>60244</v>
      </c>
      <c r="D4703" s="14" t="s">
        <v>2559</v>
      </c>
      <c r="E4703" s="229"/>
      <c r="F4703" s="117" t="s">
        <v>13813</v>
      </c>
      <c r="G4703" s="26">
        <v>88562</v>
      </c>
      <c r="H4703" s="231"/>
      <c r="I4703" s="221"/>
      <c r="J4703" s="221"/>
      <c r="K4703" s="221"/>
      <c r="L4703" s="221"/>
      <c r="M4703" s="221"/>
      <c r="N4703" s="221"/>
      <c r="O4703" s="225"/>
      <c r="P4703" s="118" t="s">
        <v>14144</v>
      </c>
      <c r="Q4703" s="16" t="s">
        <v>20</v>
      </c>
      <c r="R4703" s="17" t="s">
        <v>1931</v>
      </c>
      <c r="S4703" s="121" t="s">
        <v>14145</v>
      </c>
      <c r="T4703" s="122"/>
      <c r="U4703" s="22"/>
      <c r="V4703" s="123" t="s">
        <v>2472</v>
      </c>
      <c r="W4703" s="122">
        <v>50111</v>
      </c>
      <c r="X4703" s="221"/>
      <c r="Y4703" s="221"/>
      <c r="Z4703" s="221"/>
      <c r="AA4703" s="221"/>
      <c r="AB4703" s="223"/>
    </row>
    <row r="4704" spans="1:28" ht="17.100000000000001" customHeight="1" thickTop="1">
      <c r="A4704" s="233" t="s">
        <v>13803</v>
      </c>
      <c r="B4704" s="28">
        <v>46015</v>
      </c>
      <c r="C4704" s="25"/>
      <c r="D4704" s="13" t="s">
        <v>3327</v>
      </c>
      <c r="E4704" s="228"/>
      <c r="F4704" s="109" t="s">
        <v>13814</v>
      </c>
      <c r="G4704" s="24"/>
      <c r="H4704" s="230">
        <v>4.5</v>
      </c>
      <c r="I4704" s="220">
        <v>1115000</v>
      </c>
      <c r="J4704" s="220">
        <f>I4704*0.1</f>
        <v>111500</v>
      </c>
      <c r="K4704" s="220">
        <v>0</v>
      </c>
      <c r="L4704" s="220">
        <v>9810</v>
      </c>
      <c r="M4704" s="220">
        <v>16500</v>
      </c>
      <c r="N4704" s="220">
        <f>SUM(I4704:M4705)</f>
        <v>1252810</v>
      </c>
      <c r="O4704" s="224"/>
      <c r="P4704" s="110" t="s">
        <v>14315</v>
      </c>
      <c r="Q4704" s="15" t="s">
        <v>19</v>
      </c>
      <c r="R4704" s="205"/>
      <c r="S4704" s="189" t="s">
        <v>25523</v>
      </c>
      <c r="T4704" s="114"/>
      <c r="U4704" s="21"/>
      <c r="V4704" s="115">
        <v>46032</v>
      </c>
      <c r="W4704" s="116">
        <v>1283</v>
      </c>
      <c r="X4704" s="220">
        <v>1200000</v>
      </c>
      <c r="Y4704" s="220">
        <f>X4704*0.1</f>
        <v>120000</v>
      </c>
      <c r="Z4704" s="220">
        <v>9810</v>
      </c>
      <c r="AA4704" s="220">
        <f>SUM(X4704:Z4704)</f>
        <v>1329810</v>
      </c>
      <c r="AB4704" s="222">
        <v>46036</v>
      </c>
    </row>
    <row r="4705" spans="1:28" ht="17.100000000000001" customHeight="1" thickBot="1">
      <c r="A4705" s="234"/>
      <c r="B4705" s="27" t="s">
        <v>3367</v>
      </c>
      <c r="C4705" s="27">
        <v>60302</v>
      </c>
      <c r="D4705" s="14" t="s">
        <v>2559</v>
      </c>
      <c r="E4705" s="229"/>
      <c r="F4705" s="117" t="s">
        <v>13815</v>
      </c>
      <c r="G4705" s="26">
        <v>63990</v>
      </c>
      <c r="H4705" s="231"/>
      <c r="I4705" s="221"/>
      <c r="J4705" s="221"/>
      <c r="K4705" s="221"/>
      <c r="L4705" s="221"/>
      <c r="M4705" s="221"/>
      <c r="N4705" s="221"/>
      <c r="O4705" s="225"/>
      <c r="P4705" s="118" t="s">
        <v>4711</v>
      </c>
      <c r="Q4705" s="16" t="s">
        <v>20</v>
      </c>
      <c r="R4705" s="17" t="s">
        <v>3857</v>
      </c>
      <c r="S4705" s="121" t="s">
        <v>14316</v>
      </c>
      <c r="T4705" s="122" t="s">
        <v>9870</v>
      </c>
      <c r="U4705" s="22"/>
      <c r="V4705" s="123" t="s">
        <v>2472</v>
      </c>
      <c r="W4705" s="122">
        <v>55111</v>
      </c>
      <c r="X4705" s="221"/>
      <c r="Y4705" s="221"/>
      <c r="Z4705" s="221"/>
      <c r="AA4705" s="221"/>
      <c r="AB4705" s="223"/>
    </row>
    <row r="4706" spans="1:28" ht="17.100000000000001" customHeight="1" thickTop="1">
      <c r="A4706" s="233" t="s">
        <v>13817</v>
      </c>
      <c r="B4706" s="28">
        <v>46015</v>
      </c>
      <c r="C4706" s="25">
        <v>1312</v>
      </c>
      <c r="D4706" s="13" t="s">
        <v>3332</v>
      </c>
      <c r="E4706" s="228"/>
      <c r="F4706" s="109" t="s">
        <v>9789</v>
      </c>
      <c r="G4706" s="24" t="s">
        <v>13819</v>
      </c>
      <c r="H4706" s="230">
        <v>4.5</v>
      </c>
      <c r="I4706" s="220">
        <v>2012000</v>
      </c>
      <c r="J4706" s="220">
        <f>I4706*0.1</f>
        <v>201200</v>
      </c>
      <c r="K4706" s="220">
        <f>9000+900</f>
        <v>9900</v>
      </c>
      <c r="L4706" s="220">
        <v>17800</v>
      </c>
      <c r="M4706" s="220">
        <v>13200</v>
      </c>
      <c r="N4706" s="220">
        <f>SUM(I4706:M4707)</f>
        <v>2254100</v>
      </c>
      <c r="O4706" s="224"/>
      <c r="P4706" s="110" t="s">
        <v>14343</v>
      </c>
      <c r="Q4706" s="15" t="s">
        <v>19</v>
      </c>
      <c r="R4706" s="205"/>
      <c r="S4706" s="189" t="s">
        <v>25561</v>
      </c>
      <c r="T4706" s="114"/>
      <c r="U4706" s="21"/>
      <c r="V4706" s="115">
        <v>46032</v>
      </c>
      <c r="W4706" s="116">
        <v>1283</v>
      </c>
      <c r="X4706" s="220">
        <v>2190000</v>
      </c>
      <c r="Y4706" s="220">
        <v>219000</v>
      </c>
      <c r="Z4706" s="220">
        <v>17800</v>
      </c>
      <c r="AA4706" s="220">
        <f>SUM(X4706:Z4706)</f>
        <v>2426800</v>
      </c>
      <c r="AB4706" s="222">
        <v>46036</v>
      </c>
    </row>
    <row r="4707" spans="1:28" ht="17.100000000000001" customHeight="1" thickBot="1">
      <c r="A4707" s="234"/>
      <c r="B4707" s="27" t="s">
        <v>5197</v>
      </c>
      <c r="C4707" s="27">
        <v>3063</v>
      </c>
      <c r="D4707" s="14" t="s">
        <v>1627</v>
      </c>
      <c r="E4707" s="229"/>
      <c r="F4707" s="117" t="s">
        <v>13816</v>
      </c>
      <c r="G4707" s="26">
        <v>36498</v>
      </c>
      <c r="H4707" s="231"/>
      <c r="I4707" s="221"/>
      <c r="J4707" s="221"/>
      <c r="K4707" s="221"/>
      <c r="L4707" s="221"/>
      <c r="M4707" s="221"/>
      <c r="N4707" s="221"/>
      <c r="O4707" s="225"/>
      <c r="P4707" s="118" t="s">
        <v>1586</v>
      </c>
      <c r="Q4707" s="16" t="s">
        <v>20</v>
      </c>
      <c r="R4707" s="17" t="s">
        <v>4050</v>
      </c>
      <c r="S4707" s="121" t="s">
        <v>14344</v>
      </c>
      <c r="T4707" s="122"/>
      <c r="U4707" s="22"/>
      <c r="V4707" s="123" t="s">
        <v>2472</v>
      </c>
      <c r="W4707" s="122">
        <v>80051</v>
      </c>
      <c r="X4707" s="221"/>
      <c r="Y4707" s="221"/>
      <c r="Z4707" s="221"/>
      <c r="AA4707" s="221"/>
      <c r="AB4707" s="223"/>
    </row>
    <row r="4708" spans="1:28" ht="17.100000000000001" customHeight="1" thickTop="1">
      <c r="A4708" s="233" t="s">
        <v>13872</v>
      </c>
      <c r="B4708" s="28">
        <v>46015</v>
      </c>
      <c r="C4708" s="25">
        <v>998</v>
      </c>
      <c r="D4708" s="13" t="s">
        <v>4589</v>
      </c>
      <c r="E4708" s="228"/>
      <c r="F4708" s="109" t="s">
        <v>13858</v>
      </c>
      <c r="G4708" s="24" t="s">
        <v>13860</v>
      </c>
      <c r="H4708" s="230">
        <v>4</v>
      </c>
      <c r="I4708" s="220">
        <v>355000</v>
      </c>
      <c r="J4708" s="220">
        <f>I4708*0.1</f>
        <v>35500</v>
      </c>
      <c r="K4708" s="220">
        <f>9800+980</f>
        <v>10780</v>
      </c>
      <c r="L4708" s="220">
        <v>11820</v>
      </c>
      <c r="M4708" s="220">
        <v>12100</v>
      </c>
      <c r="N4708" s="220">
        <f>SUM(I4708:M4709)</f>
        <v>425200</v>
      </c>
      <c r="O4708" s="224"/>
      <c r="P4708" s="110" t="s">
        <v>13861</v>
      </c>
      <c r="Q4708" s="15" t="s">
        <v>19</v>
      </c>
      <c r="R4708" s="205"/>
      <c r="S4708" s="189"/>
      <c r="T4708" s="114" t="s">
        <v>7899</v>
      </c>
      <c r="U4708" s="21"/>
      <c r="V4708" s="115"/>
      <c r="W4708" s="116"/>
      <c r="X4708" s="220"/>
      <c r="Y4708" s="220">
        <f>X4708*0.1</f>
        <v>0</v>
      </c>
      <c r="Z4708" s="220"/>
      <c r="AA4708" s="220">
        <f>SUM(X4708:Z4708)</f>
        <v>0</v>
      </c>
      <c r="AB4708" s="222"/>
    </row>
    <row r="4709" spans="1:28" ht="17.100000000000001" customHeight="1" thickBot="1">
      <c r="A4709" s="234"/>
      <c r="B4709" s="27" t="s">
        <v>2747</v>
      </c>
      <c r="C4709" s="27">
        <v>1001</v>
      </c>
      <c r="D4709" s="14" t="s">
        <v>273</v>
      </c>
      <c r="E4709" s="229"/>
      <c r="F4709" s="117" t="s">
        <v>13859</v>
      </c>
      <c r="G4709" s="26">
        <v>149644</v>
      </c>
      <c r="H4709" s="231"/>
      <c r="I4709" s="221"/>
      <c r="J4709" s="221"/>
      <c r="K4709" s="221"/>
      <c r="L4709" s="221"/>
      <c r="M4709" s="221"/>
      <c r="N4709" s="221"/>
      <c r="O4709" s="225"/>
      <c r="P4709" s="118"/>
      <c r="Q4709" s="16" t="s">
        <v>20</v>
      </c>
      <c r="R4709" s="17" t="s">
        <v>10331</v>
      </c>
      <c r="S4709" s="121"/>
      <c r="T4709" s="122"/>
      <c r="U4709" s="22"/>
      <c r="V4709" s="123"/>
      <c r="W4709" s="122"/>
      <c r="X4709" s="221"/>
      <c r="Y4709" s="221"/>
      <c r="Z4709" s="221"/>
      <c r="AA4709" s="221"/>
      <c r="AB4709" s="223"/>
    </row>
    <row r="4710" spans="1:28" ht="17.100000000000001" customHeight="1" thickTop="1">
      <c r="A4710" s="233" t="s">
        <v>13873</v>
      </c>
      <c r="B4710" s="28">
        <v>46015</v>
      </c>
      <c r="C4710" s="25">
        <v>998</v>
      </c>
      <c r="D4710" s="13" t="s">
        <v>2858</v>
      </c>
      <c r="E4710" s="228"/>
      <c r="F4710" s="109" t="s">
        <v>13862</v>
      </c>
      <c r="G4710" s="24"/>
      <c r="H4710" s="230">
        <v>4</v>
      </c>
      <c r="I4710" s="220">
        <v>825000</v>
      </c>
      <c r="J4710" s="220">
        <f>I4710*0.1</f>
        <v>82500</v>
      </c>
      <c r="K4710" s="220">
        <v>0</v>
      </c>
      <c r="L4710" s="220">
        <v>17060</v>
      </c>
      <c r="M4710" s="220">
        <v>12100</v>
      </c>
      <c r="N4710" s="220">
        <f>SUM(I4710:M4711)</f>
        <v>936660</v>
      </c>
      <c r="O4710" s="224"/>
      <c r="P4710" s="110" t="s">
        <v>14310</v>
      </c>
      <c r="Q4710" s="15" t="s">
        <v>19</v>
      </c>
      <c r="R4710" s="205"/>
      <c r="S4710" s="189" t="s">
        <v>25657</v>
      </c>
      <c r="T4710" s="114"/>
      <c r="U4710" s="21"/>
      <c r="V4710" s="115">
        <v>46032</v>
      </c>
      <c r="W4710" s="116">
        <v>1283</v>
      </c>
      <c r="X4710" s="220">
        <v>915000</v>
      </c>
      <c r="Y4710" s="220">
        <f>X4710*0.1</f>
        <v>91500</v>
      </c>
      <c r="Z4710" s="220">
        <v>17060</v>
      </c>
      <c r="AA4710" s="220">
        <f>SUM(X4710:Z4710)</f>
        <v>1023560</v>
      </c>
      <c r="AB4710" s="222">
        <v>46036</v>
      </c>
    </row>
    <row r="4711" spans="1:28" ht="17.100000000000001" customHeight="1" thickBot="1">
      <c r="A4711" s="234"/>
      <c r="B4711" s="27" t="s">
        <v>2747</v>
      </c>
      <c r="C4711" s="27">
        <v>1159</v>
      </c>
      <c r="D4711" s="14" t="s">
        <v>273</v>
      </c>
      <c r="E4711" s="229"/>
      <c r="F4711" s="117" t="s">
        <v>13863</v>
      </c>
      <c r="G4711" s="26">
        <v>138760</v>
      </c>
      <c r="H4711" s="231"/>
      <c r="I4711" s="221"/>
      <c r="J4711" s="221"/>
      <c r="K4711" s="221"/>
      <c r="L4711" s="221"/>
      <c r="M4711" s="221"/>
      <c r="N4711" s="221"/>
      <c r="O4711" s="225"/>
      <c r="P4711" s="118" t="s">
        <v>2870</v>
      </c>
      <c r="Q4711" s="16" t="s">
        <v>20</v>
      </c>
      <c r="R4711" s="17" t="s">
        <v>3857</v>
      </c>
      <c r="S4711" s="121" t="s">
        <v>11537</v>
      </c>
      <c r="T4711" s="122"/>
      <c r="U4711" s="22"/>
      <c r="V4711" s="123" t="s">
        <v>2472</v>
      </c>
      <c r="W4711" s="122">
        <v>50103</v>
      </c>
      <c r="X4711" s="221"/>
      <c r="Y4711" s="221"/>
      <c r="Z4711" s="221"/>
      <c r="AA4711" s="221"/>
      <c r="AB4711" s="223"/>
    </row>
    <row r="4712" spans="1:28" ht="17.100000000000001" customHeight="1" thickTop="1">
      <c r="A4712" s="233" t="s">
        <v>13874</v>
      </c>
      <c r="B4712" s="28">
        <v>46015</v>
      </c>
      <c r="C4712" s="25">
        <v>998</v>
      </c>
      <c r="D4712" s="13" t="s">
        <v>2040</v>
      </c>
      <c r="E4712" s="228"/>
      <c r="F4712" s="109" t="s">
        <v>13864</v>
      </c>
      <c r="G4712" s="24" t="s">
        <v>2543</v>
      </c>
      <c r="H4712" s="230">
        <v>4.5</v>
      </c>
      <c r="I4712" s="220">
        <v>1075000</v>
      </c>
      <c r="J4712" s="220">
        <f>I4712*0.1</f>
        <v>107500</v>
      </c>
      <c r="K4712" s="220">
        <v>0</v>
      </c>
      <c r="L4712" s="220">
        <v>8130</v>
      </c>
      <c r="M4712" s="220">
        <v>12100</v>
      </c>
      <c r="N4712" s="220">
        <f>SUM(I4712:M4713)</f>
        <v>1202730</v>
      </c>
      <c r="O4712" s="224"/>
      <c r="P4712" s="110" t="s">
        <v>13866</v>
      </c>
      <c r="Q4712" s="15" t="s">
        <v>19</v>
      </c>
      <c r="R4712" s="205"/>
      <c r="S4712" s="189"/>
      <c r="T4712" s="114" t="s">
        <v>16337</v>
      </c>
      <c r="U4712" s="21" t="s">
        <v>14744</v>
      </c>
      <c r="V4712" s="115"/>
      <c r="W4712" s="116"/>
      <c r="X4712" s="220"/>
      <c r="Y4712" s="220">
        <f>X4712*0.1</f>
        <v>0</v>
      </c>
      <c r="Z4712" s="220"/>
      <c r="AA4712" s="220">
        <f>SUM(X4712:Z4712)</f>
        <v>0</v>
      </c>
      <c r="AB4712" s="222"/>
    </row>
    <row r="4713" spans="1:28" ht="17.100000000000001" customHeight="1" thickBot="1">
      <c r="A4713" s="234"/>
      <c r="B4713" s="27" t="s">
        <v>2747</v>
      </c>
      <c r="C4713" s="27">
        <v>1182</v>
      </c>
      <c r="D4713" s="14" t="s">
        <v>1627</v>
      </c>
      <c r="E4713" s="229"/>
      <c r="F4713" s="117" t="s">
        <v>13865</v>
      </c>
      <c r="G4713" s="26">
        <v>4451</v>
      </c>
      <c r="H4713" s="231"/>
      <c r="I4713" s="221"/>
      <c r="J4713" s="221"/>
      <c r="K4713" s="221"/>
      <c r="L4713" s="221"/>
      <c r="M4713" s="221"/>
      <c r="N4713" s="221"/>
      <c r="O4713" s="225"/>
      <c r="P4713" s="118" t="s">
        <v>14137</v>
      </c>
      <c r="Q4713" s="16" t="s">
        <v>20</v>
      </c>
      <c r="R4713" s="17" t="s">
        <v>3857</v>
      </c>
      <c r="S4713" s="121"/>
      <c r="T4713" s="122" t="s">
        <v>16338</v>
      </c>
      <c r="U4713" s="22"/>
      <c r="V4713" s="123"/>
      <c r="W4713" s="122"/>
      <c r="X4713" s="221"/>
      <c r="Y4713" s="221"/>
      <c r="Z4713" s="221"/>
      <c r="AA4713" s="221"/>
      <c r="AB4713" s="223"/>
    </row>
    <row r="4714" spans="1:28" ht="17.100000000000001" customHeight="1" thickTop="1">
      <c r="A4714" s="233" t="s">
        <v>13875</v>
      </c>
      <c r="B4714" s="28">
        <v>46015</v>
      </c>
      <c r="C4714" s="25">
        <v>998</v>
      </c>
      <c r="D4714" s="13" t="s">
        <v>1687</v>
      </c>
      <c r="E4714" s="228"/>
      <c r="F4714" s="109" t="s">
        <v>13867</v>
      </c>
      <c r="G4714" s="24"/>
      <c r="H4714" s="230">
        <v>4.5</v>
      </c>
      <c r="I4714" s="220">
        <v>2795000</v>
      </c>
      <c r="J4714" s="220">
        <f>I4714*0.1</f>
        <v>279500</v>
      </c>
      <c r="K4714" s="220">
        <v>0</v>
      </c>
      <c r="L4714" s="220">
        <v>12550</v>
      </c>
      <c r="M4714" s="220">
        <v>12100</v>
      </c>
      <c r="N4714" s="220">
        <f>SUM(I4714:M4715)</f>
        <v>3099150</v>
      </c>
      <c r="O4714" s="224"/>
      <c r="P4714" s="110" t="s">
        <v>14311</v>
      </c>
      <c r="Q4714" s="15" t="s">
        <v>19</v>
      </c>
      <c r="R4714" s="205"/>
      <c r="S4714" s="189" t="s">
        <v>758</v>
      </c>
      <c r="T4714" s="114"/>
      <c r="U4714" s="21"/>
      <c r="V4714" s="115">
        <v>46032</v>
      </c>
      <c r="W4714" s="116">
        <v>1283</v>
      </c>
      <c r="X4714" s="220">
        <v>2905000</v>
      </c>
      <c r="Y4714" s="220">
        <f>X4714*0.1</f>
        <v>290500</v>
      </c>
      <c r="Z4714" s="220">
        <v>12550</v>
      </c>
      <c r="AA4714" s="220">
        <f>SUM(X4714:Z4714)</f>
        <v>3208050</v>
      </c>
      <c r="AB4714" s="222">
        <v>46036</v>
      </c>
    </row>
    <row r="4715" spans="1:28" ht="17.100000000000001" customHeight="1" thickBot="1">
      <c r="A4715" s="234"/>
      <c r="B4715" s="27" t="s">
        <v>2747</v>
      </c>
      <c r="C4715" s="27">
        <v>1201</v>
      </c>
      <c r="D4715" s="14" t="s">
        <v>2559</v>
      </c>
      <c r="E4715" s="229"/>
      <c r="F4715" s="117" t="s">
        <v>13868</v>
      </c>
      <c r="G4715" s="26">
        <v>38841</v>
      </c>
      <c r="H4715" s="231"/>
      <c r="I4715" s="221"/>
      <c r="J4715" s="221"/>
      <c r="K4715" s="221"/>
      <c r="L4715" s="221"/>
      <c r="M4715" s="221"/>
      <c r="N4715" s="221"/>
      <c r="O4715" s="225"/>
      <c r="P4715" s="118" t="s">
        <v>2615</v>
      </c>
      <c r="Q4715" s="16" t="s">
        <v>20</v>
      </c>
      <c r="R4715" s="17" t="s">
        <v>3857</v>
      </c>
      <c r="S4715" s="121" t="s">
        <v>1661</v>
      </c>
      <c r="T4715" s="122"/>
      <c r="U4715" s="22"/>
      <c r="V4715" s="123" t="s">
        <v>2472</v>
      </c>
      <c r="W4715" s="122">
        <v>55114</v>
      </c>
      <c r="X4715" s="221"/>
      <c r="Y4715" s="221"/>
      <c r="Z4715" s="221"/>
      <c r="AA4715" s="221"/>
      <c r="AB4715" s="223"/>
    </row>
    <row r="4716" spans="1:28" ht="17.100000000000001" customHeight="1" thickTop="1">
      <c r="A4716" s="226" t="s">
        <v>13883</v>
      </c>
      <c r="B4716" s="28">
        <v>46015</v>
      </c>
      <c r="C4716" s="25">
        <v>1819</v>
      </c>
      <c r="D4716" s="13" t="s">
        <v>2150</v>
      </c>
      <c r="E4716" s="228"/>
      <c r="F4716" s="109" t="s">
        <v>13898</v>
      </c>
      <c r="G4716" s="24"/>
      <c r="H4716" s="230">
        <v>4</v>
      </c>
      <c r="I4716" s="220">
        <v>695000</v>
      </c>
      <c r="J4716" s="220">
        <f>I4716*0.1</f>
        <v>69500</v>
      </c>
      <c r="K4716" s="220">
        <v>0</v>
      </c>
      <c r="L4716" s="220">
        <v>9810</v>
      </c>
      <c r="M4716" s="220">
        <v>18150</v>
      </c>
      <c r="N4716" s="220">
        <f>SUM(I4716:M4717)</f>
        <v>792460</v>
      </c>
      <c r="O4716" s="224"/>
      <c r="P4716" s="110" t="s">
        <v>14202</v>
      </c>
      <c r="Q4716" s="15" t="s">
        <v>19</v>
      </c>
      <c r="R4716" s="205"/>
      <c r="S4716" s="189"/>
      <c r="T4716" s="114"/>
      <c r="U4716" s="21"/>
      <c r="V4716" s="115">
        <v>46127</v>
      </c>
      <c r="W4716" s="116">
        <v>1013</v>
      </c>
      <c r="X4716" s="220">
        <v>680000</v>
      </c>
      <c r="Y4716" s="220">
        <f>X4716*0.1</f>
        <v>68000</v>
      </c>
      <c r="Z4716" s="220">
        <v>9810</v>
      </c>
      <c r="AA4716" s="220">
        <f>SUM(X4716:Z4716)</f>
        <v>757810</v>
      </c>
      <c r="AB4716" s="222">
        <v>46132</v>
      </c>
    </row>
    <row r="4717" spans="1:28" ht="17.100000000000001" customHeight="1" thickBot="1">
      <c r="A4717" s="227"/>
      <c r="B4717" s="27" t="s">
        <v>2519</v>
      </c>
      <c r="C4717" s="27">
        <v>30121</v>
      </c>
      <c r="D4717" s="14" t="s">
        <v>898</v>
      </c>
      <c r="E4717" s="229"/>
      <c r="F4717" s="117" t="s">
        <v>13895</v>
      </c>
      <c r="G4717" s="26">
        <v>100855</v>
      </c>
      <c r="H4717" s="231"/>
      <c r="I4717" s="221"/>
      <c r="J4717" s="221"/>
      <c r="K4717" s="221"/>
      <c r="L4717" s="221"/>
      <c r="M4717" s="221"/>
      <c r="N4717" s="221"/>
      <c r="O4717" s="225"/>
      <c r="P4717" s="118" t="s">
        <v>4422</v>
      </c>
      <c r="Q4717" s="16" t="s">
        <v>20</v>
      </c>
      <c r="R4717" s="17" t="s">
        <v>1953</v>
      </c>
      <c r="S4717" s="121" t="s">
        <v>9008</v>
      </c>
      <c r="T4717" s="122"/>
      <c r="U4717" s="22"/>
      <c r="V4717" s="123" t="s">
        <v>2747</v>
      </c>
      <c r="W4717" s="122">
        <v>6027</v>
      </c>
      <c r="X4717" s="221"/>
      <c r="Y4717" s="221"/>
      <c r="Z4717" s="221"/>
      <c r="AA4717" s="221"/>
      <c r="AB4717" s="223"/>
    </row>
    <row r="4718" spans="1:28" ht="17.100000000000001" customHeight="1" thickTop="1">
      <c r="A4718" s="233" t="s">
        <v>13884</v>
      </c>
      <c r="B4718" s="28">
        <v>46015</v>
      </c>
      <c r="C4718" s="25">
        <v>1819</v>
      </c>
      <c r="D4718" s="13" t="s">
        <v>1996</v>
      </c>
      <c r="E4718" s="228"/>
      <c r="F4718" s="109" t="s">
        <v>1916</v>
      </c>
      <c r="G4718" s="24" t="s">
        <v>1540</v>
      </c>
      <c r="H4718" s="230">
        <v>4.5</v>
      </c>
      <c r="I4718" s="220">
        <v>760000</v>
      </c>
      <c r="J4718" s="220">
        <f>I4718*0.1</f>
        <v>76000</v>
      </c>
      <c r="K4718" s="220">
        <f>8600+860</f>
        <v>9460</v>
      </c>
      <c r="L4718" s="220">
        <v>18960</v>
      </c>
      <c r="M4718" s="220">
        <v>18150</v>
      </c>
      <c r="N4718" s="220">
        <f>SUM(I4718:M4719)</f>
        <v>882570</v>
      </c>
      <c r="O4718" s="224"/>
      <c r="P4718" s="110" t="s">
        <v>13986</v>
      </c>
      <c r="Q4718" s="15" t="s">
        <v>19</v>
      </c>
      <c r="R4718" s="205"/>
      <c r="S4718" s="189"/>
      <c r="T4718" s="114"/>
      <c r="U4718" s="21"/>
      <c r="V4718" s="115">
        <v>46032</v>
      </c>
      <c r="W4718" s="116">
        <v>1283</v>
      </c>
      <c r="X4718" s="220">
        <v>905000</v>
      </c>
      <c r="Y4718" s="220">
        <f>X4718*0.1</f>
        <v>90500</v>
      </c>
      <c r="Z4718" s="220">
        <v>18960</v>
      </c>
      <c r="AA4718" s="220">
        <f>SUM(X4718:Z4718)</f>
        <v>1014460</v>
      </c>
      <c r="AB4718" s="222">
        <v>46036</v>
      </c>
    </row>
    <row r="4719" spans="1:28" ht="17.100000000000001" customHeight="1" thickBot="1">
      <c r="A4719" s="234"/>
      <c r="B4719" s="27" t="s">
        <v>2519</v>
      </c>
      <c r="C4719" s="27">
        <v>38057</v>
      </c>
      <c r="D4719" s="14" t="s">
        <v>898</v>
      </c>
      <c r="E4719" s="229"/>
      <c r="F4719" s="117" t="s">
        <v>13896</v>
      </c>
      <c r="G4719" s="26">
        <v>32617</v>
      </c>
      <c r="H4719" s="231"/>
      <c r="I4719" s="221"/>
      <c r="J4719" s="221"/>
      <c r="K4719" s="221"/>
      <c r="L4719" s="221"/>
      <c r="M4719" s="221"/>
      <c r="N4719" s="221"/>
      <c r="O4719" s="225"/>
      <c r="P4719" s="118" t="s">
        <v>14225</v>
      </c>
      <c r="Q4719" s="16" t="s">
        <v>20</v>
      </c>
      <c r="R4719" s="17" t="s">
        <v>1953</v>
      </c>
      <c r="S4719" s="121" t="s">
        <v>7716</v>
      </c>
      <c r="T4719" s="122"/>
      <c r="U4719" s="22"/>
      <c r="V4719" s="123" t="s">
        <v>2472</v>
      </c>
      <c r="W4719" s="122">
        <v>80063</v>
      </c>
      <c r="X4719" s="221"/>
      <c r="Y4719" s="221"/>
      <c r="Z4719" s="221"/>
      <c r="AA4719" s="221"/>
      <c r="AB4719" s="223"/>
    </row>
    <row r="4720" spans="1:28" ht="17.100000000000001" customHeight="1" thickTop="1">
      <c r="A4720" s="226" t="s">
        <v>13892</v>
      </c>
      <c r="B4720" s="28">
        <v>46015</v>
      </c>
      <c r="C4720" s="25">
        <v>1819</v>
      </c>
      <c r="D4720" s="13" t="s">
        <v>2203</v>
      </c>
      <c r="E4720" s="228"/>
      <c r="F4720" s="109" t="s">
        <v>2685</v>
      </c>
      <c r="G4720" s="24"/>
      <c r="H4720" s="230">
        <v>4.5</v>
      </c>
      <c r="I4720" s="220">
        <v>915000</v>
      </c>
      <c r="J4720" s="220">
        <f>I4720*0.1</f>
        <v>91500</v>
      </c>
      <c r="K4720" s="220">
        <v>0</v>
      </c>
      <c r="L4720" s="220">
        <v>19090</v>
      </c>
      <c r="M4720" s="220">
        <v>18150</v>
      </c>
      <c r="N4720" s="220">
        <f>SUM(I4720:M4721)</f>
        <v>1043740</v>
      </c>
      <c r="O4720" s="224"/>
      <c r="P4720" s="110" t="s">
        <v>14227</v>
      </c>
      <c r="Q4720" s="15" t="s">
        <v>19</v>
      </c>
      <c r="R4720" s="205"/>
      <c r="S4720" s="189"/>
      <c r="T4720" s="114"/>
      <c r="U4720" s="21"/>
      <c r="V4720" s="115">
        <v>46032</v>
      </c>
      <c r="W4720" s="116">
        <v>1283</v>
      </c>
      <c r="X4720" s="220">
        <v>1080000</v>
      </c>
      <c r="Y4720" s="220">
        <f>X4720*0.1</f>
        <v>108000</v>
      </c>
      <c r="Z4720" s="220">
        <v>19090</v>
      </c>
      <c r="AA4720" s="220">
        <f>SUM(X4720:Z4720)</f>
        <v>1207090</v>
      </c>
      <c r="AB4720" s="222">
        <v>46042</v>
      </c>
    </row>
    <row r="4721" spans="1:28" ht="17.100000000000001" customHeight="1" thickBot="1">
      <c r="A4721" s="227"/>
      <c r="B4721" s="27" t="s">
        <v>2519</v>
      </c>
      <c r="C4721" s="27">
        <v>38079</v>
      </c>
      <c r="D4721" s="14" t="s">
        <v>3274</v>
      </c>
      <c r="E4721" s="229"/>
      <c r="F4721" s="117" t="s">
        <v>13897</v>
      </c>
      <c r="G4721" s="26">
        <v>67966</v>
      </c>
      <c r="H4721" s="231"/>
      <c r="I4721" s="221"/>
      <c r="J4721" s="221"/>
      <c r="K4721" s="221"/>
      <c r="L4721" s="221"/>
      <c r="M4721" s="221"/>
      <c r="N4721" s="221"/>
      <c r="O4721" s="225"/>
      <c r="P4721" s="118" t="s">
        <v>2870</v>
      </c>
      <c r="Q4721" s="16" t="s">
        <v>20</v>
      </c>
      <c r="R4721" s="17" t="s">
        <v>1953</v>
      </c>
      <c r="S4721" s="121" t="s">
        <v>7722</v>
      </c>
      <c r="T4721" s="122"/>
      <c r="U4721" s="22"/>
      <c r="V4721" s="123" t="s">
        <v>6641</v>
      </c>
      <c r="W4721" s="122">
        <v>80058</v>
      </c>
      <c r="X4721" s="221"/>
      <c r="Y4721" s="221"/>
      <c r="Z4721" s="221"/>
      <c r="AA4721" s="221"/>
      <c r="AB4721" s="223"/>
    </row>
    <row r="4722" spans="1:28" ht="17.100000000000001" customHeight="1" thickTop="1">
      <c r="A4722" s="233" t="s">
        <v>13893</v>
      </c>
      <c r="B4722" s="28">
        <v>46016</v>
      </c>
      <c r="C4722" s="25">
        <v>1312</v>
      </c>
      <c r="D4722" s="13" t="s">
        <v>2422</v>
      </c>
      <c r="E4722" s="228"/>
      <c r="F4722" s="109" t="s">
        <v>13885</v>
      </c>
      <c r="G4722" s="24" t="s">
        <v>4025</v>
      </c>
      <c r="H4722" s="230">
        <v>4.5</v>
      </c>
      <c r="I4722" s="220">
        <v>1505000</v>
      </c>
      <c r="J4722" s="220">
        <f>I4722*0.1</f>
        <v>150500</v>
      </c>
      <c r="K4722" s="220">
        <f>9800+980</f>
        <v>10780</v>
      </c>
      <c r="L4722" s="220">
        <v>19610</v>
      </c>
      <c r="M4722" s="220">
        <v>14300</v>
      </c>
      <c r="N4722" s="220">
        <f>SUM(I4722:M4723)</f>
        <v>1700190</v>
      </c>
      <c r="O4722" s="224"/>
      <c r="P4722" s="110" t="s">
        <v>13889</v>
      </c>
      <c r="Q4722" s="15" t="s">
        <v>19</v>
      </c>
      <c r="R4722" s="205"/>
      <c r="S4722" s="189" t="s">
        <v>25367</v>
      </c>
      <c r="T4722" s="114"/>
      <c r="U4722" s="21"/>
      <c r="V4722" s="115">
        <v>46032</v>
      </c>
      <c r="W4722" s="116">
        <v>1283</v>
      </c>
      <c r="X4722" s="220">
        <v>1600000</v>
      </c>
      <c r="Y4722" s="220">
        <f>X4722*0.1</f>
        <v>160000</v>
      </c>
      <c r="Z4722" s="220">
        <v>19610</v>
      </c>
      <c r="AA4722" s="220">
        <f>SUM(X4722:Z4722)</f>
        <v>1779610</v>
      </c>
      <c r="AB4722" s="222">
        <v>46036</v>
      </c>
    </row>
    <row r="4723" spans="1:28" ht="17.100000000000001" customHeight="1" thickBot="1">
      <c r="A4723" s="234"/>
      <c r="B4723" s="27" t="s">
        <v>13379</v>
      </c>
      <c r="C4723" s="27">
        <v>59</v>
      </c>
      <c r="D4723" s="14" t="s">
        <v>1584</v>
      </c>
      <c r="E4723" s="229"/>
      <c r="F4723" s="117" t="s">
        <v>14345</v>
      </c>
      <c r="G4723" s="26">
        <v>32009</v>
      </c>
      <c r="H4723" s="231"/>
      <c r="I4723" s="221"/>
      <c r="J4723" s="221"/>
      <c r="K4723" s="221"/>
      <c r="L4723" s="221"/>
      <c r="M4723" s="221"/>
      <c r="N4723" s="221"/>
      <c r="O4723" s="225"/>
      <c r="P4723" s="118" t="s">
        <v>2835</v>
      </c>
      <c r="Q4723" s="16" t="s">
        <v>20</v>
      </c>
      <c r="R4723" s="17" t="s">
        <v>4050</v>
      </c>
      <c r="S4723" s="121" t="s">
        <v>1731</v>
      </c>
      <c r="T4723" s="122"/>
      <c r="U4723" s="22"/>
      <c r="V4723" s="123" t="s">
        <v>2472</v>
      </c>
      <c r="W4723" s="122">
        <v>80057</v>
      </c>
      <c r="X4723" s="221"/>
      <c r="Y4723" s="221"/>
      <c r="Z4723" s="221"/>
      <c r="AA4723" s="221"/>
      <c r="AB4723" s="223"/>
    </row>
    <row r="4724" spans="1:28" ht="17.100000000000001" customHeight="1" thickTop="1">
      <c r="A4724" s="233" t="s">
        <v>13894</v>
      </c>
      <c r="B4724" s="28">
        <v>46016</v>
      </c>
      <c r="C4724" s="25">
        <v>1312</v>
      </c>
      <c r="D4724" s="13" t="s">
        <v>2920</v>
      </c>
      <c r="E4724" s="228"/>
      <c r="F4724" s="109" t="s">
        <v>13424</v>
      </c>
      <c r="G4724" s="24" t="s">
        <v>4038</v>
      </c>
      <c r="H4724" s="230">
        <v>4.5</v>
      </c>
      <c r="I4724" s="220">
        <v>2955000</v>
      </c>
      <c r="J4724" s="220">
        <f>I4724*0.1</f>
        <v>295500</v>
      </c>
      <c r="K4724" s="220">
        <f>9000+900</f>
        <v>9900</v>
      </c>
      <c r="L4724" s="220">
        <v>22030</v>
      </c>
      <c r="M4724" s="220">
        <v>14300</v>
      </c>
      <c r="N4724" s="220">
        <f>SUM(I4724:M4725)</f>
        <v>3296730</v>
      </c>
      <c r="O4724" s="224"/>
      <c r="P4724" s="110" t="s">
        <v>13888</v>
      </c>
      <c r="Q4724" s="15" t="s">
        <v>19</v>
      </c>
      <c r="R4724" s="205"/>
      <c r="S4724" s="189" t="s">
        <v>758</v>
      </c>
      <c r="T4724" s="114"/>
      <c r="U4724" s="21"/>
      <c r="V4724" s="115">
        <v>46032</v>
      </c>
      <c r="W4724" s="116">
        <v>1283</v>
      </c>
      <c r="X4724" s="220">
        <v>3130000</v>
      </c>
      <c r="Y4724" s="220">
        <f>X4724*0.1</f>
        <v>313000</v>
      </c>
      <c r="Z4724" s="220">
        <v>22030</v>
      </c>
      <c r="AA4724" s="220">
        <f>SUM(X4724:Z4724)</f>
        <v>3465030</v>
      </c>
      <c r="AB4724" s="222">
        <v>46036</v>
      </c>
    </row>
    <row r="4725" spans="1:28" ht="17.100000000000001" customHeight="1" thickBot="1">
      <c r="A4725" s="234"/>
      <c r="B4725" s="27" t="s">
        <v>13379</v>
      </c>
      <c r="C4725" s="27">
        <v>516</v>
      </c>
      <c r="D4725" s="14" t="s">
        <v>1584</v>
      </c>
      <c r="E4725" s="229"/>
      <c r="F4725" s="117" t="s">
        <v>13886</v>
      </c>
      <c r="G4725" s="26">
        <v>61989</v>
      </c>
      <c r="H4725" s="231"/>
      <c r="I4725" s="221"/>
      <c r="J4725" s="221"/>
      <c r="K4725" s="221"/>
      <c r="L4725" s="221"/>
      <c r="M4725" s="221"/>
      <c r="N4725" s="221"/>
      <c r="O4725" s="225"/>
      <c r="P4725" s="118" t="s">
        <v>1844</v>
      </c>
      <c r="Q4725" s="16" t="s">
        <v>20</v>
      </c>
      <c r="R4725" s="17" t="s">
        <v>3857</v>
      </c>
      <c r="S4725" s="121" t="s">
        <v>1731</v>
      </c>
      <c r="T4725" s="122"/>
      <c r="U4725" s="22"/>
      <c r="V4725" s="123" t="s">
        <v>2472</v>
      </c>
      <c r="W4725" s="122">
        <v>80066</v>
      </c>
      <c r="X4725" s="221"/>
      <c r="Y4725" s="221"/>
      <c r="Z4725" s="221"/>
      <c r="AA4725" s="221"/>
      <c r="AB4725" s="223"/>
    </row>
    <row r="4726" spans="1:28" ht="17.100000000000001" customHeight="1" thickTop="1">
      <c r="A4726" s="233" t="s">
        <v>13900</v>
      </c>
      <c r="B4726" s="28">
        <v>46016</v>
      </c>
      <c r="C4726" s="25">
        <v>1964</v>
      </c>
      <c r="D4726" s="13" t="s">
        <v>1780</v>
      </c>
      <c r="E4726" s="228"/>
      <c r="F4726" s="109" t="s">
        <v>13825</v>
      </c>
      <c r="G4726" s="24" t="s">
        <v>2871</v>
      </c>
      <c r="H4726" s="230">
        <v>5</v>
      </c>
      <c r="I4726" s="220">
        <v>830000</v>
      </c>
      <c r="J4726" s="220">
        <f>I4726*0.1</f>
        <v>83000</v>
      </c>
      <c r="K4726" s="220">
        <v>0</v>
      </c>
      <c r="L4726" s="220">
        <v>6860</v>
      </c>
      <c r="M4726" s="220">
        <v>17050</v>
      </c>
      <c r="N4726" s="220">
        <f>SUM(I4726:M4727)</f>
        <v>936910</v>
      </c>
      <c r="O4726" s="224"/>
      <c r="P4726" s="110" t="s">
        <v>13827</v>
      </c>
      <c r="Q4726" s="15" t="s">
        <v>19</v>
      </c>
      <c r="R4726" s="205"/>
      <c r="S4726" s="189" t="s">
        <v>696</v>
      </c>
      <c r="T4726" s="114"/>
      <c r="U4726" s="21" t="s">
        <v>14572</v>
      </c>
      <c r="V4726" s="115">
        <v>46032</v>
      </c>
      <c r="W4726" s="116">
        <v>1283</v>
      </c>
      <c r="X4726" s="220">
        <v>925000</v>
      </c>
      <c r="Y4726" s="220">
        <f>X4726*0.1</f>
        <v>92500</v>
      </c>
      <c r="Z4726" s="220">
        <v>6860</v>
      </c>
      <c r="AA4726" s="220">
        <f>SUM(X4726:Z4726)</f>
        <v>1024360</v>
      </c>
      <c r="AB4726" s="222">
        <v>46037</v>
      </c>
    </row>
    <row r="4727" spans="1:28" ht="17.100000000000001" customHeight="1" thickBot="1">
      <c r="A4727" s="234"/>
      <c r="B4727" s="27" t="s">
        <v>3730</v>
      </c>
      <c r="C4727" s="27">
        <v>3039</v>
      </c>
      <c r="D4727" s="14" t="s">
        <v>1584</v>
      </c>
      <c r="E4727" s="229"/>
      <c r="F4727" s="117" t="s">
        <v>13826</v>
      </c>
      <c r="G4727" s="26">
        <v>2755</v>
      </c>
      <c r="H4727" s="231"/>
      <c r="I4727" s="221"/>
      <c r="J4727" s="221"/>
      <c r="K4727" s="221"/>
      <c r="L4727" s="221"/>
      <c r="M4727" s="221"/>
      <c r="N4727" s="221"/>
      <c r="O4727" s="225"/>
      <c r="P4727" s="118" t="s">
        <v>13536</v>
      </c>
      <c r="Q4727" s="16" t="s">
        <v>20</v>
      </c>
      <c r="R4727" s="17" t="s">
        <v>1953</v>
      </c>
      <c r="S4727" s="121" t="s">
        <v>14201</v>
      </c>
      <c r="T4727" s="122"/>
      <c r="U4727" s="22"/>
      <c r="V4727" s="123" t="s">
        <v>2472</v>
      </c>
      <c r="W4727" s="122">
        <v>60208</v>
      </c>
      <c r="X4727" s="221"/>
      <c r="Y4727" s="221"/>
      <c r="Z4727" s="221"/>
      <c r="AA4727" s="221"/>
      <c r="AB4727" s="223"/>
    </row>
    <row r="4728" spans="1:28" ht="17.100000000000001" customHeight="1" thickTop="1">
      <c r="A4728" s="226" t="s">
        <v>13901</v>
      </c>
      <c r="B4728" s="28">
        <v>46016</v>
      </c>
      <c r="C4728" s="25">
        <v>1964</v>
      </c>
      <c r="D4728" s="13" t="s">
        <v>1598</v>
      </c>
      <c r="E4728" s="228"/>
      <c r="F4728" s="109" t="s">
        <v>13828</v>
      </c>
      <c r="G4728" s="24"/>
      <c r="H4728" s="230">
        <v>4</v>
      </c>
      <c r="I4728" s="220">
        <v>1240000</v>
      </c>
      <c r="J4728" s="220">
        <f>I4728*0.1</f>
        <v>124000</v>
      </c>
      <c r="K4728" s="220">
        <v>0</v>
      </c>
      <c r="L4728" s="220">
        <v>12030</v>
      </c>
      <c r="M4728" s="220">
        <v>15950</v>
      </c>
      <c r="N4728" s="220">
        <f>SUM(I4728:M4729)</f>
        <v>1391980</v>
      </c>
      <c r="O4728" s="224"/>
      <c r="P4728" s="110" t="s">
        <v>14313</v>
      </c>
      <c r="Q4728" s="15" t="s">
        <v>19</v>
      </c>
      <c r="R4728" s="205"/>
      <c r="S4728" s="189" t="s">
        <v>1361</v>
      </c>
      <c r="T4728" s="114"/>
      <c r="U4728" s="21"/>
      <c r="V4728" s="115">
        <v>46050</v>
      </c>
      <c r="W4728" s="116">
        <v>1002</v>
      </c>
      <c r="X4728" s="220">
        <v>1360000</v>
      </c>
      <c r="Y4728" s="220">
        <f>X4728*0.1</f>
        <v>136000</v>
      </c>
      <c r="Z4728" s="220">
        <v>12030</v>
      </c>
      <c r="AA4728" s="220">
        <f>SUM(X4728:Z4728)</f>
        <v>1508030</v>
      </c>
      <c r="AB4728" s="222">
        <v>46055</v>
      </c>
    </row>
    <row r="4729" spans="1:28" ht="17.100000000000001" customHeight="1" thickBot="1">
      <c r="A4729" s="227"/>
      <c r="B4729" s="27" t="s">
        <v>3730</v>
      </c>
      <c r="C4729" s="27">
        <v>8112</v>
      </c>
      <c r="D4729" s="14" t="s">
        <v>2559</v>
      </c>
      <c r="E4729" s="229"/>
      <c r="F4729" s="117" t="s">
        <v>13829</v>
      </c>
      <c r="G4729" s="26">
        <v>71567</v>
      </c>
      <c r="H4729" s="231"/>
      <c r="I4729" s="221"/>
      <c r="J4729" s="221"/>
      <c r="K4729" s="221"/>
      <c r="L4729" s="221"/>
      <c r="M4729" s="221"/>
      <c r="N4729" s="221"/>
      <c r="O4729" s="225"/>
      <c r="P4729" s="118" t="s">
        <v>14314</v>
      </c>
      <c r="Q4729" s="16" t="s">
        <v>20</v>
      </c>
      <c r="R4729" s="17" t="s">
        <v>3857</v>
      </c>
      <c r="S4729" s="121" t="s">
        <v>5180</v>
      </c>
      <c r="T4729" s="122"/>
      <c r="U4729" s="22"/>
      <c r="V4729" s="123" t="s">
        <v>8877</v>
      </c>
      <c r="W4729" s="122">
        <v>6042</v>
      </c>
      <c r="X4729" s="221"/>
      <c r="Y4729" s="221"/>
      <c r="Z4729" s="221"/>
      <c r="AA4729" s="221"/>
      <c r="AB4729" s="223"/>
    </row>
    <row r="4730" spans="1:28" ht="17.100000000000001" customHeight="1" thickTop="1">
      <c r="A4730" s="233" t="s">
        <v>13902</v>
      </c>
      <c r="B4730" s="28">
        <v>46016</v>
      </c>
      <c r="C4730" s="25">
        <v>2008</v>
      </c>
      <c r="D4730" s="13" t="s">
        <v>2900</v>
      </c>
      <c r="E4730" s="228"/>
      <c r="F4730" s="109" t="s">
        <v>11193</v>
      </c>
      <c r="G4730" s="24" t="s">
        <v>2871</v>
      </c>
      <c r="H4730" s="230">
        <v>4</v>
      </c>
      <c r="I4730" s="220">
        <v>3291000</v>
      </c>
      <c r="J4730" s="220">
        <f>I4730*0.1</f>
        <v>329100</v>
      </c>
      <c r="K4730" s="220">
        <f>10800+1080</f>
        <v>11880</v>
      </c>
      <c r="L4730" s="220">
        <v>16550</v>
      </c>
      <c r="M4730" s="220">
        <v>22000</v>
      </c>
      <c r="N4730" s="220">
        <f>SUM(I4730:M4731)</f>
        <v>3670530</v>
      </c>
      <c r="O4730" s="224"/>
      <c r="P4730" s="110" t="s">
        <v>14317</v>
      </c>
      <c r="Q4730" s="15" t="s">
        <v>19</v>
      </c>
      <c r="R4730" s="205"/>
      <c r="S4730" s="189" t="s">
        <v>25603</v>
      </c>
      <c r="T4730" s="114"/>
      <c r="U4730" s="21"/>
      <c r="V4730" s="115">
        <v>46032</v>
      </c>
      <c r="W4730" s="116">
        <v>1283</v>
      </c>
      <c r="X4730" s="220">
        <v>3465000</v>
      </c>
      <c r="Y4730" s="220">
        <f>X4730*0.1</f>
        <v>346500</v>
      </c>
      <c r="Z4730" s="220">
        <v>16550</v>
      </c>
      <c r="AA4730" s="220">
        <f>SUM(X4730:Z4730)</f>
        <v>3828050</v>
      </c>
      <c r="AB4730" s="222">
        <v>46036</v>
      </c>
    </row>
    <row r="4731" spans="1:28" ht="17.100000000000001" customHeight="1" thickBot="1">
      <c r="A4731" s="234"/>
      <c r="B4731" s="27" t="s">
        <v>2171</v>
      </c>
      <c r="C4731" s="27">
        <v>30035</v>
      </c>
      <c r="D4731" s="14" t="s">
        <v>273</v>
      </c>
      <c r="E4731" s="229"/>
      <c r="F4731" s="117" t="s">
        <v>13830</v>
      </c>
      <c r="G4731" s="26">
        <v>42547</v>
      </c>
      <c r="H4731" s="231"/>
      <c r="I4731" s="221"/>
      <c r="J4731" s="221"/>
      <c r="K4731" s="221"/>
      <c r="L4731" s="221"/>
      <c r="M4731" s="221"/>
      <c r="N4731" s="221"/>
      <c r="O4731" s="225"/>
      <c r="P4731" s="118" t="s">
        <v>2287</v>
      </c>
      <c r="Q4731" s="16" t="s">
        <v>20</v>
      </c>
      <c r="R4731" s="17" t="s">
        <v>3857</v>
      </c>
      <c r="S4731" s="121" t="s">
        <v>14318</v>
      </c>
      <c r="T4731" s="122"/>
      <c r="U4731" s="22"/>
      <c r="V4731" s="123" t="s">
        <v>2472</v>
      </c>
      <c r="W4731" s="122">
        <v>13</v>
      </c>
      <c r="X4731" s="221"/>
      <c r="Y4731" s="221"/>
      <c r="Z4731" s="221"/>
      <c r="AA4731" s="221"/>
      <c r="AB4731" s="223"/>
    </row>
    <row r="4732" spans="1:28" ht="17.100000000000001" customHeight="1" thickTop="1">
      <c r="A4732" s="226" t="s">
        <v>13903</v>
      </c>
      <c r="B4732" s="28">
        <v>46016</v>
      </c>
      <c r="C4732" s="25">
        <v>2008</v>
      </c>
      <c r="D4732" s="13" t="s">
        <v>1996</v>
      </c>
      <c r="E4732" s="228"/>
      <c r="F4732" s="109" t="s">
        <v>13831</v>
      </c>
      <c r="G4732" s="24" t="s">
        <v>3867</v>
      </c>
      <c r="H4732" s="230">
        <v>4</v>
      </c>
      <c r="I4732" s="220">
        <v>1349000</v>
      </c>
      <c r="J4732" s="220">
        <f>I4732*0.1</f>
        <v>134900</v>
      </c>
      <c r="K4732" s="220">
        <f>9800+980</f>
        <v>10780</v>
      </c>
      <c r="L4732" s="220">
        <v>12470</v>
      </c>
      <c r="M4732" s="220">
        <v>22000</v>
      </c>
      <c r="N4732" s="220">
        <f>SUM(I4732:M4733)</f>
        <v>1529150</v>
      </c>
      <c r="O4732" s="224"/>
      <c r="P4732" s="110" t="s">
        <v>13833</v>
      </c>
      <c r="Q4732" s="15" t="s">
        <v>19</v>
      </c>
      <c r="R4732" s="205"/>
      <c r="S4732" s="189" t="s">
        <v>1361</v>
      </c>
      <c r="T4732" s="114"/>
      <c r="U4732" s="21" t="s">
        <v>15018</v>
      </c>
      <c r="V4732" s="115">
        <v>46057</v>
      </c>
      <c r="W4732" s="116">
        <v>1003</v>
      </c>
      <c r="X4732" s="220">
        <v>1430000</v>
      </c>
      <c r="Y4732" s="220">
        <v>143000</v>
      </c>
      <c r="Z4732" s="220">
        <v>12470</v>
      </c>
      <c r="AA4732" s="220">
        <f>SUM(X4732:Z4732)</f>
        <v>1585470</v>
      </c>
      <c r="AB4732" s="222">
        <v>46062</v>
      </c>
    </row>
    <row r="4733" spans="1:28" ht="17.100000000000001" customHeight="1" thickBot="1">
      <c r="A4733" s="227"/>
      <c r="B4733" s="27" t="s">
        <v>2171</v>
      </c>
      <c r="C4733" s="27">
        <v>30140</v>
      </c>
      <c r="D4733" s="14" t="s">
        <v>2559</v>
      </c>
      <c r="E4733" s="229"/>
      <c r="F4733" s="117" t="s">
        <v>13832</v>
      </c>
      <c r="G4733" s="26">
        <v>103230</v>
      </c>
      <c r="H4733" s="231"/>
      <c r="I4733" s="221"/>
      <c r="J4733" s="221"/>
      <c r="K4733" s="221"/>
      <c r="L4733" s="221"/>
      <c r="M4733" s="221"/>
      <c r="N4733" s="221"/>
      <c r="O4733" s="225"/>
      <c r="P4733" s="118" t="s">
        <v>2287</v>
      </c>
      <c r="Q4733" s="16" t="s">
        <v>20</v>
      </c>
      <c r="R4733" s="17" t="s">
        <v>3857</v>
      </c>
      <c r="S4733" s="121" t="s">
        <v>14312</v>
      </c>
      <c r="T4733" s="122"/>
      <c r="U4733" s="22"/>
      <c r="V4733" s="123" t="s">
        <v>2747</v>
      </c>
      <c r="W4733" s="122">
        <v>6020</v>
      </c>
      <c r="X4733" s="221"/>
      <c r="Y4733" s="221"/>
      <c r="Z4733" s="221"/>
      <c r="AA4733" s="221"/>
      <c r="AB4733" s="223"/>
    </row>
    <row r="4734" spans="1:28" ht="17.100000000000001" customHeight="1" thickTop="1">
      <c r="A4734" s="233" t="s">
        <v>13904</v>
      </c>
      <c r="B4734" s="28">
        <v>46016</v>
      </c>
      <c r="C4734" s="25">
        <v>2008</v>
      </c>
      <c r="D4734" s="13" t="s">
        <v>1658</v>
      </c>
      <c r="E4734" s="228"/>
      <c r="F4734" s="109" t="s">
        <v>12054</v>
      </c>
      <c r="G4734" s="24" t="s">
        <v>2894</v>
      </c>
      <c r="H4734" s="230">
        <v>4</v>
      </c>
      <c r="I4734" s="220">
        <v>609000</v>
      </c>
      <c r="J4734" s="220">
        <f>I4734*0.1</f>
        <v>60900</v>
      </c>
      <c r="K4734" s="220">
        <v>0</v>
      </c>
      <c r="L4734" s="220">
        <v>8400</v>
      </c>
      <c r="M4734" s="220">
        <v>22000</v>
      </c>
      <c r="N4734" s="220">
        <f>SUM(I4734:M4735)</f>
        <v>700300</v>
      </c>
      <c r="O4734" s="224"/>
      <c r="P4734" s="110" t="s">
        <v>13835</v>
      </c>
      <c r="Q4734" s="15" t="s">
        <v>19</v>
      </c>
      <c r="R4734" s="205"/>
      <c r="S4734" s="189" t="s">
        <v>1306</v>
      </c>
      <c r="T4734" s="114"/>
      <c r="U4734" s="21" t="s">
        <v>14573</v>
      </c>
      <c r="V4734" s="115">
        <v>46032</v>
      </c>
      <c r="W4734" s="116">
        <v>1283</v>
      </c>
      <c r="X4734" s="220">
        <v>720000</v>
      </c>
      <c r="Y4734" s="220">
        <f>X4734*0.1</f>
        <v>72000</v>
      </c>
      <c r="Z4734" s="220">
        <v>8400</v>
      </c>
      <c r="AA4734" s="220">
        <f>SUM(X4734:Z4734)</f>
        <v>800400</v>
      </c>
      <c r="AB4734" s="222">
        <v>46037</v>
      </c>
    </row>
    <row r="4735" spans="1:28" ht="17.100000000000001" customHeight="1" thickBot="1">
      <c r="A4735" s="234"/>
      <c r="B4735" s="27" t="s">
        <v>2171</v>
      </c>
      <c r="C4735" s="27">
        <v>50004</v>
      </c>
      <c r="D4735" s="14" t="s">
        <v>1710</v>
      </c>
      <c r="E4735" s="229"/>
      <c r="F4735" s="117" t="s">
        <v>13834</v>
      </c>
      <c r="G4735" s="26">
        <v>51232</v>
      </c>
      <c r="H4735" s="231"/>
      <c r="I4735" s="221"/>
      <c r="J4735" s="221"/>
      <c r="K4735" s="221"/>
      <c r="L4735" s="221"/>
      <c r="M4735" s="221"/>
      <c r="N4735" s="221"/>
      <c r="O4735" s="225"/>
      <c r="P4735" s="118" t="s">
        <v>14300</v>
      </c>
      <c r="Q4735" s="16" t="s">
        <v>20</v>
      </c>
      <c r="R4735" s="17" t="s">
        <v>3857</v>
      </c>
      <c r="S4735" s="121" t="s">
        <v>3357</v>
      </c>
      <c r="T4735" s="122"/>
      <c r="U4735" s="22"/>
      <c r="V4735" s="123" t="s">
        <v>2472</v>
      </c>
      <c r="W4735" s="122">
        <v>60361</v>
      </c>
      <c r="X4735" s="221"/>
      <c r="Y4735" s="221"/>
      <c r="Z4735" s="221"/>
      <c r="AA4735" s="221"/>
      <c r="AB4735" s="223"/>
    </row>
    <row r="4736" spans="1:28" ht="17.100000000000001" customHeight="1" thickTop="1">
      <c r="A4736" s="226" t="s">
        <v>13905</v>
      </c>
      <c r="B4736" s="28">
        <v>46016</v>
      </c>
      <c r="C4736" s="25">
        <v>2008</v>
      </c>
      <c r="D4736" s="13" t="s">
        <v>1983</v>
      </c>
      <c r="E4736" s="228"/>
      <c r="F4736" s="109" t="s">
        <v>6851</v>
      </c>
      <c r="G4736" s="24" t="s">
        <v>2038</v>
      </c>
      <c r="H4736" s="230">
        <v>5</v>
      </c>
      <c r="I4736" s="220">
        <v>1371000</v>
      </c>
      <c r="J4736" s="220">
        <f>I4736*0.1</f>
        <v>137100</v>
      </c>
      <c r="K4736" s="220">
        <v>0</v>
      </c>
      <c r="L4736" s="220">
        <v>7040</v>
      </c>
      <c r="M4736" s="220">
        <v>22000</v>
      </c>
      <c r="N4736" s="220">
        <f>SUM(I4736:M4737)</f>
        <v>1537140</v>
      </c>
      <c r="O4736" s="224"/>
      <c r="P4736" s="110" t="s">
        <v>13837</v>
      </c>
      <c r="Q4736" s="15" t="s">
        <v>19</v>
      </c>
      <c r="R4736" s="205"/>
      <c r="S4736" s="189" t="s">
        <v>25667</v>
      </c>
      <c r="T4736" s="114"/>
      <c r="U4736" s="21" t="s">
        <v>15027</v>
      </c>
      <c r="V4736" s="115">
        <v>46042</v>
      </c>
      <c r="W4736" s="116">
        <v>1925</v>
      </c>
      <c r="X4736" s="220">
        <v>1400000</v>
      </c>
      <c r="Y4736" s="220">
        <f>X4736*0.1</f>
        <v>140000</v>
      </c>
      <c r="Z4736" s="220">
        <v>7040</v>
      </c>
      <c r="AA4736" s="220">
        <f>SUM(X4736:Z4736)</f>
        <v>1547040</v>
      </c>
      <c r="AB4736" s="222"/>
    </row>
    <row r="4737" spans="1:28" ht="17.100000000000001" customHeight="1" thickBot="1">
      <c r="A4737" s="227"/>
      <c r="B4737" s="27" t="s">
        <v>2171</v>
      </c>
      <c r="C4737" s="27">
        <v>50053</v>
      </c>
      <c r="D4737" s="14" t="s">
        <v>2753</v>
      </c>
      <c r="E4737" s="229"/>
      <c r="F4737" s="117" t="s">
        <v>13836</v>
      </c>
      <c r="G4737" s="26">
        <v>10816</v>
      </c>
      <c r="H4737" s="231"/>
      <c r="I4737" s="221"/>
      <c r="J4737" s="221"/>
      <c r="K4737" s="221"/>
      <c r="L4737" s="221"/>
      <c r="M4737" s="221"/>
      <c r="N4737" s="221"/>
      <c r="O4737" s="225"/>
      <c r="P4737" s="118" t="s">
        <v>14296</v>
      </c>
      <c r="Q4737" s="16" t="s">
        <v>20</v>
      </c>
      <c r="R4737" s="17" t="s">
        <v>3857</v>
      </c>
      <c r="S4737" s="121" t="s">
        <v>14297</v>
      </c>
      <c r="T4737" s="122"/>
      <c r="U4737" s="22"/>
      <c r="V4737" s="123" t="s">
        <v>2103</v>
      </c>
      <c r="W4737" s="122">
        <v>3079</v>
      </c>
      <c r="X4737" s="221"/>
      <c r="Y4737" s="221"/>
      <c r="Z4737" s="221"/>
      <c r="AA4737" s="221"/>
      <c r="AB4737" s="223"/>
    </row>
    <row r="4738" spans="1:28" ht="17.100000000000001" customHeight="1" thickTop="1">
      <c r="A4738" s="233" t="s">
        <v>13906</v>
      </c>
      <c r="B4738" s="28">
        <v>46016</v>
      </c>
      <c r="C4738" s="25">
        <v>2008</v>
      </c>
      <c r="D4738" s="13" t="s">
        <v>1953</v>
      </c>
      <c r="E4738" s="228"/>
      <c r="F4738" s="109" t="s">
        <v>3844</v>
      </c>
      <c r="G4738" s="24" t="s">
        <v>4038</v>
      </c>
      <c r="H4738" s="230">
        <v>4</v>
      </c>
      <c r="I4738" s="220">
        <v>700000</v>
      </c>
      <c r="J4738" s="220">
        <f>I4738*0.1</f>
        <v>70000</v>
      </c>
      <c r="K4738" s="220">
        <v>0</v>
      </c>
      <c r="L4738" s="220">
        <v>7950</v>
      </c>
      <c r="M4738" s="220">
        <v>22000</v>
      </c>
      <c r="N4738" s="220">
        <f>SUM(I4738:M4739)</f>
        <v>799950</v>
      </c>
      <c r="O4738" s="224"/>
      <c r="P4738" s="110" t="s">
        <v>13839</v>
      </c>
      <c r="Q4738" s="15" t="s">
        <v>19</v>
      </c>
      <c r="R4738" s="205"/>
      <c r="S4738" s="189" t="s">
        <v>25371</v>
      </c>
      <c r="T4738" s="114"/>
      <c r="U4738" s="21" t="s">
        <v>14576</v>
      </c>
      <c r="V4738" s="115">
        <v>46032</v>
      </c>
      <c r="W4738" s="116">
        <v>1283</v>
      </c>
      <c r="X4738" s="220">
        <v>775000</v>
      </c>
      <c r="Y4738" s="220">
        <f>X4738*0.1</f>
        <v>77500</v>
      </c>
      <c r="Z4738" s="220">
        <v>7950</v>
      </c>
      <c r="AA4738" s="220">
        <f>SUM(X4738:Z4738)</f>
        <v>860450</v>
      </c>
      <c r="AB4738" s="222">
        <v>46037</v>
      </c>
    </row>
    <row r="4739" spans="1:28" ht="17.100000000000001" customHeight="1" thickBot="1">
      <c r="A4739" s="234"/>
      <c r="B4739" s="27" t="s">
        <v>2171</v>
      </c>
      <c r="C4739" s="27">
        <v>50163</v>
      </c>
      <c r="D4739" s="14" t="s">
        <v>1627</v>
      </c>
      <c r="E4739" s="229"/>
      <c r="F4739" s="117" t="s">
        <v>13838</v>
      </c>
      <c r="G4739" s="26">
        <v>16860</v>
      </c>
      <c r="H4739" s="231"/>
      <c r="I4739" s="221"/>
      <c r="J4739" s="221"/>
      <c r="K4739" s="221"/>
      <c r="L4739" s="221"/>
      <c r="M4739" s="221"/>
      <c r="N4739" s="221"/>
      <c r="O4739" s="225"/>
      <c r="P4739" s="118" t="s">
        <v>3276</v>
      </c>
      <c r="Q4739" s="16" t="s">
        <v>20</v>
      </c>
      <c r="R4739" s="17" t="s">
        <v>3857</v>
      </c>
      <c r="S4739" s="121" t="s">
        <v>2025</v>
      </c>
      <c r="T4739" s="122"/>
      <c r="U4739" s="22"/>
      <c r="V4739" s="123" t="s">
        <v>2472</v>
      </c>
      <c r="W4739" s="122">
        <v>60248</v>
      </c>
      <c r="X4739" s="221"/>
      <c r="Y4739" s="221"/>
      <c r="Z4739" s="221"/>
      <c r="AA4739" s="221"/>
      <c r="AB4739" s="223"/>
    </row>
    <row r="4740" spans="1:28" ht="17.100000000000001" customHeight="1" thickTop="1">
      <c r="A4740" s="226" t="s">
        <v>13907</v>
      </c>
      <c r="B4740" s="28">
        <v>46016</v>
      </c>
      <c r="C4740" s="25">
        <v>2140</v>
      </c>
      <c r="D4740" s="13" t="s">
        <v>2010</v>
      </c>
      <c r="E4740" s="228"/>
      <c r="F4740" s="109" t="s">
        <v>13842</v>
      </c>
      <c r="G4740" s="24"/>
      <c r="H4740" s="230">
        <v>4.5</v>
      </c>
      <c r="I4740" s="220">
        <v>697000</v>
      </c>
      <c r="J4740" s="220">
        <f>I4740*0.1</f>
        <v>69700</v>
      </c>
      <c r="K4740" s="220">
        <v>0</v>
      </c>
      <c r="L4740" s="220">
        <v>7860</v>
      </c>
      <c r="M4740" s="220">
        <v>14300</v>
      </c>
      <c r="N4740" s="220">
        <f>SUM(I4740:M4741)</f>
        <v>788860</v>
      </c>
      <c r="O4740" s="224"/>
      <c r="P4740" s="110" t="s">
        <v>14739</v>
      </c>
      <c r="Q4740" s="15" t="s">
        <v>19</v>
      </c>
      <c r="R4740" s="205"/>
      <c r="S4740" s="189"/>
      <c r="T4740" s="114"/>
      <c r="U4740" s="21"/>
      <c r="V4740" s="115">
        <v>46018</v>
      </c>
      <c r="W4740" s="116">
        <v>1282</v>
      </c>
      <c r="X4740" s="220">
        <v>760000</v>
      </c>
      <c r="Y4740" s="220">
        <f>X4740*0.1</f>
        <v>76000</v>
      </c>
      <c r="Z4740" s="220">
        <v>7860</v>
      </c>
      <c r="AA4740" s="220">
        <f>SUM(X4740:Z4740)</f>
        <v>843860</v>
      </c>
      <c r="AB4740" s="222">
        <v>46042</v>
      </c>
    </row>
    <row r="4741" spans="1:28" ht="17.100000000000001" customHeight="1" thickBot="1">
      <c r="A4741" s="227"/>
      <c r="B4741" s="27" t="s">
        <v>3228</v>
      </c>
      <c r="C4741" s="27">
        <v>2108</v>
      </c>
      <c r="D4741" s="14" t="s">
        <v>1584</v>
      </c>
      <c r="E4741" s="229"/>
      <c r="F4741" s="117" t="s">
        <v>13843</v>
      </c>
      <c r="G4741" s="26">
        <v>3555</v>
      </c>
      <c r="H4741" s="231"/>
      <c r="I4741" s="221"/>
      <c r="J4741" s="221"/>
      <c r="K4741" s="221"/>
      <c r="L4741" s="221"/>
      <c r="M4741" s="221"/>
      <c r="N4741" s="221"/>
      <c r="O4741" s="225"/>
      <c r="P4741" s="118" t="s">
        <v>14740</v>
      </c>
      <c r="Q4741" s="16" t="s">
        <v>20</v>
      </c>
      <c r="R4741" s="17" t="s">
        <v>3913</v>
      </c>
      <c r="S4741" s="121"/>
      <c r="T4741" s="122"/>
      <c r="U4741" s="22"/>
      <c r="V4741" s="123" t="s">
        <v>2472</v>
      </c>
      <c r="W4741" s="122">
        <v>60423</v>
      </c>
      <c r="X4741" s="221"/>
      <c r="Y4741" s="221"/>
      <c r="Z4741" s="221"/>
      <c r="AA4741" s="221"/>
      <c r="AB4741" s="223"/>
    </row>
    <row r="4742" spans="1:28" ht="17.100000000000001" customHeight="1" thickTop="1">
      <c r="A4742" s="226" t="s">
        <v>13908</v>
      </c>
      <c r="B4742" s="28">
        <v>46016</v>
      </c>
      <c r="C4742" s="25">
        <v>2140</v>
      </c>
      <c r="D4742" s="13" t="s">
        <v>1810</v>
      </c>
      <c r="E4742" s="228"/>
      <c r="F4742" s="109" t="s">
        <v>6884</v>
      </c>
      <c r="G4742" s="24"/>
      <c r="H4742" s="230">
        <v>5</v>
      </c>
      <c r="I4742" s="220">
        <v>1127000</v>
      </c>
      <c r="J4742" s="220">
        <f>I4742*0.1</f>
        <v>112700</v>
      </c>
      <c r="K4742" s="220">
        <v>0</v>
      </c>
      <c r="L4742" s="220">
        <v>8640</v>
      </c>
      <c r="M4742" s="220">
        <v>14300</v>
      </c>
      <c r="N4742" s="220">
        <f>SUM(I4742:M4743)</f>
        <v>1262640</v>
      </c>
      <c r="O4742" s="224"/>
      <c r="P4742" s="110" t="s">
        <v>14407</v>
      </c>
      <c r="Q4742" s="15" t="s">
        <v>19</v>
      </c>
      <c r="R4742" s="205"/>
      <c r="S4742" s="189" t="s">
        <v>25668</v>
      </c>
      <c r="T4742" s="114"/>
      <c r="U4742" s="21"/>
      <c r="V4742" s="115">
        <v>46046</v>
      </c>
      <c r="W4742" s="116">
        <v>1285</v>
      </c>
      <c r="X4742" s="220">
        <v>1175000</v>
      </c>
      <c r="Y4742" s="220">
        <f>X4742*0.1</f>
        <v>117500</v>
      </c>
      <c r="Z4742" s="220">
        <v>8640</v>
      </c>
      <c r="AA4742" s="220">
        <f>SUM(X4742:Z4742)</f>
        <v>1301140</v>
      </c>
      <c r="AB4742" s="222">
        <v>46049</v>
      </c>
    </row>
    <row r="4743" spans="1:28" ht="17.100000000000001" customHeight="1" thickBot="1">
      <c r="A4743" s="227"/>
      <c r="B4743" s="27" t="s">
        <v>3228</v>
      </c>
      <c r="C4743" s="27">
        <v>2502</v>
      </c>
      <c r="D4743" s="14" t="s">
        <v>2520</v>
      </c>
      <c r="E4743" s="229"/>
      <c r="F4743" s="117" t="s">
        <v>13844</v>
      </c>
      <c r="G4743" s="26">
        <v>39721</v>
      </c>
      <c r="H4743" s="231"/>
      <c r="I4743" s="221"/>
      <c r="J4743" s="221"/>
      <c r="K4743" s="221"/>
      <c r="L4743" s="221"/>
      <c r="M4743" s="221"/>
      <c r="N4743" s="221"/>
      <c r="O4743" s="225"/>
      <c r="P4743" s="118" t="s">
        <v>2942</v>
      </c>
      <c r="Q4743" s="16" t="s">
        <v>20</v>
      </c>
      <c r="R4743" s="17" t="s">
        <v>2900</v>
      </c>
      <c r="S4743" s="121" t="s">
        <v>2572</v>
      </c>
      <c r="T4743" s="122"/>
      <c r="U4743" s="22"/>
      <c r="V4743" s="123" t="s">
        <v>2472</v>
      </c>
      <c r="W4743" s="122">
        <v>60129</v>
      </c>
      <c r="X4743" s="221"/>
      <c r="Y4743" s="221"/>
      <c r="Z4743" s="221"/>
      <c r="AA4743" s="221"/>
      <c r="AB4743" s="223"/>
    </row>
    <row r="4744" spans="1:28" ht="17.100000000000001" customHeight="1" thickTop="1">
      <c r="A4744" s="226" t="s">
        <v>13909</v>
      </c>
      <c r="B4744" s="28">
        <v>46016</v>
      </c>
      <c r="C4744" s="25">
        <v>2140</v>
      </c>
      <c r="D4744" s="13" t="s">
        <v>1642</v>
      </c>
      <c r="E4744" s="228"/>
      <c r="F4744" s="109" t="s">
        <v>13196</v>
      </c>
      <c r="G4744" s="24" t="s">
        <v>2894</v>
      </c>
      <c r="H4744" s="230">
        <v>4.5</v>
      </c>
      <c r="I4744" s="220">
        <v>708000</v>
      </c>
      <c r="J4744" s="220">
        <f>I4744*0.1</f>
        <v>70800</v>
      </c>
      <c r="K4744" s="220">
        <v>0</v>
      </c>
      <c r="L4744" s="220">
        <v>7590</v>
      </c>
      <c r="M4744" s="220">
        <v>14300</v>
      </c>
      <c r="N4744" s="220">
        <f>SUM(I4744:M4745)</f>
        <v>800690</v>
      </c>
      <c r="O4744" s="224"/>
      <c r="P4744" s="110" t="s">
        <v>14400</v>
      </c>
      <c r="Q4744" s="15" t="s">
        <v>19</v>
      </c>
      <c r="R4744" s="205"/>
      <c r="S4744" s="189" t="s">
        <v>25450</v>
      </c>
      <c r="T4744" s="114"/>
      <c r="U4744" s="21"/>
      <c r="V4744" s="115">
        <v>46057</v>
      </c>
      <c r="W4744" s="116">
        <v>1003</v>
      </c>
      <c r="X4744" s="220">
        <v>695000</v>
      </c>
      <c r="Y4744" s="220">
        <f>X4744*0.1</f>
        <v>69500</v>
      </c>
      <c r="Z4744" s="220">
        <v>7590</v>
      </c>
      <c r="AA4744" s="220">
        <f>SUM(X4744:Z4744)</f>
        <v>772090</v>
      </c>
      <c r="AB4744" s="222">
        <v>46062</v>
      </c>
    </row>
    <row r="4745" spans="1:28" ht="17.100000000000001" customHeight="1" thickBot="1">
      <c r="A4745" s="227"/>
      <c r="B4745" s="27" t="s">
        <v>3228</v>
      </c>
      <c r="C4745" s="27">
        <v>2512</v>
      </c>
      <c r="D4745" s="14" t="s">
        <v>1710</v>
      </c>
      <c r="E4745" s="229"/>
      <c r="F4745" s="117" t="s">
        <v>13845</v>
      </c>
      <c r="G4745" s="26">
        <v>23537</v>
      </c>
      <c r="H4745" s="231"/>
      <c r="I4745" s="221"/>
      <c r="J4745" s="221"/>
      <c r="K4745" s="221"/>
      <c r="L4745" s="221"/>
      <c r="M4745" s="221"/>
      <c r="N4745" s="221"/>
      <c r="O4745" s="225"/>
      <c r="P4745" s="118" t="s">
        <v>4226</v>
      </c>
      <c r="Q4745" s="16" t="s">
        <v>20</v>
      </c>
      <c r="R4745" s="17" t="s">
        <v>2900</v>
      </c>
      <c r="S4745" s="121" t="s">
        <v>4539</v>
      </c>
      <c r="T4745" s="122"/>
      <c r="U4745" s="22"/>
      <c r="V4745" s="123" t="s">
        <v>2747</v>
      </c>
      <c r="W4745" s="122">
        <v>5133</v>
      </c>
      <c r="X4745" s="221"/>
      <c r="Y4745" s="221"/>
      <c r="Z4745" s="221"/>
      <c r="AA4745" s="221"/>
      <c r="AB4745" s="223"/>
    </row>
    <row r="4746" spans="1:28" ht="17.100000000000001" customHeight="1" thickTop="1">
      <c r="A4746" s="233" t="s">
        <v>13910</v>
      </c>
      <c r="B4746" s="28">
        <v>46016</v>
      </c>
      <c r="C4746" s="25">
        <v>2140</v>
      </c>
      <c r="D4746" s="13" t="s">
        <v>812</v>
      </c>
      <c r="E4746" s="228"/>
      <c r="F4746" s="109" t="s">
        <v>13916</v>
      </c>
      <c r="G4746" s="24"/>
      <c r="H4746" s="230">
        <v>4</v>
      </c>
      <c r="I4746" s="220">
        <v>1002000</v>
      </c>
      <c r="J4746" s="220">
        <f>I4746*0.1</f>
        <v>100200</v>
      </c>
      <c r="K4746" s="220">
        <v>0</v>
      </c>
      <c r="L4746" s="220">
        <v>8110</v>
      </c>
      <c r="M4746" s="220">
        <v>14300</v>
      </c>
      <c r="N4746" s="220">
        <f>SUM(I4746:M4747)</f>
        <v>1124610</v>
      </c>
      <c r="O4746" s="224"/>
      <c r="P4746" s="110" t="s">
        <v>14408</v>
      </c>
      <c r="Q4746" s="15" t="s">
        <v>19</v>
      </c>
      <c r="R4746" s="205"/>
      <c r="S4746" s="189"/>
      <c r="T4746" s="114"/>
      <c r="U4746" s="21"/>
      <c r="V4746" s="115">
        <v>46032</v>
      </c>
      <c r="W4746" s="116">
        <v>1283</v>
      </c>
      <c r="X4746" s="220">
        <v>1055000</v>
      </c>
      <c r="Y4746" s="220">
        <f>X4746*0.1</f>
        <v>105500</v>
      </c>
      <c r="Z4746" s="220">
        <v>8110</v>
      </c>
      <c r="AA4746" s="220">
        <f>SUM(X4746:Z4746)</f>
        <v>1168610</v>
      </c>
      <c r="AB4746" s="222">
        <v>46036</v>
      </c>
    </row>
    <row r="4747" spans="1:28" ht="17.100000000000001" customHeight="1" thickBot="1">
      <c r="A4747" s="234"/>
      <c r="B4747" s="27" t="s">
        <v>3228</v>
      </c>
      <c r="C4747" s="27">
        <v>2532</v>
      </c>
      <c r="D4747" s="14" t="s">
        <v>2014</v>
      </c>
      <c r="E4747" s="229"/>
      <c r="F4747" s="117" t="s">
        <v>13915</v>
      </c>
      <c r="G4747" s="26">
        <v>44260</v>
      </c>
      <c r="H4747" s="231"/>
      <c r="I4747" s="221"/>
      <c r="J4747" s="221"/>
      <c r="K4747" s="221"/>
      <c r="L4747" s="221"/>
      <c r="M4747" s="221"/>
      <c r="N4747" s="221"/>
      <c r="O4747" s="225"/>
      <c r="P4747" s="118" t="s">
        <v>3820</v>
      </c>
      <c r="Q4747" s="16" t="s">
        <v>20</v>
      </c>
      <c r="R4747" s="17" t="s">
        <v>2900</v>
      </c>
      <c r="S4747" s="121"/>
      <c r="T4747" s="122"/>
      <c r="U4747" s="22"/>
      <c r="V4747" s="123" t="s">
        <v>2472</v>
      </c>
      <c r="W4747" s="122">
        <v>60052</v>
      </c>
      <c r="X4747" s="221"/>
      <c r="Y4747" s="221"/>
      <c r="Z4747" s="221"/>
      <c r="AA4747" s="221"/>
      <c r="AB4747" s="223"/>
    </row>
    <row r="4748" spans="1:28" ht="17.100000000000001" customHeight="1" thickTop="1">
      <c r="A4748" s="233" t="s">
        <v>13911</v>
      </c>
      <c r="B4748" s="28">
        <v>46016</v>
      </c>
      <c r="C4748" s="25">
        <v>2140</v>
      </c>
      <c r="D4748" s="13" t="s">
        <v>2406</v>
      </c>
      <c r="E4748" s="228"/>
      <c r="F4748" s="109" t="s">
        <v>13846</v>
      </c>
      <c r="G4748" s="24" t="s">
        <v>8090</v>
      </c>
      <c r="H4748" s="230">
        <v>4.5</v>
      </c>
      <c r="I4748" s="220">
        <v>1038000</v>
      </c>
      <c r="J4748" s="220">
        <f>I4748*0.1</f>
        <v>103800</v>
      </c>
      <c r="K4748" s="220">
        <v>0</v>
      </c>
      <c r="L4748" s="220">
        <v>9200</v>
      </c>
      <c r="M4748" s="220">
        <v>14300</v>
      </c>
      <c r="N4748" s="220">
        <f>SUM(I4748:M4749)</f>
        <v>1165300</v>
      </c>
      <c r="O4748" s="224"/>
      <c r="P4748" s="110" t="s">
        <v>13848</v>
      </c>
      <c r="Q4748" s="15" t="s">
        <v>19</v>
      </c>
      <c r="R4748" s="205"/>
      <c r="S4748" s="189" t="s">
        <v>1361</v>
      </c>
      <c r="T4748" s="114"/>
      <c r="U4748" s="21" t="s">
        <v>14575</v>
      </c>
      <c r="V4748" s="115">
        <v>46032</v>
      </c>
      <c r="W4748" s="116">
        <v>1283</v>
      </c>
      <c r="X4748" s="220">
        <v>1075000</v>
      </c>
      <c r="Y4748" s="220">
        <f>X4748*0.1</f>
        <v>107500</v>
      </c>
      <c r="Z4748" s="220">
        <v>9200</v>
      </c>
      <c r="AA4748" s="220">
        <f>SUM(X4748:Z4748)</f>
        <v>1191700</v>
      </c>
      <c r="AB4748" s="222">
        <v>46037</v>
      </c>
    </row>
    <row r="4749" spans="1:28" ht="17.100000000000001" customHeight="1" thickBot="1">
      <c r="A4749" s="234"/>
      <c r="B4749" s="27" t="s">
        <v>3228</v>
      </c>
      <c r="C4749" s="27">
        <v>2535</v>
      </c>
      <c r="D4749" s="14" t="s">
        <v>2559</v>
      </c>
      <c r="E4749" s="229"/>
      <c r="F4749" s="117" t="s">
        <v>13847</v>
      </c>
      <c r="G4749" s="26">
        <v>23797</v>
      </c>
      <c r="H4749" s="231"/>
      <c r="I4749" s="221"/>
      <c r="J4749" s="221"/>
      <c r="K4749" s="221"/>
      <c r="L4749" s="221"/>
      <c r="M4749" s="221"/>
      <c r="N4749" s="221"/>
      <c r="O4749" s="225"/>
      <c r="P4749" s="118" t="s">
        <v>14401</v>
      </c>
      <c r="Q4749" s="16" t="s">
        <v>20</v>
      </c>
      <c r="R4749" s="17" t="s">
        <v>2900</v>
      </c>
      <c r="S4749" s="121" t="s">
        <v>14402</v>
      </c>
      <c r="T4749" s="122"/>
      <c r="U4749" s="22"/>
      <c r="V4749" s="123" t="s">
        <v>2472</v>
      </c>
      <c r="W4749" s="122">
        <v>60360</v>
      </c>
      <c r="X4749" s="221"/>
      <c r="Y4749" s="221"/>
      <c r="Z4749" s="221"/>
      <c r="AA4749" s="221"/>
      <c r="AB4749" s="223"/>
    </row>
    <row r="4750" spans="1:28" ht="17.100000000000001" customHeight="1" thickTop="1">
      <c r="A4750" s="233" t="s">
        <v>13912</v>
      </c>
      <c r="B4750" s="28">
        <v>46016</v>
      </c>
      <c r="C4750" s="25">
        <v>2140</v>
      </c>
      <c r="D4750" s="13" t="s">
        <v>3406</v>
      </c>
      <c r="E4750" s="228"/>
      <c r="F4750" s="109" t="s">
        <v>9344</v>
      </c>
      <c r="G4750" s="24"/>
      <c r="H4750" s="230">
        <v>4.5</v>
      </c>
      <c r="I4750" s="220">
        <v>1361000</v>
      </c>
      <c r="J4750" s="220">
        <f>I4750*0.1</f>
        <v>136100</v>
      </c>
      <c r="K4750" s="220">
        <v>0</v>
      </c>
      <c r="L4750" s="220">
        <v>8630</v>
      </c>
      <c r="M4750" s="220">
        <v>14300</v>
      </c>
      <c r="N4750" s="220">
        <f>SUM(I4750:M4751)</f>
        <v>1520030</v>
      </c>
      <c r="O4750" s="224"/>
      <c r="P4750" s="110" t="s">
        <v>13850</v>
      </c>
      <c r="Q4750" s="15" t="s">
        <v>19</v>
      </c>
      <c r="R4750" s="205"/>
      <c r="S4750" s="189" t="s">
        <v>25669</v>
      </c>
      <c r="T4750" s="114"/>
      <c r="U4750" s="21"/>
      <c r="V4750" s="115">
        <v>46032</v>
      </c>
      <c r="W4750" s="116">
        <v>1283</v>
      </c>
      <c r="X4750" s="220">
        <v>1410000</v>
      </c>
      <c r="Y4750" s="220">
        <f>X4750*0.1</f>
        <v>141000</v>
      </c>
      <c r="Z4750" s="220">
        <v>8630</v>
      </c>
      <c r="AA4750" s="220">
        <f>SUM(X4750:Z4750)</f>
        <v>1559630</v>
      </c>
      <c r="AB4750" s="222">
        <v>46042</v>
      </c>
    </row>
    <row r="4751" spans="1:28" ht="17.100000000000001" customHeight="1" thickBot="1">
      <c r="A4751" s="234"/>
      <c r="B4751" s="27" t="s">
        <v>3228</v>
      </c>
      <c r="C4751" s="27">
        <v>2542</v>
      </c>
      <c r="D4751" s="14" t="s">
        <v>2559</v>
      </c>
      <c r="E4751" s="229"/>
      <c r="F4751" s="117" t="s">
        <v>13849</v>
      </c>
      <c r="G4751" s="26">
        <v>16701</v>
      </c>
      <c r="H4751" s="231"/>
      <c r="I4751" s="221"/>
      <c r="J4751" s="221"/>
      <c r="K4751" s="221"/>
      <c r="L4751" s="221"/>
      <c r="M4751" s="221"/>
      <c r="N4751" s="221"/>
      <c r="O4751" s="225"/>
      <c r="P4751" s="118" t="s">
        <v>14406</v>
      </c>
      <c r="Q4751" s="16" t="s">
        <v>20</v>
      </c>
      <c r="R4751" s="17" t="s">
        <v>2900</v>
      </c>
      <c r="S4751" s="121" t="s">
        <v>1731</v>
      </c>
      <c r="T4751" s="122"/>
      <c r="U4751" s="22"/>
      <c r="V4751" s="123" t="s">
        <v>2472</v>
      </c>
      <c r="W4751" s="122">
        <v>60049</v>
      </c>
      <c r="X4751" s="221"/>
      <c r="Y4751" s="221"/>
      <c r="Z4751" s="221"/>
      <c r="AA4751" s="221"/>
      <c r="AB4751" s="223"/>
    </row>
    <row r="4752" spans="1:28" ht="17.100000000000001" customHeight="1" thickTop="1">
      <c r="A4752" s="233" t="s">
        <v>13913</v>
      </c>
      <c r="B4752" s="28">
        <v>46016</v>
      </c>
      <c r="C4752" s="25">
        <v>2140</v>
      </c>
      <c r="D4752" s="13" t="s">
        <v>2920</v>
      </c>
      <c r="E4752" s="228"/>
      <c r="F4752" s="109" t="s">
        <v>13851</v>
      </c>
      <c r="G4752" s="24"/>
      <c r="H4752" s="230">
        <v>4</v>
      </c>
      <c r="I4752" s="220">
        <v>984000</v>
      </c>
      <c r="J4752" s="220">
        <f>I4752*0.1</f>
        <v>98400</v>
      </c>
      <c r="K4752" s="220">
        <v>0</v>
      </c>
      <c r="L4752" s="220">
        <v>6830</v>
      </c>
      <c r="M4752" s="220">
        <v>14300</v>
      </c>
      <c r="N4752" s="220">
        <f>SUM(I4752:M4753)</f>
        <v>1103530</v>
      </c>
      <c r="O4752" s="224"/>
      <c r="P4752" s="110" t="s">
        <v>14403</v>
      </c>
      <c r="Q4752" s="15" t="s">
        <v>19</v>
      </c>
      <c r="R4752" s="205"/>
      <c r="S4752" s="189" t="s">
        <v>1361</v>
      </c>
      <c r="T4752" s="114"/>
      <c r="U4752" s="21"/>
      <c r="V4752" s="115">
        <v>46032</v>
      </c>
      <c r="W4752" s="116">
        <v>1283</v>
      </c>
      <c r="X4752" s="220">
        <v>1055000</v>
      </c>
      <c r="Y4752" s="220">
        <f>X4752*0.1</f>
        <v>105500</v>
      </c>
      <c r="Z4752" s="220">
        <v>6830</v>
      </c>
      <c r="AA4752" s="220">
        <f>SUM(X4752:Z4752)</f>
        <v>1167330</v>
      </c>
      <c r="AB4752" s="222">
        <v>46036</v>
      </c>
    </row>
    <row r="4753" spans="1:28" ht="17.100000000000001" customHeight="1" thickBot="1">
      <c r="A4753" s="234"/>
      <c r="B4753" s="27" t="s">
        <v>3228</v>
      </c>
      <c r="C4753" s="27">
        <v>2546</v>
      </c>
      <c r="D4753" s="14" t="s">
        <v>898</v>
      </c>
      <c r="E4753" s="229"/>
      <c r="F4753" s="117" t="s">
        <v>13852</v>
      </c>
      <c r="G4753" s="26">
        <v>23515</v>
      </c>
      <c r="H4753" s="231"/>
      <c r="I4753" s="221"/>
      <c r="J4753" s="221"/>
      <c r="K4753" s="221"/>
      <c r="L4753" s="221"/>
      <c r="M4753" s="221"/>
      <c r="N4753" s="221"/>
      <c r="O4753" s="225"/>
      <c r="P4753" s="118" t="s">
        <v>4226</v>
      </c>
      <c r="Q4753" s="16" t="s">
        <v>20</v>
      </c>
      <c r="R4753" s="17" t="s">
        <v>2900</v>
      </c>
      <c r="S4753" s="121" t="s">
        <v>1661</v>
      </c>
      <c r="T4753" s="122"/>
      <c r="U4753" s="22"/>
      <c r="V4753" s="123" t="s">
        <v>2472</v>
      </c>
      <c r="W4753" s="122">
        <v>60050</v>
      </c>
      <c r="X4753" s="221"/>
      <c r="Y4753" s="221"/>
      <c r="Z4753" s="221"/>
      <c r="AA4753" s="221"/>
      <c r="AB4753" s="223"/>
    </row>
    <row r="4754" spans="1:28" ht="17.100000000000001" customHeight="1" thickTop="1">
      <c r="A4754" s="233" t="s">
        <v>13914</v>
      </c>
      <c r="B4754" s="28">
        <v>46016</v>
      </c>
      <c r="C4754" s="25">
        <v>2140</v>
      </c>
      <c r="D4754" s="13" t="s">
        <v>2644</v>
      </c>
      <c r="E4754" s="228"/>
      <c r="F4754" s="109" t="s">
        <v>2673</v>
      </c>
      <c r="G4754" s="24" t="s">
        <v>5556</v>
      </c>
      <c r="H4754" s="230">
        <v>5</v>
      </c>
      <c r="I4754" s="220">
        <v>1008000</v>
      </c>
      <c r="J4754" s="220">
        <f>I4754*0.1</f>
        <v>100800</v>
      </c>
      <c r="K4754" s="220">
        <v>0</v>
      </c>
      <c r="L4754" s="220">
        <v>8550</v>
      </c>
      <c r="M4754" s="220">
        <v>14300</v>
      </c>
      <c r="N4754" s="220">
        <f>SUM(I4754:M4755)</f>
        <v>1131650</v>
      </c>
      <c r="O4754" s="224"/>
      <c r="P4754" s="110" t="s">
        <v>14404</v>
      </c>
      <c r="Q4754" s="15" t="s">
        <v>19</v>
      </c>
      <c r="R4754" s="205"/>
      <c r="S4754" s="189" t="s">
        <v>758</v>
      </c>
      <c r="T4754" s="114"/>
      <c r="U4754" s="21" t="s">
        <v>14574</v>
      </c>
      <c r="V4754" s="115">
        <v>46032</v>
      </c>
      <c r="W4754" s="116">
        <v>1283</v>
      </c>
      <c r="X4754" s="220">
        <v>1085000</v>
      </c>
      <c r="Y4754" s="220">
        <f>X4754*0.1</f>
        <v>108500</v>
      </c>
      <c r="Z4754" s="220">
        <v>8550</v>
      </c>
      <c r="AA4754" s="220">
        <f>SUM(X4754:Z4754)</f>
        <v>1202050</v>
      </c>
      <c r="AB4754" s="222">
        <v>46037</v>
      </c>
    </row>
    <row r="4755" spans="1:28" ht="17.100000000000001" customHeight="1" thickBot="1">
      <c r="A4755" s="234"/>
      <c r="B4755" s="27" t="s">
        <v>3228</v>
      </c>
      <c r="C4755" s="27">
        <v>2552</v>
      </c>
      <c r="D4755" s="14" t="s">
        <v>1568</v>
      </c>
      <c r="E4755" s="229"/>
      <c r="F4755" s="117" t="s">
        <v>13853</v>
      </c>
      <c r="G4755" s="26">
        <v>12523</v>
      </c>
      <c r="H4755" s="231"/>
      <c r="I4755" s="221"/>
      <c r="J4755" s="221"/>
      <c r="K4755" s="221"/>
      <c r="L4755" s="221"/>
      <c r="M4755" s="221"/>
      <c r="N4755" s="221"/>
      <c r="O4755" s="225"/>
      <c r="P4755" s="118" t="s">
        <v>14405</v>
      </c>
      <c r="Q4755" s="16" t="s">
        <v>20</v>
      </c>
      <c r="R4755" s="17" t="s">
        <v>2900</v>
      </c>
      <c r="S4755" s="121" t="s">
        <v>2360</v>
      </c>
      <c r="T4755" s="122"/>
      <c r="U4755" s="22"/>
      <c r="V4755" s="123" t="s">
        <v>2472</v>
      </c>
      <c r="W4755" s="122">
        <v>60250</v>
      </c>
      <c r="X4755" s="221"/>
      <c r="Y4755" s="221"/>
      <c r="Z4755" s="221"/>
      <c r="AA4755" s="221"/>
      <c r="AB4755" s="223"/>
    </row>
    <row r="4756" spans="1:28" ht="17.100000000000001" customHeight="1" thickTop="1">
      <c r="A4756" s="226" t="s">
        <v>13962</v>
      </c>
      <c r="B4756" s="28">
        <v>46017</v>
      </c>
      <c r="C4756" s="25">
        <v>272</v>
      </c>
      <c r="D4756" s="13" t="s">
        <v>1021</v>
      </c>
      <c r="E4756" s="228"/>
      <c r="F4756" s="109" t="s">
        <v>14018</v>
      </c>
      <c r="G4756" s="24"/>
      <c r="H4756" s="230">
        <v>4.5</v>
      </c>
      <c r="I4756" s="220">
        <v>315000</v>
      </c>
      <c r="J4756" s="220">
        <f>I4756*0.1</f>
        <v>31500</v>
      </c>
      <c r="K4756" s="220">
        <v>0</v>
      </c>
      <c r="L4756" s="220">
        <v>8490</v>
      </c>
      <c r="M4756" s="220">
        <v>22000</v>
      </c>
      <c r="N4756" s="220">
        <f>SUM(I4756:M4757)</f>
        <v>376990</v>
      </c>
      <c r="O4756" s="224"/>
      <c r="P4756" s="110" t="s">
        <v>14204</v>
      </c>
      <c r="Q4756" s="15" t="s">
        <v>19</v>
      </c>
      <c r="R4756" s="205"/>
      <c r="S4756" s="189" t="s">
        <v>1361</v>
      </c>
      <c r="T4756" s="114"/>
      <c r="U4756" s="21"/>
      <c r="V4756" s="115">
        <v>46029</v>
      </c>
      <c r="W4756" s="116">
        <v>999</v>
      </c>
      <c r="X4756" s="220">
        <v>370000</v>
      </c>
      <c r="Y4756" s="220">
        <f>X4756*0.1</f>
        <v>37000</v>
      </c>
      <c r="Z4756" s="220">
        <v>8490</v>
      </c>
      <c r="AA4756" s="220">
        <f>SUM(X4756:Z4756)</f>
        <v>415490</v>
      </c>
      <c r="AB4756" s="222">
        <v>46035</v>
      </c>
    </row>
    <row r="4757" spans="1:28" ht="17.100000000000001" customHeight="1" thickBot="1">
      <c r="A4757" s="227"/>
      <c r="B4757" s="27" t="s">
        <v>3890</v>
      </c>
      <c r="C4757" s="27">
        <v>17</v>
      </c>
      <c r="D4757" s="14" t="s">
        <v>273</v>
      </c>
      <c r="E4757" s="229"/>
      <c r="F4757" s="117" t="s">
        <v>13978</v>
      </c>
      <c r="G4757" s="26">
        <v>58250</v>
      </c>
      <c r="H4757" s="231"/>
      <c r="I4757" s="221"/>
      <c r="J4757" s="221"/>
      <c r="K4757" s="221"/>
      <c r="L4757" s="221"/>
      <c r="M4757" s="221"/>
      <c r="N4757" s="221"/>
      <c r="O4757" s="225"/>
      <c r="P4757" s="118" t="s">
        <v>4962</v>
      </c>
      <c r="Q4757" s="16" t="s">
        <v>20</v>
      </c>
      <c r="R4757" s="17" t="s">
        <v>1953</v>
      </c>
      <c r="S4757" s="121" t="s">
        <v>169</v>
      </c>
      <c r="T4757" s="122"/>
      <c r="U4757" s="22"/>
      <c r="V4757" s="123" t="s">
        <v>2747</v>
      </c>
      <c r="W4757" s="122">
        <v>2064</v>
      </c>
      <c r="X4757" s="221"/>
      <c r="Y4757" s="221"/>
      <c r="Z4757" s="221"/>
      <c r="AA4757" s="221"/>
      <c r="AB4757" s="223"/>
    </row>
    <row r="4758" spans="1:28" ht="17.100000000000001" customHeight="1" thickTop="1">
      <c r="A4758" s="226" t="s">
        <v>13963</v>
      </c>
      <c r="B4758" s="28">
        <v>46017</v>
      </c>
      <c r="C4758" s="25">
        <v>272</v>
      </c>
      <c r="D4758" s="13" t="s">
        <v>4531</v>
      </c>
      <c r="E4758" s="228"/>
      <c r="F4758" s="109" t="s">
        <v>6963</v>
      </c>
      <c r="G4758" s="24" t="s">
        <v>3345</v>
      </c>
      <c r="H4758" s="230">
        <v>3.5</v>
      </c>
      <c r="I4758" s="220">
        <v>407000</v>
      </c>
      <c r="J4758" s="220">
        <f>I4758*0.1</f>
        <v>40700</v>
      </c>
      <c r="K4758" s="220">
        <v>0</v>
      </c>
      <c r="L4758" s="220">
        <v>9910</v>
      </c>
      <c r="M4758" s="220">
        <v>22000</v>
      </c>
      <c r="N4758" s="220">
        <f>SUM(I4758:M4759)</f>
        <v>479610</v>
      </c>
      <c r="O4758" s="224"/>
      <c r="P4758" s="110" t="s">
        <v>14019</v>
      </c>
      <c r="Q4758" s="15" t="s">
        <v>19</v>
      </c>
      <c r="R4758" s="205"/>
      <c r="S4758" s="189" t="s">
        <v>758</v>
      </c>
      <c r="T4758" s="114"/>
      <c r="U4758" s="21"/>
      <c r="V4758" s="115">
        <v>46043</v>
      </c>
      <c r="W4758" s="116">
        <v>1001</v>
      </c>
      <c r="X4758" s="220">
        <v>560000</v>
      </c>
      <c r="Y4758" s="220">
        <f>X4758*0.1</f>
        <v>56000</v>
      </c>
      <c r="Z4758" s="220">
        <v>9910</v>
      </c>
      <c r="AA4758" s="220">
        <f>SUM(X4758:Z4758)</f>
        <v>625910</v>
      </c>
      <c r="AB4758" s="222">
        <v>46048</v>
      </c>
    </row>
    <row r="4759" spans="1:28" ht="17.100000000000001" customHeight="1" thickBot="1">
      <c r="A4759" s="227"/>
      <c r="B4759" s="27" t="s">
        <v>3890</v>
      </c>
      <c r="C4759" s="27">
        <v>84</v>
      </c>
      <c r="D4759" s="14" t="s">
        <v>2014</v>
      </c>
      <c r="E4759" s="229"/>
      <c r="F4759" s="117" t="s">
        <v>13979</v>
      </c>
      <c r="G4759" s="26">
        <v>61971</v>
      </c>
      <c r="H4759" s="231"/>
      <c r="I4759" s="221"/>
      <c r="J4759" s="221"/>
      <c r="K4759" s="221"/>
      <c r="L4759" s="221"/>
      <c r="M4759" s="221"/>
      <c r="N4759" s="221"/>
      <c r="O4759" s="225"/>
      <c r="P4759" s="118" t="s">
        <v>14205</v>
      </c>
      <c r="Q4759" s="16" t="s">
        <v>20</v>
      </c>
      <c r="R4759" s="17" t="s">
        <v>1953</v>
      </c>
      <c r="S4759" s="121" t="s">
        <v>2360</v>
      </c>
      <c r="T4759" s="122"/>
      <c r="U4759" s="22"/>
      <c r="V4759" s="123" t="s">
        <v>2747</v>
      </c>
      <c r="W4759" s="122">
        <v>2048</v>
      </c>
      <c r="X4759" s="221"/>
      <c r="Y4759" s="221"/>
      <c r="Z4759" s="221"/>
      <c r="AA4759" s="221"/>
      <c r="AB4759" s="223"/>
    </row>
    <row r="4760" spans="1:28" ht="17.100000000000001" customHeight="1" thickTop="1">
      <c r="A4760" s="226" t="s">
        <v>13964</v>
      </c>
      <c r="B4760" s="28">
        <v>46017</v>
      </c>
      <c r="C4760" s="25">
        <v>272</v>
      </c>
      <c r="D4760" s="13" t="s">
        <v>2306</v>
      </c>
      <c r="E4760" s="228"/>
      <c r="F4760" s="109" t="s">
        <v>14020</v>
      </c>
      <c r="G4760" s="24"/>
      <c r="H4760" s="230">
        <v>4</v>
      </c>
      <c r="I4760" s="220">
        <v>714000</v>
      </c>
      <c r="J4760" s="220">
        <f>I4760*0.1</f>
        <v>71400</v>
      </c>
      <c r="K4760" s="220">
        <v>0</v>
      </c>
      <c r="L4760" s="220">
        <v>10010</v>
      </c>
      <c r="M4760" s="220">
        <v>22000</v>
      </c>
      <c r="N4760" s="220">
        <f>SUM(I4760:M4761)</f>
        <v>817410</v>
      </c>
      <c r="O4760" s="224"/>
      <c r="P4760" s="110" t="s">
        <v>14206</v>
      </c>
      <c r="Q4760" s="15" t="s">
        <v>19</v>
      </c>
      <c r="R4760" s="205"/>
      <c r="S4760" s="189"/>
      <c r="T4760" s="114"/>
      <c r="U4760" s="21"/>
      <c r="V4760" s="115">
        <v>46057</v>
      </c>
      <c r="W4760" s="116">
        <v>1003</v>
      </c>
      <c r="X4760" s="220">
        <v>850000</v>
      </c>
      <c r="Y4760" s="220">
        <f>X4760*0.1</f>
        <v>85000</v>
      </c>
      <c r="Z4760" s="220">
        <v>10010</v>
      </c>
      <c r="AA4760" s="220">
        <f>SUM(X4760:Z4760)</f>
        <v>945010</v>
      </c>
      <c r="AB4760" s="222">
        <v>46065</v>
      </c>
    </row>
    <row r="4761" spans="1:28" ht="17.100000000000001" customHeight="1" thickBot="1">
      <c r="A4761" s="227"/>
      <c r="B4761" s="27" t="s">
        <v>3890</v>
      </c>
      <c r="C4761" s="27">
        <v>86</v>
      </c>
      <c r="D4761" s="14" t="s">
        <v>273</v>
      </c>
      <c r="E4761" s="229"/>
      <c r="F4761" s="117" t="s">
        <v>13980</v>
      </c>
      <c r="G4761" s="26">
        <v>7711</v>
      </c>
      <c r="H4761" s="231"/>
      <c r="I4761" s="221"/>
      <c r="J4761" s="221"/>
      <c r="K4761" s="221"/>
      <c r="L4761" s="221"/>
      <c r="M4761" s="221"/>
      <c r="N4761" s="221"/>
      <c r="O4761" s="225"/>
      <c r="P4761" s="118" t="s">
        <v>14207</v>
      </c>
      <c r="Q4761" s="16" t="s">
        <v>20</v>
      </c>
      <c r="R4761" s="17" t="s">
        <v>1953</v>
      </c>
      <c r="S4761" s="121"/>
      <c r="T4761" s="122"/>
      <c r="U4761" s="22"/>
      <c r="V4761" s="123" t="s">
        <v>8648</v>
      </c>
      <c r="W4761" s="122">
        <v>2041</v>
      </c>
      <c r="X4761" s="221"/>
      <c r="Y4761" s="221"/>
      <c r="Z4761" s="221"/>
      <c r="AA4761" s="221"/>
      <c r="AB4761" s="223"/>
    </row>
    <row r="4762" spans="1:28" ht="17.100000000000001" customHeight="1" thickTop="1">
      <c r="A4762" s="226" t="s">
        <v>13965</v>
      </c>
      <c r="B4762" s="28">
        <v>46017</v>
      </c>
      <c r="C4762" s="25">
        <v>272</v>
      </c>
      <c r="D4762" s="13" t="s">
        <v>2379</v>
      </c>
      <c r="E4762" s="228"/>
      <c r="F4762" s="109" t="s">
        <v>13426</v>
      </c>
      <c r="G4762" s="24" t="s">
        <v>2543</v>
      </c>
      <c r="H4762" s="230">
        <v>5</v>
      </c>
      <c r="I4762" s="220">
        <v>1617000</v>
      </c>
      <c r="J4762" s="220">
        <f>I4762*0.1</f>
        <v>161700</v>
      </c>
      <c r="K4762" s="220">
        <v>0</v>
      </c>
      <c r="L4762" s="220">
        <v>7230</v>
      </c>
      <c r="M4762" s="220">
        <v>22000</v>
      </c>
      <c r="N4762" s="220">
        <f>SUM(I4762:M4763)</f>
        <v>1807930</v>
      </c>
      <c r="O4762" s="224"/>
      <c r="P4762" s="110" t="s">
        <v>14021</v>
      </c>
      <c r="Q4762" s="15" t="s">
        <v>19</v>
      </c>
      <c r="R4762" s="205"/>
      <c r="S4762" s="189" t="s">
        <v>758</v>
      </c>
      <c r="T4762" s="114"/>
      <c r="U4762" s="21" t="s">
        <v>15036</v>
      </c>
      <c r="V4762" s="115">
        <v>46049</v>
      </c>
      <c r="W4762" s="116">
        <v>1926</v>
      </c>
      <c r="X4762" s="220">
        <v>1684000</v>
      </c>
      <c r="Y4762" s="220">
        <f>X4762*0.1</f>
        <v>168400</v>
      </c>
      <c r="Z4762" s="220">
        <v>7230</v>
      </c>
      <c r="AA4762" s="220">
        <f>SUM(X4762:Z4762)</f>
        <v>1859630</v>
      </c>
      <c r="AB4762" s="222"/>
    </row>
    <row r="4763" spans="1:28" ht="17.100000000000001" customHeight="1" thickBot="1">
      <c r="A4763" s="227"/>
      <c r="B4763" s="27" t="s">
        <v>3890</v>
      </c>
      <c r="C4763" s="27">
        <v>99</v>
      </c>
      <c r="D4763" s="14" t="s">
        <v>273</v>
      </c>
      <c r="E4763" s="229"/>
      <c r="F4763" s="117" t="s">
        <v>13981</v>
      </c>
      <c r="G4763" s="26">
        <v>25852</v>
      </c>
      <c r="H4763" s="231"/>
      <c r="I4763" s="221"/>
      <c r="J4763" s="221"/>
      <c r="K4763" s="221"/>
      <c r="L4763" s="221"/>
      <c r="M4763" s="221"/>
      <c r="N4763" s="221"/>
      <c r="O4763" s="225"/>
      <c r="P4763" s="118" t="s">
        <v>14208</v>
      </c>
      <c r="Q4763" s="16" t="s">
        <v>20</v>
      </c>
      <c r="R4763" s="17" t="s">
        <v>1953</v>
      </c>
      <c r="S4763" s="121" t="s">
        <v>1661</v>
      </c>
      <c r="T4763" s="122"/>
      <c r="U4763" s="22"/>
      <c r="V4763" s="123" t="s">
        <v>2103</v>
      </c>
      <c r="W4763" s="122">
        <v>3017</v>
      </c>
      <c r="X4763" s="221"/>
      <c r="Y4763" s="221"/>
      <c r="Z4763" s="221"/>
      <c r="AA4763" s="221"/>
      <c r="AB4763" s="223"/>
    </row>
    <row r="4764" spans="1:28" ht="17.100000000000001" customHeight="1" thickTop="1">
      <c r="A4764" s="226" t="s">
        <v>13966</v>
      </c>
      <c r="B4764" s="28">
        <v>46017</v>
      </c>
      <c r="C4764" s="25">
        <v>272</v>
      </c>
      <c r="D4764" s="13" t="s">
        <v>4050</v>
      </c>
      <c r="E4764" s="228"/>
      <c r="F4764" s="109" t="s">
        <v>13735</v>
      </c>
      <c r="G4764" s="24"/>
      <c r="H4764" s="230">
        <v>4.5</v>
      </c>
      <c r="I4764" s="220">
        <v>915000</v>
      </c>
      <c r="J4764" s="220">
        <f>I4764*0.1</f>
        <v>91500</v>
      </c>
      <c r="K4764" s="220">
        <v>0</v>
      </c>
      <c r="L4764" s="220">
        <v>8550</v>
      </c>
      <c r="M4764" s="220">
        <v>22000</v>
      </c>
      <c r="N4764" s="220">
        <f>SUM(I4764:M4765)</f>
        <v>1037050</v>
      </c>
      <c r="O4764" s="224"/>
      <c r="P4764" s="110" t="s">
        <v>14262</v>
      </c>
      <c r="Q4764" s="15" t="s">
        <v>19</v>
      </c>
      <c r="R4764" s="205"/>
      <c r="S4764" s="189"/>
      <c r="T4764" s="114"/>
      <c r="U4764" s="21"/>
      <c r="V4764" s="115">
        <v>46029</v>
      </c>
      <c r="W4764" s="116">
        <v>999</v>
      </c>
      <c r="X4764" s="220">
        <v>1010000</v>
      </c>
      <c r="Y4764" s="220">
        <f>X4764*0.1</f>
        <v>101000</v>
      </c>
      <c r="Z4764" s="220">
        <v>8550</v>
      </c>
      <c r="AA4764" s="220">
        <f>SUM(X4764:Z4764)</f>
        <v>1119550</v>
      </c>
      <c r="AB4764" s="222">
        <v>46035</v>
      </c>
    </row>
    <row r="4765" spans="1:28" ht="17.100000000000001" customHeight="1" thickBot="1">
      <c r="A4765" s="227"/>
      <c r="B4765" s="27" t="s">
        <v>3890</v>
      </c>
      <c r="C4765" s="27">
        <v>116</v>
      </c>
      <c r="D4765" s="14" t="s">
        <v>1797</v>
      </c>
      <c r="E4765" s="229"/>
      <c r="F4765" s="117" t="s">
        <v>13982</v>
      </c>
      <c r="G4765" s="26">
        <v>4104</v>
      </c>
      <c r="H4765" s="231"/>
      <c r="I4765" s="221"/>
      <c r="J4765" s="221"/>
      <c r="K4765" s="221"/>
      <c r="L4765" s="221"/>
      <c r="M4765" s="221"/>
      <c r="N4765" s="221"/>
      <c r="O4765" s="225"/>
      <c r="P4765" s="118" t="s">
        <v>12896</v>
      </c>
      <c r="Q4765" s="16" t="s">
        <v>20</v>
      </c>
      <c r="R4765" s="17" t="s">
        <v>3857</v>
      </c>
      <c r="S4765" s="121"/>
      <c r="T4765" s="122"/>
      <c r="U4765" s="22"/>
      <c r="V4765" s="123" t="s">
        <v>2747</v>
      </c>
      <c r="W4765" s="122">
        <v>2060</v>
      </c>
      <c r="X4765" s="221"/>
      <c r="Y4765" s="221"/>
      <c r="Z4765" s="221"/>
      <c r="AA4765" s="221"/>
      <c r="AB4765" s="223"/>
    </row>
    <row r="4766" spans="1:28" ht="17.100000000000001" customHeight="1" thickTop="1">
      <c r="A4766" s="226" t="s">
        <v>13967</v>
      </c>
      <c r="B4766" s="28">
        <v>46017</v>
      </c>
      <c r="C4766" s="25">
        <v>272</v>
      </c>
      <c r="D4766" s="13" t="s">
        <v>1578</v>
      </c>
      <c r="E4766" s="228"/>
      <c r="F4766" s="109" t="s">
        <v>14020</v>
      </c>
      <c r="G4766" s="24" t="s">
        <v>2543</v>
      </c>
      <c r="H4766" s="230">
        <v>4</v>
      </c>
      <c r="I4766" s="220">
        <v>970000</v>
      </c>
      <c r="J4766" s="220">
        <f>I4766*0.1</f>
        <v>97000</v>
      </c>
      <c r="K4766" s="220">
        <v>0</v>
      </c>
      <c r="L4766" s="220">
        <v>9080</v>
      </c>
      <c r="M4766" s="220">
        <v>22000</v>
      </c>
      <c r="N4766" s="220">
        <f>SUM(I4766:M4767)</f>
        <v>1098080</v>
      </c>
      <c r="O4766" s="224"/>
      <c r="P4766" s="110" t="s">
        <v>14022</v>
      </c>
      <c r="Q4766" s="15" t="s">
        <v>19</v>
      </c>
      <c r="R4766" s="205"/>
      <c r="S4766" s="189"/>
      <c r="T4766" s="114"/>
      <c r="U4766" s="21" t="s">
        <v>14333</v>
      </c>
      <c r="V4766" s="115">
        <v>46029</v>
      </c>
      <c r="W4766" s="116">
        <v>999</v>
      </c>
      <c r="X4766" s="220">
        <v>1095000</v>
      </c>
      <c r="Y4766" s="220">
        <v>109500</v>
      </c>
      <c r="Z4766" s="220">
        <v>9080</v>
      </c>
      <c r="AA4766" s="220">
        <f>SUM(X4766:Z4766)</f>
        <v>1213580</v>
      </c>
      <c r="AB4766" s="222">
        <v>46035</v>
      </c>
    </row>
    <row r="4767" spans="1:28" ht="17.100000000000001" customHeight="1" thickBot="1">
      <c r="A4767" s="227"/>
      <c r="B4767" s="27" t="s">
        <v>3890</v>
      </c>
      <c r="C4767" s="27">
        <v>119</v>
      </c>
      <c r="D4767" s="14" t="s">
        <v>2559</v>
      </c>
      <c r="E4767" s="229"/>
      <c r="F4767" s="117" t="s">
        <v>13983</v>
      </c>
      <c r="G4767" s="26">
        <v>58511</v>
      </c>
      <c r="H4767" s="231"/>
      <c r="I4767" s="221"/>
      <c r="J4767" s="221"/>
      <c r="K4767" s="221"/>
      <c r="L4767" s="221"/>
      <c r="M4767" s="221"/>
      <c r="N4767" s="221"/>
      <c r="O4767" s="225"/>
      <c r="P4767" s="118" t="s">
        <v>14209</v>
      </c>
      <c r="Q4767" s="16" t="s">
        <v>20</v>
      </c>
      <c r="R4767" s="17" t="s">
        <v>1953</v>
      </c>
      <c r="S4767" s="121"/>
      <c r="T4767" s="122"/>
      <c r="U4767" s="22"/>
      <c r="V4767" s="123" t="s">
        <v>2747</v>
      </c>
      <c r="W4767" s="122">
        <v>2005</v>
      </c>
      <c r="X4767" s="221"/>
      <c r="Y4767" s="221"/>
      <c r="Z4767" s="221"/>
      <c r="AA4767" s="221"/>
      <c r="AB4767" s="223"/>
    </row>
    <row r="4768" spans="1:28" ht="17.100000000000001" customHeight="1" thickTop="1">
      <c r="A4768" s="226" t="s">
        <v>13968</v>
      </c>
      <c r="B4768" s="28">
        <v>46017</v>
      </c>
      <c r="C4768" s="25">
        <v>272</v>
      </c>
      <c r="D4768" s="13" t="s">
        <v>1935</v>
      </c>
      <c r="E4768" s="228"/>
      <c r="F4768" s="109" t="s">
        <v>2943</v>
      </c>
      <c r="G4768" s="24" t="s">
        <v>2543</v>
      </c>
      <c r="H4768" s="230">
        <v>4.5</v>
      </c>
      <c r="I4768" s="220">
        <v>649000</v>
      </c>
      <c r="J4768" s="220">
        <f>I4768*0.1</f>
        <v>64900</v>
      </c>
      <c r="K4768" s="220">
        <v>0</v>
      </c>
      <c r="L4768" s="220">
        <v>8400</v>
      </c>
      <c r="M4768" s="220">
        <v>22000</v>
      </c>
      <c r="N4768" s="220">
        <f>SUM(I4768:M4769)</f>
        <v>744300</v>
      </c>
      <c r="O4768" s="224"/>
      <c r="P4768" s="110" t="s">
        <v>14210</v>
      </c>
      <c r="Q4768" s="15" t="s">
        <v>19</v>
      </c>
      <c r="R4768" s="205"/>
      <c r="S4768" s="189"/>
      <c r="T4768" s="114"/>
      <c r="U4768" s="21" t="s">
        <v>15028</v>
      </c>
      <c r="V4768" s="115">
        <v>46036</v>
      </c>
      <c r="W4768" s="116">
        <v>1000</v>
      </c>
      <c r="X4768" s="220">
        <v>720000</v>
      </c>
      <c r="Y4768" s="220">
        <f>X4768*0.1</f>
        <v>72000</v>
      </c>
      <c r="Z4768" s="220">
        <v>8400</v>
      </c>
      <c r="AA4768" s="220">
        <f>SUM(X4768:Z4768)</f>
        <v>800400</v>
      </c>
      <c r="AB4768" s="222">
        <v>46044</v>
      </c>
    </row>
    <row r="4769" spans="1:28" ht="17.100000000000001" customHeight="1" thickBot="1">
      <c r="A4769" s="227"/>
      <c r="B4769" s="27" t="s">
        <v>3890</v>
      </c>
      <c r="C4769" s="27">
        <v>122</v>
      </c>
      <c r="D4769" s="14" t="s">
        <v>898</v>
      </c>
      <c r="E4769" s="229"/>
      <c r="F4769" s="117" t="s">
        <v>13984</v>
      </c>
      <c r="G4769" s="26">
        <v>29613</v>
      </c>
      <c r="H4769" s="231"/>
      <c r="I4769" s="221"/>
      <c r="J4769" s="221"/>
      <c r="K4769" s="221"/>
      <c r="L4769" s="221"/>
      <c r="M4769" s="221"/>
      <c r="N4769" s="221"/>
      <c r="O4769" s="225"/>
      <c r="P4769" s="118" t="s">
        <v>14211</v>
      </c>
      <c r="Q4769" s="16" t="s">
        <v>20</v>
      </c>
      <c r="R4769" s="17" t="s">
        <v>1953</v>
      </c>
      <c r="S4769" s="121"/>
      <c r="T4769" s="122"/>
      <c r="U4769" s="22"/>
      <c r="V4769" s="123" t="s">
        <v>8648</v>
      </c>
      <c r="W4769" s="122">
        <v>2043</v>
      </c>
      <c r="X4769" s="221"/>
      <c r="Y4769" s="221"/>
      <c r="Z4769" s="221"/>
      <c r="AA4769" s="221"/>
      <c r="AB4769" s="223"/>
    </row>
    <row r="4770" spans="1:28" ht="17.100000000000001" customHeight="1" thickTop="1">
      <c r="A4770" s="226" t="s">
        <v>13969</v>
      </c>
      <c r="B4770" s="28">
        <v>46017</v>
      </c>
      <c r="C4770" s="25">
        <v>272</v>
      </c>
      <c r="D4770" s="13" t="s">
        <v>2637</v>
      </c>
      <c r="E4770" s="228"/>
      <c r="F4770" s="109" t="s">
        <v>9048</v>
      </c>
      <c r="G4770" s="24" t="s">
        <v>2038</v>
      </c>
      <c r="H4770" s="230">
        <v>4.5</v>
      </c>
      <c r="I4770" s="220">
        <v>1125000</v>
      </c>
      <c r="J4770" s="220">
        <f>I4770*0.1</f>
        <v>112500</v>
      </c>
      <c r="K4770" s="220">
        <v>0</v>
      </c>
      <c r="L4770" s="220">
        <v>8740</v>
      </c>
      <c r="M4770" s="220">
        <v>22000</v>
      </c>
      <c r="N4770" s="220">
        <f>SUM(I4770:M4771)</f>
        <v>1268240</v>
      </c>
      <c r="O4770" s="224"/>
      <c r="P4770" s="110" t="s">
        <v>14023</v>
      </c>
      <c r="Q4770" s="15" t="s">
        <v>19</v>
      </c>
      <c r="R4770" s="205"/>
      <c r="S4770" s="189" t="s">
        <v>1271</v>
      </c>
      <c r="T4770" s="114"/>
      <c r="U4770" s="21" t="s">
        <v>14330</v>
      </c>
      <c r="V4770" s="115">
        <v>46029</v>
      </c>
      <c r="W4770" s="116">
        <v>999</v>
      </c>
      <c r="X4770" s="220">
        <v>1205000</v>
      </c>
      <c r="Y4770" s="220">
        <f>X4770*0.1</f>
        <v>120500</v>
      </c>
      <c r="Z4770" s="220">
        <v>8740</v>
      </c>
      <c r="AA4770" s="220">
        <f>SUM(X4770:Z4770)</f>
        <v>1334240</v>
      </c>
      <c r="AB4770" s="222">
        <v>46035</v>
      </c>
    </row>
    <row r="4771" spans="1:28" ht="17.100000000000001" customHeight="1" thickBot="1">
      <c r="A4771" s="227"/>
      <c r="B4771" s="27" t="s">
        <v>3890</v>
      </c>
      <c r="C4771" s="27">
        <v>20098</v>
      </c>
      <c r="D4771" s="14" t="s">
        <v>1568</v>
      </c>
      <c r="E4771" s="229"/>
      <c r="F4771" s="117" t="s">
        <v>13985</v>
      </c>
      <c r="G4771" s="26">
        <v>27301</v>
      </c>
      <c r="H4771" s="231"/>
      <c r="I4771" s="221"/>
      <c r="J4771" s="221"/>
      <c r="K4771" s="221"/>
      <c r="L4771" s="221"/>
      <c r="M4771" s="221"/>
      <c r="N4771" s="221"/>
      <c r="O4771" s="225"/>
      <c r="P4771" s="118" t="s">
        <v>14265</v>
      </c>
      <c r="Q4771" s="16" t="s">
        <v>20</v>
      </c>
      <c r="R4771" s="17" t="s">
        <v>3857</v>
      </c>
      <c r="S4771" s="121" t="s">
        <v>14266</v>
      </c>
      <c r="T4771" s="122"/>
      <c r="U4771" s="22"/>
      <c r="V4771" s="123" t="s">
        <v>2747</v>
      </c>
      <c r="W4771" s="122">
        <v>2062</v>
      </c>
      <c r="X4771" s="221"/>
      <c r="Y4771" s="221"/>
      <c r="Z4771" s="221"/>
      <c r="AA4771" s="221"/>
      <c r="AB4771" s="223"/>
    </row>
    <row r="4772" spans="1:28" ht="17.100000000000001" customHeight="1" thickTop="1">
      <c r="A4772" s="226" t="s">
        <v>13970</v>
      </c>
      <c r="B4772" s="28">
        <v>46017</v>
      </c>
      <c r="C4772" s="25">
        <v>1187</v>
      </c>
      <c r="D4772" s="13" t="s">
        <v>2637</v>
      </c>
      <c r="E4772" s="228"/>
      <c r="F4772" s="109" t="s">
        <v>14016</v>
      </c>
      <c r="G4772" s="24"/>
      <c r="H4772" s="230">
        <v>4.5</v>
      </c>
      <c r="I4772" s="220">
        <v>4420000</v>
      </c>
      <c r="J4772" s="220">
        <f>I4772*0.1</f>
        <v>442000</v>
      </c>
      <c r="K4772" s="220">
        <v>0</v>
      </c>
      <c r="L4772" s="220">
        <v>22360</v>
      </c>
      <c r="M4772" s="220">
        <v>16500</v>
      </c>
      <c r="N4772" s="220">
        <f>SUM(I4772:M4773)</f>
        <v>4900860</v>
      </c>
      <c r="O4772" s="224"/>
      <c r="P4772" s="110" t="s">
        <v>14203</v>
      </c>
      <c r="Q4772" s="15" t="s">
        <v>19</v>
      </c>
      <c r="R4772" s="205"/>
      <c r="S4772" s="189" t="s">
        <v>1271</v>
      </c>
      <c r="T4772" s="114"/>
      <c r="U4772" s="21"/>
      <c r="V4772" s="115"/>
      <c r="W4772" s="116"/>
      <c r="X4772" s="220"/>
      <c r="Y4772" s="220">
        <f>X4772*0.1</f>
        <v>0</v>
      </c>
      <c r="Z4772" s="220"/>
      <c r="AA4772" s="220">
        <f>SUM(X4772:Z4772)</f>
        <v>0</v>
      </c>
      <c r="AB4772" s="222"/>
    </row>
    <row r="4773" spans="1:28" ht="17.100000000000001" customHeight="1" thickBot="1">
      <c r="A4773" s="227"/>
      <c r="B4773" s="27" t="s">
        <v>1813</v>
      </c>
      <c r="C4773" s="27">
        <v>88037</v>
      </c>
      <c r="D4773" s="14" t="s">
        <v>273</v>
      </c>
      <c r="E4773" s="229"/>
      <c r="F4773" s="117" t="s">
        <v>14017</v>
      </c>
      <c r="G4773" s="26">
        <v>25607</v>
      </c>
      <c r="H4773" s="231"/>
      <c r="I4773" s="221"/>
      <c r="J4773" s="221"/>
      <c r="K4773" s="221"/>
      <c r="L4773" s="221"/>
      <c r="M4773" s="221"/>
      <c r="N4773" s="221"/>
      <c r="O4773" s="225"/>
      <c r="P4773" s="118" t="s">
        <v>3580</v>
      </c>
      <c r="Q4773" s="16" t="s">
        <v>20</v>
      </c>
      <c r="R4773" s="17" t="s">
        <v>1953</v>
      </c>
      <c r="S4773" s="121" t="s">
        <v>1731</v>
      </c>
      <c r="T4773" s="122"/>
      <c r="U4773" s="22"/>
      <c r="V4773" s="123"/>
      <c r="W4773" s="122"/>
      <c r="X4773" s="221"/>
      <c r="Y4773" s="221"/>
      <c r="Z4773" s="221"/>
      <c r="AA4773" s="221"/>
      <c r="AB4773" s="223"/>
    </row>
    <row r="4774" spans="1:28" ht="17.100000000000001" customHeight="1" thickTop="1">
      <c r="A4774" s="226" t="s">
        <v>13971</v>
      </c>
      <c r="B4774" s="28">
        <v>46017</v>
      </c>
      <c r="C4774" s="25">
        <v>1400</v>
      </c>
      <c r="D4774" s="13" t="s">
        <v>2866</v>
      </c>
      <c r="E4774" s="228"/>
      <c r="F4774" s="109" t="s">
        <v>13991</v>
      </c>
      <c r="G4774" s="24" t="s">
        <v>8489</v>
      </c>
      <c r="H4774" s="230">
        <v>4.5</v>
      </c>
      <c r="I4774" s="220">
        <v>1179000</v>
      </c>
      <c r="J4774" s="220">
        <f>I4774*0.1</f>
        <v>117900</v>
      </c>
      <c r="K4774" s="220">
        <f>8600+860</f>
        <v>9460</v>
      </c>
      <c r="L4774" s="220">
        <v>9950</v>
      </c>
      <c r="M4774" s="220">
        <v>13200</v>
      </c>
      <c r="N4774" s="220">
        <f>SUM(I4774:M4775)</f>
        <v>1329510</v>
      </c>
      <c r="O4774" s="224"/>
      <c r="P4774" s="110" t="s">
        <v>14263</v>
      </c>
      <c r="Q4774" s="15" t="s">
        <v>19</v>
      </c>
      <c r="R4774" s="205"/>
      <c r="S4774" s="189" t="s">
        <v>1312</v>
      </c>
      <c r="T4774" s="114"/>
      <c r="U4774" s="21"/>
      <c r="V4774" s="115">
        <v>46029</v>
      </c>
      <c r="W4774" s="116">
        <v>999</v>
      </c>
      <c r="X4774" s="220">
        <v>1240000</v>
      </c>
      <c r="Y4774" s="220">
        <f>X4774*0.1</f>
        <v>124000</v>
      </c>
      <c r="Z4774" s="220">
        <v>9950</v>
      </c>
      <c r="AA4774" s="220">
        <f>SUM(X4774:Z4774)</f>
        <v>1373950</v>
      </c>
      <c r="AB4774" s="222">
        <v>46035</v>
      </c>
    </row>
    <row r="4775" spans="1:28" ht="17.100000000000001" customHeight="1" thickBot="1">
      <c r="A4775" s="227"/>
      <c r="B4775" s="27" t="s">
        <v>2597</v>
      </c>
      <c r="C4775" s="27">
        <v>3103</v>
      </c>
      <c r="D4775" s="14" t="s">
        <v>2788</v>
      </c>
      <c r="E4775" s="229"/>
      <c r="F4775" s="117" t="s">
        <v>13992</v>
      </c>
      <c r="G4775" s="26">
        <v>56202</v>
      </c>
      <c r="H4775" s="231"/>
      <c r="I4775" s="221"/>
      <c r="J4775" s="221"/>
      <c r="K4775" s="221"/>
      <c r="L4775" s="221"/>
      <c r="M4775" s="221"/>
      <c r="N4775" s="221"/>
      <c r="O4775" s="225"/>
      <c r="P4775" s="118" t="s">
        <v>14264</v>
      </c>
      <c r="Q4775" s="16" t="s">
        <v>20</v>
      </c>
      <c r="R4775" s="17" t="s">
        <v>3857</v>
      </c>
      <c r="S4775" s="121" t="s">
        <v>9859</v>
      </c>
      <c r="T4775" s="122"/>
      <c r="U4775" s="22"/>
      <c r="V4775" s="123" t="s">
        <v>2747</v>
      </c>
      <c r="W4775" s="122">
        <v>5029</v>
      </c>
      <c r="X4775" s="221"/>
      <c r="Y4775" s="221"/>
      <c r="Z4775" s="221"/>
      <c r="AA4775" s="221"/>
      <c r="AB4775" s="223"/>
    </row>
    <row r="4776" spans="1:28" ht="17.100000000000001" customHeight="1" thickTop="1">
      <c r="A4776" s="233" t="s">
        <v>13972</v>
      </c>
      <c r="B4776" s="28">
        <v>46017</v>
      </c>
      <c r="C4776" s="25">
        <v>1400</v>
      </c>
      <c r="D4776" s="13" t="s">
        <v>5508</v>
      </c>
      <c r="E4776" s="228"/>
      <c r="F4776" s="109" t="s">
        <v>13993</v>
      </c>
      <c r="G4776" s="24" t="s">
        <v>14027</v>
      </c>
      <c r="H4776" s="230">
        <v>4</v>
      </c>
      <c r="I4776" s="220">
        <v>173000</v>
      </c>
      <c r="J4776" s="220">
        <f>I4776*0.1</f>
        <v>17300</v>
      </c>
      <c r="K4776" s="220">
        <v>0</v>
      </c>
      <c r="L4776" s="220">
        <v>8490</v>
      </c>
      <c r="M4776" s="220">
        <v>13200</v>
      </c>
      <c r="N4776" s="220">
        <f>SUM(I4776:M4777)</f>
        <v>211990</v>
      </c>
      <c r="O4776" s="224"/>
      <c r="P4776" s="110" t="s">
        <v>14293</v>
      </c>
      <c r="Q4776" s="15" t="s">
        <v>19</v>
      </c>
      <c r="R4776" s="205"/>
      <c r="S4776" s="189" t="s">
        <v>25559</v>
      </c>
      <c r="T4776" s="114" t="s">
        <v>15951</v>
      </c>
      <c r="U4776" s="21" t="s">
        <v>15037</v>
      </c>
      <c r="V4776" s="115"/>
      <c r="W4776" s="116"/>
      <c r="X4776" s="220"/>
      <c r="Y4776" s="220">
        <f>X4776*0.1</f>
        <v>0</v>
      </c>
      <c r="Z4776" s="220"/>
      <c r="AA4776" s="220">
        <f>SUM(X4776:Z4776)</f>
        <v>0</v>
      </c>
      <c r="AB4776" s="222"/>
    </row>
    <row r="4777" spans="1:28" ht="17.100000000000001" customHeight="1" thickBot="1">
      <c r="A4777" s="234"/>
      <c r="B4777" s="27" t="s">
        <v>2597</v>
      </c>
      <c r="C4777" s="27">
        <v>3104</v>
      </c>
      <c r="D4777" s="14" t="s">
        <v>898</v>
      </c>
      <c r="E4777" s="229"/>
      <c r="F4777" s="117" t="s">
        <v>13994</v>
      </c>
      <c r="G4777" s="26">
        <v>56294</v>
      </c>
      <c r="H4777" s="231"/>
      <c r="I4777" s="221"/>
      <c r="J4777" s="221"/>
      <c r="K4777" s="221"/>
      <c r="L4777" s="221"/>
      <c r="M4777" s="221"/>
      <c r="N4777" s="221"/>
      <c r="O4777" s="225"/>
      <c r="P4777" s="118" t="s">
        <v>14294</v>
      </c>
      <c r="Q4777" s="16" t="s">
        <v>20</v>
      </c>
      <c r="R4777" s="17" t="s">
        <v>3857</v>
      </c>
      <c r="S4777" s="121" t="s">
        <v>14295</v>
      </c>
      <c r="T4777" s="122"/>
      <c r="U4777" s="22"/>
      <c r="V4777" s="123"/>
      <c r="W4777" s="122"/>
      <c r="X4777" s="221"/>
      <c r="Y4777" s="221"/>
      <c r="Z4777" s="221"/>
      <c r="AA4777" s="221"/>
      <c r="AB4777" s="223"/>
    </row>
    <row r="4778" spans="1:28" ht="17.100000000000001" customHeight="1" thickTop="1">
      <c r="A4778" s="226" t="s">
        <v>13973</v>
      </c>
      <c r="B4778" s="28">
        <v>46017</v>
      </c>
      <c r="C4778" s="25">
        <v>1400</v>
      </c>
      <c r="D4778" s="13" t="s">
        <v>11745</v>
      </c>
      <c r="E4778" s="228"/>
      <c r="F4778" s="109" t="s">
        <v>13995</v>
      </c>
      <c r="G4778" s="24"/>
      <c r="H4778" s="230">
        <v>4</v>
      </c>
      <c r="I4778" s="220">
        <v>195000</v>
      </c>
      <c r="J4778" s="220">
        <f>I4778*0.1</f>
        <v>19500</v>
      </c>
      <c r="K4778" s="220">
        <v>0</v>
      </c>
      <c r="L4778" s="220">
        <v>9470</v>
      </c>
      <c r="M4778" s="220">
        <v>13200</v>
      </c>
      <c r="N4778" s="220">
        <f>SUM(I4778:M4779)</f>
        <v>237170</v>
      </c>
      <c r="O4778" s="224"/>
      <c r="P4778" s="110" t="s">
        <v>14338</v>
      </c>
      <c r="Q4778" s="15" t="s">
        <v>19</v>
      </c>
      <c r="R4778" s="205"/>
      <c r="S4778" s="189" t="s">
        <v>1361</v>
      </c>
      <c r="T4778" s="114"/>
      <c r="U4778" s="21"/>
      <c r="V4778" s="115">
        <v>46029</v>
      </c>
      <c r="W4778" s="116">
        <v>999</v>
      </c>
      <c r="X4778" s="220">
        <v>280000</v>
      </c>
      <c r="Y4778" s="220">
        <f>X4778*0.1</f>
        <v>28000</v>
      </c>
      <c r="Z4778" s="220">
        <v>9470</v>
      </c>
      <c r="AA4778" s="220">
        <f>SUM(X4778:Z4778)</f>
        <v>317470</v>
      </c>
      <c r="AB4778" s="222">
        <v>46035</v>
      </c>
    </row>
    <row r="4779" spans="1:28" ht="17.100000000000001" customHeight="1" thickBot="1">
      <c r="A4779" s="227"/>
      <c r="B4779" s="27" t="s">
        <v>2597</v>
      </c>
      <c r="C4779" s="27">
        <v>3125</v>
      </c>
      <c r="D4779" s="14" t="s">
        <v>3955</v>
      </c>
      <c r="E4779" s="229"/>
      <c r="F4779" s="117" t="s">
        <v>13996</v>
      </c>
      <c r="G4779" s="26">
        <v>35128</v>
      </c>
      <c r="H4779" s="231"/>
      <c r="I4779" s="221"/>
      <c r="J4779" s="221"/>
      <c r="K4779" s="221"/>
      <c r="L4779" s="221"/>
      <c r="M4779" s="221"/>
      <c r="N4779" s="221"/>
      <c r="O4779" s="225"/>
      <c r="P4779" s="118" t="s">
        <v>14339</v>
      </c>
      <c r="Q4779" s="16" t="s">
        <v>20</v>
      </c>
      <c r="R4779" s="17" t="s">
        <v>4050</v>
      </c>
      <c r="S4779" s="121" t="s">
        <v>169</v>
      </c>
      <c r="T4779" s="122"/>
      <c r="U4779" s="22"/>
      <c r="V4779" s="123" t="s">
        <v>2747</v>
      </c>
      <c r="W4779" s="122">
        <v>2065</v>
      </c>
      <c r="X4779" s="221"/>
      <c r="Y4779" s="221"/>
      <c r="Z4779" s="221"/>
      <c r="AA4779" s="221"/>
      <c r="AB4779" s="223"/>
    </row>
    <row r="4780" spans="1:28" ht="17.100000000000001" customHeight="1" thickTop="1">
      <c r="A4780" s="226" t="s">
        <v>13974</v>
      </c>
      <c r="B4780" s="28">
        <v>46017</v>
      </c>
      <c r="C4780" s="25">
        <v>1400</v>
      </c>
      <c r="D4780" s="13" t="s">
        <v>1808</v>
      </c>
      <c r="E4780" s="228"/>
      <c r="F4780" s="109" t="s">
        <v>14028</v>
      </c>
      <c r="G4780" s="24" t="s">
        <v>4052</v>
      </c>
      <c r="H4780" s="230">
        <v>4</v>
      </c>
      <c r="I4780" s="220">
        <v>1513000</v>
      </c>
      <c r="J4780" s="220">
        <f>I4780*0.1</f>
        <v>151300</v>
      </c>
      <c r="K4780" s="220">
        <f>14500+1450</f>
        <v>15950</v>
      </c>
      <c r="L4780" s="220">
        <v>12980</v>
      </c>
      <c r="M4780" s="220">
        <v>13200</v>
      </c>
      <c r="N4780" s="220">
        <f>SUM(I4780:M4781)</f>
        <v>1706430</v>
      </c>
      <c r="O4780" s="224"/>
      <c r="P4780" s="110" t="s">
        <v>14308</v>
      </c>
      <c r="Q4780" s="15" t="s">
        <v>19</v>
      </c>
      <c r="R4780" s="205"/>
      <c r="S4780" s="189" t="s">
        <v>25383</v>
      </c>
      <c r="T4780" s="114"/>
      <c r="U4780" s="21" t="s">
        <v>15013</v>
      </c>
      <c r="V4780" s="115">
        <v>46043</v>
      </c>
      <c r="W4780" s="116">
        <v>1001</v>
      </c>
      <c r="X4780" s="220">
        <v>1620000</v>
      </c>
      <c r="Y4780" s="220">
        <f>X4780*0.1</f>
        <v>162000</v>
      </c>
      <c r="Z4780" s="220">
        <v>12980</v>
      </c>
      <c r="AA4780" s="220">
        <f>SUM(X4780:Z4780)</f>
        <v>1794980</v>
      </c>
      <c r="AB4780" s="222">
        <v>46049</v>
      </c>
    </row>
    <row r="4781" spans="1:28" ht="17.100000000000001" customHeight="1" thickBot="1">
      <c r="A4781" s="227"/>
      <c r="B4781" s="27" t="s">
        <v>2597</v>
      </c>
      <c r="C4781" s="27">
        <v>3133</v>
      </c>
      <c r="D4781" s="14" t="s">
        <v>273</v>
      </c>
      <c r="E4781" s="229"/>
      <c r="F4781" s="117" t="s">
        <v>13997</v>
      </c>
      <c r="G4781" s="26">
        <v>76823</v>
      </c>
      <c r="H4781" s="231"/>
      <c r="I4781" s="221"/>
      <c r="J4781" s="221"/>
      <c r="K4781" s="221"/>
      <c r="L4781" s="221"/>
      <c r="M4781" s="221"/>
      <c r="N4781" s="221"/>
      <c r="O4781" s="225"/>
      <c r="P4781" s="118" t="s">
        <v>14309</v>
      </c>
      <c r="Q4781" s="16" t="s">
        <v>20</v>
      </c>
      <c r="R4781" s="17" t="s">
        <v>3857</v>
      </c>
      <c r="S4781" s="121" t="s">
        <v>2025</v>
      </c>
      <c r="T4781" s="122"/>
      <c r="U4781" s="22"/>
      <c r="V4781" s="123" t="s">
        <v>7161</v>
      </c>
      <c r="W4781" s="122">
        <v>5151</v>
      </c>
      <c r="X4781" s="221"/>
      <c r="Y4781" s="221"/>
      <c r="Z4781" s="221"/>
      <c r="AA4781" s="221"/>
      <c r="AB4781" s="223"/>
    </row>
    <row r="4782" spans="1:28" ht="17.100000000000001" customHeight="1" thickTop="1">
      <c r="A4782" s="226" t="s">
        <v>13975</v>
      </c>
      <c r="B4782" s="28">
        <v>46017</v>
      </c>
      <c r="C4782" s="25">
        <v>1400</v>
      </c>
      <c r="D4782" s="13" t="s">
        <v>2264</v>
      </c>
      <c r="E4782" s="228"/>
      <c r="F4782" s="109" t="s">
        <v>14029</v>
      </c>
      <c r="G4782" s="24"/>
      <c r="H4782" s="230">
        <v>4</v>
      </c>
      <c r="I4782" s="220">
        <v>943000</v>
      </c>
      <c r="J4782" s="220">
        <f>I4782*0.1</f>
        <v>94300</v>
      </c>
      <c r="K4782" s="220">
        <v>0</v>
      </c>
      <c r="L4782" s="220">
        <v>8950</v>
      </c>
      <c r="M4782" s="220">
        <v>13200</v>
      </c>
      <c r="N4782" s="220">
        <f>SUM(I4782:M4783)</f>
        <v>1059450</v>
      </c>
      <c r="O4782" s="224"/>
      <c r="P4782" s="110" t="s">
        <v>14336</v>
      </c>
      <c r="Q4782" s="15" t="s">
        <v>19</v>
      </c>
      <c r="R4782" s="205"/>
      <c r="S4782" s="189" t="s">
        <v>25392</v>
      </c>
      <c r="T4782" s="114"/>
      <c r="U4782" s="21"/>
      <c r="V4782" s="115">
        <v>46029</v>
      </c>
      <c r="W4782" s="116">
        <v>999</v>
      </c>
      <c r="X4782" s="220">
        <v>1120000</v>
      </c>
      <c r="Y4782" s="220">
        <f>X4782*0.1</f>
        <v>112000</v>
      </c>
      <c r="Z4782" s="220">
        <v>8950</v>
      </c>
      <c r="AA4782" s="220">
        <f>SUM(X4782:Z4782)</f>
        <v>1240950</v>
      </c>
      <c r="AB4782" s="222">
        <v>46035</v>
      </c>
    </row>
    <row r="4783" spans="1:28" ht="17.100000000000001" customHeight="1" thickBot="1">
      <c r="A4783" s="227"/>
      <c r="B4783" s="27" t="s">
        <v>2597</v>
      </c>
      <c r="C4783" s="27">
        <v>3203</v>
      </c>
      <c r="D4783" s="14" t="s">
        <v>7144</v>
      </c>
      <c r="E4783" s="229"/>
      <c r="F4783" s="117" t="s">
        <v>13998</v>
      </c>
      <c r="G4783" s="26">
        <v>53634</v>
      </c>
      <c r="H4783" s="231"/>
      <c r="I4783" s="221"/>
      <c r="J4783" s="221"/>
      <c r="K4783" s="221"/>
      <c r="L4783" s="221"/>
      <c r="M4783" s="221"/>
      <c r="N4783" s="221"/>
      <c r="O4783" s="225"/>
      <c r="P4783" s="118" t="s">
        <v>14337</v>
      </c>
      <c r="Q4783" s="16" t="s">
        <v>20</v>
      </c>
      <c r="R4783" s="17" t="s">
        <v>4050</v>
      </c>
      <c r="S4783" s="121" t="s">
        <v>7302</v>
      </c>
      <c r="T4783" s="122"/>
      <c r="U4783" s="22"/>
      <c r="V4783" s="123" t="s">
        <v>2747</v>
      </c>
      <c r="W4783" s="122">
        <v>5031</v>
      </c>
      <c r="X4783" s="221"/>
      <c r="Y4783" s="221"/>
      <c r="Z4783" s="221"/>
      <c r="AA4783" s="221"/>
      <c r="AB4783" s="223"/>
    </row>
    <row r="4784" spans="1:28" ht="17.100000000000001" customHeight="1" thickTop="1">
      <c r="A4784" s="226" t="s">
        <v>13976</v>
      </c>
      <c r="B4784" s="28">
        <v>46017</v>
      </c>
      <c r="C4784" s="25">
        <v>1400</v>
      </c>
      <c r="D4784" s="13" t="s">
        <v>1615</v>
      </c>
      <c r="E4784" s="228"/>
      <c r="F4784" s="109" t="s">
        <v>14030</v>
      </c>
      <c r="G4784" s="24" t="s">
        <v>14031</v>
      </c>
      <c r="H4784" s="230">
        <v>4</v>
      </c>
      <c r="I4784" s="220">
        <v>394000</v>
      </c>
      <c r="J4784" s="220">
        <f>I4784*0.1</f>
        <v>39400</v>
      </c>
      <c r="K4784" s="220">
        <v>0</v>
      </c>
      <c r="L4784" s="220">
        <v>8860</v>
      </c>
      <c r="M4784" s="220">
        <v>13200</v>
      </c>
      <c r="N4784" s="220">
        <f>SUM(I4784:M4785)</f>
        <v>455460</v>
      </c>
      <c r="O4784" s="224"/>
      <c r="P4784" s="110" t="s">
        <v>14416</v>
      </c>
      <c r="Q4784" s="15" t="s">
        <v>19</v>
      </c>
      <c r="R4784" s="205"/>
      <c r="S4784" s="189" t="s">
        <v>1271</v>
      </c>
      <c r="T4784" s="114"/>
      <c r="U4784" s="21" t="s">
        <v>14578</v>
      </c>
      <c r="V4784" s="115">
        <v>46029</v>
      </c>
      <c r="W4784" s="116">
        <v>999</v>
      </c>
      <c r="X4784" s="220">
        <v>460000</v>
      </c>
      <c r="Y4784" s="220">
        <f>X4784*0.1</f>
        <v>46000</v>
      </c>
      <c r="Z4784" s="220">
        <v>8860</v>
      </c>
      <c r="AA4784" s="220">
        <f>SUM(X4784:Z4784)</f>
        <v>514860</v>
      </c>
      <c r="AB4784" s="222">
        <v>46037</v>
      </c>
    </row>
    <row r="4785" spans="1:28" ht="17.100000000000001" customHeight="1" thickBot="1">
      <c r="A4785" s="227"/>
      <c r="B4785" s="27" t="s">
        <v>2597</v>
      </c>
      <c r="C4785" s="27">
        <v>3207</v>
      </c>
      <c r="D4785" s="14" t="s">
        <v>3955</v>
      </c>
      <c r="E4785" s="229"/>
      <c r="F4785" s="117" t="s">
        <v>13999</v>
      </c>
      <c r="G4785" s="26">
        <v>46425</v>
      </c>
      <c r="H4785" s="231"/>
      <c r="I4785" s="221"/>
      <c r="J4785" s="221"/>
      <c r="K4785" s="221"/>
      <c r="L4785" s="221"/>
      <c r="M4785" s="221"/>
      <c r="N4785" s="221"/>
      <c r="O4785" s="225"/>
      <c r="P4785" s="118" t="s">
        <v>14417</v>
      </c>
      <c r="Q4785" s="16" t="s">
        <v>20</v>
      </c>
      <c r="R4785" s="17" t="s">
        <v>2900</v>
      </c>
      <c r="S4785" s="121" t="s">
        <v>11869</v>
      </c>
      <c r="T4785" s="122"/>
      <c r="U4785" s="22"/>
      <c r="V4785" s="123" t="s">
        <v>2747</v>
      </c>
      <c r="W4785" s="122">
        <v>2004</v>
      </c>
      <c r="X4785" s="221"/>
      <c r="Y4785" s="221"/>
      <c r="Z4785" s="221"/>
      <c r="AA4785" s="221"/>
      <c r="AB4785" s="223"/>
    </row>
    <row r="4786" spans="1:28" ht="17.100000000000001" customHeight="1" thickTop="1">
      <c r="A4786" s="226" t="s">
        <v>13977</v>
      </c>
      <c r="B4786" s="28">
        <v>46017</v>
      </c>
      <c r="C4786" s="25">
        <v>1400</v>
      </c>
      <c r="D4786" s="13" t="s">
        <v>4213</v>
      </c>
      <c r="E4786" s="228"/>
      <c r="F4786" s="109" t="s">
        <v>10056</v>
      </c>
      <c r="G4786" s="24" t="s">
        <v>12998</v>
      </c>
      <c r="H4786" s="230">
        <v>4.5</v>
      </c>
      <c r="I4786" s="220">
        <v>3031000</v>
      </c>
      <c r="J4786" s="220">
        <f>I4786*0.1</f>
        <v>303100</v>
      </c>
      <c r="K4786" s="220">
        <f>9000+900</f>
        <v>9900</v>
      </c>
      <c r="L4786" s="220">
        <v>12160</v>
      </c>
      <c r="M4786" s="220">
        <v>13200</v>
      </c>
      <c r="N4786" s="220">
        <f>SUM(I4786:M4787)</f>
        <v>3369360</v>
      </c>
      <c r="O4786" s="224"/>
      <c r="P4786" s="110" t="s">
        <v>14305</v>
      </c>
      <c r="Q4786" s="15" t="s">
        <v>19</v>
      </c>
      <c r="R4786" s="205"/>
      <c r="S4786" s="189" t="s">
        <v>25670</v>
      </c>
      <c r="T4786" s="114"/>
      <c r="U4786" s="21" t="s">
        <v>15012</v>
      </c>
      <c r="V4786" s="115">
        <v>46109</v>
      </c>
      <c r="W4786" s="116">
        <v>1294</v>
      </c>
      <c r="X4786" s="220">
        <v>2980000</v>
      </c>
      <c r="Y4786" s="220">
        <f>X4786*0.1</f>
        <v>298000</v>
      </c>
      <c r="Z4786" s="220">
        <v>12160</v>
      </c>
      <c r="AA4786" s="220">
        <f>SUM(X4786:Z4786)</f>
        <v>3290160</v>
      </c>
      <c r="AB4786" s="222">
        <v>46112</v>
      </c>
    </row>
    <row r="4787" spans="1:28" ht="17.100000000000001" customHeight="1" thickBot="1">
      <c r="A4787" s="227"/>
      <c r="B4787" s="27" t="s">
        <v>2597</v>
      </c>
      <c r="C4787" s="27">
        <v>3230</v>
      </c>
      <c r="D4787" s="14" t="s">
        <v>273</v>
      </c>
      <c r="E4787" s="229"/>
      <c r="F4787" s="117" t="s">
        <v>14000</v>
      </c>
      <c r="G4787" s="26">
        <v>11240</v>
      </c>
      <c r="H4787" s="231"/>
      <c r="I4787" s="221"/>
      <c r="J4787" s="221"/>
      <c r="K4787" s="221"/>
      <c r="L4787" s="221"/>
      <c r="M4787" s="221"/>
      <c r="N4787" s="221"/>
      <c r="O4787" s="225"/>
      <c r="P4787" s="118" t="s">
        <v>14306</v>
      </c>
      <c r="Q4787" s="16" t="s">
        <v>20</v>
      </c>
      <c r="R4787" s="17" t="s">
        <v>3857</v>
      </c>
      <c r="S4787" s="121" t="s">
        <v>14307</v>
      </c>
      <c r="T4787" s="122"/>
      <c r="U4787" s="22"/>
      <c r="V4787" s="123" t="s">
        <v>21250</v>
      </c>
      <c r="W4787" s="122">
        <v>13017</v>
      </c>
      <c r="X4787" s="221"/>
      <c r="Y4787" s="221"/>
      <c r="Z4787" s="221"/>
      <c r="AA4787" s="221"/>
      <c r="AB4787" s="223"/>
    </row>
    <row r="4788" spans="1:28" ht="17.100000000000001" customHeight="1" thickTop="1">
      <c r="A4788" s="226" t="s">
        <v>13987</v>
      </c>
      <c r="B4788" s="28">
        <v>46017</v>
      </c>
      <c r="C4788" s="25">
        <v>1400</v>
      </c>
      <c r="D4788" s="13" t="s">
        <v>2811</v>
      </c>
      <c r="E4788" s="228"/>
      <c r="F4788" s="109" t="s">
        <v>6851</v>
      </c>
      <c r="G4788" s="24"/>
      <c r="H4788" s="230">
        <v>4</v>
      </c>
      <c r="I4788" s="220">
        <v>989000</v>
      </c>
      <c r="J4788" s="220">
        <f>I4788*0.1</f>
        <v>98900</v>
      </c>
      <c r="K4788" s="220">
        <v>0</v>
      </c>
      <c r="L4788" s="220">
        <v>9310</v>
      </c>
      <c r="M4788" s="220">
        <v>13200</v>
      </c>
      <c r="N4788" s="220">
        <f>SUM(I4788:M4789)</f>
        <v>1110410</v>
      </c>
      <c r="O4788" s="224"/>
      <c r="P4788" s="110" t="s">
        <v>14582</v>
      </c>
      <c r="Q4788" s="15" t="s">
        <v>19</v>
      </c>
      <c r="R4788" s="205"/>
      <c r="S4788" s="189" t="s">
        <v>25669</v>
      </c>
      <c r="T4788" s="114"/>
      <c r="U4788" s="21"/>
      <c r="V4788" s="115">
        <v>46029</v>
      </c>
      <c r="W4788" s="116">
        <v>999</v>
      </c>
      <c r="X4788" s="220">
        <v>1070000</v>
      </c>
      <c r="Y4788" s="220">
        <f>X4788*0.1</f>
        <v>107000</v>
      </c>
      <c r="Z4788" s="220">
        <v>9310</v>
      </c>
      <c r="AA4788" s="220">
        <f>SUM(X4788:Z4788)</f>
        <v>1186310</v>
      </c>
      <c r="AB4788" s="222">
        <v>46037</v>
      </c>
    </row>
    <row r="4789" spans="1:28" ht="17.100000000000001" customHeight="1" thickBot="1">
      <c r="A4789" s="227"/>
      <c r="B4789" s="27" t="s">
        <v>2597</v>
      </c>
      <c r="C4789" s="27">
        <v>3234</v>
      </c>
      <c r="D4789" s="14" t="s">
        <v>1568</v>
      </c>
      <c r="E4789" s="229"/>
      <c r="F4789" s="117" t="s">
        <v>14001</v>
      </c>
      <c r="G4789" s="26">
        <v>55706</v>
      </c>
      <c r="H4789" s="231"/>
      <c r="I4789" s="221"/>
      <c r="J4789" s="221"/>
      <c r="K4789" s="221"/>
      <c r="L4789" s="221"/>
      <c r="M4789" s="221"/>
      <c r="N4789" s="221"/>
      <c r="O4789" s="225"/>
      <c r="P4789" s="118" t="s">
        <v>3281</v>
      </c>
      <c r="Q4789" s="16" t="s">
        <v>20</v>
      </c>
      <c r="R4789" s="17" t="s">
        <v>14583</v>
      </c>
      <c r="S4789" s="121" t="s">
        <v>1731</v>
      </c>
      <c r="T4789" s="122"/>
      <c r="U4789" s="22"/>
      <c r="V4789" s="123" t="s">
        <v>2747</v>
      </c>
      <c r="W4789" s="122">
        <v>2056</v>
      </c>
      <c r="X4789" s="221"/>
      <c r="Y4789" s="221"/>
      <c r="Z4789" s="221"/>
      <c r="AA4789" s="221"/>
      <c r="AB4789" s="223"/>
    </row>
    <row r="4790" spans="1:28" ht="17.100000000000001" customHeight="1" thickTop="1">
      <c r="A4790" s="226" t="s">
        <v>13988</v>
      </c>
      <c r="B4790" s="28">
        <v>46017</v>
      </c>
      <c r="C4790" s="25">
        <v>1400</v>
      </c>
      <c r="D4790" s="13" t="s">
        <v>2429</v>
      </c>
      <c r="E4790" s="228"/>
      <c r="F4790" s="109" t="s">
        <v>14002</v>
      </c>
      <c r="G4790" s="24"/>
      <c r="H4790" s="230">
        <v>4</v>
      </c>
      <c r="I4790" s="220">
        <v>1183000</v>
      </c>
      <c r="J4790" s="220">
        <f>I4790*0.1</f>
        <v>118300</v>
      </c>
      <c r="K4790" s="220">
        <v>0</v>
      </c>
      <c r="L4790" s="220">
        <v>11270</v>
      </c>
      <c r="M4790" s="220">
        <v>13200</v>
      </c>
      <c r="N4790" s="220">
        <f>SUM(I4790:M4791)</f>
        <v>1325770</v>
      </c>
      <c r="O4790" s="224"/>
      <c r="P4790" s="110" t="s">
        <v>14340</v>
      </c>
      <c r="Q4790" s="15" t="s">
        <v>19</v>
      </c>
      <c r="R4790" s="205"/>
      <c r="S4790" s="189"/>
      <c r="T4790" s="114"/>
      <c r="U4790" s="21"/>
      <c r="V4790" s="115">
        <v>46036</v>
      </c>
      <c r="W4790" s="116">
        <v>1000</v>
      </c>
      <c r="X4790" s="220">
        <v>1245000</v>
      </c>
      <c r="Y4790" s="220">
        <f>X4790*0.1</f>
        <v>124500</v>
      </c>
      <c r="Z4790" s="220">
        <v>11270</v>
      </c>
      <c r="AA4790" s="220">
        <f>SUM(X4790:Z4790)</f>
        <v>1380770</v>
      </c>
      <c r="AB4790" s="222">
        <v>46041</v>
      </c>
    </row>
    <row r="4791" spans="1:28" ht="17.100000000000001" customHeight="1" thickBot="1">
      <c r="A4791" s="227"/>
      <c r="B4791" s="27" t="s">
        <v>2597</v>
      </c>
      <c r="C4791" s="27">
        <v>9003</v>
      </c>
      <c r="D4791" s="14" t="s">
        <v>273</v>
      </c>
      <c r="E4791" s="229"/>
      <c r="F4791" s="117" t="s">
        <v>14003</v>
      </c>
      <c r="G4791" s="26">
        <v>103561</v>
      </c>
      <c r="H4791" s="231"/>
      <c r="I4791" s="221"/>
      <c r="J4791" s="221"/>
      <c r="K4791" s="221"/>
      <c r="L4791" s="221"/>
      <c r="M4791" s="221"/>
      <c r="N4791" s="221"/>
      <c r="O4791" s="225"/>
      <c r="P4791" s="118" t="s">
        <v>1972</v>
      </c>
      <c r="Q4791" s="16" t="s">
        <v>20</v>
      </c>
      <c r="R4791" s="17" t="s">
        <v>4050</v>
      </c>
      <c r="S4791" s="121" t="s">
        <v>14341</v>
      </c>
      <c r="T4791" s="122"/>
      <c r="U4791" s="22"/>
      <c r="V4791" s="123" t="s">
        <v>2747</v>
      </c>
      <c r="W4791" s="122">
        <v>6012</v>
      </c>
      <c r="X4791" s="221"/>
      <c r="Y4791" s="221"/>
      <c r="Z4791" s="221"/>
      <c r="AA4791" s="221"/>
      <c r="AB4791" s="223"/>
    </row>
    <row r="4792" spans="1:28" ht="17.100000000000001" customHeight="1" thickTop="1">
      <c r="A4792" s="226" t="s">
        <v>13989</v>
      </c>
      <c r="B4792" s="28">
        <v>46017</v>
      </c>
      <c r="C4792" s="25">
        <v>1400</v>
      </c>
      <c r="D4792" s="13" t="s">
        <v>3553</v>
      </c>
      <c r="E4792" s="228"/>
      <c r="F4792" s="109" t="s">
        <v>14032</v>
      </c>
      <c r="G4792" s="24" t="s">
        <v>14033</v>
      </c>
      <c r="H4792" s="230">
        <v>3.5</v>
      </c>
      <c r="I4792" s="220">
        <v>370000</v>
      </c>
      <c r="J4792" s="220">
        <f>I4792*0.1</f>
        <v>37000</v>
      </c>
      <c r="K4792" s="220">
        <v>0</v>
      </c>
      <c r="L4792" s="220">
        <v>9790</v>
      </c>
      <c r="M4792" s="220">
        <v>13200</v>
      </c>
      <c r="N4792" s="220">
        <f>SUM(I4792:M4793)</f>
        <v>429990</v>
      </c>
      <c r="O4792" s="224"/>
      <c r="P4792" s="110" t="s">
        <v>14291</v>
      </c>
      <c r="Q4792" s="15" t="s">
        <v>19</v>
      </c>
      <c r="R4792" s="205"/>
      <c r="S4792" s="189"/>
      <c r="T4792" s="114"/>
      <c r="U4792" s="21" t="s">
        <v>15034</v>
      </c>
      <c r="V4792" s="115">
        <v>46036</v>
      </c>
      <c r="W4792" s="116">
        <v>1000</v>
      </c>
      <c r="X4792" s="220">
        <v>500000</v>
      </c>
      <c r="Y4792" s="220">
        <f>X4792*0.1</f>
        <v>50000</v>
      </c>
      <c r="Z4792" s="220">
        <v>9790</v>
      </c>
      <c r="AA4792" s="220">
        <f>SUM(X4792:Z4792)</f>
        <v>559790</v>
      </c>
      <c r="AB4792" s="222">
        <v>46044</v>
      </c>
    </row>
    <row r="4793" spans="1:28" ht="17.100000000000001" customHeight="1" thickBot="1">
      <c r="A4793" s="227"/>
      <c r="B4793" s="27" t="s">
        <v>2597</v>
      </c>
      <c r="C4793" s="27">
        <v>9022</v>
      </c>
      <c r="D4793" s="14" t="s">
        <v>3274</v>
      </c>
      <c r="E4793" s="229"/>
      <c r="F4793" s="117" t="s">
        <v>14004</v>
      </c>
      <c r="G4793" s="26">
        <v>57667</v>
      </c>
      <c r="H4793" s="231"/>
      <c r="I4793" s="221"/>
      <c r="J4793" s="221"/>
      <c r="K4793" s="221"/>
      <c r="L4793" s="221"/>
      <c r="M4793" s="221"/>
      <c r="N4793" s="221"/>
      <c r="O4793" s="225"/>
      <c r="P4793" s="118" t="s">
        <v>14292</v>
      </c>
      <c r="Q4793" s="16" t="s">
        <v>20</v>
      </c>
      <c r="R4793" s="17" t="s">
        <v>3857</v>
      </c>
      <c r="S4793" s="121" t="s">
        <v>13169</v>
      </c>
      <c r="T4793" s="122"/>
      <c r="U4793" s="22"/>
      <c r="V4793" s="123" t="s">
        <v>8648</v>
      </c>
      <c r="W4793" s="122">
        <v>2052</v>
      </c>
      <c r="X4793" s="221"/>
      <c r="Y4793" s="221"/>
      <c r="Z4793" s="221"/>
      <c r="AA4793" s="221"/>
      <c r="AB4793" s="223"/>
    </row>
    <row r="4794" spans="1:28" ht="17.100000000000001" customHeight="1" thickTop="1">
      <c r="A4794" s="226" t="s">
        <v>13990</v>
      </c>
      <c r="B4794" s="28">
        <v>46017</v>
      </c>
      <c r="C4794" s="25">
        <v>1400</v>
      </c>
      <c r="D4794" s="13" t="s">
        <v>14034</v>
      </c>
      <c r="E4794" s="228"/>
      <c r="F4794" s="109" t="s">
        <v>9344</v>
      </c>
      <c r="G4794" s="24"/>
      <c r="H4794" s="230">
        <v>4</v>
      </c>
      <c r="I4794" s="220">
        <v>157000</v>
      </c>
      <c r="J4794" s="220">
        <f>I4794*0.1</f>
        <v>15700</v>
      </c>
      <c r="K4794" s="220">
        <v>0</v>
      </c>
      <c r="L4794" s="220">
        <v>9790</v>
      </c>
      <c r="M4794" s="220">
        <v>13200</v>
      </c>
      <c r="N4794" s="220">
        <f>SUM(I4794:M4795)</f>
        <v>195690</v>
      </c>
      <c r="O4794" s="224"/>
      <c r="P4794" s="110" t="s">
        <v>14290</v>
      </c>
      <c r="Q4794" s="15" t="s">
        <v>19</v>
      </c>
      <c r="R4794" s="205"/>
      <c r="S4794" s="189"/>
      <c r="T4794" s="114"/>
      <c r="U4794" s="21"/>
      <c r="V4794" s="115">
        <v>46043</v>
      </c>
      <c r="W4794" s="116">
        <v>1001</v>
      </c>
      <c r="X4794" s="220">
        <v>210000</v>
      </c>
      <c r="Y4794" s="220">
        <f>X4794*0.1</f>
        <v>21000</v>
      </c>
      <c r="Z4794" s="220">
        <v>9790</v>
      </c>
      <c r="AA4794" s="220">
        <f>SUM(X4794:Z4794)</f>
        <v>240790</v>
      </c>
      <c r="AB4794" s="222">
        <v>46048</v>
      </c>
    </row>
    <row r="4795" spans="1:28" ht="17.100000000000001" customHeight="1" thickBot="1">
      <c r="A4795" s="227"/>
      <c r="B4795" s="27" t="s">
        <v>2597</v>
      </c>
      <c r="C4795" s="27">
        <v>9068</v>
      </c>
      <c r="D4795" s="14" t="s">
        <v>1568</v>
      </c>
      <c r="E4795" s="229"/>
      <c r="F4795" s="117" t="s">
        <v>14005</v>
      </c>
      <c r="G4795" s="26">
        <v>35767</v>
      </c>
      <c r="H4795" s="231"/>
      <c r="I4795" s="221"/>
      <c r="J4795" s="221"/>
      <c r="K4795" s="221"/>
      <c r="L4795" s="221"/>
      <c r="M4795" s="221"/>
      <c r="N4795" s="221"/>
      <c r="O4795" s="225"/>
      <c r="P4795" s="118" t="s">
        <v>1972</v>
      </c>
      <c r="Q4795" s="16" t="s">
        <v>20</v>
      </c>
      <c r="R4795" s="17" t="s">
        <v>3857</v>
      </c>
      <c r="S4795" s="121"/>
      <c r="T4795" s="122"/>
      <c r="U4795" s="22"/>
      <c r="V4795" s="123" t="s">
        <v>2747</v>
      </c>
      <c r="W4795" s="122">
        <v>2046</v>
      </c>
      <c r="X4795" s="221"/>
      <c r="Y4795" s="221"/>
      <c r="Z4795" s="221"/>
      <c r="AA4795" s="221"/>
      <c r="AB4795" s="223"/>
    </row>
    <row r="4796" spans="1:28" ht="17.100000000000001" customHeight="1" thickTop="1">
      <c r="A4796" s="226" t="s">
        <v>14006</v>
      </c>
      <c r="B4796" s="28">
        <v>46017</v>
      </c>
      <c r="C4796" s="25">
        <v>80</v>
      </c>
      <c r="D4796" s="13" t="s">
        <v>1589</v>
      </c>
      <c r="E4796" s="228"/>
      <c r="F4796" s="109" t="s">
        <v>10222</v>
      </c>
      <c r="G4796" s="24" t="s">
        <v>2907</v>
      </c>
      <c r="H4796" s="230">
        <v>4</v>
      </c>
      <c r="I4796" s="220">
        <v>930000</v>
      </c>
      <c r="J4796" s="220">
        <f>I4796*0.1</f>
        <v>93000</v>
      </c>
      <c r="K4796" s="220">
        <v>0</v>
      </c>
      <c r="L4796" s="220">
        <v>9140</v>
      </c>
      <c r="M4796" s="220">
        <v>33000</v>
      </c>
      <c r="N4796" s="220">
        <f>SUM(I4796:M4797)</f>
        <v>1065140</v>
      </c>
      <c r="O4796" s="224"/>
      <c r="P4796" s="110" t="s">
        <v>14704</v>
      </c>
      <c r="Q4796" s="15" t="s">
        <v>19</v>
      </c>
      <c r="R4796" s="205"/>
      <c r="S4796" s="189" t="s">
        <v>25660</v>
      </c>
      <c r="T4796" s="114"/>
      <c r="U4796" s="21"/>
      <c r="V4796" s="115">
        <v>46049</v>
      </c>
      <c r="W4796" s="116">
        <v>1926</v>
      </c>
      <c r="X4796" s="220">
        <v>1052000</v>
      </c>
      <c r="Y4796" s="220">
        <f>X4796*0.1</f>
        <v>105200</v>
      </c>
      <c r="Z4796" s="220">
        <v>9140</v>
      </c>
      <c r="AA4796" s="220">
        <f>SUM(X4796:Z4796)</f>
        <v>1166340</v>
      </c>
      <c r="AB4796" s="222"/>
    </row>
    <row r="4797" spans="1:28" ht="17.100000000000001" customHeight="1" thickBot="1">
      <c r="A4797" s="227"/>
      <c r="B4797" s="27" t="s">
        <v>4468</v>
      </c>
      <c r="C4797" s="27">
        <v>1018</v>
      </c>
      <c r="D4797" s="14" t="s">
        <v>3731</v>
      </c>
      <c r="E4797" s="229"/>
      <c r="F4797" s="117" t="s">
        <v>14011</v>
      </c>
      <c r="G4797" s="26">
        <v>48865</v>
      </c>
      <c r="H4797" s="231"/>
      <c r="I4797" s="221"/>
      <c r="J4797" s="221"/>
      <c r="K4797" s="221"/>
      <c r="L4797" s="221"/>
      <c r="M4797" s="221"/>
      <c r="N4797" s="221"/>
      <c r="O4797" s="225"/>
      <c r="P4797" s="118" t="s">
        <v>14705</v>
      </c>
      <c r="Q4797" s="16" t="s">
        <v>20</v>
      </c>
      <c r="R4797" s="17" t="s">
        <v>1800</v>
      </c>
      <c r="S4797" s="121" t="s">
        <v>1601</v>
      </c>
      <c r="T4797" s="122"/>
      <c r="U4797" s="22"/>
      <c r="V4797" s="123" t="s">
        <v>2103</v>
      </c>
      <c r="W4797" s="122">
        <v>3049</v>
      </c>
      <c r="X4797" s="221"/>
      <c r="Y4797" s="221"/>
      <c r="Z4797" s="221"/>
      <c r="AA4797" s="221"/>
      <c r="AB4797" s="223"/>
    </row>
    <row r="4798" spans="1:28" ht="17.100000000000001" customHeight="1" thickTop="1">
      <c r="A4798" s="226" t="s">
        <v>14007</v>
      </c>
      <c r="B4798" s="28">
        <v>46017</v>
      </c>
      <c r="C4798" s="25">
        <v>80</v>
      </c>
      <c r="D4798" s="13" t="s">
        <v>2379</v>
      </c>
      <c r="E4798" s="228"/>
      <c r="F4798" s="109" t="s">
        <v>2673</v>
      </c>
      <c r="G4798" s="24" t="s">
        <v>2543</v>
      </c>
      <c r="H4798" s="230">
        <v>5</v>
      </c>
      <c r="I4798" s="220">
        <v>1150000</v>
      </c>
      <c r="J4798" s="220">
        <f>I4798*0.1</f>
        <v>115000</v>
      </c>
      <c r="K4798" s="220">
        <v>0</v>
      </c>
      <c r="L4798" s="220">
        <v>14200</v>
      </c>
      <c r="M4798" s="220">
        <v>44000</v>
      </c>
      <c r="N4798" s="220">
        <f>SUM(I4798:M4799)</f>
        <v>1323200</v>
      </c>
      <c r="O4798" s="224"/>
      <c r="P4798" s="110" t="s">
        <v>14702</v>
      </c>
      <c r="Q4798" s="15" t="s">
        <v>19</v>
      </c>
      <c r="R4798" s="205"/>
      <c r="S4798" s="189" t="s">
        <v>25661</v>
      </c>
      <c r="T4798" s="114"/>
      <c r="U4798" s="21"/>
      <c r="V4798" s="115">
        <v>46042</v>
      </c>
      <c r="W4798" s="116">
        <v>1925</v>
      </c>
      <c r="X4798" s="220">
        <v>1220000</v>
      </c>
      <c r="Y4798" s="220">
        <f>X4798*0.1</f>
        <v>122000</v>
      </c>
      <c r="Z4798" s="220">
        <v>14200</v>
      </c>
      <c r="AA4798" s="220">
        <f>SUM(X4798:Z4798)</f>
        <v>1356200</v>
      </c>
      <c r="AB4798" s="222"/>
    </row>
    <row r="4799" spans="1:28" ht="17.100000000000001" customHeight="1" thickBot="1">
      <c r="A4799" s="227"/>
      <c r="B4799" s="27" t="s">
        <v>4468</v>
      </c>
      <c r="C4799" s="27">
        <v>1031</v>
      </c>
      <c r="D4799" s="14" t="s">
        <v>1710</v>
      </c>
      <c r="E4799" s="229"/>
      <c r="F4799" s="117" t="s">
        <v>14012</v>
      </c>
      <c r="G4799" s="26">
        <v>4409</v>
      </c>
      <c r="H4799" s="231"/>
      <c r="I4799" s="221"/>
      <c r="J4799" s="221"/>
      <c r="K4799" s="221"/>
      <c r="L4799" s="221"/>
      <c r="M4799" s="221"/>
      <c r="N4799" s="221"/>
      <c r="O4799" s="225"/>
      <c r="P4799" s="118" t="s">
        <v>14703</v>
      </c>
      <c r="Q4799" s="16" t="s">
        <v>20</v>
      </c>
      <c r="R4799" s="17" t="s">
        <v>1800</v>
      </c>
      <c r="S4799" s="121" t="s">
        <v>1601</v>
      </c>
      <c r="T4799" s="122"/>
      <c r="U4799" s="22"/>
      <c r="V4799" s="123" t="s">
        <v>2103</v>
      </c>
      <c r="W4799" s="122">
        <v>3195</v>
      </c>
      <c r="X4799" s="221"/>
      <c r="Y4799" s="221"/>
      <c r="Z4799" s="221"/>
      <c r="AA4799" s="221"/>
      <c r="AB4799" s="223"/>
    </row>
    <row r="4800" spans="1:28" ht="17.100000000000001" customHeight="1" thickTop="1">
      <c r="A4800" s="226" t="s">
        <v>14008</v>
      </c>
      <c r="B4800" s="28">
        <v>46017</v>
      </c>
      <c r="C4800" s="25">
        <v>80</v>
      </c>
      <c r="D4800" s="13" t="s">
        <v>1935</v>
      </c>
      <c r="E4800" s="228"/>
      <c r="F4800" s="109" t="s">
        <v>14024</v>
      </c>
      <c r="G4800" s="24" t="s">
        <v>2871</v>
      </c>
      <c r="H4800" s="230">
        <v>4.5</v>
      </c>
      <c r="I4800" s="220">
        <v>725000</v>
      </c>
      <c r="J4800" s="220">
        <f>I4800*0.1</f>
        <v>72500</v>
      </c>
      <c r="K4800" s="220">
        <v>0</v>
      </c>
      <c r="L4800" s="220">
        <v>7570</v>
      </c>
      <c r="M4800" s="220">
        <v>33000</v>
      </c>
      <c r="N4800" s="220">
        <f>SUM(I4800:M4801)</f>
        <v>838070</v>
      </c>
      <c r="O4800" s="224"/>
      <c r="P4800" s="110" t="s">
        <v>15263</v>
      </c>
      <c r="Q4800" s="15" t="s">
        <v>19</v>
      </c>
      <c r="R4800" s="205"/>
      <c r="S4800" s="189" t="s">
        <v>25659</v>
      </c>
      <c r="T4800" s="114"/>
      <c r="U4800" s="21"/>
      <c r="V4800" s="115">
        <v>46050</v>
      </c>
      <c r="W4800" s="116">
        <v>1002</v>
      </c>
      <c r="X4800" s="220">
        <v>850000</v>
      </c>
      <c r="Y4800" s="220">
        <f>X4800*0.1</f>
        <v>85000</v>
      </c>
      <c r="Z4800" s="220">
        <v>7570</v>
      </c>
      <c r="AA4800" s="220">
        <f>SUM(X4800:Z4800)</f>
        <v>942570</v>
      </c>
      <c r="AB4800" s="222">
        <v>46055</v>
      </c>
    </row>
    <row r="4801" spans="1:28" ht="17.100000000000001" customHeight="1" thickBot="1">
      <c r="A4801" s="227"/>
      <c r="B4801" s="27" t="s">
        <v>4468</v>
      </c>
      <c r="C4801" s="27">
        <v>1056</v>
      </c>
      <c r="D4801" s="14" t="s">
        <v>273</v>
      </c>
      <c r="E4801" s="229"/>
      <c r="F4801" s="117" t="s">
        <v>14013</v>
      </c>
      <c r="G4801" s="26">
        <v>55843</v>
      </c>
      <c r="H4801" s="231"/>
      <c r="I4801" s="221"/>
      <c r="J4801" s="221"/>
      <c r="K4801" s="221"/>
      <c r="L4801" s="221"/>
      <c r="M4801" s="221"/>
      <c r="N4801" s="221"/>
      <c r="O4801" s="225"/>
      <c r="P4801" s="118" t="s">
        <v>15264</v>
      </c>
      <c r="Q4801" s="16" t="s">
        <v>20</v>
      </c>
      <c r="R4801" s="17" t="s">
        <v>15265</v>
      </c>
      <c r="S4801" s="121" t="s">
        <v>10516</v>
      </c>
      <c r="T4801" s="122"/>
      <c r="U4801" s="22"/>
      <c r="V4801" s="123" t="s">
        <v>2747</v>
      </c>
      <c r="W4801" s="122">
        <v>1267</v>
      </c>
      <c r="X4801" s="221"/>
      <c r="Y4801" s="221"/>
      <c r="Z4801" s="221"/>
      <c r="AA4801" s="221"/>
      <c r="AB4801" s="223"/>
    </row>
    <row r="4802" spans="1:28" ht="17.100000000000001" customHeight="1" thickTop="1">
      <c r="A4802" s="226" t="s">
        <v>14009</v>
      </c>
      <c r="B4802" s="28">
        <v>46017</v>
      </c>
      <c r="C4802" s="25">
        <v>80</v>
      </c>
      <c r="D4802" s="13" t="s">
        <v>1908</v>
      </c>
      <c r="E4802" s="228"/>
      <c r="F4802" s="109" t="s">
        <v>14025</v>
      </c>
      <c r="G4802" s="24" t="s">
        <v>3859</v>
      </c>
      <c r="H4802" s="232" t="s">
        <v>1705</v>
      </c>
      <c r="I4802" s="220">
        <v>405000</v>
      </c>
      <c r="J4802" s="220">
        <f>I4802*0.1</f>
        <v>40500</v>
      </c>
      <c r="K4802" s="220">
        <f>6500+650</f>
        <v>7150</v>
      </c>
      <c r="L4802" s="220">
        <v>10830</v>
      </c>
      <c r="M4802" s="220">
        <v>33000</v>
      </c>
      <c r="N4802" s="220">
        <f>SUM(I4802:M4803)</f>
        <v>496480</v>
      </c>
      <c r="O4802" s="224"/>
      <c r="P4802" s="110" t="s">
        <v>15071</v>
      </c>
      <c r="Q4802" s="15" t="s">
        <v>19</v>
      </c>
      <c r="R4802" s="205"/>
      <c r="S4802" s="189" t="s">
        <v>25660</v>
      </c>
      <c r="T4802" s="114"/>
      <c r="U4802" s="21"/>
      <c r="V4802" s="115">
        <v>46057</v>
      </c>
      <c r="W4802" s="116">
        <v>1003</v>
      </c>
      <c r="X4802" s="220">
        <v>485000</v>
      </c>
      <c r="Y4802" s="220">
        <f>X4802*0.1</f>
        <v>48500</v>
      </c>
      <c r="Z4802" s="220">
        <v>10830</v>
      </c>
      <c r="AA4802" s="220">
        <f>SUM(X4802:Z4802)</f>
        <v>544330</v>
      </c>
      <c r="AB4802" s="222">
        <v>46062</v>
      </c>
    </row>
    <row r="4803" spans="1:28" ht="17.100000000000001" customHeight="1" thickBot="1">
      <c r="A4803" s="227"/>
      <c r="B4803" s="27" t="s">
        <v>4468</v>
      </c>
      <c r="C4803" s="27">
        <v>1081</v>
      </c>
      <c r="D4803" s="14" t="s">
        <v>2559</v>
      </c>
      <c r="E4803" s="229"/>
      <c r="F4803" s="117" t="s">
        <v>14014</v>
      </c>
      <c r="G4803" s="26">
        <v>116448</v>
      </c>
      <c r="H4803" s="231"/>
      <c r="I4803" s="221"/>
      <c r="J4803" s="221"/>
      <c r="K4803" s="221"/>
      <c r="L4803" s="221"/>
      <c r="M4803" s="221"/>
      <c r="N4803" s="221"/>
      <c r="O4803" s="225"/>
      <c r="P4803" s="118" t="s">
        <v>15072</v>
      </c>
      <c r="Q4803" s="16" t="s">
        <v>20</v>
      </c>
      <c r="R4803" s="17" t="s">
        <v>15049</v>
      </c>
      <c r="S4803" s="121" t="s">
        <v>13887</v>
      </c>
      <c r="T4803" s="122"/>
      <c r="U4803" s="22"/>
      <c r="V4803" s="123" t="s">
        <v>2747</v>
      </c>
      <c r="W4803" s="122">
        <v>1015</v>
      </c>
      <c r="X4803" s="221"/>
      <c r="Y4803" s="221"/>
      <c r="Z4803" s="221"/>
      <c r="AA4803" s="221"/>
      <c r="AB4803" s="223"/>
    </row>
    <row r="4804" spans="1:28" ht="17.100000000000001" customHeight="1" thickTop="1">
      <c r="A4804" s="226" t="s">
        <v>14010</v>
      </c>
      <c r="B4804" s="28">
        <v>46017</v>
      </c>
      <c r="C4804" s="25">
        <v>80</v>
      </c>
      <c r="D4804" s="13" t="s">
        <v>3494</v>
      </c>
      <c r="E4804" s="228"/>
      <c r="F4804" s="109" t="s">
        <v>14026</v>
      </c>
      <c r="G4804" s="24" t="s">
        <v>2084</v>
      </c>
      <c r="H4804" s="230">
        <v>4</v>
      </c>
      <c r="I4804" s="220">
        <v>3700000</v>
      </c>
      <c r="J4804" s="220">
        <f>I4804*0.1</f>
        <v>370000</v>
      </c>
      <c r="K4804" s="220">
        <v>0</v>
      </c>
      <c r="L4804" s="220">
        <v>14900</v>
      </c>
      <c r="M4804" s="220">
        <v>88000</v>
      </c>
      <c r="N4804" s="220">
        <f>SUM(I4804:M4805)</f>
        <v>4172900</v>
      </c>
      <c r="O4804" s="224"/>
      <c r="P4804" s="110" t="s">
        <v>14678</v>
      </c>
      <c r="Q4804" s="15" t="s">
        <v>19</v>
      </c>
      <c r="R4804" s="205"/>
      <c r="S4804" s="189" t="s">
        <v>25671</v>
      </c>
      <c r="T4804" s="114"/>
      <c r="U4804" s="21"/>
      <c r="V4804" s="115">
        <v>46036</v>
      </c>
      <c r="W4804" s="116">
        <v>1000</v>
      </c>
      <c r="X4804" s="220">
        <v>3960000</v>
      </c>
      <c r="Y4804" s="220">
        <f>X4804*0.1</f>
        <v>396000</v>
      </c>
      <c r="Z4804" s="220">
        <v>14900</v>
      </c>
      <c r="AA4804" s="220">
        <f>SUM(X4804:Z4804)</f>
        <v>4370900</v>
      </c>
      <c r="AB4804" s="222">
        <v>46041</v>
      </c>
    </row>
    <row r="4805" spans="1:28" ht="17.100000000000001" customHeight="1" thickBot="1">
      <c r="A4805" s="227"/>
      <c r="B4805" s="27" t="s">
        <v>4468</v>
      </c>
      <c r="C4805" s="27">
        <v>1083</v>
      </c>
      <c r="D4805" s="14" t="s">
        <v>273</v>
      </c>
      <c r="E4805" s="229"/>
      <c r="F4805" s="117" t="s">
        <v>14015</v>
      </c>
      <c r="G4805" s="26">
        <v>39592</v>
      </c>
      <c r="H4805" s="231"/>
      <c r="I4805" s="221"/>
      <c r="J4805" s="221"/>
      <c r="K4805" s="221"/>
      <c r="L4805" s="221"/>
      <c r="M4805" s="221"/>
      <c r="N4805" s="221"/>
      <c r="O4805" s="225"/>
      <c r="P4805" s="118" t="s">
        <v>14679</v>
      </c>
      <c r="Q4805" s="16" t="s">
        <v>20</v>
      </c>
      <c r="R4805" s="17" t="s">
        <v>1800</v>
      </c>
      <c r="S4805" s="121" t="s">
        <v>2025</v>
      </c>
      <c r="T4805" s="122"/>
      <c r="U4805" s="22"/>
      <c r="V4805" s="123" t="s">
        <v>2747</v>
      </c>
      <c r="W4805" s="122">
        <v>1149</v>
      </c>
      <c r="X4805" s="221"/>
      <c r="Y4805" s="221"/>
      <c r="Z4805" s="221"/>
      <c r="AA4805" s="221"/>
      <c r="AB4805" s="223"/>
    </row>
    <row r="4806" spans="1:28" ht="17.100000000000001" customHeight="1" thickTop="1">
      <c r="A4806" s="226" t="s">
        <v>14085</v>
      </c>
      <c r="B4806" s="28">
        <v>46018</v>
      </c>
      <c r="C4806" s="25"/>
      <c r="D4806" s="13" t="s">
        <v>14089</v>
      </c>
      <c r="E4806" s="228"/>
      <c r="F4806" s="109" t="s">
        <v>3189</v>
      </c>
      <c r="G4806" s="24" t="s">
        <v>3830</v>
      </c>
      <c r="H4806" s="230"/>
      <c r="I4806" s="220">
        <v>700000</v>
      </c>
      <c r="J4806" s="220">
        <v>0</v>
      </c>
      <c r="K4806" s="220">
        <v>0</v>
      </c>
      <c r="L4806" s="220">
        <v>0</v>
      </c>
      <c r="M4806" s="220">
        <v>0</v>
      </c>
      <c r="N4806" s="220">
        <f>SUM(I4806:M4807)</f>
        <v>700000</v>
      </c>
      <c r="O4806" s="224"/>
      <c r="P4806" s="110" t="s">
        <v>14091</v>
      </c>
      <c r="Q4806" s="15" t="s">
        <v>19</v>
      </c>
      <c r="R4806" s="205"/>
      <c r="S4806" s="189"/>
      <c r="T4806" s="114"/>
      <c r="U4806" s="21"/>
      <c r="V4806" s="115"/>
      <c r="W4806" s="116"/>
      <c r="X4806" s="220"/>
      <c r="Y4806" s="220">
        <f>X4806*0.1</f>
        <v>0</v>
      </c>
      <c r="Z4806" s="220"/>
      <c r="AA4806" s="220">
        <f>SUM(X4806:Z4806)</f>
        <v>0</v>
      </c>
      <c r="AB4806" s="222"/>
    </row>
    <row r="4807" spans="1:28" ht="17.100000000000001" customHeight="1" thickBot="1">
      <c r="A4807" s="227"/>
      <c r="B4807" s="27" t="s">
        <v>14088</v>
      </c>
      <c r="C4807" s="27"/>
      <c r="D4807" s="14"/>
      <c r="E4807" s="229"/>
      <c r="F4807" s="117" t="s">
        <v>14090</v>
      </c>
      <c r="G4807" s="26">
        <v>43371</v>
      </c>
      <c r="H4807" s="231"/>
      <c r="I4807" s="221"/>
      <c r="J4807" s="221"/>
      <c r="K4807" s="221"/>
      <c r="L4807" s="221"/>
      <c r="M4807" s="221"/>
      <c r="N4807" s="221"/>
      <c r="O4807" s="225"/>
      <c r="P4807" s="118" t="s">
        <v>14092</v>
      </c>
      <c r="Q4807" s="16" t="s">
        <v>20</v>
      </c>
      <c r="R4807" s="17" t="s">
        <v>14046</v>
      </c>
      <c r="S4807" s="121" t="s">
        <v>1661</v>
      </c>
      <c r="T4807" s="122"/>
      <c r="U4807" s="22"/>
      <c r="V4807" s="123"/>
      <c r="W4807" s="122"/>
      <c r="X4807" s="221"/>
      <c r="Y4807" s="221"/>
      <c r="Z4807" s="221"/>
      <c r="AA4807" s="221"/>
      <c r="AB4807" s="223"/>
    </row>
    <row r="4808" spans="1:28" ht="17.100000000000001" customHeight="1" thickTop="1">
      <c r="A4808" s="233" t="s">
        <v>14086</v>
      </c>
      <c r="B4808" s="28">
        <v>46018</v>
      </c>
      <c r="C4808" s="25">
        <v>1525</v>
      </c>
      <c r="D4808" s="13" t="s">
        <v>853</v>
      </c>
      <c r="E4808" s="228"/>
      <c r="F4808" s="109" t="s">
        <v>14074</v>
      </c>
      <c r="G4808" s="24" t="s">
        <v>3561</v>
      </c>
      <c r="H4808" s="230">
        <v>4.5</v>
      </c>
      <c r="I4808" s="220">
        <v>1130000</v>
      </c>
      <c r="J4808" s="220">
        <f>I4808*0.1</f>
        <v>113000</v>
      </c>
      <c r="K4808" s="220">
        <f>7600+760</f>
        <v>8360</v>
      </c>
      <c r="L4808" s="220">
        <v>16250</v>
      </c>
      <c r="M4808" s="220">
        <v>16500</v>
      </c>
      <c r="N4808" s="220">
        <f>SUM(I4808:M4809)</f>
        <v>1284110</v>
      </c>
      <c r="O4808" s="224"/>
      <c r="P4808" s="110" t="s">
        <v>14076</v>
      </c>
      <c r="Q4808" s="15" t="s">
        <v>19</v>
      </c>
      <c r="R4808" s="205"/>
      <c r="S4808" s="189" t="s">
        <v>1271</v>
      </c>
      <c r="T4808" s="114"/>
      <c r="U4808" s="21"/>
      <c r="V4808" s="115">
        <v>46039</v>
      </c>
      <c r="W4808" s="116">
        <v>1284</v>
      </c>
      <c r="X4808" s="220">
        <v>1280000</v>
      </c>
      <c r="Y4808" s="220">
        <f>X4808*0.1</f>
        <v>128000</v>
      </c>
      <c r="Z4808" s="220">
        <v>16250</v>
      </c>
      <c r="AA4808" s="220">
        <f>SUM(X4808:Z4808)</f>
        <v>1424250</v>
      </c>
      <c r="AB4808" s="222">
        <v>46044</v>
      </c>
    </row>
    <row r="4809" spans="1:28" ht="17.100000000000001" customHeight="1" thickBot="1">
      <c r="A4809" s="234"/>
      <c r="B4809" s="27" t="s">
        <v>1547</v>
      </c>
      <c r="C4809" s="27">
        <v>83064</v>
      </c>
      <c r="D4809" s="14" t="s">
        <v>898</v>
      </c>
      <c r="E4809" s="229"/>
      <c r="F4809" s="117" t="s">
        <v>14075</v>
      </c>
      <c r="G4809" s="26">
        <v>46457</v>
      </c>
      <c r="H4809" s="231"/>
      <c r="I4809" s="221"/>
      <c r="J4809" s="221"/>
      <c r="K4809" s="221"/>
      <c r="L4809" s="221"/>
      <c r="M4809" s="221"/>
      <c r="N4809" s="221"/>
      <c r="O4809" s="225"/>
      <c r="P4809" s="118" t="s">
        <v>3355</v>
      </c>
      <c r="Q4809" s="16" t="s">
        <v>20</v>
      </c>
      <c r="R4809" s="17" t="s">
        <v>3857</v>
      </c>
      <c r="S4809" s="121" t="s">
        <v>1731</v>
      </c>
      <c r="T4809" s="122"/>
      <c r="U4809" s="22"/>
      <c r="V4809" s="123" t="s">
        <v>2472</v>
      </c>
      <c r="W4809" s="122">
        <v>80014</v>
      </c>
      <c r="X4809" s="221"/>
      <c r="Y4809" s="221"/>
      <c r="Z4809" s="221"/>
      <c r="AA4809" s="221"/>
      <c r="AB4809" s="223"/>
    </row>
    <row r="4810" spans="1:28" ht="17.100000000000001" customHeight="1" thickTop="1">
      <c r="A4810" s="233" t="s">
        <v>14087</v>
      </c>
      <c r="B4810" s="28">
        <v>46018</v>
      </c>
      <c r="C4810" s="25">
        <v>1525</v>
      </c>
      <c r="D4810" s="13" t="s">
        <v>1578</v>
      </c>
      <c r="E4810" s="228"/>
      <c r="F4810" s="109" t="s">
        <v>2685</v>
      </c>
      <c r="G4810" s="24"/>
      <c r="H4810" s="230">
        <v>4.5</v>
      </c>
      <c r="I4810" s="220">
        <v>1195000</v>
      </c>
      <c r="J4810" s="220">
        <f>I4810*0.1</f>
        <v>119500</v>
      </c>
      <c r="K4810" s="220">
        <v>0</v>
      </c>
      <c r="L4810" s="220">
        <v>19090</v>
      </c>
      <c r="M4810" s="220">
        <v>16500</v>
      </c>
      <c r="N4810" s="220">
        <f>SUM(I4810:M4811)</f>
        <v>1350090</v>
      </c>
      <c r="O4810" s="224"/>
      <c r="P4810" s="110" t="s">
        <v>14415</v>
      </c>
      <c r="Q4810" s="15" t="s">
        <v>19</v>
      </c>
      <c r="R4810" s="205"/>
      <c r="S4810" s="189" t="s">
        <v>1271</v>
      </c>
      <c r="T4810" s="114"/>
      <c r="U4810" s="21"/>
      <c r="V4810" s="115">
        <v>46039</v>
      </c>
      <c r="W4810" s="116">
        <v>1284</v>
      </c>
      <c r="X4810" s="220">
        <v>1360000</v>
      </c>
      <c r="Y4810" s="220">
        <f>X4810*0.1</f>
        <v>136000</v>
      </c>
      <c r="Z4810" s="220">
        <v>19090</v>
      </c>
      <c r="AA4810" s="220">
        <f>SUM(X4810:Z4810)</f>
        <v>1515090</v>
      </c>
      <c r="AB4810" s="222">
        <v>46042</v>
      </c>
    </row>
    <row r="4811" spans="1:28" ht="17.100000000000001" customHeight="1" thickBot="1">
      <c r="A4811" s="234"/>
      <c r="B4811" s="27" t="s">
        <v>1547</v>
      </c>
      <c r="C4811" s="27">
        <v>83075</v>
      </c>
      <c r="D4811" s="14" t="s">
        <v>273</v>
      </c>
      <c r="E4811" s="229"/>
      <c r="F4811" s="117" t="s">
        <v>14077</v>
      </c>
      <c r="G4811" s="26">
        <v>55087</v>
      </c>
      <c r="H4811" s="231"/>
      <c r="I4811" s="221"/>
      <c r="J4811" s="221"/>
      <c r="K4811" s="221"/>
      <c r="L4811" s="221"/>
      <c r="M4811" s="221"/>
      <c r="N4811" s="221"/>
      <c r="O4811" s="225"/>
      <c r="P4811" s="118" t="s">
        <v>2870</v>
      </c>
      <c r="Q4811" s="16" t="s">
        <v>20</v>
      </c>
      <c r="R4811" s="17" t="s">
        <v>2900</v>
      </c>
      <c r="S4811" s="121" t="s">
        <v>1731</v>
      </c>
      <c r="T4811" s="122"/>
      <c r="U4811" s="22"/>
      <c r="V4811" s="123" t="s">
        <v>2472</v>
      </c>
      <c r="W4811" s="122">
        <v>80124</v>
      </c>
      <c r="X4811" s="221"/>
      <c r="Y4811" s="221"/>
      <c r="Z4811" s="221"/>
      <c r="AA4811" s="221"/>
      <c r="AB4811" s="223"/>
    </row>
    <row r="4812" spans="1:28" ht="17.100000000000001" customHeight="1" thickTop="1">
      <c r="A4812" s="233" t="s">
        <v>14093</v>
      </c>
      <c r="B4812" s="28">
        <v>46018</v>
      </c>
      <c r="C4812" s="25">
        <v>1282</v>
      </c>
      <c r="D4812" s="13" t="s">
        <v>1788</v>
      </c>
      <c r="E4812" s="228"/>
      <c r="F4812" s="109" t="s">
        <v>13858</v>
      </c>
      <c r="G4812" s="24" t="s">
        <v>4038</v>
      </c>
      <c r="H4812" s="230">
        <v>4.5</v>
      </c>
      <c r="I4812" s="220">
        <v>1020000</v>
      </c>
      <c r="J4812" s="220">
        <f>I4812*0.1</f>
        <v>102000</v>
      </c>
      <c r="K4812" s="220">
        <f>9800+980</f>
        <v>10780</v>
      </c>
      <c r="L4812" s="220">
        <v>11480</v>
      </c>
      <c r="M4812" s="220">
        <v>12100</v>
      </c>
      <c r="N4812" s="220">
        <f>SUM(I4812:M4813)</f>
        <v>1156360</v>
      </c>
      <c r="O4812" s="224"/>
      <c r="P4812" s="110" t="s">
        <v>14036</v>
      </c>
      <c r="Q4812" s="15" t="s">
        <v>19</v>
      </c>
      <c r="R4812" s="205"/>
      <c r="S4812" s="189" t="s">
        <v>1422</v>
      </c>
      <c r="T4812" s="114"/>
      <c r="U4812" s="21"/>
      <c r="V4812" s="115">
        <v>46039</v>
      </c>
      <c r="W4812" s="116">
        <v>1284</v>
      </c>
      <c r="X4812" s="220">
        <v>1100000</v>
      </c>
      <c r="Y4812" s="220">
        <f>X4812*0.1</f>
        <v>110000</v>
      </c>
      <c r="Z4812" s="220">
        <v>11480</v>
      </c>
      <c r="AA4812" s="220">
        <f>SUM(X4812:Z4812)</f>
        <v>1221480</v>
      </c>
      <c r="AB4812" s="222">
        <v>46044</v>
      </c>
    </row>
    <row r="4813" spans="1:28" ht="17.100000000000001" customHeight="1" thickBot="1">
      <c r="A4813" s="234"/>
      <c r="B4813" s="27" t="s">
        <v>2472</v>
      </c>
      <c r="C4813" s="27">
        <v>31004</v>
      </c>
      <c r="D4813" s="14" t="s">
        <v>54</v>
      </c>
      <c r="E4813" s="229"/>
      <c r="F4813" s="117" t="s">
        <v>14035</v>
      </c>
      <c r="G4813" s="26">
        <v>97870</v>
      </c>
      <c r="H4813" s="231"/>
      <c r="I4813" s="221"/>
      <c r="J4813" s="221"/>
      <c r="K4813" s="221"/>
      <c r="L4813" s="221"/>
      <c r="M4813" s="221"/>
      <c r="N4813" s="221"/>
      <c r="O4813" s="225"/>
      <c r="P4813" s="118" t="s">
        <v>14757</v>
      </c>
      <c r="Q4813" s="16" t="s">
        <v>20</v>
      </c>
      <c r="R4813" s="17" t="s">
        <v>14747</v>
      </c>
      <c r="S4813" s="121" t="s">
        <v>14758</v>
      </c>
      <c r="T4813" s="122" t="s">
        <v>14146</v>
      </c>
      <c r="U4813" s="22"/>
      <c r="V4813" s="123" t="s">
        <v>2472</v>
      </c>
      <c r="W4813" s="122">
        <v>50161</v>
      </c>
      <c r="X4813" s="221"/>
      <c r="Y4813" s="221"/>
      <c r="Z4813" s="221"/>
      <c r="AA4813" s="221"/>
      <c r="AB4813" s="223"/>
    </row>
    <row r="4814" spans="1:28" ht="17.100000000000001" customHeight="1" thickTop="1">
      <c r="A4814" s="233" t="s">
        <v>14094</v>
      </c>
      <c r="B4814" s="28">
        <v>46018</v>
      </c>
      <c r="C4814" s="25">
        <v>1282</v>
      </c>
      <c r="D4814" s="13" t="s">
        <v>2010</v>
      </c>
      <c r="E4814" s="228"/>
      <c r="F4814" s="109" t="s">
        <v>14078</v>
      </c>
      <c r="G4814" s="24" t="s">
        <v>2487</v>
      </c>
      <c r="H4814" s="230">
        <v>4.5</v>
      </c>
      <c r="I4814" s="220">
        <v>3005000</v>
      </c>
      <c r="J4814" s="220">
        <f>I4814*0.1</f>
        <v>300500</v>
      </c>
      <c r="K4814" s="220">
        <v>9900</v>
      </c>
      <c r="L4814" s="220">
        <v>14040</v>
      </c>
      <c r="M4814" s="220">
        <v>12100</v>
      </c>
      <c r="N4814" s="220">
        <f>SUM(I4814:M4815)</f>
        <v>3341540</v>
      </c>
      <c r="O4814" s="224"/>
      <c r="P4814" s="110" t="s">
        <v>14080</v>
      </c>
      <c r="Q4814" s="15" t="s">
        <v>19</v>
      </c>
      <c r="R4814" s="205"/>
      <c r="S4814" s="189" t="s">
        <v>1422</v>
      </c>
      <c r="T4814" s="114" t="s">
        <v>7899</v>
      </c>
      <c r="U4814" s="21"/>
      <c r="V4814" s="115"/>
      <c r="W4814" s="116"/>
      <c r="X4814" s="220"/>
      <c r="Y4814" s="220">
        <f>X4814*0.1</f>
        <v>0</v>
      </c>
      <c r="Z4814" s="220"/>
      <c r="AA4814" s="220">
        <f>SUM(X4814:Z4814)</f>
        <v>0</v>
      </c>
      <c r="AB4814" s="222"/>
    </row>
    <row r="4815" spans="1:28" ht="17.100000000000001" customHeight="1" thickBot="1">
      <c r="A4815" s="234"/>
      <c r="B4815" s="27" t="s">
        <v>2472</v>
      </c>
      <c r="C4815" s="27">
        <v>31242</v>
      </c>
      <c r="D4815" s="14" t="s">
        <v>273</v>
      </c>
      <c r="E4815" s="229"/>
      <c r="F4815" s="117" t="s">
        <v>14079</v>
      </c>
      <c r="G4815" s="26">
        <v>14464</v>
      </c>
      <c r="H4815" s="231"/>
      <c r="I4815" s="221"/>
      <c r="J4815" s="221"/>
      <c r="K4815" s="221"/>
      <c r="L4815" s="221"/>
      <c r="M4815" s="221"/>
      <c r="N4815" s="221"/>
      <c r="O4815" s="225"/>
      <c r="P4815" s="118"/>
      <c r="Q4815" s="16" t="s">
        <v>20</v>
      </c>
      <c r="R4815" s="17" t="s">
        <v>10331</v>
      </c>
      <c r="S4815" s="121"/>
      <c r="T4815" s="122"/>
      <c r="U4815" s="22"/>
      <c r="V4815" s="123"/>
      <c r="W4815" s="122"/>
      <c r="X4815" s="221"/>
      <c r="Y4815" s="221"/>
      <c r="Z4815" s="221"/>
      <c r="AA4815" s="221"/>
      <c r="AB4815" s="223"/>
    </row>
    <row r="4816" spans="1:28" ht="17.100000000000001" customHeight="1" thickTop="1">
      <c r="A4816" s="226" t="s">
        <v>14095</v>
      </c>
      <c r="B4816" s="28">
        <v>46018</v>
      </c>
      <c r="C4816" s="25">
        <v>1282</v>
      </c>
      <c r="D4816" s="13" t="s">
        <v>1531</v>
      </c>
      <c r="E4816" s="228"/>
      <c r="F4816" s="109" t="s">
        <v>14037</v>
      </c>
      <c r="G4816" s="24" t="s">
        <v>5390</v>
      </c>
      <c r="H4816" s="230">
        <v>4</v>
      </c>
      <c r="I4816" s="220">
        <v>580000</v>
      </c>
      <c r="J4816" s="220">
        <f>I4816*0.1</f>
        <v>58000</v>
      </c>
      <c r="K4816" s="220">
        <f>8600+860</f>
        <v>9460</v>
      </c>
      <c r="L4816" s="220">
        <v>9940</v>
      </c>
      <c r="M4816" s="220">
        <v>12100</v>
      </c>
      <c r="N4816" s="220">
        <f>SUM(I4816:M4817)</f>
        <v>669500</v>
      </c>
      <c r="O4816" s="224"/>
      <c r="P4816" s="110" t="s">
        <v>14039</v>
      </c>
      <c r="Q4816" s="15" t="s">
        <v>19</v>
      </c>
      <c r="R4816" s="205"/>
      <c r="S4816" s="189" t="s">
        <v>25672</v>
      </c>
      <c r="T4816" s="114"/>
      <c r="U4816" s="21"/>
      <c r="V4816" s="115">
        <v>46050</v>
      </c>
      <c r="W4816" s="116">
        <v>1002</v>
      </c>
      <c r="X4816" s="220">
        <v>615000</v>
      </c>
      <c r="Y4816" s="220">
        <f>X4816*0.1</f>
        <v>61500</v>
      </c>
      <c r="Z4816" s="220">
        <v>9940</v>
      </c>
      <c r="AA4816" s="220">
        <f>SUM(X4816:Z4816)</f>
        <v>686440</v>
      </c>
      <c r="AB4816" s="222">
        <v>46055</v>
      </c>
    </row>
    <row r="4817" spans="1:28" ht="17.100000000000001" customHeight="1" thickBot="1">
      <c r="A4817" s="227"/>
      <c r="B4817" s="27" t="s">
        <v>2472</v>
      </c>
      <c r="C4817" s="27">
        <v>37066</v>
      </c>
      <c r="D4817" s="14" t="s">
        <v>2559</v>
      </c>
      <c r="E4817" s="229"/>
      <c r="F4817" s="117" t="s">
        <v>14038</v>
      </c>
      <c r="G4817" s="26">
        <v>48108</v>
      </c>
      <c r="H4817" s="231"/>
      <c r="I4817" s="221"/>
      <c r="J4817" s="221"/>
      <c r="K4817" s="221"/>
      <c r="L4817" s="221"/>
      <c r="M4817" s="221"/>
      <c r="N4817" s="221"/>
      <c r="O4817" s="225"/>
      <c r="P4817" s="118" t="s">
        <v>3479</v>
      </c>
      <c r="Q4817" s="16" t="s">
        <v>20</v>
      </c>
      <c r="R4817" s="17" t="s">
        <v>14747</v>
      </c>
      <c r="S4817" s="121" t="s">
        <v>9318</v>
      </c>
      <c r="T4817" s="122"/>
      <c r="U4817" s="22"/>
      <c r="V4817" s="123" t="s">
        <v>2747</v>
      </c>
      <c r="W4817" s="122">
        <v>6015</v>
      </c>
      <c r="X4817" s="221"/>
      <c r="Y4817" s="221"/>
      <c r="Z4817" s="221"/>
      <c r="AA4817" s="221"/>
      <c r="AB4817" s="223"/>
    </row>
    <row r="4818" spans="1:28" ht="17.100000000000001" customHeight="1" thickTop="1">
      <c r="A4818" s="233" t="s">
        <v>14096</v>
      </c>
      <c r="B4818" s="28">
        <v>46018</v>
      </c>
      <c r="C4818" s="25">
        <v>1282</v>
      </c>
      <c r="D4818" s="13" t="s">
        <v>3773</v>
      </c>
      <c r="E4818" s="228"/>
      <c r="F4818" s="109" t="s">
        <v>14040</v>
      </c>
      <c r="G4818" s="24"/>
      <c r="H4818" s="230">
        <v>4</v>
      </c>
      <c r="I4818" s="220">
        <v>770000</v>
      </c>
      <c r="J4818" s="220">
        <f>I4818*0.1</f>
        <v>77000</v>
      </c>
      <c r="K4818" s="220">
        <v>0</v>
      </c>
      <c r="L4818" s="220">
        <v>16260</v>
      </c>
      <c r="M4818" s="220">
        <v>12100</v>
      </c>
      <c r="N4818" s="220">
        <f>SUM(I4818:M4819)</f>
        <v>875360</v>
      </c>
      <c r="O4818" s="224"/>
      <c r="P4818" s="110" t="s">
        <v>14735</v>
      </c>
      <c r="Q4818" s="15" t="s">
        <v>19</v>
      </c>
      <c r="R4818" s="205"/>
      <c r="S4818" s="189"/>
      <c r="T4818" s="114"/>
      <c r="U4818" s="21"/>
      <c r="V4818" s="115">
        <v>46032</v>
      </c>
      <c r="W4818" s="116">
        <v>1283</v>
      </c>
      <c r="X4818" s="220">
        <v>810000</v>
      </c>
      <c r="Y4818" s="220">
        <f>X4818*0.1</f>
        <v>81000</v>
      </c>
      <c r="Z4818" s="220">
        <v>16260</v>
      </c>
      <c r="AA4818" s="220">
        <f>SUM(X4818:Z4818)</f>
        <v>907260</v>
      </c>
      <c r="AB4818" s="222">
        <v>46042</v>
      </c>
    </row>
    <row r="4819" spans="1:28" ht="17.100000000000001" customHeight="1" thickBot="1">
      <c r="A4819" s="234"/>
      <c r="B4819" s="27" t="s">
        <v>2472</v>
      </c>
      <c r="C4819" s="27">
        <v>37071</v>
      </c>
      <c r="D4819" s="14" t="s">
        <v>273</v>
      </c>
      <c r="E4819" s="229"/>
      <c r="F4819" s="117" t="s">
        <v>14041</v>
      </c>
      <c r="G4819" s="26">
        <v>101056</v>
      </c>
      <c r="H4819" s="231"/>
      <c r="I4819" s="221"/>
      <c r="J4819" s="221"/>
      <c r="K4819" s="221"/>
      <c r="L4819" s="221"/>
      <c r="M4819" s="221"/>
      <c r="N4819" s="221"/>
      <c r="O4819" s="225"/>
      <c r="P4819" s="118" t="s">
        <v>14736</v>
      </c>
      <c r="Q4819" s="16" t="s">
        <v>20</v>
      </c>
      <c r="R4819" s="17" t="s">
        <v>3913</v>
      </c>
      <c r="S4819" s="121" t="s">
        <v>1573</v>
      </c>
      <c r="T4819" s="122"/>
      <c r="U4819" s="22"/>
      <c r="V4819" s="123" t="s">
        <v>2472</v>
      </c>
      <c r="W4819" s="122">
        <v>50147</v>
      </c>
      <c r="X4819" s="221"/>
      <c r="Y4819" s="221"/>
      <c r="Z4819" s="221"/>
      <c r="AA4819" s="221"/>
      <c r="AB4819" s="223"/>
    </row>
    <row r="4820" spans="1:28" ht="17.100000000000001" customHeight="1" thickTop="1">
      <c r="A4820" s="233" t="s">
        <v>14097</v>
      </c>
      <c r="B4820" s="28">
        <v>46018</v>
      </c>
      <c r="C4820" s="25">
        <v>1282</v>
      </c>
      <c r="D4820" s="13" t="s">
        <v>1634</v>
      </c>
      <c r="E4820" s="228"/>
      <c r="F4820" s="109" t="s">
        <v>14042</v>
      </c>
      <c r="G4820" s="24" t="s">
        <v>3992</v>
      </c>
      <c r="H4820" s="230">
        <v>4.5</v>
      </c>
      <c r="I4820" s="220">
        <v>1320000</v>
      </c>
      <c r="J4820" s="220">
        <f>I4820*0.1</f>
        <v>132000</v>
      </c>
      <c r="K4820" s="220">
        <f>6200+620</f>
        <v>6820</v>
      </c>
      <c r="L4820" s="220">
        <v>11930</v>
      </c>
      <c r="M4820" s="220">
        <v>16500</v>
      </c>
      <c r="N4820" s="220">
        <f>SUM(I4820:M4821)</f>
        <v>1487250</v>
      </c>
      <c r="O4820" s="224"/>
      <c r="P4820" s="110" t="s">
        <v>14044</v>
      </c>
      <c r="Q4820" s="15" t="s">
        <v>19</v>
      </c>
      <c r="R4820" s="205"/>
      <c r="S4820" s="189" t="s">
        <v>25673</v>
      </c>
      <c r="T4820" s="114"/>
      <c r="U4820" s="21"/>
      <c r="V4820" s="115">
        <v>46032</v>
      </c>
      <c r="W4820" s="116">
        <v>1283</v>
      </c>
      <c r="X4820" s="220">
        <v>1545000</v>
      </c>
      <c r="Y4820" s="220">
        <f>X4820*0.1</f>
        <v>154500</v>
      </c>
      <c r="Z4820" s="220">
        <v>11930</v>
      </c>
      <c r="AA4820" s="220">
        <f>SUM(X4820:Z4820)</f>
        <v>1711430</v>
      </c>
      <c r="AB4820" s="222">
        <v>46038</v>
      </c>
    </row>
    <row r="4821" spans="1:28" ht="17.100000000000001" customHeight="1" thickBot="1">
      <c r="A4821" s="234"/>
      <c r="B4821" s="27" t="s">
        <v>2472</v>
      </c>
      <c r="C4821" s="27">
        <v>81069</v>
      </c>
      <c r="D4821" s="14" t="s">
        <v>1548</v>
      </c>
      <c r="E4821" s="229"/>
      <c r="F4821" s="117" t="s">
        <v>14043</v>
      </c>
      <c r="G4821" s="26">
        <v>34560</v>
      </c>
      <c r="H4821" s="231"/>
      <c r="I4821" s="221"/>
      <c r="J4821" s="221"/>
      <c r="K4821" s="221"/>
      <c r="L4821" s="221"/>
      <c r="M4821" s="221"/>
      <c r="N4821" s="221"/>
      <c r="O4821" s="225"/>
      <c r="P4821" s="118" t="s">
        <v>14733</v>
      </c>
      <c r="Q4821" s="16" t="s">
        <v>20</v>
      </c>
      <c r="R4821" s="17" t="s">
        <v>3913</v>
      </c>
      <c r="S4821" s="121" t="s">
        <v>14734</v>
      </c>
      <c r="T4821" s="122"/>
      <c r="U4821" s="22"/>
      <c r="V4821" s="123" t="s">
        <v>2472</v>
      </c>
      <c r="W4821" s="122">
        <v>80191</v>
      </c>
      <c r="X4821" s="221"/>
      <c r="Y4821" s="221"/>
      <c r="Z4821" s="221"/>
      <c r="AA4821" s="221"/>
      <c r="AB4821" s="223"/>
    </row>
    <row r="4822" spans="1:28" ht="17.100000000000001" customHeight="1" thickTop="1">
      <c r="A4822" s="233" t="s">
        <v>14098</v>
      </c>
      <c r="B4822" s="28">
        <v>46018</v>
      </c>
      <c r="C4822" s="25">
        <v>1282</v>
      </c>
      <c r="D4822" s="13" t="s">
        <v>2766</v>
      </c>
      <c r="E4822" s="228"/>
      <c r="F4822" s="109" t="s">
        <v>1141</v>
      </c>
      <c r="G4822" s="24"/>
      <c r="H4822" s="230">
        <v>4.5</v>
      </c>
      <c r="I4822" s="220">
        <v>725000</v>
      </c>
      <c r="J4822" s="220">
        <f>I4822*0.1</f>
        <v>72500</v>
      </c>
      <c r="K4822" s="220">
        <v>0</v>
      </c>
      <c r="L4822" s="220">
        <v>17700</v>
      </c>
      <c r="M4822" s="220">
        <v>16500</v>
      </c>
      <c r="N4822" s="220">
        <f>SUM(I4822:M4823)</f>
        <v>831700</v>
      </c>
      <c r="O4822" s="224"/>
      <c r="P4822" s="110" t="s">
        <v>14756</v>
      </c>
      <c r="Q4822" s="15" t="s">
        <v>19</v>
      </c>
      <c r="R4822" s="205"/>
      <c r="S4822" s="189" t="s">
        <v>1361</v>
      </c>
      <c r="T4822" s="114"/>
      <c r="U4822" s="21"/>
      <c r="V4822" s="115">
        <v>46039</v>
      </c>
      <c r="W4822" s="116">
        <v>1284</v>
      </c>
      <c r="X4822" s="220">
        <v>840000</v>
      </c>
      <c r="Y4822" s="220">
        <f>X4822*0.1</f>
        <v>84000</v>
      </c>
      <c r="Z4822" s="220">
        <v>17700</v>
      </c>
      <c r="AA4822" s="220">
        <f>SUM(X4822:Z4822)</f>
        <v>941700</v>
      </c>
      <c r="AB4822" s="222">
        <v>46042</v>
      </c>
    </row>
    <row r="4823" spans="1:28" ht="17.100000000000001" customHeight="1" thickBot="1">
      <c r="A4823" s="234"/>
      <c r="B4823" s="27" t="s">
        <v>2472</v>
      </c>
      <c r="C4823" s="27">
        <v>82133</v>
      </c>
      <c r="D4823" s="14" t="s">
        <v>1797</v>
      </c>
      <c r="E4823" s="229"/>
      <c r="F4823" s="117" t="s">
        <v>14073</v>
      </c>
      <c r="G4823" s="26">
        <v>57839</v>
      </c>
      <c r="H4823" s="231"/>
      <c r="I4823" s="221"/>
      <c r="J4823" s="221"/>
      <c r="K4823" s="221"/>
      <c r="L4823" s="221"/>
      <c r="M4823" s="221"/>
      <c r="N4823" s="221"/>
      <c r="O4823" s="225"/>
      <c r="P4823" s="118" t="s">
        <v>2870</v>
      </c>
      <c r="Q4823" s="16" t="s">
        <v>20</v>
      </c>
      <c r="R4823" s="17" t="s">
        <v>14747</v>
      </c>
      <c r="S4823" s="121" t="s">
        <v>169</v>
      </c>
      <c r="T4823" s="122"/>
      <c r="U4823" s="22"/>
      <c r="V4823" s="123" t="s">
        <v>2472</v>
      </c>
      <c r="W4823" s="122">
        <v>80137</v>
      </c>
      <c r="X4823" s="221"/>
      <c r="Y4823" s="221"/>
      <c r="Z4823" s="221"/>
      <c r="AA4823" s="221"/>
      <c r="AB4823" s="223"/>
    </row>
    <row r="4824" spans="1:28" ht="17.100000000000001" customHeight="1" thickTop="1">
      <c r="A4824" s="233" t="s">
        <v>14125</v>
      </c>
      <c r="B4824" s="28">
        <v>46020</v>
      </c>
      <c r="C4824" s="25"/>
      <c r="D4824" s="13" t="s">
        <v>2463</v>
      </c>
      <c r="E4824" s="228"/>
      <c r="F4824" s="109" t="s">
        <v>14127</v>
      </c>
      <c r="G4824" s="24" t="s">
        <v>8081</v>
      </c>
      <c r="H4824" s="230"/>
      <c r="I4824" s="220">
        <v>400000</v>
      </c>
      <c r="J4824" s="220">
        <v>0</v>
      </c>
      <c r="K4824" s="220">
        <v>0</v>
      </c>
      <c r="L4824" s="220">
        <v>0</v>
      </c>
      <c r="M4824" s="220">
        <v>0</v>
      </c>
      <c r="N4824" s="220">
        <f>SUM(I4824:M4825)</f>
        <v>400000</v>
      </c>
      <c r="O4824" s="224"/>
      <c r="P4824" s="110" t="s">
        <v>14129</v>
      </c>
      <c r="Q4824" s="15" t="s">
        <v>19</v>
      </c>
      <c r="R4824" s="205"/>
      <c r="S4824" s="189"/>
      <c r="T4824" s="114"/>
      <c r="U4824" s="21"/>
      <c r="V4824" s="115">
        <v>46032</v>
      </c>
      <c r="W4824" s="116">
        <v>1283</v>
      </c>
      <c r="X4824" s="220">
        <v>515000</v>
      </c>
      <c r="Y4824" s="220">
        <f>X4824*0.1</f>
        <v>51500</v>
      </c>
      <c r="Z4824" s="220">
        <v>9070</v>
      </c>
      <c r="AA4824" s="220">
        <f>SUM(X4824:Z4824)</f>
        <v>575570</v>
      </c>
      <c r="AB4824" s="222">
        <v>46036</v>
      </c>
    </row>
    <row r="4825" spans="1:28" ht="17.100000000000001" customHeight="1" thickBot="1">
      <c r="A4825" s="234"/>
      <c r="B4825" s="27" t="s">
        <v>14126</v>
      </c>
      <c r="C4825" s="27"/>
      <c r="D4825" s="14"/>
      <c r="E4825" s="229"/>
      <c r="F4825" s="117" t="s">
        <v>14128</v>
      </c>
      <c r="G4825" s="26">
        <v>58487</v>
      </c>
      <c r="H4825" s="231"/>
      <c r="I4825" s="221"/>
      <c r="J4825" s="221"/>
      <c r="K4825" s="221"/>
      <c r="L4825" s="221"/>
      <c r="M4825" s="221"/>
      <c r="N4825" s="221"/>
      <c r="O4825" s="225"/>
      <c r="P4825" s="118" t="s">
        <v>14130</v>
      </c>
      <c r="Q4825" s="16" t="s">
        <v>20</v>
      </c>
      <c r="R4825" s="17" t="s">
        <v>2250</v>
      </c>
      <c r="S4825" s="121" t="s">
        <v>3552</v>
      </c>
      <c r="T4825" s="122"/>
      <c r="U4825" s="22"/>
      <c r="V4825" s="123" t="s">
        <v>2472</v>
      </c>
      <c r="W4825" s="122">
        <v>65358</v>
      </c>
      <c r="X4825" s="221"/>
      <c r="Y4825" s="221"/>
      <c r="Z4825" s="221"/>
      <c r="AA4825" s="221"/>
      <c r="AB4825" s="223"/>
    </row>
    <row r="4826" spans="1:28" ht="17.100000000000001" customHeight="1" thickTop="1">
      <c r="A4826" s="226" t="s">
        <v>14186</v>
      </c>
      <c r="B4826" s="28">
        <v>46027</v>
      </c>
      <c r="C4826" s="25">
        <v>81</v>
      </c>
      <c r="D4826" s="13" t="s">
        <v>1748</v>
      </c>
      <c r="E4826" s="228"/>
      <c r="F4826" s="109" t="s">
        <v>14155</v>
      </c>
      <c r="G4826" s="24" t="s">
        <v>2536</v>
      </c>
      <c r="H4826" s="230">
        <v>4</v>
      </c>
      <c r="I4826" s="220">
        <v>2605000</v>
      </c>
      <c r="J4826" s="220">
        <f>I4826*0.1</f>
        <v>260500</v>
      </c>
      <c r="K4826" s="220">
        <v>6600</v>
      </c>
      <c r="L4826" s="220">
        <v>12160</v>
      </c>
      <c r="M4826" s="220">
        <v>66000</v>
      </c>
      <c r="N4826" s="220">
        <f>SUM(I4826:M4827)</f>
        <v>2950260</v>
      </c>
      <c r="O4826" s="224"/>
      <c r="P4826" s="110" t="s">
        <v>14393</v>
      </c>
      <c r="Q4826" s="15" t="s">
        <v>19</v>
      </c>
      <c r="R4826" s="205"/>
      <c r="S4826" s="189" t="s">
        <v>25659</v>
      </c>
      <c r="T4826" s="114"/>
      <c r="U4826" s="21" t="s">
        <v>17611</v>
      </c>
      <c r="V4826" s="115">
        <v>46081</v>
      </c>
      <c r="W4826" s="116">
        <v>1290</v>
      </c>
      <c r="X4826" s="220">
        <v>2700000</v>
      </c>
      <c r="Y4826" s="220">
        <f>X4826*0.1</f>
        <v>270000</v>
      </c>
      <c r="Z4826" s="220">
        <v>12160</v>
      </c>
      <c r="AA4826" s="220">
        <f>SUM(X4826:Z4826)</f>
        <v>2982160</v>
      </c>
      <c r="AB4826" s="222">
        <v>46084</v>
      </c>
    </row>
    <row r="4827" spans="1:28" ht="17.100000000000001" customHeight="1" thickBot="1">
      <c r="A4827" s="227"/>
      <c r="B4827" s="27" t="s">
        <v>4468</v>
      </c>
      <c r="C4827" s="27">
        <v>1001</v>
      </c>
      <c r="D4827" s="14" t="s">
        <v>2559</v>
      </c>
      <c r="E4827" s="229"/>
      <c r="F4827" s="117" t="s">
        <v>14147</v>
      </c>
      <c r="G4827" s="26">
        <v>49222</v>
      </c>
      <c r="H4827" s="231"/>
      <c r="I4827" s="221"/>
      <c r="J4827" s="221"/>
      <c r="K4827" s="221"/>
      <c r="L4827" s="221"/>
      <c r="M4827" s="221"/>
      <c r="N4827" s="221"/>
      <c r="O4827" s="225"/>
      <c r="P4827" s="118" t="s">
        <v>12548</v>
      </c>
      <c r="Q4827" s="16" t="s">
        <v>20</v>
      </c>
      <c r="R4827" s="17" t="s">
        <v>2900</v>
      </c>
      <c r="S4827" s="121" t="s">
        <v>17120</v>
      </c>
      <c r="T4827" s="127" t="s">
        <v>17121</v>
      </c>
      <c r="U4827" s="22"/>
      <c r="V4827" s="123" t="s">
        <v>2472</v>
      </c>
      <c r="W4827" s="122">
        <v>31179</v>
      </c>
      <c r="X4827" s="221"/>
      <c r="Y4827" s="221"/>
      <c r="Z4827" s="221"/>
      <c r="AA4827" s="221"/>
      <c r="AB4827" s="223"/>
    </row>
    <row r="4828" spans="1:28" ht="17.100000000000001" customHeight="1" thickTop="1">
      <c r="A4828" s="226" t="s">
        <v>14187</v>
      </c>
      <c r="B4828" s="28">
        <v>46027</v>
      </c>
      <c r="C4828" s="25">
        <v>81</v>
      </c>
      <c r="D4828" s="13" t="s">
        <v>2010</v>
      </c>
      <c r="E4828" s="228"/>
      <c r="F4828" s="109" t="s">
        <v>14180</v>
      </c>
      <c r="G4828" s="24" t="s">
        <v>2487</v>
      </c>
      <c r="H4828" s="230">
        <v>4.5</v>
      </c>
      <c r="I4828" s="220">
        <v>2450000</v>
      </c>
      <c r="J4828" s="220">
        <f>I4828*0.1</f>
        <v>245000</v>
      </c>
      <c r="K4828" s="220">
        <v>5500</v>
      </c>
      <c r="L4828" s="220">
        <v>11740</v>
      </c>
      <c r="M4828" s="220">
        <v>66000</v>
      </c>
      <c r="N4828" s="220">
        <f>SUM(I4828:M4829)</f>
        <v>2778240</v>
      </c>
      <c r="O4828" s="224"/>
      <c r="P4828" s="110" t="s">
        <v>15851</v>
      </c>
      <c r="Q4828" s="15" t="s">
        <v>19</v>
      </c>
      <c r="R4828" s="205"/>
      <c r="S4828" s="189" t="s">
        <v>25659</v>
      </c>
      <c r="T4828" s="114"/>
      <c r="U4828" s="21"/>
      <c r="V4828" s="115">
        <v>46053</v>
      </c>
      <c r="W4828" s="116">
        <v>1286</v>
      </c>
      <c r="X4828" s="220">
        <v>2570000</v>
      </c>
      <c r="Y4828" s="220">
        <f>X4828*0.1</f>
        <v>257000</v>
      </c>
      <c r="Z4828" s="220">
        <v>11740</v>
      </c>
      <c r="AA4828" s="220">
        <f>SUM(X4828:Z4828)</f>
        <v>2838740</v>
      </c>
      <c r="AB4828" s="222">
        <v>46056</v>
      </c>
    </row>
    <row r="4829" spans="1:28" ht="17.100000000000001" customHeight="1" thickBot="1">
      <c r="A4829" s="227"/>
      <c r="B4829" s="27" t="s">
        <v>12929</v>
      </c>
      <c r="C4829" s="27">
        <v>1022</v>
      </c>
      <c r="D4829" s="14" t="s">
        <v>131</v>
      </c>
      <c r="E4829" s="229"/>
      <c r="F4829" s="117" t="s">
        <v>14213</v>
      </c>
      <c r="G4829" s="26">
        <v>7377</v>
      </c>
      <c r="H4829" s="231"/>
      <c r="I4829" s="221"/>
      <c r="J4829" s="221"/>
      <c r="K4829" s="221"/>
      <c r="L4829" s="221"/>
      <c r="M4829" s="221"/>
      <c r="N4829" s="221"/>
      <c r="O4829" s="225"/>
      <c r="P4829" s="118" t="s">
        <v>15852</v>
      </c>
      <c r="Q4829" s="16" t="s">
        <v>20</v>
      </c>
      <c r="R4829" s="17" t="s">
        <v>15814</v>
      </c>
      <c r="S4829" s="121" t="s">
        <v>1731</v>
      </c>
      <c r="T4829" s="122"/>
      <c r="U4829" s="22"/>
      <c r="V4829" s="123" t="s">
        <v>2472</v>
      </c>
      <c r="W4829" s="122">
        <v>37692</v>
      </c>
      <c r="X4829" s="221"/>
      <c r="Y4829" s="221"/>
      <c r="Z4829" s="221"/>
      <c r="AA4829" s="221"/>
      <c r="AB4829" s="223"/>
    </row>
    <row r="4830" spans="1:28" ht="17.100000000000001" customHeight="1" thickTop="1">
      <c r="A4830" s="226" t="s">
        <v>14188</v>
      </c>
      <c r="B4830" s="28">
        <v>46027</v>
      </c>
      <c r="C4830" s="25">
        <v>81</v>
      </c>
      <c r="D4830" s="13" t="s">
        <v>2239</v>
      </c>
      <c r="E4830" s="228"/>
      <c r="F4830" s="109" t="s">
        <v>14156</v>
      </c>
      <c r="G4830" s="24" t="s">
        <v>2926</v>
      </c>
      <c r="H4830" s="230">
        <v>4.5</v>
      </c>
      <c r="I4830" s="220">
        <v>860000</v>
      </c>
      <c r="J4830" s="220">
        <f>I4830*0.1</f>
        <v>86000</v>
      </c>
      <c r="K4830" s="220">
        <v>0</v>
      </c>
      <c r="L4830" s="220">
        <v>6880</v>
      </c>
      <c r="M4830" s="220">
        <v>33000</v>
      </c>
      <c r="N4830" s="220">
        <f>SUM(I4830:M4831)</f>
        <v>985880</v>
      </c>
      <c r="O4830" s="224"/>
      <c r="P4830" s="110" t="s">
        <v>17216</v>
      </c>
      <c r="Q4830" s="15" t="s">
        <v>19</v>
      </c>
      <c r="R4830" s="205"/>
      <c r="S4830" s="189" t="s">
        <v>25661</v>
      </c>
      <c r="T4830" s="114"/>
      <c r="U4830" s="21" t="s">
        <v>17337</v>
      </c>
      <c r="V4830" s="115">
        <v>46056</v>
      </c>
      <c r="W4830" s="116">
        <v>1927</v>
      </c>
      <c r="X4830" s="220">
        <v>924000</v>
      </c>
      <c r="Y4830" s="220">
        <f>X4830*0.1</f>
        <v>92400</v>
      </c>
      <c r="Z4830" s="220">
        <v>6880</v>
      </c>
      <c r="AA4830" s="220">
        <f>SUM(X4830:Z4830)</f>
        <v>1023280</v>
      </c>
      <c r="AB4830" s="222"/>
    </row>
    <row r="4831" spans="1:28" ht="17.100000000000001" customHeight="1" thickBot="1">
      <c r="A4831" s="227"/>
      <c r="B4831" s="27" t="s">
        <v>4468</v>
      </c>
      <c r="C4831" s="27">
        <v>1025</v>
      </c>
      <c r="D4831" s="14" t="s">
        <v>1568</v>
      </c>
      <c r="E4831" s="229"/>
      <c r="F4831" s="117" t="s">
        <v>14148</v>
      </c>
      <c r="G4831" s="26">
        <v>17447</v>
      </c>
      <c r="H4831" s="231"/>
      <c r="I4831" s="221"/>
      <c r="J4831" s="221"/>
      <c r="K4831" s="221"/>
      <c r="L4831" s="221"/>
      <c r="M4831" s="221"/>
      <c r="N4831" s="221"/>
      <c r="O4831" s="225"/>
      <c r="P4831" s="118" t="s">
        <v>17217</v>
      </c>
      <c r="Q4831" s="16" t="s">
        <v>20</v>
      </c>
      <c r="R4831" s="17" t="s">
        <v>3521</v>
      </c>
      <c r="S4831" s="121" t="s">
        <v>1731</v>
      </c>
      <c r="T4831" s="122"/>
      <c r="U4831" s="22"/>
      <c r="V4831" s="123" t="s">
        <v>2103</v>
      </c>
      <c r="W4831" s="122">
        <v>3267</v>
      </c>
      <c r="X4831" s="221"/>
      <c r="Y4831" s="221"/>
      <c r="Z4831" s="221"/>
      <c r="AA4831" s="221"/>
      <c r="AB4831" s="223"/>
    </row>
    <row r="4832" spans="1:28" ht="17.100000000000001" customHeight="1" thickTop="1">
      <c r="A4832" s="233" t="s">
        <v>14189</v>
      </c>
      <c r="B4832" s="28">
        <v>46027</v>
      </c>
      <c r="C4832" s="25">
        <v>81</v>
      </c>
      <c r="D4832" s="13" t="s">
        <v>1740</v>
      </c>
      <c r="E4832" s="228"/>
      <c r="F4832" s="109" t="s">
        <v>5277</v>
      </c>
      <c r="G4832" s="24" t="s">
        <v>2813</v>
      </c>
      <c r="H4832" s="232" t="s">
        <v>1705</v>
      </c>
      <c r="I4832" s="220">
        <v>135000</v>
      </c>
      <c r="J4832" s="220">
        <f>I4832*0.1</f>
        <v>13500</v>
      </c>
      <c r="K4832" s="220">
        <v>0</v>
      </c>
      <c r="L4832" s="220">
        <v>9770</v>
      </c>
      <c r="M4832" s="220">
        <v>33000</v>
      </c>
      <c r="N4832" s="220">
        <f>SUM(I4832:M4833)</f>
        <v>191270</v>
      </c>
      <c r="O4832" s="224"/>
      <c r="P4832" s="110"/>
      <c r="Q4832" s="15" t="s">
        <v>19</v>
      </c>
      <c r="R4832" s="205"/>
      <c r="S4832" s="189" t="s">
        <v>25659</v>
      </c>
      <c r="T4832" s="114" t="s">
        <v>7899</v>
      </c>
      <c r="U4832" s="21"/>
      <c r="V4832" s="115"/>
      <c r="W4832" s="116"/>
      <c r="X4832" s="220"/>
      <c r="Y4832" s="220">
        <f>X4832*0.1</f>
        <v>0</v>
      </c>
      <c r="Z4832" s="220"/>
      <c r="AA4832" s="220">
        <f>SUM(X4832:Z4832)</f>
        <v>0</v>
      </c>
      <c r="AB4832" s="222"/>
    </row>
    <row r="4833" spans="1:28" ht="17.100000000000001" customHeight="1" thickBot="1">
      <c r="A4833" s="234"/>
      <c r="B4833" s="27" t="s">
        <v>4468</v>
      </c>
      <c r="C4833" s="27">
        <v>1028</v>
      </c>
      <c r="D4833" s="14" t="s">
        <v>273</v>
      </c>
      <c r="E4833" s="229"/>
      <c r="F4833" s="117" t="s">
        <v>14149</v>
      </c>
      <c r="G4833" s="26">
        <v>67007</v>
      </c>
      <c r="H4833" s="231"/>
      <c r="I4833" s="221"/>
      <c r="J4833" s="221"/>
      <c r="K4833" s="221"/>
      <c r="L4833" s="221"/>
      <c r="M4833" s="221"/>
      <c r="N4833" s="221"/>
      <c r="O4833" s="225"/>
      <c r="P4833" s="118"/>
      <c r="Q4833" s="16" t="s">
        <v>20</v>
      </c>
      <c r="R4833" s="17" t="s">
        <v>10331</v>
      </c>
      <c r="S4833" s="121"/>
      <c r="T4833" s="122"/>
      <c r="U4833" s="22"/>
      <c r="V4833" s="123"/>
      <c r="W4833" s="122"/>
      <c r="X4833" s="221"/>
      <c r="Y4833" s="221"/>
      <c r="Z4833" s="221"/>
      <c r="AA4833" s="221"/>
      <c r="AB4833" s="223"/>
    </row>
    <row r="4834" spans="1:28" ht="17.100000000000001" customHeight="1" thickTop="1">
      <c r="A4834" s="226" t="s">
        <v>14190</v>
      </c>
      <c r="B4834" s="28">
        <v>46027</v>
      </c>
      <c r="C4834" s="25">
        <v>81</v>
      </c>
      <c r="D4834" s="13" t="s">
        <v>812</v>
      </c>
      <c r="E4834" s="228"/>
      <c r="F4834" s="109" t="s">
        <v>14157</v>
      </c>
      <c r="G4834" s="24" t="s">
        <v>1551</v>
      </c>
      <c r="H4834" s="230">
        <v>4.5</v>
      </c>
      <c r="I4834" s="220">
        <v>2725000</v>
      </c>
      <c r="J4834" s="220">
        <f>I4834*0.1</f>
        <v>272500</v>
      </c>
      <c r="K4834" s="220">
        <f>7200+720</f>
        <v>7920</v>
      </c>
      <c r="L4834" s="220">
        <v>10750</v>
      </c>
      <c r="M4834" s="220">
        <v>66000</v>
      </c>
      <c r="N4834" s="220">
        <f>SUM(I4834:M4835)</f>
        <v>3082170</v>
      </c>
      <c r="O4834" s="224"/>
      <c r="P4834" s="110" t="s">
        <v>14696</v>
      </c>
      <c r="Q4834" s="15" t="s">
        <v>19</v>
      </c>
      <c r="R4834" s="205"/>
      <c r="S4834" s="189" t="s">
        <v>25661</v>
      </c>
      <c r="T4834" s="114"/>
      <c r="U4834" s="21"/>
      <c r="V4834" s="115">
        <v>46046</v>
      </c>
      <c r="W4834" s="116">
        <v>1285</v>
      </c>
      <c r="X4834" s="220">
        <v>2840000</v>
      </c>
      <c r="Y4834" s="220">
        <f>X4834*0.1</f>
        <v>284000</v>
      </c>
      <c r="Z4834" s="220">
        <v>10750</v>
      </c>
      <c r="AA4834" s="220">
        <f>SUM(X4834:Z4834)</f>
        <v>3134750</v>
      </c>
      <c r="AB4834" s="222">
        <v>46049</v>
      </c>
    </row>
    <row r="4835" spans="1:28" ht="17.100000000000001" customHeight="1" thickBot="1">
      <c r="A4835" s="227"/>
      <c r="B4835" s="27" t="s">
        <v>4468</v>
      </c>
      <c r="C4835" s="27">
        <v>1034</v>
      </c>
      <c r="D4835" s="14" t="s">
        <v>2559</v>
      </c>
      <c r="E4835" s="229"/>
      <c r="F4835" s="117" t="s">
        <v>14150</v>
      </c>
      <c r="G4835" s="26">
        <v>47453</v>
      </c>
      <c r="H4835" s="231"/>
      <c r="I4835" s="221"/>
      <c r="J4835" s="221"/>
      <c r="K4835" s="221"/>
      <c r="L4835" s="221"/>
      <c r="M4835" s="221"/>
      <c r="N4835" s="221"/>
      <c r="O4835" s="225"/>
      <c r="P4835" s="118" t="s">
        <v>14697</v>
      </c>
      <c r="Q4835" s="16" t="s">
        <v>20</v>
      </c>
      <c r="R4835" s="17" t="s">
        <v>1800</v>
      </c>
      <c r="S4835" s="121" t="s">
        <v>1601</v>
      </c>
      <c r="T4835" s="122"/>
      <c r="U4835" s="22"/>
      <c r="V4835" s="123" t="s">
        <v>2472</v>
      </c>
      <c r="W4835" s="122">
        <v>37766</v>
      </c>
      <c r="X4835" s="221"/>
      <c r="Y4835" s="221"/>
      <c r="Z4835" s="221"/>
      <c r="AA4835" s="221"/>
      <c r="AB4835" s="223"/>
    </row>
    <row r="4836" spans="1:28" ht="17.100000000000001" customHeight="1" thickTop="1">
      <c r="A4836" s="226" t="s">
        <v>14191</v>
      </c>
      <c r="B4836" s="28">
        <v>46027</v>
      </c>
      <c r="C4836" s="25">
        <v>81</v>
      </c>
      <c r="D4836" s="13" t="s">
        <v>1983</v>
      </c>
      <c r="E4836" s="228"/>
      <c r="F4836" s="109" t="s">
        <v>14158</v>
      </c>
      <c r="G4836" s="24" t="s">
        <v>2038</v>
      </c>
      <c r="H4836" s="230">
        <v>4.5</v>
      </c>
      <c r="I4836" s="220">
        <v>3605000</v>
      </c>
      <c r="J4836" s="220">
        <f>I4836*0.1</f>
        <v>360500</v>
      </c>
      <c r="K4836" s="220">
        <v>6600</v>
      </c>
      <c r="L4836" s="220">
        <v>14040</v>
      </c>
      <c r="M4836" s="220">
        <v>88000</v>
      </c>
      <c r="N4836" s="220">
        <f>SUM(I4836:M4837)</f>
        <v>4074140</v>
      </c>
      <c r="O4836" s="224"/>
      <c r="P4836" s="110" t="s">
        <v>14692</v>
      </c>
      <c r="Q4836" s="15" t="s">
        <v>19</v>
      </c>
      <c r="R4836" s="205"/>
      <c r="S4836" s="189" t="s">
        <v>25661</v>
      </c>
      <c r="T4836" s="114"/>
      <c r="U4836" s="21"/>
      <c r="V4836" s="115">
        <v>46050</v>
      </c>
      <c r="W4836" s="116">
        <v>1002</v>
      </c>
      <c r="X4836" s="220">
        <v>3850000</v>
      </c>
      <c r="Y4836" s="220">
        <f>X4836*0.1</f>
        <v>385000</v>
      </c>
      <c r="Z4836" s="220">
        <v>14040</v>
      </c>
      <c r="AA4836" s="220">
        <f>SUM(X4836:Z4836)</f>
        <v>4249040</v>
      </c>
      <c r="AB4836" s="222">
        <v>46056</v>
      </c>
    </row>
    <row r="4837" spans="1:28" ht="17.100000000000001" customHeight="1" thickBot="1">
      <c r="A4837" s="227"/>
      <c r="B4837" s="27" t="s">
        <v>4468</v>
      </c>
      <c r="C4837" s="27">
        <v>1040</v>
      </c>
      <c r="D4837" s="14" t="s">
        <v>273</v>
      </c>
      <c r="E4837" s="229"/>
      <c r="F4837" s="117" t="s">
        <v>14151</v>
      </c>
      <c r="G4837" s="26">
        <v>4481</v>
      </c>
      <c r="H4837" s="231"/>
      <c r="I4837" s="221"/>
      <c r="J4837" s="221"/>
      <c r="K4837" s="221"/>
      <c r="L4837" s="221"/>
      <c r="M4837" s="221"/>
      <c r="N4837" s="221"/>
      <c r="O4837" s="225"/>
      <c r="P4837" s="118" t="s">
        <v>14693</v>
      </c>
      <c r="Q4837" s="16" t="s">
        <v>20</v>
      </c>
      <c r="R4837" s="17" t="s">
        <v>1800</v>
      </c>
      <c r="S4837" s="121" t="s">
        <v>1601</v>
      </c>
      <c r="T4837" s="122"/>
      <c r="U4837" s="22"/>
      <c r="V4837" s="123" t="s">
        <v>8648</v>
      </c>
      <c r="W4837" s="122">
        <v>1265</v>
      </c>
      <c r="X4837" s="221"/>
      <c r="Y4837" s="221"/>
      <c r="Z4837" s="221"/>
      <c r="AA4837" s="221"/>
      <c r="AB4837" s="223"/>
    </row>
    <row r="4838" spans="1:28" ht="17.100000000000001" customHeight="1" thickTop="1">
      <c r="A4838" s="226" t="s">
        <v>14192</v>
      </c>
      <c r="B4838" s="28">
        <v>46027</v>
      </c>
      <c r="C4838" s="25">
        <v>81</v>
      </c>
      <c r="D4838" s="13" t="s">
        <v>2489</v>
      </c>
      <c r="E4838" s="228"/>
      <c r="F4838" s="109" t="s">
        <v>14159</v>
      </c>
      <c r="G4838" s="24" t="s">
        <v>2907</v>
      </c>
      <c r="H4838" s="230">
        <v>4</v>
      </c>
      <c r="I4838" s="220">
        <v>2640000</v>
      </c>
      <c r="J4838" s="220">
        <f>I4838*0.1</f>
        <v>264000</v>
      </c>
      <c r="K4838" s="220">
        <f>11000+1100</f>
        <v>12100</v>
      </c>
      <c r="L4838" s="220">
        <v>9300</v>
      </c>
      <c r="M4838" s="220">
        <v>66000</v>
      </c>
      <c r="N4838" s="220">
        <f>SUM(I4838:M4839)</f>
        <v>2991400</v>
      </c>
      <c r="O4838" s="224"/>
      <c r="P4838" s="110" t="s">
        <v>14698</v>
      </c>
      <c r="Q4838" s="15" t="s">
        <v>19</v>
      </c>
      <c r="R4838" s="205"/>
      <c r="S4838" s="189" t="s">
        <v>25659</v>
      </c>
      <c r="T4838" s="114"/>
      <c r="U4838" s="21" t="s">
        <v>17063</v>
      </c>
      <c r="V4838" s="115">
        <v>46064</v>
      </c>
      <c r="W4838" s="116">
        <v>1004</v>
      </c>
      <c r="X4838" s="220">
        <v>2625000</v>
      </c>
      <c r="Y4838" s="220">
        <f>X4838*0.1</f>
        <v>262500</v>
      </c>
      <c r="Z4838" s="220">
        <v>9300</v>
      </c>
      <c r="AA4838" s="220">
        <f>SUM(X4838:Z4838)</f>
        <v>2896800</v>
      </c>
      <c r="AB4838" s="222">
        <v>46069</v>
      </c>
    </row>
    <row r="4839" spans="1:28" ht="17.100000000000001" customHeight="1" thickBot="1">
      <c r="A4839" s="227"/>
      <c r="B4839" s="27" t="s">
        <v>4468</v>
      </c>
      <c r="C4839" s="27">
        <v>1045</v>
      </c>
      <c r="D4839" s="14" t="s">
        <v>1710</v>
      </c>
      <c r="E4839" s="229"/>
      <c r="F4839" s="117" t="s">
        <v>14152</v>
      </c>
      <c r="G4839" s="26">
        <v>79252</v>
      </c>
      <c r="H4839" s="231"/>
      <c r="I4839" s="221"/>
      <c r="J4839" s="221"/>
      <c r="K4839" s="221"/>
      <c r="L4839" s="221"/>
      <c r="M4839" s="221"/>
      <c r="N4839" s="221"/>
      <c r="O4839" s="225"/>
      <c r="P4839" s="118" t="s">
        <v>14699</v>
      </c>
      <c r="Q4839" s="16" t="s">
        <v>20</v>
      </c>
      <c r="R4839" s="17" t="s">
        <v>1800</v>
      </c>
      <c r="S4839" s="121" t="s">
        <v>1601</v>
      </c>
      <c r="T4839" s="122"/>
      <c r="U4839" s="22"/>
      <c r="V4839" s="123" t="s">
        <v>2747</v>
      </c>
      <c r="W4839" s="122">
        <v>5176</v>
      </c>
      <c r="X4839" s="221"/>
      <c r="Y4839" s="221"/>
      <c r="Z4839" s="221"/>
      <c r="AA4839" s="221"/>
      <c r="AB4839" s="223"/>
    </row>
    <row r="4840" spans="1:28" ht="17.100000000000001" customHeight="1" thickTop="1">
      <c r="A4840" s="233" t="s">
        <v>14193</v>
      </c>
      <c r="B4840" s="28">
        <v>46027</v>
      </c>
      <c r="C4840" s="25">
        <v>81</v>
      </c>
      <c r="D4840" s="13" t="s">
        <v>2182</v>
      </c>
      <c r="E4840" s="228"/>
      <c r="F4840" s="109" t="s">
        <v>14160</v>
      </c>
      <c r="G4840" s="24" t="s">
        <v>3867</v>
      </c>
      <c r="H4840" s="230">
        <v>5</v>
      </c>
      <c r="I4840" s="220">
        <v>2550000</v>
      </c>
      <c r="J4840" s="220">
        <f>I4840*0.1</f>
        <v>255000</v>
      </c>
      <c r="K4840" s="220">
        <v>5500</v>
      </c>
      <c r="L4840" s="220">
        <v>14190</v>
      </c>
      <c r="M4840" s="220">
        <v>66000</v>
      </c>
      <c r="N4840" s="220">
        <f>SUM(I4840:M4841)</f>
        <v>2890690</v>
      </c>
      <c r="O4840" s="224"/>
      <c r="P4840" s="110" t="s">
        <v>14700</v>
      </c>
      <c r="Q4840" s="15" t="s">
        <v>19</v>
      </c>
      <c r="R4840" s="205"/>
      <c r="S4840" s="189" t="s">
        <v>25661</v>
      </c>
      <c r="T4840" s="114"/>
      <c r="U4840" s="21"/>
      <c r="V4840" s="115">
        <v>46039</v>
      </c>
      <c r="W4840" s="116">
        <v>1284</v>
      </c>
      <c r="X4840" s="220">
        <v>2860000</v>
      </c>
      <c r="Y4840" s="220">
        <f>X4840*0.1</f>
        <v>286000</v>
      </c>
      <c r="Z4840" s="220">
        <v>14190</v>
      </c>
      <c r="AA4840" s="220">
        <f>SUM(X4840:Z4840)</f>
        <v>3160190</v>
      </c>
      <c r="AB4840" s="222">
        <v>46042</v>
      </c>
    </row>
    <row r="4841" spans="1:28" ht="17.100000000000001" customHeight="1" thickBot="1">
      <c r="A4841" s="234"/>
      <c r="B4841" s="27" t="s">
        <v>4468</v>
      </c>
      <c r="C4841" s="27">
        <v>1046</v>
      </c>
      <c r="D4841" s="14" t="s">
        <v>2559</v>
      </c>
      <c r="E4841" s="229"/>
      <c r="F4841" s="117" t="s">
        <v>14153</v>
      </c>
      <c r="G4841" s="26">
        <v>17852</v>
      </c>
      <c r="H4841" s="231"/>
      <c r="I4841" s="221"/>
      <c r="J4841" s="221"/>
      <c r="K4841" s="221"/>
      <c r="L4841" s="221"/>
      <c r="M4841" s="221"/>
      <c r="N4841" s="221"/>
      <c r="O4841" s="225"/>
      <c r="P4841" s="118" t="s">
        <v>14701</v>
      </c>
      <c r="Q4841" s="16" t="s">
        <v>20</v>
      </c>
      <c r="R4841" s="17" t="s">
        <v>1800</v>
      </c>
      <c r="S4841" s="121" t="s">
        <v>2647</v>
      </c>
      <c r="T4841" s="122"/>
      <c r="U4841" s="22"/>
      <c r="V4841" s="123" t="s">
        <v>2472</v>
      </c>
      <c r="W4841" s="122">
        <v>37433</v>
      </c>
      <c r="X4841" s="221"/>
      <c r="Y4841" s="221"/>
      <c r="Z4841" s="221"/>
      <c r="AA4841" s="221"/>
      <c r="AB4841" s="223"/>
    </row>
    <row r="4842" spans="1:28" ht="17.100000000000001" customHeight="1" thickTop="1">
      <c r="A4842" s="226" t="s">
        <v>14194</v>
      </c>
      <c r="B4842" s="28">
        <v>46027</v>
      </c>
      <c r="C4842" s="25">
        <v>81</v>
      </c>
      <c r="D4842" s="13" t="s">
        <v>1887</v>
      </c>
      <c r="E4842" s="228"/>
      <c r="F4842" s="109" t="s">
        <v>14161</v>
      </c>
      <c r="G4842" s="24" t="s">
        <v>2926</v>
      </c>
      <c r="H4842" s="230">
        <v>4.5</v>
      </c>
      <c r="I4842" s="220">
        <v>1025000</v>
      </c>
      <c r="J4842" s="220">
        <f>I4842*0.1</f>
        <v>102500</v>
      </c>
      <c r="K4842" s="220">
        <v>0</v>
      </c>
      <c r="L4842" s="220">
        <v>8010</v>
      </c>
      <c r="M4842" s="220">
        <v>44000</v>
      </c>
      <c r="N4842" s="220">
        <f>SUM(I4842:M4843)</f>
        <v>1179510</v>
      </c>
      <c r="O4842" s="224"/>
      <c r="P4842" s="110" t="s">
        <v>15992</v>
      </c>
      <c r="Q4842" s="15" t="s">
        <v>19</v>
      </c>
      <c r="R4842" s="205"/>
      <c r="S4842" s="189" t="s">
        <v>25661</v>
      </c>
      <c r="T4842" s="114"/>
      <c r="U4842" s="21" t="s">
        <v>16532</v>
      </c>
      <c r="V4842" s="115">
        <v>46056</v>
      </c>
      <c r="W4842" s="116">
        <v>1927</v>
      </c>
      <c r="X4842" s="220">
        <v>1110000</v>
      </c>
      <c r="Y4842" s="220">
        <f>X4842*0.1</f>
        <v>111000</v>
      </c>
      <c r="Z4842" s="220">
        <v>8010</v>
      </c>
      <c r="AA4842" s="220">
        <f>SUM(X4842:Z4842)</f>
        <v>1229010</v>
      </c>
      <c r="AB4842" s="222">
        <v>46063</v>
      </c>
    </row>
    <row r="4843" spans="1:28" ht="17.100000000000001" customHeight="1" thickBot="1">
      <c r="A4843" s="227"/>
      <c r="B4843" s="27" t="s">
        <v>4468</v>
      </c>
      <c r="C4843" s="27">
        <v>1054</v>
      </c>
      <c r="D4843" s="14" t="s">
        <v>1797</v>
      </c>
      <c r="E4843" s="229"/>
      <c r="F4843" s="117" t="s">
        <v>14154</v>
      </c>
      <c r="G4843" s="26">
        <v>21263</v>
      </c>
      <c r="H4843" s="231"/>
      <c r="I4843" s="221"/>
      <c r="J4843" s="221"/>
      <c r="K4843" s="221"/>
      <c r="L4843" s="221"/>
      <c r="M4843" s="221"/>
      <c r="N4843" s="221"/>
      <c r="O4843" s="225"/>
      <c r="P4843" s="118" t="s">
        <v>15993</v>
      </c>
      <c r="Q4843" s="16" t="s">
        <v>20</v>
      </c>
      <c r="R4843" s="17" t="s">
        <v>1822</v>
      </c>
      <c r="S4843" s="121" t="s">
        <v>1731</v>
      </c>
      <c r="T4843" s="122"/>
      <c r="U4843" s="22"/>
      <c r="V4843" s="123" t="s">
        <v>2103</v>
      </c>
      <c r="W4843" s="122">
        <v>3411</v>
      </c>
      <c r="X4843" s="221"/>
      <c r="Y4843" s="221"/>
      <c r="Z4843" s="221"/>
      <c r="AA4843" s="221"/>
      <c r="AB4843" s="223"/>
    </row>
    <row r="4844" spans="1:28" ht="17.100000000000001" customHeight="1" thickTop="1">
      <c r="A4844" s="226" t="s">
        <v>14195</v>
      </c>
      <c r="B4844" s="28">
        <v>46027</v>
      </c>
      <c r="C4844" s="25"/>
      <c r="D4844" s="13" t="s">
        <v>2470</v>
      </c>
      <c r="E4844" s="228"/>
      <c r="F4844" s="109" t="s">
        <v>14163</v>
      </c>
      <c r="G4844" s="24" t="s">
        <v>6726</v>
      </c>
      <c r="H4844" s="230">
        <v>5</v>
      </c>
      <c r="I4844" s="220">
        <f>2810500/1.1</f>
        <v>2555000</v>
      </c>
      <c r="J4844" s="220">
        <f>I4844*0.1</f>
        <v>255500</v>
      </c>
      <c r="K4844" s="220">
        <v>6000</v>
      </c>
      <c r="L4844" s="220">
        <v>11900</v>
      </c>
      <c r="M4844" s="220">
        <v>0</v>
      </c>
      <c r="N4844" s="220">
        <f>SUM(I4844:M4845)</f>
        <v>2828400</v>
      </c>
      <c r="O4844" s="224"/>
      <c r="P4844" s="110" t="s">
        <v>15002</v>
      </c>
      <c r="Q4844" s="15" t="s">
        <v>19</v>
      </c>
      <c r="R4844" s="205"/>
      <c r="S4844" s="189" t="s">
        <v>1312</v>
      </c>
      <c r="T4844" s="114"/>
      <c r="U4844" s="21"/>
      <c r="V4844" s="115">
        <v>46046</v>
      </c>
      <c r="W4844" s="116">
        <v>1285</v>
      </c>
      <c r="X4844" s="220">
        <v>2625000</v>
      </c>
      <c r="Y4844" s="220">
        <f>X4844*0.1</f>
        <v>262500</v>
      </c>
      <c r="Z4844" s="220">
        <v>11900</v>
      </c>
      <c r="AA4844" s="220">
        <f>SUM(X4844:Z4844)</f>
        <v>2899400</v>
      </c>
      <c r="AB4844" s="222">
        <v>46049</v>
      </c>
    </row>
    <row r="4845" spans="1:28" ht="17.100000000000001" customHeight="1" thickBot="1">
      <c r="A4845" s="227"/>
      <c r="B4845" s="27" t="s">
        <v>1708</v>
      </c>
      <c r="C4845" s="27" t="s">
        <v>14162</v>
      </c>
      <c r="D4845" s="14" t="s">
        <v>1584</v>
      </c>
      <c r="E4845" s="229"/>
      <c r="F4845" s="117" t="s">
        <v>14164</v>
      </c>
      <c r="G4845" s="26">
        <v>3404</v>
      </c>
      <c r="H4845" s="231"/>
      <c r="I4845" s="221"/>
      <c r="J4845" s="221"/>
      <c r="K4845" s="221"/>
      <c r="L4845" s="221"/>
      <c r="M4845" s="221"/>
      <c r="N4845" s="221"/>
      <c r="O4845" s="225"/>
      <c r="P4845" s="118" t="s">
        <v>15003</v>
      </c>
      <c r="Q4845" s="16" t="s">
        <v>20</v>
      </c>
      <c r="R4845" s="17" t="s">
        <v>1807</v>
      </c>
      <c r="S4845" s="121" t="s">
        <v>1606</v>
      </c>
      <c r="T4845" s="122"/>
      <c r="U4845" s="22"/>
      <c r="V4845" s="123" t="s">
        <v>2472</v>
      </c>
      <c r="W4845" s="122">
        <v>37710</v>
      </c>
      <c r="X4845" s="221"/>
      <c r="Y4845" s="221"/>
      <c r="Z4845" s="221"/>
      <c r="AA4845" s="221"/>
      <c r="AB4845" s="223"/>
    </row>
    <row r="4846" spans="1:28" ht="17.100000000000001" customHeight="1" thickTop="1">
      <c r="A4846" s="233" t="s">
        <v>14196</v>
      </c>
      <c r="B4846" s="28">
        <v>46027</v>
      </c>
      <c r="C4846" s="25"/>
      <c r="D4846" s="13" t="s">
        <v>1935</v>
      </c>
      <c r="E4846" s="228"/>
      <c r="F4846" s="109" t="s">
        <v>5048</v>
      </c>
      <c r="G4846" s="24" t="s">
        <v>11045</v>
      </c>
      <c r="H4846" s="230">
        <v>4</v>
      </c>
      <c r="I4846" s="220">
        <f>587400/1.1</f>
        <v>534000</v>
      </c>
      <c r="J4846" s="220">
        <f>I4846*0.1</f>
        <v>53400</v>
      </c>
      <c r="K4846" s="220">
        <v>0</v>
      </c>
      <c r="L4846" s="220">
        <v>7950</v>
      </c>
      <c r="M4846" s="220">
        <v>0</v>
      </c>
      <c r="N4846" s="220">
        <f>SUM(I4846:M4847)</f>
        <v>595350</v>
      </c>
      <c r="O4846" s="224"/>
      <c r="P4846" s="110" t="s">
        <v>15085</v>
      </c>
      <c r="Q4846" s="15" t="s">
        <v>19</v>
      </c>
      <c r="R4846" s="205"/>
      <c r="S4846" s="189"/>
      <c r="T4846" s="114"/>
      <c r="U4846" s="21"/>
      <c r="V4846" s="115">
        <v>46050</v>
      </c>
      <c r="W4846" s="116">
        <v>1002</v>
      </c>
      <c r="X4846" s="220">
        <v>675000</v>
      </c>
      <c r="Y4846" s="220">
        <f>X4846*0.1</f>
        <v>67500</v>
      </c>
      <c r="Z4846" s="220">
        <v>7950</v>
      </c>
      <c r="AA4846" s="220">
        <f>SUM(X4846:Z4846)</f>
        <v>750450</v>
      </c>
      <c r="AB4846" s="222">
        <v>46055</v>
      </c>
    </row>
    <row r="4847" spans="1:28" ht="17.100000000000001" customHeight="1" thickBot="1">
      <c r="A4847" s="234"/>
      <c r="B4847" s="27" t="s">
        <v>1708</v>
      </c>
      <c r="C4847" s="27" t="s">
        <v>14165</v>
      </c>
      <c r="D4847" s="14" t="s">
        <v>14166</v>
      </c>
      <c r="E4847" s="229"/>
      <c r="F4847" s="117" t="s">
        <v>14167</v>
      </c>
      <c r="G4847" s="26">
        <v>59041</v>
      </c>
      <c r="H4847" s="231"/>
      <c r="I4847" s="221"/>
      <c r="J4847" s="221"/>
      <c r="K4847" s="221"/>
      <c r="L4847" s="221"/>
      <c r="M4847" s="221"/>
      <c r="N4847" s="221"/>
      <c r="O4847" s="225"/>
      <c r="P4847" s="118" t="s">
        <v>15086</v>
      </c>
      <c r="Q4847" s="16" t="s">
        <v>20</v>
      </c>
      <c r="R4847" s="17" t="s">
        <v>15049</v>
      </c>
      <c r="S4847" s="121" t="s">
        <v>15087</v>
      </c>
      <c r="T4847" s="122"/>
      <c r="U4847" s="22"/>
      <c r="V4847" s="123" t="s">
        <v>8877</v>
      </c>
      <c r="W4847" s="122">
        <v>1170</v>
      </c>
      <c r="X4847" s="221"/>
      <c r="Y4847" s="221"/>
      <c r="Z4847" s="221"/>
      <c r="AA4847" s="221"/>
      <c r="AB4847" s="223"/>
    </row>
    <row r="4848" spans="1:28" ht="17.100000000000001" customHeight="1" thickTop="1">
      <c r="A4848" s="226" t="s">
        <v>14197</v>
      </c>
      <c r="B4848" s="28">
        <v>46027</v>
      </c>
      <c r="C4848" s="25"/>
      <c r="D4848" s="13" t="s">
        <v>2158</v>
      </c>
      <c r="E4848" s="228"/>
      <c r="F4848" s="109" t="s">
        <v>14169</v>
      </c>
      <c r="G4848" s="24" t="s">
        <v>14171</v>
      </c>
      <c r="H4848" s="230">
        <v>4.5</v>
      </c>
      <c r="I4848" s="220">
        <f>4020500/1.1</f>
        <v>3654999.9999999995</v>
      </c>
      <c r="J4848" s="220">
        <f>I4848*0.1</f>
        <v>365500</v>
      </c>
      <c r="K4848" s="220">
        <v>0</v>
      </c>
      <c r="L4848" s="220">
        <v>14900</v>
      </c>
      <c r="M4848" s="220">
        <v>0</v>
      </c>
      <c r="N4848" s="220">
        <f>SUM(I4848:M4849)</f>
        <v>4035399.9999999995</v>
      </c>
      <c r="O4848" s="224"/>
      <c r="P4848" s="110" t="s">
        <v>16011</v>
      </c>
      <c r="Q4848" s="15" t="s">
        <v>19</v>
      </c>
      <c r="R4848" s="205"/>
      <c r="S4848" s="189" t="s">
        <v>1271</v>
      </c>
      <c r="T4848" s="114"/>
      <c r="U4848" s="21"/>
      <c r="V4848" s="115">
        <v>46046</v>
      </c>
      <c r="W4848" s="116">
        <v>1285</v>
      </c>
      <c r="X4848" s="220">
        <v>3680000</v>
      </c>
      <c r="Y4848" s="220">
        <f>X4848*0.1</f>
        <v>368000</v>
      </c>
      <c r="Z4848" s="220">
        <v>14900</v>
      </c>
      <c r="AA4848" s="220">
        <f>SUM(X4848:Z4848)</f>
        <v>4062900</v>
      </c>
      <c r="AB4848" s="222">
        <v>46052</v>
      </c>
    </row>
    <row r="4849" spans="1:28" ht="17.100000000000001" customHeight="1" thickBot="1">
      <c r="A4849" s="227"/>
      <c r="B4849" s="27" t="s">
        <v>1708</v>
      </c>
      <c r="C4849" s="27" t="s">
        <v>14168</v>
      </c>
      <c r="D4849" s="14" t="s">
        <v>273</v>
      </c>
      <c r="E4849" s="229"/>
      <c r="F4849" s="117" t="s">
        <v>14170</v>
      </c>
      <c r="G4849" s="26">
        <v>82297</v>
      </c>
      <c r="H4849" s="231"/>
      <c r="I4849" s="221"/>
      <c r="J4849" s="221"/>
      <c r="K4849" s="221"/>
      <c r="L4849" s="221"/>
      <c r="M4849" s="221"/>
      <c r="N4849" s="221"/>
      <c r="O4849" s="225"/>
      <c r="P4849" s="118" t="s">
        <v>14689</v>
      </c>
      <c r="Q4849" s="16" t="s">
        <v>20</v>
      </c>
      <c r="R4849" s="17" t="s">
        <v>3913</v>
      </c>
      <c r="S4849" s="121" t="s">
        <v>4984</v>
      </c>
      <c r="T4849" s="122"/>
      <c r="U4849" s="22"/>
      <c r="V4849" s="123" t="s">
        <v>2472</v>
      </c>
      <c r="W4849" s="122">
        <v>37432</v>
      </c>
      <c r="X4849" s="221"/>
      <c r="Y4849" s="221"/>
      <c r="Z4849" s="221"/>
      <c r="AA4849" s="221"/>
      <c r="AB4849" s="223"/>
    </row>
    <row r="4850" spans="1:28" ht="17.100000000000001" customHeight="1" thickTop="1">
      <c r="A4850" s="226" t="s">
        <v>14198</v>
      </c>
      <c r="B4850" s="28">
        <v>46027</v>
      </c>
      <c r="C4850" s="25"/>
      <c r="D4850" s="13" t="s">
        <v>2652</v>
      </c>
      <c r="E4850" s="228"/>
      <c r="F4850" s="109" t="s">
        <v>14173</v>
      </c>
      <c r="G4850" s="24" t="s">
        <v>14175</v>
      </c>
      <c r="H4850" s="230">
        <v>5</v>
      </c>
      <c r="I4850" s="220">
        <f>5401000/1.1</f>
        <v>4910000</v>
      </c>
      <c r="J4850" s="220">
        <f>I4850*0.1</f>
        <v>491000</v>
      </c>
      <c r="K4850" s="220">
        <v>7200</v>
      </c>
      <c r="L4850" s="220">
        <v>15470</v>
      </c>
      <c r="M4850" s="220">
        <v>0</v>
      </c>
      <c r="N4850" s="220">
        <f>SUM(I4850:M4851)</f>
        <v>5423670</v>
      </c>
      <c r="O4850" s="224"/>
      <c r="P4850" s="110" t="s">
        <v>16673</v>
      </c>
      <c r="Q4850" s="15" t="s">
        <v>19</v>
      </c>
      <c r="R4850" s="205"/>
      <c r="S4850" s="189" t="s">
        <v>1276</v>
      </c>
      <c r="T4850" s="114"/>
      <c r="U4850" s="21"/>
      <c r="V4850" s="115">
        <v>46057</v>
      </c>
      <c r="W4850" s="116">
        <v>1003</v>
      </c>
      <c r="X4850" s="220">
        <v>4915000</v>
      </c>
      <c r="Y4850" s="220">
        <f>X4850*0.1</f>
        <v>491500</v>
      </c>
      <c r="Z4850" s="220">
        <v>15470</v>
      </c>
      <c r="AA4850" s="220">
        <f>SUM(X4850:Z4850)</f>
        <v>5421970</v>
      </c>
      <c r="AB4850" s="222">
        <v>46063</v>
      </c>
    </row>
    <row r="4851" spans="1:28" ht="17.100000000000001" customHeight="1" thickBot="1">
      <c r="A4851" s="227"/>
      <c r="B4851" s="27" t="s">
        <v>1708</v>
      </c>
      <c r="C4851" s="27" t="s">
        <v>14172</v>
      </c>
      <c r="D4851" s="14" t="s">
        <v>1584</v>
      </c>
      <c r="E4851" s="229"/>
      <c r="F4851" s="117" t="s">
        <v>14174</v>
      </c>
      <c r="G4851" s="26">
        <v>12761</v>
      </c>
      <c r="H4851" s="231"/>
      <c r="I4851" s="221"/>
      <c r="J4851" s="221"/>
      <c r="K4851" s="221"/>
      <c r="L4851" s="221"/>
      <c r="M4851" s="221"/>
      <c r="N4851" s="221"/>
      <c r="O4851" s="225"/>
      <c r="P4851" s="118" t="s">
        <v>10171</v>
      </c>
      <c r="Q4851" s="16" t="s">
        <v>20</v>
      </c>
      <c r="R4851" s="17" t="s">
        <v>3913</v>
      </c>
      <c r="S4851" s="121" t="s">
        <v>1923</v>
      </c>
      <c r="T4851" s="122"/>
      <c r="U4851" s="22"/>
      <c r="V4851" s="123" t="s">
        <v>2747</v>
      </c>
      <c r="W4851" s="122">
        <v>1053</v>
      </c>
      <c r="X4851" s="221"/>
      <c r="Y4851" s="221"/>
      <c r="Z4851" s="221"/>
      <c r="AA4851" s="221"/>
      <c r="AB4851" s="223"/>
    </row>
    <row r="4852" spans="1:28" ht="17.100000000000001" customHeight="1" thickTop="1">
      <c r="A4852" s="226" t="s">
        <v>14199</v>
      </c>
      <c r="B4852" s="28">
        <v>46027</v>
      </c>
      <c r="C4852" s="25"/>
      <c r="D4852" s="13" t="s">
        <v>2010</v>
      </c>
      <c r="E4852" s="228"/>
      <c r="F4852" s="109" t="s">
        <v>9075</v>
      </c>
      <c r="G4852" s="24" t="s">
        <v>4689</v>
      </c>
      <c r="H4852" s="230">
        <v>4</v>
      </c>
      <c r="I4852" s="220">
        <f>2832500/1.1</f>
        <v>2575000</v>
      </c>
      <c r="J4852" s="220">
        <f>I4852*0.1</f>
        <v>257500</v>
      </c>
      <c r="K4852" s="220">
        <v>7200</v>
      </c>
      <c r="L4852" s="220">
        <v>10660</v>
      </c>
      <c r="M4852" s="220">
        <v>0</v>
      </c>
      <c r="N4852" s="220">
        <f>SUM(I4852:M4853)</f>
        <v>2850360</v>
      </c>
      <c r="O4852" s="224"/>
      <c r="P4852" s="110" t="s">
        <v>15346</v>
      </c>
      <c r="Q4852" s="15" t="s">
        <v>19</v>
      </c>
      <c r="R4852" s="205"/>
      <c r="S4852" s="189" t="s">
        <v>1113</v>
      </c>
      <c r="T4852" s="114"/>
      <c r="U4852" s="21"/>
      <c r="V4852" s="115">
        <v>46046</v>
      </c>
      <c r="W4852" s="116">
        <v>1285</v>
      </c>
      <c r="X4852" s="220">
        <v>2780000</v>
      </c>
      <c r="Y4852" s="220">
        <f>X4852*0.1</f>
        <v>278000</v>
      </c>
      <c r="Z4852" s="220">
        <v>10660</v>
      </c>
      <c r="AA4852" s="220">
        <f>SUM(X4852:Z4852)</f>
        <v>3068660</v>
      </c>
      <c r="AB4852" s="222">
        <v>46049</v>
      </c>
    </row>
    <row r="4853" spans="1:28" ht="17.100000000000001" customHeight="1" thickBot="1">
      <c r="A4853" s="227"/>
      <c r="B4853" s="27" t="s">
        <v>1708</v>
      </c>
      <c r="C4853" s="27" t="s">
        <v>14176</v>
      </c>
      <c r="D4853" s="14" t="s">
        <v>2559</v>
      </c>
      <c r="E4853" s="229"/>
      <c r="F4853" s="117" t="s">
        <v>14177</v>
      </c>
      <c r="G4853" s="26">
        <v>46235</v>
      </c>
      <c r="H4853" s="231"/>
      <c r="I4853" s="221"/>
      <c r="J4853" s="221"/>
      <c r="K4853" s="221"/>
      <c r="L4853" s="221"/>
      <c r="M4853" s="221"/>
      <c r="N4853" s="221"/>
      <c r="O4853" s="225"/>
      <c r="P4853" s="118" t="s">
        <v>15347</v>
      </c>
      <c r="Q4853" s="16" t="s">
        <v>20</v>
      </c>
      <c r="R4853" s="17" t="s">
        <v>15348</v>
      </c>
      <c r="S4853" s="121" t="s">
        <v>1661</v>
      </c>
      <c r="T4853" s="122"/>
      <c r="U4853" s="22"/>
      <c r="V4853" s="123" t="s">
        <v>2472</v>
      </c>
      <c r="W4853" s="122">
        <v>37595</v>
      </c>
      <c r="X4853" s="221"/>
      <c r="Y4853" s="221"/>
      <c r="Z4853" s="221"/>
      <c r="AA4853" s="221"/>
      <c r="AB4853" s="223"/>
    </row>
    <row r="4854" spans="1:28" ht="17.100000000000001" customHeight="1" thickTop="1">
      <c r="A4854" s="233" t="s">
        <v>14200</v>
      </c>
      <c r="B4854" s="28">
        <v>46027</v>
      </c>
      <c r="C4854" s="25"/>
      <c r="D4854" s="13" t="s">
        <v>1640</v>
      </c>
      <c r="E4854" s="228"/>
      <c r="F4854" s="109" t="s">
        <v>6953</v>
      </c>
      <c r="G4854" s="24"/>
      <c r="H4854" s="230">
        <v>4</v>
      </c>
      <c r="I4854" s="220">
        <f>319000/1.1</f>
        <v>290000</v>
      </c>
      <c r="J4854" s="220">
        <f>I4854*0.1</f>
        <v>29000</v>
      </c>
      <c r="K4854" s="220">
        <v>0</v>
      </c>
      <c r="L4854" s="220">
        <v>8460</v>
      </c>
      <c r="M4854" s="220">
        <v>0</v>
      </c>
      <c r="N4854" s="220">
        <f>SUM(I4854:M4855)</f>
        <v>327460</v>
      </c>
      <c r="O4854" s="224"/>
      <c r="P4854" s="110" t="s">
        <v>14715</v>
      </c>
      <c r="Q4854" s="15" t="s">
        <v>19</v>
      </c>
      <c r="R4854" s="205"/>
      <c r="S4854" s="189" t="s">
        <v>25372</v>
      </c>
      <c r="T4854" s="114"/>
      <c r="U4854" s="21"/>
      <c r="V4854" s="115">
        <v>46039</v>
      </c>
      <c r="W4854" s="116">
        <v>1284</v>
      </c>
      <c r="X4854" s="220">
        <v>440000</v>
      </c>
      <c r="Y4854" s="220">
        <f>X4854*0.1</f>
        <v>44000</v>
      </c>
      <c r="Z4854" s="220">
        <v>8460</v>
      </c>
      <c r="AA4854" s="220">
        <f>SUM(X4854:Z4854)</f>
        <v>492460</v>
      </c>
      <c r="AB4854" s="222">
        <v>46044</v>
      </c>
    </row>
    <row r="4855" spans="1:28" ht="17.100000000000001" customHeight="1" thickBot="1">
      <c r="A4855" s="234"/>
      <c r="B4855" s="27" t="s">
        <v>1708</v>
      </c>
      <c r="C4855" s="27" t="s">
        <v>14178</v>
      </c>
      <c r="D4855" s="14" t="s">
        <v>273</v>
      </c>
      <c r="E4855" s="229"/>
      <c r="F4855" s="117" t="s">
        <v>14179</v>
      </c>
      <c r="G4855" s="26">
        <v>61465</v>
      </c>
      <c r="H4855" s="231"/>
      <c r="I4855" s="221"/>
      <c r="J4855" s="221"/>
      <c r="K4855" s="221"/>
      <c r="L4855" s="221"/>
      <c r="M4855" s="221"/>
      <c r="N4855" s="221"/>
      <c r="O4855" s="225"/>
      <c r="P4855" s="118" t="s">
        <v>14716</v>
      </c>
      <c r="Q4855" s="16" t="s">
        <v>20</v>
      </c>
      <c r="R4855" s="17" t="s">
        <v>14717</v>
      </c>
      <c r="S4855" s="121" t="s">
        <v>169</v>
      </c>
      <c r="T4855" s="122"/>
      <c r="U4855" s="22"/>
      <c r="V4855" s="123" t="s">
        <v>2472</v>
      </c>
      <c r="W4855" s="122">
        <v>65457</v>
      </c>
      <c r="X4855" s="221"/>
      <c r="Y4855" s="221"/>
      <c r="Z4855" s="221"/>
      <c r="AA4855" s="221"/>
      <c r="AB4855" s="223"/>
    </row>
    <row r="4856" spans="1:28" ht="17.100000000000001" customHeight="1" thickTop="1">
      <c r="A4856" s="226" t="s">
        <v>14231</v>
      </c>
      <c r="B4856" s="28">
        <v>46028</v>
      </c>
      <c r="C4856" s="25">
        <v>972</v>
      </c>
      <c r="D4856" s="13" t="s">
        <v>3332</v>
      </c>
      <c r="E4856" s="228"/>
      <c r="F4856" s="109" t="s">
        <v>14156</v>
      </c>
      <c r="G4856" s="24"/>
      <c r="H4856" s="230">
        <v>4</v>
      </c>
      <c r="I4856" s="220">
        <v>1058000</v>
      </c>
      <c r="J4856" s="220">
        <f>I4856*0.1</f>
        <v>105800</v>
      </c>
      <c r="K4856" s="220">
        <v>0</v>
      </c>
      <c r="L4856" s="220">
        <v>6880</v>
      </c>
      <c r="M4856" s="220">
        <v>22000</v>
      </c>
      <c r="N4856" s="220">
        <f>SUM(I4856:M4857)</f>
        <v>1192680</v>
      </c>
      <c r="O4856" s="224"/>
      <c r="P4856" s="110" t="s">
        <v>14724</v>
      </c>
      <c r="Q4856" s="15" t="s">
        <v>19</v>
      </c>
      <c r="R4856" s="205"/>
      <c r="S4856" s="189" t="s">
        <v>25461</v>
      </c>
      <c r="T4856" s="114"/>
      <c r="U4856" s="21"/>
      <c r="V4856" s="115">
        <v>46049</v>
      </c>
      <c r="W4856" s="116">
        <v>1926</v>
      </c>
      <c r="X4856" s="220">
        <v>1080000</v>
      </c>
      <c r="Y4856" s="220">
        <f>X4856*0.1</f>
        <v>108000</v>
      </c>
      <c r="Z4856" s="220">
        <v>6880</v>
      </c>
      <c r="AA4856" s="220">
        <f>SUM(X4856:Z4856)</f>
        <v>1194880</v>
      </c>
      <c r="AB4856" s="222"/>
    </row>
    <row r="4857" spans="1:28" ht="17.100000000000001" customHeight="1" thickBot="1">
      <c r="A4857" s="227"/>
      <c r="B4857" s="27" t="s">
        <v>2029</v>
      </c>
      <c r="C4857" s="27">
        <v>121</v>
      </c>
      <c r="D4857" s="14" t="s">
        <v>1627</v>
      </c>
      <c r="E4857" s="229"/>
      <c r="F4857" s="117" t="s">
        <v>14237</v>
      </c>
      <c r="G4857" s="26">
        <v>47697</v>
      </c>
      <c r="H4857" s="231"/>
      <c r="I4857" s="221"/>
      <c r="J4857" s="221"/>
      <c r="K4857" s="221"/>
      <c r="L4857" s="221"/>
      <c r="M4857" s="221"/>
      <c r="N4857" s="221"/>
      <c r="O4857" s="225"/>
      <c r="P4857" s="118" t="s">
        <v>2446</v>
      </c>
      <c r="Q4857" s="16" t="s">
        <v>20</v>
      </c>
      <c r="R4857" s="17" t="s">
        <v>14717</v>
      </c>
      <c r="S4857" s="121" t="s">
        <v>9617</v>
      </c>
      <c r="T4857" s="122"/>
      <c r="U4857" s="22"/>
      <c r="V4857" s="123" t="s">
        <v>2103</v>
      </c>
      <c r="W4857" s="122">
        <v>3075</v>
      </c>
      <c r="X4857" s="221"/>
      <c r="Y4857" s="221"/>
      <c r="Z4857" s="221"/>
      <c r="AA4857" s="221"/>
      <c r="AB4857" s="223"/>
    </row>
    <row r="4858" spans="1:28" ht="17.100000000000001" customHeight="1" thickTop="1">
      <c r="A4858" s="233" t="s">
        <v>14232</v>
      </c>
      <c r="B4858" s="28">
        <v>46029</v>
      </c>
      <c r="C4858" s="25"/>
      <c r="D4858" s="13" t="s">
        <v>1837</v>
      </c>
      <c r="E4858" s="228"/>
      <c r="F4858" s="109" t="s">
        <v>9915</v>
      </c>
      <c r="G4858" s="24" t="s">
        <v>14259</v>
      </c>
      <c r="H4858" s="230">
        <v>4</v>
      </c>
      <c r="I4858" s="220">
        <v>580000</v>
      </c>
      <c r="J4858" s="220">
        <f>I4858*0.1</f>
        <v>58000</v>
      </c>
      <c r="K4858" s="220">
        <v>15000</v>
      </c>
      <c r="L4858" s="220">
        <v>8400</v>
      </c>
      <c r="M4858" s="220">
        <v>16500</v>
      </c>
      <c r="N4858" s="220">
        <f>SUM(I4858:M4859)</f>
        <v>677900</v>
      </c>
      <c r="O4858" s="224"/>
      <c r="P4858" s="110" t="s">
        <v>14413</v>
      </c>
      <c r="Q4858" s="15" t="s">
        <v>19</v>
      </c>
      <c r="R4858" s="205"/>
      <c r="S4858" s="189"/>
      <c r="T4858" s="114"/>
      <c r="U4858" s="21"/>
      <c r="V4858" s="115">
        <v>46032</v>
      </c>
      <c r="W4858" s="116">
        <v>1283</v>
      </c>
      <c r="X4858" s="220">
        <v>660000</v>
      </c>
      <c r="Y4858" s="220">
        <f>X4858*0.1</f>
        <v>66000</v>
      </c>
      <c r="Z4858" s="220">
        <v>8400</v>
      </c>
      <c r="AA4858" s="220">
        <f>SUM(X4858:Z4858)</f>
        <v>734400</v>
      </c>
      <c r="AB4858" s="222">
        <v>46036</v>
      </c>
    </row>
    <row r="4859" spans="1:28" ht="17.100000000000001" customHeight="1" thickBot="1">
      <c r="A4859" s="234"/>
      <c r="B4859" s="27" t="s">
        <v>3367</v>
      </c>
      <c r="C4859" s="27">
        <v>20231</v>
      </c>
      <c r="D4859" s="14" t="s">
        <v>1584</v>
      </c>
      <c r="E4859" s="229"/>
      <c r="F4859" s="117" t="s">
        <v>14238</v>
      </c>
      <c r="G4859" s="26">
        <v>54478</v>
      </c>
      <c r="H4859" s="231"/>
      <c r="I4859" s="221"/>
      <c r="J4859" s="221"/>
      <c r="K4859" s="221"/>
      <c r="L4859" s="221"/>
      <c r="M4859" s="221"/>
      <c r="N4859" s="221"/>
      <c r="O4859" s="225"/>
      <c r="P4859" s="118" t="s">
        <v>14414</v>
      </c>
      <c r="Q4859" s="16" t="s">
        <v>20</v>
      </c>
      <c r="R4859" s="17" t="s">
        <v>2900</v>
      </c>
      <c r="S4859" s="121" t="s">
        <v>2366</v>
      </c>
      <c r="T4859" s="122"/>
      <c r="U4859" s="22"/>
      <c r="V4859" s="123" t="s">
        <v>2472</v>
      </c>
      <c r="W4859" s="122">
        <v>60442</v>
      </c>
      <c r="X4859" s="221"/>
      <c r="Y4859" s="221"/>
      <c r="Z4859" s="221"/>
      <c r="AA4859" s="221"/>
      <c r="AB4859" s="223"/>
    </row>
    <row r="4860" spans="1:28" ht="17.100000000000001" customHeight="1" thickTop="1">
      <c r="A4860" s="233" t="s">
        <v>14233</v>
      </c>
      <c r="B4860" s="28">
        <v>46029</v>
      </c>
      <c r="C4860" s="25"/>
      <c r="D4860" s="13" t="s">
        <v>1762</v>
      </c>
      <c r="E4860" s="228"/>
      <c r="F4860" s="109" t="s">
        <v>5380</v>
      </c>
      <c r="G4860" s="24"/>
      <c r="H4860" s="230">
        <v>4</v>
      </c>
      <c r="I4860" s="220">
        <v>830000</v>
      </c>
      <c r="J4860" s="220">
        <f>I4860*0.1</f>
        <v>83000</v>
      </c>
      <c r="K4860" s="220">
        <v>0</v>
      </c>
      <c r="L4860" s="220">
        <v>10190</v>
      </c>
      <c r="M4860" s="220">
        <v>16500</v>
      </c>
      <c r="N4860" s="220">
        <f>SUM(I4860:M4861)</f>
        <v>939690</v>
      </c>
      <c r="O4860" s="224"/>
      <c r="P4860" s="110" t="s">
        <v>14411</v>
      </c>
      <c r="Q4860" s="15" t="s">
        <v>19</v>
      </c>
      <c r="R4860" s="205"/>
      <c r="S4860" s="189" t="s">
        <v>25636</v>
      </c>
      <c r="T4860" s="114"/>
      <c r="U4860" s="21"/>
      <c r="V4860" s="115">
        <v>46032</v>
      </c>
      <c r="W4860" s="116">
        <v>1283</v>
      </c>
      <c r="X4860" s="220">
        <v>940000</v>
      </c>
      <c r="Y4860" s="220">
        <f>X4860*0.1</f>
        <v>94000</v>
      </c>
      <c r="Z4860" s="220">
        <v>10190</v>
      </c>
      <c r="AA4860" s="220">
        <f>SUM(X4860:Z4860)</f>
        <v>1044190</v>
      </c>
      <c r="AB4860" s="222">
        <v>46036</v>
      </c>
    </row>
    <row r="4861" spans="1:28" ht="17.100000000000001" customHeight="1" thickBot="1">
      <c r="A4861" s="234"/>
      <c r="B4861" s="27" t="s">
        <v>3367</v>
      </c>
      <c r="C4861" s="27">
        <v>60253</v>
      </c>
      <c r="D4861" s="14" t="s">
        <v>1710</v>
      </c>
      <c r="E4861" s="229"/>
      <c r="F4861" s="117" t="s">
        <v>14239</v>
      </c>
      <c r="G4861" s="26">
        <v>74998</v>
      </c>
      <c r="H4861" s="231"/>
      <c r="I4861" s="221"/>
      <c r="J4861" s="221"/>
      <c r="K4861" s="221"/>
      <c r="L4861" s="221"/>
      <c r="M4861" s="221"/>
      <c r="N4861" s="221"/>
      <c r="O4861" s="225"/>
      <c r="P4861" s="118" t="s">
        <v>14412</v>
      </c>
      <c r="Q4861" s="16" t="s">
        <v>20</v>
      </c>
      <c r="R4861" s="17" t="s">
        <v>2900</v>
      </c>
      <c r="S4861" s="121" t="s">
        <v>9008</v>
      </c>
      <c r="T4861" s="122"/>
      <c r="U4861" s="22"/>
      <c r="V4861" s="123" t="s">
        <v>2472</v>
      </c>
      <c r="W4861" s="122">
        <v>99</v>
      </c>
      <c r="X4861" s="221"/>
      <c r="Y4861" s="221"/>
      <c r="Z4861" s="221"/>
      <c r="AA4861" s="221"/>
      <c r="AB4861" s="223"/>
    </row>
    <row r="4862" spans="1:28" ht="17.100000000000001" customHeight="1" thickTop="1">
      <c r="A4862" s="226" t="s">
        <v>14234</v>
      </c>
      <c r="B4862" s="28">
        <v>46029</v>
      </c>
      <c r="C4862" s="25">
        <v>1820</v>
      </c>
      <c r="D4862" s="13" t="s">
        <v>1632</v>
      </c>
      <c r="E4862" s="228"/>
      <c r="F4862" s="109" t="s">
        <v>14247</v>
      </c>
      <c r="G4862" s="24" t="s">
        <v>3345</v>
      </c>
      <c r="H4862" s="230">
        <v>4.5</v>
      </c>
      <c r="I4862" s="220">
        <v>804000</v>
      </c>
      <c r="J4862" s="220">
        <f>I4862*0.1</f>
        <v>80400</v>
      </c>
      <c r="K4862" s="220">
        <v>0</v>
      </c>
      <c r="L4862" s="220">
        <v>9790</v>
      </c>
      <c r="M4862" s="220">
        <v>18150</v>
      </c>
      <c r="N4862" s="220">
        <f>SUM(I4862:M4863)</f>
        <v>912340</v>
      </c>
      <c r="O4862" s="224"/>
      <c r="P4862" s="110" t="s">
        <v>14248</v>
      </c>
      <c r="Q4862" s="15" t="s">
        <v>19</v>
      </c>
      <c r="R4862" s="205"/>
      <c r="S4862" s="189" t="s">
        <v>1280</v>
      </c>
      <c r="T4862" s="114"/>
      <c r="U4862" s="21"/>
      <c r="V4862" s="115">
        <v>46053</v>
      </c>
      <c r="W4862" s="116">
        <v>1286</v>
      </c>
      <c r="X4862" s="220">
        <v>825000</v>
      </c>
      <c r="Y4862" s="220">
        <f>X4862*0.1</f>
        <v>82500</v>
      </c>
      <c r="Z4862" s="220">
        <v>9790</v>
      </c>
      <c r="AA4862" s="220">
        <f>SUM(X4862:Z4862)</f>
        <v>917290</v>
      </c>
      <c r="AB4862" s="222">
        <v>46056</v>
      </c>
    </row>
    <row r="4863" spans="1:28" ht="17.100000000000001" customHeight="1" thickBot="1">
      <c r="A4863" s="227"/>
      <c r="B4863" s="27" t="s">
        <v>2519</v>
      </c>
      <c r="C4863" s="27">
        <v>3074</v>
      </c>
      <c r="D4863" s="14" t="s">
        <v>2559</v>
      </c>
      <c r="E4863" s="229"/>
      <c r="F4863" s="117" t="s">
        <v>14243</v>
      </c>
      <c r="G4863" s="26">
        <v>55587</v>
      </c>
      <c r="H4863" s="231"/>
      <c r="I4863" s="221"/>
      <c r="J4863" s="221"/>
      <c r="K4863" s="221"/>
      <c r="L4863" s="221"/>
      <c r="M4863" s="221"/>
      <c r="N4863" s="221"/>
      <c r="O4863" s="225"/>
      <c r="P4863" s="118" t="s">
        <v>14592</v>
      </c>
      <c r="Q4863" s="16" t="s">
        <v>20</v>
      </c>
      <c r="R4863" s="17" t="s">
        <v>14583</v>
      </c>
      <c r="S4863" s="121" t="s">
        <v>1606</v>
      </c>
      <c r="T4863" s="122"/>
      <c r="U4863" s="22"/>
      <c r="V4863" s="123" t="s">
        <v>2472</v>
      </c>
      <c r="W4863" s="122">
        <v>60073</v>
      </c>
      <c r="X4863" s="221"/>
      <c r="Y4863" s="221"/>
      <c r="Z4863" s="221"/>
      <c r="AA4863" s="221"/>
      <c r="AB4863" s="223"/>
    </row>
    <row r="4864" spans="1:28" ht="17.100000000000001" customHeight="1" thickTop="1">
      <c r="A4864" s="233" t="s">
        <v>14235</v>
      </c>
      <c r="B4864" s="28">
        <v>46029</v>
      </c>
      <c r="C4864" s="25">
        <v>1820</v>
      </c>
      <c r="D4864" s="13" t="s">
        <v>1846</v>
      </c>
      <c r="E4864" s="228"/>
      <c r="F4864" s="109" t="s">
        <v>14249</v>
      </c>
      <c r="G4864" s="24" t="s">
        <v>1551</v>
      </c>
      <c r="H4864" s="230">
        <v>4</v>
      </c>
      <c r="I4864" s="220">
        <v>1083000</v>
      </c>
      <c r="J4864" s="220">
        <f>I4864*0.1</f>
        <v>108300</v>
      </c>
      <c r="K4864" s="220">
        <v>0</v>
      </c>
      <c r="L4864" s="220">
        <v>9010</v>
      </c>
      <c r="M4864" s="220">
        <v>18150</v>
      </c>
      <c r="N4864" s="220">
        <f>SUM(I4864:M4865)</f>
        <v>1218460</v>
      </c>
      <c r="O4864" s="224"/>
      <c r="P4864" s="110" t="s">
        <v>14250</v>
      </c>
      <c r="Q4864" s="15" t="s">
        <v>19</v>
      </c>
      <c r="R4864" s="205"/>
      <c r="S4864" s="189"/>
      <c r="T4864" s="114"/>
      <c r="U4864" s="21"/>
      <c r="V4864" s="115">
        <v>46039</v>
      </c>
      <c r="W4864" s="116">
        <v>1284</v>
      </c>
      <c r="X4864" s="220">
        <v>1120000</v>
      </c>
      <c r="Y4864" s="220">
        <f>X4864*0.1</f>
        <v>112000</v>
      </c>
      <c r="Z4864" s="220">
        <v>9010</v>
      </c>
      <c r="AA4864" s="220">
        <f>SUM(X4864:Z4864)</f>
        <v>1241010</v>
      </c>
      <c r="AB4864" s="222">
        <v>46042</v>
      </c>
    </row>
    <row r="4865" spans="1:28" ht="17.100000000000001" customHeight="1" thickBot="1">
      <c r="A4865" s="234"/>
      <c r="B4865" s="27" t="s">
        <v>2519</v>
      </c>
      <c r="C4865" s="27">
        <v>3325</v>
      </c>
      <c r="D4865" s="14" t="s">
        <v>273</v>
      </c>
      <c r="E4865" s="229"/>
      <c r="F4865" s="117" t="s">
        <v>14244</v>
      </c>
      <c r="G4865" s="26">
        <v>61350</v>
      </c>
      <c r="H4865" s="231"/>
      <c r="I4865" s="221"/>
      <c r="J4865" s="221"/>
      <c r="K4865" s="221"/>
      <c r="L4865" s="221"/>
      <c r="M4865" s="221"/>
      <c r="N4865" s="221"/>
      <c r="O4865" s="225"/>
      <c r="P4865" s="118" t="s">
        <v>1972</v>
      </c>
      <c r="Q4865" s="16" t="s">
        <v>20</v>
      </c>
      <c r="R4865" s="17" t="s">
        <v>14717</v>
      </c>
      <c r="S4865" s="121" t="s">
        <v>4530</v>
      </c>
      <c r="T4865" s="122"/>
      <c r="U4865" s="22"/>
      <c r="V4865" s="123" t="s">
        <v>2472</v>
      </c>
      <c r="W4865" s="122">
        <v>60019</v>
      </c>
      <c r="X4865" s="221"/>
      <c r="Y4865" s="221"/>
      <c r="Z4865" s="221"/>
      <c r="AA4865" s="221"/>
      <c r="AB4865" s="223"/>
    </row>
    <row r="4866" spans="1:28" ht="17.100000000000001" customHeight="1" thickTop="1">
      <c r="A4866" s="226" t="s">
        <v>14236</v>
      </c>
      <c r="B4866" s="28">
        <v>46029</v>
      </c>
      <c r="C4866" s="25">
        <v>1820</v>
      </c>
      <c r="D4866" s="13" t="s">
        <v>1846</v>
      </c>
      <c r="E4866" s="228"/>
      <c r="F4866" s="109" t="s">
        <v>7385</v>
      </c>
      <c r="G4866" s="24" t="s">
        <v>2894</v>
      </c>
      <c r="H4866" s="230">
        <v>4.5</v>
      </c>
      <c r="I4866" s="220">
        <v>410000</v>
      </c>
      <c r="J4866" s="220">
        <f>I4866*0.1</f>
        <v>41000</v>
      </c>
      <c r="K4866" s="220">
        <f>5700+570</f>
        <v>6270</v>
      </c>
      <c r="L4866" s="220">
        <v>17940</v>
      </c>
      <c r="M4866" s="220">
        <v>18150</v>
      </c>
      <c r="N4866" s="220">
        <f>SUM(I4866:M4867)</f>
        <v>493360</v>
      </c>
      <c r="O4866" s="224"/>
      <c r="P4866" s="110" t="s">
        <v>14251</v>
      </c>
      <c r="Q4866" s="15" t="s">
        <v>19</v>
      </c>
      <c r="R4866" s="205"/>
      <c r="S4866" s="189" t="s">
        <v>25674</v>
      </c>
      <c r="T4866" s="114"/>
      <c r="U4866" s="21"/>
      <c r="V4866" s="115">
        <v>46046</v>
      </c>
      <c r="W4866" s="116">
        <v>1285</v>
      </c>
      <c r="X4866" s="220">
        <v>485000</v>
      </c>
      <c r="Y4866" s="220">
        <f>X4866*0.1</f>
        <v>48500</v>
      </c>
      <c r="Z4866" s="220">
        <v>17940</v>
      </c>
      <c r="AA4866" s="220">
        <f>SUM(X4866:Z4866)</f>
        <v>551440</v>
      </c>
      <c r="AB4866" s="222">
        <v>46049</v>
      </c>
    </row>
    <row r="4867" spans="1:28" ht="17.100000000000001" customHeight="1" thickBot="1">
      <c r="A4867" s="227"/>
      <c r="B4867" s="27" t="s">
        <v>2519</v>
      </c>
      <c r="C4867" s="27">
        <v>38157</v>
      </c>
      <c r="D4867" s="14" t="s">
        <v>898</v>
      </c>
      <c r="E4867" s="229"/>
      <c r="F4867" s="117" t="s">
        <v>14245</v>
      </c>
      <c r="G4867" s="26">
        <v>56478</v>
      </c>
      <c r="H4867" s="231"/>
      <c r="I4867" s="221"/>
      <c r="J4867" s="221"/>
      <c r="K4867" s="221"/>
      <c r="L4867" s="221"/>
      <c r="M4867" s="221"/>
      <c r="N4867" s="221"/>
      <c r="O4867" s="225"/>
      <c r="P4867" s="118" t="s">
        <v>14684</v>
      </c>
      <c r="Q4867" s="16" t="s">
        <v>20</v>
      </c>
      <c r="R4867" s="17" t="s">
        <v>1800</v>
      </c>
      <c r="S4867" s="121" t="s">
        <v>4008</v>
      </c>
      <c r="T4867" s="122"/>
      <c r="U4867" s="22"/>
      <c r="V4867" s="123" t="s">
        <v>2472</v>
      </c>
      <c r="W4867" s="122">
        <v>80066</v>
      </c>
      <c r="X4867" s="221"/>
      <c r="Y4867" s="221"/>
      <c r="Z4867" s="221"/>
      <c r="AA4867" s="221"/>
      <c r="AB4867" s="223"/>
    </row>
    <row r="4868" spans="1:28" ht="17.100000000000001" customHeight="1" thickTop="1">
      <c r="A4868" s="233" t="s">
        <v>14240</v>
      </c>
      <c r="B4868" s="28">
        <v>46029</v>
      </c>
      <c r="C4868" s="25">
        <v>1820</v>
      </c>
      <c r="D4868" s="13" t="s">
        <v>2858</v>
      </c>
      <c r="E4868" s="228"/>
      <c r="F4868" s="109" t="s">
        <v>14252</v>
      </c>
      <c r="G4868" s="24" t="s">
        <v>2530</v>
      </c>
      <c r="H4868" s="230">
        <v>5</v>
      </c>
      <c r="I4868" s="220">
        <v>470000</v>
      </c>
      <c r="J4868" s="220">
        <f>I4868*0.1</f>
        <v>47000</v>
      </c>
      <c r="K4868" s="220">
        <f>5700+570</f>
        <v>6270</v>
      </c>
      <c r="L4868" s="220">
        <v>14580</v>
      </c>
      <c r="M4868" s="220">
        <v>18150</v>
      </c>
      <c r="N4868" s="220">
        <f>SUM(I4868:M4869)</f>
        <v>556000</v>
      </c>
      <c r="O4868" s="224"/>
      <c r="P4868" s="110" t="s">
        <v>14253</v>
      </c>
      <c r="Q4868" s="15" t="s">
        <v>19</v>
      </c>
      <c r="R4868" s="205"/>
      <c r="S4868" s="189" t="s">
        <v>758</v>
      </c>
      <c r="T4868" s="114"/>
      <c r="U4868" s="21"/>
      <c r="V4868" s="115">
        <v>46039</v>
      </c>
      <c r="W4868" s="116">
        <v>1284</v>
      </c>
      <c r="X4868" s="220">
        <v>600000</v>
      </c>
      <c r="Y4868" s="220">
        <f>X4868*0.1</f>
        <v>60000</v>
      </c>
      <c r="Z4868" s="220">
        <v>14580</v>
      </c>
      <c r="AA4868" s="220">
        <f>SUM(X4868:Z4868)</f>
        <v>674580</v>
      </c>
      <c r="AB4868" s="222">
        <v>46042</v>
      </c>
    </row>
    <row r="4869" spans="1:28" ht="17.100000000000001" customHeight="1" thickBot="1">
      <c r="A4869" s="234"/>
      <c r="B4869" s="27" t="s">
        <v>2519</v>
      </c>
      <c r="C4869" s="27">
        <v>38206</v>
      </c>
      <c r="D4869" s="14" t="s">
        <v>1710</v>
      </c>
      <c r="E4869" s="229"/>
      <c r="F4869" s="117" t="s">
        <v>14246</v>
      </c>
      <c r="G4869" s="26">
        <v>33810</v>
      </c>
      <c r="H4869" s="231"/>
      <c r="I4869" s="221"/>
      <c r="J4869" s="221"/>
      <c r="K4869" s="221"/>
      <c r="L4869" s="221"/>
      <c r="M4869" s="221"/>
      <c r="N4869" s="221"/>
      <c r="O4869" s="225"/>
      <c r="P4869" s="118" t="s">
        <v>14588</v>
      </c>
      <c r="Q4869" s="16" t="s">
        <v>20</v>
      </c>
      <c r="R4869" s="17" t="s">
        <v>14583</v>
      </c>
      <c r="S4869" s="121" t="s">
        <v>1731</v>
      </c>
      <c r="T4869" s="122"/>
      <c r="U4869" s="22"/>
      <c r="V4869" s="123" t="s">
        <v>2472</v>
      </c>
      <c r="W4869" s="122">
        <v>80010</v>
      </c>
      <c r="X4869" s="221"/>
      <c r="Y4869" s="221"/>
      <c r="Z4869" s="221"/>
      <c r="AA4869" s="221"/>
      <c r="AB4869" s="223"/>
    </row>
    <row r="4870" spans="1:28" ht="17.100000000000001" customHeight="1" thickTop="1">
      <c r="A4870" s="233" t="s">
        <v>14241</v>
      </c>
      <c r="B4870" s="28">
        <v>46029</v>
      </c>
      <c r="C4870" s="25">
        <v>999</v>
      </c>
      <c r="D4870" s="13" t="s">
        <v>1824</v>
      </c>
      <c r="E4870" s="228"/>
      <c r="F4870" s="109" t="s">
        <v>14254</v>
      </c>
      <c r="G4870" s="24" t="s">
        <v>5007</v>
      </c>
      <c r="H4870" s="230">
        <v>4.5</v>
      </c>
      <c r="I4870" s="220">
        <v>355000</v>
      </c>
      <c r="J4870" s="220">
        <f>I4870*0.1</f>
        <v>35500</v>
      </c>
      <c r="K4870" s="220">
        <v>0</v>
      </c>
      <c r="L4870" s="220">
        <v>8930</v>
      </c>
      <c r="M4870" s="220">
        <v>12100</v>
      </c>
      <c r="N4870" s="220">
        <f>SUM(I4870:M4871)</f>
        <v>411530</v>
      </c>
      <c r="O4870" s="224"/>
      <c r="P4870" s="110" t="s">
        <v>14256</v>
      </c>
      <c r="Q4870" s="15" t="s">
        <v>19</v>
      </c>
      <c r="R4870" s="205"/>
      <c r="S4870" s="189" t="s">
        <v>758</v>
      </c>
      <c r="T4870" s="114"/>
      <c r="U4870" s="21"/>
      <c r="V4870" s="115">
        <v>46039</v>
      </c>
      <c r="W4870" s="116">
        <v>1284</v>
      </c>
      <c r="X4870" s="220">
        <v>410000</v>
      </c>
      <c r="Y4870" s="220">
        <f>X4870*0.1</f>
        <v>41000</v>
      </c>
      <c r="Z4870" s="220">
        <v>8930</v>
      </c>
      <c r="AA4870" s="220">
        <f>SUM(X4870:Z4870)</f>
        <v>459930</v>
      </c>
      <c r="AB4870" s="222">
        <v>46042</v>
      </c>
    </row>
    <row r="4871" spans="1:28" ht="17.100000000000001" customHeight="1" thickBot="1">
      <c r="A4871" s="234"/>
      <c r="B4871" s="27" t="s">
        <v>2747</v>
      </c>
      <c r="C4871" s="27">
        <v>1001</v>
      </c>
      <c r="D4871" s="14" t="s">
        <v>2014</v>
      </c>
      <c r="E4871" s="229"/>
      <c r="F4871" s="117" t="s">
        <v>14255</v>
      </c>
      <c r="G4871" s="26">
        <v>48941</v>
      </c>
      <c r="H4871" s="231"/>
      <c r="I4871" s="221"/>
      <c r="J4871" s="221"/>
      <c r="K4871" s="221"/>
      <c r="L4871" s="221"/>
      <c r="M4871" s="221"/>
      <c r="N4871" s="221"/>
      <c r="O4871" s="225"/>
      <c r="P4871" s="118" t="s">
        <v>14706</v>
      </c>
      <c r="Q4871" s="16" t="s">
        <v>20</v>
      </c>
      <c r="R4871" s="17" t="s">
        <v>1800</v>
      </c>
      <c r="S4871" s="121" t="s">
        <v>14707</v>
      </c>
      <c r="T4871" s="122"/>
      <c r="U4871" s="22"/>
      <c r="V4871" s="123" t="s">
        <v>2472</v>
      </c>
      <c r="W4871" s="122">
        <v>60300</v>
      </c>
      <c r="X4871" s="221"/>
      <c r="Y4871" s="221"/>
      <c r="Z4871" s="221"/>
      <c r="AA4871" s="221"/>
      <c r="AB4871" s="223"/>
    </row>
    <row r="4872" spans="1:28" ht="17.100000000000001" customHeight="1" thickTop="1">
      <c r="A4872" s="226" t="s">
        <v>14242</v>
      </c>
      <c r="B4872" s="28">
        <v>46029</v>
      </c>
      <c r="C4872" s="25">
        <v>999</v>
      </c>
      <c r="D4872" s="13" t="s">
        <v>3327</v>
      </c>
      <c r="E4872" s="228"/>
      <c r="F4872" s="109" t="s">
        <v>14257</v>
      </c>
      <c r="G4872" s="24"/>
      <c r="H4872" s="230">
        <v>4</v>
      </c>
      <c r="I4872" s="220">
        <v>2570000</v>
      </c>
      <c r="J4872" s="220">
        <f>I4872*0.1</f>
        <v>257000</v>
      </c>
      <c r="K4872" s="220">
        <v>0</v>
      </c>
      <c r="L4872" s="220">
        <v>16550</v>
      </c>
      <c r="M4872" s="220">
        <v>12100</v>
      </c>
      <c r="N4872" s="220">
        <f>SUM(I4872:M4873)</f>
        <v>2855650</v>
      </c>
      <c r="O4872" s="224"/>
      <c r="P4872" s="110" t="s">
        <v>14708</v>
      </c>
      <c r="Q4872" s="15" t="s">
        <v>19</v>
      </c>
      <c r="R4872" s="205"/>
      <c r="S4872" s="189" t="s">
        <v>25675</v>
      </c>
      <c r="T4872" s="114"/>
      <c r="U4872" s="21"/>
      <c r="V4872" s="115"/>
      <c r="W4872" s="116"/>
      <c r="X4872" s="220"/>
      <c r="Y4872" s="220">
        <f>X4872*0.1</f>
        <v>0</v>
      </c>
      <c r="Z4872" s="220"/>
      <c r="AA4872" s="220">
        <f>SUM(X4872:Z4872)</f>
        <v>0</v>
      </c>
      <c r="AB4872" s="222"/>
    </row>
    <row r="4873" spans="1:28" ht="17.100000000000001" customHeight="1" thickBot="1">
      <c r="A4873" s="227"/>
      <c r="B4873" s="27" t="s">
        <v>2747</v>
      </c>
      <c r="C4873" s="27">
        <v>1105</v>
      </c>
      <c r="D4873" s="14" t="s">
        <v>273</v>
      </c>
      <c r="E4873" s="229"/>
      <c r="F4873" s="117" t="s">
        <v>14258</v>
      </c>
      <c r="G4873" s="26">
        <v>55433</v>
      </c>
      <c r="H4873" s="231"/>
      <c r="I4873" s="221"/>
      <c r="J4873" s="221"/>
      <c r="K4873" s="221"/>
      <c r="L4873" s="221"/>
      <c r="M4873" s="221"/>
      <c r="N4873" s="221"/>
      <c r="O4873" s="225"/>
      <c r="P4873" s="118" t="s">
        <v>14710</v>
      </c>
      <c r="Q4873" s="16" t="s">
        <v>20</v>
      </c>
      <c r="R4873" s="17" t="s">
        <v>1800</v>
      </c>
      <c r="S4873" s="121" t="s">
        <v>14709</v>
      </c>
      <c r="T4873" s="122"/>
      <c r="U4873" s="22"/>
      <c r="V4873" s="123"/>
      <c r="W4873" s="122"/>
      <c r="X4873" s="221"/>
      <c r="Y4873" s="221"/>
      <c r="Z4873" s="221"/>
      <c r="AA4873" s="221"/>
      <c r="AB4873" s="223"/>
    </row>
    <row r="4874" spans="1:28" ht="17.100000000000001" customHeight="1" thickTop="1">
      <c r="A4874" s="226" t="s">
        <v>14270</v>
      </c>
      <c r="B4874" s="28">
        <v>46030</v>
      </c>
      <c r="C4874" s="25">
        <v>1548</v>
      </c>
      <c r="D4874" s="13" t="s">
        <v>1837</v>
      </c>
      <c r="E4874" s="228"/>
      <c r="F4874" s="109" t="s">
        <v>9403</v>
      </c>
      <c r="G4874" s="24" t="s">
        <v>14277</v>
      </c>
      <c r="H4874" s="230">
        <v>4.5</v>
      </c>
      <c r="I4874" s="220">
        <v>1250000</v>
      </c>
      <c r="J4874" s="220">
        <f>I4874*0.1</f>
        <v>125000</v>
      </c>
      <c r="K4874" s="220">
        <f>5000+500</f>
        <v>5500</v>
      </c>
      <c r="L4874" s="220">
        <v>12370</v>
      </c>
      <c r="M4874" s="220">
        <v>27500</v>
      </c>
      <c r="N4874" s="220">
        <f>SUM(I4874:M4875)</f>
        <v>1420370</v>
      </c>
      <c r="O4874" s="224"/>
      <c r="P4874" s="110" t="s">
        <v>14278</v>
      </c>
      <c r="Q4874" s="15" t="s">
        <v>19</v>
      </c>
      <c r="R4874" s="205"/>
      <c r="S4874" s="189" t="s">
        <v>25676</v>
      </c>
      <c r="T4874" s="114" t="s">
        <v>8241</v>
      </c>
      <c r="U4874" s="21" t="s">
        <v>16429</v>
      </c>
      <c r="V4874" s="115">
        <v>46078</v>
      </c>
      <c r="W4874" s="116">
        <v>1006</v>
      </c>
      <c r="X4874" s="220">
        <v>1475000</v>
      </c>
      <c r="Y4874" s="220">
        <f>X4874*0.1</f>
        <v>147500</v>
      </c>
      <c r="Z4874" s="220">
        <v>12370</v>
      </c>
      <c r="AA4874" s="220">
        <f>SUM(X4874:Z4874)</f>
        <v>1634870</v>
      </c>
      <c r="AB4874" s="222">
        <v>46083</v>
      </c>
    </row>
    <row r="4875" spans="1:28" ht="17.100000000000001" customHeight="1" thickBot="1">
      <c r="A4875" s="227"/>
      <c r="B4875" s="27" t="s">
        <v>1592</v>
      </c>
      <c r="C4875" s="27">
        <v>78069</v>
      </c>
      <c r="D4875" s="14" t="s">
        <v>131</v>
      </c>
      <c r="E4875" s="229"/>
      <c r="F4875" s="117" t="s">
        <v>14276</v>
      </c>
      <c r="G4875" s="26">
        <v>27424</v>
      </c>
      <c r="H4875" s="231"/>
      <c r="I4875" s="221"/>
      <c r="J4875" s="221"/>
      <c r="K4875" s="221"/>
      <c r="L4875" s="221"/>
      <c r="M4875" s="221"/>
      <c r="N4875" s="221"/>
      <c r="O4875" s="225"/>
      <c r="P4875" s="118" t="s">
        <v>2287</v>
      </c>
      <c r="Q4875" s="16" t="s">
        <v>20</v>
      </c>
      <c r="R4875" s="17" t="s">
        <v>1800</v>
      </c>
      <c r="S4875" s="121" t="s">
        <v>11986</v>
      </c>
      <c r="T4875" s="122"/>
      <c r="U4875" s="22"/>
      <c r="V4875" s="123" t="s">
        <v>2747</v>
      </c>
      <c r="W4875" s="122">
        <v>5051</v>
      </c>
      <c r="X4875" s="221"/>
      <c r="Y4875" s="221"/>
      <c r="Z4875" s="221"/>
      <c r="AA4875" s="221"/>
      <c r="AB4875" s="223"/>
    </row>
    <row r="4876" spans="1:28" ht="17.100000000000001" customHeight="1" thickTop="1">
      <c r="A4876" s="226" t="s">
        <v>14273</v>
      </c>
      <c r="B4876" s="28">
        <v>46030</v>
      </c>
      <c r="C4876" s="25">
        <v>2009</v>
      </c>
      <c r="D4876" s="13" t="s">
        <v>4213</v>
      </c>
      <c r="E4876" s="228"/>
      <c r="F4876" s="109" t="s">
        <v>5122</v>
      </c>
      <c r="G4876" s="24"/>
      <c r="H4876" s="230">
        <v>4</v>
      </c>
      <c r="I4876" s="220">
        <v>2647000</v>
      </c>
      <c r="J4876" s="220">
        <f>I4876*0.1</f>
        <v>264700</v>
      </c>
      <c r="K4876" s="220">
        <v>0</v>
      </c>
      <c r="L4876" s="220">
        <v>12250</v>
      </c>
      <c r="M4876" s="220">
        <v>22000</v>
      </c>
      <c r="N4876" s="220">
        <f>SUM(I4876:M4877)</f>
        <v>2945950</v>
      </c>
      <c r="O4876" s="224"/>
      <c r="P4876" s="110" t="s">
        <v>14721</v>
      </c>
      <c r="Q4876" s="15" t="s">
        <v>19</v>
      </c>
      <c r="R4876" s="205"/>
      <c r="S4876" s="189"/>
      <c r="T4876" s="114"/>
      <c r="U4876" s="21"/>
      <c r="V4876" s="115">
        <v>46036</v>
      </c>
      <c r="W4876" s="116">
        <v>1000</v>
      </c>
      <c r="X4876" s="220">
        <v>2790000</v>
      </c>
      <c r="Y4876" s="220">
        <f>X4876*0.1</f>
        <v>279000</v>
      </c>
      <c r="Z4876" s="220">
        <v>12250</v>
      </c>
      <c r="AA4876" s="220">
        <f>SUM(X4876:Z4876)</f>
        <v>3081250</v>
      </c>
      <c r="AB4876" s="222">
        <v>46042</v>
      </c>
    </row>
    <row r="4877" spans="1:28" ht="17.100000000000001" customHeight="1" thickBot="1">
      <c r="A4877" s="227"/>
      <c r="B4877" s="27" t="s">
        <v>2171</v>
      </c>
      <c r="C4877" s="27">
        <v>30088</v>
      </c>
      <c r="D4877" s="14" t="s">
        <v>273</v>
      </c>
      <c r="E4877" s="229"/>
      <c r="F4877" s="117" t="s">
        <v>14260</v>
      </c>
      <c r="G4877" s="26">
        <v>38646</v>
      </c>
      <c r="H4877" s="231"/>
      <c r="I4877" s="221"/>
      <c r="J4877" s="221"/>
      <c r="K4877" s="221"/>
      <c r="L4877" s="221"/>
      <c r="M4877" s="221"/>
      <c r="N4877" s="221"/>
      <c r="O4877" s="225"/>
      <c r="P4877" s="118" t="s">
        <v>6983</v>
      </c>
      <c r="Q4877" s="16" t="s">
        <v>20</v>
      </c>
      <c r="R4877" s="17" t="s">
        <v>14717</v>
      </c>
      <c r="S4877" s="121"/>
      <c r="T4877" s="122"/>
      <c r="U4877" s="22"/>
      <c r="V4877" s="123" t="s">
        <v>2747</v>
      </c>
      <c r="W4877" s="122">
        <v>5065</v>
      </c>
      <c r="X4877" s="221"/>
      <c r="Y4877" s="221"/>
      <c r="Z4877" s="221"/>
      <c r="AA4877" s="221"/>
      <c r="AB4877" s="223"/>
    </row>
    <row r="4878" spans="1:28" ht="17.100000000000001" customHeight="1" thickTop="1">
      <c r="A4878" s="226" t="s">
        <v>14274</v>
      </c>
      <c r="B4878" s="28">
        <v>46030</v>
      </c>
      <c r="C4878" s="25">
        <v>2009</v>
      </c>
      <c r="D4878" s="13" t="s">
        <v>4775</v>
      </c>
      <c r="E4878" s="228"/>
      <c r="F4878" s="109" t="s">
        <v>14271</v>
      </c>
      <c r="G4878" s="24"/>
      <c r="H4878" s="230">
        <v>4</v>
      </c>
      <c r="I4878" s="220">
        <v>2825000</v>
      </c>
      <c r="J4878" s="220">
        <f>I4878*0.1</f>
        <v>282500</v>
      </c>
      <c r="K4878" s="220">
        <v>0</v>
      </c>
      <c r="L4878" s="220">
        <v>14330</v>
      </c>
      <c r="M4878" s="220">
        <v>22000</v>
      </c>
      <c r="N4878" s="220">
        <f>SUM(I4878:M4879)</f>
        <v>3143830</v>
      </c>
      <c r="O4878" s="224"/>
      <c r="P4878" s="110" t="s">
        <v>14722</v>
      </c>
      <c r="Q4878" s="15" t="s">
        <v>19</v>
      </c>
      <c r="R4878" s="205"/>
      <c r="S4878" s="189" t="s">
        <v>1361</v>
      </c>
      <c r="T4878" s="114"/>
      <c r="U4878" s="21"/>
      <c r="V4878" s="115">
        <v>46050</v>
      </c>
      <c r="W4878" s="116">
        <v>1002</v>
      </c>
      <c r="X4878" s="220">
        <v>2890000</v>
      </c>
      <c r="Y4878" s="220">
        <f>X4878*0.1</f>
        <v>289000</v>
      </c>
      <c r="Z4878" s="220">
        <v>14330</v>
      </c>
      <c r="AA4878" s="220">
        <f>SUM(X4878:Z4878)</f>
        <v>3193330</v>
      </c>
      <c r="AB4878" s="222">
        <v>46055</v>
      </c>
    </row>
    <row r="4879" spans="1:28" ht="17.100000000000001" customHeight="1" thickBot="1">
      <c r="A4879" s="227"/>
      <c r="B4879" s="27" t="s">
        <v>2171</v>
      </c>
      <c r="C4879" s="27">
        <v>30142</v>
      </c>
      <c r="D4879" s="14" t="s">
        <v>273</v>
      </c>
      <c r="E4879" s="229"/>
      <c r="F4879" s="117" t="s">
        <v>14272</v>
      </c>
      <c r="G4879" s="26">
        <v>39819</v>
      </c>
      <c r="H4879" s="231"/>
      <c r="I4879" s="221"/>
      <c r="J4879" s="221"/>
      <c r="K4879" s="221"/>
      <c r="L4879" s="221"/>
      <c r="M4879" s="221"/>
      <c r="N4879" s="221"/>
      <c r="O4879" s="225"/>
      <c r="P4879" s="118" t="s">
        <v>14723</v>
      </c>
      <c r="Q4879" s="16" t="s">
        <v>20</v>
      </c>
      <c r="R4879" s="17" t="s">
        <v>14717</v>
      </c>
      <c r="S4879" s="121" t="s">
        <v>10484</v>
      </c>
      <c r="T4879" s="122"/>
      <c r="U4879" s="22"/>
      <c r="V4879" s="123" t="s">
        <v>2747</v>
      </c>
      <c r="W4879" s="122">
        <v>6018</v>
      </c>
      <c r="X4879" s="221"/>
      <c r="Y4879" s="221"/>
      <c r="Z4879" s="221"/>
      <c r="AA4879" s="221"/>
      <c r="AB4879" s="223"/>
    </row>
    <row r="4880" spans="1:28" ht="17.100000000000001" customHeight="1" thickTop="1">
      <c r="A4880" s="226" t="s">
        <v>14275</v>
      </c>
      <c r="B4880" s="28">
        <v>46030</v>
      </c>
      <c r="C4880" s="25">
        <v>2009</v>
      </c>
      <c r="D4880" s="13" t="s">
        <v>2040</v>
      </c>
      <c r="E4880" s="228"/>
      <c r="F4880" s="109" t="s">
        <v>4601</v>
      </c>
      <c r="G4880" s="24"/>
      <c r="H4880" s="230">
        <v>4</v>
      </c>
      <c r="I4880" s="220">
        <v>1126000</v>
      </c>
      <c r="J4880" s="220">
        <f>I4880*0.1</f>
        <v>112600</v>
      </c>
      <c r="K4880" s="220">
        <v>0</v>
      </c>
      <c r="L4880" s="220">
        <v>8630</v>
      </c>
      <c r="M4880" s="220">
        <v>22000</v>
      </c>
      <c r="N4880" s="220">
        <f>SUM(I4880:M4881)</f>
        <v>1269230</v>
      </c>
      <c r="O4880" s="224"/>
      <c r="P4880" s="110" t="s">
        <v>14725</v>
      </c>
      <c r="Q4880" s="15" t="s">
        <v>19</v>
      </c>
      <c r="R4880" s="205"/>
      <c r="S4880" s="189" t="s">
        <v>758</v>
      </c>
      <c r="T4880" s="114"/>
      <c r="U4880" s="21"/>
      <c r="V4880" s="115">
        <v>46064</v>
      </c>
      <c r="W4880" s="116">
        <v>1004</v>
      </c>
      <c r="X4880" s="220">
        <v>1205000</v>
      </c>
      <c r="Y4880" s="220">
        <f>X4880*0.1</f>
        <v>120500</v>
      </c>
      <c r="Z4880" s="220">
        <v>8630</v>
      </c>
      <c r="AA4880" s="220">
        <f>SUM(X4880:Z4880)</f>
        <v>1334130</v>
      </c>
      <c r="AB4880" s="222">
        <v>46069</v>
      </c>
    </row>
    <row r="4881" spans="1:28" ht="17.100000000000001" customHeight="1" thickBot="1">
      <c r="A4881" s="227"/>
      <c r="B4881" s="27" t="s">
        <v>2171</v>
      </c>
      <c r="C4881" s="27">
        <v>50180</v>
      </c>
      <c r="D4881" s="14" t="s">
        <v>2559</v>
      </c>
      <c r="E4881" s="229"/>
      <c r="F4881" s="117" t="s">
        <v>14261</v>
      </c>
      <c r="G4881" s="26">
        <v>45068</v>
      </c>
      <c r="H4881" s="231"/>
      <c r="I4881" s="221"/>
      <c r="J4881" s="221"/>
      <c r="K4881" s="221"/>
      <c r="L4881" s="221"/>
      <c r="M4881" s="221"/>
      <c r="N4881" s="221"/>
      <c r="O4881" s="225"/>
      <c r="P4881" s="118" t="s">
        <v>14723</v>
      </c>
      <c r="Q4881" s="16" t="s">
        <v>20</v>
      </c>
      <c r="R4881" s="17" t="s">
        <v>14717</v>
      </c>
      <c r="S4881" s="121" t="s">
        <v>1731</v>
      </c>
      <c r="T4881" s="122"/>
      <c r="U4881" s="22"/>
      <c r="V4881" s="123" t="s">
        <v>2747</v>
      </c>
      <c r="W4881" s="122">
        <v>2023</v>
      </c>
      <c r="X4881" s="221"/>
      <c r="Y4881" s="221"/>
      <c r="Z4881" s="221"/>
      <c r="AA4881" s="221"/>
      <c r="AB4881" s="223"/>
    </row>
    <row r="4882" spans="1:28" ht="17.100000000000001" customHeight="1" thickTop="1">
      <c r="A4882" s="233" t="s">
        <v>14279</v>
      </c>
      <c r="B4882" s="28">
        <v>46030</v>
      </c>
      <c r="C4882" s="25">
        <v>1313</v>
      </c>
      <c r="D4882" s="13" t="s">
        <v>3406</v>
      </c>
      <c r="E4882" s="228"/>
      <c r="F4882" s="109" t="s">
        <v>14281</v>
      </c>
      <c r="G4882" s="24"/>
      <c r="H4882" s="230">
        <v>4.5</v>
      </c>
      <c r="I4882" s="220">
        <v>1820000</v>
      </c>
      <c r="J4882" s="220">
        <f>I4882*0.1</f>
        <v>182000</v>
      </c>
      <c r="K4882" s="220">
        <v>0</v>
      </c>
      <c r="L4882" s="220">
        <v>17600</v>
      </c>
      <c r="M4882" s="220">
        <v>18700</v>
      </c>
      <c r="N4882" s="220">
        <f>SUM(I4882:M4883)</f>
        <v>2038300</v>
      </c>
      <c r="O4882" s="224"/>
      <c r="P4882" s="110" t="s">
        <v>14586</v>
      </c>
      <c r="Q4882" s="15" t="s">
        <v>19</v>
      </c>
      <c r="R4882" s="205"/>
      <c r="S4882" s="189" t="s">
        <v>25445</v>
      </c>
      <c r="T4882" s="114"/>
      <c r="U4882" s="21"/>
      <c r="V4882" s="115">
        <v>46032</v>
      </c>
      <c r="W4882" s="116">
        <v>1283</v>
      </c>
      <c r="X4882" s="220">
        <v>1960000</v>
      </c>
      <c r="Y4882" s="220">
        <f>X4882*0.1</f>
        <v>196000</v>
      </c>
      <c r="Z4882" s="220">
        <v>17600</v>
      </c>
      <c r="AA4882" s="220">
        <f>SUM(X4882:Z4882)</f>
        <v>2173600</v>
      </c>
      <c r="AB4882" s="222">
        <v>46037</v>
      </c>
    </row>
    <row r="4883" spans="1:28" ht="17.100000000000001" customHeight="1" thickBot="1">
      <c r="A4883" s="234"/>
      <c r="B4883" s="27" t="s">
        <v>13379</v>
      </c>
      <c r="C4883" s="27">
        <v>47</v>
      </c>
      <c r="D4883" s="14" t="s">
        <v>273</v>
      </c>
      <c r="E4883" s="229"/>
      <c r="F4883" s="117" t="s">
        <v>14282</v>
      </c>
      <c r="G4883" s="26">
        <v>20300</v>
      </c>
      <c r="H4883" s="231"/>
      <c r="I4883" s="221"/>
      <c r="J4883" s="221"/>
      <c r="K4883" s="221"/>
      <c r="L4883" s="221"/>
      <c r="M4883" s="221"/>
      <c r="N4883" s="221"/>
      <c r="O4883" s="225"/>
      <c r="P4883" s="118" t="s">
        <v>10534</v>
      </c>
      <c r="Q4883" s="16" t="s">
        <v>20</v>
      </c>
      <c r="R4883" s="17" t="s">
        <v>14583</v>
      </c>
      <c r="S4883" s="121" t="s">
        <v>14587</v>
      </c>
      <c r="T4883" s="122"/>
      <c r="U4883" s="22"/>
      <c r="V4883" s="123" t="s">
        <v>2472</v>
      </c>
      <c r="W4883" s="122">
        <v>80374</v>
      </c>
      <c r="X4883" s="221"/>
      <c r="Y4883" s="221"/>
      <c r="Z4883" s="221"/>
      <c r="AA4883" s="221"/>
      <c r="AB4883" s="223"/>
    </row>
    <row r="4884" spans="1:28" ht="17.100000000000001" customHeight="1" thickTop="1">
      <c r="A4884" s="233" t="s">
        <v>14280</v>
      </c>
      <c r="B4884" s="28">
        <v>46030</v>
      </c>
      <c r="C4884" s="25">
        <v>1313</v>
      </c>
      <c r="D4884" s="13" t="s">
        <v>1553</v>
      </c>
      <c r="E4884" s="228"/>
      <c r="F4884" s="109" t="s">
        <v>14283</v>
      </c>
      <c r="G4884" s="24"/>
      <c r="H4884" s="230">
        <v>4</v>
      </c>
      <c r="I4884" s="220">
        <v>425000</v>
      </c>
      <c r="J4884" s="220">
        <f>I4884*0.1</f>
        <v>42500</v>
      </c>
      <c r="K4884" s="220">
        <v>0</v>
      </c>
      <c r="L4884" s="220">
        <v>17700</v>
      </c>
      <c r="M4884" s="220">
        <v>18700</v>
      </c>
      <c r="N4884" s="220">
        <f>SUM(I4884:M4885)</f>
        <v>503900</v>
      </c>
      <c r="O4884" s="224"/>
      <c r="P4884" s="110" t="s">
        <v>14584</v>
      </c>
      <c r="Q4884" s="15" t="s">
        <v>19</v>
      </c>
      <c r="R4884" s="205"/>
      <c r="S4884" s="189" t="s">
        <v>25367</v>
      </c>
      <c r="T4884" s="114"/>
      <c r="U4884" s="21"/>
      <c r="V4884" s="115">
        <v>46032</v>
      </c>
      <c r="W4884" s="116">
        <v>1283</v>
      </c>
      <c r="X4884" s="220">
        <v>545000</v>
      </c>
      <c r="Y4884" s="220">
        <f>X4884*0.1</f>
        <v>54500</v>
      </c>
      <c r="Z4884" s="220">
        <v>17700</v>
      </c>
      <c r="AA4884" s="220">
        <f>SUM(X4884:Z4884)</f>
        <v>617200</v>
      </c>
      <c r="AB4884" s="222">
        <v>46037</v>
      </c>
    </row>
    <row r="4885" spans="1:28" ht="17.100000000000001" customHeight="1" thickBot="1">
      <c r="A4885" s="234"/>
      <c r="B4885" s="27" t="s">
        <v>13379</v>
      </c>
      <c r="C4885" s="27">
        <v>104</v>
      </c>
      <c r="D4885" s="14" t="s">
        <v>1584</v>
      </c>
      <c r="E4885" s="229"/>
      <c r="F4885" s="117" t="s">
        <v>14284</v>
      </c>
      <c r="G4885" s="26">
        <v>53688</v>
      </c>
      <c r="H4885" s="231"/>
      <c r="I4885" s="221"/>
      <c r="J4885" s="221"/>
      <c r="K4885" s="221"/>
      <c r="L4885" s="221"/>
      <c r="M4885" s="221"/>
      <c r="N4885" s="221"/>
      <c r="O4885" s="225"/>
      <c r="P4885" s="118" t="s">
        <v>14585</v>
      </c>
      <c r="Q4885" s="16" t="s">
        <v>20</v>
      </c>
      <c r="R4885" s="17" t="s">
        <v>14583</v>
      </c>
      <c r="S4885" s="121" t="s">
        <v>1731</v>
      </c>
      <c r="T4885" s="122"/>
      <c r="U4885" s="22"/>
      <c r="V4885" s="123" t="s">
        <v>2472</v>
      </c>
      <c r="W4885" s="122">
        <v>80372</v>
      </c>
      <c r="X4885" s="221"/>
      <c r="Y4885" s="221"/>
      <c r="Z4885" s="221"/>
      <c r="AA4885" s="221"/>
      <c r="AB4885" s="223"/>
    </row>
    <row r="4886" spans="1:28" ht="17.100000000000001" customHeight="1" thickTop="1">
      <c r="A4886" s="233" t="s">
        <v>14365</v>
      </c>
      <c r="B4886" s="28">
        <v>46031</v>
      </c>
      <c r="C4886" s="25">
        <v>2117</v>
      </c>
      <c r="D4886" s="13" t="s">
        <v>2900</v>
      </c>
      <c r="E4886" s="228"/>
      <c r="F4886" s="109" t="s">
        <v>3718</v>
      </c>
      <c r="G4886" s="24"/>
      <c r="H4886" s="230">
        <v>4.5</v>
      </c>
      <c r="I4886" s="220">
        <v>1090000</v>
      </c>
      <c r="J4886" s="220">
        <f>I4886*0.1</f>
        <v>109000</v>
      </c>
      <c r="K4886" s="220">
        <v>0</v>
      </c>
      <c r="L4886" s="220">
        <v>12370</v>
      </c>
      <c r="M4886" s="220">
        <v>16500</v>
      </c>
      <c r="N4886" s="220">
        <v>1227870</v>
      </c>
      <c r="O4886" s="224"/>
      <c r="P4886" s="110" t="s">
        <v>14682</v>
      </c>
      <c r="Q4886" s="15" t="s">
        <v>19</v>
      </c>
      <c r="R4886" s="205"/>
      <c r="S4886" s="189"/>
      <c r="T4886" s="114" t="s">
        <v>14730</v>
      </c>
      <c r="U4886" s="21"/>
      <c r="V4886" s="115"/>
      <c r="W4886" s="116"/>
      <c r="X4886" s="220"/>
      <c r="Y4886" s="220">
        <f>X4886*0.1</f>
        <v>0</v>
      </c>
      <c r="Z4886" s="220"/>
      <c r="AA4886" s="220">
        <f>SUM(X4886:Z4886)</f>
        <v>0</v>
      </c>
      <c r="AB4886" s="222"/>
    </row>
    <row r="4887" spans="1:28" ht="17.100000000000001" customHeight="1" thickBot="1">
      <c r="A4887" s="234"/>
      <c r="B4887" s="27" t="s">
        <v>1536</v>
      </c>
      <c r="C4887" s="27">
        <v>13078</v>
      </c>
      <c r="D4887" s="14" t="s">
        <v>898</v>
      </c>
      <c r="E4887" s="229"/>
      <c r="F4887" s="117" t="s">
        <v>14323</v>
      </c>
      <c r="G4887" s="26">
        <v>56678</v>
      </c>
      <c r="H4887" s="231"/>
      <c r="I4887" s="221"/>
      <c r="J4887" s="221"/>
      <c r="K4887" s="221"/>
      <c r="L4887" s="221"/>
      <c r="M4887" s="221"/>
      <c r="N4887" s="221"/>
      <c r="O4887" s="225"/>
      <c r="P4887" s="118" t="s">
        <v>14683</v>
      </c>
      <c r="Q4887" s="16" t="s">
        <v>20</v>
      </c>
      <c r="R4887" s="17" t="s">
        <v>1800</v>
      </c>
      <c r="S4887" s="121"/>
      <c r="T4887" s="122"/>
      <c r="U4887" s="22"/>
      <c r="V4887" s="123"/>
      <c r="W4887" s="122"/>
      <c r="X4887" s="221"/>
      <c r="Y4887" s="221"/>
      <c r="Z4887" s="221"/>
      <c r="AA4887" s="221"/>
      <c r="AB4887" s="223"/>
    </row>
    <row r="4888" spans="1:28" ht="17.100000000000001" customHeight="1" thickTop="1">
      <c r="A4888" s="226" t="s">
        <v>14366</v>
      </c>
      <c r="B4888" s="28">
        <v>46031</v>
      </c>
      <c r="C4888" s="25">
        <v>2117</v>
      </c>
      <c r="D4888" s="13" t="s">
        <v>2644</v>
      </c>
      <c r="E4888" s="228"/>
      <c r="F4888" s="109" t="s">
        <v>7385</v>
      </c>
      <c r="G4888" s="24" t="s">
        <v>9727</v>
      </c>
      <c r="H4888" s="230">
        <v>4.5</v>
      </c>
      <c r="I4888" s="220">
        <v>1720000</v>
      </c>
      <c r="J4888" s="220">
        <f>I4888*0.1</f>
        <v>172000</v>
      </c>
      <c r="K4888" s="220">
        <v>5500</v>
      </c>
      <c r="L4888" s="220">
        <v>16580</v>
      </c>
      <c r="M4888" s="220">
        <v>16500</v>
      </c>
      <c r="N4888" s="220">
        <f>SUM(I4888:M4889)</f>
        <v>1930580</v>
      </c>
      <c r="O4888" s="224"/>
      <c r="P4888" s="110" t="s">
        <v>14347</v>
      </c>
      <c r="Q4888" s="15" t="s">
        <v>19</v>
      </c>
      <c r="R4888" s="205"/>
      <c r="S4888" s="189" t="s">
        <v>25367</v>
      </c>
      <c r="T4888" s="114" t="s">
        <v>15343</v>
      </c>
      <c r="U4888" s="21"/>
      <c r="V4888" s="115">
        <v>46044</v>
      </c>
      <c r="W4888" s="116">
        <v>1315</v>
      </c>
      <c r="X4888" s="220">
        <v>1815000</v>
      </c>
      <c r="Y4888" s="220">
        <f>X4888*0.1</f>
        <v>181500</v>
      </c>
      <c r="Z4888" s="220">
        <v>16580</v>
      </c>
      <c r="AA4888" s="220">
        <f>SUM(X4888:Z4888)</f>
        <v>2013080</v>
      </c>
      <c r="AB4888" s="222">
        <v>46045</v>
      </c>
    </row>
    <row r="4889" spans="1:28" ht="17.100000000000001" customHeight="1" thickBot="1">
      <c r="A4889" s="227"/>
      <c r="B4889" s="27" t="s">
        <v>1536</v>
      </c>
      <c r="C4889" s="27">
        <v>58225</v>
      </c>
      <c r="D4889" s="14" t="s">
        <v>1584</v>
      </c>
      <c r="E4889" s="229"/>
      <c r="F4889" s="117" t="s">
        <v>14346</v>
      </c>
      <c r="G4889" s="26">
        <v>19918</v>
      </c>
      <c r="H4889" s="231"/>
      <c r="I4889" s="221"/>
      <c r="J4889" s="221"/>
      <c r="K4889" s="221"/>
      <c r="L4889" s="221"/>
      <c r="M4889" s="221"/>
      <c r="N4889" s="221"/>
      <c r="O4889" s="225"/>
      <c r="P4889" s="118" t="s">
        <v>14681</v>
      </c>
      <c r="Q4889" s="16" t="s">
        <v>20</v>
      </c>
      <c r="R4889" s="17" t="s">
        <v>1800</v>
      </c>
      <c r="S4889" s="121" t="s">
        <v>15430</v>
      </c>
      <c r="T4889" s="122" t="s">
        <v>15342</v>
      </c>
      <c r="U4889" s="22"/>
      <c r="V4889" s="123" t="s">
        <v>13379</v>
      </c>
      <c r="W4889" s="122">
        <v>112</v>
      </c>
      <c r="X4889" s="221"/>
      <c r="Y4889" s="221"/>
      <c r="Z4889" s="221"/>
      <c r="AA4889" s="221"/>
      <c r="AB4889" s="223"/>
    </row>
    <row r="4890" spans="1:28" ht="17.100000000000001" customHeight="1" thickTop="1">
      <c r="A4890" s="233" t="s">
        <v>14367</v>
      </c>
      <c r="B4890" s="28">
        <v>46031</v>
      </c>
      <c r="C4890" s="25">
        <v>273</v>
      </c>
      <c r="D4890" s="13" t="s">
        <v>1988</v>
      </c>
      <c r="E4890" s="228"/>
      <c r="F4890" s="109" t="s">
        <v>3958</v>
      </c>
      <c r="G4890" s="24" t="s">
        <v>2907</v>
      </c>
      <c r="H4890" s="230">
        <v>4.5</v>
      </c>
      <c r="I4890" s="220">
        <v>1160000</v>
      </c>
      <c r="J4890" s="220">
        <f>I4890*0.1</f>
        <v>116000</v>
      </c>
      <c r="K4890" s="220">
        <v>0</v>
      </c>
      <c r="L4890" s="220">
        <v>8350</v>
      </c>
      <c r="M4890" s="220">
        <v>22000</v>
      </c>
      <c r="N4890" s="220">
        <f>SUM(I4890:M4891)</f>
        <v>1306350</v>
      </c>
      <c r="O4890" s="224"/>
      <c r="P4890" s="110" t="s">
        <v>14325</v>
      </c>
      <c r="Q4890" s="15" t="s">
        <v>19</v>
      </c>
      <c r="R4890" s="205"/>
      <c r="S4890" s="189" t="s">
        <v>1361</v>
      </c>
      <c r="T4890" s="114"/>
      <c r="U4890" s="21"/>
      <c r="V4890" s="115">
        <v>46039</v>
      </c>
      <c r="W4890" s="116">
        <v>1284</v>
      </c>
      <c r="X4890" s="220">
        <v>1245000</v>
      </c>
      <c r="Y4890" s="220">
        <f>X4890*0.1</f>
        <v>124500</v>
      </c>
      <c r="Z4890" s="220">
        <v>8350</v>
      </c>
      <c r="AA4890" s="220">
        <f>SUM(X4890:Z4890)</f>
        <v>1377850</v>
      </c>
      <c r="AB4890" s="222">
        <v>46042</v>
      </c>
    </row>
    <row r="4891" spans="1:28" ht="17.100000000000001" customHeight="1" thickBot="1">
      <c r="A4891" s="234"/>
      <c r="B4891" s="27" t="s">
        <v>3890</v>
      </c>
      <c r="C4891" s="27">
        <v>4</v>
      </c>
      <c r="D4891" s="14" t="s">
        <v>1568</v>
      </c>
      <c r="E4891" s="229"/>
      <c r="F4891" s="117" t="s">
        <v>14324</v>
      </c>
      <c r="G4891" s="26">
        <v>6340</v>
      </c>
      <c r="H4891" s="231"/>
      <c r="I4891" s="221"/>
      <c r="J4891" s="221"/>
      <c r="K4891" s="221"/>
      <c r="L4891" s="221"/>
      <c r="M4891" s="221"/>
      <c r="N4891" s="221"/>
      <c r="O4891" s="225"/>
      <c r="P4891" s="118" t="s">
        <v>2287</v>
      </c>
      <c r="Q4891" s="16" t="s">
        <v>20</v>
      </c>
      <c r="R4891" s="17" t="s">
        <v>1800</v>
      </c>
      <c r="S4891" s="121" t="s">
        <v>169</v>
      </c>
      <c r="T4891" s="122"/>
      <c r="U4891" s="22"/>
      <c r="V4891" s="123" t="s">
        <v>2472</v>
      </c>
      <c r="W4891" s="122">
        <v>60001</v>
      </c>
      <c r="X4891" s="221"/>
      <c r="Y4891" s="221"/>
      <c r="Z4891" s="221"/>
      <c r="AA4891" s="221"/>
      <c r="AB4891" s="223"/>
    </row>
    <row r="4892" spans="1:28" ht="17.100000000000001" customHeight="1" thickTop="1">
      <c r="A4892" s="226" t="s">
        <v>14368</v>
      </c>
      <c r="B4892" s="28">
        <v>46031</v>
      </c>
      <c r="C4892" s="25">
        <v>273</v>
      </c>
      <c r="D4892" s="13" t="s">
        <v>3271</v>
      </c>
      <c r="E4892" s="228"/>
      <c r="F4892" s="109" t="s">
        <v>14326</v>
      </c>
      <c r="G4892" s="24" t="s">
        <v>2530</v>
      </c>
      <c r="H4892" s="230">
        <v>4.5</v>
      </c>
      <c r="I4892" s="220">
        <v>1454000</v>
      </c>
      <c r="J4892" s="220">
        <f>I4892*0.1</f>
        <v>145400</v>
      </c>
      <c r="K4892" s="220">
        <v>0</v>
      </c>
      <c r="L4892" s="220">
        <v>10360</v>
      </c>
      <c r="M4892" s="220">
        <v>22000</v>
      </c>
      <c r="N4892" s="220">
        <f>SUM(I4892:M4893)</f>
        <v>1631760</v>
      </c>
      <c r="O4892" s="224"/>
      <c r="P4892" s="110" t="s">
        <v>14328</v>
      </c>
      <c r="Q4892" s="15" t="s">
        <v>19</v>
      </c>
      <c r="R4892" s="205"/>
      <c r="S4892" s="189" t="s">
        <v>25397</v>
      </c>
      <c r="T4892" s="114"/>
      <c r="U4892" s="21"/>
      <c r="V4892" s="115">
        <v>46036</v>
      </c>
      <c r="W4892" s="116">
        <v>1000</v>
      </c>
      <c r="X4892" s="220">
        <v>1550000</v>
      </c>
      <c r="Y4892" s="220">
        <f>X4892*0.1</f>
        <v>155000</v>
      </c>
      <c r="Z4892" s="220">
        <v>10360</v>
      </c>
      <c r="AA4892" s="220">
        <f>SUM(X4892:Z4892)</f>
        <v>1715360</v>
      </c>
      <c r="AB4892" s="222">
        <v>46042</v>
      </c>
    </row>
    <row r="4893" spans="1:28" ht="17.100000000000001" customHeight="1" thickBot="1">
      <c r="A4893" s="227"/>
      <c r="B4893" s="27" t="s">
        <v>3890</v>
      </c>
      <c r="C4893" s="27">
        <v>66</v>
      </c>
      <c r="D4893" s="14" t="s">
        <v>2559</v>
      </c>
      <c r="E4893" s="229"/>
      <c r="F4893" s="117" t="s">
        <v>14327</v>
      </c>
      <c r="G4893" s="26">
        <v>3735</v>
      </c>
      <c r="H4893" s="231"/>
      <c r="I4893" s="221"/>
      <c r="J4893" s="221"/>
      <c r="K4893" s="221"/>
      <c r="L4893" s="221"/>
      <c r="M4893" s="221"/>
      <c r="N4893" s="221"/>
      <c r="O4893" s="225"/>
      <c r="P4893" s="118" t="s">
        <v>2287</v>
      </c>
      <c r="Q4893" s="16" t="s">
        <v>20</v>
      </c>
      <c r="R4893" s="17" t="s">
        <v>1800</v>
      </c>
      <c r="S4893" s="121" t="s">
        <v>7765</v>
      </c>
      <c r="T4893" s="122"/>
      <c r="U4893" s="22"/>
      <c r="V4893" s="123" t="s">
        <v>8648</v>
      </c>
      <c r="W4893" s="122">
        <v>2084</v>
      </c>
      <c r="X4893" s="221"/>
      <c r="Y4893" s="221"/>
      <c r="Z4893" s="221"/>
      <c r="AA4893" s="221"/>
      <c r="AB4893" s="223"/>
    </row>
    <row r="4894" spans="1:28" ht="17.100000000000001" customHeight="1" thickTop="1">
      <c r="A4894" s="226" t="s">
        <v>14369</v>
      </c>
      <c r="B4894" s="28">
        <v>46031</v>
      </c>
      <c r="C4894" s="25">
        <v>82</v>
      </c>
      <c r="D4894" s="13" t="s">
        <v>1961</v>
      </c>
      <c r="E4894" s="228"/>
      <c r="F4894" s="109" t="s">
        <v>14348</v>
      </c>
      <c r="G4894" s="24" t="s">
        <v>2894</v>
      </c>
      <c r="H4894" s="230">
        <v>4.5</v>
      </c>
      <c r="I4894" s="220">
        <v>1105000</v>
      </c>
      <c r="J4894" s="220">
        <f>I4894*0.1</f>
        <v>110500</v>
      </c>
      <c r="K4894" s="220">
        <v>0</v>
      </c>
      <c r="L4894" s="220">
        <v>8790</v>
      </c>
      <c r="M4894" s="220">
        <v>44000</v>
      </c>
      <c r="N4894" s="220">
        <f>SUM(I4894:M4895)</f>
        <v>1268290</v>
      </c>
      <c r="O4894" s="224"/>
      <c r="P4894" s="110" t="s">
        <v>17550</v>
      </c>
      <c r="Q4894" s="15" t="s">
        <v>19</v>
      </c>
      <c r="R4894" s="205"/>
      <c r="S4894" s="189" t="s">
        <v>1361</v>
      </c>
      <c r="T4894" s="114"/>
      <c r="U4894" s="21"/>
      <c r="V4894" s="115"/>
      <c r="W4894" s="116"/>
      <c r="X4894" s="220"/>
      <c r="Y4894" s="220">
        <f>X4894*0.1</f>
        <v>0</v>
      </c>
      <c r="Z4894" s="220"/>
      <c r="AA4894" s="220">
        <f>SUM(X4894:Z4894)</f>
        <v>0</v>
      </c>
      <c r="AB4894" s="222"/>
    </row>
    <row r="4895" spans="1:28" ht="17.100000000000001" customHeight="1" thickBot="1">
      <c r="A4895" s="227"/>
      <c r="B4895" s="27" t="s">
        <v>4468</v>
      </c>
      <c r="C4895" s="27">
        <v>1019</v>
      </c>
      <c r="D4895" s="14" t="s">
        <v>3274</v>
      </c>
      <c r="E4895" s="229"/>
      <c r="F4895" s="117" t="s">
        <v>14342</v>
      </c>
      <c r="G4895" s="26">
        <v>35882</v>
      </c>
      <c r="H4895" s="231"/>
      <c r="I4895" s="221"/>
      <c r="J4895" s="221"/>
      <c r="K4895" s="221"/>
      <c r="L4895" s="221"/>
      <c r="M4895" s="221"/>
      <c r="N4895" s="221"/>
      <c r="O4895" s="225"/>
      <c r="P4895" s="118" t="s">
        <v>17551</v>
      </c>
      <c r="Q4895" s="16" t="s">
        <v>20</v>
      </c>
      <c r="R4895" s="17" t="s">
        <v>2305</v>
      </c>
      <c r="S4895" s="121" t="s">
        <v>1731</v>
      </c>
      <c r="T4895" s="122"/>
      <c r="U4895" s="22"/>
      <c r="V4895" s="123"/>
      <c r="W4895" s="122"/>
      <c r="X4895" s="221"/>
      <c r="Y4895" s="221"/>
      <c r="Z4895" s="221"/>
      <c r="AA4895" s="221"/>
      <c r="AB4895" s="223"/>
    </row>
    <row r="4896" spans="1:28" ht="17.100000000000001" customHeight="1" thickTop="1">
      <c r="A4896" s="226" t="s">
        <v>14370</v>
      </c>
      <c r="B4896" s="28">
        <v>46031</v>
      </c>
      <c r="C4896" s="25"/>
      <c r="D4896" s="13" t="s">
        <v>1704</v>
      </c>
      <c r="E4896" s="228"/>
      <c r="F4896" s="109" t="s">
        <v>14350</v>
      </c>
      <c r="G4896" s="24" t="s">
        <v>7689</v>
      </c>
      <c r="H4896" s="230">
        <v>4.5</v>
      </c>
      <c r="I4896" s="220">
        <f>2673000/1.1</f>
        <v>2430000</v>
      </c>
      <c r="J4896" s="220">
        <f>I4896*0.1</f>
        <v>243000</v>
      </c>
      <c r="K4896" s="220">
        <v>7200</v>
      </c>
      <c r="L4896" s="220">
        <v>14660</v>
      </c>
      <c r="M4896" s="220">
        <v>0</v>
      </c>
      <c r="N4896" s="220">
        <f>SUM(I4896:M4897)</f>
        <v>2694860</v>
      </c>
      <c r="O4896" s="224"/>
      <c r="P4896" s="110" t="s">
        <v>16519</v>
      </c>
      <c r="Q4896" s="15" t="s">
        <v>19</v>
      </c>
      <c r="R4896" s="205"/>
      <c r="S4896" s="189" t="s">
        <v>1276</v>
      </c>
      <c r="T4896" s="114"/>
      <c r="U4896" s="21"/>
      <c r="V4896" s="115">
        <v>46057</v>
      </c>
      <c r="W4896" s="116">
        <v>1003</v>
      </c>
      <c r="X4896" s="220">
        <v>2670000</v>
      </c>
      <c r="Y4896" s="220">
        <f>X4896*0.1</f>
        <v>267000</v>
      </c>
      <c r="Z4896" s="220">
        <v>14660</v>
      </c>
      <c r="AA4896" s="220">
        <f>SUM(X4896:Z4896)</f>
        <v>2951660</v>
      </c>
      <c r="AB4896" s="222">
        <v>46062</v>
      </c>
    </row>
    <row r="4897" spans="1:28" ht="17.100000000000001" customHeight="1" thickBot="1">
      <c r="A4897" s="227"/>
      <c r="B4897" s="27" t="s">
        <v>1708</v>
      </c>
      <c r="C4897" s="27" t="s">
        <v>14349</v>
      </c>
      <c r="D4897" s="14" t="s">
        <v>2559</v>
      </c>
      <c r="E4897" s="229"/>
      <c r="F4897" s="117" t="s">
        <v>14351</v>
      </c>
      <c r="G4897" s="26">
        <v>56319</v>
      </c>
      <c r="H4897" s="231"/>
      <c r="I4897" s="221"/>
      <c r="J4897" s="221"/>
      <c r="K4897" s="221"/>
      <c r="L4897" s="221"/>
      <c r="M4897" s="221"/>
      <c r="N4897" s="221"/>
      <c r="O4897" s="225"/>
      <c r="P4897" s="118" t="s">
        <v>16520</v>
      </c>
      <c r="Q4897" s="16" t="s">
        <v>20</v>
      </c>
      <c r="R4897" s="17" t="s">
        <v>3739</v>
      </c>
      <c r="S4897" s="121" t="s">
        <v>16521</v>
      </c>
      <c r="T4897" s="122"/>
      <c r="U4897" s="22"/>
      <c r="V4897" s="123" t="s">
        <v>2747</v>
      </c>
      <c r="W4897" s="122">
        <v>1095</v>
      </c>
      <c r="X4897" s="221"/>
      <c r="Y4897" s="221"/>
      <c r="Z4897" s="221"/>
      <c r="AA4897" s="221"/>
      <c r="AB4897" s="223"/>
    </row>
    <row r="4898" spans="1:28" ht="17.100000000000001" customHeight="1" thickTop="1">
      <c r="A4898" s="226" t="s">
        <v>14371</v>
      </c>
      <c r="B4898" s="28">
        <v>46031</v>
      </c>
      <c r="C4898" s="25"/>
      <c r="D4898" s="13" t="s">
        <v>1702</v>
      </c>
      <c r="E4898" s="228"/>
      <c r="F4898" s="109" t="s">
        <v>14353</v>
      </c>
      <c r="G4898" s="24" t="s">
        <v>14355</v>
      </c>
      <c r="H4898" s="230">
        <v>4</v>
      </c>
      <c r="I4898" s="220">
        <f>1897500/1.1</f>
        <v>1724999.9999999998</v>
      </c>
      <c r="J4898" s="220">
        <f>I4898*0.1</f>
        <v>172500</v>
      </c>
      <c r="K4898" s="220">
        <v>9600</v>
      </c>
      <c r="L4898" s="220">
        <v>12960</v>
      </c>
      <c r="M4898" s="220">
        <v>0</v>
      </c>
      <c r="N4898" s="220">
        <f>SUM(I4898:M4899)</f>
        <v>1920059.9999999998</v>
      </c>
      <c r="O4898" s="224"/>
      <c r="P4898" s="110" t="s">
        <v>15082</v>
      </c>
      <c r="Q4898" s="15" t="s">
        <v>19</v>
      </c>
      <c r="R4898" s="205"/>
      <c r="S4898" s="189" t="s">
        <v>1361</v>
      </c>
      <c r="T4898" s="114"/>
      <c r="U4898" s="21"/>
      <c r="V4898" s="115">
        <v>46050</v>
      </c>
      <c r="W4898" s="116">
        <v>1002</v>
      </c>
      <c r="X4898" s="220">
        <v>1730000</v>
      </c>
      <c r="Y4898" s="220">
        <f>X4898*0.1</f>
        <v>173000</v>
      </c>
      <c r="Z4898" s="220">
        <v>12960</v>
      </c>
      <c r="AA4898" s="220">
        <f>SUM(X4898:Z4898)</f>
        <v>1915960</v>
      </c>
      <c r="AB4898" s="222">
        <v>46055</v>
      </c>
    </row>
    <row r="4899" spans="1:28" ht="17.100000000000001" customHeight="1" thickBot="1">
      <c r="A4899" s="227"/>
      <c r="B4899" s="27" t="s">
        <v>1708</v>
      </c>
      <c r="C4899" s="27" t="s">
        <v>14352</v>
      </c>
      <c r="D4899" s="14" t="s">
        <v>1710</v>
      </c>
      <c r="E4899" s="229"/>
      <c r="F4899" s="117" t="s">
        <v>14354</v>
      </c>
      <c r="G4899" s="26">
        <v>74108</v>
      </c>
      <c r="H4899" s="231"/>
      <c r="I4899" s="221"/>
      <c r="J4899" s="221"/>
      <c r="K4899" s="221"/>
      <c r="L4899" s="221"/>
      <c r="M4899" s="221"/>
      <c r="N4899" s="221"/>
      <c r="O4899" s="225"/>
      <c r="P4899" s="118" t="s">
        <v>15083</v>
      </c>
      <c r="Q4899" s="16" t="s">
        <v>20</v>
      </c>
      <c r="R4899" s="17" t="s">
        <v>15049</v>
      </c>
      <c r="S4899" s="121" t="s">
        <v>15084</v>
      </c>
      <c r="T4899" s="122"/>
      <c r="U4899" s="22"/>
      <c r="V4899" s="123" t="s">
        <v>2747</v>
      </c>
      <c r="W4899" s="122">
        <v>1177</v>
      </c>
      <c r="X4899" s="221"/>
      <c r="Y4899" s="221"/>
      <c r="Z4899" s="221"/>
      <c r="AA4899" s="221"/>
      <c r="AB4899" s="223"/>
    </row>
    <row r="4900" spans="1:28" ht="17.100000000000001" customHeight="1" thickTop="1">
      <c r="A4900" s="226" t="s">
        <v>14372</v>
      </c>
      <c r="B4900" s="28">
        <v>46031</v>
      </c>
      <c r="C4900" s="25"/>
      <c r="D4900" s="13" t="s">
        <v>1780</v>
      </c>
      <c r="E4900" s="228"/>
      <c r="F4900" s="109" t="s">
        <v>14357</v>
      </c>
      <c r="G4900" s="24" t="s">
        <v>14359</v>
      </c>
      <c r="H4900" s="230">
        <v>4.5</v>
      </c>
      <c r="I4900" s="220">
        <f>2315500/1.1</f>
        <v>2105000</v>
      </c>
      <c r="J4900" s="220">
        <f>I4900*0.1</f>
        <v>210500</v>
      </c>
      <c r="K4900" s="220">
        <v>5000</v>
      </c>
      <c r="L4900" s="220">
        <v>8600</v>
      </c>
      <c r="M4900" s="220">
        <v>0</v>
      </c>
      <c r="N4900" s="220">
        <f>SUM(I4900:M4901)</f>
        <v>2329100</v>
      </c>
      <c r="O4900" s="224"/>
      <c r="P4900" s="110" t="s">
        <v>14718</v>
      </c>
      <c r="Q4900" s="15" t="s">
        <v>19</v>
      </c>
      <c r="R4900" s="205"/>
      <c r="S4900" s="189" t="s">
        <v>1361</v>
      </c>
      <c r="T4900" s="114"/>
      <c r="U4900" s="21"/>
      <c r="V4900" s="115">
        <v>46053</v>
      </c>
      <c r="W4900" s="116">
        <v>1286</v>
      </c>
      <c r="X4900" s="220">
        <v>2190000</v>
      </c>
      <c r="Y4900" s="220">
        <f>X4900*0.1</f>
        <v>219000</v>
      </c>
      <c r="Z4900" s="220">
        <v>8600</v>
      </c>
      <c r="AA4900" s="220">
        <f>SUM(X4900:Z4900)</f>
        <v>2417600</v>
      </c>
      <c r="AB4900" s="222">
        <v>46056</v>
      </c>
    </row>
    <row r="4901" spans="1:28" ht="17.100000000000001" customHeight="1" thickBot="1">
      <c r="A4901" s="227"/>
      <c r="B4901" s="27" t="s">
        <v>1708</v>
      </c>
      <c r="C4901" s="27" t="s">
        <v>14356</v>
      </c>
      <c r="D4901" s="14" t="s">
        <v>2559</v>
      </c>
      <c r="E4901" s="229"/>
      <c r="F4901" s="117" t="s">
        <v>14358</v>
      </c>
      <c r="G4901" s="26">
        <v>18927</v>
      </c>
      <c r="H4901" s="231"/>
      <c r="I4901" s="221"/>
      <c r="J4901" s="221"/>
      <c r="K4901" s="221"/>
      <c r="L4901" s="221"/>
      <c r="M4901" s="221"/>
      <c r="N4901" s="221"/>
      <c r="O4901" s="225"/>
      <c r="P4901" s="118" t="s">
        <v>14719</v>
      </c>
      <c r="Q4901" s="16" t="s">
        <v>20</v>
      </c>
      <c r="R4901" s="17" t="s">
        <v>14717</v>
      </c>
      <c r="S4901" s="121" t="s">
        <v>2360</v>
      </c>
      <c r="T4901" s="122"/>
      <c r="U4901" s="22"/>
      <c r="V4901" s="123" t="s">
        <v>2472</v>
      </c>
      <c r="W4901" s="122">
        <v>37239</v>
      </c>
      <c r="X4901" s="221"/>
      <c r="Y4901" s="221"/>
      <c r="Z4901" s="221"/>
      <c r="AA4901" s="221"/>
      <c r="AB4901" s="223"/>
    </row>
    <row r="4902" spans="1:28" ht="17.100000000000001" customHeight="1" thickTop="1">
      <c r="A4902" s="226" t="s">
        <v>14373</v>
      </c>
      <c r="B4902" s="28">
        <v>46031</v>
      </c>
      <c r="C4902" s="25"/>
      <c r="D4902" s="13" t="s">
        <v>2637</v>
      </c>
      <c r="E4902" s="228"/>
      <c r="F4902" s="109" t="s">
        <v>12230</v>
      </c>
      <c r="G4902" s="24" t="s">
        <v>14362</v>
      </c>
      <c r="H4902" s="230">
        <v>4.5</v>
      </c>
      <c r="I4902" s="220">
        <f>1358500/1.1</f>
        <v>1235000</v>
      </c>
      <c r="J4902" s="220">
        <f>I4902*0.1</f>
        <v>123500</v>
      </c>
      <c r="K4902" s="220">
        <v>0</v>
      </c>
      <c r="L4902" s="220">
        <v>6830</v>
      </c>
      <c r="M4902" s="220">
        <v>0</v>
      </c>
      <c r="N4902" s="220">
        <f>SUM(I4902:M4903)</f>
        <v>1365330</v>
      </c>
      <c r="O4902" s="224"/>
      <c r="P4902" s="110" t="s">
        <v>14685</v>
      </c>
      <c r="Q4902" s="15" t="s">
        <v>19</v>
      </c>
      <c r="R4902" s="205"/>
      <c r="S4902" s="189" t="s">
        <v>25372</v>
      </c>
      <c r="T4902" s="114"/>
      <c r="U4902" s="21"/>
      <c r="V4902" s="115">
        <v>46049</v>
      </c>
      <c r="W4902" s="116">
        <v>1926</v>
      </c>
      <c r="X4902" s="220">
        <v>1438000</v>
      </c>
      <c r="Y4902" s="220">
        <f>X4902*0.1</f>
        <v>143800</v>
      </c>
      <c r="Z4902" s="220">
        <v>6830</v>
      </c>
      <c r="AA4902" s="220">
        <f>SUM(X4902:Z4902)</f>
        <v>1588630</v>
      </c>
      <c r="AB4902" s="222"/>
    </row>
    <row r="4903" spans="1:28" ht="17.100000000000001" customHeight="1" thickBot="1">
      <c r="A4903" s="227"/>
      <c r="B4903" s="27" t="s">
        <v>1708</v>
      </c>
      <c r="C4903" s="27" t="s">
        <v>14360</v>
      </c>
      <c r="D4903" s="14" t="s">
        <v>1797</v>
      </c>
      <c r="E4903" s="229"/>
      <c r="F4903" s="117" t="s">
        <v>14361</v>
      </c>
      <c r="G4903" s="26">
        <v>40381</v>
      </c>
      <c r="H4903" s="231"/>
      <c r="I4903" s="221"/>
      <c r="J4903" s="221"/>
      <c r="K4903" s="221"/>
      <c r="L4903" s="221"/>
      <c r="M4903" s="221"/>
      <c r="N4903" s="221"/>
      <c r="O4903" s="225"/>
      <c r="P4903" s="118" t="s">
        <v>14686</v>
      </c>
      <c r="Q4903" s="16" t="s">
        <v>20</v>
      </c>
      <c r="R4903" s="17" t="s">
        <v>1800</v>
      </c>
      <c r="S4903" s="121" t="s">
        <v>14687</v>
      </c>
      <c r="T4903" s="122"/>
      <c r="U4903" s="22"/>
      <c r="V4903" s="123" t="s">
        <v>2103</v>
      </c>
      <c r="W4903" s="122">
        <v>3269</v>
      </c>
      <c r="X4903" s="221"/>
      <c r="Y4903" s="221"/>
      <c r="Z4903" s="221"/>
      <c r="AA4903" s="221"/>
      <c r="AB4903" s="223"/>
    </row>
    <row r="4904" spans="1:28" ht="17.100000000000001" customHeight="1" thickTop="1">
      <c r="A4904" s="226" t="s">
        <v>14374</v>
      </c>
      <c r="B4904" s="28">
        <v>46031</v>
      </c>
      <c r="C4904" s="25"/>
      <c r="D4904" s="13" t="s">
        <v>2470</v>
      </c>
      <c r="E4904" s="228"/>
      <c r="F4904" s="109" t="s">
        <v>4288</v>
      </c>
      <c r="G4904" s="24" t="s">
        <v>3748</v>
      </c>
      <c r="H4904" s="230">
        <v>4.5</v>
      </c>
      <c r="I4904" s="220">
        <f>4152500/1.1</f>
        <v>3774999.9999999995</v>
      </c>
      <c r="J4904" s="220">
        <f>I4904*0.1</f>
        <v>377500</v>
      </c>
      <c r="K4904" s="220">
        <v>2600</v>
      </c>
      <c r="L4904" s="220">
        <v>11570</v>
      </c>
      <c r="M4904" s="220">
        <v>0</v>
      </c>
      <c r="N4904" s="220">
        <f>SUM(I4904:M4905)</f>
        <v>4166669.9999999995</v>
      </c>
      <c r="O4904" s="224"/>
      <c r="P4904" s="110" t="s">
        <v>16232</v>
      </c>
      <c r="Q4904" s="15" t="s">
        <v>19</v>
      </c>
      <c r="R4904" s="205"/>
      <c r="S4904" s="189" t="s">
        <v>1276</v>
      </c>
      <c r="T4904" s="114"/>
      <c r="U4904" s="21"/>
      <c r="V4904" s="115">
        <v>46050</v>
      </c>
      <c r="W4904" s="116">
        <v>1002</v>
      </c>
      <c r="X4904" s="220">
        <v>3925000</v>
      </c>
      <c r="Y4904" s="220">
        <f>X4904*0.1</f>
        <v>392500</v>
      </c>
      <c r="Z4904" s="220">
        <v>11570</v>
      </c>
      <c r="AA4904" s="220">
        <f>SUM(X4904:Z4904)</f>
        <v>4329070</v>
      </c>
      <c r="AB4904" s="222">
        <v>46055</v>
      </c>
    </row>
    <row r="4905" spans="1:28" ht="17.100000000000001" customHeight="1" thickBot="1">
      <c r="A4905" s="227"/>
      <c r="B4905" s="27" t="s">
        <v>1708</v>
      </c>
      <c r="C4905" s="27" t="s">
        <v>14363</v>
      </c>
      <c r="D4905" s="14" t="s">
        <v>2559</v>
      </c>
      <c r="E4905" s="229"/>
      <c r="F4905" s="117" t="s">
        <v>14364</v>
      </c>
      <c r="G4905" s="26">
        <v>21384</v>
      </c>
      <c r="H4905" s="231"/>
      <c r="I4905" s="221"/>
      <c r="J4905" s="221"/>
      <c r="K4905" s="221"/>
      <c r="L4905" s="221"/>
      <c r="M4905" s="221"/>
      <c r="N4905" s="221"/>
      <c r="O4905" s="225"/>
      <c r="P4905" s="118" t="s">
        <v>16233</v>
      </c>
      <c r="Q4905" s="16" t="s">
        <v>20</v>
      </c>
      <c r="R4905" s="17" t="s">
        <v>3913</v>
      </c>
      <c r="S4905" s="121" t="s">
        <v>16234</v>
      </c>
      <c r="T4905" s="122"/>
      <c r="U4905" s="22"/>
      <c r="V4905" s="123" t="s">
        <v>2747</v>
      </c>
      <c r="W4905" s="122">
        <v>8014</v>
      </c>
      <c r="X4905" s="221"/>
      <c r="Y4905" s="221"/>
      <c r="Z4905" s="221"/>
      <c r="AA4905" s="221"/>
      <c r="AB4905" s="223"/>
    </row>
    <row r="4906" spans="1:28" ht="17.100000000000001" customHeight="1" thickTop="1">
      <c r="A4906" s="226" t="s">
        <v>14375</v>
      </c>
      <c r="B4906" s="28">
        <v>46031</v>
      </c>
      <c r="C4906" s="25">
        <v>1401</v>
      </c>
      <c r="D4906" s="13" t="s">
        <v>1772</v>
      </c>
      <c r="E4906" s="228"/>
      <c r="F4906" s="109" t="s">
        <v>5271</v>
      </c>
      <c r="G4906" s="24" t="s">
        <v>14380</v>
      </c>
      <c r="H4906" s="230">
        <v>4.5</v>
      </c>
      <c r="I4906" s="220">
        <v>700000</v>
      </c>
      <c r="J4906" s="220">
        <f>I4906*0.1</f>
        <v>70000</v>
      </c>
      <c r="K4906" s="220">
        <v>0</v>
      </c>
      <c r="L4906" s="220">
        <v>6470</v>
      </c>
      <c r="M4906" s="220">
        <v>15400</v>
      </c>
      <c r="N4906" s="220">
        <f>SUM(I4906:M4907)</f>
        <v>791870</v>
      </c>
      <c r="O4906" s="224"/>
      <c r="P4906" s="110" t="s">
        <v>14711</v>
      </c>
      <c r="Q4906" s="15" t="s">
        <v>19</v>
      </c>
      <c r="R4906" s="205"/>
      <c r="S4906" s="189" t="s">
        <v>1276</v>
      </c>
      <c r="T4906" s="114"/>
      <c r="U4906" s="21"/>
      <c r="V4906" s="115">
        <v>46043</v>
      </c>
      <c r="W4906" s="116">
        <v>1001</v>
      </c>
      <c r="X4906" s="220">
        <v>770000</v>
      </c>
      <c r="Y4906" s="220">
        <f>X4906*0.1</f>
        <v>77000</v>
      </c>
      <c r="Z4906" s="220">
        <v>6470</v>
      </c>
      <c r="AA4906" s="220">
        <f>SUM(X4906:Z4906)</f>
        <v>853470</v>
      </c>
      <c r="AB4906" s="222">
        <v>46049</v>
      </c>
    </row>
    <row r="4907" spans="1:28" ht="17.100000000000001" customHeight="1" thickBot="1">
      <c r="A4907" s="227"/>
      <c r="B4907" s="27" t="s">
        <v>2597</v>
      </c>
      <c r="C4907" s="27">
        <v>3038</v>
      </c>
      <c r="D4907" s="14" t="s">
        <v>273</v>
      </c>
      <c r="E4907" s="229"/>
      <c r="F4907" s="117" t="s">
        <v>14379</v>
      </c>
      <c r="G4907" s="26">
        <v>13529</v>
      </c>
      <c r="H4907" s="231"/>
      <c r="I4907" s="221"/>
      <c r="J4907" s="221"/>
      <c r="K4907" s="221"/>
      <c r="L4907" s="221"/>
      <c r="M4907" s="221"/>
      <c r="N4907" s="221"/>
      <c r="O4907" s="225"/>
      <c r="P4907" s="118" t="s">
        <v>2359</v>
      </c>
      <c r="Q4907" s="16" t="s">
        <v>20</v>
      </c>
      <c r="R4907" s="17" t="s">
        <v>1800</v>
      </c>
      <c r="S4907" s="121" t="s">
        <v>169</v>
      </c>
      <c r="T4907" s="122"/>
      <c r="U4907" s="22"/>
      <c r="V4907" s="123" t="s">
        <v>7161</v>
      </c>
      <c r="W4907" s="122">
        <v>2009</v>
      </c>
      <c r="X4907" s="221"/>
      <c r="Y4907" s="221"/>
      <c r="Z4907" s="221"/>
      <c r="AA4907" s="221"/>
      <c r="AB4907" s="223"/>
    </row>
    <row r="4908" spans="1:28" ht="17.100000000000001" customHeight="1" thickTop="1">
      <c r="A4908" s="226" t="s">
        <v>14376</v>
      </c>
      <c r="B4908" s="28">
        <v>46031</v>
      </c>
      <c r="C4908" s="25">
        <v>1401</v>
      </c>
      <c r="D4908" s="13" t="s">
        <v>1746</v>
      </c>
      <c r="E4908" s="228"/>
      <c r="F4908" s="109" t="s">
        <v>14381</v>
      </c>
      <c r="G4908" s="24" t="s">
        <v>8707</v>
      </c>
      <c r="H4908" s="230">
        <v>4</v>
      </c>
      <c r="I4908" s="220">
        <v>574000</v>
      </c>
      <c r="J4908" s="220">
        <f>I4908*0.1</f>
        <v>57400</v>
      </c>
      <c r="K4908" s="220">
        <v>0</v>
      </c>
      <c r="L4908" s="220">
        <v>8780</v>
      </c>
      <c r="M4908" s="220">
        <v>15400</v>
      </c>
      <c r="N4908" s="220">
        <f>SUM(I4908:M4909)</f>
        <v>655580</v>
      </c>
      <c r="O4908" s="224"/>
      <c r="P4908" s="110" t="s">
        <v>14726</v>
      </c>
      <c r="Q4908" s="15" t="s">
        <v>19</v>
      </c>
      <c r="R4908" s="205"/>
      <c r="S4908" s="189" t="s">
        <v>25677</v>
      </c>
      <c r="T4908" s="114"/>
      <c r="U4908" s="21"/>
      <c r="V4908" s="115">
        <v>46043</v>
      </c>
      <c r="W4908" s="116">
        <v>1001</v>
      </c>
      <c r="X4908" s="220">
        <v>635000</v>
      </c>
      <c r="Y4908" s="220">
        <f>X4908*0.1</f>
        <v>63500</v>
      </c>
      <c r="Z4908" s="220">
        <v>8780</v>
      </c>
      <c r="AA4908" s="220">
        <f>SUM(X4908:Z4908)</f>
        <v>707280</v>
      </c>
      <c r="AB4908" s="222">
        <v>46048</v>
      </c>
    </row>
    <row r="4909" spans="1:28" ht="17.100000000000001" customHeight="1" thickBot="1">
      <c r="A4909" s="227"/>
      <c r="B4909" s="27" t="s">
        <v>2597</v>
      </c>
      <c r="C4909" s="27">
        <v>3084</v>
      </c>
      <c r="D4909" s="14" t="s">
        <v>2014</v>
      </c>
      <c r="E4909" s="229"/>
      <c r="F4909" s="117" t="s">
        <v>14382</v>
      </c>
      <c r="G4909" s="26">
        <v>51959</v>
      </c>
      <c r="H4909" s="231"/>
      <c r="I4909" s="221"/>
      <c r="J4909" s="221"/>
      <c r="K4909" s="221"/>
      <c r="L4909" s="221"/>
      <c r="M4909" s="221"/>
      <c r="N4909" s="221"/>
      <c r="O4909" s="225"/>
      <c r="P4909" s="118" t="s">
        <v>14727</v>
      </c>
      <c r="Q4909" s="16" t="s">
        <v>20</v>
      </c>
      <c r="R4909" s="17" t="s">
        <v>14717</v>
      </c>
      <c r="S4909" s="121" t="s">
        <v>14728</v>
      </c>
      <c r="T4909" s="122"/>
      <c r="U4909" s="22"/>
      <c r="V4909" s="123" t="s">
        <v>2747</v>
      </c>
      <c r="W4909" s="122">
        <v>2024</v>
      </c>
      <c r="X4909" s="221"/>
      <c r="Y4909" s="221"/>
      <c r="Z4909" s="221"/>
      <c r="AA4909" s="221"/>
      <c r="AB4909" s="223"/>
    </row>
    <row r="4910" spans="1:28" ht="17.100000000000001" customHeight="1" thickTop="1">
      <c r="A4910" s="226" t="s">
        <v>14377</v>
      </c>
      <c r="B4910" s="28">
        <v>46031</v>
      </c>
      <c r="C4910" s="25">
        <v>1401</v>
      </c>
      <c r="D4910" s="13" t="s">
        <v>1704</v>
      </c>
      <c r="E4910" s="228"/>
      <c r="F4910" s="109" t="s">
        <v>14383</v>
      </c>
      <c r="G4910" s="24" t="s">
        <v>8076</v>
      </c>
      <c r="H4910" s="230">
        <v>4.5</v>
      </c>
      <c r="I4910" s="220">
        <v>1053000</v>
      </c>
      <c r="J4910" s="220">
        <f>I4910*0.1</f>
        <v>105300</v>
      </c>
      <c r="K4910" s="220">
        <v>0</v>
      </c>
      <c r="L4910" s="220">
        <v>9140</v>
      </c>
      <c r="M4910" s="220">
        <v>15400</v>
      </c>
      <c r="N4910" s="220">
        <f>SUM(I4910:M4911)</f>
        <v>1182840</v>
      </c>
      <c r="O4910" s="224"/>
      <c r="P4910" s="110" t="s">
        <v>14713</v>
      </c>
      <c r="Q4910" s="15" t="s">
        <v>19</v>
      </c>
      <c r="R4910" s="205"/>
      <c r="S4910" s="189"/>
      <c r="T4910" s="114"/>
      <c r="U4910" s="21"/>
      <c r="V4910" s="115">
        <v>46043</v>
      </c>
      <c r="W4910" s="116">
        <v>1001</v>
      </c>
      <c r="X4910" s="220">
        <v>1150000</v>
      </c>
      <c r="Y4910" s="220">
        <f>X4910*0.1</f>
        <v>115000</v>
      </c>
      <c r="Z4910" s="220">
        <v>9140</v>
      </c>
      <c r="AA4910" s="220">
        <f>SUM(X4910:Z4910)</f>
        <v>1274140</v>
      </c>
      <c r="AB4910" s="222">
        <v>46048</v>
      </c>
    </row>
    <row r="4911" spans="1:28" ht="17.100000000000001" customHeight="1" thickBot="1">
      <c r="A4911" s="227"/>
      <c r="B4911" s="27" t="s">
        <v>2597</v>
      </c>
      <c r="C4911" s="27">
        <v>7019</v>
      </c>
      <c r="D4911" s="14" t="s">
        <v>2559</v>
      </c>
      <c r="E4911" s="229"/>
      <c r="F4911" s="117" t="s">
        <v>14384</v>
      </c>
      <c r="G4911" s="26">
        <v>56115</v>
      </c>
      <c r="H4911" s="231"/>
      <c r="I4911" s="221"/>
      <c r="J4911" s="221"/>
      <c r="K4911" s="221"/>
      <c r="L4911" s="221"/>
      <c r="M4911" s="221"/>
      <c r="N4911" s="221"/>
      <c r="O4911" s="225"/>
      <c r="P4911" s="118" t="s">
        <v>14714</v>
      </c>
      <c r="Q4911" s="16" t="s">
        <v>20</v>
      </c>
      <c r="R4911" s="17" t="s">
        <v>1800</v>
      </c>
      <c r="S4911" s="121" t="s">
        <v>8107</v>
      </c>
      <c r="T4911" s="122"/>
      <c r="U4911" s="22"/>
      <c r="V4911" s="123" t="s">
        <v>8877</v>
      </c>
      <c r="W4911" s="122">
        <v>2042</v>
      </c>
      <c r="X4911" s="221"/>
      <c r="Y4911" s="221"/>
      <c r="Z4911" s="221"/>
      <c r="AA4911" s="221"/>
      <c r="AB4911" s="223"/>
    </row>
    <row r="4912" spans="1:28" ht="17.100000000000001" customHeight="1" thickTop="1">
      <c r="A4912" s="226" t="s">
        <v>14378</v>
      </c>
      <c r="B4912" s="28">
        <v>46031</v>
      </c>
      <c r="C4912" s="25">
        <v>1401</v>
      </c>
      <c r="D4912" s="13" t="s">
        <v>1846</v>
      </c>
      <c r="E4912" s="228"/>
      <c r="F4912" s="109" t="s">
        <v>8010</v>
      </c>
      <c r="G4912" s="24"/>
      <c r="H4912" s="230">
        <v>4</v>
      </c>
      <c r="I4912" s="220">
        <v>411000</v>
      </c>
      <c r="J4912" s="220">
        <f>I4912*0.1</f>
        <v>41100</v>
      </c>
      <c r="K4912" s="220">
        <v>0</v>
      </c>
      <c r="L4912" s="220">
        <v>8850</v>
      </c>
      <c r="M4912" s="220">
        <v>15400</v>
      </c>
      <c r="N4912" s="220">
        <f>SUM(I4912:M4913)</f>
        <v>476350</v>
      </c>
      <c r="O4912" s="224"/>
      <c r="P4912" s="110" t="s">
        <v>14712</v>
      </c>
      <c r="Q4912" s="15" t="s">
        <v>19</v>
      </c>
      <c r="R4912" s="205"/>
      <c r="S4912" s="189"/>
      <c r="T4912" s="114"/>
      <c r="U4912" s="21"/>
      <c r="V4912" s="115">
        <v>46057</v>
      </c>
      <c r="W4912" s="116">
        <v>1003</v>
      </c>
      <c r="X4912" s="220">
        <v>465000</v>
      </c>
      <c r="Y4912" s="220">
        <f>X4912*0.1</f>
        <v>46500</v>
      </c>
      <c r="Z4912" s="220">
        <v>8850</v>
      </c>
      <c r="AA4912" s="220">
        <f>SUM(X4912:Z4912)</f>
        <v>520350</v>
      </c>
      <c r="AB4912" s="222">
        <v>46062</v>
      </c>
    </row>
    <row r="4913" spans="1:28" ht="17.100000000000001" customHeight="1" thickBot="1">
      <c r="A4913" s="227"/>
      <c r="B4913" s="27" t="s">
        <v>2597</v>
      </c>
      <c r="C4913" s="27">
        <v>7158</v>
      </c>
      <c r="D4913" s="14" t="s">
        <v>1568</v>
      </c>
      <c r="E4913" s="229"/>
      <c r="F4913" s="117" t="s">
        <v>14385</v>
      </c>
      <c r="G4913" s="26">
        <v>37465</v>
      </c>
      <c r="H4913" s="231"/>
      <c r="I4913" s="221"/>
      <c r="J4913" s="221"/>
      <c r="K4913" s="221"/>
      <c r="L4913" s="221"/>
      <c r="M4913" s="221"/>
      <c r="N4913" s="221"/>
      <c r="O4913" s="225"/>
      <c r="P4913" s="118" t="s">
        <v>3247</v>
      </c>
      <c r="Q4913" s="16" t="s">
        <v>20</v>
      </c>
      <c r="R4913" s="17" t="s">
        <v>1800</v>
      </c>
      <c r="S4913" s="121"/>
      <c r="T4913" s="122"/>
      <c r="U4913" s="22"/>
      <c r="V4913" s="123" t="s">
        <v>2747</v>
      </c>
      <c r="W4913" s="122">
        <v>2013</v>
      </c>
      <c r="X4913" s="221"/>
      <c r="Y4913" s="221"/>
      <c r="Z4913" s="221"/>
      <c r="AA4913" s="221"/>
      <c r="AB4913" s="223"/>
    </row>
    <row r="4914" spans="1:28" ht="17.100000000000001" customHeight="1" thickTop="1">
      <c r="A4914" s="233" t="s">
        <v>14450</v>
      </c>
      <c r="B4914" s="28">
        <v>46032</v>
      </c>
      <c r="C4914" s="25">
        <v>294</v>
      </c>
      <c r="D4914" s="13" t="s">
        <v>2524</v>
      </c>
      <c r="E4914" s="228"/>
      <c r="F4914" s="109" t="s">
        <v>14398</v>
      </c>
      <c r="G4914" s="24"/>
      <c r="H4914" s="230">
        <v>4</v>
      </c>
      <c r="I4914" s="220">
        <v>602000</v>
      </c>
      <c r="J4914" s="220">
        <f>I4914*0.1</f>
        <v>60200</v>
      </c>
      <c r="K4914" s="220">
        <v>0</v>
      </c>
      <c r="L4914" s="220">
        <v>14340</v>
      </c>
      <c r="M4914" s="220">
        <v>15950</v>
      </c>
      <c r="N4914" s="220">
        <f>SUM(I4914:M4915)</f>
        <v>692490</v>
      </c>
      <c r="O4914" s="224"/>
      <c r="P4914" s="110" t="s">
        <v>14688</v>
      </c>
      <c r="Q4914" s="15" t="s">
        <v>19</v>
      </c>
      <c r="R4914" s="205"/>
      <c r="S4914" s="189"/>
      <c r="T4914" s="114"/>
      <c r="U4914" s="21"/>
      <c r="V4914" s="115">
        <v>46039</v>
      </c>
      <c r="W4914" s="116">
        <v>1284</v>
      </c>
      <c r="X4914" s="220">
        <v>755000</v>
      </c>
      <c r="Y4914" s="220">
        <f>X4914*0.1</f>
        <v>75500</v>
      </c>
      <c r="Z4914" s="220">
        <v>14340</v>
      </c>
      <c r="AA4914" s="220">
        <f>SUM(X4914:Z4914)</f>
        <v>844840</v>
      </c>
      <c r="AB4914" s="222">
        <v>46042</v>
      </c>
    </row>
    <row r="4915" spans="1:28" ht="17.100000000000001" customHeight="1" thickBot="1">
      <c r="A4915" s="234"/>
      <c r="B4915" s="27" t="s">
        <v>3518</v>
      </c>
      <c r="C4915" s="27">
        <v>424</v>
      </c>
      <c r="D4915" s="14" t="s">
        <v>273</v>
      </c>
      <c r="E4915" s="229"/>
      <c r="F4915" s="117" t="s">
        <v>14399</v>
      </c>
      <c r="G4915" s="26">
        <v>106262</v>
      </c>
      <c r="H4915" s="231"/>
      <c r="I4915" s="221"/>
      <c r="J4915" s="221"/>
      <c r="K4915" s="221"/>
      <c r="L4915" s="221"/>
      <c r="M4915" s="221"/>
      <c r="N4915" s="221"/>
      <c r="O4915" s="225"/>
      <c r="P4915" s="118" t="s">
        <v>14689</v>
      </c>
      <c r="Q4915" s="16" t="s">
        <v>20</v>
      </c>
      <c r="R4915" s="17" t="s">
        <v>1800</v>
      </c>
      <c r="S4915" s="121" t="s">
        <v>3734</v>
      </c>
      <c r="T4915" s="122"/>
      <c r="U4915" s="22"/>
      <c r="V4915" s="123" t="s">
        <v>2472</v>
      </c>
      <c r="W4915" s="122">
        <v>74</v>
      </c>
      <c r="X4915" s="221"/>
      <c r="Y4915" s="221"/>
      <c r="Z4915" s="221"/>
      <c r="AA4915" s="221"/>
      <c r="AB4915" s="223"/>
    </row>
    <row r="4916" spans="1:28" ht="17.100000000000001" customHeight="1" thickTop="1">
      <c r="A4916" s="233" t="s">
        <v>14451</v>
      </c>
      <c r="B4916" s="28">
        <v>46032</v>
      </c>
      <c r="C4916" s="25">
        <v>294</v>
      </c>
      <c r="D4916" s="13" t="s">
        <v>1666</v>
      </c>
      <c r="E4916" s="228"/>
      <c r="F4916" s="109" t="s">
        <v>14434</v>
      </c>
      <c r="G4916" s="24"/>
      <c r="H4916" s="230">
        <v>4</v>
      </c>
      <c r="I4916" s="220">
        <v>1145000</v>
      </c>
      <c r="J4916" s="220">
        <f>I4916*0.1</f>
        <v>114500</v>
      </c>
      <c r="K4916" s="220">
        <v>0</v>
      </c>
      <c r="L4916" s="220">
        <v>12470</v>
      </c>
      <c r="M4916" s="220">
        <v>17050</v>
      </c>
      <c r="N4916" s="220">
        <f>SUM(I4916:M4917)</f>
        <v>1289020</v>
      </c>
      <c r="O4916" s="224"/>
      <c r="P4916" s="110" t="s">
        <v>14996</v>
      </c>
      <c r="Q4916" s="15" t="s">
        <v>19</v>
      </c>
      <c r="R4916" s="205"/>
      <c r="S4916" s="189"/>
      <c r="T4916" s="114"/>
      <c r="U4916" s="21"/>
      <c r="V4916" s="115">
        <v>46039</v>
      </c>
      <c r="W4916" s="116">
        <v>1284</v>
      </c>
      <c r="X4916" s="220">
        <v>1330000</v>
      </c>
      <c r="Y4916" s="220">
        <f>X4916*0.1</f>
        <v>133000</v>
      </c>
      <c r="Z4916" s="220">
        <v>12470</v>
      </c>
      <c r="AA4916" s="220">
        <f>SUM(X4916:Z4916)</f>
        <v>1475470</v>
      </c>
      <c r="AB4916" s="222">
        <v>46042</v>
      </c>
    </row>
    <row r="4917" spans="1:28" ht="17.100000000000001" customHeight="1" thickBot="1">
      <c r="A4917" s="234"/>
      <c r="B4917" s="27" t="s">
        <v>3518</v>
      </c>
      <c r="C4917" s="27">
        <v>2112</v>
      </c>
      <c r="D4917" s="14" t="s">
        <v>273</v>
      </c>
      <c r="E4917" s="229"/>
      <c r="F4917" s="117" t="s">
        <v>14435</v>
      </c>
      <c r="G4917" s="26">
        <v>79864</v>
      </c>
      <c r="H4917" s="231"/>
      <c r="I4917" s="221"/>
      <c r="J4917" s="221"/>
      <c r="K4917" s="221"/>
      <c r="L4917" s="221"/>
      <c r="M4917" s="221"/>
      <c r="N4917" s="221"/>
      <c r="O4917" s="225"/>
      <c r="P4917" s="118" t="s">
        <v>4913</v>
      </c>
      <c r="Q4917" s="16" t="s">
        <v>20</v>
      </c>
      <c r="R4917" s="17" t="s">
        <v>1807</v>
      </c>
      <c r="S4917" s="121" t="s">
        <v>14617</v>
      </c>
      <c r="T4917" s="122"/>
      <c r="U4917" s="22"/>
      <c r="V4917" s="123" t="s">
        <v>2472</v>
      </c>
      <c r="W4917" s="122">
        <v>76</v>
      </c>
      <c r="X4917" s="221"/>
      <c r="Y4917" s="221"/>
      <c r="Z4917" s="221"/>
      <c r="AA4917" s="221"/>
      <c r="AB4917" s="223"/>
    </row>
    <row r="4918" spans="1:28" ht="17.100000000000001" customHeight="1" thickTop="1">
      <c r="A4918" s="233" t="s">
        <v>14452</v>
      </c>
      <c r="B4918" s="28">
        <v>46032</v>
      </c>
      <c r="C4918" s="25">
        <v>294</v>
      </c>
      <c r="D4918" s="13" t="s">
        <v>3406</v>
      </c>
      <c r="E4918" s="228"/>
      <c r="F4918" s="109" t="s">
        <v>4844</v>
      </c>
      <c r="G4918" s="24"/>
      <c r="H4918" s="230">
        <v>4.5</v>
      </c>
      <c r="I4918" s="220">
        <v>565000</v>
      </c>
      <c r="J4918" s="220">
        <f>I4918*0.1</f>
        <v>56500</v>
      </c>
      <c r="K4918" s="220">
        <v>0</v>
      </c>
      <c r="L4918" s="220">
        <v>6550</v>
      </c>
      <c r="M4918" s="220">
        <v>15950</v>
      </c>
      <c r="N4918" s="220">
        <f>SUM(I4918:M4919)</f>
        <v>644000</v>
      </c>
      <c r="O4918" s="224"/>
      <c r="P4918" s="110" t="s">
        <v>14720</v>
      </c>
      <c r="Q4918" s="15" t="s">
        <v>19</v>
      </c>
      <c r="R4918" s="205"/>
      <c r="S4918" s="189" t="s">
        <v>758</v>
      </c>
      <c r="T4918" s="114"/>
      <c r="U4918" s="21"/>
      <c r="V4918" s="115">
        <v>46039</v>
      </c>
      <c r="W4918" s="116">
        <v>1284</v>
      </c>
      <c r="X4918" s="220">
        <v>690000</v>
      </c>
      <c r="Y4918" s="220">
        <f>X4918*0.1</f>
        <v>69000</v>
      </c>
      <c r="Z4918" s="220">
        <v>6550</v>
      </c>
      <c r="AA4918" s="220">
        <f>SUM(X4918:Z4918)</f>
        <v>765550</v>
      </c>
      <c r="AB4918" s="222">
        <v>46042</v>
      </c>
    </row>
    <row r="4919" spans="1:28" ht="17.100000000000001" customHeight="1" thickBot="1">
      <c r="A4919" s="234"/>
      <c r="B4919" s="27" t="s">
        <v>3518</v>
      </c>
      <c r="C4919" s="27">
        <v>3008</v>
      </c>
      <c r="D4919" s="14" t="s">
        <v>1710</v>
      </c>
      <c r="E4919" s="229"/>
      <c r="F4919" s="117" t="s">
        <v>14395</v>
      </c>
      <c r="G4919" s="26">
        <v>19201</v>
      </c>
      <c r="H4919" s="231"/>
      <c r="I4919" s="221"/>
      <c r="J4919" s="221"/>
      <c r="K4919" s="221"/>
      <c r="L4919" s="221"/>
      <c r="M4919" s="221"/>
      <c r="N4919" s="221"/>
      <c r="O4919" s="225"/>
      <c r="P4919" s="118" t="s">
        <v>7323</v>
      </c>
      <c r="Q4919" s="16" t="s">
        <v>20</v>
      </c>
      <c r="R4919" s="17" t="s">
        <v>14717</v>
      </c>
      <c r="S4919" s="121" t="s">
        <v>13480</v>
      </c>
      <c r="T4919" s="122"/>
      <c r="U4919" s="22"/>
      <c r="V4919" s="123" t="s">
        <v>2472</v>
      </c>
      <c r="W4919" s="122">
        <v>60167</v>
      </c>
      <c r="X4919" s="221"/>
      <c r="Y4919" s="221"/>
      <c r="Z4919" s="221"/>
      <c r="AA4919" s="221"/>
      <c r="AB4919" s="223"/>
    </row>
    <row r="4920" spans="1:28" ht="17.100000000000001" customHeight="1" thickTop="1">
      <c r="A4920" s="226" t="s">
        <v>14453</v>
      </c>
      <c r="B4920" s="28">
        <v>46032</v>
      </c>
      <c r="C4920" s="25">
        <v>1283</v>
      </c>
      <c r="D4920" s="13" t="s">
        <v>2422</v>
      </c>
      <c r="E4920" s="228"/>
      <c r="F4920" s="109" t="s">
        <v>14249</v>
      </c>
      <c r="G4920" s="24"/>
      <c r="H4920" s="230">
        <v>4.5</v>
      </c>
      <c r="I4920" s="220">
        <v>1205000</v>
      </c>
      <c r="J4920" s="220">
        <f>I4920*0.1</f>
        <v>120500</v>
      </c>
      <c r="K4920" s="220">
        <v>0</v>
      </c>
      <c r="L4920" s="220">
        <v>9010</v>
      </c>
      <c r="M4920" s="220">
        <v>12100</v>
      </c>
      <c r="N4920" s="220">
        <f>SUM(I4920:M4921)</f>
        <v>1346610</v>
      </c>
      <c r="O4920" s="224"/>
      <c r="P4920" s="110" t="s">
        <v>15288</v>
      </c>
      <c r="Q4920" s="15" t="s">
        <v>19</v>
      </c>
      <c r="R4920" s="205"/>
      <c r="S4920" s="189" t="s">
        <v>1271</v>
      </c>
      <c r="T4920" s="114"/>
      <c r="U4920" s="21"/>
      <c r="V4920" s="115">
        <v>46039</v>
      </c>
      <c r="W4920" s="116">
        <v>1284</v>
      </c>
      <c r="X4920" s="220">
        <v>1295000</v>
      </c>
      <c r="Y4920" s="220">
        <f>X4920*0.1</f>
        <v>129500</v>
      </c>
      <c r="Z4920" s="220">
        <v>9010</v>
      </c>
      <c r="AA4920" s="220">
        <f>SUM(X4920:Z4920)</f>
        <v>1433510</v>
      </c>
      <c r="AB4920" s="222">
        <v>46049</v>
      </c>
    </row>
    <row r="4921" spans="1:28" ht="17.100000000000001" customHeight="1" thickBot="1">
      <c r="A4921" s="227"/>
      <c r="B4921" s="27" t="s">
        <v>2472</v>
      </c>
      <c r="C4921" s="27">
        <v>31151</v>
      </c>
      <c r="D4921" s="14" t="s">
        <v>1710</v>
      </c>
      <c r="E4921" s="229"/>
      <c r="F4921" s="117" t="s">
        <v>14394</v>
      </c>
      <c r="G4921" s="26">
        <v>32608</v>
      </c>
      <c r="H4921" s="231"/>
      <c r="I4921" s="221"/>
      <c r="J4921" s="221"/>
      <c r="K4921" s="221"/>
      <c r="L4921" s="221"/>
      <c r="M4921" s="221"/>
      <c r="N4921" s="221"/>
      <c r="O4921" s="225"/>
      <c r="P4921" s="118" t="s">
        <v>15289</v>
      </c>
      <c r="Q4921" s="16" t="s">
        <v>20</v>
      </c>
      <c r="R4921" s="17" t="s">
        <v>15265</v>
      </c>
      <c r="S4921" s="121" t="s">
        <v>15290</v>
      </c>
      <c r="T4921" s="122" t="s">
        <v>14616</v>
      </c>
      <c r="U4921" s="22"/>
      <c r="V4921" s="123" t="s">
        <v>6641</v>
      </c>
      <c r="W4921" s="122">
        <v>60196</v>
      </c>
      <c r="X4921" s="221"/>
      <c r="Y4921" s="221"/>
      <c r="Z4921" s="221"/>
      <c r="AA4921" s="221"/>
      <c r="AB4921" s="223"/>
    </row>
    <row r="4922" spans="1:28" ht="17.100000000000001" customHeight="1" thickTop="1">
      <c r="A4922" s="226" t="s">
        <v>14454</v>
      </c>
      <c r="B4922" s="28">
        <v>46032</v>
      </c>
      <c r="C4922" s="25">
        <v>1283</v>
      </c>
      <c r="D4922" s="13" t="s">
        <v>2158</v>
      </c>
      <c r="E4922" s="228"/>
      <c r="F4922" s="109" t="s">
        <v>4288</v>
      </c>
      <c r="G4922" s="24" t="s">
        <v>2871</v>
      </c>
      <c r="H4922" s="230">
        <v>4</v>
      </c>
      <c r="I4922" s="220">
        <v>2165000</v>
      </c>
      <c r="J4922" s="220">
        <f>I4922*0.1</f>
        <v>216500</v>
      </c>
      <c r="K4922" s="220">
        <f>2600+260</f>
        <v>2860</v>
      </c>
      <c r="L4922" s="220">
        <v>9550</v>
      </c>
      <c r="M4922" s="220">
        <v>11000</v>
      </c>
      <c r="N4922" s="220">
        <f>SUM(I4922:M4923)</f>
        <v>2404910</v>
      </c>
      <c r="O4922" s="224"/>
      <c r="P4922" s="110" t="s">
        <v>14437</v>
      </c>
      <c r="Q4922" s="15" t="s">
        <v>19</v>
      </c>
      <c r="R4922" s="205"/>
      <c r="S4922" s="189" t="s">
        <v>1312</v>
      </c>
      <c r="T4922" s="114"/>
      <c r="U4922" s="21"/>
      <c r="V4922" s="115">
        <v>46060</v>
      </c>
      <c r="W4922" s="116">
        <v>1287</v>
      </c>
      <c r="X4922" s="220">
        <v>2185000</v>
      </c>
      <c r="Y4922" s="220">
        <f>X4922*0.1</f>
        <v>218500</v>
      </c>
      <c r="Z4922" s="220">
        <v>9550</v>
      </c>
      <c r="AA4922" s="220">
        <f>SUM(X4922:Z4922)</f>
        <v>2413050</v>
      </c>
      <c r="AB4922" s="222">
        <v>46063</v>
      </c>
    </row>
    <row r="4923" spans="1:28" ht="17.100000000000001" customHeight="1" thickBot="1">
      <c r="A4923" s="227"/>
      <c r="B4923" s="27" t="s">
        <v>2472</v>
      </c>
      <c r="C4923" s="27">
        <v>40104</v>
      </c>
      <c r="D4923" s="14" t="s">
        <v>2559</v>
      </c>
      <c r="E4923" s="229"/>
      <c r="F4923" s="117" t="s">
        <v>14436</v>
      </c>
      <c r="G4923" s="26">
        <v>147934</v>
      </c>
      <c r="H4923" s="231"/>
      <c r="I4923" s="221"/>
      <c r="J4923" s="221"/>
      <c r="K4923" s="221"/>
      <c r="L4923" s="221"/>
      <c r="M4923" s="221"/>
      <c r="N4923" s="221"/>
      <c r="O4923" s="225"/>
      <c r="P4923" s="118" t="s">
        <v>3545</v>
      </c>
      <c r="Q4923" s="16" t="s">
        <v>20</v>
      </c>
      <c r="R4923" s="17" t="s">
        <v>15265</v>
      </c>
      <c r="S4923" s="121" t="s">
        <v>9859</v>
      </c>
      <c r="T4923" s="122"/>
      <c r="U4923" s="22"/>
      <c r="V4923" s="123" t="s">
        <v>2472</v>
      </c>
      <c r="W4923" s="122">
        <v>41046</v>
      </c>
      <c r="X4923" s="221"/>
      <c r="Y4923" s="221"/>
      <c r="Z4923" s="221"/>
      <c r="AA4923" s="221"/>
      <c r="AB4923" s="223"/>
    </row>
    <row r="4924" spans="1:28" ht="17.100000000000001" customHeight="1" thickTop="1">
      <c r="A4924" s="226" t="s">
        <v>14455</v>
      </c>
      <c r="B4924" s="28">
        <v>46032</v>
      </c>
      <c r="C4924" s="25">
        <v>1283</v>
      </c>
      <c r="D4924" s="13" t="s">
        <v>1762</v>
      </c>
      <c r="E4924" s="228"/>
      <c r="F4924" s="109" t="s">
        <v>4508</v>
      </c>
      <c r="G4924" s="24"/>
      <c r="H4924" s="230">
        <v>4.5</v>
      </c>
      <c r="I4924" s="220">
        <v>1055000</v>
      </c>
      <c r="J4924" s="220">
        <f>I4924*0.1</f>
        <v>105500</v>
      </c>
      <c r="K4924" s="220">
        <v>0</v>
      </c>
      <c r="L4924" s="220">
        <v>9010</v>
      </c>
      <c r="M4924" s="220">
        <v>11000</v>
      </c>
      <c r="N4924" s="220">
        <f>SUM(I4924:M4925)</f>
        <v>1180510</v>
      </c>
      <c r="O4924" s="224"/>
      <c r="P4924" s="110" t="s">
        <v>15328</v>
      </c>
      <c r="Q4924" s="15" t="s">
        <v>19</v>
      </c>
      <c r="R4924" s="205"/>
      <c r="S4924" s="189" t="s">
        <v>25678</v>
      </c>
      <c r="T4924" s="114"/>
      <c r="U4924" s="21"/>
      <c r="V4924" s="115">
        <v>46064</v>
      </c>
      <c r="W4924" s="116">
        <v>1004</v>
      </c>
      <c r="X4924" s="220">
        <v>1150000</v>
      </c>
      <c r="Y4924" s="220">
        <f>X4924*0.1</f>
        <v>115000</v>
      </c>
      <c r="Z4924" s="220">
        <v>9010</v>
      </c>
      <c r="AA4924" s="220">
        <f>SUM(X4924:Z4924)</f>
        <v>1274010</v>
      </c>
      <c r="AB4924" s="222">
        <v>46069</v>
      </c>
    </row>
    <row r="4925" spans="1:28" ht="17.100000000000001" customHeight="1" thickBot="1">
      <c r="A4925" s="227"/>
      <c r="B4925" s="27" t="s">
        <v>2472</v>
      </c>
      <c r="C4925" s="27">
        <v>62046</v>
      </c>
      <c r="D4925" s="14" t="s">
        <v>1797</v>
      </c>
      <c r="E4925" s="229"/>
      <c r="F4925" s="117" t="s">
        <v>14426</v>
      </c>
      <c r="G4925" s="26">
        <v>70650</v>
      </c>
      <c r="H4925" s="231"/>
      <c r="I4925" s="221"/>
      <c r="J4925" s="221"/>
      <c r="K4925" s="221"/>
      <c r="L4925" s="221"/>
      <c r="M4925" s="221"/>
      <c r="N4925" s="221"/>
      <c r="O4925" s="225"/>
      <c r="P4925" s="118" t="s">
        <v>15329</v>
      </c>
      <c r="Q4925" s="16" t="s">
        <v>20</v>
      </c>
      <c r="R4925" s="17" t="s">
        <v>15265</v>
      </c>
      <c r="S4925" s="121" t="s">
        <v>15330</v>
      </c>
      <c r="T4925" s="122"/>
      <c r="U4925" s="22"/>
      <c r="V4925" s="123" t="s">
        <v>2747</v>
      </c>
      <c r="W4925" s="122">
        <v>2047</v>
      </c>
      <c r="X4925" s="221"/>
      <c r="Y4925" s="221"/>
      <c r="Z4925" s="221"/>
      <c r="AA4925" s="221"/>
      <c r="AB4925" s="223"/>
    </row>
    <row r="4926" spans="1:28" ht="17.100000000000001" customHeight="1" thickTop="1">
      <c r="A4926" s="226" t="s">
        <v>14456</v>
      </c>
      <c r="B4926" s="28">
        <v>46032</v>
      </c>
      <c r="C4926" s="25">
        <v>1283</v>
      </c>
      <c r="D4926" s="13" t="s">
        <v>1947</v>
      </c>
      <c r="E4926" s="228"/>
      <c r="F4926" s="109" t="s">
        <v>5377</v>
      </c>
      <c r="G4926" s="24" t="s">
        <v>14439</v>
      </c>
      <c r="H4926" s="230">
        <v>4</v>
      </c>
      <c r="I4926" s="220">
        <v>1340000</v>
      </c>
      <c r="J4926" s="220">
        <f>I4926*0.1</f>
        <v>134000</v>
      </c>
      <c r="K4926" s="220">
        <v>0</v>
      </c>
      <c r="L4926" s="220">
        <v>11100</v>
      </c>
      <c r="M4926" s="220">
        <v>12100</v>
      </c>
      <c r="N4926" s="220">
        <f>SUM(I4926:M4927)</f>
        <v>1497200</v>
      </c>
      <c r="O4926" s="224"/>
      <c r="P4926" s="110" t="s">
        <v>14440</v>
      </c>
      <c r="Q4926" s="15" t="s">
        <v>19</v>
      </c>
      <c r="R4926" s="205"/>
      <c r="S4926" s="189" t="s">
        <v>25386</v>
      </c>
      <c r="T4926" s="114"/>
      <c r="U4926" s="21"/>
      <c r="V4926" s="115">
        <v>46043</v>
      </c>
      <c r="W4926" s="116">
        <v>1001</v>
      </c>
      <c r="X4926" s="220">
        <v>1410000</v>
      </c>
      <c r="Y4926" s="220">
        <f>X4926*0.1</f>
        <v>141000</v>
      </c>
      <c r="Z4926" s="220">
        <v>11100</v>
      </c>
      <c r="AA4926" s="220">
        <f>SUM(X4926:Z4926)</f>
        <v>1562100</v>
      </c>
      <c r="AB4926" s="222">
        <v>46048</v>
      </c>
    </row>
    <row r="4927" spans="1:28" ht="17.100000000000001" customHeight="1" thickBot="1">
      <c r="A4927" s="227"/>
      <c r="B4927" s="27" t="s">
        <v>2472</v>
      </c>
      <c r="C4927" s="27">
        <v>65161</v>
      </c>
      <c r="D4927" s="14" t="s">
        <v>131</v>
      </c>
      <c r="E4927" s="229"/>
      <c r="F4927" s="117" t="s">
        <v>14438</v>
      </c>
      <c r="G4927" s="26">
        <v>18152</v>
      </c>
      <c r="H4927" s="231"/>
      <c r="I4927" s="221"/>
      <c r="J4927" s="221"/>
      <c r="K4927" s="221"/>
      <c r="L4927" s="221"/>
      <c r="M4927" s="221"/>
      <c r="N4927" s="221"/>
      <c r="O4927" s="225"/>
      <c r="P4927" s="118" t="s">
        <v>4211</v>
      </c>
      <c r="Q4927" s="16" t="s">
        <v>20</v>
      </c>
      <c r="R4927" s="17" t="s">
        <v>15265</v>
      </c>
      <c r="S4927" s="121" t="s">
        <v>15295</v>
      </c>
      <c r="T4927" s="122"/>
      <c r="U4927" s="22"/>
      <c r="V4927" s="123" t="s">
        <v>2747</v>
      </c>
      <c r="W4927" s="122">
        <v>2008</v>
      </c>
      <c r="X4927" s="221"/>
      <c r="Y4927" s="221"/>
      <c r="Z4927" s="221"/>
      <c r="AA4927" s="221"/>
      <c r="AB4927" s="223"/>
    </row>
    <row r="4928" spans="1:28" ht="17.100000000000001" customHeight="1" thickTop="1">
      <c r="A4928" s="226" t="s">
        <v>14457</v>
      </c>
      <c r="B4928" s="28">
        <v>46032</v>
      </c>
      <c r="C4928" s="25">
        <v>1283</v>
      </c>
      <c r="D4928" s="13" t="s">
        <v>2295</v>
      </c>
      <c r="E4928" s="228"/>
      <c r="F4928" s="109" t="s">
        <v>9048</v>
      </c>
      <c r="G4928" s="24" t="s">
        <v>14442</v>
      </c>
      <c r="H4928" s="230">
        <v>4.5</v>
      </c>
      <c r="I4928" s="220">
        <v>955000</v>
      </c>
      <c r="J4928" s="220">
        <f>I4928*0.1</f>
        <v>95500</v>
      </c>
      <c r="K4928" s="220">
        <v>0</v>
      </c>
      <c r="L4928" s="220">
        <v>9310</v>
      </c>
      <c r="M4928" s="220">
        <v>12100</v>
      </c>
      <c r="N4928" s="220">
        <f>SUM(I4928:M4929)</f>
        <v>1071910</v>
      </c>
      <c r="O4928" s="224"/>
      <c r="P4928" s="110" t="s">
        <v>14443</v>
      </c>
      <c r="Q4928" s="15" t="s">
        <v>19</v>
      </c>
      <c r="R4928" s="205"/>
      <c r="S4928" s="189" t="s">
        <v>1312</v>
      </c>
      <c r="T4928" s="114" t="s">
        <v>16526</v>
      </c>
      <c r="U4928" s="21"/>
      <c r="V4928" s="115">
        <v>46050</v>
      </c>
      <c r="W4928" s="116">
        <v>1002</v>
      </c>
      <c r="X4928" s="220">
        <v>1080000</v>
      </c>
      <c r="Y4928" s="220">
        <f>X4928*0.1</f>
        <v>108000</v>
      </c>
      <c r="Z4928" s="220">
        <v>9310</v>
      </c>
      <c r="AA4928" s="220">
        <f>SUM(X4928:Z4928)</f>
        <v>1197310</v>
      </c>
      <c r="AB4928" s="222">
        <v>46056</v>
      </c>
    </row>
    <row r="4929" spans="1:28" ht="17.100000000000001" customHeight="1" thickBot="1">
      <c r="A4929" s="227"/>
      <c r="B4929" s="27" t="s">
        <v>2472</v>
      </c>
      <c r="C4929" s="27">
        <v>65250</v>
      </c>
      <c r="D4929" s="14" t="s">
        <v>3731</v>
      </c>
      <c r="E4929" s="229"/>
      <c r="F4929" s="117" t="s">
        <v>14441</v>
      </c>
      <c r="G4929" s="26">
        <v>52756</v>
      </c>
      <c r="H4929" s="231"/>
      <c r="I4929" s="221"/>
      <c r="J4929" s="221"/>
      <c r="K4929" s="221"/>
      <c r="L4929" s="221"/>
      <c r="M4929" s="221"/>
      <c r="N4929" s="221"/>
      <c r="O4929" s="225"/>
      <c r="P4929" s="118" t="s">
        <v>15326</v>
      </c>
      <c r="Q4929" s="16" t="s">
        <v>20</v>
      </c>
      <c r="R4929" s="17" t="s">
        <v>15265</v>
      </c>
      <c r="S4929" s="121" t="s">
        <v>15327</v>
      </c>
      <c r="T4929" s="122"/>
      <c r="U4929" s="22"/>
      <c r="V4929" s="123" t="s">
        <v>7161</v>
      </c>
      <c r="W4929" s="122">
        <v>2040</v>
      </c>
      <c r="X4929" s="221"/>
      <c r="Y4929" s="221"/>
      <c r="Z4929" s="221"/>
      <c r="AA4929" s="221"/>
      <c r="AB4929" s="223"/>
    </row>
    <row r="4930" spans="1:28" ht="17.100000000000001" customHeight="1" thickTop="1">
      <c r="A4930" s="226" t="s">
        <v>14458</v>
      </c>
      <c r="B4930" s="28">
        <v>46032</v>
      </c>
      <c r="C4930" s="25">
        <v>1283</v>
      </c>
      <c r="D4930" s="13" t="s">
        <v>1715</v>
      </c>
      <c r="E4930" s="228"/>
      <c r="F4930" s="109" t="s">
        <v>2943</v>
      </c>
      <c r="G4930" s="24"/>
      <c r="H4930" s="230">
        <v>4</v>
      </c>
      <c r="I4930" s="220">
        <v>595000</v>
      </c>
      <c r="J4930" s="220">
        <f>I4930*0.1</f>
        <v>59500</v>
      </c>
      <c r="K4930" s="220">
        <v>0</v>
      </c>
      <c r="L4930" s="220">
        <v>8400</v>
      </c>
      <c r="M4930" s="220">
        <v>12100</v>
      </c>
      <c r="N4930" s="220">
        <f>SUM(I4930:M4931)</f>
        <v>675000</v>
      </c>
      <c r="O4930" s="224"/>
      <c r="P4930" s="110" t="s">
        <v>15331</v>
      </c>
      <c r="Q4930" s="15" t="s">
        <v>19</v>
      </c>
      <c r="R4930" s="205"/>
      <c r="S4930" s="189"/>
      <c r="T4930" s="114"/>
      <c r="U4930" s="21"/>
      <c r="V4930" s="115">
        <v>46067</v>
      </c>
      <c r="W4930" s="116">
        <v>1288</v>
      </c>
      <c r="X4930" s="220">
        <v>690000</v>
      </c>
      <c r="Y4930" s="220">
        <f>X4930*0.1</f>
        <v>69000</v>
      </c>
      <c r="Z4930" s="220">
        <v>8400</v>
      </c>
      <c r="AA4930" s="220">
        <f>SUM(X4930:Z4930)</f>
        <v>767400</v>
      </c>
      <c r="AB4930" s="222">
        <v>46070</v>
      </c>
    </row>
    <row r="4931" spans="1:28" ht="17.100000000000001" customHeight="1" thickBot="1">
      <c r="A4931" s="227"/>
      <c r="B4931" s="27" t="s">
        <v>2472</v>
      </c>
      <c r="C4931" s="27">
        <v>65374</v>
      </c>
      <c r="D4931" s="14" t="s">
        <v>1797</v>
      </c>
      <c r="E4931" s="229"/>
      <c r="F4931" s="117" t="s">
        <v>14444</v>
      </c>
      <c r="G4931" s="26">
        <v>55600</v>
      </c>
      <c r="H4931" s="231"/>
      <c r="I4931" s="221"/>
      <c r="J4931" s="221"/>
      <c r="K4931" s="221"/>
      <c r="L4931" s="221"/>
      <c r="M4931" s="221"/>
      <c r="N4931" s="221"/>
      <c r="O4931" s="225"/>
      <c r="P4931" s="118" t="s">
        <v>2870</v>
      </c>
      <c r="Q4931" s="16" t="s">
        <v>20</v>
      </c>
      <c r="R4931" s="17" t="s">
        <v>15265</v>
      </c>
      <c r="S4931" s="121" t="s">
        <v>10808</v>
      </c>
      <c r="T4931" s="122"/>
      <c r="U4931" s="22"/>
      <c r="V4931" s="123" t="s">
        <v>2472</v>
      </c>
      <c r="W4931" s="122">
        <v>60185</v>
      </c>
      <c r="X4931" s="221"/>
      <c r="Y4931" s="221"/>
      <c r="Z4931" s="221"/>
      <c r="AA4931" s="221"/>
      <c r="AB4931" s="223"/>
    </row>
    <row r="4932" spans="1:28" ht="17.100000000000001" customHeight="1" thickTop="1">
      <c r="A4932" s="226" t="s">
        <v>14459</v>
      </c>
      <c r="B4932" s="28">
        <v>46032</v>
      </c>
      <c r="C4932" s="25">
        <v>1283</v>
      </c>
      <c r="D4932" s="13" t="s">
        <v>2900</v>
      </c>
      <c r="E4932" s="228"/>
      <c r="F4932" s="109" t="s">
        <v>14429</v>
      </c>
      <c r="G4932" s="24"/>
      <c r="H4932" s="230">
        <v>4.5</v>
      </c>
      <c r="I4932" s="220">
        <v>1235000</v>
      </c>
      <c r="J4932" s="220">
        <f>I4932*0.1</f>
        <v>123500</v>
      </c>
      <c r="K4932" s="220">
        <v>0</v>
      </c>
      <c r="L4932" s="220">
        <v>14590</v>
      </c>
      <c r="M4932" s="220">
        <v>16500</v>
      </c>
      <c r="N4932" s="220">
        <f>SUM(I4932:M4933)</f>
        <v>1389590</v>
      </c>
      <c r="O4932" s="224"/>
      <c r="P4932" s="110" t="s">
        <v>15272</v>
      </c>
      <c r="Q4932" s="15" t="s">
        <v>19</v>
      </c>
      <c r="R4932" s="205"/>
      <c r="S4932" s="189" t="s">
        <v>1271</v>
      </c>
      <c r="T4932" s="114"/>
      <c r="U4932" s="21"/>
      <c r="V4932" s="115">
        <v>46044</v>
      </c>
      <c r="W4932" s="116">
        <v>1315</v>
      </c>
      <c r="X4932" s="220">
        <v>1645000</v>
      </c>
      <c r="Y4932" s="220">
        <f>X4932*0.1</f>
        <v>164500</v>
      </c>
      <c r="Z4932" s="220">
        <v>14590</v>
      </c>
      <c r="AA4932" s="220">
        <f>SUM(X4932:Z4932)</f>
        <v>1824090</v>
      </c>
      <c r="AB4932" s="222">
        <v>46045</v>
      </c>
    </row>
    <row r="4933" spans="1:28" ht="17.100000000000001" customHeight="1" thickBot="1">
      <c r="A4933" s="227"/>
      <c r="B4933" s="27" t="s">
        <v>2472</v>
      </c>
      <c r="C4933" s="27">
        <v>80195</v>
      </c>
      <c r="D4933" s="14" t="s">
        <v>1568</v>
      </c>
      <c r="E4933" s="229"/>
      <c r="F4933" s="117" t="s">
        <v>14430</v>
      </c>
      <c r="G4933" s="26">
        <v>18099</v>
      </c>
      <c r="H4933" s="231"/>
      <c r="I4933" s="221"/>
      <c r="J4933" s="221"/>
      <c r="K4933" s="221"/>
      <c r="L4933" s="221"/>
      <c r="M4933" s="221"/>
      <c r="N4933" s="221"/>
      <c r="O4933" s="225"/>
      <c r="P4933" s="118" t="s">
        <v>15273</v>
      </c>
      <c r="Q4933" s="16" t="s">
        <v>20</v>
      </c>
      <c r="R4933" s="17" t="s">
        <v>15265</v>
      </c>
      <c r="S4933" s="121" t="s">
        <v>1731</v>
      </c>
      <c r="T4933" s="122"/>
      <c r="U4933" s="22"/>
      <c r="V4933" s="123" t="s">
        <v>13379</v>
      </c>
      <c r="W4933" s="122">
        <v>52</v>
      </c>
      <c r="X4933" s="221"/>
      <c r="Y4933" s="221"/>
      <c r="Z4933" s="221"/>
      <c r="AA4933" s="221"/>
      <c r="AB4933" s="223"/>
    </row>
    <row r="4934" spans="1:28" ht="17.100000000000001" customHeight="1" thickTop="1">
      <c r="A4934" s="233" t="s">
        <v>14460</v>
      </c>
      <c r="B4934" s="28">
        <v>46032</v>
      </c>
      <c r="C4934" s="25">
        <v>1283</v>
      </c>
      <c r="D4934" s="13" t="s">
        <v>1953</v>
      </c>
      <c r="E4934" s="228"/>
      <c r="F4934" s="109" t="s">
        <v>14418</v>
      </c>
      <c r="G4934" s="24" t="s">
        <v>4038</v>
      </c>
      <c r="H4934" s="230">
        <v>4.5</v>
      </c>
      <c r="I4934" s="220">
        <v>2045000</v>
      </c>
      <c r="J4934" s="220">
        <f>I4934*0.1</f>
        <v>204500</v>
      </c>
      <c r="K4934" s="220">
        <f>6500+650</f>
        <v>7150</v>
      </c>
      <c r="L4934" s="220">
        <v>21720</v>
      </c>
      <c r="M4934" s="220">
        <v>16500</v>
      </c>
      <c r="N4934" s="220">
        <f>SUM(I4934:M4935)</f>
        <v>2294870</v>
      </c>
      <c r="O4934" s="224"/>
      <c r="P4934" s="110" t="s">
        <v>14420</v>
      </c>
      <c r="Q4934" s="15" t="s">
        <v>19</v>
      </c>
      <c r="R4934" s="205"/>
      <c r="S4934" s="189" t="s">
        <v>25679</v>
      </c>
      <c r="T4934" s="114"/>
      <c r="U4934" s="21"/>
      <c r="V4934" s="115">
        <v>46039</v>
      </c>
      <c r="W4934" s="116">
        <v>1284</v>
      </c>
      <c r="X4934" s="220">
        <v>2200000</v>
      </c>
      <c r="Y4934" s="220">
        <f>X4934*0.1</f>
        <v>220000</v>
      </c>
      <c r="Z4934" s="220">
        <v>21720</v>
      </c>
      <c r="AA4934" s="220">
        <f>SUM(X4934:Z4934)</f>
        <v>2441720</v>
      </c>
      <c r="AB4934" s="222">
        <v>46049</v>
      </c>
    </row>
    <row r="4935" spans="1:28" ht="17.100000000000001" customHeight="1" thickBot="1">
      <c r="A4935" s="234"/>
      <c r="B4935" s="27" t="s">
        <v>2472</v>
      </c>
      <c r="C4935" s="27">
        <v>81075</v>
      </c>
      <c r="D4935" s="14" t="s">
        <v>1584</v>
      </c>
      <c r="E4935" s="229"/>
      <c r="F4935" s="117" t="s">
        <v>14419</v>
      </c>
      <c r="G4935" s="26">
        <v>69386</v>
      </c>
      <c r="H4935" s="231"/>
      <c r="I4935" s="221"/>
      <c r="J4935" s="221"/>
      <c r="K4935" s="221"/>
      <c r="L4935" s="221"/>
      <c r="M4935" s="221"/>
      <c r="N4935" s="221"/>
      <c r="O4935" s="225"/>
      <c r="P4935" s="118" t="s">
        <v>15292</v>
      </c>
      <c r="Q4935" s="16" t="s">
        <v>20</v>
      </c>
      <c r="R4935" s="17" t="s">
        <v>15265</v>
      </c>
      <c r="S4935" s="121" t="s">
        <v>4798</v>
      </c>
      <c r="T4935" s="122"/>
      <c r="U4935" s="22"/>
      <c r="V4935" s="123" t="s">
        <v>2472</v>
      </c>
      <c r="W4935" s="122">
        <v>80097</v>
      </c>
      <c r="X4935" s="221"/>
      <c r="Y4935" s="221"/>
      <c r="Z4935" s="221"/>
      <c r="AA4935" s="221"/>
      <c r="AB4935" s="223"/>
    </row>
    <row r="4936" spans="1:28" ht="17.100000000000001" customHeight="1" thickTop="1">
      <c r="A4936" s="226" t="s">
        <v>14461</v>
      </c>
      <c r="B4936" s="28">
        <v>46032</v>
      </c>
      <c r="C4936" s="25">
        <v>1283</v>
      </c>
      <c r="D4936" s="13" t="s">
        <v>1961</v>
      </c>
      <c r="E4936" s="228"/>
      <c r="F4936" s="109" t="s">
        <v>14421</v>
      </c>
      <c r="G4936" s="24"/>
      <c r="H4936" s="230">
        <v>4</v>
      </c>
      <c r="I4936" s="220">
        <v>725000</v>
      </c>
      <c r="J4936" s="220">
        <f>I4936*0.1</f>
        <v>72500</v>
      </c>
      <c r="K4936" s="220">
        <v>0</v>
      </c>
      <c r="L4936" s="220">
        <v>17250</v>
      </c>
      <c r="M4936" s="220">
        <v>16500</v>
      </c>
      <c r="N4936" s="220">
        <f>SUM(I4936:M4937)</f>
        <v>831250</v>
      </c>
      <c r="O4936" s="224"/>
      <c r="P4936" s="110" t="s">
        <v>15271</v>
      </c>
      <c r="Q4936" s="15" t="s">
        <v>19</v>
      </c>
      <c r="R4936" s="205"/>
      <c r="S4936" s="189"/>
      <c r="T4936" s="114"/>
      <c r="U4936" s="21"/>
      <c r="V4936" s="115">
        <v>46060</v>
      </c>
      <c r="W4936" s="116">
        <v>1287</v>
      </c>
      <c r="X4936" s="220">
        <v>870000</v>
      </c>
      <c r="Y4936" s="220">
        <f>X4936*0.1</f>
        <v>87000</v>
      </c>
      <c r="Z4936" s="220">
        <v>17250</v>
      </c>
      <c r="AA4936" s="220">
        <f>SUM(X4936:Z4936)</f>
        <v>974250</v>
      </c>
      <c r="AB4936" s="222">
        <v>46065</v>
      </c>
    </row>
    <row r="4937" spans="1:28" ht="17.100000000000001" customHeight="1" thickBot="1">
      <c r="A4937" s="227"/>
      <c r="B4937" s="27" t="s">
        <v>2472</v>
      </c>
      <c r="C4937" s="27">
        <v>82043</v>
      </c>
      <c r="D4937" s="14" t="s">
        <v>1584</v>
      </c>
      <c r="E4937" s="229"/>
      <c r="F4937" s="117" t="s">
        <v>14433</v>
      </c>
      <c r="G4937" s="26">
        <v>27821</v>
      </c>
      <c r="H4937" s="231"/>
      <c r="I4937" s="221"/>
      <c r="J4937" s="221"/>
      <c r="K4937" s="221"/>
      <c r="L4937" s="221"/>
      <c r="M4937" s="221"/>
      <c r="N4937" s="221"/>
      <c r="O4937" s="225"/>
      <c r="P4937" s="118" t="s">
        <v>6987</v>
      </c>
      <c r="Q4937" s="16" t="s">
        <v>20</v>
      </c>
      <c r="R4937" s="17" t="s">
        <v>15265</v>
      </c>
      <c r="S4937" s="121" t="s">
        <v>17127</v>
      </c>
      <c r="T4937" s="122"/>
      <c r="U4937" s="22"/>
      <c r="V4937" s="123" t="s">
        <v>6641</v>
      </c>
      <c r="W4937" s="122">
        <v>80064</v>
      </c>
      <c r="X4937" s="221"/>
      <c r="Y4937" s="221"/>
      <c r="Z4937" s="221"/>
      <c r="AA4937" s="221"/>
      <c r="AB4937" s="223"/>
    </row>
    <row r="4938" spans="1:28" ht="17.100000000000001" customHeight="1" thickTop="1">
      <c r="A4938" s="226" t="s">
        <v>14462</v>
      </c>
      <c r="B4938" s="28">
        <v>46032</v>
      </c>
      <c r="C4938" s="25">
        <v>1283</v>
      </c>
      <c r="D4938" s="13" t="s">
        <v>1915</v>
      </c>
      <c r="E4938" s="228"/>
      <c r="F4938" s="109" t="s">
        <v>1854</v>
      </c>
      <c r="G4938" s="24"/>
      <c r="H4938" s="230">
        <v>4.5</v>
      </c>
      <c r="I4938" s="220">
        <v>850000</v>
      </c>
      <c r="J4938" s="220">
        <f>I4938*0.1</f>
        <v>85000</v>
      </c>
      <c r="K4938" s="220">
        <v>0</v>
      </c>
      <c r="L4938" s="220">
        <v>18960</v>
      </c>
      <c r="M4938" s="220">
        <v>16500</v>
      </c>
      <c r="N4938" s="220">
        <f>SUM(I4938:M4939)</f>
        <v>970460</v>
      </c>
      <c r="O4938" s="224"/>
      <c r="P4938" s="110" t="s">
        <v>15276</v>
      </c>
      <c r="Q4938" s="15" t="s">
        <v>19</v>
      </c>
      <c r="R4938" s="205"/>
      <c r="S4938" s="189" t="s">
        <v>1312</v>
      </c>
      <c r="T4938" s="114"/>
      <c r="U4938" s="21"/>
      <c r="V4938" s="115">
        <v>46046</v>
      </c>
      <c r="W4938" s="116">
        <v>1285</v>
      </c>
      <c r="X4938" s="220">
        <v>980000</v>
      </c>
      <c r="Y4938" s="220">
        <f>X4938*0.1</f>
        <v>98000</v>
      </c>
      <c r="Z4938" s="220">
        <v>18960</v>
      </c>
      <c r="AA4938" s="220">
        <f>SUM(X4938:Z4938)</f>
        <v>1096960</v>
      </c>
      <c r="AB4938" s="222">
        <v>46049</v>
      </c>
    </row>
    <row r="4939" spans="1:28" ht="17.100000000000001" customHeight="1" thickBot="1">
      <c r="A4939" s="227"/>
      <c r="B4939" s="27" t="s">
        <v>2472</v>
      </c>
      <c r="C4939" s="27">
        <v>82070</v>
      </c>
      <c r="D4939" s="14" t="s">
        <v>1797</v>
      </c>
      <c r="E4939" s="229"/>
      <c r="F4939" s="117" t="s">
        <v>14422</v>
      </c>
      <c r="G4939" s="26">
        <v>20681</v>
      </c>
      <c r="H4939" s="231"/>
      <c r="I4939" s="221"/>
      <c r="J4939" s="221"/>
      <c r="K4939" s="221"/>
      <c r="L4939" s="221"/>
      <c r="M4939" s="221"/>
      <c r="N4939" s="221"/>
      <c r="O4939" s="225"/>
      <c r="P4939" s="118" t="s">
        <v>15277</v>
      </c>
      <c r="Q4939" s="16" t="s">
        <v>20</v>
      </c>
      <c r="R4939" s="17" t="s">
        <v>15265</v>
      </c>
      <c r="S4939" s="121" t="s">
        <v>15278</v>
      </c>
      <c r="T4939" s="122"/>
      <c r="U4939" s="22"/>
      <c r="V4939" s="123" t="s">
        <v>2472</v>
      </c>
      <c r="W4939" s="122">
        <v>80078</v>
      </c>
      <c r="X4939" s="221"/>
      <c r="Y4939" s="221"/>
      <c r="Z4939" s="221"/>
      <c r="AA4939" s="221"/>
      <c r="AB4939" s="223"/>
    </row>
    <row r="4940" spans="1:28" ht="17.100000000000001" customHeight="1" thickTop="1">
      <c r="A4940" s="233" t="s">
        <v>14463</v>
      </c>
      <c r="B4940" s="28">
        <v>46032</v>
      </c>
      <c r="C4940" s="25">
        <v>1283</v>
      </c>
      <c r="D4940" s="13" t="s">
        <v>1704</v>
      </c>
      <c r="E4940" s="228"/>
      <c r="F4940" s="109" t="s">
        <v>14427</v>
      </c>
      <c r="G4940" s="24"/>
      <c r="H4940" s="230">
        <v>4.5</v>
      </c>
      <c r="I4940" s="220">
        <v>2770000</v>
      </c>
      <c r="J4940" s="220">
        <f>I4940*0.1</f>
        <v>277000</v>
      </c>
      <c r="K4940" s="220">
        <v>0</v>
      </c>
      <c r="L4940" s="220">
        <v>21570</v>
      </c>
      <c r="M4940" s="220">
        <v>16500</v>
      </c>
      <c r="N4940" s="220">
        <f>SUM(I4940:M4941)</f>
        <v>3085070</v>
      </c>
      <c r="O4940" s="224"/>
      <c r="P4940" s="110" t="s">
        <v>15291</v>
      </c>
      <c r="Q4940" s="15" t="s">
        <v>19</v>
      </c>
      <c r="R4940" s="205"/>
      <c r="S4940" s="189" t="s">
        <v>1271</v>
      </c>
      <c r="T4940" s="114"/>
      <c r="U4940" s="21"/>
      <c r="V4940" s="115">
        <v>46039</v>
      </c>
      <c r="W4940" s="116">
        <v>1284</v>
      </c>
      <c r="X4940" s="220">
        <v>3155000</v>
      </c>
      <c r="Y4940" s="220">
        <f>X4940*0.1</f>
        <v>315500</v>
      </c>
      <c r="Z4940" s="220">
        <v>21570</v>
      </c>
      <c r="AA4940" s="220">
        <f>SUM(X4940:Z4940)</f>
        <v>3492070</v>
      </c>
      <c r="AB4940" s="222">
        <v>46049</v>
      </c>
    </row>
    <row r="4941" spans="1:28" ht="17.100000000000001" customHeight="1" thickBot="1">
      <c r="A4941" s="234"/>
      <c r="B4941" s="27" t="s">
        <v>2472</v>
      </c>
      <c r="C4941" s="27">
        <v>82442</v>
      </c>
      <c r="D4941" s="14" t="s">
        <v>1568</v>
      </c>
      <c r="E4941" s="229"/>
      <c r="F4941" s="117" t="s">
        <v>14428</v>
      </c>
      <c r="G4941" s="26">
        <v>49217</v>
      </c>
      <c r="H4941" s="231"/>
      <c r="I4941" s="221"/>
      <c r="J4941" s="221"/>
      <c r="K4941" s="221"/>
      <c r="L4941" s="221"/>
      <c r="M4941" s="221"/>
      <c r="N4941" s="221"/>
      <c r="O4941" s="225"/>
      <c r="P4941" s="118" t="s">
        <v>1972</v>
      </c>
      <c r="Q4941" s="16" t="s">
        <v>20</v>
      </c>
      <c r="R4941" s="17" t="s">
        <v>15265</v>
      </c>
      <c r="S4941" s="121" t="s">
        <v>1625</v>
      </c>
      <c r="T4941" s="122"/>
      <c r="U4941" s="22"/>
      <c r="V4941" s="123" t="s">
        <v>2472</v>
      </c>
      <c r="W4941" s="122">
        <v>80066</v>
      </c>
      <c r="X4941" s="221"/>
      <c r="Y4941" s="221"/>
      <c r="Z4941" s="221"/>
      <c r="AA4941" s="221"/>
      <c r="AB4941" s="223"/>
    </row>
    <row r="4942" spans="1:28" ht="17.100000000000001" customHeight="1" thickTop="1">
      <c r="A4942" s="226" t="s">
        <v>14464</v>
      </c>
      <c r="B4942" s="28">
        <v>46032</v>
      </c>
      <c r="C4942" s="25">
        <v>1283</v>
      </c>
      <c r="D4942" s="13" t="s">
        <v>1555</v>
      </c>
      <c r="E4942" s="228"/>
      <c r="F4942" s="109" t="s">
        <v>9770</v>
      </c>
      <c r="G4942" s="24" t="s">
        <v>2926</v>
      </c>
      <c r="H4942" s="230">
        <v>4</v>
      </c>
      <c r="I4942" s="220">
        <v>1730000</v>
      </c>
      <c r="J4942" s="220">
        <f>I4942*0.1</f>
        <v>173000</v>
      </c>
      <c r="K4942" s="220">
        <v>6600</v>
      </c>
      <c r="L4942" s="220">
        <v>17800</v>
      </c>
      <c r="M4942" s="220">
        <v>23100</v>
      </c>
      <c r="N4942" s="220">
        <f>SUM(I4942:M4943)</f>
        <v>1950500</v>
      </c>
      <c r="O4942" s="224"/>
      <c r="P4942" s="110" t="s">
        <v>14432</v>
      </c>
      <c r="Q4942" s="15" t="s">
        <v>19</v>
      </c>
      <c r="R4942" s="205"/>
      <c r="S4942" s="189" t="s">
        <v>1306</v>
      </c>
      <c r="T4942" s="114"/>
      <c r="U4942" s="21"/>
      <c r="V4942" s="115">
        <v>46044</v>
      </c>
      <c r="W4942" s="116">
        <v>1315</v>
      </c>
      <c r="X4942" s="220">
        <v>2015000</v>
      </c>
      <c r="Y4942" s="220">
        <f>X4942*0.1</f>
        <v>201500</v>
      </c>
      <c r="Z4942" s="220">
        <v>17800</v>
      </c>
      <c r="AA4942" s="220">
        <f>SUM(X4942:Z4942)</f>
        <v>2234300</v>
      </c>
      <c r="AB4942" s="222">
        <v>46045</v>
      </c>
    </row>
    <row r="4943" spans="1:28" ht="17.100000000000001" customHeight="1" thickBot="1">
      <c r="A4943" s="227"/>
      <c r="B4943" s="27" t="s">
        <v>2472</v>
      </c>
      <c r="C4943" s="27">
        <v>82447</v>
      </c>
      <c r="D4943" s="14" t="s">
        <v>273</v>
      </c>
      <c r="E4943" s="229"/>
      <c r="F4943" s="117" t="s">
        <v>14431</v>
      </c>
      <c r="G4943" s="26">
        <v>50549</v>
      </c>
      <c r="H4943" s="231"/>
      <c r="I4943" s="221"/>
      <c r="J4943" s="221"/>
      <c r="K4943" s="221"/>
      <c r="L4943" s="221"/>
      <c r="M4943" s="221"/>
      <c r="N4943" s="221"/>
      <c r="O4943" s="225"/>
      <c r="P4943" s="118" t="s">
        <v>1586</v>
      </c>
      <c r="Q4943" s="16" t="s">
        <v>20</v>
      </c>
      <c r="R4943" s="17" t="s">
        <v>15265</v>
      </c>
      <c r="S4943" s="121" t="s">
        <v>14344</v>
      </c>
      <c r="T4943" s="122"/>
      <c r="U4943" s="22"/>
      <c r="V4943" s="123" t="s">
        <v>13379</v>
      </c>
      <c r="W4943" s="122">
        <v>326</v>
      </c>
      <c r="X4943" s="221"/>
      <c r="Y4943" s="221"/>
      <c r="Z4943" s="221"/>
      <c r="AA4943" s="221"/>
      <c r="AB4943" s="223"/>
    </row>
    <row r="4944" spans="1:28" ht="17.100000000000001" customHeight="1" thickTop="1">
      <c r="A4944" s="226" t="s">
        <v>14465</v>
      </c>
      <c r="B4944" s="28">
        <v>46034</v>
      </c>
      <c r="C4944" s="25">
        <v>83</v>
      </c>
      <c r="D4944" s="13" t="s">
        <v>2913</v>
      </c>
      <c r="E4944" s="228"/>
      <c r="F4944" s="109" t="s">
        <v>14492</v>
      </c>
      <c r="G4944" s="24" t="s">
        <v>1540</v>
      </c>
      <c r="H4944" s="230">
        <v>4.5</v>
      </c>
      <c r="I4944" s="220">
        <v>1700000</v>
      </c>
      <c r="J4944" s="220">
        <f>I4944*0.1</f>
        <v>170000</v>
      </c>
      <c r="K4944" s="220">
        <v>3300</v>
      </c>
      <c r="L4944" s="220">
        <v>10220</v>
      </c>
      <c r="M4944" s="220">
        <v>44000</v>
      </c>
      <c r="N4944" s="220">
        <f>SUM(I4944:M4945)</f>
        <v>1927520</v>
      </c>
      <c r="O4944" s="224"/>
      <c r="P4944" s="110" t="s">
        <v>17308</v>
      </c>
      <c r="Q4944" s="15" t="s">
        <v>19</v>
      </c>
      <c r="R4944" s="205"/>
      <c r="S4944" s="189" t="s">
        <v>25680</v>
      </c>
      <c r="T4944" s="114"/>
      <c r="U4944" s="21"/>
      <c r="V4944" s="115">
        <v>46088</v>
      </c>
      <c r="W4944" s="116">
        <v>1291</v>
      </c>
      <c r="X4944" s="220">
        <v>1750000</v>
      </c>
      <c r="Y4944" s="220">
        <f>X4944*0.1</f>
        <v>175000</v>
      </c>
      <c r="Z4944" s="220">
        <v>10220</v>
      </c>
      <c r="AA4944" s="220">
        <f>SUM(X4944:Z4944)</f>
        <v>1935220</v>
      </c>
      <c r="AB4944" s="222">
        <v>46091</v>
      </c>
    </row>
    <row r="4945" spans="1:28" ht="17.100000000000001" customHeight="1" thickBot="1">
      <c r="A4945" s="227"/>
      <c r="B4945" s="27" t="s">
        <v>4468</v>
      </c>
      <c r="C4945" s="27">
        <v>1009</v>
      </c>
      <c r="D4945" s="14" t="s">
        <v>2753</v>
      </c>
      <c r="E4945" s="229"/>
      <c r="F4945" s="117" t="s">
        <v>14470</v>
      </c>
      <c r="G4945" s="26">
        <v>35492</v>
      </c>
      <c r="H4945" s="231"/>
      <c r="I4945" s="221"/>
      <c r="J4945" s="221"/>
      <c r="K4945" s="221"/>
      <c r="L4945" s="221"/>
      <c r="M4945" s="221"/>
      <c r="N4945" s="221"/>
      <c r="O4945" s="225"/>
      <c r="P4945" s="118" t="s">
        <v>17309</v>
      </c>
      <c r="Q4945" s="16" t="s">
        <v>20</v>
      </c>
      <c r="R4945" s="17" t="s">
        <v>2264</v>
      </c>
      <c r="S4945" s="121" t="s">
        <v>7898</v>
      </c>
      <c r="T4945" s="122"/>
      <c r="U4945" s="22"/>
      <c r="V4945" s="123" t="s">
        <v>2472</v>
      </c>
      <c r="W4945" s="122">
        <v>31004</v>
      </c>
      <c r="X4945" s="221"/>
      <c r="Y4945" s="221"/>
      <c r="Z4945" s="221"/>
      <c r="AA4945" s="221"/>
      <c r="AB4945" s="223"/>
    </row>
    <row r="4946" spans="1:28" ht="17.100000000000001" customHeight="1" thickTop="1">
      <c r="A4946" s="226" t="s">
        <v>14466</v>
      </c>
      <c r="B4946" s="28">
        <v>46034</v>
      </c>
      <c r="C4946" s="25">
        <v>83</v>
      </c>
      <c r="D4946" s="13" t="s">
        <v>1839</v>
      </c>
      <c r="E4946" s="228"/>
      <c r="F4946" s="109" t="s">
        <v>3906</v>
      </c>
      <c r="G4946" s="24" t="s">
        <v>4038</v>
      </c>
      <c r="H4946" s="232" t="s">
        <v>1705</v>
      </c>
      <c r="I4946" s="220">
        <v>655000</v>
      </c>
      <c r="J4946" s="220">
        <f>I4946*0.1</f>
        <v>65500</v>
      </c>
      <c r="K4946" s="220">
        <f>6500+650</f>
        <v>7150</v>
      </c>
      <c r="L4946" s="220">
        <v>12470</v>
      </c>
      <c r="M4946" s="220">
        <v>33000</v>
      </c>
      <c r="N4946" s="220">
        <f>SUM(I4946:M4947)</f>
        <v>773120</v>
      </c>
      <c r="O4946" s="224"/>
      <c r="P4946" s="110" t="s">
        <v>15969</v>
      </c>
      <c r="Q4946" s="15" t="s">
        <v>19</v>
      </c>
      <c r="R4946" s="205"/>
      <c r="S4946" s="189" t="s">
        <v>25547</v>
      </c>
      <c r="T4946" s="114"/>
      <c r="U4946" s="21"/>
      <c r="V4946" s="115">
        <v>46046</v>
      </c>
      <c r="W4946" s="116">
        <v>1285</v>
      </c>
      <c r="X4946" s="220">
        <v>815000</v>
      </c>
      <c r="Y4946" s="220">
        <f>X4946*0.1</f>
        <v>81500</v>
      </c>
      <c r="Z4946" s="220">
        <v>12470</v>
      </c>
      <c r="AA4946" s="220">
        <f>SUM(X4946:Z4946)</f>
        <v>908970</v>
      </c>
      <c r="AB4946" s="222">
        <v>46056</v>
      </c>
    </row>
    <row r="4947" spans="1:28" ht="17.100000000000001" customHeight="1" thickBot="1">
      <c r="A4947" s="227"/>
      <c r="B4947" s="27" t="s">
        <v>4468</v>
      </c>
      <c r="C4947" s="27">
        <v>1010</v>
      </c>
      <c r="D4947" s="14" t="s">
        <v>2014</v>
      </c>
      <c r="E4947" s="229"/>
      <c r="F4947" s="117" t="s">
        <v>14471</v>
      </c>
      <c r="G4947" s="26">
        <v>129334</v>
      </c>
      <c r="H4947" s="231"/>
      <c r="I4947" s="221"/>
      <c r="J4947" s="221"/>
      <c r="K4947" s="221"/>
      <c r="L4947" s="221"/>
      <c r="M4947" s="221"/>
      <c r="N4947" s="221"/>
      <c r="O4947" s="225"/>
      <c r="P4947" s="118" t="s">
        <v>8371</v>
      </c>
      <c r="Q4947" s="16" t="s">
        <v>20</v>
      </c>
      <c r="R4947" s="17" t="s">
        <v>1822</v>
      </c>
      <c r="S4947" s="121" t="s">
        <v>10516</v>
      </c>
      <c r="T4947" s="122"/>
      <c r="U4947" s="22"/>
      <c r="V4947" s="123" t="s">
        <v>2472</v>
      </c>
      <c r="W4947" s="122">
        <v>33094</v>
      </c>
      <c r="X4947" s="221"/>
      <c r="Y4947" s="221"/>
      <c r="Z4947" s="221"/>
      <c r="AA4947" s="221"/>
      <c r="AB4947" s="223"/>
    </row>
    <row r="4948" spans="1:28" ht="17.100000000000001" customHeight="1" thickTop="1">
      <c r="A4948" s="226" t="s">
        <v>14467</v>
      </c>
      <c r="B4948" s="28">
        <v>46034</v>
      </c>
      <c r="C4948" s="25">
        <v>2076</v>
      </c>
      <c r="D4948" s="13" t="s">
        <v>1871</v>
      </c>
      <c r="E4948" s="228"/>
      <c r="F4948" s="109" t="s">
        <v>2685</v>
      </c>
      <c r="G4948" s="24"/>
      <c r="H4948" s="230">
        <v>4.5</v>
      </c>
      <c r="I4948" s="220">
        <v>620000</v>
      </c>
      <c r="J4948" s="220">
        <f>I4948*0.1</f>
        <v>62000</v>
      </c>
      <c r="K4948" s="220">
        <v>0</v>
      </c>
      <c r="L4948" s="220">
        <v>17700</v>
      </c>
      <c r="M4948" s="220">
        <v>17600</v>
      </c>
      <c r="N4948" s="220">
        <f>SUM(I4948:M4949)</f>
        <v>717300</v>
      </c>
      <c r="O4948" s="224"/>
      <c r="P4948" s="110" t="s">
        <v>14983</v>
      </c>
      <c r="Q4948" s="15" t="s">
        <v>19</v>
      </c>
      <c r="R4948" s="205"/>
      <c r="S4948" s="189" t="s">
        <v>1361</v>
      </c>
      <c r="T4948" s="114"/>
      <c r="U4948" s="21"/>
      <c r="V4948" s="115">
        <v>46046</v>
      </c>
      <c r="W4948" s="116">
        <v>1285</v>
      </c>
      <c r="X4948" s="220">
        <v>840000</v>
      </c>
      <c r="Y4948" s="220">
        <f>X4948*0.1</f>
        <v>84000</v>
      </c>
      <c r="Z4948" s="220">
        <v>17700</v>
      </c>
      <c r="AA4948" s="220">
        <f>SUM(X4948:Z4948)</f>
        <v>941700</v>
      </c>
      <c r="AB4948" s="222">
        <v>46049</v>
      </c>
    </row>
    <row r="4949" spans="1:28" ht="17.100000000000001" customHeight="1" thickBot="1">
      <c r="A4949" s="227"/>
      <c r="B4949" s="27" t="s">
        <v>82</v>
      </c>
      <c r="C4949" s="27">
        <v>32013</v>
      </c>
      <c r="D4949" s="14" t="s">
        <v>273</v>
      </c>
      <c r="E4949" s="229"/>
      <c r="F4949" s="117" t="s">
        <v>14475</v>
      </c>
      <c r="G4949" s="26">
        <v>51403</v>
      </c>
      <c r="H4949" s="231"/>
      <c r="I4949" s="221"/>
      <c r="J4949" s="221"/>
      <c r="K4949" s="221"/>
      <c r="L4949" s="221"/>
      <c r="M4949" s="221"/>
      <c r="N4949" s="221"/>
      <c r="O4949" s="225"/>
      <c r="P4949" s="118" t="s">
        <v>14984</v>
      </c>
      <c r="Q4949" s="16" t="s">
        <v>20</v>
      </c>
      <c r="R4949" s="17" t="s">
        <v>14985</v>
      </c>
      <c r="S4949" s="121" t="s">
        <v>14986</v>
      </c>
      <c r="T4949" s="122"/>
      <c r="U4949" s="22"/>
      <c r="V4949" s="123" t="s">
        <v>2472</v>
      </c>
      <c r="W4949" s="122">
        <v>80068</v>
      </c>
      <c r="X4949" s="221"/>
      <c r="Y4949" s="221"/>
      <c r="Z4949" s="221"/>
      <c r="AA4949" s="221"/>
      <c r="AB4949" s="223"/>
    </row>
    <row r="4950" spans="1:28" ht="17.100000000000001" customHeight="1" thickTop="1">
      <c r="A4950" s="226" t="s">
        <v>14468</v>
      </c>
      <c r="B4950" s="28">
        <v>46034</v>
      </c>
      <c r="C4950" s="25">
        <v>2076</v>
      </c>
      <c r="D4950" s="13" t="s">
        <v>3769</v>
      </c>
      <c r="E4950" s="228"/>
      <c r="F4950" s="109" t="s">
        <v>8130</v>
      </c>
      <c r="G4950" s="24" t="s">
        <v>2926</v>
      </c>
      <c r="H4950" s="230">
        <v>5</v>
      </c>
      <c r="I4950" s="220">
        <v>2865000</v>
      </c>
      <c r="J4950" s="220">
        <f>I4950*0.1</f>
        <v>286500</v>
      </c>
      <c r="K4950" s="220">
        <v>6600</v>
      </c>
      <c r="L4950" s="220">
        <v>13770</v>
      </c>
      <c r="M4950" s="220">
        <v>11000</v>
      </c>
      <c r="N4950" s="220">
        <f>SUM(I4950:M4951)</f>
        <v>3182870</v>
      </c>
      <c r="O4950" s="224"/>
      <c r="P4950" s="110" t="s">
        <v>14489</v>
      </c>
      <c r="Q4950" s="15" t="s">
        <v>19</v>
      </c>
      <c r="R4950" s="205"/>
      <c r="S4950" s="189" t="s">
        <v>1361</v>
      </c>
      <c r="T4950" s="114"/>
      <c r="U4950" s="21"/>
      <c r="V4950" s="115">
        <v>46046</v>
      </c>
      <c r="W4950" s="116">
        <v>1285</v>
      </c>
      <c r="X4950" s="220">
        <v>3050000</v>
      </c>
      <c r="Y4950" s="220">
        <f>X4950*0.1</f>
        <v>305000</v>
      </c>
      <c r="Z4950" s="220">
        <v>13770</v>
      </c>
      <c r="AA4950" s="220">
        <f>SUM(X4950:Z4950)</f>
        <v>3368770</v>
      </c>
      <c r="AB4950" s="222">
        <v>46049</v>
      </c>
    </row>
    <row r="4951" spans="1:28" ht="17.100000000000001" customHeight="1" thickBot="1">
      <c r="A4951" s="227"/>
      <c r="B4951" s="27" t="s">
        <v>82</v>
      </c>
      <c r="C4951" s="27">
        <v>33543</v>
      </c>
      <c r="D4951" s="14" t="s">
        <v>273</v>
      </c>
      <c r="E4951" s="229"/>
      <c r="F4951" s="117" t="s">
        <v>14476</v>
      </c>
      <c r="G4951" s="26">
        <v>28346</v>
      </c>
      <c r="H4951" s="231"/>
      <c r="I4951" s="221"/>
      <c r="J4951" s="221"/>
      <c r="K4951" s="221"/>
      <c r="L4951" s="221"/>
      <c r="M4951" s="221"/>
      <c r="N4951" s="221"/>
      <c r="O4951" s="225"/>
      <c r="P4951" s="118" t="s">
        <v>4735</v>
      </c>
      <c r="Q4951" s="16" t="s">
        <v>20</v>
      </c>
      <c r="R4951" s="17" t="s">
        <v>15049</v>
      </c>
      <c r="S4951" s="121" t="s">
        <v>14750</v>
      </c>
      <c r="T4951" s="122"/>
      <c r="U4951" s="22"/>
      <c r="V4951" s="123" t="s">
        <v>2472</v>
      </c>
      <c r="W4951" s="122">
        <v>80039</v>
      </c>
      <c r="X4951" s="221"/>
      <c r="Y4951" s="221"/>
      <c r="Z4951" s="221"/>
      <c r="AA4951" s="221"/>
      <c r="AB4951" s="223"/>
    </row>
    <row r="4952" spans="1:28" ht="17.100000000000001" customHeight="1" thickTop="1">
      <c r="A4952" s="233" t="s">
        <v>14469</v>
      </c>
      <c r="B4952" s="28">
        <v>46034</v>
      </c>
      <c r="C4952" s="25">
        <v>2076</v>
      </c>
      <c r="D4952" s="13" t="s">
        <v>2406</v>
      </c>
      <c r="E4952" s="228"/>
      <c r="F4952" s="109" t="s">
        <v>14490</v>
      </c>
      <c r="G4952" s="24"/>
      <c r="H4952" s="230">
        <v>4</v>
      </c>
      <c r="I4952" s="220">
        <v>504000</v>
      </c>
      <c r="J4952" s="220">
        <f>I4952*0.1</f>
        <v>50400</v>
      </c>
      <c r="K4952" s="220">
        <v>0</v>
      </c>
      <c r="L4952" s="220">
        <v>14500</v>
      </c>
      <c r="M4952" s="220">
        <v>11000</v>
      </c>
      <c r="N4952" s="220">
        <f>SUM(I4952:M4953)</f>
        <v>579900</v>
      </c>
      <c r="O4952" s="224"/>
      <c r="P4952" s="110" t="s">
        <v>14680</v>
      </c>
      <c r="Q4952" s="15" t="s">
        <v>19</v>
      </c>
      <c r="R4952" s="205"/>
      <c r="S4952" s="189" t="s">
        <v>1361</v>
      </c>
      <c r="T4952" s="114"/>
      <c r="U4952" s="21"/>
      <c r="V4952" s="115">
        <v>46039</v>
      </c>
      <c r="W4952" s="116">
        <v>1284</v>
      </c>
      <c r="X4952" s="220">
        <v>630000</v>
      </c>
      <c r="Y4952" s="220">
        <f>X4952*0.1</f>
        <v>63000</v>
      </c>
      <c r="Z4952" s="220">
        <v>14500</v>
      </c>
      <c r="AA4952" s="220">
        <f>SUM(X4952:Z4952)</f>
        <v>707500</v>
      </c>
      <c r="AB4952" s="222">
        <v>46042</v>
      </c>
    </row>
    <row r="4953" spans="1:28" ht="17.100000000000001" customHeight="1" thickBot="1">
      <c r="A4953" s="234"/>
      <c r="B4953" s="27" t="s">
        <v>82</v>
      </c>
      <c r="C4953" s="27">
        <v>34512</v>
      </c>
      <c r="D4953" s="14" t="s">
        <v>14477</v>
      </c>
      <c r="E4953" s="229"/>
      <c r="F4953" s="117" t="s">
        <v>14478</v>
      </c>
      <c r="G4953" s="26">
        <v>54023</v>
      </c>
      <c r="H4953" s="231"/>
      <c r="I4953" s="221"/>
      <c r="J4953" s="221"/>
      <c r="K4953" s="221"/>
      <c r="L4953" s="221"/>
      <c r="M4953" s="221"/>
      <c r="N4953" s="221"/>
      <c r="O4953" s="225"/>
      <c r="P4953" s="118" t="s">
        <v>291</v>
      </c>
      <c r="Q4953" s="16" t="s">
        <v>20</v>
      </c>
      <c r="R4953" s="17" t="s">
        <v>1800</v>
      </c>
      <c r="S4953" s="121" t="s">
        <v>14751</v>
      </c>
      <c r="T4953" s="122"/>
      <c r="U4953" s="22"/>
      <c r="V4953" s="123" t="s">
        <v>2472</v>
      </c>
      <c r="W4953" s="122">
        <v>80331</v>
      </c>
      <c r="X4953" s="221"/>
      <c r="Y4953" s="221"/>
      <c r="Z4953" s="221"/>
      <c r="AA4953" s="221"/>
      <c r="AB4953" s="223"/>
    </row>
    <row r="4954" spans="1:28" ht="17.100000000000001" customHeight="1" thickTop="1">
      <c r="A4954" s="226" t="s">
        <v>14472</v>
      </c>
      <c r="B4954" s="28">
        <v>46034</v>
      </c>
      <c r="C4954" s="25">
        <v>2076</v>
      </c>
      <c r="D4954" s="13" t="s">
        <v>2295</v>
      </c>
      <c r="E4954" s="228"/>
      <c r="F4954" s="109" t="s">
        <v>14491</v>
      </c>
      <c r="G4954" s="24" t="s">
        <v>1540</v>
      </c>
      <c r="H4954" s="230">
        <v>4.5</v>
      </c>
      <c r="I4954" s="220">
        <v>2145000</v>
      </c>
      <c r="J4954" s="220">
        <f>I4954*0.1</f>
        <v>214500</v>
      </c>
      <c r="K4954" s="220">
        <v>6600</v>
      </c>
      <c r="L4954" s="220">
        <v>19090</v>
      </c>
      <c r="M4954" s="220">
        <v>11000</v>
      </c>
      <c r="N4954" s="220">
        <f>SUM(I4954:M4955)</f>
        <v>2396190</v>
      </c>
      <c r="O4954" s="224"/>
      <c r="P4954" s="110" t="s">
        <v>14998</v>
      </c>
      <c r="Q4954" s="15" t="s">
        <v>19</v>
      </c>
      <c r="R4954" s="205"/>
      <c r="S4954" s="189"/>
      <c r="T4954" s="114"/>
      <c r="U4954" s="21"/>
      <c r="V4954" s="115">
        <v>46046</v>
      </c>
      <c r="W4954" s="116">
        <v>1285</v>
      </c>
      <c r="X4954" s="220">
        <v>2370000</v>
      </c>
      <c r="Y4954" s="220">
        <f>X4954*0.1</f>
        <v>237000</v>
      </c>
      <c r="Z4954" s="220">
        <v>19090</v>
      </c>
      <c r="AA4954" s="220">
        <f>SUM(X4954:Z4954)</f>
        <v>2626090</v>
      </c>
      <c r="AB4954" s="222">
        <v>46049</v>
      </c>
    </row>
    <row r="4955" spans="1:28" ht="17.100000000000001" customHeight="1" thickBot="1">
      <c r="A4955" s="227"/>
      <c r="B4955" s="27" t="s">
        <v>82</v>
      </c>
      <c r="C4955" s="27">
        <v>34525</v>
      </c>
      <c r="D4955" s="14" t="s">
        <v>1568</v>
      </c>
      <c r="E4955" s="229"/>
      <c r="F4955" s="117" t="s">
        <v>14479</v>
      </c>
      <c r="G4955" s="26">
        <v>40251</v>
      </c>
      <c r="H4955" s="231"/>
      <c r="I4955" s="221"/>
      <c r="J4955" s="221"/>
      <c r="K4955" s="221"/>
      <c r="L4955" s="221"/>
      <c r="M4955" s="221"/>
      <c r="N4955" s="221"/>
      <c r="O4955" s="225"/>
      <c r="P4955" s="118" t="s">
        <v>3989</v>
      </c>
      <c r="Q4955" s="16" t="s">
        <v>20</v>
      </c>
      <c r="R4955" s="17" t="s">
        <v>1807</v>
      </c>
      <c r="S4955" s="121" t="s">
        <v>14999</v>
      </c>
      <c r="T4955" s="122"/>
      <c r="U4955" s="22"/>
      <c r="V4955" s="123" t="s">
        <v>2472</v>
      </c>
      <c r="W4955" s="122">
        <v>80122</v>
      </c>
      <c r="X4955" s="221"/>
      <c r="Y4955" s="221"/>
      <c r="Z4955" s="221"/>
      <c r="AA4955" s="221"/>
      <c r="AB4955" s="223"/>
    </row>
    <row r="4956" spans="1:28" ht="17.100000000000001" customHeight="1" thickTop="1">
      <c r="A4956" s="226" t="s">
        <v>14473</v>
      </c>
      <c r="B4956" s="28">
        <v>46034</v>
      </c>
      <c r="C4956" s="25">
        <v>2076</v>
      </c>
      <c r="D4956" s="13" t="s">
        <v>3422</v>
      </c>
      <c r="E4956" s="228"/>
      <c r="F4956" s="109" t="s">
        <v>4483</v>
      </c>
      <c r="G4956" s="24"/>
      <c r="H4956" s="230">
        <v>4</v>
      </c>
      <c r="I4956" s="220">
        <v>1085000</v>
      </c>
      <c r="J4956" s="220">
        <f>I4956*0.1</f>
        <v>108500</v>
      </c>
      <c r="K4956" s="220">
        <v>0</v>
      </c>
      <c r="L4956" s="220">
        <v>17600</v>
      </c>
      <c r="M4956" s="220">
        <v>11000</v>
      </c>
      <c r="N4956" s="220">
        <f>SUM(I4956:M4957)</f>
        <v>1222100</v>
      </c>
      <c r="O4956" s="224"/>
      <c r="P4956" s="110" t="s">
        <v>14987</v>
      </c>
      <c r="Q4956" s="15" t="s">
        <v>19</v>
      </c>
      <c r="R4956" s="205"/>
      <c r="S4956" s="189" t="s">
        <v>1361</v>
      </c>
      <c r="T4956" s="114"/>
      <c r="U4956" s="21"/>
      <c r="V4956" s="115">
        <v>46046</v>
      </c>
      <c r="W4956" s="116">
        <v>1285</v>
      </c>
      <c r="X4956" s="220">
        <v>1230000</v>
      </c>
      <c r="Y4956" s="220">
        <f>X4956*0.1</f>
        <v>123000</v>
      </c>
      <c r="Z4956" s="220">
        <v>17600</v>
      </c>
      <c r="AA4956" s="220">
        <f>SUM(X4956:Z4956)</f>
        <v>1370600</v>
      </c>
      <c r="AB4956" s="222">
        <v>46049</v>
      </c>
    </row>
    <row r="4957" spans="1:28" ht="17.100000000000001" customHeight="1" thickBot="1">
      <c r="A4957" s="227"/>
      <c r="B4957" s="27" t="s">
        <v>82</v>
      </c>
      <c r="C4957" s="27">
        <v>34536</v>
      </c>
      <c r="D4957" s="14" t="s">
        <v>1584</v>
      </c>
      <c r="E4957" s="229"/>
      <c r="F4957" s="117" t="s">
        <v>14480</v>
      </c>
      <c r="G4957" s="26">
        <v>58210</v>
      </c>
      <c r="H4957" s="231"/>
      <c r="I4957" s="221"/>
      <c r="J4957" s="221"/>
      <c r="K4957" s="221"/>
      <c r="L4957" s="221"/>
      <c r="M4957" s="221"/>
      <c r="N4957" s="221"/>
      <c r="O4957" s="225"/>
      <c r="P4957" s="118" t="s">
        <v>14988</v>
      </c>
      <c r="Q4957" s="16" t="s">
        <v>20</v>
      </c>
      <c r="R4957" s="17" t="s">
        <v>14985</v>
      </c>
      <c r="S4957" s="121" t="s">
        <v>14989</v>
      </c>
      <c r="T4957" s="122"/>
      <c r="U4957" s="22"/>
      <c r="V4957" s="123" t="s">
        <v>2472</v>
      </c>
      <c r="W4957" s="122">
        <v>80050</v>
      </c>
      <c r="X4957" s="221"/>
      <c r="Y4957" s="221"/>
      <c r="Z4957" s="221"/>
      <c r="AA4957" s="221"/>
      <c r="AB4957" s="223"/>
    </row>
    <row r="4958" spans="1:28" ht="17.100000000000001" customHeight="1" thickTop="1">
      <c r="A4958" s="233" t="s">
        <v>14474</v>
      </c>
      <c r="B4958" s="28">
        <v>46034</v>
      </c>
      <c r="C4958" s="25">
        <v>2076</v>
      </c>
      <c r="D4958" s="13" t="s">
        <v>1762</v>
      </c>
      <c r="E4958" s="228"/>
      <c r="F4958" s="109" t="s">
        <v>9789</v>
      </c>
      <c r="G4958" s="24"/>
      <c r="H4958" s="230">
        <v>4</v>
      </c>
      <c r="I4958" s="220">
        <v>600000</v>
      </c>
      <c r="J4958" s="220">
        <f>I4958*0.1</f>
        <v>60000</v>
      </c>
      <c r="K4958" s="220">
        <v>0</v>
      </c>
      <c r="L4958" s="220">
        <v>19440</v>
      </c>
      <c r="M4958" s="220">
        <v>11000</v>
      </c>
      <c r="N4958" s="220">
        <f>SUM(I4958:M4959)</f>
        <v>690440</v>
      </c>
      <c r="O4958" s="224"/>
      <c r="P4958" s="110" t="s">
        <v>14997</v>
      </c>
      <c r="Q4958" s="15" t="s">
        <v>19</v>
      </c>
      <c r="R4958" s="205"/>
      <c r="S4958" s="189" t="s">
        <v>25510</v>
      </c>
      <c r="T4958" s="114"/>
      <c r="U4958" s="21"/>
      <c r="V4958" s="115">
        <v>46039</v>
      </c>
      <c r="W4958" s="116">
        <v>1284</v>
      </c>
      <c r="X4958" s="220">
        <v>850000</v>
      </c>
      <c r="Y4958" s="220">
        <f>X4958*0.1</f>
        <v>85000</v>
      </c>
      <c r="Z4958" s="220">
        <v>19440</v>
      </c>
      <c r="AA4958" s="220">
        <f>SUM(X4958:Z4958)</f>
        <v>954440</v>
      </c>
      <c r="AB4958" s="222">
        <v>46042</v>
      </c>
    </row>
    <row r="4959" spans="1:28" ht="17.100000000000001" customHeight="1" thickBot="1">
      <c r="A4959" s="234"/>
      <c r="B4959" s="27" t="s">
        <v>82</v>
      </c>
      <c r="C4959" s="27">
        <v>34537</v>
      </c>
      <c r="D4959" s="14" t="s">
        <v>131</v>
      </c>
      <c r="E4959" s="229"/>
      <c r="F4959" s="117" t="s">
        <v>14481</v>
      </c>
      <c r="G4959" s="26">
        <v>54720</v>
      </c>
      <c r="H4959" s="231"/>
      <c r="I4959" s="221"/>
      <c r="J4959" s="221"/>
      <c r="K4959" s="221"/>
      <c r="L4959" s="221"/>
      <c r="M4959" s="221"/>
      <c r="N4959" s="221"/>
      <c r="O4959" s="225"/>
      <c r="P4959" s="118" t="s">
        <v>7903</v>
      </c>
      <c r="Q4959" s="16" t="s">
        <v>20</v>
      </c>
      <c r="R4959" s="17" t="s">
        <v>1807</v>
      </c>
      <c r="S4959" s="121" t="s">
        <v>1731</v>
      </c>
      <c r="T4959" s="122"/>
      <c r="U4959" s="22"/>
      <c r="V4959" s="123" t="s">
        <v>2472</v>
      </c>
      <c r="W4959" s="122">
        <v>80309</v>
      </c>
      <c r="X4959" s="221"/>
      <c r="Y4959" s="221"/>
      <c r="Z4959" s="221"/>
      <c r="AA4959" s="221"/>
      <c r="AB4959" s="223"/>
    </row>
    <row r="4960" spans="1:28" ht="17.100000000000001" customHeight="1" thickTop="1">
      <c r="A4960" s="226" t="s">
        <v>14482</v>
      </c>
      <c r="B4960" s="28">
        <v>46034</v>
      </c>
      <c r="C4960" s="25"/>
      <c r="D4960" s="13" t="s">
        <v>894</v>
      </c>
      <c r="E4960" s="228"/>
      <c r="F4960" s="109" t="s">
        <v>1854</v>
      </c>
      <c r="G4960" s="24" t="s">
        <v>3859</v>
      </c>
      <c r="H4960" s="230">
        <v>4</v>
      </c>
      <c r="I4960" s="220">
        <v>377000</v>
      </c>
      <c r="J4960" s="220">
        <f>I4960*0.1</f>
        <v>37700</v>
      </c>
      <c r="K4960" s="220">
        <f>6500+650</f>
        <v>7150</v>
      </c>
      <c r="L4960" s="220">
        <v>16090</v>
      </c>
      <c r="M4960" s="220">
        <v>14850</v>
      </c>
      <c r="N4960" s="220">
        <f>SUM(I4960:M4961)</f>
        <v>452790</v>
      </c>
      <c r="O4960" s="224"/>
      <c r="P4960" s="110" t="s">
        <v>14487</v>
      </c>
      <c r="Q4960" s="15" t="s">
        <v>19</v>
      </c>
      <c r="R4960" s="205"/>
      <c r="S4960" s="189" t="s">
        <v>758</v>
      </c>
      <c r="T4960" s="114"/>
      <c r="U4960" s="21"/>
      <c r="V4960" s="115">
        <v>46046</v>
      </c>
      <c r="W4960" s="116">
        <v>1285</v>
      </c>
      <c r="X4960" s="220">
        <v>510000</v>
      </c>
      <c r="Y4960" s="220">
        <f>X4960*0.1</f>
        <v>51000</v>
      </c>
      <c r="Z4960" s="220">
        <v>16090</v>
      </c>
      <c r="AA4960" s="220">
        <f>SUM(X4960:Z4960)</f>
        <v>577090</v>
      </c>
      <c r="AB4960" s="222">
        <v>46049</v>
      </c>
    </row>
    <row r="4961" spans="1:28" ht="17.100000000000001" customHeight="1" thickBot="1">
      <c r="A4961" s="227"/>
      <c r="B4961" s="27" t="s">
        <v>9764</v>
      </c>
      <c r="C4961" s="27">
        <v>20274</v>
      </c>
      <c r="D4961" s="14" t="s">
        <v>131</v>
      </c>
      <c r="E4961" s="229"/>
      <c r="F4961" s="117" t="s">
        <v>14486</v>
      </c>
      <c r="G4961" s="26">
        <v>44838</v>
      </c>
      <c r="H4961" s="231"/>
      <c r="I4961" s="221"/>
      <c r="J4961" s="221"/>
      <c r="K4961" s="221"/>
      <c r="L4961" s="221"/>
      <c r="M4961" s="221"/>
      <c r="N4961" s="221"/>
      <c r="O4961" s="225"/>
      <c r="P4961" s="118" t="s">
        <v>14729</v>
      </c>
      <c r="Q4961" s="16" t="s">
        <v>20</v>
      </c>
      <c r="R4961" s="17" t="s">
        <v>14717</v>
      </c>
      <c r="S4961" s="121" t="s">
        <v>14750</v>
      </c>
      <c r="T4961" s="122"/>
      <c r="U4961" s="22"/>
      <c r="V4961" s="123" t="s">
        <v>2472</v>
      </c>
      <c r="W4961" s="122">
        <v>80118</v>
      </c>
      <c r="X4961" s="221"/>
      <c r="Y4961" s="221"/>
      <c r="Z4961" s="221"/>
      <c r="AA4961" s="221"/>
      <c r="AB4961" s="223"/>
    </row>
    <row r="4962" spans="1:28" ht="17.100000000000001" customHeight="1" thickTop="1">
      <c r="A4962" s="233" t="s">
        <v>14483</v>
      </c>
      <c r="B4962" s="28">
        <v>46034</v>
      </c>
      <c r="C4962" s="25"/>
      <c r="D4962" s="13" t="s">
        <v>1746</v>
      </c>
      <c r="E4962" s="228"/>
      <c r="F4962" s="109" t="s">
        <v>1916</v>
      </c>
      <c r="G4962" s="24"/>
      <c r="H4962" s="230">
        <v>3.5</v>
      </c>
      <c r="I4962" s="220">
        <v>290000</v>
      </c>
      <c r="J4962" s="220">
        <f>I4962*0.1</f>
        <v>29000</v>
      </c>
      <c r="K4962" s="220">
        <v>0</v>
      </c>
      <c r="L4962" s="220">
        <v>18960</v>
      </c>
      <c r="M4962" s="220">
        <v>14850</v>
      </c>
      <c r="N4962" s="220">
        <f>SUM(I4962:M4963)</f>
        <v>352810</v>
      </c>
      <c r="O4962" s="224"/>
      <c r="P4962" s="110" t="s">
        <v>15005</v>
      </c>
      <c r="Q4962" s="15" t="s">
        <v>19</v>
      </c>
      <c r="R4962" s="205"/>
      <c r="S4962" s="189"/>
      <c r="T4962" s="114"/>
      <c r="U4962" s="21"/>
      <c r="V4962" s="115">
        <v>46039</v>
      </c>
      <c r="W4962" s="116">
        <v>1284</v>
      </c>
      <c r="X4962" s="220">
        <v>380000</v>
      </c>
      <c r="Y4962" s="220">
        <f>X4962*0.1</f>
        <v>38000</v>
      </c>
      <c r="Z4962" s="220">
        <v>18960</v>
      </c>
      <c r="AA4962" s="220">
        <f>SUM(X4962:Z4962)</f>
        <v>436960</v>
      </c>
      <c r="AB4962" s="222">
        <v>46043</v>
      </c>
    </row>
    <row r="4963" spans="1:28" ht="17.100000000000001" customHeight="1" thickBot="1">
      <c r="A4963" s="234"/>
      <c r="B4963" s="27" t="s">
        <v>2727</v>
      </c>
      <c r="C4963" s="27">
        <v>70047</v>
      </c>
      <c r="D4963" s="14" t="s">
        <v>3746</v>
      </c>
      <c r="E4963" s="229"/>
      <c r="F4963" s="117" t="s">
        <v>14764</v>
      </c>
      <c r="G4963" s="26">
        <v>82973</v>
      </c>
      <c r="H4963" s="231"/>
      <c r="I4963" s="221"/>
      <c r="J4963" s="221"/>
      <c r="K4963" s="221"/>
      <c r="L4963" s="221"/>
      <c r="M4963" s="221"/>
      <c r="N4963" s="221"/>
      <c r="O4963" s="225"/>
      <c r="P4963" s="118" t="s">
        <v>2729</v>
      </c>
      <c r="Q4963" s="16" t="s">
        <v>20</v>
      </c>
      <c r="R4963" s="17" t="s">
        <v>2276</v>
      </c>
      <c r="S4963" s="121" t="s">
        <v>7720</v>
      </c>
      <c r="T4963" s="122"/>
      <c r="U4963" s="22"/>
      <c r="V4963" s="123" t="s">
        <v>2472</v>
      </c>
      <c r="W4963" s="122">
        <v>80098</v>
      </c>
      <c r="X4963" s="221"/>
      <c r="Y4963" s="221"/>
      <c r="Z4963" s="221"/>
      <c r="AA4963" s="221"/>
      <c r="AB4963" s="223"/>
    </row>
    <row r="4964" spans="1:28" ht="17.100000000000001" customHeight="1" thickTop="1">
      <c r="A4964" s="233" t="s">
        <v>14484</v>
      </c>
      <c r="B4964" s="28">
        <v>46034</v>
      </c>
      <c r="C4964" s="25"/>
      <c r="D4964" s="13" t="s">
        <v>1578</v>
      </c>
      <c r="E4964" s="228"/>
      <c r="F4964" s="109" t="s">
        <v>14488</v>
      </c>
      <c r="G4964" s="24"/>
      <c r="H4964" s="230">
        <v>4.5</v>
      </c>
      <c r="I4964" s="220">
        <v>1016000</v>
      </c>
      <c r="J4964" s="220">
        <f>I4964*0.1</f>
        <v>101600</v>
      </c>
      <c r="K4964" s="220">
        <v>0</v>
      </c>
      <c r="L4964" s="220">
        <v>19440</v>
      </c>
      <c r="M4964" s="220">
        <v>14850</v>
      </c>
      <c r="N4964" s="220">
        <f>SUM(I4964:M4965)</f>
        <v>1151890</v>
      </c>
      <c r="O4964" s="224"/>
      <c r="P4964" s="110" t="s">
        <v>15006</v>
      </c>
      <c r="Q4964" s="15" t="s">
        <v>19</v>
      </c>
      <c r="R4964" s="205"/>
      <c r="S4964" s="189"/>
      <c r="T4964" s="114"/>
      <c r="U4964" s="21"/>
      <c r="V4964" s="115">
        <v>46039</v>
      </c>
      <c r="W4964" s="116">
        <v>1284</v>
      </c>
      <c r="X4964" s="220">
        <v>1205000</v>
      </c>
      <c r="Y4964" s="220">
        <f>X4964*0.1</f>
        <v>120500</v>
      </c>
      <c r="Z4964" s="220">
        <v>19440</v>
      </c>
      <c r="AA4964" s="220">
        <f>SUM(X4964:Z4964)</f>
        <v>1344940</v>
      </c>
      <c r="AB4964" s="222">
        <v>46043</v>
      </c>
    </row>
    <row r="4965" spans="1:28" ht="17.100000000000001" customHeight="1" thickBot="1">
      <c r="A4965" s="234"/>
      <c r="B4965" s="27" t="s">
        <v>2727</v>
      </c>
      <c r="C4965" s="27">
        <v>80258</v>
      </c>
      <c r="D4965" s="14" t="s">
        <v>1797</v>
      </c>
      <c r="E4965" s="229"/>
      <c r="F4965" s="117" t="s">
        <v>14763</v>
      </c>
      <c r="G4965" s="26">
        <v>61861</v>
      </c>
      <c r="H4965" s="231"/>
      <c r="I4965" s="221"/>
      <c r="J4965" s="221"/>
      <c r="K4965" s="221"/>
      <c r="L4965" s="221"/>
      <c r="M4965" s="221"/>
      <c r="N4965" s="221"/>
      <c r="O4965" s="225"/>
      <c r="P4965" s="118" t="s">
        <v>15007</v>
      </c>
      <c r="Q4965" s="16" t="s">
        <v>20</v>
      </c>
      <c r="R4965" s="17" t="s">
        <v>2276</v>
      </c>
      <c r="S4965" s="121" t="s">
        <v>7722</v>
      </c>
      <c r="T4965" s="122"/>
      <c r="U4965" s="22"/>
      <c r="V4965" s="123" t="s">
        <v>2472</v>
      </c>
      <c r="W4965" s="122">
        <v>80093</v>
      </c>
      <c r="X4965" s="221"/>
      <c r="Y4965" s="221"/>
      <c r="Z4965" s="221"/>
      <c r="AA4965" s="221"/>
      <c r="AB4965" s="223"/>
    </row>
    <row r="4966" spans="1:28" ht="17.100000000000001" customHeight="1" thickTop="1">
      <c r="A4966" s="235" t="s">
        <v>14485</v>
      </c>
      <c r="B4966" s="28">
        <v>46034</v>
      </c>
      <c r="C4966" s="25"/>
      <c r="D4966" s="13" t="s">
        <v>5508</v>
      </c>
      <c r="E4966" s="228"/>
      <c r="F4966" s="109" t="s">
        <v>14252</v>
      </c>
      <c r="G4966" s="24"/>
      <c r="H4966" s="230">
        <v>4</v>
      </c>
      <c r="I4966" s="220">
        <v>287000</v>
      </c>
      <c r="J4966" s="220">
        <f>I4966*0.1</f>
        <v>28700</v>
      </c>
      <c r="K4966" s="220">
        <v>0</v>
      </c>
      <c r="L4966" s="220">
        <v>14580</v>
      </c>
      <c r="M4966" s="220">
        <v>14850</v>
      </c>
      <c r="N4966" s="220">
        <f>SUM(I4966:M4967)</f>
        <v>345130</v>
      </c>
      <c r="O4966" s="224"/>
      <c r="P4966" s="110" t="s">
        <v>15009</v>
      </c>
      <c r="Q4966" s="15" t="s">
        <v>19</v>
      </c>
      <c r="R4966" s="205"/>
      <c r="S4966" s="189"/>
      <c r="T4966" s="114" t="s">
        <v>15827</v>
      </c>
      <c r="U4966" s="21"/>
      <c r="V4966" s="115">
        <v>46053</v>
      </c>
      <c r="W4966" s="116">
        <v>1286</v>
      </c>
      <c r="X4966" s="220">
        <v>415000</v>
      </c>
      <c r="Y4966" s="220">
        <f>X4966*0.1</f>
        <v>41500</v>
      </c>
      <c r="Z4966" s="220">
        <v>14500</v>
      </c>
      <c r="AA4966" s="220">
        <f>SUM(X4966:Z4966)</f>
        <v>471000</v>
      </c>
      <c r="AB4966" s="222">
        <v>46056</v>
      </c>
    </row>
    <row r="4967" spans="1:28" ht="17.100000000000001" customHeight="1" thickBot="1">
      <c r="A4967" s="236"/>
      <c r="B4967" s="27" t="s">
        <v>2727</v>
      </c>
      <c r="C4967" s="27">
        <v>80268</v>
      </c>
      <c r="D4967" s="14" t="s">
        <v>1584</v>
      </c>
      <c r="E4967" s="229"/>
      <c r="F4967" s="117" t="s">
        <v>15008</v>
      </c>
      <c r="G4967" s="26">
        <v>61963</v>
      </c>
      <c r="H4967" s="231"/>
      <c r="I4967" s="221"/>
      <c r="J4967" s="221"/>
      <c r="K4967" s="221"/>
      <c r="L4967" s="221"/>
      <c r="M4967" s="221"/>
      <c r="N4967" s="221"/>
      <c r="O4967" s="225"/>
      <c r="P4967" s="118" t="s">
        <v>15010</v>
      </c>
      <c r="Q4967" s="16" t="s">
        <v>20</v>
      </c>
      <c r="R4967" s="17" t="s">
        <v>2276</v>
      </c>
      <c r="S4967" s="121"/>
      <c r="T4967" s="122"/>
      <c r="U4967" s="22"/>
      <c r="V4967" s="123" t="s">
        <v>2472</v>
      </c>
      <c r="W4967" s="122">
        <v>80017</v>
      </c>
      <c r="X4967" s="221"/>
      <c r="Y4967" s="221"/>
      <c r="Z4967" s="221"/>
      <c r="AA4967" s="221"/>
      <c r="AB4967" s="223"/>
    </row>
    <row r="4968" spans="1:28" ht="17.100000000000001" customHeight="1" thickTop="1">
      <c r="A4968" s="226" t="s">
        <v>14493</v>
      </c>
      <c r="B4968" s="28">
        <v>46034</v>
      </c>
      <c r="C4968" s="25"/>
      <c r="D4968" s="13" t="s">
        <v>3494</v>
      </c>
      <c r="E4968" s="228"/>
      <c r="F4968" s="109" t="s">
        <v>14509</v>
      </c>
      <c r="G4968" s="24" t="s">
        <v>14511</v>
      </c>
      <c r="H4968" s="230">
        <v>4</v>
      </c>
      <c r="I4968" s="220">
        <f>1650000/1.1</f>
        <v>1499999.9999999998</v>
      </c>
      <c r="J4968" s="220">
        <f>I4968*0.1</f>
        <v>149999.99999999997</v>
      </c>
      <c r="K4968" s="220">
        <v>2500</v>
      </c>
      <c r="L4968" s="220">
        <v>9830</v>
      </c>
      <c r="M4968" s="220">
        <v>0</v>
      </c>
      <c r="N4968" s="220">
        <f>SUM(I4968:M4969)</f>
        <v>1662329.9999999998</v>
      </c>
      <c r="O4968" s="224"/>
      <c r="P4968" s="110" t="s">
        <v>16424</v>
      </c>
      <c r="Q4968" s="15" t="s">
        <v>19</v>
      </c>
      <c r="R4968" s="205"/>
      <c r="S4968" s="189" t="s">
        <v>25372</v>
      </c>
      <c r="T4968" s="114"/>
      <c r="U4968" s="21" t="s">
        <v>19495</v>
      </c>
      <c r="V4968" s="115">
        <v>46123</v>
      </c>
      <c r="W4968" s="116">
        <v>1296</v>
      </c>
      <c r="X4968" s="220">
        <v>1515000</v>
      </c>
      <c r="Y4968" s="220">
        <f>X4968*0.1</f>
        <v>151500</v>
      </c>
      <c r="Z4968" s="220">
        <v>9830</v>
      </c>
      <c r="AA4968" s="220">
        <f>SUM(X4968:Z4968)</f>
        <v>1676330</v>
      </c>
      <c r="AB4968" s="222">
        <v>46126</v>
      </c>
    </row>
    <row r="4969" spans="1:28" ht="17.100000000000001" customHeight="1" thickBot="1">
      <c r="A4969" s="227"/>
      <c r="B4969" s="27" t="s">
        <v>1708</v>
      </c>
      <c r="C4969" s="27" t="s">
        <v>14508</v>
      </c>
      <c r="D4969" s="14" t="s">
        <v>2559</v>
      </c>
      <c r="E4969" s="229"/>
      <c r="F4969" s="117" t="s">
        <v>14510</v>
      </c>
      <c r="G4969" s="26">
        <v>45074</v>
      </c>
      <c r="H4969" s="231"/>
      <c r="I4969" s="221"/>
      <c r="J4969" s="221"/>
      <c r="K4969" s="221"/>
      <c r="L4969" s="221"/>
      <c r="M4969" s="221"/>
      <c r="N4969" s="221"/>
      <c r="O4969" s="225"/>
      <c r="P4969" s="118" t="s">
        <v>16425</v>
      </c>
      <c r="Q4969" s="16" t="s">
        <v>20</v>
      </c>
      <c r="R4969" s="17" t="s">
        <v>2295</v>
      </c>
      <c r="S4969" s="121" t="s">
        <v>16620</v>
      </c>
      <c r="T4969" s="122"/>
      <c r="U4969" s="22"/>
      <c r="V4969" s="123" t="s">
        <v>2472</v>
      </c>
      <c r="W4969" s="122">
        <v>55072</v>
      </c>
      <c r="X4969" s="221"/>
      <c r="Y4969" s="221"/>
      <c r="Z4969" s="221"/>
      <c r="AA4969" s="221"/>
      <c r="AB4969" s="223"/>
    </row>
    <row r="4970" spans="1:28" ht="17.100000000000001" customHeight="1" thickTop="1">
      <c r="A4970" s="226" t="s">
        <v>14494</v>
      </c>
      <c r="B4970" s="28">
        <v>46034</v>
      </c>
      <c r="C4970" s="25"/>
      <c r="D4970" s="13" t="s">
        <v>1704</v>
      </c>
      <c r="E4970" s="228"/>
      <c r="F4970" s="109" t="s">
        <v>4223</v>
      </c>
      <c r="G4970" s="24" t="s">
        <v>8076</v>
      </c>
      <c r="H4970" s="230">
        <v>4</v>
      </c>
      <c r="I4970" s="220">
        <f>1358500/1.1</f>
        <v>1235000</v>
      </c>
      <c r="J4970" s="220">
        <f>I4970*0.1</f>
        <v>123500</v>
      </c>
      <c r="K4970" s="220">
        <v>0</v>
      </c>
      <c r="L4970" s="220">
        <v>8550</v>
      </c>
      <c r="M4970" s="220">
        <v>0</v>
      </c>
      <c r="N4970" s="220">
        <f>SUM(I4970:M4971)</f>
        <v>1367050</v>
      </c>
      <c r="O4970" s="224"/>
      <c r="P4970" s="110" t="s">
        <v>16612</v>
      </c>
      <c r="Q4970" s="15" t="s">
        <v>19</v>
      </c>
      <c r="R4970" s="205"/>
      <c r="S4970" s="189" t="s">
        <v>1312</v>
      </c>
      <c r="T4970" s="114"/>
      <c r="U4970" s="21"/>
      <c r="V4970" s="115">
        <v>46071</v>
      </c>
      <c r="W4970" s="116">
        <v>1005</v>
      </c>
      <c r="X4970" s="220">
        <v>1240000</v>
      </c>
      <c r="Y4970" s="220">
        <f>X4970*0.1</f>
        <v>124000</v>
      </c>
      <c r="Z4970" s="220">
        <v>8550</v>
      </c>
      <c r="AA4970" s="220">
        <f>SUM(X4970:Z4970)</f>
        <v>1372550</v>
      </c>
      <c r="AB4970" s="222">
        <v>46077</v>
      </c>
    </row>
    <row r="4971" spans="1:28" ht="17.100000000000001" customHeight="1" thickBot="1">
      <c r="A4971" s="227"/>
      <c r="B4971" s="27" t="s">
        <v>1708</v>
      </c>
      <c r="C4971" s="27" t="s">
        <v>14512</v>
      </c>
      <c r="D4971" s="14">
        <v>0</v>
      </c>
      <c r="E4971" s="229"/>
      <c r="F4971" s="117" t="s">
        <v>14513</v>
      </c>
      <c r="G4971" s="26">
        <v>40126</v>
      </c>
      <c r="H4971" s="231"/>
      <c r="I4971" s="221"/>
      <c r="J4971" s="221"/>
      <c r="K4971" s="221"/>
      <c r="L4971" s="221"/>
      <c r="M4971" s="221"/>
      <c r="N4971" s="221"/>
      <c r="O4971" s="225"/>
      <c r="P4971" s="118" t="s">
        <v>16613</v>
      </c>
      <c r="Q4971" s="16" t="s">
        <v>20</v>
      </c>
      <c r="R4971" s="17" t="s">
        <v>3269</v>
      </c>
      <c r="S4971" s="121" t="s">
        <v>2312</v>
      </c>
      <c r="T4971" s="122"/>
      <c r="U4971" s="22"/>
      <c r="V4971" s="123" t="s">
        <v>8877</v>
      </c>
      <c r="W4971" s="122">
        <v>1107</v>
      </c>
      <c r="X4971" s="221"/>
      <c r="Y4971" s="221"/>
      <c r="Z4971" s="221"/>
      <c r="AA4971" s="221"/>
      <c r="AB4971" s="223"/>
    </row>
    <row r="4972" spans="1:28" ht="17.100000000000001" customHeight="1" thickTop="1">
      <c r="A4972" s="226" t="s">
        <v>14495</v>
      </c>
      <c r="B4972" s="28">
        <v>46034</v>
      </c>
      <c r="C4972" s="25"/>
      <c r="D4972" s="13" t="s">
        <v>3406</v>
      </c>
      <c r="E4972" s="228"/>
      <c r="F4972" s="109" t="s">
        <v>14515</v>
      </c>
      <c r="G4972" s="24" t="s">
        <v>14517</v>
      </c>
      <c r="H4972" s="230">
        <v>4.5</v>
      </c>
      <c r="I4972" s="220">
        <f>2370500/1.1</f>
        <v>2155000</v>
      </c>
      <c r="J4972" s="220">
        <f>I4972*0.1</f>
        <v>215500</v>
      </c>
      <c r="K4972" s="220">
        <v>5000</v>
      </c>
      <c r="L4972" s="220">
        <v>11650</v>
      </c>
      <c r="M4972" s="220">
        <v>0</v>
      </c>
      <c r="N4972" s="220">
        <f>SUM(I4972:M4973)</f>
        <v>2387150</v>
      </c>
      <c r="O4972" s="224"/>
      <c r="P4972" s="110" t="s">
        <v>15748</v>
      </c>
      <c r="Q4972" s="15" t="s">
        <v>19</v>
      </c>
      <c r="R4972" s="205"/>
      <c r="S4972" s="189" t="s">
        <v>1276</v>
      </c>
      <c r="T4972" s="114"/>
      <c r="U4972" s="21"/>
      <c r="V4972" s="115">
        <v>46060</v>
      </c>
      <c r="W4972" s="116">
        <v>1287</v>
      </c>
      <c r="X4972" s="220">
        <v>2245000</v>
      </c>
      <c r="Y4972" s="220">
        <f>X4972*0.1</f>
        <v>224500</v>
      </c>
      <c r="Z4972" s="220">
        <v>11650</v>
      </c>
      <c r="AA4972" s="220">
        <f>SUM(X4972:Z4972)</f>
        <v>2481150</v>
      </c>
      <c r="AB4972" s="222">
        <v>46063</v>
      </c>
    </row>
    <row r="4973" spans="1:28" ht="17.100000000000001" customHeight="1" thickBot="1">
      <c r="A4973" s="227"/>
      <c r="B4973" s="27" t="s">
        <v>1708</v>
      </c>
      <c r="C4973" s="27" t="s">
        <v>14514</v>
      </c>
      <c r="D4973" s="14" t="s">
        <v>273</v>
      </c>
      <c r="E4973" s="229"/>
      <c r="F4973" s="117" t="s">
        <v>14516</v>
      </c>
      <c r="G4973" s="26">
        <v>9997</v>
      </c>
      <c r="H4973" s="231"/>
      <c r="I4973" s="221"/>
      <c r="J4973" s="221"/>
      <c r="K4973" s="221"/>
      <c r="L4973" s="221"/>
      <c r="M4973" s="221"/>
      <c r="N4973" s="221"/>
      <c r="O4973" s="225"/>
      <c r="P4973" s="118" t="s">
        <v>15749</v>
      </c>
      <c r="Q4973" s="16" t="s">
        <v>20</v>
      </c>
      <c r="R4973" s="17" t="s">
        <v>15750</v>
      </c>
      <c r="S4973" s="121" t="s">
        <v>1606</v>
      </c>
      <c r="T4973" s="122"/>
      <c r="U4973" s="22"/>
      <c r="V4973" s="123" t="s">
        <v>2472</v>
      </c>
      <c r="W4973" s="122">
        <v>31275</v>
      </c>
      <c r="X4973" s="221"/>
      <c r="Y4973" s="221"/>
      <c r="Z4973" s="221"/>
      <c r="AA4973" s="221"/>
      <c r="AB4973" s="223"/>
    </row>
    <row r="4974" spans="1:28" ht="17.100000000000001" customHeight="1" thickTop="1">
      <c r="A4974" s="226" t="s">
        <v>14496</v>
      </c>
      <c r="B4974" s="28">
        <v>46034</v>
      </c>
      <c r="C4974" s="25"/>
      <c r="D4974" s="13" t="s">
        <v>1973</v>
      </c>
      <c r="E4974" s="228"/>
      <c r="F4974" s="109" t="s">
        <v>14519</v>
      </c>
      <c r="G4974" s="24" t="s">
        <v>10452</v>
      </c>
      <c r="H4974" s="230">
        <v>4.5</v>
      </c>
      <c r="I4974" s="220">
        <f>4955500/1.1</f>
        <v>4505000</v>
      </c>
      <c r="J4974" s="220">
        <f>I4974*0.1</f>
        <v>450500</v>
      </c>
      <c r="K4974" s="220">
        <v>8300</v>
      </c>
      <c r="L4974" s="220">
        <v>10830</v>
      </c>
      <c r="M4974" s="220">
        <v>0</v>
      </c>
      <c r="N4974" s="220">
        <f>SUM(I4974:M4975)</f>
        <v>4974630</v>
      </c>
      <c r="O4974" s="224"/>
      <c r="P4974" s="110" t="s">
        <v>15733</v>
      </c>
      <c r="Q4974" s="15" t="s">
        <v>19</v>
      </c>
      <c r="R4974" s="205"/>
      <c r="S4974" s="189" t="s">
        <v>25387</v>
      </c>
      <c r="T4974" s="114"/>
      <c r="U4974" s="21"/>
      <c r="V4974" s="115">
        <v>46074</v>
      </c>
      <c r="W4974" s="116">
        <v>1289</v>
      </c>
      <c r="X4974" s="220">
        <v>4610000</v>
      </c>
      <c r="Y4974" s="220">
        <f>X4974*0.1</f>
        <v>461000</v>
      </c>
      <c r="Z4974" s="220">
        <v>10830</v>
      </c>
      <c r="AA4974" s="220">
        <f>SUM(X4974:Z4974)</f>
        <v>5081830</v>
      </c>
      <c r="AB4974" s="222">
        <v>46077</v>
      </c>
    </row>
    <row r="4975" spans="1:28" ht="17.100000000000001" customHeight="1" thickBot="1">
      <c r="A4975" s="227"/>
      <c r="B4975" s="27" t="s">
        <v>1708</v>
      </c>
      <c r="C4975" s="27" t="s">
        <v>14518</v>
      </c>
      <c r="D4975" s="14" t="s">
        <v>273</v>
      </c>
      <c r="E4975" s="229"/>
      <c r="F4975" s="117" t="s">
        <v>14520</v>
      </c>
      <c r="G4975" s="26">
        <v>9000</v>
      </c>
      <c r="H4975" s="231"/>
      <c r="I4975" s="221"/>
      <c r="J4975" s="221"/>
      <c r="K4975" s="221"/>
      <c r="L4975" s="221"/>
      <c r="M4975" s="221"/>
      <c r="N4975" s="221"/>
      <c r="O4975" s="225"/>
      <c r="P4975" s="118" t="s">
        <v>15734</v>
      </c>
      <c r="Q4975" s="16" t="s">
        <v>20</v>
      </c>
      <c r="R4975" s="17" t="s">
        <v>2600</v>
      </c>
      <c r="S4975" s="121" t="s">
        <v>169</v>
      </c>
      <c r="T4975" s="122"/>
      <c r="U4975" s="22"/>
      <c r="V4975" s="123" t="s">
        <v>2472</v>
      </c>
      <c r="W4975" s="122">
        <v>35860</v>
      </c>
      <c r="X4975" s="221"/>
      <c r="Y4975" s="221"/>
      <c r="Z4975" s="221"/>
      <c r="AA4975" s="221"/>
      <c r="AB4975" s="223"/>
    </row>
    <row r="4976" spans="1:28" ht="17.100000000000001" customHeight="1" thickTop="1">
      <c r="A4976" s="226" t="s">
        <v>14497</v>
      </c>
      <c r="B4976" s="28">
        <v>46034</v>
      </c>
      <c r="C4976" s="25"/>
      <c r="D4976" s="13" t="s">
        <v>1748</v>
      </c>
      <c r="E4976" s="228"/>
      <c r="F4976" s="109" t="s">
        <v>10594</v>
      </c>
      <c r="G4976" s="24" t="s">
        <v>5187</v>
      </c>
      <c r="H4976" s="230">
        <v>4.5</v>
      </c>
      <c r="I4976" s="220">
        <f>1650000/1.1</f>
        <v>1499999.9999999998</v>
      </c>
      <c r="J4976" s="220">
        <f>I4976*0.1</f>
        <v>149999.99999999997</v>
      </c>
      <c r="K4976" s="220">
        <v>0</v>
      </c>
      <c r="L4976" s="220">
        <v>8640</v>
      </c>
      <c r="M4976" s="220">
        <v>0</v>
      </c>
      <c r="N4976" s="220">
        <f>SUM(I4976:M4977)</f>
        <v>1658639.9999999998</v>
      </c>
      <c r="O4976" s="224"/>
      <c r="P4976" s="110" t="s">
        <v>15953</v>
      </c>
      <c r="Q4976" s="15" t="s">
        <v>19</v>
      </c>
      <c r="R4976" s="205"/>
      <c r="S4976" s="189" t="s">
        <v>1361</v>
      </c>
      <c r="T4976" s="114"/>
      <c r="U4976" s="21"/>
      <c r="V4976" s="115">
        <v>46053</v>
      </c>
      <c r="W4976" s="116">
        <v>1286</v>
      </c>
      <c r="X4976" s="220">
        <v>1595000</v>
      </c>
      <c r="Y4976" s="220">
        <f>X4976*0.1</f>
        <v>159500</v>
      </c>
      <c r="Z4976" s="220">
        <v>8640</v>
      </c>
      <c r="AA4976" s="220">
        <f>SUM(X4976:Z4976)</f>
        <v>1763140</v>
      </c>
      <c r="AB4976" s="222">
        <v>46056</v>
      </c>
    </row>
    <row r="4977" spans="1:28" ht="17.100000000000001" customHeight="1" thickBot="1">
      <c r="A4977" s="227"/>
      <c r="B4977" s="27" t="s">
        <v>1708</v>
      </c>
      <c r="C4977" s="27" t="s">
        <v>14521</v>
      </c>
      <c r="D4977" s="14" t="s">
        <v>1568</v>
      </c>
      <c r="E4977" s="229"/>
      <c r="F4977" s="117" t="s">
        <v>14522</v>
      </c>
      <c r="G4977" s="26">
        <v>4477</v>
      </c>
      <c r="H4977" s="231"/>
      <c r="I4977" s="221"/>
      <c r="J4977" s="221"/>
      <c r="K4977" s="221"/>
      <c r="L4977" s="221"/>
      <c r="M4977" s="221"/>
      <c r="N4977" s="221"/>
      <c r="O4977" s="225"/>
      <c r="P4977" s="118" t="s">
        <v>15954</v>
      </c>
      <c r="Q4977" s="16" t="s">
        <v>20</v>
      </c>
      <c r="R4977" s="17" t="s">
        <v>1822</v>
      </c>
      <c r="S4977" s="121" t="s">
        <v>16022</v>
      </c>
      <c r="T4977" s="122"/>
      <c r="U4977" s="22"/>
      <c r="V4977" s="123" t="s">
        <v>2472</v>
      </c>
      <c r="W4977" s="122">
        <v>65201</v>
      </c>
      <c r="X4977" s="221"/>
      <c r="Y4977" s="221"/>
      <c r="Z4977" s="221"/>
      <c r="AA4977" s="221"/>
      <c r="AB4977" s="223"/>
    </row>
    <row r="4978" spans="1:28" ht="17.100000000000001" customHeight="1" thickTop="1">
      <c r="A4978" s="233" t="s">
        <v>14498</v>
      </c>
      <c r="B4978" s="28">
        <v>46034</v>
      </c>
      <c r="C4978" s="25"/>
      <c r="D4978" s="13" t="s">
        <v>1632</v>
      </c>
      <c r="E4978" s="228"/>
      <c r="F4978" s="109" t="s">
        <v>14524</v>
      </c>
      <c r="G4978" s="24" t="s">
        <v>12052</v>
      </c>
      <c r="H4978" s="230">
        <v>4</v>
      </c>
      <c r="I4978" s="220">
        <f>1452000/1.1</f>
        <v>1320000</v>
      </c>
      <c r="J4978" s="220">
        <f>I4978*0.1</f>
        <v>132000</v>
      </c>
      <c r="K4978" s="220">
        <v>7500</v>
      </c>
      <c r="L4978" s="220">
        <v>12480</v>
      </c>
      <c r="M4978" s="220">
        <v>0</v>
      </c>
      <c r="N4978" s="220">
        <f>SUM(I4978:M4979)</f>
        <v>1471980</v>
      </c>
      <c r="O4978" s="224"/>
      <c r="P4978" s="110" t="s">
        <v>15367</v>
      </c>
      <c r="Q4978" s="15" t="s">
        <v>19</v>
      </c>
      <c r="R4978" s="205"/>
      <c r="S4978" s="189" t="s">
        <v>758</v>
      </c>
      <c r="T4978" s="114"/>
      <c r="U4978" s="21"/>
      <c r="V4978" s="115">
        <v>46050</v>
      </c>
      <c r="W4978" s="116">
        <v>1002</v>
      </c>
      <c r="X4978" s="220">
        <v>1400000</v>
      </c>
      <c r="Y4978" s="220">
        <f>X4978*0.1</f>
        <v>140000</v>
      </c>
      <c r="Z4978" s="220">
        <v>12480</v>
      </c>
      <c r="AA4978" s="220">
        <f>SUM(X4978:Z4978)</f>
        <v>1552480</v>
      </c>
      <c r="AB4978" s="222">
        <v>46056</v>
      </c>
    </row>
    <row r="4979" spans="1:28" ht="17.100000000000001" customHeight="1" thickBot="1">
      <c r="A4979" s="234"/>
      <c r="B4979" s="27" t="s">
        <v>1708</v>
      </c>
      <c r="C4979" s="27" t="s">
        <v>14523</v>
      </c>
      <c r="D4979" s="14" t="s">
        <v>898</v>
      </c>
      <c r="E4979" s="229"/>
      <c r="F4979" s="117" t="s">
        <v>14525</v>
      </c>
      <c r="G4979" s="26">
        <v>53067</v>
      </c>
      <c r="H4979" s="231"/>
      <c r="I4979" s="221"/>
      <c r="J4979" s="221"/>
      <c r="K4979" s="221"/>
      <c r="L4979" s="221"/>
      <c r="M4979" s="221"/>
      <c r="N4979" s="221"/>
      <c r="O4979" s="225"/>
      <c r="P4979" s="118" t="s">
        <v>15368</v>
      </c>
      <c r="Q4979" s="16" t="s">
        <v>20</v>
      </c>
      <c r="R4979" s="17" t="s">
        <v>15369</v>
      </c>
      <c r="S4979" s="121" t="s">
        <v>15315</v>
      </c>
      <c r="T4979" s="122"/>
      <c r="U4979" s="22"/>
      <c r="V4979" s="123" t="s">
        <v>2747</v>
      </c>
      <c r="W4979" s="122">
        <v>1173</v>
      </c>
      <c r="X4979" s="221"/>
      <c r="Y4979" s="221"/>
      <c r="Z4979" s="221"/>
      <c r="AA4979" s="221"/>
      <c r="AB4979" s="223"/>
    </row>
    <row r="4980" spans="1:28" ht="17.100000000000001" customHeight="1" thickTop="1">
      <c r="A4980" s="226" t="s">
        <v>14499</v>
      </c>
      <c r="B4980" s="28">
        <v>46034</v>
      </c>
      <c r="C4980" s="25"/>
      <c r="D4980" s="13" t="s">
        <v>2010</v>
      </c>
      <c r="E4980" s="228"/>
      <c r="F4980" s="109" t="s">
        <v>14527</v>
      </c>
      <c r="G4980" s="24" t="s">
        <v>7689</v>
      </c>
      <c r="H4980" s="230">
        <v>4.5</v>
      </c>
      <c r="I4980" s="220">
        <f>3008500/1.1</f>
        <v>2735000</v>
      </c>
      <c r="J4980" s="220">
        <f>I4980*0.1</f>
        <v>273500</v>
      </c>
      <c r="K4980" s="220">
        <v>5000</v>
      </c>
      <c r="L4980" s="220">
        <v>11740</v>
      </c>
      <c r="M4980" s="220">
        <v>0</v>
      </c>
      <c r="N4980" s="220">
        <f>SUM(I4980:M4981)</f>
        <v>3025240</v>
      </c>
      <c r="O4980" s="224"/>
      <c r="P4980" s="110" t="s">
        <v>15427</v>
      </c>
      <c r="Q4980" s="15" t="s">
        <v>19</v>
      </c>
      <c r="R4980" s="205"/>
      <c r="S4980" s="189" t="s">
        <v>1271</v>
      </c>
      <c r="T4980" s="114"/>
      <c r="U4980" s="21"/>
      <c r="V4980" s="115">
        <v>46053</v>
      </c>
      <c r="W4980" s="116">
        <v>1286</v>
      </c>
      <c r="X4980" s="220">
        <v>3110000</v>
      </c>
      <c r="Y4980" s="220">
        <f>X4980*0.1</f>
        <v>311000</v>
      </c>
      <c r="Z4980" s="220">
        <v>11740</v>
      </c>
      <c r="AA4980" s="220">
        <f>SUM(X4980:Z4980)</f>
        <v>3432740</v>
      </c>
      <c r="AB4980" s="222">
        <v>46056</v>
      </c>
    </row>
    <row r="4981" spans="1:28" ht="17.100000000000001" customHeight="1" thickBot="1">
      <c r="A4981" s="227"/>
      <c r="B4981" s="27" t="s">
        <v>1708</v>
      </c>
      <c r="C4981" s="27" t="s">
        <v>14526</v>
      </c>
      <c r="D4981" s="14" t="s">
        <v>1584</v>
      </c>
      <c r="E4981" s="229"/>
      <c r="F4981" s="117" t="s">
        <v>14528</v>
      </c>
      <c r="G4981" s="26">
        <v>12737</v>
      </c>
      <c r="H4981" s="231"/>
      <c r="I4981" s="221"/>
      <c r="J4981" s="221"/>
      <c r="K4981" s="221"/>
      <c r="L4981" s="221"/>
      <c r="M4981" s="221"/>
      <c r="N4981" s="221"/>
      <c r="O4981" s="225"/>
      <c r="P4981" s="118" t="s">
        <v>15428</v>
      </c>
      <c r="Q4981" s="16" t="s">
        <v>20</v>
      </c>
      <c r="R4981" s="17" t="s">
        <v>15369</v>
      </c>
      <c r="S4981" s="121" t="s">
        <v>1731</v>
      </c>
      <c r="T4981" s="122"/>
      <c r="U4981" s="22"/>
      <c r="V4981" s="123" t="s">
        <v>2472</v>
      </c>
      <c r="W4981" s="122">
        <v>37738</v>
      </c>
      <c r="X4981" s="221"/>
      <c r="Y4981" s="221"/>
      <c r="Z4981" s="221"/>
      <c r="AA4981" s="221"/>
      <c r="AB4981" s="223"/>
    </row>
    <row r="4982" spans="1:28" ht="17.100000000000001" customHeight="1" thickTop="1">
      <c r="A4982" s="233" t="s">
        <v>14500</v>
      </c>
      <c r="B4982" s="28">
        <v>46034</v>
      </c>
      <c r="C4982" s="25"/>
      <c r="D4982" s="13" t="s">
        <v>1883</v>
      </c>
      <c r="E4982" s="228"/>
      <c r="F4982" s="109" t="s">
        <v>2556</v>
      </c>
      <c r="G4982" s="24" t="s">
        <v>14531</v>
      </c>
      <c r="H4982" s="230">
        <v>4.5</v>
      </c>
      <c r="I4982" s="220">
        <f>1809500/1.1</f>
        <v>1644999.9999999998</v>
      </c>
      <c r="J4982" s="220">
        <f>I4982*0.1</f>
        <v>164500</v>
      </c>
      <c r="K4982" s="220">
        <v>0</v>
      </c>
      <c r="L4982" s="220">
        <v>8390</v>
      </c>
      <c r="M4982" s="220">
        <v>0</v>
      </c>
      <c r="N4982" s="220">
        <f>SUM(I4982:M4983)</f>
        <v>1817889.9999999998</v>
      </c>
      <c r="O4982" s="224"/>
      <c r="P4982" s="110" t="s">
        <v>15339</v>
      </c>
      <c r="Q4982" s="15" t="s">
        <v>19</v>
      </c>
      <c r="R4982" s="205"/>
      <c r="S4982" s="189" t="s">
        <v>1361</v>
      </c>
      <c r="T4982" s="114"/>
      <c r="U4982" s="21"/>
      <c r="V4982" s="115">
        <v>46050</v>
      </c>
      <c r="W4982" s="116">
        <v>1002</v>
      </c>
      <c r="X4982" s="220">
        <v>1750000</v>
      </c>
      <c r="Y4982" s="220">
        <f>X4982*0.1</f>
        <v>175000</v>
      </c>
      <c r="Z4982" s="220">
        <v>8390</v>
      </c>
      <c r="AA4982" s="220">
        <f>SUM(X4982:Z4982)</f>
        <v>1933390</v>
      </c>
      <c r="AB4982" s="222">
        <v>46055</v>
      </c>
    </row>
    <row r="4983" spans="1:28" ht="17.100000000000001" customHeight="1" thickBot="1">
      <c r="A4983" s="234"/>
      <c r="B4983" s="27" t="s">
        <v>1708</v>
      </c>
      <c r="C4983" s="27" t="s">
        <v>14529</v>
      </c>
      <c r="D4983" s="14" t="s">
        <v>1797</v>
      </c>
      <c r="E4983" s="229"/>
      <c r="F4983" s="117" t="s">
        <v>14530</v>
      </c>
      <c r="G4983" s="26">
        <v>27870</v>
      </c>
      <c r="H4983" s="231"/>
      <c r="I4983" s="221"/>
      <c r="J4983" s="221"/>
      <c r="K4983" s="221"/>
      <c r="L4983" s="221"/>
      <c r="M4983" s="221"/>
      <c r="N4983" s="221"/>
      <c r="O4983" s="225"/>
      <c r="P4983" s="118" t="s">
        <v>15340</v>
      </c>
      <c r="Q4983" s="16" t="s">
        <v>20</v>
      </c>
      <c r="R4983" s="17" t="s">
        <v>15265</v>
      </c>
      <c r="S4983" s="121" t="s">
        <v>1861</v>
      </c>
      <c r="T4983" s="122"/>
      <c r="U4983" s="22"/>
      <c r="V4983" s="123" t="s">
        <v>2747</v>
      </c>
      <c r="W4983" s="122">
        <v>1169</v>
      </c>
      <c r="X4983" s="221"/>
      <c r="Y4983" s="221"/>
      <c r="Z4983" s="221"/>
      <c r="AA4983" s="221"/>
      <c r="AB4983" s="223"/>
    </row>
    <row r="4984" spans="1:28" ht="17.100000000000001" customHeight="1" thickTop="1">
      <c r="A4984" s="226" t="s">
        <v>14501</v>
      </c>
      <c r="B4984" s="28">
        <v>46034</v>
      </c>
      <c r="C4984" s="25"/>
      <c r="D4984" s="13" t="s">
        <v>1702</v>
      </c>
      <c r="E4984" s="228"/>
      <c r="F4984" s="109" t="s">
        <v>14533</v>
      </c>
      <c r="G4984" s="24" t="s">
        <v>4207</v>
      </c>
      <c r="H4984" s="230">
        <v>4</v>
      </c>
      <c r="I4984" s="220">
        <f>1269400/1.1</f>
        <v>1154000</v>
      </c>
      <c r="J4984" s="220">
        <f>I4984*0.1</f>
        <v>115400</v>
      </c>
      <c r="K4984" s="220">
        <v>5700</v>
      </c>
      <c r="L4984" s="220">
        <v>10060</v>
      </c>
      <c r="M4984" s="220">
        <v>0</v>
      </c>
      <c r="N4984" s="220">
        <f>SUM(I4984:M4985)</f>
        <v>1285160</v>
      </c>
      <c r="O4984" s="224"/>
      <c r="P4984" s="110" t="s">
        <v>15815</v>
      </c>
      <c r="Q4984" s="15" t="s">
        <v>19</v>
      </c>
      <c r="R4984" s="205"/>
      <c r="S4984" s="189"/>
      <c r="T4984" s="114"/>
      <c r="U4984" s="21"/>
      <c r="V4984" s="115"/>
      <c r="W4984" s="116"/>
      <c r="X4984" s="220"/>
      <c r="Y4984" s="220">
        <f>X4984*0.1</f>
        <v>0</v>
      </c>
      <c r="Z4984" s="220"/>
      <c r="AA4984" s="220">
        <f>SUM(X4984:Z4984)</f>
        <v>0</v>
      </c>
      <c r="AB4984" s="222"/>
    </row>
    <row r="4985" spans="1:28" ht="17.100000000000001" customHeight="1" thickBot="1">
      <c r="A4985" s="227"/>
      <c r="B4985" s="27" t="s">
        <v>1708</v>
      </c>
      <c r="C4985" s="27" t="s">
        <v>14532</v>
      </c>
      <c r="D4985" s="14" t="s">
        <v>131</v>
      </c>
      <c r="E4985" s="229"/>
      <c r="F4985" s="117" t="s">
        <v>14534</v>
      </c>
      <c r="G4985" s="26">
        <v>25945</v>
      </c>
      <c r="H4985" s="231"/>
      <c r="I4985" s="221"/>
      <c r="J4985" s="221"/>
      <c r="K4985" s="221"/>
      <c r="L4985" s="221"/>
      <c r="M4985" s="221"/>
      <c r="N4985" s="221"/>
      <c r="O4985" s="225"/>
      <c r="P4985" s="118" t="s">
        <v>15816</v>
      </c>
      <c r="Q4985" s="16" t="s">
        <v>20</v>
      </c>
      <c r="R4985" s="17" t="s">
        <v>15814</v>
      </c>
      <c r="S4985" s="121" t="s">
        <v>4418</v>
      </c>
      <c r="T4985" s="122"/>
      <c r="U4985" s="22"/>
      <c r="V4985" s="123"/>
      <c r="W4985" s="122"/>
      <c r="X4985" s="221"/>
      <c r="Y4985" s="221"/>
      <c r="Z4985" s="221"/>
      <c r="AA4985" s="221"/>
      <c r="AB4985" s="223"/>
    </row>
    <row r="4986" spans="1:28" ht="17.100000000000001" customHeight="1" thickTop="1">
      <c r="A4986" s="226" t="s">
        <v>14502</v>
      </c>
      <c r="B4986" s="28">
        <v>46034</v>
      </c>
      <c r="C4986" s="25"/>
      <c r="D4986" s="13" t="s">
        <v>5508</v>
      </c>
      <c r="E4986" s="228"/>
      <c r="F4986" s="109" t="s">
        <v>9918</v>
      </c>
      <c r="G4986" s="24" t="s">
        <v>5579</v>
      </c>
      <c r="H4986" s="230">
        <v>4</v>
      </c>
      <c r="I4986" s="220">
        <f>444400/1.1</f>
        <v>403999.99999999994</v>
      </c>
      <c r="J4986" s="220">
        <f>I4986*0.1</f>
        <v>40400</v>
      </c>
      <c r="K4986" s="220">
        <v>7500</v>
      </c>
      <c r="L4986" s="220">
        <v>16260</v>
      </c>
      <c r="M4986" s="220">
        <v>0</v>
      </c>
      <c r="N4986" s="220">
        <f>SUM(I4986:M4987)</f>
        <v>468159.99999999994</v>
      </c>
      <c r="O4986" s="224"/>
      <c r="P4986" s="110" t="s">
        <v>15731</v>
      </c>
      <c r="Q4986" s="15" t="s">
        <v>19</v>
      </c>
      <c r="R4986" s="205"/>
      <c r="S4986" s="189" t="s">
        <v>25372</v>
      </c>
      <c r="T4986" s="114"/>
      <c r="U4986" s="21"/>
      <c r="V4986" s="115">
        <v>46057</v>
      </c>
      <c r="W4986" s="116">
        <v>1003</v>
      </c>
      <c r="X4986" s="220">
        <v>530000</v>
      </c>
      <c r="Y4986" s="220">
        <f>X4986*0.1</f>
        <v>53000</v>
      </c>
      <c r="Z4986" s="220">
        <v>16260</v>
      </c>
      <c r="AA4986" s="220">
        <f>SUM(X4986:Z4986)</f>
        <v>599260</v>
      </c>
      <c r="AB4986" s="222">
        <v>46062</v>
      </c>
    </row>
    <row r="4987" spans="1:28" ht="17.100000000000001" customHeight="1" thickBot="1">
      <c r="A4987" s="227"/>
      <c r="B4987" s="27" t="s">
        <v>1708</v>
      </c>
      <c r="C4987" s="27" t="s">
        <v>14535</v>
      </c>
      <c r="D4987" s="14" t="s">
        <v>1584</v>
      </c>
      <c r="E4987" s="229"/>
      <c r="F4987" s="117" t="s">
        <v>14536</v>
      </c>
      <c r="G4987" s="26">
        <v>148490</v>
      </c>
      <c r="H4987" s="231"/>
      <c r="I4987" s="221"/>
      <c r="J4987" s="221"/>
      <c r="K4987" s="221"/>
      <c r="L4987" s="221"/>
      <c r="M4987" s="221"/>
      <c r="N4987" s="221"/>
      <c r="O4987" s="225"/>
      <c r="P4987" s="118" t="s">
        <v>15732</v>
      </c>
      <c r="Q4987" s="16" t="s">
        <v>20</v>
      </c>
      <c r="R4987" s="17" t="s">
        <v>2600</v>
      </c>
      <c r="S4987" s="121" t="s">
        <v>4413</v>
      </c>
      <c r="T4987" s="122"/>
      <c r="U4987" s="22"/>
      <c r="V4987" s="123" t="s">
        <v>2747</v>
      </c>
      <c r="W4987" s="122">
        <v>1114</v>
      </c>
      <c r="X4987" s="221"/>
      <c r="Y4987" s="221"/>
      <c r="Z4987" s="221"/>
      <c r="AA4987" s="221"/>
      <c r="AB4987" s="223"/>
    </row>
    <row r="4988" spans="1:28" ht="17.100000000000001" customHeight="1" thickTop="1">
      <c r="A4988" s="226" t="s">
        <v>14503</v>
      </c>
      <c r="B4988" s="28">
        <v>46034</v>
      </c>
      <c r="C4988" s="25"/>
      <c r="D4988" s="13" t="s">
        <v>1871</v>
      </c>
      <c r="E4988" s="228"/>
      <c r="F4988" s="109" t="s">
        <v>12967</v>
      </c>
      <c r="G4988" s="24" t="s">
        <v>14539</v>
      </c>
      <c r="H4988" s="230">
        <v>4</v>
      </c>
      <c r="I4988" s="220">
        <f>1864500/1.1</f>
        <v>1694999.9999999998</v>
      </c>
      <c r="J4988" s="220">
        <f>I4988*0.1</f>
        <v>169500</v>
      </c>
      <c r="K4988" s="220">
        <v>3200</v>
      </c>
      <c r="L4988" s="220">
        <v>9320</v>
      </c>
      <c r="M4988" s="220">
        <v>0</v>
      </c>
      <c r="N4988" s="220">
        <f>SUM(I4988:M4989)</f>
        <v>1877019.9999999998</v>
      </c>
      <c r="O4988" s="224"/>
      <c r="P4988" s="110" t="s">
        <v>17968</v>
      </c>
      <c r="Q4988" s="15" t="s">
        <v>19</v>
      </c>
      <c r="R4988" s="205"/>
      <c r="S4988" s="189" t="s">
        <v>1276</v>
      </c>
      <c r="T4988" s="114"/>
      <c r="U4988" s="21"/>
      <c r="V4988" s="115">
        <v>46085</v>
      </c>
      <c r="W4988" s="116">
        <v>1007</v>
      </c>
      <c r="X4988" s="220">
        <v>1730000</v>
      </c>
      <c r="Y4988" s="220">
        <f>X4988*0.1</f>
        <v>173000</v>
      </c>
      <c r="Z4988" s="220">
        <v>9320</v>
      </c>
      <c r="AA4988" s="220">
        <f>SUM(X4988:Z4988)</f>
        <v>1912320</v>
      </c>
      <c r="AB4988" s="222">
        <v>46090</v>
      </c>
    </row>
    <row r="4989" spans="1:28" ht="17.100000000000001" customHeight="1" thickBot="1">
      <c r="A4989" s="227"/>
      <c r="B4989" s="27" t="s">
        <v>1708</v>
      </c>
      <c r="C4989" s="27" t="s">
        <v>14537</v>
      </c>
      <c r="D4989" s="14" t="s">
        <v>273</v>
      </c>
      <c r="E4989" s="229"/>
      <c r="F4989" s="117" t="s">
        <v>14538</v>
      </c>
      <c r="G4989" s="26">
        <v>67449</v>
      </c>
      <c r="H4989" s="231"/>
      <c r="I4989" s="221"/>
      <c r="J4989" s="221"/>
      <c r="K4989" s="221"/>
      <c r="L4989" s="221"/>
      <c r="M4989" s="221"/>
      <c r="N4989" s="221"/>
      <c r="O4989" s="225"/>
      <c r="P4989" s="118" t="s">
        <v>17969</v>
      </c>
      <c r="Q4989" s="16" t="s">
        <v>20</v>
      </c>
      <c r="R4989" s="17" t="s">
        <v>17949</v>
      </c>
      <c r="S4989" s="121" t="s">
        <v>18706</v>
      </c>
      <c r="T4989" s="122"/>
      <c r="U4989" s="22"/>
      <c r="V4989" s="123" t="s">
        <v>8877</v>
      </c>
      <c r="W4989" s="122">
        <v>1061</v>
      </c>
      <c r="X4989" s="221"/>
      <c r="Y4989" s="221"/>
      <c r="Z4989" s="221"/>
      <c r="AA4989" s="221"/>
      <c r="AB4989" s="223"/>
    </row>
    <row r="4990" spans="1:28" ht="17.100000000000001" customHeight="1" thickTop="1">
      <c r="A4990" s="233" t="s">
        <v>14504</v>
      </c>
      <c r="B4990" s="28">
        <v>46034</v>
      </c>
      <c r="C4990" s="25"/>
      <c r="D4990" s="13" t="s">
        <v>1762</v>
      </c>
      <c r="E4990" s="228"/>
      <c r="F4990" s="109" t="s">
        <v>4508</v>
      </c>
      <c r="G4990" s="24" t="s">
        <v>14542</v>
      </c>
      <c r="H4990" s="230">
        <v>4</v>
      </c>
      <c r="I4990" s="220">
        <f>1380500/1.1</f>
        <v>1255000</v>
      </c>
      <c r="J4990" s="220">
        <f>I4990*0.1</f>
        <v>125500</v>
      </c>
      <c r="K4990" s="220">
        <v>0</v>
      </c>
      <c r="L4990" s="220">
        <v>9010</v>
      </c>
      <c r="M4990" s="220">
        <v>0</v>
      </c>
      <c r="N4990" s="220">
        <f>SUM(I4990:M4991)</f>
        <v>1389510</v>
      </c>
      <c r="O4990" s="224"/>
      <c r="P4990" s="110"/>
      <c r="Q4990" s="15" t="s">
        <v>19</v>
      </c>
      <c r="R4990" s="205"/>
      <c r="S4990" s="189" t="s">
        <v>1361</v>
      </c>
      <c r="T4990" s="114" t="s">
        <v>24582</v>
      </c>
      <c r="U4990" s="21"/>
      <c r="V4990" s="115"/>
      <c r="W4990" s="116"/>
      <c r="X4990" s="220"/>
      <c r="Y4990" s="220">
        <f>X4990*0.1</f>
        <v>0</v>
      </c>
      <c r="Z4990" s="220"/>
      <c r="AA4990" s="220">
        <f>SUM(X4990:Z4990)</f>
        <v>0</v>
      </c>
      <c r="AB4990" s="222"/>
    </row>
    <row r="4991" spans="1:28" ht="17.100000000000001" customHeight="1" thickBot="1">
      <c r="A4991" s="234"/>
      <c r="B4991" s="27" t="s">
        <v>1708</v>
      </c>
      <c r="C4991" s="27" t="s">
        <v>14540</v>
      </c>
      <c r="D4991" s="14" t="s">
        <v>2088</v>
      </c>
      <c r="E4991" s="229"/>
      <c r="F4991" s="117" t="s">
        <v>14541</v>
      </c>
      <c r="G4991" s="26">
        <v>55340</v>
      </c>
      <c r="H4991" s="231"/>
      <c r="I4991" s="221"/>
      <c r="J4991" s="221"/>
      <c r="K4991" s="221"/>
      <c r="L4991" s="221"/>
      <c r="M4991" s="221"/>
      <c r="N4991" s="221"/>
      <c r="O4991" s="225"/>
      <c r="P4991" s="118"/>
      <c r="Q4991" s="16" t="s">
        <v>20</v>
      </c>
      <c r="R4991" s="17" t="s">
        <v>24581</v>
      </c>
      <c r="S4991" s="121"/>
      <c r="T4991" s="122"/>
      <c r="U4991" s="22"/>
      <c r="V4991" s="123"/>
      <c r="W4991" s="122"/>
      <c r="X4991" s="221"/>
      <c r="Y4991" s="221"/>
      <c r="Z4991" s="221"/>
      <c r="AA4991" s="221"/>
      <c r="AB4991" s="223"/>
    </row>
    <row r="4992" spans="1:28" ht="17.100000000000001" customHeight="1" thickTop="1">
      <c r="A4992" s="226" t="s">
        <v>14505</v>
      </c>
      <c r="B4992" s="28">
        <v>46034</v>
      </c>
      <c r="C4992" s="25"/>
      <c r="D4992" s="13" t="s">
        <v>4213</v>
      </c>
      <c r="E4992" s="228"/>
      <c r="F4992" s="109" t="s">
        <v>12399</v>
      </c>
      <c r="G4992" s="24" t="s">
        <v>8524</v>
      </c>
      <c r="H4992" s="230">
        <v>4.5</v>
      </c>
      <c r="I4992" s="220">
        <f>2106500/1.1</f>
        <v>1914999.9999999998</v>
      </c>
      <c r="J4992" s="220">
        <f>I4992*0.1</f>
        <v>191500</v>
      </c>
      <c r="K4992" s="220">
        <v>2500</v>
      </c>
      <c r="L4992" s="220">
        <v>10720</v>
      </c>
      <c r="M4992" s="220">
        <v>0</v>
      </c>
      <c r="N4992" s="220">
        <f>SUM(I4992:M4993)</f>
        <v>2119720</v>
      </c>
      <c r="O4992" s="224"/>
      <c r="P4992" s="110" t="s">
        <v>18169</v>
      </c>
      <c r="Q4992" s="15" t="s">
        <v>19</v>
      </c>
      <c r="R4992" s="205"/>
      <c r="S4992" s="189" t="s">
        <v>1276</v>
      </c>
      <c r="T4992" s="114"/>
      <c r="U4992" s="21"/>
      <c r="V4992" s="115">
        <v>46071</v>
      </c>
      <c r="W4992" s="116">
        <v>1005</v>
      </c>
      <c r="X4992" s="220">
        <v>1920000</v>
      </c>
      <c r="Y4992" s="220">
        <f>X4992*0.1</f>
        <v>192000</v>
      </c>
      <c r="Z4992" s="220">
        <v>10720</v>
      </c>
      <c r="AA4992" s="220">
        <f>SUM(X4992:Z4992)</f>
        <v>2122720</v>
      </c>
      <c r="AB4992" s="222">
        <v>46078</v>
      </c>
    </row>
    <row r="4993" spans="1:28" ht="17.100000000000001" customHeight="1" thickBot="1">
      <c r="A4993" s="227"/>
      <c r="B4993" s="27" t="s">
        <v>1708</v>
      </c>
      <c r="C4993" s="27" t="s">
        <v>14543</v>
      </c>
      <c r="D4993" s="14" t="s">
        <v>1584</v>
      </c>
      <c r="E4993" s="229"/>
      <c r="F4993" s="117" t="s">
        <v>14544</v>
      </c>
      <c r="G4993" s="26">
        <v>55452</v>
      </c>
      <c r="H4993" s="231"/>
      <c r="I4993" s="221"/>
      <c r="J4993" s="221"/>
      <c r="K4993" s="221"/>
      <c r="L4993" s="221"/>
      <c r="M4993" s="221"/>
      <c r="N4993" s="221"/>
      <c r="O4993" s="225"/>
      <c r="P4993" s="118" t="s">
        <v>5183</v>
      </c>
      <c r="Q4993" s="16" t="s">
        <v>20</v>
      </c>
      <c r="R4993" s="17" t="s">
        <v>3913</v>
      </c>
      <c r="S4993" s="121" t="s">
        <v>9218</v>
      </c>
      <c r="T4993" s="122"/>
      <c r="U4993" s="22"/>
      <c r="V4993" s="123" t="s">
        <v>2747</v>
      </c>
      <c r="W4993" s="122">
        <v>1063</v>
      </c>
      <c r="X4993" s="221"/>
      <c r="Y4993" s="221"/>
      <c r="Z4993" s="221"/>
      <c r="AA4993" s="221"/>
      <c r="AB4993" s="223"/>
    </row>
    <row r="4994" spans="1:28" ht="17.100000000000001" customHeight="1" thickTop="1">
      <c r="A4994" s="226" t="s">
        <v>14506</v>
      </c>
      <c r="B4994" s="28">
        <v>46034</v>
      </c>
      <c r="C4994" s="25"/>
      <c r="D4994" s="13" t="s">
        <v>1816</v>
      </c>
      <c r="E4994" s="228"/>
      <c r="F4994" s="109" t="s">
        <v>14546</v>
      </c>
      <c r="G4994" s="24" t="s">
        <v>12985</v>
      </c>
      <c r="H4994" s="230">
        <v>4</v>
      </c>
      <c r="I4994" s="220">
        <f>587400/1.1</f>
        <v>534000</v>
      </c>
      <c r="J4994" s="220">
        <f>I4994*0.1</f>
        <v>53400</v>
      </c>
      <c r="K4994" s="220">
        <v>0</v>
      </c>
      <c r="L4994" s="220">
        <v>8780</v>
      </c>
      <c r="M4994" s="220">
        <v>0</v>
      </c>
      <c r="N4994" s="220">
        <f>SUM(I4994:M4995)</f>
        <v>596180</v>
      </c>
      <c r="O4994" s="224"/>
      <c r="P4994" s="110" t="s">
        <v>15268</v>
      </c>
      <c r="Q4994" s="15" t="s">
        <v>19</v>
      </c>
      <c r="R4994" s="205"/>
      <c r="S4994" s="189" t="s">
        <v>1276</v>
      </c>
      <c r="T4994" s="114"/>
      <c r="U4994" s="21"/>
      <c r="V4994" s="115">
        <v>46056</v>
      </c>
      <c r="W4994" s="116">
        <v>1927</v>
      </c>
      <c r="X4994" s="220">
        <v>625000</v>
      </c>
      <c r="Y4994" s="220">
        <f>X4994*0.1</f>
        <v>62500</v>
      </c>
      <c r="Z4994" s="220">
        <v>8780</v>
      </c>
      <c r="AA4994" s="220">
        <f>SUM(X4994:Z4994)</f>
        <v>696280</v>
      </c>
      <c r="AB4994" s="222">
        <v>46063</v>
      </c>
    </row>
    <row r="4995" spans="1:28" ht="17.100000000000001" customHeight="1" thickBot="1">
      <c r="A4995" s="227"/>
      <c r="B4995" s="27" t="s">
        <v>1708</v>
      </c>
      <c r="C4995" s="27" t="s">
        <v>14545</v>
      </c>
      <c r="D4995" s="14" t="s">
        <v>2014</v>
      </c>
      <c r="E4995" s="229"/>
      <c r="F4995" s="117" t="s">
        <v>14547</v>
      </c>
      <c r="G4995" s="26">
        <v>50686</v>
      </c>
      <c r="H4995" s="231"/>
      <c r="I4995" s="221"/>
      <c r="J4995" s="221"/>
      <c r="K4995" s="221"/>
      <c r="L4995" s="221"/>
      <c r="M4995" s="221"/>
      <c r="N4995" s="221"/>
      <c r="O4995" s="225"/>
      <c r="P4995" s="118" t="s">
        <v>15269</v>
      </c>
      <c r="Q4995" s="16" t="s">
        <v>20</v>
      </c>
      <c r="R4995" s="17" t="s">
        <v>15265</v>
      </c>
      <c r="S4995" s="121" t="s">
        <v>13167</v>
      </c>
      <c r="T4995" s="122"/>
      <c r="U4995" s="22"/>
      <c r="V4995" s="123" t="s">
        <v>2103</v>
      </c>
      <c r="W4995" s="122">
        <v>3053</v>
      </c>
      <c r="X4995" s="221"/>
      <c r="Y4995" s="221"/>
      <c r="Z4995" s="221"/>
      <c r="AA4995" s="221"/>
      <c r="AB4995" s="223"/>
    </row>
    <row r="4996" spans="1:28" ht="17.100000000000001" customHeight="1" thickTop="1">
      <c r="A4996" s="226" t="s">
        <v>14507</v>
      </c>
      <c r="B4996" s="28">
        <v>46034</v>
      </c>
      <c r="C4996" s="25"/>
      <c r="D4996" s="13" t="s">
        <v>2441</v>
      </c>
      <c r="E4996" s="228"/>
      <c r="F4996" s="109" t="s">
        <v>6851</v>
      </c>
      <c r="G4996" s="24" t="s">
        <v>14550</v>
      </c>
      <c r="H4996" s="230">
        <v>5</v>
      </c>
      <c r="I4996" s="220">
        <f>1710500/1.1</f>
        <v>1554999.9999999998</v>
      </c>
      <c r="J4996" s="220">
        <f>I4996*0.1</f>
        <v>155499.99999999997</v>
      </c>
      <c r="K4996" s="220">
        <v>0</v>
      </c>
      <c r="L4996" s="220">
        <v>9130</v>
      </c>
      <c r="M4996" s="220">
        <v>0</v>
      </c>
      <c r="N4996" s="220">
        <f>SUM(I4996:M4997)</f>
        <v>1719629.9999999998</v>
      </c>
      <c r="O4996" s="224"/>
      <c r="P4996" s="110" t="s">
        <v>15349</v>
      </c>
      <c r="Q4996" s="15" t="s">
        <v>19</v>
      </c>
      <c r="R4996" s="205"/>
      <c r="S4996" s="189" t="s">
        <v>1276</v>
      </c>
      <c r="T4996" s="114"/>
      <c r="U4996" s="21" t="s">
        <v>16427</v>
      </c>
      <c r="V4996" s="115">
        <v>46056</v>
      </c>
      <c r="W4996" s="116">
        <v>1927</v>
      </c>
      <c r="X4996" s="220">
        <v>1679000</v>
      </c>
      <c r="Y4996" s="220">
        <f>X4996*0.1</f>
        <v>167900</v>
      </c>
      <c r="Z4996" s="220">
        <v>9130</v>
      </c>
      <c r="AA4996" s="220">
        <f>SUM(X4996:Z4996)</f>
        <v>1856030</v>
      </c>
      <c r="AB4996" s="222">
        <v>46063</v>
      </c>
    </row>
    <row r="4997" spans="1:28" ht="17.100000000000001" customHeight="1" thickBot="1">
      <c r="A4997" s="227"/>
      <c r="B4997" s="27" t="s">
        <v>1708</v>
      </c>
      <c r="C4997" s="27" t="s">
        <v>14548</v>
      </c>
      <c r="D4997" s="14" t="s">
        <v>1797</v>
      </c>
      <c r="E4997" s="229"/>
      <c r="F4997" s="117" t="s">
        <v>14549</v>
      </c>
      <c r="G4997" s="26">
        <v>28498</v>
      </c>
      <c r="H4997" s="231"/>
      <c r="I4997" s="221"/>
      <c r="J4997" s="221"/>
      <c r="K4997" s="221"/>
      <c r="L4997" s="221"/>
      <c r="M4997" s="221"/>
      <c r="N4997" s="221"/>
      <c r="O4997" s="225"/>
      <c r="P4997" s="118" t="s">
        <v>15350</v>
      </c>
      <c r="Q4997" s="16" t="s">
        <v>20</v>
      </c>
      <c r="R4997" s="17" t="s">
        <v>15265</v>
      </c>
      <c r="S4997" s="121" t="s">
        <v>4378</v>
      </c>
      <c r="T4997" s="122"/>
      <c r="U4997" s="22"/>
      <c r="V4997" s="123" t="s">
        <v>2103</v>
      </c>
      <c r="W4997" s="122">
        <v>3071</v>
      </c>
      <c r="X4997" s="221"/>
      <c r="Y4997" s="221"/>
      <c r="Z4997" s="221"/>
      <c r="AA4997" s="221"/>
      <c r="AB4997" s="223"/>
    </row>
    <row r="4998" spans="1:28" ht="17.100000000000001" customHeight="1" thickTop="1">
      <c r="A4998" s="226" t="s">
        <v>14624</v>
      </c>
      <c r="B4998" s="28">
        <v>46035</v>
      </c>
      <c r="C4998" s="25">
        <v>1924</v>
      </c>
      <c r="D4998" s="13" t="s">
        <v>3406</v>
      </c>
      <c r="E4998" s="228"/>
      <c r="F4998" s="109" t="s">
        <v>4844</v>
      </c>
      <c r="G4998" s="24"/>
      <c r="H4998" s="230">
        <v>4.5</v>
      </c>
      <c r="I4998" s="220">
        <v>501000</v>
      </c>
      <c r="J4998" s="220">
        <f>I4998*0.1</f>
        <v>50100</v>
      </c>
      <c r="K4998" s="220">
        <v>0</v>
      </c>
      <c r="L4998" s="220">
        <v>6550</v>
      </c>
      <c r="M4998" s="220">
        <v>15950</v>
      </c>
      <c r="N4998" s="220">
        <f>SUM(I4998:M4999)</f>
        <v>573600</v>
      </c>
      <c r="O4998" s="224"/>
      <c r="P4998" s="110" t="s">
        <v>15066</v>
      </c>
      <c r="Q4998" s="15" t="s">
        <v>19</v>
      </c>
      <c r="R4998" s="205"/>
      <c r="S4998" s="189" t="s">
        <v>758</v>
      </c>
      <c r="T4998" s="114"/>
      <c r="U4998" s="21"/>
      <c r="V4998" s="115">
        <v>46053</v>
      </c>
      <c r="W4998" s="116">
        <v>1286</v>
      </c>
      <c r="X4998" s="220">
        <v>540000</v>
      </c>
      <c r="Y4998" s="220">
        <f>X4998*0.1</f>
        <v>54000</v>
      </c>
      <c r="Z4998" s="220">
        <v>6550</v>
      </c>
      <c r="AA4998" s="220">
        <f>SUM(X4998:Z4998)</f>
        <v>600550</v>
      </c>
      <c r="AB4998" s="222">
        <v>46056</v>
      </c>
    </row>
    <row r="4999" spans="1:28" ht="17.100000000000001" customHeight="1" thickBot="1">
      <c r="A4999" s="227"/>
      <c r="B4999" s="27" t="s">
        <v>2103</v>
      </c>
      <c r="C4999" s="27">
        <v>3017</v>
      </c>
      <c r="D4999" s="14" t="s">
        <v>1710</v>
      </c>
      <c r="E4999" s="229"/>
      <c r="F4999" s="117" t="s">
        <v>14551</v>
      </c>
      <c r="G4999" s="26">
        <v>46755</v>
      </c>
      <c r="H4999" s="231"/>
      <c r="I4999" s="221"/>
      <c r="J4999" s="221"/>
      <c r="K4999" s="221"/>
      <c r="L4999" s="221"/>
      <c r="M4999" s="221"/>
      <c r="N4999" s="221"/>
      <c r="O4999" s="225"/>
      <c r="P4999" s="118" t="s">
        <v>7323</v>
      </c>
      <c r="Q4999" s="16" t="s">
        <v>20</v>
      </c>
      <c r="R4999" s="17" t="s">
        <v>15049</v>
      </c>
      <c r="S4999" s="121" t="s">
        <v>11197</v>
      </c>
      <c r="T4999" s="122"/>
      <c r="U4999" s="22"/>
      <c r="V4999" s="123" t="s">
        <v>2472</v>
      </c>
      <c r="W4999" s="122">
        <v>60093</v>
      </c>
      <c r="X4999" s="221"/>
      <c r="Y4999" s="221"/>
      <c r="Z4999" s="221"/>
      <c r="AA4999" s="221"/>
      <c r="AB4999" s="223"/>
    </row>
    <row r="5000" spans="1:28" ht="17.100000000000001" customHeight="1" thickTop="1">
      <c r="A5000" s="226" t="s">
        <v>14625</v>
      </c>
      <c r="B5000" s="28">
        <v>46035</v>
      </c>
      <c r="C5000" s="25">
        <v>1924</v>
      </c>
      <c r="D5000" s="13" t="s">
        <v>1634</v>
      </c>
      <c r="E5000" s="228"/>
      <c r="F5000" s="109" t="s">
        <v>4526</v>
      </c>
      <c r="G5000" s="24" t="s">
        <v>1551</v>
      </c>
      <c r="H5000" s="230">
        <v>5</v>
      </c>
      <c r="I5000" s="220">
        <v>928000</v>
      </c>
      <c r="J5000" s="220">
        <f>I5000*0.1</f>
        <v>92800</v>
      </c>
      <c r="K5000" s="220">
        <v>0</v>
      </c>
      <c r="L5000" s="220">
        <v>8640</v>
      </c>
      <c r="M5000" s="220">
        <v>15950</v>
      </c>
      <c r="N5000" s="220">
        <f>SUM(I5000:M5001)</f>
        <v>1045390</v>
      </c>
      <c r="O5000" s="224"/>
      <c r="P5000" s="110" t="s">
        <v>14553</v>
      </c>
      <c r="Q5000" s="15" t="s">
        <v>19</v>
      </c>
      <c r="R5000" s="205"/>
      <c r="S5000" s="189" t="s">
        <v>25628</v>
      </c>
      <c r="T5000" s="114"/>
      <c r="U5000" s="21" t="s">
        <v>17060</v>
      </c>
      <c r="V5000" s="115">
        <v>46060</v>
      </c>
      <c r="W5000" s="116">
        <v>1287</v>
      </c>
      <c r="X5000" s="220">
        <v>980000</v>
      </c>
      <c r="Y5000" s="220">
        <f>X5000*0.1</f>
        <v>98000</v>
      </c>
      <c r="Z5000" s="220">
        <v>8640</v>
      </c>
      <c r="AA5000" s="220">
        <f>SUM(X5000:Z5000)</f>
        <v>1086640</v>
      </c>
      <c r="AB5000" s="222">
        <v>46065</v>
      </c>
    </row>
    <row r="5001" spans="1:28" ht="17.100000000000001" customHeight="1" thickBot="1">
      <c r="A5001" s="227"/>
      <c r="B5001" s="27" t="s">
        <v>2103</v>
      </c>
      <c r="C5001" s="27">
        <v>3060</v>
      </c>
      <c r="D5001" s="14" t="s">
        <v>2788</v>
      </c>
      <c r="E5001" s="229"/>
      <c r="F5001" s="117" t="s">
        <v>14552</v>
      </c>
      <c r="G5001" s="26">
        <v>47727</v>
      </c>
      <c r="H5001" s="231"/>
      <c r="I5001" s="221"/>
      <c r="J5001" s="221"/>
      <c r="K5001" s="221"/>
      <c r="L5001" s="221"/>
      <c r="M5001" s="221"/>
      <c r="N5001" s="221"/>
      <c r="O5001" s="225"/>
      <c r="P5001" s="118" t="s">
        <v>8111</v>
      </c>
      <c r="Q5001" s="16" t="s">
        <v>20</v>
      </c>
      <c r="R5001" s="17" t="s">
        <v>15049</v>
      </c>
      <c r="S5001" s="121" t="s">
        <v>8880</v>
      </c>
      <c r="T5001" s="122"/>
      <c r="U5001" s="22"/>
      <c r="V5001" s="123" t="s">
        <v>2472</v>
      </c>
      <c r="W5001" s="122">
        <v>60039</v>
      </c>
      <c r="X5001" s="221"/>
      <c r="Y5001" s="221"/>
      <c r="Z5001" s="221"/>
      <c r="AA5001" s="221"/>
      <c r="AB5001" s="223"/>
    </row>
    <row r="5002" spans="1:28" ht="17.100000000000001" customHeight="1" thickTop="1">
      <c r="A5002" s="226" t="s">
        <v>14626</v>
      </c>
      <c r="B5002" s="28">
        <v>46035</v>
      </c>
      <c r="C5002" s="25">
        <v>1924</v>
      </c>
      <c r="D5002" s="13" t="s">
        <v>1658</v>
      </c>
      <c r="E5002" s="228"/>
      <c r="F5002" s="109" t="s">
        <v>14554</v>
      </c>
      <c r="G5002" s="24"/>
      <c r="H5002" s="230">
        <v>4.5</v>
      </c>
      <c r="I5002" s="220">
        <v>490000</v>
      </c>
      <c r="J5002" s="220">
        <f>I5002*0.1</f>
        <v>49000</v>
      </c>
      <c r="K5002" s="220">
        <v>0</v>
      </c>
      <c r="L5002" s="220">
        <v>8550</v>
      </c>
      <c r="M5002" s="220">
        <v>15950</v>
      </c>
      <c r="N5002" s="220">
        <f>SUM(I5002:M5003)</f>
        <v>563500</v>
      </c>
      <c r="O5002" s="224"/>
      <c r="P5002" s="110" t="s">
        <v>15068</v>
      </c>
      <c r="Q5002" s="15" t="s">
        <v>19</v>
      </c>
      <c r="R5002" s="205"/>
      <c r="S5002" s="189"/>
      <c r="T5002" s="114"/>
      <c r="U5002" s="21"/>
      <c r="V5002" s="115">
        <v>46046</v>
      </c>
      <c r="W5002" s="116">
        <v>1285</v>
      </c>
      <c r="X5002" s="220">
        <v>530000</v>
      </c>
      <c r="Y5002" s="220">
        <f>X5002*0.1</f>
        <v>53000</v>
      </c>
      <c r="Z5002" s="220">
        <v>8550</v>
      </c>
      <c r="AA5002" s="220">
        <f>SUM(X5002:Z5002)</f>
        <v>591550</v>
      </c>
      <c r="AB5002" s="222">
        <v>46049</v>
      </c>
    </row>
    <row r="5003" spans="1:28" ht="17.100000000000001" customHeight="1" thickBot="1">
      <c r="A5003" s="227"/>
      <c r="B5003" s="27" t="s">
        <v>2103</v>
      </c>
      <c r="C5003" s="27">
        <v>3165</v>
      </c>
      <c r="D5003" s="14" t="s">
        <v>3731</v>
      </c>
      <c r="E5003" s="229"/>
      <c r="F5003" s="117" t="s">
        <v>14555</v>
      </c>
      <c r="G5003" s="26">
        <v>31433</v>
      </c>
      <c r="H5003" s="231"/>
      <c r="I5003" s="221"/>
      <c r="J5003" s="221"/>
      <c r="K5003" s="221"/>
      <c r="L5003" s="221"/>
      <c r="M5003" s="221"/>
      <c r="N5003" s="221"/>
      <c r="O5003" s="225"/>
      <c r="P5003" s="118" t="s">
        <v>13536</v>
      </c>
      <c r="Q5003" s="16" t="s">
        <v>20</v>
      </c>
      <c r="R5003" s="17" t="s">
        <v>15049</v>
      </c>
      <c r="S5003" s="121"/>
      <c r="T5003" s="122"/>
      <c r="U5003" s="22"/>
      <c r="V5003" s="123" t="s">
        <v>2472</v>
      </c>
      <c r="W5003" s="122">
        <v>60139</v>
      </c>
      <c r="X5003" s="221"/>
      <c r="Y5003" s="221"/>
      <c r="Z5003" s="221"/>
      <c r="AA5003" s="221"/>
      <c r="AB5003" s="223"/>
    </row>
    <row r="5004" spans="1:28" ht="16.5" customHeight="1" thickTop="1">
      <c r="A5004" s="233" t="s">
        <v>14627</v>
      </c>
      <c r="B5004" s="28">
        <v>46035</v>
      </c>
      <c r="C5004" s="25">
        <v>1924</v>
      </c>
      <c r="D5004" s="13" t="s">
        <v>3406</v>
      </c>
      <c r="E5004" s="228"/>
      <c r="F5004" s="109" t="s">
        <v>4844</v>
      </c>
      <c r="G5004" s="24"/>
      <c r="H5004" s="230">
        <v>4</v>
      </c>
      <c r="I5004" s="220">
        <v>559000</v>
      </c>
      <c r="J5004" s="220">
        <f>I5004*0.1</f>
        <v>55900</v>
      </c>
      <c r="K5004" s="220">
        <v>0</v>
      </c>
      <c r="L5004" s="220">
        <v>6550</v>
      </c>
      <c r="M5004" s="220">
        <v>15950</v>
      </c>
      <c r="N5004" s="220">
        <f>SUM(I5004:M5005)</f>
        <v>637400</v>
      </c>
      <c r="O5004" s="224"/>
      <c r="P5004" s="110" t="s">
        <v>15075</v>
      </c>
      <c r="Q5004" s="15" t="s">
        <v>19</v>
      </c>
      <c r="R5004" s="205"/>
      <c r="S5004" s="189" t="s">
        <v>758</v>
      </c>
      <c r="T5004" s="114"/>
      <c r="U5004" s="21"/>
      <c r="V5004" s="115">
        <v>46039</v>
      </c>
      <c r="W5004" s="116">
        <v>1284</v>
      </c>
      <c r="X5004" s="220">
        <v>630000</v>
      </c>
      <c r="Y5004" s="220">
        <f>X5004*0.1</f>
        <v>63000</v>
      </c>
      <c r="Z5004" s="220">
        <v>6550</v>
      </c>
      <c r="AA5004" s="220">
        <f>SUM(X5004:Z5004)</f>
        <v>699550</v>
      </c>
      <c r="AB5004" s="222">
        <v>46044</v>
      </c>
    </row>
    <row r="5005" spans="1:28" ht="17.100000000000001" customHeight="1" thickBot="1">
      <c r="A5005" s="234"/>
      <c r="B5005" s="27" t="s">
        <v>2103</v>
      </c>
      <c r="C5005" s="27">
        <v>3201</v>
      </c>
      <c r="D5005" s="14" t="s">
        <v>1710</v>
      </c>
      <c r="E5005" s="229"/>
      <c r="F5005" s="117" t="s">
        <v>14556</v>
      </c>
      <c r="G5005" s="26">
        <v>19482</v>
      </c>
      <c r="H5005" s="231"/>
      <c r="I5005" s="221"/>
      <c r="J5005" s="221"/>
      <c r="K5005" s="221"/>
      <c r="L5005" s="221"/>
      <c r="M5005" s="221"/>
      <c r="N5005" s="221"/>
      <c r="O5005" s="225"/>
      <c r="P5005" s="118" t="s">
        <v>7323</v>
      </c>
      <c r="Q5005" s="16" t="s">
        <v>20</v>
      </c>
      <c r="R5005" s="17" t="s">
        <v>15049</v>
      </c>
      <c r="S5005" s="121" t="s">
        <v>1661</v>
      </c>
      <c r="T5005" s="122"/>
      <c r="U5005" s="22"/>
      <c r="V5005" s="123" t="s">
        <v>2472</v>
      </c>
      <c r="W5005" s="122">
        <v>60410</v>
      </c>
      <c r="X5005" s="221"/>
      <c r="Y5005" s="221"/>
      <c r="Z5005" s="221"/>
      <c r="AA5005" s="221"/>
      <c r="AB5005" s="223"/>
    </row>
    <row r="5006" spans="1:28" ht="17.100000000000001" customHeight="1" thickTop="1">
      <c r="A5006" s="226" t="s">
        <v>14628</v>
      </c>
      <c r="B5006" s="28">
        <v>46035</v>
      </c>
      <c r="C5006" s="25">
        <v>1924</v>
      </c>
      <c r="D5006" s="13" t="s">
        <v>2313</v>
      </c>
      <c r="E5006" s="228"/>
      <c r="F5006" s="109" t="s">
        <v>14557</v>
      </c>
      <c r="G5006" s="24" t="s">
        <v>3867</v>
      </c>
      <c r="H5006" s="230">
        <v>4.5</v>
      </c>
      <c r="I5006" s="220">
        <v>554000</v>
      </c>
      <c r="J5006" s="220">
        <f>I5006*0.1</f>
        <v>55400</v>
      </c>
      <c r="K5006" s="220">
        <v>0</v>
      </c>
      <c r="L5006" s="220">
        <v>8550</v>
      </c>
      <c r="M5006" s="220">
        <v>15950</v>
      </c>
      <c r="N5006" s="220">
        <f>SUM(I5006:M5007)</f>
        <v>633900</v>
      </c>
      <c r="O5006" s="224"/>
      <c r="P5006" s="110" t="s">
        <v>14559</v>
      </c>
      <c r="Q5006" s="15" t="s">
        <v>19</v>
      </c>
      <c r="R5006" s="205"/>
      <c r="S5006" s="189"/>
      <c r="T5006" s="114"/>
      <c r="U5006" s="21"/>
      <c r="V5006" s="115">
        <v>46046</v>
      </c>
      <c r="W5006" s="116">
        <v>1285</v>
      </c>
      <c r="X5006" s="220">
        <v>605000</v>
      </c>
      <c r="Y5006" s="220">
        <f>X5006*0.1</f>
        <v>60500</v>
      </c>
      <c r="Z5006" s="220">
        <v>8550</v>
      </c>
      <c r="AA5006" s="220">
        <f>SUM(X5006:Z5006)</f>
        <v>674050</v>
      </c>
      <c r="AB5006" s="222">
        <v>46049</v>
      </c>
    </row>
    <row r="5007" spans="1:28" ht="17.100000000000001" customHeight="1" thickBot="1">
      <c r="A5007" s="227"/>
      <c r="B5007" s="27" t="s">
        <v>2103</v>
      </c>
      <c r="C5007" s="27">
        <v>3356</v>
      </c>
      <c r="D5007" s="14" t="s">
        <v>3792</v>
      </c>
      <c r="E5007" s="229"/>
      <c r="F5007" s="117" t="s">
        <v>14558</v>
      </c>
      <c r="G5007" s="26">
        <v>59819</v>
      </c>
      <c r="H5007" s="231"/>
      <c r="I5007" s="221"/>
      <c r="J5007" s="221"/>
      <c r="K5007" s="221"/>
      <c r="L5007" s="221"/>
      <c r="M5007" s="221"/>
      <c r="N5007" s="221"/>
      <c r="O5007" s="225"/>
      <c r="P5007" s="118" t="s">
        <v>5155</v>
      </c>
      <c r="Q5007" s="16" t="s">
        <v>20</v>
      </c>
      <c r="R5007" s="17" t="s">
        <v>15049</v>
      </c>
      <c r="S5007" s="121" t="s">
        <v>14748</v>
      </c>
      <c r="T5007" s="122"/>
      <c r="U5007" s="22"/>
      <c r="V5007" s="123" t="s">
        <v>2472</v>
      </c>
      <c r="W5007" s="122">
        <v>60118</v>
      </c>
      <c r="X5007" s="221"/>
      <c r="Y5007" s="221"/>
      <c r="Z5007" s="221"/>
      <c r="AA5007" s="221"/>
      <c r="AB5007" s="223"/>
    </row>
    <row r="5008" spans="1:28" ht="17.100000000000001" customHeight="1" thickTop="1">
      <c r="A5008" s="226" t="s">
        <v>14629</v>
      </c>
      <c r="B5008" s="28">
        <v>46035</v>
      </c>
      <c r="C5008" s="25">
        <v>1924</v>
      </c>
      <c r="D5008" s="13" t="s">
        <v>2573</v>
      </c>
      <c r="E5008" s="228"/>
      <c r="F5008" s="109" t="s">
        <v>6672</v>
      </c>
      <c r="G5008" s="24"/>
      <c r="H5008" s="230">
        <v>4</v>
      </c>
      <c r="I5008" s="220">
        <v>1136000</v>
      </c>
      <c r="J5008" s="220">
        <f>I5008*0.1</f>
        <v>113600</v>
      </c>
      <c r="K5008" s="220">
        <v>0</v>
      </c>
      <c r="L5008" s="220">
        <v>9080</v>
      </c>
      <c r="M5008" s="220">
        <v>15950</v>
      </c>
      <c r="N5008" s="220">
        <f>SUM(I5008:M5009)</f>
        <v>1274630</v>
      </c>
      <c r="O5008" s="224"/>
      <c r="P5008" s="110" t="s">
        <v>15061</v>
      </c>
      <c r="Q5008" s="15" t="s">
        <v>19</v>
      </c>
      <c r="R5008" s="205"/>
      <c r="S5008" s="189" t="s">
        <v>25438</v>
      </c>
      <c r="T5008" s="114"/>
      <c r="U5008" s="21"/>
      <c r="V5008" s="115">
        <v>46057</v>
      </c>
      <c r="W5008" s="116"/>
      <c r="X5008" s="220">
        <v>1300000</v>
      </c>
      <c r="Y5008" s="220">
        <f>X5008*0.1</f>
        <v>130000</v>
      </c>
      <c r="Z5008" s="220">
        <v>9080</v>
      </c>
      <c r="AA5008" s="220">
        <f>SUM(X5008:Z5008)</f>
        <v>1439080</v>
      </c>
      <c r="AB5008" s="222"/>
    </row>
    <row r="5009" spans="1:28" ht="17.100000000000001" customHeight="1" thickBot="1">
      <c r="A5009" s="227"/>
      <c r="B5009" s="27" t="s">
        <v>2103</v>
      </c>
      <c r="C5009" s="27">
        <v>3397</v>
      </c>
      <c r="D5009" s="14" t="s">
        <v>2559</v>
      </c>
      <c r="E5009" s="229"/>
      <c r="F5009" s="117" t="s">
        <v>14595</v>
      </c>
      <c r="G5009" s="26">
        <v>47122</v>
      </c>
      <c r="H5009" s="231"/>
      <c r="I5009" s="221"/>
      <c r="J5009" s="221"/>
      <c r="K5009" s="221"/>
      <c r="L5009" s="221"/>
      <c r="M5009" s="221"/>
      <c r="N5009" s="221"/>
      <c r="O5009" s="225"/>
      <c r="P5009" s="118" t="s">
        <v>15062</v>
      </c>
      <c r="Q5009" s="16" t="s">
        <v>20</v>
      </c>
      <c r="R5009" s="17" t="s">
        <v>15049</v>
      </c>
      <c r="S5009" s="121" t="s">
        <v>3581</v>
      </c>
      <c r="T5009" s="122"/>
      <c r="U5009" s="22"/>
      <c r="V5009" s="123" t="s">
        <v>6682</v>
      </c>
      <c r="W5009" s="122">
        <v>50948</v>
      </c>
      <c r="X5009" s="221"/>
      <c r="Y5009" s="221"/>
      <c r="Z5009" s="221"/>
      <c r="AA5009" s="221"/>
      <c r="AB5009" s="223"/>
    </row>
    <row r="5010" spans="1:28" ht="17.100000000000001" customHeight="1" thickTop="1">
      <c r="A5010" s="226" t="s">
        <v>14630</v>
      </c>
      <c r="B5010" s="28">
        <v>46035</v>
      </c>
      <c r="C5010" s="25">
        <v>1924</v>
      </c>
      <c r="D5010" s="13" t="s">
        <v>2264</v>
      </c>
      <c r="E5010" s="228"/>
      <c r="F5010" s="109" t="s">
        <v>5389</v>
      </c>
      <c r="G5010" s="24" t="s">
        <v>4025</v>
      </c>
      <c r="H5010" s="230">
        <v>4</v>
      </c>
      <c r="I5010" s="220">
        <v>705000</v>
      </c>
      <c r="J5010" s="220">
        <f>I5010*0.1</f>
        <v>70500</v>
      </c>
      <c r="K5010" s="220">
        <v>0</v>
      </c>
      <c r="L5010" s="220">
        <v>8400</v>
      </c>
      <c r="M5010" s="220">
        <v>15950</v>
      </c>
      <c r="N5010" s="220">
        <f>SUM(I5010:M5011)</f>
        <v>799850</v>
      </c>
      <c r="O5010" s="224"/>
      <c r="P5010" s="110" t="s">
        <v>14597</v>
      </c>
      <c r="Q5010" s="15" t="s">
        <v>19</v>
      </c>
      <c r="R5010" s="205"/>
      <c r="S5010" s="189"/>
      <c r="T5010" s="114"/>
      <c r="U5010" s="21" t="s">
        <v>17607</v>
      </c>
      <c r="V5010" s="115">
        <v>46067</v>
      </c>
      <c r="W5010" s="116">
        <v>1288</v>
      </c>
      <c r="X5010" s="220">
        <v>770000</v>
      </c>
      <c r="Y5010" s="220">
        <f>X5010*0.1</f>
        <v>77000</v>
      </c>
      <c r="Z5010" s="220">
        <v>8400</v>
      </c>
      <c r="AA5010" s="220">
        <f>SUM(X5010:Z5010)</f>
        <v>855400</v>
      </c>
      <c r="AB5010" s="222">
        <v>46071</v>
      </c>
    </row>
    <row r="5011" spans="1:28" ht="17.100000000000001" customHeight="1" thickBot="1">
      <c r="A5011" s="227"/>
      <c r="B5011" s="27" t="s">
        <v>2103</v>
      </c>
      <c r="C5011" s="27">
        <v>3471</v>
      </c>
      <c r="D5011" s="14" t="s">
        <v>1584</v>
      </c>
      <c r="E5011" s="229"/>
      <c r="F5011" s="117" t="s">
        <v>14596</v>
      </c>
      <c r="G5011" s="26">
        <v>37273</v>
      </c>
      <c r="H5011" s="231"/>
      <c r="I5011" s="221"/>
      <c r="J5011" s="221"/>
      <c r="K5011" s="221"/>
      <c r="L5011" s="221"/>
      <c r="M5011" s="221"/>
      <c r="N5011" s="221"/>
      <c r="O5011" s="225"/>
      <c r="P5011" s="118" t="s">
        <v>15069</v>
      </c>
      <c r="Q5011" s="16" t="s">
        <v>20</v>
      </c>
      <c r="R5011" s="17" t="s">
        <v>15049</v>
      </c>
      <c r="S5011" s="121" t="s">
        <v>10120</v>
      </c>
      <c r="T5011" s="122"/>
      <c r="U5011" s="22"/>
      <c r="V5011" s="123" t="s">
        <v>2472</v>
      </c>
      <c r="W5011" s="122">
        <v>60153</v>
      </c>
      <c r="X5011" s="221"/>
      <c r="Y5011" s="221"/>
      <c r="Z5011" s="221"/>
      <c r="AA5011" s="221"/>
      <c r="AB5011" s="223"/>
    </row>
    <row r="5012" spans="1:28" ht="17.100000000000001" customHeight="1" thickTop="1">
      <c r="A5012" s="226" t="s">
        <v>14631</v>
      </c>
      <c r="B5012" s="28">
        <v>46035</v>
      </c>
      <c r="C5012" s="25">
        <v>1924</v>
      </c>
      <c r="D5012" s="13" t="s">
        <v>1887</v>
      </c>
      <c r="E5012" s="228"/>
      <c r="F5012" s="109" t="s">
        <v>6963</v>
      </c>
      <c r="G5012" s="24"/>
      <c r="H5012" s="230">
        <v>4</v>
      </c>
      <c r="I5012" s="220">
        <v>1123000</v>
      </c>
      <c r="J5012" s="220">
        <f>I5012*0.1</f>
        <v>112300</v>
      </c>
      <c r="K5012" s="220">
        <v>0</v>
      </c>
      <c r="L5012" s="220">
        <v>6850</v>
      </c>
      <c r="M5012" s="220">
        <v>15950</v>
      </c>
      <c r="N5012" s="220">
        <f>SUM(I5012:M5013)</f>
        <v>1258100</v>
      </c>
      <c r="O5012" s="224"/>
      <c r="P5012" s="110" t="s">
        <v>15059</v>
      </c>
      <c r="Q5012" s="15" t="s">
        <v>19</v>
      </c>
      <c r="R5012" s="205"/>
      <c r="S5012" s="189"/>
      <c r="T5012" s="114"/>
      <c r="U5012" s="21"/>
      <c r="V5012" s="115">
        <v>46046</v>
      </c>
      <c r="W5012" s="116">
        <v>1285</v>
      </c>
      <c r="X5012" s="220">
        <v>1175000</v>
      </c>
      <c r="Y5012" s="220">
        <f>X5012*0.1</f>
        <v>117500</v>
      </c>
      <c r="Z5012" s="220">
        <v>6850</v>
      </c>
      <c r="AA5012" s="220">
        <f>SUM(X5012:Z5012)</f>
        <v>1299350</v>
      </c>
      <c r="AB5012" s="222">
        <v>46049</v>
      </c>
    </row>
    <row r="5013" spans="1:28" ht="17.100000000000001" customHeight="1" thickBot="1">
      <c r="A5013" s="227"/>
      <c r="B5013" s="27" t="s">
        <v>2103</v>
      </c>
      <c r="C5013" s="27">
        <v>3516</v>
      </c>
      <c r="D5013" s="14" t="s">
        <v>2177</v>
      </c>
      <c r="E5013" s="229"/>
      <c r="F5013" s="117" t="s">
        <v>14598</v>
      </c>
      <c r="G5013" s="26">
        <v>35352</v>
      </c>
      <c r="H5013" s="231"/>
      <c r="I5013" s="221"/>
      <c r="J5013" s="221"/>
      <c r="K5013" s="221"/>
      <c r="L5013" s="221"/>
      <c r="M5013" s="221"/>
      <c r="N5013" s="221"/>
      <c r="O5013" s="225"/>
      <c r="P5013" s="118" t="s">
        <v>15060</v>
      </c>
      <c r="Q5013" s="16" t="s">
        <v>20</v>
      </c>
      <c r="R5013" s="17" t="s">
        <v>15049</v>
      </c>
      <c r="S5013" s="121" t="s">
        <v>169</v>
      </c>
      <c r="T5013" s="122"/>
      <c r="U5013" s="22"/>
      <c r="V5013" s="123" t="s">
        <v>2472</v>
      </c>
      <c r="W5013" s="122">
        <v>60165</v>
      </c>
      <c r="X5013" s="221"/>
      <c r="Y5013" s="221"/>
      <c r="Z5013" s="221"/>
      <c r="AA5013" s="221"/>
      <c r="AB5013" s="223"/>
    </row>
    <row r="5014" spans="1:28" ht="17.100000000000001" customHeight="1" thickTop="1">
      <c r="A5014" s="226" t="s">
        <v>14632</v>
      </c>
      <c r="B5014" s="28">
        <v>46035</v>
      </c>
      <c r="C5014" s="25">
        <v>1924</v>
      </c>
      <c r="D5014" s="13" t="s">
        <v>4050</v>
      </c>
      <c r="E5014" s="228"/>
      <c r="F5014" s="109" t="s">
        <v>14599</v>
      </c>
      <c r="G5014" s="24"/>
      <c r="H5014" s="230">
        <v>4.5</v>
      </c>
      <c r="I5014" s="220">
        <v>1221000</v>
      </c>
      <c r="J5014" s="220">
        <f>I5014*0.1</f>
        <v>122100</v>
      </c>
      <c r="K5014" s="220">
        <v>0</v>
      </c>
      <c r="L5014" s="220">
        <v>20540</v>
      </c>
      <c r="M5014" s="220">
        <v>15950</v>
      </c>
      <c r="N5014" s="220">
        <f>SUM(I5014:M5015)</f>
        <v>1379590</v>
      </c>
      <c r="O5014" s="224"/>
      <c r="P5014" s="110" t="s">
        <v>15054</v>
      </c>
      <c r="Q5014" s="15" t="s">
        <v>19</v>
      </c>
      <c r="R5014" s="205"/>
      <c r="S5014" s="189"/>
      <c r="T5014" s="114"/>
      <c r="U5014" s="21"/>
      <c r="V5014" s="115">
        <v>46053</v>
      </c>
      <c r="W5014" s="116">
        <v>1286</v>
      </c>
      <c r="X5014" s="220">
        <v>1365000</v>
      </c>
      <c r="Y5014" s="220">
        <f>X5014*0.1</f>
        <v>136500</v>
      </c>
      <c r="Z5014" s="220">
        <v>20540</v>
      </c>
      <c r="AA5014" s="220">
        <f>SUM(X5014:Z5014)</f>
        <v>1522040</v>
      </c>
      <c r="AB5014" s="222">
        <v>46056</v>
      </c>
    </row>
    <row r="5015" spans="1:28" ht="17.100000000000001" customHeight="1" thickBot="1">
      <c r="A5015" s="227"/>
      <c r="B5015" s="27" t="s">
        <v>2103</v>
      </c>
      <c r="C5015" s="27">
        <v>5041</v>
      </c>
      <c r="D5015" s="14" t="s">
        <v>1584</v>
      </c>
      <c r="E5015" s="229"/>
      <c r="F5015" s="117" t="s">
        <v>14600</v>
      </c>
      <c r="G5015" s="26">
        <v>71995</v>
      </c>
      <c r="H5015" s="231"/>
      <c r="I5015" s="221"/>
      <c r="J5015" s="221"/>
      <c r="K5015" s="221"/>
      <c r="L5015" s="221"/>
      <c r="M5015" s="221"/>
      <c r="N5015" s="221"/>
      <c r="O5015" s="225"/>
      <c r="P5015" s="118" t="s">
        <v>9951</v>
      </c>
      <c r="Q5015" s="16" t="s">
        <v>20</v>
      </c>
      <c r="R5015" s="17" t="s">
        <v>15049</v>
      </c>
      <c r="S5015" s="121" t="s">
        <v>2166</v>
      </c>
      <c r="T5015" s="122"/>
      <c r="U5015" s="22"/>
      <c r="V5015" s="123" t="s">
        <v>2472</v>
      </c>
      <c r="W5015" s="122">
        <v>80191</v>
      </c>
      <c r="X5015" s="221"/>
      <c r="Y5015" s="221"/>
      <c r="Z5015" s="221"/>
      <c r="AA5015" s="221"/>
      <c r="AB5015" s="223"/>
    </row>
    <row r="5016" spans="1:28" ht="17.100000000000001" customHeight="1" thickTop="1">
      <c r="A5016" s="233" t="s">
        <v>14633</v>
      </c>
      <c r="B5016" s="28">
        <v>46035</v>
      </c>
      <c r="C5016" s="25">
        <v>1924</v>
      </c>
      <c r="D5016" s="13" t="s">
        <v>3327</v>
      </c>
      <c r="E5016" s="228"/>
      <c r="F5016" s="109" t="s">
        <v>14601</v>
      </c>
      <c r="G5016" s="24"/>
      <c r="H5016" s="230">
        <v>4</v>
      </c>
      <c r="I5016" s="220">
        <v>1225000</v>
      </c>
      <c r="J5016" s="220">
        <f>I5016*0.1</f>
        <v>122500</v>
      </c>
      <c r="K5016" s="220">
        <v>0</v>
      </c>
      <c r="L5016" s="220">
        <v>20540</v>
      </c>
      <c r="M5016" s="220">
        <v>15950</v>
      </c>
      <c r="N5016" s="220">
        <f>SUM(I5016:M5017)</f>
        <v>1383990</v>
      </c>
      <c r="O5016" s="224"/>
      <c r="P5016" s="110" t="s">
        <v>15076</v>
      </c>
      <c r="Q5016" s="15" t="s">
        <v>19</v>
      </c>
      <c r="R5016" s="205"/>
      <c r="S5016" s="189"/>
      <c r="T5016" s="114"/>
      <c r="U5016" s="21"/>
      <c r="V5016" s="115">
        <v>46039</v>
      </c>
      <c r="W5016" s="116">
        <v>1284</v>
      </c>
      <c r="X5016" s="220">
        <v>1325000</v>
      </c>
      <c r="Y5016" s="220">
        <f>X5016*0.1</f>
        <v>132500</v>
      </c>
      <c r="Z5016" s="220">
        <v>20540</v>
      </c>
      <c r="AA5016" s="220">
        <f>SUM(X5016:Z5016)</f>
        <v>1478040</v>
      </c>
      <c r="AB5016" s="222">
        <v>46044</v>
      </c>
    </row>
    <row r="5017" spans="1:28" ht="17.100000000000001" customHeight="1" thickBot="1">
      <c r="A5017" s="234"/>
      <c r="B5017" s="27" t="s">
        <v>2103</v>
      </c>
      <c r="C5017" s="27">
        <v>5046</v>
      </c>
      <c r="D5017" s="14" t="s">
        <v>1584</v>
      </c>
      <c r="E5017" s="229"/>
      <c r="F5017" s="117" t="s">
        <v>14602</v>
      </c>
      <c r="G5017" s="26">
        <v>80242</v>
      </c>
      <c r="H5017" s="231"/>
      <c r="I5017" s="221"/>
      <c r="J5017" s="221"/>
      <c r="K5017" s="221"/>
      <c r="L5017" s="221"/>
      <c r="M5017" s="221"/>
      <c r="N5017" s="221"/>
      <c r="O5017" s="225"/>
      <c r="P5017" s="118" t="s">
        <v>11988</v>
      </c>
      <c r="Q5017" s="16" t="s">
        <v>20</v>
      </c>
      <c r="R5017" s="17" t="s">
        <v>15049</v>
      </c>
      <c r="S5017" s="121" t="s">
        <v>7716</v>
      </c>
      <c r="T5017" s="122"/>
      <c r="U5017" s="22"/>
      <c r="V5017" s="123" t="s">
        <v>2472</v>
      </c>
      <c r="W5017" s="122">
        <v>80342</v>
      </c>
      <c r="X5017" s="221"/>
      <c r="Y5017" s="221"/>
      <c r="Z5017" s="221"/>
      <c r="AA5017" s="221"/>
      <c r="AB5017" s="223"/>
    </row>
    <row r="5018" spans="1:28" ht="17.100000000000001" customHeight="1" thickTop="1">
      <c r="A5018" s="226" t="s">
        <v>14634</v>
      </c>
      <c r="B5018" s="28">
        <v>46035</v>
      </c>
      <c r="C5018" s="25">
        <v>1924</v>
      </c>
      <c r="D5018" s="13" t="s">
        <v>1976</v>
      </c>
      <c r="E5018" s="228"/>
      <c r="F5018" s="109" t="s">
        <v>12881</v>
      </c>
      <c r="G5018" s="24"/>
      <c r="H5018" s="230">
        <v>4.5</v>
      </c>
      <c r="I5018" s="220">
        <v>693000</v>
      </c>
      <c r="J5018" s="220">
        <f>I5018*0.1</f>
        <v>69300</v>
      </c>
      <c r="K5018" s="220">
        <v>0</v>
      </c>
      <c r="L5018" s="220">
        <v>6550</v>
      </c>
      <c r="M5018" s="220">
        <v>15950</v>
      </c>
      <c r="N5018" s="220">
        <f>SUM(I5018:M5019)</f>
        <v>784800</v>
      </c>
      <c r="O5018" s="224"/>
      <c r="P5018" s="110" t="s">
        <v>15067</v>
      </c>
      <c r="Q5018" s="15" t="s">
        <v>19</v>
      </c>
      <c r="R5018" s="205"/>
      <c r="S5018" s="189" t="s">
        <v>1341</v>
      </c>
      <c r="T5018" s="114"/>
      <c r="U5018" s="21"/>
      <c r="V5018" s="115">
        <v>46067</v>
      </c>
      <c r="W5018" s="116">
        <v>1288</v>
      </c>
      <c r="X5018" s="220">
        <v>850000</v>
      </c>
      <c r="Y5018" s="220">
        <f>X5018*0.1</f>
        <v>85000</v>
      </c>
      <c r="Z5018" s="220">
        <v>6550</v>
      </c>
      <c r="AA5018" s="220">
        <f>SUM(X5018:Z5018)</f>
        <v>941550</v>
      </c>
      <c r="AB5018" s="222">
        <v>46070</v>
      </c>
    </row>
    <row r="5019" spans="1:28" ht="17.100000000000001" customHeight="1" thickBot="1">
      <c r="A5019" s="227"/>
      <c r="B5019" s="27" t="s">
        <v>2103</v>
      </c>
      <c r="C5019" s="27">
        <v>5442</v>
      </c>
      <c r="D5019" s="14" t="s">
        <v>1710</v>
      </c>
      <c r="E5019" s="229"/>
      <c r="F5019" s="117" t="s">
        <v>14560</v>
      </c>
      <c r="G5019" s="26">
        <v>17004</v>
      </c>
      <c r="H5019" s="231"/>
      <c r="I5019" s="221"/>
      <c r="J5019" s="221"/>
      <c r="K5019" s="221"/>
      <c r="L5019" s="221"/>
      <c r="M5019" s="221"/>
      <c r="N5019" s="221"/>
      <c r="O5019" s="225"/>
      <c r="P5019" s="118" t="s">
        <v>5159</v>
      </c>
      <c r="Q5019" s="16" t="s">
        <v>20</v>
      </c>
      <c r="R5019" s="17" t="s">
        <v>15049</v>
      </c>
      <c r="S5019" s="121" t="s">
        <v>2360</v>
      </c>
      <c r="T5019" s="122"/>
      <c r="U5019" s="22"/>
      <c r="V5019" s="123" t="s">
        <v>2472</v>
      </c>
      <c r="W5019" s="122">
        <v>60071</v>
      </c>
      <c r="X5019" s="221"/>
      <c r="Y5019" s="221"/>
      <c r="Z5019" s="221"/>
      <c r="AA5019" s="221"/>
      <c r="AB5019" s="223"/>
    </row>
    <row r="5020" spans="1:28" ht="17.100000000000001" customHeight="1" thickTop="1">
      <c r="A5020" s="226" t="s">
        <v>14635</v>
      </c>
      <c r="B5020" s="28">
        <v>46035</v>
      </c>
      <c r="C5020" s="25">
        <v>1924</v>
      </c>
      <c r="D5020" s="13" t="s">
        <v>1542</v>
      </c>
      <c r="E5020" s="228"/>
      <c r="F5020" s="109" t="s">
        <v>14561</v>
      </c>
      <c r="G5020" s="24"/>
      <c r="H5020" s="230">
        <v>4</v>
      </c>
      <c r="I5020" s="220">
        <v>661000</v>
      </c>
      <c r="J5020" s="220">
        <f>I5020*0.1</f>
        <v>66100</v>
      </c>
      <c r="K5020" s="220">
        <v>0</v>
      </c>
      <c r="L5020" s="220">
        <v>9810</v>
      </c>
      <c r="M5020" s="220">
        <v>15950</v>
      </c>
      <c r="N5020" s="220">
        <f>SUM(I5020:M5021)</f>
        <v>752860</v>
      </c>
      <c r="O5020" s="224"/>
      <c r="P5020" s="110" t="s">
        <v>15070</v>
      </c>
      <c r="Q5020" s="15" t="s">
        <v>19</v>
      </c>
      <c r="R5020" s="205"/>
      <c r="S5020" s="189"/>
      <c r="T5020" s="114"/>
      <c r="U5020" s="21"/>
      <c r="V5020" s="115">
        <v>46050</v>
      </c>
      <c r="W5020" s="116">
        <v>1002</v>
      </c>
      <c r="X5020" s="220">
        <v>700000</v>
      </c>
      <c r="Y5020" s="220">
        <f>X5020*0.1</f>
        <v>70000</v>
      </c>
      <c r="Z5020" s="220">
        <v>9810</v>
      </c>
      <c r="AA5020" s="220">
        <f>SUM(X5020:Z5020)</f>
        <v>779810</v>
      </c>
      <c r="AB5020" s="222">
        <v>46055</v>
      </c>
    </row>
    <row r="5021" spans="1:28" ht="17.100000000000001" customHeight="1" thickBot="1">
      <c r="A5021" s="227"/>
      <c r="B5021" s="27" t="s">
        <v>2103</v>
      </c>
      <c r="C5021" s="27">
        <v>5461</v>
      </c>
      <c r="D5021" s="14" t="s">
        <v>273</v>
      </c>
      <c r="E5021" s="229"/>
      <c r="F5021" s="117" t="s">
        <v>14562</v>
      </c>
      <c r="G5021" s="26">
        <v>94403</v>
      </c>
      <c r="H5021" s="231"/>
      <c r="I5021" s="221"/>
      <c r="J5021" s="221"/>
      <c r="K5021" s="221"/>
      <c r="L5021" s="221"/>
      <c r="M5021" s="221"/>
      <c r="N5021" s="221"/>
      <c r="O5021" s="225"/>
      <c r="P5021" s="118" t="s">
        <v>10518</v>
      </c>
      <c r="Q5021" s="16" t="s">
        <v>20</v>
      </c>
      <c r="R5021" s="17" t="s">
        <v>15049</v>
      </c>
      <c r="S5021" s="121" t="s">
        <v>14749</v>
      </c>
      <c r="T5021" s="122"/>
      <c r="U5021" s="22"/>
      <c r="V5021" s="123" t="s">
        <v>2747</v>
      </c>
      <c r="W5021" s="122">
        <v>5176</v>
      </c>
      <c r="X5021" s="221"/>
      <c r="Y5021" s="221"/>
      <c r="Z5021" s="221"/>
      <c r="AA5021" s="221"/>
      <c r="AB5021" s="223"/>
    </row>
    <row r="5022" spans="1:28" ht="17.100000000000001" customHeight="1" thickTop="1">
      <c r="A5022" s="226" t="s">
        <v>14636</v>
      </c>
      <c r="B5022" s="28">
        <v>46035</v>
      </c>
      <c r="C5022" s="25">
        <v>802</v>
      </c>
      <c r="D5022" s="13" t="s">
        <v>2406</v>
      </c>
      <c r="E5022" s="228"/>
      <c r="F5022" s="109" t="s">
        <v>4408</v>
      </c>
      <c r="G5022" s="24"/>
      <c r="H5022" s="230">
        <v>4</v>
      </c>
      <c r="I5022" s="220">
        <v>701000</v>
      </c>
      <c r="J5022" s="220">
        <f>I5022*0.1</f>
        <v>70100</v>
      </c>
      <c r="K5022" s="220">
        <v>0</v>
      </c>
      <c r="L5022" s="220">
        <v>8400</v>
      </c>
      <c r="M5022" s="220">
        <v>15950</v>
      </c>
      <c r="N5022" s="220">
        <f>SUM(I5022:M5023)</f>
        <v>795450</v>
      </c>
      <c r="O5022" s="224"/>
      <c r="P5022" s="110" t="s">
        <v>15057</v>
      </c>
      <c r="Q5022" s="15" t="s">
        <v>19</v>
      </c>
      <c r="R5022" s="205"/>
      <c r="S5022" s="189" t="s">
        <v>25415</v>
      </c>
      <c r="T5022" s="114"/>
      <c r="U5022" s="21"/>
      <c r="V5022" s="115">
        <v>46067</v>
      </c>
      <c r="W5022" s="116">
        <v>1288</v>
      </c>
      <c r="X5022" s="220">
        <v>790000</v>
      </c>
      <c r="Y5022" s="220">
        <f>X5022*0.1</f>
        <v>79000</v>
      </c>
      <c r="Z5022" s="220">
        <v>8400</v>
      </c>
      <c r="AA5022" s="220">
        <f>SUM(X5022:Z5022)</f>
        <v>877400</v>
      </c>
      <c r="AB5022" s="222">
        <v>46070</v>
      </c>
    </row>
    <row r="5023" spans="1:28" ht="17.100000000000001" customHeight="1" thickBot="1">
      <c r="A5023" s="227"/>
      <c r="B5023" s="27" t="s">
        <v>3314</v>
      </c>
      <c r="C5023" s="27">
        <v>3061</v>
      </c>
      <c r="D5023" s="14" t="s">
        <v>2177</v>
      </c>
      <c r="E5023" s="229"/>
      <c r="F5023" s="117" t="s">
        <v>14563</v>
      </c>
      <c r="G5023" s="26">
        <v>37759</v>
      </c>
      <c r="H5023" s="231"/>
      <c r="I5023" s="221"/>
      <c r="J5023" s="221"/>
      <c r="K5023" s="221"/>
      <c r="L5023" s="221"/>
      <c r="M5023" s="221"/>
      <c r="N5023" s="221"/>
      <c r="O5023" s="225"/>
      <c r="P5023" s="118" t="s">
        <v>15058</v>
      </c>
      <c r="Q5023" s="16" t="s">
        <v>20</v>
      </c>
      <c r="R5023" s="17" t="s">
        <v>15049</v>
      </c>
      <c r="S5023" s="121" t="s">
        <v>1731</v>
      </c>
      <c r="T5023" s="122"/>
      <c r="U5023" s="22"/>
      <c r="V5023" s="123" t="s">
        <v>2472</v>
      </c>
      <c r="W5023" s="122">
        <v>60277</v>
      </c>
      <c r="X5023" s="221"/>
      <c r="Y5023" s="221"/>
      <c r="Z5023" s="221"/>
      <c r="AA5023" s="221"/>
      <c r="AB5023" s="223"/>
    </row>
    <row r="5024" spans="1:28" ht="17.100000000000001" customHeight="1" thickTop="1">
      <c r="A5024" s="226" t="s">
        <v>14637</v>
      </c>
      <c r="B5024" s="28">
        <v>46035</v>
      </c>
      <c r="C5024" s="25">
        <v>802</v>
      </c>
      <c r="D5024" s="13" t="s">
        <v>2564</v>
      </c>
      <c r="E5024" s="228"/>
      <c r="F5024" s="109" t="s">
        <v>14564</v>
      </c>
      <c r="G5024" s="24"/>
      <c r="H5024" s="230">
        <v>4</v>
      </c>
      <c r="I5024" s="220">
        <v>628000</v>
      </c>
      <c r="J5024" s="220">
        <f>I5024*0.1</f>
        <v>62800</v>
      </c>
      <c r="K5024" s="220">
        <v>0</v>
      </c>
      <c r="L5024" s="220">
        <v>8400</v>
      </c>
      <c r="M5024" s="220">
        <v>15950</v>
      </c>
      <c r="N5024" s="220">
        <f>SUM(I5024:M5025)</f>
        <v>715150</v>
      </c>
      <c r="O5024" s="224"/>
      <c r="P5024" s="110" t="s">
        <v>15056</v>
      </c>
      <c r="Q5024" s="15" t="s">
        <v>19</v>
      </c>
      <c r="R5024" s="205"/>
      <c r="S5024" s="189"/>
      <c r="T5024" s="114"/>
      <c r="U5024" s="21"/>
      <c r="V5024" s="115">
        <v>46060</v>
      </c>
      <c r="W5024" s="116">
        <v>1287</v>
      </c>
      <c r="X5024" s="220">
        <v>700000</v>
      </c>
      <c r="Y5024" s="220">
        <f>X5024*0.1</f>
        <v>70000</v>
      </c>
      <c r="Z5024" s="220">
        <v>8400</v>
      </c>
      <c r="AA5024" s="220">
        <f>SUM(X5024:Z5024)</f>
        <v>778400</v>
      </c>
      <c r="AB5024" s="222">
        <v>46070</v>
      </c>
    </row>
    <row r="5025" spans="1:28" ht="17.100000000000001" customHeight="1" thickBot="1">
      <c r="A5025" s="227"/>
      <c r="B5025" s="27" t="s">
        <v>3314</v>
      </c>
      <c r="C5025" s="27">
        <v>3086</v>
      </c>
      <c r="D5025" s="14" t="s">
        <v>1584</v>
      </c>
      <c r="E5025" s="229"/>
      <c r="F5025" s="117" t="s">
        <v>14565</v>
      </c>
      <c r="G5025" s="26">
        <v>36623</v>
      </c>
      <c r="H5025" s="231"/>
      <c r="I5025" s="221"/>
      <c r="J5025" s="221"/>
      <c r="K5025" s="221"/>
      <c r="L5025" s="221"/>
      <c r="M5025" s="221"/>
      <c r="N5025" s="221"/>
      <c r="O5025" s="225"/>
      <c r="P5025" s="118" t="s">
        <v>4826</v>
      </c>
      <c r="Q5025" s="16" t="s">
        <v>20</v>
      </c>
      <c r="R5025" s="17" t="s">
        <v>15049</v>
      </c>
      <c r="S5025" s="121"/>
      <c r="T5025" s="122"/>
      <c r="U5025" s="22"/>
      <c r="V5025" s="123" t="s">
        <v>17196</v>
      </c>
      <c r="W5025" s="122">
        <v>60064</v>
      </c>
      <c r="X5025" s="221"/>
      <c r="Y5025" s="221"/>
      <c r="Z5025" s="221"/>
      <c r="AA5025" s="221"/>
      <c r="AB5025" s="223"/>
    </row>
    <row r="5026" spans="1:28" ht="17.100000000000001" customHeight="1" thickTop="1">
      <c r="A5026" s="233" t="s">
        <v>14638</v>
      </c>
      <c r="B5026" s="28">
        <v>46035</v>
      </c>
      <c r="C5026" s="25">
        <v>802</v>
      </c>
      <c r="D5026" s="13" t="s">
        <v>812</v>
      </c>
      <c r="E5026" s="228"/>
      <c r="F5026" s="109" t="s">
        <v>14566</v>
      </c>
      <c r="G5026" s="24" t="s">
        <v>1551</v>
      </c>
      <c r="H5026" s="230">
        <v>4</v>
      </c>
      <c r="I5026" s="220">
        <v>2098000</v>
      </c>
      <c r="J5026" s="220">
        <f>I5026*0.1</f>
        <v>209800</v>
      </c>
      <c r="K5026" s="220">
        <v>6600</v>
      </c>
      <c r="L5026" s="220">
        <v>13890</v>
      </c>
      <c r="M5026" s="220">
        <v>15950</v>
      </c>
      <c r="N5026" s="220">
        <f>SUM(I5026:M5027)</f>
        <v>2344240</v>
      </c>
      <c r="O5026" s="224"/>
      <c r="P5026" s="110" t="s">
        <v>14568</v>
      </c>
      <c r="Q5026" s="15" t="s">
        <v>19</v>
      </c>
      <c r="R5026" s="205"/>
      <c r="S5026" s="189" t="s">
        <v>1361</v>
      </c>
      <c r="T5026" s="114"/>
      <c r="U5026" s="21"/>
      <c r="V5026" s="115">
        <v>46039</v>
      </c>
      <c r="W5026" s="116">
        <v>1284</v>
      </c>
      <c r="X5026" s="220">
        <v>2215000</v>
      </c>
      <c r="Y5026" s="220">
        <f>X5026*0.1</f>
        <v>221500</v>
      </c>
      <c r="Z5026" s="220">
        <v>13890</v>
      </c>
      <c r="AA5026" s="220">
        <f>SUM(X5026:Z5026)</f>
        <v>2450390</v>
      </c>
      <c r="AB5026" s="222">
        <v>46044</v>
      </c>
    </row>
    <row r="5027" spans="1:28" ht="17.100000000000001" customHeight="1" thickBot="1">
      <c r="A5027" s="234"/>
      <c r="B5027" s="27" t="s">
        <v>3314</v>
      </c>
      <c r="C5027" s="27">
        <v>70081</v>
      </c>
      <c r="D5027" s="14" t="s">
        <v>273</v>
      </c>
      <c r="E5027" s="229"/>
      <c r="F5027" s="117" t="s">
        <v>14567</v>
      </c>
      <c r="G5027" s="26">
        <v>18469</v>
      </c>
      <c r="H5027" s="231"/>
      <c r="I5027" s="221"/>
      <c r="J5027" s="221"/>
      <c r="K5027" s="221"/>
      <c r="L5027" s="221"/>
      <c r="M5027" s="221"/>
      <c r="N5027" s="221"/>
      <c r="O5027" s="225"/>
      <c r="P5027" s="118" t="s">
        <v>13752</v>
      </c>
      <c r="Q5027" s="16" t="s">
        <v>20</v>
      </c>
      <c r="R5027" s="17" t="s">
        <v>15049</v>
      </c>
      <c r="S5027" s="121" t="s">
        <v>169</v>
      </c>
      <c r="T5027" s="122"/>
      <c r="U5027" s="22"/>
      <c r="V5027" s="123" t="s">
        <v>2472</v>
      </c>
      <c r="W5027" s="122">
        <v>80340</v>
      </c>
      <c r="X5027" s="221"/>
      <c r="Y5027" s="221"/>
      <c r="Z5027" s="221"/>
      <c r="AA5027" s="221"/>
      <c r="AB5027" s="223"/>
    </row>
    <row r="5028" spans="1:28" ht="17.100000000000001" customHeight="1" thickTop="1">
      <c r="A5028" s="233" t="s">
        <v>14639</v>
      </c>
      <c r="B5028" s="28">
        <v>46035</v>
      </c>
      <c r="C5028" s="25">
        <v>922</v>
      </c>
      <c r="D5028" s="13" t="s">
        <v>2637</v>
      </c>
      <c r="E5028" s="228"/>
      <c r="F5028" s="109" t="s">
        <v>5271</v>
      </c>
      <c r="G5028" s="24" t="s">
        <v>2038</v>
      </c>
      <c r="H5028" s="230">
        <v>4</v>
      </c>
      <c r="I5028" s="220">
        <v>510000</v>
      </c>
      <c r="J5028" s="220">
        <f>I5028*0.1</f>
        <v>51000</v>
      </c>
      <c r="K5028" s="220">
        <v>0</v>
      </c>
      <c r="L5028" s="220">
        <v>6470</v>
      </c>
      <c r="M5028" s="220">
        <v>15950</v>
      </c>
      <c r="N5028" s="220">
        <f>SUM(I5028:M5029)</f>
        <v>583420</v>
      </c>
      <c r="O5028" s="224"/>
      <c r="P5028" s="110" t="s">
        <v>14604</v>
      </c>
      <c r="Q5028" s="15" t="s">
        <v>19</v>
      </c>
      <c r="R5028" s="205"/>
      <c r="S5028" s="189" t="s">
        <v>758</v>
      </c>
      <c r="T5028" s="114"/>
      <c r="U5028" s="21"/>
      <c r="V5028" s="115">
        <v>46039</v>
      </c>
      <c r="W5028" s="116">
        <v>1284</v>
      </c>
      <c r="X5028" s="220">
        <v>555000</v>
      </c>
      <c r="Y5028" s="220">
        <f>X5028*0.1</f>
        <v>55500</v>
      </c>
      <c r="Z5028" s="220">
        <v>6470</v>
      </c>
      <c r="AA5028" s="220">
        <f>SUM(X5028:Z5028)</f>
        <v>616970</v>
      </c>
      <c r="AB5028" s="222">
        <v>46044</v>
      </c>
    </row>
    <row r="5029" spans="1:28" ht="17.100000000000001" customHeight="1" thickBot="1">
      <c r="A5029" s="234"/>
      <c r="B5029" s="27" t="s">
        <v>2654</v>
      </c>
      <c r="C5029" s="27">
        <v>3102</v>
      </c>
      <c r="D5029" s="14" t="s">
        <v>273</v>
      </c>
      <c r="E5029" s="229"/>
      <c r="F5029" s="117" t="s">
        <v>14603</v>
      </c>
      <c r="G5029" s="26">
        <v>51996</v>
      </c>
      <c r="H5029" s="231"/>
      <c r="I5029" s="221"/>
      <c r="J5029" s="221"/>
      <c r="K5029" s="221"/>
      <c r="L5029" s="221"/>
      <c r="M5029" s="221"/>
      <c r="N5029" s="221"/>
      <c r="O5029" s="225"/>
      <c r="P5029" s="118" t="s">
        <v>15079</v>
      </c>
      <c r="Q5029" s="16" t="s">
        <v>20</v>
      </c>
      <c r="R5029" s="17" t="s">
        <v>15049</v>
      </c>
      <c r="S5029" s="121" t="s">
        <v>11197</v>
      </c>
      <c r="T5029" s="122"/>
      <c r="U5029" s="22"/>
      <c r="V5029" s="123" t="s">
        <v>2472</v>
      </c>
      <c r="W5029" s="122">
        <v>60356</v>
      </c>
      <c r="X5029" s="221"/>
      <c r="Y5029" s="221"/>
      <c r="Z5029" s="221"/>
      <c r="AA5029" s="221"/>
      <c r="AB5029" s="223"/>
    </row>
    <row r="5030" spans="1:28" ht="17.100000000000001" customHeight="1" thickTop="1">
      <c r="A5030" s="226" t="s">
        <v>14640</v>
      </c>
      <c r="B5030" s="28">
        <v>46035</v>
      </c>
      <c r="C5030" s="25">
        <v>922</v>
      </c>
      <c r="D5030" s="13" t="s">
        <v>853</v>
      </c>
      <c r="E5030" s="228"/>
      <c r="F5030" s="109" t="s">
        <v>3533</v>
      </c>
      <c r="G5030" s="24" t="s">
        <v>3859</v>
      </c>
      <c r="H5030" s="230">
        <v>5</v>
      </c>
      <c r="I5030" s="220">
        <v>1023000</v>
      </c>
      <c r="J5030" s="220">
        <f>I5030*0.1</f>
        <v>102300</v>
      </c>
      <c r="K5030" s="220">
        <v>0</v>
      </c>
      <c r="L5030" s="220">
        <v>5340</v>
      </c>
      <c r="M5030" s="220">
        <v>15950</v>
      </c>
      <c r="N5030" s="220">
        <f>SUM(I5030:M5031)</f>
        <v>1146590</v>
      </c>
      <c r="O5030" s="224"/>
      <c r="P5030" s="110" t="s">
        <v>14607</v>
      </c>
      <c r="Q5030" s="15" t="s">
        <v>19</v>
      </c>
      <c r="R5030" s="205"/>
      <c r="S5030" s="189" t="s">
        <v>1361</v>
      </c>
      <c r="T5030" s="114"/>
      <c r="U5030" s="21"/>
      <c r="V5030" s="115">
        <v>46050</v>
      </c>
      <c r="W5030" s="116">
        <v>1002</v>
      </c>
      <c r="X5030" s="220">
        <v>1065000</v>
      </c>
      <c r="Y5030" s="220">
        <f>X5030*0.1</f>
        <v>106500</v>
      </c>
      <c r="Z5030" s="279">
        <v>5340</v>
      </c>
      <c r="AA5030" s="220">
        <f>SUM(X5030:Z5030)</f>
        <v>1176840</v>
      </c>
      <c r="AB5030" s="222">
        <v>46055</v>
      </c>
    </row>
    <row r="5031" spans="1:28" ht="17.100000000000001" customHeight="1" thickBot="1">
      <c r="A5031" s="227"/>
      <c r="B5031" s="27" t="s">
        <v>2654</v>
      </c>
      <c r="C5031" s="27">
        <v>3129</v>
      </c>
      <c r="D5031" s="14" t="s">
        <v>14605</v>
      </c>
      <c r="E5031" s="229"/>
      <c r="F5031" s="117" t="s">
        <v>14606</v>
      </c>
      <c r="G5031" s="26">
        <v>27666</v>
      </c>
      <c r="H5031" s="231"/>
      <c r="I5031" s="221"/>
      <c r="J5031" s="221"/>
      <c r="K5031" s="221"/>
      <c r="L5031" s="221"/>
      <c r="M5031" s="221"/>
      <c r="N5031" s="221"/>
      <c r="O5031" s="225"/>
      <c r="P5031" s="118" t="s">
        <v>4842</v>
      </c>
      <c r="Q5031" s="16" t="s">
        <v>20</v>
      </c>
      <c r="R5031" s="17" t="s">
        <v>15049</v>
      </c>
      <c r="S5031" s="121" t="s">
        <v>14750</v>
      </c>
      <c r="T5031" s="122"/>
      <c r="U5031" s="22"/>
      <c r="V5031" s="123" t="s">
        <v>2747</v>
      </c>
      <c r="W5031" s="122">
        <v>5091</v>
      </c>
      <c r="X5031" s="221"/>
      <c r="Y5031" s="221"/>
      <c r="Z5031" s="280"/>
      <c r="AA5031" s="221"/>
      <c r="AB5031" s="223"/>
    </row>
    <row r="5032" spans="1:28" ht="17.100000000000001" customHeight="1" thickTop="1">
      <c r="A5032" s="226" t="s">
        <v>14641</v>
      </c>
      <c r="B5032" s="28">
        <v>46035</v>
      </c>
      <c r="C5032" s="25">
        <v>922</v>
      </c>
      <c r="D5032" s="13" t="s">
        <v>1642</v>
      </c>
      <c r="E5032" s="228"/>
      <c r="F5032" s="109" t="s">
        <v>9934</v>
      </c>
      <c r="G5032" s="24" t="s">
        <v>2084</v>
      </c>
      <c r="H5032" s="230">
        <v>4</v>
      </c>
      <c r="I5032" s="220">
        <v>822000</v>
      </c>
      <c r="J5032" s="220">
        <f>I5032*0.1</f>
        <v>82200</v>
      </c>
      <c r="K5032" s="220">
        <v>0</v>
      </c>
      <c r="L5032" s="220">
        <v>8630</v>
      </c>
      <c r="M5032" s="220">
        <v>15950</v>
      </c>
      <c r="N5032" s="220">
        <f>SUM(I5032:M5033)</f>
        <v>928780</v>
      </c>
      <c r="O5032" s="224"/>
      <c r="P5032" s="110" t="s">
        <v>14609</v>
      </c>
      <c r="Q5032" s="15" t="s">
        <v>19</v>
      </c>
      <c r="R5032" s="205"/>
      <c r="S5032" s="189" t="s">
        <v>696</v>
      </c>
      <c r="T5032" s="114"/>
      <c r="U5032" s="21" t="s">
        <v>16598</v>
      </c>
      <c r="V5032" s="115">
        <v>46057</v>
      </c>
      <c r="W5032" s="116">
        <v>1003</v>
      </c>
      <c r="X5032" s="220">
        <v>900000</v>
      </c>
      <c r="Y5032" s="220">
        <f>X5032*0.1</f>
        <v>90000</v>
      </c>
      <c r="Z5032" s="220">
        <v>8630</v>
      </c>
      <c r="AA5032" s="220">
        <f>SUM(X5032:Z5032)</f>
        <v>998630</v>
      </c>
      <c r="AB5032" s="222">
        <v>46063</v>
      </c>
    </row>
    <row r="5033" spans="1:28" ht="17.100000000000001" customHeight="1" thickBot="1">
      <c r="A5033" s="227"/>
      <c r="B5033" s="27" t="s">
        <v>2654</v>
      </c>
      <c r="C5033" s="27">
        <v>3323</v>
      </c>
      <c r="D5033" s="14" t="s">
        <v>1710</v>
      </c>
      <c r="E5033" s="229"/>
      <c r="F5033" s="117" t="s">
        <v>14608</v>
      </c>
      <c r="G5033" s="26">
        <v>57630</v>
      </c>
      <c r="H5033" s="231"/>
      <c r="I5033" s="221"/>
      <c r="J5033" s="221"/>
      <c r="K5033" s="221"/>
      <c r="L5033" s="221"/>
      <c r="M5033" s="221"/>
      <c r="N5033" s="221"/>
      <c r="O5033" s="225"/>
      <c r="P5033" s="118" t="s">
        <v>15065</v>
      </c>
      <c r="Q5033" s="16" t="s">
        <v>20</v>
      </c>
      <c r="R5033" s="17" t="s">
        <v>15049</v>
      </c>
      <c r="S5033" s="121" t="s">
        <v>3429</v>
      </c>
      <c r="T5033" s="122"/>
      <c r="U5033" s="22"/>
      <c r="V5033" s="123" t="s">
        <v>2747</v>
      </c>
      <c r="W5033" s="122">
        <v>2076</v>
      </c>
      <c r="X5033" s="221"/>
      <c r="Y5033" s="221"/>
      <c r="Z5033" s="221"/>
      <c r="AA5033" s="221"/>
      <c r="AB5033" s="223"/>
    </row>
    <row r="5034" spans="1:28" ht="17.100000000000001" customHeight="1" thickTop="1">
      <c r="A5034" s="233" t="s">
        <v>14642</v>
      </c>
      <c r="B5034" s="28">
        <v>46035</v>
      </c>
      <c r="C5034" s="25">
        <v>922</v>
      </c>
      <c r="D5034" s="13" t="s">
        <v>853</v>
      </c>
      <c r="E5034" s="228"/>
      <c r="F5034" s="109" t="s">
        <v>9048</v>
      </c>
      <c r="G5034" s="24" t="s">
        <v>3859</v>
      </c>
      <c r="H5034" s="230">
        <v>4</v>
      </c>
      <c r="I5034" s="220">
        <v>1000000</v>
      </c>
      <c r="J5034" s="220">
        <f>I5034*0.1</f>
        <v>100000</v>
      </c>
      <c r="K5034" s="220">
        <v>0</v>
      </c>
      <c r="L5034" s="220">
        <v>8740</v>
      </c>
      <c r="M5034" s="220">
        <v>15950</v>
      </c>
      <c r="N5034" s="220">
        <f>SUM(I5034:M5035)</f>
        <v>1124690</v>
      </c>
      <c r="O5034" s="224"/>
      <c r="P5034" s="110" t="s">
        <v>14611</v>
      </c>
      <c r="Q5034" s="15" t="s">
        <v>19</v>
      </c>
      <c r="R5034" s="205"/>
      <c r="S5034" s="189" t="s">
        <v>25511</v>
      </c>
      <c r="T5034" s="114"/>
      <c r="U5034" s="21"/>
      <c r="V5034" s="115">
        <v>46039</v>
      </c>
      <c r="W5034" s="116">
        <v>1284</v>
      </c>
      <c r="X5034" s="220">
        <v>1070000</v>
      </c>
      <c r="Y5034" s="220">
        <f>X5034*0.1</f>
        <v>107000</v>
      </c>
      <c r="Z5034" s="220">
        <v>8740</v>
      </c>
      <c r="AA5034" s="220">
        <f>SUM(X5034:Z5034)</f>
        <v>1185740</v>
      </c>
      <c r="AB5034" s="222">
        <v>46044</v>
      </c>
    </row>
    <row r="5035" spans="1:28" ht="17.100000000000001" customHeight="1" thickBot="1">
      <c r="A5035" s="234"/>
      <c r="B5035" s="27" t="s">
        <v>2654</v>
      </c>
      <c r="C5035" s="27">
        <v>3326</v>
      </c>
      <c r="D5035" s="14" t="s">
        <v>3746</v>
      </c>
      <c r="E5035" s="229"/>
      <c r="F5035" s="117" t="s">
        <v>14610</v>
      </c>
      <c r="G5035" s="26">
        <v>36390</v>
      </c>
      <c r="H5035" s="231"/>
      <c r="I5035" s="221"/>
      <c r="J5035" s="221"/>
      <c r="K5035" s="221"/>
      <c r="L5035" s="221"/>
      <c r="M5035" s="221"/>
      <c r="N5035" s="221"/>
      <c r="O5035" s="225"/>
      <c r="P5035" s="118" t="s">
        <v>15077</v>
      </c>
      <c r="Q5035" s="16" t="s">
        <v>20</v>
      </c>
      <c r="R5035" s="17" t="s">
        <v>15049</v>
      </c>
      <c r="S5035" s="121" t="s">
        <v>1625</v>
      </c>
      <c r="T5035" s="122"/>
      <c r="U5035" s="22"/>
      <c r="V5035" s="123" t="s">
        <v>2472</v>
      </c>
      <c r="W5035" s="122">
        <v>60398</v>
      </c>
      <c r="X5035" s="221"/>
      <c r="Y5035" s="221"/>
      <c r="Z5035" s="221"/>
      <c r="AA5035" s="221"/>
      <c r="AB5035" s="223"/>
    </row>
    <row r="5036" spans="1:28" ht="17.100000000000001" customHeight="1" thickTop="1">
      <c r="A5036" s="226" t="s">
        <v>14643</v>
      </c>
      <c r="B5036" s="28">
        <v>46035</v>
      </c>
      <c r="C5036" s="25">
        <v>922</v>
      </c>
      <c r="D5036" s="13" t="s">
        <v>2790</v>
      </c>
      <c r="E5036" s="228"/>
      <c r="F5036" s="109" t="s">
        <v>8863</v>
      </c>
      <c r="G5036" s="24" t="s">
        <v>3672</v>
      </c>
      <c r="H5036" s="232" t="s">
        <v>4130</v>
      </c>
      <c r="I5036" s="220">
        <v>1470000</v>
      </c>
      <c r="J5036" s="220">
        <f>I5036*0.1</f>
        <v>147000</v>
      </c>
      <c r="K5036" s="220">
        <v>0</v>
      </c>
      <c r="L5036" s="220">
        <v>8350</v>
      </c>
      <c r="M5036" s="220">
        <v>15950</v>
      </c>
      <c r="N5036" s="220">
        <f>SUM(I5036:M5037)</f>
        <v>1641300</v>
      </c>
      <c r="O5036" s="224"/>
      <c r="P5036" s="110" t="s">
        <v>14613</v>
      </c>
      <c r="Q5036" s="15" t="s">
        <v>19</v>
      </c>
      <c r="R5036" s="205"/>
      <c r="S5036" s="189" t="s">
        <v>1289</v>
      </c>
      <c r="T5036" s="114"/>
      <c r="U5036" s="21" t="s">
        <v>17606</v>
      </c>
      <c r="V5036" s="115">
        <v>46063</v>
      </c>
      <c r="W5036" s="116">
        <v>1928</v>
      </c>
      <c r="X5036" s="220">
        <v>1498000</v>
      </c>
      <c r="Y5036" s="220">
        <f>X5036*0.1</f>
        <v>149800</v>
      </c>
      <c r="Z5036" s="220">
        <v>8350</v>
      </c>
      <c r="AA5036" s="220">
        <f>SUM(X5036:Z5036)</f>
        <v>1656150</v>
      </c>
      <c r="AB5036" s="222"/>
    </row>
    <row r="5037" spans="1:28" ht="17.100000000000001" customHeight="1" thickBot="1">
      <c r="A5037" s="227"/>
      <c r="B5037" s="27" t="s">
        <v>2654</v>
      </c>
      <c r="C5037" s="27">
        <v>3358</v>
      </c>
      <c r="D5037" s="14" t="s">
        <v>1548</v>
      </c>
      <c r="E5037" s="229"/>
      <c r="F5037" s="117" t="s">
        <v>14612</v>
      </c>
      <c r="G5037" s="26">
        <v>428</v>
      </c>
      <c r="H5037" s="231"/>
      <c r="I5037" s="221"/>
      <c r="J5037" s="221"/>
      <c r="K5037" s="221"/>
      <c r="L5037" s="221"/>
      <c r="M5037" s="221"/>
      <c r="N5037" s="221"/>
      <c r="O5037" s="225"/>
      <c r="P5037" s="118" t="s">
        <v>15063</v>
      </c>
      <c r="Q5037" s="16" t="s">
        <v>20</v>
      </c>
      <c r="R5037" s="17" t="s">
        <v>15049</v>
      </c>
      <c r="S5037" s="121" t="s">
        <v>15064</v>
      </c>
      <c r="T5037" s="122"/>
      <c r="U5037" s="22"/>
      <c r="V5037" s="123" t="s">
        <v>7507</v>
      </c>
      <c r="W5037" s="122">
        <v>3067</v>
      </c>
      <c r="X5037" s="221"/>
      <c r="Y5037" s="221"/>
      <c r="Z5037" s="221"/>
      <c r="AA5037" s="221"/>
      <c r="AB5037" s="223"/>
    </row>
    <row r="5038" spans="1:28" ht="17.100000000000001" customHeight="1" thickTop="1">
      <c r="A5038" s="226" t="s">
        <v>14644</v>
      </c>
      <c r="B5038" s="28">
        <v>46035</v>
      </c>
      <c r="C5038" s="25">
        <v>922</v>
      </c>
      <c r="D5038" s="13" t="s">
        <v>2964</v>
      </c>
      <c r="E5038" s="228"/>
      <c r="F5038" s="109" t="s">
        <v>8863</v>
      </c>
      <c r="G5038" s="24" t="s">
        <v>4120</v>
      </c>
      <c r="H5038" s="230">
        <v>5</v>
      </c>
      <c r="I5038" s="220">
        <v>1091000</v>
      </c>
      <c r="J5038" s="220">
        <f>I5038*0.1</f>
        <v>109100</v>
      </c>
      <c r="K5038" s="220">
        <v>0</v>
      </c>
      <c r="L5038" s="220">
        <v>6830</v>
      </c>
      <c r="M5038" s="220">
        <v>15950</v>
      </c>
      <c r="N5038" s="220">
        <f>SUM(I5038:M5039)</f>
        <v>1222880</v>
      </c>
      <c r="O5038" s="224"/>
      <c r="P5038" s="110" t="s">
        <v>14615</v>
      </c>
      <c r="Q5038" s="15" t="s">
        <v>19</v>
      </c>
      <c r="R5038" s="205"/>
      <c r="S5038" s="189" t="s">
        <v>758</v>
      </c>
      <c r="T5038" s="114"/>
      <c r="U5038" s="21"/>
      <c r="V5038" s="115">
        <v>46046</v>
      </c>
      <c r="W5038" s="116">
        <v>1285</v>
      </c>
      <c r="X5038" s="220">
        <v>1140000</v>
      </c>
      <c r="Y5038" s="220">
        <f>X5038*0.1</f>
        <v>114000</v>
      </c>
      <c r="Z5038" s="220">
        <v>6830</v>
      </c>
      <c r="AA5038" s="220">
        <f>SUM(X5038:Z5038)</f>
        <v>1260830</v>
      </c>
      <c r="AB5038" s="222">
        <v>46049</v>
      </c>
    </row>
    <row r="5039" spans="1:28" ht="17.100000000000001" customHeight="1" thickBot="1">
      <c r="A5039" s="227"/>
      <c r="B5039" s="27" t="s">
        <v>2654</v>
      </c>
      <c r="C5039" s="27">
        <v>3363</v>
      </c>
      <c r="D5039" s="14" t="s">
        <v>3731</v>
      </c>
      <c r="E5039" s="229"/>
      <c r="F5039" s="117" t="s">
        <v>14614</v>
      </c>
      <c r="G5039" s="26">
        <v>11184</v>
      </c>
      <c r="H5039" s="231"/>
      <c r="I5039" s="221"/>
      <c r="J5039" s="221"/>
      <c r="K5039" s="221"/>
      <c r="L5039" s="221"/>
      <c r="M5039" s="221"/>
      <c r="N5039" s="221"/>
      <c r="O5039" s="225"/>
      <c r="P5039" s="118" t="s">
        <v>3355</v>
      </c>
      <c r="Q5039" s="16" t="s">
        <v>20</v>
      </c>
      <c r="R5039" s="17" t="s">
        <v>15049</v>
      </c>
      <c r="S5039" s="121" t="s">
        <v>169</v>
      </c>
      <c r="T5039" s="122"/>
      <c r="U5039" s="22"/>
      <c r="V5039" s="123" t="s">
        <v>2472</v>
      </c>
      <c r="W5039" s="122">
        <v>60032</v>
      </c>
      <c r="X5039" s="221"/>
      <c r="Y5039" s="221"/>
      <c r="Z5039" s="221"/>
      <c r="AA5039" s="221"/>
      <c r="AB5039" s="223"/>
    </row>
    <row r="5040" spans="1:28" ht="17.100000000000001" customHeight="1" thickTop="1">
      <c r="A5040" s="226" t="s">
        <v>14645</v>
      </c>
      <c r="B5040" s="28">
        <v>46035</v>
      </c>
      <c r="C5040" s="25">
        <v>922</v>
      </c>
      <c r="D5040" s="13" t="s">
        <v>1746</v>
      </c>
      <c r="E5040" s="228"/>
      <c r="F5040" s="109" t="s">
        <v>4145</v>
      </c>
      <c r="G5040" s="24"/>
      <c r="H5040" s="230">
        <v>4</v>
      </c>
      <c r="I5040" s="220">
        <v>229000</v>
      </c>
      <c r="J5040" s="220">
        <f>I5040*0.1</f>
        <v>22900</v>
      </c>
      <c r="K5040" s="220">
        <v>0</v>
      </c>
      <c r="L5040" s="220">
        <v>8460</v>
      </c>
      <c r="M5040" s="220">
        <v>15950</v>
      </c>
      <c r="N5040" s="220">
        <f>SUM(I5040:M5041)</f>
        <v>276310</v>
      </c>
      <c r="O5040" s="224"/>
      <c r="P5040" s="110" t="s">
        <v>15078</v>
      </c>
      <c r="Q5040" s="15" t="s">
        <v>19</v>
      </c>
      <c r="R5040" s="205"/>
      <c r="S5040" s="189"/>
      <c r="T5040" s="114"/>
      <c r="U5040" s="21"/>
      <c r="V5040" s="115">
        <v>46039</v>
      </c>
      <c r="W5040" s="116">
        <v>1284</v>
      </c>
      <c r="X5040" s="220">
        <v>335000</v>
      </c>
      <c r="Y5040" s="220">
        <f>X5040*0.1</f>
        <v>33500</v>
      </c>
      <c r="Z5040" s="220">
        <v>8460</v>
      </c>
      <c r="AA5040" s="220">
        <f>SUM(X5040:Z5040)</f>
        <v>376960</v>
      </c>
      <c r="AB5040" s="222">
        <v>46044</v>
      </c>
    </row>
    <row r="5041" spans="1:28" ht="17.100000000000001" customHeight="1" thickBot="1">
      <c r="A5041" s="227"/>
      <c r="B5041" s="27" t="s">
        <v>2654</v>
      </c>
      <c r="C5041" s="27">
        <v>4129</v>
      </c>
      <c r="D5041" s="14" t="s">
        <v>3274</v>
      </c>
      <c r="E5041" s="229"/>
      <c r="F5041" s="117" t="s">
        <v>14569</v>
      </c>
      <c r="G5041" s="26">
        <v>55386</v>
      </c>
      <c r="H5041" s="231"/>
      <c r="I5041" s="221"/>
      <c r="J5041" s="221"/>
      <c r="K5041" s="221"/>
      <c r="L5041" s="221"/>
      <c r="M5041" s="221"/>
      <c r="N5041" s="221"/>
      <c r="O5041" s="225"/>
      <c r="P5041" s="118" t="s">
        <v>15079</v>
      </c>
      <c r="Q5041" s="16" t="s">
        <v>20</v>
      </c>
      <c r="R5041" s="17" t="s">
        <v>15049</v>
      </c>
      <c r="S5041" s="121"/>
      <c r="T5041" s="122"/>
      <c r="U5041" s="22"/>
      <c r="V5041" s="123" t="s">
        <v>2472</v>
      </c>
      <c r="W5041" s="122">
        <v>60417</v>
      </c>
      <c r="X5041" s="221"/>
      <c r="Y5041" s="221"/>
      <c r="Z5041" s="221"/>
      <c r="AA5041" s="221"/>
      <c r="AB5041" s="223"/>
    </row>
    <row r="5042" spans="1:28" ht="17.100000000000001" customHeight="1" thickTop="1">
      <c r="A5042" s="226" t="s">
        <v>14646</v>
      </c>
      <c r="B5042" s="28">
        <v>46035</v>
      </c>
      <c r="C5042" s="25">
        <v>922</v>
      </c>
      <c r="D5042" s="13" t="s">
        <v>1961</v>
      </c>
      <c r="E5042" s="228"/>
      <c r="F5042" s="109" t="s">
        <v>14622</v>
      </c>
      <c r="G5042" s="24"/>
      <c r="H5042" s="230">
        <v>4</v>
      </c>
      <c r="I5042" s="220">
        <v>630000</v>
      </c>
      <c r="J5042" s="220">
        <f>I5042*0.1</f>
        <v>63000</v>
      </c>
      <c r="K5042" s="220">
        <v>0</v>
      </c>
      <c r="L5042" s="220">
        <v>17310</v>
      </c>
      <c r="M5042" s="220">
        <v>15950</v>
      </c>
      <c r="N5042" s="220">
        <f>SUM(I5042:M5043)</f>
        <v>726260</v>
      </c>
      <c r="O5042" s="224"/>
      <c r="P5042" s="110" t="s">
        <v>15052</v>
      </c>
      <c r="Q5042" s="15" t="s">
        <v>19</v>
      </c>
      <c r="R5042" s="205"/>
      <c r="S5042" s="189" t="s">
        <v>25415</v>
      </c>
      <c r="T5042" s="114"/>
      <c r="U5042" s="21"/>
      <c r="V5042" s="115">
        <v>46060</v>
      </c>
      <c r="W5042" s="116">
        <v>1287</v>
      </c>
      <c r="X5042" s="220">
        <v>710000</v>
      </c>
      <c r="Y5042" s="220">
        <f>X5042*0.1</f>
        <v>71000</v>
      </c>
      <c r="Z5042" s="220">
        <v>17310</v>
      </c>
      <c r="AA5042" s="220">
        <f>SUM(X5042:Z5042)</f>
        <v>798310</v>
      </c>
      <c r="AB5042" s="222">
        <v>46063</v>
      </c>
    </row>
    <row r="5043" spans="1:28" ht="17.100000000000001" customHeight="1" thickBot="1">
      <c r="A5043" s="227"/>
      <c r="B5043" s="27" t="s">
        <v>2654</v>
      </c>
      <c r="C5043" s="27">
        <v>5057</v>
      </c>
      <c r="D5043" s="14" t="s">
        <v>2753</v>
      </c>
      <c r="E5043" s="229"/>
      <c r="F5043" s="117" t="s">
        <v>14623</v>
      </c>
      <c r="G5043" s="26">
        <v>61840</v>
      </c>
      <c r="H5043" s="231"/>
      <c r="I5043" s="221"/>
      <c r="J5043" s="221"/>
      <c r="K5043" s="221"/>
      <c r="L5043" s="221"/>
      <c r="M5043" s="221"/>
      <c r="N5043" s="221"/>
      <c r="O5043" s="225"/>
      <c r="P5043" s="118" t="s">
        <v>15053</v>
      </c>
      <c r="Q5043" s="16" t="s">
        <v>20</v>
      </c>
      <c r="R5043" s="17" t="s">
        <v>15049</v>
      </c>
      <c r="S5043" s="121" t="s">
        <v>6827</v>
      </c>
      <c r="T5043" s="122"/>
      <c r="U5043" s="22"/>
      <c r="V5043" s="123" t="s">
        <v>2472</v>
      </c>
      <c r="W5043" s="122">
        <v>80166</v>
      </c>
      <c r="X5043" s="221"/>
      <c r="Y5043" s="221"/>
      <c r="Z5043" s="221"/>
      <c r="AA5043" s="221"/>
      <c r="AB5043" s="223"/>
    </row>
    <row r="5044" spans="1:28" ht="17.100000000000001" customHeight="1" thickTop="1">
      <c r="A5044" s="233" t="s">
        <v>14647</v>
      </c>
      <c r="B5044" s="28">
        <v>46035</v>
      </c>
      <c r="C5044" s="25">
        <v>1223</v>
      </c>
      <c r="D5044" s="13" t="s">
        <v>1746</v>
      </c>
      <c r="E5044" s="228"/>
      <c r="F5044" s="109" t="s">
        <v>7061</v>
      </c>
      <c r="G5044" s="24"/>
      <c r="H5044" s="230">
        <v>4</v>
      </c>
      <c r="I5044" s="220">
        <v>523000</v>
      </c>
      <c r="J5044" s="220">
        <f>I5044*0.1</f>
        <v>52300</v>
      </c>
      <c r="K5044" s="220">
        <v>0</v>
      </c>
      <c r="L5044" s="220">
        <v>12450</v>
      </c>
      <c r="M5044" s="220">
        <v>19250</v>
      </c>
      <c r="N5044" s="220">
        <f>SUM(I5044:M5045)</f>
        <v>607000</v>
      </c>
      <c r="O5044" s="224"/>
      <c r="P5044" s="110" t="s">
        <v>15073</v>
      </c>
      <c r="Q5044" s="15" t="s">
        <v>19</v>
      </c>
      <c r="R5044" s="205"/>
      <c r="S5044" s="189"/>
      <c r="T5044" s="114"/>
      <c r="U5044" s="21"/>
      <c r="V5044" s="115">
        <v>46039</v>
      </c>
      <c r="W5044" s="116">
        <v>1284</v>
      </c>
      <c r="X5044" s="220">
        <v>665000</v>
      </c>
      <c r="Y5044" s="220">
        <f>X5044*0.1</f>
        <v>66500</v>
      </c>
      <c r="Z5044" s="220">
        <v>12450</v>
      </c>
      <c r="AA5044" s="220">
        <f>SUM(X5044:Z5044)</f>
        <v>743950</v>
      </c>
      <c r="AB5044" s="222">
        <v>46044</v>
      </c>
    </row>
    <row r="5045" spans="1:28" ht="17.100000000000001" customHeight="1" thickBot="1">
      <c r="A5045" s="234"/>
      <c r="B5045" s="27" t="s">
        <v>2344</v>
      </c>
      <c r="C5045" s="27">
        <v>5005</v>
      </c>
      <c r="D5045" s="14" t="s">
        <v>273</v>
      </c>
      <c r="E5045" s="229"/>
      <c r="F5045" s="117" t="s">
        <v>14593</v>
      </c>
      <c r="G5045" s="26">
        <v>44356</v>
      </c>
      <c r="H5045" s="231"/>
      <c r="I5045" s="221"/>
      <c r="J5045" s="221"/>
      <c r="K5045" s="221"/>
      <c r="L5045" s="221"/>
      <c r="M5045" s="221"/>
      <c r="N5045" s="221"/>
      <c r="O5045" s="225"/>
      <c r="P5045" s="118" t="s">
        <v>15074</v>
      </c>
      <c r="Q5045" s="16" t="s">
        <v>20</v>
      </c>
      <c r="R5045" s="17" t="s">
        <v>15049</v>
      </c>
      <c r="S5045" s="121" t="s">
        <v>4008</v>
      </c>
      <c r="T5045" s="122"/>
      <c r="U5045" s="22"/>
      <c r="V5045" s="123" t="s">
        <v>2472</v>
      </c>
      <c r="W5045" s="122">
        <v>80367</v>
      </c>
      <c r="X5045" s="221"/>
      <c r="Y5045" s="221"/>
      <c r="Z5045" s="221"/>
      <c r="AA5045" s="221"/>
      <c r="AB5045" s="223"/>
    </row>
    <row r="5046" spans="1:28" ht="16.5" customHeight="1" thickTop="1">
      <c r="A5046" s="226" t="s">
        <v>14648</v>
      </c>
      <c r="B5046" s="28">
        <v>46035</v>
      </c>
      <c r="C5046" s="25">
        <v>1223</v>
      </c>
      <c r="D5046" s="13" t="s">
        <v>1704</v>
      </c>
      <c r="E5046" s="228"/>
      <c r="F5046" s="109" t="s">
        <v>14570</v>
      </c>
      <c r="G5046" s="24"/>
      <c r="H5046" s="230">
        <v>4.5</v>
      </c>
      <c r="I5046" s="220">
        <v>1444000</v>
      </c>
      <c r="J5046" s="220">
        <f>I5046*0.1</f>
        <v>144400</v>
      </c>
      <c r="K5046" s="220">
        <v>0</v>
      </c>
      <c r="L5046" s="220">
        <v>16250</v>
      </c>
      <c r="M5046" s="220">
        <v>20900</v>
      </c>
      <c r="N5046" s="220">
        <f>SUM(I5046:M5047)</f>
        <v>1625550</v>
      </c>
      <c r="O5046" s="224"/>
      <c r="P5046" s="110" t="s">
        <v>15055</v>
      </c>
      <c r="Q5046" s="15" t="s">
        <v>19</v>
      </c>
      <c r="R5046" s="205"/>
      <c r="S5046" s="189"/>
      <c r="T5046" s="114"/>
      <c r="U5046" s="21"/>
      <c r="V5046" s="115">
        <v>46109</v>
      </c>
      <c r="W5046" s="116">
        <v>1294</v>
      </c>
      <c r="X5046" s="220">
        <v>1600000</v>
      </c>
      <c r="Y5046" s="220">
        <f>X5046*0.1</f>
        <v>160000</v>
      </c>
      <c r="Z5046" s="220">
        <v>16250</v>
      </c>
      <c r="AA5046" s="220">
        <f>SUM(X5046:Z5046)</f>
        <v>1776250</v>
      </c>
      <c r="AB5046" s="222">
        <v>46112</v>
      </c>
    </row>
    <row r="5047" spans="1:28" ht="17.100000000000001" customHeight="1" thickBot="1">
      <c r="A5047" s="227"/>
      <c r="B5047" s="27" t="s">
        <v>2344</v>
      </c>
      <c r="C5047" s="27">
        <v>32040</v>
      </c>
      <c r="D5047" s="14" t="s">
        <v>2559</v>
      </c>
      <c r="E5047" s="229"/>
      <c r="F5047" s="117" t="s">
        <v>14571</v>
      </c>
      <c r="G5047" s="26">
        <v>29685</v>
      </c>
      <c r="H5047" s="231"/>
      <c r="I5047" s="221"/>
      <c r="J5047" s="221"/>
      <c r="K5047" s="221"/>
      <c r="L5047" s="221"/>
      <c r="M5047" s="221"/>
      <c r="N5047" s="221"/>
      <c r="O5047" s="225"/>
      <c r="P5047" s="118" t="s">
        <v>5186</v>
      </c>
      <c r="Q5047" s="16" t="s">
        <v>20</v>
      </c>
      <c r="R5047" s="17" t="s">
        <v>15049</v>
      </c>
      <c r="S5047" s="121" t="s">
        <v>7720</v>
      </c>
      <c r="T5047" s="122"/>
      <c r="U5047" s="22"/>
      <c r="V5047" s="123" t="s">
        <v>21250</v>
      </c>
      <c r="W5047" s="122">
        <v>80251</v>
      </c>
      <c r="X5047" s="221"/>
      <c r="Y5047" s="221"/>
      <c r="Z5047" s="221"/>
      <c r="AA5047" s="221"/>
      <c r="AB5047" s="223"/>
    </row>
    <row r="5048" spans="1:28" ht="17.100000000000001" customHeight="1" thickTop="1">
      <c r="A5048" s="233" t="s">
        <v>14649</v>
      </c>
      <c r="B5048" s="28">
        <v>46035</v>
      </c>
      <c r="C5048" s="25">
        <v>958</v>
      </c>
      <c r="D5048" s="13" t="s">
        <v>2406</v>
      </c>
      <c r="E5048" s="228"/>
      <c r="F5048" s="109" t="s">
        <v>2678</v>
      </c>
      <c r="G5048" s="24"/>
      <c r="H5048" s="230">
        <v>4</v>
      </c>
      <c r="I5048" s="220">
        <v>1070000</v>
      </c>
      <c r="J5048" s="220">
        <f>I5048*0.1</f>
        <v>107000</v>
      </c>
      <c r="K5048" s="220">
        <v>0</v>
      </c>
      <c r="L5048" s="220">
        <v>16240</v>
      </c>
      <c r="M5048" s="220">
        <v>15950</v>
      </c>
      <c r="N5048" s="220">
        <f>SUM(I5048:M5049)</f>
        <v>1209190</v>
      </c>
      <c r="O5048" s="224"/>
      <c r="P5048" s="110" t="s">
        <v>15081</v>
      </c>
      <c r="Q5048" s="15" t="s">
        <v>19</v>
      </c>
      <c r="R5048" s="205"/>
      <c r="S5048" s="189"/>
      <c r="T5048" s="114"/>
      <c r="U5048" s="21"/>
      <c r="V5048" s="115">
        <v>46039</v>
      </c>
      <c r="W5048" s="116">
        <v>1284</v>
      </c>
      <c r="X5048" s="220">
        <v>1280000</v>
      </c>
      <c r="Y5048" s="220">
        <f>X5048*0.1</f>
        <v>128000</v>
      </c>
      <c r="Z5048" s="220">
        <v>16240</v>
      </c>
      <c r="AA5048" s="220">
        <f>SUM(X5048:Z5048)</f>
        <v>1424240</v>
      </c>
      <c r="AB5048" s="222">
        <v>46044</v>
      </c>
    </row>
    <row r="5049" spans="1:28" ht="17.100000000000001" customHeight="1" thickBot="1">
      <c r="A5049" s="234"/>
      <c r="B5049" s="27" t="s">
        <v>2882</v>
      </c>
      <c r="C5049" s="27">
        <v>30020</v>
      </c>
      <c r="D5049" s="14" t="s">
        <v>1710</v>
      </c>
      <c r="E5049" s="229"/>
      <c r="F5049" s="117" t="s">
        <v>14594</v>
      </c>
      <c r="G5049" s="26">
        <v>39953</v>
      </c>
      <c r="H5049" s="231"/>
      <c r="I5049" s="221"/>
      <c r="J5049" s="221"/>
      <c r="K5049" s="221"/>
      <c r="L5049" s="221"/>
      <c r="M5049" s="221"/>
      <c r="N5049" s="221"/>
      <c r="O5049" s="225"/>
      <c r="P5049" s="118" t="s">
        <v>9997</v>
      </c>
      <c r="Q5049" s="16" t="s">
        <v>20</v>
      </c>
      <c r="R5049" s="17" t="s">
        <v>15049</v>
      </c>
      <c r="S5049" s="121" t="s">
        <v>4008</v>
      </c>
      <c r="T5049" s="122"/>
      <c r="U5049" s="22"/>
      <c r="V5049" s="123" t="s">
        <v>2472</v>
      </c>
      <c r="W5049" s="122">
        <v>80365</v>
      </c>
      <c r="X5049" s="221"/>
      <c r="Y5049" s="221"/>
      <c r="Z5049" s="221"/>
      <c r="AA5049" s="221"/>
      <c r="AB5049" s="223"/>
    </row>
    <row r="5050" spans="1:28" ht="17.100000000000001" customHeight="1" thickTop="1">
      <c r="A5050" s="233" t="s">
        <v>14650</v>
      </c>
      <c r="B5050" s="28">
        <v>46035</v>
      </c>
      <c r="C5050" s="25">
        <v>1271</v>
      </c>
      <c r="D5050" s="13" t="s">
        <v>1976</v>
      </c>
      <c r="E5050" s="228"/>
      <c r="F5050" s="109" t="s">
        <v>12464</v>
      </c>
      <c r="G5050" s="24"/>
      <c r="H5050" s="230">
        <v>5</v>
      </c>
      <c r="I5050" s="220">
        <v>1640000</v>
      </c>
      <c r="J5050" s="220">
        <f>I5050*0.1</f>
        <v>164000</v>
      </c>
      <c r="K5050" s="220">
        <v>0</v>
      </c>
      <c r="L5050" s="220">
        <v>11370</v>
      </c>
      <c r="M5050" s="220">
        <v>18150</v>
      </c>
      <c r="N5050" s="220">
        <f>SUM(I5050:M5051)</f>
        <v>1833520</v>
      </c>
      <c r="O5050" s="224"/>
      <c r="P5050" s="110" t="s">
        <v>14993</v>
      </c>
      <c r="Q5050" s="15" t="s">
        <v>19</v>
      </c>
      <c r="R5050" s="205"/>
      <c r="S5050" s="189" t="s">
        <v>25470</v>
      </c>
      <c r="T5050" s="114"/>
      <c r="U5050" s="21"/>
      <c r="V5050" s="115">
        <v>46039</v>
      </c>
      <c r="W5050" s="116">
        <v>1284</v>
      </c>
      <c r="X5050" s="220">
        <v>1845000</v>
      </c>
      <c r="Y5050" s="220">
        <v>184500</v>
      </c>
      <c r="Z5050" s="220">
        <v>11370</v>
      </c>
      <c r="AA5050" s="220">
        <f>SUM(X5050:Z5050)</f>
        <v>2040870</v>
      </c>
      <c r="AB5050" s="222">
        <v>46042</v>
      </c>
    </row>
    <row r="5051" spans="1:28" ht="17.100000000000001" customHeight="1" thickBot="1">
      <c r="A5051" s="234"/>
      <c r="B5051" s="27" t="s">
        <v>7351</v>
      </c>
      <c r="C5051" s="27">
        <v>38179</v>
      </c>
      <c r="D5051" s="14" t="s">
        <v>898</v>
      </c>
      <c r="E5051" s="229"/>
      <c r="F5051" s="117" t="s">
        <v>14655</v>
      </c>
      <c r="G5051" s="26">
        <v>9212</v>
      </c>
      <c r="H5051" s="231"/>
      <c r="I5051" s="221"/>
      <c r="J5051" s="221"/>
      <c r="K5051" s="221"/>
      <c r="L5051" s="221"/>
      <c r="M5051" s="221"/>
      <c r="N5051" s="221"/>
      <c r="O5051" s="225"/>
      <c r="P5051" s="118" t="s">
        <v>14994</v>
      </c>
      <c r="Q5051" s="16" t="s">
        <v>20</v>
      </c>
      <c r="R5051" s="17" t="s">
        <v>1807</v>
      </c>
      <c r="S5051" s="121" t="s">
        <v>1661</v>
      </c>
      <c r="T5051" s="122"/>
      <c r="U5051" s="22"/>
      <c r="V5051" s="123" t="s">
        <v>2472</v>
      </c>
      <c r="W5051" s="122">
        <v>80311</v>
      </c>
      <c r="X5051" s="221"/>
      <c r="Y5051" s="221"/>
      <c r="Z5051" s="221"/>
      <c r="AA5051" s="221"/>
      <c r="AB5051" s="223"/>
    </row>
    <row r="5052" spans="1:28" ht="17.100000000000001" customHeight="1" thickTop="1">
      <c r="A5052" s="226" t="s">
        <v>14651</v>
      </c>
      <c r="B5052" s="28">
        <v>46035</v>
      </c>
      <c r="C5052" s="25">
        <v>1271</v>
      </c>
      <c r="D5052" s="13" t="s">
        <v>2892</v>
      </c>
      <c r="E5052" s="228"/>
      <c r="F5052" s="109" t="s">
        <v>14656</v>
      </c>
      <c r="G5052" s="24" t="s">
        <v>2894</v>
      </c>
      <c r="H5052" s="230">
        <v>5</v>
      </c>
      <c r="I5052" s="220">
        <v>1416000</v>
      </c>
      <c r="J5052" s="220">
        <f>I5052*0.1</f>
        <v>141600</v>
      </c>
      <c r="K5052" s="220">
        <f>6500+650</f>
        <v>7150</v>
      </c>
      <c r="L5052" s="220">
        <v>19580</v>
      </c>
      <c r="M5052" s="220">
        <v>18150</v>
      </c>
      <c r="N5052" s="220">
        <f>SUM(I5052:M5053)</f>
        <v>1602480</v>
      </c>
      <c r="O5052" s="224"/>
      <c r="P5052" s="110" t="s">
        <v>15001</v>
      </c>
      <c r="Q5052" s="15" t="s">
        <v>19</v>
      </c>
      <c r="R5052" s="205"/>
      <c r="S5052" s="189"/>
      <c r="T5052" s="114"/>
      <c r="U5052" s="21"/>
      <c r="V5052" s="115">
        <v>46060</v>
      </c>
      <c r="W5052" s="116">
        <v>1287</v>
      </c>
      <c r="X5052" s="220">
        <v>1550000</v>
      </c>
      <c r="Y5052" s="220">
        <f>X5052*0.1</f>
        <v>155000</v>
      </c>
      <c r="Z5052" s="220">
        <v>19580</v>
      </c>
      <c r="AA5052" s="220">
        <f>SUM(X5052:Z5052)</f>
        <v>1724580</v>
      </c>
      <c r="AB5052" s="222">
        <v>46063</v>
      </c>
    </row>
    <row r="5053" spans="1:28" ht="17.100000000000001" customHeight="1" thickBot="1">
      <c r="A5053" s="227"/>
      <c r="B5053" s="27" t="s">
        <v>7351</v>
      </c>
      <c r="C5053" s="27">
        <v>38229</v>
      </c>
      <c r="D5053" s="14" t="s">
        <v>898</v>
      </c>
      <c r="E5053" s="229"/>
      <c r="F5053" s="117" t="s">
        <v>14657</v>
      </c>
      <c r="G5053" s="26">
        <v>20129</v>
      </c>
      <c r="H5053" s="231"/>
      <c r="I5053" s="221"/>
      <c r="J5053" s="221"/>
      <c r="K5053" s="221"/>
      <c r="L5053" s="221"/>
      <c r="M5053" s="221"/>
      <c r="N5053" s="221"/>
      <c r="O5053" s="225"/>
      <c r="P5053" s="118" t="s">
        <v>2287</v>
      </c>
      <c r="Q5053" s="16" t="s">
        <v>20</v>
      </c>
      <c r="R5053" s="17" t="s">
        <v>1807</v>
      </c>
      <c r="S5053" s="121" t="s">
        <v>14752</v>
      </c>
      <c r="T5053" s="122"/>
      <c r="U5053" s="22"/>
      <c r="V5053" s="123" t="s">
        <v>2472</v>
      </c>
      <c r="W5053" s="122">
        <v>80159</v>
      </c>
      <c r="X5053" s="221"/>
      <c r="Y5053" s="221"/>
      <c r="Z5053" s="221"/>
      <c r="AA5053" s="221"/>
      <c r="AB5053" s="223"/>
    </row>
    <row r="5054" spans="1:28" ht="17.100000000000001" customHeight="1" thickTop="1">
      <c r="A5054" s="226" t="s">
        <v>14652</v>
      </c>
      <c r="B5054" s="28">
        <v>46035</v>
      </c>
      <c r="C5054" s="25">
        <v>973</v>
      </c>
      <c r="D5054" s="13" t="s">
        <v>2264</v>
      </c>
      <c r="E5054" s="228"/>
      <c r="F5054" s="109" t="s">
        <v>14671</v>
      </c>
      <c r="G5054" s="24"/>
      <c r="H5054" s="230">
        <v>4</v>
      </c>
      <c r="I5054" s="220">
        <v>448000</v>
      </c>
      <c r="J5054" s="220">
        <f>I5054*0.1</f>
        <v>44800</v>
      </c>
      <c r="K5054" s="220">
        <v>0</v>
      </c>
      <c r="L5054" s="220">
        <v>7140</v>
      </c>
      <c r="M5054" s="220">
        <v>22000</v>
      </c>
      <c r="N5054" s="220">
        <f>SUM(I5054:M5055)</f>
        <v>521940</v>
      </c>
      <c r="O5054" s="224"/>
      <c r="P5054" s="110" t="s">
        <v>15287</v>
      </c>
      <c r="Q5054" s="15" t="s">
        <v>19</v>
      </c>
      <c r="R5054" s="205"/>
      <c r="S5054" s="189" t="s">
        <v>25387</v>
      </c>
      <c r="T5054" s="114"/>
      <c r="U5054" s="21"/>
      <c r="V5054" s="115">
        <v>46042</v>
      </c>
      <c r="W5054" s="116">
        <v>1925</v>
      </c>
      <c r="X5054" s="220">
        <v>505000</v>
      </c>
      <c r="Y5054" s="220">
        <f>X5054*0.1</f>
        <v>50500</v>
      </c>
      <c r="Z5054" s="220">
        <v>7140</v>
      </c>
      <c r="AA5054" s="220">
        <f>SUM(X5054:Z5054)</f>
        <v>562640</v>
      </c>
      <c r="AB5054" s="222"/>
    </row>
    <row r="5055" spans="1:28" ht="17.100000000000001" customHeight="1" thickBot="1">
      <c r="A5055" s="227"/>
      <c r="B5055" s="27" t="s">
        <v>2029</v>
      </c>
      <c r="C5055" s="27">
        <v>19</v>
      </c>
      <c r="D5055" s="14" t="s">
        <v>1584</v>
      </c>
      <c r="E5055" s="229"/>
      <c r="F5055" s="117" t="s">
        <v>14658</v>
      </c>
      <c r="G5055" s="26">
        <v>48396</v>
      </c>
      <c r="H5055" s="231"/>
      <c r="I5055" s="221"/>
      <c r="J5055" s="221"/>
      <c r="K5055" s="221"/>
      <c r="L5055" s="221"/>
      <c r="M5055" s="221"/>
      <c r="N5055" s="221"/>
      <c r="O5055" s="225"/>
      <c r="P5055" s="118" t="s">
        <v>2031</v>
      </c>
      <c r="Q5055" s="16" t="s">
        <v>20</v>
      </c>
      <c r="R5055" s="17" t="s">
        <v>15265</v>
      </c>
      <c r="S5055" s="121" t="s">
        <v>1661</v>
      </c>
      <c r="T5055" s="122"/>
      <c r="U5055" s="22"/>
      <c r="V5055" s="123" t="s">
        <v>2103</v>
      </c>
      <c r="W5055" s="122">
        <v>3433</v>
      </c>
      <c r="X5055" s="221"/>
      <c r="Y5055" s="221"/>
      <c r="Z5055" s="221"/>
      <c r="AA5055" s="221"/>
      <c r="AB5055" s="223"/>
    </row>
    <row r="5056" spans="1:28" ht="17.100000000000001" customHeight="1" thickTop="1">
      <c r="A5056" s="226" t="s">
        <v>14653</v>
      </c>
      <c r="B5056" s="28">
        <v>46035</v>
      </c>
      <c r="C5056" s="25">
        <v>973</v>
      </c>
      <c r="D5056" s="13" t="s">
        <v>1762</v>
      </c>
      <c r="E5056" s="228"/>
      <c r="F5056" s="109" t="s">
        <v>14672</v>
      </c>
      <c r="G5056" s="24"/>
      <c r="H5056" s="230">
        <v>3.5</v>
      </c>
      <c r="I5056" s="220">
        <v>878000</v>
      </c>
      <c r="J5056" s="220">
        <v>0</v>
      </c>
      <c r="K5056" s="220">
        <v>0</v>
      </c>
      <c r="L5056" s="220">
        <v>8950</v>
      </c>
      <c r="M5056" s="220">
        <v>22000</v>
      </c>
      <c r="N5056" s="220">
        <f>SUM(I5056:M5057)</f>
        <v>908950</v>
      </c>
      <c r="O5056" s="224"/>
      <c r="P5056" s="110" t="s">
        <v>15334</v>
      </c>
      <c r="Q5056" s="15" t="s">
        <v>19</v>
      </c>
      <c r="R5056" s="205"/>
      <c r="S5056" s="189" t="s">
        <v>25681</v>
      </c>
      <c r="T5056" s="114"/>
      <c r="U5056" s="21"/>
      <c r="V5056" s="115"/>
      <c r="W5056" s="116"/>
      <c r="X5056" s="220"/>
      <c r="Y5056" s="220">
        <f>X5056*0.1</f>
        <v>0</v>
      </c>
      <c r="Z5056" s="220"/>
      <c r="AA5056" s="220">
        <f>SUM(X5056:Z5056)</f>
        <v>0</v>
      </c>
      <c r="AB5056" s="222"/>
    </row>
    <row r="5057" spans="1:28" ht="17.100000000000001" customHeight="1" thickBot="1">
      <c r="A5057" s="227"/>
      <c r="B5057" s="27" t="s">
        <v>2029</v>
      </c>
      <c r="C5057" s="27">
        <v>79</v>
      </c>
      <c r="D5057" s="14" t="s">
        <v>1584</v>
      </c>
      <c r="E5057" s="229"/>
      <c r="F5057" s="117" t="s">
        <v>14659</v>
      </c>
      <c r="G5057" s="26">
        <v>21831</v>
      </c>
      <c r="H5057" s="231"/>
      <c r="I5057" s="221"/>
      <c r="J5057" s="221"/>
      <c r="K5057" s="221"/>
      <c r="L5057" s="221"/>
      <c r="M5057" s="221"/>
      <c r="N5057" s="221"/>
      <c r="O5057" s="225"/>
      <c r="P5057" s="118" t="s">
        <v>2031</v>
      </c>
      <c r="Q5057" s="16" t="s">
        <v>20</v>
      </c>
      <c r="R5057" s="17" t="s">
        <v>15265</v>
      </c>
      <c r="S5057" s="121" t="s">
        <v>15356</v>
      </c>
      <c r="T5057" s="122"/>
      <c r="U5057" s="22"/>
      <c r="V5057" s="123"/>
      <c r="W5057" s="122"/>
      <c r="X5057" s="221"/>
      <c r="Y5057" s="221"/>
      <c r="Z5057" s="221"/>
      <c r="AA5057" s="221"/>
      <c r="AB5057" s="223"/>
    </row>
    <row r="5058" spans="1:28" ht="17.100000000000001" customHeight="1" thickTop="1">
      <c r="A5058" s="226" t="s">
        <v>14654</v>
      </c>
      <c r="B5058" s="28">
        <v>46035</v>
      </c>
      <c r="C5058" s="25">
        <v>973</v>
      </c>
      <c r="D5058" s="13" t="s">
        <v>2920</v>
      </c>
      <c r="E5058" s="228"/>
      <c r="F5058" s="109" t="s">
        <v>9934</v>
      </c>
      <c r="G5058" s="24"/>
      <c r="H5058" s="230">
        <v>3.5</v>
      </c>
      <c r="I5058" s="220">
        <v>628000</v>
      </c>
      <c r="J5058" s="220">
        <f>I5058*0.1</f>
        <v>62800</v>
      </c>
      <c r="K5058" s="220">
        <v>0</v>
      </c>
      <c r="L5058" s="220">
        <v>7150</v>
      </c>
      <c r="M5058" s="220">
        <v>22000</v>
      </c>
      <c r="N5058" s="220">
        <f>SUM(I5058:M5059)</f>
        <v>719950</v>
      </c>
      <c r="O5058" s="224"/>
      <c r="P5058" s="110" t="s">
        <v>15333</v>
      </c>
      <c r="Q5058" s="15" t="s">
        <v>19</v>
      </c>
      <c r="R5058" s="205"/>
      <c r="S5058" s="189" t="s">
        <v>25682</v>
      </c>
      <c r="T5058" s="114"/>
      <c r="U5058" s="21"/>
      <c r="V5058" s="115">
        <v>46046</v>
      </c>
      <c r="W5058" s="116">
        <v>1285</v>
      </c>
      <c r="X5058" s="220">
        <v>735000</v>
      </c>
      <c r="Y5058" s="220">
        <f>X5058*0.1</f>
        <v>73500</v>
      </c>
      <c r="Z5058" s="220">
        <v>7150</v>
      </c>
      <c r="AA5058" s="220">
        <f>SUM(X5058:Z5058)</f>
        <v>815650</v>
      </c>
      <c r="AB5058" s="222">
        <v>46049</v>
      </c>
    </row>
    <row r="5059" spans="1:28" ht="17.100000000000001" customHeight="1" thickBot="1">
      <c r="A5059" s="227"/>
      <c r="B5059" s="27" t="s">
        <v>2029</v>
      </c>
      <c r="C5059" s="27">
        <v>204</v>
      </c>
      <c r="D5059" s="14" t="s">
        <v>1710</v>
      </c>
      <c r="E5059" s="229"/>
      <c r="F5059" s="117" t="s">
        <v>14660</v>
      </c>
      <c r="G5059" s="26">
        <v>55695</v>
      </c>
      <c r="H5059" s="231"/>
      <c r="I5059" s="221"/>
      <c r="J5059" s="221"/>
      <c r="K5059" s="221"/>
      <c r="L5059" s="221"/>
      <c r="M5059" s="221"/>
      <c r="N5059" s="221"/>
      <c r="O5059" s="225"/>
      <c r="P5059" s="118" t="s">
        <v>2031</v>
      </c>
      <c r="Q5059" s="16" t="s">
        <v>20</v>
      </c>
      <c r="R5059" s="17" t="s">
        <v>15265</v>
      </c>
      <c r="S5059" s="121" t="s">
        <v>9617</v>
      </c>
      <c r="T5059" s="122"/>
      <c r="U5059" s="22"/>
      <c r="V5059" s="123" t="s">
        <v>2472</v>
      </c>
      <c r="W5059" s="122">
        <v>62019</v>
      </c>
      <c r="X5059" s="221"/>
      <c r="Y5059" s="221"/>
      <c r="Z5059" s="221"/>
      <c r="AA5059" s="221"/>
      <c r="AB5059" s="223"/>
    </row>
    <row r="5060" spans="1:28" ht="17.100000000000001" customHeight="1" thickTop="1">
      <c r="A5060" s="226" t="s">
        <v>14661</v>
      </c>
      <c r="B5060" s="28">
        <v>46035</v>
      </c>
      <c r="C5060" s="25">
        <v>791</v>
      </c>
      <c r="D5060" s="13" t="s">
        <v>2637</v>
      </c>
      <c r="E5060" s="228"/>
      <c r="F5060" s="109" t="s">
        <v>14674</v>
      </c>
      <c r="G5060" s="24"/>
      <c r="H5060" s="230">
        <v>4.5</v>
      </c>
      <c r="I5060" s="220">
        <v>1452000</v>
      </c>
      <c r="J5060" s="220">
        <f>I5060*0.1</f>
        <v>145200</v>
      </c>
      <c r="K5060" s="220">
        <v>0</v>
      </c>
      <c r="L5060" s="220">
        <v>15100</v>
      </c>
      <c r="M5060" s="220">
        <v>22000</v>
      </c>
      <c r="N5060" s="220">
        <f>SUM(I5060:M5061)</f>
        <v>1634300</v>
      </c>
      <c r="O5060" s="224"/>
      <c r="P5060" s="110" t="s">
        <v>15293</v>
      </c>
      <c r="Q5060" s="15" t="s">
        <v>19</v>
      </c>
      <c r="R5060" s="205"/>
      <c r="S5060" s="189" t="s">
        <v>25683</v>
      </c>
      <c r="T5060" s="114"/>
      <c r="U5060" s="21"/>
      <c r="V5060" s="115">
        <v>46039</v>
      </c>
      <c r="W5060" s="116">
        <v>1284</v>
      </c>
      <c r="X5060" s="220">
        <v>1670000</v>
      </c>
      <c r="Y5060" s="220">
        <f>X5060*0.1</f>
        <v>167000</v>
      </c>
      <c r="Z5060" s="220">
        <v>15100</v>
      </c>
      <c r="AA5060" s="220">
        <f>SUM(X5060:Z5060)</f>
        <v>1852100</v>
      </c>
      <c r="AB5060" s="222">
        <v>46049</v>
      </c>
    </row>
    <row r="5061" spans="1:28" ht="17.100000000000001" customHeight="1" thickBot="1">
      <c r="A5061" s="227"/>
      <c r="B5061" s="27" t="s">
        <v>4416</v>
      </c>
      <c r="C5061" s="27">
        <v>220</v>
      </c>
      <c r="D5061" s="14" t="s">
        <v>2753</v>
      </c>
      <c r="E5061" s="229"/>
      <c r="F5061" s="117" t="s">
        <v>14675</v>
      </c>
      <c r="G5061" s="26">
        <v>27934</v>
      </c>
      <c r="H5061" s="231"/>
      <c r="I5061" s="221"/>
      <c r="J5061" s="221"/>
      <c r="K5061" s="221"/>
      <c r="L5061" s="221"/>
      <c r="M5061" s="221"/>
      <c r="N5061" s="221"/>
      <c r="O5061" s="225"/>
      <c r="P5061" s="118" t="s">
        <v>15294</v>
      </c>
      <c r="Q5061" s="16" t="s">
        <v>20</v>
      </c>
      <c r="R5061" s="17" t="s">
        <v>15265</v>
      </c>
      <c r="S5061" s="121" t="s">
        <v>8880</v>
      </c>
      <c r="T5061" s="122"/>
      <c r="U5061" s="22"/>
      <c r="V5061" s="123" t="s">
        <v>6641</v>
      </c>
      <c r="W5061" s="122">
        <v>85026</v>
      </c>
      <c r="X5061" s="221"/>
      <c r="Y5061" s="221"/>
      <c r="Z5061" s="221"/>
      <c r="AA5061" s="221"/>
      <c r="AB5061" s="223"/>
    </row>
    <row r="5062" spans="1:28" ht="17.100000000000001" customHeight="1" thickTop="1">
      <c r="A5062" s="226" t="s">
        <v>14662</v>
      </c>
      <c r="B5062" s="28">
        <v>46036</v>
      </c>
      <c r="C5062" s="25">
        <v>2338</v>
      </c>
      <c r="D5062" s="13" t="s">
        <v>1810</v>
      </c>
      <c r="E5062" s="228"/>
      <c r="F5062" s="109" t="s">
        <v>5389</v>
      </c>
      <c r="G5062" s="24"/>
      <c r="H5062" s="230">
        <v>4.5</v>
      </c>
      <c r="I5062" s="220">
        <v>940000</v>
      </c>
      <c r="J5062" s="220">
        <f>I5062*0.1</f>
        <v>94000</v>
      </c>
      <c r="K5062" s="220">
        <v>0</v>
      </c>
      <c r="L5062" s="220">
        <v>8010</v>
      </c>
      <c r="M5062" s="220">
        <v>16500</v>
      </c>
      <c r="N5062" s="220">
        <f>SUM(I5062:M5063)</f>
        <v>1058510</v>
      </c>
      <c r="O5062" s="224"/>
      <c r="P5062" s="110" t="s">
        <v>14760</v>
      </c>
      <c r="Q5062" s="15" t="s">
        <v>19</v>
      </c>
      <c r="R5062" s="205"/>
      <c r="S5062" s="189"/>
      <c r="T5062" s="114"/>
      <c r="U5062" s="21"/>
      <c r="V5062" s="115">
        <v>46053</v>
      </c>
      <c r="W5062" s="116">
        <v>1286</v>
      </c>
      <c r="X5062" s="220">
        <v>1000000</v>
      </c>
      <c r="Y5062" s="220">
        <v>100000</v>
      </c>
      <c r="Z5062" s="220">
        <v>8010</v>
      </c>
      <c r="AA5062" s="220">
        <f>SUM(X5062:Z5062)</f>
        <v>1108010</v>
      </c>
      <c r="AB5062" s="222">
        <v>46056</v>
      </c>
    </row>
    <row r="5063" spans="1:28" ht="17.100000000000001" customHeight="1" thickBot="1">
      <c r="A5063" s="227"/>
      <c r="B5063" s="27" t="s">
        <v>3367</v>
      </c>
      <c r="C5063" s="27">
        <v>20175</v>
      </c>
      <c r="D5063" s="14" t="s">
        <v>1797</v>
      </c>
      <c r="E5063" s="229"/>
      <c r="F5063" s="117" t="s">
        <v>14665</v>
      </c>
      <c r="G5063" s="26">
        <v>12511</v>
      </c>
      <c r="H5063" s="231"/>
      <c r="I5063" s="221"/>
      <c r="J5063" s="221"/>
      <c r="K5063" s="221"/>
      <c r="L5063" s="221"/>
      <c r="M5063" s="221"/>
      <c r="N5063" s="221"/>
      <c r="O5063" s="225"/>
      <c r="P5063" s="118" t="s">
        <v>2404</v>
      </c>
      <c r="Q5063" s="16" t="s">
        <v>20</v>
      </c>
      <c r="R5063" s="17" t="s">
        <v>14747</v>
      </c>
      <c r="S5063" s="121" t="s">
        <v>1625</v>
      </c>
      <c r="T5063" s="122"/>
      <c r="U5063" s="22"/>
      <c r="V5063" s="123" t="s">
        <v>2472</v>
      </c>
      <c r="W5063" s="122">
        <v>60037</v>
      </c>
      <c r="X5063" s="221"/>
      <c r="Y5063" s="221"/>
      <c r="Z5063" s="221"/>
      <c r="AA5063" s="221"/>
      <c r="AB5063" s="223"/>
    </row>
    <row r="5064" spans="1:28" ht="17.100000000000001" customHeight="1" thickTop="1">
      <c r="A5064" s="226" t="s">
        <v>14663</v>
      </c>
      <c r="B5064" s="28">
        <v>46036</v>
      </c>
      <c r="C5064" s="25">
        <v>1821</v>
      </c>
      <c r="D5064" s="13" t="s">
        <v>1788</v>
      </c>
      <c r="E5064" s="228"/>
      <c r="F5064" s="109" t="s">
        <v>14673</v>
      </c>
      <c r="G5064" s="24"/>
      <c r="H5064" s="230">
        <v>4.5</v>
      </c>
      <c r="I5064" s="220">
        <v>1355000</v>
      </c>
      <c r="J5064" s="220">
        <f>I5064*0.1</f>
        <v>135500</v>
      </c>
      <c r="K5064" s="220">
        <v>0</v>
      </c>
      <c r="L5064" s="220">
        <v>10190</v>
      </c>
      <c r="M5064" s="220">
        <v>18150</v>
      </c>
      <c r="N5064" s="220">
        <f>SUM(I5064:M5065)</f>
        <v>1518840</v>
      </c>
      <c r="O5064" s="224"/>
      <c r="P5064" s="110" t="s">
        <v>14990</v>
      </c>
      <c r="Q5064" s="15" t="s">
        <v>19</v>
      </c>
      <c r="R5064" s="205"/>
      <c r="S5064" s="189"/>
      <c r="T5064" s="114"/>
      <c r="U5064" s="21"/>
      <c r="V5064" s="115">
        <v>46046</v>
      </c>
      <c r="W5064" s="116">
        <v>1285</v>
      </c>
      <c r="X5064" s="220">
        <v>1505000</v>
      </c>
      <c r="Y5064" s="220">
        <f>X5064*0.1</f>
        <v>150500</v>
      </c>
      <c r="Z5064" s="220">
        <v>10190</v>
      </c>
      <c r="AA5064" s="220">
        <f>SUM(X5064:Z5064)</f>
        <v>1665690</v>
      </c>
      <c r="AB5064" s="222">
        <v>46049</v>
      </c>
    </row>
    <row r="5065" spans="1:28" ht="17.100000000000001" customHeight="1" thickBot="1">
      <c r="A5065" s="227"/>
      <c r="B5065" s="27" t="s">
        <v>2519</v>
      </c>
      <c r="C5065" s="27">
        <v>30244</v>
      </c>
      <c r="D5065" s="14" t="s">
        <v>2559</v>
      </c>
      <c r="E5065" s="229"/>
      <c r="F5065" s="117" t="s">
        <v>14667</v>
      </c>
      <c r="G5065" s="26">
        <v>66658</v>
      </c>
      <c r="H5065" s="231"/>
      <c r="I5065" s="221"/>
      <c r="J5065" s="221"/>
      <c r="K5065" s="221"/>
      <c r="L5065" s="221"/>
      <c r="M5065" s="221"/>
      <c r="N5065" s="221"/>
      <c r="O5065" s="225"/>
      <c r="P5065" s="118" t="s">
        <v>14991</v>
      </c>
      <c r="Q5065" s="16" t="s">
        <v>20</v>
      </c>
      <c r="R5065" s="17" t="s">
        <v>14985</v>
      </c>
      <c r="S5065" s="121" t="s">
        <v>14992</v>
      </c>
      <c r="T5065" s="122"/>
      <c r="U5065" s="22"/>
      <c r="V5065" s="123" t="s">
        <v>2472</v>
      </c>
      <c r="W5065" s="122">
        <v>13045</v>
      </c>
      <c r="X5065" s="221"/>
      <c r="Y5065" s="221"/>
      <c r="Z5065" s="221"/>
      <c r="AA5065" s="221"/>
      <c r="AB5065" s="223"/>
    </row>
    <row r="5066" spans="1:28" ht="17.100000000000001" customHeight="1" thickTop="1">
      <c r="A5066" s="233" t="s">
        <v>14664</v>
      </c>
      <c r="B5066" s="28">
        <v>46036</v>
      </c>
      <c r="C5066" s="25">
        <v>1821</v>
      </c>
      <c r="D5066" s="13" t="s">
        <v>2564</v>
      </c>
      <c r="E5066" s="228"/>
      <c r="F5066" s="109" t="s">
        <v>14668</v>
      </c>
      <c r="G5066" s="24"/>
      <c r="H5066" s="230">
        <v>4.5</v>
      </c>
      <c r="I5066" s="220">
        <v>1455000</v>
      </c>
      <c r="J5066" s="220">
        <f>I5066*0.1</f>
        <v>145500</v>
      </c>
      <c r="K5066" s="220">
        <v>0</v>
      </c>
      <c r="L5066" s="220">
        <v>18220</v>
      </c>
      <c r="M5066" s="220">
        <v>18150</v>
      </c>
      <c r="N5066" s="220">
        <f>SUM(I5066:M5067)</f>
        <v>1636870</v>
      </c>
      <c r="O5066" s="224"/>
      <c r="P5066" s="110" t="s">
        <v>14995</v>
      </c>
      <c r="Q5066" s="15" t="s">
        <v>19</v>
      </c>
      <c r="R5066" s="205"/>
      <c r="S5066" s="189"/>
      <c r="T5066" s="114"/>
      <c r="U5066" s="21"/>
      <c r="V5066" s="115">
        <v>46039</v>
      </c>
      <c r="W5066" s="116">
        <v>1284</v>
      </c>
      <c r="X5066" s="220">
        <v>1720000</v>
      </c>
      <c r="Y5066" s="220">
        <f>X5066*0.1</f>
        <v>172000</v>
      </c>
      <c r="Z5066" s="220">
        <v>18220</v>
      </c>
      <c r="AA5066" s="220">
        <f>SUM(X5066:Z5066)</f>
        <v>1910220</v>
      </c>
      <c r="AB5066" s="222">
        <v>46042</v>
      </c>
    </row>
    <row r="5067" spans="1:28" ht="17.100000000000001" customHeight="1" thickBot="1">
      <c r="A5067" s="234"/>
      <c r="B5067" s="27" t="s">
        <v>14765</v>
      </c>
      <c r="C5067" s="27">
        <v>38047</v>
      </c>
      <c r="D5067" s="14" t="s">
        <v>1584</v>
      </c>
      <c r="E5067" s="229"/>
      <c r="F5067" s="117" t="s">
        <v>14669</v>
      </c>
      <c r="G5067" s="26">
        <v>15996</v>
      </c>
      <c r="H5067" s="231"/>
      <c r="I5067" s="221"/>
      <c r="J5067" s="221"/>
      <c r="K5067" s="221"/>
      <c r="L5067" s="221"/>
      <c r="M5067" s="221"/>
      <c r="N5067" s="221"/>
      <c r="O5067" s="225"/>
      <c r="P5067" s="118" t="s">
        <v>3400</v>
      </c>
      <c r="Q5067" s="16" t="s">
        <v>20</v>
      </c>
      <c r="R5067" s="17" t="s">
        <v>1807</v>
      </c>
      <c r="S5067" s="121" t="s">
        <v>4008</v>
      </c>
      <c r="T5067" s="122"/>
      <c r="U5067" s="22"/>
      <c r="V5067" s="123" t="s">
        <v>2472</v>
      </c>
      <c r="W5067" s="122">
        <v>80343</v>
      </c>
      <c r="X5067" s="221"/>
      <c r="Y5067" s="221"/>
      <c r="Z5067" s="221"/>
      <c r="AA5067" s="221"/>
      <c r="AB5067" s="223"/>
    </row>
    <row r="5068" spans="1:28" ht="17.100000000000001" customHeight="1" thickTop="1">
      <c r="A5068" s="226" t="s">
        <v>14666</v>
      </c>
      <c r="B5068" s="28">
        <v>46036</v>
      </c>
      <c r="C5068" s="25">
        <v>1821</v>
      </c>
      <c r="D5068" s="13" t="s">
        <v>1754</v>
      </c>
      <c r="E5068" s="228"/>
      <c r="F5068" s="109" t="s">
        <v>2678</v>
      </c>
      <c r="G5068" s="24"/>
      <c r="H5068" s="230">
        <v>4.5</v>
      </c>
      <c r="I5068" s="220">
        <v>740000</v>
      </c>
      <c r="J5068" s="220">
        <v>74000</v>
      </c>
      <c r="K5068" s="220">
        <v>0</v>
      </c>
      <c r="L5068" s="220">
        <v>18960</v>
      </c>
      <c r="M5068" s="220">
        <v>18150</v>
      </c>
      <c r="N5068" s="220">
        <f>SUM(I5068:M5069)</f>
        <v>851110</v>
      </c>
      <c r="O5068" s="224"/>
      <c r="P5068" s="110" t="s">
        <v>15000</v>
      </c>
      <c r="Q5068" s="15" t="s">
        <v>19</v>
      </c>
      <c r="R5068" s="205"/>
      <c r="S5068" s="189"/>
      <c r="T5068" s="114"/>
      <c r="U5068" s="21"/>
      <c r="V5068" s="115">
        <v>46053</v>
      </c>
      <c r="W5068" s="116">
        <v>1286</v>
      </c>
      <c r="X5068" s="220">
        <v>845000</v>
      </c>
      <c r="Y5068" s="220">
        <f>X5068*0.1</f>
        <v>84500</v>
      </c>
      <c r="Z5068" s="220">
        <v>18960</v>
      </c>
      <c r="AA5068" s="220">
        <f>SUM(X5068:Z5068)</f>
        <v>948460</v>
      </c>
      <c r="AB5068" s="222">
        <v>46056</v>
      </c>
    </row>
    <row r="5069" spans="1:28" ht="17.100000000000001" customHeight="1" thickBot="1">
      <c r="A5069" s="227"/>
      <c r="B5069" s="27" t="s">
        <v>2519</v>
      </c>
      <c r="C5069" s="27">
        <v>38142</v>
      </c>
      <c r="D5069" s="14" t="s">
        <v>1593</v>
      </c>
      <c r="E5069" s="229"/>
      <c r="F5069" s="117" t="s">
        <v>14670</v>
      </c>
      <c r="G5069" s="26">
        <v>48131</v>
      </c>
      <c r="H5069" s="231"/>
      <c r="I5069" s="221"/>
      <c r="J5069" s="221"/>
      <c r="K5069" s="221"/>
      <c r="L5069" s="221"/>
      <c r="M5069" s="221"/>
      <c r="N5069" s="221"/>
      <c r="O5069" s="225"/>
      <c r="P5069" s="118" t="s">
        <v>4302</v>
      </c>
      <c r="Q5069" s="16" t="s">
        <v>20</v>
      </c>
      <c r="R5069" s="17" t="s">
        <v>1807</v>
      </c>
      <c r="S5069" s="121" t="s">
        <v>11871</v>
      </c>
      <c r="T5069" s="122"/>
      <c r="U5069" s="22"/>
      <c r="V5069" s="123" t="s">
        <v>2472</v>
      </c>
      <c r="W5069" s="122">
        <v>80214</v>
      </c>
      <c r="X5069" s="221"/>
      <c r="Y5069" s="221"/>
      <c r="Z5069" s="221"/>
      <c r="AA5069" s="221"/>
      <c r="AB5069" s="223"/>
    </row>
    <row r="5070" spans="1:28" ht="17.100000000000001" customHeight="1" thickTop="1">
      <c r="A5070" s="226" t="s">
        <v>14767</v>
      </c>
      <c r="B5070" s="28">
        <v>46037</v>
      </c>
      <c r="C5070" s="25">
        <v>2010</v>
      </c>
      <c r="D5070" s="13" t="s">
        <v>2379</v>
      </c>
      <c r="E5070" s="228"/>
      <c r="F5070" s="109" t="s">
        <v>6851</v>
      </c>
      <c r="G5070" s="24" t="s">
        <v>2543</v>
      </c>
      <c r="H5070" s="230">
        <v>4.5</v>
      </c>
      <c r="I5070" s="220">
        <v>1563000</v>
      </c>
      <c r="J5070" s="220">
        <f>I5070*0.1</f>
        <v>156300</v>
      </c>
      <c r="K5070" s="220">
        <v>0</v>
      </c>
      <c r="L5070" s="220">
        <v>9130</v>
      </c>
      <c r="M5070" s="220">
        <v>22000</v>
      </c>
      <c r="N5070" s="220">
        <f>SUM(I5070:M5071)</f>
        <v>1750430</v>
      </c>
      <c r="O5070" s="224"/>
      <c r="P5070" s="110" t="s">
        <v>14886</v>
      </c>
      <c r="Q5070" s="15" t="s">
        <v>19</v>
      </c>
      <c r="R5070" s="205"/>
      <c r="S5070" s="189" t="s">
        <v>25684</v>
      </c>
      <c r="T5070" s="114"/>
      <c r="U5070" s="21"/>
      <c r="V5070" s="115">
        <v>46049</v>
      </c>
      <c r="W5070" s="116">
        <v>1926</v>
      </c>
      <c r="X5070" s="220">
        <v>1582000</v>
      </c>
      <c r="Y5070" s="220">
        <f>X5070*0.1</f>
        <v>158200</v>
      </c>
      <c r="Z5070" s="220">
        <v>9130</v>
      </c>
      <c r="AA5070" s="220">
        <f>SUM(X5070:Z5070)</f>
        <v>1749330</v>
      </c>
      <c r="AB5070" s="222"/>
    </row>
    <row r="5071" spans="1:28" ht="17.100000000000001" customHeight="1" thickBot="1">
      <c r="A5071" s="227"/>
      <c r="B5071" s="27" t="s">
        <v>2680</v>
      </c>
      <c r="C5071" s="27">
        <v>50144</v>
      </c>
      <c r="D5071" s="14" t="s">
        <v>131</v>
      </c>
      <c r="E5071" s="229"/>
      <c r="F5071" s="117" t="s">
        <v>14766</v>
      </c>
      <c r="G5071" s="26">
        <v>14357</v>
      </c>
      <c r="H5071" s="231"/>
      <c r="I5071" s="221"/>
      <c r="J5071" s="221"/>
      <c r="K5071" s="221"/>
      <c r="L5071" s="221"/>
      <c r="M5071" s="221"/>
      <c r="N5071" s="221"/>
      <c r="O5071" s="225"/>
      <c r="P5071" s="118" t="s">
        <v>15332</v>
      </c>
      <c r="Q5071" s="16" t="s">
        <v>20</v>
      </c>
      <c r="R5071" s="17" t="s">
        <v>15265</v>
      </c>
      <c r="S5071" s="121" t="s">
        <v>1601</v>
      </c>
      <c r="T5071" s="122"/>
      <c r="U5071" s="22"/>
      <c r="V5071" s="123" t="s">
        <v>2103</v>
      </c>
      <c r="W5071" s="122">
        <v>3067</v>
      </c>
      <c r="X5071" s="221"/>
      <c r="Y5071" s="221"/>
      <c r="Z5071" s="221"/>
      <c r="AA5071" s="221"/>
      <c r="AB5071" s="223"/>
    </row>
    <row r="5072" spans="1:28" ht="17.100000000000001" customHeight="1" thickTop="1">
      <c r="A5072" s="226" t="s">
        <v>14768</v>
      </c>
      <c r="B5072" s="28">
        <v>46037</v>
      </c>
      <c r="C5072" s="25">
        <v>1966</v>
      </c>
      <c r="D5072" s="13" t="s">
        <v>1702</v>
      </c>
      <c r="E5072" s="228"/>
      <c r="F5072" s="109" t="s">
        <v>14777</v>
      </c>
      <c r="G5072" s="24"/>
      <c r="H5072" s="230">
        <v>4</v>
      </c>
      <c r="I5072" s="220">
        <v>568000</v>
      </c>
      <c r="J5072" s="220">
        <f>I5072*0.1</f>
        <v>56800</v>
      </c>
      <c r="K5072" s="220">
        <v>0</v>
      </c>
      <c r="L5072" s="220">
        <v>9790</v>
      </c>
      <c r="M5072" s="220">
        <v>17050</v>
      </c>
      <c r="N5072" s="220">
        <f>SUM(I5072:M5073)</f>
        <v>651640</v>
      </c>
      <c r="O5072" s="224"/>
      <c r="P5072" s="110" t="s">
        <v>15335</v>
      </c>
      <c r="Q5072" s="15" t="s">
        <v>19</v>
      </c>
      <c r="R5072" s="205"/>
      <c r="S5072" s="189"/>
      <c r="T5072" s="114"/>
      <c r="U5072" s="21"/>
      <c r="V5072" s="115">
        <v>46053</v>
      </c>
      <c r="W5072" s="116">
        <v>1286</v>
      </c>
      <c r="X5072" s="220">
        <v>625000</v>
      </c>
      <c r="Y5072" s="220">
        <f>X5072*0.1</f>
        <v>62500</v>
      </c>
      <c r="Z5072" s="220">
        <v>9790</v>
      </c>
      <c r="AA5072" s="220">
        <f>SUM(X5072:Z5072)</f>
        <v>697290</v>
      </c>
      <c r="AB5072" s="222">
        <v>46056</v>
      </c>
    </row>
    <row r="5073" spans="1:28" ht="17.100000000000001" customHeight="1" thickBot="1">
      <c r="A5073" s="227"/>
      <c r="B5073" s="27" t="s">
        <v>3730</v>
      </c>
      <c r="C5073" s="27">
        <v>3059</v>
      </c>
      <c r="D5073" s="14" t="s">
        <v>2559</v>
      </c>
      <c r="E5073" s="229"/>
      <c r="F5073" s="117" t="s">
        <v>14778</v>
      </c>
      <c r="G5073" s="26">
        <v>70607</v>
      </c>
      <c r="H5073" s="231"/>
      <c r="I5073" s="221"/>
      <c r="J5073" s="221"/>
      <c r="K5073" s="221"/>
      <c r="L5073" s="221"/>
      <c r="M5073" s="221"/>
      <c r="N5073" s="221"/>
      <c r="O5073" s="225"/>
      <c r="P5073" s="118" t="s">
        <v>15336</v>
      </c>
      <c r="Q5073" s="16" t="s">
        <v>20</v>
      </c>
      <c r="R5073" s="17" t="s">
        <v>15265</v>
      </c>
      <c r="S5073" s="121"/>
      <c r="T5073" s="122"/>
      <c r="U5073" s="22"/>
      <c r="V5073" s="123" t="s">
        <v>2472</v>
      </c>
      <c r="W5073" s="122">
        <v>60226</v>
      </c>
      <c r="X5073" s="221"/>
      <c r="Y5073" s="221"/>
      <c r="Z5073" s="221"/>
      <c r="AA5073" s="221"/>
      <c r="AB5073" s="223"/>
    </row>
    <row r="5074" spans="1:28" ht="17.100000000000001" customHeight="1" thickTop="1">
      <c r="A5074" s="226" t="s">
        <v>14769</v>
      </c>
      <c r="B5074" s="28">
        <v>46037</v>
      </c>
      <c r="C5074" s="25">
        <v>1966</v>
      </c>
      <c r="D5074" s="13" t="s">
        <v>1053</v>
      </c>
      <c r="E5074" s="228"/>
      <c r="F5074" s="109" t="s">
        <v>14779</v>
      </c>
      <c r="G5074" s="24"/>
      <c r="H5074" s="230">
        <v>4.5</v>
      </c>
      <c r="I5074" s="220">
        <v>976000</v>
      </c>
      <c r="J5074" s="220">
        <f>I5074*0.1</f>
        <v>97600</v>
      </c>
      <c r="K5074" s="220">
        <v>0</v>
      </c>
      <c r="L5074" s="220">
        <v>7440</v>
      </c>
      <c r="M5074" s="220">
        <v>15950</v>
      </c>
      <c r="N5074" s="220">
        <f>SUM(I5074:M5075)</f>
        <v>1096990</v>
      </c>
      <c r="O5074" s="224"/>
      <c r="P5074" s="110" t="s">
        <v>15303</v>
      </c>
      <c r="Q5074" s="15" t="s">
        <v>19</v>
      </c>
      <c r="R5074" s="205"/>
      <c r="S5074" s="189" t="s">
        <v>758</v>
      </c>
      <c r="T5074" s="114"/>
      <c r="U5074" s="21"/>
      <c r="V5074" s="115">
        <v>46053</v>
      </c>
      <c r="W5074" s="116">
        <v>1286</v>
      </c>
      <c r="X5074" s="220">
        <v>1155000</v>
      </c>
      <c r="Y5074" s="220">
        <f>X5074*0.1</f>
        <v>115500</v>
      </c>
      <c r="Z5074" s="220">
        <v>7440</v>
      </c>
      <c r="AA5074" s="220">
        <f>SUM(X5074:Z5074)</f>
        <v>1277940</v>
      </c>
      <c r="AB5074" s="222">
        <v>46056</v>
      </c>
    </row>
    <row r="5075" spans="1:28" ht="17.100000000000001" customHeight="1" thickBot="1">
      <c r="A5075" s="227"/>
      <c r="B5075" s="27" t="s">
        <v>3730</v>
      </c>
      <c r="C5075" s="27">
        <v>62029</v>
      </c>
      <c r="D5075" s="14" t="s">
        <v>1584</v>
      </c>
      <c r="E5075" s="229"/>
      <c r="F5075" s="117" t="s">
        <v>14780</v>
      </c>
      <c r="G5075" s="26">
        <v>52335</v>
      </c>
      <c r="H5075" s="231"/>
      <c r="I5075" s="221"/>
      <c r="J5075" s="221"/>
      <c r="K5075" s="221"/>
      <c r="L5075" s="221"/>
      <c r="M5075" s="221"/>
      <c r="N5075" s="221"/>
      <c r="O5075" s="225"/>
      <c r="P5075" s="118" t="s">
        <v>4302</v>
      </c>
      <c r="Q5075" s="16" t="s">
        <v>20</v>
      </c>
      <c r="R5075" s="17" t="s">
        <v>15265</v>
      </c>
      <c r="S5075" s="121" t="s">
        <v>7920</v>
      </c>
      <c r="T5075" s="122"/>
      <c r="U5075" s="22"/>
      <c r="V5075" s="123" t="s">
        <v>2472</v>
      </c>
      <c r="W5075" s="122">
        <v>41065</v>
      </c>
      <c r="X5075" s="221"/>
      <c r="Y5075" s="221"/>
      <c r="Z5075" s="221"/>
      <c r="AA5075" s="221"/>
      <c r="AB5075" s="223"/>
    </row>
    <row r="5076" spans="1:28" ht="17.100000000000001" customHeight="1" thickTop="1">
      <c r="A5076" s="226" t="s">
        <v>14770</v>
      </c>
      <c r="B5076" s="28">
        <v>46037</v>
      </c>
      <c r="C5076" s="25">
        <v>1314</v>
      </c>
      <c r="D5076" s="13" t="s">
        <v>1810</v>
      </c>
      <c r="E5076" s="228"/>
      <c r="F5076" s="109" t="s">
        <v>14781</v>
      </c>
      <c r="G5076" s="24"/>
      <c r="H5076" s="230">
        <v>4.5</v>
      </c>
      <c r="I5076" s="220">
        <v>1405000</v>
      </c>
      <c r="J5076" s="220">
        <f>I5076*0.1</f>
        <v>140500</v>
      </c>
      <c r="K5076" s="220">
        <v>0</v>
      </c>
      <c r="L5076" s="220">
        <v>11810</v>
      </c>
      <c r="M5076" s="220">
        <v>16500</v>
      </c>
      <c r="N5076" s="220">
        <f>SUM(I5076:M5077)</f>
        <v>1573810</v>
      </c>
      <c r="O5076" s="224"/>
      <c r="P5076" s="110" t="s">
        <v>15051</v>
      </c>
      <c r="Q5076" s="15" t="s">
        <v>19</v>
      </c>
      <c r="R5076" s="205"/>
      <c r="S5076" s="189" t="s">
        <v>25685</v>
      </c>
      <c r="T5076" s="114"/>
      <c r="U5076" s="21"/>
      <c r="V5076" s="115">
        <v>46053</v>
      </c>
      <c r="W5076" s="116">
        <v>1286</v>
      </c>
      <c r="X5076" s="220">
        <v>1550000</v>
      </c>
      <c r="Y5076" s="220">
        <f>X5076*0.1</f>
        <v>155000</v>
      </c>
      <c r="Z5076" s="220">
        <v>11810</v>
      </c>
      <c r="AA5076" s="220">
        <f>SUM(X5076:Z5076)</f>
        <v>1716810</v>
      </c>
      <c r="AB5076" s="222">
        <v>46056</v>
      </c>
    </row>
    <row r="5077" spans="1:28" ht="17.100000000000001" customHeight="1" thickBot="1">
      <c r="A5077" s="227"/>
      <c r="B5077" s="27" t="s">
        <v>1735</v>
      </c>
      <c r="C5077" s="27">
        <v>341</v>
      </c>
      <c r="D5077" s="14" t="s">
        <v>131</v>
      </c>
      <c r="E5077" s="229"/>
      <c r="F5077" s="117" t="s">
        <v>14782</v>
      </c>
      <c r="G5077" s="26">
        <v>21866</v>
      </c>
      <c r="H5077" s="231"/>
      <c r="I5077" s="221"/>
      <c r="J5077" s="221"/>
      <c r="K5077" s="221"/>
      <c r="L5077" s="221"/>
      <c r="M5077" s="221"/>
      <c r="N5077" s="221"/>
      <c r="O5077" s="225"/>
      <c r="P5077" s="118" t="s">
        <v>11988</v>
      </c>
      <c r="Q5077" s="16" t="s">
        <v>20</v>
      </c>
      <c r="R5077" s="17" t="s">
        <v>15049</v>
      </c>
      <c r="S5077" s="121" t="s">
        <v>1722</v>
      </c>
      <c r="T5077" s="122"/>
      <c r="U5077" s="22"/>
      <c r="V5077" s="123" t="s">
        <v>2472</v>
      </c>
      <c r="W5077" s="122">
        <v>80189</v>
      </c>
      <c r="X5077" s="221"/>
      <c r="Y5077" s="221"/>
      <c r="Z5077" s="221"/>
      <c r="AA5077" s="221"/>
      <c r="AB5077" s="223"/>
    </row>
    <row r="5078" spans="1:28" ht="17.100000000000001" customHeight="1" thickTop="1">
      <c r="A5078" s="226" t="s">
        <v>14771</v>
      </c>
      <c r="B5078" s="28">
        <v>46037</v>
      </c>
      <c r="C5078" s="25">
        <v>1314</v>
      </c>
      <c r="D5078" s="13" t="s">
        <v>1824</v>
      </c>
      <c r="E5078" s="228"/>
      <c r="F5078" s="109" t="s">
        <v>14887</v>
      </c>
      <c r="G5078" s="24"/>
      <c r="H5078" s="230">
        <v>4</v>
      </c>
      <c r="I5078" s="220">
        <v>600000</v>
      </c>
      <c r="J5078" s="220">
        <f>I5078*0.1</f>
        <v>60000</v>
      </c>
      <c r="K5078" s="220">
        <v>0</v>
      </c>
      <c r="L5078" s="220">
        <v>26050</v>
      </c>
      <c r="M5078" s="220">
        <v>16500</v>
      </c>
      <c r="N5078" s="220">
        <f>SUM(I5078:M5079)</f>
        <v>702550</v>
      </c>
      <c r="O5078" s="224"/>
      <c r="P5078" s="110" t="s">
        <v>15048</v>
      </c>
      <c r="Q5078" s="15" t="s">
        <v>19</v>
      </c>
      <c r="R5078" s="205"/>
      <c r="S5078" s="189" t="s">
        <v>25686</v>
      </c>
      <c r="T5078" s="114"/>
      <c r="U5078" s="21"/>
      <c r="V5078" s="115">
        <v>46043</v>
      </c>
      <c r="W5078" s="116">
        <v>1001</v>
      </c>
      <c r="X5078" s="220">
        <v>760000</v>
      </c>
      <c r="Y5078" s="220">
        <f>X5078*0.1</f>
        <v>76000</v>
      </c>
      <c r="Z5078" s="220">
        <v>26050</v>
      </c>
      <c r="AA5078" s="220">
        <f>SUM(X5078:Z5078)</f>
        <v>862050</v>
      </c>
      <c r="AB5078" s="222">
        <v>46051</v>
      </c>
    </row>
    <row r="5079" spans="1:28" ht="17.100000000000001" customHeight="1" thickBot="1">
      <c r="A5079" s="227"/>
      <c r="B5079" s="27" t="s">
        <v>1735</v>
      </c>
      <c r="C5079" s="27">
        <v>806</v>
      </c>
      <c r="D5079" s="14" t="s">
        <v>1584</v>
      </c>
      <c r="E5079" s="229"/>
      <c r="F5079" s="117" t="s">
        <v>14783</v>
      </c>
      <c r="G5079" s="26">
        <v>55938</v>
      </c>
      <c r="H5079" s="231"/>
      <c r="I5079" s="221"/>
      <c r="J5079" s="221"/>
      <c r="K5079" s="221"/>
      <c r="L5079" s="221"/>
      <c r="M5079" s="221"/>
      <c r="N5079" s="221"/>
      <c r="O5079" s="225"/>
      <c r="P5079" s="118" t="s">
        <v>1844</v>
      </c>
      <c r="Q5079" s="16" t="s">
        <v>20</v>
      </c>
      <c r="R5079" s="17" t="s">
        <v>15049</v>
      </c>
      <c r="S5079" s="121" t="s">
        <v>15050</v>
      </c>
      <c r="T5079" s="122"/>
      <c r="U5079" s="22"/>
      <c r="V5079" s="123" t="s">
        <v>7161</v>
      </c>
      <c r="W5079" s="122">
        <v>5052</v>
      </c>
      <c r="X5079" s="221"/>
      <c r="Y5079" s="221"/>
      <c r="Z5079" s="221"/>
      <c r="AA5079" s="221"/>
      <c r="AB5079" s="223"/>
    </row>
    <row r="5080" spans="1:28" ht="17.100000000000001" customHeight="1" thickTop="1">
      <c r="A5080" s="226" t="s">
        <v>14772</v>
      </c>
      <c r="B5080" s="28">
        <v>46037</v>
      </c>
      <c r="C5080" s="25">
        <v>2141</v>
      </c>
      <c r="D5080" s="13" t="s">
        <v>1678</v>
      </c>
      <c r="E5080" s="228"/>
      <c r="F5080" s="109" t="s">
        <v>14888</v>
      </c>
      <c r="G5080" s="24" t="s">
        <v>14889</v>
      </c>
      <c r="H5080" s="230">
        <v>4.5</v>
      </c>
      <c r="I5080" s="220">
        <v>2812000</v>
      </c>
      <c r="J5080" s="220">
        <f>I5080*0.1</f>
        <v>281200</v>
      </c>
      <c r="K5080" s="220">
        <v>9500</v>
      </c>
      <c r="L5080" s="220">
        <v>15890</v>
      </c>
      <c r="M5080" s="220">
        <v>14300</v>
      </c>
      <c r="N5080" s="220">
        <f>SUM(I5080:M5081)</f>
        <v>3132890</v>
      </c>
      <c r="O5080" s="224"/>
      <c r="P5080" s="110" t="s">
        <v>14890</v>
      </c>
      <c r="Q5080" s="15" t="s">
        <v>19</v>
      </c>
      <c r="R5080" s="205"/>
      <c r="S5080" s="189"/>
      <c r="T5080" s="114"/>
      <c r="U5080" s="21"/>
      <c r="V5080" s="115">
        <v>46050</v>
      </c>
      <c r="W5080" s="116">
        <v>1002</v>
      </c>
      <c r="X5080" s="220">
        <v>2920000</v>
      </c>
      <c r="Y5080" s="220">
        <f>X5080*0.1</f>
        <v>292000</v>
      </c>
      <c r="Z5080" s="220">
        <v>15890</v>
      </c>
      <c r="AA5080" s="220">
        <f>SUM(X5080:Z5080)</f>
        <v>3227890</v>
      </c>
      <c r="AB5080" s="222">
        <v>46055</v>
      </c>
    </row>
    <row r="5081" spans="1:28" ht="17.100000000000001" customHeight="1" thickBot="1">
      <c r="A5081" s="227"/>
      <c r="B5081" s="27" t="s">
        <v>1918</v>
      </c>
      <c r="C5081" s="27">
        <v>100</v>
      </c>
      <c r="D5081" s="14" t="s">
        <v>2559</v>
      </c>
      <c r="E5081" s="229"/>
      <c r="F5081" s="117" t="s">
        <v>14802</v>
      </c>
      <c r="G5081" s="26">
        <v>40251</v>
      </c>
      <c r="H5081" s="231"/>
      <c r="I5081" s="221"/>
      <c r="J5081" s="221"/>
      <c r="K5081" s="221"/>
      <c r="L5081" s="221"/>
      <c r="M5081" s="221"/>
      <c r="N5081" s="221"/>
      <c r="O5081" s="225"/>
      <c r="P5081" s="118" t="s">
        <v>15304</v>
      </c>
      <c r="Q5081" s="16" t="s">
        <v>20</v>
      </c>
      <c r="R5081" s="17" t="s">
        <v>15265</v>
      </c>
      <c r="S5081" s="121" t="s">
        <v>4355</v>
      </c>
      <c r="T5081" s="122"/>
      <c r="U5081" s="22"/>
      <c r="V5081" s="123" t="s">
        <v>2747</v>
      </c>
      <c r="W5081" s="122">
        <v>6012</v>
      </c>
      <c r="X5081" s="221"/>
      <c r="Y5081" s="221"/>
      <c r="Z5081" s="221"/>
      <c r="AA5081" s="221"/>
      <c r="AB5081" s="223"/>
    </row>
    <row r="5082" spans="1:28" ht="17.100000000000001" customHeight="1" thickTop="1">
      <c r="A5082" s="226" t="s">
        <v>14773</v>
      </c>
      <c r="B5082" s="28">
        <v>46037</v>
      </c>
      <c r="C5082" s="25">
        <v>2141</v>
      </c>
      <c r="D5082" s="13" t="s">
        <v>3327</v>
      </c>
      <c r="E5082" s="228"/>
      <c r="F5082" s="109" t="s">
        <v>14891</v>
      </c>
      <c r="G5082" s="24"/>
      <c r="H5082" s="230">
        <v>4</v>
      </c>
      <c r="I5082" s="220">
        <v>557000</v>
      </c>
      <c r="J5082" s="220">
        <f>I5082*0.1</f>
        <v>55700</v>
      </c>
      <c r="K5082" s="220">
        <v>0</v>
      </c>
      <c r="L5082" s="220">
        <v>7950</v>
      </c>
      <c r="M5082" s="220">
        <v>14300</v>
      </c>
      <c r="N5082" s="220">
        <f>SUM(I5082:M5083)</f>
        <v>634950</v>
      </c>
      <c r="O5082" s="224"/>
      <c r="P5082" s="110" t="s">
        <v>15319</v>
      </c>
      <c r="Q5082" s="15" t="s">
        <v>19</v>
      </c>
      <c r="R5082" s="205"/>
      <c r="S5082" s="189" t="s">
        <v>758</v>
      </c>
      <c r="T5082" s="114"/>
      <c r="U5082" s="21"/>
      <c r="V5082" s="115">
        <v>46081</v>
      </c>
      <c r="W5082" s="116">
        <v>1290</v>
      </c>
      <c r="X5082" s="220">
        <v>650000</v>
      </c>
      <c r="Y5082" s="220">
        <f>X5082*0.1</f>
        <v>65000</v>
      </c>
      <c r="Z5082" s="220">
        <v>7950</v>
      </c>
      <c r="AA5082" s="220">
        <f>SUM(X5082:Z5082)</f>
        <v>722950</v>
      </c>
      <c r="AB5082" s="222">
        <v>46084</v>
      </c>
    </row>
    <row r="5083" spans="1:28" ht="17.100000000000001" customHeight="1" thickBot="1">
      <c r="A5083" s="227"/>
      <c r="B5083" s="27" t="s">
        <v>1918</v>
      </c>
      <c r="C5083" s="27">
        <v>2006</v>
      </c>
      <c r="D5083" s="14" t="s">
        <v>898</v>
      </c>
      <c r="E5083" s="229"/>
      <c r="F5083" s="117" t="s">
        <v>14803</v>
      </c>
      <c r="G5083" s="26">
        <v>34880</v>
      </c>
      <c r="H5083" s="231"/>
      <c r="I5083" s="221"/>
      <c r="J5083" s="221"/>
      <c r="K5083" s="221"/>
      <c r="L5083" s="221"/>
      <c r="M5083" s="221"/>
      <c r="N5083" s="221"/>
      <c r="O5083" s="225"/>
      <c r="P5083" s="118" t="s">
        <v>15320</v>
      </c>
      <c r="Q5083" s="16" t="s">
        <v>20</v>
      </c>
      <c r="R5083" s="17" t="s">
        <v>15265</v>
      </c>
      <c r="S5083" s="121" t="s">
        <v>4530</v>
      </c>
      <c r="T5083" s="122"/>
      <c r="U5083" s="22"/>
      <c r="V5083" s="123" t="s">
        <v>2472</v>
      </c>
      <c r="W5083" s="122">
        <v>60212</v>
      </c>
      <c r="X5083" s="221"/>
      <c r="Y5083" s="221"/>
      <c r="Z5083" s="221"/>
      <c r="AA5083" s="221"/>
      <c r="AB5083" s="223"/>
    </row>
    <row r="5084" spans="1:28" ht="17.100000000000001" customHeight="1" thickTop="1">
      <c r="A5084" s="226" t="s">
        <v>14774</v>
      </c>
      <c r="B5084" s="28">
        <v>46037</v>
      </c>
      <c r="C5084" s="25">
        <v>2141</v>
      </c>
      <c r="D5084" s="13" t="s">
        <v>2320</v>
      </c>
      <c r="E5084" s="228"/>
      <c r="F5084" s="109" t="s">
        <v>14804</v>
      </c>
      <c r="G5084" s="24" t="s">
        <v>8087</v>
      </c>
      <c r="H5084" s="230">
        <v>4.5</v>
      </c>
      <c r="I5084" s="220">
        <v>805000</v>
      </c>
      <c r="J5084" s="220">
        <f>I5084*0.1</f>
        <v>80500</v>
      </c>
      <c r="K5084" s="220">
        <v>0</v>
      </c>
      <c r="L5084" s="220">
        <v>8510</v>
      </c>
      <c r="M5084" s="220">
        <v>14300</v>
      </c>
      <c r="N5084" s="220">
        <f>SUM(I5084:M5085)</f>
        <v>908310</v>
      </c>
      <c r="O5084" s="224"/>
      <c r="P5084" s="110" t="s">
        <v>14892</v>
      </c>
      <c r="Q5084" s="15" t="s">
        <v>19</v>
      </c>
      <c r="R5084" s="205"/>
      <c r="S5084" s="189" t="s">
        <v>25687</v>
      </c>
      <c r="T5084" s="114"/>
      <c r="U5084" s="21"/>
      <c r="V5084" s="115">
        <v>46043</v>
      </c>
      <c r="W5084" s="116">
        <v>1001</v>
      </c>
      <c r="X5084" s="220">
        <v>955000</v>
      </c>
      <c r="Y5084" s="220">
        <f>X5084*0.1</f>
        <v>95500</v>
      </c>
      <c r="Z5084" s="220">
        <v>8510</v>
      </c>
      <c r="AA5084" s="220">
        <f>SUM(X5084:Z5084)</f>
        <v>1059010</v>
      </c>
      <c r="AB5084" s="222">
        <v>46048</v>
      </c>
    </row>
    <row r="5085" spans="1:28" ht="17.100000000000001" customHeight="1" thickBot="1">
      <c r="A5085" s="227"/>
      <c r="B5085" s="27" t="s">
        <v>1918</v>
      </c>
      <c r="C5085" s="27">
        <v>2057</v>
      </c>
      <c r="D5085" s="14" t="s">
        <v>1584</v>
      </c>
      <c r="E5085" s="229"/>
      <c r="F5085" s="117" t="s">
        <v>14805</v>
      </c>
      <c r="G5085" s="26">
        <v>1249</v>
      </c>
      <c r="H5085" s="231"/>
      <c r="I5085" s="221"/>
      <c r="J5085" s="221"/>
      <c r="K5085" s="221"/>
      <c r="L5085" s="221"/>
      <c r="M5085" s="221"/>
      <c r="N5085" s="221"/>
      <c r="O5085" s="225"/>
      <c r="P5085" s="118" t="s">
        <v>15300</v>
      </c>
      <c r="Q5085" s="16" t="s">
        <v>20</v>
      </c>
      <c r="R5085" s="17" t="s">
        <v>15265</v>
      </c>
      <c r="S5085" s="121" t="s">
        <v>15301</v>
      </c>
      <c r="T5085" s="122"/>
      <c r="U5085" s="22"/>
      <c r="V5085" s="123" t="s">
        <v>2747</v>
      </c>
      <c r="W5085" s="122">
        <v>5062</v>
      </c>
      <c r="X5085" s="221"/>
      <c r="Y5085" s="221"/>
      <c r="Z5085" s="221"/>
      <c r="AA5085" s="221"/>
      <c r="AB5085" s="223"/>
    </row>
    <row r="5086" spans="1:28" ht="17.100000000000001" customHeight="1" thickTop="1">
      <c r="A5086" s="226" t="s">
        <v>14775</v>
      </c>
      <c r="B5086" s="28">
        <v>46037</v>
      </c>
      <c r="C5086" s="25">
        <v>2141</v>
      </c>
      <c r="D5086" s="13" t="s">
        <v>3269</v>
      </c>
      <c r="E5086" s="228"/>
      <c r="F5086" s="109" t="s">
        <v>14893</v>
      </c>
      <c r="G5086" s="24" t="s">
        <v>4979</v>
      </c>
      <c r="H5086" s="230">
        <v>4.5</v>
      </c>
      <c r="I5086" s="220">
        <v>927000</v>
      </c>
      <c r="J5086" s="220">
        <f>I5086*0.1</f>
        <v>92700</v>
      </c>
      <c r="K5086" s="220">
        <v>0</v>
      </c>
      <c r="L5086" s="220">
        <v>7150</v>
      </c>
      <c r="M5086" s="220">
        <v>14300</v>
      </c>
      <c r="N5086" s="220">
        <f>SUM(I5086:M5087)</f>
        <v>1041150</v>
      </c>
      <c r="O5086" s="224"/>
      <c r="P5086" s="110" t="s">
        <v>14894</v>
      </c>
      <c r="Q5086" s="15" t="s">
        <v>19</v>
      </c>
      <c r="R5086" s="205"/>
      <c r="S5086" s="189" t="s">
        <v>25688</v>
      </c>
      <c r="T5086" s="114"/>
      <c r="U5086" s="21" t="s">
        <v>17657</v>
      </c>
      <c r="V5086" s="115">
        <v>46158</v>
      </c>
      <c r="W5086" s="116">
        <v>1300</v>
      </c>
      <c r="X5086" s="220">
        <v>925000</v>
      </c>
      <c r="Y5086" s="220">
        <f>X5086*0.1</f>
        <v>92500</v>
      </c>
      <c r="Z5086" s="220">
        <v>7150</v>
      </c>
      <c r="AA5086" s="220">
        <f>SUM(X5086:Z5086)</f>
        <v>1024650</v>
      </c>
      <c r="AB5086" s="222">
        <v>46161</v>
      </c>
    </row>
    <row r="5087" spans="1:28" ht="17.100000000000001" customHeight="1" thickBot="1">
      <c r="A5087" s="227"/>
      <c r="B5087" s="27" t="s">
        <v>1918</v>
      </c>
      <c r="C5087" s="27">
        <v>2084</v>
      </c>
      <c r="D5087" s="14" t="s">
        <v>2559</v>
      </c>
      <c r="E5087" s="229"/>
      <c r="F5087" s="117" t="s">
        <v>14806</v>
      </c>
      <c r="G5087" s="26">
        <v>59686</v>
      </c>
      <c r="H5087" s="231"/>
      <c r="I5087" s="221"/>
      <c r="J5087" s="221"/>
      <c r="K5087" s="221"/>
      <c r="L5087" s="221"/>
      <c r="M5087" s="221"/>
      <c r="N5087" s="221"/>
      <c r="O5087" s="225"/>
      <c r="P5087" s="118" t="s">
        <v>15316</v>
      </c>
      <c r="Q5087" s="16" t="s">
        <v>20</v>
      </c>
      <c r="R5087" s="17" t="s">
        <v>15265</v>
      </c>
      <c r="S5087" s="121" t="s">
        <v>1601</v>
      </c>
      <c r="T5087" s="122"/>
      <c r="U5087" s="22"/>
      <c r="V5087" s="123" t="s">
        <v>2472</v>
      </c>
      <c r="W5087" s="122">
        <v>60057</v>
      </c>
      <c r="X5087" s="221"/>
      <c r="Y5087" s="221"/>
      <c r="Z5087" s="221"/>
      <c r="AA5087" s="221"/>
      <c r="AB5087" s="223"/>
    </row>
    <row r="5088" spans="1:28" ht="17.100000000000001" customHeight="1" thickTop="1">
      <c r="A5088" s="226" t="s">
        <v>14776</v>
      </c>
      <c r="B5088" s="28">
        <v>46037</v>
      </c>
      <c r="C5088" s="25">
        <v>2141</v>
      </c>
      <c r="D5088" s="13" t="s">
        <v>1702</v>
      </c>
      <c r="E5088" s="228"/>
      <c r="F5088" s="109" t="s">
        <v>14895</v>
      </c>
      <c r="G5088" s="24" t="s">
        <v>2543</v>
      </c>
      <c r="H5088" s="230">
        <v>4</v>
      </c>
      <c r="I5088" s="220">
        <v>438000</v>
      </c>
      <c r="J5088" s="220">
        <v>0</v>
      </c>
      <c r="K5088" s="220">
        <v>0</v>
      </c>
      <c r="L5088" s="220">
        <v>9200</v>
      </c>
      <c r="M5088" s="220">
        <v>14300</v>
      </c>
      <c r="N5088" s="220">
        <f>SUM(I5088:M5089)</f>
        <v>461500</v>
      </c>
      <c r="O5088" s="224"/>
      <c r="P5088" s="110" t="s">
        <v>14896</v>
      </c>
      <c r="Q5088" s="15" t="s">
        <v>19</v>
      </c>
      <c r="R5088" s="205"/>
      <c r="S5088" s="189" t="s">
        <v>25689</v>
      </c>
      <c r="T5088" s="114"/>
      <c r="U5088" s="21"/>
      <c r="V5088" s="115">
        <v>46043</v>
      </c>
      <c r="W5088" s="116">
        <v>1001</v>
      </c>
      <c r="X5088" s="220">
        <v>610000</v>
      </c>
      <c r="Y5088" s="220">
        <f>X5088*0.1</f>
        <v>61000</v>
      </c>
      <c r="Z5088" s="220">
        <v>9200</v>
      </c>
      <c r="AA5088" s="220">
        <f>SUM(X5088:Z5088)</f>
        <v>680200</v>
      </c>
      <c r="AB5088" s="222">
        <v>46048</v>
      </c>
    </row>
    <row r="5089" spans="1:28" ht="17.100000000000001" customHeight="1" thickBot="1">
      <c r="A5089" s="227"/>
      <c r="B5089" s="27" t="s">
        <v>1918</v>
      </c>
      <c r="C5089" s="27">
        <v>2088</v>
      </c>
      <c r="D5089" s="14" t="s">
        <v>1584</v>
      </c>
      <c r="E5089" s="229"/>
      <c r="F5089" s="117" t="s">
        <v>14807</v>
      </c>
      <c r="G5089" s="26">
        <v>59900</v>
      </c>
      <c r="H5089" s="231"/>
      <c r="I5089" s="221"/>
      <c r="J5089" s="221"/>
      <c r="K5089" s="221"/>
      <c r="L5089" s="221"/>
      <c r="M5089" s="221"/>
      <c r="N5089" s="221"/>
      <c r="O5089" s="225"/>
      <c r="P5089" s="118" t="s">
        <v>15302</v>
      </c>
      <c r="Q5089" s="16" t="s">
        <v>20</v>
      </c>
      <c r="R5089" s="17" t="s">
        <v>15265</v>
      </c>
      <c r="S5089" s="121" t="s">
        <v>15345</v>
      </c>
      <c r="T5089" s="122"/>
      <c r="U5089" s="22"/>
      <c r="V5089" s="123" t="s">
        <v>2747</v>
      </c>
      <c r="W5089" s="122">
        <v>5056</v>
      </c>
      <c r="X5089" s="221"/>
      <c r="Y5089" s="221"/>
      <c r="Z5089" s="221"/>
      <c r="AA5089" s="221"/>
      <c r="AB5089" s="223"/>
    </row>
    <row r="5090" spans="1:28" ht="17.100000000000001" customHeight="1" thickTop="1">
      <c r="A5090" s="233" t="s">
        <v>14784</v>
      </c>
      <c r="B5090" s="28">
        <v>46037</v>
      </c>
      <c r="C5090" s="25">
        <v>2141</v>
      </c>
      <c r="D5090" s="13" t="s">
        <v>1908</v>
      </c>
      <c r="E5090" s="228"/>
      <c r="F5090" s="109" t="s">
        <v>14897</v>
      </c>
      <c r="G5090" s="24" t="s">
        <v>7053</v>
      </c>
      <c r="H5090" s="230">
        <v>4.5</v>
      </c>
      <c r="I5090" s="220">
        <v>704000</v>
      </c>
      <c r="J5090" s="220">
        <f>I5090*0.1</f>
        <v>70400</v>
      </c>
      <c r="K5090" s="220">
        <v>0</v>
      </c>
      <c r="L5090" s="220">
        <v>8990</v>
      </c>
      <c r="M5090" s="220">
        <v>14300</v>
      </c>
      <c r="N5090" s="220">
        <f>SUM(I5090:M5091)</f>
        <v>797690</v>
      </c>
      <c r="O5090" s="224"/>
      <c r="P5090" s="110" t="s">
        <v>14898</v>
      </c>
      <c r="Q5090" s="15" t="s">
        <v>19</v>
      </c>
      <c r="R5090" s="205"/>
      <c r="S5090" s="189" t="s">
        <v>1072</v>
      </c>
      <c r="T5090" s="114" t="s">
        <v>16047</v>
      </c>
      <c r="U5090" s="21"/>
      <c r="V5090" s="115"/>
      <c r="W5090" s="116"/>
      <c r="X5090" s="220"/>
      <c r="Y5090" s="220">
        <f>X5090*0.1</f>
        <v>0</v>
      </c>
      <c r="Z5090" s="220"/>
      <c r="AA5090" s="220">
        <f>SUM(X5090:Z5090)</f>
        <v>0</v>
      </c>
      <c r="AB5090" s="222"/>
    </row>
    <row r="5091" spans="1:28" ht="17.100000000000001" customHeight="1" thickBot="1">
      <c r="A5091" s="234"/>
      <c r="B5091" s="27" t="s">
        <v>1918</v>
      </c>
      <c r="C5091" s="27">
        <v>2508</v>
      </c>
      <c r="D5091" s="14" t="s">
        <v>1602</v>
      </c>
      <c r="E5091" s="229"/>
      <c r="F5091" s="117" t="s">
        <v>14808</v>
      </c>
      <c r="G5091" s="26">
        <v>83759</v>
      </c>
      <c r="H5091" s="231"/>
      <c r="I5091" s="221"/>
      <c r="J5091" s="221"/>
      <c r="K5091" s="221"/>
      <c r="L5091" s="221"/>
      <c r="M5091" s="221"/>
      <c r="N5091" s="221"/>
      <c r="O5091" s="225"/>
      <c r="P5091" s="118" t="s">
        <v>15323</v>
      </c>
      <c r="Q5091" s="16" t="s">
        <v>20</v>
      </c>
      <c r="R5091" s="17" t="s">
        <v>15265</v>
      </c>
      <c r="S5091" s="121" t="s">
        <v>15324</v>
      </c>
      <c r="T5091" s="122"/>
      <c r="U5091" s="22"/>
      <c r="V5091" s="123"/>
      <c r="W5091" s="122"/>
      <c r="X5091" s="221"/>
      <c r="Y5091" s="221"/>
      <c r="Z5091" s="221"/>
      <c r="AA5091" s="221"/>
      <c r="AB5091" s="223"/>
    </row>
    <row r="5092" spans="1:28" ht="17.100000000000001" customHeight="1" thickTop="1">
      <c r="A5092" s="226" t="s">
        <v>14785</v>
      </c>
      <c r="B5092" s="28">
        <v>46037</v>
      </c>
      <c r="C5092" s="25">
        <v>2141</v>
      </c>
      <c r="D5092" s="13" t="s">
        <v>4050</v>
      </c>
      <c r="E5092" s="228"/>
      <c r="F5092" s="109" t="s">
        <v>7214</v>
      </c>
      <c r="G5092" s="24"/>
      <c r="H5092" s="230">
        <v>4.5</v>
      </c>
      <c r="I5092" s="220">
        <v>795000</v>
      </c>
      <c r="J5092" s="220">
        <f>I5092*0.1</f>
        <v>79500</v>
      </c>
      <c r="K5092" s="220">
        <v>0</v>
      </c>
      <c r="L5092" s="220">
        <v>8400</v>
      </c>
      <c r="M5092" s="220">
        <v>14300</v>
      </c>
      <c r="N5092" s="220">
        <f>SUM(I5092:M5093)</f>
        <v>897200</v>
      </c>
      <c r="O5092" s="224"/>
      <c r="P5092" s="110" t="s">
        <v>15325</v>
      </c>
      <c r="Q5092" s="15" t="s">
        <v>19</v>
      </c>
      <c r="R5092" s="205"/>
      <c r="S5092" s="189" t="s">
        <v>529</v>
      </c>
      <c r="T5092" s="114"/>
      <c r="U5092" s="21"/>
      <c r="V5092" s="115">
        <v>46057</v>
      </c>
      <c r="W5092" s="116">
        <v>1003</v>
      </c>
      <c r="X5092" s="220">
        <v>820000</v>
      </c>
      <c r="Y5092" s="220">
        <f>X5092*0.1</f>
        <v>82000</v>
      </c>
      <c r="Z5092" s="220">
        <v>8400</v>
      </c>
      <c r="AA5092" s="220">
        <f>SUM(X5092:Z5092)</f>
        <v>910400</v>
      </c>
      <c r="AB5092" s="222">
        <v>46062</v>
      </c>
    </row>
    <row r="5093" spans="1:28" ht="17.100000000000001" customHeight="1" thickBot="1">
      <c r="A5093" s="227"/>
      <c r="B5093" s="27" t="s">
        <v>1918</v>
      </c>
      <c r="C5093" s="27">
        <v>2528</v>
      </c>
      <c r="D5093" s="14" t="s">
        <v>1797</v>
      </c>
      <c r="E5093" s="229"/>
      <c r="F5093" s="117" t="s">
        <v>14809</v>
      </c>
      <c r="G5093" s="26">
        <v>4186</v>
      </c>
      <c r="H5093" s="231"/>
      <c r="I5093" s="221"/>
      <c r="J5093" s="221"/>
      <c r="K5093" s="221"/>
      <c r="L5093" s="221"/>
      <c r="M5093" s="221"/>
      <c r="N5093" s="221"/>
      <c r="O5093" s="225"/>
      <c r="P5093" s="118" t="s">
        <v>2947</v>
      </c>
      <c r="Q5093" s="16" t="s">
        <v>20</v>
      </c>
      <c r="R5093" s="17" t="s">
        <v>15265</v>
      </c>
      <c r="S5093" s="121" t="s">
        <v>169</v>
      </c>
      <c r="T5093" s="122"/>
      <c r="U5093" s="22"/>
      <c r="V5093" s="123" t="s">
        <v>2747</v>
      </c>
      <c r="W5093" s="122">
        <v>2015</v>
      </c>
      <c r="X5093" s="221"/>
      <c r="Y5093" s="221"/>
      <c r="Z5093" s="221"/>
      <c r="AA5093" s="221"/>
      <c r="AB5093" s="223"/>
    </row>
    <row r="5094" spans="1:28" ht="17.100000000000001" customHeight="1" thickTop="1">
      <c r="A5094" s="226" t="s">
        <v>14786</v>
      </c>
      <c r="B5094" s="28">
        <v>46037</v>
      </c>
      <c r="C5094" s="25">
        <v>2141</v>
      </c>
      <c r="D5094" s="13" t="s">
        <v>3332</v>
      </c>
      <c r="E5094" s="228"/>
      <c r="F5094" s="109" t="s">
        <v>14899</v>
      </c>
      <c r="G5094" s="24"/>
      <c r="H5094" s="230">
        <v>3.5</v>
      </c>
      <c r="I5094" s="220">
        <v>1092000</v>
      </c>
      <c r="J5094" s="220">
        <f>I5094*0.1</f>
        <v>109200</v>
      </c>
      <c r="K5094" s="220">
        <v>0</v>
      </c>
      <c r="L5094" s="220">
        <v>8550</v>
      </c>
      <c r="M5094" s="220">
        <v>14300</v>
      </c>
      <c r="N5094" s="220">
        <f>SUM(I5094:M5095)</f>
        <v>1224050</v>
      </c>
      <c r="O5094" s="224"/>
      <c r="P5094" s="110" t="s">
        <v>15322</v>
      </c>
      <c r="Q5094" s="15" t="s">
        <v>19</v>
      </c>
      <c r="R5094" s="205"/>
      <c r="S5094" s="189" t="s">
        <v>25386</v>
      </c>
      <c r="T5094" s="114"/>
      <c r="U5094" s="21"/>
      <c r="V5094" s="115">
        <v>46050</v>
      </c>
      <c r="W5094" s="116">
        <v>1002</v>
      </c>
      <c r="X5094" s="220">
        <v>1180000</v>
      </c>
      <c r="Y5094" s="220">
        <f>X5094*0.1</f>
        <v>118000</v>
      </c>
      <c r="Z5094" s="220">
        <v>8550</v>
      </c>
      <c r="AA5094" s="220">
        <f>SUM(X5094:Z5094)</f>
        <v>1306550</v>
      </c>
      <c r="AB5094" s="222">
        <v>46058</v>
      </c>
    </row>
    <row r="5095" spans="1:28" ht="17.100000000000001" customHeight="1" thickBot="1">
      <c r="A5095" s="227"/>
      <c r="B5095" s="27" t="s">
        <v>1918</v>
      </c>
      <c r="C5095" s="27">
        <v>2534</v>
      </c>
      <c r="D5095" s="14" t="s">
        <v>273</v>
      </c>
      <c r="E5095" s="229"/>
      <c r="F5095" s="117" t="s">
        <v>14810</v>
      </c>
      <c r="G5095" s="26">
        <v>21287</v>
      </c>
      <c r="H5095" s="231"/>
      <c r="I5095" s="221"/>
      <c r="J5095" s="221"/>
      <c r="K5095" s="221"/>
      <c r="L5095" s="221"/>
      <c r="M5095" s="221"/>
      <c r="N5095" s="221"/>
      <c r="O5095" s="225"/>
      <c r="P5095" s="118" t="s">
        <v>2404</v>
      </c>
      <c r="Q5095" s="16" t="s">
        <v>20</v>
      </c>
      <c r="R5095" s="17" t="s">
        <v>15265</v>
      </c>
      <c r="S5095" s="121"/>
      <c r="T5095" s="122"/>
      <c r="U5095" s="22"/>
      <c r="V5095" s="123" t="s">
        <v>7161</v>
      </c>
      <c r="W5095" s="122">
        <v>2015</v>
      </c>
      <c r="X5095" s="221"/>
      <c r="Y5095" s="221"/>
      <c r="Z5095" s="221"/>
      <c r="AA5095" s="221"/>
      <c r="AB5095" s="223"/>
    </row>
    <row r="5096" spans="1:28" ht="17.100000000000001" customHeight="1" thickTop="1">
      <c r="A5096" s="226" t="s">
        <v>14787</v>
      </c>
      <c r="B5096" s="28">
        <v>46037</v>
      </c>
      <c r="C5096" s="25">
        <v>2141</v>
      </c>
      <c r="D5096" s="13" t="s">
        <v>2441</v>
      </c>
      <c r="E5096" s="228"/>
      <c r="F5096" s="109" t="s">
        <v>14900</v>
      </c>
      <c r="G5096" s="24"/>
      <c r="H5096" s="230">
        <v>5</v>
      </c>
      <c r="I5096" s="220">
        <v>1179000</v>
      </c>
      <c r="J5096" s="220">
        <f>I5096*0.1</f>
        <v>117900</v>
      </c>
      <c r="K5096" s="220">
        <v>0</v>
      </c>
      <c r="L5096" s="220">
        <v>8350</v>
      </c>
      <c r="M5096" s="220">
        <v>14300</v>
      </c>
      <c r="N5096" s="220">
        <f>SUM(I5096:M5097)</f>
        <v>1319550</v>
      </c>
      <c r="O5096" s="224"/>
      <c r="P5096" s="110" t="s">
        <v>15284</v>
      </c>
      <c r="Q5096" s="15" t="s">
        <v>19</v>
      </c>
      <c r="R5096" s="205"/>
      <c r="S5096" s="189" t="s">
        <v>758</v>
      </c>
      <c r="T5096" s="114"/>
      <c r="U5096" s="21"/>
      <c r="V5096" s="115">
        <v>46042</v>
      </c>
      <c r="W5096" s="116">
        <v>1925</v>
      </c>
      <c r="X5096" s="220">
        <v>1216000</v>
      </c>
      <c r="Y5096" s="220">
        <f>X5096*0.1</f>
        <v>121600</v>
      </c>
      <c r="Z5096" s="220">
        <v>8350</v>
      </c>
      <c r="AA5096" s="220">
        <f>SUM(X5096:Z5096)</f>
        <v>1345950</v>
      </c>
      <c r="AB5096" s="222"/>
    </row>
    <row r="5097" spans="1:28" ht="17.100000000000001" customHeight="1" thickBot="1">
      <c r="A5097" s="227"/>
      <c r="B5097" s="27" t="s">
        <v>1918</v>
      </c>
      <c r="C5097" s="27">
        <v>2583</v>
      </c>
      <c r="D5097" s="14" t="s">
        <v>1584</v>
      </c>
      <c r="E5097" s="229"/>
      <c r="F5097" s="117" t="s">
        <v>14811</v>
      </c>
      <c r="G5097" s="26">
        <v>3927</v>
      </c>
      <c r="H5097" s="231"/>
      <c r="I5097" s="221"/>
      <c r="J5097" s="221"/>
      <c r="K5097" s="221"/>
      <c r="L5097" s="221"/>
      <c r="M5097" s="221"/>
      <c r="N5097" s="221"/>
      <c r="O5097" s="225"/>
      <c r="P5097" s="118" t="s">
        <v>2404</v>
      </c>
      <c r="Q5097" s="16" t="s">
        <v>20</v>
      </c>
      <c r="R5097" s="17" t="s">
        <v>15265</v>
      </c>
      <c r="S5097" s="121" t="s">
        <v>15262</v>
      </c>
      <c r="T5097" s="122"/>
      <c r="U5097" s="22"/>
      <c r="V5097" s="123" t="s">
        <v>2103</v>
      </c>
      <c r="W5097" s="122">
        <v>3243</v>
      </c>
      <c r="X5097" s="221"/>
      <c r="Y5097" s="221"/>
      <c r="Z5097" s="221"/>
      <c r="AA5097" s="221"/>
      <c r="AB5097" s="223"/>
    </row>
    <row r="5098" spans="1:28" ht="16.5" customHeight="1" thickTop="1">
      <c r="A5098" s="226" t="s">
        <v>14788</v>
      </c>
      <c r="B5098" s="28">
        <v>46037</v>
      </c>
      <c r="C5098" s="25">
        <v>2141</v>
      </c>
      <c r="D5098" s="13" t="s">
        <v>1578</v>
      </c>
      <c r="E5098" s="228"/>
      <c r="F5098" s="109" t="s">
        <v>14901</v>
      </c>
      <c r="G5098" s="24"/>
      <c r="H5098" s="230">
        <v>3.5</v>
      </c>
      <c r="I5098" s="220">
        <v>748000</v>
      </c>
      <c r="J5098" s="220">
        <f>I5098*0.1</f>
        <v>74800</v>
      </c>
      <c r="K5098" s="220">
        <v>0</v>
      </c>
      <c r="L5098" s="220">
        <v>9200</v>
      </c>
      <c r="M5098" s="220">
        <v>14300</v>
      </c>
      <c r="N5098" s="220">
        <f>SUM(I5098:M5099)</f>
        <v>846300</v>
      </c>
      <c r="O5098" s="224"/>
      <c r="P5098" s="110" t="s">
        <v>15318</v>
      </c>
      <c r="Q5098" s="15" t="s">
        <v>19</v>
      </c>
      <c r="R5098" s="205"/>
      <c r="S5098" s="189"/>
      <c r="T5098" s="114"/>
      <c r="U5098" s="21"/>
      <c r="V5098" s="115"/>
      <c r="W5098" s="116"/>
      <c r="X5098" s="220"/>
      <c r="Y5098" s="220">
        <f>X5098*0.1</f>
        <v>0</v>
      </c>
      <c r="Z5098" s="220"/>
      <c r="AA5098" s="220">
        <f>SUM(X5098:Z5098)</f>
        <v>0</v>
      </c>
      <c r="AB5098" s="222"/>
    </row>
    <row r="5099" spans="1:28" ht="17.100000000000001" customHeight="1" thickBot="1">
      <c r="A5099" s="227"/>
      <c r="B5099" s="27" t="s">
        <v>1918</v>
      </c>
      <c r="C5099" s="27">
        <v>2586</v>
      </c>
      <c r="D5099" s="14" t="s">
        <v>273</v>
      </c>
      <c r="E5099" s="229"/>
      <c r="F5099" s="117" t="s">
        <v>14812</v>
      </c>
      <c r="G5099" s="26">
        <v>56848</v>
      </c>
      <c r="H5099" s="231"/>
      <c r="I5099" s="221"/>
      <c r="J5099" s="221"/>
      <c r="K5099" s="221"/>
      <c r="L5099" s="221"/>
      <c r="M5099" s="221"/>
      <c r="N5099" s="221"/>
      <c r="O5099" s="225"/>
      <c r="P5099" s="118" t="s">
        <v>2947</v>
      </c>
      <c r="Q5099" s="16" t="s">
        <v>20</v>
      </c>
      <c r="R5099" s="17" t="s">
        <v>15265</v>
      </c>
      <c r="S5099" s="121" t="s">
        <v>9994</v>
      </c>
      <c r="T5099" s="122"/>
      <c r="U5099" s="22"/>
      <c r="V5099" s="123"/>
      <c r="W5099" s="122"/>
      <c r="X5099" s="221"/>
      <c r="Y5099" s="221"/>
      <c r="Z5099" s="221"/>
      <c r="AA5099" s="221"/>
      <c r="AB5099" s="223"/>
    </row>
    <row r="5100" spans="1:28" ht="17.100000000000001" customHeight="1" thickTop="1">
      <c r="A5100" s="226" t="s">
        <v>14789</v>
      </c>
      <c r="B5100" s="28">
        <v>46037</v>
      </c>
      <c r="C5100" s="25">
        <v>2141</v>
      </c>
      <c r="D5100" s="13" t="s">
        <v>1642</v>
      </c>
      <c r="E5100" s="228"/>
      <c r="F5100" s="109" t="s">
        <v>14902</v>
      </c>
      <c r="G5100" s="24"/>
      <c r="H5100" s="230">
        <v>4.5</v>
      </c>
      <c r="I5100" s="220">
        <v>1255000</v>
      </c>
      <c r="J5100" s="220">
        <f>I5100*0.1</f>
        <v>125500</v>
      </c>
      <c r="K5100" s="220">
        <v>0</v>
      </c>
      <c r="L5100" s="220">
        <v>8630</v>
      </c>
      <c r="M5100" s="220">
        <v>14300</v>
      </c>
      <c r="N5100" s="220">
        <f>SUM(I5100:M5101)</f>
        <v>1403430</v>
      </c>
      <c r="O5100" s="224"/>
      <c r="P5100" s="110" t="s">
        <v>15286</v>
      </c>
      <c r="Q5100" s="15" t="s">
        <v>19</v>
      </c>
      <c r="R5100" s="205"/>
      <c r="S5100" s="189" t="s">
        <v>758</v>
      </c>
      <c r="T5100" s="114"/>
      <c r="U5100" s="21"/>
      <c r="V5100" s="115">
        <v>46042</v>
      </c>
      <c r="W5100" s="116">
        <v>1925</v>
      </c>
      <c r="X5100" s="220">
        <v>1343000</v>
      </c>
      <c r="Y5100" s="220">
        <f>X5100*0.1</f>
        <v>134300</v>
      </c>
      <c r="Z5100" s="220">
        <v>8630</v>
      </c>
      <c r="AA5100" s="220">
        <f>SUM(X5100:Z5100)</f>
        <v>1485930</v>
      </c>
      <c r="AB5100" s="222"/>
    </row>
    <row r="5101" spans="1:28" ht="17.100000000000001" customHeight="1" thickBot="1">
      <c r="A5101" s="227"/>
      <c r="B5101" s="27" t="s">
        <v>1918</v>
      </c>
      <c r="C5101" s="27">
        <v>2594</v>
      </c>
      <c r="D5101" s="14" t="s">
        <v>2559</v>
      </c>
      <c r="E5101" s="229"/>
      <c r="F5101" s="117" t="s">
        <v>14813</v>
      </c>
      <c r="G5101" s="26">
        <v>19500</v>
      </c>
      <c r="H5101" s="231"/>
      <c r="I5101" s="221"/>
      <c r="J5101" s="221"/>
      <c r="K5101" s="221"/>
      <c r="L5101" s="221"/>
      <c r="M5101" s="221"/>
      <c r="N5101" s="221"/>
      <c r="O5101" s="225"/>
      <c r="P5101" s="118" t="s">
        <v>2404</v>
      </c>
      <c r="Q5101" s="16" t="s">
        <v>20</v>
      </c>
      <c r="R5101" s="17" t="s">
        <v>15265</v>
      </c>
      <c r="S5101" s="121" t="s">
        <v>15262</v>
      </c>
      <c r="T5101" s="122"/>
      <c r="U5101" s="22"/>
      <c r="V5101" s="123" t="s">
        <v>2103</v>
      </c>
      <c r="W5101" s="122">
        <v>3377</v>
      </c>
      <c r="X5101" s="221"/>
      <c r="Y5101" s="221"/>
      <c r="Z5101" s="221"/>
      <c r="AA5101" s="221"/>
      <c r="AB5101" s="223"/>
    </row>
    <row r="5102" spans="1:28" ht="17.100000000000001" customHeight="1" thickTop="1">
      <c r="A5102" s="226" t="s">
        <v>14790</v>
      </c>
      <c r="B5102" s="28">
        <v>46037</v>
      </c>
      <c r="C5102" s="25">
        <v>2141</v>
      </c>
      <c r="D5102" s="13" t="s">
        <v>1837</v>
      </c>
      <c r="E5102" s="228"/>
      <c r="F5102" s="109" t="s">
        <v>7495</v>
      </c>
      <c r="G5102" s="24"/>
      <c r="H5102" s="230">
        <v>4</v>
      </c>
      <c r="I5102" s="220">
        <v>753000</v>
      </c>
      <c r="J5102" s="220">
        <f>I5102*0.1</f>
        <v>75300</v>
      </c>
      <c r="K5102" s="220">
        <v>0</v>
      </c>
      <c r="L5102" s="220">
        <v>5340</v>
      </c>
      <c r="M5102" s="220">
        <v>14300</v>
      </c>
      <c r="N5102" s="220">
        <f>SUM(I5102:M5103)</f>
        <v>847940</v>
      </c>
      <c r="O5102" s="224"/>
      <c r="P5102" s="110" t="s">
        <v>15421</v>
      </c>
      <c r="Q5102" s="15" t="s">
        <v>19</v>
      </c>
      <c r="R5102" s="205"/>
      <c r="S5102" s="189" t="s">
        <v>1072</v>
      </c>
      <c r="T5102" s="114"/>
      <c r="U5102" s="21"/>
      <c r="V5102" s="115">
        <v>46043</v>
      </c>
      <c r="W5102" s="116">
        <v>1001</v>
      </c>
      <c r="X5102" s="220">
        <v>910000</v>
      </c>
      <c r="Y5102" s="220">
        <f>X5102*0.1</f>
        <v>91000</v>
      </c>
      <c r="Z5102" s="220">
        <v>5340</v>
      </c>
      <c r="AA5102" s="220">
        <f>SUM(X5102:Z5102)</f>
        <v>1006340</v>
      </c>
      <c r="AB5102" s="222">
        <v>46049</v>
      </c>
    </row>
    <row r="5103" spans="1:28" ht="17.100000000000001" customHeight="1" thickBot="1">
      <c r="A5103" s="227"/>
      <c r="B5103" s="27" t="s">
        <v>1918</v>
      </c>
      <c r="C5103" s="27">
        <v>2604</v>
      </c>
      <c r="D5103" s="14" t="s">
        <v>1627</v>
      </c>
      <c r="E5103" s="229"/>
      <c r="F5103" s="117" t="s">
        <v>14814</v>
      </c>
      <c r="G5103" s="26">
        <v>35249</v>
      </c>
      <c r="H5103" s="231"/>
      <c r="I5103" s="221"/>
      <c r="J5103" s="221"/>
      <c r="K5103" s="221"/>
      <c r="L5103" s="221"/>
      <c r="M5103" s="221"/>
      <c r="N5103" s="221"/>
      <c r="O5103" s="225"/>
      <c r="P5103" s="118" t="s">
        <v>4226</v>
      </c>
      <c r="Q5103" s="16" t="s">
        <v>20</v>
      </c>
      <c r="R5103" s="17" t="s">
        <v>15369</v>
      </c>
      <c r="S5103" s="121" t="s">
        <v>15422</v>
      </c>
      <c r="T5103" s="122"/>
      <c r="U5103" s="22"/>
      <c r="V5103" s="123" t="s">
        <v>2747</v>
      </c>
      <c r="W5103" s="122">
        <v>5087</v>
      </c>
      <c r="X5103" s="221"/>
      <c r="Y5103" s="221"/>
      <c r="Z5103" s="221"/>
      <c r="AA5103" s="221"/>
      <c r="AB5103" s="223"/>
    </row>
    <row r="5104" spans="1:28" ht="17.100000000000001" customHeight="1" thickTop="1">
      <c r="A5104" s="226" t="s">
        <v>14791</v>
      </c>
      <c r="B5104" s="28">
        <v>46037</v>
      </c>
      <c r="C5104" s="25">
        <v>2141</v>
      </c>
      <c r="D5104" s="13" t="s">
        <v>1947</v>
      </c>
      <c r="E5104" s="228"/>
      <c r="F5104" s="109" t="s">
        <v>14903</v>
      </c>
      <c r="G5104" s="24" t="s">
        <v>2871</v>
      </c>
      <c r="H5104" s="230">
        <v>4</v>
      </c>
      <c r="I5104" s="220">
        <v>957000</v>
      </c>
      <c r="J5104" s="220">
        <f>I5104*0.1</f>
        <v>95700</v>
      </c>
      <c r="K5104" s="220">
        <v>0</v>
      </c>
      <c r="L5104" s="220">
        <v>8630</v>
      </c>
      <c r="M5104" s="220">
        <v>14300</v>
      </c>
      <c r="N5104" s="220">
        <f>SUM(I5104:M5105)</f>
        <v>1075630</v>
      </c>
      <c r="O5104" s="224"/>
      <c r="P5104" s="110" t="s">
        <v>15419</v>
      </c>
      <c r="Q5104" s="15" t="s">
        <v>19</v>
      </c>
      <c r="R5104" s="205"/>
      <c r="S5104" s="189" t="s">
        <v>25690</v>
      </c>
      <c r="T5104" s="114"/>
      <c r="U5104" s="21"/>
      <c r="V5104" s="115">
        <v>46043</v>
      </c>
      <c r="W5104" s="116">
        <v>1001</v>
      </c>
      <c r="X5104" s="220">
        <v>1190000</v>
      </c>
      <c r="Y5104" s="220">
        <f>X5104*0.1</f>
        <v>119000</v>
      </c>
      <c r="Z5104" s="220">
        <v>8630</v>
      </c>
      <c r="AA5104" s="220">
        <f>SUM(X5104:Z5104)</f>
        <v>1317630</v>
      </c>
      <c r="AB5104" s="222">
        <v>46049</v>
      </c>
    </row>
    <row r="5105" spans="1:28" ht="17.100000000000001" customHeight="1" thickBot="1">
      <c r="A5105" s="227"/>
      <c r="B5105" s="27" t="s">
        <v>1918</v>
      </c>
      <c r="C5105" s="27">
        <v>2667</v>
      </c>
      <c r="D5105" s="14" t="s">
        <v>2559</v>
      </c>
      <c r="E5105" s="229"/>
      <c r="F5105" s="117" t="s">
        <v>14815</v>
      </c>
      <c r="G5105" s="26">
        <v>15071</v>
      </c>
      <c r="H5105" s="231"/>
      <c r="I5105" s="221"/>
      <c r="J5105" s="221"/>
      <c r="K5105" s="221"/>
      <c r="L5105" s="221"/>
      <c r="M5105" s="221"/>
      <c r="N5105" s="221"/>
      <c r="O5105" s="225"/>
      <c r="P5105" s="118" t="s">
        <v>4226</v>
      </c>
      <c r="Q5105" s="16" t="s">
        <v>20</v>
      </c>
      <c r="R5105" s="17" t="s">
        <v>15369</v>
      </c>
      <c r="S5105" s="121" t="s">
        <v>15420</v>
      </c>
      <c r="T5105" s="122"/>
      <c r="U5105" s="22"/>
      <c r="V5105" s="123" t="s">
        <v>2747</v>
      </c>
      <c r="W5105" s="122">
        <v>5090</v>
      </c>
      <c r="X5105" s="221"/>
      <c r="Y5105" s="221"/>
      <c r="Z5105" s="221"/>
      <c r="AA5105" s="221"/>
      <c r="AB5105" s="223"/>
    </row>
    <row r="5106" spans="1:28" ht="17.100000000000001" customHeight="1" thickTop="1">
      <c r="A5106" s="226" t="s">
        <v>14792</v>
      </c>
      <c r="B5106" s="28">
        <v>46037</v>
      </c>
      <c r="C5106" s="25">
        <v>2141</v>
      </c>
      <c r="D5106" s="13" t="s">
        <v>2203</v>
      </c>
      <c r="E5106" s="228"/>
      <c r="F5106" s="109" t="s">
        <v>14904</v>
      </c>
      <c r="G5106" s="24" t="s">
        <v>3345</v>
      </c>
      <c r="H5106" s="230">
        <v>4.5</v>
      </c>
      <c r="I5106" s="220">
        <v>1030000</v>
      </c>
      <c r="J5106" s="220">
        <f>I5106*0.1</f>
        <v>103000</v>
      </c>
      <c r="K5106" s="220">
        <v>0</v>
      </c>
      <c r="L5106" s="220">
        <v>7510</v>
      </c>
      <c r="M5106" s="220">
        <v>14300</v>
      </c>
      <c r="N5106" s="220">
        <f>SUM(I5106:M5107)</f>
        <v>1154810</v>
      </c>
      <c r="O5106" s="224"/>
      <c r="P5106" s="110" t="s">
        <v>14905</v>
      </c>
      <c r="Q5106" s="15" t="s">
        <v>19</v>
      </c>
      <c r="R5106" s="205"/>
      <c r="S5106" s="189" t="s">
        <v>758</v>
      </c>
      <c r="T5106" s="114"/>
      <c r="U5106" s="21"/>
      <c r="V5106" s="115">
        <v>46095</v>
      </c>
      <c r="W5106" s="116">
        <v>1292</v>
      </c>
      <c r="X5106" s="220">
        <v>1030000</v>
      </c>
      <c r="Y5106" s="220">
        <f>X5106*0.1</f>
        <v>103000</v>
      </c>
      <c r="Z5106" s="220">
        <v>7510</v>
      </c>
      <c r="AA5106" s="220">
        <f>SUM(X5106:Z5106)</f>
        <v>1140510</v>
      </c>
      <c r="AB5106" s="222">
        <v>46098</v>
      </c>
    </row>
    <row r="5107" spans="1:28" ht="17.100000000000001" customHeight="1" thickBot="1">
      <c r="A5107" s="227"/>
      <c r="B5107" s="27" t="s">
        <v>1918</v>
      </c>
      <c r="C5107" s="27">
        <v>2738</v>
      </c>
      <c r="D5107" s="14" t="s">
        <v>2559</v>
      </c>
      <c r="E5107" s="229"/>
      <c r="F5107" s="117" t="s">
        <v>14816</v>
      </c>
      <c r="G5107" s="26">
        <v>26560</v>
      </c>
      <c r="H5107" s="231"/>
      <c r="I5107" s="221"/>
      <c r="J5107" s="221"/>
      <c r="K5107" s="221"/>
      <c r="L5107" s="221"/>
      <c r="M5107" s="221"/>
      <c r="N5107" s="221"/>
      <c r="O5107" s="225"/>
      <c r="P5107" s="118" t="s">
        <v>15317</v>
      </c>
      <c r="Q5107" s="16" t="s">
        <v>20</v>
      </c>
      <c r="R5107" s="17" t="s">
        <v>15265</v>
      </c>
      <c r="S5107" s="121" t="s">
        <v>169</v>
      </c>
      <c r="T5107" s="122"/>
      <c r="U5107" s="22"/>
      <c r="V5107" s="123" t="s">
        <v>2472</v>
      </c>
      <c r="W5107" s="122">
        <v>60095</v>
      </c>
      <c r="X5107" s="221"/>
      <c r="Y5107" s="221"/>
      <c r="Z5107" s="221"/>
      <c r="AA5107" s="221"/>
      <c r="AB5107" s="223"/>
    </row>
    <row r="5108" spans="1:28" ht="17.100000000000001" customHeight="1" thickTop="1">
      <c r="A5108" s="226" t="s">
        <v>14793</v>
      </c>
      <c r="B5108" s="28">
        <v>46037</v>
      </c>
      <c r="C5108" s="25">
        <v>2141</v>
      </c>
      <c r="D5108" s="13" t="s">
        <v>3406</v>
      </c>
      <c r="E5108" s="228"/>
      <c r="F5108" s="109" t="s">
        <v>14906</v>
      </c>
      <c r="G5108" s="24"/>
      <c r="H5108" s="230">
        <v>4.5</v>
      </c>
      <c r="I5108" s="220">
        <v>1404000</v>
      </c>
      <c r="J5108" s="220">
        <f>I5108*0.1</f>
        <v>140400</v>
      </c>
      <c r="K5108" s="220">
        <v>0</v>
      </c>
      <c r="L5108" s="220">
        <v>8630</v>
      </c>
      <c r="M5108" s="220">
        <v>14300</v>
      </c>
      <c r="N5108" s="220">
        <f>SUM(I5108:M5109)</f>
        <v>1567330</v>
      </c>
      <c r="O5108" s="224"/>
      <c r="P5108" s="110" t="s">
        <v>15285</v>
      </c>
      <c r="Q5108" s="15" t="s">
        <v>19</v>
      </c>
      <c r="R5108" s="205"/>
      <c r="S5108" s="189" t="s">
        <v>25691</v>
      </c>
      <c r="T5108" s="114"/>
      <c r="U5108" s="21"/>
      <c r="V5108" s="115">
        <v>46042</v>
      </c>
      <c r="W5108" s="116">
        <v>1925</v>
      </c>
      <c r="X5108" s="220">
        <v>1440000</v>
      </c>
      <c r="Y5108" s="220">
        <f>X5108*0.1</f>
        <v>144000</v>
      </c>
      <c r="Z5108" s="220">
        <v>8630</v>
      </c>
      <c r="AA5108" s="220">
        <f>SUM(X5108:Z5108)</f>
        <v>1592630</v>
      </c>
      <c r="AB5108" s="222"/>
    </row>
    <row r="5109" spans="1:28" ht="17.100000000000001" customHeight="1" thickBot="1">
      <c r="A5109" s="227"/>
      <c r="B5109" s="27" t="s">
        <v>1918</v>
      </c>
      <c r="C5109" s="27">
        <v>2739</v>
      </c>
      <c r="D5109" s="14" t="s">
        <v>2753</v>
      </c>
      <c r="E5109" s="229"/>
      <c r="F5109" s="117" t="s">
        <v>14817</v>
      </c>
      <c r="G5109" s="26">
        <v>9512</v>
      </c>
      <c r="H5109" s="231"/>
      <c r="I5109" s="221"/>
      <c r="J5109" s="221"/>
      <c r="K5109" s="221"/>
      <c r="L5109" s="221"/>
      <c r="M5109" s="221"/>
      <c r="N5109" s="221"/>
      <c r="O5109" s="225"/>
      <c r="P5109" s="118" t="s">
        <v>4608</v>
      </c>
      <c r="Q5109" s="16" t="s">
        <v>20</v>
      </c>
      <c r="R5109" s="17" t="s">
        <v>15265</v>
      </c>
      <c r="S5109" s="121" t="s">
        <v>1661</v>
      </c>
      <c r="T5109" s="122"/>
      <c r="U5109" s="22"/>
      <c r="V5109" s="123" t="s">
        <v>2103</v>
      </c>
      <c r="W5109" s="122">
        <v>3245</v>
      </c>
      <c r="X5109" s="221"/>
      <c r="Y5109" s="221"/>
      <c r="Z5109" s="221"/>
      <c r="AA5109" s="221"/>
      <c r="AB5109" s="223"/>
    </row>
    <row r="5110" spans="1:28" ht="17.100000000000001" customHeight="1" thickTop="1">
      <c r="A5110" s="226" t="s">
        <v>14794</v>
      </c>
      <c r="B5110" s="28">
        <v>46037</v>
      </c>
      <c r="C5110" s="25">
        <v>2141</v>
      </c>
      <c r="D5110" s="13" t="s">
        <v>2195</v>
      </c>
      <c r="E5110" s="228"/>
      <c r="F5110" s="109" t="s">
        <v>14907</v>
      </c>
      <c r="G5110" s="24"/>
      <c r="H5110" s="230">
        <v>4.5</v>
      </c>
      <c r="I5110" s="220">
        <v>1375000</v>
      </c>
      <c r="J5110" s="220">
        <f>I5110*0.1</f>
        <v>137500</v>
      </c>
      <c r="K5110" s="220">
        <v>0</v>
      </c>
      <c r="L5110" s="220">
        <v>8630</v>
      </c>
      <c r="M5110" s="220">
        <v>14300</v>
      </c>
      <c r="N5110" s="220">
        <f>SUM(I5110:M5111)</f>
        <v>1535430</v>
      </c>
      <c r="O5110" s="224"/>
      <c r="P5110" s="110" t="s">
        <v>15283</v>
      </c>
      <c r="Q5110" s="15" t="s">
        <v>19</v>
      </c>
      <c r="R5110" s="205"/>
      <c r="S5110" s="189" t="s">
        <v>758</v>
      </c>
      <c r="T5110" s="114"/>
      <c r="U5110" s="21"/>
      <c r="V5110" s="115">
        <v>46042</v>
      </c>
      <c r="W5110" s="116">
        <v>1925</v>
      </c>
      <c r="X5110" s="220">
        <v>1410000</v>
      </c>
      <c r="Y5110" s="220">
        <f>X5110*0.1</f>
        <v>141000</v>
      </c>
      <c r="Z5110" s="220">
        <v>8630</v>
      </c>
      <c r="AA5110" s="220">
        <f>SUM(X5110:Z5110)</f>
        <v>1559630</v>
      </c>
      <c r="AB5110" s="222"/>
    </row>
    <row r="5111" spans="1:28" ht="17.100000000000001" customHeight="1" thickBot="1">
      <c r="A5111" s="227"/>
      <c r="B5111" s="27" t="s">
        <v>1918</v>
      </c>
      <c r="C5111" s="27">
        <v>2760</v>
      </c>
      <c r="D5111" s="14" t="s">
        <v>273</v>
      </c>
      <c r="E5111" s="229"/>
      <c r="F5111" s="117" t="s">
        <v>14818</v>
      </c>
      <c r="G5111" s="26">
        <v>15605</v>
      </c>
      <c r="H5111" s="231"/>
      <c r="I5111" s="221"/>
      <c r="J5111" s="221"/>
      <c r="K5111" s="221"/>
      <c r="L5111" s="221"/>
      <c r="M5111" s="221"/>
      <c r="N5111" s="221"/>
      <c r="O5111" s="225"/>
      <c r="P5111" s="118" t="s">
        <v>2404</v>
      </c>
      <c r="Q5111" s="16" t="s">
        <v>20</v>
      </c>
      <c r="R5111" s="17" t="s">
        <v>15265</v>
      </c>
      <c r="S5111" s="121" t="s">
        <v>15262</v>
      </c>
      <c r="T5111" s="122"/>
      <c r="U5111" s="22"/>
      <c r="V5111" s="123" t="s">
        <v>2103</v>
      </c>
      <c r="W5111" s="122">
        <v>3241</v>
      </c>
      <c r="X5111" s="221"/>
      <c r="Y5111" s="221"/>
      <c r="Z5111" s="221"/>
      <c r="AA5111" s="221"/>
      <c r="AB5111" s="223"/>
    </row>
    <row r="5112" spans="1:28" ht="17.100000000000001" customHeight="1" thickTop="1">
      <c r="A5112" s="226" t="s">
        <v>14795</v>
      </c>
      <c r="B5112" s="28">
        <v>46037</v>
      </c>
      <c r="C5112" s="25">
        <v>2141</v>
      </c>
      <c r="D5112" s="13" t="s">
        <v>2920</v>
      </c>
      <c r="E5112" s="228"/>
      <c r="F5112" s="109" t="s">
        <v>14908</v>
      </c>
      <c r="G5112" s="24" t="s">
        <v>4038</v>
      </c>
      <c r="H5112" s="230">
        <v>4.5</v>
      </c>
      <c r="I5112" s="220">
        <v>913000</v>
      </c>
      <c r="J5112" s="220">
        <f>I5112*0.1</f>
        <v>91300</v>
      </c>
      <c r="K5112" s="220">
        <v>0</v>
      </c>
      <c r="L5112" s="220">
        <v>7150</v>
      </c>
      <c r="M5112" s="220">
        <v>14300</v>
      </c>
      <c r="N5112" s="220">
        <f>SUM(I5112:M5113)</f>
        <v>1025750</v>
      </c>
      <c r="O5112" s="224"/>
      <c r="P5112" s="110" t="s">
        <v>14909</v>
      </c>
      <c r="Q5112" s="15" t="s">
        <v>19</v>
      </c>
      <c r="R5112" s="205"/>
      <c r="S5112" s="189" t="s">
        <v>758</v>
      </c>
      <c r="T5112" s="114"/>
      <c r="U5112" s="21" t="s">
        <v>17817</v>
      </c>
      <c r="V5112" s="115">
        <v>46099</v>
      </c>
      <c r="W5112" s="116">
        <v>1009</v>
      </c>
      <c r="X5112" s="220">
        <v>1050000</v>
      </c>
      <c r="Y5112" s="220">
        <f>X5112*0.1</f>
        <v>105000</v>
      </c>
      <c r="Z5112" s="220">
        <v>7150</v>
      </c>
      <c r="AA5112" s="220">
        <f>SUM(X5112:Z5112)</f>
        <v>1162150</v>
      </c>
      <c r="AB5112" s="222">
        <v>46105</v>
      </c>
    </row>
    <row r="5113" spans="1:28" ht="17.100000000000001" customHeight="1" thickBot="1">
      <c r="A5113" s="227"/>
      <c r="B5113" s="27" t="s">
        <v>1918</v>
      </c>
      <c r="C5113" s="27">
        <v>2777</v>
      </c>
      <c r="D5113" s="14" t="s">
        <v>1797</v>
      </c>
      <c r="E5113" s="229"/>
      <c r="F5113" s="117" t="s">
        <v>14819</v>
      </c>
      <c r="G5113" s="26">
        <v>37128</v>
      </c>
      <c r="H5113" s="231"/>
      <c r="I5113" s="221"/>
      <c r="J5113" s="221"/>
      <c r="K5113" s="221"/>
      <c r="L5113" s="221"/>
      <c r="M5113" s="221"/>
      <c r="N5113" s="221"/>
      <c r="O5113" s="225"/>
      <c r="P5113" s="118" t="s">
        <v>15735</v>
      </c>
      <c r="Q5113" s="16" t="s">
        <v>20</v>
      </c>
      <c r="R5113" s="17" t="s">
        <v>2600</v>
      </c>
      <c r="S5113" s="121" t="s">
        <v>18181</v>
      </c>
      <c r="T5113" s="122"/>
      <c r="U5113" s="22"/>
      <c r="V5113" s="123" t="s">
        <v>8877</v>
      </c>
      <c r="W5113" s="122">
        <v>2016</v>
      </c>
      <c r="X5113" s="221"/>
      <c r="Y5113" s="221"/>
      <c r="Z5113" s="221"/>
      <c r="AA5113" s="221"/>
      <c r="AB5113" s="223"/>
    </row>
    <row r="5114" spans="1:28" ht="17.100000000000001" customHeight="1" thickTop="1">
      <c r="A5114" s="226" t="s">
        <v>14796</v>
      </c>
      <c r="B5114" s="28">
        <v>46038</v>
      </c>
      <c r="C5114" s="25">
        <v>84</v>
      </c>
      <c r="D5114" s="13" t="s">
        <v>1598</v>
      </c>
      <c r="E5114" s="228"/>
      <c r="F5114" s="109" t="s">
        <v>7139</v>
      </c>
      <c r="G5114" s="24" t="s">
        <v>2536</v>
      </c>
      <c r="H5114" s="230">
        <v>4</v>
      </c>
      <c r="I5114" s="220">
        <v>745000</v>
      </c>
      <c r="J5114" s="220">
        <f>I5114*0.1</f>
        <v>74500</v>
      </c>
      <c r="K5114" s="220">
        <v>6270</v>
      </c>
      <c r="L5114" s="220">
        <v>10360</v>
      </c>
      <c r="M5114" s="220">
        <v>33000</v>
      </c>
      <c r="N5114" s="220">
        <f>SUM(I5114:M5115)</f>
        <v>869130</v>
      </c>
      <c r="O5114" s="224"/>
      <c r="P5114" s="110" t="s">
        <v>15414</v>
      </c>
      <c r="Q5114" s="15" t="s">
        <v>19</v>
      </c>
      <c r="R5114" s="205"/>
      <c r="S5114" s="189" t="s">
        <v>25692</v>
      </c>
      <c r="T5114" s="114"/>
      <c r="U5114" s="21"/>
      <c r="V5114" s="115">
        <v>46050</v>
      </c>
      <c r="W5114" s="116">
        <v>1002</v>
      </c>
      <c r="X5114" s="220">
        <v>865000</v>
      </c>
      <c r="Y5114" s="220">
        <f>X5114*0.1</f>
        <v>86500</v>
      </c>
      <c r="Z5114" s="220">
        <v>10360</v>
      </c>
      <c r="AA5114" s="220">
        <f>SUM(X5114:Z5114)</f>
        <v>961860</v>
      </c>
      <c r="AB5114" s="222">
        <v>46055</v>
      </c>
    </row>
    <row r="5115" spans="1:28" ht="17.100000000000001" customHeight="1" thickBot="1">
      <c r="A5115" s="227"/>
      <c r="B5115" s="27" t="s">
        <v>4468</v>
      </c>
      <c r="C5115" s="27">
        <v>1034</v>
      </c>
      <c r="D5115" s="14" t="s">
        <v>1797</v>
      </c>
      <c r="E5115" s="229"/>
      <c r="F5115" s="117" t="s">
        <v>14837</v>
      </c>
      <c r="G5115" s="26">
        <v>49145</v>
      </c>
      <c r="H5115" s="231"/>
      <c r="I5115" s="221"/>
      <c r="J5115" s="221"/>
      <c r="K5115" s="221"/>
      <c r="L5115" s="221"/>
      <c r="M5115" s="221"/>
      <c r="N5115" s="221"/>
      <c r="O5115" s="225"/>
      <c r="P5115" s="118" t="s">
        <v>15415</v>
      </c>
      <c r="Q5115" s="16" t="s">
        <v>20</v>
      </c>
      <c r="R5115" s="17" t="s">
        <v>15369</v>
      </c>
      <c r="S5115" s="121" t="s">
        <v>169</v>
      </c>
      <c r="T5115" s="122"/>
      <c r="U5115" s="22"/>
      <c r="V5115" s="123" t="s">
        <v>2747</v>
      </c>
      <c r="W5115" s="122">
        <v>1268</v>
      </c>
      <c r="X5115" s="221"/>
      <c r="Y5115" s="221"/>
      <c r="Z5115" s="221"/>
      <c r="AA5115" s="221"/>
      <c r="AB5115" s="223"/>
    </row>
    <row r="5116" spans="1:28" ht="17.100000000000001" customHeight="1" thickTop="1">
      <c r="A5116" s="226" t="s">
        <v>14797</v>
      </c>
      <c r="B5116" s="28">
        <v>46038</v>
      </c>
      <c r="C5116" s="25">
        <v>84</v>
      </c>
      <c r="D5116" s="13" t="s">
        <v>2033</v>
      </c>
      <c r="E5116" s="228"/>
      <c r="F5116" s="109" t="s">
        <v>14910</v>
      </c>
      <c r="G5116" s="24" t="s">
        <v>4025</v>
      </c>
      <c r="H5116" s="230">
        <v>3.5</v>
      </c>
      <c r="I5116" s="220">
        <v>1150000</v>
      </c>
      <c r="J5116" s="220">
        <f>I5116*0.1</f>
        <v>115000</v>
      </c>
      <c r="K5116" s="220">
        <v>4070</v>
      </c>
      <c r="L5116" s="220">
        <v>15740</v>
      </c>
      <c r="M5116" s="220">
        <v>44000</v>
      </c>
      <c r="N5116" s="220">
        <f>SUM(I5116:M5117)</f>
        <v>1328810</v>
      </c>
      <c r="O5116" s="224"/>
      <c r="P5116" s="110" t="s">
        <v>16542</v>
      </c>
      <c r="Q5116" s="15" t="s">
        <v>19</v>
      </c>
      <c r="R5116" s="205"/>
      <c r="S5116" s="189" t="s">
        <v>25693</v>
      </c>
      <c r="T5116" s="114"/>
      <c r="U5116" s="21"/>
      <c r="V5116" s="115">
        <v>46064</v>
      </c>
      <c r="W5116" s="116">
        <v>1004</v>
      </c>
      <c r="X5116" s="220">
        <v>1415000</v>
      </c>
      <c r="Y5116" s="220">
        <f>X5116*0.1</f>
        <v>141500</v>
      </c>
      <c r="Z5116" s="220">
        <v>15740</v>
      </c>
      <c r="AA5116" s="220">
        <f>SUM(X5116:Z5116)</f>
        <v>1572240</v>
      </c>
      <c r="AB5116" s="222">
        <v>46069</v>
      </c>
    </row>
    <row r="5117" spans="1:28" ht="17.100000000000001" customHeight="1" thickBot="1">
      <c r="A5117" s="227"/>
      <c r="B5117" s="27" t="s">
        <v>4468</v>
      </c>
      <c r="C5117" s="27">
        <v>1042</v>
      </c>
      <c r="D5117" s="14" t="s">
        <v>273</v>
      </c>
      <c r="E5117" s="229"/>
      <c r="F5117" s="117" t="s">
        <v>14838</v>
      </c>
      <c r="G5117" s="26">
        <v>57874</v>
      </c>
      <c r="H5117" s="231"/>
      <c r="I5117" s="221"/>
      <c r="J5117" s="221"/>
      <c r="K5117" s="221"/>
      <c r="L5117" s="221"/>
      <c r="M5117" s="221"/>
      <c r="N5117" s="221"/>
      <c r="O5117" s="225"/>
      <c r="P5117" s="118" t="s">
        <v>16543</v>
      </c>
      <c r="Q5117" s="16" t="s">
        <v>20</v>
      </c>
      <c r="R5117" s="17" t="s">
        <v>3739</v>
      </c>
      <c r="S5117" s="121" t="s">
        <v>2647</v>
      </c>
      <c r="T5117" s="122"/>
      <c r="U5117" s="22"/>
      <c r="V5117" s="123" t="s">
        <v>2747</v>
      </c>
      <c r="W5117" s="122">
        <v>1127</v>
      </c>
      <c r="X5117" s="221"/>
      <c r="Y5117" s="221"/>
      <c r="Z5117" s="221"/>
      <c r="AA5117" s="221"/>
      <c r="AB5117" s="223"/>
    </row>
    <row r="5118" spans="1:28" ht="17.100000000000001" customHeight="1" thickTop="1">
      <c r="A5118" s="226" t="s">
        <v>14798</v>
      </c>
      <c r="B5118" s="28">
        <v>46038</v>
      </c>
      <c r="C5118" s="25">
        <v>84</v>
      </c>
      <c r="D5118" s="13" t="s">
        <v>1678</v>
      </c>
      <c r="E5118" s="228"/>
      <c r="F5118" s="109" t="s">
        <v>14911</v>
      </c>
      <c r="G5118" s="24" t="s">
        <v>3345</v>
      </c>
      <c r="H5118" s="230">
        <v>4.5</v>
      </c>
      <c r="I5118" s="220">
        <v>2800000</v>
      </c>
      <c r="J5118" s="220">
        <f>I5118*0.1</f>
        <v>280000</v>
      </c>
      <c r="K5118" s="220">
        <v>5170</v>
      </c>
      <c r="L5118" s="220">
        <v>15890</v>
      </c>
      <c r="M5118" s="220">
        <v>66000</v>
      </c>
      <c r="N5118" s="220">
        <f>SUM(I5118:M5119)</f>
        <v>3167060</v>
      </c>
      <c r="O5118" s="224"/>
      <c r="P5118" s="110" t="s">
        <v>17872</v>
      </c>
      <c r="Q5118" s="15" t="s">
        <v>19</v>
      </c>
      <c r="R5118" s="205"/>
      <c r="S5118" s="189" t="s">
        <v>25694</v>
      </c>
      <c r="T5118" s="114"/>
      <c r="U5118" s="21"/>
      <c r="V5118" s="115">
        <v>46078</v>
      </c>
      <c r="W5118" s="116">
        <v>1006</v>
      </c>
      <c r="X5118" s="220">
        <v>2840000</v>
      </c>
      <c r="Y5118" s="220">
        <f>X5118*0.1</f>
        <v>284000</v>
      </c>
      <c r="Z5118" s="220">
        <v>15890</v>
      </c>
      <c r="AA5118" s="220">
        <f>SUM(X5118:Z5118)</f>
        <v>3139890</v>
      </c>
      <c r="AB5118" s="222">
        <v>46083</v>
      </c>
    </row>
    <row r="5119" spans="1:28" ht="17.100000000000001" customHeight="1" thickBot="1">
      <c r="A5119" s="227"/>
      <c r="B5119" s="27" t="s">
        <v>4468</v>
      </c>
      <c r="C5119" s="27">
        <v>1059</v>
      </c>
      <c r="D5119" s="14" t="s">
        <v>273</v>
      </c>
      <c r="E5119" s="229"/>
      <c r="F5119" s="117" t="s">
        <v>14839</v>
      </c>
      <c r="G5119" s="26">
        <v>29208</v>
      </c>
      <c r="H5119" s="231"/>
      <c r="I5119" s="221"/>
      <c r="J5119" s="221"/>
      <c r="K5119" s="221"/>
      <c r="L5119" s="221"/>
      <c r="M5119" s="221"/>
      <c r="N5119" s="221"/>
      <c r="O5119" s="225"/>
      <c r="P5119" s="118" t="s">
        <v>17873</v>
      </c>
      <c r="Q5119" s="16" t="s">
        <v>20</v>
      </c>
      <c r="R5119" s="17" t="s">
        <v>17871</v>
      </c>
      <c r="S5119" s="121" t="s">
        <v>9318</v>
      </c>
      <c r="T5119" s="122"/>
      <c r="U5119" s="22"/>
      <c r="V5119" s="123" t="s">
        <v>2747</v>
      </c>
      <c r="W5119" s="122">
        <v>1144</v>
      </c>
      <c r="X5119" s="221"/>
      <c r="Y5119" s="221"/>
      <c r="Z5119" s="221"/>
      <c r="AA5119" s="221"/>
      <c r="AB5119" s="223"/>
    </row>
    <row r="5120" spans="1:28" ht="17.100000000000001" customHeight="1" thickTop="1">
      <c r="A5120" s="233" t="s">
        <v>14799</v>
      </c>
      <c r="B5120" s="28">
        <v>46038</v>
      </c>
      <c r="C5120" s="25">
        <v>84</v>
      </c>
      <c r="D5120" s="13" t="s">
        <v>1687</v>
      </c>
      <c r="E5120" s="228"/>
      <c r="F5120" s="109" t="s">
        <v>19401</v>
      </c>
      <c r="G5120" s="24" t="s">
        <v>4038</v>
      </c>
      <c r="H5120" s="230">
        <v>4.5</v>
      </c>
      <c r="I5120" s="220">
        <v>1190000</v>
      </c>
      <c r="J5120" s="220">
        <f>I5120*0.1</f>
        <v>119000</v>
      </c>
      <c r="K5120" s="220">
        <v>0</v>
      </c>
      <c r="L5120" s="220">
        <v>8130</v>
      </c>
      <c r="M5120" s="220">
        <v>44000</v>
      </c>
      <c r="N5120" s="220">
        <f>SUM(I5120:M5121)</f>
        <v>1361130</v>
      </c>
      <c r="O5120" s="224"/>
      <c r="P5120" s="110"/>
      <c r="Q5120" s="15" t="s">
        <v>19</v>
      </c>
      <c r="R5120" s="205"/>
      <c r="S5120" s="189" t="s">
        <v>25695</v>
      </c>
      <c r="T5120" s="114" t="s">
        <v>7899</v>
      </c>
      <c r="U5120" s="21"/>
      <c r="V5120" s="115"/>
      <c r="W5120" s="116"/>
      <c r="X5120" s="220"/>
      <c r="Y5120" s="220">
        <f>X5120*0.1</f>
        <v>0</v>
      </c>
      <c r="Z5120" s="220"/>
      <c r="AA5120" s="220">
        <f>SUM(X5120:Z5120)</f>
        <v>0</v>
      </c>
      <c r="AB5120" s="222"/>
    </row>
    <row r="5121" spans="1:28" ht="17.100000000000001" customHeight="1" thickBot="1">
      <c r="A5121" s="234"/>
      <c r="B5121" s="27" t="s">
        <v>4468</v>
      </c>
      <c r="C5121" s="27">
        <v>1091</v>
      </c>
      <c r="D5121" s="14" t="s">
        <v>1627</v>
      </c>
      <c r="E5121" s="229"/>
      <c r="F5121" s="117" t="s">
        <v>14840</v>
      </c>
      <c r="G5121" s="26">
        <v>7044</v>
      </c>
      <c r="H5121" s="231"/>
      <c r="I5121" s="221"/>
      <c r="J5121" s="221"/>
      <c r="K5121" s="221"/>
      <c r="L5121" s="221"/>
      <c r="M5121" s="221"/>
      <c r="N5121" s="221"/>
      <c r="O5121" s="225"/>
      <c r="P5121" s="118"/>
      <c r="Q5121" s="16" t="s">
        <v>20</v>
      </c>
      <c r="R5121" s="17" t="s">
        <v>10331</v>
      </c>
      <c r="S5121" s="121"/>
      <c r="T5121" s="122"/>
      <c r="U5121" s="22"/>
      <c r="V5121" s="123"/>
      <c r="W5121" s="122"/>
      <c r="X5121" s="221"/>
      <c r="Y5121" s="221"/>
      <c r="Z5121" s="221"/>
      <c r="AA5121" s="221"/>
      <c r="AB5121" s="223"/>
    </row>
    <row r="5122" spans="1:28" ht="17.100000000000001" customHeight="1" thickTop="1">
      <c r="A5122" s="226" t="s">
        <v>14800</v>
      </c>
      <c r="B5122" s="28">
        <v>46038</v>
      </c>
      <c r="C5122" s="25">
        <v>84</v>
      </c>
      <c r="D5122" s="13" t="s">
        <v>2167</v>
      </c>
      <c r="E5122" s="228"/>
      <c r="F5122" s="109" t="s">
        <v>14841</v>
      </c>
      <c r="G5122" s="24" t="s">
        <v>2907</v>
      </c>
      <c r="H5122" s="230">
        <v>4</v>
      </c>
      <c r="I5122" s="220">
        <v>510000</v>
      </c>
      <c r="J5122" s="220">
        <f>I5122*0.1</f>
        <v>51000</v>
      </c>
      <c r="K5122" s="220">
        <v>0</v>
      </c>
      <c r="L5122" s="220">
        <v>8060</v>
      </c>
      <c r="M5122" s="220">
        <v>33000</v>
      </c>
      <c r="N5122" s="220">
        <f>SUM(I5122:M5123)</f>
        <v>602060</v>
      </c>
      <c r="O5122" s="224"/>
      <c r="P5122" s="110" t="s">
        <v>17692</v>
      </c>
      <c r="Q5122" s="15" t="s">
        <v>19</v>
      </c>
      <c r="R5122" s="205"/>
      <c r="S5122" s="189" t="s">
        <v>25696</v>
      </c>
      <c r="T5122" s="114"/>
      <c r="U5122" s="21" t="s">
        <v>17796</v>
      </c>
      <c r="V5122" s="115">
        <v>46067</v>
      </c>
      <c r="W5122" s="116">
        <v>1288</v>
      </c>
      <c r="X5122" s="220">
        <v>610000</v>
      </c>
      <c r="Y5122" s="220">
        <f>X5122*0.1</f>
        <v>61000</v>
      </c>
      <c r="Z5122" s="220">
        <v>8060</v>
      </c>
      <c r="AA5122" s="220">
        <f>SUM(X5122:Z5122)</f>
        <v>679060</v>
      </c>
      <c r="AB5122" s="222">
        <v>46073</v>
      </c>
    </row>
    <row r="5123" spans="1:28" ht="17.100000000000001" customHeight="1" thickBot="1">
      <c r="A5123" s="227"/>
      <c r="B5123" s="27" t="s">
        <v>4468</v>
      </c>
      <c r="C5123" s="27">
        <v>1096</v>
      </c>
      <c r="D5123" s="14" t="s">
        <v>1710</v>
      </c>
      <c r="E5123" s="229"/>
      <c r="F5123" s="117" t="s">
        <v>14842</v>
      </c>
      <c r="G5123" s="26">
        <v>9782</v>
      </c>
      <c r="H5123" s="231"/>
      <c r="I5123" s="221"/>
      <c r="J5123" s="221"/>
      <c r="K5123" s="221"/>
      <c r="L5123" s="221"/>
      <c r="M5123" s="221"/>
      <c r="N5123" s="221"/>
      <c r="O5123" s="225"/>
      <c r="P5123" s="118" t="s">
        <v>17693</v>
      </c>
      <c r="Q5123" s="16" t="s">
        <v>20</v>
      </c>
      <c r="R5123" s="17" t="s">
        <v>1860</v>
      </c>
      <c r="S5123" s="121" t="s">
        <v>4413</v>
      </c>
      <c r="T5123" s="122"/>
      <c r="U5123" s="22"/>
      <c r="V5123" s="123" t="s">
        <v>2472</v>
      </c>
      <c r="W5123" s="122">
        <v>31157</v>
      </c>
      <c r="X5123" s="221"/>
      <c r="Y5123" s="221"/>
      <c r="Z5123" s="221"/>
      <c r="AA5123" s="221"/>
      <c r="AB5123" s="223"/>
    </row>
    <row r="5124" spans="1:28" ht="17.100000000000001" customHeight="1" thickTop="1">
      <c r="A5124" s="226" t="s">
        <v>14801</v>
      </c>
      <c r="B5124" s="28">
        <v>46038</v>
      </c>
      <c r="C5124" s="25">
        <v>1402</v>
      </c>
      <c r="D5124" s="13" t="s">
        <v>2406</v>
      </c>
      <c r="E5124" s="228"/>
      <c r="F5124" s="109" t="s">
        <v>14843</v>
      </c>
      <c r="G5124" s="24"/>
      <c r="H5124" s="230">
        <v>3.5</v>
      </c>
      <c r="I5124" s="220">
        <v>702000</v>
      </c>
      <c r="J5124" s="220">
        <f>I5124*0.1</f>
        <v>70200</v>
      </c>
      <c r="K5124" s="220">
        <v>0</v>
      </c>
      <c r="L5124" s="220">
        <v>8110</v>
      </c>
      <c r="M5124" s="220">
        <v>15400</v>
      </c>
      <c r="N5124" s="220">
        <f>SUM(I5124:M5125)</f>
        <v>795710</v>
      </c>
      <c r="O5124" s="224"/>
      <c r="P5124" s="110" t="s">
        <v>15313</v>
      </c>
      <c r="Q5124" s="15" t="s">
        <v>19</v>
      </c>
      <c r="R5124" s="205"/>
      <c r="S5124" s="189" t="s">
        <v>283</v>
      </c>
      <c r="T5124" s="114"/>
      <c r="U5124" s="21"/>
      <c r="V5124" s="115">
        <v>46127</v>
      </c>
      <c r="W5124" s="116">
        <v>1013</v>
      </c>
      <c r="X5124" s="220">
        <v>765000</v>
      </c>
      <c r="Y5124" s="220">
        <f>X5124*0.1</f>
        <v>76500</v>
      </c>
      <c r="Z5124" s="220">
        <v>8110</v>
      </c>
      <c r="AA5124" s="220">
        <f>SUM(X5124:Z5124)</f>
        <v>849610</v>
      </c>
      <c r="AB5124" s="222">
        <v>46132</v>
      </c>
    </row>
    <row r="5125" spans="1:28" ht="17.100000000000001" customHeight="1" thickBot="1">
      <c r="A5125" s="227"/>
      <c r="B5125" s="27" t="s">
        <v>2597</v>
      </c>
      <c r="C5125" s="27">
        <v>2005</v>
      </c>
      <c r="D5125" s="14" t="s">
        <v>2291</v>
      </c>
      <c r="E5125" s="229"/>
      <c r="F5125" s="117" t="s">
        <v>14844</v>
      </c>
      <c r="G5125" s="26">
        <v>49481</v>
      </c>
      <c r="H5125" s="231"/>
      <c r="I5125" s="221"/>
      <c r="J5125" s="221"/>
      <c r="K5125" s="221"/>
      <c r="L5125" s="221"/>
      <c r="M5125" s="221"/>
      <c r="N5125" s="221"/>
      <c r="O5125" s="225"/>
      <c r="P5125" s="118" t="s">
        <v>15314</v>
      </c>
      <c r="Q5125" s="16" t="s">
        <v>20</v>
      </c>
      <c r="R5125" s="17" t="s">
        <v>15265</v>
      </c>
      <c r="S5125" s="121" t="s">
        <v>15315</v>
      </c>
      <c r="T5125" s="122"/>
      <c r="U5125" s="22"/>
      <c r="V5125" s="123" t="s">
        <v>8877</v>
      </c>
      <c r="W5125" s="122">
        <v>5195</v>
      </c>
      <c r="X5125" s="221"/>
      <c r="Y5125" s="221"/>
      <c r="Z5125" s="221"/>
      <c r="AA5125" s="221"/>
      <c r="AB5125" s="223"/>
    </row>
    <row r="5126" spans="1:28" ht="17.100000000000001" customHeight="1" thickTop="1">
      <c r="A5126" s="226" t="s">
        <v>14820</v>
      </c>
      <c r="B5126" s="28">
        <v>46038</v>
      </c>
      <c r="C5126" s="25">
        <v>1402</v>
      </c>
      <c r="D5126" s="13" t="s">
        <v>1640</v>
      </c>
      <c r="E5126" s="228"/>
      <c r="F5126" s="109" t="s">
        <v>14845</v>
      </c>
      <c r="G5126" s="24" t="s">
        <v>6974</v>
      </c>
      <c r="H5126" s="230">
        <v>4</v>
      </c>
      <c r="I5126" s="220">
        <v>339000</v>
      </c>
      <c r="J5126" s="220">
        <f>I5126*0.1</f>
        <v>33900</v>
      </c>
      <c r="K5126" s="220">
        <v>7150</v>
      </c>
      <c r="L5126" s="220">
        <v>13610</v>
      </c>
      <c r="M5126" s="220">
        <v>15400</v>
      </c>
      <c r="N5126" s="220">
        <f>SUM(I5126:M5127)</f>
        <v>409060</v>
      </c>
      <c r="O5126" s="224"/>
      <c r="P5126" s="110" t="s">
        <v>15306</v>
      </c>
      <c r="Q5126" s="15" t="s">
        <v>19</v>
      </c>
      <c r="R5126" s="205"/>
      <c r="S5126" s="189"/>
      <c r="T5126" s="114"/>
      <c r="U5126" s="21" t="s">
        <v>18267</v>
      </c>
      <c r="V5126" s="115">
        <v>46081</v>
      </c>
      <c r="W5126" s="116">
        <v>1290</v>
      </c>
      <c r="X5126" s="220">
        <v>307000</v>
      </c>
      <c r="Y5126" s="220">
        <f>X5126*0.1</f>
        <v>30700</v>
      </c>
      <c r="Z5126" s="220">
        <v>13610</v>
      </c>
      <c r="AA5126" s="220">
        <f>SUM(X5126:Z5126)</f>
        <v>351310</v>
      </c>
      <c r="AB5126" s="222">
        <v>46084</v>
      </c>
    </row>
    <row r="5127" spans="1:28" ht="17.100000000000001" customHeight="1" thickBot="1">
      <c r="A5127" s="227"/>
      <c r="B5127" s="27" t="s">
        <v>2597</v>
      </c>
      <c r="C5127" s="27">
        <v>2179</v>
      </c>
      <c r="D5127" s="14" t="s">
        <v>273</v>
      </c>
      <c r="E5127" s="229"/>
      <c r="F5127" s="117" t="s">
        <v>14846</v>
      </c>
      <c r="G5127" s="26">
        <v>134991</v>
      </c>
      <c r="H5127" s="231"/>
      <c r="I5127" s="221"/>
      <c r="J5127" s="221"/>
      <c r="K5127" s="221"/>
      <c r="L5127" s="221"/>
      <c r="M5127" s="221"/>
      <c r="N5127" s="221"/>
      <c r="O5127" s="225"/>
      <c r="P5127" s="118" t="s">
        <v>1972</v>
      </c>
      <c r="Q5127" s="16" t="s">
        <v>20</v>
      </c>
      <c r="R5127" s="17" t="s">
        <v>15265</v>
      </c>
      <c r="S5127" s="121" t="s">
        <v>15307</v>
      </c>
      <c r="T5127" s="122"/>
      <c r="U5127" s="22"/>
      <c r="V5127" s="123" t="s">
        <v>2472</v>
      </c>
      <c r="W5127" s="122">
        <v>53381</v>
      </c>
      <c r="X5127" s="221"/>
      <c r="Y5127" s="221"/>
      <c r="Z5127" s="221"/>
      <c r="AA5127" s="221"/>
      <c r="AB5127" s="223"/>
    </row>
    <row r="5128" spans="1:28" ht="17.100000000000001" customHeight="1" thickTop="1">
      <c r="A5128" s="226" t="s">
        <v>14821</v>
      </c>
      <c r="B5128" s="28">
        <v>46038</v>
      </c>
      <c r="C5128" s="25">
        <v>1402</v>
      </c>
      <c r="D5128" s="13" t="s">
        <v>1846</v>
      </c>
      <c r="E5128" s="228"/>
      <c r="F5128" s="109" t="s">
        <v>14847</v>
      </c>
      <c r="G5128" s="24" t="s">
        <v>14912</v>
      </c>
      <c r="H5128" s="230">
        <v>4</v>
      </c>
      <c r="I5128" s="220">
        <v>793000</v>
      </c>
      <c r="J5128" s="220">
        <f>I5128*0.1</f>
        <v>79300</v>
      </c>
      <c r="K5128" s="220">
        <v>7150</v>
      </c>
      <c r="L5128" s="220">
        <v>10850</v>
      </c>
      <c r="M5128" s="220">
        <v>15400</v>
      </c>
      <c r="N5128" s="220">
        <f>SUM(I5128:M5129)</f>
        <v>905700</v>
      </c>
      <c r="O5128" s="224"/>
      <c r="P5128" s="110" t="s">
        <v>15298</v>
      </c>
      <c r="Q5128" s="15" t="s">
        <v>19</v>
      </c>
      <c r="R5128" s="205"/>
      <c r="S5128" s="189"/>
      <c r="T5128" s="114"/>
      <c r="U5128" s="21"/>
      <c r="V5128" s="115">
        <v>46043</v>
      </c>
      <c r="W5128" s="116">
        <v>1001</v>
      </c>
      <c r="X5128" s="220">
        <v>900000</v>
      </c>
      <c r="Y5128" s="220">
        <f>X5128*0.1</f>
        <v>90000</v>
      </c>
      <c r="Z5128" s="220">
        <v>10850</v>
      </c>
      <c r="AA5128" s="220">
        <f>SUM(X5128:Z5128)</f>
        <v>1000850</v>
      </c>
      <c r="AB5128" s="222">
        <v>46048</v>
      </c>
    </row>
    <row r="5129" spans="1:28" ht="17.100000000000001" customHeight="1" thickBot="1">
      <c r="A5129" s="227"/>
      <c r="B5129" s="27" t="s">
        <v>2597</v>
      </c>
      <c r="C5129" s="27">
        <v>3107</v>
      </c>
      <c r="D5129" s="14" t="s">
        <v>898</v>
      </c>
      <c r="E5129" s="229"/>
      <c r="F5129" s="117" t="s">
        <v>14848</v>
      </c>
      <c r="G5129" s="26">
        <v>51767</v>
      </c>
      <c r="H5129" s="231"/>
      <c r="I5129" s="221"/>
      <c r="J5129" s="221"/>
      <c r="K5129" s="221"/>
      <c r="L5129" s="221"/>
      <c r="M5129" s="221"/>
      <c r="N5129" s="221"/>
      <c r="O5129" s="225"/>
      <c r="P5129" s="118" t="s">
        <v>4161</v>
      </c>
      <c r="Q5129" s="16" t="s">
        <v>20</v>
      </c>
      <c r="R5129" s="17" t="s">
        <v>15265</v>
      </c>
      <c r="S5129" s="121" t="s">
        <v>15299</v>
      </c>
      <c r="T5129" s="122"/>
      <c r="U5129" s="22"/>
      <c r="V5129" s="123" t="s">
        <v>2747</v>
      </c>
      <c r="W5129" s="122">
        <v>5105</v>
      </c>
      <c r="X5129" s="221"/>
      <c r="Y5129" s="221"/>
      <c r="Z5129" s="221"/>
      <c r="AA5129" s="221"/>
      <c r="AB5129" s="223"/>
    </row>
    <row r="5130" spans="1:28" ht="17.100000000000001" customHeight="1" thickTop="1">
      <c r="A5130" s="226" t="s">
        <v>14822</v>
      </c>
      <c r="B5130" s="28">
        <v>46038</v>
      </c>
      <c r="C5130" s="25">
        <v>1402</v>
      </c>
      <c r="D5130" s="13" t="s">
        <v>2033</v>
      </c>
      <c r="E5130" s="228"/>
      <c r="F5130" s="109" t="s">
        <v>4678</v>
      </c>
      <c r="G5130" s="24" t="s">
        <v>4679</v>
      </c>
      <c r="H5130" s="230">
        <v>4</v>
      </c>
      <c r="I5130" s="220">
        <v>984000</v>
      </c>
      <c r="J5130" s="220">
        <f>I5130*0.1</f>
        <v>98400</v>
      </c>
      <c r="K5130" s="220">
        <v>0</v>
      </c>
      <c r="L5130" s="220">
        <v>7500</v>
      </c>
      <c r="M5130" s="220">
        <v>15400</v>
      </c>
      <c r="N5130" s="220">
        <f>SUM(I5130:M5131)</f>
        <v>1105300</v>
      </c>
      <c r="O5130" s="224"/>
      <c r="P5130" s="110" t="s">
        <v>15297</v>
      </c>
      <c r="Q5130" s="15" t="s">
        <v>19</v>
      </c>
      <c r="R5130" s="205"/>
      <c r="S5130" s="189"/>
      <c r="T5130" s="114"/>
      <c r="U5130" s="21"/>
      <c r="V5130" s="115">
        <v>46043</v>
      </c>
      <c r="W5130" s="116">
        <v>1001</v>
      </c>
      <c r="X5130" s="220">
        <v>1075000</v>
      </c>
      <c r="Y5130" s="220">
        <f>X5130*0.1</f>
        <v>107500</v>
      </c>
      <c r="Z5130" s="220">
        <v>7500</v>
      </c>
      <c r="AA5130" s="220">
        <f>SUM(X5130:Z5130)</f>
        <v>1190000</v>
      </c>
      <c r="AB5130" s="222">
        <v>46048</v>
      </c>
    </row>
    <row r="5131" spans="1:28" ht="17.100000000000001" customHeight="1" thickBot="1">
      <c r="A5131" s="227"/>
      <c r="B5131" s="27" t="s">
        <v>2597</v>
      </c>
      <c r="C5131" s="27">
        <v>3176</v>
      </c>
      <c r="D5131" s="14" t="s">
        <v>2559</v>
      </c>
      <c r="E5131" s="229"/>
      <c r="F5131" s="117" t="s">
        <v>14849</v>
      </c>
      <c r="G5131" s="26">
        <v>51950</v>
      </c>
      <c r="H5131" s="231"/>
      <c r="I5131" s="221"/>
      <c r="J5131" s="221"/>
      <c r="K5131" s="221"/>
      <c r="L5131" s="221"/>
      <c r="M5131" s="221"/>
      <c r="N5131" s="221"/>
      <c r="O5131" s="225"/>
      <c r="P5131" s="118" t="s">
        <v>1664</v>
      </c>
      <c r="Q5131" s="16" t="s">
        <v>20</v>
      </c>
      <c r="R5131" s="17" t="s">
        <v>15265</v>
      </c>
      <c r="S5131" s="121"/>
      <c r="T5131" s="122"/>
      <c r="U5131" s="22"/>
      <c r="V5131" s="123" t="s">
        <v>2747</v>
      </c>
      <c r="W5131" s="122">
        <v>5094</v>
      </c>
      <c r="X5131" s="221"/>
      <c r="Y5131" s="221"/>
      <c r="Z5131" s="221"/>
      <c r="AA5131" s="221"/>
      <c r="AB5131" s="223"/>
    </row>
    <row r="5132" spans="1:28" ht="17.100000000000001" customHeight="1" thickTop="1">
      <c r="A5132" s="226" t="s">
        <v>14823</v>
      </c>
      <c r="B5132" s="28">
        <v>46038</v>
      </c>
      <c r="C5132" s="25">
        <v>1402</v>
      </c>
      <c r="D5132" s="13" t="s">
        <v>1780</v>
      </c>
      <c r="E5132" s="228"/>
      <c r="F5132" s="109" t="s">
        <v>14850</v>
      </c>
      <c r="G5132" s="24"/>
      <c r="H5132" s="230">
        <v>4.5</v>
      </c>
      <c r="I5132" s="220">
        <v>1057000</v>
      </c>
      <c r="J5132" s="220">
        <f>I5132*0.1</f>
        <v>105700</v>
      </c>
      <c r="K5132" s="220">
        <v>0</v>
      </c>
      <c r="L5132" s="220">
        <v>8270</v>
      </c>
      <c r="M5132" s="220">
        <v>15400</v>
      </c>
      <c r="N5132" s="220">
        <f>SUM(I5132:M5133)</f>
        <v>1186370</v>
      </c>
      <c r="O5132" s="224"/>
      <c r="P5132" s="110" t="s">
        <v>15308</v>
      </c>
      <c r="Q5132" s="15" t="s">
        <v>19</v>
      </c>
      <c r="R5132" s="205"/>
      <c r="S5132" s="189" t="s">
        <v>758</v>
      </c>
      <c r="T5132" s="114"/>
      <c r="U5132" s="21"/>
      <c r="V5132" s="115">
        <v>46055</v>
      </c>
      <c r="W5132" s="116"/>
      <c r="X5132" s="220">
        <v>1250000</v>
      </c>
      <c r="Y5132" s="220">
        <f>X5132*0.1</f>
        <v>125000</v>
      </c>
      <c r="Z5132" s="220">
        <v>8270</v>
      </c>
      <c r="AA5132" s="220">
        <f>SUM(X5132:Z5132)</f>
        <v>1383270</v>
      </c>
      <c r="AB5132" s="222"/>
    </row>
    <row r="5133" spans="1:28" ht="17.100000000000001" customHeight="1" thickBot="1">
      <c r="A5133" s="227"/>
      <c r="B5133" s="27" t="s">
        <v>2597</v>
      </c>
      <c r="C5133" s="27">
        <v>3183</v>
      </c>
      <c r="D5133" s="14" t="s">
        <v>1797</v>
      </c>
      <c r="E5133" s="229"/>
      <c r="F5133" s="117" t="s">
        <v>14851</v>
      </c>
      <c r="G5133" s="26">
        <v>6184</v>
      </c>
      <c r="H5133" s="231"/>
      <c r="I5133" s="221"/>
      <c r="J5133" s="221"/>
      <c r="K5133" s="221"/>
      <c r="L5133" s="221"/>
      <c r="M5133" s="221"/>
      <c r="N5133" s="221"/>
      <c r="O5133" s="225"/>
      <c r="P5133" s="118" t="s">
        <v>15309</v>
      </c>
      <c r="Q5133" s="16" t="s">
        <v>20</v>
      </c>
      <c r="R5133" s="17" t="s">
        <v>15265</v>
      </c>
      <c r="S5133" s="121" t="s">
        <v>15310</v>
      </c>
      <c r="T5133" s="122"/>
      <c r="U5133" s="22"/>
      <c r="V5133" s="123" t="s">
        <v>6682</v>
      </c>
      <c r="W5133" s="122">
        <v>50968</v>
      </c>
      <c r="X5133" s="221"/>
      <c r="Y5133" s="221"/>
      <c r="Z5133" s="221"/>
      <c r="AA5133" s="221"/>
      <c r="AB5133" s="223"/>
    </row>
    <row r="5134" spans="1:28" ht="17.100000000000001" customHeight="1" thickTop="1">
      <c r="A5134" s="226" t="s">
        <v>14824</v>
      </c>
      <c r="B5134" s="28">
        <v>46038</v>
      </c>
      <c r="C5134" s="25">
        <v>1402</v>
      </c>
      <c r="D5134" s="13" t="s">
        <v>1704</v>
      </c>
      <c r="E5134" s="228"/>
      <c r="F5134" s="109" t="s">
        <v>14852</v>
      </c>
      <c r="G5134" s="24"/>
      <c r="H5134" s="230">
        <v>4.5</v>
      </c>
      <c r="I5134" s="220">
        <v>3949000</v>
      </c>
      <c r="J5134" s="220">
        <f>I5134*0.1</f>
        <v>394900</v>
      </c>
      <c r="K5134" s="220">
        <v>0</v>
      </c>
      <c r="L5134" s="220">
        <v>12490</v>
      </c>
      <c r="M5134" s="220">
        <v>15400</v>
      </c>
      <c r="N5134" s="220">
        <f>SUM(I5134:M5135)</f>
        <v>4371790</v>
      </c>
      <c r="O5134" s="224"/>
      <c r="P5134" s="110" t="s">
        <v>15416</v>
      </c>
      <c r="Q5134" s="15" t="s">
        <v>19</v>
      </c>
      <c r="R5134" s="205"/>
      <c r="S5134" s="189" t="s">
        <v>25697</v>
      </c>
      <c r="T5134" s="114"/>
      <c r="U5134" s="21"/>
      <c r="V5134" s="115">
        <v>46050</v>
      </c>
      <c r="W5134" s="116">
        <v>1002</v>
      </c>
      <c r="X5134" s="220">
        <v>4005000</v>
      </c>
      <c r="Y5134" s="220">
        <f>X5134*0.1</f>
        <v>400500</v>
      </c>
      <c r="Z5134" s="220">
        <v>12490</v>
      </c>
      <c r="AA5134" s="220">
        <f>SUM(X5134:Z5134)</f>
        <v>4417990</v>
      </c>
      <c r="AB5134" s="222">
        <v>46055</v>
      </c>
    </row>
    <row r="5135" spans="1:28" ht="17.100000000000001" customHeight="1" thickBot="1">
      <c r="A5135" s="227"/>
      <c r="B5135" s="27" t="s">
        <v>2597</v>
      </c>
      <c r="C5135" s="27">
        <v>3299</v>
      </c>
      <c r="D5135" s="14" t="s">
        <v>273</v>
      </c>
      <c r="E5135" s="229"/>
      <c r="F5135" s="117" t="s">
        <v>14853</v>
      </c>
      <c r="G5135" s="26">
        <v>40774</v>
      </c>
      <c r="H5135" s="231"/>
      <c r="I5135" s="221"/>
      <c r="J5135" s="221"/>
      <c r="K5135" s="221"/>
      <c r="L5135" s="221"/>
      <c r="M5135" s="221"/>
      <c r="N5135" s="221"/>
      <c r="O5135" s="225"/>
      <c r="P5135" s="118" t="s">
        <v>3281</v>
      </c>
      <c r="Q5135" s="16" t="s">
        <v>20</v>
      </c>
      <c r="R5135" s="17" t="s">
        <v>15369</v>
      </c>
      <c r="S5135" s="121" t="s">
        <v>1606</v>
      </c>
      <c r="T5135" s="122"/>
      <c r="U5135" s="22"/>
      <c r="V5135" s="123" t="s">
        <v>2747</v>
      </c>
      <c r="W5135" s="122">
        <v>6021</v>
      </c>
      <c r="X5135" s="221"/>
      <c r="Y5135" s="221"/>
      <c r="Z5135" s="221"/>
      <c r="AA5135" s="221"/>
      <c r="AB5135" s="223"/>
    </row>
    <row r="5136" spans="1:28" ht="17.100000000000001" customHeight="1" thickTop="1">
      <c r="A5136" s="226" t="s">
        <v>14825</v>
      </c>
      <c r="B5136" s="28">
        <v>46038</v>
      </c>
      <c r="C5136" s="25">
        <v>1402</v>
      </c>
      <c r="D5136" s="13" t="s">
        <v>1983</v>
      </c>
      <c r="E5136" s="228"/>
      <c r="F5136" s="109" t="s">
        <v>14854</v>
      </c>
      <c r="G5136" s="24" t="s">
        <v>5579</v>
      </c>
      <c r="H5136" s="230">
        <v>4.5</v>
      </c>
      <c r="I5136" s="220">
        <v>2710000</v>
      </c>
      <c r="J5136" s="220">
        <f>I5136*0.1</f>
        <v>271000</v>
      </c>
      <c r="K5136" s="220">
        <v>6600</v>
      </c>
      <c r="L5136" s="220">
        <v>12250</v>
      </c>
      <c r="M5136" s="220">
        <v>19800</v>
      </c>
      <c r="N5136" s="220">
        <f>SUM(I5136:M5137)</f>
        <v>3019650</v>
      </c>
      <c r="O5136" s="224"/>
      <c r="P5136" s="110" t="s">
        <v>15351</v>
      </c>
      <c r="Q5136" s="15" t="s">
        <v>19</v>
      </c>
      <c r="R5136" s="205"/>
      <c r="S5136" s="189" t="s">
        <v>455</v>
      </c>
      <c r="T5136" s="114"/>
      <c r="U5136" s="21"/>
      <c r="V5136" s="115">
        <v>46050</v>
      </c>
      <c r="W5136" s="116">
        <v>1002</v>
      </c>
      <c r="X5136" s="220">
        <v>2770000</v>
      </c>
      <c r="Y5136" s="220">
        <f>X5136*0.1</f>
        <v>277000</v>
      </c>
      <c r="Z5136" s="220">
        <v>12250</v>
      </c>
      <c r="AA5136" s="220">
        <f>SUM(X5136:Z5136)</f>
        <v>3059250</v>
      </c>
      <c r="AB5136" s="222">
        <v>46055</v>
      </c>
    </row>
    <row r="5137" spans="1:28" ht="17.100000000000001" customHeight="1" thickBot="1">
      <c r="A5137" s="227"/>
      <c r="B5137" s="27" t="s">
        <v>2597</v>
      </c>
      <c r="C5137" s="27">
        <v>3310</v>
      </c>
      <c r="D5137" s="14" t="s">
        <v>2559</v>
      </c>
      <c r="E5137" s="229"/>
      <c r="F5137" s="117" t="s">
        <v>14855</v>
      </c>
      <c r="G5137" s="26">
        <v>51139</v>
      </c>
      <c r="H5137" s="231"/>
      <c r="I5137" s="221"/>
      <c r="J5137" s="221"/>
      <c r="K5137" s="221"/>
      <c r="L5137" s="221"/>
      <c r="M5137" s="221"/>
      <c r="N5137" s="221"/>
      <c r="O5137" s="225"/>
      <c r="P5137" s="118" t="s">
        <v>3281</v>
      </c>
      <c r="Q5137" s="16" t="s">
        <v>20</v>
      </c>
      <c r="R5137" s="17" t="s">
        <v>15348</v>
      </c>
      <c r="S5137" s="121" t="s">
        <v>1731</v>
      </c>
      <c r="T5137" s="122"/>
      <c r="U5137" s="22"/>
      <c r="V5137" s="123" t="s">
        <v>2747</v>
      </c>
      <c r="W5137" s="122">
        <v>6028</v>
      </c>
      <c r="X5137" s="221"/>
      <c r="Y5137" s="221"/>
      <c r="Z5137" s="221"/>
      <c r="AA5137" s="221"/>
      <c r="AB5137" s="223"/>
    </row>
    <row r="5138" spans="1:28" ht="17.100000000000001" customHeight="1" thickTop="1">
      <c r="A5138" s="226" t="s">
        <v>14826</v>
      </c>
      <c r="B5138" s="28">
        <v>46038</v>
      </c>
      <c r="C5138" s="25">
        <v>1402</v>
      </c>
      <c r="D5138" s="13" t="s">
        <v>1839</v>
      </c>
      <c r="E5138" s="228"/>
      <c r="F5138" s="109" t="s">
        <v>14856</v>
      </c>
      <c r="G5138" s="24"/>
      <c r="H5138" s="230">
        <v>4</v>
      </c>
      <c r="I5138" s="220">
        <v>704000</v>
      </c>
      <c r="J5138" s="220">
        <f>I5138*0.1</f>
        <v>70400</v>
      </c>
      <c r="K5138" s="220">
        <v>0</v>
      </c>
      <c r="L5138" s="220">
        <v>15740</v>
      </c>
      <c r="M5138" s="220">
        <v>15400</v>
      </c>
      <c r="N5138" s="220">
        <f>SUM(I5138:M5139)</f>
        <v>805540</v>
      </c>
      <c r="O5138" s="224"/>
      <c r="P5138" s="110" t="s">
        <v>15296</v>
      </c>
      <c r="Q5138" s="15" t="s">
        <v>19</v>
      </c>
      <c r="R5138" s="205"/>
      <c r="S5138" s="189" t="s">
        <v>25698</v>
      </c>
      <c r="T5138" s="114"/>
      <c r="U5138" s="21"/>
      <c r="V5138" s="115">
        <v>46043</v>
      </c>
      <c r="W5138" s="116">
        <v>1001</v>
      </c>
      <c r="X5138" s="220">
        <v>780000</v>
      </c>
      <c r="Y5138" s="220">
        <f>X5138*0.1</f>
        <v>78000</v>
      </c>
      <c r="Z5138" s="220">
        <v>15740</v>
      </c>
      <c r="AA5138" s="220">
        <f>SUM(X5138:Z5138)</f>
        <v>873740</v>
      </c>
      <c r="AB5138" s="222">
        <v>46048</v>
      </c>
    </row>
    <row r="5139" spans="1:28" ht="17.100000000000001" customHeight="1" thickBot="1">
      <c r="A5139" s="227"/>
      <c r="B5139" s="27" t="s">
        <v>2597</v>
      </c>
      <c r="C5139" s="27">
        <v>7156</v>
      </c>
      <c r="D5139" s="14" t="s">
        <v>273</v>
      </c>
      <c r="E5139" s="229"/>
      <c r="F5139" s="117" t="s">
        <v>14857</v>
      </c>
      <c r="G5139" s="26">
        <v>112935</v>
      </c>
      <c r="H5139" s="231"/>
      <c r="I5139" s="221"/>
      <c r="J5139" s="221"/>
      <c r="K5139" s="221"/>
      <c r="L5139" s="221"/>
      <c r="M5139" s="221"/>
      <c r="N5139" s="221"/>
      <c r="O5139" s="225"/>
      <c r="P5139" s="118" t="s">
        <v>8646</v>
      </c>
      <c r="Q5139" s="16" t="s">
        <v>20</v>
      </c>
      <c r="R5139" s="17" t="s">
        <v>15265</v>
      </c>
      <c r="S5139" s="121" t="s">
        <v>1649</v>
      </c>
      <c r="T5139" s="122"/>
      <c r="U5139" s="22"/>
      <c r="V5139" s="123" t="s">
        <v>2747</v>
      </c>
      <c r="W5139" s="122">
        <v>5078</v>
      </c>
      <c r="X5139" s="221"/>
      <c r="Y5139" s="221"/>
      <c r="Z5139" s="221"/>
      <c r="AA5139" s="221"/>
      <c r="AB5139" s="223"/>
    </row>
    <row r="5140" spans="1:28" ht="16.5" customHeight="1" thickTop="1">
      <c r="A5140" s="226" t="s">
        <v>14827</v>
      </c>
      <c r="B5140" s="28">
        <v>46038</v>
      </c>
      <c r="C5140" s="25">
        <v>1402</v>
      </c>
      <c r="D5140" s="13" t="s">
        <v>1762</v>
      </c>
      <c r="E5140" s="228"/>
      <c r="F5140" s="109" t="s">
        <v>15038</v>
      </c>
      <c r="G5140" s="24"/>
      <c r="H5140" s="230">
        <v>4.5</v>
      </c>
      <c r="I5140" s="220">
        <v>1582000</v>
      </c>
      <c r="J5140" s="220">
        <f>I5140*0.1</f>
        <v>158200</v>
      </c>
      <c r="K5140" s="220">
        <v>0</v>
      </c>
      <c r="L5140" s="220">
        <v>11560</v>
      </c>
      <c r="M5140" s="220">
        <v>15400</v>
      </c>
      <c r="N5140" s="220">
        <f>SUM(I5140:M5141)</f>
        <v>1767160</v>
      </c>
      <c r="O5140" s="224"/>
      <c r="P5140" s="110" t="s">
        <v>15865</v>
      </c>
      <c r="Q5140" s="15" t="s">
        <v>19</v>
      </c>
      <c r="R5140" s="205"/>
      <c r="S5140" s="189"/>
      <c r="T5140" s="114" t="s">
        <v>16132</v>
      </c>
      <c r="U5140" s="21"/>
      <c r="V5140" s="115">
        <v>46050</v>
      </c>
      <c r="W5140" s="116">
        <v>1002</v>
      </c>
      <c r="X5140" s="220">
        <v>1640000</v>
      </c>
      <c r="Y5140" s="220">
        <f>X5140*0.1</f>
        <v>164000</v>
      </c>
      <c r="Z5140" s="220">
        <v>11560</v>
      </c>
      <c r="AA5140" s="220">
        <f>SUM(X5140:Z5140)</f>
        <v>1815560</v>
      </c>
      <c r="AB5140" s="222">
        <v>46055</v>
      </c>
    </row>
    <row r="5141" spans="1:28" ht="17.100000000000001" customHeight="1" thickBot="1">
      <c r="A5141" s="227"/>
      <c r="B5141" s="27" t="s">
        <v>2597</v>
      </c>
      <c r="C5141" s="27">
        <v>7194</v>
      </c>
      <c r="D5141" s="14" t="s">
        <v>2559</v>
      </c>
      <c r="E5141" s="229"/>
      <c r="F5141" s="117" t="s">
        <v>14858</v>
      </c>
      <c r="G5141" s="26">
        <v>21457</v>
      </c>
      <c r="H5141" s="231"/>
      <c r="I5141" s="221"/>
      <c r="J5141" s="221"/>
      <c r="K5141" s="221"/>
      <c r="L5141" s="221"/>
      <c r="M5141" s="221"/>
      <c r="N5141" s="221"/>
      <c r="O5141" s="225"/>
      <c r="P5141" s="118" t="s">
        <v>15866</v>
      </c>
      <c r="Q5141" s="16" t="s">
        <v>20</v>
      </c>
      <c r="R5141" s="17" t="s">
        <v>15814</v>
      </c>
      <c r="S5141" s="121" t="s">
        <v>15041</v>
      </c>
      <c r="T5141" s="122"/>
      <c r="U5141" s="22"/>
      <c r="V5141" s="123" t="s">
        <v>2747</v>
      </c>
      <c r="W5141" s="122">
        <v>6050</v>
      </c>
      <c r="X5141" s="221"/>
      <c r="Y5141" s="221"/>
      <c r="Z5141" s="221"/>
      <c r="AA5141" s="221"/>
      <c r="AB5141" s="223"/>
    </row>
    <row r="5142" spans="1:28" ht="17.100000000000001" customHeight="1" thickTop="1">
      <c r="A5142" s="226" t="s">
        <v>14828</v>
      </c>
      <c r="B5142" s="28">
        <v>46038</v>
      </c>
      <c r="C5142" s="25">
        <v>1402</v>
      </c>
      <c r="D5142" s="13" t="s">
        <v>2892</v>
      </c>
      <c r="E5142" s="228"/>
      <c r="F5142" s="109" t="s">
        <v>14673</v>
      </c>
      <c r="G5142" s="24"/>
      <c r="H5142" s="230">
        <v>4</v>
      </c>
      <c r="I5142" s="220">
        <v>871000</v>
      </c>
      <c r="J5142" s="220">
        <f>I5142*0.1</f>
        <v>87100</v>
      </c>
      <c r="K5142" s="220">
        <v>0</v>
      </c>
      <c r="L5142" s="220">
        <v>10190</v>
      </c>
      <c r="M5142" s="220">
        <v>15400</v>
      </c>
      <c r="N5142" s="220">
        <f>SUM(I5142:M5143)</f>
        <v>983690</v>
      </c>
      <c r="O5142" s="224"/>
      <c r="P5142" s="110" t="s">
        <v>15305</v>
      </c>
      <c r="Q5142" s="15" t="s">
        <v>19</v>
      </c>
      <c r="R5142" s="205"/>
      <c r="S5142" s="189"/>
      <c r="T5142" s="114"/>
      <c r="U5142" s="21"/>
      <c r="V5142" s="115">
        <v>46050</v>
      </c>
      <c r="W5142" s="116">
        <v>1002</v>
      </c>
      <c r="X5142" s="220">
        <v>1005000</v>
      </c>
      <c r="Y5142" s="220">
        <f>X5142*0.1</f>
        <v>100500</v>
      </c>
      <c r="Z5142" s="220">
        <v>10190</v>
      </c>
      <c r="AA5142" s="220">
        <f>SUM(X5142:Z5142)</f>
        <v>1115690</v>
      </c>
      <c r="AB5142" s="222">
        <v>46055</v>
      </c>
    </row>
    <row r="5143" spans="1:28" ht="17.100000000000001" customHeight="1" thickBot="1">
      <c r="A5143" s="227"/>
      <c r="B5143" s="27" t="s">
        <v>2597</v>
      </c>
      <c r="C5143" s="27">
        <v>9002</v>
      </c>
      <c r="D5143" s="14" t="s">
        <v>1611</v>
      </c>
      <c r="E5143" s="229"/>
      <c r="F5143" s="117" t="s">
        <v>14859</v>
      </c>
      <c r="G5143" s="26">
        <v>78739</v>
      </c>
      <c r="H5143" s="231"/>
      <c r="I5143" s="221"/>
      <c r="J5143" s="221"/>
      <c r="K5143" s="221"/>
      <c r="L5143" s="221"/>
      <c r="M5143" s="221"/>
      <c r="N5143" s="221"/>
      <c r="O5143" s="225"/>
      <c r="P5143" s="118" t="s">
        <v>1972</v>
      </c>
      <c r="Q5143" s="16" t="s">
        <v>20</v>
      </c>
      <c r="R5143" s="17" t="s">
        <v>15265</v>
      </c>
      <c r="S5143" s="121" t="s">
        <v>4843</v>
      </c>
      <c r="T5143" s="122"/>
      <c r="U5143" s="22"/>
      <c r="V5143" s="123" t="s">
        <v>2747</v>
      </c>
      <c r="W5143" s="122">
        <v>6019</v>
      </c>
      <c r="X5143" s="221"/>
      <c r="Y5143" s="221"/>
      <c r="Z5143" s="221"/>
      <c r="AA5143" s="221"/>
      <c r="AB5143" s="223"/>
    </row>
    <row r="5144" spans="1:28" ht="17.100000000000001" customHeight="1" thickTop="1">
      <c r="A5144" s="226" t="s">
        <v>14829</v>
      </c>
      <c r="B5144" s="28">
        <v>46038</v>
      </c>
      <c r="C5144" s="25">
        <v>1402</v>
      </c>
      <c r="D5144" s="13" t="s">
        <v>3739</v>
      </c>
      <c r="E5144" s="228"/>
      <c r="F5144" s="109" t="s">
        <v>14860</v>
      </c>
      <c r="G5144" s="24" t="s">
        <v>11035</v>
      </c>
      <c r="H5144" s="230">
        <v>4</v>
      </c>
      <c r="I5144" s="220">
        <v>676000</v>
      </c>
      <c r="J5144" s="220">
        <f>I5144*0.1</f>
        <v>67600</v>
      </c>
      <c r="K5144" s="220">
        <v>0</v>
      </c>
      <c r="L5144" s="220">
        <v>8550</v>
      </c>
      <c r="M5144" s="220">
        <v>15400</v>
      </c>
      <c r="N5144" s="220">
        <f>SUM(I5144:M5145)</f>
        <v>767550</v>
      </c>
      <c r="O5144" s="224"/>
      <c r="P5144" s="110" t="s">
        <v>15311</v>
      </c>
      <c r="Q5144" s="15" t="s">
        <v>19</v>
      </c>
      <c r="R5144" s="205"/>
      <c r="S5144" s="189"/>
      <c r="T5144" s="114"/>
      <c r="U5144" s="21" t="s">
        <v>17054</v>
      </c>
      <c r="V5144" s="115">
        <v>46057</v>
      </c>
      <c r="W5144" s="116">
        <v>1003</v>
      </c>
      <c r="X5144" s="220">
        <v>750000</v>
      </c>
      <c r="Y5144" s="220">
        <f>X5144*0.1</f>
        <v>75000</v>
      </c>
      <c r="Z5144" s="220">
        <v>8550</v>
      </c>
      <c r="AA5144" s="220">
        <f>SUM(X5144:Z5144)</f>
        <v>833550</v>
      </c>
      <c r="AB5144" s="222">
        <v>46065</v>
      </c>
    </row>
    <row r="5145" spans="1:28" ht="17.100000000000001" customHeight="1" thickBot="1">
      <c r="A5145" s="227"/>
      <c r="B5145" s="27" t="s">
        <v>2597</v>
      </c>
      <c r="C5145" s="27">
        <v>9373</v>
      </c>
      <c r="D5145" s="14" t="s">
        <v>14913</v>
      </c>
      <c r="E5145" s="229"/>
      <c r="F5145" s="117" t="s">
        <v>14861</v>
      </c>
      <c r="G5145" s="26">
        <v>69472</v>
      </c>
      <c r="H5145" s="231"/>
      <c r="I5145" s="221"/>
      <c r="J5145" s="221"/>
      <c r="K5145" s="221"/>
      <c r="L5145" s="221"/>
      <c r="M5145" s="221"/>
      <c r="N5145" s="221"/>
      <c r="O5145" s="225"/>
      <c r="P5145" s="118" t="s">
        <v>15312</v>
      </c>
      <c r="Q5145" s="16" t="s">
        <v>20</v>
      </c>
      <c r="R5145" s="17" t="s">
        <v>15265</v>
      </c>
      <c r="S5145" s="121" t="s">
        <v>7703</v>
      </c>
      <c r="T5145" s="122"/>
      <c r="U5145" s="22"/>
      <c r="V5145" s="123" t="s">
        <v>7161</v>
      </c>
      <c r="W5145" s="122">
        <v>2068</v>
      </c>
      <c r="X5145" s="221"/>
      <c r="Y5145" s="221"/>
      <c r="Z5145" s="221"/>
      <c r="AA5145" s="221"/>
      <c r="AB5145" s="223"/>
    </row>
    <row r="5146" spans="1:28" ht="17.100000000000001" customHeight="1" thickTop="1">
      <c r="A5146" s="226" t="s">
        <v>14830</v>
      </c>
      <c r="B5146" s="28">
        <v>46038</v>
      </c>
      <c r="C5146" s="25">
        <v>1189</v>
      </c>
      <c r="D5146" s="13" t="s">
        <v>1754</v>
      </c>
      <c r="E5146" s="228"/>
      <c r="F5146" s="109" t="s">
        <v>14862</v>
      </c>
      <c r="G5146" s="24" t="s">
        <v>12244</v>
      </c>
      <c r="H5146" s="230">
        <v>4.5</v>
      </c>
      <c r="I5146" s="220">
        <v>800000</v>
      </c>
      <c r="J5146" s="220">
        <f>I5146*0.1</f>
        <v>80000</v>
      </c>
      <c r="K5146" s="220">
        <v>7150</v>
      </c>
      <c r="L5146" s="220">
        <v>22520</v>
      </c>
      <c r="M5146" s="220">
        <v>16500</v>
      </c>
      <c r="N5146" s="220">
        <f>SUM(I5146:M5147)</f>
        <v>926170</v>
      </c>
      <c r="O5146" s="224"/>
      <c r="P5146" s="110" t="s">
        <v>14914</v>
      </c>
      <c r="Q5146" s="15" t="s">
        <v>19</v>
      </c>
      <c r="R5146" s="205"/>
      <c r="S5146" s="189" t="s">
        <v>25699</v>
      </c>
      <c r="T5146" s="114"/>
      <c r="U5146" s="21" t="s">
        <v>17024</v>
      </c>
      <c r="V5146" s="115">
        <v>46067</v>
      </c>
      <c r="W5146" s="116">
        <v>1288</v>
      </c>
      <c r="X5146" s="220">
        <v>930000</v>
      </c>
      <c r="Y5146" s="220">
        <f>X5146*0.1</f>
        <v>93000</v>
      </c>
      <c r="Z5146" s="220">
        <v>22520</v>
      </c>
      <c r="AA5146" s="220">
        <f>SUM(X5146:Z5146)</f>
        <v>1045520</v>
      </c>
      <c r="AB5146" s="222">
        <v>46070</v>
      </c>
    </row>
    <row r="5147" spans="1:28" ht="17.100000000000001" customHeight="1" thickBot="1">
      <c r="A5147" s="227"/>
      <c r="B5147" s="27" t="s">
        <v>1813</v>
      </c>
      <c r="C5147" s="27">
        <v>88028</v>
      </c>
      <c r="D5147" s="14" t="s">
        <v>2753</v>
      </c>
      <c r="E5147" s="229"/>
      <c r="F5147" s="117" t="s">
        <v>14915</v>
      </c>
      <c r="G5147" s="26">
        <v>55975</v>
      </c>
      <c r="H5147" s="231"/>
      <c r="I5147" s="221"/>
      <c r="J5147" s="221"/>
      <c r="K5147" s="221"/>
      <c r="L5147" s="221"/>
      <c r="M5147" s="221"/>
      <c r="N5147" s="221"/>
      <c r="O5147" s="225"/>
      <c r="P5147" s="118" t="s">
        <v>15282</v>
      </c>
      <c r="Q5147" s="16" t="s">
        <v>20</v>
      </c>
      <c r="R5147" s="17" t="s">
        <v>15265</v>
      </c>
      <c r="S5147" s="121" t="s">
        <v>16566</v>
      </c>
      <c r="T5147" s="122"/>
      <c r="U5147" s="22"/>
      <c r="V5147" s="123" t="s">
        <v>2472</v>
      </c>
      <c r="W5147" s="122">
        <v>80317</v>
      </c>
      <c r="X5147" s="221"/>
      <c r="Y5147" s="221"/>
      <c r="Z5147" s="221"/>
      <c r="AA5147" s="221"/>
      <c r="AB5147" s="223"/>
    </row>
    <row r="5148" spans="1:28" ht="17.100000000000001" customHeight="1" thickTop="1">
      <c r="A5148" s="226" t="s">
        <v>14831</v>
      </c>
      <c r="B5148" s="28">
        <v>46038</v>
      </c>
      <c r="C5148" s="25">
        <v>2118</v>
      </c>
      <c r="D5148" s="13" t="s">
        <v>1704</v>
      </c>
      <c r="E5148" s="228"/>
      <c r="F5148" s="109" t="s">
        <v>14863</v>
      </c>
      <c r="G5148" s="24"/>
      <c r="H5148" s="230">
        <v>4.5</v>
      </c>
      <c r="I5148" s="220">
        <v>800000</v>
      </c>
      <c r="J5148" s="220">
        <f>I5148*0.1</f>
        <v>80000</v>
      </c>
      <c r="K5148" s="220">
        <v>0</v>
      </c>
      <c r="L5148" s="220">
        <v>17310</v>
      </c>
      <c r="M5148" s="220">
        <v>27500</v>
      </c>
      <c r="N5148" s="220">
        <f>SUM(I5148:M5149)</f>
        <v>924810</v>
      </c>
      <c r="O5148" s="224"/>
      <c r="P5148" s="110" t="s">
        <v>15279</v>
      </c>
      <c r="Q5148" s="15" t="s">
        <v>19</v>
      </c>
      <c r="R5148" s="205"/>
      <c r="S5148" s="189" t="s">
        <v>758</v>
      </c>
      <c r="T5148" s="114"/>
      <c r="U5148" s="21"/>
      <c r="V5148" s="115">
        <v>46067</v>
      </c>
      <c r="W5148" s="116">
        <v>1288</v>
      </c>
      <c r="X5148" s="220">
        <v>905000</v>
      </c>
      <c r="Y5148" s="220">
        <f>X5148*0.1</f>
        <v>90500</v>
      </c>
      <c r="Z5148" s="220">
        <v>17310</v>
      </c>
      <c r="AA5148" s="220">
        <f>SUM(X5148:Z5148)</f>
        <v>1012810</v>
      </c>
      <c r="AB5148" s="222">
        <v>46070</v>
      </c>
    </row>
    <row r="5149" spans="1:28" ht="17.100000000000001" customHeight="1" thickBot="1">
      <c r="A5149" s="227"/>
      <c r="B5149" s="27" t="s">
        <v>1536</v>
      </c>
      <c r="C5149" s="27">
        <v>13197</v>
      </c>
      <c r="D5149" s="14" t="s">
        <v>1736</v>
      </c>
      <c r="E5149" s="229"/>
      <c r="F5149" s="117" t="s">
        <v>14916</v>
      </c>
      <c r="G5149" s="26">
        <v>35401</v>
      </c>
      <c r="H5149" s="231"/>
      <c r="I5149" s="221"/>
      <c r="J5149" s="221"/>
      <c r="K5149" s="221"/>
      <c r="L5149" s="221"/>
      <c r="M5149" s="221"/>
      <c r="N5149" s="221"/>
      <c r="O5149" s="225"/>
      <c r="P5149" s="118" t="s">
        <v>4422</v>
      </c>
      <c r="Q5149" s="16" t="s">
        <v>20</v>
      </c>
      <c r="R5149" s="17" t="s">
        <v>15265</v>
      </c>
      <c r="S5149" s="121" t="s">
        <v>13553</v>
      </c>
      <c r="T5149" s="122"/>
      <c r="U5149" s="22"/>
      <c r="V5149" s="123" t="s">
        <v>2472</v>
      </c>
      <c r="W5149" s="122">
        <v>80162</v>
      </c>
      <c r="X5149" s="221"/>
      <c r="Y5149" s="221"/>
      <c r="Z5149" s="221"/>
      <c r="AA5149" s="221"/>
      <c r="AB5149" s="223"/>
    </row>
    <row r="5150" spans="1:28" ht="17.100000000000001" customHeight="1" thickTop="1">
      <c r="A5150" s="226" t="s">
        <v>14832</v>
      </c>
      <c r="B5150" s="28">
        <v>46038</v>
      </c>
      <c r="C5150" s="25">
        <v>2118</v>
      </c>
      <c r="D5150" s="13" t="s">
        <v>14917</v>
      </c>
      <c r="E5150" s="228"/>
      <c r="F5150" s="109" t="s">
        <v>14864</v>
      </c>
      <c r="G5150" s="24"/>
      <c r="H5150" s="230">
        <v>4.5</v>
      </c>
      <c r="I5150" s="220">
        <v>960000</v>
      </c>
      <c r="J5150" s="220">
        <f>I5150*0.1</f>
        <v>96000</v>
      </c>
      <c r="K5150" s="220">
        <v>0</v>
      </c>
      <c r="L5150" s="220">
        <v>12470</v>
      </c>
      <c r="M5150" s="220">
        <v>16500</v>
      </c>
      <c r="N5150" s="220">
        <f>SUM(I5150:M5151)</f>
        <v>1084970</v>
      </c>
      <c r="O5150" s="224"/>
      <c r="P5150" s="110" t="s">
        <v>15270</v>
      </c>
      <c r="Q5150" s="15" t="s">
        <v>19</v>
      </c>
      <c r="R5150" s="205"/>
      <c r="S5150" s="189"/>
      <c r="T5150" s="114"/>
      <c r="U5150" s="21"/>
      <c r="V5150" s="115">
        <v>46130</v>
      </c>
      <c r="W5150" s="116">
        <v>1297</v>
      </c>
      <c r="X5150" s="220">
        <v>1020000</v>
      </c>
      <c r="Y5150" s="220">
        <f>X5150*0.1</f>
        <v>102000</v>
      </c>
      <c r="Z5150" s="220">
        <v>12470</v>
      </c>
      <c r="AA5150" s="220">
        <f>SUM(X5150:Z5150)</f>
        <v>1134470</v>
      </c>
      <c r="AB5150" s="222">
        <v>46139</v>
      </c>
    </row>
    <row r="5151" spans="1:28" ht="17.100000000000001" customHeight="1" thickBot="1">
      <c r="A5151" s="227"/>
      <c r="B5151" s="27" t="s">
        <v>1536</v>
      </c>
      <c r="C5151" s="27">
        <v>58368</v>
      </c>
      <c r="D5151" s="14" t="s">
        <v>1548</v>
      </c>
      <c r="E5151" s="229"/>
      <c r="F5151" s="117" t="s">
        <v>14918</v>
      </c>
      <c r="G5151" s="26">
        <v>28100</v>
      </c>
      <c r="H5151" s="231"/>
      <c r="I5151" s="221"/>
      <c r="J5151" s="221"/>
      <c r="K5151" s="221"/>
      <c r="L5151" s="221"/>
      <c r="M5151" s="221"/>
      <c r="N5151" s="221"/>
      <c r="O5151" s="225"/>
      <c r="P5151" s="118" t="s">
        <v>2615</v>
      </c>
      <c r="Q5151" s="16" t="s">
        <v>20</v>
      </c>
      <c r="R5151" s="17" t="s">
        <v>15265</v>
      </c>
      <c r="S5151" s="121"/>
      <c r="T5151" s="122"/>
      <c r="U5151" s="22"/>
      <c r="V5151" s="123" t="s">
        <v>2472</v>
      </c>
      <c r="W5151" s="122">
        <v>80117</v>
      </c>
      <c r="X5151" s="221"/>
      <c r="Y5151" s="221"/>
      <c r="Z5151" s="221"/>
      <c r="AA5151" s="221"/>
      <c r="AB5151" s="223"/>
    </row>
    <row r="5152" spans="1:28" ht="17.100000000000001" customHeight="1" thickTop="1">
      <c r="A5152" s="226" t="s">
        <v>14833</v>
      </c>
      <c r="B5152" s="28">
        <v>46038</v>
      </c>
      <c r="C5152" s="25"/>
      <c r="D5152" s="13" t="s">
        <v>2065</v>
      </c>
      <c r="E5152" s="228"/>
      <c r="F5152" s="109" t="s">
        <v>14919</v>
      </c>
      <c r="G5152" s="24" t="s">
        <v>14920</v>
      </c>
      <c r="H5152" s="230">
        <v>4.5</v>
      </c>
      <c r="I5152" s="220">
        <v>2505000</v>
      </c>
      <c r="J5152" s="220">
        <f>I5152*0.1</f>
        <v>250500</v>
      </c>
      <c r="K5152" s="220">
        <v>0</v>
      </c>
      <c r="L5152" s="220">
        <v>11740</v>
      </c>
      <c r="M5152" s="220">
        <v>0</v>
      </c>
      <c r="N5152" s="220">
        <f>SUM(I5152:M5153)</f>
        <v>2767240</v>
      </c>
      <c r="O5152" s="224"/>
      <c r="P5152" s="110" t="s">
        <v>15820</v>
      </c>
      <c r="Q5152" s="15" t="s">
        <v>19</v>
      </c>
      <c r="R5152" s="205"/>
      <c r="S5152" s="189" t="s">
        <v>455</v>
      </c>
      <c r="T5152" s="114"/>
      <c r="U5152" s="21"/>
      <c r="V5152" s="115">
        <v>46053</v>
      </c>
      <c r="W5152" s="116">
        <v>1286</v>
      </c>
      <c r="X5152" s="220">
        <v>2640000</v>
      </c>
      <c r="Y5152" s="220">
        <f>X5152*0.1</f>
        <v>264000</v>
      </c>
      <c r="Z5152" s="220">
        <v>11740</v>
      </c>
      <c r="AA5152" s="220">
        <f>SUM(X5152:Z5152)</f>
        <v>2915740</v>
      </c>
      <c r="AB5152" s="222">
        <v>46058</v>
      </c>
    </row>
    <row r="5153" spans="1:28" ht="17.100000000000001" customHeight="1" thickBot="1">
      <c r="A5153" s="227"/>
      <c r="B5153" s="27" t="s">
        <v>1708</v>
      </c>
      <c r="C5153" s="27" t="s">
        <v>14869</v>
      </c>
      <c r="D5153" s="14" t="s">
        <v>2559</v>
      </c>
      <c r="E5153" s="229"/>
      <c r="F5153" s="117" t="s">
        <v>14870</v>
      </c>
      <c r="G5153" s="26">
        <v>20719</v>
      </c>
      <c r="H5153" s="231"/>
      <c r="I5153" s="221"/>
      <c r="J5153" s="221"/>
      <c r="K5153" s="221"/>
      <c r="L5153" s="221"/>
      <c r="M5153" s="221"/>
      <c r="N5153" s="221"/>
      <c r="O5153" s="225"/>
      <c r="P5153" s="118" t="s">
        <v>15821</v>
      </c>
      <c r="Q5153" s="16" t="s">
        <v>20</v>
      </c>
      <c r="R5153" s="17" t="s">
        <v>15814</v>
      </c>
      <c r="S5153" s="128" t="s">
        <v>16339</v>
      </c>
      <c r="T5153" s="122"/>
      <c r="U5153" s="22"/>
      <c r="V5153" s="123" t="s">
        <v>2472</v>
      </c>
      <c r="W5153" s="122">
        <v>37378</v>
      </c>
      <c r="X5153" s="221"/>
      <c r="Y5153" s="221"/>
      <c r="Z5153" s="221"/>
      <c r="AA5153" s="221"/>
      <c r="AB5153" s="223"/>
    </row>
    <row r="5154" spans="1:28" ht="17.100000000000001" customHeight="1" thickTop="1">
      <c r="A5154" s="226" t="s">
        <v>14834</v>
      </c>
      <c r="B5154" s="28">
        <v>46038</v>
      </c>
      <c r="C5154" s="25"/>
      <c r="D5154" s="13" t="s">
        <v>853</v>
      </c>
      <c r="E5154" s="228"/>
      <c r="F5154" s="109" t="s">
        <v>14921</v>
      </c>
      <c r="G5154" s="24" t="s">
        <v>5493</v>
      </c>
      <c r="H5154" s="230">
        <v>4.5</v>
      </c>
      <c r="I5154" s="220">
        <v>3480000</v>
      </c>
      <c r="J5154" s="220">
        <f>I5154*0.1</f>
        <v>348000</v>
      </c>
      <c r="K5154" s="220">
        <v>7200</v>
      </c>
      <c r="L5154" s="220">
        <v>14900</v>
      </c>
      <c r="M5154" s="220">
        <v>0</v>
      </c>
      <c r="N5154" s="220">
        <f>SUM(I5154:M5155)</f>
        <v>3850100</v>
      </c>
      <c r="O5154" s="224"/>
      <c r="P5154" s="110" t="s">
        <v>15817</v>
      </c>
      <c r="Q5154" s="15" t="s">
        <v>19</v>
      </c>
      <c r="R5154" s="205"/>
      <c r="S5154" s="189" t="s">
        <v>529</v>
      </c>
      <c r="T5154" s="114"/>
      <c r="U5154" s="21" t="s">
        <v>18266</v>
      </c>
      <c r="V5154" s="115">
        <v>46109</v>
      </c>
      <c r="W5154" s="116">
        <v>1294</v>
      </c>
      <c r="X5154" s="220">
        <v>2855000</v>
      </c>
      <c r="Y5154" s="220">
        <f>X5154*0.1</f>
        <v>285500</v>
      </c>
      <c r="Z5154" s="220">
        <v>14900</v>
      </c>
      <c r="AA5154" s="220">
        <f>SUM(X5154:Z5154)</f>
        <v>3155400</v>
      </c>
      <c r="AB5154" s="222">
        <v>46112</v>
      </c>
    </row>
    <row r="5155" spans="1:28" ht="17.100000000000001" customHeight="1" thickBot="1">
      <c r="A5155" s="227"/>
      <c r="B5155" s="27" t="s">
        <v>1708</v>
      </c>
      <c r="C5155" s="27" t="s">
        <v>14871</v>
      </c>
      <c r="D5155" s="14" t="s">
        <v>2559</v>
      </c>
      <c r="E5155" s="229"/>
      <c r="F5155" s="117" t="s">
        <v>14872</v>
      </c>
      <c r="G5155" s="26">
        <v>46944</v>
      </c>
      <c r="H5155" s="231"/>
      <c r="I5155" s="221"/>
      <c r="J5155" s="221"/>
      <c r="K5155" s="221"/>
      <c r="L5155" s="221"/>
      <c r="M5155" s="221"/>
      <c r="N5155" s="221"/>
      <c r="O5155" s="225"/>
      <c r="P5155" s="118" t="s">
        <v>15818</v>
      </c>
      <c r="Q5155" s="16" t="s">
        <v>20</v>
      </c>
      <c r="R5155" s="17" t="s">
        <v>15814</v>
      </c>
      <c r="S5155" s="121" t="s">
        <v>15819</v>
      </c>
      <c r="T5155" s="122"/>
      <c r="U5155" s="22" t="s">
        <v>3125</v>
      </c>
      <c r="V5155" s="123" t="s">
        <v>21250</v>
      </c>
      <c r="W5155" s="122">
        <v>33010</v>
      </c>
      <c r="X5155" s="221"/>
      <c r="Y5155" s="221"/>
      <c r="Z5155" s="221"/>
      <c r="AA5155" s="221"/>
      <c r="AB5155" s="223"/>
    </row>
    <row r="5156" spans="1:28" ht="17.100000000000001" customHeight="1" thickTop="1">
      <c r="A5156" s="226" t="s">
        <v>14835</v>
      </c>
      <c r="B5156" s="28">
        <v>46038</v>
      </c>
      <c r="C5156" s="25"/>
      <c r="D5156" s="13" t="s">
        <v>2564</v>
      </c>
      <c r="E5156" s="228"/>
      <c r="F5156" s="109" t="s">
        <v>14922</v>
      </c>
      <c r="G5156" s="24" t="s">
        <v>14923</v>
      </c>
      <c r="H5156" s="232" t="s">
        <v>1705</v>
      </c>
      <c r="I5156" s="220">
        <v>1155000</v>
      </c>
      <c r="J5156" s="220">
        <f>I5156*0.1</f>
        <v>115500</v>
      </c>
      <c r="K5156" s="220">
        <v>5000</v>
      </c>
      <c r="L5156" s="220">
        <v>10360</v>
      </c>
      <c r="M5156" s="220">
        <v>0</v>
      </c>
      <c r="N5156" s="220">
        <f>SUM(I5156:M5157)</f>
        <v>1285860</v>
      </c>
      <c r="O5156" s="224"/>
      <c r="P5156" s="110" t="s">
        <v>16078</v>
      </c>
      <c r="Q5156" s="15" t="s">
        <v>19</v>
      </c>
      <c r="R5156" s="205"/>
      <c r="S5156" s="189" t="s">
        <v>283</v>
      </c>
      <c r="T5156" s="114"/>
      <c r="U5156" s="21"/>
      <c r="V5156" s="115">
        <v>46057</v>
      </c>
      <c r="W5156" s="116">
        <v>1003</v>
      </c>
      <c r="X5156" s="220">
        <v>1165000</v>
      </c>
      <c r="Y5156" s="220">
        <f>X5156*0.1</f>
        <v>116500</v>
      </c>
      <c r="Z5156" s="220">
        <v>10360</v>
      </c>
      <c r="AA5156" s="220">
        <f>SUM(X5156:Z5156)</f>
        <v>1291860</v>
      </c>
      <c r="AB5156" s="222">
        <v>46062</v>
      </c>
    </row>
    <row r="5157" spans="1:28" ht="17.100000000000001" customHeight="1" thickBot="1">
      <c r="A5157" s="227"/>
      <c r="B5157" s="27" t="s">
        <v>1708</v>
      </c>
      <c r="C5157" s="27" t="s">
        <v>14873</v>
      </c>
      <c r="D5157" s="14" t="s">
        <v>898</v>
      </c>
      <c r="E5157" s="229"/>
      <c r="F5157" s="117" t="s">
        <v>14874</v>
      </c>
      <c r="G5157" s="26">
        <v>51366</v>
      </c>
      <c r="H5157" s="231"/>
      <c r="I5157" s="221"/>
      <c r="J5157" s="221"/>
      <c r="K5157" s="221"/>
      <c r="L5157" s="221"/>
      <c r="M5157" s="221"/>
      <c r="N5157" s="221"/>
      <c r="O5157" s="225"/>
      <c r="P5157" s="118" t="s">
        <v>16079</v>
      </c>
      <c r="Q5157" s="16" t="s">
        <v>20</v>
      </c>
      <c r="R5157" s="17" t="s">
        <v>16027</v>
      </c>
      <c r="S5157" s="121" t="s">
        <v>7702</v>
      </c>
      <c r="T5157" s="122"/>
      <c r="U5157" s="22"/>
      <c r="V5157" s="123" t="s">
        <v>2747</v>
      </c>
      <c r="W5157" s="122">
        <v>1129</v>
      </c>
      <c r="X5157" s="221"/>
      <c r="Y5157" s="221"/>
      <c r="Z5157" s="221"/>
      <c r="AA5157" s="221"/>
      <c r="AB5157" s="223"/>
    </row>
    <row r="5158" spans="1:28" ht="17.100000000000001" customHeight="1" thickTop="1">
      <c r="A5158" s="226" t="s">
        <v>14836</v>
      </c>
      <c r="B5158" s="28">
        <v>46038</v>
      </c>
      <c r="C5158" s="25"/>
      <c r="D5158" s="13" t="s">
        <v>1901</v>
      </c>
      <c r="E5158" s="228"/>
      <c r="F5158" s="109" t="s">
        <v>14924</v>
      </c>
      <c r="G5158" s="24" t="s">
        <v>14925</v>
      </c>
      <c r="H5158" s="230">
        <v>4.5</v>
      </c>
      <c r="I5158" s="220">
        <v>3580000</v>
      </c>
      <c r="J5158" s="220">
        <f>I5158*0.1</f>
        <v>358000</v>
      </c>
      <c r="K5158" s="220">
        <v>2600</v>
      </c>
      <c r="L5158" s="220">
        <v>13390</v>
      </c>
      <c r="M5158" s="220">
        <v>0</v>
      </c>
      <c r="N5158" s="220">
        <f>SUM(I5158:M5159)</f>
        <v>3953990</v>
      </c>
      <c r="O5158" s="224"/>
      <c r="P5158" s="110" t="s">
        <v>17019</v>
      </c>
      <c r="Q5158" s="15" t="s">
        <v>19</v>
      </c>
      <c r="R5158" s="205"/>
      <c r="S5158" s="189" t="s">
        <v>529</v>
      </c>
      <c r="T5158" s="114"/>
      <c r="U5158" s="21"/>
      <c r="V5158" s="115">
        <v>46064</v>
      </c>
      <c r="W5158" s="116">
        <v>1004</v>
      </c>
      <c r="X5158" s="220">
        <v>3710000</v>
      </c>
      <c r="Y5158" s="220">
        <f>X5158*0.1</f>
        <v>371000</v>
      </c>
      <c r="Z5158" s="220">
        <v>13390</v>
      </c>
      <c r="AA5158" s="220">
        <f>SUM(X5158:Z5158)</f>
        <v>4094390</v>
      </c>
      <c r="AB5158" s="222">
        <v>46069</v>
      </c>
    </row>
    <row r="5159" spans="1:28" ht="17.100000000000001" customHeight="1" thickBot="1">
      <c r="A5159" s="227"/>
      <c r="B5159" s="27" t="s">
        <v>1708</v>
      </c>
      <c r="C5159" s="27" t="s">
        <v>14875</v>
      </c>
      <c r="D5159" s="14" t="s">
        <v>1690</v>
      </c>
      <c r="E5159" s="229"/>
      <c r="F5159" s="117" t="s">
        <v>14876</v>
      </c>
      <c r="G5159" s="26">
        <v>32508</v>
      </c>
      <c r="H5159" s="231"/>
      <c r="I5159" s="221"/>
      <c r="J5159" s="221"/>
      <c r="K5159" s="221"/>
      <c r="L5159" s="221"/>
      <c r="M5159" s="221"/>
      <c r="N5159" s="221"/>
      <c r="O5159" s="225"/>
      <c r="P5159" s="118" t="s">
        <v>11806</v>
      </c>
      <c r="Q5159" s="16" t="s">
        <v>20</v>
      </c>
      <c r="R5159" s="17" t="s">
        <v>1829</v>
      </c>
      <c r="S5159" s="121" t="s">
        <v>13370</v>
      </c>
      <c r="T5159" s="122"/>
      <c r="U5159" s="22"/>
      <c r="V5159" s="123" t="s">
        <v>2747</v>
      </c>
      <c r="W5159" s="122">
        <v>8009</v>
      </c>
      <c r="X5159" s="221"/>
      <c r="Y5159" s="221"/>
      <c r="Z5159" s="221"/>
      <c r="AA5159" s="221"/>
      <c r="AB5159" s="223"/>
    </row>
    <row r="5160" spans="1:28" ht="17.100000000000001" customHeight="1" thickTop="1">
      <c r="A5160" s="226" t="s">
        <v>14865</v>
      </c>
      <c r="B5160" s="28">
        <v>46038</v>
      </c>
      <c r="C5160" s="25"/>
      <c r="D5160" s="13" t="s">
        <v>4213</v>
      </c>
      <c r="E5160" s="228"/>
      <c r="F5160" s="109" t="s">
        <v>14926</v>
      </c>
      <c r="G5160" s="24" t="s">
        <v>4999</v>
      </c>
      <c r="H5160" s="230">
        <v>4</v>
      </c>
      <c r="I5160" s="220">
        <v>2335000</v>
      </c>
      <c r="J5160" s="220">
        <f>I5160*0.1</f>
        <v>233500</v>
      </c>
      <c r="K5160" s="220">
        <v>7200</v>
      </c>
      <c r="L5160" s="220">
        <v>11710</v>
      </c>
      <c r="M5160" s="220">
        <v>0</v>
      </c>
      <c r="N5160" s="220">
        <f>SUM(I5160:M5161)</f>
        <v>2587410</v>
      </c>
      <c r="O5160" s="224"/>
      <c r="P5160" s="110" t="s">
        <v>16195</v>
      </c>
      <c r="Q5160" s="15" t="s">
        <v>19</v>
      </c>
      <c r="R5160" s="205"/>
      <c r="S5160" s="189" t="s">
        <v>529</v>
      </c>
      <c r="T5160" s="114"/>
      <c r="U5160" s="21"/>
      <c r="V5160" s="115">
        <v>46057</v>
      </c>
      <c r="W5160" s="116">
        <v>1003</v>
      </c>
      <c r="X5160" s="220">
        <v>2490000</v>
      </c>
      <c r="Y5160" s="220">
        <f>X5160*0.1</f>
        <v>249000</v>
      </c>
      <c r="Z5160" s="220">
        <v>11710</v>
      </c>
      <c r="AA5160" s="220">
        <f>SUM(X5160:Z5160)</f>
        <v>2750710</v>
      </c>
      <c r="AB5160" s="222">
        <v>46062</v>
      </c>
    </row>
    <row r="5161" spans="1:28" ht="17.100000000000001" customHeight="1" thickBot="1">
      <c r="A5161" s="227"/>
      <c r="B5161" s="27" t="s">
        <v>1708</v>
      </c>
      <c r="C5161" s="27" t="s">
        <v>14878</v>
      </c>
      <c r="D5161" s="14" t="s">
        <v>1584</v>
      </c>
      <c r="E5161" s="229"/>
      <c r="F5161" s="117" t="s">
        <v>14879</v>
      </c>
      <c r="G5161" s="26">
        <v>25272</v>
      </c>
      <c r="H5161" s="231"/>
      <c r="I5161" s="221"/>
      <c r="J5161" s="221"/>
      <c r="K5161" s="221"/>
      <c r="L5161" s="221"/>
      <c r="M5161" s="221"/>
      <c r="N5161" s="221"/>
      <c r="O5161" s="225"/>
      <c r="P5161" s="118" t="s">
        <v>16196</v>
      </c>
      <c r="Q5161" s="16" t="s">
        <v>20</v>
      </c>
      <c r="R5161" s="17" t="s">
        <v>2282</v>
      </c>
      <c r="S5161" s="121" t="s">
        <v>16353</v>
      </c>
      <c r="T5161" s="122"/>
      <c r="U5161" s="22"/>
      <c r="V5161" s="123" t="s">
        <v>2747</v>
      </c>
      <c r="W5161" s="122">
        <v>1113</v>
      </c>
      <c r="X5161" s="221"/>
      <c r="Y5161" s="221"/>
      <c r="Z5161" s="221"/>
      <c r="AA5161" s="221"/>
      <c r="AB5161" s="223"/>
    </row>
    <row r="5162" spans="1:28" ht="17.100000000000001" customHeight="1" thickTop="1">
      <c r="A5162" s="226" t="s">
        <v>14866</v>
      </c>
      <c r="B5162" s="28">
        <v>46038</v>
      </c>
      <c r="C5162" s="25"/>
      <c r="D5162" s="13" t="s">
        <v>1598</v>
      </c>
      <c r="E5162" s="228"/>
      <c r="F5162" s="109" t="s">
        <v>14927</v>
      </c>
      <c r="G5162" s="24" t="s">
        <v>11039</v>
      </c>
      <c r="H5162" s="230">
        <v>4</v>
      </c>
      <c r="I5162" s="220">
        <v>2105000</v>
      </c>
      <c r="J5162" s="220">
        <f>I5162*0.1</f>
        <v>210500</v>
      </c>
      <c r="K5162" s="220">
        <v>6500</v>
      </c>
      <c r="L5162" s="220">
        <v>14330</v>
      </c>
      <c r="M5162" s="220">
        <v>0</v>
      </c>
      <c r="N5162" s="220">
        <f>SUM(I5162:M5163)</f>
        <v>2336330</v>
      </c>
      <c r="O5162" s="224"/>
      <c r="P5162" s="110" t="s">
        <v>16616</v>
      </c>
      <c r="Q5162" s="15" t="s">
        <v>19</v>
      </c>
      <c r="R5162" s="205"/>
      <c r="S5162" s="189" t="s">
        <v>25700</v>
      </c>
      <c r="T5162" s="114"/>
      <c r="U5162" s="21"/>
      <c r="V5162" s="115">
        <v>46071</v>
      </c>
      <c r="W5162" s="116">
        <v>1005</v>
      </c>
      <c r="X5162" s="220">
        <v>2155000</v>
      </c>
      <c r="Y5162" s="220">
        <f>X5162*0.1</f>
        <v>215500</v>
      </c>
      <c r="Z5162" s="220">
        <v>14330</v>
      </c>
      <c r="AA5162" s="220">
        <f>SUM(X5162:Z5162)</f>
        <v>2384830</v>
      </c>
      <c r="AB5162" s="222">
        <v>46073</v>
      </c>
    </row>
    <row r="5163" spans="1:28" ht="17.100000000000001" customHeight="1" thickBot="1">
      <c r="A5163" s="227"/>
      <c r="B5163" s="27" t="s">
        <v>1708</v>
      </c>
      <c r="C5163" s="27" t="s">
        <v>14880</v>
      </c>
      <c r="D5163" s="14" t="s">
        <v>2088</v>
      </c>
      <c r="E5163" s="229"/>
      <c r="F5163" s="117" t="s">
        <v>14881</v>
      </c>
      <c r="G5163" s="26">
        <v>114517</v>
      </c>
      <c r="H5163" s="231"/>
      <c r="I5163" s="221"/>
      <c r="J5163" s="221"/>
      <c r="K5163" s="221"/>
      <c r="L5163" s="221"/>
      <c r="M5163" s="221"/>
      <c r="N5163" s="221"/>
      <c r="O5163" s="225"/>
      <c r="P5163" s="118" t="s">
        <v>16617</v>
      </c>
      <c r="Q5163" s="16" t="s">
        <v>20</v>
      </c>
      <c r="R5163" s="17" t="s">
        <v>3269</v>
      </c>
      <c r="S5163" s="121" t="s">
        <v>16618</v>
      </c>
      <c r="T5163" s="122"/>
      <c r="U5163" s="22"/>
      <c r="V5163" s="123" t="s">
        <v>2747</v>
      </c>
      <c r="W5163" s="122">
        <v>4023</v>
      </c>
      <c r="X5163" s="221"/>
      <c r="Y5163" s="221"/>
      <c r="Z5163" s="221"/>
      <c r="AA5163" s="221"/>
      <c r="AB5163" s="223"/>
    </row>
    <row r="5164" spans="1:28" ht="17.100000000000001" customHeight="1" thickTop="1">
      <c r="A5164" s="226" t="s">
        <v>14867</v>
      </c>
      <c r="B5164" s="28">
        <v>46038</v>
      </c>
      <c r="C5164" s="25"/>
      <c r="D5164" s="13" t="s">
        <v>3857</v>
      </c>
      <c r="E5164" s="228"/>
      <c r="F5164" s="109" t="s">
        <v>14928</v>
      </c>
      <c r="G5164" s="24" t="s">
        <v>5390</v>
      </c>
      <c r="H5164" s="230">
        <v>4</v>
      </c>
      <c r="I5164" s="220">
        <v>1310000</v>
      </c>
      <c r="J5164" s="220">
        <f>I5164*0.1</f>
        <v>131000</v>
      </c>
      <c r="K5164" s="220">
        <v>0</v>
      </c>
      <c r="L5164" s="220">
        <v>10190</v>
      </c>
      <c r="M5164" s="220">
        <v>0</v>
      </c>
      <c r="N5164" s="220">
        <f>SUM(I5164:M5165)</f>
        <v>1451190</v>
      </c>
      <c r="O5164" s="224"/>
      <c r="P5164" s="110" t="s">
        <v>19516</v>
      </c>
      <c r="Q5164" s="15" t="s">
        <v>19</v>
      </c>
      <c r="R5164" s="205"/>
      <c r="S5164" s="189"/>
      <c r="T5164" s="114"/>
      <c r="U5164" s="21"/>
      <c r="V5164" s="115">
        <v>46102</v>
      </c>
      <c r="W5164" s="116">
        <v>1293</v>
      </c>
      <c r="X5164" s="220">
        <v>1390000</v>
      </c>
      <c r="Y5164" s="220">
        <f>X5164*0.1</f>
        <v>139000</v>
      </c>
      <c r="Z5164" s="220">
        <v>10190</v>
      </c>
      <c r="AA5164" s="220">
        <f>SUM(X5164:Z5164)</f>
        <v>1539190</v>
      </c>
      <c r="AB5164" s="222">
        <v>46111</v>
      </c>
    </row>
    <row r="5165" spans="1:28" ht="17.100000000000001" customHeight="1" thickBot="1">
      <c r="A5165" s="227"/>
      <c r="B5165" s="27" t="s">
        <v>1708</v>
      </c>
      <c r="C5165" s="27" t="s">
        <v>14882</v>
      </c>
      <c r="D5165" s="14" t="s">
        <v>273</v>
      </c>
      <c r="E5165" s="229"/>
      <c r="F5165" s="117" t="s">
        <v>14883</v>
      </c>
      <c r="G5165" s="26">
        <v>51548</v>
      </c>
      <c r="H5165" s="231"/>
      <c r="I5165" s="221"/>
      <c r="J5165" s="221"/>
      <c r="K5165" s="221"/>
      <c r="L5165" s="221"/>
      <c r="M5165" s="221"/>
      <c r="N5165" s="221"/>
      <c r="O5165" s="225"/>
      <c r="P5165" s="118" t="s">
        <v>19517</v>
      </c>
      <c r="Q5165" s="16" t="s">
        <v>20</v>
      </c>
      <c r="R5165" s="17" t="s">
        <v>3332</v>
      </c>
      <c r="S5165" s="121" t="s">
        <v>2405</v>
      </c>
      <c r="T5165" s="122"/>
      <c r="U5165" s="22"/>
      <c r="V5165" s="123" t="s">
        <v>6641</v>
      </c>
      <c r="W5165" s="122">
        <v>37245</v>
      </c>
      <c r="X5165" s="221"/>
      <c r="Y5165" s="221"/>
      <c r="Z5165" s="221"/>
      <c r="AA5165" s="221"/>
      <c r="AB5165" s="223"/>
    </row>
    <row r="5166" spans="1:28" ht="17.100000000000001" customHeight="1" thickTop="1">
      <c r="A5166" s="226" t="s">
        <v>14868</v>
      </c>
      <c r="B5166" s="28">
        <v>46038</v>
      </c>
      <c r="C5166" s="25"/>
      <c r="D5166" s="13" t="s">
        <v>2489</v>
      </c>
      <c r="E5166" s="228"/>
      <c r="F5166" s="109" t="s">
        <v>14929</v>
      </c>
      <c r="G5166" s="24" t="s">
        <v>12349</v>
      </c>
      <c r="H5166" s="230">
        <v>4.5</v>
      </c>
      <c r="I5166" s="220">
        <v>644000</v>
      </c>
      <c r="J5166" s="220">
        <f>I5166*0.1</f>
        <v>64400</v>
      </c>
      <c r="K5166" s="220">
        <v>0</v>
      </c>
      <c r="L5166" s="220">
        <v>9070</v>
      </c>
      <c r="M5166" s="220">
        <v>0</v>
      </c>
      <c r="N5166" s="220">
        <f>SUM(I5166:M5167)</f>
        <v>717470</v>
      </c>
      <c r="O5166" s="224"/>
      <c r="P5166" s="110" t="s">
        <v>16668</v>
      </c>
      <c r="Q5166" s="15" t="s">
        <v>19</v>
      </c>
      <c r="R5166" s="205"/>
      <c r="S5166" s="189" t="s">
        <v>758</v>
      </c>
      <c r="T5166" s="114"/>
      <c r="U5166" s="21"/>
      <c r="V5166" s="115">
        <v>46067</v>
      </c>
      <c r="W5166" s="116">
        <v>1288</v>
      </c>
      <c r="X5166" s="220">
        <v>730000</v>
      </c>
      <c r="Y5166" s="220">
        <f>X5166*0.1</f>
        <v>73000</v>
      </c>
      <c r="Z5166" s="220">
        <v>9070</v>
      </c>
      <c r="AA5166" s="220">
        <f>SUM(X5166:Z5166)</f>
        <v>812070</v>
      </c>
      <c r="AB5166" s="222">
        <v>46070</v>
      </c>
    </row>
    <row r="5167" spans="1:28" ht="17.100000000000001" customHeight="1" thickBot="1">
      <c r="A5167" s="227"/>
      <c r="B5167" s="27" t="s">
        <v>1708</v>
      </c>
      <c r="C5167" s="27" t="s">
        <v>14884</v>
      </c>
      <c r="D5167" s="14" t="s">
        <v>2291</v>
      </c>
      <c r="E5167" s="229"/>
      <c r="F5167" s="117" t="s">
        <v>14885</v>
      </c>
      <c r="G5167" s="26">
        <v>26759</v>
      </c>
      <c r="H5167" s="231"/>
      <c r="I5167" s="221"/>
      <c r="J5167" s="221"/>
      <c r="K5167" s="221"/>
      <c r="L5167" s="221"/>
      <c r="M5167" s="221"/>
      <c r="N5167" s="221"/>
      <c r="O5167" s="225"/>
      <c r="P5167" s="118" t="s">
        <v>16669</v>
      </c>
      <c r="Q5167" s="16" t="s">
        <v>20</v>
      </c>
      <c r="R5167" s="17" t="s">
        <v>3269</v>
      </c>
      <c r="S5167" s="121" t="s">
        <v>1731</v>
      </c>
      <c r="T5167" s="122"/>
      <c r="U5167" s="22"/>
      <c r="V5167" s="123" t="s">
        <v>2472</v>
      </c>
      <c r="W5167" s="122">
        <v>65428</v>
      </c>
      <c r="X5167" s="221"/>
      <c r="Y5167" s="221"/>
      <c r="Z5167" s="221"/>
      <c r="AA5167" s="221"/>
      <c r="AB5167" s="223"/>
    </row>
    <row r="5168" spans="1:28" ht="17.100000000000001" customHeight="1" thickTop="1">
      <c r="A5168" s="226" t="s">
        <v>14930</v>
      </c>
      <c r="B5168" s="28">
        <v>46039</v>
      </c>
      <c r="C5168" s="25">
        <v>295</v>
      </c>
      <c r="D5168" s="13" t="s">
        <v>2811</v>
      </c>
      <c r="E5168" s="228"/>
      <c r="F5168" s="109" t="s">
        <v>14944</v>
      </c>
      <c r="G5168" s="24"/>
      <c r="H5168" s="230">
        <v>4</v>
      </c>
      <c r="I5168" s="220">
        <v>1416000</v>
      </c>
      <c r="J5168" s="220">
        <f>I5168*0.1</f>
        <v>141600</v>
      </c>
      <c r="K5168" s="220">
        <v>0</v>
      </c>
      <c r="L5168" s="220">
        <v>19090</v>
      </c>
      <c r="M5168" s="220">
        <v>15950</v>
      </c>
      <c r="N5168" s="220">
        <f>SUM(I5168:M5169)</f>
        <v>1592640</v>
      </c>
      <c r="O5168" s="224"/>
      <c r="P5168" s="110" t="s">
        <v>15274</v>
      </c>
      <c r="Q5168" s="15" t="s">
        <v>19</v>
      </c>
      <c r="R5168" s="205"/>
      <c r="S5168" s="189"/>
      <c r="T5168" s="114"/>
      <c r="U5168" s="21"/>
      <c r="V5168" s="115">
        <v>46060</v>
      </c>
      <c r="W5168" s="116">
        <v>1287</v>
      </c>
      <c r="X5168" s="220">
        <v>1640000</v>
      </c>
      <c r="Y5168" s="220">
        <f>X5168*0.1</f>
        <v>164000</v>
      </c>
      <c r="Z5168" s="220">
        <v>19090</v>
      </c>
      <c r="AA5168" s="220">
        <f>SUM(X5168:Z5168)</f>
        <v>1823090</v>
      </c>
      <c r="AB5168" s="222">
        <v>46063</v>
      </c>
    </row>
    <row r="5169" spans="1:28" ht="17.100000000000001" customHeight="1" thickBot="1">
      <c r="A5169" s="227"/>
      <c r="B5169" s="27" t="s">
        <v>3518</v>
      </c>
      <c r="C5169" s="27">
        <v>5021</v>
      </c>
      <c r="D5169" s="14" t="s">
        <v>1584</v>
      </c>
      <c r="E5169" s="229"/>
      <c r="F5169" s="117" t="s">
        <v>14945</v>
      </c>
      <c r="G5169" s="26">
        <v>49244</v>
      </c>
      <c r="H5169" s="231"/>
      <c r="I5169" s="221"/>
      <c r="J5169" s="221"/>
      <c r="K5169" s="221"/>
      <c r="L5169" s="221"/>
      <c r="M5169" s="221"/>
      <c r="N5169" s="221"/>
      <c r="O5169" s="225"/>
      <c r="P5169" s="118" t="s">
        <v>11988</v>
      </c>
      <c r="Q5169" s="16" t="s">
        <v>20</v>
      </c>
      <c r="R5169" s="17" t="s">
        <v>15265</v>
      </c>
      <c r="S5169" s="121" t="s">
        <v>15275</v>
      </c>
      <c r="T5169" s="122"/>
      <c r="U5169" s="22"/>
      <c r="V5169" s="123" t="s">
        <v>2472</v>
      </c>
      <c r="W5169" s="122">
        <v>80136</v>
      </c>
      <c r="X5169" s="221"/>
      <c r="Y5169" s="221"/>
      <c r="Z5169" s="221"/>
      <c r="AA5169" s="221"/>
      <c r="AB5169" s="223"/>
    </row>
    <row r="5170" spans="1:28" ht="17.100000000000001" customHeight="1" thickTop="1">
      <c r="A5170" s="226" t="s">
        <v>14931</v>
      </c>
      <c r="B5170" s="28">
        <v>46039</v>
      </c>
      <c r="C5170" s="25">
        <v>1006</v>
      </c>
      <c r="D5170" s="13" t="s">
        <v>2920</v>
      </c>
      <c r="E5170" s="228"/>
      <c r="F5170" s="109" t="s">
        <v>14946</v>
      </c>
      <c r="G5170" s="24"/>
      <c r="H5170" s="230">
        <v>4.5</v>
      </c>
      <c r="I5170" s="220">
        <v>1975000</v>
      </c>
      <c r="J5170" s="220">
        <f>I5170*0.1</f>
        <v>197500</v>
      </c>
      <c r="K5170" s="220">
        <v>0</v>
      </c>
      <c r="L5170" s="220">
        <v>17060</v>
      </c>
      <c r="M5170" s="220">
        <v>19250</v>
      </c>
      <c r="N5170" s="220">
        <f>SUM(I5170:M5171)</f>
        <v>2208810</v>
      </c>
      <c r="O5170" s="224"/>
      <c r="P5170" s="110" t="s">
        <v>15740</v>
      </c>
      <c r="Q5170" s="15" t="s">
        <v>19</v>
      </c>
      <c r="R5170" s="205"/>
      <c r="S5170" s="189"/>
      <c r="T5170" s="114"/>
      <c r="U5170" s="21"/>
      <c r="V5170" s="115">
        <v>46060</v>
      </c>
      <c r="W5170" s="116">
        <v>1287</v>
      </c>
      <c r="X5170" s="220">
        <v>2110000</v>
      </c>
      <c r="Y5170" s="220">
        <f>X5170*0.1</f>
        <v>211000</v>
      </c>
      <c r="Z5170" s="220">
        <v>17060</v>
      </c>
      <c r="AA5170" s="220">
        <f>SUM(X5170:Z5170)</f>
        <v>2338060</v>
      </c>
      <c r="AB5170" s="222">
        <v>46063</v>
      </c>
    </row>
    <row r="5171" spans="1:28" ht="17.100000000000001" customHeight="1" thickBot="1">
      <c r="A5171" s="227"/>
      <c r="B5171" s="27" t="s">
        <v>1697</v>
      </c>
      <c r="C5171" s="27">
        <v>5064</v>
      </c>
      <c r="D5171" s="14" t="s">
        <v>898</v>
      </c>
      <c r="E5171" s="229"/>
      <c r="F5171" s="117" t="s">
        <v>14947</v>
      </c>
      <c r="G5171" s="26">
        <v>26605</v>
      </c>
      <c r="H5171" s="231"/>
      <c r="I5171" s="221"/>
      <c r="J5171" s="221"/>
      <c r="K5171" s="221"/>
      <c r="L5171" s="221"/>
      <c r="M5171" s="221"/>
      <c r="N5171" s="221"/>
      <c r="O5171" s="225"/>
      <c r="P5171" s="118" t="s">
        <v>9714</v>
      </c>
      <c r="Q5171" s="16" t="s">
        <v>20</v>
      </c>
      <c r="R5171" s="17" t="s">
        <v>2600</v>
      </c>
      <c r="S5171" s="121" t="s">
        <v>2166</v>
      </c>
      <c r="T5171" s="122"/>
      <c r="U5171" s="22"/>
      <c r="V5171" s="123" t="s">
        <v>2472</v>
      </c>
      <c r="W5171" s="122">
        <v>80173</v>
      </c>
      <c r="X5171" s="221"/>
      <c r="Y5171" s="221"/>
      <c r="Z5171" s="221"/>
      <c r="AA5171" s="221"/>
      <c r="AB5171" s="223"/>
    </row>
    <row r="5172" spans="1:28" ht="17.100000000000001" customHeight="1" thickTop="1">
      <c r="A5172" s="226" t="s">
        <v>14932</v>
      </c>
      <c r="B5172" s="28">
        <v>46039</v>
      </c>
      <c r="C5172" s="25">
        <v>1284</v>
      </c>
      <c r="D5172" s="13" t="s">
        <v>1564</v>
      </c>
      <c r="E5172" s="228"/>
      <c r="F5172" s="109" t="s">
        <v>14950</v>
      </c>
      <c r="G5172" s="24"/>
      <c r="H5172" s="230">
        <v>4</v>
      </c>
      <c r="I5172" s="220">
        <v>19950000</v>
      </c>
      <c r="J5172" s="220">
        <f>I5172*0.1</f>
        <v>1995000</v>
      </c>
      <c r="K5172" s="220">
        <v>0</v>
      </c>
      <c r="L5172" s="220">
        <v>16550</v>
      </c>
      <c r="M5172" s="220">
        <v>12100</v>
      </c>
      <c r="N5172" s="220">
        <f>SUM(I5172:M5173)</f>
        <v>21973650</v>
      </c>
      <c r="O5172" s="224"/>
      <c r="P5172" s="110" t="s">
        <v>15425</v>
      </c>
      <c r="Q5172" s="15" t="s">
        <v>19</v>
      </c>
      <c r="R5172" s="205"/>
      <c r="S5172" s="189"/>
      <c r="T5172" s="114"/>
      <c r="U5172" s="21"/>
      <c r="V5172" s="115">
        <v>46043</v>
      </c>
      <c r="W5172" s="116">
        <v>1001</v>
      </c>
      <c r="X5172" s="220">
        <v>2045000</v>
      </c>
      <c r="Y5172" s="220">
        <f>X5172*0.1</f>
        <v>204500</v>
      </c>
      <c r="Z5172" s="220">
        <v>16550</v>
      </c>
      <c r="AA5172" s="220">
        <f>SUM(X5172:Z5172)</f>
        <v>2266050</v>
      </c>
      <c r="AB5172" s="222">
        <v>46049</v>
      </c>
    </row>
    <row r="5173" spans="1:28" ht="17.100000000000001" customHeight="1" thickBot="1">
      <c r="A5173" s="227"/>
      <c r="B5173" s="27" t="s">
        <v>2472</v>
      </c>
      <c r="C5173" s="27">
        <v>30098</v>
      </c>
      <c r="D5173" s="14" t="s">
        <v>273</v>
      </c>
      <c r="E5173" s="229"/>
      <c r="F5173" s="117" t="s">
        <v>14951</v>
      </c>
      <c r="G5173" s="26">
        <v>55860</v>
      </c>
      <c r="H5173" s="231"/>
      <c r="I5173" s="221"/>
      <c r="J5173" s="221"/>
      <c r="K5173" s="221"/>
      <c r="L5173" s="221"/>
      <c r="M5173" s="221"/>
      <c r="N5173" s="221"/>
      <c r="O5173" s="225"/>
      <c r="P5173" s="118" t="s">
        <v>15426</v>
      </c>
      <c r="Q5173" s="16" t="s">
        <v>20</v>
      </c>
      <c r="R5173" s="17" t="s">
        <v>15369</v>
      </c>
      <c r="S5173" s="121" t="s">
        <v>1573</v>
      </c>
      <c r="T5173" s="122"/>
      <c r="U5173" s="22"/>
      <c r="V5173" s="123" t="s">
        <v>2747</v>
      </c>
      <c r="W5173" s="122">
        <v>5076</v>
      </c>
      <c r="X5173" s="221"/>
      <c r="Y5173" s="221"/>
      <c r="Z5173" s="221"/>
      <c r="AA5173" s="221"/>
      <c r="AB5173" s="223"/>
    </row>
    <row r="5174" spans="1:28" ht="17.100000000000001" customHeight="1" thickTop="1">
      <c r="A5174" s="226" t="s">
        <v>14933</v>
      </c>
      <c r="B5174" s="28">
        <v>46039</v>
      </c>
      <c r="C5174" s="25">
        <v>1284</v>
      </c>
      <c r="D5174" s="13" t="s">
        <v>14972</v>
      </c>
      <c r="E5174" s="228"/>
      <c r="F5174" s="109" t="s">
        <v>14952</v>
      </c>
      <c r="G5174" s="24"/>
      <c r="H5174" s="230">
        <v>4</v>
      </c>
      <c r="I5174" s="220">
        <v>534000</v>
      </c>
      <c r="J5174" s="220">
        <f>I5174*0.1</f>
        <v>53400</v>
      </c>
      <c r="K5174" s="220">
        <v>0</v>
      </c>
      <c r="L5174" s="220">
        <v>9170</v>
      </c>
      <c r="M5174" s="220">
        <v>13200</v>
      </c>
      <c r="N5174" s="220">
        <f>SUM(I5174:M5175)</f>
        <v>609770</v>
      </c>
      <c r="O5174" s="224"/>
      <c r="P5174" s="110" t="s">
        <v>15405</v>
      </c>
      <c r="Q5174" s="15" t="s">
        <v>19</v>
      </c>
      <c r="R5174" s="205"/>
      <c r="S5174" s="189"/>
      <c r="T5174" s="114"/>
      <c r="U5174" s="21"/>
      <c r="V5174" s="115">
        <v>46053</v>
      </c>
      <c r="W5174" s="116">
        <v>1286</v>
      </c>
      <c r="X5174" s="220">
        <v>595000</v>
      </c>
      <c r="Y5174" s="220">
        <f>X5174*0.1</f>
        <v>59500</v>
      </c>
      <c r="Z5174" s="220">
        <v>9170</v>
      </c>
      <c r="AA5174" s="220">
        <f>SUM(X5174:Z5174)</f>
        <v>663670</v>
      </c>
      <c r="AB5174" s="222">
        <v>46056</v>
      </c>
    </row>
    <row r="5175" spans="1:28" ht="17.100000000000001" customHeight="1" thickBot="1">
      <c r="A5175" s="227"/>
      <c r="B5175" s="27" t="s">
        <v>2472</v>
      </c>
      <c r="C5175" s="27">
        <v>63070</v>
      </c>
      <c r="D5175" s="14" t="s">
        <v>2559</v>
      </c>
      <c r="E5175" s="229"/>
      <c r="F5175" s="117" t="s">
        <v>14953</v>
      </c>
      <c r="G5175" s="26">
        <v>103863</v>
      </c>
      <c r="H5175" s="231"/>
      <c r="I5175" s="221"/>
      <c r="J5175" s="221"/>
      <c r="K5175" s="221"/>
      <c r="L5175" s="221"/>
      <c r="M5175" s="221"/>
      <c r="N5175" s="221"/>
      <c r="O5175" s="225"/>
      <c r="P5175" s="118" t="s">
        <v>10518</v>
      </c>
      <c r="Q5175" s="16" t="s">
        <v>20</v>
      </c>
      <c r="R5175" s="17" t="s">
        <v>15369</v>
      </c>
      <c r="S5175" s="121"/>
      <c r="T5175" s="122"/>
      <c r="U5175" s="22"/>
      <c r="V5175" s="123" t="s">
        <v>2472</v>
      </c>
      <c r="W5175" s="122">
        <v>60043</v>
      </c>
      <c r="X5175" s="221"/>
      <c r="Y5175" s="221"/>
      <c r="Z5175" s="221"/>
      <c r="AA5175" s="221"/>
      <c r="AB5175" s="223"/>
    </row>
    <row r="5176" spans="1:28" ht="17.100000000000001" customHeight="1" thickTop="1">
      <c r="A5176" s="226" t="s">
        <v>14934</v>
      </c>
      <c r="B5176" s="28">
        <v>46039</v>
      </c>
      <c r="C5176" s="25">
        <v>1284</v>
      </c>
      <c r="D5176" s="13" t="s">
        <v>1678</v>
      </c>
      <c r="E5176" s="228"/>
      <c r="F5176" s="109" t="s">
        <v>14954</v>
      </c>
      <c r="G5176" s="24"/>
      <c r="H5176" s="230">
        <v>4.5</v>
      </c>
      <c r="I5176" s="220">
        <v>1375000</v>
      </c>
      <c r="J5176" s="220">
        <f>I5176*0.1</f>
        <v>137500</v>
      </c>
      <c r="K5176" s="220">
        <v>0</v>
      </c>
      <c r="L5176" s="220">
        <v>6850</v>
      </c>
      <c r="M5176" s="220">
        <v>12100</v>
      </c>
      <c r="N5176" s="220">
        <f>SUM(I5176:M5177)</f>
        <v>1531450</v>
      </c>
      <c r="O5176" s="224"/>
      <c r="P5176" s="110" t="s">
        <v>15417</v>
      </c>
      <c r="Q5176" s="15" t="s">
        <v>19</v>
      </c>
      <c r="R5176" s="205"/>
      <c r="S5176" s="189" t="s">
        <v>25701</v>
      </c>
      <c r="T5176" s="114"/>
      <c r="U5176" s="21"/>
      <c r="V5176" s="115">
        <v>46042</v>
      </c>
      <c r="W5176" s="116">
        <v>1925</v>
      </c>
      <c r="X5176" s="220">
        <v>1494000</v>
      </c>
      <c r="Y5176" s="220">
        <f>X5176*0.1</f>
        <v>149400</v>
      </c>
      <c r="Z5176" s="220">
        <v>6850</v>
      </c>
      <c r="AA5176" s="220">
        <f>SUM(X5176:Z5176)</f>
        <v>1650250</v>
      </c>
      <c r="AB5176" s="222"/>
    </row>
    <row r="5177" spans="1:28" ht="17.100000000000001" customHeight="1" thickBot="1">
      <c r="A5177" s="227"/>
      <c r="B5177" s="27" t="s">
        <v>2472</v>
      </c>
      <c r="C5177" s="27">
        <v>65075</v>
      </c>
      <c r="D5177" s="14" t="s">
        <v>2559</v>
      </c>
      <c r="E5177" s="229"/>
      <c r="F5177" s="117" t="s">
        <v>14955</v>
      </c>
      <c r="G5177" s="26">
        <v>38100</v>
      </c>
      <c r="H5177" s="231"/>
      <c r="I5177" s="221"/>
      <c r="J5177" s="221"/>
      <c r="K5177" s="221"/>
      <c r="L5177" s="221"/>
      <c r="M5177" s="221"/>
      <c r="N5177" s="221"/>
      <c r="O5177" s="225"/>
      <c r="P5177" s="118" t="s">
        <v>15418</v>
      </c>
      <c r="Q5177" s="16" t="s">
        <v>20</v>
      </c>
      <c r="R5177" s="17" t="s">
        <v>15369</v>
      </c>
      <c r="S5177" s="121" t="s">
        <v>1731</v>
      </c>
      <c r="T5177" s="122"/>
      <c r="U5177" s="22"/>
      <c r="V5177" s="123" t="s">
        <v>2103</v>
      </c>
      <c r="W5177" s="122">
        <v>3421</v>
      </c>
      <c r="X5177" s="221"/>
      <c r="Y5177" s="221"/>
      <c r="Z5177" s="221"/>
      <c r="AA5177" s="221"/>
      <c r="AB5177" s="223"/>
    </row>
    <row r="5178" spans="1:28" ht="17.100000000000001" customHeight="1" thickTop="1">
      <c r="A5178" s="226" t="s">
        <v>14935</v>
      </c>
      <c r="B5178" s="28">
        <v>46039</v>
      </c>
      <c r="C5178" s="25">
        <v>1284</v>
      </c>
      <c r="D5178" s="13" t="s">
        <v>2288</v>
      </c>
      <c r="E5178" s="228"/>
      <c r="F5178" s="109" t="s">
        <v>7462</v>
      </c>
      <c r="G5178" s="24" t="s">
        <v>3453</v>
      </c>
      <c r="H5178" s="230">
        <v>4</v>
      </c>
      <c r="I5178" s="220">
        <v>620000</v>
      </c>
      <c r="J5178" s="220">
        <f>I5178*0.1</f>
        <v>62000</v>
      </c>
      <c r="K5178" s="220">
        <v>0</v>
      </c>
      <c r="L5178" s="220">
        <v>8400</v>
      </c>
      <c r="M5178" s="220">
        <v>12100</v>
      </c>
      <c r="N5178" s="220">
        <f>SUM(I5178:M5179)</f>
        <v>702500</v>
      </c>
      <c r="O5178" s="224"/>
      <c r="P5178" s="110" t="s">
        <v>14973</v>
      </c>
      <c r="Q5178" s="15" t="s">
        <v>19</v>
      </c>
      <c r="R5178" s="205"/>
      <c r="S5178" s="189"/>
      <c r="T5178" s="114"/>
      <c r="U5178" s="21" t="s">
        <v>17059</v>
      </c>
      <c r="V5178" s="115">
        <v>46060</v>
      </c>
      <c r="W5178" s="116">
        <v>1287</v>
      </c>
      <c r="X5178" s="220">
        <v>700000</v>
      </c>
      <c r="Y5178" s="220">
        <f>X5178*0.1</f>
        <v>70000</v>
      </c>
      <c r="Z5178" s="220">
        <v>8400</v>
      </c>
      <c r="AA5178" s="220">
        <f>SUM(X5178:Z5178)</f>
        <v>778400</v>
      </c>
      <c r="AB5178" s="222">
        <v>46065</v>
      </c>
    </row>
    <row r="5179" spans="1:28" ht="17.100000000000001" customHeight="1" thickBot="1">
      <c r="A5179" s="227"/>
      <c r="B5179" s="27" t="s">
        <v>2472</v>
      </c>
      <c r="C5179" s="27">
        <v>65169</v>
      </c>
      <c r="D5179" s="14" t="s">
        <v>273</v>
      </c>
      <c r="E5179" s="229"/>
      <c r="F5179" s="117" t="s">
        <v>14956</v>
      </c>
      <c r="G5179" s="26">
        <v>61175</v>
      </c>
      <c r="H5179" s="231"/>
      <c r="I5179" s="221"/>
      <c r="J5179" s="221"/>
      <c r="K5179" s="221"/>
      <c r="L5179" s="221"/>
      <c r="M5179" s="221"/>
      <c r="N5179" s="221"/>
      <c r="O5179" s="225"/>
      <c r="P5179" s="118" t="s">
        <v>8377</v>
      </c>
      <c r="Q5179" s="16" t="s">
        <v>20</v>
      </c>
      <c r="R5179" s="17" t="s">
        <v>15369</v>
      </c>
      <c r="S5179" s="121" t="s">
        <v>15411</v>
      </c>
      <c r="T5179" s="122"/>
      <c r="U5179" s="22"/>
      <c r="V5179" s="123" t="s">
        <v>2472</v>
      </c>
      <c r="W5179" s="122">
        <v>60080</v>
      </c>
      <c r="X5179" s="221"/>
      <c r="Y5179" s="221"/>
      <c r="Z5179" s="221"/>
      <c r="AA5179" s="221"/>
      <c r="AB5179" s="223"/>
    </row>
    <row r="5180" spans="1:28" ht="17.100000000000001" customHeight="1" thickTop="1">
      <c r="A5180" s="233" t="s">
        <v>14936</v>
      </c>
      <c r="B5180" s="28">
        <v>46039</v>
      </c>
      <c r="C5180" s="25">
        <v>1284</v>
      </c>
      <c r="D5180" s="13" t="s">
        <v>2195</v>
      </c>
      <c r="E5180" s="228"/>
      <c r="F5180" s="109" t="s">
        <v>14900</v>
      </c>
      <c r="G5180" s="24" t="s">
        <v>14974</v>
      </c>
      <c r="H5180" s="230">
        <v>5</v>
      </c>
      <c r="I5180" s="220">
        <v>1215000</v>
      </c>
      <c r="J5180" s="220">
        <f>I5180*0.1</f>
        <v>121500</v>
      </c>
      <c r="K5180" s="220">
        <v>0</v>
      </c>
      <c r="L5180" s="220">
        <v>8350</v>
      </c>
      <c r="M5180" s="220">
        <v>12100</v>
      </c>
      <c r="N5180" s="220">
        <f>SUM(I5180:M5181)</f>
        <v>1356950</v>
      </c>
      <c r="O5180" s="224"/>
      <c r="P5180" s="110" t="s">
        <v>14975</v>
      </c>
      <c r="Q5180" s="15" t="s">
        <v>19</v>
      </c>
      <c r="R5180" s="205"/>
      <c r="S5180" s="189" t="s">
        <v>25507</v>
      </c>
      <c r="T5180" s="114" t="s">
        <v>7899</v>
      </c>
      <c r="U5180" s="21"/>
      <c r="V5180" s="115"/>
      <c r="W5180" s="116"/>
      <c r="X5180" s="220"/>
      <c r="Y5180" s="220">
        <f>X5180*0.1</f>
        <v>0</v>
      </c>
      <c r="Z5180" s="220"/>
      <c r="AA5180" s="220">
        <f>SUM(X5180:Z5180)</f>
        <v>0</v>
      </c>
      <c r="AB5180" s="222"/>
    </row>
    <row r="5181" spans="1:28" ht="17.100000000000001" customHeight="1" thickBot="1">
      <c r="A5181" s="234"/>
      <c r="B5181" s="27" t="s">
        <v>2472</v>
      </c>
      <c r="C5181" s="27">
        <v>65176</v>
      </c>
      <c r="D5181" s="14" t="s">
        <v>898</v>
      </c>
      <c r="E5181" s="229"/>
      <c r="F5181" s="117" t="s">
        <v>14957</v>
      </c>
      <c r="G5181" s="26">
        <v>11516</v>
      </c>
      <c r="H5181" s="231"/>
      <c r="I5181" s="221"/>
      <c r="J5181" s="221"/>
      <c r="K5181" s="221"/>
      <c r="L5181" s="221"/>
      <c r="M5181" s="221"/>
      <c r="N5181" s="221"/>
      <c r="O5181" s="225"/>
      <c r="P5181" s="118" t="s">
        <v>15406</v>
      </c>
      <c r="Q5181" s="16" t="s">
        <v>20</v>
      </c>
      <c r="R5181" s="17" t="s">
        <v>15369</v>
      </c>
      <c r="S5181" s="121" t="s">
        <v>8642</v>
      </c>
      <c r="T5181" s="122" t="s">
        <v>15950</v>
      </c>
      <c r="U5181" s="22"/>
      <c r="V5181" s="123"/>
      <c r="W5181" s="122"/>
      <c r="X5181" s="221"/>
      <c r="Y5181" s="221"/>
      <c r="Z5181" s="221"/>
      <c r="AA5181" s="221"/>
      <c r="AB5181" s="223"/>
    </row>
    <row r="5182" spans="1:28" ht="17.100000000000001" customHeight="1" thickTop="1">
      <c r="A5182" s="226" t="s">
        <v>14937</v>
      </c>
      <c r="B5182" s="28">
        <v>46039</v>
      </c>
      <c r="C5182" s="25">
        <v>1284</v>
      </c>
      <c r="D5182" s="13" t="s">
        <v>1901</v>
      </c>
      <c r="E5182" s="228"/>
      <c r="F5182" s="109" t="s">
        <v>14958</v>
      </c>
      <c r="G5182" s="24"/>
      <c r="H5182" s="230">
        <v>4</v>
      </c>
      <c r="I5182" s="220">
        <v>685000</v>
      </c>
      <c r="J5182" s="220">
        <f>I5182*0.1</f>
        <v>68500</v>
      </c>
      <c r="K5182" s="220">
        <v>0</v>
      </c>
      <c r="L5182" s="220">
        <v>8510</v>
      </c>
      <c r="M5182" s="220">
        <v>12100</v>
      </c>
      <c r="N5182" s="220">
        <f>SUM(I5182:M5183)</f>
        <v>774110</v>
      </c>
      <c r="O5182" s="224"/>
      <c r="P5182" s="110" t="s">
        <v>16539</v>
      </c>
      <c r="Q5182" s="15" t="s">
        <v>19</v>
      </c>
      <c r="R5182" s="205"/>
      <c r="S5182" s="189"/>
      <c r="T5182" s="114"/>
      <c r="U5182" s="21"/>
      <c r="V5182" s="115">
        <v>46099</v>
      </c>
      <c r="W5182" s="116">
        <v>1009</v>
      </c>
      <c r="X5182" s="220">
        <v>670000</v>
      </c>
      <c r="Y5182" s="220">
        <f>X5182*0.1</f>
        <v>67000</v>
      </c>
      <c r="Z5182" s="220">
        <v>8510</v>
      </c>
      <c r="AA5182" s="220">
        <f>SUM(X5182:Z5182)</f>
        <v>745510</v>
      </c>
      <c r="AB5182" s="222">
        <v>46105</v>
      </c>
    </row>
    <row r="5183" spans="1:28" ht="17.100000000000001" customHeight="1" thickBot="1">
      <c r="A5183" s="227"/>
      <c r="B5183" s="27" t="s">
        <v>2472</v>
      </c>
      <c r="C5183" s="27">
        <v>65209</v>
      </c>
      <c r="D5183" s="14" t="s">
        <v>1584</v>
      </c>
      <c r="E5183" s="229"/>
      <c r="F5183" s="117" t="s">
        <v>14959</v>
      </c>
      <c r="G5183" s="26">
        <v>43637</v>
      </c>
      <c r="H5183" s="231"/>
      <c r="I5183" s="221"/>
      <c r="J5183" s="221"/>
      <c r="K5183" s="221"/>
      <c r="L5183" s="221"/>
      <c r="M5183" s="221"/>
      <c r="N5183" s="221"/>
      <c r="O5183" s="225"/>
      <c r="P5183" s="118" t="s">
        <v>3355</v>
      </c>
      <c r="Q5183" s="16" t="s">
        <v>20</v>
      </c>
      <c r="R5183" s="17" t="s">
        <v>3739</v>
      </c>
      <c r="S5183" s="121" t="s">
        <v>169</v>
      </c>
      <c r="T5183" s="122"/>
      <c r="U5183" s="22"/>
      <c r="V5183" s="123" t="s">
        <v>2747</v>
      </c>
      <c r="W5183" s="122">
        <v>2023</v>
      </c>
      <c r="X5183" s="221"/>
      <c r="Y5183" s="221"/>
      <c r="Z5183" s="221"/>
      <c r="AA5183" s="221"/>
      <c r="AB5183" s="223"/>
    </row>
    <row r="5184" spans="1:28" ht="17.100000000000001" customHeight="1" thickTop="1">
      <c r="A5184" s="226" t="s">
        <v>14938</v>
      </c>
      <c r="B5184" s="28">
        <v>46039</v>
      </c>
      <c r="C5184" s="25">
        <v>1284</v>
      </c>
      <c r="D5184" s="13" t="s">
        <v>1634</v>
      </c>
      <c r="E5184" s="228"/>
      <c r="F5184" s="109" t="s">
        <v>14960</v>
      </c>
      <c r="G5184" s="24"/>
      <c r="H5184" s="230">
        <v>4.5</v>
      </c>
      <c r="I5184" s="220">
        <v>920000</v>
      </c>
      <c r="J5184" s="220">
        <v>92000</v>
      </c>
      <c r="K5184" s="220">
        <v>0</v>
      </c>
      <c r="L5184" s="220">
        <v>6860</v>
      </c>
      <c r="M5184" s="220">
        <v>12100</v>
      </c>
      <c r="N5184" s="220">
        <f>SUM(I5184:M5185)</f>
        <v>1030960</v>
      </c>
      <c r="O5184" s="224"/>
      <c r="P5184" s="110" t="s">
        <v>15423</v>
      </c>
      <c r="Q5184" s="15" t="s">
        <v>19</v>
      </c>
      <c r="R5184" s="205"/>
      <c r="S5184" s="189"/>
      <c r="T5184" s="114"/>
      <c r="U5184" s="21"/>
      <c r="V5184" s="115">
        <v>46043</v>
      </c>
      <c r="W5184" s="116">
        <v>1001</v>
      </c>
      <c r="X5184" s="220">
        <v>1050000</v>
      </c>
      <c r="Y5184" s="220">
        <f>X5184*0.1</f>
        <v>105000</v>
      </c>
      <c r="Z5184" s="220">
        <v>6860</v>
      </c>
      <c r="AA5184" s="220">
        <f>SUM(X5184:Z5184)</f>
        <v>1161860</v>
      </c>
      <c r="AB5184" s="222">
        <v>46049</v>
      </c>
    </row>
    <row r="5185" spans="1:28" ht="17.100000000000001" customHeight="1" thickBot="1">
      <c r="A5185" s="227"/>
      <c r="B5185" s="27" t="s">
        <v>2472</v>
      </c>
      <c r="C5185" s="27">
        <v>65376</v>
      </c>
      <c r="D5185" s="14" t="s">
        <v>273</v>
      </c>
      <c r="E5185" s="229"/>
      <c r="F5185" s="117" t="s">
        <v>14961</v>
      </c>
      <c r="G5185" s="26">
        <v>25742</v>
      </c>
      <c r="H5185" s="231"/>
      <c r="I5185" s="221"/>
      <c r="J5185" s="221"/>
      <c r="K5185" s="221"/>
      <c r="L5185" s="221"/>
      <c r="M5185" s="221"/>
      <c r="N5185" s="221"/>
      <c r="O5185" s="225"/>
      <c r="P5185" s="118" t="s">
        <v>3355</v>
      </c>
      <c r="Q5185" s="16" t="s">
        <v>20</v>
      </c>
      <c r="R5185" s="17" t="s">
        <v>15369</v>
      </c>
      <c r="S5185" s="121" t="s">
        <v>15424</v>
      </c>
      <c r="T5185" s="122"/>
      <c r="U5185" s="22"/>
      <c r="V5185" s="123" t="s">
        <v>2747</v>
      </c>
      <c r="W5185" s="122">
        <v>2072</v>
      </c>
      <c r="X5185" s="221"/>
      <c r="Y5185" s="221"/>
      <c r="Z5185" s="221"/>
      <c r="AA5185" s="221"/>
      <c r="AB5185" s="223"/>
    </row>
    <row r="5186" spans="1:28" ht="17.100000000000001" customHeight="1" thickTop="1">
      <c r="A5186" s="226" t="s">
        <v>14939</v>
      </c>
      <c r="B5186" s="28">
        <v>46039</v>
      </c>
      <c r="C5186" s="25">
        <v>1284</v>
      </c>
      <c r="D5186" s="13" t="s">
        <v>2295</v>
      </c>
      <c r="E5186" s="228"/>
      <c r="F5186" s="109" t="s">
        <v>14962</v>
      </c>
      <c r="G5186" s="24" t="s">
        <v>4596</v>
      </c>
      <c r="H5186" s="230">
        <v>4.5</v>
      </c>
      <c r="I5186" s="220">
        <v>780000</v>
      </c>
      <c r="J5186" s="220">
        <f>I5186*0.1</f>
        <v>78000</v>
      </c>
      <c r="K5186" s="220">
        <v>0</v>
      </c>
      <c r="L5186" s="220">
        <v>9310</v>
      </c>
      <c r="M5186" s="220">
        <v>12100</v>
      </c>
      <c r="N5186" s="220">
        <f>SUM(I5186:M5187)</f>
        <v>879410</v>
      </c>
      <c r="O5186" s="224"/>
      <c r="P5186" s="110" t="s">
        <v>14976</v>
      </c>
      <c r="Q5186" s="15" t="s">
        <v>19</v>
      </c>
      <c r="R5186" s="205"/>
      <c r="S5186" s="189" t="s">
        <v>455</v>
      </c>
      <c r="T5186" s="114"/>
      <c r="U5186" s="21" t="s">
        <v>17055</v>
      </c>
      <c r="V5186" s="115">
        <v>46057</v>
      </c>
      <c r="W5186" s="116">
        <v>1003</v>
      </c>
      <c r="X5186" s="220">
        <v>850000</v>
      </c>
      <c r="Y5186" s="220">
        <f>X5186*0.1</f>
        <v>85000</v>
      </c>
      <c r="Z5186" s="220">
        <v>9310</v>
      </c>
      <c r="AA5186" s="220">
        <f>SUM(X5186:Z5186)</f>
        <v>944310</v>
      </c>
      <c r="AB5186" s="222">
        <v>46065</v>
      </c>
    </row>
    <row r="5187" spans="1:28" ht="17.100000000000001" customHeight="1" thickBot="1">
      <c r="A5187" s="227"/>
      <c r="B5187" s="27" t="s">
        <v>2472</v>
      </c>
      <c r="C5187" s="27">
        <v>65459</v>
      </c>
      <c r="D5187" s="14" t="s">
        <v>2559</v>
      </c>
      <c r="E5187" s="229"/>
      <c r="F5187" s="117" t="s">
        <v>14963</v>
      </c>
      <c r="G5187" s="26">
        <v>73452</v>
      </c>
      <c r="H5187" s="231"/>
      <c r="I5187" s="221"/>
      <c r="J5187" s="221"/>
      <c r="K5187" s="221"/>
      <c r="L5187" s="221"/>
      <c r="M5187" s="221"/>
      <c r="N5187" s="221"/>
      <c r="O5187" s="225"/>
      <c r="P5187" s="118" t="s">
        <v>6729</v>
      </c>
      <c r="Q5187" s="16" t="s">
        <v>20</v>
      </c>
      <c r="R5187" s="17" t="s">
        <v>15369</v>
      </c>
      <c r="S5187" s="121" t="s">
        <v>1731</v>
      </c>
      <c r="T5187" s="122"/>
      <c r="U5187" s="22"/>
      <c r="V5187" s="123" t="s">
        <v>7161</v>
      </c>
      <c r="W5187" s="122">
        <v>2069</v>
      </c>
      <c r="X5187" s="221"/>
      <c r="Y5187" s="221"/>
      <c r="Z5187" s="221"/>
      <c r="AA5187" s="221"/>
      <c r="AB5187" s="223"/>
    </row>
    <row r="5188" spans="1:28" ht="17.100000000000001" customHeight="1" thickTop="1">
      <c r="A5188" s="226" t="s">
        <v>14940</v>
      </c>
      <c r="B5188" s="28">
        <v>46039</v>
      </c>
      <c r="C5188" s="25">
        <v>1284</v>
      </c>
      <c r="D5188" s="13" t="s">
        <v>3327</v>
      </c>
      <c r="E5188" s="228"/>
      <c r="F5188" s="109" t="s">
        <v>14964</v>
      </c>
      <c r="G5188" s="24"/>
      <c r="H5188" s="230">
        <v>4</v>
      </c>
      <c r="I5188" s="220">
        <v>660000</v>
      </c>
      <c r="J5188" s="220">
        <f>I5188*0.1</f>
        <v>66000</v>
      </c>
      <c r="K5188" s="220">
        <v>0</v>
      </c>
      <c r="L5188" s="220">
        <v>9200</v>
      </c>
      <c r="M5188" s="220">
        <v>13200</v>
      </c>
      <c r="N5188" s="220">
        <f>SUM(I5188:M5189)</f>
        <v>748400</v>
      </c>
      <c r="O5188" s="224"/>
      <c r="P5188" s="110" t="s">
        <v>15407</v>
      </c>
      <c r="Q5188" s="15" t="s">
        <v>19</v>
      </c>
      <c r="R5188" s="205"/>
      <c r="S5188" s="189"/>
      <c r="T5188" s="114"/>
      <c r="U5188" s="21"/>
      <c r="V5188" s="115"/>
      <c r="W5188" s="116"/>
      <c r="X5188" s="220"/>
      <c r="Y5188" s="220">
        <f>X5188*0.1</f>
        <v>0</v>
      </c>
      <c r="Z5188" s="220"/>
      <c r="AA5188" s="220">
        <f>SUM(X5188:Z5188)</f>
        <v>0</v>
      </c>
      <c r="AB5188" s="222"/>
    </row>
    <row r="5189" spans="1:28" ht="17.100000000000001" customHeight="1" thickBot="1">
      <c r="A5189" s="227"/>
      <c r="B5189" s="27" t="s">
        <v>2472</v>
      </c>
      <c r="C5189" s="27">
        <v>65521</v>
      </c>
      <c r="D5189" s="14" t="s">
        <v>1710</v>
      </c>
      <c r="E5189" s="229"/>
      <c r="F5189" s="117" t="s">
        <v>14965</v>
      </c>
      <c r="G5189" s="26">
        <v>77010</v>
      </c>
      <c r="H5189" s="231"/>
      <c r="I5189" s="221"/>
      <c r="J5189" s="221"/>
      <c r="K5189" s="221"/>
      <c r="L5189" s="221"/>
      <c r="M5189" s="221"/>
      <c r="N5189" s="221"/>
      <c r="O5189" s="225"/>
      <c r="P5189" s="118" t="s">
        <v>6830</v>
      </c>
      <c r="Q5189" s="16" t="s">
        <v>20</v>
      </c>
      <c r="R5189" s="17" t="s">
        <v>15369</v>
      </c>
      <c r="S5189" s="121" t="s">
        <v>13565</v>
      </c>
      <c r="T5189" s="122" t="s">
        <v>15355</v>
      </c>
      <c r="U5189" s="22"/>
      <c r="V5189" s="123"/>
      <c r="W5189" s="122"/>
      <c r="X5189" s="221"/>
      <c r="Y5189" s="221"/>
      <c r="Z5189" s="221"/>
      <c r="AA5189" s="221"/>
      <c r="AB5189" s="223"/>
    </row>
    <row r="5190" spans="1:28" ht="17.100000000000001" customHeight="1" thickTop="1">
      <c r="A5190" s="226" t="s">
        <v>14941</v>
      </c>
      <c r="B5190" s="28">
        <v>46039</v>
      </c>
      <c r="C5190" s="25">
        <v>1284</v>
      </c>
      <c r="D5190" s="13" t="s">
        <v>2964</v>
      </c>
      <c r="E5190" s="228"/>
      <c r="F5190" s="109" t="s">
        <v>14966</v>
      </c>
      <c r="G5190" s="24" t="s">
        <v>3453</v>
      </c>
      <c r="H5190" s="230">
        <v>4.5</v>
      </c>
      <c r="I5190" s="220">
        <v>2290000</v>
      </c>
      <c r="J5190" s="220">
        <f>I5190*0.1</f>
        <v>229000</v>
      </c>
      <c r="K5190" s="220">
        <v>6600</v>
      </c>
      <c r="L5190" s="220">
        <v>17600</v>
      </c>
      <c r="M5190" s="220">
        <v>16500</v>
      </c>
      <c r="N5190" s="220">
        <f>SUM(I5190:M5191)</f>
        <v>2559700</v>
      </c>
      <c r="O5190" s="224"/>
      <c r="P5190" s="110" t="s">
        <v>14978</v>
      </c>
      <c r="Q5190" s="15" t="s">
        <v>19</v>
      </c>
      <c r="R5190" s="205"/>
      <c r="S5190" s="189" t="s">
        <v>758</v>
      </c>
      <c r="T5190" s="114"/>
      <c r="U5190" s="21"/>
      <c r="V5190" s="115"/>
      <c r="W5190" s="116"/>
      <c r="X5190" s="220"/>
      <c r="Y5190" s="220">
        <f>X5190*0.1</f>
        <v>0</v>
      </c>
      <c r="Z5190" s="220"/>
      <c r="AA5190" s="220">
        <f>SUM(X5190:Z5190)</f>
        <v>0</v>
      </c>
      <c r="AB5190" s="222"/>
    </row>
    <row r="5191" spans="1:28" ht="17.100000000000001" customHeight="1" thickBot="1">
      <c r="A5191" s="227"/>
      <c r="B5191" s="27" t="s">
        <v>2472</v>
      </c>
      <c r="C5191" s="27">
        <v>82554</v>
      </c>
      <c r="D5191" s="14" t="s">
        <v>1690</v>
      </c>
      <c r="E5191" s="229"/>
      <c r="F5191" s="117" t="s">
        <v>14977</v>
      </c>
      <c r="G5191" s="26">
        <v>28331</v>
      </c>
      <c r="H5191" s="231"/>
      <c r="I5191" s="221"/>
      <c r="J5191" s="221"/>
      <c r="K5191" s="221"/>
      <c r="L5191" s="221"/>
      <c r="M5191" s="221"/>
      <c r="N5191" s="221"/>
      <c r="O5191" s="225"/>
      <c r="P5191" s="118" t="s">
        <v>12426</v>
      </c>
      <c r="Q5191" s="16" t="s">
        <v>20</v>
      </c>
      <c r="R5191" s="17" t="s">
        <v>2600</v>
      </c>
      <c r="S5191" s="121" t="s">
        <v>169</v>
      </c>
      <c r="T5191" s="122"/>
      <c r="U5191" s="22"/>
      <c r="V5191" s="123"/>
      <c r="W5191" s="122"/>
      <c r="X5191" s="221"/>
      <c r="Y5191" s="221"/>
      <c r="Z5191" s="221"/>
      <c r="AA5191" s="221"/>
      <c r="AB5191" s="223"/>
    </row>
    <row r="5192" spans="1:28" ht="17.100000000000001" customHeight="1" thickTop="1">
      <c r="A5192" s="226" t="s">
        <v>14942</v>
      </c>
      <c r="B5192" s="28">
        <v>46039</v>
      </c>
      <c r="C5192" s="25">
        <v>1284</v>
      </c>
      <c r="D5192" s="13" t="s">
        <v>1615</v>
      </c>
      <c r="E5192" s="228"/>
      <c r="F5192" s="109" t="s">
        <v>14967</v>
      </c>
      <c r="G5192" s="24"/>
      <c r="H5192" s="230">
        <v>4</v>
      </c>
      <c r="I5192" s="220">
        <v>280000</v>
      </c>
      <c r="J5192" s="220">
        <f>I5192*0.1</f>
        <v>28000</v>
      </c>
      <c r="K5192" s="220">
        <v>0</v>
      </c>
      <c r="L5192" s="220">
        <v>17700</v>
      </c>
      <c r="M5192" s="220">
        <v>16500</v>
      </c>
      <c r="N5192" s="220">
        <f>SUM(I5192:M5193)</f>
        <v>342200</v>
      </c>
      <c r="O5192" s="224"/>
      <c r="P5192" s="110" t="s">
        <v>15372</v>
      </c>
      <c r="Q5192" s="15" t="s">
        <v>19</v>
      </c>
      <c r="R5192" s="205"/>
      <c r="S5192" s="189" t="s">
        <v>25702</v>
      </c>
      <c r="T5192" s="114"/>
      <c r="U5192" s="21"/>
      <c r="V5192" s="115">
        <v>46046</v>
      </c>
      <c r="W5192" s="116">
        <v>1285</v>
      </c>
      <c r="X5192" s="220">
        <v>385000</v>
      </c>
      <c r="Y5192" s="220">
        <f>X5192*0.1</f>
        <v>38500</v>
      </c>
      <c r="Z5192" s="220">
        <v>17700</v>
      </c>
      <c r="AA5192" s="220">
        <f>SUM(X5192:Z5192)</f>
        <v>441200</v>
      </c>
      <c r="AB5192" s="222">
        <v>46049</v>
      </c>
    </row>
    <row r="5193" spans="1:28" ht="17.100000000000001" customHeight="1" thickBot="1">
      <c r="A5193" s="227"/>
      <c r="B5193" s="27" t="s">
        <v>2472</v>
      </c>
      <c r="C5193" s="27">
        <v>82660</v>
      </c>
      <c r="D5193" s="14" t="s">
        <v>898</v>
      </c>
      <c r="E5193" s="229"/>
      <c r="F5193" s="117" t="s">
        <v>14979</v>
      </c>
      <c r="G5193" s="26">
        <v>79722</v>
      </c>
      <c r="H5193" s="231"/>
      <c r="I5193" s="221"/>
      <c r="J5193" s="221"/>
      <c r="K5193" s="221"/>
      <c r="L5193" s="221"/>
      <c r="M5193" s="221"/>
      <c r="N5193" s="221"/>
      <c r="O5193" s="225"/>
      <c r="P5193" s="118" t="s">
        <v>15373</v>
      </c>
      <c r="Q5193" s="16" t="s">
        <v>20</v>
      </c>
      <c r="R5193" s="17" t="s">
        <v>15369</v>
      </c>
      <c r="S5193" s="121" t="s">
        <v>15307</v>
      </c>
      <c r="T5193" s="122"/>
      <c r="U5193" s="22"/>
      <c r="V5193" s="123" t="s">
        <v>2472</v>
      </c>
      <c r="W5193" s="122">
        <v>80248</v>
      </c>
      <c r="X5193" s="221"/>
      <c r="Y5193" s="221"/>
      <c r="Z5193" s="221"/>
      <c r="AA5193" s="221"/>
      <c r="AB5193" s="223"/>
    </row>
    <row r="5194" spans="1:28" ht="17.100000000000001" customHeight="1" thickTop="1">
      <c r="A5194" s="233" t="s">
        <v>14943</v>
      </c>
      <c r="B5194" s="28">
        <v>46039</v>
      </c>
      <c r="C5194" s="25">
        <v>1284</v>
      </c>
      <c r="D5194" s="13" t="s">
        <v>2406</v>
      </c>
      <c r="E5194" s="228"/>
      <c r="F5194" s="109" t="s">
        <v>14968</v>
      </c>
      <c r="G5194" s="24"/>
      <c r="H5194" s="230">
        <v>4.5</v>
      </c>
      <c r="I5194" s="220">
        <v>1935000</v>
      </c>
      <c r="J5194" s="220">
        <f>I5194*0.1</f>
        <v>193500</v>
      </c>
      <c r="K5194" s="220">
        <v>0</v>
      </c>
      <c r="L5194" s="220">
        <v>16240</v>
      </c>
      <c r="M5194" s="220">
        <v>16500</v>
      </c>
      <c r="N5194" s="220">
        <f>SUM(I5194:M5195)</f>
        <v>2161240</v>
      </c>
      <c r="O5194" s="224"/>
      <c r="P5194" s="110"/>
      <c r="Q5194" s="15" t="s">
        <v>19</v>
      </c>
      <c r="R5194" s="205"/>
      <c r="S5194" s="189" t="s">
        <v>455</v>
      </c>
      <c r="T5194" s="114" t="s">
        <v>7899</v>
      </c>
      <c r="U5194" s="21"/>
      <c r="V5194" s="115"/>
      <c r="W5194" s="116"/>
      <c r="X5194" s="220"/>
      <c r="Y5194" s="220">
        <f>X5194*0.1</f>
        <v>0</v>
      </c>
      <c r="Z5194" s="220"/>
      <c r="AA5194" s="220">
        <f>SUM(X5194:Z5194)</f>
        <v>0</v>
      </c>
      <c r="AB5194" s="222"/>
    </row>
    <row r="5195" spans="1:28" ht="17.100000000000001" customHeight="1" thickBot="1">
      <c r="A5195" s="234"/>
      <c r="B5195" s="27" t="s">
        <v>2472</v>
      </c>
      <c r="C5195" s="27">
        <v>82663</v>
      </c>
      <c r="D5195" s="14" t="s">
        <v>14980</v>
      </c>
      <c r="E5195" s="229"/>
      <c r="F5195" s="117" t="s">
        <v>14981</v>
      </c>
      <c r="G5195" s="26">
        <v>37987</v>
      </c>
      <c r="H5195" s="231"/>
      <c r="I5195" s="221"/>
      <c r="J5195" s="221"/>
      <c r="K5195" s="221"/>
      <c r="L5195" s="221"/>
      <c r="M5195" s="221"/>
      <c r="N5195" s="221"/>
      <c r="O5195" s="225"/>
      <c r="P5195" s="118"/>
      <c r="Q5195" s="16" t="s">
        <v>20</v>
      </c>
      <c r="R5195" s="17" t="s">
        <v>10331</v>
      </c>
      <c r="S5195" s="121"/>
      <c r="T5195" s="122" t="s">
        <v>15374</v>
      </c>
      <c r="U5195" s="22"/>
      <c r="V5195" s="123"/>
      <c r="W5195" s="122"/>
      <c r="X5195" s="221"/>
      <c r="Y5195" s="221"/>
      <c r="Z5195" s="221"/>
      <c r="AA5195" s="221"/>
      <c r="AB5195" s="223"/>
    </row>
    <row r="5196" spans="1:28" ht="17.100000000000001" customHeight="1" thickTop="1">
      <c r="A5196" s="226" t="s">
        <v>14948</v>
      </c>
      <c r="B5196" s="28">
        <v>46039</v>
      </c>
      <c r="C5196" s="25">
        <v>1284</v>
      </c>
      <c r="D5196" s="13" t="s">
        <v>894</v>
      </c>
      <c r="E5196" s="228"/>
      <c r="F5196" s="109" t="s">
        <v>14969</v>
      </c>
      <c r="G5196" s="24" t="s">
        <v>3528</v>
      </c>
      <c r="H5196" s="230">
        <v>4.5</v>
      </c>
      <c r="I5196" s="220">
        <v>424000</v>
      </c>
      <c r="J5196" s="220">
        <f>I5196*0.1</f>
        <v>42400</v>
      </c>
      <c r="K5196" s="220">
        <v>7150</v>
      </c>
      <c r="L5196" s="220">
        <v>10720</v>
      </c>
      <c r="M5196" s="220">
        <v>8800</v>
      </c>
      <c r="N5196" s="220">
        <f>SUM(I5196:M5197)</f>
        <v>493070</v>
      </c>
      <c r="O5196" s="224"/>
      <c r="P5196" s="110" t="s">
        <v>14982</v>
      </c>
      <c r="Q5196" s="15" t="s">
        <v>19</v>
      </c>
      <c r="R5196" s="205"/>
      <c r="S5196" s="189"/>
      <c r="T5196" s="114"/>
      <c r="U5196" s="21"/>
      <c r="V5196" s="115">
        <v>46050</v>
      </c>
      <c r="W5196" s="116">
        <v>1002</v>
      </c>
      <c r="X5196" s="220">
        <v>500000</v>
      </c>
      <c r="Y5196" s="220">
        <f>X5196*0.1</f>
        <v>50000</v>
      </c>
      <c r="Z5196" s="220">
        <v>10720</v>
      </c>
      <c r="AA5196" s="220">
        <f>SUM(X5196:Z5196)</f>
        <v>560720</v>
      </c>
      <c r="AB5196" s="222">
        <v>46056</v>
      </c>
    </row>
    <row r="5197" spans="1:28" ht="17.100000000000001" customHeight="1" thickBot="1">
      <c r="A5197" s="227"/>
      <c r="B5197" s="27" t="s">
        <v>2472</v>
      </c>
      <c r="C5197" s="27">
        <v>90039</v>
      </c>
      <c r="D5197" s="14" t="s">
        <v>273</v>
      </c>
      <c r="E5197" s="229"/>
      <c r="F5197" s="117" t="s">
        <v>15404</v>
      </c>
      <c r="G5197" s="26">
        <v>91200</v>
      </c>
      <c r="H5197" s="231"/>
      <c r="I5197" s="221"/>
      <c r="J5197" s="221"/>
      <c r="K5197" s="221"/>
      <c r="L5197" s="221"/>
      <c r="M5197" s="221"/>
      <c r="N5197" s="221"/>
      <c r="O5197" s="225"/>
      <c r="P5197" s="118" t="s">
        <v>15412</v>
      </c>
      <c r="Q5197" s="16" t="s">
        <v>20</v>
      </c>
      <c r="R5197" s="17" t="s">
        <v>15369</v>
      </c>
      <c r="S5197" s="121" t="s">
        <v>15413</v>
      </c>
      <c r="T5197" s="122"/>
      <c r="U5197" s="22"/>
      <c r="V5197" s="123" t="s">
        <v>7161</v>
      </c>
      <c r="W5197" s="122">
        <v>5178</v>
      </c>
      <c r="X5197" s="221"/>
      <c r="Y5197" s="221"/>
      <c r="Z5197" s="221"/>
      <c r="AA5197" s="221"/>
      <c r="AB5197" s="223"/>
    </row>
    <row r="5198" spans="1:28" ht="17.100000000000001" customHeight="1" thickTop="1">
      <c r="A5198" s="226" t="s">
        <v>14949</v>
      </c>
      <c r="B5198" s="28">
        <v>46039</v>
      </c>
      <c r="C5198" s="25">
        <v>1284</v>
      </c>
      <c r="D5198" s="13" t="s">
        <v>2392</v>
      </c>
      <c r="E5198" s="228"/>
      <c r="F5198" s="109" t="s">
        <v>14970</v>
      </c>
      <c r="G5198" s="24"/>
      <c r="H5198" s="230">
        <v>5</v>
      </c>
      <c r="I5198" s="220">
        <v>1389000</v>
      </c>
      <c r="J5198" s="220">
        <f>I5198*0.1</f>
        <v>138900</v>
      </c>
      <c r="K5198" s="220">
        <v>0</v>
      </c>
      <c r="L5198" s="220">
        <v>8550</v>
      </c>
      <c r="M5198" s="220">
        <v>8800</v>
      </c>
      <c r="N5198" s="220">
        <f>SUM(I5198:M5199)</f>
        <v>1545250</v>
      </c>
      <c r="O5198" s="224"/>
      <c r="P5198" s="110" t="s">
        <v>15409</v>
      </c>
      <c r="Q5198" s="15" t="s">
        <v>19</v>
      </c>
      <c r="R5198" s="205"/>
      <c r="S5198" s="189" t="s">
        <v>25703</v>
      </c>
      <c r="T5198" s="114"/>
      <c r="U5198" s="21"/>
      <c r="V5198" s="115">
        <v>46063</v>
      </c>
      <c r="W5198" s="116">
        <v>1928</v>
      </c>
      <c r="X5198" s="220">
        <v>1445000</v>
      </c>
      <c r="Y5198" s="220">
        <f>X5198*0.1</f>
        <v>144500</v>
      </c>
      <c r="Z5198" s="220">
        <v>8550</v>
      </c>
      <c r="AA5198" s="220">
        <f>SUM(X5198:Z5198)</f>
        <v>1598050</v>
      </c>
      <c r="AB5198" s="222">
        <v>46070</v>
      </c>
    </row>
    <row r="5199" spans="1:28" ht="17.100000000000001" customHeight="1" thickBot="1">
      <c r="A5199" s="227"/>
      <c r="B5199" s="27" t="s">
        <v>2472</v>
      </c>
      <c r="C5199" s="27">
        <v>90283</v>
      </c>
      <c r="D5199" s="14" t="s">
        <v>273</v>
      </c>
      <c r="E5199" s="229"/>
      <c r="F5199" s="117" t="s">
        <v>14971</v>
      </c>
      <c r="G5199" s="26">
        <v>17759</v>
      </c>
      <c r="H5199" s="231"/>
      <c r="I5199" s="221"/>
      <c r="J5199" s="221"/>
      <c r="K5199" s="221"/>
      <c r="L5199" s="221"/>
      <c r="M5199" s="221"/>
      <c r="N5199" s="221"/>
      <c r="O5199" s="225"/>
      <c r="P5199" s="118" t="s">
        <v>6665</v>
      </c>
      <c r="Q5199" s="16" t="s">
        <v>20</v>
      </c>
      <c r="R5199" s="17" t="s">
        <v>15369</v>
      </c>
      <c r="S5199" s="121" t="s">
        <v>15410</v>
      </c>
      <c r="T5199" s="122"/>
      <c r="U5199" s="22"/>
      <c r="V5199" s="123" t="s">
        <v>17341</v>
      </c>
      <c r="W5199" s="122">
        <v>3095</v>
      </c>
      <c r="X5199" s="221"/>
      <c r="Y5199" s="221"/>
      <c r="Z5199" s="221"/>
      <c r="AA5199" s="221"/>
      <c r="AB5199" s="223"/>
    </row>
    <row r="5200" spans="1:28" ht="17.100000000000001" customHeight="1" thickTop="1">
      <c r="A5200" s="226" t="s">
        <v>15099</v>
      </c>
      <c r="B5200" s="28">
        <v>46041</v>
      </c>
      <c r="C5200" s="25">
        <v>2077</v>
      </c>
      <c r="D5200" s="13" t="s">
        <v>2406</v>
      </c>
      <c r="E5200" s="228"/>
      <c r="F5200" s="109" t="s">
        <v>7214</v>
      </c>
      <c r="G5200" s="24"/>
      <c r="H5200" s="230">
        <v>4</v>
      </c>
      <c r="I5200" s="220">
        <v>757000</v>
      </c>
      <c r="J5200" s="220">
        <f>I5200*0.1</f>
        <v>75700</v>
      </c>
      <c r="K5200" s="220">
        <v>0</v>
      </c>
      <c r="L5200" s="220">
        <v>8400</v>
      </c>
      <c r="M5200" s="220">
        <v>8800</v>
      </c>
      <c r="N5200" s="220">
        <f>SUM(I5200:M5201)</f>
        <v>849900</v>
      </c>
      <c r="O5200" s="224"/>
      <c r="P5200" s="110" t="s">
        <v>15338</v>
      </c>
      <c r="Q5200" s="15" t="s">
        <v>19</v>
      </c>
      <c r="R5200" s="205"/>
      <c r="S5200" s="189" t="s">
        <v>25704</v>
      </c>
      <c r="T5200" s="114"/>
      <c r="U5200" s="21"/>
      <c r="V5200" s="115">
        <v>46060</v>
      </c>
      <c r="W5200" s="116">
        <v>1287</v>
      </c>
      <c r="X5200" s="220">
        <v>905000</v>
      </c>
      <c r="Y5200" s="220">
        <f>X5200*0.1</f>
        <v>90500</v>
      </c>
      <c r="Z5200" s="220">
        <v>8400</v>
      </c>
      <c r="AA5200" s="220">
        <f>SUM(X5200:Z5200)</f>
        <v>1003900</v>
      </c>
      <c r="AB5200" s="222">
        <v>46063</v>
      </c>
    </row>
    <row r="5201" spans="1:28" ht="17.100000000000001" customHeight="1" thickBot="1">
      <c r="A5201" s="227"/>
      <c r="B5201" s="27" t="s">
        <v>15116</v>
      </c>
      <c r="C5201" s="27">
        <v>11023</v>
      </c>
      <c r="D5201" s="14" t="s">
        <v>273</v>
      </c>
      <c r="E5201" s="229"/>
      <c r="F5201" s="117" t="s">
        <v>15117</v>
      </c>
      <c r="G5201" s="26">
        <v>45994</v>
      </c>
      <c r="H5201" s="231"/>
      <c r="I5201" s="221"/>
      <c r="J5201" s="221"/>
      <c r="K5201" s="221"/>
      <c r="L5201" s="221"/>
      <c r="M5201" s="221"/>
      <c r="N5201" s="221"/>
      <c r="O5201" s="225"/>
      <c r="P5201" s="118" t="s">
        <v>6758</v>
      </c>
      <c r="Q5201" s="16" t="s">
        <v>20</v>
      </c>
      <c r="R5201" s="17" t="s">
        <v>15265</v>
      </c>
      <c r="S5201" s="121" t="s">
        <v>4843</v>
      </c>
      <c r="T5201" s="122"/>
      <c r="U5201" s="22"/>
      <c r="V5201" s="123" t="s">
        <v>2472</v>
      </c>
      <c r="W5201" s="122">
        <v>60099</v>
      </c>
      <c r="X5201" s="221"/>
      <c r="Y5201" s="221"/>
      <c r="Z5201" s="221"/>
      <c r="AA5201" s="221"/>
      <c r="AB5201" s="223"/>
    </row>
    <row r="5202" spans="1:28" ht="17.100000000000001" customHeight="1" thickTop="1">
      <c r="A5202" s="226" t="s">
        <v>15100</v>
      </c>
      <c r="B5202" s="28">
        <v>46041</v>
      </c>
      <c r="C5202" s="25">
        <v>2077</v>
      </c>
      <c r="D5202" s="13" t="s">
        <v>2422</v>
      </c>
      <c r="E5202" s="228"/>
      <c r="F5202" s="109" t="s">
        <v>15160</v>
      </c>
      <c r="G5202" s="24"/>
      <c r="H5202" s="230">
        <v>4</v>
      </c>
      <c r="I5202" s="220">
        <v>887000</v>
      </c>
      <c r="J5202" s="220">
        <f>I5202*0.1</f>
        <v>88700</v>
      </c>
      <c r="K5202" s="220">
        <v>0</v>
      </c>
      <c r="L5202" s="220">
        <v>22520</v>
      </c>
      <c r="M5202" s="220">
        <v>11000</v>
      </c>
      <c r="N5202" s="220">
        <f>SUM(I5202:M5203)</f>
        <v>1009220</v>
      </c>
      <c r="O5202" s="224"/>
      <c r="P5202" s="110" t="s">
        <v>15281</v>
      </c>
      <c r="Q5202" s="15" t="s">
        <v>19</v>
      </c>
      <c r="R5202" s="205"/>
      <c r="S5202" s="189" t="s">
        <v>25705</v>
      </c>
      <c r="T5202" s="114"/>
      <c r="U5202" s="21"/>
      <c r="V5202" s="115">
        <v>46053</v>
      </c>
      <c r="W5202" s="116">
        <v>1286</v>
      </c>
      <c r="X5202" s="220">
        <v>1005000</v>
      </c>
      <c r="Y5202" s="220">
        <f>X5202*0.1</f>
        <v>100500</v>
      </c>
      <c r="Z5202" s="220">
        <v>22520</v>
      </c>
      <c r="AA5202" s="220">
        <f>SUM(X5202:Z5202)</f>
        <v>1128020</v>
      </c>
      <c r="AB5202" s="222">
        <v>46056</v>
      </c>
    </row>
    <row r="5203" spans="1:28" ht="17.100000000000001" customHeight="1" thickBot="1">
      <c r="A5203" s="227"/>
      <c r="B5203" s="27" t="s">
        <v>15116</v>
      </c>
      <c r="C5203" s="27">
        <v>31001</v>
      </c>
      <c r="D5203" s="14" t="s">
        <v>3274</v>
      </c>
      <c r="E5203" s="229"/>
      <c r="F5203" s="117" t="s">
        <v>15118</v>
      </c>
      <c r="G5203" s="26">
        <v>68781</v>
      </c>
      <c r="H5203" s="231"/>
      <c r="I5203" s="221"/>
      <c r="J5203" s="221"/>
      <c r="K5203" s="221"/>
      <c r="L5203" s="221"/>
      <c r="M5203" s="221"/>
      <c r="N5203" s="221"/>
      <c r="O5203" s="225"/>
      <c r="P5203" s="118" t="s">
        <v>9498</v>
      </c>
      <c r="Q5203" s="16" t="s">
        <v>20</v>
      </c>
      <c r="R5203" s="17" t="s">
        <v>15265</v>
      </c>
      <c r="S5203" s="121" t="s">
        <v>1649</v>
      </c>
      <c r="T5203" s="122"/>
      <c r="U5203" s="22"/>
      <c r="V5203" s="123" t="s">
        <v>2472</v>
      </c>
      <c r="W5203" s="122">
        <v>80084</v>
      </c>
      <c r="X5203" s="221"/>
      <c r="Y5203" s="221"/>
      <c r="Z5203" s="221"/>
      <c r="AA5203" s="221"/>
      <c r="AB5203" s="223"/>
    </row>
    <row r="5204" spans="1:28" ht="17.100000000000001" customHeight="1" thickTop="1">
      <c r="A5204" s="226" t="s">
        <v>15101</v>
      </c>
      <c r="B5204" s="28">
        <v>46041</v>
      </c>
      <c r="C5204" s="25">
        <v>2077</v>
      </c>
      <c r="D5204" s="13" t="s">
        <v>1634</v>
      </c>
      <c r="E5204" s="228"/>
      <c r="F5204" s="109" t="s">
        <v>15161</v>
      </c>
      <c r="G5204" s="24" t="s">
        <v>1551</v>
      </c>
      <c r="H5204" s="230">
        <v>4.5</v>
      </c>
      <c r="I5204" s="220">
        <v>2385000</v>
      </c>
      <c r="J5204" s="220">
        <f>I5204*0.1</f>
        <v>238500</v>
      </c>
      <c r="K5204" s="220">
        <v>4510</v>
      </c>
      <c r="L5204" s="220">
        <v>21270</v>
      </c>
      <c r="M5204" s="220">
        <v>11000</v>
      </c>
      <c r="N5204" s="220">
        <f>SUM(I5204:M5205)</f>
        <v>2660280</v>
      </c>
      <c r="O5204" s="224"/>
      <c r="P5204" s="110" t="s">
        <v>15280</v>
      </c>
      <c r="Q5204" s="15" t="s">
        <v>19</v>
      </c>
      <c r="R5204" s="205"/>
      <c r="S5204" s="189"/>
      <c r="T5204" s="114"/>
      <c r="U5204" s="21"/>
      <c r="V5204" s="115">
        <v>46053</v>
      </c>
      <c r="W5204" s="116">
        <v>1286</v>
      </c>
      <c r="X5204" s="220">
        <v>2595000</v>
      </c>
      <c r="Y5204" s="220">
        <f>X5204*0.1</f>
        <v>259500</v>
      </c>
      <c r="Z5204" s="220">
        <v>21270</v>
      </c>
      <c r="AA5204" s="220">
        <f>SUM(X5204:Z5204)</f>
        <v>2875770</v>
      </c>
      <c r="AB5204" s="222">
        <v>46056</v>
      </c>
    </row>
    <row r="5205" spans="1:28" ht="17.100000000000001" customHeight="1" thickBot="1">
      <c r="A5205" s="227"/>
      <c r="B5205" s="27" t="s">
        <v>15116</v>
      </c>
      <c r="C5205" s="27">
        <v>31002</v>
      </c>
      <c r="D5205" s="14" t="s">
        <v>2433</v>
      </c>
      <c r="E5205" s="229"/>
      <c r="F5205" s="117" t="s">
        <v>15119</v>
      </c>
      <c r="G5205" s="26">
        <v>19028</v>
      </c>
      <c r="H5205" s="231"/>
      <c r="I5205" s="221"/>
      <c r="J5205" s="221"/>
      <c r="K5205" s="221"/>
      <c r="L5205" s="221"/>
      <c r="M5205" s="221"/>
      <c r="N5205" s="221"/>
      <c r="O5205" s="225"/>
      <c r="P5205" s="118" t="s">
        <v>9498</v>
      </c>
      <c r="Q5205" s="16" t="s">
        <v>20</v>
      </c>
      <c r="R5205" s="17" t="s">
        <v>15265</v>
      </c>
      <c r="S5205" s="121" t="s">
        <v>10590</v>
      </c>
      <c r="T5205" s="122"/>
      <c r="U5205" s="22"/>
      <c r="V5205" s="123" t="s">
        <v>2472</v>
      </c>
      <c r="W5205" s="122">
        <v>80439</v>
      </c>
      <c r="X5205" s="221"/>
      <c r="Y5205" s="221"/>
      <c r="Z5205" s="221"/>
      <c r="AA5205" s="221"/>
      <c r="AB5205" s="223"/>
    </row>
    <row r="5206" spans="1:28" ht="17.100000000000001" customHeight="1" thickTop="1">
      <c r="A5206" s="226" t="s">
        <v>15102</v>
      </c>
      <c r="B5206" s="28">
        <v>46041</v>
      </c>
      <c r="C5206" s="25">
        <v>2077</v>
      </c>
      <c r="D5206" s="13" t="s">
        <v>3406</v>
      </c>
      <c r="E5206" s="228"/>
      <c r="F5206" s="109" t="s">
        <v>15162</v>
      </c>
      <c r="G5206" s="24"/>
      <c r="H5206" s="230">
        <v>5</v>
      </c>
      <c r="I5206" s="220">
        <v>3240000</v>
      </c>
      <c r="J5206" s="220">
        <f>I5206*0.1</f>
        <v>324000</v>
      </c>
      <c r="K5206" s="220">
        <v>0</v>
      </c>
      <c r="L5206" s="220">
        <v>21700</v>
      </c>
      <c r="M5206" s="220">
        <v>12100</v>
      </c>
      <c r="N5206" s="220">
        <f>SUM(I5206:M5207)</f>
        <v>3597800</v>
      </c>
      <c r="O5206" s="224"/>
      <c r="P5206" s="110" t="s">
        <v>15431</v>
      </c>
      <c r="Q5206" s="15" t="s">
        <v>19</v>
      </c>
      <c r="R5206" s="205"/>
      <c r="S5206" s="189" t="s">
        <v>25706</v>
      </c>
      <c r="T5206" s="114"/>
      <c r="U5206" s="21"/>
      <c r="V5206" s="115">
        <v>46046</v>
      </c>
      <c r="W5206" s="116">
        <v>1285</v>
      </c>
      <c r="X5206" s="220">
        <v>3370000</v>
      </c>
      <c r="Y5206" s="220">
        <f>X5206*0.1</f>
        <v>337000</v>
      </c>
      <c r="Z5206" s="220">
        <v>21700</v>
      </c>
      <c r="AA5206" s="220">
        <f>SUM(X5206:Z5206)</f>
        <v>3728700</v>
      </c>
      <c r="AB5206" s="222">
        <v>46049</v>
      </c>
    </row>
    <row r="5207" spans="1:28" ht="17.100000000000001" customHeight="1" thickBot="1">
      <c r="A5207" s="227"/>
      <c r="B5207" s="27" t="s">
        <v>15116</v>
      </c>
      <c r="C5207" s="27">
        <v>33508</v>
      </c>
      <c r="D5207" s="14" t="s">
        <v>2433</v>
      </c>
      <c r="E5207" s="229"/>
      <c r="F5207" s="117" t="s">
        <v>15120</v>
      </c>
      <c r="G5207" s="26">
        <v>42428</v>
      </c>
      <c r="H5207" s="231"/>
      <c r="I5207" s="221"/>
      <c r="J5207" s="221"/>
      <c r="K5207" s="221"/>
      <c r="L5207" s="221"/>
      <c r="M5207" s="221"/>
      <c r="N5207" s="221"/>
      <c r="O5207" s="225"/>
      <c r="P5207" s="118" t="s">
        <v>4735</v>
      </c>
      <c r="Q5207" s="16" t="s">
        <v>20</v>
      </c>
      <c r="R5207" s="17" t="s">
        <v>15369</v>
      </c>
      <c r="S5207" s="121" t="s">
        <v>15756</v>
      </c>
      <c r="T5207" s="122"/>
      <c r="U5207" s="22"/>
      <c r="V5207" s="123" t="s">
        <v>2472</v>
      </c>
      <c r="W5207" s="122">
        <v>80379</v>
      </c>
      <c r="X5207" s="221"/>
      <c r="Y5207" s="221"/>
      <c r="Z5207" s="221"/>
      <c r="AA5207" s="221"/>
      <c r="AB5207" s="223"/>
    </row>
    <row r="5208" spans="1:28" ht="16.5" customHeight="1" thickTop="1">
      <c r="A5208" s="226" t="s">
        <v>15103</v>
      </c>
      <c r="B5208" s="28">
        <v>46041</v>
      </c>
      <c r="C5208" s="25">
        <v>2077</v>
      </c>
      <c r="D5208" s="13" t="s">
        <v>3422</v>
      </c>
      <c r="E5208" s="228"/>
      <c r="F5208" s="109" t="s">
        <v>15163</v>
      </c>
      <c r="G5208" s="24"/>
      <c r="H5208" s="230">
        <v>4</v>
      </c>
      <c r="I5208" s="220">
        <v>350000</v>
      </c>
      <c r="J5208" s="220">
        <f>I5208*0.1</f>
        <v>35000</v>
      </c>
      <c r="K5208" s="220">
        <v>0</v>
      </c>
      <c r="L5208" s="220">
        <v>19440</v>
      </c>
      <c r="M5208" s="220">
        <v>11000</v>
      </c>
      <c r="N5208" s="220">
        <f>SUM(I5208:M5209)</f>
        <v>415440</v>
      </c>
      <c r="O5208" s="224"/>
      <c r="P5208" s="110" t="s">
        <v>15432</v>
      </c>
      <c r="Q5208" s="15" t="s">
        <v>19</v>
      </c>
      <c r="R5208" s="205"/>
      <c r="S5208" s="189" t="s">
        <v>25707</v>
      </c>
      <c r="T5208" s="114"/>
      <c r="U5208" s="21"/>
      <c r="V5208" s="115">
        <v>46053</v>
      </c>
      <c r="W5208" s="116">
        <v>1286</v>
      </c>
      <c r="X5208" s="220">
        <v>525000</v>
      </c>
      <c r="Y5208" s="220">
        <f>X5208*0.1</f>
        <v>52500</v>
      </c>
      <c r="Z5208" s="220">
        <v>19440</v>
      </c>
      <c r="AA5208" s="220">
        <f>SUM(X5208:Z5208)</f>
        <v>596940</v>
      </c>
      <c r="AB5208" s="222">
        <v>46056</v>
      </c>
    </row>
    <row r="5209" spans="1:28" ht="17.100000000000001" customHeight="1" thickBot="1">
      <c r="A5209" s="227"/>
      <c r="B5209" s="27" t="s">
        <v>15116</v>
      </c>
      <c r="C5209" s="27">
        <v>34517</v>
      </c>
      <c r="D5209" s="14" t="s">
        <v>1584</v>
      </c>
      <c r="E5209" s="229"/>
      <c r="F5209" s="117" t="s">
        <v>15121</v>
      </c>
      <c r="G5209" s="26">
        <v>103369</v>
      </c>
      <c r="H5209" s="231"/>
      <c r="I5209" s="221"/>
      <c r="J5209" s="221"/>
      <c r="K5209" s="221"/>
      <c r="L5209" s="221"/>
      <c r="M5209" s="221"/>
      <c r="N5209" s="221"/>
      <c r="O5209" s="225"/>
      <c r="P5209" s="118" t="s">
        <v>15433</v>
      </c>
      <c r="Q5209" s="16" t="s">
        <v>20</v>
      </c>
      <c r="R5209" s="17" t="s">
        <v>15369</v>
      </c>
      <c r="S5209" s="121" t="s">
        <v>169</v>
      </c>
      <c r="T5209" s="122"/>
      <c r="U5209" s="22"/>
      <c r="V5209" s="123" t="s">
        <v>2472</v>
      </c>
      <c r="W5209" s="122">
        <v>80059</v>
      </c>
      <c r="X5209" s="221"/>
      <c r="Y5209" s="221"/>
      <c r="Z5209" s="221"/>
      <c r="AA5209" s="221"/>
      <c r="AB5209" s="223"/>
    </row>
    <row r="5210" spans="1:28" ht="17.100000000000001" customHeight="1" thickTop="1">
      <c r="A5210" s="226" t="s">
        <v>15104</v>
      </c>
      <c r="B5210" s="28">
        <v>46041</v>
      </c>
      <c r="C5210" s="25">
        <v>2077</v>
      </c>
      <c r="D5210" s="13" t="s">
        <v>1553</v>
      </c>
      <c r="E5210" s="228"/>
      <c r="F5210" s="109" t="s">
        <v>15164</v>
      </c>
      <c r="G5210" s="24" t="s">
        <v>3859</v>
      </c>
      <c r="H5210" s="230">
        <v>4</v>
      </c>
      <c r="I5210" s="220">
        <v>704000</v>
      </c>
      <c r="J5210" s="220">
        <f>I5210*0.1</f>
        <v>70400</v>
      </c>
      <c r="K5210" s="220">
        <v>7150</v>
      </c>
      <c r="L5210" s="220">
        <v>24830</v>
      </c>
      <c r="M5210" s="220">
        <v>11000</v>
      </c>
      <c r="N5210" s="220">
        <f>SUM(I5210:M5211)</f>
        <v>817380</v>
      </c>
      <c r="O5210" s="224"/>
      <c r="P5210" s="110" t="s">
        <v>15165</v>
      </c>
      <c r="Q5210" s="15" t="s">
        <v>19</v>
      </c>
      <c r="R5210" s="205"/>
      <c r="S5210" s="189" t="s">
        <v>25707</v>
      </c>
      <c r="T5210" s="114"/>
      <c r="U5210" s="21"/>
      <c r="V5210" s="115">
        <v>46046</v>
      </c>
      <c r="W5210" s="116">
        <v>1285</v>
      </c>
      <c r="X5210" s="220">
        <v>830000</v>
      </c>
      <c r="Y5210" s="220">
        <f>X5210*0.1</f>
        <v>83000</v>
      </c>
      <c r="Z5210" s="220">
        <v>24830</v>
      </c>
      <c r="AA5210" s="220">
        <f>SUM(X5210:Z5210)</f>
        <v>937830</v>
      </c>
      <c r="AB5210" s="222">
        <v>46049</v>
      </c>
    </row>
    <row r="5211" spans="1:28" ht="17.100000000000001" customHeight="1" thickBot="1">
      <c r="A5211" s="227"/>
      <c r="B5211" s="27" t="s">
        <v>15116</v>
      </c>
      <c r="C5211" s="27">
        <v>34527</v>
      </c>
      <c r="D5211" s="14" t="s">
        <v>273</v>
      </c>
      <c r="E5211" s="229"/>
      <c r="F5211" s="117" t="s">
        <v>15122</v>
      </c>
      <c r="G5211" s="26">
        <v>39072</v>
      </c>
      <c r="H5211" s="231"/>
      <c r="I5211" s="221"/>
      <c r="J5211" s="221"/>
      <c r="K5211" s="221"/>
      <c r="L5211" s="221"/>
      <c r="M5211" s="221"/>
      <c r="N5211" s="221"/>
      <c r="O5211" s="225"/>
      <c r="P5211" s="118" t="s">
        <v>11777</v>
      </c>
      <c r="Q5211" s="16" t="s">
        <v>20</v>
      </c>
      <c r="R5211" s="17" t="s">
        <v>15348</v>
      </c>
      <c r="S5211" s="121" t="s">
        <v>15365</v>
      </c>
      <c r="T5211" s="122"/>
      <c r="U5211" s="22"/>
      <c r="V5211" s="123" t="s">
        <v>2472</v>
      </c>
      <c r="W5211" s="122">
        <v>80371</v>
      </c>
      <c r="X5211" s="221"/>
      <c r="Y5211" s="221"/>
      <c r="Z5211" s="221"/>
      <c r="AA5211" s="221"/>
      <c r="AB5211" s="223"/>
    </row>
    <row r="5212" spans="1:28" ht="17.100000000000001" customHeight="1" thickTop="1">
      <c r="A5212" s="226" t="s">
        <v>15105</v>
      </c>
      <c r="B5212" s="28">
        <v>46041</v>
      </c>
      <c r="C5212" s="25">
        <v>2077</v>
      </c>
      <c r="D5212" s="13" t="s">
        <v>4368</v>
      </c>
      <c r="E5212" s="228"/>
      <c r="F5212" s="109" t="s">
        <v>15166</v>
      </c>
      <c r="G5212" s="24" t="s">
        <v>4025</v>
      </c>
      <c r="H5212" s="230">
        <v>4.5</v>
      </c>
      <c r="I5212" s="220">
        <v>805000</v>
      </c>
      <c r="J5212" s="220">
        <f>I5212*0.1</f>
        <v>80500</v>
      </c>
      <c r="K5212" s="220">
        <v>7150</v>
      </c>
      <c r="L5212" s="220">
        <v>14780</v>
      </c>
      <c r="M5212" s="220">
        <v>11000</v>
      </c>
      <c r="N5212" s="220">
        <f>SUM(I5212:M5213)</f>
        <v>918430</v>
      </c>
      <c r="O5212" s="224"/>
      <c r="P5212" s="110" t="s">
        <v>15167</v>
      </c>
      <c r="Q5212" s="15" t="s">
        <v>19</v>
      </c>
      <c r="R5212" s="205"/>
      <c r="S5212" s="189" t="s">
        <v>25704</v>
      </c>
      <c r="T5212" s="114"/>
      <c r="U5212" s="21" t="s">
        <v>17028</v>
      </c>
      <c r="V5212" s="115">
        <v>46102</v>
      </c>
      <c r="W5212" s="116">
        <v>1293</v>
      </c>
      <c r="X5212" s="220">
        <v>885000</v>
      </c>
      <c r="Y5212" s="220">
        <f>X5212*0.1</f>
        <v>88500</v>
      </c>
      <c r="Z5212" s="220">
        <v>14780</v>
      </c>
      <c r="AA5212" s="220">
        <f>SUM(X5212:Z5212)</f>
        <v>988280</v>
      </c>
      <c r="AB5212" s="222">
        <v>46105</v>
      </c>
    </row>
    <row r="5213" spans="1:28" ht="17.100000000000001" customHeight="1" thickBot="1">
      <c r="A5213" s="227"/>
      <c r="B5213" s="27" t="s">
        <v>15116</v>
      </c>
      <c r="C5213" s="27">
        <v>36014</v>
      </c>
      <c r="D5213" s="14" t="s">
        <v>273</v>
      </c>
      <c r="E5213" s="229"/>
      <c r="F5213" s="117" t="s">
        <v>15123</v>
      </c>
      <c r="G5213" s="26">
        <v>63204</v>
      </c>
      <c r="H5213" s="231"/>
      <c r="I5213" s="221"/>
      <c r="J5213" s="221"/>
      <c r="K5213" s="221"/>
      <c r="L5213" s="221"/>
      <c r="M5213" s="221"/>
      <c r="N5213" s="221"/>
      <c r="O5213" s="225"/>
      <c r="P5213" s="118" t="s">
        <v>15366</v>
      </c>
      <c r="Q5213" s="16" t="s">
        <v>20</v>
      </c>
      <c r="R5213" s="17" t="s">
        <v>15348</v>
      </c>
      <c r="S5213" s="121" t="s">
        <v>15758</v>
      </c>
      <c r="T5213" s="122"/>
      <c r="U5213" s="22"/>
      <c r="V5213" s="123" t="s">
        <v>2472</v>
      </c>
      <c r="W5213" s="122">
        <v>80055</v>
      </c>
      <c r="X5213" s="221"/>
      <c r="Y5213" s="221"/>
      <c r="Z5213" s="221"/>
      <c r="AA5213" s="221"/>
      <c r="AB5213" s="223"/>
    </row>
    <row r="5214" spans="1:28" ht="17.100000000000001" customHeight="1" thickTop="1">
      <c r="A5214" s="226" t="s">
        <v>15106</v>
      </c>
      <c r="B5214" s="28">
        <v>46041</v>
      </c>
      <c r="C5214" s="25"/>
      <c r="D5214" s="13" t="s">
        <v>3474</v>
      </c>
      <c r="E5214" s="228"/>
      <c r="F5214" s="109" t="s">
        <v>15125</v>
      </c>
      <c r="G5214" s="24" t="s">
        <v>2084</v>
      </c>
      <c r="H5214" s="230">
        <v>4.5</v>
      </c>
      <c r="I5214" s="220">
        <v>1480000</v>
      </c>
      <c r="J5214" s="220">
        <f>I5214*0.1</f>
        <v>148000</v>
      </c>
      <c r="K5214" s="220">
        <v>6600</v>
      </c>
      <c r="L5214" s="220">
        <v>22240</v>
      </c>
      <c r="M5214" s="220">
        <v>14850</v>
      </c>
      <c r="N5214" s="220">
        <f>SUM(I5214:M5215)</f>
        <v>1671690</v>
      </c>
      <c r="O5214" s="224"/>
      <c r="P5214" s="110" t="s">
        <v>15168</v>
      </c>
      <c r="Q5214" s="15" t="s">
        <v>19</v>
      </c>
      <c r="R5214" s="205"/>
      <c r="S5214" s="189" t="s">
        <v>758</v>
      </c>
      <c r="T5214" s="114"/>
      <c r="U5214" s="21" t="s">
        <v>18268</v>
      </c>
      <c r="V5214" s="115"/>
      <c r="W5214" s="116"/>
      <c r="X5214" s="220"/>
      <c r="Y5214" s="220">
        <f>X5214*0.1</f>
        <v>0</v>
      </c>
      <c r="Z5214" s="220"/>
      <c r="AA5214" s="220">
        <f>SUM(X5214:Z5214)</f>
        <v>0</v>
      </c>
      <c r="AB5214" s="222"/>
    </row>
    <row r="5215" spans="1:28" ht="17.100000000000001" customHeight="1" thickBot="1">
      <c r="A5215" s="227"/>
      <c r="B5215" s="27" t="s">
        <v>15124</v>
      </c>
      <c r="C5215" s="27">
        <v>10013</v>
      </c>
      <c r="D5215" s="14" t="s">
        <v>14980</v>
      </c>
      <c r="E5215" s="229"/>
      <c r="F5215" s="117" t="s">
        <v>15169</v>
      </c>
      <c r="G5215" s="26">
        <v>37521</v>
      </c>
      <c r="H5215" s="231"/>
      <c r="I5215" s="221"/>
      <c r="J5215" s="221"/>
      <c r="K5215" s="221"/>
      <c r="L5215" s="221"/>
      <c r="M5215" s="221"/>
      <c r="N5215" s="221"/>
      <c r="O5215" s="225"/>
      <c r="P5215" s="118" t="s">
        <v>4030</v>
      </c>
      <c r="Q5215" s="16" t="s">
        <v>20</v>
      </c>
      <c r="R5215" s="17" t="s">
        <v>15265</v>
      </c>
      <c r="S5215" s="121" t="s">
        <v>16624</v>
      </c>
      <c r="T5215" s="122"/>
      <c r="U5215" s="22"/>
      <c r="V5215" s="123"/>
      <c r="W5215" s="122"/>
      <c r="X5215" s="221"/>
      <c r="Y5215" s="221"/>
      <c r="Z5215" s="221"/>
      <c r="AA5215" s="221"/>
      <c r="AB5215" s="223"/>
    </row>
    <row r="5216" spans="1:28" ht="17.100000000000001" customHeight="1" thickTop="1">
      <c r="A5216" s="226" t="s">
        <v>15107</v>
      </c>
      <c r="B5216" s="28">
        <v>46041</v>
      </c>
      <c r="C5216" s="25"/>
      <c r="D5216" s="13" t="s">
        <v>1883</v>
      </c>
      <c r="E5216" s="228"/>
      <c r="F5216" s="109" t="s">
        <v>15170</v>
      </c>
      <c r="G5216" s="24"/>
      <c r="H5216" s="230">
        <v>4.5</v>
      </c>
      <c r="I5216" s="220">
        <v>2491000</v>
      </c>
      <c r="J5216" s="220">
        <f>I5216*0.1</f>
        <v>249100</v>
      </c>
      <c r="K5216" s="220">
        <v>0</v>
      </c>
      <c r="L5216" s="220">
        <v>20460</v>
      </c>
      <c r="M5216" s="220">
        <v>14850</v>
      </c>
      <c r="N5216" s="220">
        <f>SUM(I5216:M5217)</f>
        <v>2775410</v>
      </c>
      <c r="O5216" s="224"/>
      <c r="P5216" s="110" t="s">
        <v>15352</v>
      </c>
      <c r="Q5216" s="15" t="s">
        <v>19</v>
      </c>
      <c r="R5216" s="205"/>
      <c r="S5216" s="189" t="s">
        <v>758</v>
      </c>
      <c r="T5216" s="114"/>
      <c r="U5216" s="21"/>
      <c r="V5216" s="115">
        <v>46058</v>
      </c>
      <c r="W5216" s="116">
        <v>1317</v>
      </c>
      <c r="X5216" s="220">
        <v>2600000</v>
      </c>
      <c r="Y5216" s="220">
        <f>X5216*0.1</f>
        <v>260000</v>
      </c>
      <c r="Z5216" s="220">
        <v>20460</v>
      </c>
      <c r="AA5216" s="220">
        <f>SUM(X5216:Z5216)</f>
        <v>2880460</v>
      </c>
      <c r="AB5216" s="222">
        <v>46059</v>
      </c>
    </row>
    <row r="5217" spans="1:28" ht="17.100000000000001" customHeight="1" thickBot="1">
      <c r="A5217" s="227"/>
      <c r="B5217" s="27" t="s">
        <v>15124</v>
      </c>
      <c r="C5217" s="27">
        <v>10343</v>
      </c>
      <c r="D5217" s="14" t="s">
        <v>2433</v>
      </c>
      <c r="E5217" s="229"/>
      <c r="F5217" s="117" t="s">
        <v>15171</v>
      </c>
      <c r="G5217" s="26">
        <v>13186</v>
      </c>
      <c r="H5217" s="231"/>
      <c r="I5217" s="221"/>
      <c r="J5217" s="221"/>
      <c r="K5217" s="221"/>
      <c r="L5217" s="221"/>
      <c r="M5217" s="221"/>
      <c r="N5217" s="221"/>
      <c r="O5217" s="225"/>
      <c r="P5217" s="118" t="s">
        <v>15353</v>
      </c>
      <c r="Q5217" s="16" t="s">
        <v>20</v>
      </c>
      <c r="R5217" s="17" t="s">
        <v>15348</v>
      </c>
      <c r="S5217" s="121" t="s">
        <v>1731</v>
      </c>
      <c r="T5217" s="122"/>
      <c r="U5217" s="22"/>
      <c r="V5217" s="123" t="s">
        <v>13379</v>
      </c>
      <c r="W5217" s="122">
        <v>208</v>
      </c>
      <c r="X5217" s="221"/>
      <c r="Y5217" s="221"/>
      <c r="Z5217" s="221"/>
      <c r="AA5217" s="221"/>
      <c r="AB5217" s="223"/>
    </row>
    <row r="5218" spans="1:28" ht="17.100000000000001" customHeight="1" thickTop="1">
      <c r="A5218" s="226" t="s">
        <v>15108</v>
      </c>
      <c r="B5218" s="28">
        <v>46041</v>
      </c>
      <c r="C5218" s="25"/>
      <c r="D5218" s="13" t="s">
        <v>1931</v>
      </c>
      <c r="E5218" s="228"/>
      <c r="F5218" s="109" t="s">
        <v>15172</v>
      </c>
      <c r="G5218" s="24"/>
      <c r="H5218" s="230">
        <v>3.5</v>
      </c>
      <c r="I5218" s="220">
        <v>2363000</v>
      </c>
      <c r="J5218" s="220">
        <f>I5218*0.1</f>
        <v>236300</v>
      </c>
      <c r="K5218" s="220">
        <v>0</v>
      </c>
      <c r="L5218" s="220">
        <v>23400</v>
      </c>
      <c r="M5218" s="220">
        <v>14850</v>
      </c>
      <c r="N5218" s="220">
        <f>SUM(I5218:M5219)</f>
        <v>2637550</v>
      </c>
      <c r="O5218" s="224"/>
      <c r="P5218" s="110" t="s">
        <v>15371</v>
      </c>
      <c r="Q5218" s="15" t="s">
        <v>19</v>
      </c>
      <c r="R5218" s="205"/>
      <c r="S5218" s="189"/>
      <c r="T5218" s="114"/>
      <c r="U5218" s="21"/>
      <c r="V5218" s="115">
        <v>46046</v>
      </c>
      <c r="W5218" s="116">
        <v>1285</v>
      </c>
      <c r="X5218" s="220">
        <v>2615000</v>
      </c>
      <c r="Y5218" s="220">
        <f>X5218*0.1</f>
        <v>261500</v>
      </c>
      <c r="Z5218" s="220">
        <v>23400</v>
      </c>
      <c r="AA5218" s="220">
        <f>SUM(X5218:Z5218)</f>
        <v>2899900</v>
      </c>
      <c r="AB5218" s="222">
        <v>46049</v>
      </c>
    </row>
    <row r="5219" spans="1:28" ht="17.100000000000001" customHeight="1" thickBot="1">
      <c r="A5219" s="227"/>
      <c r="B5219" s="27" t="s">
        <v>15126</v>
      </c>
      <c r="C5219" s="27">
        <v>80256</v>
      </c>
      <c r="D5219" s="14" t="s">
        <v>273</v>
      </c>
      <c r="E5219" s="229"/>
      <c r="F5219" s="117" t="s">
        <v>15370</v>
      </c>
      <c r="G5219" s="26">
        <v>48982</v>
      </c>
      <c r="H5219" s="231"/>
      <c r="I5219" s="221"/>
      <c r="J5219" s="221"/>
      <c r="K5219" s="221"/>
      <c r="L5219" s="221"/>
      <c r="M5219" s="221"/>
      <c r="N5219" s="221"/>
      <c r="O5219" s="225"/>
      <c r="P5219" s="118" t="s">
        <v>2729</v>
      </c>
      <c r="Q5219" s="16" t="s">
        <v>20</v>
      </c>
      <c r="R5219" s="17" t="s">
        <v>15369</v>
      </c>
      <c r="S5219" s="121" t="s">
        <v>7720</v>
      </c>
      <c r="T5219" s="122"/>
      <c r="U5219" s="22"/>
      <c r="V5219" s="123" t="s">
        <v>2472</v>
      </c>
      <c r="W5219" s="122">
        <v>80119</v>
      </c>
      <c r="X5219" s="221"/>
      <c r="Y5219" s="221"/>
      <c r="Z5219" s="221"/>
      <c r="AA5219" s="221"/>
      <c r="AB5219" s="223"/>
    </row>
    <row r="5220" spans="1:28" ht="17.100000000000001" customHeight="1" thickTop="1">
      <c r="A5220" s="226" t="s">
        <v>15109</v>
      </c>
      <c r="B5220" s="28">
        <v>46041</v>
      </c>
      <c r="C5220" s="25"/>
      <c r="D5220" s="13" t="s">
        <v>1607</v>
      </c>
      <c r="E5220" s="228"/>
      <c r="F5220" s="109" t="s">
        <v>15175</v>
      </c>
      <c r="G5220" s="24" t="s">
        <v>15174</v>
      </c>
      <c r="H5220" s="230">
        <v>3.5</v>
      </c>
      <c r="I5220" s="220">
        <v>479000</v>
      </c>
      <c r="J5220" s="220">
        <f>I5220*0.1</f>
        <v>47900</v>
      </c>
      <c r="K5220" s="220">
        <v>0</v>
      </c>
      <c r="L5220" s="220">
        <v>8850</v>
      </c>
      <c r="M5220" s="220">
        <v>0</v>
      </c>
      <c r="N5220" s="220">
        <f>SUM(I5220:M5221)</f>
        <v>535750</v>
      </c>
      <c r="O5220" s="224"/>
      <c r="P5220" s="110" t="s">
        <v>15822</v>
      </c>
      <c r="Q5220" s="15" t="s">
        <v>19</v>
      </c>
      <c r="R5220" s="205"/>
      <c r="S5220" s="189" t="s">
        <v>283</v>
      </c>
      <c r="T5220" s="114"/>
      <c r="U5220" s="21"/>
      <c r="V5220" s="115">
        <v>46053</v>
      </c>
      <c r="W5220" s="116">
        <v>1286</v>
      </c>
      <c r="X5220" s="220">
        <v>590000</v>
      </c>
      <c r="Y5220" s="220">
        <f>X5220*0.1</f>
        <v>59000</v>
      </c>
      <c r="Z5220" s="220">
        <v>8850</v>
      </c>
      <c r="AA5220" s="220">
        <f>SUM(X5220:Z5220)</f>
        <v>657850</v>
      </c>
      <c r="AB5220" s="222">
        <v>46056</v>
      </c>
    </row>
    <row r="5221" spans="1:28" ht="17.100000000000001" customHeight="1" thickBot="1">
      <c r="A5221" s="227"/>
      <c r="B5221" s="27" t="s">
        <v>1708</v>
      </c>
      <c r="C5221" s="27" t="s">
        <v>15132</v>
      </c>
      <c r="D5221" s="14" t="s">
        <v>273</v>
      </c>
      <c r="E5221" s="229"/>
      <c r="F5221" s="117" t="s">
        <v>15133</v>
      </c>
      <c r="G5221" s="26">
        <v>40382</v>
      </c>
      <c r="H5221" s="231"/>
      <c r="I5221" s="221"/>
      <c r="J5221" s="221"/>
      <c r="K5221" s="221"/>
      <c r="L5221" s="221"/>
      <c r="M5221" s="221"/>
      <c r="N5221" s="221"/>
      <c r="O5221" s="225"/>
      <c r="P5221" s="118" t="s">
        <v>15823</v>
      </c>
      <c r="Q5221" s="16" t="s">
        <v>20</v>
      </c>
      <c r="R5221" s="17" t="s">
        <v>15814</v>
      </c>
      <c r="S5221" s="121" t="s">
        <v>1625</v>
      </c>
      <c r="T5221" s="122"/>
      <c r="U5221" s="22"/>
      <c r="V5221" s="123" t="s">
        <v>2472</v>
      </c>
      <c r="W5221" s="122">
        <v>65141</v>
      </c>
      <c r="X5221" s="221"/>
      <c r="Y5221" s="221"/>
      <c r="Z5221" s="221"/>
      <c r="AA5221" s="221"/>
      <c r="AB5221" s="223"/>
    </row>
    <row r="5222" spans="1:28" ht="17.100000000000001" customHeight="1" thickTop="1">
      <c r="A5222" s="226" t="s">
        <v>15110</v>
      </c>
      <c r="B5222" s="28">
        <v>46041</v>
      </c>
      <c r="C5222" s="25"/>
      <c r="D5222" s="13" t="s">
        <v>1829</v>
      </c>
      <c r="E5222" s="228"/>
      <c r="F5222" s="109" t="s">
        <v>15176</v>
      </c>
      <c r="G5222" s="24" t="s">
        <v>15177</v>
      </c>
      <c r="H5222" s="230">
        <v>4.5</v>
      </c>
      <c r="I5222" s="220">
        <v>3130000</v>
      </c>
      <c r="J5222" s="220">
        <f>I5222*0.1</f>
        <v>313000</v>
      </c>
      <c r="K5222" s="220">
        <v>3600</v>
      </c>
      <c r="L5222" s="220">
        <v>14900</v>
      </c>
      <c r="M5222" s="220">
        <v>0</v>
      </c>
      <c r="N5222" s="220">
        <f>SUM(I5222:M5223)</f>
        <v>3461500</v>
      </c>
      <c r="O5222" s="224"/>
      <c r="P5222" s="110" t="s">
        <v>16080</v>
      </c>
      <c r="Q5222" s="15" t="s">
        <v>19</v>
      </c>
      <c r="R5222" s="205"/>
      <c r="S5222" s="189" t="s">
        <v>25507</v>
      </c>
      <c r="T5222" s="114"/>
      <c r="U5222" s="21" t="s">
        <v>18271</v>
      </c>
      <c r="V5222" s="115">
        <v>46086</v>
      </c>
      <c r="W5222" s="116"/>
      <c r="X5222" s="220">
        <v>3100000</v>
      </c>
      <c r="Y5222" s="220">
        <f>X5222*0.1</f>
        <v>310000</v>
      </c>
      <c r="Z5222" s="220">
        <v>14600</v>
      </c>
      <c r="AA5222" s="220">
        <f>SUM(X5222:Z5222)</f>
        <v>3424600</v>
      </c>
      <c r="AB5222" s="222"/>
    </row>
    <row r="5223" spans="1:28" ht="17.100000000000001" customHeight="1" thickBot="1">
      <c r="A5223" s="227"/>
      <c r="B5223" s="27" t="s">
        <v>1708</v>
      </c>
      <c r="C5223" s="27" t="s">
        <v>15134</v>
      </c>
      <c r="D5223" s="14" t="s">
        <v>273</v>
      </c>
      <c r="E5223" s="229"/>
      <c r="F5223" s="117" t="s">
        <v>15135</v>
      </c>
      <c r="G5223" s="26">
        <v>16371</v>
      </c>
      <c r="H5223" s="231"/>
      <c r="I5223" s="221"/>
      <c r="J5223" s="221"/>
      <c r="K5223" s="221"/>
      <c r="L5223" s="221"/>
      <c r="M5223" s="221"/>
      <c r="N5223" s="221"/>
      <c r="O5223" s="225"/>
      <c r="P5223" s="118" t="s">
        <v>16081</v>
      </c>
      <c r="Q5223" s="16" t="s">
        <v>20</v>
      </c>
      <c r="R5223" s="17" t="s">
        <v>16027</v>
      </c>
      <c r="S5223" s="121" t="s">
        <v>1606</v>
      </c>
      <c r="T5223" s="122"/>
      <c r="U5223" s="22"/>
      <c r="V5223" s="123" t="s">
        <v>18913</v>
      </c>
      <c r="W5223" s="122">
        <v>51696</v>
      </c>
      <c r="X5223" s="221"/>
      <c r="Y5223" s="221"/>
      <c r="Z5223" s="221"/>
      <c r="AA5223" s="221"/>
      <c r="AB5223" s="223"/>
    </row>
    <row r="5224" spans="1:28" ht="17.100000000000001" customHeight="1" thickTop="1">
      <c r="A5224" s="226" t="s">
        <v>15111</v>
      </c>
      <c r="B5224" s="28">
        <v>46041</v>
      </c>
      <c r="C5224" s="25"/>
      <c r="D5224" s="13" t="s">
        <v>2428</v>
      </c>
      <c r="E5224" s="228"/>
      <c r="F5224" s="109" t="s">
        <v>15967</v>
      </c>
      <c r="G5224" s="24" t="s">
        <v>15178</v>
      </c>
      <c r="H5224" s="230">
        <v>5</v>
      </c>
      <c r="I5224" s="220">
        <v>3130000</v>
      </c>
      <c r="J5224" s="220">
        <f>I5224*0.1</f>
        <v>313000</v>
      </c>
      <c r="K5224" s="220">
        <v>0</v>
      </c>
      <c r="L5224" s="220">
        <v>8780</v>
      </c>
      <c r="M5224" s="220">
        <v>0</v>
      </c>
      <c r="N5224" s="220">
        <f>SUM(I5224:M5225)</f>
        <v>3451780</v>
      </c>
      <c r="O5224" s="224"/>
      <c r="P5224" s="110" t="s">
        <v>15955</v>
      </c>
      <c r="Q5224" s="15" t="s">
        <v>19</v>
      </c>
      <c r="R5224" s="205"/>
      <c r="S5224" s="189" t="s">
        <v>25708</v>
      </c>
      <c r="T5224" s="114"/>
      <c r="U5224" s="21"/>
      <c r="V5224" s="115">
        <v>46064</v>
      </c>
      <c r="W5224" s="116">
        <v>1004</v>
      </c>
      <c r="X5224" s="220">
        <v>3205000</v>
      </c>
      <c r="Y5224" s="220">
        <f>X5224*0.1</f>
        <v>320500</v>
      </c>
      <c r="Z5224" s="220">
        <v>8780</v>
      </c>
      <c r="AA5224" s="220">
        <f>SUM(X5224:Z5224)</f>
        <v>3534280</v>
      </c>
      <c r="AB5224" s="222">
        <v>46069</v>
      </c>
    </row>
    <row r="5225" spans="1:28" ht="17.100000000000001" customHeight="1" thickBot="1">
      <c r="A5225" s="227"/>
      <c r="B5225" s="27" t="s">
        <v>1708</v>
      </c>
      <c r="C5225" s="27" t="s">
        <v>15136</v>
      </c>
      <c r="D5225" s="14" t="s">
        <v>1584</v>
      </c>
      <c r="E5225" s="229"/>
      <c r="F5225" s="117" t="s">
        <v>15137</v>
      </c>
      <c r="G5225" s="26">
        <v>5124</v>
      </c>
      <c r="H5225" s="231"/>
      <c r="I5225" s="221"/>
      <c r="J5225" s="221"/>
      <c r="K5225" s="221"/>
      <c r="L5225" s="221"/>
      <c r="M5225" s="221"/>
      <c r="N5225" s="221"/>
      <c r="O5225" s="225"/>
      <c r="P5225" s="118" t="s">
        <v>15956</v>
      </c>
      <c r="Q5225" s="16" t="s">
        <v>20</v>
      </c>
      <c r="R5225" s="17" t="s">
        <v>1822</v>
      </c>
      <c r="S5225" s="121" t="s">
        <v>2025</v>
      </c>
      <c r="T5225" s="122"/>
      <c r="U5225" s="22"/>
      <c r="V5225" s="123" t="s">
        <v>2747</v>
      </c>
      <c r="W5225" s="122">
        <v>4015</v>
      </c>
      <c r="X5225" s="221"/>
      <c r="Y5225" s="221"/>
      <c r="Z5225" s="221"/>
      <c r="AA5225" s="221"/>
      <c r="AB5225" s="223"/>
    </row>
    <row r="5226" spans="1:28" ht="17.100000000000001" customHeight="1" thickTop="1">
      <c r="A5226" s="226" t="s">
        <v>15112</v>
      </c>
      <c r="B5226" s="28">
        <v>46041</v>
      </c>
      <c r="C5226" s="25"/>
      <c r="D5226" s="13" t="s">
        <v>2371</v>
      </c>
      <c r="E5226" s="228"/>
      <c r="F5226" s="109" t="s">
        <v>5613</v>
      </c>
      <c r="G5226" s="24" t="s">
        <v>3482</v>
      </c>
      <c r="H5226" s="230">
        <v>3.5</v>
      </c>
      <c r="I5226" s="220">
        <v>144000</v>
      </c>
      <c r="J5226" s="220">
        <f>I5226*0.1</f>
        <v>14400</v>
      </c>
      <c r="K5226" s="220">
        <v>0</v>
      </c>
      <c r="L5226" s="220">
        <v>8930</v>
      </c>
      <c r="M5226" s="220">
        <v>0</v>
      </c>
      <c r="N5226" s="220">
        <f>SUM(I5226:M5227)</f>
        <v>167330</v>
      </c>
      <c r="O5226" s="224"/>
      <c r="P5226" s="110" t="s">
        <v>16534</v>
      </c>
      <c r="Q5226" s="15" t="s">
        <v>19</v>
      </c>
      <c r="R5226" s="205"/>
      <c r="S5226" s="189" t="s">
        <v>25708</v>
      </c>
      <c r="T5226" s="114"/>
      <c r="U5226" s="21"/>
      <c r="V5226" s="115">
        <v>46067</v>
      </c>
      <c r="W5226" s="116">
        <v>1288</v>
      </c>
      <c r="X5226" s="220">
        <v>205000</v>
      </c>
      <c r="Y5226" s="220">
        <f>X5226*0.1</f>
        <v>20500</v>
      </c>
      <c r="Z5226" s="220">
        <v>8930</v>
      </c>
      <c r="AA5226" s="220">
        <f>SUM(X5226:Z5226)</f>
        <v>234430</v>
      </c>
      <c r="AB5226" s="222">
        <v>46070</v>
      </c>
    </row>
    <row r="5227" spans="1:28" ht="17.100000000000001" customHeight="1" thickBot="1">
      <c r="A5227" s="227"/>
      <c r="B5227" s="27" t="s">
        <v>1708</v>
      </c>
      <c r="C5227" s="27" t="s">
        <v>15138</v>
      </c>
      <c r="D5227" s="14" t="s">
        <v>2014</v>
      </c>
      <c r="E5227" s="229"/>
      <c r="F5227" s="117" t="s">
        <v>15139</v>
      </c>
      <c r="G5227" s="26">
        <v>68156</v>
      </c>
      <c r="H5227" s="231"/>
      <c r="I5227" s="221"/>
      <c r="J5227" s="221"/>
      <c r="K5227" s="221"/>
      <c r="L5227" s="221"/>
      <c r="M5227" s="221"/>
      <c r="N5227" s="221"/>
      <c r="O5227" s="225"/>
      <c r="P5227" s="118" t="s">
        <v>16535</v>
      </c>
      <c r="Q5227" s="16" t="s">
        <v>20</v>
      </c>
      <c r="R5227" s="17" t="s">
        <v>3739</v>
      </c>
      <c r="S5227" s="121" t="s">
        <v>2647</v>
      </c>
      <c r="T5227" s="122"/>
      <c r="U5227" s="22"/>
      <c r="V5227" s="123" t="s">
        <v>2472</v>
      </c>
      <c r="W5227" s="122">
        <v>65531</v>
      </c>
      <c r="X5227" s="221"/>
      <c r="Y5227" s="221"/>
      <c r="Z5227" s="221"/>
      <c r="AA5227" s="221"/>
      <c r="AB5227" s="223"/>
    </row>
    <row r="5228" spans="1:28" ht="17.100000000000001" customHeight="1" thickTop="1">
      <c r="A5228" s="226" t="s">
        <v>15113</v>
      </c>
      <c r="B5228" s="28">
        <v>46041</v>
      </c>
      <c r="C5228" s="25"/>
      <c r="D5228" s="13" t="s">
        <v>1678</v>
      </c>
      <c r="E5228" s="228"/>
      <c r="F5228" s="109" t="s">
        <v>15179</v>
      </c>
      <c r="G5228" s="24" t="s">
        <v>15180</v>
      </c>
      <c r="H5228" s="230">
        <v>4.5</v>
      </c>
      <c r="I5228" s="220">
        <v>4175000</v>
      </c>
      <c r="J5228" s="220">
        <f>I5228*0.1</f>
        <v>417500</v>
      </c>
      <c r="K5228" s="220">
        <v>0</v>
      </c>
      <c r="L5228" s="220">
        <v>18470</v>
      </c>
      <c r="M5228" s="220">
        <v>0</v>
      </c>
      <c r="N5228" s="220">
        <f>SUM(I5228:M5229)</f>
        <v>4610970</v>
      </c>
      <c r="O5228" s="224"/>
      <c r="P5228" s="110" t="s">
        <v>20020</v>
      </c>
      <c r="Q5228" s="15" t="s">
        <v>19</v>
      </c>
      <c r="R5228" s="205"/>
      <c r="S5228" s="189" t="s">
        <v>25708</v>
      </c>
      <c r="T5228" s="114"/>
      <c r="U5228" s="21"/>
      <c r="V5228" s="115">
        <v>46106</v>
      </c>
      <c r="W5228" s="116">
        <v>1010</v>
      </c>
      <c r="X5228" s="220">
        <v>4205000</v>
      </c>
      <c r="Y5228" s="220">
        <f>X5228*0.1</f>
        <v>420500</v>
      </c>
      <c r="Z5228" s="220">
        <v>18470</v>
      </c>
      <c r="AA5228" s="220">
        <f>SUM(X5228:Z5228)</f>
        <v>4643970</v>
      </c>
      <c r="AB5228" s="222">
        <v>46111</v>
      </c>
    </row>
    <row r="5229" spans="1:28" ht="17.100000000000001" customHeight="1" thickBot="1">
      <c r="A5229" s="227"/>
      <c r="B5229" s="27" t="s">
        <v>1708</v>
      </c>
      <c r="C5229" s="27" t="s">
        <v>15140</v>
      </c>
      <c r="D5229" s="14" t="s">
        <v>2559</v>
      </c>
      <c r="E5229" s="229"/>
      <c r="F5229" s="117" t="s">
        <v>15141</v>
      </c>
      <c r="G5229" s="26">
        <v>29669</v>
      </c>
      <c r="H5229" s="231"/>
      <c r="I5229" s="221"/>
      <c r="J5229" s="221"/>
      <c r="K5229" s="221"/>
      <c r="L5229" s="221"/>
      <c r="M5229" s="221"/>
      <c r="N5229" s="221"/>
      <c r="O5229" s="225"/>
      <c r="P5229" s="118" t="s">
        <v>3957</v>
      </c>
      <c r="Q5229" s="16" t="s">
        <v>20</v>
      </c>
      <c r="R5229" s="17" t="s">
        <v>19992</v>
      </c>
      <c r="S5229" s="121" t="s">
        <v>20021</v>
      </c>
      <c r="T5229" s="122"/>
      <c r="U5229" s="22"/>
      <c r="V5229" s="123" t="s">
        <v>2747</v>
      </c>
      <c r="W5229" s="122">
        <v>1291</v>
      </c>
      <c r="X5229" s="221"/>
      <c r="Y5229" s="221"/>
      <c r="Z5229" s="221"/>
      <c r="AA5229" s="221"/>
      <c r="AB5229" s="223"/>
    </row>
    <row r="5230" spans="1:28" ht="17.100000000000001" customHeight="1" thickTop="1">
      <c r="A5230" s="233" t="s">
        <v>15114</v>
      </c>
      <c r="B5230" s="28">
        <v>46041</v>
      </c>
      <c r="C5230" s="25"/>
      <c r="D5230" s="13" t="s">
        <v>1658</v>
      </c>
      <c r="E5230" s="228"/>
      <c r="F5230" s="109" t="s">
        <v>7450</v>
      </c>
      <c r="G5230" s="24" t="s">
        <v>15181</v>
      </c>
      <c r="H5230" s="230">
        <v>4</v>
      </c>
      <c r="I5230" s="220">
        <v>224000</v>
      </c>
      <c r="J5230" s="220">
        <f>I5230*0.1</f>
        <v>22400</v>
      </c>
      <c r="K5230" s="220">
        <v>0</v>
      </c>
      <c r="L5230" s="220">
        <v>8460</v>
      </c>
      <c r="M5230" s="220">
        <v>0</v>
      </c>
      <c r="N5230" s="220">
        <f>SUM(I5230:M5231)</f>
        <v>254860</v>
      </c>
      <c r="O5230" s="224"/>
      <c r="P5230" s="110"/>
      <c r="Q5230" s="15" t="s">
        <v>19</v>
      </c>
      <c r="R5230" s="205"/>
      <c r="S5230" s="189" t="s">
        <v>25708</v>
      </c>
      <c r="T5230" s="114" t="s">
        <v>7899</v>
      </c>
      <c r="U5230" s="21"/>
      <c r="V5230" s="115"/>
      <c r="W5230" s="116"/>
      <c r="X5230" s="220"/>
      <c r="Y5230" s="220">
        <f>X5230*0.1</f>
        <v>0</v>
      </c>
      <c r="Z5230" s="220"/>
      <c r="AA5230" s="220">
        <f>SUM(X5230:Z5230)</f>
        <v>0</v>
      </c>
      <c r="AB5230" s="222"/>
    </row>
    <row r="5231" spans="1:28" ht="17.100000000000001" customHeight="1" thickBot="1">
      <c r="A5231" s="234"/>
      <c r="B5231" s="27" t="s">
        <v>1708</v>
      </c>
      <c r="C5231" s="27" t="s">
        <v>15142</v>
      </c>
      <c r="D5231" s="14" t="s">
        <v>273</v>
      </c>
      <c r="E5231" s="229"/>
      <c r="F5231" s="117" t="s">
        <v>15143</v>
      </c>
      <c r="G5231" s="26">
        <v>50896</v>
      </c>
      <c r="H5231" s="231"/>
      <c r="I5231" s="221"/>
      <c r="J5231" s="221"/>
      <c r="K5231" s="221"/>
      <c r="L5231" s="221"/>
      <c r="M5231" s="221"/>
      <c r="N5231" s="221"/>
      <c r="O5231" s="225"/>
      <c r="P5231" s="118"/>
      <c r="Q5231" s="16" t="s">
        <v>20</v>
      </c>
      <c r="R5231" s="17" t="s">
        <v>10331</v>
      </c>
      <c r="S5231" s="121"/>
      <c r="T5231" s="122"/>
      <c r="U5231" s="22"/>
      <c r="V5231" s="123"/>
      <c r="W5231" s="122"/>
      <c r="X5231" s="221"/>
      <c r="Y5231" s="221"/>
      <c r="Z5231" s="221"/>
      <c r="AA5231" s="221"/>
      <c r="AB5231" s="223"/>
    </row>
    <row r="5232" spans="1:28" ht="17.100000000000001" customHeight="1" thickTop="1">
      <c r="A5232" s="226" t="s">
        <v>15115</v>
      </c>
      <c r="B5232" s="28">
        <v>46041</v>
      </c>
      <c r="C5232" s="25"/>
      <c r="D5232" s="13" t="s">
        <v>1816</v>
      </c>
      <c r="E5232" s="228"/>
      <c r="F5232" s="109" t="s">
        <v>15182</v>
      </c>
      <c r="G5232" s="24" t="s">
        <v>4669</v>
      </c>
      <c r="H5232" s="230">
        <v>4</v>
      </c>
      <c r="I5232" s="220">
        <v>1365000</v>
      </c>
      <c r="J5232" s="220">
        <f>I5232*0.1</f>
        <v>136500</v>
      </c>
      <c r="K5232" s="220">
        <v>3700</v>
      </c>
      <c r="L5232" s="220">
        <v>13150</v>
      </c>
      <c r="M5232" s="220">
        <v>0</v>
      </c>
      <c r="N5232" s="220">
        <f>SUM(I5232:M5233)</f>
        <v>1518350</v>
      </c>
      <c r="O5232" s="224"/>
      <c r="P5232" s="110" t="s">
        <v>16422</v>
      </c>
      <c r="Q5232" s="15" t="s">
        <v>19</v>
      </c>
      <c r="R5232" s="205"/>
      <c r="S5232" s="189" t="s">
        <v>25683</v>
      </c>
      <c r="T5232" s="114"/>
      <c r="U5232" s="21"/>
      <c r="V5232" s="115">
        <v>46071</v>
      </c>
      <c r="W5232" s="116">
        <v>1005</v>
      </c>
      <c r="X5232" s="220">
        <v>1380000</v>
      </c>
      <c r="Y5232" s="220">
        <f>X5232*0.1</f>
        <v>138000</v>
      </c>
      <c r="Z5232" s="220">
        <v>13150</v>
      </c>
      <c r="AA5232" s="220">
        <f>SUM(X5232:Z5232)</f>
        <v>1531150</v>
      </c>
      <c r="AB5232" s="222">
        <v>46079</v>
      </c>
    </row>
    <row r="5233" spans="1:28" ht="17.100000000000001" customHeight="1" thickBot="1">
      <c r="A5233" s="227"/>
      <c r="B5233" s="27" t="s">
        <v>1708</v>
      </c>
      <c r="C5233" s="27" t="s">
        <v>15144</v>
      </c>
      <c r="D5233" s="14" t="s">
        <v>5509</v>
      </c>
      <c r="E5233" s="229"/>
      <c r="F5233" s="117" t="s">
        <v>15145</v>
      </c>
      <c r="G5233" s="26">
        <v>45731</v>
      </c>
      <c r="H5233" s="231"/>
      <c r="I5233" s="221"/>
      <c r="J5233" s="221"/>
      <c r="K5233" s="221"/>
      <c r="L5233" s="221"/>
      <c r="M5233" s="221"/>
      <c r="N5233" s="221"/>
      <c r="O5233" s="225"/>
      <c r="P5233" s="118" t="s">
        <v>16423</v>
      </c>
      <c r="Q5233" s="16" t="s">
        <v>20</v>
      </c>
      <c r="R5233" s="17" t="s">
        <v>2295</v>
      </c>
      <c r="S5233" s="121" t="s">
        <v>2025</v>
      </c>
      <c r="T5233" s="122"/>
      <c r="U5233" s="22"/>
      <c r="V5233" s="123" t="s">
        <v>2747</v>
      </c>
      <c r="W5233" s="122">
        <v>4021</v>
      </c>
      <c r="X5233" s="221"/>
      <c r="Y5233" s="221"/>
      <c r="Z5233" s="221"/>
      <c r="AA5233" s="221"/>
      <c r="AB5233" s="223"/>
    </row>
    <row r="5234" spans="1:28" ht="17.100000000000001" customHeight="1" thickTop="1">
      <c r="A5234" s="226" t="s">
        <v>15127</v>
      </c>
      <c r="B5234" s="28">
        <v>46041</v>
      </c>
      <c r="C5234" s="25"/>
      <c r="D5234" s="13" t="s">
        <v>1947</v>
      </c>
      <c r="E5234" s="228"/>
      <c r="F5234" s="109" t="s">
        <v>15183</v>
      </c>
      <c r="G5234" s="24" t="s">
        <v>15184</v>
      </c>
      <c r="H5234" s="230">
        <v>4</v>
      </c>
      <c r="I5234" s="220">
        <v>2880000</v>
      </c>
      <c r="J5234" s="220">
        <f>I5234*0.1</f>
        <v>288000</v>
      </c>
      <c r="K5234" s="220">
        <v>3000</v>
      </c>
      <c r="L5234" s="220">
        <v>11710</v>
      </c>
      <c r="M5234" s="220">
        <v>0</v>
      </c>
      <c r="N5234" s="220">
        <f>SUM(I5234:M5235)</f>
        <v>3182710</v>
      </c>
      <c r="O5234" s="224"/>
      <c r="P5234" s="110" t="s">
        <v>17369</v>
      </c>
      <c r="Q5234" s="15" t="s">
        <v>19</v>
      </c>
      <c r="R5234" s="205"/>
      <c r="S5234" s="189" t="s">
        <v>25709</v>
      </c>
      <c r="T5234" s="114"/>
      <c r="U5234" s="21"/>
      <c r="V5234" s="115">
        <v>46064</v>
      </c>
      <c r="W5234" s="116">
        <v>1004</v>
      </c>
      <c r="X5234" s="220">
        <v>2950000</v>
      </c>
      <c r="Y5234" s="220">
        <f>X5234*0.1</f>
        <v>295000</v>
      </c>
      <c r="Z5234" s="220">
        <v>11710</v>
      </c>
      <c r="AA5234" s="220">
        <f>SUM(X5234:Z5234)</f>
        <v>3256710</v>
      </c>
      <c r="AB5234" s="222">
        <v>46070</v>
      </c>
    </row>
    <row r="5235" spans="1:28" ht="17.100000000000001" customHeight="1" thickBot="1">
      <c r="A5235" s="227"/>
      <c r="B5235" s="27" t="s">
        <v>1708</v>
      </c>
      <c r="C5235" s="27" t="s">
        <v>15146</v>
      </c>
      <c r="D5235" s="14" t="s">
        <v>1866</v>
      </c>
      <c r="E5235" s="229"/>
      <c r="F5235" s="117" t="s">
        <v>15147</v>
      </c>
      <c r="G5235" s="26">
        <v>7656</v>
      </c>
      <c r="H5235" s="231"/>
      <c r="I5235" s="221"/>
      <c r="J5235" s="221"/>
      <c r="K5235" s="221"/>
      <c r="L5235" s="221"/>
      <c r="M5235" s="221"/>
      <c r="N5235" s="221"/>
      <c r="O5235" s="225"/>
      <c r="P5235" s="118" t="s">
        <v>16537</v>
      </c>
      <c r="Q5235" s="16" t="s">
        <v>20</v>
      </c>
      <c r="R5235" s="17" t="s">
        <v>17360</v>
      </c>
      <c r="S5235" s="121" t="s">
        <v>17370</v>
      </c>
      <c r="T5235" s="122"/>
      <c r="U5235" s="22"/>
      <c r="V5235" s="123" t="s">
        <v>2747</v>
      </c>
      <c r="W5235" s="122">
        <v>1009</v>
      </c>
      <c r="X5235" s="221"/>
      <c r="Y5235" s="221"/>
      <c r="Z5235" s="221"/>
      <c r="AA5235" s="221"/>
      <c r="AB5235" s="223"/>
    </row>
    <row r="5236" spans="1:28" ht="17.100000000000001" customHeight="1" thickTop="1">
      <c r="A5236" s="226" t="s">
        <v>15128</v>
      </c>
      <c r="B5236" s="28">
        <v>46041</v>
      </c>
      <c r="C5236" s="25">
        <v>85</v>
      </c>
      <c r="D5236" s="13" t="s">
        <v>3773</v>
      </c>
      <c r="E5236" s="228"/>
      <c r="F5236" s="109" t="s">
        <v>15173</v>
      </c>
      <c r="G5236" s="24" t="s">
        <v>4120</v>
      </c>
      <c r="H5236" s="230">
        <v>4</v>
      </c>
      <c r="I5236" s="220">
        <v>250000</v>
      </c>
      <c r="J5236" s="220">
        <f>I5236*0.1</f>
        <v>25000</v>
      </c>
      <c r="K5236" s="220">
        <v>0</v>
      </c>
      <c r="L5236" s="220">
        <v>9200</v>
      </c>
      <c r="M5236" s="220">
        <v>33000</v>
      </c>
      <c r="N5236" s="220">
        <f>SUM(I5236:M5237)</f>
        <v>317200</v>
      </c>
      <c r="O5236" s="224"/>
      <c r="P5236" s="110" t="s">
        <v>15736</v>
      </c>
      <c r="Q5236" s="15" t="s">
        <v>19</v>
      </c>
      <c r="R5236" s="205"/>
      <c r="S5236" s="189" t="s">
        <v>758</v>
      </c>
      <c r="T5236" s="114"/>
      <c r="U5236" s="21"/>
      <c r="V5236" s="115">
        <v>46060</v>
      </c>
      <c r="W5236" s="116">
        <v>1287</v>
      </c>
      <c r="X5236" s="220">
        <v>350000</v>
      </c>
      <c r="Y5236" s="220">
        <f>X5236*0.1</f>
        <v>35000</v>
      </c>
      <c r="Z5236" s="220">
        <v>9200</v>
      </c>
      <c r="AA5236" s="220">
        <f>SUM(X5236:Z5236)</f>
        <v>394200</v>
      </c>
      <c r="AB5236" s="222">
        <v>46065</v>
      </c>
    </row>
    <row r="5237" spans="1:28" ht="17.100000000000001" customHeight="1" thickBot="1">
      <c r="A5237" s="227"/>
      <c r="B5237" s="27" t="s">
        <v>4468</v>
      </c>
      <c r="C5237" s="27">
        <v>1011</v>
      </c>
      <c r="D5237" s="14" t="s">
        <v>273</v>
      </c>
      <c r="E5237" s="229"/>
      <c r="F5237" s="117" t="s">
        <v>15154</v>
      </c>
      <c r="G5237" s="26">
        <v>34056</v>
      </c>
      <c r="H5237" s="231"/>
      <c r="I5237" s="221"/>
      <c r="J5237" s="221"/>
      <c r="K5237" s="221"/>
      <c r="L5237" s="221"/>
      <c r="M5237" s="221"/>
      <c r="N5237" s="221"/>
      <c r="O5237" s="225"/>
      <c r="P5237" s="118" t="s">
        <v>15737</v>
      </c>
      <c r="Q5237" s="16" t="s">
        <v>20</v>
      </c>
      <c r="R5237" s="17" t="s">
        <v>2600</v>
      </c>
      <c r="S5237" s="121" t="s">
        <v>169</v>
      </c>
      <c r="T5237" s="122"/>
      <c r="U5237" s="22"/>
      <c r="V5237" s="123" t="s">
        <v>2472</v>
      </c>
      <c r="W5237" s="122">
        <v>65110</v>
      </c>
      <c r="X5237" s="221"/>
      <c r="Y5237" s="221"/>
      <c r="Z5237" s="221"/>
      <c r="AA5237" s="221"/>
      <c r="AB5237" s="223"/>
    </row>
    <row r="5238" spans="1:28" ht="17.100000000000001" customHeight="1" thickTop="1">
      <c r="A5238" s="233" t="s">
        <v>15129</v>
      </c>
      <c r="B5238" s="28">
        <v>46041</v>
      </c>
      <c r="C5238" s="25">
        <v>85</v>
      </c>
      <c r="D5238" s="13" t="s">
        <v>3269</v>
      </c>
      <c r="E5238" s="228"/>
      <c r="F5238" s="109" t="s">
        <v>15185</v>
      </c>
      <c r="G5238" s="24" t="s">
        <v>3345</v>
      </c>
      <c r="H5238" s="230">
        <v>4</v>
      </c>
      <c r="I5238" s="220">
        <v>1650000</v>
      </c>
      <c r="J5238" s="220">
        <f>I5238*0.1</f>
        <v>165000</v>
      </c>
      <c r="K5238" s="220">
        <v>5500</v>
      </c>
      <c r="L5238" s="220">
        <v>9830</v>
      </c>
      <c r="M5238" s="220">
        <v>44000</v>
      </c>
      <c r="N5238" s="220">
        <f>SUM(I5238:M5239)</f>
        <v>1874330</v>
      </c>
      <c r="O5238" s="224"/>
      <c r="P5238" s="110" t="s">
        <v>16523</v>
      </c>
      <c r="Q5238" s="15" t="s">
        <v>19</v>
      </c>
      <c r="R5238" s="205"/>
      <c r="S5238" s="189"/>
      <c r="T5238" s="114" t="s">
        <v>16614</v>
      </c>
      <c r="U5238" s="21"/>
      <c r="V5238" s="115"/>
      <c r="W5238" s="116"/>
      <c r="X5238" s="220"/>
      <c r="Y5238" s="220">
        <f>X5238*0.1</f>
        <v>0</v>
      </c>
      <c r="Z5238" s="220"/>
      <c r="AA5238" s="220">
        <f>SUM(X5238:Z5238)</f>
        <v>0</v>
      </c>
      <c r="AB5238" s="222"/>
    </row>
    <row r="5239" spans="1:28" ht="17.100000000000001" customHeight="1" thickBot="1">
      <c r="A5239" s="234"/>
      <c r="B5239" s="27" t="s">
        <v>4468</v>
      </c>
      <c r="C5239" s="27">
        <v>1037</v>
      </c>
      <c r="D5239" s="14" t="s">
        <v>2559</v>
      </c>
      <c r="E5239" s="229"/>
      <c r="F5239" s="117" t="s">
        <v>15155</v>
      </c>
      <c r="G5239" s="26">
        <v>41674</v>
      </c>
      <c r="H5239" s="231"/>
      <c r="I5239" s="221"/>
      <c r="J5239" s="221"/>
      <c r="K5239" s="221"/>
      <c r="L5239" s="221"/>
      <c r="M5239" s="221"/>
      <c r="N5239" s="221"/>
      <c r="O5239" s="225"/>
      <c r="P5239" s="118" t="s">
        <v>16524</v>
      </c>
      <c r="Q5239" s="16" t="s">
        <v>20</v>
      </c>
      <c r="R5239" s="17" t="s">
        <v>3739</v>
      </c>
      <c r="S5239" s="121" t="s">
        <v>16525</v>
      </c>
      <c r="T5239" s="122" t="s">
        <v>17025</v>
      </c>
      <c r="U5239" s="22"/>
      <c r="V5239" s="123"/>
      <c r="W5239" s="122"/>
      <c r="X5239" s="221"/>
      <c r="Y5239" s="221"/>
      <c r="Z5239" s="221"/>
      <c r="AA5239" s="221"/>
      <c r="AB5239" s="223"/>
    </row>
    <row r="5240" spans="1:28" ht="17.100000000000001" customHeight="1" thickTop="1">
      <c r="A5240" s="226" t="s">
        <v>15130</v>
      </c>
      <c r="B5240" s="28">
        <v>46041</v>
      </c>
      <c r="C5240" s="25">
        <v>85</v>
      </c>
      <c r="D5240" s="13" t="s">
        <v>1871</v>
      </c>
      <c r="E5240" s="228"/>
      <c r="F5240" s="109" t="s">
        <v>15187</v>
      </c>
      <c r="G5240" s="24" t="s">
        <v>2494</v>
      </c>
      <c r="H5240" s="230">
        <v>4</v>
      </c>
      <c r="I5240" s="220">
        <v>1545000</v>
      </c>
      <c r="J5240" s="220">
        <f>I5240*0.1</f>
        <v>154500</v>
      </c>
      <c r="K5240" s="220">
        <v>8250</v>
      </c>
      <c r="L5240" s="220">
        <v>11530</v>
      </c>
      <c r="M5240" s="220">
        <v>44000</v>
      </c>
      <c r="N5240" s="220">
        <f>SUM(I5240:M5241)</f>
        <v>1763280</v>
      </c>
      <c r="O5240" s="224"/>
      <c r="P5240" s="110" t="s">
        <v>16587</v>
      </c>
      <c r="Q5240" s="15" t="s">
        <v>19</v>
      </c>
      <c r="R5240" s="205"/>
      <c r="S5240" s="189"/>
      <c r="T5240" s="114"/>
      <c r="U5240" s="21"/>
      <c r="V5240" s="115">
        <v>46067</v>
      </c>
      <c r="W5240" s="116">
        <v>1288</v>
      </c>
      <c r="X5240" s="220">
        <v>1600000</v>
      </c>
      <c r="Y5240" s="220">
        <f>X5240*0.1</f>
        <v>160000</v>
      </c>
      <c r="Z5240" s="220">
        <v>11530</v>
      </c>
      <c r="AA5240" s="220">
        <f>SUM(X5240:Z5240)</f>
        <v>1771530</v>
      </c>
      <c r="AB5240" s="222">
        <v>46071</v>
      </c>
    </row>
    <row r="5241" spans="1:28" ht="17.100000000000001" customHeight="1" thickBot="1">
      <c r="A5241" s="227"/>
      <c r="B5241" s="27" t="s">
        <v>4468</v>
      </c>
      <c r="C5241" s="27">
        <v>1038</v>
      </c>
      <c r="D5241" s="14" t="s">
        <v>15186</v>
      </c>
      <c r="E5241" s="229"/>
      <c r="F5241" s="117" t="s">
        <v>15156</v>
      </c>
      <c r="G5241" s="26">
        <v>49049</v>
      </c>
      <c r="H5241" s="231"/>
      <c r="I5241" s="221"/>
      <c r="J5241" s="221"/>
      <c r="K5241" s="221"/>
      <c r="L5241" s="221"/>
      <c r="M5241" s="221"/>
      <c r="N5241" s="221"/>
      <c r="O5241" s="225"/>
      <c r="P5241" s="118" t="s">
        <v>16588</v>
      </c>
      <c r="Q5241" s="16" t="s">
        <v>20</v>
      </c>
      <c r="R5241" s="17" t="s">
        <v>3494</v>
      </c>
      <c r="S5241" s="121" t="s">
        <v>17354</v>
      </c>
      <c r="T5241" s="122"/>
      <c r="U5241" s="22"/>
      <c r="V5241" s="123" t="s">
        <v>2472</v>
      </c>
      <c r="W5241" s="122">
        <v>37780</v>
      </c>
      <c r="X5241" s="221"/>
      <c r="Y5241" s="221"/>
      <c r="Z5241" s="221"/>
      <c r="AA5241" s="221"/>
      <c r="AB5241" s="223"/>
    </row>
    <row r="5242" spans="1:28" ht="17.100000000000001" customHeight="1" thickTop="1">
      <c r="A5242" s="226" t="s">
        <v>15131</v>
      </c>
      <c r="B5242" s="28">
        <v>46041</v>
      </c>
      <c r="C5242" s="25">
        <v>85</v>
      </c>
      <c r="D5242" s="13" t="s">
        <v>1598</v>
      </c>
      <c r="E5242" s="228"/>
      <c r="F5242" s="109" t="s">
        <v>15188</v>
      </c>
      <c r="G5242" s="24" t="s">
        <v>2328</v>
      </c>
      <c r="H5242" s="230">
        <v>4</v>
      </c>
      <c r="I5242" s="220">
        <v>210000</v>
      </c>
      <c r="J5242" s="220">
        <f>I5242*0.1</f>
        <v>21000</v>
      </c>
      <c r="K5242" s="220">
        <v>0</v>
      </c>
      <c r="L5242" s="220">
        <v>7320</v>
      </c>
      <c r="M5242" s="220">
        <v>33000</v>
      </c>
      <c r="N5242" s="220">
        <f>SUM(I5242:M5243)</f>
        <v>271320</v>
      </c>
      <c r="O5242" s="224"/>
      <c r="P5242" s="110" t="s">
        <v>16349</v>
      </c>
      <c r="Q5242" s="15" t="s">
        <v>19</v>
      </c>
      <c r="R5242" s="205"/>
      <c r="S5242" s="189" t="s">
        <v>283</v>
      </c>
      <c r="T5242" s="114"/>
      <c r="U5242" s="21"/>
      <c r="V5242" s="115">
        <v>46067</v>
      </c>
      <c r="W5242" s="116">
        <v>1288</v>
      </c>
      <c r="X5242" s="220">
        <v>325000</v>
      </c>
      <c r="Y5242" s="220">
        <f>X5242*0.1</f>
        <v>32500</v>
      </c>
      <c r="Z5242" s="220">
        <v>7320</v>
      </c>
      <c r="AA5242" s="220">
        <f>SUM(X5242:Z5242)</f>
        <v>364820</v>
      </c>
      <c r="AB5242" s="222">
        <v>46071</v>
      </c>
    </row>
    <row r="5243" spans="1:28" ht="17.100000000000001" customHeight="1" thickBot="1">
      <c r="A5243" s="227"/>
      <c r="B5243" s="27" t="s">
        <v>4468</v>
      </c>
      <c r="C5243" s="27">
        <v>1050</v>
      </c>
      <c r="D5243" s="14" t="s">
        <v>1584</v>
      </c>
      <c r="E5243" s="229"/>
      <c r="F5243" s="117" t="s">
        <v>15157</v>
      </c>
      <c r="G5243" s="26">
        <v>52341</v>
      </c>
      <c r="H5243" s="231"/>
      <c r="I5243" s="221"/>
      <c r="J5243" s="221"/>
      <c r="K5243" s="221"/>
      <c r="L5243" s="221"/>
      <c r="M5243" s="221"/>
      <c r="N5243" s="221"/>
      <c r="O5243" s="225"/>
      <c r="P5243" s="118" t="s">
        <v>16350</v>
      </c>
      <c r="Q5243" s="16" t="s">
        <v>20</v>
      </c>
      <c r="R5243" s="17" t="s">
        <v>812</v>
      </c>
      <c r="S5243" s="121" t="s">
        <v>1625</v>
      </c>
      <c r="T5243" s="122"/>
      <c r="U5243" s="22"/>
      <c r="V5243" s="123" t="s">
        <v>2472</v>
      </c>
      <c r="W5243" s="122">
        <v>65156</v>
      </c>
      <c r="X5243" s="221"/>
      <c r="Y5243" s="221"/>
      <c r="Z5243" s="221"/>
      <c r="AA5243" s="221"/>
      <c r="AB5243" s="223"/>
    </row>
    <row r="5244" spans="1:28" ht="17.100000000000001" customHeight="1" thickTop="1">
      <c r="A5244" s="226" t="s">
        <v>15148</v>
      </c>
      <c r="B5244" s="28">
        <v>46041</v>
      </c>
      <c r="C5244" s="25">
        <v>85</v>
      </c>
      <c r="D5244" s="13" t="s">
        <v>1909</v>
      </c>
      <c r="E5244" s="228"/>
      <c r="F5244" s="109" t="s">
        <v>15158</v>
      </c>
      <c r="G5244" s="24" t="s">
        <v>1540</v>
      </c>
      <c r="H5244" s="230">
        <v>5</v>
      </c>
      <c r="I5244" s="220">
        <v>1450000</v>
      </c>
      <c r="J5244" s="220">
        <f>I5244*0.1</f>
        <v>145000</v>
      </c>
      <c r="K5244" s="220">
        <v>0</v>
      </c>
      <c r="L5244" s="220">
        <v>11100</v>
      </c>
      <c r="M5244" s="220">
        <v>44000</v>
      </c>
      <c r="N5244" s="220">
        <f>SUM(I5244:M5245)</f>
        <v>1650100</v>
      </c>
      <c r="O5244" s="224"/>
      <c r="P5244" s="110" t="s">
        <v>15972</v>
      </c>
      <c r="Q5244" s="15" t="s">
        <v>19</v>
      </c>
      <c r="R5244" s="205"/>
      <c r="S5244" s="189" t="s">
        <v>758</v>
      </c>
      <c r="T5244" s="114"/>
      <c r="U5244" s="21" t="s">
        <v>16161</v>
      </c>
      <c r="V5244" s="115">
        <v>46056</v>
      </c>
      <c r="W5244" s="116">
        <v>1927</v>
      </c>
      <c r="X5244" s="220">
        <v>1550000</v>
      </c>
      <c r="Y5244" s="220">
        <v>155000</v>
      </c>
      <c r="Z5244" s="220">
        <v>11100</v>
      </c>
      <c r="AA5244" s="220">
        <f>SUM(X5244:Z5244)</f>
        <v>1716100</v>
      </c>
      <c r="AB5244" s="222">
        <v>46063</v>
      </c>
    </row>
    <row r="5245" spans="1:28" ht="17.100000000000001" customHeight="1" thickBot="1">
      <c r="A5245" s="227"/>
      <c r="B5245" s="27" t="s">
        <v>4468</v>
      </c>
      <c r="C5245" s="27">
        <v>1067</v>
      </c>
      <c r="D5245" s="14" t="s">
        <v>2559</v>
      </c>
      <c r="E5245" s="229"/>
      <c r="F5245" s="117" t="s">
        <v>15159</v>
      </c>
      <c r="G5245" s="26">
        <v>3025</v>
      </c>
      <c r="H5245" s="231"/>
      <c r="I5245" s="221"/>
      <c r="J5245" s="221"/>
      <c r="K5245" s="221"/>
      <c r="L5245" s="221"/>
      <c r="M5245" s="221"/>
      <c r="N5245" s="221"/>
      <c r="O5245" s="225"/>
      <c r="P5245" s="118" t="s">
        <v>15973</v>
      </c>
      <c r="Q5245" s="16" t="s">
        <v>20</v>
      </c>
      <c r="R5245" s="17" t="s">
        <v>1822</v>
      </c>
      <c r="S5245" s="121" t="s">
        <v>1661</v>
      </c>
      <c r="T5245" s="122"/>
      <c r="U5245" s="22"/>
      <c r="V5245" s="123" t="s">
        <v>2103</v>
      </c>
      <c r="W5245" s="122">
        <v>3247</v>
      </c>
      <c r="X5245" s="221"/>
      <c r="Y5245" s="221"/>
      <c r="Z5245" s="221"/>
      <c r="AA5245" s="221"/>
      <c r="AB5245" s="223"/>
    </row>
    <row r="5246" spans="1:28" ht="17.100000000000001" customHeight="1" thickTop="1">
      <c r="A5246" s="226" t="s">
        <v>15149</v>
      </c>
      <c r="B5246" s="28">
        <v>46042</v>
      </c>
      <c r="C5246" s="25">
        <v>1925</v>
      </c>
      <c r="D5246" s="13" t="s">
        <v>2610</v>
      </c>
      <c r="E5246" s="228"/>
      <c r="F5246" s="109" t="s">
        <v>15189</v>
      </c>
      <c r="G5246" s="24"/>
      <c r="H5246" s="230">
        <v>4</v>
      </c>
      <c r="I5246" s="220">
        <v>691000</v>
      </c>
      <c r="J5246" s="220">
        <f>I5246*0.1</f>
        <v>69100</v>
      </c>
      <c r="K5246" s="220">
        <v>0</v>
      </c>
      <c r="L5246" s="220">
        <v>7510</v>
      </c>
      <c r="M5246" s="220">
        <v>15950</v>
      </c>
      <c r="N5246" s="220">
        <f>SUM(I5246:M5247)</f>
        <v>783560</v>
      </c>
      <c r="O5246" s="224"/>
      <c r="P5246" s="110" t="s">
        <v>15871</v>
      </c>
      <c r="Q5246" s="15" t="s">
        <v>19</v>
      </c>
      <c r="R5246" s="205"/>
      <c r="S5246" s="189"/>
      <c r="T5246" s="114"/>
      <c r="U5246" s="21"/>
      <c r="V5246" s="115">
        <v>46046</v>
      </c>
      <c r="W5246" s="116">
        <v>1285</v>
      </c>
      <c r="X5246" s="220">
        <v>770000</v>
      </c>
      <c r="Y5246" s="220">
        <f>X5246*0.1</f>
        <v>77000</v>
      </c>
      <c r="Z5246" s="220">
        <v>7510</v>
      </c>
      <c r="AA5246" s="220">
        <f>SUM(X5246:Z5246)</f>
        <v>854510</v>
      </c>
      <c r="AB5246" s="222">
        <v>46051</v>
      </c>
    </row>
    <row r="5247" spans="1:28" ht="17.100000000000001" customHeight="1" thickBot="1">
      <c r="A5247" s="227"/>
      <c r="B5247" s="27" t="s">
        <v>2103</v>
      </c>
      <c r="C5247" s="27">
        <v>3037</v>
      </c>
      <c r="D5247" s="14" t="s">
        <v>273</v>
      </c>
      <c r="E5247" s="229"/>
      <c r="F5247" s="117" t="s">
        <v>15190</v>
      </c>
      <c r="G5247" s="26">
        <v>37471</v>
      </c>
      <c r="H5247" s="231"/>
      <c r="I5247" s="221"/>
      <c r="J5247" s="221"/>
      <c r="K5247" s="221"/>
      <c r="L5247" s="221"/>
      <c r="M5247" s="221"/>
      <c r="N5247" s="221"/>
      <c r="O5247" s="225"/>
      <c r="P5247" s="118" t="s">
        <v>12117</v>
      </c>
      <c r="Q5247" s="16" t="s">
        <v>20</v>
      </c>
      <c r="R5247" s="17" t="s">
        <v>15814</v>
      </c>
      <c r="S5247" s="121"/>
      <c r="T5247" s="122"/>
      <c r="U5247" s="22"/>
      <c r="V5247" s="123" t="s">
        <v>2472</v>
      </c>
      <c r="W5247" s="122">
        <v>60400</v>
      </c>
      <c r="X5247" s="221"/>
      <c r="Y5247" s="221"/>
      <c r="Z5247" s="221"/>
      <c r="AA5247" s="221"/>
      <c r="AB5247" s="223"/>
    </row>
    <row r="5248" spans="1:28" ht="17.100000000000001" customHeight="1" thickTop="1">
      <c r="A5248" s="226" t="s">
        <v>15150</v>
      </c>
      <c r="B5248" s="28">
        <v>46042</v>
      </c>
      <c r="C5248" s="25">
        <v>1925</v>
      </c>
      <c r="D5248" s="13" t="s">
        <v>1988</v>
      </c>
      <c r="E5248" s="228"/>
      <c r="F5248" s="109" t="s">
        <v>15193</v>
      </c>
      <c r="G5248" s="24"/>
      <c r="H5248" s="230">
        <v>4</v>
      </c>
      <c r="I5248" s="220">
        <v>857000</v>
      </c>
      <c r="J5248" s="220">
        <f>I5248*0.1</f>
        <v>85700</v>
      </c>
      <c r="K5248" s="220">
        <v>0</v>
      </c>
      <c r="L5248" s="220">
        <v>8510</v>
      </c>
      <c r="M5248" s="220">
        <v>15950</v>
      </c>
      <c r="N5248" s="220">
        <f>SUM(I5248:M5249)</f>
        <v>967160</v>
      </c>
      <c r="O5248" s="224"/>
      <c r="P5248" s="110" t="s">
        <v>15853</v>
      </c>
      <c r="Q5248" s="15" t="s">
        <v>19</v>
      </c>
      <c r="R5248" s="205"/>
      <c r="S5248" s="189" t="s">
        <v>283</v>
      </c>
      <c r="T5248" s="114"/>
      <c r="U5248" s="21"/>
      <c r="V5248" s="115">
        <v>46053</v>
      </c>
      <c r="W5248" s="116">
        <v>1286</v>
      </c>
      <c r="X5248" s="220">
        <v>1005000</v>
      </c>
      <c r="Y5248" s="220">
        <f>X5248*0.1</f>
        <v>100500</v>
      </c>
      <c r="Z5248" s="220">
        <v>8510</v>
      </c>
      <c r="AA5248" s="220">
        <f>SUM(X5248:Z5248)</f>
        <v>1114010</v>
      </c>
      <c r="AB5248" s="222">
        <v>46056</v>
      </c>
    </row>
    <row r="5249" spans="1:28" ht="17.100000000000001" customHeight="1" thickBot="1">
      <c r="A5249" s="227"/>
      <c r="B5249" s="27" t="s">
        <v>2103</v>
      </c>
      <c r="C5249" s="27">
        <v>3057</v>
      </c>
      <c r="D5249" s="14" t="s">
        <v>2559</v>
      </c>
      <c r="E5249" s="229"/>
      <c r="F5249" s="117" t="s">
        <v>15194</v>
      </c>
      <c r="G5249" s="26">
        <v>50860</v>
      </c>
      <c r="H5249" s="231"/>
      <c r="I5249" s="221"/>
      <c r="J5249" s="221"/>
      <c r="K5249" s="221"/>
      <c r="L5249" s="221"/>
      <c r="M5249" s="221"/>
      <c r="N5249" s="221"/>
      <c r="O5249" s="225"/>
      <c r="P5249" s="118" t="s">
        <v>15854</v>
      </c>
      <c r="Q5249" s="16" t="s">
        <v>20</v>
      </c>
      <c r="R5249" s="17" t="s">
        <v>15814</v>
      </c>
      <c r="S5249" s="121" t="s">
        <v>15855</v>
      </c>
      <c r="T5249" s="122"/>
      <c r="U5249" s="22"/>
      <c r="V5249" s="123" t="s">
        <v>2472</v>
      </c>
      <c r="W5249" s="122">
        <v>60047</v>
      </c>
      <c r="X5249" s="221"/>
      <c r="Y5249" s="221"/>
      <c r="Z5249" s="221"/>
      <c r="AA5249" s="221"/>
      <c r="AB5249" s="223"/>
    </row>
    <row r="5250" spans="1:28" ht="17.100000000000001" customHeight="1" thickTop="1">
      <c r="A5250" s="226" t="s">
        <v>15151</v>
      </c>
      <c r="B5250" s="28">
        <v>46042</v>
      </c>
      <c r="C5250" s="25">
        <v>1925</v>
      </c>
      <c r="D5250" s="13" t="s">
        <v>1883</v>
      </c>
      <c r="E5250" s="228"/>
      <c r="F5250" s="109" t="s">
        <v>15191</v>
      </c>
      <c r="G5250" s="24"/>
      <c r="H5250" s="230">
        <v>4</v>
      </c>
      <c r="I5250" s="220">
        <v>1280000</v>
      </c>
      <c r="J5250" s="220">
        <f>I5250*0.1</f>
        <v>128000</v>
      </c>
      <c r="K5250" s="220">
        <v>0</v>
      </c>
      <c r="L5250" s="220">
        <v>6830</v>
      </c>
      <c r="M5250" s="220">
        <v>15950</v>
      </c>
      <c r="N5250" s="220">
        <f>SUM(I5250:M5251)</f>
        <v>1430780</v>
      </c>
      <c r="O5250" s="224"/>
      <c r="P5250" s="110" t="s">
        <v>15856</v>
      </c>
      <c r="Q5250" s="15" t="s">
        <v>19</v>
      </c>
      <c r="R5250" s="205"/>
      <c r="S5250" s="189" t="s">
        <v>25512</v>
      </c>
      <c r="T5250" s="114"/>
      <c r="U5250" s="21"/>
      <c r="V5250" s="115">
        <v>46078</v>
      </c>
      <c r="W5250" s="116">
        <v>1006</v>
      </c>
      <c r="X5250" s="220">
        <v>1300000</v>
      </c>
      <c r="Y5250" s="220">
        <f>X5250*0.1</f>
        <v>130000</v>
      </c>
      <c r="Z5250" s="220">
        <v>6830</v>
      </c>
      <c r="AA5250" s="220">
        <f>SUM(X5250:Z5250)</f>
        <v>1436830</v>
      </c>
      <c r="AB5250" s="222">
        <v>46083</v>
      </c>
    </row>
    <row r="5251" spans="1:28" ht="17.100000000000001" customHeight="1" thickBot="1">
      <c r="A5251" s="227"/>
      <c r="B5251" s="27" t="s">
        <v>2103</v>
      </c>
      <c r="C5251" s="27">
        <v>3224</v>
      </c>
      <c r="D5251" s="14" t="s">
        <v>15244</v>
      </c>
      <c r="E5251" s="229"/>
      <c r="F5251" s="117" t="s">
        <v>15192</v>
      </c>
      <c r="G5251" s="26">
        <v>34231</v>
      </c>
      <c r="H5251" s="231"/>
      <c r="I5251" s="221"/>
      <c r="J5251" s="221"/>
      <c r="K5251" s="221"/>
      <c r="L5251" s="221"/>
      <c r="M5251" s="221"/>
      <c r="N5251" s="221"/>
      <c r="O5251" s="225"/>
      <c r="P5251" s="118" t="s">
        <v>4816</v>
      </c>
      <c r="Q5251" s="16" t="s">
        <v>20</v>
      </c>
      <c r="R5251" s="17" t="s">
        <v>15814</v>
      </c>
      <c r="S5251" s="121" t="s">
        <v>10516</v>
      </c>
      <c r="T5251" s="122"/>
      <c r="U5251" s="22"/>
      <c r="V5251" s="123" t="s">
        <v>2747</v>
      </c>
      <c r="W5251" s="122">
        <v>5127</v>
      </c>
      <c r="X5251" s="221"/>
      <c r="Y5251" s="221"/>
      <c r="Z5251" s="221"/>
      <c r="AA5251" s="221"/>
      <c r="AB5251" s="223"/>
    </row>
    <row r="5252" spans="1:28" ht="17.100000000000001" customHeight="1" thickTop="1">
      <c r="A5252" s="226" t="s">
        <v>15152</v>
      </c>
      <c r="B5252" s="28">
        <v>46042</v>
      </c>
      <c r="C5252" s="25">
        <v>1925</v>
      </c>
      <c r="D5252" s="13" t="s">
        <v>1704</v>
      </c>
      <c r="E5252" s="228"/>
      <c r="F5252" s="109" t="s">
        <v>15195</v>
      </c>
      <c r="G5252" s="24"/>
      <c r="H5252" s="230">
        <v>4.5</v>
      </c>
      <c r="I5252" s="220">
        <v>551000</v>
      </c>
      <c r="J5252" s="220">
        <f>I5252*0.1</f>
        <v>55100</v>
      </c>
      <c r="K5252" s="220">
        <v>0</v>
      </c>
      <c r="L5252" s="220">
        <v>6470</v>
      </c>
      <c r="M5252" s="220">
        <v>15950</v>
      </c>
      <c r="N5252" s="220">
        <f>SUM(I5252:M5253)</f>
        <v>628520</v>
      </c>
      <c r="O5252" s="224"/>
      <c r="P5252" s="110" t="s">
        <v>15867</v>
      </c>
      <c r="Q5252" s="15" t="s">
        <v>19</v>
      </c>
      <c r="R5252" s="205"/>
      <c r="S5252" s="189" t="s">
        <v>183</v>
      </c>
      <c r="T5252" s="114"/>
      <c r="U5252" s="21"/>
      <c r="V5252" s="115">
        <v>46046</v>
      </c>
      <c r="W5252" s="116">
        <v>1285</v>
      </c>
      <c r="X5252" s="220">
        <v>605000</v>
      </c>
      <c r="Y5252" s="220">
        <f>X5252*0.1</f>
        <v>60500</v>
      </c>
      <c r="Z5252" s="220">
        <v>6470</v>
      </c>
      <c r="AA5252" s="220">
        <f>SUM(X5252:Z5252)</f>
        <v>671970</v>
      </c>
      <c r="AB5252" s="222">
        <v>46051</v>
      </c>
    </row>
    <row r="5253" spans="1:28" ht="17.100000000000001" customHeight="1" thickBot="1">
      <c r="A5253" s="227"/>
      <c r="B5253" s="27" t="s">
        <v>2103</v>
      </c>
      <c r="C5253" s="27">
        <v>3237</v>
      </c>
      <c r="D5253" s="14" t="s">
        <v>1710</v>
      </c>
      <c r="E5253" s="229"/>
      <c r="F5253" s="117" t="s">
        <v>15196</v>
      </c>
      <c r="G5253" s="26">
        <v>57531</v>
      </c>
      <c r="H5253" s="231"/>
      <c r="I5253" s="221"/>
      <c r="J5253" s="221"/>
      <c r="K5253" s="221"/>
      <c r="L5253" s="221"/>
      <c r="M5253" s="221"/>
      <c r="N5253" s="221"/>
      <c r="O5253" s="225"/>
      <c r="P5253" s="118" t="s">
        <v>12896</v>
      </c>
      <c r="Q5253" s="16" t="s">
        <v>20</v>
      </c>
      <c r="R5253" s="17" t="s">
        <v>15814</v>
      </c>
      <c r="S5253" s="121" t="s">
        <v>10516</v>
      </c>
      <c r="T5253" s="122"/>
      <c r="U5253" s="22"/>
      <c r="V5253" s="123" t="s">
        <v>2472</v>
      </c>
      <c r="W5253" s="122">
        <v>60385</v>
      </c>
      <c r="X5253" s="221"/>
      <c r="Y5253" s="221"/>
      <c r="Z5253" s="221"/>
      <c r="AA5253" s="221"/>
      <c r="AB5253" s="223"/>
    </row>
    <row r="5254" spans="1:28" ht="17.100000000000001" customHeight="1" thickTop="1">
      <c r="A5254" s="226" t="s">
        <v>15153</v>
      </c>
      <c r="B5254" s="28">
        <v>46042</v>
      </c>
      <c r="C5254" s="25">
        <v>1925</v>
      </c>
      <c r="D5254" s="13" t="s">
        <v>3406</v>
      </c>
      <c r="E5254" s="228"/>
      <c r="F5254" s="109" t="s">
        <v>15197</v>
      </c>
      <c r="G5254" s="24"/>
      <c r="H5254" s="230">
        <v>4</v>
      </c>
      <c r="I5254" s="220">
        <v>460000</v>
      </c>
      <c r="J5254" s="220">
        <f>I5254*0.1</f>
        <v>46000</v>
      </c>
      <c r="K5254" s="220">
        <v>0</v>
      </c>
      <c r="L5254" s="220">
        <v>6550</v>
      </c>
      <c r="M5254" s="220">
        <v>15950</v>
      </c>
      <c r="N5254" s="220">
        <f>SUM(I5254:M5255)</f>
        <v>528500</v>
      </c>
      <c r="O5254" s="224"/>
      <c r="P5254" s="110" t="s">
        <v>15859</v>
      </c>
      <c r="Q5254" s="15" t="s">
        <v>19</v>
      </c>
      <c r="R5254" s="205"/>
      <c r="S5254" s="189" t="s">
        <v>758</v>
      </c>
      <c r="T5254" s="114"/>
      <c r="U5254" s="21"/>
      <c r="V5254" s="115">
        <v>46067</v>
      </c>
      <c r="W5254" s="116">
        <v>1288</v>
      </c>
      <c r="X5254" s="220">
        <v>445000</v>
      </c>
      <c r="Y5254" s="220">
        <f>X5254*0.1</f>
        <v>44500</v>
      </c>
      <c r="Z5254" s="220">
        <v>6550</v>
      </c>
      <c r="AA5254" s="220">
        <f>SUM(X5254:Z5254)</f>
        <v>496050</v>
      </c>
      <c r="AB5254" s="222">
        <v>46070</v>
      </c>
    </row>
    <row r="5255" spans="1:28" ht="17.100000000000001" customHeight="1" thickBot="1">
      <c r="A5255" s="227"/>
      <c r="B5255" s="27" t="s">
        <v>2103</v>
      </c>
      <c r="C5255" s="27">
        <v>3329</v>
      </c>
      <c r="D5255" s="14" t="s">
        <v>1710</v>
      </c>
      <c r="E5255" s="229"/>
      <c r="F5255" s="117" t="s">
        <v>15198</v>
      </c>
      <c r="G5255" s="26">
        <v>52875</v>
      </c>
      <c r="H5255" s="231"/>
      <c r="I5255" s="221"/>
      <c r="J5255" s="221"/>
      <c r="K5255" s="221"/>
      <c r="L5255" s="221"/>
      <c r="M5255" s="221"/>
      <c r="N5255" s="221"/>
      <c r="O5255" s="225"/>
      <c r="P5255" s="118" t="s">
        <v>7323</v>
      </c>
      <c r="Q5255" s="16" t="s">
        <v>20</v>
      </c>
      <c r="R5255" s="17" t="s">
        <v>15814</v>
      </c>
      <c r="S5255" s="121" t="s">
        <v>1661</v>
      </c>
      <c r="T5255" s="122"/>
      <c r="U5255" s="22"/>
      <c r="V5255" s="123" t="s">
        <v>2472</v>
      </c>
      <c r="W5255" s="122">
        <v>60242</v>
      </c>
      <c r="X5255" s="221"/>
      <c r="Y5255" s="221"/>
      <c r="Z5255" s="221"/>
      <c r="AA5255" s="221"/>
      <c r="AB5255" s="223"/>
    </row>
    <row r="5256" spans="1:28" ht="17.100000000000001" customHeight="1" thickTop="1">
      <c r="A5256" s="226" t="s">
        <v>15207</v>
      </c>
      <c r="B5256" s="28">
        <v>46042</v>
      </c>
      <c r="C5256" s="25">
        <v>1925</v>
      </c>
      <c r="D5256" s="13" t="s">
        <v>2010</v>
      </c>
      <c r="E5256" s="228"/>
      <c r="F5256" s="109" t="s">
        <v>15199</v>
      </c>
      <c r="G5256" s="24"/>
      <c r="H5256" s="230">
        <v>4</v>
      </c>
      <c r="I5256" s="220">
        <v>1084000</v>
      </c>
      <c r="J5256" s="220">
        <f>I5256*0.1</f>
        <v>108400</v>
      </c>
      <c r="K5256" s="220">
        <v>0</v>
      </c>
      <c r="L5256" s="220">
        <v>8630</v>
      </c>
      <c r="M5256" s="220">
        <v>15950</v>
      </c>
      <c r="N5256" s="220">
        <f>SUM(I5256:M5257)</f>
        <v>1216980</v>
      </c>
      <c r="O5256" s="224"/>
      <c r="P5256" s="110" t="s">
        <v>15868</v>
      </c>
      <c r="Q5256" s="15" t="s">
        <v>19</v>
      </c>
      <c r="R5256" s="205"/>
      <c r="S5256" s="189"/>
      <c r="T5256" s="114"/>
      <c r="U5256" s="21"/>
      <c r="V5256" s="115">
        <v>46046</v>
      </c>
      <c r="W5256" s="116">
        <v>1285</v>
      </c>
      <c r="X5256" s="220">
        <v>1230000</v>
      </c>
      <c r="Y5256" s="220">
        <f>X5256*0.1</f>
        <v>123000</v>
      </c>
      <c r="Z5256" s="220">
        <v>8630</v>
      </c>
      <c r="AA5256" s="220">
        <f>SUM(X5256:Z5256)</f>
        <v>1361630</v>
      </c>
      <c r="AB5256" s="222">
        <v>46051</v>
      </c>
    </row>
    <row r="5257" spans="1:28" ht="17.100000000000001" customHeight="1" thickBot="1">
      <c r="A5257" s="227"/>
      <c r="B5257" s="27" t="s">
        <v>2103</v>
      </c>
      <c r="C5257" s="27">
        <v>3389</v>
      </c>
      <c r="D5257" s="14" t="s">
        <v>1690</v>
      </c>
      <c r="E5257" s="229"/>
      <c r="F5257" s="117" t="s">
        <v>15200</v>
      </c>
      <c r="G5257" s="26">
        <v>49672</v>
      </c>
      <c r="H5257" s="231"/>
      <c r="I5257" s="221"/>
      <c r="J5257" s="221"/>
      <c r="K5257" s="221"/>
      <c r="L5257" s="221"/>
      <c r="M5257" s="221"/>
      <c r="N5257" s="221"/>
      <c r="O5257" s="225"/>
      <c r="P5257" s="118" t="s">
        <v>15869</v>
      </c>
      <c r="Q5257" s="16" t="s">
        <v>20</v>
      </c>
      <c r="R5257" s="17" t="s">
        <v>15814</v>
      </c>
      <c r="S5257" s="121" t="s">
        <v>10119</v>
      </c>
      <c r="T5257" s="122"/>
      <c r="U5257" s="22"/>
      <c r="V5257" s="123" t="s">
        <v>2472</v>
      </c>
      <c r="W5257" s="122">
        <v>60380</v>
      </c>
      <c r="X5257" s="221"/>
      <c r="Y5257" s="221"/>
      <c r="Z5257" s="221"/>
      <c r="AA5257" s="221"/>
      <c r="AB5257" s="223"/>
    </row>
    <row r="5258" spans="1:28" ht="17.100000000000001" customHeight="1" thickTop="1">
      <c r="A5258" s="226" t="s">
        <v>15208</v>
      </c>
      <c r="B5258" s="28">
        <v>46042</v>
      </c>
      <c r="C5258" s="25">
        <v>1925</v>
      </c>
      <c r="D5258" s="13" t="s">
        <v>2610</v>
      </c>
      <c r="E5258" s="228"/>
      <c r="F5258" s="109" t="s">
        <v>15201</v>
      </c>
      <c r="G5258" s="24" t="s">
        <v>4239</v>
      </c>
      <c r="H5258" s="230">
        <v>5</v>
      </c>
      <c r="I5258" s="220">
        <v>2841000</v>
      </c>
      <c r="J5258" s="220">
        <f>I5258*0.1</f>
        <v>284100</v>
      </c>
      <c r="K5258" s="220">
        <v>6600</v>
      </c>
      <c r="L5258" s="220">
        <v>23050</v>
      </c>
      <c r="M5258" s="220">
        <v>15950</v>
      </c>
      <c r="N5258" s="220">
        <f>SUM(I5258:M5259)</f>
        <v>3170700</v>
      </c>
      <c r="O5258" s="224"/>
      <c r="P5258" s="110" t="s">
        <v>15246</v>
      </c>
      <c r="Q5258" s="15" t="s">
        <v>19</v>
      </c>
      <c r="R5258" s="205"/>
      <c r="S5258" s="189" t="s">
        <v>758</v>
      </c>
      <c r="T5258" s="114"/>
      <c r="U5258" s="21"/>
      <c r="V5258" s="115">
        <v>46046</v>
      </c>
      <c r="W5258" s="116">
        <v>1285</v>
      </c>
      <c r="X5258" s="220">
        <v>3010000</v>
      </c>
      <c r="Y5258" s="220">
        <f>X5258*0.1</f>
        <v>301000</v>
      </c>
      <c r="Z5258" s="220">
        <v>23050</v>
      </c>
      <c r="AA5258" s="220">
        <f>SUM(X5258:Z5258)</f>
        <v>3334050</v>
      </c>
      <c r="AB5258" s="222">
        <v>46051</v>
      </c>
    </row>
    <row r="5259" spans="1:28" ht="17.100000000000001" customHeight="1" thickBot="1">
      <c r="A5259" s="227"/>
      <c r="B5259" s="27" t="s">
        <v>2103</v>
      </c>
      <c r="C5259" s="27">
        <v>5036</v>
      </c>
      <c r="D5259" s="14" t="s">
        <v>2559</v>
      </c>
      <c r="E5259" s="229"/>
      <c r="F5259" s="117" t="s">
        <v>15245</v>
      </c>
      <c r="G5259" s="26">
        <v>25747</v>
      </c>
      <c r="H5259" s="231"/>
      <c r="I5259" s="221"/>
      <c r="J5259" s="221"/>
      <c r="K5259" s="221"/>
      <c r="L5259" s="221"/>
      <c r="M5259" s="221"/>
      <c r="N5259" s="221"/>
      <c r="O5259" s="225"/>
      <c r="P5259" s="118" t="s">
        <v>3506</v>
      </c>
      <c r="Q5259" s="16" t="s">
        <v>20</v>
      </c>
      <c r="R5259" s="17" t="s">
        <v>15814</v>
      </c>
      <c r="S5259" s="121" t="s">
        <v>8880</v>
      </c>
      <c r="T5259" s="122"/>
      <c r="U5259" s="22"/>
      <c r="V5259" s="123" t="s">
        <v>2472</v>
      </c>
      <c r="W5259" s="122">
        <v>80352</v>
      </c>
      <c r="X5259" s="221"/>
      <c r="Y5259" s="221"/>
      <c r="Z5259" s="221"/>
      <c r="AA5259" s="221"/>
      <c r="AB5259" s="223"/>
    </row>
    <row r="5260" spans="1:28" ht="17.100000000000001" customHeight="1" thickTop="1">
      <c r="A5260" s="226" t="s">
        <v>15209</v>
      </c>
      <c r="B5260" s="28">
        <v>46042</v>
      </c>
      <c r="C5260" s="25">
        <v>1925</v>
      </c>
      <c r="D5260" s="13" t="s">
        <v>1772</v>
      </c>
      <c r="E5260" s="228"/>
      <c r="F5260" s="109" t="s">
        <v>15197</v>
      </c>
      <c r="G5260" s="24"/>
      <c r="H5260" s="230">
        <v>4</v>
      </c>
      <c r="I5260" s="220">
        <v>518000</v>
      </c>
      <c r="J5260" s="220">
        <f>I5260*0.1</f>
        <v>51800</v>
      </c>
      <c r="K5260" s="220">
        <v>0</v>
      </c>
      <c r="L5260" s="220">
        <v>7140</v>
      </c>
      <c r="M5260" s="220">
        <v>15950</v>
      </c>
      <c r="N5260" s="220">
        <f>SUM(I5260:M5261)</f>
        <v>592890</v>
      </c>
      <c r="O5260" s="224"/>
      <c r="P5260" s="110" t="s">
        <v>15857</v>
      </c>
      <c r="Q5260" s="15" t="s">
        <v>19</v>
      </c>
      <c r="R5260" s="205"/>
      <c r="S5260" s="189" t="s">
        <v>776</v>
      </c>
      <c r="T5260" s="114"/>
      <c r="U5260" s="21"/>
      <c r="V5260" s="115">
        <v>46067</v>
      </c>
      <c r="W5260" s="116">
        <v>1288</v>
      </c>
      <c r="X5260" s="220">
        <v>550000</v>
      </c>
      <c r="Y5260" s="220">
        <f>X5260*0.1</f>
        <v>55000</v>
      </c>
      <c r="Z5260" s="220">
        <v>7140</v>
      </c>
      <c r="AA5260" s="220">
        <f>SUM(X5260:Z5260)</f>
        <v>612140</v>
      </c>
      <c r="AB5260" s="222">
        <v>46070</v>
      </c>
    </row>
    <row r="5261" spans="1:28" ht="17.100000000000001" customHeight="1" thickBot="1">
      <c r="A5261" s="227"/>
      <c r="B5261" s="27" t="s">
        <v>2103</v>
      </c>
      <c r="C5261" s="27">
        <v>5460</v>
      </c>
      <c r="D5261" s="14" t="s">
        <v>898</v>
      </c>
      <c r="E5261" s="229"/>
      <c r="F5261" s="117" t="s">
        <v>15202</v>
      </c>
      <c r="G5261" s="26">
        <v>8634</v>
      </c>
      <c r="H5261" s="231"/>
      <c r="I5261" s="221"/>
      <c r="J5261" s="221"/>
      <c r="K5261" s="221"/>
      <c r="L5261" s="221"/>
      <c r="M5261" s="221"/>
      <c r="N5261" s="221"/>
      <c r="O5261" s="225"/>
      <c r="P5261" s="118" t="s">
        <v>15858</v>
      </c>
      <c r="Q5261" s="16" t="s">
        <v>20</v>
      </c>
      <c r="R5261" s="17" t="s">
        <v>15814</v>
      </c>
      <c r="S5261" s="121" t="s">
        <v>2405</v>
      </c>
      <c r="T5261" s="122"/>
      <c r="U5261" s="22"/>
      <c r="V5261" s="123" t="s">
        <v>2472</v>
      </c>
      <c r="W5261" s="122">
        <v>60158</v>
      </c>
      <c r="X5261" s="221"/>
      <c r="Y5261" s="221"/>
      <c r="Z5261" s="221"/>
      <c r="AA5261" s="221"/>
      <c r="AB5261" s="223"/>
    </row>
    <row r="5262" spans="1:28" ht="17.100000000000001" customHeight="1" thickTop="1">
      <c r="A5262" s="226" t="s">
        <v>15210</v>
      </c>
      <c r="B5262" s="28">
        <v>46042</v>
      </c>
      <c r="C5262" s="25">
        <v>1925</v>
      </c>
      <c r="D5262" s="13" t="s">
        <v>2065</v>
      </c>
      <c r="E5262" s="228"/>
      <c r="F5262" s="109" t="s">
        <v>15341</v>
      </c>
      <c r="G5262" s="24"/>
      <c r="H5262" s="230">
        <v>4</v>
      </c>
      <c r="I5262" s="220">
        <v>963000</v>
      </c>
      <c r="J5262" s="220">
        <f>I5262*0.1</f>
        <v>96300</v>
      </c>
      <c r="K5262" s="220">
        <v>0</v>
      </c>
      <c r="L5262" s="220">
        <v>8130</v>
      </c>
      <c r="M5262" s="220">
        <v>15950</v>
      </c>
      <c r="N5262" s="220">
        <f>SUM(I5262:M5263)</f>
        <v>1083380</v>
      </c>
      <c r="O5262" s="224"/>
      <c r="P5262" s="110" t="s">
        <v>15870</v>
      </c>
      <c r="Q5262" s="15" t="s">
        <v>19</v>
      </c>
      <c r="R5262" s="205"/>
      <c r="S5262" s="189" t="s">
        <v>25710</v>
      </c>
      <c r="T5262" s="114"/>
      <c r="U5262" s="21"/>
      <c r="V5262" s="115">
        <v>46046</v>
      </c>
      <c r="W5262" s="116">
        <v>1285</v>
      </c>
      <c r="X5262" s="220">
        <v>1015000</v>
      </c>
      <c r="Y5262" s="220">
        <f>X5262*0.1</f>
        <v>101500</v>
      </c>
      <c r="Z5262" s="220">
        <v>8130</v>
      </c>
      <c r="AA5262" s="220">
        <f>SUM(X5262:Z5262)</f>
        <v>1124630</v>
      </c>
      <c r="AB5262" s="222">
        <v>46051</v>
      </c>
    </row>
    <row r="5263" spans="1:28" ht="17.100000000000001" customHeight="1" thickBot="1">
      <c r="A5263" s="227"/>
      <c r="B5263" s="27" t="s">
        <v>2103</v>
      </c>
      <c r="C5263" s="27">
        <v>5463</v>
      </c>
      <c r="D5263" s="14" t="s">
        <v>2753</v>
      </c>
      <c r="E5263" s="229"/>
      <c r="F5263" s="117" t="s">
        <v>15203</v>
      </c>
      <c r="G5263" s="26">
        <v>31242</v>
      </c>
      <c r="H5263" s="231"/>
      <c r="I5263" s="221"/>
      <c r="J5263" s="221"/>
      <c r="K5263" s="221"/>
      <c r="L5263" s="221"/>
      <c r="M5263" s="221"/>
      <c r="N5263" s="221"/>
      <c r="O5263" s="225"/>
      <c r="P5263" s="118" t="s">
        <v>5159</v>
      </c>
      <c r="Q5263" s="16" t="s">
        <v>20</v>
      </c>
      <c r="R5263" s="17" t="s">
        <v>15814</v>
      </c>
      <c r="S5263" s="121" t="s">
        <v>3552</v>
      </c>
      <c r="T5263" s="122"/>
      <c r="U5263" s="22"/>
      <c r="V5263" s="123" t="s">
        <v>2472</v>
      </c>
      <c r="W5263" s="122">
        <v>60386</v>
      </c>
      <c r="X5263" s="221"/>
      <c r="Y5263" s="221"/>
      <c r="Z5263" s="221"/>
      <c r="AA5263" s="221"/>
      <c r="AB5263" s="223"/>
    </row>
    <row r="5264" spans="1:28" ht="17.100000000000001" customHeight="1" thickTop="1">
      <c r="A5264" s="226" t="s">
        <v>15211</v>
      </c>
      <c r="B5264" s="28">
        <v>46042</v>
      </c>
      <c r="C5264" s="25">
        <v>1925</v>
      </c>
      <c r="D5264" s="13" t="s">
        <v>1883</v>
      </c>
      <c r="E5264" s="228"/>
      <c r="F5264" s="109" t="s">
        <v>15247</v>
      </c>
      <c r="G5264" s="24"/>
      <c r="H5264" s="230">
        <v>4</v>
      </c>
      <c r="I5264" s="220">
        <v>1059000</v>
      </c>
      <c r="J5264" s="220">
        <f>I5264*0.1</f>
        <v>105900</v>
      </c>
      <c r="K5264" s="220">
        <v>0</v>
      </c>
      <c r="L5264" s="220">
        <v>7440</v>
      </c>
      <c r="M5264" s="220">
        <v>15950</v>
      </c>
      <c r="N5264" s="220">
        <f>SUM(I5264:M5265)</f>
        <v>1188290</v>
      </c>
      <c r="O5264" s="224"/>
      <c r="P5264" s="110" t="s">
        <v>15861</v>
      </c>
      <c r="Q5264" s="15" t="s">
        <v>19</v>
      </c>
      <c r="R5264" s="205"/>
      <c r="S5264" s="189"/>
      <c r="T5264" s="114"/>
      <c r="U5264" s="21"/>
      <c r="V5264" s="115">
        <v>46060</v>
      </c>
      <c r="W5264" s="116">
        <v>1287</v>
      </c>
      <c r="X5264" s="220">
        <v>1130000</v>
      </c>
      <c r="Y5264" s="220">
        <f>X5264*0.1</f>
        <v>113000</v>
      </c>
      <c r="Z5264" s="220">
        <v>7440</v>
      </c>
      <c r="AA5264" s="220">
        <f>SUM(X5264:Z5264)</f>
        <v>1250440</v>
      </c>
      <c r="AB5264" s="222">
        <v>46063</v>
      </c>
    </row>
    <row r="5265" spans="1:28" ht="17.100000000000001" customHeight="1" thickBot="1">
      <c r="A5265" s="227"/>
      <c r="B5265" s="27" t="s">
        <v>2103</v>
      </c>
      <c r="C5265" s="27">
        <v>62015</v>
      </c>
      <c r="D5265" s="14" t="s">
        <v>1584</v>
      </c>
      <c r="E5265" s="229"/>
      <c r="F5265" s="117" t="s">
        <v>15828</v>
      </c>
      <c r="G5265" s="26">
        <v>48063</v>
      </c>
      <c r="H5265" s="231"/>
      <c r="I5265" s="221"/>
      <c r="J5265" s="221"/>
      <c r="K5265" s="221"/>
      <c r="L5265" s="221"/>
      <c r="M5265" s="221"/>
      <c r="N5265" s="221"/>
      <c r="O5265" s="225"/>
      <c r="P5265" s="118" t="s">
        <v>7323</v>
      </c>
      <c r="Q5265" s="16" t="s">
        <v>20</v>
      </c>
      <c r="R5265" s="17" t="s">
        <v>15814</v>
      </c>
      <c r="S5265" s="121"/>
      <c r="T5265" s="122"/>
      <c r="U5265" s="22"/>
      <c r="V5265" s="123" t="s">
        <v>2472</v>
      </c>
      <c r="W5265" s="122">
        <v>41031</v>
      </c>
      <c r="X5265" s="221"/>
      <c r="Y5265" s="221"/>
      <c r="Z5265" s="221"/>
      <c r="AA5265" s="221"/>
      <c r="AB5265" s="223"/>
    </row>
    <row r="5266" spans="1:28" ht="17.100000000000001" customHeight="1" thickTop="1">
      <c r="A5266" s="226" t="s">
        <v>15212</v>
      </c>
      <c r="B5266" s="28">
        <v>46042</v>
      </c>
      <c r="C5266" s="25">
        <v>1925</v>
      </c>
      <c r="D5266" s="13" t="s">
        <v>2264</v>
      </c>
      <c r="E5266" s="228"/>
      <c r="F5266" s="109" t="s">
        <v>15204</v>
      </c>
      <c r="G5266" s="24"/>
      <c r="H5266" s="230">
        <v>4.5</v>
      </c>
      <c r="I5266" s="220">
        <v>1161000</v>
      </c>
      <c r="J5266" s="220">
        <f>I5266*0.1</f>
        <v>116100</v>
      </c>
      <c r="K5266" s="220">
        <v>0</v>
      </c>
      <c r="L5266" s="220">
        <v>7440</v>
      </c>
      <c r="M5266" s="220">
        <v>15950</v>
      </c>
      <c r="N5266" s="220">
        <f>SUM(I5266:M5267)</f>
        <v>1300490</v>
      </c>
      <c r="O5266" s="224"/>
      <c r="P5266" s="110" t="s">
        <v>15860</v>
      </c>
      <c r="Q5266" s="15" t="s">
        <v>19</v>
      </c>
      <c r="R5266" s="205"/>
      <c r="S5266" s="189"/>
      <c r="T5266" s="114"/>
      <c r="U5266" s="21"/>
      <c r="V5266" s="115">
        <v>46060</v>
      </c>
      <c r="W5266" s="116">
        <v>1287</v>
      </c>
      <c r="X5266" s="220">
        <v>1250000</v>
      </c>
      <c r="Y5266" s="220">
        <f>X5266*0.1</f>
        <v>125000</v>
      </c>
      <c r="Z5266" s="220">
        <v>7440</v>
      </c>
      <c r="AA5266" s="220">
        <f>SUM(X5266:Z5266)</f>
        <v>1382440</v>
      </c>
      <c r="AB5266" s="222">
        <v>46063</v>
      </c>
    </row>
    <row r="5267" spans="1:28" ht="17.100000000000001" customHeight="1" thickBot="1">
      <c r="A5267" s="227"/>
      <c r="B5267" s="27" t="s">
        <v>2103</v>
      </c>
      <c r="C5267" s="27">
        <v>62042</v>
      </c>
      <c r="D5267" s="14" t="s">
        <v>1584</v>
      </c>
      <c r="E5267" s="229"/>
      <c r="F5267" s="117" t="s">
        <v>15829</v>
      </c>
      <c r="G5267" s="26">
        <v>29145</v>
      </c>
      <c r="H5267" s="231"/>
      <c r="I5267" s="221"/>
      <c r="J5267" s="221"/>
      <c r="K5267" s="221"/>
      <c r="L5267" s="221"/>
      <c r="M5267" s="221"/>
      <c r="N5267" s="221"/>
      <c r="O5267" s="225"/>
      <c r="P5267" s="118" t="s">
        <v>7323</v>
      </c>
      <c r="Q5267" s="16" t="s">
        <v>20</v>
      </c>
      <c r="R5267" s="17" t="s">
        <v>15814</v>
      </c>
      <c r="S5267" s="121"/>
      <c r="T5267" s="122"/>
      <c r="U5267" s="22"/>
      <c r="V5267" s="123" t="s">
        <v>2472</v>
      </c>
      <c r="W5267" s="122">
        <v>41033</v>
      </c>
      <c r="X5267" s="221"/>
      <c r="Y5267" s="221"/>
      <c r="Z5267" s="221"/>
      <c r="AA5267" s="221"/>
      <c r="AB5267" s="223"/>
    </row>
    <row r="5268" spans="1:28" ht="17.100000000000001" customHeight="1" thickTop="1">
      <c r="A5268" s="226" t="s">
        <v>15213</v>
      </c>
      <c r="B5268" s="28">
        <v>46042</v>
      </c>
      <c r="C5268" s="25">
        <v>803</v>
      </c>
      <c r="D5268" s="13" t="s">
        <v>1899</v>
      </c>
      <c r="E5268" s="228"/>
      <c r="F5268" s="109" t="s">
        <v>15205</v>
      </c>
      <c r="G5268" s="24" t="s">
        <v>2530</v>
      </c>
      <c r="H5268" s="230">
        <v>3.5</v>
      </c>
      <c r="I5268" s="220">
        <v>551000</v>
      </c>
      <c r="J5268" s="220">
        <f>I5268*0.1</f>
        <v>55100</v>
      </c>
      <c r="K5268" s="220">
        <v>0</v>
      </c>
      <c r="L5268" s="220">
        <v>8430</v>
      </c>
      <c r="M5268" s="220">
        <v>15950</v>
      </c>
      <c r="N5268" s="220">
        <f>SUM(I5268:M5269)</f>
        <v>630480</v>
      </c>
      <c r="O5268" s="224"/>
      <c r="P5268" s="110" t="s">
        <v>15248</v>
      </c>
      <c r="Q5268" s="15" t="s">
        <v>19</v>
      </c>
      <c r="R5268" s="205"/>
      <c r="S5268" s="189" t="s">
        <v>25711</v>
      </c>
      <c r="T5268" s="114"/>
      <c r="U5268" s="21" t="s">
        <v>17057</v>
      </c>
      <c r="V5268" s="115">
        <v>46060</v>
      </c>
      <c r="W5268" s="116">
        <v>1287</v>
      </c>
      <c r="X5268" s="220">
        <v>680000</v>
      </c>
      <c r="Y5268" s="220">
        <f>X5268*0.1</f>
        <v>68000</v>
      </c>
      <c r="Z5268" s="220">
        <v>8430</v>
      </c>
      <c r="AA5268" s="220">
        <f>SUM(X5268:Z5268)</f>
        <v>756430</v>
      </c>
      <c r="AB5268" s="222">
        <v>46065</v>
      </c>
    </row>
    <row r="5269" spans="1:28" ht="17.100000000000001" customHeight="1" thickBot="1">
      <c r="A5269" s="227"/>
      <c r="B5269" s="27" t="s">
        <v>3314</v>
      </c>
      <c r="C5269" s="27">
        <v>3092</v>
      </c>
      <c r="D5269" s="14" t="s">
        <v>1710</v>
      </c>
      <c r="E5269" s="229"/>
      <c r="F5269" s="117" t="s">
        <v>15206</v>
      </c>
      <c r="G5269" s="26">
        <v>24949</v>
      </c>
      <c r="H5269" s="231"/>
      <c r="I5269" s="221"/>
      <c r="J5269" s="221"/>
      <c r="K5269" s="221"/>
      <c r="L5269" s="221"/>
      <c r="M5269" s="221"/>
      <c r="N5269" s="221"/>
      <c r="O5269" s="225"/>
      <c r="P5269" s="118" t="s">
        <v>15833</v>
      </c>
      <c r="Q5269" s="16" t="s">
        <v>20</v>
      </c>
      <c r="R5269" s="17" t="s">
        <v>15814</v>
      </c>
      <c r="S5269" s="121" t="s">
        <v>16354</v>
      </c>
      <c r="T5269" s="122"/>
      <c r="U5269" s="22"/>
      <c r="V5269" s="123" t="s">
        <v>2472</v>
      </c>
      <c r="W5269" s="122">
        <v>60049</v>
      </c>
      <c r="X5269" s="221"/>
      <c r="Y5269" s="221"/>
      <c r="Z5269" s="221"/>
      <c r="AA5269" s="221"/>
      <c r="AB5269" s="223"/>
    </row>
    <row r="5270" spans="1:28" ht="17.100000000000001" customHeight="1" thickTop="1">
      <c r="A5270" s="226" t="s">
        <v>15214</v>
      </c>
      <c r="B5270" s="28">
        <v>46042</v>
      </c>
      <c r="C5270" s="25">
        <v>923</v>
      </c>
      <c r="D5270" s="13" t="s">
        <v>1553</v>
      </c>
      <c r="E5270" s="228"/>
      <c r="F5270" s="109" t="s">
        <v>15229</v>
      </c>
      <c r="G5270" s="24" t="s">
        <v>3859</v>
      </c>
      <c r="H5270" s="230">
        <v>4</v>
      </c>
      <c r="I5270" s="220">
        <v>1068000</v>
      </c>
      <c r="J5270" s="220">
        <f>I5270*0.1</f>
        <v>106800</v>
      </c>
      <c r="K5270" s="220">
        <v>7150</v>
      </c>
      <c r="L5270" s="220">
        <v>12030</v>
      </c>
      <c r="M5270" s="220">
        <v>15950</v>
      </c>
      <c r="N5270" s="220">
        <f>SUM(I5270:M5271)</f>
        <v>1209930</v>
      </c>
      <c r="O5270" s="224"/>
      <c r="P5270" s="110" t="s">
        <v>15249</v>
      </c>
      <c r="Q5270" s="15" t="s">
        <v>19</v>
      </c>
      <c r="R5270" s="205"/>
      <c r="S5270" s="189"/>
      <c r="T5270" s="114"/>
      <c r="U5270" s="21"/>
      <c r="V5270" s="115">
        <v>46060</v>
      </c>
      <c r="W5270" s="116">
        <v>1287</v>
      </c>
      <c r="X5270" s="220">
        <v>1215000</v>
      </c>
      <c r="Y5270" s="220">
        <f>X5270*0.1</f>
        <v>121500</v>
      </c>
      <c r="Z5270" s="220">
        <v>12030</v>
      </c>
      <c r="AA5270" s="220">
        <f>SUM(X5270:Z5270)</f>
        <v>1348530</v>
      </c>
      <c r="AB5270" s="222">
        <v>46063</v>
      </c>
    </row>
    <row r="5271" spans="1:28" ht="17.100000000000001" customHeight="1" thickBot="1">
      <c r="A5271" s="227"/>
      <c r="B5271" s="27" t="s">
        <v>2654</v>
      </c>
      <c r="C5271" s="27">
        <v>33</v>
      </c>
      <c r="D5271" s="14" t="s">
        <v>2559</v>
      </c>
      <c r="E5271" s="229"/>
      <c r="F5271" s="117" t="s">
        <v>15230</v>
      </c>
      <c r="G5271" s="26">
        <v>97401</v>
      </c>
      <c r="H5271" s="231"/>
      <c r="I5271" s="221"/>
      <c r="J5271" s="221"/>
      <c r="K5271" s="221"/>
      <c r="L5271" s="221"/>
      <c r="M5271" s="221"/>
      <c r="N5271" s="221"/>
      <c r="O5271" s="225"/>
      <c r="P5271" s="118" t="s">
        <v>15846</v>
      </c>
      <c r="Q5271" s="16" t="s">
        <v>20</v>
      </c>
      <c r="R5271" s="17" t="s">
        <v>15814</v>
      </c>
      <c r="S5271" s="121" t="s">
        <v>1923</v>
      </c>
      <c r="T5271" s="122"/>
      <c r="U5271" s="22"/>
      <c r="V5271" s="123" t="s">
        <v>2472</v>
      </c>
      <c r="W5271" s="122">
        <v>50219</v>
      </c>
      <c r="X5271" s="221"/>
      <c r="Y5271" s="221"/>
      <c r="Z5271" s="221"/>
      <c r="AA5271" s="221"/>
      <c r="AB5271" s="223"/>
    </row>
    <row r="5272" spans="1:28" ht="17.100000000000001" customHeight="1" thickTop="1">
      <c r="A5272" s="226" t="s">
        <v>15215</v>
      </c>
      <c r="B5272" s="28">
        <v>46042</v>
      </c>
      <c r="C5272" s="25">
        <v>923</v>
      </c>
      <c r="D5272" s="13" t="s">
        <v>3406</v>
      </c>
      <c r="E5272" s="228"/>
      <c r="F5272" s="109" t="s">
        <v>15231</v>
      </c>
      <c r="G5272" s="24"/>
      <c r="H5272" s="230">
        <v>4.5</v>
      </c>
      <c r="I5272" s="220">
        <v>2135000</v>
      </c>
      <c r="J5272" s="220">
        <f>I5272*0.1</f>
        <v>213500</v>
      </c>
      <c r="K5272" s="220">
        <v>0</v>
      </c>
      <c r="L5272" s="220">
        <v>11650</v>
      </c>
      <c r="M5272" s="220">
        <v>15950</v>
      </c>
      <c r="N5272" s="220">
        <f>SUM(I5272:M5273)</f>
        <v>2376100</v>
      </c>
      <c r="O5272" s="224"/>
      <c r="P5272" s="110" t="s">
        <v>15847</v>
      </c>
      <c r="Q5272" s="15" t="s">
        <v>19</v>
      </c>
      <c r="R5272" s="205"/>
      <c r="S5272" s="189" t="s">
        <v>758</v>
      </c>
      <c r="T5272" s="114"/>
      <c r="U5272" s="21"/>
      <c r="V5272" s="115">
        <v>46067</v>
      </c>
      <c r="W5272" s="116">
        <v>1288</v>
      </c>
      <c r="X5272" s="220">
        <v>2235000</v>
      </c>
      <c r="Y5272" s="220">
        <f>X5272*0.1</f>
        <v>223500</v>
      </c>
      <c r="Z5272" s="220">
        <v>11650</v>
      </c>
      <c r="AA5272" s="220">
        <f>SUM(X5272:Z5272)</f>
        <v>2470150</v>
      </c>
      <c r="AB5272" s="222">
        <v>46070</v>
      </c>
    </row>
    <row r="5273" spans="1:28" ht="17.100000000000001" customHeight="1" thickBot="1">
      <c r="A5273" s="227"/>
      <c r="B5273" s="27" t="s">
        <v>2654</v>
      </c>
      <c r="C5273" s="27">
        <v>2029</v>
      </c>
      <c r="D5273" s="14" t="s">
        <v>1568</v>
      </c>
      <c r="E5273" s="229"/>
      <c r="F5273" s="117" t="s">
        <v>15232</v>
      </c>
      <c r="G5273" s="26">
        <v>22450</v>
      </c>
      <c r="H5273" s="231"/>
      <c r="I5273" s="221"/>
      <c r="J5273" s="221"/>
      <c r="K5273" s="221"/>
      <c r="L5273" s="221"/>
      <c r="M5273" s="221"/>
      <c r="N5273" s="221"/>
      <c r="O5273" s="225"/>
      <c r="P5273" s="118" t="s">
        <v>2957</v>
      </c>
      <c r="Q5273" s="16" t="s">
        <v>20</v>
      </c>
      <c r="R5273" s="17" t="s">
        <v>15814</v>
      </c>
      <c r="S5273" s="121" t="s">
        <v>1661</v>
      </c>
      <c r="T5273" s="122"/>
      <c r="U5273" s="22"/>
      <c r="V5273" s="123" t="s">
        <v>2472</v>
      </c>
      <c r="W5273" s="122">
        <v>55075</v>
      </c>
      <c r="X5273" s="221"/>
      <c r="Y5273" s="221"/>
      <c r="Z5273" s="221"/>
      <c r="AA5273" s="221"/>
      <c r="AB5273" s="223"/>
    </row>
    <row r="5274" spans="1:28" ht="17.100000000000001" customHeight="1" thickTop="1">
      <c r="A5274" s="226" t="s">
        <v>15216</v>
      </c>
      <c r="B5274" s="28">
        <v>46042</v>
      </c>
      <c r="C5274" s="25">
        <v>923</v>
      </c>
      <c r="D5274" s="13" t="s">
        <v>1666</v>
      </c>
      <c r="E5274" s="228"/>
      <c r="F5274" s="109" t="s">
        <v>15233</v>
      </c>
      <c r="G5274" s="24"/>
      <c r="H5274" s="230">
        <v>3.5</v>
      </c>
      <c r="I5274" s="220">
        <v>253000</v>
      </c>
      <c r="J5274" s="220">
        <f>I5274*0.1</f>
        <v>25300</v>
      </c>
      <c r="K5274" s="220">
        <v>0</v>
      </c>
      <c r="L5274" s="220">
        <v>8580</v>
      </c>
      <c r="M5274" s="220">
        <v>15950</v>
      </c>
      <c r="N5274" s="220">
        <f>SUM(I5274:M5275)</f>
        <v>302830</v>
      </c>
      <c r="O5274" s="224"/>
      <c r="P5274" s="110" t="s">
        <v>15844</v>
      </c>
      <c r="Q5274" s="15" t="s">
        <v>19</v>
      </c>
      <c r="R5274" s="205"/>
      <c r="S5274" s="189"/>
      <c r="T5274" s="114"/>
      <c r="U5274" s="21"/>
      <c r="V5274" s="115">
        <v>46060</v>
      </c>
      <c r="W5274" s="116">
        <v>1287</v>
      </c>
      <c r="X5274" s="220">
        <v>300000</v>
      </c>
      <c r="Y5274" s="220">
        <f>X5274*0.1</f>
        <v>30000</v>
      </c>
      <c r="Z5274" s="220">
        <v>8580</v>
      </c>
      <c r="AA5274" s="220">
        <f>SUM(X5274:Z5274)</f>
        <v>338580</v>
      </c>
      <c r="AB5274" s="222">
        <v>46063</v>
      </c>
    </row>
    <row r="5275" spans="1:28" ht="17.100000000000001" customHeight="1" thickBot="1">
      <c r="A5275" s="227"/>
      <c r="B5275" s="27" t="s">
        <v>2654</v>
      </c>
      <c r="C5275" s="27">
        <v>3044</v>
      </c>
      <c r="D5275" s="14" t="s">
        <v>2559</v>
      </c>
      <c r="E5275" s="229"/>
      <c r="F5275" s="117" t="s">
        <v>15234</v>
      </c>
      <c r="G5275" s="26">
        <v>58787</v>
      </c>
      <c r="H5275" s="231"/>
      <c r="I5275" s="221"/>
      <c r="J5275" s="221"/>
      <c r="K5275" s="221"/>
      <c r="L5275" s="221"/>
      <c r="M5275" s="221"/>
      <c r="N5275" s="221"/>
      <c r="O5275" s="225"/>
      <c r="P5275" s="118" t="s">
        <v>15845</v>
      </c>
      <c r="Q5275" s="16" t="s">
        <v>20</v>
      </c>
      <c r="R5275" s="17" t="s">
        <v>15814</v>
      </c>
      <c r="S5275" s="121"/>
      <c r="T5275" s="122"/>
      <c r="U5275" s="22"/>
      <c r="V5275" s="123" t="s">
        <v>2472</v>
      </c>
      <c r="W5275" s="122">
        <v>60179</v>
      </c>
      <c r="X5275" s="221"/>
      <c r="Y5275" s="221"/>
      <c r="Z5275" s="221"/>
      <c r="AA5275" s="221"/>
      <c r="AB5275" s="223"/>
    </row>
    <row r="5276" spans="1:28" ht="17.100000000000001" customHeight="1" thickTop="1">
      <c r="A5276" s="226" t="s">
        <v>15217</v>
      </c>
      <c r="B5276" s="28">
        <v>46042</v>
      </c>
      <c r="C5276" s="25">
        <v>923</v>
      </c>
      <c r="D5276" s="13" t="s">
        <v>1623</v>
      </c>
      <c r="E5276" s="228"/>
      <c r="F5276" s="109" t="s">
        <v>15235</v>
      </c>
      <c r="G5276" s="24" t="s">
        <v>2487</v>
      </c>
      <c r="H5276" s="230">
        <v>4</v>
      </c>
      <c r="I5276" s="220">
        <v>543000</v>
      </c>
      <c r="J5276" s="220">
        <v>54300</v>
      </c>
      <c r="K5276" s="220">
        <v>0</v>
      </c>
      <c r="L5276" s="220">
        <v>6470</v>
      </c>
      <c r="M5276" s="220">
        <v>15950</v>
      </c>
      <c r="N5276" s="220">
        <f>SUM(I5276:M5277)</f>
        <v>619720</v>
      </c>
      <c r="O5276" s="224"/>
      <c r="P5276" s="110" t="s">
        <v>15250</v>
      </c>
      <c r="Q5276" s="15" t="s">
        <v>19</v>
      </c>
      <c r="R5276" s="205"/>
      <c r="S5276" s="189"/>
      <c r="T5276" s="114"/>
      <c r="U5276" s="21"/>
      <c r="V5276" s="115">
        <v>46046</v>
      </c>
      <c r="W5276" s="116">
        <v>1285</v>
      </c>
      <c r="X5276" s="220">
        <v>595000</v>
      </c>
      <c r="Y5276" s="220">
        <f>X5276*0.1</f>
        <v>59500</v>
      </c>
      <c r="Z5276" s="220">
        <v>6470</v>
      </c>
      <c r="AA5276" s="220">
        <f>SUM(X5276:Z5276)</f>
        <v>660970</v>
      </c>
      <c r="AB5276" s="222">
        <v>46051</v>
      </c>
    </row>
    <row r="5277" spans="1:28" ht="17.100000000000001" customHeight="1" thickBot="1">
      <c r="A5277" s="227"/>
      <c r="B5277" s="27" t="s">
        <v>2654</v>
      </c>
      <c r="C5277" s="27">
        <v>3140</v>
      </c>
      <c r="D5277" s="14" t="s">
        <v>2291</v>
      </c>
      <c r="E5277" s="229"/>
      <c r="F5277" s="117" t="s">
        <v>15236</v>
      </c>
      <c r="G5277" s="26">
        <v>16084</v>
      </c>
      <c r="H5277" s="231"/>
      <c r="I5277" s="221"/>
      <c r="J5277" s="221"/>
      <c r="K5277" s="221"/>
      <c r="L5277" s="221"/>
      <c r="M5277" s="221"/>
      <c r="N5277" s="221"/>
      <c r="O5277" s="225"/>
      <c r="P5277" s="118" t="s">
        <v>4007</v>
      </c>
      <c r="Q5277" s="16" t="s">
        <v>20</v>
      </c>
      <c r="R5277" s="17" t="s">
        <v>15814</v>
      </c>
      <c r="S5277" s="121" t="s">
        <v>10120</v>
      </c>
      <c r="T5277" s="122"/>
      <c r="U5277" s="22"/>
      <c r="V5277" s="123" t="s">
        <v>2472</v>
      </c>
      <c r="W5277" s="122">
        <v>60424</v>
      </c>
      <c r="X5277" s="221"/>
      <c r="Y5277" s="221"/>
      <c r="Z5277" s="221"/>
      <c r="AA5277" s="221"/>
      <c r="AB5277" s="223"/>
    </row>
    <row r="5278" spans="1:28" ht="17.100000000000001" customHeight="1" thickTop="1">
      <c r="A5278" s="226" t="s">
        <v>15218</v>
      </c>
      <c r="B5278" s="28">
        <v>46042</v>
      </c>
      <c r="C5278" s="25">
        <v>923</v>
      </c>
      <c r="D5278" s="13" t="s">
        <v>2267</v>
      </c>
      <c r="E5278" s="228"/>
      <c r="F5278" s="109" t="s">
        <v>15237</v>
      </c>
      <c r="G5278" s="24"/>
      <c r="H5278" s="230">
        <v>4</v>
      </c>
      <c r="I5278" s="220">
        <v>666000</v>
      </c>
      <c r="J5278" s="220">
        <f>I5278*0.1</f>
        <v>66600</v>
      </c>
      <c r="K5278" s="220">
        <v>0</v>
      </c>
      <c r="L5278" s="220">
        <v>8550</v>
      </c>
      <c r="M5278" s="220">
        <v>15950</v>
      </c>
      <c r="N5278" s="220">
        <f>SUM(I5278:M5279)</f>
        <v>757100</v>
      </c>
      <c r="O5278" s="224"/>
      <c r="P5278" s="110" t="s">
        <v>15842</v>
      </c>
      <c r="Q5278" s="15" t="s">
        <v>19</v>
      </c>
      <c r="R5278" s="205"/>
      <c r="S5278" s="189" t="s">
        <v>25712</v>
      </c>
      <c r="T5278" s="114"/>
      <c r="U5278" s="21"/>
      <c r="V5278" s="115">
        <v>46081</v>
      </c>
      <c r="W5278" s="116">
        <v>1290</v>
      </c>
      <c r="X5278" s="220">
        <v>715000</v>
      </c>
      <c r="Y5278" s="220">
        <f>X5278*0.1</f>
        <v>71500</v>
      </c>
      <c r="Z5278" s="220">
        <v>8550</v>
      </c>
      <c r="AA5278" s="220">
        <f>SUM(X5278:Z5278)</f>
        <v>795050</v>
      </c>
      <c r="AB5278" s="222">
        <v>46084</v>
      </c>
    </row>
    <row r="5279" spans="1:28" ht="17.100000000000001" customHeight="1" thickBot="1">
      <c r="A5279" s="227"/>
      <c r="B5279" s="27" t="s">
        <v>2654</v>
      </c>
      <c r="C5279" s="27">
        <v>3200</v>
      </c>
      <c r="D5279" s="14" t="s">
        <v>1710</v>
      </c>
      <c r="E5279" s="229"/>
      <c r="F5279" s="117" t="s">
        <v>15238</v>
      </c>
      <c r="G5279" s="26">
        <v>51128</v>
      </c>
      <c r="H5279" s="231"/>
      <c r="I5279" s="221"/>
      <c r="J5279" s="221"/>
      <c r="K5279" s="221"/>
      <c r="L5279" s="221"/>
      <c r="M5279" s="221"/>
      <c r="N5279" s="221"/>
      <c r="O5279" s="225"/>
      <c r="P5279" s="118" t="s">
        <v>15843</v>
      </c>
      <c r="Q5279" s="16" t="s">
        <v>20</v>
      </c>
      <c r="R5279" s="17" t="s">
        <v>15814</v>
      </c>
      <c r="S5279" s="121" t="s">
        <v>1731</v>
      </c>
      <c r="T5279" s="122"/>
      <c r="U5279" s="22"/>
      <c r="V5279" s="123" t="s">
        <v>2472</v>
      </c>
      <c r="W5279" s="122">
        <v>60135</v>
      </c>
      <c r="X5279" s="221"/>
      <c r="Y5279" s="221"/>
      <c r="Z5279" s="221"/>
      <c r="AA5279" s="221"/>
      <c r="AB5279" s="223"/>
    </row>
    <row r="5280" spans="1:28" ht="17.100000000000001" customHeight="1" thickTop="1">
      <c r="A5280" s="226" t="s">
        <v>15219</v>
      </c>
      <c r="B5280" s="28">
        <v>46042</v>
      </c>
      <c r="C5280" s="25">
        <v>923</v>
      </c>
      <c r="D5280" s="13" t="s">
        <v>4750</v>
      </c>
      <c r="E5280" s="228"/>
      <c r="F5280" s="109" t="s">
        <v>15239</v>
      </c>
      <c r="G5280" s="24" t="s">
        <v>3453</v>
      </c>
      <c r="H5280" s="230">
        <v>4</v>
      </c>
      <c r="I5280" s="220">
        <v>186000</v>
      </c>
      <c r="J5280" s="220">
        <f>I5280*0.1</f>
        <v>18600</v>
      </c>
      <c r="K5280" s="220">
        <v>0</v>
      </c>
      <c r="L5280" s="220">
        <v>7750</v>
      </c>
      <c r="M5280" s="220">
        <v>15950</v>
      </c>
      <c r="N5280" s="220">
        <f>SUM(I5280:M5281)</f>
        <v>228300</v>
      </c>
      <c r="O5280" s="224"/>
      <c r="P5280" s="110" t="s">
        <v>15872</v>
      </c>
      <c r="Q5280" s="15" t="s">
        <v>19</v>
      </c>
      <c r="R5280" s="205"/>
      <c r="S5280" s="189" t="s">
        <v>25432</v>
      </c>
      <c r="T5280" s="114"/>
      <c r="U5280" s="21"/>
      <c r="V5280" s="115">
        <v>46046</v>
      </c>
      <c r="W5280" s="116">
        <v>1285</v>
      </c>
      <c r="X5280" s="220">
        <v>245000</v>
      </c>
      <c r="Y5280" s="220">
        <f>X5280*0.1</f>
        <v>24500</v>
      </c>
      <c r="Z5280" s="220">
        <v>7750</v>
      </c>
      <c r="AA5280" s="220">
        <f>SUM(X5280:Z5280)</f>
        <v>277250</v>
      </c>
      <c r="AB5280" s="222">
        <v>46051</v>
      </c>
    </row>
    <row r="5281" spans="1:28" ht="17.100000000000001" customHeight="1" thickBot="1">
      <c r="A5281" s="227"/>
      <c r="B5281" s="27" t="s">
        <v>2654</v>
      </c>
      <c r="C5281" s="27">
        <v>4166</v>
      </c>
      <c r="D5281" s="14" t="s">
        <v>1710</v>
      </c>
      <c r="E5281" s="229"/>
      <c r="F5281" s="117" t="s">
        <v>15240</v>
      </c>
      <c r="G5281" s="26">
        <v>57996</v>
      </c>
      <c r="H5281" s="231"/>
      <c r="I5281" s="221"/>
      <c r="J5281" s="221"/>
      <c r="K5281" s="221"/>
      <c r="L5281" s="221"/>
      <c r="M5281" s="221"/>
      <c r="N5281" s="221"/>
      <c r="O5281" s="225"/>
      <c r="P5281" s="118" t="s">
        <v>15873</v>
      </c>
      <c r="Q5281" s="16" t="s">
        <v>20</v>
      </c>
      <c r="R5281" s="17" t="s">
        <v>15814</v>
      </c>
      <c r="S5281" s="121" t="s">
        <v>9311</v>
      </c>
      <c r="T5281" s="122"/>
      <c r="U5281" s="22"/>
      <c r="V5281" s="123" t="s">
        <v>2472</v>
      </c>
      <c r="W5281" s="122">
        <v>60416</v>
      </c>
      <c r="X5281" s="221"/>
      <c r="Y5281" s="221"/>
      <c r="Z5281" s="221"/>
      <c r="AA5281" s="221"/>
      <c r="AB5281" s="223"/>
    </row>
    <row r="5282" spans="1:28" ht="17.100000000000001" customHeight="1" thickTop="1">
      <c r="A5282" s="226" t="s">
        <v>15220</v>
      </c>
      <c r="B5282" s="28">
        <v>46042</v>
      </c>
      <c r="C5282" s="25">
        <v>923</v>
      </c>
      <c r="D5282" s="13" t="s">
        <v>2267</v>
      </c>
      <c r="E5282" s="228"/>
      <c r="F5282" s="109" t="s">
        <v>15241</v>
      </c>
      <c r="G5282" s="24"/>
      <c r="H5282" s="230">
        <v>4.5</v>
      </c>
      <c r="I5282" s="220">
        <v>1801000</v>
      </c>
      <c r="J5282" s="220">
        <f>I5282*0.1</f>
        <v>180100</v>
      </c>
      <c r="K5282" s="220">
        <v>0</v>
      </c>
      <c r="L5282" s="220">
        <v>18240</v>
      </c>
      <c r="M5282" s="220">
        <v>15950</v>
      </c>
      <c r="N5282" s="220">
        <f>SUM(I5282:M5283)</f>
        <v>2015290</v>
      </c>
      <c r="O5282" s="224"/>
      <c r="P5282" s="110" t="s">
        <v>15841</v>
      </c>
      <c r="Q5282" s="15" t="s">
        <v>19</v>
      </c>
      <c r="R5282" s="205"/>
      <c r="S5282" s="189"/>
      <c r="T5282" s="114"/>
      <c r="U5282" s="21"/>
      <c r="V5282" s="115">
        <v>46074</v>
      </c>
      <c r="W5282" s="116">
        <v>1289</v>
      </c>
      <c r="X5282" s="220">
        <v>1935000</v>
      </c>
      <c r="Y5282" s="220">
        <f>X5282*0.1</f>
        <v>193500</v>
      </c>
      <c r="Z5282" s="220">
        <v>18240</v>
      </c>
      <c r="AA5282" s="220">
        <f>SUM(X5282:Z5282)</f>
        <v>2146740</v>
      </c>
      <c r="AB5282" s="222">
        <v>46077</v>
      </c>
    </row>
    <row r="5283" spans="1:28" ht="17.100000000000001" customHeight="1" thickBot="1">
      <c r="A5283" s="227"/>
      <c r="B5283" s="27" t="s">
        <v>2654</v>
      </c>
      <c r="C5283" s="27">
        <v>5016</v>
      </c>
      <c r="D5283" s="14" t="s">
        <v>273</v>
      </c>
      <c r="E5283" s="229"/>
      <c r="F5283" s="117" t="s">
        <v>15251</v>
      </c>
      <c r="G5283" s="26">
        <v>23454</v>
      </c>
      <c r="H5283" s="231"/>
      <c r="I5283" s="221"/>
      <c r="J5283" s="221"/>
      <c r="K5283" s="221"/>
      <c r="L5283" s="221"/>
      <c r="M5283" s="221"/>
      <c r="N5283" s="221"/>
      <c r="O5283" s="225"/>
      <c r="P5283" s="118" t="s">
        <v>3506</v>
      </c>
      <c r="Q5283" s="16" t="s">
        <v>20</v>
      </c>
      <c r="R5283" s="17" t="s">
        <v>15814</v>
      </c>
      <c r="S5283" s="121" t="s">
        <v>5222</v>
      </c>
      <c r="T5283" s="122"/>
      <c r="U5283" s="22"/>
      <c r="V5283" s="123" t="s">
        <v>2472</v>
      </c>
      <c r="W5283" s="122">
        <v>80139</v>
      </c>
      <c r="X5283" s="221"/>
      <c r="Y5283" s="221"/>
      <c r="Z5283" s="221"/>
      <c r="AA5283" s="221"/>
      <c r="AB5283" s="223"/>
    </row>
    <row r="5284" spans="1:28" ht="17.100000000000001" customHeight="1" thickTop="1">
      <c r="A5284" s="226" t="s">
        <v>15221</v>
      </c>
      <c r="B5284" s="28">
        <v>46042</v>
      </c>
      <c r="C5284" s="25">
        <v>1224</v>
      </c>
      <c r="D5284" s="13" t="s">
        <v>2892</v>
      </c>
      <c r="E5284" s="228"/>
      <c r="F5284" s="109" t="s">
        <v>15824</v>
      </c>
      <c r="G5284" s="24"/>
      <c r="H5284" s="230">
        <v>4.5</v>
      </c>
      <c r="I5284" s="220">
        <v>1478000</v>
      </c>
      <c r="J5284" s="220">
        <f>I5284*0.1</f>
        <v>147800</v>
      </c>
      <c r="K5284" s="220">
        <v>0</v>
      </c>
      <c r="L5284" s="220">
        <v>15160</v>
      </c>
      <c r="M5284" s="220">
        <v>15950</v>
      </c>
      <c r="N5284" s="220">
        <f>SUM(I5284:M5285)</f>
        <v>1656910</v>
      </c>
      <c r="O5284" s="224"/>
      <c r="P5284" s="110" t="s">
        <v>15826</v>
      </c>
      <c r="Q5284" s="15" t="s">
        <v>19</v>
      </c>
      <c r="R5284" s="205"/>
      <c r="S5284" s="189"/>
      <c r="T5284" s="114"/>
      <c r="U5284" s="21"/>
      <c r="V5284" s="115">
        <v>46053</v>
      </c>
      <c r="W5284" s="116">
        <v>1286</v>
      </c>
      <c r="X5284" s="220">
        <v>1620000</v>
      </c>
      <c r="Y5284" s="220">
        <f>X5284*0.1</f>
        <v>162000</v>
      </c>
      <c r="Z5284" s="220">
        <v>15160</v>
      </c>
      <c r="AA5284" s="220">
        <f>SUM(X5284:Z5284)</f>
        <v>1797160</v>
      </c>
      <c r="AB5284" s="222">
        <v>46056</v>
      </c>
    </row>
    <row r="5285" spans="1:28" ht="17.100000000000001" customHeight="1" thickBot="1">
      <c r="A5285" s="227"/>
      <c r="B5285" s="27" t="s">
        <v>2344</v>
      </c>
      <c r="C5285" s="27">
        <v>5033</v>
      </c>
      <c r="D5285" s="14" t="s">
        <v>1568</v>
      </c>
      <c r="E5285" s="229"/>
      <c r="F5285" s="117" t="s">
        <v>15825</v>
      </c>
      <c r="G5285" s="26">
        <v>30383</v>
      </c>
      <c r="H5285" s="231"/>
      <c r="I5285" s="221"/>
      <c r="J5285" s="221"/>
      <c r="K5285" s="221"/>
      <c r="L5285" s="221"/>
      <c r="M5285" s="221"/>
      <c r="N5285" s="221"/>
      <c r="O5285" s="225"/>
      <c r="P5285" s="118" t="s">
        <v>8109</v>
      </c>
      <c r="Q5285" s="16" t="s">
        <v>20</v>
      </c>
      <c r="R5285" s="17" t="s">
        <v>15814</v>
      </c>
      <c r="S5285" s="121" t="s">
        <v>15354</v>
      </c>
      <c r="T5285" s="122"/>
      <c r="U5285" s="22"/>
      <c r="V5285" s="123" t="s">
        <v>2472</v>
      </c>
      <c r="W5285" s="122">
        <v>80045</v>
      </c>
      <c r="X5285" s="221"/>
      <c r="Y5285" s="221"/>
      <c r="Z5285" s="221"/>
      <c r="AA5285" s="221"/>
      <c r="AB5285" s="223"/>
    </row>
    <row r="5286" spans="1:28" ht="17.100000000000001" customHeight="1" thickTop="1">
      <c r="A5286" s="226" t="s">
        <v>15222</v>
      </c>
      <c r="B5286" s="28">
        <v>46042</v>
      </c>
      <c r="C5286" s="25">
        <v>1077</v>
      </c>
      <c r="D5286" s="13" t="s">
        <v>2264</v>
      </c>
      <c r="E5286" s="228"/>
      <c r="F5286" s="109" t="s">
        <v>15242</v>
      </c>
      <c r="G5286" s="24"/>
      <c r="H5286" s="230">
        <v>4.5</v>
      </c>
      <c r="I5286" s="220">
        <v>2435000</v>
      </c>
      <c r="J5286" s="220">
        <f>I5286*0.1</f>
        <v>243500</v>
      </c>
      <c r="K5286" s="220">
        <v>0</v>
      </c>
      <c r="L5286" s="220">
        <v>21570</v>
      </c>
      <c r="M5286" s="220">
        <v>16500</v>
      </c>
      <c r="N5286" s="220">
        <f>SUM(I5286:M5287)</f>
        <v>2716570</v>
      </c>
      <c r="O5286" s="224"/>
      <c r="P5286" s="110" t="s">
        <v>15730</v>
      </c>
      <c r="Q5286" s="15" t="s">
        <v>19</v>
      </c>
      <c r="R5286" s="205"/>
      <c r="S5286" s="189" t="s">
        <v>25507</v>
      </c>
      <c r="T5286" s="114"/>
      <c r="U5286" s="21"/>
      <c r="V5286" s="115">
        <v>46046</v>
      </c>
      <c r="W5286" s="116">
        <v>1285</v>
      </c>
      <c r="X5286" s="220">
        <v>2650000</v>
      </c>
      <c r="Y5286" s="220">
        <f>X5286*0.1</f>
        <v>265000</v>
      </c>
      <c r="Z5286" s="220">
        <v>21570</v>
      </c>
      <c r="AA5286" s="220">
        <f>SUM(X5286:Z5286)</f>
        <v>2936570</v>
      </c>
      <c r="AB5286" s="222">
        <v>46049</v>
      </c>
    </row>
    <row r="5287" spans="1:28" ht="17.100000000000001" customHeight="1" thickBot="1">
      <c r="A5287" s="227"/>
      <c r="B5287" s="27" t="s">
        <v>1583</v>
      </c>
      <c r="C5287" s="27">
        <v>82091</v>
      </c>
      <c r="D5287" s="14" t="s">
        <v>1690</v>
      </c>
      <c r="E5287" s="229"/>
      <c r="F5287" s="117" t="s">
        <v>15243</v>
      </c>
      <c r="G5287" s="26">
        <v>66209</v>
      </c>
      <c r="H5287" s="231"/>
      <c r="I5287" s="221"/>
      <c r="J5287" s="221"/>
      <c r="K5287" s="221"/>
      <c r="L5287" s="221"/>
      <c r="M5287" s="221"/>
      <c r="N5287" s="221"/>
      <c r="O5287" s="225"/>
      <c r="P5287" s="118" t="s">
        <v>3457</v>
      </c>
      <c r="Q5287" s="16" t="s">
        <v>20</v>
      </c>
      <c r="R5287" s="17" t="s">
        <v>2600</v>
      </c>
      <c r="S5287" s="121" t="s">
        <v>1606</v>
      </c>
      <c r="T5287" s="122"/>
      <c r="U5287" s="22"/>
      <c r="V5287" s="123" t="s">
        <v>2472</v>
      </c>
      <c r="W5287" s="122">
        <v>80314</v>
      </c>
      <c r="X5287" s="221"/>
      <c r="Y5287" s="221"/>
      <c r="Z5287" s="221"/>
      <c r="AA5287" s="221"/>
      <c r="AB5287" s="223"/>
    </row>
    <row r="5288" spans="1:28" ht="17.100000000000001" customHeight="1" thickTop="1">
      <c r="A5288" s="226" t="s">
        <v>15223</v>
      </c>
      <c r="B5288" s="28">
        <v>46042</v>
      </c>
      <c r="C5288" s="25">
        <v>974</v>
      </c>
      <c r="D5288" s="13" t="s">
        <v>2964</v>
      </c>
      <c r="E5288" s="228"/>
      <c r="F5288" s="109" t="s">
        <v>15252</v>
      </c>
      <c r="G5288" s="24"/>
      <c r="H5288" s="230">
        <v>3.5</v>
      </c>
      <c r="I5288" s="220">
        <v>958000</v>
      </c>
      <c r="J5288" s="220">
        <f>I5288*0.1</f>
        <v>95800</v>
      </c>
      <c r="K5288" s="220">
        <v>0</v>
      </c>
      <c r="L5288" s="220">
        <v>7440</v>
      </c>
      <c r="M5288" s="220">
        <v>22000</v>
      </c>
      <c r="N5288" s="220">
        <f>SUM(I5288:M5289)</f>
        <v>1083240</v>
      </c>
      <c r="O5288" s="224"/>
      <c r="P5288" s="110" t="s">
        <v>16063</v>
      </c>
      <c r="Q5288" s="15" t="s">
        <v>19</v>
      </c>
      <c r="R5288" s="205"/>
      <c r="S5288" s="189" t="s">
        <v>25683</v>
      </c>
      <c r="T5288" s="114"/>
      <c r="U5288" s="21"/>
      <c r="V5288" s="115">
        <v>46071</v>
      </c>
      <c r="W5288" s="116">
        <v>1005</v>
      </c>
      <c r="X5288" s="220">
        <v>1020000</v>
      </c>
      <c r="Y5288" s="220">
        <f>X5288*0.1</f>
        <v>102000</v>
      </c>
      <c r="Z5288" s="220">
        <v>7440</v>
      </c>
      <c r="AA5288" s="220">
        <f>SUM(X5288:Z5288)</f>
        <v>1129440</v>
      </c>
      <c r="AB5288" s="222">
        <v>46073</v>
      </c>
    </row>
    <row r="5289" spans="1:28" ht="17.100000000000001" customHeight="1" thickBot="1">
      <c r="A5289" s="227"/>
      <c r="B5289" s="27" t="s">
        <v>2029</v>
      </c>
      <c r="C5289" s="27">
        <v>113</v>
      </c>
      <c r="D5289" s="14" t="s">
        <v>1584</v>
      </c>
      <c r="E5289" s="229"/>
      <c r="F5289" s="117" t="s">
        <v>15253</v>
      </c>
      <c r="G5289" s="26">
        <v>32475</v>
      </c>
      <c r="H5289" s="231"/>
      <c r="I5289" s="221"/>
      <c r="J5289" s="221"/>
      <c r="K5289" s="221"/>
      <c r="L5289" s="221"/>
      <c r="M5289" s="221"/>
      <c r="N5289" s="221"/>
      <c r="O5289" s="225"/>
      <c r="P5289" s="118" t="s">
        <v>2446</v>
      </c>
      <c r="Q5289" s="16" t="s">
        <v>20</v>
      </c>
      <c r="R5289" s="17" t="s">
        <v>16027</v>
      </c>
      <c r="S5289" s="121" t="s">
        <v>9752</v>
      </c>
      <c r="T5289" s="122"/>
      <c r="U5289" s="22"/>
      <c r="V5289" s="123" t="s">
        <v>2747</v>
      </c>
      <c r="W5289" s="122">
        <v>80017</v>
      </c>
      <c r="X5289" s="221"/>
      <c r="Y5289" s="221"/>
      <c r="Z5289" s="221"/>
      <c r="AA5289" s="221"/>
      <c r="AB5289" s="223"/>
    </row>
    <row r="5290" spans="1:28" ht="17.100000000000001" customHeight="1" thickTop="1">
      <c r="A5290" s="226" t="s">
        <v>15224</v>
      </c>
      <c r="B5290" s="28">
        <v>46042</v>
      </c>
      <c r="C5290" s="25">
        <v>974</v>
      </c>
      <c r="D5290" s="13" t="s">
        <v>2324</v>
      </c>
      <c r="E5290" s="228"/>
      <c r="F5290" s="109" t="s">
        <v>15254</v>
      </c>
      <c r="G5290" s="24"/>
      <c r="H5290" s="230">
        <v>4</v>
      </c>
      <c r="I5290" s="220">
        <v>1189000</v>
      </c>
      <c r="J5290" s="220">
        <f>I5290*0.1</f>
        <v>118900</v>
      </c>
      <c r="K5290" s="220">
        <v>0</v>
      </c>
      <c r="L5290" s="220">
        <v>9810</v>
      </c>
      <c r="M5290" s="220">
        <v>22000</v>
      </c>
      <c r="N5290" s="220">
        <f>SUM(I5290:M5291)</f>
        <v>1339710</v>
      </c>
      <c r="O5290" s="224"/>
      <c r="P5290" s="110" t="s">
        <v>16026</v>
      </c>
      <c r="Q5290" s="15" t="s">
        <v>19</v>
      </c>
      <c r="R5290" s="205"/>
      <c r="S5290" s="189" t="s">
        <v>25387</v>
      </c>
      <c r="T5290" s="114"/>
      <c r="U5290" s="21"/>
      <c r="V5290" s="115">
        <v>46050</v>
      </c>
      <c r="W5290" s="116">
        <v>1002</v>
      </c>
      <c r="X5290" s="220">
        <v>1240000</v>
      </c>
      <c r="Y5290" s="220">
        <f>X5290*0.1</f>
        <v>124000</v>
      </c>
      <c r="Z5290" s="220">
        <v>9810</v>
      </c>
      <c r="AA5290" s="220">
        <f>SUM(X5290:Z5290)</f>
        <v>1373810</v>
      </c>
      <c r="AB5290" s="222">
        <v>46056</v>
      </c>
    </row>
    <row r="5291" spans="1:28" ht="17.100000000000001" customHeight="1" thickBot="1">
      <c r="A5291" s="227"/>
      <c r="B5291" s="27" t="s">
        <v>2029</v>
      </c>
      <c r="C5291" s="27">
        <v>112</v>
      </c>
      <c r="D5291" s="14" t="s">
        <v>1584</v>
      </c>
      <c r="E5291" s="229"/>
      <c r="F5291" s="117" t="s">
        <v>15255</v>
      </c>
      <c r="G5291" s="26">
        <v>41086</v>
      </c>
      <c r="H5291" s="231"/>
      <c r="I5291" s="221"/>
      <c r="J5291" s="221"/>
      <c r="K5291" s="221"/>
      <c r="L5291" s="221"/>
      <c r="M5291" s="221"/>
      <c r="N5291" s="221"/>
      <c r="O5291" s="225"/>
      <c r="P5291" s="118" t="s">
        <v>2031</v>
      </c>
      <c r="Q5291" s="16" t="s">
        <v>20</v>
      </c>
      <c r="R5291" s="17" t="s">
        <v>16027</v>
      </c>
      <c r="S5291" s="121" t="s">
        <v>9752</v>
      </c>
      <c r="T5291" s="122"/>
      <c r="U5291" s="22"/>
      <c r="V5291" s="123" t="s">
        <v>2747</v>
      </c>
      <c r="W5291" s="122">
        <v>4045</v>
      </c>
      <c r="X5291" s="221"/>
      <c r="Y5291" s="221"/>
      <c r="Z5291" s="221"/>
      <c r="AA5291" s="221"/>
      <c r="AB5291" s="223"/>
    </row>
    <row r="5292" spans="1:28" ht="17.100000000000001" customHeight="1" thickTop="1">
      <c r="A5292" s="226" t="s">
        <v>15225</v>
      </c>
      <c r="B5292" s="28">
        <v>46042</v>
      </c>
      <c r="C5292" s="25">
        <v>974</v>
      </c>
      <c r="D5292" s="13" t="s">
        <v>1883</v>
      </c>
      <c r="E5292" s="228"/>
      <c r="F5292" s="109" t="s">
        <v>15256</v>
      </c>
      <c r="G5292" s="24"/>
      <c r="H5292" s="230">
        <v>4</v>
      </c>
      <c r="I5292" s="220">
        <v>819000</v>
      </c>
      <c r="J5292" s="220">
        <f>I5292*0.1</f>
        <v>81900</v>
      </c>
      <c r="K5292" s="220">
        <v>0</v>
      </c>
      <c r="L5292" s="220">
        <v>8400</v>
      </c>
      <c r="M5292" s="220">
        <v>22000</v>
      </c>
      <c r="N5292" s="220">
        <f>SUM(I5292:M5293)</f>
        <v>931300</v>
      </c>
      <c r="O5292" s="224"/>
      <c r="P5292" s="110" t="s">
        <v>16028</v>
      </c>
      <c r="Q5292" s="15" t="s">
        <v>19</v>
      </c>
      <c r="R5292" s="205"/>
      <c r="S5292" s="189" t="s">
        <v>25387</v>
      </c>
      <c r="T5292" s="114"/>
      <c r="U5292" s="21"/>
      <c r="V5292" s="115">
        <v>46049</v>
      </c>
      <c r="W5292" s="116">
        <v>1926</v>
      </c>
      <c r="X5292" s="220">
        <v>834000</v>
      </c>
      <c r="Y5292" s="220">
        <f>X5292*0.1</f>
        <v>83400</v>
      </c>
      <c r="Z5292" s="220">
        <v>8400</v>
      </c>
      <c r="AA5292" s="220">
        <f>SUM(X5292:Z5292)</f>
        <v>925800</v>
      </c>
      <c r="AB5292" s="222"/>
    </row>
    <row r="5293" spans="1:28" ht="17.100000000000001" customHeight="1" thickBot="1">
      <c r="A5293" s="227"/>
      <c r="B5293" s="27" t="s">
        <v>2029</v>
      </c>
      <c r="C5293" s="27">
        <v>67</v>
      </c>
      <c r="D5293" s="14" t="s">
        <v>1710</v>
      </c>
      <c r="E5293" s="229"/>
      <c r="F5293" s="117" t="s">
        <v>15257</v>
      </c>
      <c r="G5293" s="26">
        <v>22220</v>
      </c>
      <c r="H5293" s="231"/>
      <c r="I5293" s="221"/>
      <c r="J5293" s="221"/>
      <c r="K5293" s="221"/>
      <c r="L5293" s="221"/>
      <c r="M5293" s="221"/>
      <c r="N5293" s="221"/>
      <c r="O5293" s="225"/>
      <c r="P5293" s="118" t="s">
        <v>2031</v>
      </c>
      <c r="Q5293" s="16" t="s">
        <v>20</v>
      </c>
      <c r="R5293" s="17" t="s">
        <v>16027</v>
      </c>
      <c r="S5293" s="121" t="s">
        <v>11197</v>
      </c>
      <c r="T5293" s="122"/>
      <c r="U5293" s="22"/>
      <c r="V5293" s="123" t="s">
        <v>2103</v>
      </c>
      <c r="W5293" s="122">
        <v>3381</v>
      </c>
      <c r="X5293" s="221"/>
      <c r="Y5293" s="221"/>
      <c r="Z5293" s="221"/>
      <c r="AA5293" s="221"/>
      <c r="AB5293" s="223"/>
    </row>
    <row r="5294" spans="1:28" ht="17.100000000000001" customHeight="1" thickTop="1">
      <c r="A5294" s="233" t="s">
        <v>15226</v>
      </c>
      <c r="B5294" s="28">
        <v>46043</v>
      </c>
      <c r="C5294" s="25"/>
      <c r="D5294" s="13" t="s">
        <v>2094</v>
      </c>
      <c r="E5294" s="228"/>
      <c r="F5294" s="109" t="s">
        <v>14854</v>
      </c>
      <c r="G5294" s="24" t="s">
        <v>5187</v>
      </c>
      <c r="H5294" s="230">
        <v>4</v>
      </c>
      <c r="I5294" s="220">
        <v>2700000</v>
      </c>
      <c r="J5294" s="220">
        <f>I5294*0.1</f>
        <v>270000</v>
      </c>
      <c r="K5294" s="220">
        <v>3000</v>
      </c>
      <c r="L5294" s="220">
        <v>12250</v>
      </c>
      <c r="M5294" s="220">
        <v>0</v>
      </c>
      <c r="N5294" s="220">
        <f>SUM(I5294:M5295)</f>
        <v>2985250</v>
      </c>
      <c r="O5294" s="224"/>
      <c r="P5294" s="110" t="s">
        <v>16556</v>
      </c>
      <c r="Q5294" s="15" t="s">
        <v>19</v>
      </c>
      <c r="R5294" s="205"/>
      <c r="S5294" s="189" t="s">
        <v>25709</v>
      </c>
      <c r="T5294" s="114" t="s">
        <v>17800</v>
      </c>
      <c r="U5294" s="21"/>
      <c r="V5294" s="115"/>
      <c r="W5294" s="116"/>
      <c r="X5294" s="220"/>
      <c r="Y5294" s="220">
        <f>X5294*0.1</f>
        <v>0</v>
      </c>
      <c r="Z5294" s="220"/>
      <c r="AA5294" s="220">
        <f>SUM(X5294:Z5294)</f>
        <v>0</v>
      </c>
      <c r="AB5294" s="222"/>
    </row>
    <row r="5295" spans="1:28" ht="17.100000000000001" customHeight="1" thickBot="1">
      <c r="A5295" s="234"/>
      <c r="B5295" s="27" t="s">
        <v>1708</v>
      </c>
      <c r="C5295" s="27" t="s">
        <v>15258</v>
      </c>
      <c r="D5295" s="14" t="s">
        <v>2559</v>
      </c>
      <c r="E5295" s="229"/>
      <c r="F5295" s="117" t="s">
        <v>15259</v>
      </c>
      <c r="G5295" s="26">
        <v>45598</v>
      </c>
      <c r="H5295" s="231"/>
      <c r="I5295" s="221"/>
      <c r="J5295" s="221"/>
      <c r="K5295" s="221"/>
      <c r="L5295" s="221"/>
      <c r="M5295" s="221"/>
      <c r="N5295" s="221"/>
      <c r="O5295" s="225"/>
      <c r="P5295" s="118" t="s">
        <v>16557</v>
      </c>
      <c r="Q5295" s="16" t="s">
        <v>20</v>
      </c>
      <c r="R5295" s="17" t="s">
        <v>3739</v>
      </c>
      <c r="S5295" s="121" t="s">
        <v>1923</v>
      </c>
      <c r="T5295" s="122"/>
      <c r="U5295" s="22"/>
      <c r="V5295" s="123"/>
      <c r="W5295" s="122"/>
      <c r="X5295" s="221"/>
      <c r="Y5295" s="221"/>
      <c r="Z5295" s="221"/>
      <c r="AA5295" s="221"/>
      <c r="AB5295" s="223"/>
    </row>
    <row r="5296" spans="1:28" ht="17.100000000000001" customHeight="1" thickTop="1">
      <c r="A5296" s="226" t="s">
        <v>15227</v>
      </c>
      <c r="B5296" s="28">
        <v>46043</v>
      </c>
      <c r="C5296" s="25">
        <v>1001</v>
      </c>
      <c r="D5296" s="13" t="s">
        <v>1883</v>
      </c>
      <c r="E5296" s="228"/>
      <c r="F5296" s="109" t="s">
        <v>15260</v>
      </c>
      <c r="G5296" s="24"/>
      <c r="H5296" s="230">
        <v>4.5</v>
      </c>
      <c r="I5296" s="220">
        <v>1480000</v>
      </c>
      <c r="J5296" s="220">
        <f>I5296*0.1</f>
        <v>148000</v>
      </c>
      <c r="K5296" s="220">
        <v>0</v>
      </c>
      <c r="L5296" s="220">
        <v>10060</v>
      </c>
      <c r="M5296" s="220">
        <v>12100</v>
      </c>
      <c r="N5296" s="220">
        <f>SUM(I5296:M5297)</f>
        <v>1650160</v>
      </c>
      <c r="O5296" s="224"/>
      <c r="P5296" s="110" t="s">
        <v>15862</v>
      </c>
      <c r="Q5296" s="15" t="s">
        <v>19</v>
      </c>
      <c r="R5296" s="205"/>
      <c r="S5296" s="189" t="s">
        <v>455</v>
      </c>
      <c r="T5296" s="114"/>
      <c r="U5296" s="21"/>
      <c r="V5296" s="115">
        <v>46053</v>
      </c>
      <c r="W5296" s="116">
        <v>1286</v>
      </c>
      <c r="X5296" s="220">
        <v>1545000</v>
      </c>
      <c r="Y5296" s="220">
        <f>X5296*0.1</f>
        <v>154500</v>
      </c>
      <c r="Z5296" s="220">
        <v>10060</v>
      </c>
      <c r="AA5296" s="220">
        <f>SUM(X5296:Z5296)</f>
        <v>1709560</v>
      </c>
      <c r="AB5296" s="222">
        <v>46056</v>
      </c>
    </row>
    <row r="5297" spans="1:28" ht="17.100000000000001" customHeight="1" thickBot="1">
      <c r="A5297" s="227"/>
      <c r="B5297" s="27" t="s">
        <v>2747</v>
      </c>
      <c r="C5297" s="27">
        <v>1216</v>
      </c>
      <c r="D5297" s="14" t="s">
        <v>1710</v>
      </c>
      <c r="E5297" s="229"/>
      <c r="F5297" s="117" t="s">
        <v>15261</v>
      </c>
      <c r="G5297" s="26">
        <v>51262</v>
      </c>
      <c r="H5297" s="231"/>
      <c r="I5297" s="221"/>
      <c r="J5297" s="221"/>
      <c r="K5297" s="221"/>
      <c r="L5297" s="221"/>
      <c r="M5297" s="221"/>
      <c r="N5297" s="221"/>
      <c r="O5297" s="225"/>
      <c r="P5297" s="118" t="s">
        <v>15863</v>
      </c>
      <c r="Q5297" s="16" t="s">
        <v>20</v>
      </c>
      <c r="R5297" s="17" t="s">
        <v>15814</v>
      </c>
      <c r="S5297" s="121" t="s">
        <v>15864</v>
      </c>
      <c r="T5297" s="122"/>
      <c r="U5297" s="22"/>
      <c r="V5297" s="123" t="s">
        <v>2472</v>
      </c>
      <c r="W5297" s="122">
        <v>55004</v>
      </c>
      <c r="X5297" s="221"/>
      <c r="Y5297" s="221"/>
      <c r="Z5297" s="221"/>
      <c r="AA5297" s="221"/>
      <c r="AB5297" s="223"/>
    </row>
    <row r="5298" spans="1:28" ht="17.100000000000001" customHeight="1" thickTop="1">
      <c r="A5298" s="226" t="s">
        <v>15228</v>
      </c>
      <c r="B5298" s="28">
        <v>46042</v>
      </c>
      <c r="C5298" s="25">
        <v>1272</v>
      </c>
      <c r="D5298" s="13" t="s">
        <v>2406</v>
      </c>
      <c r="E5298" s="228"/>
      <c r="F5298" s="109" t="s">
        <v>7064</v>
      </c>
      <c r="G5298" s="24"/>
      <c r="H5298" s="230">
        <v>4</v>
      </c>
      <c r="I5298" s="220">
        <v>980000</v>
      </c>
      <c r="J5298" s="220">
        <f>I5298*0.1</f>
        <v>98000</v>
      </c>
      <c r="K5298" s="220">
        <v>0</v>
      </c>
      <c r="L5298" s="220">
        <v>19440</v>
      </c>
      <c r="M5298" s="220">
        <v>18150</v>
      </c>
      <c r="N5298" s="220">
        <f>SUM(I5298:M5299)</f>
        <v>1115590</v>
      </c>
      <c r="O5298" s="224"/>
      <c r="P5298" s="110" t="s">
        <v>16002</v>
      </c>
      <c r="Q5298" s="15" t="s">
        <v>19</v>
      </c>
      <c r="R5298" s="205"/>
      <c r="S5298" s="189" t="s">
        <v>1113</v>
      </c>
      <c r="T5298" s="114"/>
      <c r="U5298" s="21"/>
      <c r="V5298" s="115">
        <v>46074</v>
      </c>
      <c r="W5298" s="116">
        <v>1289</v>
      </c>
      <c r="X5298" s="220">
        <v>1100000</v>
      </c>
      <c r="Y5298" s="220">
        <f>X5298*0.1</f>
        <v>110000</v>
      </c>
      <c r="Z5298" s="220">
        <v>19440</v>
      </c>
      <c r="AA5298" s="220">
        <f>SUM(X5298:Z5298)</f>
        <v>1229440</v>
      </c>
      <c r="AB5298" s="222">
        <v>46077</v>
      </c>
    </row>
    <row r="5299" spans="1:28" ht="17.100000000000001" customHeight="1" thickBot="1">
      <c r="A5299" s="227"/>
      <c r="B5299" s="27" t="s">
        <v>7351</v>
      </c>
      <c r="C5299" s="27">
        <v>38150</v>
      </c>
      <c r="D5299" s="14" t="s">
        <v>1627</v>
      </c>
      <c r="E5299" s="229"/>
      <c r="F5299" s="117" t="s">
        <v>15344</v>
      </c>
      <c r="G5299" s="26">
        <v>51770</v>
      </c>
      <c r="H5299" s="231"/>
      <c r="I5299" s="221"/>
      <c r="J5299" s="221"/>
      <c r="K5299" s="221"/>
      <c r="L5299" s="221"/>
      <c r="M5299" s="221"/>
      <c r="N5299" s="221"/>
      <c r="O5299" s="225"/>
      <c r="P5299" s="118" t="s">
        <v>16003</v>
      </c>
      <c r="Q5299" s="16" t="s">
        <v>20</v>
      </c>
      <c r="R5299" s="17" t="s">
        <v>1822</v>
      </c>
      <c r="S5299" s="121" t="s">
        <v>16004</v>
      </c>
      <c r="T5299" s="122"/>
      <c r="U5299" s="22"/>
      <c r="V5299" s="123" t="s">
        <v>2472</v>
      </c>
      <c r="W5299" s="122">
        <v>80247</v>
      </c>
      <c r="X5299" s="221"/>
      <c r="Y5299" s="221"/>
      <c r="Z5299" s="221"/>
      <c r="AA5299" s="221"/>
      <c r="AB5299" s="223"/>
    </row>
    <row r="5300" spans="1:28" ht="17.100000000000001" customHeight="1" thickTop="1">
      <c r="A5300" s="226" t="s">
        <v>15376</v>
      </c>
      <c r="B5300" s="28">
        <v>46043</v>
      </c>
      <c r="C5300" s="25">
        <v>2339</v>
      </c>
      <c r="D5300" s="13" t="s">
        <v>2811</v>
      </c>
      <c r="E5300" s="228"/>
      <c r="F5300" s="109" t="s">
        <v>3606</v>
      </c>
      <c r="G5300" s="24"/>
      <c r="H5300" s="230">
        <v>4.5</v>
      </c>
      <c r="I5300" s="220">
        <v>1200000</v>
      </c>
      <c r="J5300" s="220">
        <f>I5300*0.1</f>
        <v>120000</v>
      </c>
      <c r="K5300" s="220">
        <v>0</v>
      </c>
      <c r="L5300" s="220">
        <v>9750</v>
      </c>
      <c r="M5300" s="220">
        <v>16500</v>
      </c>
      <c r="N5300" s="220">
        <f>SUM(I5300:M5301)</f>
        <v>1346250</v>
      </c>
      <c r="O5300" s="224"/>
      <c r="P5300" s="110" t="s">
        <v>15408</v>
      </c>
      <c r="Q5300" s="15" t="s">
        <v>19</v>
      </c>
      <c r="R5300" s="205"/>
      <c r="S5300" s="189" t="s">
        <v>1072</v>
      </c>
      <c r="T5300" s="114"/>
      <c r="U5300" s="21"/>
      <c r="V5300" s="115">
        <v>46078</v>
      </c>
      <c r="W5300" s="116">
        <v>1006</v>
      </c>
      <c r="X5300" s="220">
        <v>1250000</v>
      </c>
      <c r="Y5300" s="220">
        <f>X5300*0.1</f>
        <v>125000</v>
      </c>
      <c r="Z5300" s="220">
        <v>9750</v>
      </c>
      <c r="AA5300" s="220">
        <f>SUM(X5300:Z5300)</f>
        <v>1384750</v>
      </c>
      <c r="AB5300" s="222">
        <v>46084</v>
      </c>
    </row>
    <row r="5301" spans="1:28" ht="17.100000000000001" customHeight="1" thickBot="1">
      <c r="A5301" s="227"/>
      <c r="B5301" s="27" t="s">
        <v>3367</v>
      </c>
      <c r="C5301" s="27">
        <v>60160</v>
      </c>
      <c r="D5301" s="14" t="s">
        <v>273</v>
      </c>
      <c r="E5301" s="229"/>
      <c r="F5301" s="117" t="s">
        <v>15375</v>
      </c>
      <c r="G5301" s="26">
        <v>55419</v>
      </c>
      <c r="H5301" s="231"/>
      <c r="I5301" s="221"/>
      <c r="J5301" s="221"/>
      <c r="K5301" s="221"/>
      <c r="L5301" s="221"/>
      <c r="M5301" s="221"/>
      <c r="N5301" s="221"/>
      <c r="O5301" s="225"/>
      <c r="P5301" s="118" t="s">
        <v>4711</v>
      </c>
      <c r="Q5301" s="16" t="s">
        <v>20</v>
      </c>
      <c r="R5301" s="17" t="s">
        <v>15369</v>
      </c>
      <c r="S5301" s="121" t="s">
        <v>1680</v>
      </c>
      <c r="T5301" s="122"/>
      <c r="U5301" s="22"/>
      <c r="V5301" s="123" t="s">
        <v>7161</v>
      </c>
      <c r="W5301" s="122">
        <v>6066</v>
      </c>
      <c r="X5301" s="221"/>
      <c r="Y5301" s="221"/>
      <c r="Z5301" s="221"/>
      <c r="AA5301" s="221"/>
      <c r="AB5301" s="223"/>
    </row>
    <row r="5302" spans="1:28" ht="17.100000000000001" customHeight="1" thickTop="1">
      <c r="A5302" s="226" t="s">
        <v>15377</v>
      </c>
      <c r="B5302" s="28">
        <v>46043</v>
      </c>
      <c r="C5302" s="25">
        <v>2339</v>
      </c>
      <c r="D5302" s="13" t="s">
        <v>1578</v>
      </c>
      <c r="E5302" s="228"/>
      <c r="F5302" s="109" t="s">
        <v>3606</v>
      </c>
      <c r="G5302" s="24"/>
      <c r="H5302" s="230">
        <v>4</v>
      </c>
      <c r="I5302" s="220">
        <v>1070000</v>
      </c>
      <c r="J5302" s="220">
        <f>I5302*0.1</f>
        <v>107000</v>
      </c>
      <c r="K5302" s="220">
        <v>0</v>
      </c>
      <c r="L5302" s="220">
        <v>9750</v>
      </c>
      <c r="M5302" s="220">
        <v>16500</v>
      </c>
      <c r="N5302" s="220">
        <f>SUM(I5302:M5303)</f>
        <v>1203250</v>
      </c>
      <c r="O5302" s="224"/>
      <c r="P5302" s="110" t="s">
        <v>15978</v>
      </c>
      <c r="Q5302" s="15" t="s">
        <v>19</v>
      </c>
      <c r="R5302" s="205"/>
      <c r="S5302" s="189"/>
      <c r="T5302" s="114"/>
      <c r="U5302" s="21"/>
      <c r="V5302" s="115">
        <v>46071</v>
      </c>
      <c r="W5302" s="116">
        <v>1005</v>
      </c>
      <c r="X5302" s="220">
        <v>1100000</v>
      </c>
      <c r="Y5302" s="220">
        <f>X5302*0.1</f>
        <v>110000</v>
      </c>
      <c r="Z5302" s="220">
        <v>9750</v>
      </c>
      <c r="AA5302" s="220">
        <f>SUM(X5302:Z5302)</f>
        <v>1219750</v>
      </c>
      <c r="AB5302" s="222">
        <v>46073</v>
      </c>
    </row>
    <row r="5303" spans="1:28" ht="17.100000000000001" customHeight="1" thickBot="1">
      <c r="A5303" s="227"/>
      <c r="B5303" s="27" t="s">
        <v>3367</v>
      </c>
      <c r="C5303" s="27">
        <v>60254</v>
      </c>
      <c r="D5303" s="14" t="s">
        <v>273</v>
      </c>
      <c r="E5303" s="229"/>
      <c r="F5303" s="117" t="s">
        <v>15378</v>
      </c>
      <c r="G5303" s="26">
        <v>54388</v>
      </c>
      <c r="H5303" s="231"/>
      <c r="I5303" s="221"/>
      <c r="J5303" s="221"/>
      <c r="K5303" s="221"/>
      <c r="L5303" s="221"/>
      <c r="M5303" s="221"/>
      <c r="N5303" s="221"/>
      <c r="O5303" s="225"/>
      <c r="P5303" s="118" t="s">
        <v>7603</v>
      </c>
      <c r="Q5303" s="16" t="s">
        <v>20</v>
      </c>
      <c r="R5303" s="17" t="s">
        <v>1822</v>
      </c>
      <c r="S5303" s="121" t="s">
        <v>9008</v>
      </c>
      <c r="T5303" s="122"/>
      <c r="U5303" s="22"/>
      <c r="V5303" s="123" t="s">
        <v>2747</v>
      </c>
      <c r="W5303" s="122">
        <v>6047</v>
      </c>
      <c r="X5303" s="221"/>
      <c r="Y5303" s="221"/>
      <c r="Z5303" s="221"/>
      <c r="AA5303" s="221"/>
      <c r="AB5303" s="223"/>
    </row>
    <row r="5304" spans="1:28" ht="17.100000000000001" customHeight="1" thickTop="1">
      <c r="A5304" s="226" t="s">
        <v>15379</v>
      </c>
      <c r="B5304" s="28">
        <v>46043</v>
      </c>
      <c r="C5304" s="25">
        <v>1822</v>
      </c>
      <c r="D5304" s="13" t="s">
        <v>2644</v>
      </c>
      <c r="E5304" s="228"/>
      <c r="F5304" s="109" t="s">
        <v>15391</v>
      </c>
      <c r="G5304" s="24" t="s">
        <v>2494</v>
      </c>
      <c r="H5304" s="230">
        <v>4.5</v>
      </c>
      <c r="I5304" s="220">
        <v>1043000</v>
      </c>
      <c r="J5304" s="220">
        <f>I5304*0.1</f>
        <v>104300</v>
      </c>
      <c r="K5304" s="220">
        <v>0</v>
      </c>
      <c r="L5304" s="220">
        <v>8790</v>
      </c>
      <c r="M5304" s="220">
        <v>18150</v>
      </c>
      <c r="N5304" s="220">
        <f>SUM(I5304:M5305)</f>
        <v>1174240</v>
      </c>
      <c r="O5304" s="224"/>
      <c r="P5304" s="110" t="s">
        <v>15392</v>
      </c>
      <c r="Q5304" s="15" t="s">
        <v>19</v>
      </c>
      <c r="R5304" s="205"/>
      <c r="S5304" s="189" t="s">
        <v>758</v>
      </c>
      <c r="T5304" s="114"/>
      <c r="U5304" s="21" t="s">
        <v>17603</v>
      </c>
      <c r="V5304" s="115">
        <v>46085</v>
      </c>
      <c r="W5304" s="116">
        <v>1007</v>
      </c>
      <c r="X5304" s="220">
        <v>1155000</v>
      </c>
      <c r="Y5304" s="220">
        <f>X5304*0.1</f>
        <v>115500</v>
      </c>
      <c r="Z5304" s="220">
        <v>8790</v>
      </c>
      <c r="AA5304" s="220">
        <f>SUM(X5304:Z5304)</f>
        <v>1279290</v>
      </c>
      <c r="AB5304" s="222">
        <v>46090</v>
      </c>
    </row>
    <row r="5305" spans="1:28" ht="17.100000000000001" customHeight="1" thickBot="1">
      <c r="A5305" s="227"/>
      <c r="B5305" s="27" t="s">
        <v>2519</v>
      </c>
      <c r="C5305" s="27">
        <v>3181</v>
      </c>
      <c r="D5305" s="14" t="s">
        <v>3792</v>
      </c>
      <c r="E5305" s="229"/>
      <c r="F5305" s="117" t="s">
        <v>15386</v>
      </c>
      <c r="G5305" s="26">
        <v>39202</v>
      </c>
      <c r="H5305" s="231"/>
      <c r="I5305" s="221"/>
      <c r="J5305" s="221"/>
      <c r="K5305" s="221"/>
      <c r="L5305" s="221"/>
      <c r="M5305" s="221"/>
      <c r="N5305" s="221"/>
      <c r="O5305" s="225"/>
      <c r="P5305" s="118" t="s">
        <v>15832</v>
      </c>
      <c r="Q5305" s="16" t="s">
        <v>20</v>
      </c>
      <c r="R5305" s="17" t="s">
        <v>15814</v>
      </c>
      <c r="S5305" s="121" t="s">
        <v>8880</v>
      </c>
      <c r="T5305" s="122"/>
      <c r="U5305" s="22"/>
      <c r="V5305" s="123" t="s">
        <v>8877</v>
      </c>
      <c r="W5305" s="122">
        <v>2009</v>
      </c>
      <c r="X5305" s="221"/>
      <c r="Y5305" s="221"/>
      <c r="Z5305" s="221"/>
      <c r="AA5305" s="221"/>
      <c r="AB5305" s="223"/>
    </row>
    <row r="5306" spans="1:28" ht="17.100000000000001" customHeight="1" thickTop="1">
      <c r="A5306" s="226" t="s">
        <v>15380</v>
      </c>
      <c r="B5306" s="28">
        <v>46043</v>
      </c>
      <c r="C5306" s="25">
        <v>1822</v>
      </c>
      <c r="D5306" s="13" t="s">
        <v>1702</v>
      </c>
      <c r="E5306" s="228"/>
      <c r="F5306" s="109" t="s">
        <v>9188</v>
      </c>
      <c r="G5306" s="24" t="s">
        <v>2487</v>
      </c>
      <c r="H5306" s="230">
        <v>4.5</v>
      </c>
      <c r="I5306" s="220">
        <v>701000</v>
      </c>
      <c r="J5306" s="220">
        <f>I5306*0.1</f>
        <v>70100</v>
      </c>
      <c r="K5306" s="220">
        <v>0</v>
      </c>
      <c r="L5306" s="220">
        <v>9790</v>
      </c>
      <c r="M5306" s="220">
        <v>18150</v>
      </c>
      <c r="N5306" s="220">
        <f>SUM(I5306:M5307)</f>
        <v>799040</v>
      </c>
      <c r="O5306" s="224"/>
      <c r="P5306" s="110" t="s">
        <v>15393</v>
      </c>
      <c r="Q5306" s="15" t="s">
        <v>19</v>
      </c>
      <c r="R5306" s="205"/>
      <c r="S5306" s="189" t="s">
        <v>1341</v>
      </c>
      <c r="T5306" s="114"/>
      <c r="U5306" s="21"/>
      <c r="V5306" s="115">
        <v>46053</v>
      </c>
      <c r="W5306" s="116">
        <v>1286</v>
      </c>
      <c r="X5306" s="220">
        <v>800000</v>
      </c>
      <c r="Y5306" s="220">
        <f>X5306*0.1</f>
        <v>80000</v>
      </c>
      <c r="Z5306" s="220">
        <v>9790</v>
      </c>
      <c r="AA5306" s="220">
        <f>SUM(X5306:Z5306)</f>
        <v>889790</v>
      </c>
      <c r="AB5306" s="222">
        <v>46056</v>
      </c>
    </row>
    <row r="5307" spans="1:28" ht="17.100000000000001" customHeight="1" thickBot="1">
      <c r="A5307" s="227"/>
      <c r="B5307" s="27" t="s">
        <v>2519</v>
      </c>
      <c r="C5307" s="27">
        <v>3244</v>
      </c>
      <c r="D5307" s="14" t="s">
        <v>2559</v>
      </c>
      <c r="E5307" s="229"/>
      <c r="F5307" s="117" t="s">
        <v>15387</v>
      </c>
      <c r="G5307" s="26">
        <v>63298</v>
      </c>
      <c r="H5307" s="231"/>
      <c r="I5307" s="221"/>
      <c r="J5307" s="221"/>
      <c r="K5307" s="221"/>
      <c r="L5307" s="221"/>
      <c r="M5307" s="221"/>
      <c r="N5307" s="221"/>
      <c r="O5307" s="225"/>
      <c r="P5307" s="118" t="s">
        <v>15991</v>
      </c>
      <c r="Q5307" s="16" t="s">
        <v>20</v>
      </c>
      <c r="R5307" s="17" t="s">
        <v>1822</v>
      </c>
      <c r="S5307" s="121" t="s">
        <v>169</v>
      </c>
      <c r="T5307" s="122"/>
      <c r="U5307" s="22"/>
      <c r="V5307" s="123" t="s">
        <v>2472</v>
      </c>
      <c r="W5307" s="122">
        <v>60186</v>
      </c>
      <c r="X5307" s="221"/>
      <c r="Y5307" s="221"/>
      <c r="Z5307" s="221"/>
      <c r="AA5307" s="221"/>
      <c r="AB5307" s="223"/>
    </row>
    <row r="5308" spans="1:28" ht="17.100000000000001" customHeight="1" thickTop="1">
      <c r="A5308" s="226" t="s">
        <v>15381</v>
      </c>
      <c r="B5308" s="28">
        <v>46043</v>
      </c>
      <c r="C5308" s="25">
        <v>1822</v>
      </c>
      <c r="D5308" s="13" t="s">
        <v>812</v>
      </c>
      <c r="E5308" s="228"/>
      <c r="F5308" s="109" t="s">
        <v>15394</v>
      </c>
      <c r="G5308" s="24" t="s">
        <v>1551</v>
      </c>
      <c r="H5308" s="230">
        <v>4.5</v>
      </c>
      <c r="I5308" s="220">
        <v>675000</v>
      </c>
      <c r="J5308" s="220">
        <f>I5308*0.1</f>
        <v>67500</v>
      </c>
      <c r="K5308" s="220">
        <v>5500</v>
      </c>
      <c r="L5308" s="220">
        <v>11810</v>
      </c>
      <c r="M5308" s="220">
        <v>18150</v>
      </c>
      <c r="N5308" s="220">
        <f>SUM(I5308:M5309)</f>
        <v>777960</v>
      </c>
      <c r="O5308" s="224"/>
      <c r="P5308" s="110" t="s">
        <v>15395</v>
      </c>
      <c r="Q5308" s="15" t="s">
        <v>19</v>
      </c>
      <c r="R5308" s="205"/>
      <c r="S5308" s="189" t="s">
        <v>25372</v>
      </c>
      <c r="T5308" s="114"/>
      <c r="U5308" s="21"/>
      <c r="V5308" s="115">
        <v>46060</v>
      </c>
      <c r="W5308" s="116">
        <v>1287</v>
      </c>
      <c r="X5308" s="220">
        <v>700000</v>
      </c>
      <c r="Y5308" s="220">
        <f>X5308*0.1</f>
        <v>70000</v>
      </c>
      <c r="Z5308" s="220">
        <v>11810</v>
      </c>
      <c r="AA5308" s="220">
        <f>SUM(X5308:Z5308)</f>
        <v>781810</v>
      </c>
      <c r="AB5308" s="222">
        <v>46063</v>
      </c>
    </row>
    <row r="5309" spans="1:28" ht="17.100000000000001" customHeight="1" thickBot="1">
      <c r="A5309" s="227"/>
      <c r="B5309" s="27" t="s">
        <v>2519</v>
      </c>
      <c r="C5309" s="27">
        <v>38085</v>
      </c>
      <c r="D5309" s="14" t="s">
        <v>898</v>
      </c>
      <c r="E5309" s="229"/>
      <c r="F5309" s="117" t="s">
        <v>15388</v>
      </c>
      <c r="G5309" s="26">
        <v>52301</v>
      </c>
      <c r="H5309" s="231"/>
      <c r="I5309" s="221"/>
      <c r="J5309" s="221"/>
      <c r="K5309" s="221"/>
      <c r="L5309" s="221"/>
      <c r="M5309" s="221"/>
      <c r="N5309" s="221"/>
      <c r="O5309" s="225"/>
      <c r="P5309" s="118" t="s">
        <v>15402</v>
      </c>
      <c r="Q5309" s="16" t="s">
        <v>20</v>
      </c>
      <c r="R5309" s="17" t="s">
        <v>15369</v>
      </c>
      <c r="S5309" s="121" t="s">
        <v>13165</v>
      </c>
      <c r="T5309" s="122"/>
      <c r="U5309" s="22"/>
      <c r="V5309" s="123" t="s">
        <v>2472</v>
      </c>
      <c r="W5309" s="122">
        <v>80241</v>
      </c>
      <c r="X5309" s="221"/>
      <c r="Y5309" s="221"/>
      <c r="Z5309" s="221"/>
      <c r="AA5309" s="221"/>
      <c r="AB5309" s="223"/>
    </row>
    <row r="5310" spans="1:28" ht="17.100000000000001" customHeight="1" thickTop="1">
      <c r="A5310" s="226" t="s">
        <v>15382</v>
      </c>
      <c r="B5310" s="28">
        <v>46043</v>
      </c>
      <c r="C5310" s="25">
        <v>1822</v>
      </c>
      <c r="D5310" s="13" t="s">
        <v>1531</v>
      </c>
      <c r="E5310" s="228"/>
      <c r="F5310" s="109" t="s">
        <v>15389</v>
      </c>
      <c r="G5310" s="24"/>
      <c r="H5310" s="230">
        <v>4</v>
      </c>
      <c r="I5310" s="220">
        <v>480000</v>
      </c>
      <c r="J5310" s="220">
        <f>I5310*0.1</f>
        <v>48000</v>
      </c>
      <c r="K5310" s="220">
        <v>0</v>
      </c>
      <c r="L5310" s="220">
        <v>12860</v>
      </c>
      <c r="M5310" s="220">
        <v>18150</v>
      </c>
      <c r="N5310" s="220">
        <f>SUM(I5310:M5311)</f>
        <v>559010</v>
      </c>
      <c r="O5310" s="224"/>
      <c r="P5310" s="110" t="s">
        <v>16001</v>
      </c>
      <c r="Q5310" s="15" t="s">
        <v>19</v>
      </c>
      <c r="R5310" s="205"/>
      <c r="S5310" s="189"/>
      <c r="T5310" s="114"/>
      <c r="U5310" s="21"/>
      <c r="V5310" s="115">
        <v>46046</v>
      </c>
      <c r="W5310" s="116">
        <v>1285</v>
      </c>
      <c r="X5310" s="220">
        <v>580000</v>
      </c>
      <c r="Y5310" s="220">
        <f>X5310*0.1</f>
        <v>58000</v>
      </c>
      <c r="Z5310" s="220">
        <v>12860</v>
      </c>
      <c r="AA5310" s="220">
        <f>SUM(X5310:Z5310)</f>
        <v>650860</v>
      </c>
      <c r="AB5310" s="222">
        <v>46056</v>
      </c>
    </row>
    <row r="5311" spans="1:28" ht="17.100000000000001" customHeight="1" thickBot="1">
      <c r="A5311" s="227"/>
      <c r="B5311" s="27" t="s">
        <v>2519</v>
      </c>
      <c r="C5311" s="27">
        <v>38109</v>
      </c>
      <c r="D5311" s="14" t="s">
        <v>898</v>
      </c>
      <c r="E5311" s="229"/>
      <c r="F5311" s="117" t="s">
        <v>15390</v>
      </c>
      <c r="G5311" s="26">
        <v>56400</v>
      </c>
      <c r="H5311" s="231"/>
      <c r="I5311" s="221"/>
      <c r="J5311" s="221"/>
      <c r="K5311" s="221"/>
      <c r="L5311" s="221"/>
      <c r="M5311" s="221"/>
      <c r="N5311" s="221"/>
      <c r="O5311" s="225"/>
      <c r="P5311" s="118" t="s">
        <v>2870</v>
      </c>
      <c r="Q5311" s="16" t="s">
        <v>20</v>
      </c>
      <c r="R5311" s="17" t="s">
        <v>1822</v>
      </c>
      <c r="S5311" s="121" t="s">
        <v>15757</v>
      </c>
      <c r="T5311" s="122"/>
      <c r="U5311" s="22"/>
      <c r="V5311" s="123" t="s">
        <v>6641</v>
      </c>
      <c r="W5311" s="122">
        <v>80370</v>
      </c>
      <c r="X5311" s="221"/>
      <c r="Y5311" s="221"/>
      <c r="Z5311" s="221"/>
      <c r="AA5311" s="221"/>
      <c r="AB5311" s="223"/>
    </row>
    <row r="5312" spans="1:28" ht="17.100000000000001" customHeight="1" thickTop="1">
      <c r="A5312" s="226" t="s">
        <v>15383</v>
      </c>
      <c r="B5312" s="28">
        <v>46044</v>
      </c>
      <c r="C5312" s="25">
        <v>1315</v>
      </c>
      <c r="D5312" s="13" t="s">
        <v>2324</v>
      </c>
      <c r="E5312" s="228"/>
      <c r="F5312" s="109" t="s">
        <v>15396</v>
      </c>
      <c r="G5312" s="24"/>
      <c r="H5312" s="230">
        <v>4.5</v>
      </c>
      <c r="I5312" s="220">
        <v>1790000</v>
      </c>
      <c r="J5312" s="220">
        <f>I5312*0.1</f>
        <v>179000</v>
      </c>
      <c r="K5312" s="220">
        <v>0</v>
      </c>
      <c r="L5312" s="220">
        <v>19040</v>
      </c>
      <c r="M5312" s="220">
        <v>16500</v>
      </c>
      <c r="N5312" s="220">
        <f>SUM(I5312:M5313)</f>
        <v>2004540</v>
      </c>
      <c r="O5312" s="224"/>
      <c r="P5312" s="110" t="s">
        <v>15403</v>
      </c>
      <c r="Q5312" s="15" t="s">
        <v>19</v>
      </c>
      <c r="R5312" s="205"/>
      <c r="S5312" s="189"/>
      <c r="T5312" s="114"/>
      <c r="U5312" s="21"/>
      <c r="V5312" s="115">
        <v>46088</v>
      </c>
      <c r="W5312" s="116">
        <v>1291</v>
      </c>
      <c r="X5312" s="220">
        <v>1930000</v>
      </c>
      <c r="Y5312" s="220">
        <f>X5312*0.1</f>
        <v>193000</v>
      </c>
      <c r="Z5312" s="220">
        <v>19040</v>
      </c>
      <c r="AA5312" s="220">
        <f>SUM(X5312:Z5312)</f>
        <v>2142040</v>
      </c>
      <c r="AB5312" s="222">
        <v>46091</v>
      </c>
    </row>
    <row r="5313" spans="1:28" ht="17.100000000000001" customHeight="1" thickBot="1">
      <c r="A5313" s="227"/>
      <c r="B5313" s="27" t="s">
        <v>13379</v>
      </c>
      <c r="C5313" s="27">
        <v>521</v>
      </c>
      <c r="D5313" s="14" t="s">
        <v>1584</v>
      </c>
      <c r="E5313" s="229"/>
      <c r="F5313" s="117" t="s">
        <v>15397</v>
      </c>
      <c r="G5313" s="26">
        <v>74629</v>
      </c>
      <c r="H5313" s="231"/>
      <c r="I5313" s="221"/>
      <c r="J5313" s="221"/>
      <c r="K5313" s="221"/>
      <c r="L5313" s="221"/>
      <c r="M5313" s="221"/>
      <c r="N5313" s="221"/>
      <c r="O5313" s="225"/>
      <c r="P5313" s="118" t="s">
        <v>4922</v>
      </c>
      <c r="Q5313" s="16" t="s">
        <v>20</v>
      </c>
      <c r="R5313" s="17" t="s">
        <v>15369</v>
      </c>
      <c r="S5313" s="121" t="s">
        <v>2784</v>
      </c>
      <c r="T5313" s="122"/>
      <c r="U5313" s="22"/>
      <c r="V5313" s="123" t="s">
        <v>2472</v>
      </c>
      <c r="W5313" s="122">
        <v>80178</v>
      </c>
      <c r="X5313" s="221"/>
      <c r="Y5313" s="221"/>
      <c r="Z5313" s="221"/>
      <c r="AA5313" s="221"/>
      <c r="AB5313" s="223"/>
    </row>
    <row r="5314" spans="1:28" ht="17.100000000000001" customHeight="1" thickTop="1">
      <c r="A5314" s="226" t="s">
        <v>15384</v>
      </c>
      <c r="B5314" s="28">
        <v>46044</v>
      </c>
      <c r="C5314" s="25">
        <v>1315</v>
      </c>
      <c r="D5314" s="13" t="s">
        <v>2264</v>
      </c>
      <c r="E5314" s="228"/>
      <c r="F5314" s="109" t="s">
        <v>15399</v>
      </c>
      <c r="G5314" s="24"/>
      <c r="H5314" s="230">
        <v>4.5</v>
      </c>
      <c r="I5314" s="220">
        <v>1610000</v>
      </c>
      <c r="J5314" s="220">
        <f>I5314*0.1</f>
        <v>161000</v>
      </c>
      <c r="K5314" s="220">
        <v>0</v>
      </c>
      <c r="L5314" s="220">
        <v>21200</v>
      </c>
      <c r="M5314" s="220">
        <v>16500</v>
      </c>
      <c r="N5314" s="220">
        <f>SUM(I5314:M5315)</f>
        <v>1808700</v>
      </c>
      <c r="O5314" s="224"/>
      <c r="P5314" s="110" t="s">
        <v>15998</v>
      </c>
      <c r="Q5314" s="15" t="s">
        <v>19</v>
      </c>
      <c r="R5314" s="205"/>
      <c r="S5314" s="189" t="s">
        <v>25713</v>
      </c>
      <c r="T5314" s="114"/>
      <c r="U5314" s="21"/>
      <c r="V5314" s="115">
        <v>46067</v>
      </c>
      <c r="W5314" s="116">
        <v>1288</v>
      </c>
      <c r="X5314" s="220">
        <v>1750000</v>
      </c>
      <c r="Y5314" s="220">
        <f>X5314*0.1</f>
        <v>175000</v>
      </c>
      <c r="Z5314" s="220">
        <v>21220</v>
      </c>
      <c r="AA5314" s="220">
        <f>SUM(X5314:Z5314)</f>
        <v>1946220</v>
      </c>
      <c r="AB5314" s="222">
        <v>46071</v>
      </c>
    </row>
    <row r="5315" spans="1:28" ht="17.100000000000001" customHeight="1" thickBot="1">
      <c r="A5315" s="227"/>
      <c r="B5315" s="27" t="s">
        <v>13379</v>
      </c>
      <c r="C5315" s="27">
        <v>536</v>
      </c>
      <c r="D5315" s="14" t="s">
        <v>273</v>
      </c>
      <c r="E5315" s="229"/>
      <c r="F5315" s="117" t="s">
        <v>15398</v>
      </c>
      <c r="G5315" s="26">
        <v>46552</v>
      </c>
      <c r="H5315" s="231"/>
      <c r="I5315" s="221"/>
      <c r="J5315" s="221"/>
      <c r="K5315" s="221"/>
      <c r="L5315" s="221"/>
      <c r="M5315" s="221"/>
      <c r="N5315" s="221"/>
      <c r="O5315" s="225"/>
      <c r="P5315" s="118" t="s">
        <v>11562</v>
      </c>
      <c r="Q5315" s="16" t="s">
        <v>20</v>
      </c>
      <c r="R5315" s="17" t="s">
        <v>1822</v>
      </c>
      <c r="S5315" s="121" t="s">
        <v>15999</v>
      </c>
      <c r="T5315" s="122"/>
      <c r="U5315" s="22"/>
      <c r="V5315" s="123" t="s">
        <v>6641</v>
      </c>
      <c r="W5315" s="122">
        <v>80159</v>
      </c>
      <c r="X5315" s="221"/>
      <c r="Y5315" s="221"/>
      <c r="Z5315" s="221"/>
      <c r="AA5315" s="221"/>
      <c r="AB5315" s="223"/>
    </row>
    <row r="5316" spans="1:28" ht="17.100000000000001" customHeight="1" thickTop="1">
      <c r="A5316" s="226" t="s">
        <v>15385</v>
      </c>
      <c r="B5316" s="28">
        <v>46044</v>
      </c>
      <c r="C5316" s="25">
        <v>1315</v>
      </c>
      <c r="D5316" s="13" t="s">
        <v>2324</v>
      </c>
      <c r="E5316" s="228"/>
      <c r="F5316" s="109" t="s">
        <v>15400</v>
      </c>
      <c r="G5316" s="24"/>
      <c r="H5316" s="230">
        <v>4.5</v>
      </c>
      <c r="I5316" s="220">
        <v>2570000</v>
      </c>
      <c r="J5316" s="220">
        <f>I5316*0.1</f>
        <v>257000</v>
      </c>
      <c r="K5316" s="220">
        <v>0</v>
      </c>
      <c r="L5316" s="220">
        <v>11110</v>
      </c>
      <c r="M5316" s="220">
        <v>18700</v>
      </c>
      <c r="N5316" s="220">
        <f>SUM(I5316:M5317)</f>
        <v>2856810</v>
      </c>
      <c r="O5316" s="224"/>
      <c r="P5316" s="110" t="s">
        <v>15738</v>
      </c>
      <c r="Q5316" s="15" t="s">
        <v>19</v>
      </c>
      <c r="R5316" s="205"/>
      <c r="S5316" s="189" t="s">
        <v>25386</v>
      </c>
      <c r="T5316" s="114"/>
      <c r="U5316" s="21"/>
      <c r="V5316" s="115">
        <v>46057</v>
      </c>
      <c r="W5316" s="116"/>
      <c r="X5316" s="220">
        <v>2750000</v>
      </c>
      <c r="Y5316" s="220">
        <f>X5316*0.1</f>
        <v>275000</v>
      </c>
      <c r="Z5316" s="220">
        <v>11110</v>
      </c>
      <c r="AA5316" s="220">
        <f>SUM(X5316:Z5316)</f>
        <v>3036110</v>
      </c>
      <c r="AB5316" s="222"/>
    </row>
    <row r="5317" spans="1:28" ht="17.100000000000001" customHeight="1" thickBot="1">
      <c r="A5317" s="227"/>
      <c r="B5317" s="27" t="s">
        <v>13379</v>
      </c>
      <c r="C5317" s="27">
        <v>590</v>
      </c>
      <c r="D5317" s="14" t="s">
        <v>1584</v>
      </c>
      <c r="E5317" s="229"/>
      <c r="F5317" s="117" t="s">
        <v>15401</v>
      </c>
      <c r="G5317" s="26">
        <v>76241</v>
      </c>
      <c r="H5317" s="231"/>
      <c r="I5317" s="221"/>
      <c r="J5317" s="221"/>
      <c r="K5317" s="221"/>
      <c r="L5317" s="221"/>
      <c r="M5317" s="221"/>
      <c r="N5317" s="221"/>
      <c r="O5317" s="225"/>
      <c r="P5317" s="118" t="s">
        <v>4922</v>
      </c>
      <c r="Q5317" s="16" t="s">
        <v>20</v>
      </c>
      <c r="R5317" s="17" t="s">
        <v>2600</v>
      </c>
      <c r="S5317" s="121" t="s">
        <v>15739</v>
      </c>
      <c r="T5317" s="122"/>
      <c r="U5317" s="22"/>
      <c r="V5317" s="123" t="s">
        <v>6682</v>
      </c>
      <c r="W5317" s="122">
        <v>51000</v>
      </c>
      <c r="X5317" s="221"/>
      <c r="Y5317" s="221"/>
      <c r="Z5317" s="221"/>
      <c r="AA5317" s="221"/>
      <c r="AB5317" s="223"/>
    </row>
    <row r="5318" spans="1:28" ht="17.100000000000001" customHeight="1" thickTop="1">
      <c r="A5318" s="226" t="s">
        <v>15434</v>
      </c>
      <c r="B5318" s="28">
        <v>46044</v>
      </c>
      <c r="C5318" s="25">
        <v>2011</v>
      </c>
      <c r="D5318" s="13" t="s">
        <v>3480</v>
      </c>
      <c r="E5318" s="228"/>
      <c r="F5318" s="109" t="s">
        <v>15621</v>
      </c>
      <c r="G5318" s="24" t="s">
        <v>2487</v>
      </c>
      <c r="H5318" s="230">
        <v>4.5</v>
      </c>
      <c r="I5318" s="220">
        <v>943000</v>
      </c>
      <c r="J5318" s="220">
        <f>I5318*0.1</f>
        <v>94300</v>
      </c>
      <c r="K5318" s="220">
        <v>6270</v>
      </c>
      <c r="L5318" s="220">
        <v>9130</v>
      </c>
      <c r="M5318" s="220">
        <v>22000</v>
      </c>
      <c r="N5318" s="220">
        <f>SUM(I5318:M5319)</f>
        <v>1074700</v>
      </c>
      <c r="O5318" s="224"/>
      <c r="P5318" s="110" t="s">
        <v>15622</v>
      </c>
      <c r="Q5318" s="15" t="s">
        <v>19</v>
      </c>
      <c r="R5318" s="205"/>
      <c r="S5318" s="189" t="s">
        <v>758</v>
      </c>
      <c r="T5318" s="114" t="s">
        <v>17005</v>
      </c>
      <c r="U5318" s="21"/>
      <c r="V5318" s="115">
        <v>46050</v>
      </c>
      <c r="W5318" s="116">
        <v>1002</v>
      </c>
      <c r="X5318" s="220">
        <v>980000</v>
      </c>
      <c r="Y5318" s="220">
        <f>X5318*0.1</f>
        <v>98000</v>
      </c>
      <c r="Z5318" s="220">
        <v>9130</v>
      </c>
      <c r="AA5318" s="220">
        <f>SUM(X5318:Z5318)</f>
        <v>1087130</v>
      </c>
      <c r="AB5318" s="222">
        <v>46055</v>
      </c>
    </row>
    <row r="5319" spans="1:28" ht="17.100000000000001" customHeight="1" thickBot="1">
      <c r="A5319" s="227"/>
      <c r="B5319" s="27" t="s">
        <v>2680</v>
      </c>
      <c r="C5319" s="27">
        <v>10030</v>
      </c>
      <c r="D5319" s="14" t="s">
        <v>2559</v>
      </c>
      <c r="E5319" s="229"/>
      <c r="F5319" s="117" t="s">
        <v>15449</v>
      </c>
      <c r="G5319" s="26">
        <v>56086</v>
      </c>
      <c r="H5319" s="231"/>
      <c r="I5319" s="221"/>
      <c r="J5319" s="221"/>
      <c r="K5319" s="221"/>
      <c r="L5319" s="221"/>
      <c r="M5319" s="221"/>
      <c r="N5319" s="221"/>
      <c r="O5319" s="225"/>
      <c r="P5319" s="118" t="s">
        <v>2287</v>
      </c>
      <c r="Q5319" s="16" t="s">
        <v>20</v>
      </c>
      <c r="R5319" s="17" t="s">
        <v>1822</v>
      </c>
      <c r="S5319" s="121" t="s">
        <v>17004</v>
      </c>
      <c r="T5319" s="122" t="s">
        <v>15971</v>
      </c>
      <c r="U5319" s="22"/>
      <c r="V5319" s="123" t="s">
        <v>2747</v>
      </c>
      <c r="W5319" s="122">
        <v>5079</v>
      </c>
      <c r="X5319" s="221"/>
      <c r="Y5319" s="221"/>
      <c r="Z5319" s="221"/>
      <c r="AA5319" s="221"/>
      <c r="AB5319" s="223"/>
    </row>
    <row r="5320" spans="1:28" ht="17.100000000000001" customHeight="1" thickTop="1">
      <c r="A5320" s="226" t="s">
        <v>15435</v>
      </c>
      <c r="B5320" s="28">
        <v>46044</v>
      </c>
      <c r="C5320" s="25">
        <v>2011</v>
      </c>
      <c r="D5320" s="13" t="s">
        <v>2150</v>
      </c>
      <c r="E5320" s="228"/>
      <c r="F5320" s="109" t="s">
        <v>15623</v>
      </c>
      <c r="G5320" s="24"/>
      <c r="H5320" s="230">
        <v>4</v>
      </c>
      <c r="I5320" s="220">
        <v>1031000</v>
      </c>
      <c r="J5320" s="220">
        <f>I5320*0.1</f>
        <v>103100</v>
      </c>
      <c r="K5320" s="220">
        <v>0</v>
      </c>
      <c r="L5320" s="220">
        <v>10780</v>
      </c>
      <c r="M5320" s="220">
        <v>22000</v>
      </c>
      <c r="N5320" s="220">
        <f>SUM(I5320:M5321)</f>
        <v>1166880</v>
      </c>
      <c r="O5320" s="224"/>
      <c r="P5320" s="110" t="s">
        <v>16012</v>
      </c>
      <c r="Q5320" s="15" t="s">
        <v>19</v>
      </c>
      <c r="R5320" s="205"/>
      <c r="S5320" s="189" t="s">
        <v>25714</v>
      </c>
      <c r="T5320" s="114"/>
      <c r="U5320" s="21"/>
      <c r="V5320" s="115">
        <v>46074</v>
      </c>
      <c r="W5320" s="116">
        <v>1289</v>
      </c>
      <c r="X5320" s="220">
        <v>1075000</v>
      </c>
      <c r="Y5320" s="220">
        <f>X5320*0.1</f>
        <v>107500</v>
      </c>
      <c r="Z5320" s="220">
        <v>10780</v>
      </c>
      <c r="AA5320" s="220">
        <f>SUM(X5320:Z5320)</f>
        <v>1193280</v>
      </c>
      <c r="AB5320" s="222">
        <v>46077</v>
      </c>
    </row>
    <row r="5321" spans="1:28" ht="17.100000000000001" customHeight="1" thickBot="1">
      <c r="A5321" s="227"/>
      <c r="B5321" s="27" t="s">
        <v>2680</v>
      </c>
      <c r="C5321" s="27">
        <v>30058</v>
      </c>
      <c r="D5321" s="14" t="s">
        <v>273</v>
      </c>
      <c r="E5321" s="229"/>
      <c r="F5321" s="117" t="s">
        <v>15450</v>
      </c>
      <c r="G5321" s="26">
        <v>27943</v>
      </c>
      <c r="H5321" s="231"/>
      <c r="I5321" s="221"/>
      <c r="J5321" s="221"/>
      <c r="K5321" s="221"/>
      <c r="L5321" s="221"/>
      <c r="M5321" s="221"/>
      <c r="N5321" s="221"/>
      <c r="O5321" s="225"/>
      <c r="P5321" s="118" t="s">
        <v>2682</v>
      </c>
      <c r="Q5321" s="16" t="s">
        <v>20</v>
      </c>
      <c r="R5321" s="17" t="s">
        <v>1822</v>
      </c>
      <c r="S5321" s="121" t="s">
        <v>10307</v>
      </c>
      <c r="T5321" s="122"/>
      <c r="U5321" s="22"/>
      <c r="V5321" s="123" t="s">
        <v>2472</v>
      </c>
      <c r="W5321" s="122">
        <v>141</v>
      </c>
      <c r="X5321" s="221"/>
      <c r="Y5321" s="221"/>
      <c r="Z5321" s="221"/>
      <c r="AA5321" s="221"/>
      <c r="AB5321" s="223"/>
    </row>
    <row r="5322" spans="1:28" ht="17.100000000000001" customHeight="1" thickTop="1">
      <c r="A5322" s="226" t="s">
        <v>15436</v>
      </c>
      <c r="B5322" s="28">
        <v>46044</v>
      </c>
      <c r="C5322" s="25">
        <v>2011</v>
      </c>
      <c r="D5322" s="13" t="s">
        <v>812</v>
      </c>
      <c r="E5322" s="228"/>
      <c r="F5322" s="109" t="s">
        <v>15624</v>
      </c>
      <c r="G5322" s="24"/>
      <c r="H5322" s="230">
        <v>4</v>
      </c>
      <c r="I5322" s="220">
        <v>1815000</v>
      </c>
      <c r="J5322" s="220">
        <f>I5322*0.1</f>
        <v>181500</v>
      </c>
      <c r="K5322" s="220">
        <v>0</v>
      </c>
      <c r="L5322" s="220">
        <v>9440</v>
      </c>
      <c r="M5322" s="220">
        <v>22000</v>
      </c>
      <c r="N5322" s="220">
        <f>SUM(I5322:M5323)</f>
        <v>2027940</v>
      </c>
      <c r="O5322" s="224"/>
      <c r="P5322" s="110" t="s">
        <v>16013</v>
      </c>
      <c r="Q5322" s="15" t="s">
        <v>19</v>
      </c>
      <c r="R5322" s="205"/>
      <c r="S5322" s="189" t="s">
        <v>25688</v>
      </c>
      <c r="T5322" s="114"/>
      <c r="U5322" s="21"/>
      <c r="V5322" s="115">
        <v>46057</v>
      </c>
      <c r="W5322" s="116">
        <v>1003</v>
      </c>
      <c r="X5322" s="220">
        <v>2000000</v>
      </c>
      <c r="Y5322" s="220">
        <f>X5322*0.1</f>
        <v>200000</v>
      </c>
      <c r="Z5322" s="220">
        <v>9440</v>
      </c>
      <c r="AA5322" s="220">
        <f>SUM(X5322:Z5322)</f>
        <v>2209440</v>
      </c>
      <c r="AB5322" s="222">
        <v>46063</v>
      </c>
    </row>
    <row r="5323" spans="1:28" ht="17.100000000000001" customHeight="1" thickBot="1">
      <c r="A5323" s="227"/>
      <c r="B5323" s="27" t="s">
        <v>2680</v>
      </c>
      <c r="C5323" s="27">
        <v>30112</v>
      </c>
      <c r="D5323" s="14" t="s">
        <v>2559</v>
      </c>
      <c r="E5323" s="229"/>
      <c r="F5323" s="117" t="s">
        <v>15451</v>
      </c>
      <c r="G5323" s="26">
        <v>38364</v>
      </c>
      <c r="H5323" s="231"/>
      <c r="I5323" s="221"/>
      <c r="J5323" s="221"/>
      <c r="K5323" s="221"/>
      <c r="L5323" s="221"/>
      <c r="M5323" s="221"/>
      <c r="N5323" s="221"/>
      <c r="O5323" s="225"/>
      <c r="P5323" s="118" t="s">
        <v>16014</v>
      </c>
      <c r="Q5323" s="16" t="s">
        <v>20</v>
      </c>
      <c r="R5323" s="17" t="s">
        <v>1822</v>
      </c>
      <c r="S5323" s="121" t="s">
        <v>4378</v>
      </c>
      <c r="T5323" s="122"/>
      <c r="U5323" s="22"/>
      <c r="V5323" s="123" t="s">
        <v>7161</v>
      </c>
      <c r="W5323" s="122">
        <v>6029</v>
      </c>
      <c r="X5323" s="221"/>
      <c r="Y5323" s="221"/>
      <c r="Z5323" s="221"/>
      <c r="AA5323" s="221"/>
      <c r="AB5323" s="223"/>
    </row>
    <row r="5324" spans="1:28" ht="17.100000000000001" customHeight="1" thickTop="1">
      <c r="A5324" s="226" t="s">
        <v>15437</v>
      </c>
      <c r="B5324" s="28">
        <v>46044</v>
      </c>
      <c r="C5324" s="25">
        <v>2011</v>
      </c>
      <c r="D5324" s="13" t="s">
        <v>2543</v>
      </c>
      <c r="E5324" s="228"/>
      <c r="F5324" s="109" t="s">
        <v>15625</v>
      </c>
      <c r="G5324" s="24" t="s">
        <v>4025</v>
      </c>
      <c r="H5324" s="230">
        <v>4</v>
      </c>
      <c r="I5324" s="220">
        <v>1197000</v>
      </c>
      <c r="J5324" s="220">
        <f>I5324*0.1</f>
        <v>119700</v>
      </c>
      <c r="K5324" s="220">
        <v>7150</v>
      </c>
      <c r="L5324" s="220">
        <v>11480</v>
      </c>
      <c r="M5324" s="220">
        <v>22000</v>
      </c>
      <c r="N5324" s="220">
        <f>SUM(I5324:M5325)</f>
        <v>1357330</v>
      </c>
      <c r="O5324" s="224"/>
      <c r="P5324" s="110" t="s">
        <v>15626</v>
      </c>
      <c r="Q5324" s="15" t="s">
        <v>19</v>
      </c>
      <c r="R5324" s="205"/>
      <c r="S5324" s="189" t="s">
        <v>455</v>
      </c>
      <c r="T5324" s="114"/>
      <c r="U5324" s="21" t="s">
        <v>17614</v>
      </c>
      <c r="V5324" s="115">
        <v>46102</v>
      </c>
      <c r="W5324" s="116">
        <v>1293</v>
      </c>
      <c r="X5324" s="220">
        <v>1250000</v>
      </c>
      <c r="Y5324" s="220">
        <f>X5324*0.1</f>
        <v>125000</v>
      </c>
      <c r="Z5324" s="220">
        <v>11480</v>
      </c>
      <c r="AA5324" s="220">
        <f>SUM(X5324:Z5324)</f>
        <v>1386480</v>
      </c>
      <c r="AB5324" s="222">
        <v>46105</v>
      </c>
    </row>
    <row r="5325" spans="1:28" ht="17.100000000000001" customHeight="1" thickBot="1">
      <c r="A5325" s="227"/>
      <c r="B5325" s="27" t="s">
        <v>2680</v>
      </c>
      <c r="C5325" s="27">
        <v>30142</v>
      </c>
      <c r="D5325" s="14" t="s">
        <v>1710</v>
      </c>
      <c r="E5325" s="229"/>
      <c r="F5325" s="117" t="s">
        <v>15452</v>
      </c>
      <c r="G5325" s="26">
        <v>58332</v>
      </c>
      <c r="H5325" s="231"/>
      <c r="I5325" s="221"/>
      <c r="J5325" s="221"/>
      <c r="K5325" s="221"/>
      <c r="L5325" s="221"/>
      <c r="M5325" s="221"/>
      <c r="N5325" s="221"/>
      <c r="O5325" s="225"/>
      <c r="P5325" s="118" t="s">
        <v>16015</v>
      </c>
      <c r="Q5325" s="16" t="s">
        <v>20</v>
      </c>
      <c r="R5325" s="17" t="s">
        <v>1822</v>
      </c>
      <c r="S5325" s="121" t="s">
        <v>1731</v>
      </c>
      <c r="T5325" s="122"/>
      <c r="U5325" s="22"/>
      <c r="V5325" s="123" t="s">
        <v>2472</v>
      </c>
      <c r="W5325" s="122">
        <v>13203</v>
      </c>
      <c r="X5325" s="221"/>
      <c r="Y5325" s="221"/>
      <c r="Z5325" s="221"/>
      <c r="AA5325" s="221"/>
      <c r="AB5325" s="223"/>
    </row>
    <row r="5326" spans="1:28" ht="17.100000000000001" customHeight="1" thickTop="1">
      <c r="A5326" s="226" t="s">
        <v>15438</v>
      </c>
      <c r="B5326" s="28">
        <v>46044</v>
      </c>
      <c r="C5326" s="25">
        <v>2011</v>
      </c>
      <c r="D5326" s="13" t="s">
        <v>1678</v>
      </c>
      <c r="E5326" s="228"/>
      <c r="F5326" s="109" t="s">
        <v>15453</v>
      </c>
      <c r="G5326" s="24" t="s">
        <v>2124</v>
      </c>
      <c r="H5326" s="230">
        <v>4.5</v>
      </c>
      <c r="I5326" s="220">
        <v>794000</v>
      </c>
      <c r="J5326" s="220">
        <f>I5326*0.1</f>
        <v>79400</v>
      </c>
      <c r="K5326" s="220">
        <v>0</v>
      </c>
      <c r="L5326" s="220">
        <v>6860</v>
      </c>
      <c r="M5326" s="220">
        <v>22000</v>
      </c>
      <c r="N5326" s="220">
        <f>SUM(I5326:M5327)</f>
        <v>902260</v>
      </c>
      <c r="O5326" s="224"/>
      <c r="P5326" s="110" t="s">
        <v>15627</v>
      </c>
      <c r="Q5326" s="15" t="s">
        <v>19</v>
      </c>
      <c r="R5326" s="205"/>
      <c r="S5326" s="189"/>
      <c r="T5326" s="114"/>
      <c r="U5326" s="21" t="s">
        <v>16603</v>
      </c>
      <c r="V5326" s="115">
        <v>46057</v>
      </c>
      <c r="W5326" s="116">
        <v>1003</v>
      </c>
      <c r="X5326" s="220">
        <v>850000</v>
      </c>
      <c r="Y5326" s="220">
        <f>X5326*0.1</f>
        <v>85000</v>
      </c>
      <c r="Z5326" s="220">
        <v>6860</v>
      </c>
      <c r="AA5326" s="220">
        <f>SUM(X5326:Z5326)</f>
        <v>941860</v>
      </c>
      <c r="AB5326" s="222">
        <v>46063</v>
      </c>
    </row>
    <row r="5327" spans="1:28" ht="17.100000000000001" customHeight="1" thickBot="1">
      <c r="A5327" s="227"/>
      <c r="B5327" s="27" t="s">
        <v>2680</v>
      </c>
      <c r="C5327" s="27">
        <v>50031</v>
      </c>
      <c r="D5327" s="14" t="s">
        <v>1710</v>
      </c>
      <c r="E5327" s="229"/>
      <c r="F5327" s="117" t="s">
        <v>15454</v>
      </c>
      <c r="G5327" s="26">
        <v>3250</v>
      </c>
      <c r="H5327" s="231"/>
      <c r="I5327" s="221"/>
      <c r="J5327" s="221"/>
      <c r="K5327" s="221"/>
      <c r="L5327" s="221"/>
      <c r="M5327" s="221"/>
      <c r="N5327" s="221"/>
      <c r="O5327" s="225"/>
      <c r="P5327" s="118" t="s">
        <v>15983</v>
      </c>
      <c r="Q5327" s="16" t="s">
        <v>20</v>
      </c>
      <c r="R5327" s="17" t="s">
        <v>1822</v>
      </c>
      <c r="S5327" s="121"/>
      <c r="T5327" s="122"/>
      <c r="U5327" s="22"/>
      <c r="V5327" s="123" t="s">
        <v>2747</v>
      </c>
      <c r="W5327" s="122">
        <v>2070</v>
      </c>
      <c r="X5327" s="221"/>
      <c r="Y5327" s="221"/>
      <c r="Z5327" s="221"/>
      <c r="AA5327" s="221"/>
      <c r="AB5327" s="223"/>
    </row>
    <row r="5328" spans="1:28" ht="17.100000000000001" customHeight="1" thickTop="1">
      <c r="A5328" s="226" t="s">
        <v>15439</v>
      </c>
      <c r="B5328" s="28">
        <v>46044</v>
      </c>
      <c r="C5328" s="25">
        <v>2011</v>
      </c>
      <c r="D5328" s="13" t="s">
        <v>2158</v>
      </c>
      <c r="E5328" s="228"/>
      <c r="F5328" s="109" t="s">
        <v>15628</v>
      </c>
      <c r="G5328" s="24"/>
      <c r="H5328" s="230">
        <v>4</v>
      </c>
      <c r="I5328" s="220">
        <v>640000</v>
      </c>
      <c r="J5328" s="220">
        <v>0</v>
      </c>
      <c r="K5328" s="220">
        <v>0</v>
      </c>
      <c r="L5328" s="220">
        <v>8110</v>
      </c>
      <c r="M5328" s="220">
        <v>22000</v>
      </c>
      <c r="N5328" s="220">
        <f>SUM(I5328:M5329)</f>
        <v>670110</v>
      </c>
      <c r="O5328" s="224"/>
      <c r="P5328" s="110" t="s">
        <v>15984</v>
      </c>
      <c r="Q5328" s="15" t="s">
        <v>19</v>
      </c>
      <c r="R5328" s="205"/>
      <c r="S5328" s="189" t="s">
        <v>25715</v>
      </c>
      <c r="T5328" s="114"/>
      <c r="U5328" s="21"/>
      <c r="V5328" s="115">
        <v>46057</v>
      </c>
      <c r="W5328" s="116">
        <v>1003</v>
      </c>
      <c r="X5328" s="220">
        <v>770000</v>
      </c>
      <c r="Y5328" s="220">
        <f>X5328*0.1</f>
        <v>77000</v>
      </c>
      <c r="Z5328" s="220">
        <v>8110</v>
      </c>
      <c r="AA5328" s="220">
        <f>SUM(X5328:Z5328)</f>
        <v>855110</v>
      </c>
      <c r="AB5328" s="222">
        <v>46063</v>
      </c>
    </row>
    <row r="5329" spans="1:28" ht="17.100000000000001" customHeight="1" thickBot="1">
      <c r="A5329" s="227"/>
      <c r="B5329" s="27" t="s">
        <v>2680</v>
      </c>
      <c r="C5329" s="27">
        <v>50100</v>
      </c>
      <c r="D5329" s="14" t="s">
        <v>1584</v>
      </c>
      <c r="E5329" s="229"/>
      <c r="F5329" s="117" t="s">
        <v>15455</v>
      </c>
      <c r="G5329" s="26">
        <v>44981</v>
      </c>
      <c r="H5329" s="231"/>
      <c r="I5329" s="221"/>
      <c r="J5329" s="221"/>
      <c r="K5329" s="221"/>
      <c r="L5329" s="221"/>
      <c r="M5329" s="221"/>
      <c r="N5329" s="221"/>
      <c r="O5329" s="225"/>
      <c r="P5329" s="118" t="s">
        <v>3919</v>
      </c>
      <c r="Q5329" s="16" t="s">
        <v>20</v>
      </c>
      <c r="R5329" s="17" t="s">
        <v>1822</v>
      </c>
      <c r="S5329" s="121" t="s">
        <v>15985</v>
      </c>
      <c r="T5329" s="122"/>
      <c r="U5329" s="22"/>
      <c r="V5329" s="123" t="s">
        <v>7161</v>
      </c>
      <c r="W5329" s="122">
        <v>2036</v>
      </c>
      <c r="X5329" s="221"/>
      <c r="Y5329" s="221"/>
      <c r="Z5329" s="221"/>
      <c r="AA5329" s="221"/>
      <c r="AB5329" s="223"/>
    </row>
    <row r="5330" spans="1:28" ht="17.100000000000001" customHeight="1" thickTop="1">
      <c r="A5330" s="226" t="s">
        <v>15440</v>
      </c>
      <c r="B5330" s="28">
        <v>46044</v>
      </c>
      <c r="C5330" s="25">
        <v>2011</v>
      </c>
      <c r="D5330" s="13" t="s">
        <v>1704</v>
      </c>
      <c r="E5330" s="228"/>
      <c r="F5330" s="109" t="s">
        <v>14962</v>
      </c>
      <c r="G5330" s="24"/>
      <c r="H5330" s="230">
        <v>4</v>
      </c>
      <c r="I5330" s="220">
        <v>913000</v>
      </c>
      <c r="J5330" s="220">
        <f>I5330*0.1</f>
        <v>91300</v>
      </c>
      <c r="K5330" s="220">
        <v>0</v>
      </c>
      <c r="L5330" s="220">
        <v>8740</v>
      </c>
      <c r="M5330" s="220">
        <v>22000</v>
      </c>
      <c r="N5330" s="220">
        <f>SUM(I5330:M5331)</f>
        <v>1035040</v>
      </c>
      <c r="O5330" s="224"/>
      <c r="P5330" s="110" t="s">
        <v>16016</v>
      </c>
      <c r="Q5330" s="15" t="s">
        <v>19</v>
      </c>
      <c r="R5330" s="205"/>
      <c r="S5330" s="189" t="s">
        <v>25716</v>
      </c>
      <c r="T5330" s="114"/>
      <c r="U5330" s="21"/>
      <c r="V5330" s="115">
        <v>46057</v>
      </c>
      <c r="W5330" s="116">
        <v>1003</v>
      </c>
      <c r="X5330" s="220">
        <v>975000</v>
      </c>
      <c r="Y5330" s="220">
        <f>X5330*0.1</f>
        <v>97500</v>
      </c>
      <c r="Z5330" s="220">
        <v>8740</v>
      </c>
      <c r="AA5330" s="220">
        <f>SUM(X5330:Z5330)</f>
        <v>1081240</v>
      </c>
      <c r="AB5330" s="222">
        <v>46062</v>
      </c>
    </row>
    <row r="5331" spans="1:28" ht="17.100000000000001" customHeight="1" thickBot="1">
      <c r="A5331" s="227"/>
      <c r="B5331" s="27" t="s">
        <v>2680</v>
      </c>
      <c r="C5331" s="27">
        <v>50118</v>
      </c>
      <c r="D5331" s="14" t="s">
        <v>2753</v>
      </c>
      <c r="E5331" s="229"/>
      <c r="F5331" s="117" t="s">
        <v>15456</v>
      </c>
      <c r="G5331" s="26">
        <v>55290</v>
      </c>
      <c r="H5331" s="231"/>
      <c r="I5331" s="221"/>
      <c r="J5331" s="221"/>
      <c r="K5331" s="221"/>
      <c r="L5331" s="221"/>
      <c r="M5331" s="221"/>
      <c r="N5331" s="221"/>
      <c r="O5331" s="225"/>
      <c r="P5331" s="118" t="s">
        <v>4045</v>
      </c>
      <c r="Q5331" s="16" t="s">
        <v>20</v>
      </c>
      <c r="R5331" s="17" t="s">
        <v>1822</v>
      </c>
      <c r="S5331" s="121" t="s">
        <v>16017</v>
      </c>
      <c r="T5331" s="122"/>
      <c r="U5331" s="22"/>
      <c r="V5331" s="123" t="s">
        <v>2747</v>
      </c>
      <c r="W5331" s="122">
        <v>2029</v>
      </c>
      <c r="X5331" s="221"/>
      <c r="Y5331" s="221"/>
      <c r="Z5331" s="221"/>
      <c r="AA5331" s="221"/>
      <c r="AB5331" s="223"/>
    </row>
    <row r="5332" spans="1:28" ht="17.100000000000001" customHeight="1" thickTop="1">
      <c r="A5332" s="226" t="s">
        <v>15441</v>
      </c>
      <c r="B5332" s="28">
        <v>46044</v>
      </c>
      <c r="C5332" s="25">
        <v>2011</v>
      </c>
      <c r="D5332" s="13" t="s">
        <v>2913</v>
      </c>
      <c r="E5332" s="228"/>
      <c r="F5332" s="109" t="s">
        <v>15629</v>
      </c>
      <c r="G5332" s="24" t="s">
        <v>1540</v>
      </c>
      <c r="H5332" s="230">
        <v>3.5</v>
      </c>
      <c r="I5332" s="220">
        <v>838000</v>
      </c>
      <c r="J5332" s="220">
        <f>I5332*0.1</f>
        <v>83800</v>
      </c>
      <c r="K5332" s="220">
        <v>0</v>
      </c>
      <c r="L5332" s="220">
        <v>8550</v>
      </c>
      <c r="M5332" s="220">
        <v>22000</v>
      </c>
      <c r="N5332" s="220">
        <f>SUM(I5332:M5333)</f>
        <v>952350</v>
      </c>
      <c r="O5332" s="224"/>
      <c r="P5332" s="110" t="s">
        <v>15630</v>
      </c>
      <c r="Q5332" s="15" t="s">
        <v>19</v>
      </c>
      <c r="R5332" s="205"/>
      <c r="S5332" s="189" t="s">
        <v>455</v>
      </c>
      <c r="T5332" s="114"/>
      <c r="U5332" s="21" t="s">
        <v>16601</v>
      </c>
      <c r="V5332" s="115">
        <v>46057</v>
      </c>
      <c r="W5332" s="116">
        <v>1003</v>
      </c>
      <c r="X5332" s="220">
        <v>845000</v>
      </c>
      <c r="Y5332" s="220">
        <f>X5332*0.1</f>
        <v>84500</v>
      </c>
      <c r="Z5332" s="220">
        <v>8550</v>
      </c>
      <c r="AA5332" s="220">
        <f>SUM(X5332:Z5332)</f>
        <v>938050</v>
      </c>
      <c r="AB5332" s="222">
        <v>46063</v>
      </c>
    </row>
    <row r="5333" spans="1:28" ht="17.100000000000001" customHeight="1" thickBot="1">
      <c r="A5333" s="227"/>
      <c r="B5333" s="27" t="s">
        <v>2680</v>
      </c>
      <c r="C5333" s="27">
        <v>50138</v>
      </c>
      <c r="D5333" s="14" t="s">
        <v>1710</v>
      </c>
      <c r="E5333" s="229"/>
      <c r="F5333" s="117" t="s">
        <v>15457</v>
      </c>
      <c r="G5333" s="26">
        <v>26208</v>
      </c>
      <c r="H5333" s="231"/>
      <c r="I5333" s="221"/>
      <c r="J5333" s="221"/>
      <c r="K5333" s="221"/>
      <c r="L5333" s="221"/>
      <c r="M5333" s="221"/>
      <c r="N5333" s="221"/>
      <c r="O5333" s="225"/>
      <c r="P5333" s="118" t="s">
        <v>3276</v>
      </c>
      <c r="Q5333" s="16" t="s">
        <v>20</v>
      </c>
      <c r="R5333" s="17" t="s">
        <v>1822</v>
      </c>
      <c r="S5333" s="121" t="s">
        <v>1731</v>
      </c>
      <c r="T5333" s="122"/>
      <c r="U5333" s="22"/>
      <c r="V5333" s="123" t="s">
        <v>2747</v>
      </c>
      <c r="W5333" s="122">
        <v>2071</v>
      </c>
      <c r="X5333" s="221"/>
      <c r="Y5333" s="221"/>
      <c r="Z5333" s="221"/>
      <c r="AA5333" s="221"/>
      <c r="AB5333" s="223"/>
    </row>
    <row r="5334" spans="1:28" ht="17.100000000000001" customHeight="1" thickTop="1">
      <c r="A5334" s="226" t="s">
        <v>15442</v>
      </c>
      <c r="B5334" s="28">
        <v>46044</v>
      </c>
      <c r="C5334" s="25">
        <v>2011</v>
      </c>
      <c r="D5334" s="13" t="s">
        <v>2690</v>
      </c>
      <c r="E5334" s="228"/>
      <c r="F5334" s="109" t="s">
        <v>15631</v>
      </c>
      <c r="G5334" s="24" t="s">
        <v>15633</v>
      </c>
      <c r="H5334" s="230">
        <v>4</v>
      </c>
      <c r="I5334" s="220">
        <v>712000</v>
      </c>
      <c r="J5334" s="220">
        <f>I5334*0.1</f>
        <v>71200</v>
      </c>
      <c r="K5334" s="220">
        <v>0</v>
      </c>
      <c r="L5334" s="220">
        <v>8010</v>
      </c>
      <c r="M5334" s="220">
        <v>22000</v>
      </c>
      <c r="N5334" s="220">
        <f>SUM(I5334:M5335)</f>
        <v>813210</v>
      </c>
      <c r="O5334" s="224"/>
      <c r="P5334" s="110" t="s">
        <v>15632</v>
      </c>
      <c r="Q5334" s="15" t="s">
        <v>19</v>
      </c>
      <c r="R5334" s="205"/>
      <c r="S5334" s="189" t="s">
        <v>455</v>
      </c>
      <c r="T5334" s="114"/>
      <c r="U5334" s="21" t="s">
        <v>17605</v>
      </c>
      <c r="V5334" s="115">
        <v>46071</v>
      </c>
      <c r="W5334" s="116">
        <v>1005</v>
      </c>
      <c r="X5334" s="220">
        <v>780000</v>
      </c>
      <c r="Y5334" s="220">
        <f>X5334*0.1</f>
        <v>78000</v>
      </c>
      <c r="Z5334" s="220">
        <v>8010</v>
      </c>
      <c r="AA5334" s="220">
        <f>SUM(X5334:Z5334)</f>
        <v>866010</v>
      </c>
      <c r="AB5334" s="222">
        <v>46073</v>
      </c>
    </row>
    <row r="5335" spans="1:28" ht="17.100000000000001" customHeight="1" thickBot="1">
      <c r="A5335" s="227"/>
      <c r="B5335" s="27" t="s">
        <v>2680</v>
      </c>
      <c r="C5335" s="27">
        <v>50162</v>
      </c>
      <c r="D5335" s="14" t="s">
        <v>1584</v>
      </c>
      <c r="E5335" s="229"/>
      <c r="F5335" s="117" t="s">
        <v>15458</v>
      </c>
      <c r="G5335" s="26">
        <v>55887</v>
      </c>
      <c r="H5335" s="231"/>
      <c r="I5335" s="221"/>
      <c r="J5335" s="221"/>
      <c r="K5335" s="221"/>
      <c r="L5335" s="221"/>
      <c r="M5335" s="221"/>
      <c r="N5335" s="221"/>
      <c r="O5335" s="225"/>
      <c r="P5335" s="118" t="s">
        <v>4599</v>
      </c>
      <c r="Q5335" s="16" t="s">
        <v>20</v>
      </c>
      <c r="R5335" s="17" t="s">
        <v>1822</v>
      </c>
      <c r="S5335" s="121" t="s">
        <v>1625</v>
      </c>
      <c r="T5335" s="122"/>
      <c r="U5335" s="22"/>
      <c r="V5335" s="123" t="s">
        <v>2747</v>
      </c>
      <c r="W5335" s="122">
        <v>2050</v>
      </c>
      <c r="X5335" s="221"/>
      <c r="Y5335" s="221"/>
      <c r="Z5335" s="221"/>
      <c r="AA5335" s="221"/>
      <c r="AB5335" s="223"/>
    </row>
    <row r="5336" spans="1:28" ht="17.100000000000001" customHeight="1" thickTop="1">
      <c r="A5336" s="226" t="s">
        <v>15443</v>
      </c>
      <c r="B5336" s="28">
        <v>46044</v>
      </c>
      <c r="C5336" s="25">
        <v>2011</v>
      </c>
      <c r="D5336" s="13" t="s">
        <v>1883</v>
      </c>
      <c r="E5336" s="228"/>
      <c r="F5336" s="109" t="s">
        <v>15634</v>
      </c>
      <c r="G5336" s="24"/>
      <c r="H5336" s="230">
        <v>4</v>
      </c>
      <c r="I5336" s="220">
        <v>406000</v>
      </c>
      <c r="J5336" s="220">
        <f>I5336*0.1</f>
        <v>40600</v>
      </c>
      <c r="K5336" s="220">
        <v>0</v>
      </c>
      <c r="L5336" s="220">
        <v>6230</v>
      </c>
      <c r="M5336" s="220">
        <v>22000</v>
      </c>
      <c r="N5336" s="220">
        <f>SUM(I5336:M5337)</f>
        <v>474830</v>
      </c>
      <c r="O5336" s="224"/>
      <c r="P5336" s="110" t="s">
        <v>15982</v>
      </c>
      <c r="Q5336" s="15" t="s">
        <v>19</v>
      </c>
      <c r="R5336" s="205"/>
      <c r="S5336" s="189" t="s">
        <v>758</v>
      </c>
      <c r="T5336" s="114"/>
      <c r="U5336" s="21"/>
      <c r="V5336" s="115">
        <v>46057</v>
      </c>
      <c r="W5336" s="116">
        <v>1003</v>
      </c>
      <c r="X5336" s="220">
        <v>485000</v>
      </c>
      <c r="Y5336" s="220">
        <f>X5336*0.1</f>
        <v>48500</v>
      </c>
      <c r="Z5336" s="220">
        <v>6230</v>
      </c>
      <c r="AA5336" s="220">
        <f>SUM(X5336:Z5336)</f>
        <v>539730</v>
      </c>
      <c r="AB5336" s="222">
        <v>46062</v>
      </c>
    </row>
    <row r="5337" spans="1:28" ht="17.100000000000001" customHeight="1" thickBot="1">
      <c r="A5337" s="227"/>
      <c r="B5337" s="27" t="s">
        <v>2680</v>
      </c>
      <c r="C5337" s="27">
        <v>50170</v>
      </c>
      <c r="D5337" s="14" t="s">
        <v>1584</v>
      </c>
      <c r="E5337" s="229"/>
      <c r="F5337" s="117" t="s">
        <v>15459</v>
      </c>
      <c r="G5337" s="26">
        <v>51429</v>
      </c>
      <c r="H5337" s="231"/>
      <c r="I5337" s="221"/>
      <c r="J5337" s="221"/>
      <c r="K5337" s="221"/>
      <c r="L5337" s="221"/>
      <c r="M5337" s="221"/>
      <c r="N5337" s="221"/>
      <c r="O5337" s="225"/>
      <c r="P5337" s="118" t="s">
        <v>3919</v>
      </c>
      <c r="Q5337" s="16" t="s">
        <v>20</v>
      </c>
      <c r="R5337" s="17" t="s">
        <v>1822</v>
      </c>
      <c r="S5337" s="121" t="s">
        <v>1661</v>
      </c>
      <c r="T5337" s="122"/>
      <c r="U5337" s="22"/>
      <c r="V5337" s="123" t="s">
        <v>2747</v>
      </c>
      <c r="W5337" s="122">
        <v>2044</v>
      </c>
      <c r="X5337" s="221"/>
      <c r="Y5337" s="221"/>
      <c r="Z5337" s="221"/>
      <c r="AA5337" s="221"/>
      <c r="AB5337" s="223"/>
    </row>
    <row r="5338" spans="1:28" ht="17.100000000000001" customHeight="1" thickTop="1">
      <c r="A5338" s="226" t="s">
        <v>15444</v>
      </c>
      <c r="B5338" s="28">
        <v>46044</v>
      </c>
      <c r="C5338" s="25">
        <v>2230</v>
      </c>
      <c r="D5338" s="13" t="s">
        <v>2644</v>
      </c>
      <c r="E5338" s="228"/>
      <c r="F5338" s="109" t="s">
        <v>1854</v>
      </c>
      <c r="G5338" s="24" t="s">
        <v>2494</v>
      </c>
      <c r="H5338" s="230">
        <v>4.5</v>
      </c>
      <c r="I5338" s="220">
        <v>2423000</v>
      </c>
      <c r="J5338" s="220">
        <f>I5338*0.1</f>
        <v>242300</v>
      </c>
      <c r="K5338" s="220">
        <v>6600</v>
      </c>
      <c r="L5338" s="220">
        <v>17600</v>
      </c>
      <c r="M5338" s="220">
        <v>15950</v>
      </c>
      <c r="N5338" s="220">
        <f>SUM(I5338:M5339)</f>
        <v>2705450</v>
      </c>
      <c r="O5338" s="224"/>
      <c r="P5338" s="110" t="s">
        <v>15610</v>
      </c>
      <c r="Q5338" s="15" t="s">
        <v>19</v>
      </c>
      <c r="R5338" s="205"/>
      <c r="S5338" s="189"/>
      <c r="T5338" s="114"/>
      <c r="U5338" s="21"/>
      <c r="V5338" s="115">
        <v>46060</v>
      </c>
      <c r="W5338" s="116">
        <v>1287</v>
      </c>
      <c r="X5338" s="220">
        <v>2555000</v>
      </c>
      <c r="Y5338" s="220">
        <f>X5338*0.1</f>
        <v>255500</v>
      </c>
      <c r="Z5338" s="220">
        <v>17600</v>
      </c>
      <c r="AA5338" s="220">
        <f>SUM(X5338:Z5338)</f>
        <v>2828100</v>
      </c>
      <c r="AB5338" s="222">
        <v>46063</v>
      </c>
    </row>
    <row r="5339" spans="1:28" ht="17.100000000000001" customHeight="1" thickBot="1">
      <c r="A5339" s="227"/>
      <c r="B5339" s="27" t="s">
        <v>3549</v>
      </c>
      <c r="C5339" s="27">
        <v>7002</v>
      </c>
      <c r="D5339" s="14" t="s">
        <v>273</v>
      </c>
      <c r="E5339" s="229"/>
      <c r="F5339" s="117" t="s">
        <v>15609</v>
      </c>
      <c r="G5339" s="26">
        <v>22558</v>
      </c>
      <c r="H5339" s="231"/>
      <c r="I5339" s="221"/>
      <c r="J5339" s="221"/>
      <c r="K5339" s="221"/>
      <c r="L5339" s="221"/>
      <c r="M5339" s="221"/>
      <c r="N5339" s="221"/>
      <c r="O5339" s="225"/>
      <c r="P5339" s="118" t="s">
        <v>5190</v>
      </c>
      <c r="Q5339" s="16" t="s">
        <v>20</v>
      </c>
      <c r="R5339" s="17" t="s">
        <v>1822</v>
      </c>
      <c r="S5339" s="121" t="s">
        <v>2166</v>
      </c>
      <c r="T5339" s="122"/>
      <c r="U5339" s="22"/>
      <c r="V5339" s="123" t="s">
        <v>2472</v>
      </c>
      <c r="W5339" s="122">
        <v>80272</v>
      </c>
      <c r="X5339" s="221"/>
      <c r="Y5339" s="221"/>
      <c r="Z5339" s="221"/>
      <c r="AA5339" s="221"/>
      <c r="AB5339" s="223"/>
    </row>
    <row r="5340" spans="1:28" ht="17.100000000000001" customHeight="1" thickTop="1">
      <c r="A5340" s="226" t="s">
        <v>15445</v>
      </c>
      <c r="B5340" s="28">
        <v>46044</v>
      </c>
      <c r="C5340" s="25">
        <v>1967</v>
      </c>
      <c r="D5340" s="13" t="s">
        <v>2422</v>
      </c>
      <c r="E5340" s="228"/>
      <c r="F5340" s="109" t="s">
        <v>15469</v>
      </c>
      <c r="G5340" s="24" t="s">
        <v>4025</v>
      </c>
      <c r="H5340" s="230">
        <v>4</v>
      </c>
      <c r="I5340" s="220">
        <v>1165000</v>
      </c>
      <c r="J5340" s="220">
        <f>I5340*0.1</f>
        <v>116500</v>
      </c>
      <c r="K5340" s="220">
        <v>7150</v>
      </c>
      <c r="L5340" s="220">
        <v>11480</v>
      </c>
      <c r="M5340" s="220">
        <v>15950</v>
      </c>
      <c r="N5340" s="220">
        <f>SUM(I5340:M5341)</f>
        <v>1316080</v>
      </c>
      <c r="O5340" s="224"/>
      <c r="P5340" s="110" t="s">
        <v>15611</v>
      </c>
      <c r="Q5340" s="15" t="s">
        <v>19</v>
      </c>
      <c r="R5340" s="205"/>
      <c r="S5340" s="189"/>
      <c r="T5340" s="114"/>
      <c r="U5340" s="21" t="s">
        <v>17609</v>
      </c>
      <c r="V5340" s="115">
        <v>46081</v>
      </c>
      <c r="W5340" s="116">
        <v>1290</v>
      </c>
      <c r="X5340" s="220">
        <v>1230000</v>
      </c>
      <c r="Y5340" s="220">
        <f>X5340*0.1</f>
        <v>123000</v>
      </c>
      <c r="Z5340" s="220">
        <v>11450</v>
      </c>
      <c r="AA5340" s="220">
        <f>SUM(X5340:Z5340)</f>
        <v>1364450</v>
      </c>
      <c r="AB5340" s="222">
        <v>46084</v>
      </c>
    </row>
    <row r="5341" spans="1:28" ht="17.100000000000001" customHeight="1" thickBot="1">
      <c r="A5341" s="227"/>
      <c r="B5341" s="27" t="s">
        <v>3730</v>
      </c>
      <c r="C5341" s="27">
        <v>283</v>
      </c>
      <c r="D5341" s="14" t="s">
        <v>2559</v>
      </c>
      <c r="E5341" s="229"/>
      <c r="F5341" s="117" t="s">
        <v>15470</v>
      </c>
      <c r="G5341" s="26">
        <v>100682</v>
      </c>
      <c r="H5341" s="231"/>
      <c r="I5341" s="221"/>
      <c r="J5341" s="221"/>
      <c r="K5341" s="221"/>
      <c r="L5341" s="221"/>
      <c r="M5341" s="221"/>
      <c r="N5341" s="221"/>
      <c r="O5341" s="225"/>
      <c r="P5341" s="118" t="s">
        <v>3400</v>
      </c>
      <c r="Q5341" s="16" t="s">
        <v>20</v>
      </c>
      <c r="R5341" s="17" t="s">
        <v>15814</v>
      </c>
      <c r="S5341" s="121" t="s">
        <v>4848</v>
      </c>
      <c r="T5341" s="122"/>
      <c r="U5341" s="22"/>
      <c r="V5341" s="123" t="s">
        <v>2472</v>
      </c>
      <c r="W5341" s="122">
        <v>50265</v>
      </c>
      <c r="X5341" s="221"/>
      <c r="Y5341" s="221"/>
      <c r="Z5341" s="221"/>
      <c r="AA5341" s="221"/>
      <c r="AB5341" s="223"/>
    </row>
    <row r="5342" spans="1:28" ht="17.100000000000001" customHeight="1" thickTop="1">
      <c r="A5342" s="226" t="s">
        <v>15446</v>
      </c>
      <c r="B5342" s="28">
        <v>46044</v>
      </c>
      <c r="C5342" s="25">
        <v>1967</v>
      </c>
      <c r="D5342" s="13" t="s">
        <v>2129</v>
      </c>
      <c r="E5342" s="228"/>
      <c r="F5342" s="109" t="s">
        <v>15471</v>
      </c>
      <c r="G5342" s="24" t="s">
        <v>4239</v>
      </c>
      <c r="H5342" s="230">
        <v>4</v>
      </c>
      <c r="I5342" s="220">
        <v>865000</v>
      </c>
      <c r="J5342" s="220">
        <f>I5342*0.1</f>
        <v>86500</v>
      </c>
      <c r="K5342" s="220">
        <v>8250</v>
      </c>
      <c r="L5342" s="220">
        <v>16260</v>
      </c>
      <c r="M5342" s="220">
        <v>15950</v>
      </c>
      <c r="N5342" s="220">
        <f>SUM(I5342:M5343)</f>
        <v>991960</v>
      </c>
      <c r="O5342" s="224"/>
      <c r="P5342" s="110" t="s">
        <v>15612</v>
      </c>
      <c r="Q5342" s="15" t="s">
        <v>19</v>
      </c>
      <c r="R5342" s="205"/>
      <c r="S5342" s="189"/>
      <c r="T5342" s="114"/>
      <c r="U5342" s="21" t="s">
        <v>17818</v>
      </c>
      <c r="V5342" s="115">
        <v>46106</v>
      </c>
      <c r="W5342" s="116">
        <v>1010</v>
      </c>
      <c r="X5342" s="220">
        <v>950000</v>
      </c>
      <c r="Y5342" s="220">
        <f>X5342*0.1</f>
        <v>95000</v>
      </c>
      <c r="Z5342" s="220">
        <v>16260</v>
      </c>
      <c r="AA5342" s="220">
        <f>SUM(X5342:Z5342)</f>
        <v>1061260</v>
      </c>
      <c r="AB5342" s="222">
        <v>46111</v>
      </c>
    </row>
    <row r="5343" spans="1:28" ht="17.100000000000001" customHeight="1" thickBot="1">
      <c r="A5343" s="227"/>
      <c r="B5343" s="27" t="s">
        <v>3730</v>
      </c>
      <c r="C5343" s="27">
        <v>369</v>
      </c>
      <c r="D5343" s="14" t="s">
        <v>2559</v>
      </c>
      <c r="E5343" s="229"/>
      <c r="F5343" s="117" t="s">
        <v>15472</v>
      </c>
      <c r="G5343" s="26">
        <v>94619</v>
      </c>
      <c r="H5343" s="231"/>
      <c r="I5343" s="221"/>
      <c r="J5343" s="221"/>
      <c r="K5343" s="221"/>
      <c r="L5343" s="221"/>
      <c r="M5343" s="221"/>
      <c r="N5343" s="221"/>
      <c r="O5343" s="225"/>
      <c r="P5343" s="118" t="s">
        <v>15336</v>
      </c>
      <c r="Q5343" s="16" t="s">
        <v>20</v>
      </c>
      <c r="R5343" s="17" t="s">
        <v>1822</v>
      </c>
      <c r="S5343" s="121"/>
      <c r="T5343" s="122"/>
      <c r="U5343" s="22"/>
      <c r="V5343" s="123" t="s">
        <v>2747</v>
      </c>
      <c r="W5343" s="122">
        <v>6091</v>
      </c>
      <c r="X5343" s="221"/>
      <c r="Y5343" s="221"/>
      <c r="Z5343" s="221"/>
      <c r="AA5343" s="221"/>
      <c r="AB5343" s="223"/>
    </row>
    <row r="5344" spans="1:28" ht="17.100000000000001" customHeight="1" thickTop="1">
      <c r="A5344" s="226" t="s">
        <v>15447</v>
      </c>
      <c r="B5344" s="28">
        <v>46044</v>
      </c>
      <c r="C5344" s="25">
        <v>1967</v>
      </c>
      <c r="D5344" s="13" t="s">
        <v>2150</v>
      </c>
      <c r="E5344" s="228"/>
      <c r="F5344" s="109" t="s">
        <v>15473</v>
      </c>
      <c r="G5344" s="24" t="s">
        <v>1540</v>
      </c>
      <c r="H5344" s="230">
        <v>4</v>
      </c>
      <c r="I5344" s="220">
        <v>1060000</v>
      </c>
      <c r="J5344" s="220">
        <f>I5344*0.1</f>
        <v>106000</v>
      </c>
      <c r="K5344" s="220">
        <v>6270</v>
      </c>
      <c r="L5344" s="220">
        <v>9810</v>
      </c>
      <c r="M5344" s="220">
        <v>22000</v>
      </c>
      <c r="N5344" s="220">
        <f>SUM(I5344:M5345)</f>
        <v>1204080</v>
      </c>
      <c r="O5344" s="224"/>
      <c r="P5344" s="110" t="s">
        <v>15613</v>
      </c>
      <c r="Q5344" s="15" t="s">
        <v>19</v>
      </c>
      <c r="R5344" s="205"/>
      <c r="S5344" s="189"/>
      <c r="T5344" s="114"/>
      <c r="U5344" s="21"/>
      <c r="V5344" s="115">
        <v>46060</v>
      </c>
      <c r="W5344" s="116">
        <v>1287</v>
      </c>
      <c r="X5344" s="220">
        <v>1150000</v>
      </c>
      <c r="Y5344" s="220">
        <f>X5344*0.1</f>
        <v>115000</v>
      </c>
      <c r="Z5344" s="220">
        <v>9810</v>
      </c>
      <c r="AA5344" s="220">
        <f>SUM(X5344:Z5344)</f>
        <v>1274810</v>
      </c>
      <c r="AB5344" s="222">
        <v>46063</v>
      </c>
    </row>
    <row r="5345" spans="1:28" ht="17.100000000000001" customHeight="1" thickBot="1">
      <c r="A5345" s="227"/>
      <c r="B5345" s="27" t="s">
        <v>3730</v>
      </c>
      <c r="C5345" s="27">
        <v>2212</v>
      </c>
      <c r="D5345" s="14" t="s">
        <v>273</v>
      </c>
      <c r="E5345" s="229"/>
      <c r="F5345" s="117" t="s">
        <v>15474</v>
      </c>
      <c r="G5345" s="26">
        <v>60239</v>
      </c>
      <c r="H5345" s="231"/>
      <c r="I5345" s="221"/>
      <c r="J5345" s="221"/>
      <c r="K5345" s="221"/>
      <c r="L5345" s="221"/>
      <c r="M5345" s="221"/>
      <c r="N5345" s="221"/>
      <c r="O5345" s="225"/>
      <c r="P5345" s="118" t="s">
        <v>1972</v>
      </c>
      <c r="Q5345" s="16" t="s">
        <v>20</v>
      </c>
      <c r="R5345" s="17" t="s">
        <v>2600</v>
      </c>
      <c r="S5345" s="121" t="s">
        <v>16025</v>
      </c>
      <c r="T5345" s="122"/>
      <c r="U5345" s="22"/>
      <c r="V5345" s="123" t="s">
        <v>2472</v>
      </c>
      <c r="W5345" s="122">
        <v>55104</v>
      </c>
      <c r="X5345" s="221"/>
      <c r="Y5345" s="221"/>
      <c r="Z5345" s="221"/>
      <c r="AA5345" s="221"/>
      <c r="AB5345" s="223"/>
    </row>
    <row r="5346" spans="1:28" ht="17.100000000000001" customHeight="1" thickTop="1">
      <c r="A5346" s="226" t="s">
        <v>15448</v>
      </c>
      <c r="B5346" s="28">
        <v>46044</v>
      </c>
      <c r="C5346" s="25">
        <v>1967</v>
      </c>
      <c r="D5346" s="13" t="s">
        <v>1715</v>
      </c>
      <c r="E5346" s="228"/>
      <c r="F5346" s="109" t="s">
        <v>15475</v>
      </c>
      <c r="G5346" s="24"/>
      <c r="H5346" s="230">
        <v>4</v>
      </c>
      <c r="I5346" s="220">
        <v>790000</v>
      </c>
      <c r="J5346" s="220">
        <f>I5346*0.1</f>
        <v>79000</v>
      </c>
      <c r="K5346" s="220">
        <v>0</v>
      </c>
      <c r="L5346" s="220">
        <v>9200</v>
      </c>
      <c r="M5346" s="220">
        <v>15950</v>
      </c>
      <c r="N5346" s="220">
        <f>SUM(I5346:M5347)</f>
        <v>894150</v>
      </c>
      <c r="O5346" s="224"/>
      <c r="P5346" s="110" t="s">
        <v>15831</v>
      </c>
      <c r="Q5346" s="15" t="s">
        <v>19</v>
      </c>
      <c r="R5346" s="205"/>
      <c r="S5346" s="189"/>
      <c r="T5346" s="114"/>
      <c r="U5346" s="21"/>
      <c r="V5346" s="115">
        <v>46071</v>
      </c>
      <c r="W5346" s="116">
        <v>1005</v>
      </c>
      <c r="X5346" s="220">
        <v>850000</v>
      </c>
      <c r="Y5346" s="220">
        <f>X5346*0.1</f>
        <v>85000</v>
      </c>
      <c r="Z5346" s="220">
        <v>9200</v>
      </c>
      <c r="AA5346" s="220">
        <f>SUM(X5346:Z5346)</f>
        <v>944200</v>
      </c>
      <c r="AB5346" s="222">
        <v>46073</v>
      </c>
    </row>
    <row r="5347" spans="1:28" ht="17.100000000000001" customHeight="1" thickBot="1">
      <c r="A5347" s="227"/>
      <c r="B5347" s="27" t="s">
        <v>3730</v>
      </c>
      <c r="C5347" s="27">
        <v>5450</v>
      </c>
      <c r="D5347" s="14" t="s">
        <v>898</v>
      </c>
      <c r="E5347" s="229"/>
      <c r="F5347" s="117" t="s">
        <v>15476</v>
      </c>
      <c r="G5347" s="26">
        <v>50845</v>
      </c>
      <c r="H5347" s="231"/>
      <c r="I5347" s="221"/>
      <c r="J5347" s="221"/>
      <c r="K5347" s="221"/>
      <c r="L5347" s="221"/>
      <c r="M5347" s="221"/>
      <c r="N5347" s="221"/>
      <c r="O5347" s="225"/>
      <c r="P5347" s="118" t="s">
        <v>13536</v>
      </c>
      <c r="Q5347" s="16" t="s">
        <v>20</v>
      </c>
      <c r="R5347" s="17" t="s">
        <v>15814</v>
      </c>
      <c r="S5347" s="121" t="s">
        <v>7721</v>
      </c>
      <c r="T5347" s="122"/>
      <c r="U5347" s="22"/>
      <c r="V5347" s="123" t="s">
        <v>2747</v>
      </c>
      <c r="W5347" s="122">
        <v>2037</v>
      </c>
      <c r="X5347" s="221"/>
      <c r="Y5347" s="221"/>
      <c r="Z5347" s="221"/>
      <c r="AA5347" s="221"/>
      <c r="AB5347" s="223"/>
    </row>
    <row r="5348" spans="1:28" ht="17.100000000000001" customHeight="1" thickTop="1">
      <c r="A5348" s="226" t="s">
        <v>15460</v>
      </c>
      <c r="B5348" s="28">
        <v>46044</v>
      </c>
      <c r="C5348" s="25">
        <v>1967</v>
      </c>
      <c r="D5348" s="13" t="s">
        <v>1908</v>
      </c>
      <c r="E5348" s="228"/>
      <c r="F5348" s="109" t="s">
        <v>15478</v>
      </c>
      <c r="G5348" s="24"/>
      <c r="H5348" s="230">
        <v>4</v>
      </c>
      <c r="I5348" s="220">
        <v>698000</v>
      </c>
      <c r="J5348" s="220">
        <f>I5348*0.1</f>
        <v>69800</v>
      </c>
      <c r="K5348" s="220">
        <v>0</v>
      </c>
      <c r="L5348" s="220">
        <v>11810</v>
      </c>
      <c r="M5348" s="220">
        <v>15950</v>
      </c>
      <c r="N5348" s="220">
        <f>SUM(I5348:M5349)</f>
        <v>795560</v>
      </c>
      <c r="O5348" s="224"/>
      <c r="P5348" s="110" t="s">
        <v>15989</v>
      </c>
      <c r="Q5348" s="15" t="s">
        <v>19</v>
      </c>
      <c r="R5348" s="205"/>
      <c r="S5348" s="189" t="s">
        <v>283</v>
      </c>
      <c r="T5348" s="114"/>
      <c r="U5348" s="21"/>
      <c r="V5348" s="115">
        <v>46099</v>
      </c>
      <c r="W5348" s="116">
        <v>1009</v>
      </c>
      <c r="X5348" s="220">
        <v>750000</v>
      </c>
      <c r="Y5348" s="220">
        <f>X5348*0.1</f>
        <v>75000</v>
      </c>
      <c r="Z5348" s="220">
        <v>11810</v>
      </c>
      <c r="AA5348" s="220">
        <f>SUM(X5348:Z5348)</f>
        <v>836810</v>
      </c>
      <c r="AB5348" s="222">
        <v>46105</v>
      </c>
    </row>
    <row r="5349" spans="1:28" ht="17.100000000000001" customHeight="1" thickBot="1">
      <c r="A5349" s="227"/>
      <c r="B5349" s="27" t="s">
        <v>3730</v>
      </c>
      <c r="C5349" s="27">
        <v>8038</v>
      </c>
      <c r="D5349" s="14" t="s">
        <v>273</v>
      </c>
      <c r="E5349" s="229"/>
      <c r="F5349" s="117" t="s">
        <v>15477</v>
      </c>
      <c r="G5349" s="26">
        <v>65163</v>
      </c>
      <c r="H5349" s="231"/>
      <c r="I5349" s="221"/>
      <c r="J5349" s="221"/>
      <c r="K5349" s="221"/>
      <c r="L5349" s="221"/>
      <c r="M5349" s="221"/>
      <c r="N5349" s="221"/>
      <c r="O5349" s="225"/>
      <c r="P5349" s="118" t="s">
        <v>15990</v>
      </c>
      <c r="Q5349" s="16" t="s">
        <v>20</v>
      </c>
      <c r="R5349" s="17" t="s">
        <v>1822</v>
      </c>
      <c r="S5349" s="121" t="s">
        <v>14402</v>
      </c>
      <c r="T5349" s="122"/>
      <c r="U5349" s="22"/>
      <c r="V5349" s="123" t="s">
        <v>20442</v>
      </c>
      <c r="W5349" s="122">
        <v>6059</v>
      </c>
      <c r="X5349" s="221"/>
      <c r="Y5349" s="221"/>
      <c r="Z5349" s="221"/>
      <c r="AA5349" s="221"/>
      <c r="AB5349" s="223"/>
    </row>
    <row r="5350" spans="1:28" ht="17.100000000000001" customHeight="1" thickTop="1">
      <c r="A5350" s="226" t="s">
        <v>15461</v>
      </c>
      <c r="B5350" s="28">
        <v>46044</v>
      </c>
      <c r="C5350" s="25">
        <v>2142</v>
      </c>
      <c r="D5350" s="13" t="s">
        <v>11745</v>
      </c>
      <c r="E5350" s="228"/>
      <c r="F5350" s="109" t="s">
        <v>15597</v>
      </c>
      <c r="G5350" s="24"/>
      <c r="H5350" s="230">
        <v>4</v>
      </c>
      <c r="I5350" s="220">
        <v>401000</v>
      </c>
      <c r="J5350" s="220">
        <f>I5350*0.1</f>
        <v>40100</v>
      </c>
      <c r="K5350" s="220">
        <v>0</v>
      </c>
      <c r="L5350" s="220">
        <v>9460</v>
      </c>
      <c r="M5350" s="220">
        <v>14300</v>
      </c>
      <c r="N5350" s="220">
        <f>SUM(I5350:M5351)</f>
        <v>464860</v>
      </c>
      <c r="O5350" s="224"/>
      <c r="P5350" s="110" t="s">
        <v>15848</v>
      </c>
      <c r="Q5350" s="15" t="s">
        <v>19</v>
      </c>
      <c r="R5350" s="205"/>
      <c r="S5350" s="189" t="s">
        <v>25386</v>
      </c>
      <c r="T5350" s="114"/>
      <c r="U5350" s="21"/>
      <c r="V5350" s="115">
        <v>46071</v>
      </c>
      <c r="W5350" s="116">
        <v>1005</v>
      </c>
      <c r="X5350" s="220">
        <v>465000</v>
      </c>
      <c r="Y5350" s="220">
        <f>X5350*0.1</f>
        <v>46500</v>
      </c>
      <c r="Z5350" s="220">
        <v>9460</v>
      </c>
      <c r="AA5350" s="220">
        <f>SUM(X5350:Z5350)</f>
        <v>520960</v>
      </c>
      <c r="AB5350" s="222">
        <v>46073</v>
      </c>
    </row>
    <row r="5351" spans="1:28" ht="17.100000000000001" customHeight="1" thickBot="1">
      <c r="A5351" s="227"/>
      <c r="B5351" s="27" t="s">
        <v>1918</v>
      </c>
      <c r="C5351" s="27">
        <v>29</v>
      </c>
      <c r="D5351" s="14" t="s">
        <v>273</v>
      </c>
      <c r="E5351" s="229"/>
      <c r="F5351" s="117" t="s">
        <v>15497</v>
      </c>
      <c r="G5351" s="26">
        <v>32100</v>
      </c>
      <c r="H5351" s="231"/>
      <c r="I5351" s="221"/>
      <c r="J5351" s="221"/>
      <c r="K5351" s="221"/>
      <c r="L5351" s="221"/>
      <c r="M5351" s="221"/>
      <c r="N5351" s="221"/>
      <c r="O5351" s="225"/>
      <c r="P5351" s="118" t="s">
        <v>3355</v>
      </c>
      <c r="Q5351" s="16" t="s">
        <v>20</v>
      </c>
      <c r="R5351" s="17" t="s">
        <v>15814</v>
      </c>
      <c r="S5351" s="121" t="s">
        <v>16430</v>
      </c>
      <c r="T5351" s="122" t="s">
        <v>15830</v>
      </c>
      <c r="U5351" s="22"/>
      <c r="V5351" s="123" t="s">
        <v>8877</v>
      </c>
      <c r="W5351" s="122">
        <v>2026</v>
      </c>
      <c r="X5351" s="221"/>
      <c r="Y5351" s="221"/>
      <c r="Z5351" s="221"/>
      <c r="AA5351" s="221"/>
      <c r="AB5351" s="223"/>
    </row>
    <row r="5352" spans="1:28" ht="17.100000000000001" customHeight="1" thickTop="1">
      <c r="A5352" s="226" t="s">
        <v>15462</v>
      </c>
      <c r="B5352" s="28">
        <v>46044</v>
      </c>
      <c r="C5352" s="25">
        <v>2142</v>
      </c>
      <c r="D5352" s="13" t="s">
        <v>5415</v>
      </c>
      <c r="E5352" s="228"/>
      <c r="F5352" s="109" t="s">
        <v>15598</v>
      </c>
      <c r="G5352" s="24" t="s">
        <v>11035</v>
      </c>
      <c r="H5352" s="230">
        <v>4</v>
      </c>
      <c r="I5352" s="220">
        <v>469000</v>
      </c>
      <c r="J5352" s="220">
        <f>I5352*0.1</f>
        <v>46900</v>
      </c>
      <c r="K5352" s="220">
        <v>8600</v>
      </c>
      <c r="L5352" s="220">
        <v>18290</v>
      </c>
      <c r="M5352" s="220">
        <v>14300</v>
      </c>
      <c r="N5352" s="220">
        <f>SUM(I5352:M5353)</f>
        <v>557090</v>
      </c>
      <c r="O5352" s="224"/>
      <c r="P5352" s="110" t="s">
        <v>15600</v>
      </c>
      <c r="Q5352" s="15" t="s">
        <v>19</v>
      </c>
      <c r="R5352" s="205"/>
      <c r="S5352" s="189"/>
      <c r="T5352" s="114"/>
      <c r="U5352" s="21" t="s">
        <v>17612</v>
      </c>
      <c r="V5352" s="115">
        <v>46078</v>
      </c>
      <c r="W5352" s="116">
        <v>1006</v>
      </c>
      <c r="X5352" s="220">
        <v>445000</v>
      </c>
      <c r="Y5352" s="220">
        <f>X5352*0.1</f>
        <v>44500</v>
      </c>
      <c r="Z5352" s="220">
        <v>18290</v>
      </c>
      <c r="AA5352" s="220">
        <f>SUM(X5352:Z5352)</f>
        <v>507790</v>
      </c>
      <c r="AB5352" s="222">
        <v>46083</v>
      </c>
    </row>
    <row r="5353" spans="1:28" ht="17.100000000000001" customHeight="1" thickBot="1">
      <c r="A5353" s="227"/>
      <c r="B5353" s="27" t="s">
        <v>1918</v>
      </c>
      <c r="C5353" s="27">
        <v>82</v>
      </c>
      <c r="D5353" s="14" t="s">
        <v>273</v>
      </c>
      <c r="E5353" s="229"/>
      <c r="F5353" s="117" t="s">
        <v>15599</v>
      </c>
      <c r="G5353" s="26">
        <v>121774</v>
      </c>
      <c r="H5353" s="231"/>
      <c r="I5353" s="221"/>
      <c r="J5353" s="221"/>
      <c r="K5353" s="221"/>
      <c r="L5353" s="221"/>
      <c r="M5353" s="221"/>
      <c r="N5353" s="221"/>
      <c r="O5353" s="225"/>
      <c r="P5353" s="118" t="s">
        <v>15304</v>
      </c>
      <c r="Q5353" s="16" t="s">
        <v>20</v>
      </c>
      <c r="R5353" s="17" t="s">
        <v>15814</v>
      </c>
      <c r="S5353" s="121" t="s">
        <v>16023</v>
      </c>
      <c r="T5353" s="122"/>
      <c r="U5353" s="22"/>
      <c r="V5353" s="123" t="s">
        <v>2747</v>
      </c>
      <c r="W5353" s="122">
        <v>6061</v>
      </c>
      <c r="X5353" s="221"/>
      <c r="Y5353" s="221"/>
      <c r="Z5353" s="221"/>
      <c r="AA5353" s="221"/>
      <c r="AB5353" s="223"/>
    </row>
    <row r="5354" spans="1:28" ht="17.100000000000001" customHeight="1" thickTop="1">
      <c r="A5354" s="226" t="s">
        <v>15463</v>
      </c>
      <c r="B5354" s="28">
        <v>46044</v>
      </c>
      <c r="C5354" s="25">
        <v>2142</v>
      </c>
      <c r="D5354" s="13" t="s">
        <v>4151</v>
      </c>
      <c r="E5354" s="228"/>
      <c r="F5354" s="109" t="s">
        <v>15601</v>
      </c>
      <c r="G5354" s="24" t="s">
        <v>15602</v>
      </c>
      <c r="H5354" s="230">
        <v>4</v>
      </c>
      <c r="I5354" s="220">
        <v>329000</v>
      </c>
      <c r="J5354" s="220">
        <f>I5354*0.1</f>
        <v>32900</v>
      </c>
      <c r="K5354" s="220">
        <v>0</v>
      </c>
      <c r="L5354" s="220">
        <v>10270</v>
      </c>
      <c r="M5354" s="220">
        <v>14300</v>
      </c>
      <c r="N5354" s="220">
        <f>SUM(I5354:M5355)</f>
        <v>386470</v>
      </c>
      <c r="O5354" s="224"/>
      <c r="P5354" s="110" t="s">
        <v>15603</v>
      </c>
      <c r="Q5354" s="15" t="s">
        <v>19</v>
      </c>
      <c r="R5354" s="205"/>
      <c r="S5354" s="189" t="s">
        <v>25717</v>
      </c>
      <c r="T5354" s="114"/>
      <c r="U5354" s="21"/>
      <c r="V5354" s="115">
        <v>46050</v>
      </c>
      <c r="W5354" s="116">
        <v>1002</v>
      </c>
      <c r="X5354" s="220">
        <v>375000</v>
      </c>
      <c r="Y5354" s="220">
        <f>X5354*0.1</f>
        <v>37500</v>
      </c>
      <c r="Z5354" s="220">
        <v>10270</v>
      </c>
      <c r="AA5354" s="220">
        <f>SUM(X5354:Z5354)</f>
        <v>422770</v>
      </c>
      <c r="AB5354" s="222">
        <v>46055</v>
      </c>
    </row>
    <row r="5355" spans="1:28" ht="17.100000000000001" customHeight="1" thickBot="1">
      <c r="A5355" s="227"/>
      <c r="B5355" s="27" t="s">
        <v>1918</v>
      </c>
      <c r="C5355" s="27">
        <v>156</v>
      </c>
      <c r="D5355" s="14" t="s">
        <v>273</v>
      </c>
      <c r="E5355" s="229"/>
      <c r="F5355" s="117" t="s">
        <v>15498</v>
      </c>
      <c r="G5355" s="26">
        <v>30848</v>
      </c>
      <c r="H5355" s="231"/>
      <c r="I5355" s="221"/>
      <c r="J5355" s="221"/>
      <c r="K5355" s="221"/>
      <c r="L5355" s="221"/>
      <c r="M5355" s="221"/>
      <c r="N5355" s="221"/>
      <c r="O5355" s="225"/>
      <c r="P5355" s="118" t="s">
        <v>4608</v>
      </c>
      <c r="Q5355" s="16" t="s">
        <v>20</v>
      </c>
      <c r="R5355" s="17" t="s">
        <v>15814</v>
      </c>
      <c r="S5355" s="121" t="s">
        <v>15849</v>
      </c>
      <c r="T5355" s="122"/>
      <c r="U5355" s="22"/>
      <c r="V5355" s="123" t="s">
        <v>2747</v>
      </c>
      <c r="W5355" s="122">
        <v>5068</v>
      </c>
      <c r="X5355" s="221"/>
      <c r="Y5355" s="221"/>
      <c r="Z5355" s="221"/>
      <c r="AA5355" s="221"/>
      <c r="AB5355" s="223"/>
    </row>
    <row r="5356" spans="1:28" ht="17.100000000000001" customHeight="1" thickTop="1">
      <c r="A5356" s="226" t="s">
        <v>15464</v>
      </c>
      <c r="B5356" s="28">
        <v>46044</v>
      </c>
      <c r="C5356" s="25">
        <v>2142</v>
      </c>
      <c r="D5356" s="13" t="s">
        <v>2491</v>
      </c>
      <c r="E5356" s="228"/>
      <c r="F5356" s="109" t="s">
        <v>15499</v>
      </c>
      <c r="G5356" s="24" t="s">
        <v>15604</v>
      </c>
      <c r="H5356" s="230">
        <v>4.5</v>
      </c>
      <c r="I5356" s="220">
        <v>956000</v>
      </c>
      <c r="J5356" s="220">
        <f>I5356*0.1</f>
        <v>95600</v>
      </c>
      <c r="K5356" s="220">
        <v>0</v>
      </c>
      <c r="L5356" s="220">
        <v>8450</v>
      </c>
      <c r="M5356" s="220">
        <v>14300</v>
      </c>
      <c r="N5356" s="220">
        <f>SUM(I5356:M5357)</f>
        <v>1074350</v>
      </c>
      <c r="O5356" s="224"/>
      <c r="P5356" s="110" t="s">
        <v>15605</v>
      </c>
      <c r="Q5356" s="15" t="s">
        <v>19</v>
      </c>
      <c r="R5356" s="205"/>
      <c r="S5356" s="189" t="s">
        <v>25718</v>
      </c>
      <c r="T5356" s="114"/>
      <c r="U5356" s="21" t="s">
        <v>16533</v>
      </c>
      <c r="V5356" s="115">
        <v>46056</v>
      </c>
      <c r="W5356" s="116">
        <v>1927</v>
      </c>
      <c r="X5356" s="220">
        <v>991000</v>
      </c>
      <c r="Y5356" s="220">
        <f>X5356*0.1</f>
        <v>99100</v>
      </c>
      <c r="Z5356" s="220">
        <v>8450</v>
      </c>
      <c r="AA5356" s="220">
        <f>SUM(X5356:Z5356)</f>
        <v>1098550</v>
      </c>
      <c r="AB5356" s="222">
        <v>46063</v>
      </c>
    </row>
    <row r="5357" spans="1:28" ht="17.100000000000001" customHeight="1" thickBot="1">
      <c r="A5357" s="227"/>
      <c r="B5357" s="27" t="s">
        <v>1918</v>
      </c>
      <c r="C5357" s="27">
        <v>2063</v>
      </c>
      <c r="D5357" s="14" t="s">
        <v>1584</v>
      </c>
      <c r="E5357" s="229"/>
      <c r="F5357" s="117" t="s">
        <v>15500</v>
      </c>
      <c r="G5357" s="26">
        <v>736</v>
      </c>
      <c r="H5357" s="231"/>
      <c r="I5357" s="221"/>
      <c r="J5357" s="221"/>
      <c r="K5357" s="221"/>
      <c r="L5357" s="221"/>
      <c r="M5357" s="221"/>
      <c r="N5357" s="221"/>
      <c r="O5357" s="225"/>
      <c r="P5357" s="118" t="s">
        <v>15850</v>
      </c>
      <c r="Q5357" s="16" t="s">
        <v>20</v>
      </c>
      <c r="R5357" s="17" t="s">
        <v>15814</v>
      </c>
      <c r="S5357" s="121" t="s">
        <v>169</v>
      </c>
      <c r="T5357" s="122"/>
      <c r="U5357" s="22"/>
      <c r="V5357" s="123" t="s">
        <v>2103</v>
      </c>
      <c r="W5357" s="122">
        <v>3157</v>
      </c>
      <c r="X5357" s="221"/>
      <c r="Y5357" s="221"/>
      <c r="Z5357" s="221"/>
      <c r="AA5357" s="221"/>
      <c r="AB5357" s="223"/>
    </row>
    <row r="5358" spans="1:28" ht="17.100000000000001" customHeight="1" thickTop="1">
      <c r="A5358" s="226" t="s">
        <v>15465</v>
      </c>
      <c r="B5358" s="28">
        <v>46044</v>
      </c>
      <c r="C5358" s="25">
        <v>2142</v>
      </c>
      <c r="D5358" s="13" t="s">
        <v>2406</v>
      </c>
      <c r="E5358" s="228"/>
      <c r="F5358" s="109" t="s">
        <v>15606</v>
      </c>
      <c r="G5358" s="24"/>
      <c r="H5358" s="230">
        <v>4</v>
      </c>
      <c r="I5358" s="220">
        <v>458000</v>
      </c>
      <c r="J5358" s="220">
        <f>I5358*0.1</f>
        <v>45800</v>
      </c>
      <c r="K5358" s="220">
        <v>0</v>
      </c>
      <c r="L5358" s="220">
        <v>7140</v>
      </c>
      <c r="M5358" s="220">
        <v>14300</v>
      </c>
      <c r="N5358" s="220">
        <f>SUM(I5358:M5359)</f>
        <v>525240</v>
      </c>
      <c r="O5358" s="224"/>
      <c r="P5358" s="110" t="s">
        <v>15837</v>
      </c>
      <c r="Q5358" s="15" t="s">
        <v>19</v>
      </c>
      <c r="R5358" s="205"/>
      <c r="S5358" s="189"/>
      <c r="T5358" s="114"/>
      <c r="U5358" s="21"/>
      <c r="V5358" s="115">
        <v>46060</v>
      </c>
      <c r="W5358" s="116">
        <v>1287</v>
      </c>
      <c r="X5358" s="220">
        <v>460000</v>
      </c>
      <c r="Y5358" s="220">
        <f>X5358*0.1</f>
        <v>46000</v>
      </c>
      <c r="Z5358" s="220">
        <v>7140</v>
      </c>
      <c r="AA5358" s="220">
        <f>SUM(X5358:Z5358)</f>
        <v>513140</v>
      </c>
      <c r="AB5358" s="222">
        <v>46063</v>
      </c>
    </row>
    <row r="5359" spans="1:28" ht="17.100000000000001" customHeight="1" thickBot="1">
      <c r="A5359" s="227"/>
      <c r="B5359" s="27" t="s">
        <v>1918</v>
      </c>
      <c r="C5359" s="27">
        <v>2510</v>
      </c>
      <c r="D5359" s="14" t="s">
        <v>898</v>
      </c>
      <c r="E5359" s="229"/>
      <c r="F5359" s="117" t="s">
        <v>15501</v>
      </c>
      <c r="G5359" s="26">
        <v>42579</v>
      </c>
      <c r="H5359" s="231"/>
      <c r="I5359" s="221"/>
      <c r="J5359" s="221"/>
      <c r="K5359" s="221"/>
      <c r="L5359" s="221"/>
      <c r="M5359" s="221"/>
      <c r="N5359" s="221"/>
      <c r="O5359" s="225"/>
      <c r="P5359" s="118" t="s">
        <v>15838</v>
      </c>
      <c r="Q5359" s="16" t="s">
        <v>20</v>
      </c>
      <c r="R5359" s="17" t="s">
        <v>15814</v>
      </c>
      <c r="S5359" s="121"/>
      <c r="T5359" s="122"/>
      <c r="U5359" s="22"/>
      <c r="V5359" s="123" t="s">
        <v>2472</v>
      </c>
      <c r="W5359" s="122">
        <v>60209</v>
      </c>
      <c r="X5359" s="221"/>
      <c r="Y5359" s="221"/>
      <c r="Z5359" s="221"/>
      <c r="AA5359" s="221"/>
      <c r="AB5359" s="223"/>
    </row>
    <row r="5360" spans="1:28" ht="17.100000000000001" customHeight="1" thickTop="1">
      <c r="A5360" s="233" t="s">
        <v>15466</v>
      </c>
      <c r="B5360" s="28">
        <v>46044</v>
      </c>
      <c r="C5360" s="25">
        <v>2142</v>
      </c>
      <c r="D5360" s="13" t="s">
        <v>1883</v>
      </c>
      <c r="E5360" s="228"/>
      <c r="F5360" s="109" t="s">
        <v>15607</v>
      </c>
      <c r="G5360" s="24"/>
      <c r="H5360" s="230">
        <v>4.5</v>
      </c>
      <c r="I5360" s="220">
        <v>419000</v>
      </c>
      <c r="J5360" s="220">
        <f>I5360*0.1</f>
        <v>41900</v>
      </c>
      <c r="K5360" s="220">
        <v>0</v>
      </c>
      <c r="L5360" s="220">
        <v>7140</v>
      </c>
      <c r="M5360" s="220">
        <v>14300</v>
      </c>
      <c r="N5360" s="220">
        <f>SUM(I5360:M5361)</f>
        <v>482340</v>
      </c>
      <c r="O5360" s="224"/>
      <c r="P5360" s="110" t="s">
        <v>15986</v>
      </c>
      <c r="Q5360" s="15" t="s">
        <v>19</v>
      </c>
      <c r="R5360" s="205"/>
      <c r="S5360" s="189" t="s">
        <v>758</v>
      </c>
      <c r="T5360" s="114"/>
      <c r="U5360" s="21"/>
      <c r="V5360" s="115">
        <v>46049</v>
      </c>
      <c r="W5360" s="116">
        <v>1926</v>
      </c>
      <c r="X5360" s="220">
        <v>485000</v>
      </c>
      <c r="Y5360" s="220">
        <f>X5360*0.1</f>
        <v>48500</v>
      </c>
      <c r="Z5360" s="220">
        <v>7140</v>
      </c>
      <c r="AA5360" s="220">
        <f>SUM(X5360:Z5360)</f>
        <v>540640</v>
      </c>
      <c r="AB5360" s="222">
        <v>46056</v>
      </c>
    </row>
    <row r="5361" spans="1:28" ht="17.100000000000001" customHeight="1" thickBot="1">
      <c r="A5361" s="234"/>
      <c r="B5361" s="27" t="s">
        <v>1918</v>
      </c>
      <c r="C5361" s="27">
        <v>2514</v>
      </c>
      <c r="D5361" s="14" t="s">
        <v>898</v>
      </c>
      <c r="E5361" s="229"/>
      <c r="F5361" s="117" t="s">
        <v>15502</v>
      </c>
      <c r="G5361" s="26">
        <v>11372</v>
      </c>
      <c r="H5361" s="231"/>
      <c r="I5361" s="221"/>
      <c r="J5361" s="221"/>
      <c r="K5361" s="221"/>
      <c r="L5361" s="221"/>
      <c r="M5361" s="221"/>
      <c r="N5361" s="221"/>
      <c r="O5361" s="225"/>
      <c r="P5361" s="118" t="s">
        <v>15987</v>
      </c>
      <c r="Q5361" s="16" t="s">
        <v>20</v>
      </c>
      <c r="R5361" s="17" t="s">
        <v>1822</v>
      </c>
      <c r="S5361" s="121" t="s">
        <v>7920</v>
      </c>
      <c r="T5361" s="122"/>
      <c r="U5361" s="22"/>
      <c r="V5361" s="123" t="s">
        <v>7507</v>
      </c>
      <c r="W5361" s="122">
        <v>3251</v>
      </c>
      <c r="X5361" s="221"/>
      <c r="Y5361" s="221"/>
      <c r="Z5361" s="221"/>
      <c r="AA5361" s="221"/>
      <c r="AB5361" s="223"/>
    </row>
    <row r="5362" spans="1:28" ht="17.100000000000001" customHeight="1" thickTop="1">
      <c r="A5362" s="226" t="s">
        <v>15467</v>
      </c>
      <c r="B5362" s="28">
        <v>46044</v>
      </c>
      <c r="C5362" s="25">
        <v>2142</v>
      </c>
      <c r="D5362" s="13" t="s">
        <v>1053</v>
      </c>
      <c r="E5362" s="228"/>
      <c r="F5362" s="109" t="s">
        <v>15608</v>
      </c>
      <c r="G5362" s="24"/>
      <c r="H5362" s="230">
        <v>4.5</v>
      </c>
      <c r="I5362" s="220">
        <v>1314000</v>
      </c>
      <c r="J5362" s="220">
        <f>I5362*0.1</f>
        <v>131400</v>
      </c>
      <c r="K5362" s="220">
        <v>0</v>
      </c>
      <c r="L5362" s="220">
        <v>8550</v>
      </c>
      <c r="M5362" s="220">
        <v>14300</v>
      </c>
      <c r="N5362" s="220">
        <f>SUM(I5362:M5363)</f>
        <v>1468250</v>
      </c>
      <c r="O5362" s="224"/>
      <c r="P5362" s="110" t="s">
        <v>15836</v>
      </c>
      <c r="Q5362" s="15" t="s">
        <v>19</v>
      </c>
      <c r="R5362" s="205"/>
      <c r="S5362" s="189" t="s">
        <v>758</v>
      </c>
      <c r="T5362" s="114"/>
      <c r="U5362" s="21"/>
      <c r="V5362" s="115">
        <v>46049</v>
      </c>
      <c r="W5362" s="116">
        <v>1926</v>
      </c>
      <c r="X5362" s="220">
        <v>1342000</v>
      </c>
      <c r="Y5362" s="220">
        <f>X5362*0.1</f>
        <v>134200</v>
      </c>
      <c r="Z5362" s="220">
        <v>8550</v>
      </c>
      <c r="AA5362" s="220">
        <f>SUM(X5362:Z5362)</f>
        <v>1484750</v>
      </c>
      <c r="AB5362" s="222"/>
    </row>
    <row r="5363" spans="1:28" ht="17.100000000000001" customHeight="1" thickBot="1">
      <c r="A5363" s="227"/>
      <c r="B5363" s="27" t="s">
        <v>1918</v>
      </c>
      <c r="C5363" s="27">
        <v>2594</v>
      </c>
      <c r="D5363" s="14" t="s">
        <v>2559</v>
      </c>
      <c r="E5363" s="229"/>
      <c r="F5363" s="117" t="s">
        <v>15503</v>
      </c>
      <c r="G5363" s="26">
        <v>29226</v>
      </c>
      <c r="H5363" s="231"/>
      <c r="I5363" s="221"/>
      <c r="J5363" s="221"/>
      <c r="K5363" s="221"/>
      <c r="L5363" s="221"/>
      <c r="M5363" s="221"/>
      <c r="N5363" s="221"/>
      <c r="O5363" s="225"/>
      <c r="P5363" s="118" t="s">
        <v>1664</v>
      </c>
      <c r="Q5363" s="16" t="s">
        <v>20</v>
      </c>
      <c r="R5363" s="17" t="s">
        <v>15814</v>
      </c>
      <c r="S5363" s="121" t="s">
        <v>2360</v>
      </c>
      <c r="T5363" s="122"/>
      <c r="U5363" s="22"/>
      <c r="V5363" s="123" t="s">
        <v>2103</v>
      </c>
      <c r="W5363" s="122">
        <v>3257</v>
      </c>
      <c r="X5363" s="221"/>
      <c r="Y5363" s="221"/>
      <c r="Z5363" s="221"/>
      <c r="AA5363" s="221"/>
      <c r="AB5363" s="223"/>
    </row>
    <row r="5364" spans="1:28" ht="17.100000000000001" customHeight="1" thickTop="1">
      <c r="A5364" s="226" t="s">
        <v>15468</v>
      </c>
      <c r="B5364" s="28">
        <v>46045</v>
      </c>
      <c r="C5364" s="25">
        <v>86</v>
      </c>
      <c r="D5364" s="13" t="s">
        <v>3327</v>
      </c>
      <c r="E5364" s="228"/>
      <c r="F5364" s="109" t="s">
        <v>15504</v>
      </c>
      <c r="G5364" s="24" t="s">
        <v>2038</v>
      </c>
      <c r="H5364" s="230">
        <v>4.5</v>
      </c>
      <c r="I5364" s="220">
        <v>1190000</v>
      </c>
      <c r="J5364" s="220">
        <f>I5364*0.1</f>
        <v>119000</v>
      </c>
      <c r="K5364" s="220">
        <v>3520</v>
      </c>
      <c r="L5364" s="220">
        <v>10190</v>
      </c>
      <c r="M5364" s="220">
        <v>44000</v>
      </c>
      <c r="N5364" s="220">
        <f>SUM(I5364:M5365)</f>
        <v>1366710</v>
      </c>
      <c r="O5364" s="224"/>
      <c r="P5364" s="110" t="s">
        <v>16342</v>
      </c>
      <c r="Q5364" s="15" t="s">
        <v>19</v>
      </c>
      <c r="R5364" s="205"/>
      <c r="S5364" s="189" t="s">
        <v>25693</v>
      </c>
      <c r="T5364" s="114"/>
      <c r="U5364" s="21"/>
      <c r="V5364" s="115">
        <v>46081</v>
      </c>
      <c r="W5364" s="116">
        <v>1290</v>
      </c>
      <c r="X5364" s="220">
        <v>1250000</v>
      </c>
      <c r="Y5364" s="220">
        <f>X5364*0.1</f>
        <v>125000</v>
      </c>
      <c r="Z5364" s="220">
        <v>10190</v>
      </c>
      <c r="AA5364" s="220">
        <f>SUM(X5364:Z5364)</f>
        <v>1385190</v>
      </c>
      <c r="AB5364" s="222">
        <v>46084</v>
      </c>
    </row>
    <row r="5365" spans="1:28" ht="17.100000000000001" customHeight="1" thickBot="1">
      <c r="A5365" s="227"/>
      <c r="B5365" s="27" t="s">
        <v>4468</v>
      </c>
      <c r="C5365" s="27">
        <v>1003</v>
      </c>
      <c r="D5365" s="14" t="s">
        <v>1710</v>
      </c>
      <c r="E5365" s="229"/>
      <c r="F5365" s="117" t="s">
        <v>15505</v>
      </c>
      <c r="G5365" s="26">
        <v>45489</v>
      </c>
      <c r="H5365" s="231"/>
      <c r="I5365" s="221"/>
      <c r="J5365" s="221"/>
      <c r="K5365" s="221"/>
      <c r="L5365" s="221"/>
      <c r="M5365" s="221"/>
      <c r="N5365" s="221"/>
      <c r="O5365" s="225"/>
      <c r="P5365" s="118" t="s">
        <v>16343</v>
      </c>
      <c r="Q5365" s="16" t="s">
        <v>20</v>
      </c>
      <c r="R5365" s="17" t="s">
        <v>2610</v>
      </c>
      <c r="S5365" s="121" t="s">
        <v>9318</v>
      </c>
      <c r="T5365" s="122"/>
      <c r="U5365" s="22"/>
      <c r="V5365" s="123" t="s">
        <v>2472</v>
      </c>
      <c r="W5365" s="122">
        <v>31189</v>
      </c>
      <c r="X5365" s="221"/>
      <c r="Y5365" s="221"/>
      <c r="Z5365" s="221"/>
      <c r="AA5365" s="221"/>
      <c r="AB5365" s="223"/>
    </row>
    <row r="5366" spans="1:28" ht="17.100000000000001" customHeight="1" thickTop="1">
      <c r="A5366" s="226" t="s">
        <v>15479</v>
      </c>
      <c r="B5366" s="28">
        <v>46045</v>
      </c>
      <c r="C5366" s="25">
        <v>86</v>
      </c>
      <c r="D5366" s="13" t="s">
        <v>1816</v>
      </c>
      <c r="E5366" s="228"/>
      <c r="F5366" s="109" t="s">
        <v>15635</v>
      </c>
      <c r="G5366" s="24" t="s">
        <v>4669</v>
      </c>
      <c r="H5366" s="230">
        <v>3.5</v>
      </c>
      <c r="I5366" s="220">
        <v>285000</v>
      </c>
      <c r="J5366" s="220">
        <f>I5366*0.1</f>
        <v>28500</v>
      </c>
      <c r="K5366" s="220">
        <v>0</v>
      </c>
      <c r="L5366" s="220">
        <v>8460</v>
      </c>
      <c r="M5366" s="220">
        <v>33000</v>
      </c>
      <c r="N5366" s="220">
        <f>SUM(I5366:M5367)</f>
        <v>354960</v>
      </c>
      <c r="O5366" s="224"/>
      <c r="P5366" s="110" t="s">
        <v>16654</v>
      </c>
      <c r="Q5366" s="15" t="s">
        <v>19</v>
      </c>
      <c r="R5366" s="205"/>
      <c r="S5366" s="189" t="s">
        <v>25719</v>
      </c>
      <c r="T5366" s="114"/>
      <c r="U5366" s="21"/>
      <c r="V5366" s="115">
        <v>46060</v>
      </c>
      <c r="W5366" s="116">
        <v>1287</v>
      </c>
      <c r="X5366" s="220">
        <v>415000</v>
      </c>
      <c r="Y5366" s="220">
        <f>X5366*0.1</f>
        <v>41500</v>
      </c>
      <c r="Z5366" s="220">
        <v>8460</v>
      </c>
      <c r="AA5366" s="220">
        <f>SUM(X5366:Z5366)</f>
        <v>464960</v>
      </c>
      <c r="AB5366" s="222">
        <v>46065</v>
      </c>
    </row>
    <row r="5367" spans="1:28" ht="17.100000000000001" customHeight="1" thickBot="1">
      <c r="A5367" s="227"/>
      <c r="B5367" s="27" t="s">
        <v>4468</v>
      </c>
      <c r="C5367" s="27">
        <v>1034</v>
      </c>
      <c r="D5367" s="14" t="s">
        <v>273</v>
      </c>
      <c r="E5367" s="229"/>
      <c r="F5367" s="117" t="s">
        <v>15506</v>
      </c>
      <c r="G5367" s="26">
        <v>68896</v>
      </c>
      <c r="H5367" s="231"/>
      <c r="I5367" s="221"/>
      <c r="J5367" s="221"/>
      <c r="K5367" s="221"/>
      <c r="L5367" s="221"/>
      <c r="M5367" s="221"/>
      <c r="N5367" s="221"/>
      <c r="O5367" s="225"/>
      <c r="P5367" s="118" t="s">
        <v>16655</v>
      </c>
      <c r="Q5367" s="16" t="s">
        <v>20</v>
      </c>
      <c r="R5367" s="17" t="s">
        <v>3494</v>
      </c>
      <c r="S5367" s="121" t="s">
        <v>1731</v>
      </c>
      <c r="T5367" s="122"/>
      <c r="U5367" s="22"/>
      <c r="V5367" s="123" t="s">
        <v>2472</v>
      </c>
      <c r="W5367" s="122">
        <v>65341</v>
      </c>
      <c r="X5367" s="221"/>
      <c r="Y5367" s="221"/>
      <c r="Z5367" s="221"/>
      <c r="AA5367" s="221"/>
      <c r="AB5367" s="223"/>
    </row>
    <row r="5368" spans="1:28" ht="17.100000000000001" customHeight="1" thickTop="1">
      <c r="A5368" s="226" t="s">
        <v>15480</v>
      </c>
      <c r="B5368" s="28">
        <v>46045</v>
      </c>
      <c r="C5368" s="25">
        <v>86</v>
      </c>
      <c r="D5368" s="13" t="s">
        <v>1704</v>
      </c>
      <c r="E5368" s="228"/>
      <c r="F5368" s="109" t="s">
        <v>15636</v>
      </c>
      <c r="G5368" s="24" t="s">
        <v>2487</v>
      </c>
      <c r="H5368" s="230">
        <v>4</v>
      </c>
      <c r="I5368" s="220">
        <v>2155000</v>
      </c>
      <c r="J5368" s="220">
        <f>I5368*0.1</f>
        <v>215500</v>
      </c>
      <c r="K5368" s="220">
        <v>5500</v>
      </c>
      <c r="L5368" s="220">
        <v>10060</v>
      </c>
      <c r="M5368" s="220">
        <v>66000</v>
      </c>
      <c r="N5368" s="220">
        <f>SUM(I5368:M5369)</f>
        <v>2452060</v>
      </c>
      <c r="O5368" s="224"/>
      <c r="P5368" s="110" t="s">
        <v>16417</v>
      </c>
      <c r="Q5368" s="15" t="s">
        <v>19</v>
      </c>
      <c r="R5368" s="205"/>
      <c r="S5368" s="189" t="s">
        <v>25696</v>
      </c>
      <c r="T5368" s="114"/>
      <c r="U5368" s="21"/>
      <c r="V5368" s="115">
        <v>46057</v>
      </c>
      <c r="W5368" s="116">
        <v>1003</v>
      </c>
      <c r="X5368" s="220">
        <v>2300000</v>
      </c>
      <c r="Y5368" s="220">
        <f>X5368*0.1</f>
        <v>230000</v>
      </c>
      <c r="Z5368" s="220">
        <v>10060</v>
      </c>
      <c r="AA5368" s="220">
        <f>SUM(X5368:Z5368)</f>
        <v>2540060</v>
      </c>
      <c r="AB5368" s="222">
        <v>46063</v>
      </c>
    </row>
    <row r="5369" spans="1:28" ht="17.100000000000001" customHeight="1" thickBot="1">
      <c r="A5369" s="227"/>
      <c r="B5369" s="27" t="s">
        <v>4468</v>
      </c>
      <c r="C5369" s="27">
        <v>1048</v>
      </c>
      <c r="D5369" s="14" t="s">
        <v>273</v>
      </c>
      <c r="E5369" s="229"/>
      <c r="F5369" s="117" t="s">
        <v>15507</v>
      </c>
      <c r="G5369" s="26">
        <v>16113</v>
      </c>
      <c r="H5369" s="231"/>
      <c r="I5369" s="221"/>
      <c r="J5369" s="221"/>
      <c r="K5369" s="221"/>
      <c r="L5369" s="221"/>
      <c r="M5369" s="221"/>
      <c r="N5369" s="221"/>
      <c r="O5369" s="225"/>
      <c r="P5369" s="118" t="s">
        <v>16418</v>
      </c>
      <c r="Q5369" s="16" t="s">
        <v>20</v>
      </c>
      <c r="R5369" s="17" t="s">
        <v>2295</v>
      </c>
      <c r="S5369" s="121" t="s">
        <v>1606</v>
      </c>
      <c r="T5369" s="122"/>
      <c r="U5369" s="22"/>
      <c r="V5369" s="123" t="s">
        <v>2747</v>
      </c>
      <c r="W5369" s="122">
        <v>1108</v>
      </c>
      <c r="X5369" s="221"/>
      <c r="Y5369" s="221"/>
      <c r="Z5369" s="221"/>
      <c r="AA5369" s="221"/>
      <c r="AB5369" s="223"/>
    </row>
    <row r="5370" spans="1:28" ht="17.100000000000001" customHeight="1" thickTop="1">
      <c r="A5370" s="226" t="s">
        <v>15481</v>
      </c>
      <c r="B5370" s="28">
        <v>46045</v>
      </c>
      <c r="C5370" s="25">
        <v>86</v>
      </c>
      <c r="D5370" s="13" t="s">
        <v>1632</v>
      </c>
      <c r="E5370" s="228"/>
      <c r="F5370" s="109" t="s">
        <v>15637</v>
      </c>
      <c r="G5370" s="24" t="s">
        <v>15638</v>
      </c>
      <c r="H5370" s="230">
        <v>3.5</v>
      </c>
      <c r="I5370" s="220">
        <v>2420000</v>
      </c>
      <c r="J5370" s="220">
        <f>I5370*0.1</f>
        <v>242000</v>
      </c>
      <c r="K5370" s="220">
        <v>10560</v>
      </c>
      <c r="L5370" s="220">
        <v>11900</v>
      </c>
      <c r="M5370" s="220">
        <v>66000</v>
      </c>
      <c r="N5370" s="220">
        <f>SUM(I5370:M5371)</f>
        <v>2750460</v>
      </c>
      <c r="O5370" s="224"/>
      <c r="P5370" s="110" t="s">
        <v>16347</v>
      </c>
      <c r="Q5370" s="15" t="s">
        <v>19</v>
      </c>
      <c r="R5370" s="205"/>
      <c r="S5370" s="189" t="s">
        <v>25720</v>
      </c>
      <c r="T5370" s="114"/>
      <c r="U5370" s="21"/>
      <c r="V5370" s="115">
        <v>46064</v>
      </c>
      <c r="W5370" s="116">
        <v>1004</v>
      </c>
      <c r="X5370" s="220">
        <v>2585000</v>
      </c>
      <c r="Y5370" s="220">
        <f>X5370*0.1</f>
        <v>258500</v>
      </c>
      <c r="Z5370" s="220">
        <v>11900</v>
      </c>
      <c r="AA5370" s="220">
        <f>SUM(X5370:Z5370)</f>
        <v>2855400</v>
      </c>
      <c r="AB5370" s="222">
        <v>46070</v>
      </c>
    </row>
    <row r="5371" spans="1:28" ht="17.100000000000001" customHeight="1" thickBot="1">
      <c r="A5371" s="227"/>
      <c r="B5371" s="27" t="s">
        <v>4468</v>
      </c>
      <c r="C5371" s="27">
        <v>1051</v>
      </c>
      <c r="D5371" s="14" t="s">
        <v>2559</v>
      </c>
      <c r="E5371" s="229"/>
      <c r="F5371" s="117" t="s">
        <v>15508</v>
      </c>
      <c r="G5371" s="26">
        <v>28281</v>
      </c>
      <c r="H5371" s="231"/>
      <c r="I5371" s="221"/>
      <c r="J5371" s="221"/>
      <c r="K5371" s="221"/>
      <c r="L5371" s="221"/>
      <c r="M5371" s="221"/>
      <c r="N5371" s="221"/>
      <c r="O5371" s="225"/>
      <c r="P5371" s="118" t="s">
        <v>16348</v>
      </c>
      <c r="Q5371" s="16" t="s">
        <v>20</v>
      </c>
      <c r="R5371" s="17" t="s">
        <v>812</v>
      </c>
      <c r="S5371" s="121" t="s">
        <v>1731</v>
      </c>
      <c r="T5371" s="122"/>
      <c r="U5371" s="22"/>
      <c r="V5371" s="123" t="s">
        <v>2747</v>
      </c>
      <c r="W5371" s="122">
        <v>1130</v>
      </c>
      <c r="X5371" s="221"/>
      <c r="Y5371" s="221"/>
      <c r="Z5371" s="221"/>
      <c r="AA5371" s="221"/>
      <c r="AB5371" s="223"/>
    </row>
    <row r="5372" spans="1:28" ht="17.100000000000001" customHeight="1" thickTop="1">
      <c r="A5372" s="226" t="s">
        <v>15482</v>
      </c>
      <c r="B5372" s="28">
        <v>46045</v>
      </c>
      <c r="C5372" s="25">
        <v>86</v>
      </c>
      <c r="D5372" s="13" t="s">
        <v>1935</v>
      </c>
      <c r="E5372" s="228"/>
      <c r="F5372" s="109" t="s">
        <v>15639</v>
      </c>
      <c r="G5372" s="24" t="s">
        <v>2871</v>
      </c>
      <c r="H5372" s="230">
        <v>4</v>
      </c>
      <c r="I5372" s="220">
        <v>2100000</v>
      </c>
      <c r="J5372" s="220">
        <f>I5372*0.1</f>
        <v>210000</v>
      </c>
      <c r="K5372" s="220">
        <v>3520</v>
      </c>
      <c r="L5372" s="220">
        <v>12500</v>
      </c>
      <c r="M5372" s="220">
        <v>66000</v>
      </c>
      <c r="N5372" s="220">
        <f>SUM(I5372:M5373)</f>
        <v>2392020</v>
      </c>
      <c r="O5372" s="224"/>
      <c r="P5372" s="110" t="s">
        <v>15976</v>
      </c>
      <c r="Q5372" s="15" t="s">
        <v>19</v>
      </c>
      <c r="R5372" s="205"/>
      <c r="S5372" s="189" t="s">
        <v>25693</v>
      </c>
      <c r="T5372" s="114"/>
      <c r="U5372" s="21"/>
      <c r="V5372" s="115">
        <v>46078</v>
      </c>
      <c r="W5372" s="116">
        <v>1006</v>
      </c>
      <c r="X5372" s="220">
        <v>2430000</v>
      </c>
      <c r="Y5372" s="220">
        <f>X5372*0.1</f>
        <v>243000</v>
      </c>
      <c r="Z5372" s="220">
        <v>12500</v>
      </c>
      <c r="AA5372" s="220">
        <f>SUM(X5372:Z5372)</f>
        <v>2685500</v>
      </c>
      <c r="AB5372" s="222">
        <v>46083</v>
      </c>
    </row>
    <row r="5373" spans="1:28" ht="17.100000000000001" customHeight="1" thickBot="1">
      <c r="A5373" s="227"/>
      <c r="B5373" s="27" t="s">
        <v>4468</v>
      </c>
      <c r="C5373" s="27">
        <v>1084</v>
      </c>
      <c r="D5373" s="14" t="s">
        <v>2559</v>
      </c>
      <c r="E5373" s="229"/>
      <c r="F5373" s="117" t="s">
        <v>15509</v>
      </c>
      <c r="G5373" s="26">
        <v>51458</v>
      </c>
      <c r="H5373" s="231"/>
      <c r="I5373" s="221"/>
      <c r="J5373" s="221"/>
      <c r="K5373" s="221"/>
      <c r="L5373" s="221"/>
      <c r="M5373" s="221"/>
      <c r="N5373" s="221"/>
      <c r="O5373" s="225"/>
      <c r="P5373" s="118" t="s">
        <v>15977</v>
      </c>
      <c r="Q5373" s="16" t="s">
        <v>20</v>
      </c>
      <c r="R5373" s="17" t="s">
        <v>1822</v>
      </c>
      <c r="S5373" s="121" t="s">
        <v>18503</v>
      </c>
      <c r="T5373" s="122"/>
      <c r="U5373" s="22"/>
      <c r="V5373" s="123" t="s">
        <v>2747</v>
      </c>
      <c r="W5373" s="122">
        <v>1196</v>
      </c>
      <c r="X5373" s="221"/>
      <c r="Y5373" s="221"/>
      <c r="Z5373" s="221"/>
      <c r="AA5373" s="221"/>
      <c r="AB5373" s="223"/>
    </row>
    <row r="5374" spans="1:28" ht="17.100000000000001" customHeight="1" thickTop="1">
      <c r="A5374" s="226" t="s">
        <v>15483</v>
      </c>
      <c r="B5374" s="28">
        <v>46045</v>
      </c>
      <c r="C5374" s="25">
        <v>86</v>
      </c>
      <c r="D5374" s="13" t="s">
        <v>1899</v>
      </c>
      <c r="E5374" s="228"/>
      <c r="F5374" s="109" t="s">
        <v>15614</v>
      </c>
      <c r="G5374" s="24" t="s">
        <v>2530</v>
      </c>
      <c r="H5374" s="230">
        <v>4</v>
      </c>
      <c r="I5374" s="220">
        <v>1195000</v>
      </c>
      <c r="J5374" s="220">
        <f>I5374*0.1</f>
        <v>119500</v>
      </c>
      <c r="K5374" s="220">
        <v>3080</v>
      </c>
      <c r="L5374" s="220">
        <v>9130</v>
      </c>
      <c r="M5374" s="220">
        <v>44000</v>
      </c>
      <c r="N5374" s="220">
        <f>SUM(I5374:M5375)</f>
        <v>1370710</v>
      </c>
      <c r="O5374" s="224"/>
      <c r="P5374" s="110" t="s">
        <v>16585</v>
      </c>
      <c r="Q5374" s="15" t="s">
        <v>19</v>
      </c>
      <c r="R5374" s="205"/>
      <c r="S5374" s="189" t="s">
        <v>25721</v>
      </c>
      <c r="T5374" s="114"/>
      <c r="U5374" s="21"/>
      <c r="V5374" s="115">
        <v>46081</v>
      </c>
      <c r="W5374" s="116">
        <v>1290</v>
      </c>
      <c r="X5374" s="220">
        <v>960000</v>
      </c>
      <c r="Y5374" s="220">
        <f>X5374*0.1</f>
        <v>96000</v>
      </c>
      <c r="Z5374" s="220">
        <v>9190</v>
      </c>
      <c r="AA5374" s="220">
        <f>SUM(X5374:Z5374)</f>
        <v>1065190</v>
      </c>
      <c r="AB5374" s="222">
        <v>46084</v>
      </c>
    </row>
    <row r="5375" spans="1:28" ht="17.100000000000001" customHeight="1" thickBot="1">
      <c r="A5375" s="227"/>
      <c r="B5375" s="27" t="s">
        <v>4468</v>
      </c>
      <c r="C5375" s="27">
        <v>1092</v>
      </c>
      <c r="D5375" s="14" t="s">
        <v>2559</v>
      </c>
      <c r="E5375" s="229"/>
      <c r="F5375" s="117" t="s">
        <v>15510</v>
      </c>
      <c r="G5375" s="26">
        <v>18172</v>
      </c>
      <c r="H5375" s="231"/>
      <c r="I5375" s="221"/>
      <c r="J5375" s="221"/>
      <c r="K5375" s="221"/>
      <c r="L5375" s="221"/>
      <c r="M5375" s="221"/>
      <c r="N5375" s="221"/>
      <c r="O5375" s="225"/>
      <c r="P5375" s="118" t="s">
        <v>16586</v>
      </c>
      <c r="Q5375" s="16" t="s">
        <v>20</v>
      </c>
      <c r="R5375" s="17" t="s">
        <v>3494</v>
      </c>
      <c r="S5375" s="121" t="s">
        <v>9320</v>
      </c>
      <c r="T5375" s="122"/>
      <c r="U5375" s="22"/>
      <c r="V5375" s="123" t="s">
        <v>2472</v>
      </c>
      <c r="W5375" s="122">
        <v>31187</v>
      </c>
      <c r="X5375" s="221"/>
      <c r="Y5375" s="221"/>
      <c r="Z5375" s="221"/>
      <c r="AA5375" s="221"/>
      <c r="AB5375" s="223"/>
    </row>
    <row r="5376" spans="1:28" ht="17.100000000000001" customHeight="1" thickTop="1">
      <c r="A5376" s="226" t="s">
        <v>15484</v>
      </c>
      <c r="B5376" s="28">
        <v>46045</v>
      </c>
      <c r="C5376" s="25">
        <v>1403</v>
      </c>
      <c r="D5376" s="13" t="s">
        <v>3422</v>
      </c>
      <c r="E5376" s="228"/>
      <c r="F5376" s="109" t="s">
        <v>15511</v>
      </c>
      <c r="G5376" s="24"/>
      <c r="H5376" s="230">
        <v>4</v>
      </c>
      <c r="I5376" s="220">
        <v>432000</v>
      </c>
      <c r="J5376" s="220">
        <f>I5376*0.1</f>
        <v>43200</v>
      </c>
      <c r="K5376" s="220">
        <v>0</v>
      </c>
      <c r="L5376" s="220">
        <v>8430</v>
      </c>
      <c r="M5376" s="220">
        <v>15400</v>
      </c>
      <c r="N5376" s="220">
        <f>SUM(I5376:M5377)</f>
        <v>499030</v>
      </c>
      <c r="O5376" s="224"/>
      <c r="P5376" s="110" t="s">
        <v>15981</v>
      </c>
      <c r="Q5376" s="15" t="s">
        <v>19</v>
      </c>
      <c r="R5376" s="205"/>
      <c r="S5376" s="189"/>
      <c r="T5376" s="114"/>
      <c r="U5376" s="21"/>
      <c r="V5376" s="115">
        <v>46053</v>
      </c>
      <c r="W5376" s="116">
        <v>1286</v>
      </c>
      <c r="X5376" s="220">
        <v>565000</v>
      </c>
      <c r="Y5376" s="220">
        <f>X5376*0.1</f>
        <v>56500</v>
      </c>
      <c r="Z5376" s="220">
        <v>8430</v>
      </c>
      <c r="AA5376" s="220">
        <f>SUM(X5376:Z5376)</f>
        <v>629930</v>
      </c>
      <c r="AB5376" s="222">
        <v>46056</v>
      </c>
    </row>
    <row r="5377" spans="1:28" ht="17.100000000000001" customHeight="1" thickBot="1">
      <c r="A5377" s="227"/>
      <c r="B5377" s="27" t="s">
        <v>2597</v>
      </c>
      <c r="C5377" s="27">
        <v>2013</v>
      </c>
      <c r="D5377" s="14" t="s">
        <v>2559</v>
      </c>
      <c r="E5377" s="229"/>
      <c r="F5377" s="117" t="s">
        <v>15512</v>
      </c>
      <c r="G5377" s="26">
        <v>46710</v>
      </c>
      <c r="H5377" s="231"/>
      <c r="I5377" s="221"/>
      <c r="J5377" s="221"/>
      <c r="K5377" s="221"/>
      <c r="L5377" s="221"/>
      <c r="M5377" s="221"/>
      <c r="N5377" s="221"/>
      <c r="O5377" s="225"/>
      <c r="P5377" s="118" t="s">
        <v>1972</v>
      </c>
      <c r="Q5377" s="16" t="s">
        <v>20</v>
      </c>
      <c r="R5377" s="17" t="s">
        <v>1822</v>
      </c>
      <c r="S5377" s="121"/>
      <c r="T5377" s="122"/>
      <c r="U5377" s="22"/>
      <c r="V5377" s="123" t="s">
        <v>2472</v>
      </c>
      <c r="W5377" s="122">
        <v>60173</v>
      </c>
      <c r="X5377" s="221"/>
      <c r="Y5377" s="221"/>
      <c r="Z5377" s="221"/>
      <c r="AA5377" s="221"/>
      <c r="AB5377" s="223"/>
    </row>
    <row r="5378" spans="1:28" ht="17.100000000000001" customHeight="1" thickTop="1">
      <c r="A5378" s="226" t="s">
        <v>15485</v>
      </c>
      <c r="B5378" s="28">
        <v>46045</v>
      </c>
      <c r="C5378" s="25">
        <v>1403</v>
      </c>
      <c r="D5378" s="13" t="s">
        <v>5535</v>
      </c>
      <c r="E5378" s="228"/>
      <c r="F5378" s="109" t="s">
        <v>15513</v>
      </c>
      <c r="G5378" s="24" t="s">
        <v>10638</v>
      </c>
      <c r="H5378" s="232" t="s">
        <v>1705</v>
      </c>
      <c r="I5378" s="220">
        <v>249000</v>
      </c>
      <c r="J5378" s="220">
        <f>I5378*0.1</f>
        <v>24900</v>
      </c>
      <c r="K5378" s="220">
        <v>0</v>
      </c>
      <c r="L5378" s="220">
        <v>9910</v>
      </c>
      <c r="M5378" s="220">
        <v>15400</v>
      </c>
      <c r="N5378" s="220">
        <f>SUM(I5378:M5379)</f>
        <v>299210</v>
      </c>
      <c r="O5378" s="224"/>
      <c r="P5378" s="110" t="s">
        <v>15980</v>
      </c>
      <c r="Q5378" s="15" t="s">
        <v>19</v>
      </c>
      <c r="R5378" s="205"/>
      <c r="S5378" s="189"/>
      <c r="T5378" s="114"/>
      <c r="U5378" s="21" t="s">
        <v>17058</v>
      </c>
      <c r="V5378" s="115">
        <v>46060</v>
      </c>
      <c r="W5378" s="116">
        <v>1287</v>
      </c>
      <c r="X5378" s="220">
        <v>290000</v>
      </c>
      <c r="Y5378" s="220">
        <f>X5378*0.1</f>
        <v>29000</v>
      </c>
      <c r="Z5378" s="220">
        <v>9910</v>
      </c>
      <c r="AA5378" s="220">
        <f>SUM(X5378:Z5378)</f>
        <v>328910</v>
      </c>
      <c r="AB5378" s="222">
        <v>46065</v>
      </c>
    </row>
    <row r="5379" spans="1:28" ht="17.100000000000001" customHeight="1" thickBot="1">
      <c r="A5379" s="227"/>
      <c r="B5379" s="27" t="s">
        <v>2597</v>
      </c>
      <c r="C5379" s="27">
        <v>2186</v>
      </c>
      <c r="D5379" s="14" t="s">
        <v>1710</v>
      </c>
      <c r="E5379" s="229"/>
      <c r="F5379" s="117" t="s">
        <v>15514</v>
      </c>
      <c r="G5379" s="26">
        <v>85603</v>
      </c>
      <c r="H5379" s="231"/>
      <c r="I5379" s="221"/>
      <c r="J5379" s="221"/>
      <c r="K5379" s="221"/>
      <c r="L5379" s="221"/>
      <c r="M5379" s="221"/>
      <c r="N5379" s="221"/>
      <c r="O5379" s="225"/>
      <c r="P5379" s="118" t="s">
        <v>1972</v>
      </c>
      <c r="Q5379" s="16" t="s">
        <v>20</v>
      </c>
      <c r="R5379" s="17" t="s">
        <v>1822</v>
      </c>
      <c r="S5379" s="121" t="s">
        <v>3566</v>
      </c>
      <c r="T5379" s="122"/>
      <c r="U5379" s="22"/>
      <c r="V5379" s="123" t="s">
        <v>2472</v>
      </c>
      <c r="W5379" s="122">
        <v>60181</v>
      </c>
      <c r="X5379" s="221"/>
      <c r="Y5379" s="221"/>
      <c r="Z5379" s="221"/>
      <c r="AA5379" s="221"/>
      <c r="AB5379" s="223"/>
    </row>
    <row r="5380" spans="1:28" ht="17.100000000000001" customHeight="1" thickTop="1">
      <c r="A5380" s="226" t="s">
        <v>15486</v>
      </c>
      <c r="B5380" s="28">
        <v>46045</v>
      </c>
      <c r="C5380" s="25">
        <v>1403</v>
      </c>
      <c r="D5380" s="13" t="s">
        <v>1883</v>
      </c>
      <c r="E5380" s="228"/>
      <c r="F5380" s="109" t="s">
        <v>15515</v>
      </c>
      <c r="G5380" s="24" t="s">
        <v>15642</v>
      </c>
      <c r="H5380" s="230">
        <v>4.5</v>
      </c>
      <c r="I5380" s="220">
        <v>1428000</v>
      </c>
      <c r="J5380" s="220">
        <f>I5380*0.1</f>
        <v>142800</v>
      </c>
      <c r="K5380" s="220">
        <v>6600</v>
      </c>
      <c r="L5380" s="220">
        <v>9720</v>
      </c>
      <c r="M5380" s="220">
        <v>15400</v>
      </c>
      <c r="N5380" s="220">
        <f>SUM(I5380:M5381)</f>
        <v>1602520</v>
      </c>
      <c r="O5380" s="224"/>
      <c r="P5380" s="110" t="s">
        <v>15970</v>
      </c>
      <c r="Q5380" s="15" t="s">
        <v>19</v>
      </c>
      <c r="R5380" s="205"/>
      <c r="S5380" s="189" t="s">
        <v>25722</v>
      </c>
      <c r="T5380" s="114"/>
      <c r="U5380" s="21"/>
      <c r="V5380" s="115">
        <v>46050</v>
      </c>
      <c r="W5380" s="116">
        <v>1002</v>
      </c>
      <c r="X5380" s="220">
        <v>1495000</v>
      </c>
      <c r="Y5380" s="220">
        <f>X5380*0.1</f>
        <v>149500</v>
      </c>
      <c r="Z5380" s="220">
        <v>9720</v>
      </c>
      <c r="AA5380" s="220">
        <f>SUM(X5380:Z5380)</f>
        <v>1654220</v>
      </c>
      <c r="AB5380" s="222">
        <v>46055</v>
      </c>
    </row>
    <row r="5381" spans="1:28" ht="17.100000000000001" customHeight="1" thickBot="1">
      <c r="A5381" s="227"/>
      <c r="B5381" s="27" t="s">
        <v>2597</v>
      </c>
      <c r="C5381" s="27">
        <v>7001</v>
      </c>
      <c r="D5381" s="14" t="s">
        <v>131</v>
      </c>
      <c r="E5381" s="229"/>
      <c r="F5381" s="117" t="s">
        <v>15516</v>
      </c>
      <c r="G5381" s="26">
        <v>47573</v>
      </c>
      <c r="H5381" s="231"/>
      <c r="I5381" s="221"/>
      <c r="J5381" s="221"/>
      <c r="K5381" s="221"/>
      <c r="L5381" s="221"/>
      <c r="M5381" s="221"/>
      <c r="N5381" s="221"/>
      <c r="O5381" s="225"/>
      <c r="P5381" s="118" t="s">
        <v>8646</v>
      </c>
      <c r="Q5381" s="16" t="s">
        <v>20</v>
      </c>
      <c r="R5381" s="17" t="s">
        <v>1822</v>
      </c>
      <c r="S5381" s="121" t="s">
        <v>16021</v>
      </c>
      <c r="T5381" s="122"/>
      <c r="U5381" s="22"/>
      <c r="V5381" s="123" t="s">
        <v>2747</v>
      </c>
      <c r="W5381" s="122">
        <v>5105</v>
      </c>
      <c r="X5381" s="221"/>
      <c r="Y5381" s="221"/>
      <c r="Z5381" s="221"/>
      <c r="AA5381" s="221"/>
      <c r="AB5381" s="223"/>
    </row>
    <row r="5382" spans="1:28" ht="17.100000000000001" customHeight="1" thickTop="1">
      <c r="A5382" s="226" t="s">
        <v>15487</v>
      </c>
      <c r="B5382" s="28">
        <v>46045</v>
      </c>
      <c r="C5382" s="25">
        <v>1403</v>
      </c>
      <c r="D5382" s="13" t="s">
        <v>1961</v>
      </c>
      <c r="E5382" s="228"/>
      <c r="F5382" s="109" t="s">
        <v>15517</v>
      </c>
      <c r="G5382" s="24"/>
      <c r="H5382" s="230">
        <v>4</v>
      </c>
      <c r="I5382" s="220">
        <v>1144000</v>
      </c>
      <c r="J5382" s="220">
        <f>I5382*0.1</f>
        <v>114400</v>
      </c>
      <c r="K5382" s="220">
        <v>0</v>
      </c>
      <c r="L5382" s="220">
        <v>16240</v>
      </c>
      <c r="M5382" s="220">
        <v>15400</v>
      </c>
      <c r="N5382" s="220">
        <f>SUM(I5382:M5383)</f>
        <v>1290040</v>
      </c>
      <c r="O5382" s="224"/>
      <c r="P5382" s="110" t="s">
        <v>16005</v>
      </c>
      <c r="Q5382" s="15" t="s">
        <v>19</v>
      </c>
      <c r="R5382" s="205"/>
      <c r="S5382" s="189" t="s">
        <v>25723</v>
      </c>
      <c r="T5382" s="114"/>
      <c r="U5382" s="21"/>
      <c r="V5382" s="115">
        <v>46088</v>
      </c>
      <c r="W5382" s="116">
        <v>1291</v>
      </c>
      <c r="X5382" s="220">
        <v>1280000</v>
      </c>
      <c r="Y5382" s="220">
        <f>X5382*0.1</f>
        <v>128000</v>
      </c>
      <c r="Z5382" s="220">
        <v>16240</v>
      </c>
      <c r="AA5382" s="220">
        <f>SUM(X5382:Z5382)</f>
        <v>1424240</v>
      </c>
      <c r="AB5382" s="222">
        <v>46091</v>
      </c>
    </row>
    <row r="5383" spans="1:28" ht="17.100000000000001" customHeight="1" thickBot="1">
      <c r="A5383" s="227"/>
      <c r="B5383" s="27" t="s">
        <v>2597</v>
      </c>
      <c r="C5383" s="27">
        <v>7005</v>
      </c>
      <c r="D5383" s="14" t="s">
        <v>14980</v>
      </c>
      <c r="E5383" s="229"/>
      <c r="F5383" s="117" t="s">
        <v>15518</v>
      </c>
      <c r="G5383" s="26">
        <v>54296</v>
      </c>
      <c r="H5383" s="231"/>
      <c r="I5383" s="221"/>
      <c r="J5383" s="221"/>
      <c r="K5383" s="221"/>
      <c r="L5383" s="221"/>
      <c r="M5383" s="221"/>
      <c r="N5383" s="221"/>
      <c r="O5383" s="225"/>
      <c r="P5383" s="118" t="s">
        <v>8646</v>
      </c>
      <c r="Q5383" s="16" t="s">
        <v>20</v>
      </c>
      <c r="R5383" s="17" t="s">
        <v>1822</v>
      </c>
      <c r="S5383" s="121" t="s">
        <v>1731</v>
      </c>
      <c r="T5383" s="122"/>
      <c r="U5383" s="22"/>
      <c r="V5383" s="123" t="s">
        <v>2472</v>
      </c>
      <c r="W5383" s="122">
        <v>80209</v>
      </c>
      <c r="X5383" s="221"/>
      <c r="Y5383" s="221"/>
      <c r="Z5383" s="221"/>
      <c r="AA5383" s="221"/>
      <c r="AB5383" s="223"/>
    </row>
    <row r="5384" spans="1:28" ht="17.100000000000001" customHeight="1" thickTop="1">
      <c r="A5384" s="226" t="s">
        <v>15488</v>
      </c>
      <c r="B5384" s="28">
        <v>46045</v>
      </c>
      <c r="C5384" s="25">
        <v>1403</v>
      </c>
      <c r="D5384" s="13" t="s">
        <v>2712</v>
      </c>
      <c r="E5384" s="228"/>
      <c r="F5384" s="109" t="s">
        <v>7454</v>
      </c>
      <c r="G5384" s="24"/>
      <c r="H5384" s="230">
        <v>4</v>
      </c>
      <c r="I5384" s="220">
        <v>1109000</v>
      </c>
      <c r="J5384" s="220">
        <f>I5384*0.1</f>
        <v>110900</v>
      </c>
      <c r="K5384" s="220">
        <v>0</v>
      </c>
      <c r="L5384" s="220">
        <v>8740</v>
      </c>
      <c r="M5384" s="220">
        <v>15400</v>
      </c>
      <c r="N5384" s="220">
        <f>SUM(I5384:M5385)</f>
        <v>1244040</v>
      </c>
      <c r="O5384" s="224"/>
      <c r="P5384" s="110" t="s">
        <v>16060</v>
      </c>
      <c r="Q5384" s="15" t="s">
        <v>19</v>
      </c>
      <c r="R5384" s="205"/>
      <c r="S5384" s="189" t="s">
        <v>283</v>
      </c>
      <c r="T5384" s="114"/>
      <c r="U5384" s="21"/>
      <c r="V5384" s="115">
        <v>46064</v>
      </c>
      <c r="W5384" s="116">
        <v>1004</v>
      </c>
      <c r="X5384" s="220">
        <v>1180000</v>
      </c>
      <c r="Y5384" s="220">
        <f>X5384*0.1</f>
        <v>118000</v>
      </c>
      <c r="Z5384" s="220">
        <v>8740</v>
      </c>
      <c r="AA5384" s="220">
        <f>SUM(X5384:Z5384)</f>
        <v>1306740</v>
      </c>
      <c r="AB5384" s="222">
        <v>46071</v>
      </c>
    </row>
    <row r="5385" spans="1:28" ht="17.100000000000001" customHeight="1" thickBot="1">
      <c r="A5385" s="227"/>
      <c r="B5385" s="27" t="s">
        <v>2597</v>
      </c>
      <c r="C5385" s="27">
        <v>7014</v>
      </c>
      <c r="D5385" s="14" t="s">
        <v>2291</v>
      </c>
      <c r="E5385" s="229"/>
      <c r="F5385" s="117" t="s">
        <v>15519</v>
      </c>
      <c r="G5385" s="26">
        <v>22052</v>
      </c>
      <c r="H5385" s="231"/>
      <c r="I5385" s="221"/>
      <c r="J5385" s="221"/>
      <c r="K5385" s="221"/>
      <c r="L5385" s="221"/>
      <c r="M5385" s="221"/>
      <c r="N5385" s="221"/>
      <c r="O5385" s="225"/>
      <c r="P5385" s="118" t="s">
        <v>8900</v>
      </c>
      <c r="Q5385" s="16" t="s">
        <v>20</v>
      </c>
      <c r="R5385" s="17" t="s">
        <v>16027</v>
      </c>
      <c r="S5385" s="121" t="s">
        <v>14402</v>
      </c>
      <c r="T5385" s="122"/>
      <c r="U5385" s="22"/>
      <c r="V5385" s="123" t="s">
        <v>8648</v>
      </c>
      <c r="W5385" s="122">
        <v>2054</v>
      </c>
      <c r="X5385" s="221"/>
      <c r="Y5385" s="221"/>
      <c r="Z5385" s="221"/>
      <c r="AA5385" s="221"/>
      <c r="AB5385" s="223"/>
    </row>
    <row r="5386" spans="1:28" ht="17.100000000000001" customHeight="1" thickTop="1">
      <c r="A5386" s="233" t="s">
        <v>15489</v>
      </c>
      <c r="B5386" s="28">
        <v>46045</v>
      </c>
      <c r="C5386" s="25">
        <v>1403</v>
      </c>
      <c r="D5386" s="13" t="s">
        <v>3494</v>
      </c>
      <c r="E5386" s="228"/>
      <c r="F5386" s="109" t="s">
        <v>14962</v>
      </c>
      <c r="G5386" s="24"/>
      <c r="H5386" s="230">
        <v>4.5</v>
      </c>
      <c r="I5386" s="220">
        <v>705000</v>
      </c>
      <c r="J5386" s="220">
        <f>I5386*0.1</f>
        <v>70500</v>
      </c>
      <c r="K5386" s="220">
        <v>0</v>
      </c>
      <c r="L5386" s="220">
        <v>9310</v>
      </c>
      <c r="M5386" s="220">
        <v>15400</v>
      </c>
      <c r="N5386" s="220">
        <f>SUM(I5386:M5387)</f>
        <v>800210</v>
      </c>
      <c r="O5386" s="224"/>
      <c r="P5386" s="110" t="s">
        <v>15979</v>
      </c>
      <c r="Q5386" s="15" t="s">
        <v>19</v>
      </c>
      <c r="R5386" s="205"/>
      <c r="S5386" s="189"/>
      <c r="T5386" s="114"/>
      <c r="U5386" s="21"/>
      <c r="V5386" s="115">
        <v>46053</v>
      </c>
      <c r="W5386" s="116">
        <v>1286</v>
      </c>
      <c r="X5386" s="220">
        <v>780000</v>
      </c>
      <c r="Y5386" s="220">
        <f>X5386*0.1</f>
        <v>78000</v>
      </c>
      <c r="Z5386" s="220">
        <v>9310</v>
      </c>
      <c r="AA5386" s="220">
        <f>SUM(X5386:Z5386)</f>
        <v>867310</v>
      </c>
      <c r="AB5386" s="222">
        <v>46063</v>
      </c>
    </row>
    <row r="5387" spans="1:28" ht="17.100000000000001" customHeight="1" thickBot="1">
      <c r="A5387" s="234"/>
      <c r="B5387" s="27" t="s">
        <v>2597</v>
      </c>
      <c r="C5387" s="27">
        <v>7526</v>
      </c>
      <c r="D5387" s="14" t="s">
        <v>1797</v>
      </c>
      <c r="E5387" s="229"/>
      <c r="F5387" s="117" t="s">
        <v>15520</v>
      </c>
      <c r="G5387" s="26">
        <v>54297</v>
      </c>
      <c r="H5387" s="231"/>
      <c r="I5387" s="221"/>
      <c r="J5387" s="221"/>
      <c r="K5387" s="221"/>
      <c r="L5387" s="221"/>
      <c r="M5387" s="221"/>
      <c r="N5387" s="221"/>
      <c r="O5387" s="225"/>
      <c r="P5387" s="118" t="s">
        <v>7826</v>
      </c>
      <c r="Q5387" s="16" t="s">
        <v>20</v>
      </c>
      <c r="R5387" s="17" t="s">
        <v>1822</v>
      </c>
      <c r="S5387" s="121"/>
      <c r="T5387" s="122"/>
      <c r="U5387" s="22"/>
      <c r="V5387" s="123" t="s">
        <v>6641</v>
      </c>
      <c r="W5387" s="122">
        <v>60353</v>
      </c>
      <c r="X5387" s="221"/>
      <c r="Y5387" s="221"/>
      <c r="Z5387" s="221"/>
      <c r="AA5387" s="221"/>
      <c r="AB5387" s="223"/>
    </row>
    <row r="5388" spans="1:28" ht="17.100000000000001" customHeight="1" thickTop="1">
      <c r="A5388" s="226" t="s">
        <v>15490</v>
      </c>
      <c r="B5388" s="28">
        <v>46045</v>
      </c>
      <c r="C5388" s="25">
        <v>1403</v>
      </c>
      <c r="D5388" s="13" t="s">
        <v>4104</v>
      </c>
      <c r="E5388" s="228"/>
      <c r="F5388" s="109" t="s">
        <v>5613</v>
      </c>
      <c r="G5388" s="24"/>
      <c r="H5388" s="230">
        <v>3.5</v>
      </c>
      <c r="I5388" s="220">
        <v>228000</v>
      </c>
      <c r="J5388" s="220">
        <f>I5388*0.1</f>
        <v>22800</v>
      </c>
      <c r="K5388" s="220">
        <v>0</v>
      </c>
      <c r="L5388" s="220">
        <v>8930</v>
      </c>
      <c r="M5388" s="220">
        <v>15400</v>
      </c>
      <c r="N5388" s="220">
        <f>SUM(I5388:M5389)</f>
        <v>275130</v>
      </c>
      <c r="O5388" s="224"/>
      <c r="P5388" s="110" t="s">
        <v>16225</v>
      </c>
      <c r="Q5388" s="15" t="s">
        <v>19</v>
      </c>
      <c r="R5388" s="205"/>
      <c r="S5388" s="189"/>
      <c r="T5388" s="114"/>
      <c r="U5388" s="21"/>
      <c r="V5388" s="115">
        <v>46130</v>
      </c>
      <c r="W5388" s="116">
        <v>1297</v>
      </c>
      <c r="X5388" s="220">
        <v>285000</v>
      </c>
      <c r="Y5388" s="220">
        <f>X5388*0.1</f>
        <v>28500</v>
      </c>
      <c r="Z5388" s="220">
        <v>8930</v>
      </c>
      <c r="AA5388" s="220">
        <f>SUM(X5388:Z5388)</f>
        <v>322430</v>
      </c>
      <c r="AB5388" s="222">
        <v>46133</v>
      </c>
    </row>
    <row r="5389" spans="1:28" ht="17.100000000000001" customHeight="1" thickBot="1">
      <c r="A5389" s="227"/>
      <c r="B5389" s="27" t="s">
        <v>2597</v>
      </c>
      <c r="C5389" s="27">
        <v>7532</v>
      </c>
      <c r="D5389" s="14" t="s">
        <v>1710</v>
      </c>
      <c r="E5389" s="229"/>
      <c r="F5389" s="117" t="s">
        <v>15521</v>
      </c>
      <c r="G5389" s="26">
        <v>41534</v>
      </c>
      <c r="H5389" s="231"/>
      <c r="I5389" s="221"/>
      <c r="J5389" s="221"/>
      <c r="K5389" s="221"/>
      <c r="L5389" s="221"/>
      <c r="M5389" s="221"/>
      <c r="N5389" s="221"/>
      <c r="O5389" s="225"/>
      <c r="P5389" s="118" t="s">
        <v>16226</v>
      </c>
      <c r="Q5389" s="16" t="s">
        <v>20</v>
      </c>
      <c r="R5389" s="17" t="s">
        <v>2282</v>
      </c>
      <c r="S5389" s="121"/>
      <c r="T5389" s="122"/>
      <c r="U5389" s="22"/>
      <c r="V5389" s="123" t="s">
        <v>2472</v>
      </c>
      <c r="W5389" s="122">
        <v>62048</v>
      </c>
      <c r="X5389" s="221"/>
      <c r="Y5389" s="221"/>
      <c r="Z5389" s="221"/>
      <c r="AA5389" s="221"/>
      <c r="AB5389" s="223"/>
    </row>
    <row r="5390" spans="1:28" ht="17.100000000000001" customHeight="1" thickTop="1">
      <c r="A5390" s="226" t="s">
        <v>15491</v>
      </c>
      <c r="B5390" s="28">
        <v>46045</v>
      </c>
      <c r="C5390" s="25">
        <v>1403</v>
      </c>
      <c r="D5390" s="13" t="s">
        <v>1883</v>
      </c>
      <c r="E5390" s="228"/>
      <c r="F5390" s="109" t="s">
        <v>14900</v>
      </c>
      <c r="G5390" s="24"/>
      <c r="H5390" s="230">
        <v>4.5</v>
      </c>
      <c r="I5390" s="220">
        <v>973000</v>
      </c>
      <c r="J5390" s="220">
        <f>I5390*0.1</f>
        <v>97300</v>
      </c>
      <c r="K5390" s="220">
        <v>0</v>
      </c>
      <c r="L5390" s="220">
        <v>6830</v>
      </c>
      <c r="M5390" s="220">
        <v>15400</v>
      </c>
      <c r="N5390" s="220">
        <f>SUM(I5390:M5391)</f>
        <v>1092530</v>
      </c>
      <c r="O5390" s="224"/>
      <c r="P5390" s="110" t="s">
        <v>16414</v>
      </c>
      <c r="Q5390" s="15" t="s">
        <v>19</v>
      </c>
      <c r="R5390" s="205"/>
      <c r="S5390" s="189"/>
      <c r="T5390" s="114"/>
      <c r="U5390" s="21"/>
      <c r="V5390" s="115">
        <v>46057</v>
      </c>
      <c r="W5390" s="116">
        <v>1003</v>
      </c>
      <c r="X5390" s="220">
        <v>1010000</v>
      </c>
      <c r="Y5390" s="220">
        <f>X5390*0.1</f>
        <v>101000</v>
      </c>
      <c r="Z5390" s="220">
        <v>6830</v>
      </c>
      <c r="AA5390" s="220">
        <f>SUM(X5390:Z5390)</f>
        <v>1117830</v>
      </c>
      <c r="AB5390" s="222">
        <v>46062</v>
      </c>
    </row>
    <row r="5391" spans="1:28" ht="17.100000000000001" customHeight="1" thickBot="1">
      <c r="A5391" s="227"/>
      <c r="B5391" s="27" t="s">
        <v>2597</v>
      </c>
      <c r="C5391" s="27">
        <v>7536</v>
      </c>
      <c r="D5391" s="14" t="s">
        <v>1568</v>
      </c>
      <c r="E5391" s="229"/>
      <c r="F5391" s="117" t="s">
        <v>15522</v>
      </c>
      <c r="G5391" s="26">
        <v>33633</v>
      </c>
      <c r="H5391" s="231"/>
      <c r="I5391" s="221"/>
      <c r="J5391" s="221"/>
      <c r="K5391" s="221"/>
      <c r="L5391" s="221"/>
      <c r="M5391" s="221"/>
      <c r="N5391" s="221"/>
      <c r="O5391" s="225"/>
      <c r="P5391" s="118" t="s">
        <v>4541</v>
      </c>
      <c r="Q5391" s="16" t="s">
        <v>20</v>
      </c>
      <c r="R5391" s="17" t="s">
        <v>2295</v>
      </c>
      <c r="S5391" s="121" t="s">
        <v>169</v>
      </c>
      <c r="T5391" s="122"/>
      <c r="U5391" s="22"/>
      <c r="V5391" s="123" t="s">
        <v>2747</v>
      </c>
      <c r="W5391" s="122">
        <v>2050</v>
      </c>
      <c r="X5391" s="221"/>
      <c r="Y5391" s="221"/>
      <c r="Z5391" s="221"/>
      <c r="AA5391" s="221"/>
      <c r="AB5391" s="223"/>
    </row>
    <row r="5392" spans="1:28" ht="17.100000000000001" customHeight="1" thickTop="1">
      <c r="A5392" s="226" t="s">
        <v>15492</v>
      </c>
      <c r="B5392" s="28">
        <v>46045</v>
      </c>
      <c r="C5392" s="25">
        <v>1403</v>
      </c>
      <c r="D5392" s="13" t="s">
        <v>2267</v>
      </c>
      <c r="E5392" s="228"/>
      <c r="F5392" s="109" t="s">
        <v>7214</v>
      </c>
      <c r="G5392" s="24" t="s">
        <v>15641</v>
      </c>
      <c r="H5392" s="230">
        <v>3.5</v>
      </c>
      <c r="I5392" s="220">
        <v>652000</v>
      </c>
      <c r="J5392" s="220">
        <f>I5392*0.1</f>
        <v>65200</v>
      </c>
      <c r="K5392" s="220">
        <v>0</v>
      </c>
      <c r="L5392" s="220">
        <v>8400</v>
      </c>
      <c r="M5392" s="220">
        <v>15400</v>
      </c>
      <c r="N5392" s="220">
        <f>SUM(I5392:M5393)</f>
        <v>741000</v>
      </c>
      <c r="O5392" s="224"/>
      <c r="P5392" s="110" t="s">
        <v>16227</v>
      </c>
      <c r="Q5392" s="15" t="s">
        <v>19</v>
      </c>
      <c r="R5392" s="205"/>
      <c r="S5392" s="189" t="s">
        <v>1072</v>
      </c>
      <c r="T5392" s="114"/>
      <c r="U5392" s="21" t="s">
        <v>17338</v>
      </c>
      <c r="V5392" s="115">
        <v>46064</v>
      </c>
      <c r="W5392" s="116">
        <v>1004</v>
      </c>
      <c r="X5392" s="220">
        <v>745000</v>
      </c>
      <c r="Y5392" s="220">
        <f>X5392*0.1</f>
        <v>74500</v>
      </c>
      <c r="Z5392" s="220">
        <v>8400</v>
      </c>
      <c r="AA5392" s="220">
        <f>SUM(X5392:Z5392)</f>
        <v>827900</v>
      </c>
      <c r="AB5392" s="222">
        <v>46070</v>
      </c>
    </row>
    <row r="5393" spans="1:28" ht="17.100000000000001" customHeight="1" thickBot="1">
      <c r="A5393" s="227"/>
      <c r="B5393" s="27" t="s">
        <v>2597</v>
      </c>
      <c r="C5393" s="27">
        <v>7544</v>
      </c>
      <c r="D5393" s="14" t="s">
        <v>1797</v>
      </c>
      <c r="E5393" s="229"/>
      <c r="F5393" s="117" t="s">
        <v>15523</v>
      </c>
      <c r="G5393" s="26">
        <v>27910</v>
      </c>
      <c r="H5393" s="231"/>
      <c r="I5393" s="221"/>
      <c r="J5393" s="221"/>
      <c r="K5393" s="221"/>
      <c r="L5393" s="221"/>
      <c r="M5393" s="221"/>
      <c r="N5393" s="221"/>
      <c r="O5393" s="225"/>
      <c r="P5393" s="118" t="s">
        <v>4541</v>
      </c>
      <c r="Q5393" s="16" t="s">
        <v>20</v>
      </c>
      <c r="R5393" s="17" t="s">
        <v>2282</v>
      </c>
      <c r="S5393" s="121" t="s">
        <v>169</v>
      </c>
      <c r="T5393" s="122"/>
      <c r="U5393" s="22"/>
      <c r="V5393" s="123" t="s">
        <v>2747</v>
      </c>
      <c r="W5393" s="122">
        <v>2055</v>
      </c>
      <c r="X5393" s="221"/>
      <c r="Y5393" s="221"/>
      <c r="Z5393" s="221"/>
      <c r="AA5393" s="221"/>
      <c r="AB5393" s="223"/>
    </row>
    <row r="5394" spans="1:28" ht="17.100000000000001" customHeight="1" thickTop="1">
      <c r="A5394" s="226" t="s">
        <v>15493</v>
      </c>
      <c r="B5394" s="28">
        <v>46045</v>
      </c>
      <c r="C5394" s="25">
        <v>1403</v>
      </c>
      <c r="D5394" s="13" t="s">
        <v>2429</v>
      </c>
      <c r="E5394" s="228"/>
      <c r="F5394" s="109" t="s">
        <v>7214</v>
      </c>
      <c r="G5394" s="24" t="s">
        <v>5546</v>
      </c>
      <c r="H5394" s="230">
        <v>4</v>
      </c>
      <c r="I5394" s="220">
        <v>568000</v>
      </c>
      <c r="J5394" s="220">
        <f>I5394*0.1</f>
        <v>56800</v>
      </c>
      <c r="K5394" s="220">
        <v>0</v>
      </c>
      <c r="L5394" s="220">
        <v>8400</v>
      </c>
      <c r="M5394" s="220">
        <v>15400</v>
      </c>
      <c r="N5394" s="220">
        <f>SUM(I5394:M5395)</f>
        <v>648600</v>
      </c>
      <c r="O5394" s="224"/>
      <c r="P5394" s="110" t="s">
        <v>16228</v>
      </c>
      <c r="Q5394" s="15" t="s">
        <v>19</v>
      </c>
      <c r="R5394" s="205"/>
      <c r="S5394" s="189" t="s">
        <v>455</v>
      </c>
      <c r="T5394" s="114" t="s">
        <v>16231</v>
      </c>
      <c r="U5394" s="21"/>
      <c r="V5394" s="115">
        <v>46053</v>
      </c>
      <c r="W5394" s="116">
        <v>1286</v>
      </c>
      <c r="X5394" s="220">
        <v>675000</v>
      </c>
      <c r="Y5394" s="220">
        <f>X5394*0.1</f>
        <v>67500</v>
      </c>
      <c r="Z5394" s="220">
        <v>8400</v>
      </c>
      <c r="AA5394" s="220">
        <f>SUM(X5394:Z5394)</f>
        <v>750900</v>
      </c>
      <c r="AB5394" s="222">
        <v>46056</v>
      </c>
    </row>
    <row r="5395" spans="1:28" ht="17.100000000000001" customHeight="1" thickBot="1">
      <c r="A5395" s="227"/>
      <c r="B5395" s="27" t="s">
        <v>2597</v>
      </c>
      <c r="C5395" s="27">
        <v>7550</v>
      </c>
      <c r="D5395" s="14" t="s">
        <v>2559</v>
      </c>
      <c r="E5395" s="229"/>
      <c r="F5395" s="117" t="s">
        <v>15524</v>
      </c>
      <c r="G5395" s="26">
        <v>78595</v>
      </c>
      <c r="H5395" s="231"/>
      <c r="I5395" s="221"/>
      <c r="J5395" s="221"/>
      <c r="K5395" s="221"/>
      <c r="L5395" s="221"/>
      <c r="M5395" s="221"/>
      <c r="N5395" s="221"/>
      <c r="O5395" s="225"/>
      <c r="P5395" s="118" t="s">
        <v>16229</v>
      </c>
      <c r="Q5395" s="16" t="s">
        <v>20</v>
      </c>
      <c r="R5395" s="17" t="s">
        <v>2282</v>
      </c>
      <c r="S5395" s="121" t="s">
        <v>1625</v>
      </c>
      <c r="T5395" s="122"/>
      <c r="U5395" s="22"/>
      <c r="V5395" s="123" t="s">
        <v>2472</v>
      </c>
      <c r="W5395" s="122">
        <v>60172</v>
      </c>
      <c r="X5395" s="221"/>
      <c r="Y5395" s="221"/>
      <c r="Z5395" s="221"/>
      <c r="AA5395" s="221"/>
      <c r="AB5395" s="223"/>
    </row>
    <row r="5396" spans="1:28" ht="17.100000000000001" customHeight="1" thickTop="1">
      <c r="A5396" s="226" t="s">
        <v>15494</v>
      </c>
      <c r="B5396" s="28">
        <v>46045</v>
      </c>
      <c r="C5396" s="25">
        <v>1403</v>
      </c>
      <c r="D5396" s="13" t="s">
        <v>2913</v>
      </c>
      <c r="E5396" s="228"/>
      <c r="F5396" s="109" t="s">
        <v>15525</v>
      </c>
      <c r="G5396" s="24"/>
      <c r="H5396" s="230">
        <v>4</v>
      </c>
      <c r="I5396" s="220">
        <v>964000</v>
      </c>
      <c r="J5396" s="220">
        <f>I5396*0.1</f>
        <v>96400</v>
      </c>
      <c r="K5396" s="220">
        <v>0</v>
      </c>
      <c r="L5396" s="220">
        <v>8010</v>
      </c>
      <c r="M5396" s="220">
        <v>15400</v>
      </c>
      <c r="N5396" s="220">
        <f>SUM(I5396:M5397)</f>
        <v>1083810</v>
      </c>
      <c r="O5396" s="224"/>
      <c r="P5396" s="110" t="s">
        <v>16204</v>
      </c>
      <c r="Q5396" s="15" t="s">
        <v>19</v>
      </c>
      <c r="R5396" s="205"/>
      <c r="S5396" s="189" t="s">
        <v>283</v>
      </c>
      <c r="T5396" s="114"/>
      <c r="U5396" s="21"/>
      <c r="V5396" s="115">
        <v>46050</v>
      </c>
      <c r="W5396" s="116">
        <v>1002</v>
      </c>
      <c r="X5396" s="220">
        <v>1100000</v>
      </c>
      <c r="Y5396" s="220">
        <f>X5396*0.1</f>
        <v>110000</v>
      </c>
      <c r="Z5396" s="220">
        <v>8010</v>
      </c>
      <c r="AA5396" s="220">
        <f>SUM(X5396:Z5396)</f>
        <v>1218010</v>
      </c>
      <c r="AB5396" s="222">
        <v>46056</v>
      </c>
    </row>
    <row r="5397" spans="1:28" ht="17.100000000000001" customHeight="1" thickBot="1">
      <c r="A5397" s="227"/>
      <c r="B5397" s="27" t="s">
        <v>2597</v>
      </c>
      <c r="C5397" s="27">
        <v>7564</v>
      </c>
      <c r="D5397" s="14" t="s">
        <v>273</v>
      </c>
      <c r="E5397" s="229"/>
      <c r="F5397" s="117" t="s">
        <v>15526</v>
      </c>
      <c r="G5397" s="26">
        <v>37278</v>
      </c>
      <c r="H5397" s="231"/>
      <c r="I5397" s="221"/>
      <c r="J5397" s="221"/>
      <c r="K5397" s="221"/>
      <c r="L5397" s="221"/>
      <c r="M5397" s="221"/>
      <c r="N5397" s="221"/>
      <c r="O5397" s="225"/>
      <c r="P5397" s="118" t="s">
        <v>4541</v>
      </c>
      <c r="Q5397" s="16" t="s">
        <v>20</v>
      </c>
      <c r="R5397" s="17" t="s">
        <v>2282</v>
      </c>
      <c r="S5397" s="121" t="s">
        <v>2360</v>
      </c>
      <c r="T5397" s="122"/>
      <c r="U5397" s="22"/>
      <c r="V5397" s="123" t="s">
        <v>2747</v>
      </c>
      <c r="W5397" s="122">
        <v>5101</v>
      </c>
      <c r="X5397" s="221"/>
      <c r="Y5397" s="221"/>
      <c r="Z5397" s="221"/>
      <c r="AA5397" s="221"/>
      <c r="AB5397" s="223"/>
    </row>
    <row r="5398" spans="1:28" ht="17.100000000000001" customHeight="1" thickTop="1">
      <c r="A5398" s="226" t="s">
        <v>15495</v>
      </c>
      <c r="B5398" s="28">
        <v>46045</v>
      </c>
      <c r="C5398" s="25">
        <v>1403</v>
      </c>
      <c r="D5398" s="13" t="s">
        <v>1715</v>
      </c>
      <c r="E5398" s="228"/>
      <c r="F5398" s="109" t="s">
        <v>5595</v>
      </c>
      <c r="G5398" s="24"/>
      <c r="H5398" s="230">
        <v>4.5</v>
      </c>
      <c r="I5398" s="220">
        <v>840000</v>
      </c>
      <c r="J5398" s="220">
        <f>I5398*0.1</f>
        <v>84000</v>
      </c>
      <c r="K5398" s="220">
        <v>0</v>
      </c>
      <c r="L5398" s="220">
        <v>8400</v>
      </c>
      <c r="M5398" s="220">
        <v>15400</v>
      </c>
      <c r="N5398" s="220">
        <f>SUM(I5398:M5399)</f>
        <v>947800</v>
      </c>
      <c r="O5398" s="224"/>
      <c r="P5398" s="110" t="s">
        <v>16203</v>
      </c>
      <c r="Q5398" s="15" t="s">
        <v>19</v>
      </c>
      <c r="R5398" s="205"/>
      <c r="S5398" s="189" t="s">
        <v>455</v>
      </c>
      <c r="T5398" s="114"/>
      <c r="U5398" s="21"/>
      <c r="V5398" s="115">
        <v>46050</v>
      </c>
      <c r="W5398" s="116">
        <v>1002</v>
      </c>
      <c r="X5398" s="220">
        <v>920000</v>
      </c>
      <c r="Y5398" s="220">
        <f>X5398*0.1</f>
        <v>92000</v>
      </c>
      <c r="Z5398" s="220">
        <v>8400</v>
      </c>
      <c r="AA5398" s="220">
        <f>SUM(X5398:Z5398)</f>
        <v>1020400</v>
      </c>
      <c r="AB5398" s="222">
        <v>46056</v>
      </c>
    </row>
    <row r="5399" spans="1:28" ht="17.100000000000001" customHeight="1" thickBot="1">
      <c r="A5399" s="227"/>
      <c r="B5399" s="27" t="s">
        <v>2597</v>
      </c>
      <c r="C5399" s="27">
        <v>7566</v>
      </c>
      <c r="D5399" s="14" t="s">
        <v>2559</v>
      </c>
      <c r="E5399" s="229"/>
      <c r="F5399" s="117" t="s">
        <v>15527</v>
      </c>
      <c r="G5399" s="26">
        <v>33107</v>
      </c>
      <c r="H5399" s="231"/>
      <c r="I5399" s="221"/>
      <c r="J5399" s="221"/>
      <c r="K5399" s="221"/>
      <c r="L5399" s="221"/>
      <c r="M5399" s="221"/>
      <c r="N5399" s="221"/>
      <c r="O5399" s="225"/>
      <c r="P5399" s="118" t="s">
        <v>4541</v>
      </c>
      <c r="Q5399" s="16" t="s">
        <v>20</v>
      </c>
      <c r="R5399" s="17" t="s">
        <v>2282</v>
      </c>
      <c r="S5399" s="121" t="s">
        <v>1649</v>
      </c>
      <c r="T5399" s="122"/>
      <c r="U5399" s="22"/>
      <c r="V5399" s="123" t="s">
        <v>7161</v>
      </c>
      <c r="W5399" s="122">
        <v>5077</v>
      </c>
      <c r="X5399" s="221"/>
      <c r="Y5399" s="221"/>
      <c r="Z5399" s="221"/>
      <c r="AA5399" s="221"/>
      <c r="AB5399" s="223"/>
    </row>
    <row r="5400" spans="1:28" ht="17.100000000000001" customHeight="1" thickTop="1">
      <c r="A5400" s="226" t="s">
        <v>15496</v>
      </c>
      <c r="B5400" s="28">
        <v>46045</v>
      </c>
      <c r="C5400" s="25">
        <v>1403</v>
      </c>
      <c r="D5400" s="13" t="s">
        <v>1935</v>
      </c>
      <c r="E5400" s="228"/>
      <c r="F5400" s="109" t="s">
        <v>15195</v>
      </c>
      <c r="G5400" s="24" t="s">
        <v>9727</v>
      </c>
      <c r="H5400" s="230">
        <v>3.5</v>
      </c>
      <c r="I5400" s="220">
        <v>426000</v>
      </c>
      <c r="J5400" s="220">
        <f>I5400*0.1</f>
        <v>42600</v>
      </c>
      <c r="K5400" s="220">
        <v>0</v>
      </c>
      <c r="L5400" s="220">
        <v>8850</v>
      </c>
      <c r="M5400" s="220">
        <v>15400</v>
      </c>
      <c r="N5400" s="220">
        <f>SUM(I5400:M5401)</f>
        <v>492850</v>
      </c>
      <c r="O5400" s="224"/>
      <c r="P5400" s="110" t="s">
        <v>16230</v>
      </c>
      <c r="Q5400" s="15" t="s">
        <v>19</v>
      </c>
      <c r="R5400" s="205"/>
      <c r="S5400" s="189" t="s">
        <v>283</v>
      </c>
      <c r="T5400" s="114"/>
      <c r="U5400" s="21" t="s">
        <v>18208</v>
      </c>
      <c r="V5400" s="115">
        <v>46081</v>
      </c>
      <c r="W5400" s="116">
        <v>1290</v>
      </c>
      <c r="X5400" s="220">
        <v>385000</v>
      </c>
      <c r="Y5400" s="220">
        <f>X5400*0.1</f>
        <v>38500</v>
      </c>
      <c r="Z5400" s="220">
        <v>8850</v>
      </c>
      <c r="AA5400" s="220">
        <f>SUM(X5400:Z5400)</f>
        <v>432350</v>
      </c>
      <c r="AB5400" s="222">
        <v>46084</v>
      </c>
    </row>
    <row r="5401" spans="1:28" ht="17.100000000000001" customHeight="1" thickBot="1">
      <c r="A5401" s="227"/>
      <c r="B5401" s="27" t="s">
        <v>2597</v>
      </c>
      <c r="C5401" s="27">
        <v>7568</v>
      </c>
      <c r="D5401" s="14" t="s">
        <v>1710</v>
      </c>
      <c r="E5401" s="229"/>
      <c r="F5401" s="117" t="s">
        <v>15528</v>
      </c>
      <c r="G5401" s="26">
        <v>40400</v>
      </c>
      <c r="H5401" s="231"/>
      <c r="I5401" s="221"/>
      <c r="J5401" s="221"/>
      <c r="K5401" s="221"/>
      <c r="L5401" s="221"/>
      <c r="M5401" s="221"/>
      <c r="N5401" s="221"/>
      <c r="O5401" s="225"/>
      <c r="P5401" s="118" t="s">
        <v>16229</v>
      </c>
      <c r="Q5401" s="16" t="s">
        <v>20</v>
      </c>
      <c r="R5401" s="17" t="s">
        <v>2282</v>
      </c>
      <c r="S5401" s="121" t="s">
        <v>169</v>
      </c>
      <c r="T5401" s="122"/>
      <c r="U5401" s="22"/>
      <c r="V5401" s="123" t="s">
        <v>2472</v>
      </c>
      <c r="W5401" s="122">
        <v>60208</v>
      </c>
      <c r="X5401" s="221"/>
      <c r="Y5401" s="221"/>
      <c r="Z5401" s="221"/>
      <c r="AA5401" s="221"/>
      <c r="AB5401" s="223"/>
    </row>
    <row r="5402" spans="1:28" ht="17.100000000000001" customHeight="1" thickTop="1">
      <c r="A5402" s="226" t="s">
        <v>15640</v>
      </c>
      <c r="B5402" s="28">
        <v>46045</v>
      </c>
      <c r="C5402" s="25">
        <v>275</v>
      </c>
      <c r="D5402" s="13" t="s">
        <v>3332</v>
      </c>
      <c r="E5402" s="228"/>
      <c r="F5402" s="109" t="s">
        <v>15197</v>
      </c>
      <c r="G5402" s="24"/>
      <c r="H5402" s="230">
        <v>4.5</v>
      </c>
      <c r="I5402" s="220">
        <v>522000</v>
      </c>
      <c r="J5402" s="220">
        <f>I5402*0.1</f>
        <v>52200</v>
      </c>
      <c r="K5402" s="220">
        <v>0</v>
      </c>
      <c r="L5402" s="220">
        <v>7140</v>
      </c>
      <c r="M5402" s="220">
        <v>22000</v>
      </c>
      <c r="N5402" s="220">
        <f>SUM(I5402:M5403)</f>
        <v>603340</v>
      </c>
      <c r="O5402" s="224"/>
      <c r="P5402" s="110" t="s">
        <v>15881</v>
      </c>
      <c r="Q5402" s="15" t="s">
        <v>19</v>
      </c>
      <c r="R5402" s="205"/>
      <c r="S5402" s="189" t="s">
        <v>25724</v>
      </c>
      <c r="T5402" s="114"/>
      <c r="U5402" s="21"/>
      <c r="V5402" s="115">
        <v>46049</v>
      </c>
      <c r="W5402" s="116">
        <v>1926</v>
      </c>
      <c r="X5402" s="220">
        <v>565000</v>
      </c>
      <c r="Y5402" s="220">
        <f>X5402*0.1</f>
        <v>56500</v>
      </c>
      <c r="Z5402" s="220">
        <v>7140</v>
      </c>
      <c r="AA5402" s="220">
        <f>SUM(X5402:Z5402)</f>
        <v>628640</v>
      </c>
      <c r="AB5402" s="222"/>
    </row>
    <row r="5403" spans="1:28" ht="17.100000000000001" customHeight="1" thickBot="1">
      <c r="A5403" s="227"/>
      <c r="B5403" s="27" t="s">
        <v>15537</v>
      </c>
      <c r="C5403" s="27">
        <v>8</v>
      </c>
      <c r="D5403" s="14" t="s">
        <v>1584</v>
      </c>
      <c r="E5403" s="229"/>
      <c r="F5403" s="117" t="s">
        <v>15538</v>
      </c>
      <c r="G5403" s="26">
        <v>30552</v>
      </c>
      <c r="H5403" s="231"/>
      <c r="I5403" s="221"/>
      <c r="J5403" s="221"/>
      <c r="K5403" s="221"/>
      <c r="L5403" s="221"/>
      <c r="M5403" s="221"/>
      <c r="N5403" s="221"/>
      <c r="O5403" s="225"/>
      <c r="P5403" s="118" t="s">
        <v>15882</v>
      </c>
      <c r="Q5403" s="16" t="s">
        <v>20</v>
      </c>
      <c r="R5403" s="17" t="s">
        <v>15814</v>
      </c>
      <c r="S5403" s="121" t="s">
        <v>15883</v>
      </c>
      <c r="T5403" s="122"/>
      <c r="U5403" s="22"/>
      <c r="V5403" s="123" t="s">
        <v>2103</v>
      </c>
      <c r="W5403" s="122">
        <v>3291</v>
      </c>
      <c r="X5403" s="221"/>
      <c r="Y5403" s="221"/>
      <c r="Z5403" s="221"/>
      <c r="AA5403" s="221"/>
      <c r="AB5403" s="223"/>
    </row>
    <row r="5404" spans="1:28" ht="17.100000000000001" customHeight="1" thickTop="1">
      <c r="A5404" s="226" t="s">
        <v>15529</v>
      </c>
      <c r="B5404" s="28">
        <v>46045</v>
      </c>
      <c r="C5404" s="25">
        <v>275</v>
      </c>
      <c r="D5404" s="13" t="s">
        <v>1983</v>
      </c>
      <c r="E5404" s="228"/>
      <c r="F5404" s="109" t="s">
        <v>15643</v>
      </c>
      <c r="G5404" s="24" t="s">
        <v>4412</v>
      </c>
      <c r="H5404" s="230">
        <v>4</v>
      </c>
      <c r="I5404" s="220">
        <v>1192000</v>
      </c>
      <c r="J5404" s="220">
        <f>I5404*0.1</f>
        <v>119200</v>
      </c>
      <c r="K5404" s="220">
        <v>0</v>
      </c>
      <c r="L5404" s="220">
        <v>6850</v>
      </c>
      <c r="M5404" s="220">
        <v>22000</v>
      </c>
      <c r="N5404" s="220">
        <f>SUM(I5404:M5405)</f>
        <v>1340050</v>
      </c>
      <c r="O5404" s="224"/>
      <c r="P5404" s="110" t="s">
        <v>15644</v>
      </c>
      <c r="Q5404" s="15" t="s">
        <v>19</v>
      </c>
      <c r="R5404" s="205"/>
      <c r="S5404" s="189"/>
      <c r="T5404" s="114"/>
      <c r="U5404" s="21" t="s">
        <v>16597</v>
      </c>
      <c r="V5404" s="115">
        <v>46057</v>
      </c>
      <c r="W5404" s="116">
        <v>1003</v>
      </c>
      <c r="X5404" s="220">
        <v>1260000</v>
      </c>
      <c r="Y5404" s="220">
        <f>X5404*0.1</f>
        <v>126000</v>
      </c>
      <c r="Z5404" s="220">
        <v>6850</v>
      </c>
      <c r="AA5404" s="220">
        <f>SUM(X5404:Z5404)</f>
        <v>1392850</v>
      </c>
      <c r="AB5404" s="222">
        <v>46063</v>
      </c>
    </row>
    <row r="5405" spans="1:28" ht="17.100000000000001" customHeight="1" thickBot="1">
      <c r="A5405" s="227"/>
      <c r="B5405" s="27" t="s">
        <v>15537</v>
      </c>
      <c r="C5405" s="27">
        <v>38</v>
      </c>
      <c r="D5405" s="14" t="s">
        <v>1797</v>
      </c>
      <c r="E5405" s="229"/>
      <c r="F5405" s="117" t="s">
        <v>15539</v>
      </c>
      <c r="G5405" s="26">
        <v>25937</v>
      </c>
      <c r="H5405" s="231"/>
      <c r="I5405" s="221"/>
      <c r="J5405" s="221"/>
      <c r="K5405" s="221"/>
      <c r="L5405" s="221"/>
      <c r="M5405" s="221"/>
      <c r="N5405" s="221"/>
      <c r="O5405" s="225"/>
      <c r="P5405" s="118" t="s">
        <v>15840</v>
      </c>
      <c r="Q5405" s="16" t="s">
        <v>20</v>
      </c>
      <c r="R5405" s="17" t="s">
        <v>15814</v>
      </c>
      <c r="S5405" s="121"/>
      <c r="T5405" s="122"/>
      <c r="U5405" s="22"/>
      <c r="V5405" s="123" t="s">
        <v>2747</v>
      </c>
      <c r="W5405" s="122">
        <v>2077</v>
      </c>
      <c r="X5405" s="221"/>
      <c r="Y5405" s="221"/>
      <c r="Z5405" s="221"/>
      <c r="AA5405" s="221"/>
      <c r="AB5405" s="223"/>
    </row>
    <row r="5406" spans="1:28" ht="17.100000000000001" customHeight="1" thickTop="1">
      <c r="A5406" s="226" t="s">
        <v>15530</v>
      </c>
      <c r="B5406" s="28">
        <v>46045</v>
      </c>
      <c r="C5406" s="25">
        <v>275</v>
      </c>
      <c r="D5406" s="13" t="s">
        <v>1634</v>
      </c>
      <c r="E5406" s="228"/>
      <c r="F5406" s="109" t="s">
        <v>15645</v>
      </c>
      <c r="G5406" s="24" t="s">
        <v>1551</v>
      </c>
      <c r="H5406" s="230">
        <v>4.5</v>
      </c>
      <c r="I5406" s="220">
        <v>1284000</v>
      </c>
      <c r="J5406" s="220">
        <f>I5406*0.1</f>
        <v>128400</v>
      </c>
      <c r="K5406" s="220">
        <v>0</v>
      </c>
      <c r="L5406" s="220">
        <v>8550</v>
      </c>
      <c r="M5406" s="220">
        <v>22000</v>
      </c>
      <c r="N5406" s="220">
        <f>SUM(I5406:M5407)</f>
        <v>1442950</v>
      </c>
      <c r="O5406" s="224"/>
      <c r="P5406" s="110" t="s">
        <v>15646</v>
      </c>
      <c r="Q5406" s="15" t="s">
        <v>19</v>
      </c>
      <c r="R5406" s="205"/>
      <c r="S5406" s="189" t="s">
        <v>283</v>
      </c>
      <c r="T5406" s="114"/>
      <c r="U5406" s="21" t="s">
        <v>16602</v>
      </c>
      <c r="V5406" s="115">
        <v>46057</v>
      </c>
      <c r="W5406" s="116">
        <v>1003</v>
      </c>
      <c r="X5406" s="220">
        <v>1380000</v>
      </c>
      <c r="Y5406" s="220">
        <f>X5406*0.1</f>
        <v>138000</v>
      </c>
      <c r="Z5406" s="220">
        <v>8550</v>
      </c>
      <c r="AA5406" s="220">
        <f>SUM(X5406:Z5406)</f>
        <v>1526550</v>
      </c>
      <c r="AB5406" s="222">
        <v>46063</v>
      </c>
    </row>
    <row r="5407" spans="1:28" ht="17.100000000000001" customHeight="1" thickBot="1">
      <c r="A5407" s="227"/>
      <c r="B5407" s="27" t="s">
        <v>15537</v>
      </c>
      <c r="C5407" s="27">
        <v>83</v>
      </c>
      <c r="D5407" s="14" t="s">
        <v>273</v>
      </c>
      <c r="E5407" s="229"/>
      <c r="F5407" s="117" t="s">
        <v>15540</v>
      </c>
      <c r="G5407" s="26">
        <v>42779</v>
      </c>
      <c r="H5407" s="231"/>
      <c r="I5407" s="221"/>
      <c r="J5407" s="221"/>
      <c r="K5407" s="221"/>
      <c r="L5407" s="221"/>
      <c r="M5407" s="221"/>
      <c r="N5407" s="221"/>
      <c r="O5407" s="225"/>
      <c r="P5407" s="118" t="s">
        <v>1664</v>
      </c>
      <c r="Q5407" s="16" t="s">
        <v>20</v>
      </c>
      <c r="R5407" s="17" t="s">
        <v>1822</v>
      </c>
      <c r="S5407" s="121" t="s">
        <v>169</v>
      </c>
      <c r="T5407" s="122"/>
      <c r="U5407" s="22"/>
      <c r="V5407" s="123" t="s">
        <v>7161</v>
      </c>
      <c r="W5407" s="122">
        <v>2073</v>
      </c>
      <c r="X5407" s="221"/>
      <c r="Y5407" s="221"/>
      <c r="Z5407" s="221"/>
      <c r="AA5407" s="221"/>
      <c r="AB5407" s="223"/>
    </row>
    <row r="5408" spans="1:28" ht="17.100000000000001" customHeight="1" thickTop="1">
      <c r="A5408" s="226" t="s">
        <v>15531</v>
      </c>
      <c r="B5408" s="28">
        <v>46045</v>
      </c>
      <c r="C5408" s="25">
        <v>275</v>
      </c>
      <c r="D5408" s="13" t="s">
        <v>1666</v>
      </c>
      <c r="E5408" s="228"/>
      <c r="F5408" s="109" t="s">
        <v>15647</v>
      </c>
      <c r="G5408" s="24"/>
      <c r="H5408" s="230">
        <v>4</v>
      </c>
      <c r="I5408" s="220">
        <v>494000</v>
      </c>
      <c r="J5408" s="220">
        <f>I5408*0.1</f>
        <v>49400</v>
      </c>
      <c r="K5408" s="220">
        <v>0</v>
      </c>
      <c r="L5408" s="220">
        <v>8480</v>
      </c>
      <c r="M5408" s="220">
        <v>22000</v>
      </c>
      <c r="N5408" s="220">
        <f>SUM(I5408:M5409)</f>
        <v>573880</v>
      </c>
      <c r="O5408" s="224"/>
      <c r="P5408" s="110" t="s">
        <v>15834</v>
      </c>
      <c r="Q5408" s="15" t="s">
        <v>19</v>
      </c>
      <c r="R5408" s="205"/>
      <c r="S5408" s="189" t="s">
        <v>283</v>
      </c>
      <c r="T5408" s="114"/>
      <c r="U5408" s="21"/>
      <c r="V5408" s="115">
        <v>46078</v>
      </c>
      <c r="W5408" s="116">
        <v>1006</v>
      </c>
      <c r="X5408" s="220">
        <v>545000</v>
      </c>
      <c r="Y5408" s="220">
        <f>X5408*0.1</f>
        <v>54500</v>
      </c>
      <c r="Z5408" s="220">
        <v>8480</v>
      </c>
      <c r="AA5408" s="220">
        <f>SUM(X5408:Z5408)</f>
        <v>607980</v>
      </c>
      <c r="AB5408" s="222">
        <v>46083</v>
      </c>
    </row>
    <row r="5409" spans="1:28" ht="17.100000000000001" customHeight="1" thickBot="1">
      <c r="A5409" s="227"/>
      <c r="B5409" s="27" t="s">
        <v>15537</v>
      </c>
      <c r="C5409" s="27">
        <v>90</v>
      </c>
      <c r="D5409" s="14" t="s">
        <v>273</v>
      </c>
      <c r="E5409" s="229"/>
      <c r="F5409" s="117" t="s">
        <v>15541</v>
      </c>
      <c r="G5409" s="26">
        <v>57950</v>
      </c>
      <c r="H5409" s="231"/>
      <c r="I5409" s="221"/>
      <c r="J5409" s="221"/>
      <c r="K5409" s="221"/>
      <c r="L5409" s="221"/>
      <c r="M5409" s="221"/>
      <c r="N5409" s="221"/>
      <c r="O5409" s="225"/>
      <c r="P5409" s="118" t="s">
        <v>15835</v>
      </c>
      <c r="Q5409" s="16" t="s">
        <v>20</v>
      </c>
      <c r="R5409" s="17" t="s">
        <v>15814</v>
      </c>
      <c r="S5409" s="121" t="s">
        <v>10307</v>
      </c>
      <c r="T5409" s="122"/>
      <c r="U5409" s="22"/>
      <c r="V5409" s="123" t="s">
        <v>2747</v>
      </c>
      <c r="W5409" s="122">
        <v>2022</v>
      </c>
      <c r="X5409" s="221"/>
      <c r="Y5409" s="221"/>
      <c r="Z5409" s="221"/>
      <c r="AA5409" s="221"/>
      <c r="AB5409" s="223"/>
    </row>
    <row r="5410" spans="1:28" ht="17.100000000000001" customHeight="1" thickTop="1">
      <c r="A5410" s="226" t="s">
        <v>15532</v>
      </c>
      <c r="B5410" s="28">
        <v>46045</v>
      </c>
      <c r="C5410" s="25">
        <v>275</v>
      </c>
      <c r="D5410" s="13" t="s">
        <v>1704</v>
      </c>
      <c r="E5410" s="228"/>
      <c r="F5410" s="109" t="s">
        <v>14962</v>
      </c>
      <c r="G5410" s="24" t="s">
        <v>2487</v>
      </c>
      <c r="H5410" s="230">
        <v>4</v>
      </c>
      <c r="I5410" s="220">
        <v>907000</v>
      </c>
      <c r="J5410" s="220">
        <f>I5410*0.1</f>
        <v>90700</v>
      </c>
      <c r="K5410" s="220">
        <v>0</v>
      </c>
      <c r="L5410" s="220">
        <v>8740</v>
      </c>
      <c r="M5410" s="220">
        <v>22000</v>
      </c>
      <c r="N5410" s="220">
        <f>SUM(I5410:M5411)</f>
        <v>1028440</v>
      </c>
      <c r="O5410" s="224"/>
      <c r="P5410" s="110" t="s">
        <v>15648</v>
      </c>
      <c r="Q5410" s="15" t="s">
        <v>19</v>
      </c>
      <c r="R5410" s="205"/>
      <c r="S5410" s="189"/>
      <c r="T5410" s="114"/>
      <c r="U5410" s="21"/>
      <c r="V5410" s="115">
        <v>46062</v>
      </c>
      <c r="W5410" s="116"/>
      <c r="X5410" s="220">
        <v>1080000</v>
      </c>
      <c r="Y5410" s="220">
        <f>X5410*0.1</f>
        <v>108000</v>
      </c>
      <c r="Z5410" s="220">
        <v>8740</v>
      </c>
      <c r="AA5410" s="220">
        <f>SUM(X5410:Z5410)</f>
        <v>1196740</v>
      </c>
      <c r="AB5410" s="222"/>
    </row>
    <row r="5411" spans="1:28" ht="17.100000000000001" customHeight="1" thickBot="1">
      <c r="A5411" s="227"/>
      <c r="B5411" s="27" t="s">
        <v>15537</v>
      </c>
      <c r="C5411" s="27">
        <v>101</v>
      </c>
      <c r="D5411" s="14" t="s">
        <v>2291</v>
      </c>
      <c r="E5411" s="229"/>
      <c r="F5411" s="117" t="s">
        <v>15542</v>
      </c>
      <c r="G5411" s="26">
        <v>33277</v>
      </c>
      <c r="H5411" s="231"/>
      <c r="I5411" s="221"/>
      <c r="J5411" s="221"/>
      <c r="K5411" s="221"/>
      <c r="L5411" s="221"/>
      <c r="M5411" s="221"/>
      <c r="N5411" s="221"/>
      <c r="O5411" s="225"/>
      <c r="P5411" s="118" t="s">
        <v>16062</v>
      </c>
      <c r="Q5411" s="16" t="s">
        <v>20</v>
      </c>
      <c r="R5411" s="17" t="s">
        <v>16027</v>
      </c>
      <c r="S5411" s="121"/>
      <c r="T5411" s="122"/>
      <c r="U5411" s="22"/>
      <c r="V5411" s="123" t="s">
        <v>6682</v>
      </c>
      <c r="W5411" s="122">
        <v>50765</v>
      </c>
      <c r="X5411" s="221"/>
      <c r="Y5411" s="221"/>
      <c r="Z5411" s="221"/>
      <c r="AA5411" s="221"/>
      <c r="AB5411" s="223"/>
    </row>
    <row r="5412" spans="1:28" ht="17.100000000000001" customHeight="1" thickTop="1">
      <c r="A5412" s="226" t="s">
        <v>15533</v>
      </c>
      <c r="B5412" s="28">
        <v>46045</v>
      </c>
      <c r="C5412" s="25">
        <v>275</v>
      </c>
      <c r="D5412" s="13" t="s">
        <v>1883</v>
      </c>
      <c r="E5412" s="228"/>
      <c r="F5412" s="109" t="s">
        <v>15649</v>
      </c>
      <c r="G5412" s="24"/>
      <c r="H5412" s="230">
        <v>4</v>
      </c>
      <c r="I5412" s="220">
        <v>992000</v>
      </c>
      <c r="J5412" s="220">
        <f>I5412*0.1</f>
        <v>99200</v>
      </c>
      <c r="K5412" s="220">
        <v>0</v>
      </c>
      <c r="L5412" s="220">
        <v>8510</v>
      </c>
      <c r="M5412" s="220">
        <v>22000</v>
      </c>
      <c r="N5412" s="220">
        <f>SUM(I5412:M5413)</f>
        <v>1121710</v>
      </c>
      <c r="O5412" s="224"/>
      <c r="P5412" s="110" t="s">
        <v>16006</v>
      </c>
      <c r="Q5412" s="15" t="s">
        <v>19</v>
      </c>
      <c r="R5412" s="205"/>
      <c r="S5412" s="189" t="s">
        <v>283</v>
      </c>
      <c r="T5412" s="114"/>
      <c r="U5412" s="21"/>
      <c r="V5412" s="115">
        <v>46050</v>
      </c>
      <c r="W5412" s="116">
        <v>1002</v>
      </c>
      <c r="X5412" s="220">
        <v>1070000</v>
      </c>
      <c r="Y5412" s="220">
        <f>X5412*0.1</f>
        <v>107000</v>
      </c>
      <c r="Z5412" s="220">
        <v>8510</v>
      </c>
      <c r="AA5412" s="220">
        <f>SUM(X5412:Z5412)</f>
        <v>1185510</v>
      </c>
      <c r="AB5412" s="222">
        <v>46056</v>
      </c>
    </row>
    <row r="5413" spans="1:28" ht="17.100000000000001" customHeight="1" thickBot="1">
      <c r="A5413" s="227"/>
      <c r="B5413" s="27" t="s">
        <v>15537</v>
      </c>
      <c r="C5413" s="27">
        <v>20020</v>
      </c>
      <c r="D5413" s="14" t="s">
        <v>1797</v>
      </c>
      <c r="E5413" s="229"/>
      <c r="F5413" s="117" t="s">
        <v>15543</v>
      </c>
      <c r="G5413" s="26">
        <v>47859</v>
      </c>
      <c r="H5413" s="231"/>
      <c r="I5413" s="221"/>
      <c r="J5413" s="221"/>
      <c r="K5413" s="221"/>
      <c r="L5413" s="221"/>
      <c r="M5413" s="221"/>
      <c r="N5413" s="221"/>
      <c r="O5413" s="225"/>
      <c r="P5413" s="118" t="s">
        <v>16007</v>
      </c>
      <c r="Q5413" s="16" t="s">
        <v>20</v>
      </c>
      <c r="R5413" s="17" t="s">
        <v>1822</v>
      </c>
      <c r="S5413" s="121" t="s">
        <v>169</v>
      </c>
      <c r="T5413" s="122"/>
      <c r="U5413" s="22"/>
      <c r="V5413" s="123" t="s">
        <v>2747</v>
      </c>
      <c r="W5413" s="122">
        <v>5132</v>
      </c>
      <c r="X5413" s="221"/>
      <c r="Y5413" s="221"/>
      <c r="Z5413" s="221"/>
      <c r="AA5413" s="221"/>
      <c r="AB5413" s="223"/>
    </row>
    <row r="5414" spans="1:28" ht="17.100000000000001" customHeight="1" thickTop="1">
      <c r="A5414" s="226" t="s">
        <v>15534</v>
      </c>
      <c r="B5414" s="28">
        <v>46045</v>
      </c>
      <c r="C5414" s="25">
        <v>275</v>
      </c>
      <c r="D5414" s="13" t="s">
        <v>2073</v>
      </c>
      <c r="E5414" s="228"/>
      <c r="F5414" s="109" t="s">
        <v>15195</v>
      </c>
      <c r="G5414" s="24"/>
      <c r="H5414" s="230">
        <v>4.5</v>
      </c>
      <c r="I5414" s="220">
        <v>426000</v>
      </c>
      <c r="J5414" s="220">
        <f>I5414*0.1</f>
        <v>42600</v>
      </c>
      <c r="K5414" s="220">
        <v>0</v>
      </c>
      <c r="L5414" s="220">
        <v>8850</v>
      </c>
      <c r="M5414" s="220">
        <v>22000</v>
      </c>
      <c r="N5414" s="220">
        <f>SUM(I5414:M5415)</f>
        <v>499450</v>
      </c>
      <c r="O5414" s="224"/>
      <c r="P5414" s="110" t="s">
        <v>15839</v>
      </c>
      <c r="Q5414" s="15" t="s">
        <v>19</v>
      </c>
      <c r="R5414" s="205"/>
      <c r="S5414" s="189"/>
      <c r="T5414" s="114"/>
      <c r="U5414" s="21"/>
      <c r="V5414" s="115">
        <v>46067</v>
      </c>
      <c r="W5414" s="116">
        <v>1288</v>
      </c>
      <c r="X5414" s="220">
        <v>585000</v>
      </c>
      <c r="Y5414" s="220">
        <f>X5414*0.1</f>
        <v>58500</v>
      </c>
      <c r="Z5414" s="220">
        <v>8850</v>
      </c>
      <c r="AA5414" s="220">
        <f>SUM(X5414:Z5414)</f>
        <v>652350</v>
      </c>
      <c r="AB5414" s="222">
        <v>46070</v>
      </c>
    </row>
    <row r="5415" spans="1:28" ht="17.100000000000001" customHeight="1" thickBot="1">
      <c r="A5415" s="227"/>
      <c r="B5415" s="27" t="s">
        <v>15537</v>
      </c>
      <c r="C5415" s="27">
        <v>80003</v>
      </c>
      <c r="D5415" s="14" t="s">
        <v>1690</v>
      </c>
      <c r="E5415" s="229"/>
      <c r="F5415" s="117" t="s">
        <v>15544</v>
      </c>
      <c r="G5415" s="26">
        <v>22116</v>
      </c>
      <c r="H5415" s="231"/>
      <c r="I5415" s="221"/>
      <c r="J5415" s="221"/>
      <c r="K5415" s="221"/>
      <c r="L5415" s="221"/>
      <c r="M5415" s="221"/>
      <c r="N5415" s="221"/>
      <c r="O5415" s="225"/>
      <c r="P5415" s="118" t="s">
        <v>2755</v>
      </c>
      <c r="Q5415" s="16" t="s">
        <v>13552</v>
      </c>
      <c r="R5415" s="17" t="s">
        <v>15814</v>
      </c>
      <c r="S5415" s="121"/>
      <c r="T5415" s="122"/>
      <c r="U5415" s="22"/>
      <c r="V5415" s="123" t="s">
        <v>2472</v>
      </c>
      <c r="W5415" s="122">
        <v>60203</v>
      </c>
      <c r="X5415" s="221"/>
      <c r="Y5415" s="221"/>
      <c r="Z5415" s="221"/>
      <c r="AA5415" s="221"/>
      <c r="AB5415" s="223"/>
    </row>
    <row r="5416" spans="1:28" ht="17.100000000000001" customHeight="1" thickTop="1">
      <c r="A5416" s="226" t="s">
        <v>15535</v>
      </c>
      <c r="B5416" s="28">
        <v>46045</v>
      </c>
      <c r="C5416" s="25">
        <v>1775</v>
      </c>
      <c r="D5416" s="13" t="s">
        <v>2690</v>
      </c>
      <c r="E5416" s="228"/>
      <c r="F5416" s="109" t="s">
        <v>15546</v>
      </c>
      <c r="G5416" s="24" t="s">
        <v>3453</v>
      </c>
      <c r="H5416" s="230">
        <v>5</v>
      </c>
      <c r="I5416" s="220">
        <v>1883000</v>
      </c>
      <c r="J5416" s="220">
        <f>I5416*0.1</f>
        <v>188300</v>
      </c>
      <c r="K5416" s="220">
        <v>6000</v>
      </c>
      <c r="L5416" s="220">
        <v>17800</v>
      </c>
      <c r="M5416" s="220">
        <v>17600</v>
      </c>
      <c r="N5416" s="220">
        <f>SUM(I5416:M5417)</f>
        <v>2112700</v>
      </c>
      <c r="O5416" s="224"/>
      <c r="P5416" s="110" t="s">
        <v>15615</v>
      </c>
      <c r="Q5416" s="15" t="s">
        <v>19</v>
      </c>
      <c r="R5416" s="205"/>
      <c r="S5416" s="189" t="s">
        <v>455</v>
      </c>
      <c r="T5416" s="114"/>
      <c r="U5416" s="21" t="s">
        <v>17062</v>
      </c>
      <c r="V5416" s="115">
        <v>46073</v>
      </c>
      <c r="W5416" s="116"/>
      <c r="X5416" s="220">
        <v>2100000</v>
      </c>
      <c r="Y5416" s="220">
        <f>X5416*0.1</f>
        <v>210000</v>
      </c>
      <c r="Z5416" s="220">
        <v>17800</v>
      </c>
      <c r="AA5416" s="220">
        <f>SUM(X5416:Z5416)</f>
        <v>2327800</v>
      </c>
      <c r="AB5416" s="222"/>
    </row>
    <row r="5417" spans="1:28" ht="17.100000000000001" customHeight="1" thickBot="1">
      <c r="A5417" s="227"/>
      <c r="B5417" s="27" t="s">
        <v>15545</v>
      </c>
      <c r="C5417" s="27">
        <v>5050</v>
      </c>
      <c r="D5417" s="14" t="s">
        <v>898</v>
      </c>
      <c r="E5417" s="229"/>
      <c r="F5417" s="117" t="s">
        <v>15547</v>
      </c>
      <c r="G5417" s="26">
        <v>23723</v>
      </c>
      <c r="H5417" s="231"/>
      <c r="I5417" s="221"/>
      <c r="J5417" s="221"/>
      <c r="K5417" s="221"/>
      <c r="L5417" s="221"/>
      <c r="M5417" s="221"/>
      <c r="N5417" s="221"/>
      <c r="O5417" s="225"/>
      <c r="P5417" s="118" t="s">
        <v>1844</v>
      </c>
      <c r="Q5417" s="16" t="s">
        <v>20</v>
      </c>
      <c r="R5417" s="17" t="s">
        <v>1822</v>
      </c>
      <c r="S5417" s="121" t="s">
        <v>1731</v>
      </c>
      <c r="T5417" s="122"/>
      <c r="U5417" s="22"/>
      <c r="V5417" s="123" t="s">
        <v>6682</v>
      </c>
      <c r="W5417" s="122">
        <v>52275</v>
      </c>
      <c r="X5417" s="221"/>
      <c r="Y5417" s="221"/>
      <c r="Z5417" s="221"/>
      <c r="AA5417" s="221"/>
      <c r="AB5417" s="223"/>
    </row>
    <row r="5418" spans="1:28" ht="17.100000000000001" customHeight="1" thickTop="1">
      <c r="A5418" s="226" t="s">
        <v>15536</v>
      </c>
      <c r="B5418" s="28">
        <v>46045</v>
      </c>
      <c r="C5418" s="25">
        <v>2119</v>
      </c>
      <c r="D5418" s="13" t="s">
        <v>1837</v>
      </c>
      <c r="E5418" s="228"/>
      <c r="F5418" s="109" t="s">
        <v>8433</v>
      </c>
      <c r="G5418" s="24" t="s">
        <v>3968</v>
      </c>
      <c r="H5418" s="230">
        <v>5</v>
      </c>
      <c r="I5418" s="220">
        <v>1150000</v>
      </c>
      <c r="J5418" s="220">
        <f>I5418*0.1</f>
        <v>115000</v>
      </c>
      <c r="K5418" s="220">
        <v>0</v>
      </c>
      <c r="L5418" s="220">
        <v>12370</v>
      </c>
      <c r="M5418" s="220">
        <v>27500</v>
      </c>
      <c r="N5418" s="220">
        <f>SUM(I5418:M5419)</f>
        <v>1304870</v>
      </c>
      <c r="O5418" s="224"/>
      <c r="P5418" s="110" t="s">
        <v>15651</v>
      </c>
      <c r="Q5418" s="15" t="s">
        <v>19</v>
      </c>
      <c r="R5418" s="205"/>
      <c r="S5418" s="189" t="s">
        <v>25725</v>
      </c>
      <c r="T5418" s="114"/>
      <c r="U5418" s="21"/>
      <c r="V5418" s="115">
        <v>46065</v>
      </c>
      <c r="W5418" s="116">
        <v>1318</v>
      </c>
      <c r="X5418" s="220">
        <v>1315000</v>
      </c>
      <c r="Y5418" s="220">
        <f>X5418*0.1</f>
        <v>131500</v>
      </c>
      <c r="Z5418" s="220">
        <v>12370</v>
      </c>
      <c r="AA5418" s="220">
        <f>SUM(X5418:Z5418)</f>
        <v>1458870</v>
      </c>
      <c r="AB5418" s="222">
        <v>46066</v>
      </c>
    </row>
    <row r="5419" spans="1:28" ht="17.100000000000001" customHeight="1" thickBot="1">
      <c r="A5419" s="227"/>
      <c r="B5419" s="27" t="s">
        <v>1536</v>
      </c>
      <c r="C5419" s="27">
        <v>13220</v>
      </c>
      <c r="D5419" s="14" t="s">
        <v>131</v>
      </c>
      <c r="E5419" s="229"/>
      <c r="F5419" s="117" t="s">
        <v>15650</v>
      </c>
      <c r="G5419" s="26">
        <v>27440</v>
      </c>
      <c r="H5419" s="231"/>
      <c r="I5419" s="221"/>
      <c r="J5419" s="221"/>
      <c r="K5419" s="221"/>
      <c r="L5419" s="221"/>
      <c r="M5419" s="221"/>
      <c r="N5419" s="221"/>
      <c r="O5419" s="225"/>
      <c r="P5419" s="118" t="s">
        <v>16344</v>
      </c>
      <c r="Q5419" s="16" t="s">
        <v>20</v>
      </c>
      <c r="R5419" s="17" t="s">
        <v>2610</v>
      </c>
      <c r="S5419" s="121" t="s">
        <v>16345</v>
      </c>
      <c r="T5419" s="122"/>
      <c r="U5419" s="22"/>
      <c r="V5419" s="123" t="s">
        <v>13379</v>
      </c>
      <c r="W5419" s="122">
        <v>30</v>
      </c>
      <c r="X5419" s="221"/>
      <c r="Y5419" s="221"/>
      <c r="Z5419" s="221"/>
      <c r="AA5419" s="221"/>
      <c r="AB5419" s="223"/>
    </row>
    <row r="5420" spans="1:28" ht="17.100000000000001" customHeight="1" thickTop="1">
      <c r="A5420" s="226" t="s">
        <v>15548</v>
      </c>
      <c r="B5420" s="28">
        <v>46045</v>
      </c>
      <c r="C5420" s="25">
        <v>2119</v>
      </c>
      <c r="D5420" s="13" t="s">
        <v>1578</v>
      </c>
      <c r="E5420" s="228"/>
      <c r="F5420" s="109" t="s">
        <v>15553</v>
      </c>
      <c r="G5420" s="24" t="s">
        <v>7671</v>
      </c>
      <c r="H5420" s="230">
        <v>4.5</v>
      </c>
      <c r="I5420" s="220">
        <v>1752000</v>
      </c>
      <c r="J5420" s="220">
        <f>I5420*0.1</f>
        <v>175200</v>
      </c>
      <c r="K5420" s="220">
        <v>7150</v>
      </c>
      <c r="L5420" s="220">
        <v>19440</v>
      </c>
      <c r="M5420" s="220">
        <v>16500</v>
      </c>
      <c r="N5420" s="220">
        <f>SUM(I5420:M5421)</f>
        <v>1970290</v>
      </c>
      <c r="O5420" s="224"/>
      <c r="P5420" s="110" t="s">
        <v>15653</v>
      </c>
      <c r="Q5420" s="15" t="s">
        <v>19</v>
      </c>
      <c r="R5420" s="205"/>
      <c r="S5420" s="189" t="s">
        <v>25691</v>
      </c>
      <c r="T5420" s="114"/>
      <c r="U5420" s="21"/>
      <c r="V5420" s="115">
        <v>46058</v>
      </c>
      <c r="W5420" s="116">
        <v>1317</v>
      </c>
      <c r="X5420" s="220">
        <v>1900000</v>
      </c>
      <c r="Y5420" s="220">
        <f>X5420*0.1</f>
        <v>190000</v>
      </c>
      <c r="Z5420" s="220">
        <v>19440</v>
      </c>
      <c r="AA5420" s="220">
        <f>SUM(X5420:Z5420)</f>
        <v>2109440</v>
      </c>
      <c r="AB5420" s="222">
        <v>46059</v>
      </c>
    </row>
    <row r="5421" spans="1:28" ht="17.100000000000001" customHeight="1" thickBot="1">
      <c r="A5421" s="227"/>
      <c r="B5421" s="27" t="s">
        <v>1536</v>
      </c>
      <c r="C5421" s="27">
        <v>58013</v>
      </c>
      <c r="D5421" s="14" t="s">
        <v>14980</v>
      </c>
      <c r="E5421" s="229"/>
      <c r="F5421" s="117" t="s">
        <v>15652</v>
      </c>
      <c r="G5421" s="26">
        <v>27294</v>
      </c>
      <c r="H5421" s="231"/>
      <c r="I5421" s="221"/>
      <c r="J5421" s="221"/>
      <c r="K5421" s="221"/>
      <c r="L5421" s="221"/>
      <c r="M5421" s="221"/>
      <c r="N5421" s="221"/>
      <c r="O5421" s="225"/>
      <c r="P5421" s="118" t="s">
        <v>16531</v>
      </c>
      <c r="Q5421" s="16" t="s">
        <v>20</v>
      </c>
      <c r="R5421" s="17" t="s">
        <v>1822</v>
      </c>
      <c r="S5421" s="121" t="s">
        <v>4503</v>
      </c>
      <c r="T5421" s="122"/>
      <c r="U5421" s="22"/>
      <c r="V5421" s="123" t="s">
        <v>13379</v>
      </c>
      <c r="W5421" s="122">
        <v>311</v>
      </c>
      <c r="X5421" s="221"/>
      <c r="Y5421" s="221"/>
      <c r="Z5421" s="221"/>
      <c r="AA5421" s="221"/>
      <c r="AB5421" s="223"/>
    </row>
    <row r="5422" spans="1:28" ht="17.100000000000001" customHeight="1" thickTop="1">
      <c r="A5422" s="226" t="s">
        <v>15549</v>
      </c>
      <c r="B5422" s="28">
        <v>46045</v>
      </c>
      <c r="C5422" s="25">
        <v>2119</v>
      </c>
      <c r="D5422" s="13" t="s">
        <v>2313</v>
      </c>
      <c r="E5422" s="228"/>
      <c r="F5422" s="109" t="s">
        <v>15554</v>
      </c>
      <c r="G5422" s="24" t="s">
        <v>15655</v>
      </c>
      <c r="H5422" s="230">
        <v>4.5</v>
      </c>
      <c r="I5422" s="220">
        <v>1240000</v>
      </c>
      <c r="J5422" s="220">
        <f>I5422*0.1</f>
        <v>124000</v>
      </c>
      <c r="K5422" s="220">
        <v>7150</v>
      </c>
      <c r="L5422" s="220">
        <v>19390</v>
      </c>
      <c r="M5422" s="220">
        <v>16500</v>
      </c>
      <c r="N5422" s="220">
        <f>SUM(I5422:M5423)</f>
        <v>1407040</v>
      </c>
      <c r="O5422" s="224"/>
      <c r="P5422" s="110" t="s">
        <v>15656</v>
      </c>
      <c r="Q5422" s="15" t="s">
        <v>19</v>
      </c>
      <c r="R5422" s="205"/>
      <c r="S5422" s="189" t="s">
        <v>758</v>
      </c>
      <c r="T5422" s="114"/>
      <c r="U5422" s="21"/>
      <c r="V5422" s="115">
        <v>46057</v>
      </c>
      <c r="W5422" s="116">
        <v>1003</v>
      </c>
      <c r="X5422" s="220">
        <v>1335000</v>
      </c>
      <c r="Y5422" s="220">
        <f>X5422*0.1</f>
        <v>133500</v>
      </c>
      <c r="Z5422" s="220">
        <v>19390</v>
      </c>
      <c r="AA5422" s="220">
        <f>SUM(X5422:Z5422)</f>
        <v>1487890</v>
      </c>
      <c r="AB5422" s="222">
        <v>46062</v>
      </c>
    </row>
    <row r="5423" spans="1:28" ht="17.100000000000001" customHeight="1" thickBot="1">
      <c r="A5423" s="227"/>
      <c r="B5423" s="27" t="s">
        <v>1536</v>
      </c>
      <c r="C5423" s="27">
        <v>58956</v>
      </c>
      <c r="D5423" s="14" t="s">
        <v>273</v>
      </c>
      <c r="E5423" s="229"/>
      <c r="F5423" s="117" t="s">
        <v>15654</v>
      </c>
      <c r="G5423" s="26">
        <v>59925</v>
      </c>
      <c r="H5423" s="231"/>
      <c r="I5423" s="221"/>
      <c r="J5423" s="221"/>
      <c r="K5423" s="221"/>
      <c r="L5423" s="221"/>
      <c r="M5423" s="221"/>
      <c r="N5423" s="221"/>
      <c r="O5423" s="225"/>
      <c r="P5423" s="118" t="s">
        <v>16057</v>
      </c>
      <c r="Q5423" s="16" t="s">
        <v>20</v>
      </c>
      <c r="R5423" s="17" t="s">
        <v>16027</v>
      </c>
      <c r="S5423" s="121" t="s">
        <v>16058</v>
      </c>
      <c r="T5423" s="122"/>
      <c r="U5423" s="22"/>
      <c r="V5423" s="123" t="s">
        <v>2747</v>
      </c>
      <c r="W5423" s="122">
        <v>6061</v>
      </c>
      <c r="X5423" s="221"/>
      <c r="Y5423" s="221"/>
      <c r="Z5423" s="221"/>
      <c r="AA5423" s="221"/>
      <c r="AB5423" s="223"/>
    </row>
    <row r="5424" spans="1:28" ht="17.100000000000001" customHeight="1" thickTop="1">
      <c r="A5424" s="226" t="s">
        <v>15550</v>
      </c>
      <c r="B5424" s="28">
        <v>46045</v>
      </c>
      <c r="C5424" s="25"/>
      <c r="D5424" s="13" t="s">
        <v>2652</v>
      </c>
      <c r="E5424" s="228"/>
      <c r="F5424" s="109" t="s">
        <v>15657</v>
      </c>
      <c r="G5424" s="24" t="s">
        <v>12244</v>
      </c>
      <c r="H5424" s="230">
        <v>4.5</v>
      </c>
      <c r="I5424" s="220">
        <v>4600000</v>
      </c>
      <c r="J5424" s="220">
        <f>I5424*0.1</f>
        <v>460000</v>
      </c>
      <c r="K5424" s="220">
        <v>3600</v>
      </c>
      <c r="L5424" s="220">
        <v>15470</v>
      </c>
      <c r="M5424" s="220">
        <v>0</v>
      </c>
      <c r="N5424" s="220">
        <f>SUM(I5424:M5425)</f>
        <v>5079070</v>
      </c>
      <c r="O5424" s="224"/>
      <c r="P5424" s="110" t="s">
        <v>16582</v>
      </c>
      <c r="Q5424" s="15" t="s">
        <v>19</v>
      </c>
      <c r="R5424" s="205"/>
      <c r="S5424" s="189" t="s">
        <v>25691</v>
      </c>
      <c r="T5424" s="114"/>
      <c r="U5424" s="21" t="s">
        <v>17946</v>
      </c>
      <c r="V5424" s="115">
        <v>46158</v>
      </c>
      <c r="W5424" s="116">
        <v>1300</v>
      </c>
      <c r="X5424" s="220">
        <v>4760000</v>
      </c>
      <c r="Y5424" s="220">
        <f>X5424*0.1</f>
        <v>476000</v>
      </c>
      <c r="Z5424" s="220">
        <v>15470</v>
      </c>
      <c r="AA5424" s="220">
        <f>SUM(X5424:Z5424)</f>
        <v>5251470</v>
      </c>
      <c r="AB5424" s="222">
        <v>46161</v>
      </c>
    </row>
    <row r="5425" spans="1:28" ht="17.100000000000001" customHeight="1" thickBot="1">
      <c r="A5425" s="227"/>
      <c r="B5425" s="27" t="s">
        <v>1708</v>
      </c>
      <c r="C5425" s="27" t="s">
        <v>15567</v>
      </c>
      <c r="D5425" s="14" t="s">
        <v>131</v>
      </c>
      <c r="E5425" s="229"/>
      <c r="F5425" s="117" t="s">
        <v>15568</v>
      </c>
      <c r="G5425" s="26">
        <v>13307</v>
      </c>
      <c r="H5425" s="231"/>
      <c r="I5425" s="221"/>
      <c r="J5425" s="221"/>
      <c r="K5425" s="221"/>
      <c r="L5425" s="221"/>
      <c r="M5425" s="221"/>
      <c r="N5425" s="221"/>
      <c r="O5425" s="225"/>
      <c r="P5425" s="118" t="s">
        <v>16583</v>
      </c>
      <c r="Q5425" s="16" t="s">
        <v>20</v>
      </c>
      <c r="R5425" s="17" t="s">
        <v>3494</v>
      </c>
      <c r="S5425" s="121" t="s">
        <v>1606</v>
      </c>
      <c r="T5425" s="122"/>
      <c r="U5425" s="22"/>
      <c r="V5425" s="123" t="s">
        <v>2472</v>
      </c>
      <c r="W5425" s="122">
        <v>37605</v>
      </c>
      <c r="X5425" s="221"/>
      <c r="Y5425" s="221"/>
      <c r="Z5425" s="221"/>
      <c r="AA5425" s="221"/>
      <c r="AB5425" s="223"/>
    </row>
    <row r="5426" spans="1:28" ht="17.100000000000001" customHeight="1" thickTop="1">
      <c r="A5426" s="226" t="s">
        <v>15551</v>
      </c>
      <c r="B5426" s="28">
        <v>46045</v>
      </c>
      <c r="C5426" s="25"/>
      <c r="D5426" s="13" t="s">
        <v>2324</v>
      </c>
      <c r="E5426" s="228"/>
      <c r="F5426" s="109" t="s">
        <v>15658</v>
      </c>
      <c r="G5426" s="24" t="s">
        <v>11744</v>
      </c>
      <c r="H5426" s="230">
        <v>4.5</v>
      </c>
      <c r="I5426" s="220">
        <v>1930000</v>
      </c>
      <c r="J5426" s="220">
        <f>I5426*0.1</f>
        <v>193000</v>
      </c>
      <c r="K5426" s="220">
        <v>3000</v>
      </c>
      <c r="L5426" s="220">
        <v>9620</v>
      </c>
      <c r="M5426" s="220">
        <v>0</v>
      </c>
      <c r="N5426" s="220">
        <f>SUM(I5426:M5427)</f>
        <v>2135620</v>
      </c>
      <c r="O5426" s="224"/>
      <c r="P5426" s="110" t="s">
        <v>19589</v>
      </c>
      <c r="Q5426" s="15" t="s">
        <v>19</v>
      </c>
      <c r="R5426" s="205"/>
      <c r="S5426" s="189" t="s">
        <v>529</v>
      </c>
      <c r="T5426" s="114"/>
      <c r="U5426" s="21" t="s">
        <v>19859</v>
      </c>
      <c r="V5426" s="115">
        <v>46092</v>
      </c>
      <c r="W5426" s="116">
        <v>1008</v>
      </c>
      <c r="X5426" s="220">
        <v>2160000</v>
      </c>
      <c r="Y5426" s="220">
        <f>X5426*0.1</f>
        <v>216000</v>
      </c>
      <c r="Z5426" s="220">
        <v>9620</v>
      </c>
      <c r="AA5426" s="220">
        <f>SUM(X5426:Z5426)</f>
        <v>2385620</v>
      </c>
      <c r="AB5426" s="222">
        <v>46100</v>
      </c>
    </row>
    <row r="5427" spans="1:28" ht="17.100000000000001" customHeight="1" thickBot="1">
      <c r="A5427" s="227"/>
      <c r="B5427" s="27" t="s">
        <v>1708</v>
      </c>
      <c r="C5427" s="27" t="s">
        <v>15569</v>
      </c>
      <c r="D5427" s="14" t="s">
        <v>2559</v>
      </c>
      <c r="E5427" s="229"/>
      <c r="F5427" s="117" t="s">
        <v>15570</v>
      </c>
      <c r="G5427" s="26">
        <v>39166</v>
      </c>
      <c r="H5427" s="231"/>
      <c r="I5427" s="221"/>
      <c r="J5427" s="221"/>
      <c r="K5427" s="221"/>
      <c r="L5427" s="221"/>
      <c r="M5427" s="221"/>
      <c r="N5427" s="221"/>
      <c r="O5427" s="225"/>
      <c r="P5427" s="118" t="s">
        <v>15845</v>
      </c>
      <c r="Q5427" s="16" t="s">
        <v>20</v>
      </c>
      <c r="R5427" s="17" t="s">
        <v>3605</v>
      </c>
      <c r="S5427" s="121" t="s">
        <v>6932</v>
      </c>
      <c r="T5427" s="122"/>
      <c r="U5427" s="22"/>
      <c r="V5427" s="123" t="s">
        <v>19459</v>
      </c>
      <c r="W5427" s="122">
        <v>1116</v>
      </c>
      <c r="X5427" s="221"/>
      <c r="Y5427" s="221"/>
      <c r="Z5427" s="221"/>
      <c r="AA5427" s="221"/>
      <c r="AB5427" s="223"/>
    </row>
    <row r="5428" spans="1:28" ht="17.100000000000001" customHeight="1" thickTop="1">
      <c r="A5428" s="226" t="s">
        <v>15552</v>
      </c>
      <c r="B5428" s="28">
        <v>46045</v>
      </c>
      <c r="C5428" s="25"/>
      <c r="D5428" s="13" t="s">
        <v>853</v>
      </c>
      <c r="E5428" s="228"/>
      <c r="F5428" s="109" t="s">
        <v>15179</v>
      </c>
      <c r="G5428" s="24" t="s">
        <v>15659</v>
      </c>
      <c r="H5428" s="230">
        <v>4.5</v>
      </c>
      <c r="I5428" s="220">
        <v>4150000</v>
      </c>
      <c r="J5428" s="220">
        <f>I5428*0.1</f>
        <v>415000</v>
      </c>
      <c r="K5428" s="220">
        <v>3600</v>
      </c>
      <c r="L5428" s="220">
        <v>14900</v>
      </c>
      <c r="M5428" s="220">
        <v>0</v>
      </c>
      <c r="N5428" s="220">
        <f>SUM(I5428:M5429)</f>
        <v>4583500</v>
      </c>
      <c r="O5428" s="224"/>
      <c r="P5428" s="110" t="s">
        <v>16564</v>
      </c>
      <c r="Q5428" s="15" t="s">
        <v>19</v>
      </c>
      <c r="R5428" s="205"/>
      <c r="S5428" s="189" t="s">
        <v>455</v>
      </c>
      <c r="T5428" s="114"/>
      <c r="U5428" s="21"/>
      <c r="V5428" s="115">
        <v>46064</v>
      </c>
      <c r="W5428" s="116">
        <v>1004</v>
      </c>
      <c r="X5428" s="220">
        <v>4060000</v>
      </c>
      <c r="Y5428" s="220">
        <f>X5428*0.1</f>
        <v>406000</v>
      </c>
      <c r="Z5428" s="220">
        <v>14900</v>
      </c>
      <c r="AA5428" s="220">
        <f>SUM(X5428:Z5428)</f>
        <v>4480900</v>
      </c>
      <c r="AB5428" s="222">
        <v>46071</v>
      </c>
    </row>
    <row r="5429" spans="1:28" ht="17.100000000000001" customHeight="1" thickBot="1">
      <c r="A5429" s="227"/>
      <c r="B5429" s="27" t="s">
        <v>1708</v>
      </c>
      <c r="C5429" s="27" t="s">
        <v>15571</v>
      </c>
      <c r="D5429" s="14" t="s">
        <v>273</v>
      </c>
      <c r="E5429" s="229"/>
      <c r="F5429" s="117" t="s">
        <v>15572</v>
      </c>
      <c r="G5429" s="26">
        <v>52358</v>
      </c>
      <c r="H5429" s="231"/>
      <c r="I5429" s="221"/>
      <c r="J5429" s="221"/>
      <c r="K5429" s="221"/>
      <c r="L5429" s="221"/>
      <c r="M5429" s="221"/>
      <c r="N5429" s="221"/>
      <c r="O5429" s="225"/>
      <c r="P5429" s="118" t="s">
        <v>9505</v>
      </c>
      <c r="Q5429" s="16" t="s">
        <v>20</v>
      </c>
      <c r="R5429" s="17" t="s">
        <v>16565</v>
      </c>
      <c r="S5429" s="187" t="s">
        <v>17730</v>
      </c>
      <c r="T5429" s="122"/>
      <c r="U5429" s="22"/>
      <c r="V5429" s="123" t="s">
        <v>2747</v>
      </c>
      <c r="W5429" s="122">
        <v>1016</v>
      </c>
      <c r="X5429" s="221"/>
      <c r="Y5429" s="221"/>
      <c r="Z5429" s="221"/>
      <c r="AA5429" s="221"/>
      <c r="AB5429" s="223"/>
    </row>
    <row r="5430" spans="1:28" ht="17.100000000000001" customHeight="1" thickTop="1">
      <c r="A5430" s="233" t="s">
        <v>15555</v>
      </c>
      <c r="B5430" s="28">
        <v>46045</v>
      </c>
      <c r="C5430" s="25"/>
      <c r="D5430" s="13" t="s">
        <v>1883</v>
      </c>
      <c r="E5430" s="228"/>
      <c r="F5430" s="109" t="s">
        <v>15660</v>
      </c>
      <c r="G5430" s="24" t="s">
        <v>15661</v>
      </c>
      <c r="H5430" s="230">
        <v>4.5</v>
      </c>
      <c r="I5430" s="220">
        <v>3775000</v>
      </c>
      <c r="J5430" s="220">
        <f>I5430*0.1</f>
        <v>377500</v>
      </c>
      <c r="K5430" s="220">
        <v>3600</v>
      </c>
      <c r="L5430" s="220">
        <v>14900</v>
      </c>
      <c r="M5430" s="220">
        <v>0</v>
      </c>
      <c r="N5430" s="220">
        <f>SUM(I5430:M5431)</f>
        <v>4171000</v>
      </c>
      <c r="O5430" s="224"/>
      <c r="P5430" s="110"/>
      <c r="Q5430" s="15" t="s">
        <v>19</v>
      </c>
      <c r="R5430" s="205"/>
      <c r="S5430" s="189" t="s">
        <v>25685</v>
      </c>
      <c r="T5430" s="114" t="s">
        <v>7899</v>
      </c>
      <c r="U5430" s="21"/>
      <c r="V5430" s="115"/>
      <c r="W5430" s="116"/>
      <c r="X5430" s="220"/>
      <c r="Y5430" s="220">
        <f>X5430*0.1</f>
        <v>0</v>
      </c>
      <c r="Z5430" s="220"/>
      <c r="AA5430" s="220">
        <f>SUM(X5430:Z5430)</f>
        <v>0</v>
      </c>
      <c r="AB5430" s="222"/>
    </row>
    <row r="5431" spans="1:28" ht="17.100000000000001" customHeight="1" thickBot="1">
      <c r="A5431" s="234"/>
      <c r="B5431" s="27" t="s">
        <v>1708</v>
      </c>
      <c r="C5431" s="27" t="s">
        <v>15573</v>
      </c>
      <c r="D5431" s="14" t="s">
        <v>273</v>
      </c>
      <c r="E5431" s="229"/>
      <c r="F5431" s="117" t="s">
        <v>15574</v>
      </c>
      <c r="G5431" s="26">
        <v>44855</v>
      </c>
      <c r="H5431" s="231"/>
      <c r="I5431" s="221"/>
      <c r="J5431" s="221"/>
      <c r="K5431" s="221"/>
      <c r="L5431" s="221"/>
      <c r="M5431" s="221"/>
      <c r="N5431" s="221"/>
      <c r="O5431" s="225"/>
      <c r="P5431" s="118"/>
      <c r="Q5431" s="16" t="s">
        <v>20</v>
      </c>
      <c r="R5431" s="17" t="s">
        <v>10331</v>
      </c>
      <c r="S5431" s="121"/>
      <c r="T5431" s="122"/>
      <c r="U5431" s="22"/>
      <c r="V5431" s="123"/>
      <c r="W5431" s="122"/>
      <c r="X5431" s="221"/>
      <c r="Y5431" s="221"/>
      <c r="Z5431" s="221"/>
      <c r="AA5431" s="221"/>
      <c r="AB5431" s="223"/>
    </row>
    <row r="5432" spans="1:28" ht="17.100000000000001" customHeight="1" thickTop="1">
      <c r="A5432" s="226" t="s">
        <v>15556</v>
      </c>
      <c r="B5432" s="28">
        <v>46045</v>
      </c>
      <c r="C5432" s="25"/>
      <c r="D5432" s="13" t="s">
        <v>3480</v>
      </c>
      <c r="E5432" s="228"/>
      <c r="F5432" s="109" t="s">
        <v>19403</v>
      </c>
      <c r="G5432" s="24" t="s">
        <v>13522</v>
      </c>
      <c r="H5432" s="230">
        <v>3.5</v>
      </c>
      <c r="I5432" s="220">
        <v>845000</v>
      </c>
      <c r="J5432" s="220">
        <f>I5432*0.1</f>
        <v>84500</v>
      </c>
      <c r="K5432" s="220">
        <v>0</v>
      </c>
      <c r="L5432" s="220">
        <v>8790</v>
      </c>
      <c r="M5432" s="220">
        <v>0</v>
      </c>
      <c r="N5432" s="220">
        <f>SUM(I5432:M5433)</f>
        <v>938290</v>
      </c>
      <c r="O5432" s="224"/>
      <c r="P5432" s="110" t="s">
        <v>17967</v>
      </c>
      <c r="Q5432" s="15" t="s">
        <v>19</v>
      </c>
      <c r="R5432" s="205"/>
      <c r="S5432" s="189" t="s">
        <v>529</v>
      </c>
      <c r="T5432" s="114"/>
      <c r="U5432" s="21"/>
      <c r="V5432" s="115">
        <v>46088</v>
      </c>
      <c r="W5432" s="116">
        <v>1291</v>
      </c>
      <c r="X5432" s="220">
        <v>880000</v>
      </c>
      <c r="Y5432" s="220">
        <f>X5432*0.1</f>
        <v>88000</v>
      </c>
      <c r="Z5432" s="220">
        <v>8790</v>
      </c>
      <c r="AA5432" s="220">
        <f>SUM(X5432:Z5432)</f>
        <v>976790</v>
      </c>
      <c r="AB5432" s="222">
        <v>46093</v>
      </c>
    </row>
    <row r="5433" spans="1:28" ht="17.100000000000001" customHeight="1" thickBot="1">
      <c r="A5433" s="227"/>
      <c r="B5433" s="27" t="s">
        <v>1708</v>
      </c>
      <c r="C5433" s="27" t="s">
        <v>15575</v>
      </c>
      <c r="D5433" s="14" t="s">
        <v>273</v>
      </c>
      <c r="E5433" s="229"/>
      <c r="F5433" s="117" t="s">
        <v>15576</v>
      </c>
      <c r="G5433" s="26">
        <v>47066</v>
      </c>
      <c r="H5433" s="231"/>
      <c r="I5433" s="221"/>
      <c r="J5433" s="221"/>
      <c r="K5433" s="221"/>
      <c r="L5433" s="221"/>
      <c r="M5433" s="221"/>
      <c r="N5433" s="221"/>
      <c r="O5433" s="225"/>
      <c r="P5433" s="118" t="s">
        <v>2906</v>
      </c>
      <c r="Q5433" s="16" t="s">
        <v>20</v>
      </c>
      <c r="R5433" s="17" t="s">
        <v>17949</v>
      </c>
      <c r="S5433" s="121" t="s">
        <v>9218</v>
      </c>
      <c r="T5433" s="122"/>
      <c r="U5433" s="22"/>
      <c r="V5433" s="123" t="s">
        <v>2472</v>
      </c>
      <c r="W5433" s="122">
        <v>31065</v>
      </c>
      <c r="X5433" s="221"/>
      <c r="Y5433" s="221"/>
      <c r="Z5433" s="221"/>
      <c r="AA5433" s="221"/>
      <c r="AB5433" s="223"/>
    </row>
    <row r="5434" spans="1:28" ht="17.100000000000001" customHeight="1" thickTop="1">
      <c r="A5434" s="226" t="s">
        <v>15557</v>
      </c>
      <c r="B5434" s="28">
        <v>46045</v>
      </c>
      <c r="C5434" s="25"/>
      <c r="D5434" s="13" t="s">
        <v>2195</v>
      </c>
      <c r="E5434" s="228"/>
      <c r="F5434" s="109" t="s">
        <v>15662</v>
      </c>
      <c r="G5434" s="24" t="s">
        <v>15663</v>
      </c>
      <c r="H5434" s="230">
        <v>5</v>
      </c>
      <c r="I5434" s="220">
        <v>2691000</v>
      </c>
      <c r="J5434" s="220">
        <f>I5434*0.1</f>
        <v>269100</v>
      </c>
      <c r="K5434" s="220">
        <v>3600</v>
      </c>
      <c r="L5434" s="220">
        <v>11710</v>
      </c>
      <c r="M5434" s="220">
        <v>0</v>
      </c>
      <c r="N5434" s="220">
        <f>SUM(I5434:M5435)</f>
        <v>2975410</v>
      </c>
      <c r="O5434" s="224"/>
      <c r="P5434" s="110" t="s">
        <v>18167</v>
      </c>
      <c r="Q5434" s="15" t="s">
        <v>19</v>
      </c>
      <c r="R5434" s="205"/>
      <c r="S5434" s="189" t="s">
        <v>25691</v>
      </c>
      <c r="T5434" s="114"/>
      <c r="U5434" s="21" t="s">
        <v>19497</v>
      </c>
      <c r="V5434" s="115">
        <v>46099</v>
      </c>
      <c r="W5434" s="116">
        <v>1009</v>
      </c>
      <c r="X5434" s="220">
        <v>2760000</v>
      </c>
      <c r="Y5434" s="220">
        <f>X5434*0.1</f>
        <v>276000</v>
      </c>
      <c r="Z5434" s="220">
        <v>11710</v>
      </c>
      <c r="AA5434" s="220">
        <f>SUM(X5434:Z5434)</f>
        <v>3047710</v>
      </c>
      <c r="AB5434" s="222">
        <v>46105</v>
      </c>
    </row>
    <row r="5435" spans="1:28" ht="17.100000000000001" customHeight="1" thickBot="1">
      <c r="A5435" s="227"/>
      <c r="B5435" s="27" t="s">
        <v>1708</v>
      </c>
      <c r="C5435" s="27" t="s">
        <v>15577</v>
      </c>
      <c r="D5435" s="14" t="s">
        <v>1866</v>
      </c>
      <c r="E5435" s="229"/>
      <c r="F5435" s="117" t="s">
        <v>15578</v>
      </c>
      <c r="G5435" s="26">
        <v>12922</v>
      </c>
      <c r="H5435" s="231"/>
      <c r="I5435" s="221"/>
      <c r="J5435" s="221"/>
      <c r="K5435" s="221"/>
      <c r="L5435" s="221"/>
      <c r="M5435" s="221"/>
      <c r="N5435" s="221"/>
      <c r="O5435" s="225"/>
      <c r="P5435" s="118" t="s">
        <v>18168</v>
      </c>
      <c r="Q5435" s="16" t="s">
        <v>20</v>
      </c>
      <c r="R5435" s="17" t="s">
        <v>2311</v>
      </c>
      <c r="S5435" s="121" t="s">
        <v>13716</v>
      </c>
      <c r="T5435" s="122"/>
      <c r="U5435" s="22"/>
      <c r="V5435" s="123" t="s">
        <v>8877</v>
      </c>
      <c r="W5435" s="122">
        <v>5164</v>
      </c>
      <c r="X5435" s="221"/>
      <c r="Y5435" s="221"/>
      <c r="Z5435" s="221"/>
      <c r="AA5435" s="221"/>
      <c r="AB5435" s="223"/>
    </row>
    <row r="5436" spans="1:28" ht="17.100000000000001" customHeight="1" thickTop="1">
      <c r="A5436" s="226" t="s">
        <v>15558</v>
      </c>
      <c r="B5436" s="28">
        <v>46045</v>
      </c>
      <c r="C5436" s="25"/>
      <c r="D5436" s="13" t="s">
        <v>2094</v>
      </c>
      <c r="E5436" s="228"/>
      <c r="F5436" s="109" t="s">
        <v>15657</v>
      </c>
      <c r="G5436" s="24" t="s">
        <v>15664</v>
      </c>
      <c r="H5436" s="230">
        <v>4.5</v>
      </c>
      <c r="I5436" s="220">
        <v>4600000</v>
      </c>
      <c r="J5436" s="220">
        <f>I5436*0.1</f>
        <v>460000</v>
      </c>
      <c r="K5436" s="220">
        <v>3600</v>
      </c>
      <c r="L5436" s="220">
        <v>15470</v>
      </c>
      <c r="M5436" s="220">
        <v>0</v>
      </c>
      <c r="N5436" s="220">
        <f>SUM(I5436:M5437)</f>
        <v>5079070</v>
      </c>
      <c r="O5436" s="224"/>
      <c r="P5436" s="110" t="s">
        <v>17197</v>
      </c>
      <c r="Q5436" s="15" t="s">
        <v>19</v>
      </c>
      <c r="R5436" s="205"/>
      <c r="S5436" s="189" t="s">
        <v>758</v>
      </c>
      <c r="T5436" s="114"/>
      <c r="U5436" s="21"/>
      <c r="V5436" s="115">
        <v>46060</v>
      </c>
      <c r="W5436" s="116">
        <v>1287</v>
      </c>
      <c r="X5436" s="220">
        <v>5030000</v>
      </c>
      <c r="Y5436" s="220">
        <f>X5436*0.1</f>
        <v>503000</v>
      </c>
      <c r="Z5436" s="220">
        <v>15470</v>
      </c>
      <c r="AA5436" s="220">
        <f>SUM(X5436:Z5436)</f>
        <v>5548470</v>
      </c>
      <c r="AB5436" s="222">
        <v>46070</v>
      </c>
    </row>
    <row r="5437" spans="1:28" ht="17.100000000000001" customHeight="1" thickBot="1">
      <c r="A5437" s="227"/>
      <c r="B5437" s="27" t="s">
        <v>1708</v>
      </c>
      <c r="C5437" s="27" t="s">
        <v>15579</v>
      </c>
      <c r="D5437" s="14" t="s">
        <v>273</v>
      </c>
      <c r="E5437" s="229"/>
      <c r="F5437" s="117" t="s">
        <v>15580</v>
      </c>
      <c r="G5437" s="26">
        <v>8065</v>
      </c>
      <c r="H5437" s="231"/>
      <c r="I5437" s="221"/>
      <c r="J5437" s="221"/>
      <c r="K5437" s="221"/>
      <c r="L5437" s="221"/>
      <c r="M5437" s="221"/>
      <c r="N5437" s="221"/>
      <c r="O5437" s="225"/>
      <c r="P5437" s="118" t="s">
        <v>1664</v>
      </c>
      <c r="Q5437" s="16" t="s">
        <v>20</v>
      </c>
      <c r="R5437" s="17" t="s">
        <v>2264</v>
      </c>
      <c r="S5437" s="121" t="s">
        <v>1625</v>
      </c>
      <c r="T5437" s="122"/>
      <c r="U5437" s="22"/>
      <c r="V5437" s="123" t="s">
        <v>2472</v>
      </c>
      <c r="W5437" s="122">
        <v>37546</v>
      </c>
      <c r="X5437" s="221"/>
      <c r="Y5437" s="221"/>
      <c r="Z5437" s="221"/>
      <c r="AA5437" s="221"/>
      <c r="AB5437" s="223"/>
    </row>
    <row r="5438" spans="1:28" ht="17.100000000000001" customHeight="1" thickTop="1">
      <c r="A5438" s="226" t="s">
        <v>15559</v>
      </c>
      <c r="B5438" s="28">
        <v>46045</v>
      </c>
      <c r="C5438" s="25"/>
      <c r="D5438" s="13" t="s">
        <v>2652</v>
      </c>
      <c r="E5438" s="228"/>
      <c r="F5438" s="109" t="s">
        <v>15665</v>
      </c>
      <c r="G5438" s="24" t="s">
        <v>15633</v>
      </c>
      <c r="H5438" s="230">
        <v>4.5</v>
      </c>
      <c r="I5438" s="220">
        <v>1565000</v>
      </c>
      <c r="J5438" s="220">
        <f>I5438*0.1</f>
        <v>156500</v>
      </c>
      <c r="K5438" s="220">
        <v>0</v>
      </c>
      <c r="L5438" s="220">
        <v>7230</v>
      </c>
      <c r="M5438" s="220">
        <v>0</v>
      </c>
      <c r="N5438" s="220">
        <f>SUM(I5438:M5439)</f>
        <v>1728730</v>
      </c>
      <c r="O5438" s="224"/>
      <c r="P5438" s="110" t="s">
        <v>16554</v>
      </c>
      <c r="Q5438" s="15" t="s">
        <v>19</v>
      </c>
      <c r="R5438" s="205"/>
      <c r="S5438" s="189" t="s">
        <v>529</v>
      </c>
      <c r="T5438" s="114"/>
      <c r="U5438" s="21"/>
      <c r="V5438" s="115">
        <v>46070</v>
      </c>
      <c r="W5438" s="116">
        <v>1929</v>
      </c>
      <c r="X5438" s="220">
        <v>1680000</v>
      </c>
      <c r="Y5438" s="220">
        <f>X5438*0.1</f>
        <v>168000</v>
      </c>
      <c r="Z5438" s="220">
        <v>7230</v>
      </c>
      <c r="AA5438" s="220">
        <f>SUM(X5438:Z5438)</f>
        <v>1855230</v>
      </c>
      <c r="AB5438" s="222">
        <v>46077</v>
      </c>
    </row>
    <row r="5439" spans="1:28" ht="17.100000000000001" customHeight="1" thickBot="1">
      <c r="A5439" s="227"/>
      <c r="B5439" s="27" t="s">
        <v>1708</v>
      </c>
      <c r="C5439" s="27" t="s">
        <v>15581</v>
      </c>
      <c r="D5439" s="14" t="s">
        <v>1584</v>
      </c>
      <c r="E5439" s="229"/>
      <c r="F5439" s="117" t="s">
        <v>15582</v>
      </c>
      <c r="G5439" s="26">
        <v>30312</v>
      </c>
      <c r="H5439" s="231"/>
      <c r="I5439" s="221"/>
      <c r="J5439" s="221"/>
      <c r="K5439" s="221"/>
      <c r="L5439" s="221"/>
      <c r="M5439" s="221"/>
      <c r="N5439" s="221"/>
      <c r="O5439" s="225"/>
      <c r="P5439" s="118" t="s">
        <v>16555</v>
      </c>
      <c r="Q5439" s="16" t="s">
        <v>20</v>
      </c>
      <c r="R5439" s="17" t="s">
        <v>3739</v>
      </c>
      <c r="S5439" s="121" t="s">
        <v>7969</v>
      </c>
      <c r="T5439" s="122"/>
      <c r="U5439" s="22"/>
      <c r="V5439" s="123" t="s">
        <v>7507</v>
      </c>
      <c r="W5439" s="122">
        <v>3357</v>
      </c>
      <c r="X5439" s="221"/>
      <c r="Y5439" s="221"/>
      <c r="Z5439" s="221"/>
      <c r="AA5439" s="221"/>
      <c r="AB5439" s="223"/>
    </row>
    <row r="5440" spans="1:28" ht="17.100000000000001" customHeight="1" thickTop="1">
      <c r="A5440" s="226" t="s">
        <v>15560</v>
      </c>
      <c r="B5440" s="28">
        <v>46045</v>
      </c>
      <c r="C5440" s="25"/>
      <c r="D5440" s="13" t="s">
        <v>2652</v>
      </c>
      <c r="E5440" s="228"/>
      <c r="F5440" s="109" t="s">
        <v>15666</v>
      </c>
      <c r="G5440" s="24" t="s">
        <v>15667</v>
      </c>
      <c r="H5440" s="230">
        <v>4.5</v>
      </c>
      <c r="I5440" s="220">
        <v>1385000</v>
      </c>
      <c r="J5440" s="220">
        <f>I5440*0.1</f>
        <v>138500</v>
      </c>
      <c r="K5440" s="220">
        <v>0</v>
      </c>
      <c r="L5440" s="220">
        <v>7530</v>
      </c>
      <c r="M5440" s="220">
        <v>0</v>
      </c>
      <c r="N5440" s="220">
        <f>SUM(I5440:M5441)</f>
        <v>1531030</v>
      </c>
      <c r="O5440" s="224"/>
      <c r="P5440" s="110" t="s">
        <v>17208</v>
      </c>
      <c r="Q5440" s="15" t="s">
        <v>19</v>
      </c>
      <c r="R5440" s="205"/>
      <c r="S5440" s="189" t="s">
        <v>529</v>
      </c>
      <c r="T5440" s="114"/>
      <c r="U5440" s="21"/>
      <c r="V5440" s="115">
        <v>46063</v>
      </c>
      <c r="W5440" s="116">
        <v>1928</v>
      </c>
      <c r="X5440" s="220">
        <v>1497000</v>
      </c>
      <c r="Y5440" s="220">
        <f>X5440*0.1</f>
        <v>149700</v>
      </c>
      <c r="Z5440" s="220">
        <v>7530</v>
      </c>
      <c r="AA5440" s="220">
        <f>SUM(X5440:Z5440)</f>
        <v>1654230</v>
      </c>
      <c r="AB5440" s="222"/>
    </row>
    <row r="5441" spans="1:28" ht="17.100000000000001" customHeight="1" thickBot="1">
      <c r="A5441" s="227"/>
      <c r="B5441" s="27" t="s">
        <v>1708</v>
      </c>
      <c r="C5441" s="27" t="s">
        <v>15583</v>
      </c>
      <c r="D5441" s="14" t="s">
        <v>131</v>
      </c>
      <c r="E5441" s="229"/>
      <c r="F5441" s="117" t="s">
        <v>15584</v>
      </c>
      <c r="G5441" s="26">
        <v>12317</v>
      </c>
      <c r="H5441" s="231"/>
      <c r="I5441" s="221"/>
      <c r="J5441" s="221"/>
      <c r="K5441" s="221"/>
      <c r="L5441" s="221"/>
      <c r="M5441" s="221"/>
      <c r="N5441" s="221"/>
      <c r="O5441" s="225"/>
      <c r="P5441" s="118" t="s">
        <v>4211</v>
      </c>
      <c r="Q5441" s="16" t="s">
        <v>20</v>
      </c>
      <c r="R5441" s="17" t="s">
        <v>2264</v>
      </c>
      <c r="S5441" s="121" t="s">
        <v>1606</v>
      </c>
      <c r="T5441" s="122"/>
      <c r="U5441" s="22"/>
      <c r="V5441" s="123" t="s">
        <v>2103</v>
      </c>
      <c r="W5441" s="122">
        <v>3307</v>
      </c>
      <c r="X5441" s="221"/>
      <c r="Y5441" s="221"/>
      <c r="Z5441" s="221"/>
      <c r="AA5441" s="221"/>
      <c r="AB5441" s="223"/>
    </row>
    <row r="5442" spans="1:28" ht="17.100000000000001" customHeight="1" thickTop="1">
      <c r="A5442" s="226" t="s">
        <v>15561</v>
      </c>
      <c r="B5442" s="28">
        <v>46045</v>
      </c>
      <c r="C5442" s="25"/>
      <c r="D5442" s="13" t="s">
        <v>1740</v>
      </c>
      <c r="E5442" s="228"/>
      <c r="F5442" s="109" t="s">
        <v>15668</v>
      </c>
      <c r="G5442" s="24" t="s">
        <v>15669</v>
      </c>
      <c r="H5442" s="230">
        <v>3.5</v>
      </c>
      <c r="I5442" s="220">
        <v>364000</v>
      </c>
      <c r="J5442" s="220">
        <f>I5442*0.1</f>
        <v>36400</v>
      </c>
      <c r="K5442" s="220">
        <v>0</v>
      </c>
      <c r="L5442" s="220">
        <v>9790</v>
      </c>
      <c r="M5442" s="220">
        <v>0</v>
      </c>
      <c r="N5442" s="220">
        <f>SUM(I5442:M5443)</f>
        <v>410190</v>
      </c>
      <c r="O5442" s="224"/>
      <c r="P5442" s="110" t="s">
        <v>17362</v>
      </c>
      <c r="Q5442" s="15" t="s">
        <v>19</v>
      </c>
      <c r="R5442" s="205"/>
      <c r="S5442" s="189" t="s">
        <v>529</v>
      </c>
      <c r="T5442" s="114"/>
      <c r="U5442" s="21"/>
      <c r="V5442" s="115">
        <v>46067</v>
      </c>
      <c r="W5442" s="116">
        <v>1288</v>
      </c>
      <c r="X5442" s="220">
        <v>595000</v>
      </c>
      <c r="Y5442" s="220">
        <f>X5442*0.1</f>
        <v>59500</v>
      </c>
      <c r="Z5442" s="220">
        <v>9790</v>
      </c>
      <c r="AA5442" s="220">
        <f>SUM(X5442:Z5442)</f>
        <v>664290</v>
      </c>
      <c r="AB5442" s="222">
        <v>46070</v>
      </c>
    </row>
    <row r="5443" spans="1:28" ht="17.100000000000001" customHeight="1" thickBot="1">
      <c r="A5443" s="227"/>
      <c r="B5443" s="27" t="s">
        <v>1708</v>
      </c>
      <c r="C5443" s="27" t="s">
        <v>15585</v>
      </c>
      <c r="D5443" s="14" t="s">
        <v>131</v>
      </c>
      <c r="E5443" s="229"/>
      <c r="F5443" s="117" t="s">
        <v>15586</v>
      </c>
      <c r="G5443" s="26">
        <v>39078</v>
      </c>
      <c r="H5443" s="231"/>
      <c r="I5443" s="221"/>
      <c r="J5443" s="221"/>
      <c r="K5443" s="221"/>
      <c r="L5443" s="221"/>
      <c r="M5443" s="221"/>
      <c r="N5443" s="221"/>
      <c r="O5443" s="225"/>
      <c r="P5443" s="118" t="s">
        <v>4211</v>
      </c>
      <c r="Q5443" s="16" t="s">
        <v>20</v>
      </c>
      <c r="R5443" s="17" t="s">
        <v>17360</v>
      </c>
      <c r="S5443" s="121" t="s">
        <v>9218</v>
      </c>
      <c r="T5443" s="122"/>
      <c r="U5443" s="22"/>
      <c r="V5443" s="123" t="s">
        <v>2472</v>
      </c>
      <c r="W5443" s="122">
        <v>65422</v>
      </c>
      <c r="X5443" s="221"/>
      <c r="Y5443" s="221"/>
      <c r="Z5443" s="221"/>
      <c r="AA5443" s="221"/>
      <c r="AB5443" s="223"/>
    </row>
    <row r="5444" spans="1:28" ht="17.100000000000001" customHeight="1" thickTop="1">
      <c r="A5444" s="226" t="s">
        <v>15562</v>
      </c>
      <c r="B5444" s="28">
        <v>46045</v>
      </c>
      <c r="C5444" s="25"/>
      <c r="D5444" s="13" t="s">
        <v>2324</v>
      </c>
      <c r="E5444" s="228"/>
      <c r="F5444" s="109" t="s">
        <v>15670</v>
      </c>
      <c r="G5444" s="24" t="s">
        <v>11342</v>
      </c>
      <c r="H5444" s="230">
        <v>4.5</v>
      </c>
      <c r="I5444" s="220">
        <v>1785000</v>
      </c>
      <c r="J5444" s="220">
        <f>I5444*0.1</f>
        <v>178500</v>
      </c>
      <c r="K5444" s="220">
        <v>2500</v>
      </c>
      <c r="L5444" s="220">
        <v>10360</v>
      </c>
      <c r="M5444" s="220">
        <v>0</v>
      </c>
      <c r="N5444" s="220">
        <f>SUM(I5444:M5445)</f>
        <v>1976360</v>
      </c>
      <c r="O5444" s="224"/>
      <c r="P5444" s="110" t="s">
        <v>17548</v>
      </c>
      <c r="Q5444" s="15" t="s">
        <v>19</v>
      </c>
      <c r="R5444" s="205"/>
      <c r="S5444" s="189" t="s">
        <v>25507</v>
      </c>
      <c r="T5444" s="114"/>
      <c r="U5444" s="21"/>
      <c r="V5444" s="115">
        <v>46064</v>
      </c>
      <c r="W5444" s="116">
        <v>1004</v>
      </c>
      <c r="X5444" s="220">
        <v>1820000</v>
      </c>
      <c r="Y5444" s="220">
        <f>X5444*0.1</f>
        <v>182000</v>
      </c>
      <c r="Z5444" s="220">
        <v>10360</v>
      </c>
      <c r="AA5444" s="220">
        <f>SUM(X5444:Z5444)</f>
        <v>2012360</v>
      </c>
      <c r="AB5444" s="222">
        <v>46071</v>
      </c>
    </row>
    <row r="5445" spans="1:28" ht="17.100000000000001" customHeight="1" thickBot="1">
      <c r="A5445" s="227"/>
      <c r="B5445" s="27" t="s">
        <v>1708</v>
      </c>
      <c r="C5445" s="27" t="s">
        <v>15587</v>
      </c>
      <c r="D5445" s="14" t="s">
        <v>2753</v>
      </c>
      <c r="E5445" s="229"/>
      <c r="F5445" s="117" t="s">
        <v>15588</v>
      </c>
      <c r="G5445" s="26">
        <v>44503</v>
      </c>
      <c r="H5445" s="231"/>
      <c r="I5445" s="221"/>
      <c r="J5445" s="221"/>
      <c r="K5445" s="221"/>
      <c r="L5445" s="221"/>
      <c r="M5445" s="221"/>
      <c r="N5445" s="221"/>
      <c r="O5445" s="225"/>
      <c r="P5445" s="118" t="s">
        <v>5155</v>
      </c>
      <c r="Q5445" s="16" t="s">
        <v>20</v>
      </c>
      <c r="R5445" s="17" t="s">
        <v>3526</v>
      </c>
      <c r="S5445" s="121" t="s">
        <v>17549</v>
      </c>
      <c r="T5445" s="122"/>
      <c r="U5445" s="22"/>
      <c r="V5445" s="123" t="s">
        <v>2747</v>
      </c>
      <c r="W5445" s="122">
        <v>1077</v>
      </c>
      <c r="X5445" s="221"/>
      <c r="Y5445" s="221"/>
      <c r="Z5445" s="221"/>
      <c r="AA5445" s="221"/>
      <c r="AB5445" s="223"/>
    </row>
    <row r="5446" spans="1:28" ht="17.100000000000001" customHeight="1" thickTop="1">
      <c r="A5446" s="226" t="s">
        <v>15563</v>
      </c>
      <c r="B5446" s="28">
        <v>46045</v>
      </c>
      <c r="C5446" s="25"/>
      <c r="D5446" s="13" t="s">
        <v>1963</v>
      </c>
      <c r="E5446" s="228"/>
      <c r="F5446" s="109" t="s">
        <v>15671</v>
      </c>
      <c r="G5446" s="24" t="s">
        <v>15672</v>
      </c>
      <c r="H5446" s="230">
        <v>4.5</v>
      </c>
      <c r="I5446" s="220">
        <v>3450000</v>
      </c>
      <c r="J5446" s="220">
        <f>I5446*0.1</f>
        <v>345000</v>
      </c>
      <c r="K5446" s="220">
        <v>3000</v>
      </c>
      <c r="L5446" s="220">
        <v>12310</v>
      </c>
      <c r="M5446" s="220">
        <v>0</v>
      </c>
      <c r="N5446" s="220">
        <f>SUM(I5446:M5447)</f>
        <v>3810310</v>
      </c>
      <c r="O5446" s="224"/>
      <c r="P5446" s="110" t="s">
        <v>17227</v>
      </c>
      <c r="Q5446" s="15" t="s">
        <v>19</v>
      </c>
      <c r="R5446" s="205"/>
      <c r="S5446" s="189" t="s">
        <v>529</v>
      </c>
      <c r="T5446" s="114"/>
      <c r="U5446" s="21" t="s">
        <v>19850</v>
      </c>
      <c r="V5446" s="115"/>
      <c r="W5446" s="116"/>
      <c r="X5446" s="220"/>
      <c r="Y5446" s="220">
        <f>X5446*0.1</f>
        <v>0</v>
      </c>
      <c r="Z5446" s="220"/>
      <c r="AA5446" s="220">
        <f>SUM(X5446:Z5446)</f>
        <v>0</v>
      </c>
      <c r="AB5446" s="222"/>
    </row>
    <row r="5447" spans="1:28" ht="17.100000000000001" customHeight="1" thickBot="1">
      <c r="A5447" s="227"/>
      <c r="B5447" s="27" t="s">
        <v>1708</v>
      </c>
      <c r="C5447" s="27" t="s">
        <v>15589</v>
      </c>
      <c r="D5447" s="14" t="s">
        <v>2559</v>
      </c>
      <c r="E5447" s="229"/>
      <c r="F5447" s="117" t="s">
        <v>15590</v>
      </c>
      <c r="G5447" s="26">
        <v>31312</v>
      </c>
      <c r="H5447" s="231"/>
      <c r="I5447" s="221"/>
      <c r="J5447" s="221"/>
      <c r="K5447" s="221"/>
      <c r="L5447" s="221"/>
      <c r="M5447" s="221"/>
      <c r="N5447" s="221"/>
      <c r="O5447" s="225"/>
      <c r="P5447" s="118" t="s">
        <v>4211</v>
      </c>
      <c r="Q5447" s="16" t="s">
        <v>20</v>
      </c>
      <c r="R5447" s="17" t="s">
        <v>2264</v>
      </c>
      <c r="S5447" s="121" t="s">
        <v>1606</v>
      </c>
      <c r="T5447" s="122"/>
      <c r="U5447" s="22"/>
      <c r="V5447" s="123"/>
      <c r="W5447" s="122"/>
      <c r="X5447" s="221"/>
      <c r="Y5447" s="221"/>
      <c r="Z5447" s="221"/>
      <c r="AA5447" s="221"/>
      <c r="AB5447" s="223"/>
    </row>
    <row r="5448" spans="1:28" ht="17.100000000000001" customHeight="1" thickTop="1">
      <c r="A5448" s="233" t="s">
        <v>15564</v>
      </c>
      <c r="B5448" s="28">
        <v>46045</v>
      </c>
      <c r="C5448" s="25"/>
      <c r="D5448" s="13" t="s">
        <v>1678</v>
      </c>
      <c r="E5448" s="228"/>
      <c r="F5448" s="109" t="s">
        <v>15673</v>
      </c>
      <c r="G5448" s="24" t="s">
        <v>11771</v>
      </c>
      <c r="H5448" s="230">
        <v>4.5</v>
      </c>
      <c r="I5448" s="220">
        <v>975000</v>
      </c>
      <c r="J5448" s="220">
        <f>I5448*0.1</f>
        <v>97500</v>
      </c>
      <c r="K5448" s="220">
        <v>0</v>
      </c>
      <c r="L5448" s="220">
        <v>8200</v>
      </c>
      <c r="M5448" s="220">
        <v>0</v>
      </c>
      <c r="N5448" s="220">
        <f>SUM(I5448:M5449)</f>
        <v>1080700</v>
      </c>
      <c r="O5448" s="224"/>
      <c r="P5448" s="110" t="s">
        <v>17335</v>
      </c>
      <c r="Q5448" s="15" t="s">
        <v>19</v>
      </c>
      <c r="R5448" s="205"/>
      <c r="S5448" s="189" t="s">
        <v>283</v>
      </c>
      <c r="T5448" s="114" t="s">
        <v>18303</v>
      </c>
      <c r="U5448" s="21"/>
      <c r="V5448" s="115"/>
      <c r="W5448" s="116"/>
      <c r="X5448" s="220"/>
      <c r="Y5448" s="220">
        <f>X5448*0.1</f>
        <v>0</v>
      </c>
      <c r="Z5448" s="220"/>
      <c r="AA5448" s="220">
        <f>SUM(X5448:Z5448)</f>
        <v>0</v>
      </c>
      <c r="AB5448" s="222"/>
    </row>
    <row r="5449" spans="1:28" ht="17.100000000000001" customHeight="1" thickBot="1">
      <c r="A5449" s="234"/>
      <c r="B5449" s="27" t="s">
        <v>1708</v>
      </c>
      <c r="C5449" s="27" t="s">
        <v>15591</v>
      </c>
      <c r="D5449" s="14" t="s">
        <v>898</v>
      </c>
      <c r="E5449" s="229"/>
      <c r="F5449" s="117" t="s">
        <v>15592</v>
      </c>
      <c r="G5449" s="26">
        <v>38657</v>
      </c>
      <c r="H5449" s="231"/>
      <c r="I5449" s="221"/>
      <c r="J5449" s="221"/>
      <c r="K5449" s="221"/>
      <c r="L5449" s="221"/>
      <c r="M5449" s="221"/>
      <c r="N5449" s="221"/>
      <c r="O5449" s="225"/>
      <c r="P5449" s="118" t="s">
        <v>17336</v>
      </c>
      <c r="Q5449" s="16" t="s">
        <v>20</v>
      </c>
      <c r="R5449" s="17" t="s">
        <v>3521</v>
      </c>
      <c r="S5449" s="121" t="s">
        <v>169</v>
      </c>
      <c r="T5449" s="122"/>
      <c r="U5449" s="22"/>
      <c r="V5449" s="123"/>
      <c r="W5449" s="122"/>
      <c r="X5449" s="221"/>
      <c r="Y5449" s="221"/>
      <c r="Z5449" s="221"/>
      <c r="AA5449" s="221"/>
      <c r="AB5449" s="223"/>
    </row>
    <row r="5450" spans="1:28" ht="17.100000000000001" customHeight="1" thickTop="1">
      <c r="A5450" s="233" t="s">
        <v>15565</v>
      </c>
      <c r="B5450" s="28">
        <v>46045</v>
      </c>
      <c r="C5450" s="25"/>
      <c r="D5450" s="13" t="s">
        <v>1598</v>
      </c>
      <c r="E5450" s="228"/>
      <c r="F5450" s="109" t="s">
        <v>15674</v>
      </c>
      <c r="G5450" s="24" t="s">
        <v>15675</v>
      </c>
      <c r="H5450" s="230">
        <v>3.5</v>
      </c>
      <c r="I5450" s="220">
        <v>619000</v>
      </c>
      <c r="J5450" s="220">
        <f>I5450*0.1</f>
        <v>61900</v>
      </c>
      <c r="K5450" s="220">
        <v>0</v>
      </c>
      <c r="L5450" s="220">
        <v>9790</v>
      </c>
      <c r="M5450" s="220">
        <v>0</v>
      </c>
      <c r="N5450" s="220">
        <f>SUM(I5450:M5451)</f>
        <v>690690</v>
      </c>
      <c r="O5450" s="224"/>
      <c r="P5450" s="110" t="s">
        <v>16197</v>
      </c>
      <c r="Q5450" s="15" t="s">
        <v>19</v>
      </c>
      <c r="R5450" s="205"/>
      <c r="S5450" s="189" t="s">
        <v>283</v>
      </c>
      <c r="T5450" s="114" t="s">
        <v>17618</v>
      </c>
      <c r="U5450" s="21"/>
      <c r="V5450" s="115"/>
      <c r="W5450" s="116"/>
      <c r="X5450" s="220"/>
      <c r="Y5450" s="220">
        <f>X5450*0.1</f>
        <v>0</v>
      </c>
      <c r="Z5450" s="220"/>
      <c r="AA5450" s="220">
        <f>SUM(X5450:Z5450)</f>
        <v>0</v>
      </c>
      <c r="AB5450" s="222"/>
    </row>
    <row r="5451" spans="1:28" ht="17.100000000000001" customHeight="1" thickBot="1">
      <c r="A5451" s="234"/>
      <c r="B5451" s="27" t="s">
        <v>1708</v>
      </c>
      <c r="C5451" s="27" t="s">
        <v>15593</v>
      </c>
      <c r="D5451" s="14" t="s">
        <v>1584</v>
      </c>
      <c r="E5451" s="229"/>
      <c r="F5451" s="117" t="s">
        <v>15594</v>
      </c>
      <c r="G5451" s="26">
        <v>59079</v>
      </c>
      <c r="H5451" s="231"/>
      <c r="I5451" s="221"/>
      <c r="J5451" s="221"/>
      <c r="K5451" s="221"/>
      <c r="L5451" s="221"/>
      <c r="M5451" s="221"/>
      <c r="N5451" s="221"/>
      <c r="O5451" s="225"/>
      <c r="P5451" s="118" t="s">
        <v>16198</v>
      </c>
      <c r="Q5451" s="16" t="s">
        <v>20</v>
      </c>
      <c r="R5451" s="17" t="s">
        <v>2282</v>
      </c>
      <c r="S5451" s="121" t="s">
        <v>16199</v>
      </c>
      <c r="T5451" s="122"/>
      <c r="U5451" s="22"/>
      <c r="V5451" s="123"/>
      <c r="W5451" s="122"/>
      <c r="X5451" s="221"/>
      <c r="Y5451" s="221"/>
      <c r="Z5451" s="221"/>
      <c r="AA5451" s="221"/>
      <c r="AB5451" s="223"/>
    </row>
    <row r="5452" spans="1:28" ht="17.100000000000001" customHeight="1" thickTop="1">
      <c r="A5452" s="226" t="s">
        <v>15566</v>
      </c>
      <c r="B5452" s="28">
        <v>46045</v>
      </c>
      <c r="C5452" s="25"/>
      <c r="D5452" s="13" t="s">
        <v>894</v>
      </c>
      <c r="E5452" s="228"/>
      <c r="F5452" s="109" t="s">
        <v>15676</v>
      </c>
      <c r="G5452" s="24" t="s">
        <v>15677</v>
      </c>
      <c r="H5452" s="230">
        <v>0</v>
      </c>
      <c r="I5452" s="220">
        <v>69000</v>
      </c>
      <c r="J5452" s="220">
        <f>I5452*0.1</f>
        <v>6900</v>
      </c>
      <c r="K5452" s="220">
        <v>0</v>
      </c>
      <c r="L5452" s="220">
        <v>8490</v>
      </c>
      <c r="M5452" s="220">
        <v>0</v>
      </c>
      <c r="N5452" s="220">
        <f>SUM(I5452:M5453)</f>
        <v>84390</v>
      </c>
      <c r="O5452" s="224"/>
      <c r="P5452" s="110" t="s">
        <v>18720</v>
      </c>
      <c r="Q5452" s="15" t="s">
        <v>19</v>
      </c>
      <c r="R5452" s="205"/>
      <c r="S5452" s="189" t="s">
        <v>25386</v>
      </c>
      <c r="T5452" s="114"/>
      <c r="U5452" s="21"/>
      <c r="V5452" s="115">
        <v>46088</v>
      </c>
      <c r="W5452" s="116">
        <v>1291</v>
      </c>
      <c r="X5452" s="220">
        <v>88000</v>
      </c>
      <c r="Y5452" s="220">
        <f>X5452*0.1</f>
        <v>8800</v>
      </c>
      <c r="Z5452" s="220">
        <v>8490</v>
      </c>
      <c r="AA5452" s="220">
        <f>SUM(X5452:Z5452)</f>
        <v>105290</v>
      </c>
      <c r="AB5452" s="222">
        <v>46091</v>
      </c>
    </row>
    <row r="5453" spans="1:28" ht="17.100000000000001" customHeight="1" thickBot="1">
      <c r="A5453" s="227"/>
      <c r="B5453" s="27" t="s">
        <v>1708</v>
      </c>
      <c r="C5453" s="27" t="s">
        <v>15595</v>
      </c>
      <c r="D5453" s="14" t="s">
        <v>898</v>
      </c>
      <c r="E5453" s="229"/>
      <c r="F5453" s="117" t="s">
        <v>15596</v>
      </c>
      <c r="G5453" s="26">
        <v>73017</v>
      </c>
      <c r="H5453" s="231"/>
      <c r="I5453" s="221"/>
      <c r="J5453" s="221"/>
      <c r="K5453" s="221"/>
      <c r="L5453" s="221"/>
      <c r="M5453" s="221"/>
      <c r="N5453" s="221"/>
      <c r="O5453" s="225"/>
      <c r="P5453" s="118" t="s">
        <v>13107</v>
      </c>
      <c r="Q5453" s="16" t="s">
        <v>20</v>
      </c>
      <c r="R5453" s="17" t="s">
        <v>1704</v>
      </c>
      <c r="S5453" s="121" t="s">
        <v>1606</v>
      </c>
      <c r="T5453" s="122"/>
      <c r="U5453" s="22"/>
      <c r="V5453" s="123" t="s">
        <v>2472</v>
      </c>
      <c r="W5453" s="122">
        <v>90287</v>
      </c>
      <c r="X5453" s="221"/>
      <c r="Y5453" s="221"/>
      <c r="Z5453" s="221"/>
      <c r="AA5453" s="221"/>
      <c r="AB5453" s="223"/>
    </row>
    <row r="5454" spans="1:28" ht="17.100000000000001" customHeight="1" thickTop="1">
      <c r="A5454" s="226" t="s">
        <v>15616</v>
      </c>
      <c r="B5454" s="28">
        <v>46046</v>
      </c>
      <c r="C5454" s="25">
        <v>1007</v>
      </c>
      <c r="D5454" s="13" t="s">
        <v>2264</v>
      </c>
      <c r="E5454" s="228"/>
      <c r="F5454" s="109" t="s">
        <v>14966</v>
      </c>
      <c r="G5454" s="24"/>
      <c r="H5454" s="230">
        <v>4.5</v>
      </c>
      <c r="I5454" s="220">
        <v>1300000</v>
      </c>
      <c r="J5454" s="220">
        <f>I5454*0.1</f>
        <v>130000</v>
      </c>
      <c r="K5454" s="220">
        <v>0</v>
      </c>
      <c r="L5454" s="220">
        <v>16240</v>
      </c>
      <c r="M5454" s="220">
        <v>15950</v>
      </c>
      <c r="N5454" s="220">
        <f>SUM(I5454:M5455)</f>
        <v>1462190</v>
      </c>
      <c r="O5454" s="224"/>
      <c r="P5454" s="110" t="s">
        <v>16000</v>
      </c>
      <c r="Q5454" s="15" t="s">
        <v>19</v>
      </c>
      <c r="R5454" s="205"/>
      <c r="S5454" s="189" t="s">
        <v>758</v>
      </c>
      <c r="T5454" s="114"/>
      <c r="U5454" s="21"/>
      <c r="V5454" s="115">
        <v>46067</v>
      </c>
      <c r="W5454" s="116">
        <v>1288</v>
      </c>
      <c r="X5454" s="220">
        <v>1440000</v>
      </c>
      <c r="Y5454" s="220">
        <f>X5454*0.1</f>
        <v>144000</v>
      </c>
      <c r="Z5454" s="220">
        <v>16240</v>
      </c>
      <c r="AA5454" s="220">
        <f>SUM(X5454:Z5454)</f>
        <v>1600240</v>
      </c>
      <c r="AB5454" s="222">
        <v>46070</v>
      </c>
    </row>
    <row r="5455" spans="1:28" ht="17.100000000000001" customHeight="1" thickBot="1">
      <c r="A5455" s="227"/>
      <c r="B5455" s="27" t="s">
        <v>1697</v>
      </c>
      <c r="C5455" s="27">
        <v>5075</v>
      </c>
      <c r="D5455" s="14" t="s">
        <v>1797</v>
      </c>
      <c r="E5455" s="229"/>
      <c r="F5455" s="117" t="s">
        <v>15617</v>
      </c>
      <c r="G5455" s="26">
        <v>43648</v>
      </c>
      <c r="H5455" s="231"/>
      <c r="I5455" s="221"/>
      <c r="J5455" s="221"/>
      <c r="K5455" s="221"/>
      <c r="L5455" s="221"/>
      <c r="M5455" s="221"/>
      <c r="N5455" s="221"/>
      <c r="O5455" s="225"/>
      <c r="P5455" s="118" t="s">
        <v>12422</v>
      </c>
      <c r="Q5455" s="16" t="s">
        <v>20</v>
      </c>
      <c r="R5455" s="17" t="s">
        <v>1822</v>
      </c>
      <c r="S5455" s="121" t="s">
        <v>8880</v>
      </c>
      <c r="T5455" s="122"/>
      <c r="U5455" s="22"/>
      <c r="V5455" s="123" t="s">
        <v>6641</v>
      </c>
      <c r="W5455" s="122">
        <v>80218</v>
      </c>
      <c r="X5455" s="221"/>
      <c r="Y5455" s="221"/>
      <c r="Z5455" s="221"/>
      <c r="AA5455" s="221"/>
      <c r="AB5455" s="223"/>
    </row>
    <row r="5456" spans="1:28" ht="17.100000000000001" customHeight="1" thickTop="1">
      <c r="A5456" s="226" t="s">
        <v>15618</v>
      </c>
      <c r="B5456" s="28">
        <v>46046</v>
      </c>
      <c r="C5456" s="25">
        <v>296</v>
      </c>
      <c r="D5456" s="13" t="s">
        <v>1704</v>
      </c>
      <c r="E5456" s="228"/>
      <c r="F5456" s="109" t="s">
        <v>15619</v>
      </c>
      <c r="G5456" s="24"/>
      <c r="H5456" s="230">
        <v>4</v>
      </c>
      <c r="I5456" s="220">
        <v>1164000</v>
      </c>
      <c r="J5456" s="220">
        <f>I5456*0.1</f>
        <v>116400</v>
      </c>
      <c r="K5456" s="220">
        <v>0</v>
      </c>
      <c r="L5456" s="220">
        <v>8390</v>
      </c>
      <c r="M5456" s="220">
        <v>15950</v>
      </c>
      <c r="N5456" s="220">
        <f>SUM(I5456:M5457)</f>
        <v>1304740</v>
      </c>
      <c r="O5456" s="224"/>
      <c r="P5456" s="110" t="s">
        <v>15988</v>
      </c>
      <c r="Q5456" s="15" t="s">
        <v>19</v>
      </c>
      <c r="R5456" s="205"/>
      <c r="S5456" s="189" t="s">
        <v>758</v>
      </c>
      <c r="T5456" s="114"/>
      <c r="U5456" s="21"/>
      <c r="V5456" s="115"/>
      <c r="W5456" s="116"/>
      <c r="X5456" s="220"/>
      <c r="Y5456" s="220">
        <f>X5456*0.1</f>
        <v>0</v>
      </c>
      <c r="Z5456" s="220"/>
      <c r="AA5456" s="220">
        <f>SUM(X5456:Z5456)</f>
        <v>0</v>
      </c>
      <c r="AB5456" s="222"/>
    </row>
    <row r="5457" spans="1:28" ht="17.100000000000001" customHeight="1" thickBot="1">
      <c r="A5457" s="227"/>
      <c r="B5457" s="27" t="s">
        <v>3518</v>
      </c>
      <c r="C5457" s="27">
        <v>3057</v>
      </c>
      <c r="D5457" s="14" t="s">
        <v>2559</v>
      </c>
      <c r="E5457" s="229"/>
      <c r="F5457" s="117" t="s">
        <v>15620</v>
      </c>
      <c r="G5457" s="26">
        <v>56009</v>
      </c>
      <c r="H5457" s="231"/>
      <c r="I5457" s="221"/>
      <c r="J5457" s="221"/>
      <c r="K5457" s="221"/>
      <c r="L5457" s="221"/>
      <c r="M5457" s="221"/>
      <c r="N5457" s="221"/>
      <c r="O5457" s="225"/>
      <c r="P5457" s="118" t="s">
        <v>8371</v>
      </c>
      <c r="Q5457" s="16" t="s">
        <v>20</v>
      </c>
      <c r="R5457" s="17" t="s">
        <v>1822</v>
      </c>
      <c r="S5457" s="121" t="s">
        <v>8880</v>
      </c>
      <c r="T5457" s="122"/>
      <c r="U5457" s="22"/>
      <c r="V5457" s="123"/>
      <c r="W5457" s="122"/>
      <c r="X5457" s="221"/>
      <c r="Y5457" s="221"/>
      <c r="Z5457" s="221"/>
      <c r="AA5457" s="221"/>
      <c r="AB5457" s="223"/>
    </row>
    <row r="5458" spans="1:28" ht="17.100000000000001" customHeight="1" thickTop="1">
      <c r="A5458" s="226" t="s">
        <v>15678</v>
      </c>
      <c r="B5458" s="28">
        <v>46046</v>
      </c>
      <c r="C5458" s="25">
        <v>1450</v>
      </c>
      <c r="D5458" s="13" t="s">
        <v>1837</v>
      </c>
      <c r="E5458" s="228"/>
      <c r="F5458" s="109" t="s">
        <v>15691</v>
      </c>
      <c r="G5458" s="24"/>
      <c r="H5458" s="230">
        <v>4.5</v>
      </c>
      <c r="I5458" s="220">
        <v>1055000</v>
      </c>
      <c r="J5458" s="220">
        <f>I5458*0.1</f>
        <v>105500</v>
      </c>
      <c r="K5458" s="220">
        <v>0</v>
      </c>
      <c r="L5458" s="220">
        <v>17250</v>
      </c>
      <c r="M5458" s="220">
        <v>16500</v>
      </c>
      <c r="N5458" s="220">
        <f>SUM(I5458:M5459)</f>
        <v>1194250</v>
      </c>
      <c r="O5458" s="224"/>
      <c r="P5458" s="110" t="s">
        <v>15994</v>
      </c>
      <c r="Q5458" s="15" t="s">
        <v>19</v>
      </c>
      <c r="R5458" s="205"/>
      <c r="S5458" s="189"/>
      <c r="T5458" s="114"/>
      <c r="U5458" s="21"/>
      <c r="V5458" s="115">
        <v>46065</v>
      </c>
      <c r="W5458" s="116">
        <v>1318</v>
      </c>
      <c r="X5458" s="220">
        <v>1190000</v>
      </c>
      <c r="Y5458" s="220">
        <f>X5458*0.1</f>
        <v>119000</v>
      </c>
      <c r="Z5458" s="220">
        <v>17250</v>
      </c>
      <c r="AA5458" s="220">
        <f>SUM(X5458:Z5458)</f>
        <v>1326250</v>
      </c>
      <c r="AB5458" s="222">
        <v>46066</v>
      </c>
    </row>
    <row r="5459" spans="1:28" ht="17.100000000000001" customHeight="1" thickBot="1">
      <c r="A5459" s="227"/>
      <c r="B5459" s="27" t="s">
        <v>1765</v>
      </c>
      <c r="C5459" s="27">
        <v>6026</v>
      </c>
      <c r="D5459" s="14" t="s">
        <v>2753</v>
      </c>
      <c r="E5459" s="229"/>
      <c r="F5459" s="117" t="s">
        <v>15712</v>
      </c>
      <c r="G5459" s="26">
        <v>23354</v>
      </c>
      <c r="H5459" s="231"/>
      <c r="I5459" s="221"/>
      <c r="J5459" s="221"/>
      <c r="K5459" s="221"/>
      <c r="L5459" s="221"/>
      <c r="M5459" s="221"/>
      <c r="N5459" s="221"/>
      <c r="O5459" s="225"/>
      <c r="P5459" s="118" t="s">
        <v>10478</v>
      </c>
      <c r="Q5459" s="16" t="s">
        <v>20</v>
      </c>
      <c r="R5459" s="17" t="s">
        <v>1822</v>
      </c>
      <c r="S5459" s="121" t="s">
        <v>7722</v>
      </c>
      <c r="T5459" s="122"/>
      <c r="U5459" s="22"/>
      <c r="V5459" s="123" t="s">
        <v>13379</v>
      </c>
      <c r="W5459" s="122">
        <v>26</v>
      </c>
      <c r="X5459" s="221"/>
      <c r="Y5459" s="221"/>
      <c r="Z5459" s="221"/>
      <c r="AA5459" s="221"/>
      <c r="AB5459" s="223"/>
    </row>
    <row r="5460" spans="1:28" ht="17.100000000000001" customHeight="1" thickTop="1">
      <c r="A5460" s="226" t="s">
        <v>15679</v>
      </c>
      <c r="B5460" s="28">
        <v>46046</v>
      </c>
      <c r="C5460" s="25">
        <v>1450</v>
      </c>
      <c r="D5460" s="13" t="s">
        <v>2712</v>
      </c>
      <c r="E5460" s="228"/>
      <c r="F5460" s="109" t="s">
        <v>15546</v>
      </c>
      <c r="G5460" s="24" t="s">
        <v>5031</v>
      </c>
      <c r="H5460" s="230">
        <v>4.5</v>
      </c>
      <c r="I5460" s="220">
        <v>1340000</v>
      </c>
      <c r="J5460" s="220">
        <f>I5460*0.1</f>
        <v>134000</v>
      </c>
      <c r="K5460" s="220">
        <v>6600</v>
      </c>
      <c r="L5460" s="220">
        <v>17800</v>
      </c>
      <c r="M5460" s="220">
        <v>16500</v>
      </c>
      <c r="N5460" s="220">
        <f>SUM(I5460:M5461)</f>
        <v>1514900</v>
      </c>
      <c r="O5460" s="224"/>
      <c r="P5460" s="110" t="s">
        <v>15714</v>
      </c>
      <c r="Q5460" s="15" t="s">
        <v>19</v>
      </c>
      <c r="R5460" s="205"/>
      <c r="S5460" s="189" t="s">
        <v>25726</v>
      </c>
      <c r="T5460" s="114"/>
      <c r="U5460" s="21" t="s">
        <v>17023</v>
      </c>
      <c r="V5460" s="115">
        <v>46067</v>
      </c>
      <c r="W5460" s="116">
        <v>1288</v>
      </c>
      <c r="X5460" s="220">
        <v>1410000</v>
      </c>
      <c r="Y5460" s="220">
        <f>X5460*0.1</f>
        <v>141000</v>
      </c>
      <c r="Z5460" s="220">
        <v>17800</v>
      </c>
      <c r="AA5460" s="220">
        <f>SUM(X5460:Z5460)</f>
        <v>1568800</v>
      </c>
      <c r="AB5460" s="222">
        <v>46070</v>
      </c>
    </row>
    <row r="5461" spans="1:28" ht="17.100000000000001" customHeight="1" thickBot="1">
      <c r="A5461" s="227"/>
      <c r="B5461" s="27" t="s">
        <v>1765</v>
      </c>
      <c r="C5461" s="27">
        <v>7125</v>
      </c>
      <c r="D5461" s="14" t="s">
        <v>898</v>
      </c>
      <c r="E5461" s="229"/>
      <c r="F5461" s="117" t="s">
        <v>15713</v>
      </c>
      <c r="G5461" s="26">
        <v>60365</v>
      </c>
      <c r="H5461" s="231"/>
      <c r="I5461" s="221"/>
      <c r="J5461" s="221"/>
      <c r="K5461" s="221"/>
      <c r="L5461" s="221"/>
      <c r="M5461" s="221"/>
      <c r="N5461" s="221"/>
      <c r="O5461" s="225"/>
      <c r="P5461" s="118" t="s">
        <v>16059</v>
      </c>
      <c r="Q5461" s="16" t="s">
        <v>20</v>
      </c>
      <c r="R5461" s="17" t="s">
        <v>16027</v>
      </c>
      <c r="S5461" s="121" t="s">
        <v>17731</v>
      </c>
      <c r="T5461" s="122"/>
      <c r="U5461" s="22"/>
      <c r="V5461" s="123" t="s">
        <v>2472</v>
      </c>
      <c r="W5461" s="122">
        <v>80093</v>
      </c>
      <c r="X5461" s="221"/>
      <c r="Y5461" s="221"/>
      <c r="Z5461" s="221"/>
      <c r="AA5461" s="221"/>
      <c r="AB5461" s="223"/>
    </row>
    <row r="5462" spans="1:28" ht="17.100000000000001" customHeight="1" thickTop="1">
      <c r="A5462" s="226" t="s">
        <v>15680</v>
      </c>
      <c r="B5462" s="28">
        <v>46046</v>
      </c>
      <c r="C5462" s="25">
        <v>1285</v>
      </c>
      <c r="D5462" s="13" t="s">
        <v>2010</v>
      </c>
      <c r="E5462" s="228"/>
      <c r="F5462" s="109" t="s">
        <v>15692</v>
      </c>
      <c r="G5462" s="24"/>
      <c r="H5462" s="230">
        <v>5</v>
      </c>
      <c r="I5462" s="220">
        <v>4080000</v>
      </c>
      <c r="J5462" s="220">
        <f>I5462*0.1</f>
        <v>408000</v>
      </c>
      <c r="K5462" s="220">
        <v>0</v>
      </c>
      <c r="L5462" s="220">
        <v>15540</v>
      </c>
      <c r="M5462" s="220">
        <v>12100</v>
      </c>
      <c r="N5462" s="220">
        <f>SUM(I5462:M5463)</f>
        <v>4515640</v>
      </c>
      <c r="O5462" s="224"/>
      <c r="P5462" s="110" t="s">
        <v>16222</v>
      </c>
      <c r="Q5462" s="15" t="s">
        <v>19</v>
      </c>
      <c r="R5462" s="205"/>
      <c r="S5462" s="189" t="s">
        <v>758</v>
      </c>
      <c r="T5462" s="114"/>
      <c r="U5462" s="21"/>
      <c r="V5462" s="115">
        <v>46134</v>
      </c>
      <c r="W5462" s="116">
        <v>1014</v>
      </c>
      <c r="X5462" s="220">
        <v>4150000</v>
      </c>
      <c r="Y5462" s="220">
        <f>X5462*0.1</f>
        <v>415000</v>
      </c>
      <c r="Z5462" s="220">
        <v>15540</v>
      </c>
      <c r="AA5462" s="220">
        <f>SUM(X5462:Z5462)</f>
        <v>4580540</v>
      </c>
      <c r="AB5462" s="222">
        <v>46139</v>
      </c>
    </row>
    <row r="5463" spans="1:28" ht="17.100000000000001" customHeight="1" thickBot="1">
      <c r="A5463" s="227"/>
      <c r="B5463" s="27" t="s">
        <v>2472</v>
      </c>
      <c r="C5463" s="27">
        <v>35173</v>
      </c>
      <c r="D5463" s="14" t="s">
        <v>2559</v>
      </c>
      <c r="E5463" s="229"/>
      <c r="F5463" s="117" t="s">
        <v>15693</v>
      </c>
      <c r="G5463" s="26">
        <v>39980</v>
      </c>
      <c r="H5463" s="231"/>
      <c r="I5463" s="221"/>
      <c r="J5463" s="221"/>
      <c r="K5463" s="221"/>
      <c r="L5463" s="221"/>
      <c r="M5463" s="221"/>
      <c r="N5463" s="221"/>
      <c r="O5463" s="225"/>
      <c r="P5463" s="118" t="s">
        <v>16223</v>
      </c>
      <c r="Q5463" s="16" t="s">
        <v>20</v>
      </c>
      <c r="R5463" s="17" t="s">
        <v>2282</v>
      </c>
      <c r="S5463" s="121" t="s">
        <v>16224</v>
      </c>
      <c r="T5463" s="122"/>
      <c r="U5463" s="22"/>
      <c r="V5463" s="123" t="s">
        <v>7161</v>
      </c>
      <c r="W5463" s="122">
        <v>6040</v>
      </c>
      <c r="X5463" s="221"/>
      <c r="Y5463" s="221"/>
      <c r="Z5463" s="221"/>
      <c r="AA5463" s="221"/>
      <c r="AB5463" s="223"/>
    </row>
    <row r="5464" spans="1:28" ht="17.100000000000001" customHeight="1" thickTop="1">
      <c r="A5464" s="233" t="s">
        <v>15681</v>
      </c>
      <c r="B5464" s="28">
        <v>46046</v>
      </c>
      <c r="C5464" s="25">
        <v>1285</v>
      </c>
      <c r="D5464" s="13" t="s">
        <v>1853</v>
      </c>
      <c r="E5464" s="228"/>
      <c r="F5464" s="109" t="s">
        <v>419</v>
      </c>
      <c r="G5464" s="24"/>
      <c r="H5464" s="230">
        <v>4</v>
      </c>
      <c r="I5464" s="220">
        <v>576000</v>
      </c>
      <c r="J5464" s="220">
        <f>I5464*0.1</f>
        <v>57600</v>
      </c>
      <c r="K5464" s="220">
        <v>0</v>
      </c>
      <c r="L5464" s="220">
        <v>17700</v>
      </c>
      <c r="M5464" s="220">
        <v>16500</v>
      </c>
      <c r="N5464" s="220">
        <f>SUM(I5464:M5465)</f>
        <v>667800</v>
      </c>
      <c r="O5464" s="224"/>
      <c r="P5464" s="110"/>
      <c r="Q5464" s="15" t="s">
        <v>19</v>
      </c>
      <c r="R5464" s="205"/>
      <c r="S5464" s="189" t="s">
        <v>25504</v>
      </c>
      <c r="T5464" s="114" t="s">
        <v>7899</v>
      </c>
      <c r="U5464" s="21"/>
      <c r="V5464" s="115"/>
      <c r="W5464" s="116"/>
      <c r="X5464" s="220"/>
      <c r="Y5464" s="220">
        <f>X5464*0.1</f>
        <v>0</v>
      </c>
      <c r="Z5464" s="220"/>
      <c r="AA5464" s="220">
        <f>SUM(X5464:Z5464)</f>
        <v>0</v>
      </c>
      <c r="AB5464" s="222"/>
    </row>
    <row r="5465" spans="1:28" ht="17.100000000000001" customHeight="1" thickBot="1">
      <c r="A5465" s="234"/>
      <c r="B5465" s="27" t="s">
        <v>2472</v>
      </c>
      <c r="C5465" s="27">
        <v>53169</v>
      </c>
      <c r="D5465" s="14" t="s">
        <v>1584</v>
      </c>
      <c r="E5465" s="229"/>
      <c r="F5465" s="117" t="s">
        <v>15715</v>
      </c>
      <c r="G5465" s="26">
        <v>103360</v>
      </c>
      <c r="H5465" s="231"/>
      <c r="I5465" s="221"/>
      <c r="J5465" s="221"/>
      <c r="K5465" s="221"/>
      <c r="L5465" s="221"/>
      <c r="M5465" s="221"/>
      <c r="N5465" s="221"/>
      <c r="O5465" s="225"/>
      <c r="P5465" s="118"/>
      <c r="Q5465" s="16" t="s">
        <v>20</v>
      </c>
      <c r="R5465" s="17" t="s">
        <v>10331</v>
      </c>
      <c r="S5465" s="121"/>
      <c r="T5465" s="122"/>
      <c r="U5465" s="22"/>
      <c r="V5465" s="123"/>
      <c r="W5465" s="122"/>
      <c r="X5465" s="221"/>
      <c r="Y5465" s="221"/>
      <c r="Z5465" s="221"/>
      <c r="AA5465" s="221"/>
      <c r="AB5465" s="223"/>
    </row>
    <row r="5466" spans="1:28" ht="17.100000000000001" customHeight="1" thickTop="1">
      <c r="A5466" s="226" t="s">
        <v>15682</v>
      </c>
      <c r="B5466" s="28">
        <v>46046</v>
      </c>
      <c r="C5466" s="25">
        <v>1285</v>
      </c>
      <c r="D5466" s="13" t="s">
        <v>2158</v>
      </c>
      <c r="E5466" s="228"/>
      <c r="F5466" s="109" t="s">
        <v>7546</v>
      </c>
      <c r="G5466" s="24"/>
      <c r="H5466" s="230">
        <v>4.5</v>
      </c>
      <c r="I5466" s="220">
        <v>995000</v>
      </c>
      <c r="J5466" s="220">
        <f>I5466*0.1</f>
        <v>99500</v>
      </c>
      <c r="K5466" s="220">
        <v>0</v>
      </c>
      <c r="L5466" s="220">
        <v>8740</v>
      </c>
      <c r="M5466" s="220">
        <v>13200</v>
      </c>
      <c r="N5466" s="220">
        <f>SUM(I5466:M5467)</f>
        <v>1116440</v>
      </c>
      <c r="O5466" s="224"/>
      <c r="P5466" s="110" t="s">
        <v>16207</v>
      </c>
      <c r="Q5466" s="15" t="s">
        <v>19</v>
      </c>
      <c r="R5466" s="205"/>
      <c r="S5466" s="189" t="s">
        <v>25710</v>
      </c>
      <c r="T5466" s="114"/>
      <c r="U5466" s="21"/>
      <c r="V5466" s="115">
        <v>46056</v>
      </c>
      <c r="W5466" s="116">
        <v>1927</v>
      </c>
      <c r="X5466" s="220">
        <v>1065000</v>
      </c>
      <c r="Y5466" s="220">
        <f>X5466*0.1</f>
        <v>106500</v>
      </c>
      <c r="Z5466" s="220">
        <v>8740</v>
      </c>
      <c r="AA5466" s="220">
        <f>SUM(X5466:Z5466)</f>
        <v>1180240</v>
      </c>
      <c r="AB5466" s="222"/>
    </row>
    <row r="5467" spans="1:28" ht="17.100000000000001" customHeight="1" thickBot="1">
      <c r="A5467" s="227"/>
      <c r="B5467" s="27" t="s">
        <v>2472</v>
      </c>
      <c r="C5467" s="27">
        <v>60022</v>
      </c>
      <c r="D5467" s="14" t="s">
        <v>1690</v>
      </c>
      <c r="E5467" s="229"/>
      <c r="F5467" s="117" t="s">
        <v>15694</v>
      </c>
      <c r="G5467" s="26">
        <v>41202</v>
      </c>
      <c r="H5467" s="231"/>
      <c r="I5467" s="221"/>
      <c r="J5467" s="221"/>
      <c r="K5467" s="221"/>
      <c r="L5467" s="221"/>
      <c r="M5467" s="221"/>
      <c r="N5467" s="221"/>
      <c r="O5467" s="225"/>
      <c r="P5467" s="118" t="s">
        <v>4638</v>
      </c>
      <c r="Q5467" s="16" t="s">
        <v>20</v>
      </c>
      <c r="R5467" s="17" t="s">
        <v>2282</v>
      </c>
      <c r="S5467" s="121" t="s">
        <v>2025</v>
      </c>
      <c r="T5467" s="122"/>
      <c r="U5467" s="22"/>
      <c r="V5467" s="123" t="s">
        <v>7507</v>
      </c>
      <c r="W5467" s="122">
        <v>3105</v>
      </c>
      <c r="X5467" s="221"/>
      <c r="Y5467" s="221"/>
      <c r="Z5467" s="221"/>
      <c r="AA5467" s="221"/>
      <c r="AB5467" s="223"/>
    </row>
    <row r="5468" spans="1:28" ht="17.100000000000001" customHeight="1" thickTop="1">
      <c r="A5468" s="233" t="s">
        <v>15683</v>
      </c>
      <c r="B5468" s="28">
        <v>46046</v>
      </c>
      <c r="C5468" s="25">
        <v>1285</v>
      </c>
      <c r="D5468" s="13" t="s">
        <v>2195</v>
      </c>
      <c r="E5468" s="228"/>
      <c r="F5468" s="109" t="s">
        <v>15695</v>
      </c>
      <c r="G5468" s="24"/>
      <c r="H5468" s="230">
        <v>4.5</v>
      </c>
      <c r="I5468" s="220">
        <v>930000</v>
      </c>
      <c r="J5468" s="220">
        <f>I5468*0.1</f>
        <v>93000</v>
      </c>
      <c r="K5468" s="220">
        <v>0</v>
      </c>
      <c r="L5468" s="220">
        <v>8510</v>
      </c>
      <c r="M5468" s="220">
        <v>11000</v>
      </c>
      <c r="N5468" s="220">
        <f>SUM(I5468:M5469)</f>
        <v>1042510</v>
      </c>
      <c r="O5468" s="224"/>
      <c r="P5468" s="110" t="s">
        <v>16212</v>
      </c>
      <c r="Q5468" s="15" t="s">
        <v>19</v>
      </c>
      <c r="R5468" s="205"/>
      <c r="S5468" s="189" t="s">
        <v>283</v>
      </c>
      <c r="T5468" s="114"/>
      <c r="U5468" s="21"/>
      <c r="V5468" s="115"/>
      <c r="W5468" s="116"/>
      <c r="X5468" s="220"/>
      <c r="Y5468" s="220">
        <f>X5468*0.1</f>
        <v>0</v>
      </c>
      <c r="Z5468" s="220"/>
      <c r="AA5468" s="220">
        <f>SUM(X5468:Z5468)</f>
        <v>0</v>
      </c>
      <c r="AB5468" s="222"/>
    </row>
    <row r="5469" spans="1:28" ht="17.100000000000001" customHeight="1" thickBot="1">
      <c r="A5469" s="234"/>
      <c r="B5469" s="27" t="s">
        <v>2472</v>
      </c>
      <c r="C5469" s="27">
        <v>62080</v>
      </c>
      <c r="D5469" s="14" t="s">
        <v>1584</v>
      </c>
      <c r="E5469" s="229"/>
      <c r="F5469" s="117" t="s">
        <v>15696</v>
      </c>
      <c r="G5469" s="26">
        <v>14470</v>
      </c>
      <c r="H5469" s="231"/>
      <c r="I5469" s="221"/>
      <c r="J5469" s="221"/>
      <c r="K5469" s="221"/>
      <c r="L5469" s="221"/>
      <c r="M5469" s="221"/>
      <c r="N5469" s="221"/>
      <c r="O5469" s="225"/>
      <c r="P5469" s="118" t="s">
        <v>2870</v>
      </c>
      <c r="Q5469" s="16" t="s">
        <v>20</v>
      </c>
      <c r="R5469" s="17" t="s">
        <v>2282</v>
      </c>
      <c r="S5469" s="121" t="s">
        <v>12721</v>
      </c>
      <c r="T5469" s="122"/>
      <c r="U5469" s="22"/>
      <c r="V5469" s="123"/>
      <c r="W5469" s="122"/>
      <c r="X5469" s="221"/>
      <c r="Y5469" s="221"/>
      <c r="Z5469" s="221"/>
      <c r="AA5469" s="221"/>
      <c r="AB5469" s="223"/>
    </row>
    <row r="5470" spans="1:28" ht="17.100000000000001" customHeight="1" thickTop="1">
      <c r="A5470" s="226" t="s">
        <v>15684</v>
      </c>
      <c r="B5470" s="28">
        <v>46046</v>
      </c>
      <c r="C5470" s="25">
        <v>1285</v>
      </c>
      <c r="D5470" s="13" t="s">
        <v>2203</v>
      </c>
      <c r="E5470" s="228"/>
      <c r="F5470" s="109" t="s">
        <v>15697</v>
      </c>
      <c r="G5470" s="24" t="s">
        <v>9199</v>
      </c>
      <c r="H5470" s="230">
        <v>4</v>
      </c>
      <c r="I5470" s="220">
        <v>775000</v>
      </c>
      <c r="J5470" s="220">
        <f>I5470*0.1</f>
        <v>77500</v>
      </c>
      <c r="K5470" s="220">
        <v>0</v>
      </c>
      <c r="L5470" s="220">
        <v>9200</v>
      </c>
      <c r="M5470" s="220">
        <v>13200</v>
      </c>
      <c r="N5470" s="220">
        <f>SUM(I5470:M5471)</f>
        <v>874900</v>
      </c>
      <c r="O5470" s="224"/>
      <c r="P5470" s="110" t="s">
        <v>16209</v>
      </c>
      <c r="Q5470" s="15" t="s">
        <v>19</v>
      </c>
      <c r="R5470" s="205"/>
      <c r="S5470" s="189" t="s">
        <v>25432</v>
      </c>
      <c r="T5470" s="114"/>
      <c r="U5470" s="21"/>
      <c r="V5470" s="115">
        <v>46053</v>
      </c>
      <c r="W5470" s="116">
        <v>1286</v>
      </c>
      <c r="X5470" s="220">
        <v>860000</v>
      </c>
      <c r="Y5470" s="220">
        <f>X5470*0.1</f>
        <v>86000</v>
      </c>
      <c r="Z5470" s="220">
        <v>9200</v>
      </c>
      <c r="AA5470" s="220">
        <f>SUM(X5470:Z5470)</f>
        <v>955200</v>
      </c>
      <c r="AB5470" s="222">
        <v>46056</v>
      </c>
    </row>
    <row r="5471" spans="1:28" ht="17.100000000000001" customHeight="1" thickBot="1">
      <c r="A5471" s="227"/>
      <c r="B5471" s="27" t="s">
        <v>2472</v>
      </c>
      <c r="C5471" s="27">
        <v>65116</v>
      </c>
      <c r="D5471" s="14" t="s">
        <v>273</v>
      </c>
      <c r="E5471" s="229"/>
      <c r="F5471" s="117" t="s">
        <v>15698</v>
      </c>
      <c r="G5471" s="26">
        <v>67083</v>
      </c>
      <c r="H5471" s="231"/>
      <c r="I5471" s="221"/>
      <c r="J5471" s="221"/>
      <c r="K5471" s="221"/>
      <c r="L5471" s="221"/>
      <c r="M5471" s="221"/>
      <c r="N5471" s="221"/>
      <c r="O5471" s="225"/>
      <c r="P5471" s="118" t="s">
        <v>1972</v>
      </c>
      <c r="Q5471" s="16" t="s">
        <v>20</v>
      </c>
      <c r="R5471" s="17" t="s">
        <v>2282</v>
      </c>
      <c r="S5471" s="121" t="s">
        <v>4539</v>
      </c>
      <c r="T5471" s="122"/>
      <c r="U5471" s="22"/>
      <c r="V5471" s="123" t="s">
        <v>2472</v>
      </c>
      <c r="W5471" s="122">
        <v>60388</v>
      </c>
      <c r="X5471" s="221"/>
      <c r="Y5471" s="221"/>
      <c r="Z5471" s="221"/>
      <c r="AA5471" s="221"/>
      <c r="AB5471" s="223"/>
    </row>
    <row r="5472" spans="1:28" ht="17.100000000000001" customHeight="1" thickTop="1">
      <c r="A5472" s="226" t="s">
        <v>15685</v>
      </c>
      <c r="B5472" s="28">
        <v>46046</v>
      </c>
      <c r="C5472" s="25">
        <v>1285</v>
      </c>
      <c r="D5472" s="13" t="s">
        <v>1702</v>
      </c>
      <c r="E5472" s="228"/>
      <c r="F5472" s="109" t="s">
        <v>15513</v>
      </c>
      <c r="G5472" s="24" t="s">
        <v>2487</v>
      </c>
      <c r="H5472" s="230">
        <v>4</v>
      </c>
      <c r="I5472" s="220">
        <v>780000</v>
      </c>
      <c r="J5472" s="220">
        <f>I5472*0.1</f>
        <v>78000</v>
      </c>
      <c r="K5472" s="220">
        <v>0</v>
      </c>
      <c r="L5472" s="220">
        <v>9080</v>
      </c>
      <c r="M5472" s="220">
        <v>13200</v>
      </c>
      <c r="N5472" s="220">
        <f>SUM(I5472:M5473)</f>
        <v>880280</v>
      </c>
      <c r="O5472" s="224"/>
      <c r="P5472" s="110" t="s">
        <v>15716</v>
      </c>
      <c r="Q5472" s="15" t="s">
        <v>19</v>
      </c>
      <c r="R5472" s="205"/>
      <c r="S5472" s="189" t="s">
        <v>758</v>
      </c>
      <c r="T5472" s="114"/>
      <c r="U5472" s="21"/>
      <c r="V5472" s="115">
        <v>46060</v>
      </c>
      <c r="W5472" s="116">
        <v>1287</v>
      </c>
      <c r="X5472" s="220">
        <v>850000</v>
      </c>
      <c r="Y5472" s="220">
        <f>X5472*0.1</f>
        <v>85000</v>
      </c>
      <c r="Z5472" s="220">
        <v>9080</v>
      </c>
      <c r="AA5472" s="220">
        <f>SUM(X5472:Z5472)</f>
        <v>944080</v>
      </c>
      <c r="AB5472" s="222">
        <v>46065</v>
      </c>
    </row>
    <row r="5473" spans="1:28" ht="17.100000000000001" customHeight="1" thickBot="1">
      <c r="A5473" s="227"/>
      <c r="B5473" s="27" t="s">
        <v>2472</v>
      </c>
      <c r="C5473" s="27">
        <v>65233</v>
      </c>
      <c r="D5473" s="14" t="s">
        <v>2014</v>
      </c>
      <c r="E5473" s="229"/>
      <c r="F5473" s="117" t="s">
        <v>15699</v>
      </c>
      <c r="G5473" s="26">
        <v>76464</v>
      </c>
      <c r="H5473" s="231"/>
      <c r="I5473" s="221"/>
      <c r="J5473" s="221"/>
      <c r="K5473" s="221"/>
      <c r="L5473" s="221"/>
      <c r="M5473" s="221"/>
      <c r="N5473" s="221"/>
      <c r="O5473" s="225"/>
      <c r="P5473" s="118" t="s">
        <v>16210</v>
      </c>
      <c r="Q5473" s="16" t="s">
        <v>20</v>
      </c>
      <c r="R5473" s="17" t="s">
        <v>2282</v>
      </c>
      <c r="S5473" s="121" t="s">
        <v>16211</v>
      </c>
      <c r="T5473" s="122" t="s">
        <v>16018</v>
      </c>
      <c r="U5473" s="22"/>
      <c r="V5473" s="123" t="s">
        <v>2472</v>
      </c>
      <c r="W5473" s="122">
        <v>60351</v>
      </c>
      <c r="X5473" s="221"/>
      <c r="Y5473" s="221"/>
      <c r="Z5473" s="221"/>
      <c r="AA5473" s="221"/>
      <c r="AB5473" s="223"/>
    </row>
    <row r="5474" spans="1:28" ht="17.100000000000001" customHeight="1" thickTop="1">
      <c r="A5474" s="226" t="s">
        <v>15686</v>
      </c>
      <c r="B5474" s="28">
        <v>46046</v>
      </c>
      <c r="C5474" s="25">
        <v>1285</v>
      </c>
      <c r="D5474" s="13" t="s">
        <v>2379</v>
      </c>
      <c r="E5474" s="228"/>
      <c r="F5474" s="109" t="s">
        <v>14900</v>
      </c>
      <c r="G5474" s="24" t="s">
        <v>15717</v>
      </c>
      <c r="H5474" s="230">
        <v>5</v>
      </c>
      <c r="I5474" s="220">
        <v>1145000</v>
      </c>
      <c r="J5474" s="220">
        <v>114500</v>
      </c>
      <c r="K5474" s="220">
        <v>0</v>
      </c>
      <c r="L5474" s="220">
        <v>8350</v>
      </c>
      <c r="M5474" s="220">
        <v>12100</v>
      </c>
      <c r="N5474" s="220">
        <f>SUM(I5474:M5475)</f>
        <v>1279950</v>
      </c>
      <c r="O5474" s="224"/>
      <c r="P5474" s="110" t="s">
        <v>15718</v>
      </c>
      <c r="Q5474" s="15" t="s">
        <v>19</v>
      </c>
      <c r="R5474" s="205"/>
      <c r="S5474" s="189" t="s">
        <v>25701</v>
      </c>
      <c r="T5474" s="114"/>
      <c r="U5474" s="21" t="s">
        <v>16428</v>
      </c>
      <c r="V5474" s="115">
        <v>46056</v>
      </c>
      <c r="W5474" s="116">
        <v>1927</v>
      </c>
      <c r="X5474" s="220">
        <v>1203000</v>
      </c>
      <c r="Y5474" s="220">
        <f>X5474*0.1</f>
        <v>120300</v>
      </c>
      <c r="Z5474" s="220">
        <v>8350</v>
      </c>
      <c r="AA5474" s="220">
        <f>SUM(X5474:Z5474)</f>
        <v>1331650</v>
      </c>
      <c r="AB5474" s="222">
        <v>46063</v>
      </c>
    </row>
    <row r="5475" spans="1:28" ht="17.100000000000001" customHeight="1" thickBot="1">
      <c r="A5475" s="227"/>
      <c r="B5475" s="27" t="s">
        <v>2472</v>
      </c>
      <c r="C5475" s="27">
        <v>65239</v>
      </c>
      <c r="D5475" s="14" t="s">
        <v>2520</v>
      </c>
      <c r="E5475" s="229"/>
      <c r="F5475" s="117" t="s">
        <v>15700</v>
      </c>
      <c r="G5475" s="26">
        <v>6545</v>
      </c>
      <c r="H5475" s="231"/>
      <c r="I5475" s="221"/>
      <c r="J5475" s="221"/>
      <c r="K5475" s="221"/>
      <c r="L5475" s="221"/>
      <c r="M5475" s="221"/>
      <c r="N5475" s="221"/>
      <c r="O5475" s="225"/>
      <c r="P5475" s="118" t="s">
        <v>16208</v>
      </c>
      <c r="Q5475" s="16" t="s">
        <v>20</v>
      </c>
      <c r="R5475" s="17" t="s">
        <v>2282</v>
      </c>
      <c r="S5475" s="121" t="s">
        <v>10484</v>
      </c>
      <c r="T5475" s="122"/>
      <c r="U5475" s="22"/>
      <c r="V5475" s="123" t="s">
        <v>2103</v>
      </c>
      <c r="W5475" s="122">
        <v>3061</v>
      </c>
      <c r="X5475" s="221"/>
      <c r="Y5475" s="221"/>
      <c r="Z5475" s="221"/>
      <c r="AA5475" s="221"/>
      <c r="AB5475" s="223"/>
    </row>
    <row r="5476" spans="1:28" ht="17.100000000000001" customHeight="1" thickTop="1">
      <c r="A5476" s="226" t="s">
        <v>15687</v>
      </c>
      <c r="B5476" s="28">
        <v>46046</v>
      </c>
      <c r="C5476" s="25">
        <v>1285</v>
      </c>
      <c r="D5476" s="13" t="s">
        <v>2324</v>
      </c>
      <c r="E5476" s="228"/>
      <c r="F5476" s="109" t="s">
        <v>7546</v>
      </c>
      <c r="G5476" s="24"/>
      <c r="H5476" s="230">
        <v>4.5</v>
      </c>
      <c r="I5476" s="220">
        <v>1220000</v>
      </c>
      <c r="J5476" s="220">
        <f>I5476*0.1</f>
        <v>122000</v>
      </c>
      <c r="K5476" s="220">
        <v>0</v>
      </c>
      <c r="L5476" s="220">
        <v>8740</v>
      </c>
      <c r="M5476" s="220">
        <v>12100</v>
      </c>
      <c r="N5476" s="220">
        <f>SUM(I5476:M5477)</f>
        <v>1362840</v>
      </c>
      <c r="O5476" s="224"/>
      <c r="P5476" s="110" t="s">
        <v>15719</v>
      </c>
      <c r="Q5476" s="15" t="s">
        <v>19</v>
      </c>
      <c r="R5476" s="205"/>
      <c r="S5476" s="189" t="s">
        <v>455</v>
      </c>
      <c r="T5476" s="114"/>
      <c r="U5476" s="21"/>
      <c r="V5476" s="115">
        <v>46049</v>
      </c>
      <c r="W5476" s="116">
        <v>1926</v>
      </c>
      <c r="X5476" s="220">
        <v>1306000</v>
      </c>
      <c r="Y5476" s="220">
        <f>X5476*0.1</f>
        <v>130600</v>
      </c>
      <c r="Z5476" s="220">
        <v>8740</v>
      </c>
      <c r="AA5476" s="220">
        <f>SUM(X5476:Z5476)</f>
        <v>1445340</v>
      </c>
      <c r="AB5476" s="222"/>
    </row>
    <row r="5477" spans="1:28" ht="17.100000000000001" customHeight="1" thickBot="1">
      <c r="A5477" s="227"/>
      <c r="B5477" s="27" t="s">
        <v>2472</v>
      </c>
      <c r="C5477" s="27">
        <v>65393</v>
      </c>
      <c r="D5477" s="14" t="s">
        <v>2559</v>
      </c>
      <c r="E5477" s="229"/>
      <c r="F5477" s="117" t="s">
        <v>15701</v>
      </c>
      <c r="G5477" s="26">
        <v>47826</v>
      </c>
      <c r="H5477" s="231"/>
      <c r="I5477" s="221"/>
      <c r="J5477" s="221"/>
      <c r="K5477" s="221"/>
      <c r="L5477" s="221"/>
      <c r="M5477" s="221"/>
      <c r="N5477" s="221"/>
      <c r="O5477" s="225"/>
      <c r="P5477" s="118" t="s">
        <v>6729</v>
      </c>
      <c r="Q5477" s="16" t="s">
        <v>20</v>
      </c>
      <c r="R5477" s="17" t="s">
        <v>2282</v>
      </c>
      <c r="S5477" s="121" t="s">
        <v>5047</v>
      </c>
      <c r="T5477" s="122"/>
      <c r="U5477" s="22"/>
      <c r="V5477" s="123" t="s">
        <v>2103</v>
      </c>
      <c r="W5477" s="122">
        <v>3391</v>
      </c>
      <c r="X5477" s="221"/>
      <c r="Y5477" s="221"/>
      <c r="Z5477" s="221"/>
      <c r="AA5477" s="221"/>
      <c r="AB5477" s="223"/>
    </row>
    <row r="5478" spans="1:28" ht="17.100000000000001" customHeight="1" thickTop="1">
      <c r="A5478" s="226" t="s">
        <v>15688</v>
      </c>
      <c r="B5478" s="28">
        <v>46046</v>
      </c>
      <c r="C5478" s="25">
        <v>1285</v>
      </c>
      <c r="D5478" s="13" t="s">
        <v>2313</v>
      </c>
      <c r="E5478" s="228"/>
      <c r="F5478" s="109" t="s">
        <v>7214</v>
      </c>
      <c r="G5478" s="24" t="s">
        <v>14380</v>
      </c>
      <c r="H5478" s="230">
        <v>4</v>
      </c>
      <c r="I5478" s="220">
        <v>730000</v>
      </c>
      <c r="J5478" s="220">
        <f>I5478*0.1</f>
        <v>73000</v>
      </c>
      <c r="K5478" s="220">
        <v>0</v>
      </c>
      <c r="L5478" s="220">
        <v>8400</v>
      </c>
      <c r="M5478" s="220">
        <v>12100</v>
      </c>
      <c r="N5478" s="220">
        <f>SUM(I5478:M5479)</f>
        <v>823500</v>
      </c>
      <c r="O5478" s="224"/>
      <c r="P5478" s="110" t="s">
        <v>15720</v>
      </c>
      <c r="Q5478" s="15" t="s">
        <v>19</v>
      </c>
      <c r="R5478" s="205"/>
      <c r="S5478" s="189" t="s">
        <v>283</v>
      </c>
      <c r="T5478" s="114"/>
      <c r="U5478" s="21"/>
      <c r="V5478" s="115">
        <v>46050</v>
      </c>
      <c r="W5478" s="116">
        <v>1002</v>
      </c>
      <c r="X5478" s="220">
        <v>800000</v>
      </c>
      <c r="Y5478" s="220">
        <f>X5478*0.1</f>
        <v>80000</v>
      </c>
      <c r="Z5478" s="220">
        <v>8400</v>
      </c>
      <c r="AA5478" s="220">
        <f>SUM(X5478:Z5478)</f>
        <v>888400</v>
      </c>
      <c r="AB5478" s="222">
        <v>46056</v>
      </c>
    </row>
    <row r="5479" spans="1:28" ht="17.100000000000001" customHeight="1" thickBot="1">
      <c r="A5479" s="227"/>
      <c r="B5479" s="27" t="s">
        <v>2472</v>
      </c>
      <c r="C5479" s="27">
        <v>65442</v>
      </c>
      <c r="D5479" s="14" t="s">
        <v>2559</v>
      </c>
      <c r="E5479" s="229"/>
      <c r="F5479" s="117" t="s">
        <v>15702</v>
      </c>
      <c r="G5479" s="26">
        <v>50982</v>
      </c>
      <c r="H5479" s="231"/>
      <c r="I5479" s="221"/>
      <c r="J5479" s="221"/>
      <c r="K5479" s="221"/>
      <c r="L5479" s="221"/>
      <c r="M5479" s="221"/>
      <c r="N5479" s="221"/>
      <c r="O5479" s="225"/>
      <c r="P5479" s="118" t="s">
        <v>16201</v>
      </c>
      <c r="Q5479" s="16" t="s">
        <v>20</v>
      </c>
      <c r="R5479" s="17" t="s">
        <v>2282</v>
      </c>
      <c r="S5479" s="121" t="s">
        <v>16202</v>
      </c>
      <c r="T5479" s="122"/>
      <c r="U5479" s="22"/>
      <c r="V5479" s="123" t="s">
        <v>2747</v>
      </c>
      <c r="W5479" s="122">
        <v>5106</v>
      </c>
      <c r="X5479" s="221"/>
      <c r="Y5479" s="221"/>
      <c r="Z5479" s="221"/>
      <c r="AA5479" s="221"/>
      <c r="AB5479" s="223"/>
    </row>
    <row r="5480" spans="1:28" ht="17.100000000000001" customHeight="1" thickTop="1">
      <c r="A5480" s="226" t="s">
        <v>15689</v>
      </c>
      <c r="B5480" s="28">
        <v>46046</v>
      </c>
      <c r="C5480" s="25">
        <v>1285</v>
      </c>
      <c r="D5480" s="13" t="s">
        <v>1909</v>
      </c>
      <c r="E5480" s="228"/>
      <c r="F5480" s="109" t="s">
        <v>7495</v>
      </c>
      <c r="G5480" s="24" t="s">
        <v>2487</v>
      </c>
      <c r="H5480" s="230">
        <v>5</v>
      </c>
      <c r="I5480" s="220">
        <v>1085000</v>
      </c>
      <c r="J5480" s="220">
        <f>I5480*0.1</f>
        <v>108500</v>
      </c>
      <c r="K5480" s="220">
        <v>0</v>
      </c>
      <c r="L5480" s="220">
        <v>5670</v>
      </c>
      <c r="M5480" s="220">
        <v>12100</v>
      </c>
      <c r="N5480" s="220">
        <f>SUM(I5480:M5481)</f>
        <v>1211270</v>
      </c>
      <c r="O5480" s="224"/>
      <c r="P5480" s="110" t="s">
        <v>15721</v>
      </c>
      <c r="Q5480" s="15" t="s">
        <v>19</v>
      </c>
      <c r="R5480" s="205"/>
      <c r="S5480" s="189" t="s">
        <v>25727</v>
      </c>
      <c r="T5480" s="114"/>
      <c r="U5480" s="21"/>
      <c r="V5480" s="115">
        <v>46049</v>
      </c>
      <c r="W5480" s="116">
        <v>1926</v>
      </c>
      <c r="X5480" s="220">
        <v>1218000</v>
      </c>
      <c r="Y5480" s="220">
        <f>X5480*0.1</f>
        <v>121800</v>
      </c>
      <c r="Z5480" s="220">
        <v>5670</v>
      </c>
      <c r="AA5480" s="220">
        <f>SUM(X5480:Z5480)</f>
        <v>1345470</v>
      </c>
      <c r="AB5480" s="222"/>
    </row>
    <row r="5481" spans="1:28" ht="17.100000000000001" customHeight="1" thickBot="1">
      <c r="A5481" s="227"/>
      <c r="B5481" s="27" t="s">
        <v>2472</v>
      </c>
      <c r="C5481" s="27">
        <v>65475</v>
      </c>
      <c r="D5481" s="14" t="s">
        <v>2753</v>
      </c>
      <c r="E5481" s="229"/>
      <c r="F5481" s="117" t="s">
        <v>15703</v>
      </c>
      <c r="G5481" s="26">
        <v>10968</v>
      </c>
      <c r="H5481" s="231"/>
      <c r="I5481" s="221"/>
      <c r="J5481" s="221"/>
      <c r="K5481" s="221"/>
      <c r="L5481" s="221"/>
      <c r="M5481" s="221"/>
      <c r="N5481" s="221"/>
      <c r="O5481" s="225"/>
      <c r="P5481" s="118" t="s">
        <v>16205</v>
      </c>
      <c r="Q5481" s="16" t="s">
        <v>20</v>
      </c>
      <c r="R5481" s="17" t="s">
        <v>2282</v>
      </c>
      <c r="S5481" s="121" t="s">
        <v>16206</v>
      </c>
      <c r="T5481" s="122"/>
      <c r="U5481" s="22"/>
      <c r="V5481" s="123" t="s">
        <v>2103</v>
      </c>
      <c r="W5481" s="122">
        <v>3389</v>
      </c>
      <c r="X5481" s="221"/>
      <c r="Y5481" s="221"/>
      <c r="Z5481" s="221"/>
      <c r="AA5481" s="221"/>
      <c r="AB5481" s="223"/>
    </row>
    <row r="5482" spans="1:28" ht="17.100000000000001" customHeight="1" thickTop="1">
      <c r="A5482" s="226" t="s">
        <v>15690</v>
      </c>
      <c r="B5482" s="28">
        <v>46046</v>
      </c>
      <c r="C5482" s="25">
        <v>1285</v>
      </c>
      <c r="D5482" s="13" t="s">
        <v>1634</v>
      </c>
      <c r="E5482" s="228"/>
      <c r="F5482" s="109" t="s">
        <v>6851</v>
      </c>
      <c r="G5482" s="24" t="s">
        <v>15723</v>
      </c>
      <c r="H5482" s="230">
        <v>4.5</v>
      </c>
      <c r="I5482" s="220">
        <v>1004000</v>
      </c>
      <c r="J5482" s="220">
        <f>I5482*0.1</f>
        <v>100400</v>
      </c>
      <c r="K5482" s="220">
        <v>0</v>
      </c>
      <c r="L5482" s="220">
        <v>7040</v>
      </c>
      <c r="M5482" s="220">
        <v>12100</v>
      </c>
      <c r="N5482" s="220">
        <f>SUM(I5482:M5483)</f>
        <v>1123540</v>
      </c>
      <c r="O5482" s="224"/>
      <c r="P5482" s="110" t="s">
        <v>15724</v>
      </c>
      <c r="Q5482" s="15" t="s">
        <v>19</v>
      </c>
      <c r="R5482" s="205"/>
      <c r="S5482" s="189" t="s">
        <v>25728</v>
      </c>
      <c r="T5482" s="114"/>
      <c r="U5482" s="21" t="s">
        <v>17604</v>
      </c>
      <c r="V5482" s="115"/>
      <c r="W5482" s="116"/>
      <c r="X5482" s="220"/>
      <c r="Y5482" s="220">
        <f>X5482*0.1</f>
        <v>0</v>
      </c>
      <c r="Z5482" s="220"/>
      <c r="AA5482" s="220">
        <f>SUM(X5482:Z5482)</f>
        <v>0</v>
      </c>
      <c r="AB5482" s="222"/>
    </row>
    <row r="5483" spans="1:28" ht="17.100000000000001" customHeight="1" thickBot="1">
      <c r="A5483" s="227"/>
      <c r="B5483" s="27" t="s">
        <v>2472</v>
      </c>
      <c r="C5483" s="27">
        <v>65532</v>
      </c>
      <c r="D5483" s="14" t="s">
        <v>15722</v>
      </c>
      <c r="E5483" s="229"/>
      <c r="F5483" s="117" t="s">
        <v>15704</v>
      </c>
      <c r="G5483" s="26">
        <v>57982</v>
      </c>
      <c r="H5483" s="231"/>
      <c r="I5483" s="221"/>
      <c r="J5483" s="221"/>
      <c r="K5483" s="221"/>
      <c r="L5483" s="221"/>
      <c r="M5483" s="221"/>
      <c r="N5483" s="221"/>
      <c r="O5483" s="225"/>
      <c r="P5483" s="118" t="s">
        <v>1972</v>
      </c>
      <c r="Q5483" s="16" t="s">
        <v>20</v>
      </c>
      <c r="R5483" s="17" t="s">
        <v>2282</v>
      </c>
      <c r="S5483" s="121" t="s">
        <v>10350</v>
      </c>
      <c r="T5483" s="122"/>
      <c r="U5483" s="22"/>
      <c r="V5483" s="123"/>
      <c r="W5483" s="122"/>
      <c r="X5483" s="221"/>
      <c r="Y5483" s="221"/>
      <c r="Z5483" s="221"/>
      <c r="AA5483" s="221"/>
      <c r="AB5483" s="223"/>
    </row>
    <row r="5484" spans="1:28" ht="17.100000000000001" customHeight="1" thickTop="1">
      <c r="A5484" s="226" t="s">
        <v>15708</v>
      </c>
      <c r="B5484" s="28">
        <v>46046</v>
      </c>
      <c r="C5484" s="25">
        <v>1285</v>
      </c>
      <c r="D5484" s="13" t="s">
        <v>1762</v>
      </c>
      <c r="E5484" s="228"/>
      <c r="F5484" s="109" t="s">
        <v>419</v>
      </c>
      <c r="G5484" s="24"/>
      <c r="H5484" s="230">
        <v>4</v>
      </c>
      <c r="I5484" s="220">
        <v>715000</v>
      </c>
      <c r="J5484" s="220">
        <f>I5484*0.1</f>
        <v>71500</v>
      </c>
      <c r="K5484" s="220">
        <v>0</v>
      </c>
      <c r="L5484" s="220">
        <v>18960</v>
      </c>
      <c r="M5484" s="220">
        <v>16500</v>
      </c>
      <c r="N5484" s="220">
        <f>SUM(I5484:M5485)</f>
        <v>821960</v>
      </c>
      <c r="O5484" s="224"/>
      <c r="P5484" s="110" t="s">
        <v>16213</v>
      </c>
      <c r="Q5484" s="15" t="s">
        <v>19</v>
      </c>
      <c r="R5484" s="205"/>
      <c r="S5484" s="189" t="s">
        <v>455</v>
      </c>
      <c r="T5484" s="114"/>
      <c r="U5484" s="21"/>
      <c r="V5484" s="115">
        <v>46067</v>
      </c>
      <c r="W5484" s="116">
        <v>1288</v>
      </c>
      <c r="X5484" s="220">
        <v>805000</v>
      </c>
      <c r="Y5484" s="220">
        <f>X5484*0.1</f>
        <v>80500</v>
      </c>
      <c r="Z5484" s="220">
        <v>18960</v>
      </c>
      <c r="AA5484" s="220">
        <f>SUM(X5484:Z5484)</f>
        <v>904460</v>
      </c>
      <c r="AB5484" s="222">
        <v>46070</v>
      </c>
    </row>
    <row r="5485" spans="1:28" ht="17.100000000000001" customHeight="1" thickBot="1">
      <c r="A5485" s="227"/>
      <c r="B5485" s="27" t="s">
        <v>2472</v>
      </c>
      <c r="C5485" s="27">
        <v>82030</v>
      </c>
      <c r="D5485" s="14" t="s">
        <v>1866</v>
      </c>
      <c r="E5485" s="229"/>
      <c r="F5485" s="117" t="s">
        <v>15725</v>
      </c>
      <c r="G5485" s="26">
        <v>52372</v>
      </c>
      <c r="H5485" s="231"/>
      <c r="I5485" s="221"/>
      <c r="J5485" s="221"/>
      <c r="K5485" s="221"/>
      <c r="L5485" s="221"/>
      <c r="M5485" s="221"/>
      <c r="N5485" s="221"/>
      <c r="O5485" s="225"/>
      <c r="P5485" s="118" t="s">
        <v>2839</v>
      </c>
      <c r="Q5485" s="16" t="s">
        <v>20</v>
      </c>
      <c r="R5485" s="17" t="s">
        <v>2282</v>
      </c>
      <c r="S5485" s="121" t="s">
        <v>1731</v>
      </c>
      <c r="T5485" s="122"/>
      <c r="U5485" s="22"/>
      <c r="V5485" s="123" t="s">
        <v>2472</v>
      </c>
      <c r="W5485" s="122">
        <v>80121</v>
      </c>
      <c r="X5485" s="221"/>
      <c r="Y5485" s="221"/>
      <c r="Z5485" s="221"/>
      <c r="AA5485" s="221"/>
      <c r="AB5485" s="223"/>
    </row>
    <row r="5486" spans="1:28" ht="17.100000000000001" customHeight="1" thickTop="1">
      <c r="A5486" s="226" t="s">
        <v>15709</v>
      </c>
      <c r="B5486" s="28">
        <v>46046</v>
      </c>
      <c r="C5486" s="25">
        <v>1285</v>
      </c>
      <c r="D5486" s="13" t="s">
        <v>4050</v>
      </c>
      <c r="E5486" s="228"/>
      <c r="F5486" s="109" t="s">
        <v>15705</v>
      </c>
      <c r="G5486" s="24" t="s">
        <v>4120</v>
      </c>
      <c r="H5486" s="230">
        <v>4.5</v>
      </c>
      <c r="I5486" s="220">
        <v>1915000</v>
      </c>
      <c r="J5486" s="220">
        <f>I5486*0.1</f>
        <v>191500</v>
      </c>
      <c r="K5486" s="220">
        <v>7150</v>
      </c>
      <c r="L5486" s="220">
        <v>19090</v>
      </c>
      <c r="M5486" s="220">
        <v>16500</v>
      </c>
      <c r="N5486" s="220">
        <f>SUM(I5486:M5487)</f>
        <v>2149240</v>
      </c>
      <c r="O5486" s="224"/>
      <c r="P5486" s="110" t="s">
        <v>15727</v>
      </c>
      <c r="Q5486" s="15" t="s">
        <v>19</v>
      </c>
      <c r="R5486" s="205"/>
      <c r="S5486" s="189" t="s">
        <v>25507</v>
      </c>
      <c r="T5486" s="114"/>
      <c r="U5486" s="21"/>
      <c r="V5486" s="115"/>
      <c r="W5486" s="116"/>
      <c r="X5486" s="220"/>
      <c r="Y5486" s="220">
        <f>X5486*0.1</f>
        <v>0</v>
      </c>
      <c r="Z5486" s="220"/>
      <c r="AA5486" s="220">
        <f>SUM(X5486:Z5486)</f>
        <v>0</v>
      </c>
      <c r="AB5486" s="222"/>
    </row>
    <row r="5487" spans="1:28" ht="17.100000000000001" customHeight="1" thickBot="1">
      <c r="A5487" s="227"/>
      <c r="B5487" s="27" t="s">
        <v>2472</v>
      </c>
      <c r="C5487" s="27">
        <v>82187</v>
      </c>
      <c r="D5487" s="14" t="s">
        <v>273</v>
      </c>
      <c r="E5487" s="229"/>
      <c r="F5487" s="117" t="s">
        <v>15726</v>
      </c>
      <c r="G5487" s="26">
        <v>35282</v>
      </c>
      <c r="H5487" s="231"/>
      <c r="I5487" s="221"/>
      <c r="J5487" s="221"/>
      <c r="K5487" s="221"/>
      <c r="L5487" s="221"/>
      <c r="M5487" s="221"/>
      <c r="N5487" s="221"/>
      <c r="O5487" s="225"/>
      <c r="P5487" s="118" t="s">
        <v>16216</v>
      </c>
      <c r="Q5487" s="16" t="s">
        <v>20</v>
      </c>
      <c r="R5487" s="17" t="s">
        <v>2282</v>
      </c>
      <c r="S5487" s="121" t="s">
        <v>1606</v>
      </c>
      <c r="T5487" s="122"/>
      <c r="U5487" s="22"/>
      <c r="V5487" s="123"/>
      <c r="W5487" s="122"/>
      <c r="X5487" s="221"/>
      <c r="Y5487" s="221"/>
      <c r="Z5487" s="221"/>
      <c r="AA5487" s="221"/>
      <c r="AB5487" s="223"/>
    </row>
    <row r="5488" spans="1:28" ht="17.100000000000001" customHeight="1" thickTop="1">
      <c r="A5488" s="226" t="s">
        <v>15710</v>
      </c>
      <c r="B5488" s="28">
        <v>46046</v>
      </c>
      <c r="C5488" s="25">
        <v>1285</v>
      </c>
      <c r="D5488" s="13" t="s">
        <v>2406</v>
      </c>
      <c r="E5488" s="228"/>
      <c r="F5488" s="109" t="s">
        <v>15706</v>
      </c>
      <c r="G5488" s="24"/>
      <c r="H5488" s="230">
        <v>4</v>
      </c>
      <c r="I5488" s="220">
        <v>1270000</v>
      </c>
      <c r="J5488" s="220">
        <f>I5488*0.1</f>
        <v>127000</v>
      </c>
      <c r="K5488" s="220">
        <v>0</v>
      </c>
      <c r="L5488" s="220">
        <v>18920</v>
      </c>
      <c r="M5488" s="220">
        <v>16500</v>
      </c>
      <c r="N5488" s="220">
        <f>SUM(I5488:M5489)</f>
        <v>1432420</v>
      </c>
      <c r="O5488" s="224"/>
      <c r="P5488" s="110" t="s">
        <v>16200</v>
      </c>
      <c r="Q5488" s="15" t="s">
        <v>19</v>
      </c>
      <c r="R5488" s="205"/>
      <c r="S5488" s="189"/>
      <c r="T5488" s="114"/>
      <c r="U5488" s="21"/>
      <c r="V5488" s="115">
        <v>46051</v>
      </c>
      <c r="W5488" s="116">
        <v>1316</v>
      </c>
      <c r="X5488" s="220">
        <v>1620000</v>
      </c>
      <c r="Y5488" s="220">
        <f>X5488*0.1</f>
        <v>162000</v>
      </c>
      <c r="Z5488" s="220">
        <v>18920</v>
      </c>
      <c r="AA5488" s="220">
        <f>SUM(X5488:Z5488)</f>
        <v>1800920</v>
      </c>
      <c r="AB5488" s="222">
        <v>46052</v>
      </c>
    </row>
    <row r="5489" spans="1:28" ht="17.100000000000001" customHeight="1" thickBot="1">
      <c r="A5489" s="227"/>
      <c r="B5489" s="27" t="s">
        <v>2472</v>
      </c>
      <c r="C5489" s="27">
        <v>82519</v>
      </c>
      <c r="D5489" s="14" t="s">
        <v>1584</v>
      </c>
      <c r="E5489" s="229"/>
      <c r="F5489" s="117" t="s">
        <v>15728</v>
      </c>
      <c r="G5489" s="26">
        <v>24815</v>
      </c>
      <c r="H5489" s="231"/>
      <c r="I5489" s="221"/>
      <c r="J5489" s="221"/>
      <c r="K5489" s="221"/>
      <c r="L5489" s="221"/>
      <c r="M5489" s="221"/>
      <c r="N5489" s="221"/>
      <c r="O5489" s="225"/>
      <c r="P5489" s="118" t="s">
        <v>2615</v>
      </c>
      <c r="Q5489" s="16" t="s">
        <v>20</v>
      </c>
      <c r="R5489" s="17" t="s">
        <v>2282</v>
      </c>
      <c r="S5489" s="121" t="s">
        <v>1573</v>
      </c>
      <c r="T5489" s="122"/>
      <c r="U5489" s="22"/>
      <c r="V5489" s="123" t="s">
        <v>13379</v>
      </c>
      <c r="W5489" s="122">
        <v>91</v>
      </c>
      <c r="X5489" s="221"/>
      <c r="Y5489" s="221"/>
      <c r="Z5489" s="221"/>
      <c r="AA5489" s="221"/>
      <c r="AB5489" s="223"/>
    </row>
    <row r="5490" spans="1:28" ht="17.100000000000001" customHeight="1" thickTop="1">
      <c r="A5490" s="226" t="s">
        <v>15711</v>
      </c>
      <c r="B5490" s="28">
        <v>46046</v>
      </c>
      <c r="C5490" s="25">
        <v>1285</v>
      </c>
      <c r="D5490" s="13" t="s">
        <v>1883</v>
      </c>
      <c r="E5490" s="228"/>
      <c r="F5490" s="109" t="s">
        <v>15707</v>
      </c>
      <c r="G5490" s="24"/>
      <c r="H5490" s="230">
        <v>4</v>
      </c>
      <c r="I5490" s="220">
        <v>2470000</v>
      </c>
      <c r="J5490" s="220">
        <f>I5490*0.1</f>
        <v>247000</v>
      </c>
      <c r="K5490" s="220">
        <v>0</v>
      </c>
      <c r="L5490" s="220">
        <v>16240</v>
      </c>
      <c r="M5490" s="220">
        <v>16500</v>
      </c>
      <c r="N5490" s="220">
        <f>SUM(I5490:M5491)</f>
        <v>2749740</v>
      </c>
      <c r="O5490" s="224"/>
      <c r="P5490" s="110" t="s">
        <v>16214</v>
      </c>
      <c r="Q5490" s="15" t="s">
        <v>19</v>
      </c>
      <c r="R5490" s="205"/>
      <c r="S5490" s="189"/>
      <c r="T5490" s="114"/>
      <c r="U5490" s="21"/>
      <c r="V5490" s="115"/>
      <c r="W5490" s="116"/>
      <c r="X5490" s="220"/>
      <c r="Y5490" s="220">
        <f>X5490*0.1</f>
        <v>0</v>
      </c>
      <c r="Z5490" s="220"/>
      <c r="AA5490" s="220">
        <f>SUM(X5490:Z5490)</f>
        <v>0</v>
      </c>
      <c r="AB5490" s="222"/>
    </row>
    <row r="5491" spans="1:28" ht="17.100000000000001" customHeight="1" thickBot="1">
      <c r="A5491" s="227"/>
      <c r="B5491" s="27" t="s">
        <v>2472</v>
      </c>
      <c r="C5491" s="27">
        <v>82542</v>
      </c>
      <c r="D5491" s="14" t="s">
        <v>273</v>
      </c>
      <c r="E5491" s="229"/>
      <c r="F5491" s="117" t="s">
        <v>15729</v>
      </c>
      <c r="G5491" s="26">
        <v>37564</v>
      </c>
      <c r="H5491" s="231"/>
      <c r="I5491" s="221"/>
      <c r="J5491" s="221"/>
      <c r="K5491" s="221"/>
      <c r="L5491" s="221"/>
      <c r="M5491" s="221"/>
      <c r="N5491" s="221"/>
      <c r="O5491" s="225"/>
      <c r="P5491" s="118" t="s">
        <v>16215</v>
      </c>
      <c r="Q5491" s="16" t="s">
        <v>20</v>
      </c>
      <c r="R5491" s="17" t="s">
        <v>2282</v>
      </c>
      <c r="S5491" s="121"/>
      <c r="T5491" s="122"/>
      <c r="U5491" s="22"/>
      <c r="V5491" s="123"/>
      <c r="W5491" s="122"/>
      <c r="X5491" s="221"/>
      <c r="Y5491" s="221"/>
      <c r="Z5491" s="221"/>
      <c r="AA5491" s="221"/>
      <c r="AB5491" s="223"/>
    </row>
    <row r="5492" spans="1:28" ht="17.100000000000001" customHeight="1" thickTop="1">
      <c r="A5492" s="226" t="s">
        <v>15744</v>
      </c>
      <c r="B5492" s="28">
        <v>46046</v>
      </c>
      <c r="C5492" s="25">
        <v>1703</v>
      </c>
      <c r="D5492" s="13" t="s">
        <v>3406</v>
      </c>
      <c r="E5492" s="228"/>
      <c r="F5492" s="109" t="s">
        <v>15741</v>
      </c>
      <c r="G5492" s="24"/>
      <c r="H5492" s="230">
        <v>4.5</v>
      </c>
      <c r="I5492" s="220">
        <v>3195000</v>
      </c>
      <c r="J5492" s="220">
        <f>I5492*0.1</f>
        <v>319500</v>
      </c>
      <c r="K5492" s="220">
        <v>0</v>
      </c>
      <c r="L5492" s="220">
        <v>20170</v>
      </c>
      <c r="M5492" s="220">
        <v>16500</v>
      </c>
      <c r="N5492" s="220">
        <f>SUM(I5492:M5493)</f>
        <v>3551170</v>
      </c>
      <c r="O5492" s="224"/>
      <c r="P5492" s="110" t="s">
        <v>16217</v>
      </c>
      <c r="Q5492" s="15" t="s">
        <v>19</v>
      </c>
      <c r="R5492" s="205"/>
      <c r="S5492" s="189" t="s">
        <v>1312</v>
      </c>
      <c r="T5492" s="114"/>
      <c r="U5492" s="21"/>
      <c r="V5492" s="115">
        <v>46053</v>
      </c>
      <c r="W5492" s="116">
        <v>1286</v>
      </c>
      <c r="X5492" s="220">
        <v>3390000</v>
      </c>
      <c r="Y5492" s="220">
        <f>X5492*0.1</f>
        <v>339000</v>
      </c>
      <c r="Z5492" s="220">
        <v>20170</v>
      </c>
      <c r="AA5492" s="220">
        <f>SUM(X5492:Z5492)</f>
        <v>3749170</v>
      </c>
      <c r="AB5492" s="222">
        <v>46056</v>
      </c>
    </row>
    <row r="5493" spans="1:28" ht="17.100000000000001" customHeight="1" thickBot="1">
      <c r="A5493" s="227"/>
      <c r="B5493" s="27" t="s">
        <v>1842</v>
      </c>
      <c r="C5493" s="27">
        <v>579</v>
      </c>
      <c r="D5493" s="14" t="s">
        <v>1584</v>
      </c>
      <c r="E5493" s="229"/>
      <c r="F5493" s="117" t="s">
        <v>15742</v>
      </c>
      <c r="G5493" s="26">
        <v>57382</v>
      </c>
      <c r="H5493" s="231"/>
      <c r="I5493" s="221"/>
      <c r="J5493" s="221"/>
      <c r="K5493" s="221"/>
      <c r="L5493" s="221"/>
      <c r="M5493" s="221"/>
      <c r="N5493" s="221"/>
      <c r="O5493" s="225"/>
      <c r="P5493" s="118" t="s">
        <v>16218</v>
      </c>
      <c r="Q5493" s="16" t="s">
        <v>20</v>
      </c>
      <c r="R5493" s="17" t="s">
        <v>2282</v>
      </c>
      <c r="S5493" s="121" t="s">
        <v>1606</v>
      </c>
      <c r="T5493" s="122"/>
      <c r="U5493" s="22"/>
      <c r="V5493" s="123" t="s">
        <v>2472</v>
      </c>
      <c r="W5493" s="122">
        <v>80222</v>
      </c>
      <c r="X5493" s="221"/>
      <c r="Y5493" s="221"/>
      <c r="Z5493" s="221"/>
      <c r="AA5493" s="221"/>
      <c r="AB5493" s="223"/>
    </row>
    <row r="5494" spans="1:28" ht="17.100000000000001" customHeight="1" thickTop="1">
      <c r="A5494" s="226" t="s">
        <v>15745</v>
      </c>
      <c r="B5494" s="28">
        <v>46046</v>
      </c>
      <c r="C5494" s="25">
        <v>1703</v>
      </c>
      <c r="D5494" s="13" t="s">
        <v>2866</v>
      </c>
      <c r="E5494" s="228"/>
      <c r="F5494" s="109" t="s">
        <v>15746</v>
      </c>
      <c r="G5494" s="24" t="s">
        <v>2038</v>
      </c>
      <c r="H5494" s="230">
        <v>4.5</v>
      </c>
      <c r="I5494" s="220">
        <v>1375000</v>
      </c>
      <c r="J5494" s="220">
        <f>I5494*0.1</f>
        <v>137500</v>
      </c>
      <c r="K5494" s="220">
        <f>6500+650</f>
        <v>7150</v>
      </c>
      <c r="L5494" s="220">
        <v>22240</v>
      </c>
      <c r="M5494" s="220">
        <v>16500</v>
      </c>
      <c r="N5494" s="220">
        <f>SUM(I5494:M5495)</f>
        <v>1558390</v>
      </c>
      <c r="O5494" s="224"/>
      <c r="P5494" s="110" t="s">
        <v>15747</v>
      </c>
      <c r="Q5494" s="15" t="s">
        <v>19</v>
      </c>
      <c r="R5494" s="205"/>
      <c r="S5494" s="189" t="s">
        <v>1406</v>
      </c>
      <c r="T5494" s="114"/>
      <c r="U5494" s="21"/>
      <c r="V5494" s="115"/>
      <c r="W5494" s="116"/>
      <c r="X5494" s="220"/>
      <c r="Y5494" s="220">
        <f>X5494*0.1</f>
        <v>0</v>
      </c>
      <c r="Z5494" s="220"/>
      <c r="AA5494" s="220">
        <f>SUM(X5494:Z5494)</f>
        <v>0</v>
      </c>
      <c r="AB5494" s="222"/>
    </row>
    <row r="5495" spans="1:28" ht="17.100000000000001" customHeight="1" thickBot="1">
      <c r="A5495" s="227"/>
      <c r="B5495" s="27" t="s">
        <v>1842</v>
      </c>
      <c r="C5495" s="27">
        <v>829</v>
      </c>
      <c r="D5495" s="14" t="s">
        <v>2753</v>
      </c>
      <c r="E5495" s="229"/>
      <c r="F5495" s="117" t="s">
        <v>15743</v>
      </c>
      <c r="G5495" s="26">
        <v>29592</v>
      </c>
      <c r="H5495" s="231"/>
      <c r="I5495" s="221"/>
      <c r="J5495" s="221"/>
      <c r="K5495" s="221"/>
      <c r="L5495" s="221"/>
      <c r="M5495" s="221"/>
      <c r="N5495" s="221"/>
      <c r="O5495" s="225"/>
      <c r="P5495" s="118" t="s">
        <v>5075</v>
      </c>
      <c r="Q5495" s="16" t="s">
        <v>20</v>
      </c>
      <c r="R5495" s="17" t="s">
        <v>16027</v>
      </c>
      <c r="S5495" s="121" t="s">
        <v>2784</v>
      </c>
      <c r="T5495" s="122"/>
      <c r="U5495" s="22"/>
      <c r="V5495" s="123"/>
      <c r="W5495" s="122"/>
      <c r="X5495" s="221"/>
      <c r="Y5495" s="221"/>
      <c r="Z5495" s="221"/>
      <c r="AA5495" s="221"/>
      <c r="AB5495" s="223"/>
    </row>
    <row r="5496" spans="1:28" ht="17.100000000000001" customHeight="1" thickTop="1">
      <c r="A5496" s="226" t="s">
        <v>15755</v>
      </c>
      <c r="B5496" s="28">
        <v>46047</v>
      </c>
      <c r="C5496" s="25"/>
      <c r="D5496" s="13" t="s">
        <v>1887</v>
      </c>
      <c r="E5496" s="228"/>
      <c r="F5496" s="109" t="s">
        <v>15752</v>
      </c>
      <c r="G5496" s="24" t="s">
        <v>15754</v>
      </c>
      <c r="H5496" s="230">
        <v>4.5</v>
      </c>
      <c r="I5496" s="220">
        <f>1160500/1.1</f>
        <v>1055000</v>
      </c>
      <c r="J5496" s="220">
        <f>I5496*0.1</f>
        <v>105500</v>
      </c>
      <c r="K5496" s="220">
        <v>0</v>
      </c>
      <c r="L5496" s="220">
        <v>5690</v>
      </c>
      <c r="M5496" s="220">
        <v>0</v>
      </c>
      <c r="N5496" s="220">
        <f>SUM(I5496:M5497)</f>
        <v>1166190</v>
      </c>
      <c r="O5496" s="224"/>
      <c r="P5496" s="110" t="s">
        <v>16386</v>
      </c>
      <c r="Q5496" s="15" t="s">
        <v>19</v>
      </c>
      <c r="R5496" s="205"/>
      <c r="S5496" s="189" t="s">
        <v>25372</v>
      </c>
      <c r="T5496" s="114"/>
      <c r="U5496" s="21"/>
      <c r="V5496" s="115">
        <v>46064</v>
      </c>
      <c r="W5496" s="116">
        <v>1004</v>
      </c>
      <c r="X5496" s="220">
        <v>1140000</v>
      </c>
      <c r="Y5496" s="220">
        <f>X5496*0.1</f>
        <v>114000</v>
      </c>
      <c r="Z5496" s="220">
        <v>5690</v>
      </c>
      <c r="AA5496" s="220">
        <f>SUM(X5496:Z5496)</f>
        <v>1259690</v>
      </c>
      <c r="AB5496" s="222">
        <v>46069</v>
      </c>
    </row>
    <row r="5497" spans="1:28" ht="17.100000000000001" customHeight="1" thickBot="1">
      <c r="A5497" s="227"/>
      <c r="B5497" s="27" t="s">
        <v>1708</v>
      </c>
      <c r="C5497" s="27" t="s">
        <v>15751</v>
      </c>
      <c r="D5497" s="14" t="s">
        <v>273</v>
      </c>
      <c r="E5497" s="229"/>
      <c r="F5497" s="117" t="s">
        <v>15753</v>
      </c>
      <c r="G5497" s="26">
        <v>9910</v>
      </c>
      <c r="H5497" s="231"/>
      <c r="I5497" s="221"/>
      <c r="J5497" s="221"/>
      <c r="K5497" s="221"/>
      <c r="L5497" s="221"/>
      <c r="M5497" s="221"/>
      <c r="N5497" s="221"/>
      <c r="O5497" s="225"/>
      <c r="P5497" s="118" t="s">
        <v>16387</v>
      </c>
      <c r="Q5497" s="16" t="s">
        <v>20</v>
      </c>
      <c r="R5497" s="17" t="s">
        <v>2295</v>
      </c>
      <c r="S5497" s="121" t="s">
        <v>16388</v>
      </c>
      <c r="T5497" s="122"/>
      <c r="U5497" s="22"/>
      <c r="V5497" s="123" t="s">
        <v>2747</v>
      </c>
      <c r="W5497" s="122">
        <v>5082</v>
      </c>
      <c r="X5497" s="221"/>
      <c r="Y5497" s="221"/>
      <c r="Z5497" s="221"/>
      <c r="AA5497" s="221"/>
      <c r="AB5497" s="223"/>
    </row>
    <row r="5498" spans="1:28" ht="17.100000000000001" customHeight="1" thickTop="1">
      <c r="A5498" s="226" t="s">
        <v>15796</v>
      </c>
      <c r="B5498" s="28">
        <v>46048</v>
      </c>
      <c r="C5498" s="25"/>
      <c r="D5498" s="13" t="s">
        <v>1788</v>
      </c>
      <c r="E5498" s="228"/>
      <c r="F5498" s="109" t="s">
        <v>7495</v>
      </c>
      <c r="G5498" s="24" t="s">
        <v>8087</v>
      </c>
      <c r="H5498" s="230">
        <v>4.5</v>
      </c>
      <c r="I5498" s="220">
        <f>680900/1.1</f>
        <v>619000</v>
      </c>
      <c r="J5498" s="220">
        <f>I5498*0.1</f>
        <v>61900</v>
      </c>
      <c r="K5498" s="220">
        <v>0</v>
      </c>
      <c r="L5498" s="220">
        <v>7950</v>
      </c>
      <c r="M5498" s="220">
        <v>0</v>
      </c>
      <c r="N5498" s="220">
        <f>SUM(I5498:M5499)</f>
        <v>688850</v>
      </c>
      <c r="O5498" s="224"/>
      <c r="P5498" s="110" t="s">
        <v>18460</v>
      </c>
      <c r="Q5498" s="15" t="s">
        <v>19</v>
      </c>
      <c r="R5498" s="205"/>
      <c r="S5498" s="189" t="s">
        <v>25372</v>
      </c>
      <c r="T5498" s="114"/>
      <c r="U5498" s="21"/>
      <c r="V5498" s="115">
        <v>46077</v>
      </c>
      <c r="W5498" s="116">
        <v>1930</v>
      </c>
      <c r="X5498" s="220">
        <v>824000</v>
      </c>
      <c r="Y5498" s="220">
        <f>X5498*0.1</f>
        <v>82400</v>
      </c>
      <c r="Z5498" s="220">
        <v>7950</v>
      </c>
      <c r="AA5498" s="220">
        <f>SUM(X5498:Z5498)</f>
        <v>914350</v>
      </c>
      <c r="AB5498" s="222"/>
    </row>
    <row r="5499" spans="1:28" ht="17.100000000000001" customHeight="1" thickBot="1">
      <c r="A5499" s="227"/>
      <c r="B5499" s="27" t="s">
        <v>1708</v>
      </c>
      <c r="C5499" s="27" t="s">
        <v>15759</v>
      </c>
      <c r="D5499" s="14" t="s">
        <v>3792</v>
      </c>
      <c r="E5499" s="229"/>
      <c r="F5499" s="117" t="s">
        <v>15760</v>
      </c>
      <c r="G5499" s="26">
        <v>23779</v>
      </c>
      <c r="H5499" s="231"/>
      <c r="I5499" s="221"/>
      <c r="J5499" s="221"/>
      <c r="K5499" s="221"/>
      <c r="L5499" s="221"/>
      <c r="M5499" s="221"/>
      <c r="N5499" s="221"/>
      <c r="O5499" s="225"/>
      <c r="P5499" s="118" t="s">
        <v>18461</v>
      </c>
      <c r="Q5499" s="16" t="s">
        <v>20</v>
      </c>
      <c r="R5499" s="17" t="s">
        <v>3559</v>
      </c>
      <c r="S5499" s="121" t="s">
        <v>169</v>
      </c>
      <c r="T5499" s="122"/>
      <c r="U5499" s="22"/>
      <c r="V5499" s="123" t="s">
        <v>2103</v>
      </c>
      <c r="W5499" s="122">
        <v>3251</v>
      </c>
      <c r="X5499" s="221"/>
      <c r="Y5499" s="221"/>
      <c r="Z5499" s="221"/>
      <c r="AA5499" s="221"/>
      <c r="AB5499" s="223"/>
    </row>
    <row r="5500" spans="1:28" ht="17.100000000000001" customHeight="1" thickTop="1">
      <c r="A5500" s="226" t="s">
        <v>15797</v>
      </c>
      <c r="B5500" s="28">
        <v>46048</v>
      </c>
      <c r="C5500" s="25"/>
      <c r="D5500" s="13" t="s">
        <v>1658</v>
      </c>
      <c r="E5500" s="228"/>
      <c r="F5500" s="109" t="s">
        <v>15767</v>
      </c>
      <c r="G5500" s="24" t="s">
        <v>5552</v>
      </c>
      <c r="H5500" s="230">
        <v>4.5</v>
      </c>
      <c r="I5500" s="220">
        <f>3454000/1.1</f>
        <v>3139999.9999999995</v>
      </c>
      <c r="J5500" s="220">
        <f>I5500*0.1</f>
        <v>313999.99999999994</v>
      </c>
      <c r="K5500" s="220">
        <v>3200</v>
      </c>
      <c r="L5500" s="220">
        <v>12420</v>
      </c>
      <c r="M5500" s="220">
        <v>0</v>
      </c>
      <c r="N5500" s="220">
        <f>SUM(I5500:M5501)</f>
        <v>3469619.9999999995</v>
      </c>
      <c r="O5500" s="224"/>
      <c r="P5500" s="110" t="s">
        <v>17874</v>
      </c>
      <c r="Q5500" s="15" t="s">
        <v>19</v>
      </c>
      <c r="R5500" s="205"/>
      <c r="S5500" s="189" t="s">
        <v>25383</v>
      </c>
      <c r="T5500" s="114"/>
      <c r="U5500" s="21" t="s">
        <v>19501</v>
      </c>
      <c r="V5500" s="115"/>
      <c r="W5500" s="116"/>
      <c r="X5500" s="220"/>
      <c r="Y5500" s="220">
        <f>X5500*0.1</f>
        <v>0</v>
      </c>
      <c r="Z5500" s="220"/>
      <c r="AA5500" s="220">
        <f>SUM(X5500:Z5500)</f>
        <v>0</v>
      </c>
      <c r="AB5500" s="222"/>
    </row>
    <row r="5501" spans="1:28" ht="17.100000000000001" customHeight="1" thickBot="1">
      <c r="A5501" s="227"/>
      <c r="B5501" s="27" t="s">
        <v>1708</v>
      </c>
      <c r="C5501" s="27" t="s">
        <v>15761</v>
      </c>
      <c r="D5501" s="14" t="s">
        <v>273</v>
      </c>
      <c r="E5501" s="229"/>
      <c r="F5501" s="117" t="s">
        <v>15762</v>
      </c>
      <c r="G5501" s="26">
        <v>10293</v>
      </c>
      <c r="H5501" s="231"/>
      <c r="I5501" s="221"/>
      <c r="J5501" s="221"/>
      <c r="K5501" s="221"/>
      <c r="L5501" s="221"/>
      <c r="M5501" s="221"/>
      <c r="N5501" s="221"/>
      <c r="O5501" s="225"/>
      <c r="P5501" s="118" t="s">
        <v>2287</v>
      </c>
      <c r="Q5501" s="16" t="s">
        <v>20</v>
      </c>
      <c r="R5501" s="17" t="s">
        <v>17871</v>
      </c>
      <c r="S5501" s="121" t="s">
        <v>13483</v>
      </c>
      <c r="T5501" s="122"/>
      <c r="U5501" s="22"/>
      <c r="V5501" s="123"/>
      <c r="W5501" s="122"/>
      <c r="X5501" s="221"/>
      <c r="Y5501" s="221"/>
      <c r="Z5501" s="221"/>
      <c r="AA5501" s="221"/>
      <c r="AB5501" s="223"/>
    </row>
    <row r="5502" spans="1:28" ht="17.100000000000001" customHeight="1" thickTop="1">
      <c r="A5502" s="226" t="s">
        <v>15798</v>
      </c>
      <c r="B5502" s="28">
        <v>46048</v>
      </c>
      <c r="C5502" s="25"/>
      <c r="D5502" s="13" t="s">
        <v>1704</v>
      </c>
      <c r="E5502" s="228"/>
      <c r="F5502" s="109" t="s">
        <v>15673</v>
      </c>
      <c r="G5502" s="24" t="s">
        <v>7689</v>
      </c>
      <c r="H5502" s="230">
        <v>4.5</v>
      </c>
      <c r="I5502" s="220">
        <f>1104400/1.1</f>
        <v>1003999.9999999999</v>
      </c>
      <c r="J5502" s="220">
        <f>I5502*0.1</f>
        <v>100400</v>
      </c>
      <c r="K5502" s="220">
        <v>0</v>
      </c>
      <c r="L5502" s="220">
        <v>8640</v>
      </c>
      <c r="M5502" s="220">
        <v>0</v>
      </c>
      <c r="N5502" s="220">
        <f>SUM(I5502:M5503)</f>
        <v>1113040</v>
      </c>
      <c r="O5502" s="224"/>
      <c r="P5502" s="110" t="s">
        <v>18488</v>
      </c>
      <c r="Q5502" s="15" t="s">
        <v>19</v>
      </c>
      <c r="R5502" s="205"/>
      <c r="S5502" s="189" t="s">
        <v>1312</v>
      </c>
      <c r="T5502" s="114"/>
      <c r="U5502" s="21"/>
      <c r="V5502" s="115">
        <v>46084</v>
      </c>
      <c r="W5502" s="116">
        <v>1931</v>
      </c>
      <c r="X5502" s="220">
        <v>1052000</v>
      </c>
      <c r="Y5502" s="220">
        <f>X5502*0.1</f>
        <v>105200</v>
      </c>
      <c r="Z5502" s="220">
        <v>8640</v>
      </c>
      <c r="AA5502" s="220">
        <f>SUM(X5502:Z5502)</f>
        <v>1165840</v>
      </c>
      <c r="AB5502" s="222">
        <v>46091</v>
      </c>
    </row>
    <row r="5503" spans="1:28" ht="17.100000000000001" customHeight="1" thickBot="1">
      <c r="A5503" s="227"/>
      <c r="B5503" s="27" t="s">
        <v>1708</v>
      </c>
      <c r="C5503" s="27" t="s">
        <v>15763</v>
      </c>
      <c r="D5503" s="14" t="s">
        <v>1797</v>
      </c>
      <c r="E5503" s="229"/>
      <c r="F5503" s="117" t="s">
        <v>15764</v>
      </c>
      <c r="G5503" s="26">
        <v>45961</v>
      </c>
      <c r="H5503" s="231"/>
      <c r="I5503" s="221"/>
      <c r="J5503" s="221"/>
      <c r="K5503" s="221"/>
      <c r="L5503" s="221"/>
      <c r="M5503" s="221"/>
      <c r="N5503" s="221"/>
      <c r="O5503" s="225"/>
      <c r="P5503" s="118" t="s">
        <v>18489</v>
      </c>
      <c r="Q5503" s="16" t="s">
        <v>20</v>
      </c>
      <c r="R5503" s="17" t="s">
        <v>3559</v>
      </c>
      <c r="S5503" s="121" t="s">
        <v>18709</v>
      </c>
      <c r="T5503" s="122"/>
      <c r="U5503" s="22"/>
      <c r="V5503" s="123" t="s">
        <v>2103</v>
      </c>
      <c r="W5503" s="122">
        <v>3239</v>
      </c>
      <c r="X5503" s="221"/>
      <c r="Y5503" s="221"/>
      <c r="Z5503" s="221"/>
      <c r="AA5503" s="221"/>
      <c r="AB5503" s="223"/>
    </row>
    <row r="5504" spans="1:28" ht="17.100000000000001" customHeight="1" thickTop="1">
      <c r="A5504" s="226" t="s">
        <v>15799</v>
      </c>
      <c r="B5504" s="28">
        <v>46048</v>
      </c>
      <c r="C5504" s="25"/>
      <c r="D5504" s="13" t="s">
        <v>2010</v>
      </c>
      <c r="E5504" s="228"/>
      <c r="F5504" s="109" t="s">
        <v>15768</v>
      </c>
      <c r="G5504" s="24" t="s">
        <v>4968</v>
      </c>
      <c r="H5504" s="230">
        <v>4.5</v>
      </c>
      <c r="I5504" s="220">
        <f>3459500/1.1</f>
        <v>3144999.9999999995</v>
      </c>
      <c r="J5504" s="220">
        <f>I5504*0.1</f>
        <v>314500</v>
      </c>
      <c r="K5504" s="220">
        <v>3000</v>
      </c>
      <c r="L5504" s="220">
        <v>13110</v>
      </c>
      <c r="M5504" s="220">
        <v>0</v>
      </c>
      <c r="N5504" s="220">
        <f>SUM(I5504:M5505)</f>
        <v>3475609.9999999995</v>
      </c>
      <c r="O5504" s="224"/>
      <c r="P5504" s="110" t="s">
        <v>20018</v>
      </c>
      <c r="Q5504" s="15" t="s">
        <v>19</v>
      </c>
      <c r="R5504" s="205"/>
      <c r="S5504" s="189" t="s">
        <v>1276</v>
      </c>
      <c r="T5504" s="114"/>
      <c r="U5504" s="21"/>
      <c r="V5504" s="115">
        <v>46109</v>
      </c>
      <c r="W5504" s="116">
        <v>1294</v>
      </c>
      <c r="X5504" s="220">
        <v>3150000</v>
      </c>
      <c r="Y5504" s="220">
        <f>X5504*0.1</f>
        <v>315000</v>
      </c>
      <c r="Z5504" s="220">
        <v>13110</v>
      </c>
      <c r="AA5504" s="220">
        <f>SUM(X5504:Z5504)</f>
        <v>3478110</v>
      </c>
      <c r="AB5504" s="222">
        <v>46118</v>
      </c>
    </row>
    <row r="5505" spans="1:28" ht="17.100000000000001" customHeight="1" thickBot="1">
      <c r="A5505" s="227"/>
      <c r="B5505" s="27" t="s">
        <v>1708</v>
      </c>
      <c r="C5505" s="27" t="s">
        <v>15765</v>
      </c>
      <c r="D5505" s="14" t="s">
        <v>273</v>
      </c>
      <c r="E5505" s="229"/>
      <c r="F5505" s="117" t="s">
        <v>15766</v>
      </c>
      <c r="G5505" s="26">
        <v>55528</v>
      </c>
      <c r="H5505" s="231"/>
      <c r="I5505" s="221"/>
      <c r="J5505" s="221"/>
      <c r="K5505" s="221"/>
      <c r="L5505" s="221"/>
      <c r="M5505" s="221"/>
      <c r="N5505" s="221"/>
      <c r="O5505" s="225"/>
      <c r="P5505" s="118" t="s">
        <v>15309</v>
      </c>
      <c r="Q5505" s="16" t="s">
        <v>20</v>
      </c>
      <c r="R5505" s="17" t="s">
        <v>19992</v>
      </c>
      <c r="S5505" s="121" t="s">
        <v>20019</v>
      </c>
      <c r="T5505" s="122"/>
      <c r="U5505" s="22"/>
      <c r="V5505" s="123" t="s">
        <v>6641</v>
      </c>
      <c r="W5505" s="122">
        <v>31018</v>
      </c>
      <c r="X5505" s="221"/>
      <c r="Y5505" s="221"/>
      <c r="Z5505" s="221"/>
      <c r="AA5505" s="221"/>
      <c r="AB5505" s="223"/>
    </row>
    <row r="5506" spans="1:28" ht="17.100000000000001" customHeight="1" thickTop="1">
      <c r="A5506" s="226" t="s">
        <v>15800</v>
      </c>
      <c r="B5506" s="28">
        <v>46048</v>
      </c>
      <c r="C5506" s="25"/>
      <c r="D5506" s="13" t="s">
        <v>2441</v>
      </c>
      <c r="E5506" s="228"/>
      <c r="F5506" s="109" t="s">
        <v>15791</v>
      </c>
      <c r="G5506" s="24" t="s">
        <v>14531</v>
      </c>
      <c r="H5506" s="230">
        <v>4</v>
      </c>
      <c r="I5506" s="220">
        <f>768900/1.1</f>
        <v>699000</v>
      </c>
      <c r="J5506" s="220">
        <f>I5506*0.1</f>
        <v>69900</v>
      </c>
      <c r="K5506" s="220">
        <v>0</v>
      </c>
      <c r="L5506" s="220">
        <v>9150</v>
      </c>
      <c r="M5506" s="220">
        <v>0</v>
      </c>
      <c r="N5506" s="220">
        <f>SUM(I5506:M5507)</f>
        <v>778050</v>
      </c>
      <c r="O5506" s="224"/>
      <c r="P5506" s="110" t="s">
        <v>18873</v>
      </c>
      <c r="Q5506" s="15" t="s">
        <v>19</v>
      </c>
      <c r="R5506" s="205"/>
      <c r="S5506" s="189" t="s">
        <v>1276</v>
      </c>
      <c r="T5506" s="114"/>
      <c r="U5506" s="21"/>
      <c r="V5506" s="115">
        <v>46102</v>
      </c>
      <c r="W5506" s="116">
        <v>1293</v>
      </c>
      <c r="X5506" s="220">
        <v>785000</v>
      </c>
      <c r="Y5506" s="220">
        <f>X5506*0.1</f>
        <v>78500</v>
      </c>
      <c r="Z5506" s="220">
        <v>9150</v>
      </c>
      <c r="AA5506" s="220">
        <f>SUM(X5506:Z5506)</f>
        <v>872650</v>
      </c>
      <c r="AB5506" s="222">
        <v>46105</v>
      </c>
    </row>
    <row r="5507" spans="1:28" ht="17.100000000000001" customHeight="1" thickBot="1">
      <c r="A5507" s="227"/>
      <c r="B5507" s="27" t="s">
        <v>1708</v>
      </c>
      <c r="C5507" s="27" t="s">
        <v>15789</v>
      </c>
      <c r="D5507" s="14" t="s">
        <v>1584</v>
      </c>
      <c r="E5507" s="229"/>
      <c r="F5507" s="117" t="s">
        <v>15790</v>
      </c>
      <c r="G5507" s="26">
        <v>22078</v>
      </c>
      <c r="H5507" s="231"/>
      <c r="I5507" s="221"/>
      <c r="J5507" s="221"/>
      <c r="K5507" s="221"/>
      <c r="L5507" s="221"/>
      <c r="M5507" s="221"/>
      <c r="N5507" s="221"/>
      <c r="O5507" s="225"/>
      <c r="P5507" s="118" t="s">
        <v>18874</v>
      </c>
      <c r="Q5507" s="16" t="s">
        <v>20</v>
      </c>
      <c r="R5507" s="17" t="s">
        <v>853</v>
      </c>
      <c r="S5507" s="121" t="s">
        <v>169</v>
      </c>
      <c r="T5507" s="122"/>
      <c r="U5507" s="22"/>
      <c r="V5507" s="123" t="s">
        <v>2472</v>
      </c>
      <c r="W5507" s="122">
        <v>65090</v>
      </c>
      <c r="X5507" s="221"/>
      <c r="Y5507" s="221"/>
      <c r="Z5507" s="221"/>
      <c r="AA5507" s="221"/>
      <c r="AB5507" s="223"/>
    </row>
    <row r="5508" spans="1:28" ht="17.100000000000001" customHeight="1" thickTop="1">
      <c r="A5508" s="226" t="s">
        <v>15801</v>
      </c>
      <c r="B5508" s="28">
        <v>46048</v>
      </c>
      <c r="C5508" s="25"/>
      <c r="D5508" s="13" t="s">
        <v>4775</v>
      </c>
      <c r="E5508" s="228"/>
      <c r="F5508" s="109" t="s">
        <v>15793</v>
      </c>
      <c r="G5508" s="24" t="s">
        <v>15795</v>
      </c>
      <c r="H5508" s="230">
        <v>4</v>
      </c>
      <c r="I5508" s="220">
        <f>968000/1.1</f>
        <v>879999.99999999988</v>
      </c>
      <c r="J5508" s="220">
        <f>I5508*0.1</f>
        <v>88000</v>
      </c>
      <c r="K5508" s="220">
        <v>3200</v>
      </c>
      <c r="L5508" s="220">
        <v>12030</v>
      </c>
      <c r="M5508" s="220">
        <v>0</v>
      </c>
      <c r="N5508" s="220">
        <f>SUM(I5508:M5509)</f>
        <v>983229.99999999988</v>
      </c>
      <c r="O5508" s="224"/>
      <c r="P5508" s="110" t="s">
        <v>16389</v>
      </c>
      <c r="Q5508" s="15" t="s">
        <v>19</v>
      </c>
      <c r="R5508" s="205"/>
      <c r="S5508" s="189" t="s">
        <v>1422</v>
      </c>
      <c r="T5508" s="114"/>
      <c r="U5508" s="21"/>
      <c r="V5508" s="115">
        <v>46064</v>
      </c>
      <c r="W5508" s="116">
        <v>1004</v>
      </c>
      <c r="X5508" s="220">
        <v>985000</v>
      </c>
      <c r="Y5508" s="220">
        <f>X5508*0.1</f>
        <v>98500</v>
      </c>
      <c r="Z5508" s="220">
        <v>12030</v>
      </c>
      <c r="AA5508" s="220">
        <f>SUM(X5508:Z5508)</f>
        <v>1095530</v>
      </c>
      <c r="AB5508" s="222">
        <v>46069</v>
      </c>
    </row>
    <row r="5509" spans="1:28" ht="17.100000000000001" customHeight="1" thickBot="1">
      <c r="A5509" s="227"/>
      <c r="B5509" s="27" t="s">
        <v>1708</v>
      </c>
      <c r="C5509" s="27" t="s">
        <v>15792</v>
      </c>
      <c r="D5509" s="14" t="s">
        <v>1584</v>
      </c>
      <c r="E5509" s="229"/>
      <c r="F5509" s="117" t="s">
        <v>15794</v>
      </c>
      <c r="G5509" s="26">
        <v>82000</v>
      </c>
      <c r="H5509" s="231"/>
      <c r="I5509" s="221"/>
      <c r="J5509" s="221"/>
      <c r="K5509" s="221"/>
      <c r="L5509" s="221"/>
      <c r="M5509" s="221"/>
      <c r="N5509" s="221"/>
      <c r="O5509" s="225"/>
      <c r="P5509" s="118" t="s">
        <v>16390</v>
      </c>
      <c r="Q5509" s="16" t="s">
        <v>20</v>
      </c>
      <c r="R5509" s="17" t="s">
        <v>2295</v>
      </c>
      <c r="S5509" s="121" t="s">
        <v>13167</v>
      </c>
      <c r="T5509" s="122"/>
      <c r="U5509" s="22"/>
      <c r="V5509" s="123" t="s">
        <v>2747</v>
      </c>
      <c r="W5509" s="122">
        <v>1017</v>
      </c>
      <c r="X5509" s="221"/>
      <c r="Y5509" s="221"/>
      <c r="Z5509" s="221"/>
      <c r="AA5509" s="221"/>
      <c r="AB5509" s="223"/>
    </row>
    <row r="5510" spans="1:28" ht="17.100000000000001" customHeight="1" thickTop="1">
      <c r="A5510" s="226" t="s">
        <v>15802</v>
      </c>
      <c r="B5510" s="28">
        <v>46048</v>
      </c>
      <c r="C5510" s="25">
        <v>2078</v>
      </c>
      <c r="D5510" s="13" t="s">
        <v>1846</v>
      </c>
      <c r="E5510" s="228"/>
      <c r="F5510" s="109" t="s">
        <v>4560</v>
      </c>
      <c r="G5510" s="24"/>
      <c r="H5510" s="230">
        <v>4</v>
      </c>
      <c r="I5510" s="220">
        <v>710000</v>
      </c>
      <c r="J5510" s="220">
        <f>I5510*0.1</f>
        <v>71000</v>
      </c>
      <c r="K5510" s="220">
        <v>0</v>
      </c>
      <c r="L5510" s="220">
        <v>20170</v>
      </c>
      <c r="M5510" s="220">
        <v>11000</v>
      </c>
      <c r="N5510" s="220">
        <v>812170</v>
      </c>
      <c r="O5510" s="224"/>
      <c r="P5510" s="110" t="s">
        <v>16008</v>
      </c>
      <c r="Q5510" s="15" t="s">
        <v>19</v>
      </c>
      <c r="R5510" s="205"/>
      <c r="S5510" s="189" t="s">
        <v>25372</v>
      </c>
      <c r="T5510" s="114"/>
      <c r="U5510" s="21"/>
      <c r="V5510" s="115">
        <v>46067</v>
      </c>
      <c r="W5510" s="116">
        <v>1288</v>
      </c>
      <c r="X5510" s="220">
        <v>800000</v>
      </c>
      <c r="Y5510" s="220">
        <f>X5510*0.1</f>
        <v>80000</v>
      </c>
      <c r="Z5510" s="220">
        <v>20170</v>
      </c>
      <c r="AA5510" s="220">
        <f>SUM(X5510:Z5510)</f>
        <v>900170</v>
      </c>
      <c r="AB5510" s="222">
        <v>46070</v>
      </c>
    </row>
    <row r="5511" spans="1:28" ht="17.100000000000001" customHeight="1" thickBot="1">
      <c r="A5511" s="227"/>
      <c r="B5511" s="27" t="s">
        <v>82</v>
      </c>
      <c r="C5511" s="27">
        <v>31006</v>
      </c>
      <c r="D5511" s="14" t="s">
        <v>898</v>
      </c>
      <c r="E5511" s="229"/>
      <c r="F5511" s="117" t="s">
        <v>15769</v>
      </c>
      <c r="G5511" s="26">
        <v>67627</v>
      </c>
      <c r="H5511" s="231"/>
      <c r="I5511" s="221"/>
      <c r="J5511" s="221"/>
      <c r="K5511" s="221"/>
      <c r="L5511" s="221"/>
      <c r="M5511" s="221"/>
      <c r="N5511" s="221"/>
      <c r="O5511" s="225"/>
      <c r="P5511" s="118" t="s">
        <v>16009</v>
      </c>
      <c r="Q5511" s="16" t="s">
        <v>20</v>
      </c>
      <c r="R5511" s="17" t="s">
        <v>1822</v>
      </c>
      <c r="S5511" s="121" t="s">
        <v>1649</v>
      </c>
      <c r="T5511" s="122"/>
      <c r="U5511" s="22"/>
      <c r="V5511" s="123" t="s">
        <v>2472</v>
      </c>
      <c r="W5511" s="122">
        <v>80102</v>
      </c>
      <c r="X5511" s="221"/>
      <c r="Y5511" s="221"/>
      <c r="Z5511" s="221"/>
      <c r="AA5511" s="221"/>
      <c r="AB5511" s="223"/>
    </row>
    <row r="5512" spans="1:28" ht="17.100000000000001" customHeight="1" thickTop="1">
      <c r="A5512" s="226" t="s">
        <v>15803</v>
      </c>
      <c r="B5512" s="28">
        <v>46048</v>
      </c>
      <c r="C5512" s="25">
        <v>2078</v>
      </c>
      <c r="D5512" s="13" t="s">
        <v>3327</v>
      </c>
      <c r="E5512" s="228"/>
      <c r="F5512" s="109" t="s">
        <v>15770</v>
      </c>
      <c r="G5512" s="24"/>
      <c r="H5512" s="230">
        <v>4.5</v>
      </c>
      <c r="I5512" s="220">
        <v>524000</v>
      </c>
      <c r="J5512" s="220">
        <f>I5512*0.1</f>
        <v>52400</v>
      </c>
      <c r="K5512" s="220">
        <v>0</v>
      </c>
      <c r="L5512" s="220">
        <v>22520</v>
      </c>
      <c r="M5512" s="220">
        <v>11000</v>
      </c>
      <c r="N5512" s="220">
        <f>SUM(I5512:M5513)</f>
        <v>609920</v>
      </c>
      <c r="O5512" s="224"/>
      <c r="P5512" s="110" t="s">
        <v>16010</v>
      </c>
      <c r="Q5512" s="15" t="s">
        <v>19</v>
      </c>
      <c r="R5512" s="205"/>
      <c r="S5512" s="189" t="s">
        <v>758</v>
      </c>
      <c r="T5512" s="114"/>
      <c r="U5512" s="21"/>
      <c r="V5512" s="115">
        <v>46067</v>
      </c>
      <c r="W5512" s="116">
        <v>1288</v>
      </c>
      <c r="X5512" s="220">
        <v>630000</v>
      </c>
      <c r="Y5512" s="220">
        <f>X5512*0.1</f>
        <v>63000</v>
      </c>
      <c r="Z5512" s="220">
        <v>22520</v>
      </c>
      <c r="AA5512" s="220">
        <f>SUM(X5512:Z5512)</f>
        <v>715520</v>
      </c>
      <c r="AB5512" s="222">
        <v>46070</v>
      </c>
    </row>
    <row r="5513" spans="1:28" ht="17.100000000000001" customHeight="1" thickBot="1">
      <c r="A5513" s="227"/>
      <c r="B5513" s="27" t="s">
        <v>82</v>
      </c>
      <c r="C5513" s="27">
        <v>31007</v>
      </c>
      <c r="D5513" s="14" t="s">
        <v>1710</v>
      </c>
      <c r="E5513" s="229"/>
      <c r="F5513" s="117" t="s">
        <v>15771</v>
      </c>
      <c r="G5513" s="26">
        <v>89772</v>
      </c>
      <c r="H5513" s="231"/>
      <c r="I5513" s="221"/>
      <c r="J5513" s="221"/>
      <c r="K5513" s="221"/>
      <c r="L5513" s="221"/>
      <c r="M5513" s="221"/>
      <c r="N5513" s="221"/>
      <c r="O5513" s="225"/>
      <c r="P5513" s="118" t="s">
        <v>16009</v>
      </c>
      <c r="Q5513" s="16" t="s">
        <v>20</v>
      </c>
      <c r="R5513" s="17" t="s">
        <v>1822</v>
      </c>
      <c r="S5513" s="121" t="s">
        <v>15985</v>
      </c>
      <c r="T5513" s="122"/>
      <c r="U5513" s="22"/>
      <c r="V5513" s="123" t="s">
        <v>2472</v>
      </c>
      <c r="W5513" s="122">
        <v>80100</v>
      </c>
      <c r="X5513" s="221"/>
      <c r="Y5513" s="221"/>
      <c r="Z5513" s="221"/>
      <c r="AA5513" s="221"/>
      <c r="AB5513" s="223"/>
    </row>
    <row r="5514" spans="1:28" ht="17.100000000000001" customHeight="1" thickTop="1">
      <c r="A5514" s="226" t="s">
        <v>15804</v>
      </c>
      <c r="B5514" s="28">
        <v>46048</v>
      </c>
      <c r="C5514" s="25">
        <v>2078</v>
      </c>
      <c r="D5514" s="13" t="s">
        <v>2573</v>
      </c>
      <c r="E5514" s="228"/>
      <c r="F5514" s="109" t="s">
        <v>15772</v>
      </c>
      <c r="G5514" s="24" t="s">
        <v>3453</v>
      </c>
      <c r="H5514" s="230">
        <v>4.5</v>
      </c>
      <c r="I5514" s="220">
        <v>1247000</v>
      </c>
      <c r="J5514" s="220">
        <f>I5514*0.1</f>
        <v>124700</v>
      </c>
      <c r="K5514" s="220">
        <v>5500</v>
      </c>
      <c r="L5514" s="220">
        <v>18780</v>
      </c>
      <c r="M5514" s="220">
        <v>11000</v>
      </c>
      <c r="N5514" s="220">
        <f>SUM(I5514:M5515)</f>
        <v>1406980</v>
      </c>
      <c r="O5514" s="224"/>
      <c r="P5514" s="110" t="s">
        <v>15777</v>
      </c>
      <c r="Q5514" s="15" t="s">
        <v>19</v>
      </c>
      <c r="R5514" s="205"/>
      <c r="S5514" s="189" t="s">
        <v>25729</v>
      </c>
      <c r="T5514" s="114"/>
      <c r="U5514" s="21" t="s">
        <v>17029</v>
      </c>
      <c r="V5514" s="115">
        <v>46074</v>
      </c>
      <c r="W5514" s="116">
        <v>1289</v>
      </c>
      <c r="X5514" s="220">
        <v>1330000</v>
      </c>
      <c r="Y5514" s="220">
        <f>X5514*0.1</f>
        <v>133000</v>
      </c>
      <c r="Z5514" s="220">
        <v>18780</v>
      </c>
      <c r="AA5514" s="220">
        <f>SUM(X5514:Z5514)</f>
        <v>1481780</v>
      </c>
      <c r="AB5514" s="222">
        <v>46084</v>
      </c>
    </row>
    <row r="5515" spans="1:28" ht="17.100000000000001" customHeight="1" thickBot="1">
      <c r="A5515" s="227"/>
      <c r="B5515" s="27" t="s">
        <v>82</v>
      </c>
      <c r="C5515" s="27">
        <v>32005</v>
      </c>
      <c r="D5515" s="14" t="s">
        <v>1584</v>
      </c>
      <c r="E5515" s="229"/>
      <c r="F5515" s="117" t="s">
        <v>15773</v>
      </c>
      <c r="G5515" s="26">
        <v>26219</v>
      </c>
      <c r="H5515" s="231"/>
      <c r="I5515" s="221"/>
      <c r="J5515" s="221"/>
      <c r="K5515" s="221"/>
      <c r="L5515" s="221"/>
      <c r="M5515" s="221"/>
      <c r="N5515" s="221"/>
      <c r="O5515" s="225"/>
      <c r="P5515" s="118" t="s">
        <v>15995</v>
      </c>
      <c r="Q5515" s="16" t="s">
        <v>20</v>
      </c>
      <c r="R5515" s="17" t="s">
        <v>1822</v>
      </c>
      <c r="S5515" s="121" t="s">
        <v>16019</v>
      </c>
      <c r="T5515" s="122"/>
      <c r="U5515" s="22"/>
      <c r="V5515" s="123" t="s">
        <v>6641</v>
      </c>
      <c r="W5515" s="122">
        <v>80205</v>
      </c>
      <c r="X5515" s="221"/>
      <c r="Y5515" s="221"/>
      <c r="Z5515" s="221"/>
      <c r="AA5515" s="221"/>
      <c r="AB5515" s="223"/>
    </row>
    <row r="5516" spans="1:28" ht="17.100000000000001" customHeight="1" thickTop="1">
      <c r="A5516" s="226" t="s">
        <v>15805</v>
      </c>
      <c r="B5516" s="28">
        <v>46048</v>
      </c>
      <c r="C5516" s="25">
        <v>2078</v>
      </c>
      <c r="D5516" s="13" t="s">
        <v>4739</v>
      </c>
      <c r="E5516" s="228"/>
      <c r="F5516" s="109" t="s">
        <v>15774</v>
      </c>
      <c r="G5516" s="24" t="s">
        <v>4239</v>
      </c>
      <c r="H5516" s="230">
        <v>4.5</v>
      </c>
      <c r="I5516" s="220">
        <v>818000</v>
      </c>
      <c r="J5516" s="220">
        <v>81800</v>
      </c>
      <c r="K5516" s="220">
        <f>6500+650</f>
        <v>7150</v>
      </c>
      <c r="L5516" s="220">
        <v>19330</v>
      </c>
      <c r="M5516" s="220">
        <v>11000</v>
      </c>
      <c r="N5516" s="220">
        <f>SUM(I5516:M5517)</f>
        <v>937280</v>
      </c>
      <c r="O5516" s="224"/>
      <c r="P5516" s="110" t="s">
        <v>15776</v>
      </c>
      <c r="Q5516" s="15" t="s">
        <v>19</v>
      </c>
      <c r="R5516" s="205"/>
      <c r="S5516" s="189" t="s">
        <v>758</v>
      </c>
      <c r="T5516" s="114"/>
      <c r="U5516" s="21"/>
      <c r="V5516" s="115">
        <v>46060</v>
      </c>
      <c r="W5516" s="116">
        <v>1287</v>
      </c>
      <c r="X5516" s="220">
        <v>920000</v>
      </c>
      <c r="Y5516" s="220">
        <f>X5516*0.1</f>
        <v>92000</v>
      </c>
      <c r="Z5516" s="220">
        <v>19330</v>
      </c>
      <c r="AA5516" s="220">
        <f>SUM(X5516:Z5516)</f>
        <v>1031330</v>
      </c>
      <c r="AB5516" s="222">
        <v>46063</v>
      </c>
    </row>
    <row r="5517" spans="1:28" ht="17.100000000000001" customHeight="1" thickBot="1">
      <c r="A5517" s="227"/>
      <c r="B5517" s="27" t="s">
        <v>82</v>
      </c>
      <c r="C5517" s="27">
        <v>34509</v>
      </c>
      <c r="D5517" s="14" t="s">
        <v>1710</v>
      </c>
      <c r="E5517" s="229"/>
      <c r="F5517" s="117" t="s">
        <v>15775</v>
      </c>
      <c r="G5517" s="26">
        <v>43725</v>
      </c>
      <c r="H5517" s="231"/>
      <c r="I5517" s="221"/>
      <c r="J5517" s="221"/>
      <c r="K5517" s="221"/>
      <c r="L5517" s="221"/>
      <c r="M5517" s="221"/>
      <c r="N5517" s="221"/>
      <c r="O5517" s="225"/>
      <c r="P5517" s="118" t="s">
        <v>291</v>
      </c>
      <c r="Q5517" s="16" t="s">
        <v>20</v>
      </c>
      <c r="R5517" s="17" t="s">
        <v>1822</v>
      </c>
      <c r="S5517" s="121" t="s">
        <v>16020</v>
      </c>
      <c r="T5517" s="122"/>
      <c r="U5517" s="22"/>
      <c r="V5517" s="123" t="s">
        <v>2472</v>
      </c>
      <c r="W5517" s="122">
        <v>80065</v>
      </c>
      <c r="X5517" s="221"/>
      <c r="Y5517" s="221"/>
      <c r="Z5517" s="221"/>
      <c r="AA5517" s="221"/>
      <c r="AB5517" s="223"/>
    </row>
    <row r="5518" spans="1:28" ht="17.100000000000001" customHeight="1" thickTop="1">
      <c r="A5518" s="226" t="s">
        <v>15806</v>
      </c>
      <c r="B5518" s="28">
        <v>46048</v>
      </c>
      <c r="C5518" s="25">
        <v>2078</v>
      </c>
      <c r="D5518" s="13" t="s">
        <v>1837</v>
      </c>
      <c r="E5518" s="228"/>
      <c r="F5518" s="109" t="s">
        <v>2204</v>
      </c>
      <c r="G5518" s="24" t="s">
        <v>4412</v>
      </c>
      <c r="H5518" s="230">
        <v>4.5</v>
      </c>
      <c r="I5518" s="220">
        <v>2205000</v>
      </c>
      <c r="J5518" s="220">
        <f>I5518*0.1</f>
        <v>220500</v>
      </c>
      <c r="K5518" s="220">
        <v>6600</v>
      </c>
      <c r="L5518" s="220">
        <v>18170</v>
      </c>
      <c r="M5518" s="220">
        <v>11000</v>
      </c>
      <c r="N5518" s="220">
        <f>SUM(I5518:M5519)</f>
        <v>2461270</v>
      </c>
      <c r="O5518" s="224"/>
      <c r="P5518" s="110" t="s">
        <v>15779</v>
      </c>
      <c r="Q5518" s="15" t="s">
        <v>19</v>
      </c>
      <c r="R5518" s="205"/>
      <c r="S5518" s="189"/>
      <c r="T5518" s="114"/>
      <c r="U5518" s="21" t="s">
        <v>17031</v>
      </c>
      <c r="V5518" s="115">
        <v>46130</v>
      </c>
      <c r="W5518" s="116">
        <v>1297</v>
      </c>
      <c r="X5518" s="220">
        <v>2295000</v>
      </c>
      <c r="Y5518" s="220">
        <f>X5518*0.1</f>
        <v>229500</v>
      </c>
      <c r="Z5518" s="220">
        <v>18170</v>
      </c>
      <c r="AA5518" s="220">
        <f>SUM(X5518:Z5518)</f>
        <v>2542670</v>
      </c>
      <c r="AB5518" s="222">
        <v>46133</v>
      </c>
    </row>
    <row r="5519" spans="1:28" ht="17.100000000000001" customHeight="1" thickBot="1">
      <c r="A5519" s="227"/>
      <c r="B5519" s="27" t="s">
        <v>82</v>
      </c>
      <c r="C5519" s="27">
        <v>34518</v>
      </c>
      <c r="D5519" s="14" t="s">
        <v>14605</v>
      </c>
      <c r="E5519" s="229"/>
      <c r="F5519" s="117" t="s">
        <v>15778</v>
      </c>
      <c r="G5519" s="26">
        <v>46962</v>
      </c>
      <c r="H5519" s="231"/>
      <c r="I5519" s="221"/>
      <c r="J5519" s="221"/>
      <c r="K5519" s="221"/>
      <c r="L5519" s="221"/>
      <c r="M5519" s="221"/>
      <c r="N5519" s="221"/>
      <c r="O5519" s="225"/>
      <c r="P5519" s="118" t="s">
        <v>3989</v>
      </c>
      <c r="Q5519" s="16" t="s">
        <v>20</v>
      </c>
      <c r="R5519" s="17" t="s">
        <v>1822</v>
      </c>
      <c r="S5519" s="121" t="s">
        <v>1649</v>
      </c>
      <c r="T5519" s="122"/>
      <c r="U5519" s="22"/>
      <c r="V5519" s="123" t="s">
        <v>2472</v>
      </c>
      <c r="W5519" s="122">
        <v>80109</v>
      </c>
      <c r="X5519" s="221"/>
      <c r="Y5519" s="221"/>
      <c r="Z5519" s="221"/>
      <c r="AA5519" s="221"/>
      <c r="AB5519" s="223"/>
    </row>
    <row r="5520" spans="1:28" ht="17.100000000000001" customHeight="1" thickTop="1">
      <c r="A5520" s="226" t="s">
        <v>15807</v>
      </c>
      <c r="B5520" s="28">
        <v>46048</v>
      </c>
      <c r="C5520" s="25">
        <v>2078</v>
      </c>
      <c r="D5520" s="13" t="s">
        <v>2288</v>
      </c>
      <c r="E5520" s="228"/>
      <c r="F5520" s="109" t="s">
        <v>15781</v>
      </c>
      <c r="G5520" s="24" t="s">
        <v>3453</v>
      </c>
      <c r="H5520" s="230">
        <v>4</v>
      </c>
      <c r="I5520" s="220">
        <v>775000</v>
      </c>
      <c r="J5520" s="220">
        <f>I5520*0.1</f>
        <v>77500</v>
      </c>
      <c r="K5520" s="220">
        <f>6500+650</f>
        <v>7150</v>
      </c>
      <c r="L5520" s="220">
        <v>18960</v>
      </c>
      <c r="M5520" s="220">
        <v>11000</v>
      </c>
      <c r="N5520" s="220">
        <f>SUM(I5520:M5521)</f>
        <v>889610</v>
      </c>
      <c r="O5520" s="224"/>
      <c r="P5520" s="110" t="s">
        <v>15783</v>
      </c>
      <c r="Q5520" s="15" t="s">
        <v>19</v>
      </c>
      <c r="R5520" s="205"/>
      <c r="S5520" s="189"/>
      <c r="T5520" s="114"/>
      <c r="U5520" s="21"/>
      <c r="V5520" s="115">
        <v>46060</v>
      </c>
      <c r="W5520" s="116">
        <v>1287</v>
      </c>
      <c r="X5520" s="220">
        <v>895000</v>
      </c>
      <c r="Y5520" s="220">
        <f>X5520*0.1</f>
        <v>89500</v>
      </c>
      <c r="Z5520" s="220">
        <v>18960</v>
      </c>
      <c r="AA5520" s="220">
        <f>SUM(X5520:Z5520)</f>
        <v>1003460</v>
      </c>
      <c r="AB5520" s="222">
        <v>46063</v>
      </c>
    </row>
    <row r="5521" spans="1:28" ht="17.100000000000001" customHeight="1" thickBot="1">
      <c r="A5521" s="227"/>
      <c r="B5521" s="27" t="s">
        <v>82</v>
      </c>
      <c r="C5521" s="27">
        <v>34519</v>
      </c>
      <c r="D5521" s="14" t="s">
        <v>15780</v>
      </c>
      <c r="E5521" s="229"/>
      <c r="F5521" s="117" t="s">
        <v>15782</v>
      </c>
      <c r="G5521" s="26">
        <v>58991</v>
      </c>
      <c r="H5521" s="231"/>
      <c r="I5521" s="221"/>
      <c r="J5521" s="221"/>
      <c r="K5521" s="221"/>
      <c r="L5521" s="221"/>
      <c r="M5521" s="221"/>
      <c r="N5521" s="221"/>
      <c r="O5521" s="225"/>
      <c r="P5521" s="118" t="s">
        <v>3989</v>
      </c>
      <c r="Q5521" s="16" t="s">
        <v>20</v>
      </c>
      <c r="R5521" s="17" t="s">
        <v>1822</v>
      </c>
      <c r="S5521" s="121" t="s">
        <v>1649</v>
      </c>
      <c r="T5521" s="122"/>
      <c r="U5521" s="22"/>
      <c r="V5521" s="123" t="s">
        <v>2472</v>
      </c>
      <c r="W5521" s="122">
        <v>80085</v>
      </c>
      <c r="X5521" s="221"/>
      <c r="Y5521" s="221"/>
      <c r="Z5521" s="221"/>
      <c r="AA5521" s="221"/>
      <c r="AB5521" s="223"/>
    </row>
    <row r="5522" spans="1:28" ht="17.100000000000001" customHeight="1" thickTop="1">
      <c r="A5522" s="226" t="s">
        <v>15808</v>
      </c>
      <c r="B5522" s="28">
        <v>46048</v>
      </c>
      <c r="C5522" s="25">
        <v>2078</v>
      </c>
      <c r="D5522" s="13" t="s">
        <v>1908</v>
      </c>
      <c r="E5522" s="228"/>
      <c r="F5522" s="109" t="s">
        <v>15784</v>
      </c>
      <c r="G5522" s="24"/>
      <c r="H5522" s="230">
        <v>4.5</v>
      </c>
      <c r="I5522" s="220">
        <v>1015000</v>
      </c>
      <c r="J5522" s="220">
        <f>I5522*0.1</f>
        <v>101500</v>
      </c>
      <c r="K5522" s="220">
        <v>0</v>
      </c>
      <c r="L5522" s="220">
        <v>20860</v>
      </c>
      <c r="M5522" s="220">
        <v>11000</v>
      </c>
      <c r="N5522" s="220">
        <f>SUM(I5522:M5523)</f>
        <v>1148360</v>
      </c>
      <c r="O5522" s="224"/>
      <c r="P5522" s="110" t="s">
        <v>15997</v>
      </c>
      <c r="Q5522" s="15" t="s">
        <v>19</v>
      </c>
      <c r="R5522" s="205"/>
      <c r="S5522" s="189" t="s">
        <v>1361</v>
      </c>
      <c r="T5522" s="114"/>
      <c r="U5522" s="21"/>
      <c r="V5522" s="115">
        <v>46053</v>
      </c>
      <c r="W5522" s="116">
        <v>1286</v>
      </c>
      <c r="X5522" s="220">
        <v>1120000</v>
      </c>
      <c r="Y5522" s="220">
        <f>X5522*0.1</f>
        <v>112000</v>
      </c>
      <c r="Z5522" s="220">
        <v>20860</v>
      </c>
      <c r="AA5522" s="220">
        <f>SUM(X5522:Z5522)</f>
        <v>1252860</v>
      </c>
      <c r="AB5522" s="222">
        <v>46056</v>
      </c>
    </row>
    <row r="5523" spans="1:28" ht="17.100000000000001" customHeight="1" thickBot="1">
      <c r="A5523" s="227"/>
      <c r="B5523" s="27" t="s">
        <v>82</v>
      </c>
      <c r="C5523" s="27">
        <v>36016</v>
      </c>
      <c r="D5523" s="14" t="s">
        <v>54</v>
      </c>
      <c r="E5523" s="229"/>
      <c r="F5523" s="117" t="s">
        <v>15785</v>
      </c>
      <c r="G5523" s="26">
        <v>37114</v>
      </c>
      <c r="H5523" s="231"/>
      <c r="I5523" s="221"/>
      <c r="J5523" s="221"/>
      <c r="K5523" s="221"/>
      <c r="L5523" s="221"/>
      <c r="M5523" s="221"/>
      <c r="N5523" s="221"/>
      <c r="O5523" s="225"/>
      <c r="P5523" s="118" t="s">
        <v>13040</v>
      </c>
      <c r="Q5523" s="16" t="s">
        <v>20</v>
      </c>
      <c r="R5523" s="17" t="s">
        <v>1822</v>
      </c>
      <c r="S5523" s="121" t="s">
        <v>1923</v>
      </c>
      <c r="T5523" s="122"/>
      <c r="U5523" s="22"/>
      <c r="V5523" s="123" t="s">
        <v>2472</v>
      </c>
      <c r="W5523" s="122">
        <v>80247</v>
      </c>
      <c r="X5523" s="221"/>
      <c r="Y5523" s="221"/>
      <c r="Z5523" s="221"/>
      <c r="AA5523" s="221"/>
      <c r="AB5523" s="223"/>
    </row>
    <row r="5524" spans="1:28" ht="17.100000000000001" customHeight="1" thickTop="1">
      <c r="A5524" s="226" t="s">
        <v>15809</v>
      </c>
      <c r="B5524" s="28">
        <v>46048</v>
      </c>
      <c r="C5524" s="25">
        <v>2078</v>
      </c>
      <c r="D5524" s="13" t="s">
        <v>2264</v>
      </c>
      <c r="E5524" s="228"/>
      <c r="F5524" s="109" t="s">
        <v>2685</v>
      </c>
      <c r="G5524" s="24"/>
      <c r="H5524" s="230">
        <v>4.5</v>
      </c>
      <c r="I5524" s="220">
        <v>2195000</v>
      </c>
      <c r="J5524" s="220">
        <f>I5524*0.1</f>
        <v>219500</v>
      </c>
      <c r="K5524" s="220">
        <v>0</v>
      </c>
      <c r="L5524" s="220">
        <v>18170</v>
      </c>
      <c r="M5524" s="220">
        <v>11000</v>
      </c>
      <c r="N5524" s="220">
        <f>SUM(I5524:M5525)</f>
        <v>2443670</v>
      </c>
      <c r="O5524" s="224"/>
      <c r="P5524" s="110" t="s">
        <v>15996</v>
      </c>
      <c r="Q5524" s="15" t="s">
        <v>19</v>
      </c>
      <c r="R5524" s="205"/>
      <c r="S5524" s="189" t="s">
        <v>1072</v>
      </c>
      <c r="T5524" s="114"/>
      <c r="U5524" s="21"/>
      <c r="V5524" s="115">
        <v>46060</v>
      </c>
      <c r="W5524" s="116">
        <v>1287</v>
      </c>
      <c r="X5524" s="220">
        <v>2420000</v>
      </c>
      <c r="Y5524" s="220">
        <f>X5524*0.1</f>
        <v>242000</v>
      </c>
      <c r="Z5524" s="220">
        <v>18170</v>
      </c>
      <c r="AA5524" s="220">
        <f>SUM(X5524:Z5524)</f>
        <v>2680170</v>
      </c>
      <c r="AB5524" s="222">
        <v>46063</v>
      </c>
    </row>
    <row r="5525" spans="1:28" ht="17.100000000000001" customHeight="1" thickBot="1">
      <c r="A5525" s="227"/>
      <c r="B5525" s="27" t="s">
        <v>82</v>
      </c>
      <c r="C5525" s="27">
        <v>36022</v>
      </c>
      <c r="D5525" s="14" t="s">
        <v>273</v>
      </c>
      <c r="E5525" s="229"/>
      <c r="F5525" s="117" t="s">
        <v>15786</v>
      </c>
      <c r="G5525" s="26">
        <v>34821</v>
      </c>
      <c r="H5525" s="231"/>
      <c r="I5525" s="221"/>
      <c r="J5525" s="221"/>
      <c r="K5525" s="221"/>
      <c r="L5525" s="221"/>
      <c r="M5525" s="221"/>
      <c r="N5525" s="221"/>
      <c r="O5525" s="225"/>
      <c r="P5525" s="118" t="s">
        <v>13040</v>
      </c>
      <c r="Q5525" s="16" t="s">
        <v>20</v>
      </c>
      <c r="R5525" s="17" t="s">
        <v>1822</v>
      </c>
      <c r="S5525" s="121" t="s">
        <v>1606</v>
      </c>
      <c r="T5525" s="122"/>
      <c r="U5525" s="22"/>
      <c r="V5525" s="123" t="s">
        <v>2472</v>
      </c>
      <c r="W5525" s="122">
        <v>80093</v>
      </c>
      <c r="X5525" s="221"/>
      <c r="Y5525" s="221"/>
      <c r="Z5525" s="221"/>
      <c r="AA5525" s="221"/>
      <c r="AB5525" s="223"/>
    </row>
    <row r="5526" spans="1:28" ht="17.100000000000001" customHeight="1" thickTop="1">
      <c r="A5526" s="226" t="s">
        <v>15810</v>
      </c>
      <c r="B5526" s="28">
        <v>46048</v>
      </c>
      <c r="C5526" s="25"/>
      <c r="D5526" s="13" t="s">
        <v>2324</v>
      </c>
      <c r="E5526" s="228"/>
      <c r="F5526" s="109" t="s">
        <v>9579</v>
      </c>
      <c r="G5526" s="24"/>
      <c r="H5526" s="230">
        <v>4.5</v>
      </c>
      <c r="I5526" s="220">
        <v>1530000</v>
      </c>
      <c r="J5526" s="220">
        <f>I5526*0.1</f>
        <v>153000</v>
      </c>
      <c r="K5526" s="220">
        <v>0</v>
      </c>
      <c r="L5526" s="220">
        <v>11930</v>
      </c>
      <c r="M5526" s="220">
        <f>23500+2350</f>
        <v>25850</v>
      </c>
      <c r="N5526" s="220">
        <f>SUM(I5526:M5527)</f>
        <v>1720780</v>
      </c>
      <c r="O5526" s="224"/>
      <c r="P5526" s="110" t="s">
        <v>16220</v>
      </c>
      <c r="Q5526" s="15" t="s">
        <v>19</v>
      </c>
      <c r="R5526" s="205"/>
      <c r="S5526" s="189"/>
      <c r="T5526" s="114"/>
      <c r="U5526" s="21"/>
      <c r="V5526" s="115">
        <v>46128</v>
      </c>
      <c r="W5526" s="116">
        <v>1327</v>
      </c>
      <c r="X5526" s="220">
        <v>1600000</v>
      </c>
      <c r="Y5526" s="220">
        <f>X5526*0.1</f>
        <v>160000</v>
      </c>
      <c r="Z5526" s="220">
        <v>11930</v>
      </c>
      <c r="AA5526" s="220">
        <f>SUM(X5526:Z5526)</f>
        <v>1771930</v>
      </c>
      <c r="AB5526" s="222">
        <v>46129</v>
      </c>
    </row>
    <row r="5527" spans="1:28" ht="17.100000000000001" customHeight="1" thickBot="1">
      <c r="A5527" s="227"/>
      <c r="B5527" s="27" t="s">
        <v>2727</v>
      </c>
      <c r="C5527" s="27">
        <v>80255</v>
      </c>
      <c r="D5527" s="14" t="s">
        <v>1584</v>
      </c>
      <c r="E5527" s="229"/>
      <c r="F5527" s="117" t="s">
        <v>15787</v>
      </c>
      <c r="G5527" s="26">
        <v>19133</v>
      </c>
      <c r="H5527" s="231"/>
      <c r="I5527" s="221"/>
      <c r="J5527" s="221"/>
      <c r="K5527" s="221"/>
      <c r="L5527" s="221"/>
      <c r="M5527" s="221"/>
      <c r="N5527" s="221"/>
      <c r="O5527" s="225"/>
      <c r="P5527" s="118" t="s">
        <v>16221</v>
      </c>
      <c r="Q5527" s="16" t="s">
        <v>20</v>
      </c>
      <c r="R5527" s="17" t="s">
        <v>2282</v>
      </c>
      <c r="S5527" s="121" t="s">
        <v>15757</v>
      </c>
      <c r="T5527" s="122"/>
      <c r="U5527" s="22"/>
      <c r="V5527" s="123" t="s">
        <v>22672</v>
      </c>
      <c r="W5527" s="122" t="s">
        <v>22673</v>
      </c>
      <c r="X5527" s="221"/>
      <c r="Y5527" s="221"/>
      <c r="Z5527" s="221"/>
      <c r="AA5527" s="221"/>
      <c r="AB5527" s="223"/>
    </row>
    <row r="5528" spans="1:28" ht="17.100000000000001" customHeight="1" thickTop="1">
      <c r="A5528" s="233" t="s">
        <v>15811</v>
      </c>
      <c r="B5528" s="28">
        <v>46048</v>
      </c>
      <c r="C5528" s="25"/>
      <c r="D5528" s="13" t="s">
        <v>1676</v>
      </c>
      <c r="E5528" s="228"/>
      <c r="F5528" s="109" t="s">
        <v>1916</v>
      </c>
      <c r="G5528" s="24"/>
      <c r="H5528" s="230">
        <v>3.5</v>
      </c>
      <c r="I5528" s="220">
        <v>455000</v>
      </c>
      <c r="J5528" s="220">
        <f>I5528*0.1</f>
        <v>45500</v>
      </c>
      <c r="K5528" s="220">
        <v>0</v>
      </c>
      <c r="L5528" s="220">
        <v>17700</v>
      </c>
      <c r="M5528" s="220">
        <v>15950</v>
      </c>
      <c r="N5528" s="220">
        <f>SUM(I5528:M5529)</f>
        <v>534150</v>
      </c>
      <c r="O5528" s="224"/>
      <c r="P5528" s="110"/>
      <c r="Q5528" s="15" t="s">
        <v>19</v>
      </c>
      <c r="R5528" s="205"/>
      <c r="S5528" s="189"/>
      <c r="T5528" s="114" t="s">
        <v>7899</v>
      </c>
      <c r="U5528" s="21"/>
      <c r="V5528" s="115"/>
      <c r="W5528" s="116"/>
      <c r="X5528" s="220"/>
      <c r="Y5528" s="220">
        <f>X5528*0.1</f>
        <v>0</v>
      </c>
      <c r="Z5528" s="220"/>
      <c r="AA5528" s="220">
        <f>SUM(X5528:Z5528)</f>
        <v>0</v>
      </c>
      <c r="AB5528" s="222"/>
    </row>
    <row r="5529" spans="1:28" ht="17.100000000000001" customHeight="1" thickBot="1">
      <c r="A5529" s="234"/>
      <c r="B5529" s="27" t="s">
        <v>4400</v>
      </c>
      <c r="C5529" s="27">
        <v>70040</v>
      </c>
      <c r="D5529" s="14" t="s">
        <v>1568</v>
      </c>
      <c r="E5529" s="229"/>
      <c r="F5529" s="117" t="s">
        <v>17556</v>
      </c>
      <c r="G5529" s="26">
        <v>50470</v>
      </c>
      <c r="H5529" s="231"/>
      <c r="I5529" s="221"/>
      <c r="J5529" s="221"/>
      <c r="K5529" s="221"/>
      <c r="L5529" s="221"/>
      <c r="M5529" s="221"/>
      <c r="N5529" s="221"/>
      <c r="O5529" s="225"/>
      <c r="P5529" s="118"/>
      <c r="Q5529" s="16" t="s">
        <v>20</v>
      </c>
      <c r="R5529" s="17" t="s">
        <v>10331</v>
      </c>
      <c r="S5529" s="121" t="s">
        <v>15968</v>
      </c>
      <c r="T5529" s="122"/>
      <c r="U5529" s="22"/>
      <c r="V5529" s="123"/>
      <c r="W5529" s="122"/>
      <c r="X5529" s="221"/>
      <c r="Y5529" s="221"/>
      <c r="Z5529" s="221"/>
      <c r="AA5529" s="221"/>
      <c r="AB5529" s="223"/>
    </row>
    <row r="5530" spans="1:28" ht="17.100000000000001" customHeight="1" thickTop="1">
      <c r="A5530" s="226" t="s">
        <v>15812</v>
      </c>
      <c r="B5530" s="28">
        <v>46048</v>
      </c>
      <c r="C5530" s="25"/>
      <c r="D5530" s="13" t="s">
        <v>1931</v>
      </c>
      <c r="E5530" s="228"/>
      <c r="F5530" s="109" t="s">
        <v>15788</v>
      </c>
      <c r="G5530" s="24"/>
      <c r="H5530" s="230">
        <v>4</v>
      </c>
      <c r="I5530" s="220">
        <v>1335000</v>
      </c>
      <c r="J5530" s="220">
        <f>I5530*0.1</f>
        <v>133500</v>
      </c>
      <c r="K5530" s="220">
        <v>0</v>
      </c>
      <c r="L5530" s="220">
        <v>19070</v>
      </c>
      <c r="M5530" s="220">
        <v>15950</v>
      </c>
      <c r="N5530" s="220">
        <f>SUM(I5530:M5531)</f>
        <v>1503520</v>
      </c>
      <c r="O5530" s="224"/>
      <c r="P5530" s="110" t="s">
        <v>16420</v>
      </c>
      <c r="Q5530" s="15" t="s">
        <v>19</v>
      </c>
      <c r="R5530" s="205"/>
      <c r="S5530" s="189"/>
      <c r="T5530" s="114"/>
      <c r="U5530" s="21"/>
      <c r="V5530" s="115">
        <v>46060</v>
      </c>
      <c r="W5530" s="116">
        <v>1287</v>
      </c>
      <c r="X5530" s="220">
        <v>1385000</v>
      </c>
      <c r="Y5530" s="220">
        <f>X5530*0.1</f>
        <v>138500</v>
      </c>
      <c r="Z5530" s="220">
        <v>19070</v>
      </c>
      <c r="AA5530" s="220">
        <f>SUM(X5530:Z5530)</f>
        <v>1542570</v>
      </c>
      <c r="AB5530" s="222">
        <v>46063</v>
      </c>
    </row>
    <row r="5531" spans="1:28" ht="17.100000000000001" customHeight="1" thickBot="1">
      <c r="A5531" s="227"/>
      <c r="B5531" s="27" t="s">
        <v>4400</v>
      </c>
      <c r="C5531" s="27">
        <v>70198</v>
      </c>
      <c r="D5531" s="14" t="s">
        <v>1584</v>
      </c>
      <c r="E5531" s="229"/>
      <c r="F5531" s="117" t="s">
        <v>16419</v>
      </c>
      <c r="G5531" s="26">
        <v>25693</v>
      </c>
      <c r="H5531" s="231"/>
      <c r="I5531" s="221"/>
      <c r="J5531" s="221"/>
      <c r="K5531" s="221"/>
      <c r="L5531" s="221"/>
      <c r="M5531" s="221"/>
      <c r="N5531" s="221"/>
      <c r="O5531" s="225"/>
      <c r="P5531" s="118" t="s">
        <v>9716</v>
      </c>
      <c r="Q5531" s="16" t="s">
        <v>20</v>
      </c>
      <c r="R5531" s="17" t="s">
        <v>2295</v>
      </c>
      <c r="S5531" s="121" t="s">
        <v>3331</v>
      </c>
      <c r="T5531" s="122"/>
      <c r="U5531" s="22"/>
      <c r="V5531" s="123" t="s">
        <v>2472</v>
      </c>
      <c r="W5531" s="122">
        <v>80061</v>
      </c>
      <c r="X5531" s="221"/>
      <c r="Y5531" s="221"/>
      <c r="Z5531" s="221"/>
      <c r="AA5531" s="221"/>
      <c r="AB5531" s="223"/>
    </row>
    <row r="5532" spans="1:28" ht="17.100000000000001" customHeight="1" thickTop="1">
      <c r="A5532" s="226" t="s">
        <v>15877</v>
      </c>
      <c r="B5532" s="28">
        <v>46049</v>
      </c>
      <c r="C5532" s="25"/>
      <c r="D5532" s="13" t="s">
        <v>2610</v>
      </c>
      <c r="E5532" s="228"/>
      <c r="F5532" s="109" t="s">
        <v>2278</v>
      </c>
      <c r="G5532" s="24" t="s">
        <v>5039</v>
      </c>
      <c r="H5532" s="230"/>
      <c r="I5532" s="220">
        <v>2000000</v>
      </c>
      <c r="J5532" s="220">
        <v>0</v>
      </c>
      <c r="K5532" s="220">
        <v>0</v>
      </c>
      <c r="L5532" s="220">
        <v>0</v>
      </c>
      <c r="M5532" s="220">
        <v>0</v>
      </c>
      <c r="N5532" s="220">
        <f>SUM(I5532:M5533)</f>
        <v>2000000</v>
      </c>
      <c r="O5532" s="224"/>
      <c r="P5532" s="110" t="s">
        <v>15879</v>
      </c>
      <c r="Q5532" s="15" t="s">
        <v>19</v>
      </c>
      <c r="R5532" s="205"/>
      <c r="S5532" s="189"/>
      <c r="T5532" s="114"/>
      <c r="U5532" s="21"/>
      <c r="V5532" s="115"/>
      <c r="W5532" s="116"/>
      <c r="X5532" s="220"/>
      <c r="Y5532" s="220">
        <f>X5532*0.1</f>
        <v>0</v>
      </c>
      <c r="Z5532" s="220"/>
      <c r="AA5532" s="220">
        <f>SUM(X5532:Z5532)</f>
        <v>0</v>
      </c>
      <c r="AB5532" s="222"/>
    </row>
    <row r="5533" spans="1:28" ht="17.100000000000001" customHeight="1" thickBot="1">
      <c r="A5533" s="227"/>
      <c r="B5533" s="27" t="s">
        <v>15876</v>
      </c>
      <c r="C5533" s="27"/>
      <c r="D5533" s="14" t="s">
        <v>3221</v>
      </c>
      <c r="E5533" s="229"/>
      <c r="F5533" s="117" t="s">
        <v>15878</v>
      </c>
      <c r="G5533" s="26">
        <v>54778</v>
      </c>
      <c r="H5533" s="231"/>
      <c r="I5533" s="221"/>
      <c r="J5533" s="221"/>
      <c r="K5533" s="221"/>
      <c r="L5533" s="221"/>
      <c r="M5533" s="221"/>
      <c r="N5533" s="221"/>
      <c r="O5533" s="225"/>
      <c r="P5533" s="118" t="s">
        <v>15880</v>
      </c>
      <c r="Q5533" s="16" t="s">
        <v>20</v>
      </c>
      <c r="R5533" s="17" t="s">
        <v>15814</v>
      </c>
      <c r="S5533" s="121" t="s">
        <v>1731</v>
      </c>
      <c r="T5533" s="122"/>
      <c r="U5533" s="22"/>
      <c r="V5533" s="123"/>
      <c r="W5533" s="122"/>
      <c r="X5533" s="221"/>
      <c r="Y5533" s="221"/>
      <c r="Z5533" s="221"/>
      <c r="AA5533" s="221"/>
      <c r="AB5533" s="223"/>
    </row>
    <row r="5534" spans="1:28" ht="17.100000000000001" customHeight="1" thickTop="1">
      <c r="A5534" s="226" t="s">
        <v>15885</v>
      </c>
      <c r="B5534" s="28">
        <v>46049</v>
      </c>
      <c r="C5534" s="25">
        <v>1926</v>
      </c>
      <c r="D5534" s="13" t="s">
        <v>1598</v>
      </c>
      <c r="E5534" s="228"/>
      <c r="F5534" s="109" t="s">
        <v>15619</v>
      </c>
      <c r="G5534" s="24" t="s">
        <v>2536</v>
      </c>
      <c r="H5534" s="230">
        <v>4</v>
      </c>
      <c r="I5534" s="220">
        <v>802000</v>
      </c>
      <c r="J5534" s="220">
        <f>I5534*0.1</f>
        <v>80200</v>
      </c>
      <c r="K5534" s="220">
        <v>0</v>
      </c>
      <c r="L5534" s="220">
        <v>9080</v>
      </c>
      <c r="M5534" s="220">
        <v>15950</v>
      </c>
      <c r="N5534" s="220">
        <f>SUM(I5534:M5535)</f>
        <v>907230</v>
      </c>
      <c r="O5534" s="224"/>
      <c r="P5534" s="110" t="s">
        <v>16408</v>
      </c>
      <c r="Q5534" s="15" t="s">
        <v>19</v>
      </c>
      <c r="R5534" s="205"/>
      <c r="S5534" s="189" t="s">
        <v>25730</v>
      </c>
      <c r="T5534" s="114"/>
      <c r="U5534" s="21"/>
      <c r="V5534" s="115">
        <v>46053</v>
      </c>
      <c r="W5534" s="116">
        <v>1286</v>
      </c>
      <c r="X5534" s="220">
        <v>935000</v>
      </c>
      <c r="Y5534" s="220">
        <f>X5534*0.1</f>
        <v>93500</v>
      </c>
      <c r="Z5534" s="220">
        <v>9080</v>
      </c>
      <c r="AA5534" s="220">
        <f>SUM(X5534:Z5534)</f>
        <v>1037580</v>
      </c>
      <c r="AB5534" s="222">
        <v>46058</v>
      </c>
    </row>
    <row r="5535" spans="1:28" ht="17.100000000000001" customHeight="1" thickBot="1">
      <c r="A5535" s="227"/>
      <c r="B5535" s="27" t="s">
        <v>2103</v>
      </c>
      <c r="C5535" s="27">
        <v>3206</v>
      </c>
      <c r="D5535" s="14" t="s">
        <v>273</v>
      </c>
      <c r="E5535" s="229"/>
      <c r="F5535" s="117" t="s">
        <v>15895</v>
      </c>
      <c r="G5535" s="26">
        <v>63550</v>
      </c>
      <c r="H5535" s="231"/>
      <c r="I5535" s="221"/>
      <c r="J5535" s="221"/>
      <c r="K5535" s="221"/>
      <c r="L5535" s="221"/>
      <c r="M5535" s="221"/>
      <c r="N5535" s="221"/>
      <c r="O5535" s="225"/>
      <c r="P5535" s="118" t="s">
        <v>16409</v>
      </c>
      <c r="Q5535" s="16" t="s">
        <v>20</v>
      </c>
      <c r="R5535" s="17" t="s">
        <v>2295</v>
      </c>
      <c r="S5535" s="121" t="s">
        <v>4539</v>
      </c>
      <c r="T5535" s="122"/>
      <c r="U5535" s="22"/>
      <c r="V5535" s="123" t="s">
        <v>2472</v>
      </c>
      <c r="W5535" s="122">
        <v>60418</v>
      </c>
      <c r="X5535" s="221"/>
      <c r="Y5535" s="221"/>
      <c r="Z5535" s="221"/>
      <c r="AA5535" s="221"/>
      <c r="AB5535" s="223"/>
    </row>
    <row r="5536" spans="1:28" ht="17.100000000000001" customHeight="1" thickTop="1">
      <c r="A5536" s="226" t="s">
        <v>15886</v>
      </c>
      <c r="B5536" s="28">
        <v>46049</v>
      </c>
      <c r="C5536" s="25">
        <v>1926</v>
      </c>
      <c r="D5536" s="13" t="s">
        <v>1053</v>
      </c>
      <c r="E5536" s="228"/>
      <c r="F5536" s="109" t="s">
        <v>15197</v>
      </c>
      <c r="G5536" s="24"/>
      <c r="H5536" s="230">
        <v>4.5</v>
      </c>
      <c r="I5536" s="220">
        <v>586000</v>
      </c>
      <c r="J5536" s="220">
        <f>I5536*0.1</f>
        <v>58600</v>
      </c>
      <c r="K5536" s="220">
        <v>0</v>
      </c>
      <c r="L5536" s="220">
        <v>7140</v>
      </c>
      <c r="M5536" s="220">
        <v>15950</v>
      </c>
      <c r="N5536" s="220">
        <f>SUM(I5536:M5537)</f>
        <v>667690</v>
      </c>
      <c r="O5536" s="224"/>
      <c r="P5536" s="110" t="s">
        <v>16406</v>
      </c>
      <c r="Q5536" s="15" t="s">
        <v>19</v>
      </c>
      <c r="R5536" s="205"/>
      <c r="S5536" s="189" t="s">
        <v>696</v>
      </c>
      <c r="T5536" s="114"/>
      <c r="U5536" s="21"/>
      <c r="V5536" s="115">
        <v>46053</v>
      </c>
      <c r="W5536" s="116">
        <v>1286</v>
      </c>
      <c r="X5536" s="220">
        <v>600000</v>
      </c>
      <c r="Y5536" s="220">
        <f>X5536*0.1</f>
        <v>60000</v>
      </c>
      <c r="Z5536" s="220">
        <v>7140</v>
      </c>
      <c r="AA5536" s="220">
        <f>SUM(X5536:Z5536)</f>
        <v>667140</v>
      </c>
      <c r="AB5536" s="222">
        <v>46058</v>
      </c>
    </row>
    <row r="5537" spans="1:28" ht="17.100000000000001" customHeight="1" thickBot="1">
      <c r="A5537" s="227"/>
      <c r="B5537" s="27" t="s">
        <v>2103</v>
      </c>
      <c r="C5537" s="27">
        <v>3321</v>
      </c>
      <c r="D5537" s="14" t="s">
        <v>1710</v>
      </c>
      <c r="E5537" s="229"/>
      <c r="F5537" s="117" t="s">
        <v>15896</v>
      </c>
      <c r="G5537" s="26">
        <v>20253</v>
      </c>
      <c r="H5537" s="231"/>
      <c r="I5537" s="221"/>
      <c r="J5537" s="221"/>
      <c r="K5537" s="221"/>
      <c r="L5537" s="221"/>
      <c r="M5537" s="221"/>
      <c r="N5537" s="221"/>
      <c r="O5537" s="225"/>
      <c r="P5537" s="118" t="s">
        <v>12117</v>
      </c>
      <c r="Q5537" s="16" t="s">
        <v>20</v>
      </c>
      <c r="R5537" s="17" t="s">
        <v>2295</v>
      </c>
      <c r="S5537" s="121"/>
      <c r="T5537" s="122"/>
      <c r="U5537" s="22"/>
      <c r="V5537" s="123" t="s">
        <v>2472</v>
      </c>
      <c r="W5537" s="122">
        <v>60419</v>
      </c>
      <c r="X5537" s="221"/>
      <c r="Y5537" s="221"/>
      <c r="Z5537" s="221"/>
      <c r="AA5537" s="221"/>
      <c r="AB5537" s="223"/>
    </row>
    <row r="5538" spans="1:28" ht="17.100000000000001" customHeight="1" thickTop="1">
      <c r="A5538" s="226" t="s">
        <v>15887</v>
      </c>
      <c r="B5538" s="28">
        <v>46049</v>
      </c>
      <c r="C5538" s="25">
        <v>1926</v>
      </c>
      <c r="D5538" s="13" t="s">
        <v>1704</v>
      </c>
      <c r="E5538" s="228"/>
      <c r="F5538" s="109" t="s">
        <v>15897</v>
      </c>
      <c r="G5538" s="24"/>
      <c r="H5538" s="230">
        <v>4</v>
      </c>
      <c r="I5538" s="220">
        <v>2413000</v>
      </c>
      <c r="J5538" s="220">
        <f>I5538*0.1</f>
        <v>241300</v>
      </c>
      <c r="K5538" s="220">
        <v>0</v>
      </c>
      <c r="L5538" s="220">
        <v>20830</v>
      </c>
      <c r="M5538" s="220">
        <v>15950</v>
      </c>
      <c r="N5538" s="220">
        <f>SUM(I5538:M5539)</f>
        <v>2691080</v>
      </c>
      <c r="O5538" s="224"/>
      <c r="P5538" s="110" t="s">
        <v>16396</v>
      </c>
      <c r="Q5538" s="15" t="s">
        <v>19</v>
      </c>
      <c r="R5538" s="205"/>
      <c r="S5538" s="189" t="s">
        <v>25504</v>
      </c>
      <c r="T5538" s="114"/>
      <c r="U5538" s="21"/>
      <c r="V5538" s="115">
        <v>46067</v>
      </c>
      <c r="W5538" s="116">
        <v>1288</v>
      </c>
      <c r="X5538" s="220">
        <v>2485000</v>
      </c>
      <c r="Y5538" s="220">
        <f>X5538*0.1</f>
        <v>248500</v>
      </c>
      <c r="Z5538" s="220">
        <v>20830</v>
      </c>
      <c r="AA5538" s="220">
        <f>SUM(X5538:Z5538)</f>
        <v>2754330</v>
      </c>
      <c r="AB5538" s="222">
        <v>46070</v>
      </c>
    </row>
    <row r="5539" spans="1:28" ht="17.100000000000001" customHeight="1" thickBot="1">
      <c r="A5539" s="227"/>
      <c r="B5539" s="27" t="s">
        <v>2103</v>
      </c>
      <c r="C5539" s="27">
        <v>5005</v>
      </c>
      <c r="D5539" s="14" t="s">
        <v>2559</v>
      </c>
      <c r="E5539" s="229"/>
      <c r="F5539" s="117" t="s">
        <v>15898</v>
      </c>
      <c r="G5539" s="26">
        <v>37628</v>
      </c>
      <c r="H5539" s="231"/>
      <c r="I5539" s="221"/>
      <c r="J5539" s="221"/>
      <c r="K5539" s="221"/>
      <c r="L5539" s="221"/>
      <c r="M5539" s="221"/>
      <c r="N5539" s="221"/>
      <c r="O5539" s="225"/>
      <c r="P5539" s="118" t="s">
        <v>16397</v>
      </c>
      <c r="Q5539" s="16" t="s">
        <v>20</v>
      </c>
      <c r="R5539" s="17" t="s">
        <v>2295</v>
      </c>
      <c r="S5539" s="121" t="s">
        <v>16398</v>
      </c>
      <c r="T5539" s="122"/>
      <c r="U5539" s="22"/>
      <c r="V5539" s="123" t="s">
        <v>2472</v>
      </c>
      <c r="W5539" s="122">
        <v>80123</v>
      </c>
      <c r="X5539" s="221"/>
      <c r="Y5539" s="221"/>
      <c r="Z5539" s="221"/>
      <c r="AA5539" s="221"/>
      <c r="AB5539" s="223"/>
    </row>
    <row r="5540" spans="1:28" ht="17.100000000000001" customHeight="1" thickTop="1">
      <c r="A5540" s="226" t="s">
        <v>15888</v>
      </c>
      <c r="B5540" s="28">
        <v>46049</v>
      </c>
      <c r="C5540" s="25">
        <v>1926</v>
      </c>
      <c r="D5540" s="13" t="s">
        <v>2610</v>
      </c>
      <c r="E5540" s="228"/>
      <c r="F5540" s="109" t="s">
        <v>15899</v>
      </c>
      <c r="G5540" s="24"/>
      <c r="H5540" s="230">
        <v>4.5</v>
      </c>
      <c r="I5540" s="220">
        <v>1418000</v>
      </c>
      <c r="J5540" s="220">
        <f>I5540*0.1</f>
        <v>141800</v>
      </c>
      <c r="K5540" s="220">
        <v>0</v>
      </c>
      <c r="L5540" s="220">
        <v>18100</v>
      </c>
      <c r="M5540" s="220">
        <v>15950</v>
      </c>
      <c r="N5540" s="220">
        <f>SUM(I5540:M5541)</f>
        <v>1593850</v>
      </c>
      <c r="O5540" s="224"/>
      <c r="P5540" s="110" t="s">
        <v>16411</v>
      </c>
      <c r="Q5540" s="15" t="s">
        <v>19</v>
      </c>
      <c r="R5540" s="205"/>
      <c r="S5540" s="189"/>
      <c r="T5540" s="114"/>
      <c r="U5540" s="21"/>
      <c r="V5540" s="115">
        <v>46053</v>
      </c>
      <c r="W5540" s="116">
        <v>1286</v>
      </c>
      <c r="X5540" s="220">
        <v>1535000</v>
      </c>
      <c r="Y5540" s="220">
        <f>X5540*0.1</f>
        <v>153500</v>
      </c>
      <c r="Z5540" s="220">
        <v>18100</v>
      </c>
      <c r="AA5540" s="220">
        <f>SUM(X5540:Z5540)</f>
        <v>1706600</v>
      </c>
      <c r="AB5540" s="222">
        <v>46058</v>
      </c>
    </row>
    <row r="5541" spans="1:28" ht="17.100000000000001" customHeight="1" thickBot="1">
      <c r="A5541" s="227"/>
      <c r="B5541" s="27" t="s">
        <v>2103</v>
      </c>
      <c r="C5541" s="27">
        <v>5016</v>
      </c>
      <c r="D5541" s="14" t="s">
        <v>1568</v>
      </c>
      <c r="E5541" s="229"/>
      <c r="F5541" s="117" t="s">
        <v>15900</v>
      </c>
      <c r="G5541" s="26">
        <v>43826</v>
      </c>
      <c r="H5541" s="231"/>
      <c r="I5541" s="221"/>
      <c r="J5541" s="221"/>
      <c r="K5541" s="221"/>
      <c r="L5541" s="221"/>
      <c r="M5541" s="221"/>
      <c r="N5541" s="221"/>
      <c r="O5541" s="225"/>
      <c r="P5541" s="118" t="s">
        <v>16412</v>
      </c>
      <c r="Q5541" s="16" t="s">
        <v>20</v>
      </c>
      <c r="R5541" s="17" t="s">
        <v>2295</v>
      </c>
      <c r="S5541" s="121" t="s">
        <v>16024</v>
      </c>
      <c r="T5541" s="122"/>
      <c r="U5541" s="22"/>
      <c r="V5541" s="123" t="s">
        <v>2472</v>
      </c>
      <c r="W5541" s="122">
        <v>80359</v>
      </c>
      <c r="X5541" s="221"/>
      <c r="Y5541" s="221"/>
      <c r="Z5541" s="221"/>
      <c r="AA5541" s="221"/>
      <c r="AB5541" s="223"/>
    </row>
    <row r="5542" spans="1:28" ht="17.100000000000001" customHeight="1" thickTop="1">
      <c r="A5542" s="226" t="s">
        <v>15889</v>
      </c>
      <c r="B5542" s="28">
        <v>46049</v>
      </c>
      <c r="C5542" s="25">
        <v>1926</v>
      </c>
      <c r="D5542" s="13" t="s">
        <v>1607</v>
      </c>
      <c r="E5542" s="228"/>
      <c r="F5542" s="109" t="s">
        <v>15901</v>
      </c>
      <c r="G5542" s="24"/>
      <c r="H5542" s="230">
        <v>4.5</v>
      </c>
      <c r="I5542" s="220">
        <v>2102000</v>
      </c>
      <c r="J5542" s="220">
        <f>I5542*0.1</f>
        <v>210200</v>
      </c>
      <c r="K5542" s="220">
        <v>0</v>
      </c>
      <c r="L5542" s="220">
        <v>20960</v>
      </c>
      <c r="M5542" s="220">
        <v>15950</v>
      </c>
      <c r="N5542" s="220">
        <f>SUM(I5542:M5543)</f>
        <v>2349110</v>
      </c>
      <c r="O5542" s="224"/>
      <c r="P5542" s="110" t="s">
        <v>16399</v>
      </c>
      <c r="Q5542" s="15" t="s">
        <v>19</v>
      </c>
      <c r="R5542" s="205"/>
      <c r="S5542" s="189"/>
      <c r="T5542" s="114"/>
      <c r="U5542" s="21"/>
      <c r="V5542" s="115">
        <v>46060</v>
      </c>
      <c r="W5542" s="116">
        <v>1287</v>
      </c>
      <c r="X5542" s="220">
        <v>2235000</v>
      </c>
      <c r="Y5542" s="220">
        <f>X5542*0.1</f>
        <v>223500</v>
      </c>
      <c r="Z5542" s="220">
        <v>20960</v>
      </c>
      <c r="AA5542" s="220">
        <f>SUM(X5542:Z5542)</f>
        <v>2479460</v>
      </c>
      <c r="AB5542" s="222">
        <v>46063</v>
      </c>
    </row>
    <row r="5543" spans="1:28" ht="17.100000000000001" customHeight="1" thickBot="1">
      <c r="A5543" s="227"/>
      <c r="B5543" s="27" t="s">
        <v>2103</v>
      </c>
      <c r="C5543" s="27">
        <v>5037</v>
      </c>
      <c r="D5543" s="14" t="s">
        <v>1568</v>
      </c>
      <c r="E5543" s="229"/>
      <c r="F5543" s="117" t="s">
        <v>15902</v>
      </c>
      <c r="G5543" s="26">
        <v>42546</v>
      </c>
      <c r="H5543" s="231"/>
      <c r="I5543" s="221"/>
      <c r="J5543" s="221"/>
      <c r="K5543" s="221"/>
      <c r="L5543" s="221"/>
      <c r="M5543" s="221"/>
      <c r="N5543" s="221"/>
      <c r="O5543" s="225"/>
      <c r="P5543" s="118" t="s">
        <v>3957</v>
      </c>
      <c r="Q5543" s="16" t="s">
        <v>20</v>
      </c>
      <c r="R5543" s="17" t="s">
        <v>2295</v>
      </c>
      <c r="S5543" s="121"/>
      <c r="T5543" s="122"/>
      <c r="U5543" s="22"/>
      <c r="V5543" s="123" t="s">
        <v>2472</v>
      </c>
      <c r="W5543" s="122">
        <v>80062</v>
      </c>
      <c r="X5543" s="221"/>
      <c r="Y5543" s="221"/>
      <c r="Z5543" s="221"/>
      <c r="AA5543" s="221"/>
      <c r="AB5543" s="223"/>
    </row>
    <row r="5544" spans="1:28" ht="17.100000000000001" customHeight="1" thickTop="1">
      <c r="A5544" s="226" t="s">
        <v>15890</v>
      </c>
      <c r="B5544" s="28">
        <v>46049</v>
      </c>
      <c r="C5544" s="25">
        <v>1926</v>
      </c>
      <c r="D5544" s="13" t="s">
        <v>1578</v>
      </c>
      <c r="E5544" s="228"/>
      <c r="F5544" s="109" t="s">
        <v>2678</v>
      </c>
      <c r="G5544" s="24"/>
      <c r="H5544" s="230">
        <v>4</v>
      </c>
      <c r="I5544" s="220">
        <v>1153000</v>
      </c>
      <c r="J5544" s="220">
        <f>I5544*0.1</f>
        <v>115300</v>
      </c>
      <c r="K5544" s="220">
        <v>0</v>
      </c>
      <c r="L5544" s="220">
        <v>19090</v>
      </c>
      <c r="M5544" s="220">
        <v>15950</v>
      </c>
      <c r="N5544" s="220">
        <f>SUM(I5544:M5545)</f>
        <v>1303340</v>
      </c>
      <c r="O5544" s="224"/>
      <c r="P5544" s="110" t="s">
        <v>16410</v>
      </c>
      <c r="Q5544" s="15" t="s">
        <v>19</v>
      </c>
      <c r="R5544" s="205"/>
      <c r="S5544" s="189"/>
      <c r="T5544" s="114"/>
      <c r="U5544" s="21"/>
      <c r="V5544" s="115">
        <v>46053</v>
      </c>
      <c r="W5544" s="116">
        <v>1286</v>
      </c>
      <c r="X5544" s="220">
        <v>1300000</v>
      </c>
      <c r="Y5544" s="220">
        <f>X5544*0.1</f>
        <v>130000</v>
      </c>
      <c r="Z5544" s="220">
        <v>19090</v>
      </c>
      <c r="AA5544" s="220">
        <f>SUM(X5544:Z5544)</f>
        <v>1449090</v>
      </c>
      <c r="AB5544" s="222">
        <v>46058</v>
      </c>
    </row>
    <row r="5545" spans="1:28" ht="17.100000000000001" customHeight="1" thickBot="1">
      <c r="A5545" s="227"/>
      <c r="B5545" s="27" t="s">
        <v>2103</v>
      </c>
      <c r="C5545" s="27">
        <v>5039</v>
      </c>
      <c r="D5545" s="14" t="s">
        <v>273</v>
      </c>
      <c r="E5545" s="229"/>
      <c r="F5545" s="117" t="s">
        <v>15903</v>
      </c>
      <c r="G5545" s="26">
        <v>63206</v>
      </c>
      <c r="H5545" s="231"/>
      <c r="I5545" s="221"/>
      <c r="J5545" s="221"/>
      <c r="K5545" s="221"/>
      <c r="L5545" s="221"/>
      <c r="M5545" s="221"/>
      <c r="N5545" s="221"/>
      <c r="O5545" s="225"/>
      <c r="P5545" s="118" t="s">
        <v>3957</v>
      </c>
      <c r="Q5545" s="16" t="s">
        <v>20</v>
      </c>
      <c r="R5545" s="17" t="s">
        <v>2295</v>
      </c>
      <c r="S5545" s="121" t="s">
        <v>7720</v>
      </c>
      <c r="T5545" s="122"/>
      <c r="U5545" s="22"/>
      <c r="V5545" s="123" t="s">
        <v>2472</v>
      </c>
      <c r="W5545" s="122">
        <v>80355</v>
      </c>
      <c r="X5545" s="221"/>
      <c r="Y5545" s="221"/>
      <c r="Z5545" s="221"/>
      <c r="AA5545" s="221"/>
      <c r="AB5545" s="223"/>
    </row>
    <row r="5546" spans="1:28" ht="17.100000000000001" customHeight="1" thickTop="1">
      <c r="A5546" s="226" t="s">
        <v>15891</v>
      </c>
      <c r="B5546" s="28">
        <v>46049</v>
      </c>
      <c r="C5546" s="25">
        <v>1926</v>
      </c>
      <c r="D5546" s="13" t="s">
        <v>1531</v>
      </c>
      <c r="E5546" s="228"/>
      <c r="F5546" s="109" t="s">
        <v>15904</v>
      </c>
      <c r="G5546" s="24"/>
      <c r="H5546" s="230">
        <v>4</v>
      </c>
      <c r="I5546" s="220">
        <v>606000</v>
      </c>
      <c r="J5546" s="220">
        <f>I5546*0.1</f>
        <v>60600</v>
      </c>
      <c r="K5546" s="220">
        <v>0</v>
      </c>
      <c r="L5546" s="220">
        <v>8850</v>
      </c>
      <c r="M5546" s="220">
        <v>15950</v>
      </c>
      <c r="N5546" s="220">
        <f>SUM(I5546:M5547)</f>
        <v>691400</v>
      </c>
      <c r="O5546" s="224"/>
      <c r="P5546" s="110" t="s">
        <v>16407</v>
      </c>
      <c r="Q5546" s="15" t="s">
        <v>19</v>
      </c>
      <c r="R5546" s="205"/>
      <c r="S5546" s="189" t="s">
        <v>758</v>
      </c>
      <c r="T5546" s="114"/>
      <c r="U5546" s="21"/>
      <c r="V5546" s="115">
        <v>46053</v>
      </c>
      <c r="W5546" s="116">
        <v>1286</v>
      </c>
      <c r="X5546" s="220">
        <v>660000</v>
      </c>
      <c r="Y5546" s="220">
        <f>X5546*0.1</f>
        <v>66000</v>
      </c>
      <c r="Z5546" s="220">
        <v>8850</v>
      </c>
      <c r="AA5546" s="220">
        <f>SUM(X5546:Z5546)</f>
        <v>734850</v>
      </c>
      <c r="AB5546" s="222">
        <v>46058</v>
      </c>
    </row>
    <row r="5547" spans="1:28" ht="17.100000000000001" customHeight="1" thickBot="1">
      <c r="A5547" s="227"/>
      <c r="B5547" s="27" t="s">
        <v>2103</v>
      </c>
      <c r="C5547" s="27">
        <v>5438</v>
      </c>
      <c r="D5547" s="14" t="s">
        <v>273</v>
      </c>
      <c r="E5547" s="229"/>
      <c r="F5547" s="117" t="s">
        <v>15905</v>
      </c>
      <c r="G5547" s="26">
        <v>43708</v>
      </c>
      <c r="H5547" s="231"/>
      <c r="I5547" s="221"/>
      <c r="J5547" s="221"/>
      <c r="K5547" s="221"/>
      <c r="L5547" s="221"/>
      <c r="M5547" s="221"/>
      <c r="N5547" s="221"/>
      <c r="O5547" s="225"/>
      <c r="P5547" s="118" t="s">
        <v>5159</v>
      </c>
      <c r="Q5547" s="16" t="s">
        <v>20</v>
      </c>
      <c r="R5547" s="17" t="s">
        <v>2295</v>
      </c>
      <c r="S5547" s="121" t="s">
        <v>1661</v>
      </c>
      <c r="T5547" s="122"/>
      <c r="U5547" s="22"/>
      <c r="V5547" s="123" t="s">
        <v>2472</v>
      </c>
      <c r="W5547" s="122">
        <v>60359</v>
      </c>
      <c r="X5547" s="221"/>
      <c r="Y5547" s="221"/>
      <c r="Z5547" s="221"/>
      <c r="AA5547" s="221"/>
      <c r="AB5547" s="223"/>
    </row>
    <row r="5548" spans="1:28" ht="17.100000000000001" customHeight="1" thickTop="1">
      <c r="A5548" s="226" t="s">
        <v>15892</v>
      </c>
      <c r="B5548" s="28">
        <v>46049</v>
      </c>
      <c r="C5548" s="25">
        <v>1926</v>
      </c>
      <c r="D5548" s="13" t="s">
        <v>1976</v>
      </c>
      <c r="E5548" s="228"/>
      <c r="F5548" s="109" t="s">
        <v>15906</v>
      </c>
      <c r="G5548" s="24" t="s">
        <v>4239</v>
      </c>
      <c r="H5548" s="230">
        <v>4</v>
      </c>
      <c r="I5548" s="220">
        <v>1107000</v>
      </c>
      <c r="J5548" s="220">
        <f>I5548*0.1</f>
        <v>110700</v>
      </c>
      <c r="K5548" s="220">
        <v>0</v>
      </c>
      <c r="L5548" s="220">
        <v>7510</v>
      </c>
      <c r="M5548" s="220">
        <v>15950</v>
      </c>
      <c r="N5548" s="220">
        <f>SUM(I5548:M5549)</f>
        <v>1241160</v>
      </c>
      <c r="O5548" s="224"/>
      <c r="P5548" s="110" t="s">
        <v>16394</v>
      </c>
      <c r="Q5548" s="15" t="s">
        <v>19</v>
      </c>
      <c r="R5548" s="205"/>
      <c r="S5548" s="189" t="s">
        <v>25731</v>
      </c>
      <c r="T5548" s="114"/>
      <c r="U5548" s="21" t="s">
        <v>17056</v>
      </c>
      <c r="V5548" s="115">
        <v>46060</v>
      </c>
      <c r="W5548" s="116">
        <v>1287</v>
      </c>
      <c r="X5548" s="220">
        <v>1130000</v>
      </c>
      <c r="Y5548" s="220">
        <f>X5548*0.1</f>
        <v>113000</v>
      </c>
      <c r="Z5548" s="220">
        <v>7510</v>
      </c>
      <c r="AA5548" s="220">
        <f>SUM(X5548:Z5548)</f>
        <v>1250510</v>
      </c>
      <c r="AB5548" s="222">
        <v>46065</v>
      </c>
    </row>
    <row r="5549" spans="1:28" ht="17.100000000000001" customHeight="1" thickBot="1">
      <c r="A5549" s="227"/>
      <c r="B5549" s="27" t="s">
        <v>2103</v>
      </c>
      <c r="C5549" s="27">
        <v>5453</v>
      </c>
      <c r="D5549" s="14" t="s">
        <v>131</v>
      </c>
      <c r="E5549" s="229"/>
      <c r="F5549" s="117" t="s">
        <v>15907</v>
      </c>
      <c r="G5549" s="26">
        <v>49887</v>
      </c>
      <c r="H5549" s="231"/>
      <c r="I5549" s="221"/>
      <c r="J5549" s="221"/>
      <c r="K5549" s="221"/>
      <c r="L5549" s="221"/>
      <c r="M5549" s="221"/>
      <c r="N5549" s="221"/>
      <c r="O5549" s="225"/>
      <c r="P5549" s="118" t="s">
        <v>5159</v>
      </c>
      <c r="Q5549" s="16" t="s">
        <v>20</v>
      </c>
      <c r="R5549" s="17" t="s">
        <v>2295</v>
      </c>
      <c r="S5549" s="121" t="s">
        <v>16395</v>
      </c>
      <c r="T5549" s="122"/>
      <c r="U5549" s="22"/>
      <c r="V5549" s="123" t="s">
        <v>2472</v>
      </c>
      <c r="W5549" s="122">
        <v>60366</v>
      </c>
      <c r="X5549" s="221"/>
      <c r="Y5549" s="221"/>
      <c r="Z5549" s="221"/>
      <c r="AA5549" s="221"/>
      <c r="AB5549" s="223"/>
    </row>
    <row r="5550" spans="1:28" ht="17.100000000000001" customHeight="1" thickTop="1">
      <c r="A5550" s="226" t="s">
        <v>15893</v>
      </c>
      <c r="B5550" s="28">
        <v>46049</v>
      </c>
      <c r="C5550" s="25">
        <v>804</v>
      </c>
      <c r="D5550" s="13" t="s">
        <v>1607</v>
      </c>
      <c r="E5550" s="228"/>
      <c r="F5550" s="109" t="s">
        <v>15908</v>
      </c>
      <c r="G5550" s="24" t="s">
        <v>2926</v>
      </c>
      <c r="H5550" s="230">
        <v>3.5</v>
      </c>
      <c r="I5550" s="220">
        <v>1152000</v>
      </c>
      <c r="J5550" s="220">
        <f>I5550*0.1</f>
        <v>115200</v>
      </c>
      <c r="K5550" s="220">
        <v>7150</v>
      </c>
      <c r="L5550" s="220">
        <v>12030</v>
      </c>
      <c r="M5550" s="220">
        <v>17050</v>
      </c>
      <c r="N5550" s="220">
        <f>SUM(I5550:M5551)</f>
        <v>1303430</v>
      </c>
      <c r="O5550" s="224"/>
      <c r="P5550" s="110" t="s">
        <v>15910</v>
      </c>
      <c r="Q5550" s="15" t="s">
        <v>19</v>
      </c>
      <c r="R5550" s="205"/>
      <c r="S5550" s="189"/>
      <c r="T5550" s="114"/>
      <c r="U5550" s="21" t="s">
        <v>17610</v>
      </c>
      <c r="V5550" s="115">
        <v>46078</v>
      </c>
      <c r="W5550" s="116">
        <v>1006</v>
      </c>
      <c r="X5550" s="220">
        <v>1290000</v>
      </c>
      <c r="Y5550" s="220">
        <f>X5550*0.1</f>
        <v>129000</v>
      </c>
      <c r="Z5550" s="220">
        <v>12030</v>
      </c>
      <c r="AA5550" s="220">
        <f>SUM(X5550:Z5550)</f>
        <v>1431030</v>
      </c>
      <c r="AB5550" s="222">
        <v>46083</v>
      </c>
    </row>
    <row r="5551" spans="1:28" ht="17.100000000000001" customHeight="1" thickBot="1">
      <c r="A5551" s="227"/>
      <c r="B5551" s="27" t="s">
        <v>3314</v>
      </c>
      <c r="C5551" s="27">
        <v>2020</v>
      </c>
      <c r="D5551" s="14" t="s">
        <v>273</v>
      </c>
      <c r="E5551" s="229"/>
      <c r="F5551" s="117" t="s">
        <v>15909</v>
      </c>
      <c r="G5551" s="26">
        <v>68932</v>
      </c>
      <c r="H5551" s="231"/>
      <c r="I5551" s="221"/>
      <c r="J5551" s="221"/>
      <c r="K5551" s="221"/>
      <c r="L5551" s="221"/>
      <c r="M5551" s="221"/>
      <c r="N5551" s="221"/>
      <c r="O5551" s="225"/>
      <c r="P5551" s="118" t="s">
        <v>16416</v>
      </c>
      <c r="Q5551" s="16" t="s">
        <v>20</v>
      </c>
      <c r="R5551" s="17" t="s">
        <v>2295</v>
      </c>
      <c r="S5551" s="121" t="s">
        <v>16351</v>
      </c>
      <c r="T5551" s="122"/>
      <c r="U5551" s="22"/>
      <c r="V5551" s="123" t="s">
        <v>8877</v>
      </c>
      <c r="W5551" s="122">
        <v>5117</v>
      </c>
      <c r="X5551" s="221"/>
      <c r="Y5551" s="221"/>
      <c r="Z5551" s="221"/>
      <c r="AA5551" s="221"/>
      <c r="AB5551" s="223"/>
    </row>
    <row r="5552" spans="1:28" ht="17.100000000000001" customHeight="1" thickTop="1">
      <c r="A5552" s="226" t="s">
        <v>15894</v>
      </c>
      <c r="B5552" s="28">
        <v>46049</v>
      </c>
      <c r="C5552" s="25">
        <v>924</v>
      </c>
      <c r="D5552" s="13" t="s">
        <v>2355</v>
      </c>
      <c r="E5552" s="228"/>
      <c r="F5552" s="109" t="s">
        <v>15911</v>
      </c>
      <c r="G5552" s="24" t="s">
        <v>3453</v>
      </c>
      <c r="H5552" s="230">
        <v>4</v>
      </c>
      <c r="I5552" s="220">
        <v>163000</v>
      </c>
      <c r="J5552" s="220">
        <f>I5552*0.1</f>
        <v>16300</v>
      </c>
      <c r="K5552" s="220">
        <v>0</v>
      </c>
      <c r="L5552" s="220">
        <v>8490</v>
      </c>
      <c r="M5552" s="220">
        <v>15950</v>
      </c>
      <c r="N5552" s="220">
        <f>SUM(I5552:M5553)</f>
        <v>203740</v>
      </c>
      <c r="O5552" s="224"/>
      <c r="P5552" s="110" t="s">
        <v>15913</v>
      </c>
      <c r="Q5552" s="15" t="s">
        <v>19</v>
      </c>
      <c r="R5552" s="205"/>
      <c r="S5552" s="189"/>
      <c r="T5552" s="114"/>
      <c r="U5552" s="21"/>
      <c r="V5552" s="115">
        <v>46053</v>
      </c>
      <c r="W5552" s="116">
        <v>1286</v>
      </c>
      <c r="X5552" s="220">
        <v>235000</v>
      </c>
      <c r="Y5552" s="220">
        <f>X5552*0.1</f>
        <v>23500</v>
      </c>
      <c r="Z5552" s="220">
        <v>8490</v>
      </c>
      <c r="AA5552" s="220">
        <f>SUM(X5552:Z5552)</f>
        <v>266990</v>
      </c>
      <c r="AB5552" s="222">
        <v>46058</v>
      </c>
    </row>
    <row r="5553" spans="1:28" ht="17.100000000000001" customHeight="1" thickBot="1">
      <c r="A5553" s="227"/>
      <c r="B5553" s="27" t="s">
        <v>2654</v>
      </c>
      <c r="C5553" s="27">
        <v>3057</v>
      </c>
      <c r="D5553" s="14" t="s">
        <v>1710</v>
      </c>
      <c r="E5553" s="229"/>
      <c r="F5553" s="117" t="s">
        <v>15912</v>
      </c>
      <c r="G5553" s="26">
        <v>43323</v>
      </c>
      <c r="H5553" s="231"/>
      <c r="I5553" s="221"/>
      <c r="J5553" s="221"/>
      <c r="K5553" s="221"/>
      <c r="L5553" s="221"/>
      <c r="M5553" s="221"/>
      <c r="N5553" s="221"/>
      <c r="O5553" s="225"/>
      <c r="P5553" s="118" t="s">
        <v>16405</v>
      </c>
      <c r="Q5553" s="16" t="s">
        <v>20</v>
      </c>
      <c r="R5553" s="17" t="s">
        <v>2295</v>
      </c>
      <c r="S5553" s="121"/>
      <c r="T5553" s="122"/>
      <c r="U5553" s="22"/>
      <c r="V5553" s="123" t="s">
        <v>2472</v>
      </c>
      <c r="W5553" s="122">
        <v>60425</v>
      </c>
      <c r="X5553" s="221"/>
      <c r="Y5553" s="221"/>
      <c r="Z5553" s="221"/>
      <c r="AA5553" s="221"/>
      <c r="AB5553" s="223"/>
    </row>
    <row r="5554" spans="1:28" ht="17.100000000000001" customHeight="1" thickTop="1">
      <c r="A5554" s="226" t="s">
        <v>15931</v>
      </c>
      <c r="B5554" s="28">
        <v>46049</v>
      </c>
      <c r="C5554" s="25">
        <v>924</v>
      </c>
      <c r="D5554" s="13" t="s">
        <v>2900</v>
      </c>
      <c r="E5554" s="228"/>
      <c r="F5554" s="109" t="s">
        <v>15914</v>
      </c>
      <c r="G5554" s="24" t="s">
        <v>2871</v>
      </c>
      <c r="H5554" s="230">
        <v>4</v>
      </c>
      <c r="I5554" s="220">
        <v>800000</v>
      </c>
      <c r="J5554" s="220">
        <f>I5554*0.1</f>
        <v>80000</v>
      </c>
      <c r="K5554" s="220">
        <v>0</v>
      </c>
      <c r="L5554" s="220">
        <v>8550</v>
      </c>
      <c r="M5554" s="220">
        <v>15950</v>
      </c>
      <c r="N5554" s="220">
        <f>SUM(I5554:M5555)</f>
        <v>904500</v>
      </c>
      <c r="O5554" s="224"/>
      <c r="P5554" s="110" t="s">
        <v>15916</v>
      </c>
      <c r="Q5554" s="15" t="s">
        <v>19</v>
      </c>
      <c r="R5554" s="205"/>
      <c r="S5554" s="189"/>
      <c r="T5554" s="114"/>
      <c r="U5554" s="21" t="s">
        <v>17602</v>
      </c>
      <c r="V5554" s="115">
        <v>46088</v>
      </c>
      <c r="W5554" s="116">
        <v>1291</v>
      </c>
      <c r="X5554" s="220">
        <v>850000</v>
      </c>
      <c r="Y5554" s="220">
        <f>X5554*0.1</f>
        <v>85000</v>
      </c>
      <c r="Z5554" s="220">
        <v>8550</v>
      </c>
      <c r="AA5554" s="220">
        <f>SUM(X5554:Z5554)</f>
        <v>943550</v>
      </c>
      <c r="AB5554" s="222">
        <v>46091</v>
      </c>
    </row>
    <row r="5555" spans="1:28" ht="17.100000000000001" customHeight="1" thickBot="1">
      <c r="A5555" s="227"/>
      <c r="B5555" s="27" t="s">
        <v>2654</v>
      </c>
      <c r="C5555" s="27">
        <v>3063</v>
      </c>
      <c r="D5555" s="14" t="s">
        <v>2559</v>
      </c>
      <c r="E5555" s="229"/>
      <c r="F5555" s="117" t="s">
        <v>15915</v>
      </c>
      <c r="G5555" s="26">
        <v>47791</v>
      </c>
      <c r="H5555" s="231"/>
      <c r="I5555" s="221"/>
      <c r="J5555" s="221"/>
      <c r="K5555" s="221"/>
      <c r="L5555" s="221"/>
      <c r="M5555" s="221"/>
      <c r="N5555" s="221"/>
      <c r="O5555" s="225"/>
      <c r="P5555" s="118" t="s">
        <v>14069</v>
      </c>
      <c r="Q5555" s="16" t="s">
        <v>20</v>
      </c>
      <c r="R5555" s="17" t="s">
        <v>2295</v>
      </c>
      <c r="S5555" s="121" t="s">
        <v>2166</v>
      </c>
      <c r="T5555" s="122"/>
      <c r="U5555" s="22"/>
      <c r="V5555" s="123" t="s">
        <v>2472</v>
      </c>
      <c r="W5555" s="122">
        <v>60156</v>
      </c>
      <c r="X5555" s="221"/>
      <c r="Y5555" s="221"/>
      <c r="Z5555" s="221"/>
      <c r="AA5555" s="221"/>
      <c r="AB5555" s="223"/>
    </row>
    <row r="5556" spans="1:28" ht="17.100000000000001" customHeight="1" thickTop="1">
      <c r="A5556" s="226" t="s">
        <v>15932</v>
      </c>
      <c r="B5556" s="28">
        <v>46049</v>
      </c>
      <c r="C5556" s="25">
        <v>924</v>
      </c>
      <c r="D5556" s="13" t="s">
        <v>2441</v>
      </c>
      <c r="E5556" s="228"/>
      <c r="F5556" s="109" t="s">
        <v>15917</v>
      </c>
      <c r="G5556" s="24" t="s">
        <v>4239</v>
      </c>
      <c r="H5556" s="230">
        <v>4</v>
      </c>
      <c r="I5556" s="220">
        <v>864000</v>
      </c>
      <c r="J5556" s="220">
        <f>I5556*0.1</f>
        <v>86400</v>
      </c>
      <c r="K5556" s="220">
        <v>0</v>
      </c>
      <c r="L5556" s="220">
        <v>9150</v>
      </c>
      <c r="M5556" s="220">
        <v>15950</v>
      </c>
      <c r="N5556" s="220">
        <f>SUM(I5556:M5557)</f>
        <v>975500</v>
      </c>
      <c r="O5556" s="224"/>
      <c r="P5556" s="110" t="s">
        <v>15919</v>
      </c>
      <c r="Q5556" s="15" t="s">
        <v>19</v>
      </c>
      <c r="R5556" s="205"/>
      <c r="S5556" s="189" t="s">
        <v>758</v>
      </c>
      <c r="T5556" s="114"/>
      <c r="U5556" s="21"/>
      <c r="V5556" s="115">
        <v>46053</v>
      </c>
      <c r="W5556" s="116">
        <v>1286</v>
      </c>
      <c r="X5556" s="220">
        <v>950000</v>
      </c>
      <c r="Y5556" s="220">
        <f>X5556*0.1</f>
        <v>95000</v>
      </c>
      <c r="Z5556" s="220">
        <v>9150</v>
      </c>
      <c r="AA5556" s="220">
        <f>SUM(X5556:Z5556)</f>
        <v>1054150</v>
      </c>
      <c r="AB5556" s="222">
        <v>46058</v>
      </c>
    </row>
    <row r="5557" spans="1:28" ht="17.100000000000001" customHeight="1" thickBot="1">
      <c r="A5557" s="227"/>
      <c r="B5557" s="27" t="s">
        <v>2654</v>
      </c>
      <c r="C5557" s="27">
        <v>3081</v>
      </c>
      <c r="D5557" s="14" t="s">
        <v>1710</v>
      </c>
      <c r="E5557" s="229"/>
      <c r="F5557" s="117" t="s">
        <v>15918</v>
      </c>
      <c r="G5557" s="26">
        <v>18948</v>
      </c>
      <c r="H5557" s="231"/>
      <c r="I5557" s="221"/>
      <c r="J5557" s="221"/>
      <c r="K5557" s="221"/>
      <c r="L5557" s="221"/>
      <c r="M5557" s="221"/>
      <c r="N5557" s="221"/>
      <c r="O5557" s="225"/>
      <c r="P5557" s="118" t="s">
        <v>14069</v>
      </c>
      <c r="Q5557" s="16" t="s">
        <v>20</v>
      </c>
      <c r="R5557" s="17" t="s">
        <v>2295</v>
      </c>
      <c r="S5557" s="121" t="s">
        <v>169</v>
      </c>
      <c r="T5557" s="122"/>
      <c r="U5557" s="22"/>
      <c r="V5557" s="123" t="s">
        <v>2472</v>
      </c>
      <c r="W5557" s="122">
        <v>60392</v>
      </c>
      <c r="X5557" s="221"/>
      <c r="Y5557" s="221"/>
      <c r="Z5557" s="221"/>
      <c r="AA5557" s="221"/>
      <c r="AB5557" s="223"/>
    </row>
    <row r="5558" spans="1:28" ht="17.100000000000001" customHeight="1" thickTop="1">
      <c r="A5558" s="226" t="s">
        <v>15933</v>
      </c>
      <c r="B5558" s="28">
        <v>46049</v>
      </c>
      <c r="C5558" s="25">
        <v>924</v>
      </c>
      <c r="D5558" s="13" t="s">
        <v>4104</v>
      </c>
      <c r="E5558" s="228"/>
      <c r="F5558" s="109" t="s">
        <v>15920</v>
      </c>
      <c r="G5558" s="24"/>
      <c r="H5558" s="230">
        <v>4</v>
      </c>
      <c r="I5558" s="220">
        <v>152000</v>
      </c>
      <c r="J5558" s="220">
        <f>I5558*0.1</f>
        <v>15200</v>
      </c>
      <c r="K5558" s="220">
        <v>0</v>
      </c>
      <c r="L5558" s="220">
        <v>9460</v>
      </c>
      <c r="M5558" s="220">
        <v>15950</v>
      </c>
      <c r="N5558" s="220">
        <f>SUM(I5558:M5559)</f>
        <v>192610</v>
      </c>
      <c r="O5558" s="224"/>
      <c r="P5558" s="110" t="s">
        <v>16404</v>
      </c>
      <c r="Q5558" s="15" t="s">
        <v>19</v>
      </c>
      <c r="R5558" s="205"/>
      <c r="S5558" s="189"/>
      <c r="T5558" s="114"/>
      <c r="U5558" s="21"/>
      <c r="V5558" s="115">
        <v>46053</v>
      </c>
      <c r="W5558" s="116">
        <v>1286</v>
      </c>
      <c r="X5558" s="220">
        <v>230000</v>
      </c>
      <c r="Y5558" s="220">
        <f>X5558*0.1</f>
        <v>23000</v>
      </c>
      <c r="Z5558" s="220">
        <v>9460</v>
      </c>
      <c r="AA5558" s="220">
        <f>SUM(X5558:Z5558)</f>
        <v>262460</v>
      </c>
      <c r="AB5558" s="222">
        <v>46058</v>
      </c>
    </row>
    <row r="5559" spans="1:28" ht="17.100000000000001" customHeight="1" thickBot="1">
      <c r="A5559" s="227"/>
      <c r="B5559" s="27" t="s">
        <v>2654</v>
      </c>
      <c r="C5559" s="27">
        <v>4058</v>
      </c>
      <c r="D5559" s="14" t="s">
        <v>1710</v>
      </c>
      <c r="E5559" s="229"/>
      <c r="F5559" s="117" t="s">
        <v>15921</v>
      </c>
      <c r="G5559" s="26">
        <v>49275</v>
      </c>
      <c r="H5559" s="231"/>
      <c r="I5559" s="221"/>
      <c r="J5559" s="221"/>
      <c r="K5559" s="221"/>
      <c r="L5559" s="221"/>
      <c r="M5559" s="221"/>
      <c r="N5559" s="221"/>
      <c r="O5559" s="225"/>
      <c r="P5559" s="118" t="s">
        <v>16405</v>
      </c>
      <c r="Q5559" s="16" t="s">
        <v>20</v>
      </c>
      <c r="R5559" s="17" t="s">
        <v>2295</v>
      </c>
      <c r="S5559" s="121"/>
      <c r="T5559" s="122"/>
      <c r="U5559" s="22"/>
      <c r="V5559" s="123" t="s">
        <v>6641</v>
      </c>
      <c r="W5559" s="122">
        <v>60405</v>
      </c>
      <c r="X5559" s="221"/>
      <c r="Y5559" s="221"/>
      <c r="Z5559" s="221"/>
      <c r="AA5559" s="221"/>
      <c r="AB5559" s="223"/>
    </row>
    <row r="5560" spans="1:28" ht="17.100000000000001" customHeight="1" thickTop="1">
      <c r="A5560" s="226" t="s">
        <v>15934</v>
      </c>
      <c r="B5560" s="28">
        <v>46049</v>
      </c>
      <c r="C5560" s="25">
        <v>924</v>
      </c>
      <c r="D5560" s="13" t="s">
        <v>1788</v>
      </c>
      <c r="E5560" s="228"/>
      <c r="F5560" s="109" t="s">
        <v>15922</v>
      </c>
      <c r="G5560" s="24"/>
      <c r="H5560" s="230">
        <v>4</v>
      </c>
      <c r="I5560" s="220">
        <v>550000</v>
      </c>
      <c r="J5560" s="220">
        <f>I5560*0.1</f>
        <v>55000</v>
      </c>
      <c r="K5560" s="220">
        <v>0</v>
      </c>
      <c r="L5560" s="220">
        <v>9940</v>
      </c>
      <c r="M5560" s="220">
        <v>15950</v>
      </c>
      <c r="N5560" s="220">
        <f>SUM(I5560:M5561)</f>
        <v>630890</v>
      </c>
      <c r="O5560" s="224"/>
      <c r="P5560" s="110" t="s">
        <v>16415</v>
      </c>
      <c r="Q5560" s="15" t="s">
        <v>19</v>
      </c>
      <c r="R5560" s="205"/>
      <c r="S5560" s="189"/>
      <c r="T5560" s="114"/>
      <c r="U5560" s="21"/>
      <c r="V5560" s="115">
        <v>46060</v>
      </c>
      <c r="W5560" s="116">
        <v>1287</v>
      </c>
      <c r="X5560" s="220">
        <v>595000</v>
      </c>
      <c r="Y5560" s="220">
        <f>X5560*0.1</f>
        <v>59500</v>
      </c>
      <c r="Z5560" s="220">
        <v>9940</v>
      </c>
      <c r="AA5560" s="220">
        <f>SUM(X5560:Z5560)</f>
        <v>664440</v>
      </c>
      <c r="AB5560" s="222">
        <v>46063</v>
      </c>
    </row>
    <row r="5561" spans="1:28" ht="17.100000000000001" customHeight="1" thickBot="1">
      <c r="A5561" s="227"/>
      <c r="B5561" s="27" t="s">
        <v>2654</v>
      </c>
      <c r="C5561" s="27">
        <v>4292</v>
      </c>
      <c r="D5561" s="14" t="s">
        <v>1627</v>
      </c>
      <c r="E5561" s="229"/>
      <c r="F5561" s="117" t="s">
        <v>15923</v>
      </c>
      <c r="G5561" s="26">
        <v>56999</v>
      </c>
      <c r="H5561" s="231"/>
      <c r="I5561" s="221"/>
      <c r="J5561" s="221"/>
      <c r="K5561" s="221"/>
      <c r="L5561" s="221"/>
      <c r="M5561" s="221"/>
      <c r="N5561" s="221"/>
      <c r="O5561" s="225"/>
      <c r="P5561" s="118" t="s">
        <v>4550</v>
      </c>
      <c r="Q5561" s="16" t="s">
        <v>20</v>
      </c>
      <c r="R5561" s="17" t="s">
        <v>2295</v>
      </c>
      <c r="S5561" s="121" t="s">
        <v>7721</v>
      </c>
      <c r="T5561" s="122"/>
      <c r="U5561" s="22"/>
      <c r="V5561" s="123" t="s">
        <v>2472</v>
      </c>
      <c r="W5561" s="122">
        <v>55110</v>
      </c>
      <c r="X5561" s="221"/>
      <c r="Y5561" s="221"/>
      <c r="Z5561" s="221"/>
      <c r="AA5561" s="221"/>
      <c r="AB5561" s="223"/>
    </row>
    <row r="5562" spans="1:28" ht="17.100000000000001" customHeight="1" thickTop="1">
      <c r="A5562" s="226" t="s">
        <v>15935</v>
      </c>
      <c r="B5562" s="28">
        <v>46049</v>
      </c>
      <c r="C5562" s="25">
        <v>924</v>
      </c>
      <c r="D5562" s="13" t="s">
        <v>2264</v>
      </c>
      <c r="E5562" s="228"/>
      <c r="F5562" s="109" t="s">
        <v>15924</v>
      </c>
      <c r="G5562" s="24" t="s">
        <v>2543</v>
      </c>
      <c r="H5562" s="230">
        <v>4.5</v>
      </c>
      <c r="I5562" s="220">
        <v>1334000</v>
      </c>
      <c r="J5562" s="220">
        <f>I5562*0.1</f>
        <v>133400</v>
      </c>
      <c r="K5562" s="220">
        <v>5500</v>
      </c>
      <c r="L5562" s="220">
        <v>16240</v>
      </c>
      <c r="M5562" s="220">
        <v>15950</v>
      </c>
      <c r="N5562" s="220">
        <f>SUM(I5562:M5563)</f>
        <v>1505090</v>
      </c>
      <c r="O5562" s="224"/>
      <c r="P5562" s="110" t="s">
        <v>15926</v>
      </c>
      <c r="Q5562" s="15" t="s">
        <v>19</v>
      </c>
      <c r="R5562" s="205"/>
      <c r="S5562" s="189" t="s">
        <v>25732</v>
      </c>
      <c r="T5562" s="114"/>
      <c r="U5562" s="21"/>
      <c r="V5562" s="115">
        <v>46060</v>
      </c>
      <c r="W5562" s="116">
        <v>1287</v>
      </c>
      <c r="X5562" s="220">
        <v>1475000</v>
      </c>
      <c r="Y5562" s="220">
        <f>X5562*0.1</f>
        <v>147500</v>
      </c>
      <c r="Z5562" s="220">
        <v>16240</v>
      </c>
      <c r="AA5562" s="220">
        <f>SUM(X5562:Z5562)</f>
        <v>1638740</v>
      </c>
      <c r="AB5562" s="222">
        <v>46063</v>
      </c>
    </row>
    <row r="5563" spans="1:28" ht="17.100000000000001" customHeight="1" thickBot="1">
      <c r="A5563" s="227"/>
      <c r="B5563" s="27" t="s">
        <v>2654</v>
      </c>
      <c r="C5563" s="27">
        <v>5014</v>
      </c>
      <c r="D5563" s="14" t="s">
        <v>131</v>
      </c>
      <c r="E5563" s="229"/>
      <c r="F5563" s="117" t="s">
        <v>15925</v>
      </c>
      <c r="G5563" s="26">
        <v>40993</v>
      </c>
      <c r="H5563" s="231"/>
      <c r="I5563" s="221"/>
      <c r="J5563" s="221"/>
      <c r="K5563" s="221"/>
      <c r="L5563" s="221"/>
      <c r="M5563" s="221"/>
      <c r="N5563" s="221"/>
      <c r="O5563" s="225"/>
      <c r="P5563" s="118" t="s">
        <v>1586</v>
      </c>
      <c r="Q5563" s="16" t="s">
        <v>20</v>
      </c>
      <c r="R5563" s="17" t="s">
        <v>2295</v>
      </c>
      <c r="S5563" s="121" t="s">
        <v>16421</v>
      </c>
      <c r="T5563" s="122"/>
      <c r="U5563" s="22"/>
      <c r="V5563" s="123" t="s">
        <v>2472</v>
      </c>
      <c r="W5563" s="122">
        <v>80020</v>
      </c>
      <c r="X5563" s="221"/>
      <c r="Y5563" s="221"/>
      <c r="Z5563" s="221"/>
      <c r="AA5563" s="221"/>
      <c r="AB5563" s="223"/>
    </row>
    <row r="5564" spans="1:28" ht="17.100000000000001" customHeight="1" thickTop="1">
      <c r="A5564" s="226" t="s">
        <v>15936</v>
      </c>
      <c r="B5564" s="28">
        <v>46049</v>
      </c>
      <c r="C5564" s="25">
        <v>1039</v>
      </c>
      <c r="D5564" s="13" t="s">
        <v>1632</v>
      </c>
      <c r="E5564" s="228"/>
      <c r="F5564" s="109" t="s">
        <v>15928</v>
      </c>
      <c r="G5564" s="24" t="s">
        <v>3345</v>
      </c>
      <c r="H5564" s="230">
        <v>4.5</v>
      </c>
      <c r="I5564" s="220">
        <v>3446000</v>
      </c>
      <c r="J5564" s="220">
        <f>I5564*0.1</f>
        <v>344600</v>
      </c>
      <c r="K5564" s="220">
        <v>0</v>
      </c>
      <c r="L5564" s="220">
        <v>26980</v>
      </c>
      <c r="M5564" s="220">
        <v>18150</v>
      </c>
      <c r="N5564" s="220">
        <f>SUM(I5564:M5565)</f>
        <v>3835730</v>
      </c>
      <c r="O5564" s="224"/>
      <c r="P5564" s="110" t="s">
        <v>15930</v>
      </c>
      <c r="Q5564" s="15" t="s">
        <v>19</v>
      </c>
      <c r="R5564" s="205"/>
      <c r="S5564" s="189" t="s">
        <v>183</v>
      </c>
      <c r="T5564" s="114"/>
      <c r="U5564" s="21"/>
      <c r="V5564" s="115">
        <v>46053</v>
      </c>
      <c r="W5564" s="116">
        <v>1286</v>
      </c>
      <c r="X5564" s="220">
        <v>3715000</v>
      </c>
      <c r="Y5564" s="220">
        <f>X5564*0.1</f>
        <v>371500</v>
      </c>
      <c r="Z5564" s="220">
        <v>26980</v>
      </c>
      <c r="AA5564" s="220">
        <f>SUM(X5564:Z5564)</f>
        <v>4113480</v>
      </c>
      <c r="AB5564" s="222">
        <v>46056</v>
      </c>
    </row>
    <row r="5565" spans="1:28" ht="17.100000000000001" customHeight="1" thickBot="1">
      <c r="A5565" s="227"/>
      <c r="B5565" s="27" t="s">
        <v>15927</v>
      </c>
      <c r="C5565" s="27">
        <v>30334</v>
      </c>
      <c r="D5565" s="14" t="s">
        <v>1584</v>
      </c>
      <c r="E5565" s="229"/>
      <c r="F5565" s="117" t="s">
        <v>15929</v>
      </c>
      <c r="G5565" s="26">
        <v>36637</v>
      </c>
      <c r="H5565" s="231"/>
      <c r="I5565" s="221"/>
      <c r="J5565" s="221"/>
      <c r="K5565" s="221"/>
      <c r="L5565" s="221"/>
      <c r="M5565" s="221"/>
      <c r="N5565" s="221"/>
      <c r="O5565" s="225"/>
      <c r="P5565" s="118" t="s">
        <v>16219</v>
      </c>
      <c r="Q5565" s="16" t="s">
        <v>20</v>
      </c>
      <c r="R5565" s="17" t="s">
        <v>2282</v>
      </c>
      <c r="S5565" s="121" t="s">
        <v>1731</v>
      </c>
      <c r="T5565" s="122"/>
      <c r="U5565" s="22"/>
      <c r="V5565" s="123" t="s">
        <v>2472</v>
      </c>
      <c r="W5565" s="122">
        <v>80417</v>
      </c>
      <c r="X5565" s="221"/>
      <c r="Y5565" s="221"/>
      <c r="Z5565" s="221"/>
      <c r="AA5565" s="221"/>
      <c r="AB5565" s="223"/>
    </row>
    <row r="5566" spans="1:28" ht="17.100000000000001" customHeight="1" thickTop="1">
      <c r="A5566" s="226" t="s">
        <v>15937</v>
      </c>
      <c r="B5566" s="28">
        <v>46049</v>
      </c>
      <c r="C5566" s="25">
        <v>975</v>
      </c>
      <c r="D5566" s="13" t="s">
        <v>2610</v>
      </c>
      <c r="E5566" s="228"/>
      <c r="F5566" s="109" t="s">
        <v>15197</v>
      </c>
      <c r="G5566" s="24"/>
      <c r="H5566" s="230">
        <v>4</v>
      </c>
      <c r="I5566" s="220">
        <v>509000</v>
      </c>
      <c r="J5566" s="220">
        <f>I5566*0.1</f>
        <v>50900</v>
      </c>
      <c r="K5566" s="220">
        <v>0</v>
      </c>
      <c r="L5566" s="220">
        <v>7140</v>
      </c>
      <c r="M5566" s="220">
        <v>22000</v>
      </c>
      <c r="N5566" s="220">
        <f>SUM(I5566:M5567)</f>
        <v>589040</v>
      </c>
      <c r="O5566" s="224"/>
      <c r="P5566" s="110" t="s">
        <v>16593</v>
      </c>
      <c r="Q5566" s="15" t="s">
        <v>19</v>
      </c>
      <c r="R5566" s="205"/>
      <c r="S5566" s="189" t="s">
        <v>25733</v>
      </c>
      <c r="T5566" s="114"/>
      <c r="U5566" s="21"/>
      <c r="V5566" s="115">
        <v>46056</v>
      </c>
      <c r="W5566" s="116">
        <v>1927</v>
      </c>
      <c r="X5566" s="220">
        <v>585000</v>
      </c>
      <c r="Y5566" s="220">
        <f>X5566*0.1</f>
        <v>58500</v>
      </c>
      <c r="Z5566" s="220">
        <v>7140</v>
      </c>
      <c r="AA5566" s="220">
        <f>SUM(X5566:Z5566)</f>
        <v>650640</v>
      </c>
      <c r="AB5566" s="222">
        <v>46063</v>
      </c>
    </row>
    <row r="5567" spans="1:28" ht="17.100000000000001" customHeight="1" thickBot="1">
      <c r="A5567" s="227"/>
      <c r="B5567" s="27" t="s">
        <v>15939</v>
      </c>
      <c r="C5567" s="27">
        <v>1023</v>
      </c>
      <c r="D5567" s="14" t="s">
        <v>1584</v>
      </c>
      <c r="E5567" s="229"/>
      <c r="F5567" s="117" t="s">
        <v>15940</v>
      </c>
      <c r="G5567" s="26">
        <v>45086</v>
      </c>
      <c r="H5567" s="231"/>
      <c r="I5567" s="221"/>
      <c r="J5567" s="221"/>
      <c r="K5567" s="221"/>
      <c r="L5567" s="221"/>
      <c r="M5567" s="221"/>
      <c r="N5567" s="221"/>
      <c r="O5567" s="225"/>
      <c r="P5567" s="118" t="s">
        <v>4946</v>
      </c>
      <c r="Q5567" s="16" t="s">
        <v>20</v>
      </c>
      <c r="R5567" s="17" t="s">
        <v>3494</v>
      </c>
      <c r="S5567" s="121" t="s">
        <v>16352</v>
      </c>
      <c r="T5567" s="122"/>
      <c r="U5567" s="22"/>
      <c r="V5567" s="123" t="s">
        <v>7507</v>
      </c>
      <c r="W5567" s="122">
        <v>3292</v>
      </c>
      <c r="X5567" s="221"/>
      <c r="Y5567" s="221"/>
      <c r="Z5567" s="221"/>
      <c r="AA5567" s="221"/>
      <c r="AB5567" s="223"/>
    </row>
    <row r="5568" spans="1:28" ht="17.100000000000001" customHeight="1" thickTop="1">
      <c r="A5568" s="226" t="s">
        <v>15938</v>
      </c>
      <c r="B5568" s="28">
        <v>46049</v>
      </c>
      <c r="C5568" s="25">
        <v>975</v>
      </c>
      <c r="D5568" s="13" t="s">
        <v>2900</v>
      </c>
      <c r="E5568" s="228"/>
      <c r="F5568" s="109" t="s">
        <v>15941</v>
      </c>
      <c r="G5568" s="24"/>
      <c r="H5568" s="230">
        <v>4</v>
      </c>
      <c r="I5568" s="220">
        <v>718000</v>
      </c>
      <c r="J5568" s="220">
        <f>I5568*0.1</f>
        <v>71800</v>
      </c>
      <c r="K5568" s="220">
        <v>0</v>
      </c>
      <c r="L5568" s="220">
        <v>9140</v>
      </c>
      <c r="M5568" s="220">
        <v>22000</v>
      </c>
      <c r="N5568" s="220">
        <f>SUM(I5568:M5569)</f>
        <v>820940</v>
      </c>
      <c r="O5568" s="224"/>
      <c r="P5568" s="110" t="s">
        <v>16563</v>
      </c>
      <c r="Q5568" s="15" t="s">
        <v>19</v>
      </c>
      <c r="R5568" s="205"/>
      <c r="S5568" s="189" t="s">
        <v>25387</v>
      </c>
      <c r="T5568" s="114"/>
      <c r="U5568" s="21"/>
      <c r="V5568" s="115">
        <v>46064</v>
      </c>
      <c r="W5568" s="116">
        <v>1004</v>
      </c>
      <c r="X5568" s="220">
        <v>800000</v>
      </c>
      <c r="Y5568" s="220">
        <f>X5568*0.1</f>
        <v>80000</v>
      </c>
      <c r="Z5568" s="220">
        <v>9140</v>
      </c>
      <c r="AA5568" s="220">
        <f>SUM(X5568:Z5568)</f>
        <v>889140</v>
      </c>
      <c r="AB5568" s="222">
        <v>46071</v>
      </c>
    </row>
    <row r="5569" spans="1:28" ht="17.100000000000001" customHeight="1" thickBot="1">
      <c r="A5569" s="227"/>
      <c r="B5569" s="27" t="s">
        <v>15939</v>
      </c>
      <c r="C5569" s="27">
        <v>1056</v>
      </c>
      <c r="D5569" s="14" t="s">
        <v>273</v>
      </c>
      <c r="E5569" s="229"/>
      <c r="F5569" s="117" t="s">
        <v>15942</v>
      </c>
      <c r="G5569" s="26">
        <v>36730</v>
      </c>
      <c r="H5569" s="231"/>
      <c r="I5569" s="221"/>
      <c r="J5569" s="221"/>
      <c r="K5569" s="221"/>
      <c r="L5569" s="221"/>
      <c r="M5569" s="221"/>
      <c r="N5569" s="221"/>
      <c r="O5569" s="225"/>
      <c r="P5569" s="118" t="s">
        <v>4962</v>
      </c>
      <c r="Q5569" s="16" t="s">
        <v>20</v>
      </c>
      <c r="R5569" s="17" t="s">
        <v>3494</v>
      </c>
      <c r="S5569" s="121" t="s">
        <v>1661</v>
      </c>
      <c r="T5569" s="122"/>
      <c r="U5569" s="22"/>
      <c r="V5569" s="123" t="s">
        <v>7161</v>
      </c>
      <c r="W5569" s="122">
        <v>4011</v>
      </c>
      <c r="X5569" s="221"/>
      <c r="Y5569" s="221"/>
      <c r="Z5569" s="221"/>
      <c r="AA5569" s="221"/>
      <c r="AB5569" s="223"/>
    </row>
    <row r="5570" spans="1:28" ht="17.100000000000001" customHeight="1" thickTop="1">
      <c r="A5570" s="226" t="s">
        <v>15943</v>
      </c>
      <c r="B5570" s="28">
        <v>46050</v>
      </c>
      <c r="C5570" s="25">
        <v>1002</v>
      </c>
      <c r="D5570" s="13" t="s">
        <v>1687</v>
      </c>
      <c r="E5570" s="228"/>
      <c r="F5570" s="109" t="s">
        <v>15945</v>
      </c>
      <c r="G5570" s="24"/>
      <c r="H5570" s="230">
        <v>4.5</v>
      </c>
      <c r="I5570" s="220">
        <v>1310000</v>
      </c>
      <c r="J5570" s="220">
        <f>I5570*0.1</f>
        <v>131000</v>
      </c>
      <c r="K5570" s="220">
        <v>0</v>
      </c>
      <c r="L5570" s="220">
        <v>11510</v>
      </c>
      <c r="M5570" s="220">
        <v>12100</v>
      </c>
      <c r="N5570" s="220">
        <f>SUM(I5570:M5571)</f>
        <v>1464610</v>
      </c>
      <c r="O5570" s="224"/>
      <c r="P5570" s="110" t="s">
        <v>16575</v>
      </c>
      <c r="Q5570" s="15" t="s">
        <v>19</v>
      </c>
      <c r="R5570" s="205"/>
      <c r="S5570" s="189" t="s">
        <v>25734</v>
      </c>
      <c r="T5570" s="114"/>
      <c r="U5570" s="21"/>
      <c r="V5570" s="115">
        <v>46067</v>
      </c>
      <c r="W5570" s="116">
        <v>1288</v>
      </c>
      <c r="X5570" s="220">
        <v>1285000</v>
      </c>
      <c r="Y5570" s="220">
        <f>X5570*0.1</f>
        <v>128500</v>
      </c>
      <c r="Z5570" s="220">
        <v>11510</v>
      </c>
      <c r="AA5570" s="220">
        <f>SUM(X5570:Z5570)</f>
        <v>1425010</v>
      </c>
      <c r="AB5570" s="222">
        <v>46070</v>
      </c>
    </row>
    <row r="5571" spans="1:28" ht="17.100000000000001" customHeight="1" thickBot="1">
      <c r="A5571" s="227"/>
      <c r="B5571" s="27" t="s">
        <v>2747</v>
      </c>
      <c r="C5571" s="27">
        <v>1194</v>
      </c>
      <c r="D5571" s="14" t="s">
        <v>2559</v>
      </c>
      <c r="E5571" s="229"/>
      <c r="F5571" s="117" t="s">
        <v>15946</v>
      </c>
      <c r="G5571" s="26">
        <v>24029</v>
      </c>
      <c r="H5571" s="231"/>
      <c r="I5571" s="221"/>
      <c r="J5571" s="221"/>
      <c r="K5571" s="221"/>
      <c r="L5571" s="221"/>
      <c r="M5571" s="221"/>
      <c r="N5571" s="221"/>
      <c r="O5571" s="225"/>
      <c r="P5571" s="118" t="s">
        <v>6830</v>
      </c>
      <c r="Q5571" s="16" t="s">
        <v>20</v>
      </c>
      <c r="R5571" s="17" t="s">
        <v>3494</v>
      </c>
      <c r="S5571" s="121" t="s">
        <v>16576</v>
      </c>
      <c r="T5571" s="122"/>
      <c r="U5571" s="22"/>
      <c r="V5571" s="123" t="s">
        <v>2472</v>
      </c>
      <c r="W5571" s="122">
        <v>55022</v>
      </c>
      <c r="X5571" s="221"/>
      <c r="Y5571" s="221"/>
      <c r="Z5571" s="221"/>
      <c r="AA5571" s="221"/>
      <c r="AB5571" s="223"/>
    </row>
    <row r="5572" spans="1:28" ht="17.100000000000001" customHeight="1" thickTop="1">
      <c r="A5572" s="226" t="s">
        <v>15944</v>
      </c>
      <c r="B5572" s="28">
        <v>46050</v>
      </c>
      <c r="C5572" s="25">
        <v>1002</v>
      </c>
      <c r="D5572" s="13" t="s">
        <v>1702</v>
      </c>
      <c r="E5572" s="228"/>
      <c r="F5572" s="109" t="s">
        <v>15947</v>
      </c>
      <c r="G5572" s="24" t="s">
        <v>2487</v>
      </c>
      <c r="H5572" s="230">
        <v>3.5</v>
      </c>
      <c r="I5572" s="220">
        <v>475000</v>
      </c>
      <c r="J5572" s="220">
        <f>I5572*0.1</f>
        <v>47500</v>
      </c>
      <c r="K5572" s="220">
        <v>0</v>
      </c>
      <c r="L5572" s="220">
        <v>8850</v>
      </c>
      <c r="M5572" s="220">
        <v>11000</v>
      </c>
      <c r="N5572" s="220">
        <f>SUM(I5572:M5573)</f>
        <v>542350</v>
      </c>
      <c r="O5572" s="224"/>
      <c r="P5572" s="110" t="s">
        <v>15949</v>
      </c>
      <c r="Q5572" s="15" t="s">
        <v>19</v>
      </c>
      <c r="R5572" s="205"/>
      <c r="S5572" s="189"/>
      <c r="T5572" s="114"/>
      <c r="U5572" s="21"/>
      <c r="V5572" s="115">
        <v>46060</v>
      </c>
      <c r="W5572" s="116">
        <v>1287</v>
      </c>
      <c r="X5572" s="220">
        <v>505000</v>
      </c>
      <c r="Y5572" s="220">
        <f>X5572*0.1</f>
        <v>50500</v>
      </c>
      <c r="Z5572" s="220">
        <v>8860</v>
      </c>
      <c r="AA5572" s="220">
        <f>SUM(X5572:Z5572)</f>
        <v>564360</v>
      </c>
      <c r="AB5572" s="222">
        <v>46065</v>
      </c>
    </row>
    <row r="5573" spans="1:28" ht="17.100000000000001" customHeight="1" thickBot="1">
      <c r="A5573" s="227"/>
      <c r="B5573" s="27" t="s">
        <v>2747</v>
      </c>
      <c r="C5573" s="27">
        <v>2003</v>
      </c>
      <c r="D5573" s="14" t="s">
        <v>2291</v>
      </c>
      <c r="E5573" s="229"/>
      <c r="F5573" s="117" t="s">
        <v>15948</v>
      </c>
      <c r="G5573" s="26">
        <v>39730</v>
      </c>
      <c r="H5573" s="231"/>
      <c r="I5573" s="221"/>
      <c r="J5573" s="221"/>
      <c r="K5573" s="221"/>
      <c r="L5573" s="221"/>
      <c r="M5573" s="221"/>
      <c r="N5573" s="221"/>
      <c r="O5573" s="225"/>
      <c r="P5573" s="118" t="s">
        <v>16413</v>
      </c>
      <c r="Q5573" s="16" t="s">
        <v>20</v>
      </c>
      <c r="R5573" s="17" t="s">
        <v>2295</v>
      </c>
      <c r="S5573" s="121"/>
      <c r="T5573" s="122"/>
      <c r="U5573" s="22"/>
      <c r="V5573" s="123" t="s">
        <v>2472</v>
      </c>
      <c r="W5573" s="122">
        <v>60135</v>
      </c>
      <c r="X5573" s="221"/>
      <c r="Y5573" s="221"/>
      <c r="Z5573" s="221"/>
      <c r="AA5573" s="221"/>
      <c r="AB5573" s="223"/>
    </row>
    <row r="5574" spans="1:28" ht="17.100000000000001" customHeight="1" thickTop="1">
      <c r="A5574" s="226" t="s">
        <v>15957</v>
      </c>
      <c r="B5574" s="28">
        <v>46050</v>
      </c>
      <c r="C5574" s="25">
        <v>1823</v>
      </c>
      <c r="D5574" s="13" t="s">
        <v>1996</v>
      </c>
      <c r="E5574" s="228"/>
      <c r="F5574" s="109" t="s">
        <v>15960</v>
      </c>
      <c r="G5574" s="24" t="s">
        <v>1540</v>
      </c>
      <c r="H5574" s="230">
        <v>4.5</v>
      </c>
      <c r="I5574" s="220">
        <v>1265000</v>
      </c>
      <c r="J5574" s="220">
        <f>I5574*0.1</f>
        <v>126500</v>
      </c>
      <c r="K5574" s="220">
        <f>6500+650</f>
        <v>7150</v>
      </c>
      <c r="L5574" s="220">
        <v>10190</v>
      </c>
      <c r="M5574" s="220">
        <v>18150</v>
      </c>
      <c r="N5574" s="220">
        <f>SUM(I5574:M5575)</f>
        <v>1426990</v>
      </c>
      <c r="O5574" s="224"/>
      <c r="P5574" s="110" t="s">
        <v>15962</v>
      </c>
      <c r="Q5574" s="15" t="s">
        <v>19</v>
      </c>
      <c r="R5574" s="205"/>
      <c r="S5574" s="189" t="s">
        <v>25735</v>
      </c>
      <c r="T5574" s="114"/>
      <c r="U5574" s="21" t="s">
        <v>17608</v>
      </c>
      <c r="V5574" s="115"/>
      <c r="W5574" s="116"/>
      <c r="X5574" s="220"/>
      <c r="Y5574" s="220">
        <f>X5574*0.1</f>
        <v>0</v>
      </c>
      <c r="Z5574" s="220"/>
      <c r="AA5574" s="220">
        <f>SUM(X5574:Z5574)</f>
        <v>0</v>
      </c>
      <c r="AB5574" s="222"/>
    </row>
    <row r="5575" spans="1:28" ht="17.100000000000001" customHeight="1" thickBot="1">
      <c r="A5575" s="227"/>
      <c r="B5575" s="27" t="s">
        <v>2519</v>
      </c>
      <c r="C5575" s="27">
        <v>30078</v>
      </c>
      <c r="D5575" s="14" t="s">
        <v>273</v>
      </c>
      <c r="E5575" s="229"/>
      <c r="F5575" s="117" t="s">
        <v>15961</v>
      </c>
      <c r="G5575" s="26">
        <v>77263</v>
      </c>
      <c r="H5575" s="231"/>
      <c r="I5575" s="221"/>
      <c r="J5575" s="221"/>
      <c r="K5575" s="221"/>
      <c r="L5575" s="221"/>
      <c r="M5575" s="221"/>
      <c r="N5575" s="221"/>
      <c r="O5575" s="225"/>
      <c r="P5575" s="118" t="s">
        <v>16546</v>
      </c>
      <c r="Q5575" s="16" t="s">
        <v>20</v>
      </c>
      <c r="R5575" s="17" t="s">
        <v>3739</v>
      </c>
      <c r="S5575" s="121" t="s">
        <v>6756</v>
      </c>
      <c r="T5575" s="122"/>
      <c r="U5575" s="22"/>
      <c r="V5575" s="123"/>
      <c r="W5575" s="122"/>
      <c r="X5575" s="221"/>
      <c r="Y5575" s="221"/>
      <c r="Z5575" s="221"/>
      <c r="AA5575" s="221"/>
      <c r="AB5575" s="223"/>
    </row>
    <row r="5576" spans="1:28" ht="17.100000000000001" customHeight="1" thickTop="1">
      <c r="A5576" s="226" t="s">
        <v>15958</v>
      </c>
      <c r="B5576" s="28">
        <v>46050</v>
      </c>
      <c r="C5576" s="25">
        <v>1823</v>
      </c>
      <c r="D5576" s="13" t="s">
        <v>2033</v>
      </c>
      <c r="E5576" s="228"/>
      <c r="F5576" s="109" t="s">
        <v>1916</v>
      </c>
      <c r="G5576" s="24" t="s">
        <v>4025</v>
      </c>
      <c r="H5576" s="230">
        <v>4</v>
      </c>
      <c r="I5576" s="220">
        <v>460000</v>
      </c>
      <c r="J5576" s="220">
        <f>I5576*0.1</f>
        <v>46000</v>
      </c>
      <c r="K5576" s="220">
        <f>5700+570</f>
        <v>6270</v>
      </c>
      <c r="L5576" s="220">
        <v>18960</v>
      </c>
      <c r="M5576" s="220">
        <v>18150</v>
      </c>
      <c r="N5576" s="220">
        <f>SUM(I5576:M5577)</f>
        <v>549380</v>
      </c>
      <c r="O5576" s="224"/>
      <c r="P5576" s="110" t="s">
        <v>15964</v>
      </c>
      <c r="Q5576" s="15" t="s">
        <v>19</v>
      </c>
      <c r="R5576" s="205"/>
      <c r="S5576" s="189" t="s">
        <v>25736</v>
      </c>
      <c r="T5576" s="114"/>
      <c r="U5576" s="21" t="s">
        <v>17030</v>
      </c>
      <c r="V5576" s="115">
        <v>46074</v>
      </c>
      <c r="W5576" s="116">
        <v>1289</v>
      </c>
      <c r="X5576" s="220">
        <v>560000</v>
      </c>
      <c r="Y5576" s="220">
        <f>X5576*0.1</f>
        <v>56000</v>
      </c>
      <c r="Z5576" s="220">
        <v>18960</v>
      </c>
      <c r="AA5576" s="220">
        <f>SUM(X5576:Z5576)</f>
        <v>634960</v>
      </c>
      <c r="AB5576" s="222">
        <v>46079</v>
      </c>
    </row>
    <row r="5577" spans="1:28" ht="17.100000000000001" customHeight="1" thickBot="1">
      <c r="A5577" s="227"/>
      <c r="B5577" s="27" t="s">
        <v>2519</v>
      </c>
      <c r="C5577" s="27">
        <v>38070</v>
      </c>
      <c r="D5577" s="14" t="s">
        <v>1584</v>
      </c>
      <c r="E5577" s="229"/>
      <c r="F5577" s="117" t="s">
        <v>15963</v>
      </c>
      <c r="G5577" s="26">
        <v>56403</v>
      </c>
      <c r="H5577" s="231"/>
      <c r="I5577" s="221"/>
      <c r="J5577" s="221"/>
      <c r="K5577" s="221"/>
      <c r="L5577" s="221"/>
      <c r="M5577" s="221"/>
      <c r="N5577" s="221"/>
      <c r="O5577" s="225"/>
      <c r="P5577" s="118" t="s">
        <v>16346</v>
      </c>
      <c r="Q5577" s="16" t="s">
        <v>20</v>
      </c>
      <c r="R5577" s="17" t="s">
        <v>2610</v>
      </c>
      <c r="S5577" s="121" t="s">
        <v>1606</v>
      </c>
      <c r="T5577" s="122"/>
      <c r="U5577" s="22"/>
      <c r="V5577" s="123" t="s">
        <v>6641</v>
      </c>
      <c r="W5577" s="122">
        <v>80017</v>
      </c>
      <c r="X5577" s="221"/>
      <c r="Y5577" s="221"/>
      <c r="Z5577" s="221"/>
      <c r="AA5577" s="221"/>
      <c r="AB5577" s="223"/>
    </row>
    <row r="5578" spans="1:28" ht="17.100000000000001" customHeight="1" thickTop="1">
      <c r="A5578" s="226" t="s">
        <v>15959</v>
      </c>
      <c r="B5578" s="28">
        <v>46050</v>
      </c>
      <c r="C5578" s="25">
        <v>1823</v>
      </c>
      <c r="D5578" s="13" t="s">
        <v>1607</v>
      </c>
      <c r="E5578" s="228"/>
      <c r="F5578" s="109" t="s">
        <v>12030</v>
      </c>
      <c r="G5578" s="24" t="s">
        <v>4025</v>
      </c>
      <c r="H5578" s="230">
        <v>4.5</v>
      </c>
      <c r="I5578" s="220">
        <v>2165000</v>
      </c>
      <c r="J5578" s="220">
        <f>I5578*0.1</f>
        <v>216500</v>
      </c>
      <c r="K5578" s="220">
        <f>6500+650</f>
        <v>7150</v>
      </c>
      <c r="L5578" s="220">
        <v>23410</v>
      </c>
      <c r="M5578" s="220">
        <v>18150</v>
      </c>
      <c r="N5578" s="220">
        <f>SUM(I5578:M5579)</f>
        <v>2430210</v>
      </c>
      <c r="O5578" s="224"/>
      <c r="P5578" s="110" t="s">
        <v>15966</v>
      </c>
      <c r="Q5578" s="15" t="s">
        <v>19</v>
      </c>
      <c r="R5578" s="205"/>
      <c r="S5578" s="189"/>
      <c r="T5578" s="114"/>
      <c r="U5578" s="21"/>
      <c r="V5578" s="115">
        <v>46053</v>
      </c>
      <c r="W5578" s="116">
        <v>1286</v>
      </c>
      <c r="X5578" s="220">
        <v>2360000</v>
      </c>
      <c r="Y5578" s="220">
        <f>X5578*0.1</f>
        <v>236000</v>
      </c>
      <c r="Z5578" s="220">
        <v>23410</v>
      </c>
      <c r="AA5578" s="220">
        <f>SUM(X5578:Z5578)</f>
        <v>2619410</v>
      </c>
      <c r="AB5578" s="222">
        <v>46056</v>
      </c>
    </row>
    <row r="5579" spans="1:28" ht="17.100000000000001" customHeight="1" thickBot="1">
      <c r="A5579" s="227"/>
      <c r="B5579" s="27" t="s">
        <v>2519</v>
      </c>
      <c r="C5579" s="27">
        <v>38142</v>
      </c>
      <c r="D5579" s="14" t="s">
        <v>273</v>
      </c>
      <c r="E5579" s="229"/>
      <c r="F5579" s="117" t="s">
        <v>15965</v>
      </c>
      <c r="G5579" s="26">
        <v>78969</v>
      </c>
      <c r="H5579" s="231"/>
      <c r="I5579" s="221"/>
      <c r="J5579" s="221"/>
      <c r="K5579" s="221"/>
      <c r="L5579" s="221"/>
      <c r="M5579" s="221"/>
      <c r="N5579" s="221"/>
      <c r="O5579" s="225"/>
      <c r="P5579" s="118" t="s">
        <v>2287</v>
      </c>
      <c r="Q5579" s="16" t="s">
        <v>20</v>
      </c>
      <c r="R5579" s="17" t="s">
        <v>2610</v>
      </c>
      <c r="S5579" s="121" t="s">
        <v>169</v>
      </c>
      <c r="T5579" s="122"/>
      <c r="U5579" s="22"/>
      <c r="V5579" s="123" t="s">
        <v>2472</v>
      </c>
      <c r="W5579" s="122">
        <v>80364</v>
      </c>
      <c r="X5579" s="221"/>
      <c r="Y5579" s="221"/>
      <c r="Z5579" s="221"/>
      <c r="AA5579" s="221"/>
      <c r="AB5579" s="223"/>
    </row>
    <row r="5580" spans="1:28" ht="17.100000000000001" customHeight="1" thickTop="1">
      <c r="A5580" s="226" t="s">
        <v>16029</v>
      </c>
      <c r="B5580" s="28">
        <v>46051</v>
      </c>
      <c r="C5580" s="25">
        <v>2143</v>
      </c>
      <c r="D5580" s="13" t="s">
        <v>2610</v>
      </c>
      <c r="E5580" s="228"/>
      <c r="F5580" s="109" t="s">
        <v>3270</v>
      </c>
      <c r="G5580" s="24" t="s">
        <v>16064</v>
      </c>
      <c r="H5580" s="230">
        <v>4.5</v>
      </c>
      <c r="I5580" s="220">
        <v>924000</v>
      </c>
      <c r="J5580" s="220">
        <f>I5580*0.1</f>
        <v>92400</v>
      </c>
      <c r="K5580" s="220">
        <v>0</v>
      </c>
      <c r="L5580" s="220">
        <v>8110</v>
      </c>
      <c r="M5580" s="220">
        <v>14300</v>
      </c>
      <c r="N5580" s="220">
        <f>SUM(I5580:M5581)</f>
        <v>1038810</v>
      </c>
      <c r="O5580" s="224"/>
      <c r="P5580" s="110" t="s">
        <v>16065</v>
      </c>
      <c r="Q5580" s="15" t="s">
        <v>19</v>
      </c>
      <c r="R5580" s="205"/>
      <c r="S5580" s="189"/>
      <c r="T5580" s="114"/>
      <c r="U5580" s="21" t="s">
        <v>16604</v>
      </c>
      <c r="V5580" s="115">
        <v>46056</v>
      </c>
      <c r="W5580" s="116">
        <v>1927</v>
      </c>
      <c r="X5580" s="220">
        <v>988000</v>
      </c>
      <c r="Y5580" s="220">
        <f>X5580*0.1</f>
        <v>98800</v>
      </c>
      <c r="Z5580" s="220">
        <v>8110</v>
      </c>
      <c r="AA5580" s="220">
        <f>SUM(X5580:Z5580)</f>
        <v>1094910</v>
      </c>
      <c r="AB5580" s="222">
        <v>46063</v>
      </c>
    </row>
    <row r="5581" spans="1:28" ht="17.100000000000001" customHeight="1" thickBot="1">
      <c r="A5581" s="227"/>
      <c r="B5581" s="27" t="s">
        <v>3228</v>
      </c>
      <c r="C5581" s="27">
        <v>2502</v>
      </c>
      <c r="D5581" s="14" t="s">
        <v>273</v>
      </c>
      <c r="E5581" s="229"/>
      <c r="F5581" s="117" t="s">
        <v>16038</v>
      </c>
      <c r="G5581" s="26">
        <v>53295</v>
      </c>
      <c r="H5581" s="231"/>
      <c r="I5581" s="221"/>
      <c r="J5581" s="221"/>
      <c r="K5581" s="221"/>
      <c r="L5581" s="221"/>
      <c r="M5581" s="221"/>
      <c r="N5581" s="221"/>
      <c r="O5581" s="225"/>
      <c r="P5581" s="118" t="s">
        <v>4599</v>
      </c>
      <c r="Q5581" s="16" t="s">
        <v>20</v>
      </c>
      <c r="R5581" s="17" t="s">
        <v>3739</v>
      </c>
      <c r="S5581" s="121" t="s">
        <v>4020</v>
      </c>
      <c r="T5581" s="122"/>
      <c r="U5581" s="22"/>
      <c r="V5581" s="123" t="s">
        <v>2103</v>
      </c>
      <c r="W5581" s="122">
        <v>3025</v>
      </c>
      <c r="X5581" s="221"/>
      <c r="Y5581" s="221"/>
      <c r="Z5581" s="221"/>
      <c r="AA5581" s="221"/>
      <c r="AB5581" s="223"/>
    </row>
    <row r="5582" spans="1:28" ht="17.100000000000001" customHeight="1" thickTop="1">
      <c r="A5582" s="226" t="s">
        <v>16030</v>
      </c>
      <c r="B5582" s="28">
        <v>46051</v>
      </c>
      <c r="C5582" s="25">
        <v>2143</v>
      </c>
      <c r="D5582" s="13" t="s">
        <v>2964</v>
      </c>
      <c r="E5582" s="228"/>
      <c r="F5582" s="109" t="s">
        <v>16066</v>
      </c>
      <c r="G5582" s="24"/>
      <c r="H5582" s="230">
        <v>4</v>
      </c>
      <c r="I5582" s="220">
        <v>714000</v>
      </c>
      <c r="J5582" s="220">
        <f>I5582*0.1</f>
        <v>71400</v>
      </c>
      <c r="K5582" s="220">
        <v>0</v>
      </c>
      <c r="L5582" s="220">
        <v>8640</v>
      </c>
      <c r="M5582" s="220">
        <v>14300</v>
      </c>
      <c r="N5582" s="220">
        <f>SUM(I5582:M5583)</f>
        <v>808340</v>
      </c>
      <c r="O5582" s="224"/>
      <c r="P5582" s="110" t="s">
        <v>16515</v>
      </c>
      <c r="Q5582" s="15" t="s">
        <v>19</v>
      </c>
      <c r="R5582" s="205"/>
      <c r="S5582" s="189" t="s">
        <v>25465</v>
      </c>
      <c r="T5582" s="114"/>
      <c r="U5582" s="21"/>
      <c r="V5582" s="115">
        <v>46057</v>
      </c>
      <c r="W5582" s="116">
        <v>1003</v>
      </c>
      <c r="X5582" s="220">
        <v>810000</v>
      </c>
      <c r="Y5582" s="220">
        <f>X5582*0.1</f>
        <v>81000</v>
      </c>
      <c r="Z5582" s="220">
        <v>8640</v>
      </c>
      <c r="AA5582" s="220">
        <f>SUM(X5582:Z5582)</f>
        <v>899640</v>
      </c>
      <c r="AB5582" s="222">
        <v>46062</v>
      </c>
    </row>
    <row r="5583" spans="1:28" ht="17.100000000000001" customHeight="1" thickBot="1">
      <c r="A5583" s="227"/>
      <c r="B5583" s="27" t="s">
        <v>3228</v>
      </c>
      <c r="C5583" s="27">
        <v>2506</v>
      </c>
      <c r="D5583" s="14" t="s">
        <v>1797</v>
      </c>
      <c r="E5583" s="229"/>
      <c r="F5583" s="117" t="s">
        <v>16039</v>
      </c>
      <c r="G5583" s="26">
        <v>46519</v>
      </c>
      <c r="H5583" s="231"/>
      <c r="I5583" s="221"/>
      <c r="J5583" s="221"/>
      <c r="K5583" s="221"/>
      <c r="L5583" s="221"/>
      <c r="M5583" s="221"/>
      <c r="N5583" s="221"/>
      <c r="O5583" s="225"/>
      <c r="P5583" s="118" t="s">
        <v>15987</v>
      </c>
      <c r="Q5583" s="16" t="s">
        <v>20</v>
      </c>
      <c r="R5583" s="17" t="s">
        <v>3739</v>
      </c>
      <c r="S5583" s="121"/>
      <c r="T5583" s="122"/>
      <c r="U5583" s="22"/>
      <c r="V5583" s="123" t="s">
        <v>2747</v>
      </c>
      <c r="W5583" s="122">
        <v>5035</v>
      </c>
      <c r="X5583" s="221"/>
      <c r="Y5583" s="221"/>
      <c r="Z5583" s="221"/>
      <c r="AA5583" s="221"/>
      <c r="AB5583" s="223"/>
    </row>
    <row r="5584" spans="1:28" ht="17.100000000000001" customHeight="1" thickTop="1">
      <c r="A5584" s="226" t="s">
        <v>16031</v>
      </c>
      <c r="B5584" s="28">
        <v>46051</v>
      </c>
      <c r="C5584" s="25">
        <v>2143</v>
      </c>
      <c r="D5584" s="13" t="s">
        <v>2150</v>
      </c>
      <c r="E5584" s="228"/>
      <c r="F5584" s="109" t="s">
        <v>16067</v>
      </c>
      <c r="G5584" s="24" t="s">
        <v>1540</v>
      </c>
      <c r="H5584" s="230">
        <v>4</v>
      </c>
      <c r="I5584" s="220">
        <v>780000</v>
      </c>
      <c r="J5584" s="220">
        <f>I5584*0.1</f>
        <v>78000</v>
      </c>
      <c r="K5584" s="220">
        <v>0</v>
      </c>
      <c r="L5584" s="220">
        <v>9200</v>
      </c>
      <c r="M5584" s="220">
        <v>14300</v>
      </c>
      <c r="N5584" s="220">
        <f>SUM(I5584:M5585)</f>
        <v>881500</v>
      </c>
      <c r="O5584" s="224"/>
      <c r="P5584" s="110" t="s">
        <v>16068</v>
      </c>
      <c r="Q5584" s="15" t="s">
        <v>19</v>
      </c>
      <c r="R5584" s="205"/>
      <c r="S5584" s="189" t="s">
        <v>1341</v>
      </c>
      <c r="T5584" s="114"/>
      <c r="U5584" s="21" t="s">
        <v>17601</v>
      </c>
      <c r="V5584" s="115">
        <v>46071</v>
      </c>
      <c r="W5584" s="116">
        <v>1005</v>
      </c>
      <c r="X5584" s="220">
        <v>850000</v>
      </c>
      <c r="Y5584" s="220">
        <f>X5584*0.1</f>
        <v>85000</v>
      </c>
      <c r="Z5584" s="220">
        <v>9200</v>
      </c>
      <c r="AA5584" s="220">
        <f>SUM(X5584:Z5584)</f>
        <v>944200</v>
      </c>
      <c r="AB5584" s="222">
        <v>46073</v>
      </c>
    </row>
    <row r="5585" spans="1:28" ht="17.100000000000001" customHeight="1" thickBot="1">
      <c r="A5585" s="227"/>
      <c r="B5585" s="27" t="s">
        <v>3228</v>
      </c>
      <c r="C5585" s="27">
        <v>2515</v>
      </c>
      <c r="D5585" s="14" t="s">
        <v>2014</v>
      </c>
      <c r="E5585" s="229"/>
      <c r="F5585" s="117" t="s">
        <v>16040</v>
      </c>
      <c r="G5585" s="26">
        <v>45650</v>
      </c>
      <c r="H5585" s="231"/>
      <c r="I5585" s="221"/>
      <c r="J5585" s="221"/>
      <c r="K5585" s="221"/>
      <c r="L5585" s="221"/>
      <c r="M5585" s="221"/>
      <c r="N5585" s="221"/>
      <c r="O5585" s="225"/>
      <c r="P5585" s="118" t="s">
        <v>16403</v>
      </c>
      <c r="Q5585" s="16" t="s">
        <v>20</v>
      </c>
      <c r="R5585" s="17" t="s">
        <v>2295</v>
      </c>
      <c r="S5585" s="121" t="s">
        <v>7702</v>
      </c>
      <c r="T5585" s="122"/>
      <c r="U5585" s="22"/>
      <c r="V5585" s="123" t="s">
        <v>2747</v>
      </c>
      <c r="W5585" s="122">
        <v>2031</v>
      </c>
      <c r="X5585" s="221"/>
      <c r="Y5585" s="221"/>
      <c r="Z5585" s="221"/>
      <c r="AA5585" s="221"/>
      <c r="AB5585" s="223"/>
    </row>
    <row r="5586" spans="1:28" ht="17.100000000000001" customHeight="1" thickTop="1">
      <c r="A5586" s="226" t="s">
        <v>16032</v>
      </c>
      <c r="B5586" s="28">
        <v>46051</v>
      </c>
      <c r="C5586" s="25">
        <v>2143</v>
      </c>
      <c r="D5586" s="13" t="s">
        <v>1740</v>
      </c>
      <c r="E5586" s="228"/>
      <c r="F5586" s="109" t="s">
        <v>16069</v>
      </c>
      <c r="G5586" s="24" t="s">
        <v>10448</v>
      </c>
      <c r="H5586" s="232" t="s">
        <v>1705</v>
      </c>
      <c r="I5586" s="220">
        <v>808000</v>
      </c>
      <c r="J5586" s="220">
        <f>I5586*0.1</f>
        <v>80800</v>
      </c>
      <c r="K5586" s="220">
        <v>0</v>
      </c>
      <c r="L5586" s="220">
        <v>8990</v>
      </c>
      <c r="M5586" s="220">
        <v>14300</v>
      </c>
      <c r="N5586" s="220">
        <f>SUM(I5586:M5587)</f>
        <v>912090</v>
      </c>
      <c r="O5586" s="224"/>
      <c r="P5586" s="110" t="s">
        <v>16070</v>
      </c>
      <c r="Q5586" s="15" t="s">
        <v>19</v>
      </c>
      <c r="R5586" s="205"/>
      <c r="S5586" s="189" t="s">
        <v>25737</v>
      </c>
      <c r="T5586" s="114"/>
      <c r="U5586" s="21" t="s">
        <v>17340</v>
      </c>
      <c r="V5586" s="115">
        <v>46064</v>
      </c>
      <c r="W5586" s="116">
        <v>1004</v>
      </c>
      <c r="X5586" s="220">
        <v>880000</v>
      </c>
      <c r="Y5586" s="220">
        <f>X5586*0.1</f>
        <v>88000</v>
      </c>
      <c r="Z5586" s="220">
        <v>8990</v>
      </c>
      <c r="AA5586" s="220">
        <f>SUM(X5586:Z5586)</f>
        <v>976990</v>
      </c>
      <c r="AB5586" s="222">
        <v>46070</v>
      </c>
    </row>
    <row r="5587" spans="1:28" ht="17.100000000000001" customHeight="1" thickBot="1">
      <c r="A5587" s="227"/>
      <c r="B5587" s="27" t="s">
        <v>3228</v>
      </c>
      <c r="C5587" s="27">
        <v>2571</v>
      </c>
      <c r="D5587" s="14" t="s">
        <v>1584</v>
      </c>
      <c r="E5587" s="229"/>
      <c r="F5587" s="117" t="s">
        <v>16041</v>
      </c>
      <c r="G5587" s="26">
        <v>39210</v>
      </c>
      <c r="H5587" s="231"/>
      <c r="I5587" s="221"/>
      <c r="J5587" s="221"/>
      <c r="K5587" s="221"/>
      <c r="L5587" s="221"/>
      <c r="M5587" s="221"/>
      <c r="N5587" s="221"/>
      <c r="O5587" s="225"/>
      <c r="P5587" s="118" t="s">
        <v>16402</v>
      </c>
      <c r="Q5587" s="16" t="s">
        <v>20</v>
      </c>
      <c r="R5587" s="17" t="s">
        <v>2295</v>
      </c>
      <c r="S5587" s="121"/>
      <c r="T5587" s="122"/>
      <c r="U5587" s="22"/>
      <c r="V5587" s="123" t="s">
        <v>2747</v>
      </c>
      <c r="W5587" s="122">
        <v>2028</v>
      </c>
      <c r="X5587" s="221"/>
      <c r="Y5587" s="221"/>
      <c r="Z5587" s="221"/>
      <c r="AA5587" s="221"/>
      <c r="AB5587" s="223"/>
    </row>
    <row r="5588" spans="1:28" ht="17.100000000000001" customHeight="1" thickTop="1">
      <c r="A5588" s="226" t="s">
        <v>16033</v>
      </c>
      <c r="B5588" s="28">
        <v>46051</v>
      </c>
      <c r="C5588" s="25">
        <v>2143</v>
      </c>
      <c r="D5588" s="13" t="s">
        <v>2441</v>
      </c>
      <c r="E5588" s="228"/>
      <c r="F5588" s="109" t="s">
        <v>7868</v>
      </c>
      <c r="G5588" s="24" t="s">
        <v>16071</v>
      </c>
      <c r="H5588" s="230">
        <v>5</v>
      </c>
      <c r="I5588" s="220">
        <v>1619000</v>
      </c>
      <c r="J5588" s="220">
        <f>I5588*0.1</f>
        <v>161900</v>
      </c>
      <c r="K5588" s="220">
        <v>0</v>
      </c>
      <c r="L5588" s="220">
        <v>7230</v>
      </c>
      <c r="M5588" s="220">
        <v>14300</v>
      </c>
      <c r="N5588" s="220">
        <f>SUM(I5588:M5589)</f>
        <v>1802430</v>
      </c>
      <c r="O5588" s="224"/>
      <c r="P5588" s="110" t="s">
        <v>16072</v>
      </c>
      <c r="Q5588" s="15" t="s">
        <v>19</v>
      </c>
      <c r="R5588" s="205"/>
      <c r="S5588" s="189" t="s">
        <v>25738</v>
      </c>
      <c r="T5588" s="114"/>
      <c r="U5588" s="21" t="s">
        <v>16426</v>
      </c>
      <c r="V5588" s="115">
        <v>46056</v>
      </c>
      <c r="W5588" s="116">
        <v>1927</v>
      </c>
      <c r="X5588" s="220">
        <v>1673000</v>
      </c>
      <c r="Y5588" s="220">
        <f>X5588*0.1</f>
        <v>167300</v>
      </c>
      <c r="Z5588" s="220">
        <v>7230</v>
      </c>
      <c r="AA5588" s="220">
        <f>SUM(X5588:Z5588)</f>
        <v>1847530</v>
      </c>
      <c r="AB5588" s="222">
        <v>46063</v>
      </c>
    </row>
    <row r="5589" spans="1:28" ht="17.100000000000001" customHeight="1" thickBot="1">
      <c r="A5589" s="227"/>
      <c r="B5589" s="27" t="s">
        <v>3228</v>
      </c>
      <c r="C5589" s="27">
        <v>2576</v>
      </c>
      <c r="D5589" s="14" t="s">
        <v>273</v>
      </c>
      <c r="E5589" s="229"/>
      <c r="F5589" s="117" t="s">
        <v>16042</v>
      </c>
      <c r="G5589" s="26">
        <v>12882</v>
      </c>
      <c r="H5589" s="231"/>
      <c r="I5589" s="221"/>
      <c r="J5589" s="221"/>
      <c r="K5589" s="221"/>
      <c r="L5589" s="221"/>
      <c r="M5589" s="221"/>
      <c r="N5589" s="221"/>
      <c r="O5589" s="225"/>
      <c r="P5589" s="118" t="s">
        <v>16391</v>
      </c>
      <c r="Q5589" s="16" t="s">
        <v>20</v>
      </c>
      <c r="R5589" s="17" t="s">
        <v>2295</v>
      </c>
      <c r="S5589" s="121" t="s">
        <v>169</v>
      </c>
      <c r="T5589" s="122"/>
      <c r="U5589" s="22"/>
      <c r="V5589" s="123" t="s">
        <v>2103</v>
      </c>
      <c r="W5589" s="122">
        <v>3177</v>
      </c>
      <c r="X5589" s="221"/>
      <c r="Y5589" s="221"/>
      <c r="Z5589" s="221"/>
      <c r="AA5589" s="221"/>
      <c r="AB5589" s="223"/>
    </row>
    <row r="5590" spans="1:28" ht="17.100000000000001" customHeight="1" thickTop="1">
      <c r="A5590" s="226" t="s">
        <v>16034</v>
      </c>
      <c r="B5590" s="28">
        <v>46051</v>
      </c>
      <c r="C5590" s="25">
        <v>2143</v>
      </c>
      <c r="D5590" s="13" t="s">
        <v>2766</v>
      </c>
      <c r="E5590" s="228"/>
      <c r="F5590" s="109" t="s">
        <v>16073</v>
      </c>
      <c r="G5590" s="24"/>
      <c r="H5590" s="230">
        <v>4</v>
      </c>
      <c r="I5590" s="220">
        <v>698000</v>
      </c>
      <c r="J5590" s="220">
        <f>I5590*0.1</f>
        <v>69800</v>
      </c>
      <c r="K5590" s="220">
        <v>0</v>
      </c>
      <c r="L5590" s="220">
        <v>8790</v>
      </c>
      <c r="M5590" s="220">
        <v>14300</v>
      </c>
      <c r="N5590" s="220">
        <f>SUM(I5590:M5591)</f>
        <v>790890</v>
      </c>
      <c r="O5590" s="224"/>
      <c r="P5590" s="110" t="s">
        <v>16401</v>
      </c>
      <c r="Q5590" s="15" t="s">
        <v>19</v>
      </c>
      <c r="R5590" s="205"/>
      <c r="S5590" s="189"/>
      <c r="T5590" s="114"/>
      <c r="U5590" s="21"/>
      <c r="V5590" s="115">
        <v>46057</v>
      </c>
      <c r="W5590" s="116">
        <v>1003</v>
      </c>
      <c r="X5590" s="220">
        <v>735000</v>
      </c>
      <c r="Y5590" s="220">
        <f>X5590*0.1</f>
        <v>73500</v>
      </c>
      <c r="Z5590" s="220">
        <v>8790</v>
      </c>
      <c r="AA5590" s="220">
        <f>SUM(X5590:Z5590)</f>
        <v>817290</v>
      </c>
      <c r="AB5590" s="222">
        <v>46062</v>
      </c>
    </row>
    <row r="5591" spans="1:28" ht="17.100000000000001" customHeight="1" thickBot="1">
      <c r="A5591" s="227"/>
      <c r="B5591" s="27" t="s">
        <v>3228</v>
      </c>
      <c r="C5591" s="27">
        <v>2585</v>
      </c>
      <c r="D5591" s="14" t="s">
        <v>898</v>
      </c>
      <c r="E5591" s="229"/>
      <c r="F5591" s="117" t="s">
        <v>16043</v>
      </c>
      <c r="G5591" s="26">
        <v>34878</v>
      </c>
      <c r="H5591" s="231"/>
      <c r="I5591" s="221"/>
      <c r="J5591" s="221"/>
      <c r="K5591" s="221"/>
      <c r="L5591" s="221"/>
      <c r="M5591" s="221"/>
      <c r="N5591" s="221"/>
      <c r="O5591" s="225"/>
      <c r="P5591" s="118" t="s">
        <v>2404</v>
      </c>
      <c r="Q5591" s="16" t="s">
        <v>20</v>
      </c>
      <c r="R5591" s="17" t="s">
        <v>2295</v>
      </c>
      <c r="S5591" s="121"/>
      <c r="T5591" s="122"/>
      <c r="U5591" s="22"/>
      <c r="V5591" s="123" t="s">
        <v>2747</v>
      </c>
      <c r="W5591" s="122">
        <v>5043</v>
      </c>
      <c r="X5591" s="221"/>
      <c r="Y5591" s="221"/>
      <c r="Z5591" s="221"/>
      <c r="AA5591" s="221"/>
      <c r="AB5591" s="223"/>
    </row>
    <row r="5592" spans="1:28" ht="17.100000000000001" customHeight="1" thickTop="1">
      <c r="A5592" s="226" t="s">
        <v>16035</v>
      </c>
      <c r="B5592" s="28">
        <v>46051</v>
      </c>
      <c r="C5592" s="25">
        <v>2143</v>
      </c>
      <c r="D5592" s="13" t="s">
        <v>1687</v>
      </c>
      <c r="E5592" s="228"/>
      <c r="F5592" s="109" t="s">
        <v>3958</v>
      </c>
      <c r="G5592" s="24"/>
      <c r="H5592" s="230">
        <v>4.5</v>
      </c>
      <c r="I5592" s="220">
        <v>1154000</v>
      </c>
      <c r="J5592" s="220">
        <f>I5592*0.1</f>
        <v>115400</v>
      </c>
      <c r="K5592" s="220">
        <v>0</v>
      </c>
      <c r="L5592" s="220">
        <v>6850</v>
      </c>
      <c r="M5592" s="220">
        <v>14300</v>
      </c>
      <c r="N5592" s="220">
        <f>SUM(I5592:M5593)</f>
        <v>1290550</v>
      </c>
      <c r="O5592" s="224"/>
      <c r="P5592" s="110" t="s">
        <v>16393</v>
      </c>
      <c r="Q5592" s="15" t="s">
        <v>19</v>
      </c>
      <c r="R5592" s="205"/>
      <c r="S5592" s="189" t="s">
        <v>25739</v>
      </c>
      <c r="T5592" s="114"/>
      <c r="U5592" s="21"/>
      <c r="V5592" s="115">
        <v>46056</v>
      </c>
      <c r="W5592" s="116">
        <v>1927</v>
      </c>
      <c r="X5592" s="220">
        <v>1236000</v>
      </c>
      <c r="Y5592" s="220">
        <f>X5592*0.1</f>
        <v>123600</v>
      </c>
      <c r="Z5592" s="220">
        <v>6850</v>
      </c>
      <c r="AA5592" s="220">
        <f>SUM(X5592:Z5592)</f>
        <v>1366450</v>
      </c>
      <c r="AB5592" s="222">
        <v>46063</v>
      </c>
    </row>
    <row r="5593" spans="1:28" ht="17.100000000000001" customHeight="1" thickBot="1">
      <c r="A5593" s="227"/>
      <c r="B5593" s="27" t="s">
        <v>3228</v>
      </c>
      <c r="C5593" s="27">
        <v>2586</v>
      </c>
      <c r="D5593" s="14" t="s">
        <v>273</v>
      </c>
      <c r="E5593" s="229"/>
      <c r="F5593" s="117" t="s">
        <v>16044</v>
      </c>
      <c r="G5593" s="26">
        <v>2214</v>
      </c>
      <c r="H5593" s="231"/>
      <c r="I5593" s="221"/>
      <c r="J5593" s="221"/>
      <c r="K5593" s="221"/>
      <c r="L5593" s="221"/>
      <c r="M5593" s="221"/>
      <c r="N5593" s="221"/>
      <c r="O5593" s="225"/>
      <c r="P5593" s="118" t="s">
        <v>2404</v>
      </c>
      <c r="Q5593" s="16" t="s">
        <v>20</v>
      </c>
      <c r="R5593" s="17" t="s">
        <v>2295</v>
      </c>
      <c r="S5593" s="121"/>
      <c r="T5593" s="122"/>
      <c r="U5593" s="22"/>
      <c r="V5593" s="123" t="s">
        <v>2103</v>
      </c>
      <c r="W5593" s="122">
        <v>3191</v>
      </c>
      <c r="X5593" s="221"/>
      <c r="Y5593" s="221"/>
      <c r="Z5593" s="221"/>
      <c r="AA5593" s="221"/>
      <c r="AB5593" s="223"/>
    </row>
    <row r="5594" spans="1:28" ht="17.100000000000001" customHeight="1" thickTop="1">
      <c r="A5594" s="226" t="s">
        <v>16036</v>
      </c>
      <c r="B5594" s="28">
        <v>46051</v>
      </c>
      <c r="C5594" s="25">
        <v>2143</v>
      </c>
      <c r="D5594" s="13" t="s">
        <v>2913</v>
      </c>
      <c r="E5594" s="228"/>
      <c r="F5594" s="109" t="s">
        <v>16075</v>
      </c>
      <c r="G5594" s="24"/>
      <c r="H5594" s="230">
        <v>4.5</v>
      </c>
      <c r="I5594" s="220">
        <v>1028000</v>
      </c>
      <c r="J5594" s="220">
        <f>I5594*0.1</f>
        <v>102800</v>
      </c>
      <c r="K5594" s="220">
        <v>0</v>
      </c>
      <c r="L5594" s="220">
        <v>7040</v>
      </c>
      <c r="M5594" s="220">
        <v>14300</v>
      </c>
      <c r="N5594" s="220">
        <f>SUM(I5594:M5595)</f>
        <v>1152140</v>
      </c>
      <c r="O5594" s="224"/>
      <c r="P5594" s="110" t="s">
        <v>16392</v>
      </c>
      <c r="Q5594" s="15" t="s">
        <v>19</v>
      </c>
      <c r="R5594" s="205"/>
      <c r="S5594" s="189" t="s">
        <v>25740</v>
      </c>
      <c r="T5594" s="114"/>
      <c r="U5594" s="21"/>
      <c r="V5594" s="115">
        <v>46056</v>
      </c>
      <c r="W5594" s="116">
        <v>1927</v>
      </c>
      <c r="X5594" s="220">
        <v>1097000</v>
      </c>
      <c r="Y5594" s="220">
        <f>X5594*0.1</f>
        <v>109700</v>
      </c>
      <c r="Z5594" s="220">
        <v>7040</v>
      </c>
      <c r="AA5594" s="220">
        <f>SUM(X5594:Z5594)</f>
        <v>1213740</v>
      </c>
      <c r="AB5594" s="222">
        <v>46063</v>
      </c>
    </row>
    <row r="5595" spans="1:28" ht="17.100000000000001" customHeight="1" thickBot="1">
      <c r="A5595" s="227"/>
      <c r="B5595" s="27" t="s">
        <v>3228</v>
      </c>
      <c r="C5595" s="27">
        <v>2587</v>
      </c>
      <c r="D5595" s="14" t="s">
        <v>16074</v>
      </c>
      <c r="E5595" s="229"/>
      <c r="F5595" s="117" t="s">
        <v>16045</v>
      </c>
      <c r="G5595" s="26">
        <v>39547</v>
      </c>
      <c r="H5595" s="231"/>
      <c r="I5595" s="221"/>
      <c r="J5595" s="221"/>
      <c r="K5595" s="221"/>
      <c r="L5595" s="221"/>
      <c r="M5595" s="221"/>
      <c r="N5595" s="221"/>
      <c r="O5595" s="225"/>
      <c r="P5595" s="118" t="s">
        <v>2404</v>
      </c>
      <c r="Q5595" s="16" t="s">
        <v>20</v>
      </c>
      <c r="R5595" s="17" t="s">
        <v>2295</v>
      </c>
      <c r="S5595" s="121"/>
      <c r="T5595" s="122"/>
      <c r="U5595" s="22"/>
      <c r="V5595" s="123" t="s">
        <v>2103</v>
      </c>
      <c r="W5595" s="122">
        <v>3199</v>
      </c>
      <c r="X5595" s="221"/>
      <c r="Y5595" s="221"/>
      <c r="Z5595" s="221"/>
      <c r="AA5595" s="221"/>
      <c r="AB5595" s="223"/>
    </row>
    <row r="5596" spans="1:28" ht="17.100000000000001" customHeight="1" thickTop="1">
      <c r="A5596" s="226" t="s">
        <v>16037</v>
      </c>
      <c r="B5596" s="28">
        <v>46051</v>
      </c>
      <c r="C5596" s="25">
        <v>2143</v>
      </c>
      <c r="D5596" s="13" t="s">
        <v>1704</v>
      </c>
      <c r="E5596" s="228"/>
      <c r="F5596" s="109" t="s">
        <v>3958</v>
      </c>
      <c r="G5596" s="24"/>
      <c r="H5596" s="230">
        <v>4.5</v>
      </c>
      <c r="I5596" s="220">
        <v>1007000</v>
      </c>
      <c r="J5596" s="220">
        <f>I5596*0.1</f>
        <v>100700</v>
      </c>
      <c r="K5596" s="220">
        <v>0</v>
      </c>
      <c r="L5596" s="220">
        <v>6830</v>
      </c>
      <c r="M5596" s="220">
        <v>14300</v>
      </c>
      <c r="N5596" s="220">
        <f>SUM(I5596:M5597)</f>
        <v>1128830</v>
      </c>
      <c r="O5596" s="224"/>
      <c r="P5596" s="110" t="s">
        <v>16400</v>
      </c>
      <c r="Q5596" s="15" t="s">
        <v>19</v>
      </c>
      <c r="R5596" s="205"/>
      <c r="S5596" s="189" t="s">
        <v>25740</v>
      </c>
      <c r="T5596" s="114"/>
      <c r="U5596" s="21"/>
      <c r="V5596" s="115">
        <v>46056</v>
      </c>
      <c r="W5596" s="116">
        <v>1927</v>
      </c>
      <c r="X5596" s="220">
        <v>1050000</v>
      </c>
      <c r="Y5596" s="220">
        <f>X5596*0.1</f>
        <v>105000</v>
      </c>
      <c r="Z5596" s="220">
        <v>6830</v>
      </c>
      <c r="AA5596" s="220">
        <f>SUM(X5596:Z5596)</f>
        <v>1161830</v>
      </c>
      <c r="AB5596" s="222">
        <v>46063</v>
      </c>
    </row>
    <row r="5597" spans="1:28" ht="17.100000000000001" customHeight="1" thickBot="1">
      <c r="A5597" s="227"/>
      <c r="B5597" s="27" t="s">
        <v>3228</v>
      </c>
      <c r="C5597" s="27">
        <v>2593</v>
      </c>
      <c r="D5597" s="14" t="s">
        <v>1797</v>
      </c>
      <c r="E5597" s="229"/>
      <c r="F5597" s="117" t="s">
        <v>16046</v>
      </c>
      <c r="G5597" s="26">
        <v>25100</v>
      </c>
      <c r="H5597" s="231"/>
      <c r="I5597" s="221"/>
      <c r="J5597" s="221"/>
      <c r="K5597" s="221"/>
      <c r="L5597" s="221"/>
      <c r="M5597" s="221"/>
      <c r="N5597" s="221"/>
      <c r="O5597" s="225"/>
      <c r="P5597" s="118" t="s">
        <v>2404</v>
      </c>
      <c r="Q5597" s="16" t="s">
        <v>20</v>
      </c>
      <c r="R5597" s="17" t="s">
        <v>2295</v>
      </c>
      <c r="S5597" s="121"/>
      <c r="T5597" s="122"/>
      <c r="U5597" s="22"/>
      <c r="V5597" s="123" t="s">
        <v>2103</v>
      </c>
      <c r="W5597" s="122">
        <v>3197</v>
      </c>
      <c r="X5597" s="221"/>
      <c r="Y5597" s="221"/>
      <c r="Z5597" s="221"/>
      <c r="AA5597" s="221"/>
      <c r="AB5597" s="223"/>
    </row>
    <row r="5598" spans="1:28" ht="17.100000000000001" customHeight="1" thickTop="1">
      <c r="A5598" s="226" t="s">
        <v>16054</v>
      </c>
      <c r="B5598" s="28">
        <v>46051</v>
      </c>
      <c r="C5598" s="25">
        <v>1316</v>
      </c>
      <c r="D5598" s="13" t="s">
        <v>1837</v>
      </c>
      <c r="E5598" s="228"/>
      <c r="F5598" s="109" t="s">
        <v>16048</v>
      </c>
      <c r="G5598" s="24"/>
      <c r="H5598" s="230">
        <v>4.5</v>
      </c>
      <c r="I5598" s="220">
        <v>1290000</v>
      </c>
      <c r="J5598" s="220">
        <f>I5598*0.1</f>
        <v>129000</v>
      </c>
      <c r="K5598" s="220">
        <v>0</v>
      </c>
      <c r="L5598" s="220">
        <v>20630</v>
      </c>
      <c r="M5598" s="220">
        <v>16500</v>
      </c>
      <c r="N5598" s="220">
        <f>SUM(I5598:M5599)</f>
        <v>1456130</v>
      </c>
      <c r="O5598" s="224"/>
      <c r="P5598" s="110" t="s">
        <v>16529</v>
      </c>
      <c r="Q5598" s="15" t="s">
        <v>19</v>
      </c>
      <c r="R5598" s="205"/>
      <c r="S5598" s="189" t="s">
        <v>1271</v>
      </c>
      <c r="T5598" s="114"/>
      <c r="U5598" s="21"/>
      <c r="V5598" s="115">
        <v>46060</v>
      </c>
      <c r="W5598" s="116">
        <v>1287</v>
      </c>
      <c r="X5598" s="220">
        <v>1450000</v>
      </c>
      <c r="Y5598" s="220">
        <f>X5598*0.1</f>
        <v>145000</v>
      </c>
      <c r="Z5598" s="220">
        <v>20630</v>
      </c>
      <c r="AA5598" s="220">
        <f>SUM(X5598:Z5598)</f>
        <v>1615630</v>
      </c>
      <c r="AB5598" s="222">
        <v>46063</v>
      </c>
    </row>
    <row r="5599" spans="1:28" ht="17.100000000000001" customHeight="1" thickBot="1">
      <c r="A5599" s="227"/>
      <c r="B5599" s="27" t="s">
        <v>13379</v>
      </c>
      <c r="C5599" s="27">
        <v>95</v>
      </c>
      <c r="D5599" s="14" t="s">
        <v>273</v>
      </c>
      <c r="E5599" s="229"/>
      <c r="F5599" s="117" t="s">
        <v>16049</v>
      </c>
      <c r="G5599" s="26">
        <v>58874</v>
      </c>
      <c r="H5599" s="231"/>
      <c r="I5599" s="221"/>
      <c r="J5599" s="221"/>
      <c r="K5599" s="221"/>
      <c r="L5599" s="221"/>
      <c r="M5599" s="221"/>
      <c r="N5599" s="221"/>
      <c r="O5599" s="225"/>
      <c r="P5599" s="118" t="s">
        <v>1844</v>
      </c>
      <c r="Q5599" s="16" t="s">
        <v>20</v>
      </c>
      <c r="R5599" s="17" t="s">
        <v>3739</v>
      </c>
      <c r="S5599" s="121" t="s">
        <v>1731</v>
      </c>
      <c r="T5599" s="122"/>
      <c r="U5599" s="22"/>
      <c r="V5599" s="123" t="s">
        <v>2472</v>
      </c>
      <c r="W5599" s="122">
        <v>80010</v>
      </c>
      <c r="X5599" s="221"/>
      <c r="Y5599" s="221"/>
      <c r="Z5599" s="221"/>
      <c r="AA5599" s="221"/>
      <c r="AB5599" s="223"/>
    </row>
    <row r="5600" spans="1:28" ht="17.100000000000001" customHeight="1" thickTop="1">
      <c r="A5600" s="226" t="s">
        <v>16055</v>
      </c>
      <c r="B5600" s="28">
        <v>46051</v>
      </c>
      <c r="C5600" s="25">
        <v>1316</v>
      </c>
      <c r="D5600" s="13" t="s">
        <v>2158</v>
      </c>
      <c r="E5600" s="228"/>
      <c r="F5600" s="109" t="s">
        <v>16050</v>
      </c>
      <c r="G5600" s="24" t="s">
        <v>2536</v>
      </c>
      <c r="H5600" s="230">
        <v>5</v>
      </c>
      <c r="I5600" s="220">
        <v>3175000</v>
      </c>
      <c r="J5600" s="220">
        <f>I5600*0.1</f>
        <v>317500</v>
      </c>
      <c r="K5600" s="220">
        <v>6600</v>
      </c>
      <c r="L5600" s="220">
        <v>21570</v>
      </c>
      <c r="M5600" s="220">
        <v>16500</v>
      </c>
      <c r="N5600" s="220">
        <f>SUM(I5600:M5601)</f>
        <v>3537170</v>
      </c>
      <c r="O5600" s="224"/>
      <c r="P5600" s="110" t="s">
        <v>16076</v>
      </c>
      <c r="Q5600" s="15" t="s">
        <v>19</v>
      </c>
      <c r="R5600" s="205"/>
      <c r="S5600" s="189" t="s">
        <v>1406</v>
      </c>
      <c r="T5600" s="114"/>
      <c r="U5600" s="21" t="s">
        <v>17027</v>
      </c>
      <c r="V5600" s="115">
        <v>46074</v>
      </c>
      <c r="W5600" s="116">
        <v>1289</v>
      </c>
      <c r="X5600" s="220">
        <v>3320000</v>
      </c>
      <c r="Y5600" s="220">
        <f>X5600*0.1</f>
        <v>332000</v>
      </c>
      <c r="Z5600" s="220">
        <v>21570</v>
      </c>
      <c r="AA5600" s="220">
        <f>SUM(X5600:Z5600)</f>
        <v>3673570</v>
      </c>
      <c r="AB5600" s="222">
        <v>46077</v>
      </c>
    </row>
    <row r="5601" spans="1:28" ht="17.100000000000001" customHeight="1" thickBot="1">
      <c r="A5601" s="227"/>
      <c r="B5601" s="27" t="s">
        <v>13379</v>
      </c>
      <c r="C5601" s="27">
        <v>107</v>
      </c>
      <c r="D5601" s="14" t="s">
        <v>1568</v>
      </c>
      <c r="E5601" s="229"/>
      <c r="F5601" s="117" t="s">
        <v>16051</v>
      </c>
      <c r="G5601" s="26">
        <v>41167</v>
      </c>
      <c r="H5601" s="231"/>
      <c r="I5601" s="221"/>
      <c r="J5601" s="221"/>
      <c r="K5601" s="221"/>
      <c r="L5601" s="221"/>
      <c r="M5601" s="221"/>
      <c r="N5601" s="221"/>
      <c r="O5601" s="225"/>
      <c r="P5601" s="118" t="s">
        <v>1844</v>
      </c>
      <c r="Q5601" s="16" t="s">
        <v>20</v>
      </c>
      <c r="R5601" s="17" t="s">
        <v>3739</v>
      </c>
      <c r="S5601" s="121" t="s">
        <v>16528</v>
      </c>
      <c r="T5601" s="122"/>
      <c r="U5601" s="22"/>
      <c r="V5601" s="123" t="s">
        <v>2472</v>
      </c>
      <c r="W5601" s="122">
        <v>80110</v>
      </c>
      <c r="X5601" s="221"/>
      <c r="Y5601" s="221"/>
      <c r="Z5601" s="221"/>
      <c r="AA5601" s="221"/>
      <c r="AB5601" s="223"/>
    </row>
    <row r="5602" spans="1:28" ht="17.100000000000001" customHeight="1" thickTop="1">
      <c r="A5602" s="226" t="s">
        <v>16056</v>
      </c>
      <c r="B5602" s="28">
        <v>46051</v>
      </c>
      <c r="C5602" s="25">
        <v>1316</v>
      </c>
      <c r="D5602" s="13" t="s">
        <v>4050</v>
      </c>
      <c r="E5602" s="228"/>
      <c r="F5602" s="109" t="s">
        <v>16052</v>
      </c>
      <c r="G5602" s="24" t="s">
        <v>4120</v>
      </c>
      <c r="H5602" s="230">
        <v>4.5</v>
      </c>
      <c r="I5602" s="220">
        <v>1635000</v>
      </c>
      <c r="J5602" s="220">
        <f>I5602*0.1</f>
        <v>163500</v>
      </c>
      <c r="K5602" s="220">
        <f>6500+650</f>
        <v>7150</v>
      </c>
      <c r="L5602" s="220">
        <v>18220</v>
      </c>
      <c r="M5602" s="220">
        <v>16500</v>
      </c>
      <c r="N5602" s="220">
        <f>SUM(I5602:M5603)</f>
        <v>1840370</v>
      </c>
      <c r="O5602" s="224"/>
      <c r="P5602" s="110" t="s">
        <v>16077</v>
      </c>
      <c r="Q5602" s="15" t="s">
        <v>19</v>
      </c>
      <c r="R5602" s="205"/>
      <c r="S5602" s="189" t="s">
        <v>25741</v>
      </c>
      <c r="T5602" s="114"/>
      <c r="U5602" s="21"/>
      <c r="V5602" s="115">
        <v>46057</v>
      </c>
      <c r="W5602" s="116">
        <v>1003</v>
      </c>
      <c r="X5602" s="220">
        <v>1815000</v>
      </c>
      <c r="Y5602" s="220">
        <f>X5602*0.1</f>
        <v>181500</v>
      </c>
      <c r="Z5602" s="220">
        <v>18220</v>
      </c>
      <c r="AA5602" s="220">
        <f>SUM(X5602:Z5602)</f>
        <v>2014720</v>
      </c>
      <c r="AB5602" s="222">
        <v>46062</v>
      </c>
    </row>
    <row r="5603" spans="1:28" ht="17.100000000000001" customHeight="1" thickBot="1">
      <c r="A5603" s="227"/>
      <c r="B5603" s="27" t="s">
        <v>13379</v>
      </c>
      <c r="C5603" s="27">
        <v>172</v>
      </c>
      <c r="D5603" s="14" t="s">
        <v>1584</v>
      </c>
      <c r="E5603" s="229"/>
      <c r="F5603" s="117" t="s">
        <v>16053</v>
      </c>
      <c r="G5603" s="26">
        <v>56237</v>
      </c>
      <c r="H5603" s="231"/>
      <c r="I5603" s="221"/>
      <c r="J5603" s="221"/>
      <c r="K5603" s="221"/>
      <c r="L5603" s="221"/>
      <c r="M5603" s="221"/>
      <c r="N5603" s="221"/>
      <c r="O5603" s="225"/>
      <c r="P5603" s="118" t="s">
        <v>8883</v>
      </c>
      <c r="Q5603" s="16" t="s">
        <v>20</v>
      </c>
      <c r="R5603" s="17" t="s">
        <v>3739</v>
      </c>
      <c r="S5603" s="121" t="s">
        <v>1573</v>
      </c>
      <c r="T5603" s="122"/>
      <c r="U5603" s="22"/>
      <c r="V5603" s="123" t="s">
        <v>2747</v>
      </c>
      <c r="W5603" s="122">
        <v>5036</v>
      </c>
      <c r="X5603" s="221"/>
      <c r="Y5603" s="221"/>
      <c r="Z5603" s="221"/>
      <c r="AA5603" s="221"/>
      <c r="AB5603" s="223"/>
    </row>
    <row r="5604" spans="1:28" ht="17.100000000000001" customHeight="1" thickTop="1">
      <c r="A5604" s="226" t="s">
        <v>16082</v>
      </c>
      <c r="B5604" s="28">
        <v>46051</v>
      </c>
      <c r="C5604" s="25">
        <v>2012</v>
      </c>
      <c r="D5604" s="13" t="s">
        <v>2033</v>
      </c>
      <c r="E5604" s="228"/>
      <c r="F5604" s="109" t="s">
        <v>16106</v>
      </c>
      <c r="G5604" s="24" t="s">
        <v>4025</v>
      </c>
      <c r="H5604" s="230">
        <v>4</v>
      </c>
      <c r="I5604" s="220">
        <v>1808000</v>
      </c>
      <c r="J5604" s="220">
        <f>I5604*0.1</f>
        <v>180800</v>
      </c>
      <c r="K5604" s="220">
        <f>9600+960</f>
        <v>10560</v>
      </c>
      <c r="L5604" s="220">
        <v>16550</v>
      </c>
      <c r="M5604" s="220">
        <v>22000</v>
      </c>
      <c r="N5604" s="220">
        <f>SUM(I5604:M5605)</f>
        <v>2037910</v>
      </c>
      <c r="O5604" s="224"/>
      <c r="P5604" s="110" t="s">
        <v>16107</v>
      </c>
      <c r="Q5604" s="15" t="s">
        <v>19</v>
      </c>
      <c r="R5604" s="205"/>
      <c r="S5604" s="189" t="s">
        <v>25617</v>
      </c>
      <c r="T5604" s="114"/>
      <c r="U5604" s="21"/>
      <c r="V5604" s="115">
        <v>46064</v>
      </c>
      <c r="W5604" s="116">
        <v>1004</v>
      </c>
      <c r="X5604" s="220">
        <v>2065000</v>
      </c>
      <c r="Y5604" s="220">
        <f>X5604*0.1</f>
        <v>206500</v>
      </c>
      <c r="Z5604" s="220">
        <v>16550</v>
      </c>
      <c r="AA5604" s="220">
        <f>SUM(X5604:Z5604)</f>
        <v>2288050</v>
      </c>
      <c r="AB5604" s="222">
        <v>46070</v>
      </c>
    </row>
    <row r="5605" spans="1:28" ht="17.100000000000001" customHeight="1" thickBot="1">
      <c r="A5605" s="227"/>
      <c r="B5605" s="27" t="s">
        <v>2171</v>
      </c>
      <c r="C5605" s="27">
        <v>30045</v>
      </c>
      <c r="D5605" s="14" t="s">
        <v>273</v>
      </c>
      <c r="E5605" s="229"/>
      <c r="F5605" s="117" t="s">
        <v>16094</v>
      </c>
      <c r="G5605" s="26">
        <v>85899</v>
      </c>
      <c r="H5605" s="231"/>
      <c r="I5605" s="221"/>
      <c r="J5605" s="221"/>
      <c r="K5605" s="221"/>
      <c r="L5605" s="221"/>
      <c r="M5605" s="221"/>
      <c r="N5605" s="221"/>
      <c r="O5605" s="225"/>
      <c r="P5605" s="118" t="s">
        <v>16552</v>
      </c>
      <c r="Q5605" s="16" t="s">
        <v>20</v>
      </c>
      <c r="R5605" s="17" t="s">
        <v>3739</v>
      </c>
      <c r="S5605" s="121" t="s">
        <v>4035</v>
      </c>
      <c r="T5605" s="122"/>
      <c r="U5605" s="22"/>
      <c r="V5605" s="123" t="s">
        <v>8877</v>
      </c>
      <c r="W5605" s="122">
        <v>5016</v>
      </c>
      <c r="X5605" s="221"/>
      <c r="Y5605" s="221"/>
      <c r="Z5605" s="221"/>
      <c r="AA5605" s="221"/>
      <c r="AB5605" s="223"/>
    </row>
    <row r="5606" spans="1:28" ht="17.100000000000001" customHeight="1" thickTop="1">
      <c r="A5606" s="226" t="s">
        <v>16083</v>
      </c>
      <c r="B5606" s="28">
        <v>46051</v>
      </c>
      <c r="C5606" s="25">
        <v>2012</v>
      </c>
      <c r="D5606" s="13" t="s">
        <v>1598</v>
      </c>
      <c r="E5606" s="228"/>
      <c r="F5606" s="109" t="s">
        <v>16108</v>
      </c>
      <c r="G5606" s="24"/>
      <c r="H5606" s="230">
        <v>4</v>
      </c>
      <c r="I5606" s="220">
        <v>1159000</v>
      </c>
      <c r="J5606" s="220">
        <f>I5606*0.1</f>
        <v>115900</v>
      </c>
      <c r="K5606" s="220">
        <v>0</v>
      </c>
      <c r="L5606" s="220">
        <v>10190</v>
      </c>
      <c r="M5606" s="220">
        <v>22000</v>
      </c>
      <c r="N5606" s="220">
        <f>SUM(I5606:M5607)</f>
        <v>1307090</v>
      </c>
      <c r="O5606" s="224"/>
      <c r="P5606" s="110" t="s">
        <v>16513</v>
      </c>
      <c r="Q5606" s="15" t="s">
        <v>19</v>
      </c>
      <c r="R5606" s="205"/>
      <c r="S5606" s="189" t="s">
        <v>25742</v>
      </c>
      <c r="T5606" s="114"/>
      <c r="U5606" s="21"/>
      <c r="V5606" s="115">
        <v>46057</v>
      </c>
      <c r="W5606" s="116">
        <v>1003</v>
      </c>
      <c r="X5606" s="220">
        <v>1250000</v>
      </c>
      <c r="Y5606" s="220">
        <f>X5606*0.1</f>
        <v>125000</v>
      </c>
      <c r="Z5606" s="220">
        <v>10190</v>
      </c>
      <c r="AA5606" s="220">
        <f>SUM(X5606:Z5606)</f>
        <v>1385190</v>
      </c>
      <c r="AB5606" s="222">
        <v>46062</v>
      </c>
    </row>
    <row r="5607" spans="1:28" ht="17.100000000000001" customHeight="1" thickBot="1">
      <c r="A5607" s="227"/>
      <c r="B5607" s="27" t="s">
        <v>2171</v>
      </c>
      <c r="C5607" s="27">
        <v>30110</v>
      </c>
      <c r="D5607" s="14" t="s">
        <v>1627</v>
      </c>
      <c r="E5607" s="229"/>
      <c r="F5607" s="117" t="s">
        <v>16095</v>
      </c>
      <c r="G5607" s="26">
        <v>50751</v>
      </c>
      <c r="H5607" s="231"/>
      <c r="I5607" s="221"/>
      <c r="J5607" s="221"/>
      <c r="K5607" s="221"/>
      <c r="L5607" s="221"/>
      <c r="M5607" s="221"/>
      <c r="N5607" s="221"/>
      <c r="O5607" s="225"/>
      <c r="P5607" s="118" t="s">
        <v>16514</v>
      </c>
      <c r="Q5607" s="16" t="s">
        <v>20</v>
      </c>
      <c r="R5607" s="17" t="s">
        <v>3739</v>
      </c>
      <c r="S5607" s="121" t="s">
        <v>5395</v>
      </c>
      <c r="T5607" s="122"/>
      <c r="U5607" s="22"/>
      <c r="V5607" s="123" t="s">
        <v>2747</v>
      </c>
      <c r="W5607" s="122">
        <v>5063</v>
      </c>
      <c r="X5607" s="221"/>
      <c r="Y5607" s="221"/>
      <c r="Z5607" s="221"/>
      <c r="AA5607" s="221"/>
      <c r="AB5607" s="223"/>
    </row>
    <row r="5608" spans="1:28" ht="17.100000000000001" customHeight="1" thickTop="1">
      <c r="A5608" s="226" t="s">
        <v>16084</v>
      </c>
      <c r="B5608" s="28">
        <v>46051</v>
      </c>
      <c r="C5608" s="25">
        <v>2012</v>
      </c>
      <c r="D5608" s="13" t="s">
        <v>2652</v>
      </c>
      <c r="E5608" s="228"/>
      <c r="F5608" s="109" t="s">
        <v>7868</v>
      </c>
      <c r="G5608" s="24" t="s">
        <v>4412</v>
      </c>
      <c r="H5608" s="230">
        <v>6</v>
      </c>
      <c r="I5608" s="220">
        <v>1625000</v>
      </c>
      <c r="J5608" s="220">
        <f>I5608*0.1</f>
        <v>162500</v>
      </c>
      <c r="K5608" s="220">
        <v>0</v>
      </c>
      <c r="L5608" s="220">
        <v>7230</v>
      </c>
      <c r="M5608" s="220">
        <v>22000</v>
      </c>
      <c r="N5608" s="220">
        <f>SUM(I5608:M5609)</f>
        <v>1816730</v>
      </c>
      <c r="O5608" s="224"/>
      <c r="P5608" s="110" t="s">
        <v>16558</v>
      </c>
      <c r="Q5608" s="15" t="s">
        <v>19</v>
      </c>
      <c r="R5608" s="205"/>
      <c r="S5608" s="189" t="s">
        <v>25743</v>
      </c>
      <c r="T5608" s="114"/>
      <c r="U5608" s="21" t="s">
        <v>16605</v>
      </c>
      <c r="V5608" s="115">
        <v>46056</v>
      </c>
      <c r="W5608" s="116">
        <v>1927</v>
      </c>
      <c r="X5608" s="220">
        <v>1673000</v>
      </c>
      <c r="Y5608" s="220">
        <f>X5608*0.1</f>
        <v>167300</v>
      </c>
      <c r="Z5608" s="220">
        <v>7230</v>
      </c>
      <c r="AA5608" s="220">
        <f>SUM(X5608:Z5608)</f>
        <v>1847530</v>
      </c>
      <c r="AB5608" s="222">
        <v>46063</v>
      </c>
    </row>
    <row r="5609" spans="1:28" ht="17.100000000000001" customHeight="1" thickBot="1">
      <c r="A5609" s="227"/>
      <c r="B5609" s="27" t="s">
        <v>2171</v>
      </c>
      <c r="C5609" s="27">
        <v>50012</v>
      </c>
      <c r="D5609" s="14" t="s">
        <v>273</v>
      </c>
      <c r="E5609" s="229"/>
      <c r="F5609" s="117" t="s">
        <v>16096</v>
      </c>
      <c r="G5609" s="26">
        <v>5</v>
      </c>
      <c r="H5609" s="231"/>
      <c r="I5609" s="221"/>
      <c r="J5609" s="221"/>
      <c r="K5609" s="221"/>
      <c r="L5609" s="221"/>
      <c r="M5609" s="221"/>
      <c r="N5609" s="221"/>
      <c r="O5609" s="225"/>
      <c r="P5609" s="118" t="s">
        <v>16559</v>
      </c>
      <c r="Q5609" s="16" t="s">
        <v>20</v>
      </c>
      <c r="R5609" s="17" t="s">
        <v>3494</v>
      </c>
      <c r="S5609" s="121" t="s">
        <v>16560</v>
      </c>
      <c r="T5609" s="122"/>
      <c r="U5609" s="22"/>
      <c r="V5609" s="123" t="s">
        <v>2103</v>
      </c>
      <c r="W5609" s="122">
        <v>3261</v>
      </c>
      <c r="X5609" s="221"/>
      <c r="Y5609" s="221"/>
      <c r="Z5609" s="221"/>
      <c r="AA5609" s="221"/>
      <c r="AB5609" s="223"/>
    </row>
    <row r="5610" spans="1:28" ht="17.100000000000001" customHeight="1" thickTop="1">
      <c r="A5610" s="226" t="s">
        <v>16085</v>
      </c>
      <c r="B5610" s="28">
        <v>46051</v>
      </c>
      <c r="C5610" s="25">
        <v>2012</v>
      </c>
      <c r="D5610" s="13" t="s">
        <v>3406</v>
      </c>
      <c r="E5610" s="228"/>
      <c r="F5610" s="109" t="s">
        <v>8359</v>
      </c>
      <c r="G5610" s="24" t="s">
        <v>2543</v>
      </c>
      <c r="H5610" s="230">
        <v>4.5</v>
      </c>
      <c r="I5610" s="220">
        <v>1309000</v>
      </c>
      <c r="J5610" s="220">
        <f>I5610*0.1</f>
        <v>130900</v>
      </c>
      <c r="K5610" s="220">
        <v>0</v>
      </c>
      <c r="L5610" s="220">
        <v>6850</v>
      </c>
      <c r="M5610" s="220">
        <v>22000</v>
      </c>
      <c r="N5610" s="220">
        <f>SUM(I5610:M5611)</f>
        <v>1468750</v>
      </c>
      <c r="O5610" s="224"/>
      <c r="P5610" s="110" t="s">
        <v>16109</v>
      </c>
      <c r="Q5610" s="15" t="s">
        <v>19</v>
      </c>
      <c r="R5610" s="205"/>
      <c r="S5610" s="189" t="s">
        <v>25392</v>
      </c>
      <c r="T5610" s="114"/>
      <c r="U5610" s="21" t="s">
        <v>17126</v>
      </c>
      <c r="V5610" s="115">
        <v>46063</v>
      </c>
      <c r="W5610" s="116">
        <v>1928</v>
      </c>
      <c r="X5610" s="220">
        <v>13796000</v>
      </c>
      <c r="Y5610" s="220">
        <f>X5610*0.1</f>
        <v>1379600</v>
      </c>
      <c r="Z5610" s="220">
        <v>6850</v>
      </c>
      <c r="AA5610" s="220">
        <f>SUM(X5610:Z5610)</f>
        <v>15182450</v>
      </c>
      <c r="AB5610" s="222"/>
    </row>
    <row r="5611" spans="1:28" ht="17.100000000000001" customHeight="1" thickBot="1">
      <c r="A5611" s="227"/>
      <c r="B5611" s="27" t="s">
        <v>2171</v>
      </c>
      <c r="C5611" s="27">
        <v>50036</v>
      </c>
      <c r="D5611" s="14" t="s">
        <v>273</v>
      </c>
      <c r="E5611" s="229"/>
      <c r="F5611" s="117" t="s">
        <v>16097</v>
      </c>
      <c r="G5611" s="26">
        <v>23106</v>
      </c>
      <c r="H5611" s="231"/>
      <c r="I5611" s="221"/>
      <c r="J5611" s="221"/>
      <c r="K5611" s="221"/>
      <c r="L5611" s="221"/>
      <c r="M5611" s="221"/>
      <c r="N5611" s="221"/>
      <c r="O5611" s="225"/>
      <c r="P5611" s="118" t="s">
        <v>16553</v>
      </c>
      <c r="Q5611" s="16" t="s">
        <v>20</v>
      </c>
      <c r="R5611" s="17" t="s">
        <v>3739</v>
      </c>
      <c r="S5611" s="121" t="s">
        <v>2647</v>
      </c>
      <c r="T5611" s="122"/>
      <c r="U5611" s="22"/>
      <c r="V5611" s="123" t="s">
        <v>2103</v>
      </c>
      <c r="W5611" s="122">
        <v>3139</v>
      </c>
      <c r="X5611" s="221"/>
      <c r="Y5611" s="221"/>
      <c r="Z5611" s="221"/>
      <c r="AA5611" s="221"/>
      <c r="AB5611" s="223"/>
    </row>
    <row r="5612" spans="1:28" ht="17.100000000000001" customHeight="1" thickTop="1">
      <c r="A5612" s="226" t="s">
        <v>16086</v>
      </c>
      <c r="B5612" s="28">
        <v>46051</v>
      </c>
      <c r="C5612" s="25">
        <v>2012</v>
      </c>
      <c r="D5612" s="13" t="s">
        <v>853</v>
      </c>
      <c r="E5612" s="228"/>
      <c r="F5612" s="109" t="s">
        <v>16110</v>
      </c>
      <c r="G5612" s="24"/>
      <c r="H5612" s="230">
        <v>4.5</v>
      </c>
      <c r="I5612" s="220">
        <v>1131000</v>
      </c>
      <c r="J5612" s="220">
        <f>I5612*0.1</f>
        <v>113100</v>
      </c>
      <c r="K5612" s="220">
        <v>0</v>
      </c>
      <c r="L5612" s="220">
        <v>8740</v>
      </c>
      <c r="M5612" s="220">
        <v>22000</v>
      </c>
      <c r="N5612" s="220">
        <f>SUM(I5612:M5613)</f>
        <v>1274840</v>
      </c>
      <c r="O5612" s="224"/>
      <c r="P5612" s="110" t="s">
        <v>16509</v>
      </c>
      <c r="Q5612" s="15" t="s">
        <v>19</v>
      </c>
      <c r="R5612" s="205"/>
      <c r="S5612" s="189" t="s">
        <v>25615</v>
      </c>
      <c r="T5612" s="114"/>
      <c r="U5612" s="21"/>
      <c r="V5612" s="115">
        <v>46056</v>
      </c>
      <c r="W5612" s="116">
        <v>1927</v>
      </c>
      <c r="X5612" s="220">
        <v>1203000</v>
      </c>
      <c r="Y5612" s="220">
        <f>X5612*0.1</f>
        <v>120300</v>
      </c>
      <c r="Z5612" s="220">
        <v>8740</v>
      </c>
      <c r="AA5612" s="220">
        <f>SUM(X5612:Z5612)</f>
        <v>1332040</v>
      </c>
      <c r="AB5612" s="222">
        <v>46063</v>
      </c>
    </row>
    <row r="5613" spans="1:28" ht="17.100000000000001" customHeight="1" thickBot="1">
      <c r="A5613" s="227"/>
      <c r="B5613" s="27" t="s">
        <v>2171</v>
      </c>
      <c r="C5613" s="27">
        <v>50108</v>
      </c>
      <c r="D5613" s="14" t="s">
        <v>2559</v>
      </c>
      <c r="E5613" s="229"/>
      <c r="F5613" s="117" t="s">
        <v>16098</v>
      </c>
      <c r="G5613" s="26">
        <v>58606</v>
      </c>
      <c r="H5613" s="231"/>
      <c r="I5613" s="221"/>
      <c r="J5613" s="221"/>
      <c r="K5613" s="221"/>
      <c r="L5613" s="221"/>
      <c r="M5613" s="221"/>
      <c r="N5613" s="221"/>
      <c r="O5613" s="225"/>
      <c r="P5613" s="118" t="s">
        <v>4045</v>
      </c>
      <c r="Q5613" s="16" t="s">
        <v>20</v>
      </c>
      <c r="R5613" s="17" t="s">
        <v>3739</v>
      </c>
      <c r="S5613" s="121" t="s">
        <v>16510</v>
      </c>
      <c r="T5613" s="122"/>
      <c r="U5613" s="22"/>
      <c r="V5613" s="123" t="s">
        <v>2103</v>
      </c>
      <c r="W5613" s="122">
        <v>3257</v>
      </c>
      <c r="X5613" s="221"/>
      <c r="Y5613" s="221"/>
      <c r="Z5613" s="221"/>
      <c r="AA5613" s="221"/>
      <c r="AB5613" s="223"/>
    </row>
    <row r="5614" spans="1:28" ht="17.100000000000001" customHeight="1" thickTop="1">
      <c r="A5614" s="226" t="s">
        <v>16087</v>
      </c>
      <c r="B5614" s="28">
        <v>46051</v>
      </c>
      <c r="C5614" s="25">
        <v>2012</v>
      </c>
      <c r="D5614" s="13" t="s">
        <v>1883</v>
      </c>
      <c r="E5614" s="228"/>
      <c r="F5614" s="109" t="s">
        <v>5334</v>
      </c>
      <c r="G5614" s="24"/>
      <c r="H5614" s="230">
        <v>4.5</v>
      </c>
      <c r="I5614" s="220">
        <v>986000</v>
      </c>
      <c r="J5614" s="220">
        <f>I5614*0.1</f>
        <v>98600</v>
      </c>
      <c r="K5614" s="220">
        <v>0</v>
      </c>
      <c r="L5614" s="220">
        <v>5340</v>
      </c>
      <c r="M5614" s="220">
        <v>22000</v>
      </c>
      <c r="N5614" s="220">
        <f>SUM(I5614:M5615)</f>
        <v>1111940</v>
      </c>
      <c r="O5614" s="224"/>
      <c r="P5614" s="110" t="s">
        <v>16511</v>
      </c>
      <c r="Q5614" s="15" t="s">
        <v>19</v>
      </c>
      <c r="R5614" s="205"/>
      <c r="S5614" s="189" t="s">
        <v>1271</v>
      </c>
      <c r="T5614" s="114"/>
      <c r="U5614" s="21"/>
      <c r="V5614" s="115">
        <v>46056</v>
      </c>
      <c r="W5614" s="116">
        <v>1927</v>
      </c>
      <c r="X5614" s="220">
        <v>1003000</v>
      </c>
      <c r="Y5614" s="220">
        <f>X5614*0.1</f>
        <v>100300</v>
      </c>
      <c r="Z5614" s="220">
        <v>5340</v>
      </c>
      <c r="AA5614" s="220">
        <f>SUM(X5614:Z5614)</f>
        <v>1108640</v>
      </c>
      <c r="AB5614" s="222">
        <v>46063</v>
      </c>
    </row>
    <row r="5615" spans="1:28" ht="17.100000000000001" customHeight="1" thickBot="1">
      <c r="A5615" s="227"/>
      <c r="B5615" s="27" t="s">
        <v>2171</v>
      </c>
      <c r="C5615" s="27">
        <v>50113</v>
      </c>
      <c r="D5615" s="14" t="s">
        <v>3746</v>
      </c>
      <c r="E5615" s="229"/>
      <c r="F5615" s="117" t="s">
        <v>16099</v>
      </c>
      <c r="G5615" s="26">
        <v>16989</v>
      </c>
      <c r="H5615" s="231"/>
      <c r="I5615" s="221"/>
      <c r="J5615" s="221"/>
      <c r="K5615" s="221"/>
      <c r="L5615" s="221"/>
      <c r="M5615" s="221"/>
      <c r="N5615" s="221"/>
      <c r="O5615" s="225"/>
      <c r="P5615" s="118" t="s">
        <v>16512</v>
      </c>
      <c r="Q5615" s="16" t="s">
        <v>20</v>
      </c>
      <c r="R5615" s="17" t="s">
        <v>3739</v>
      </c>
      <c r="S5615" s="121" t="s">
        <v>16058</v>
      </c>
      <c r="T5615" s="122"/>
      <c r="U5615" s="22"/>
      <c r="V5615" s="123" t="s">
        <v>2103</v>
      </c>
      <c r="W5615" s="122">
        <v>3255</v>
      </c>
      <c r="X5615" s="221"/>
      <c r="Y5615" s="221"/>
      <c r="Z5615" s="221"/>
      <c r="AA5615" s="221"/>
      <c r="AB5615" s="223"/>
    </row>
    <row r="5616" spans="1:28" ht="17.100000000000001" customHeight="1" thickTop="1">
      <c r="A5616" s="226" t="s">
        <v>16088</v>
      </c>
      <c r="B5616" s="28">
        <v>46051</v>
      </c>
      <c r="C5616" s="25">
        <v>2012</v>
      </c>
      <c r="D5616" s="13" t="s">
        <v>1947</v>
      </c>
      <c r="E5616" s="228"/>
      <c r="F5616" s="109" t="s">
        <v>16111</v>
      </c>
      <c r="G5616" s="24"/>
      <c r="H5616" s="230">
        <v>4</v>
      </c>
      <c r="I5616" s="220">
        <v>940000</v>
      </c>
      <c r="J5616" s="220">
        <f>I5616*0.1</f>
        <v>94000</v>
      </c>
      <c r="K5616" s="220">
        <v>0</v>
      </c>
      <c r="L5616" s="220">
        <v>6560</v>
      </c>
      <c r="M5616" s="220">
        <v>22000</v>
      </c>
      <c r="N5616" s="220">
        <f>SUM(I5616:M5617)</f>
        <v>1062560</v>
      </c>
      <c r="O5616" s="224"/>
      <c r="P5616" s="110" t="s">
        <v>16594</v>
      </c>
      <c r="Q5616" s="15" t="s">
        <v>19</v>
      </c>
      <c r="R5616" s="205"/>
      <c r="S5616" s="189" t="s">
        <v>25618</v>
      </c>
      <c r="T5616" s="114"/>
      <c r="U5616" s="21"/>
      <c r="V5616" s="115">
        <v>46057</v>
      </c>
      <c r="W5616" s="116">
        <v>1003</v>
      </c>
      <c r="X5616" s="220">
        <v>1050000</v>
      </c>
      <c r="Y5616" s="220">
        <f>X5616*0.1</f>
        <v>105000</v>
      </c>
      <c r="Z5616" s="220">
        <v>6560</v>
      </c>
      <c r="AA5616" s="220">
        <f>SUM(X5616:Z5616)</f>
        <v>1161560</v>
      </c>
      <c r="AB5616" s="222">
        <v>46063</v>
      </c>
    </row>
    <row r="5617" spans="1:28" ht="17.100000000000001" customHeight="1" thickBot="1">
      <c r="A5617" s="227"/>
      <c r="B5617" s="27" t="s">
        <v>2171</v>
      </c>
      <c r="C5617" s="27">
        <v>50153</v>
      </c>
      <c r="D5617" s="14" t="s">
        <v>131</v>
      </c>
      <c r="E5617" s="229"/>
      <c r="F5617" s="117" t="s">
        <v>16100</v>
      </c>
      <c r="G5617" s="26">
        <v>49386</v>
      </c>
      <c r="H5617" s="231"/>
      <c r="I5617" s="221"/>
      <c r="J5617" s="221"/>
      <c r="K5617" s="221"/>
      <c r="L5617" s="221"/>
      <c r="M5617" s="221"/>
      <c r="N5617" s="221"/>
      <c r="O5617" s="225"/>
      <c r="P5617" s="118" t="s">
        <v>16562</v>
      </c>
      <c r="Q5617" s="16" t="s">
        <v>20</v>
      </c>
      <c r="R5617" s="17" t="s">
        <v>3494</v>
      </c>
      <c r="S5617" s="121" t="s">
        <v>12721</v>
      </c>
      <c r="T5617" s="122"/>
      <c r="U5617" s="22"/>
      <c r="V5617" s="123" t="s">
        <v>2747</v>
      </c>
      <c r="W5617" s="122">
        <v>5045</v>
      </c>
      <c r="X5617" s="221"/>
      <c r="Y5617" s="221"/>
      <c r="Z5617" s="221"/>
      <c r="AA5617" s="221"/>
      <c r="AB5617" s="223"/>
    </row>
    <row r="5618" spans="1:28" ht="17.100000000000001" customHeight="1" thickTop="1">
      <c r="A5618" s="226" t="s">
        <v>16089</v>
      </c>
      <c r="B5618" s="28">
        <v>46051</v>
      </c>
      <c r="C5618" s="25">
        <v>2012</v>
      </c>
      <c r="D5618" s="13" t="s">
        <v>3769</v>
      </c>
      <c r="E5618" s="228"/>
      <c r="F5618" s="109" t="s">
        <v>16112</v>
      </c>
      <c r="G5618" s="24" t="s">
        <v>4025</v>
      </c>
      <c r="H5618" s="230">
        <v>4</v>
      </c>
      <c r="I5618" s="220">
        <v>980000</v>
      </c>
      <c r="J5618" s="220">
        <f>I5618*0.1</f>
        <v>98000</v>
      </c>
      <c r="K5618" s="220">
        <v>0</v>
      </c>
      <c r="L5618" s="220">
        <v>8320</v>
      </c>
      <c r="M5618" s="220">
        <v>22000</v>
      </c>
      <c r="N5618" s="220">
        <f>SUM(I5618:M5619)</f>
        <v>1108320</v>
      </c>
      <c r="O5618" s="224"/>
      <c r="P5618" s="110" t="s">
        <v>16113</v>
      </c>
      <c r="Q5618" s="15" t="s">
        <v>19</v>
      </c>
      <c r="R5618" s="205"/>
      <c r="S5618" s="189" t="s">
        <v>1341</v>
      </c>
      <c r="T5618" s="114"/>
      <c r="U5618" s="21"/>
      <c r="V5618" s="115">
        <v>46116</v>
      </c>
      <c r="W5618" s="116">
        <v>1295</v>
      </c>
      <c r="X5618" s="220">
        <v>965000</v>
      </c>
      <c r="Y5618" s="220">
        <f>X5618*0.1</f>
        <v>96500</v>
      </c>
      <c r="Z5618" s="220">
        <v>8320</v>
      </c>
      <c r="AA5618" s="220">
        <f>SUM(X5618:Z5618)</f>
        <v>1069820</v>
      </c>
      <c r="AB5618" s="222">
        <v>46119</v>
      </c>
    </row>
    <row r="5619" spans="1:28" ht="17.100000000000001" customHeight="1" thickBot="1">
      <c r="A5619" s="227"/>
      <c r="B5619" s="27" t="s">
        <v>2171</v>
      </c>
      <c r="C5619" s="27">
        <v>50154</v>
      </c>
      <c r="D5619" s="14" t="s">
        <v>898</v>
      </c>
      <c r="E5619" s="229"/>
      <c r="F5619" s="117" t="s">
        <v>16101</v>
      </c>
      <c r="G5619" s="26">
        <v>36340</v>
      </c>
      <c r="H5619" s="231"/>
      <c r="I5619" s="221"/>
      <c r="J5619" s="221"/>
      <c r="K5619" s="221"/>
      <c r="L5619" s="221"/>
      <c r="M5619" s="221"/>
      <c r="N5619" s="221"/>
      <c r="O5619" s="225"/>
      <c r="P5619" s="118" t="s">
        <v>3479</v>
      </c>
      <c r="Q5619" s="16" t="s">
        <v>20</v>
      </c>
      <c r="R5619" s="17" t="s">
        <v>3739</v>
      </c>
      <c r="S5619" s="121" t="s">
        <v>169</v>
      </c>
      <c r="T5619" s="122"/>
      <c r="U5619" s="22"/>
      <c r="V5619" s="123" t="s">
        <v>2472</v>
      </c>
      <c r="W5619" s="122">
        <v>60069</v>
      </c>
      <c r="X5619" s="221"/>
      <c r="Y5619" s="221"/>
      <c r="Z5619" s="221"/>
      <c r="AA5619" s="221"/>
      <c r="AB5619" s="223"/>
    </row>
    <row r="5620" spans="1:28" ht="17.100000000000001" customHeight="1" thickTop="1">
      <c r="A5620" s="233" t="s">
        <v>16090</v>
      </c>
      <c r="B5620" s="28">
        <v>46051</v>
      </c>
      <c r="C5620" s="25">
        <v>2012</v>
      </c>
      <c r="D5620" s="13" t="s">
        <v>2182</v>
      </c>
      <c r="E5620" s="228"/>
      <c r="F5620" s="109" t="s">
        <v>16114</v>
      </c>
      <c r="G5620" s="24"/>
      <c r="H5620" s="230">
        <v>4</v>
      </c>
      <c r="I5620" s="220">
        <v>845000</v>
      </c>
      <c r="J5620" s="220">
        <f>I5620*0.1</f>
        <v>84500</v>
      </c>
      <c r="K5620" s="220">
        <v>0</v>
      </c>
      <c r="L5620" s="220">
        <v>5990</v>
      </c>
      <c r="M5620" s="220">
        <v>22000</v>
      </c>
      <c r="N5620" s="220">
        <f>SUM(I5620:M5621)</f>
        <v>957490</v>
      </c>
      <c r="O5620" s="224"/>
      <c r="P5620" s="110" t="s">
        <v>16561</v>
      </c>
      <c r="Q5620" s="15" t="s">
        <v>19</v>
      </c>
      <c r="R5620" s="205"/>
      <c r="S5620" s="189" t="s">
        <v>25461</v>
      </c>
      <c r="T5620" s="114"/>
      <c r="U5620" s="21"/>
      <c r="V5620" s="115">
        <v>46056</v>
      </c>
      <c r="W5620" s="116"/>
      <c r="X5620" s="220">
        <v>1070000</v>
      </c>
      <c r="Y5620" s="220">
        <f>X5620*0.1</f>
        <v>107000</v>
      </c>
      <c r="Z5620" s="220">
        <v>5990</v>
      </c>
      <c r="AA5620" s="220">
        <f>SUM(X5620:Z5620)</f>
        <v>1182990</v>
      </c>
      <c r="AB5620" s="222"/>
    </row>
    <row r="5621" spans="1:28" ht="17.100000000000001" customHeight="1" thickBot="1">
      <c r="A5621" s="234"/>
      <c r="B5621" s="27" t="s">
        <v>2171</v>
      </c>
      <c r="C5621" s="27">
        <v>50163</v>
      </c>
      <c r="D5621" s="14" t="s">
        <v>2014</v>
      </c>
      <c r="E5621" s="229"/>
      <c r="F5621" s="117" t="s">
        <v>16102</v>
      </c>
      <c r="G5621" s="26">
        <v>52734</v>
      </c>
      <c r="H5621" s="231"/>
      <c r="I5621" s="221"/>
      <c r="J5621" s="221"/>
      <c r="K5621" s="221"/>
      <c r="L5621" s="221"/>
      <c r="M5621" s="221"/>
      <c r="N5621" s="221"/>
      <c r="O5621" s="225"/>
      <c r="P5621" s="118" t="s">
        <v>16562</v>
      </c>
      <c r="Q5621" s="16" t="s">
        <v>20</v>
      </c>
      <c r="R5621" s="17" t="s">
        <v>3494</v>
      </c>
      <c r="S5621" s="121" t="s">
        <v>3071</v>
      </c>
      <c r="T5621" s="122"/>
      <c r="U5621" s="22"/>
      <c r="V5621" s="123" t="s">
        <v>6682</v>
      </c>
      <c r="W5621" s="122">
        <v>83921</v>
      </c>
      <c r="X5621" s="221"/>
      <c r="Y5621" s="221"/>
      <c r="Z5621" s="221"/>
      <c r="AA5621" s="221"/>
      <c r="AB5621" s="223"/>
    </row>
    <row r="5622" spans="1:28" ht="17.100000000000001" customHeight="1" thickTop="1">
      <c r="A5622" s="226" t="s">
        <v>16091</v>
      </c>
      <c r="B5622" s="28">
        <v>46051</v>
      </c>
      <c r="C5622" s="25">
        <v>2012</v>
      </c>
      <c r="D5622" s="13" t="s">
        <v>2182</v>
      </c>
      <c r="E5622" s="228"/>
      <c r="F5622" s="109" t="s">
        <v>16114</v>
      </c>
      <c r="G5622" s="24"/>
      <c r="H5622" s="230">
        <v>4</v>
      </c>
      <c r="I5622" s="220">
        <v>1078000</v>
      </c>
      <c r="J5622" s="220">
        <f>I5622*0.1</f>
        <v>107800</v>
      </c>
      <c r="K5622" s="220">
        <v>0</v>
      </c>
      <c r="L5622" s="220">
        <v>5990</v>
      </c>
      <c r="M5622" s="220">
        <v>22000</v>
      </c>
      <c r="N5622" s="220">
        <f>SUM(I5622:M5623)</f>
        <v>1213790</v>
      </c>
      <c r="O5622" s="224"/>
      <c r="P5622" s="110" t="s">
        <v>16595</v>
      </c>
      <c r="Q5622" s="15" t="s">
        <v>19</v>
      </c>
      <c r="R5622" s="205"/>
      <c r="S5622" s="189" t="s">
        <v>25461</v>
      </c>
      <c r="T5622" s="114"/>
      <c r="U5622" s="21"/>
      <c r="V5622" s="115">
        <v>46057</v>
      </c>
      <c r="W5622" s="116">
        <v>1003</v>
      </c>
      <c r="X5622" s="220">
        <v>1155000</v>
      </c>
      <c r="Y5622" s="220">
        <f>X5622*0.1</f>
        <v>115500</v>
      </c>
      <c r="Z5622" s="220">
        <v>5990</v>
      </c>
      <c r="AA5622" s="220">
        <f>SUM(X5622:Z5622)</f>
        <v>1276490</v>
      </c>
      <c r="AB5622" s="222">
        <v>46063</v>
      </c>
    </row>
    <row r="5623" spans="1:28" ht="17.100000000000001" customHeight="1" thickBot="1">
      <c r="A5623" s="227"/>
      <c r="B5623" s="27" t="s">
        <v>2171</v>
      </c>
      <c r="C5623" s="27">
        <v>50173</v>
      </c>
      <c r="D5623" s="14" t="s">
        <v>2014</v>
      </c>
      <c r="E5623" s="229"/>
      <c r="F5623" s="117" t="s">
        <v>16103</v>
      </c>
      <c r="G5623" s="26">
        <v>46917</v>
      </c>
      <c r="H5623" s="231"/>
      <c r="I5623" s="221"/>
      <c r="J5623" s="221"/>
      <c r="K5623" s="221"/>
      <c r="L5623" s="221"/>
      <c r="M5623" s="221"/>
      <c r="N5623" s="221"/>
      <c r="O5623" s="225"/>
      <c r="P5623" s="118" t="s">
        <v>16562</v>
      </c>
      <c r="Q5623" s="16" t="s">
        <v>20</v>
      </c>
      <c r="R5623" s="17" t="s">
        <v>3494</v>
      </c>
      <c r="S5623" s="121" t="s">
        <v>1661</v>
      </c>
      <c r="T5623" s="122"/>
      <c r="U5623" s="22"/>
      <c r="V5623" s="123" t="s">
        <v>2747</v>
      </c>
      <c r="W5623" s="122">
        <v>5051</v>
      </c>
      <c r="X5623" s="221"/>
      <c r="Y5623" s="221"/>
      <c r="Z5623" s="221"/>
      <c r="AA5623" s="221"/>
      <c r="AB5623" s="223"/>
    </row>
    <row r="5624" spans="1:28" ht="17.100000000000001" customHeight="1" thickTop="1">
      <c r="A5624" s="226" t="s">
        <v>16092</v>
      </c>
      <c r="B5624" s="28">
        <v>46051</v>
      </c>
      <c r="C5624" s="25">
        <v>2012</v>
      </c>
      <c r="D5624" s="13" t="s">
        <v>1542</v>
      </c>
      <c r="E5624" s="228"/>
      <c r="F5624" s="109" t="s">
        <v>10054</v>
      </c>
      <c r="G5624" s="24" t="s">
        <v>4239</v>
      </c>
      <c r="H5624" s="230">
        <v>4</v>
      </c>
      <c r="I5624" s="220">
        <v>1415000</v>
      </c>
      <c r="J5624" s="220">
        <f>I5624*0.1</f>
        <v>141500</v>
      </c>
      <c r="K5624" s="220">
        <v>0</v>
      </c>
      <c r="L5624" s="220">
        <v>7790</v>
      </c>
      <c r="M5624" s="220">
        <v>22000</v>
      </c>
      <c r="N5624" s="220">
        <f>SUM(I5624:M5625)</f>
        <v>1586290</v>
      </c>
      <c r="O5624" s="224"/>
      <c r="P5624" s="110" t="s">
        <v>16115</v>
      </c>
      <c r="Q5624" s="15" t="s">
        <v>19</v>
      </c>
      <c r="R5624" s="205"/>
      <c r="S5624" s="189" t="s">
        <v>1361</v>
      </c>
      <c r="T5624" s="114"/>
      <c r="U5624" s="21" t="s">
        <v>17600</v>
      </c>
      <c r="V5624" s="115">
        <v>46071</v>
      </c>
      <c r="W5624" s="116">
        <v>1005</v>
      </c>
      <c r="X5624" s="220">
        <v>1490000</v>
      </c>
      <c r="Y5624" s="220">
        <f>X5624*0.1</f>
        <v>149000</v>
      </c>
      <c r="Z5624" s="220">
        <v>7790</v>
      </c>
      <c r="AA5624" s="220">
        <f>SUM(X5624:Z5624)</f>
        <v>1646790</v>
      </c>
      <c r="AB5624" s="222">
        <v>46073</v>
      </c>
    </row>
    <row r="5625" spans="1:28" ht="17.100000000000001" customHeight="1" thickBot="1">
      <c r="A5625" s="227"/>
      <c r="B5625" s="27" t="s">
        <v>2171</v>
      </c>
      <c r="C5625" s="27">
        <v>50177</v>
      </c>
      <c r="D5625" s="14" t="s">
        <v>2788</v>
      </c>
      <c r="E5625" s="229"/>
      <c r="F5625" s="117" t="s">
        <v>16104</v>
      </c>
      <c r="G5625" s="26">
        <v>36231</v>
      </c>
      <c r="H5625" s="231"/>
      <c r="I5625" s="221"/>
      <c r="J5625" s="221"/>
      <c r="K5625" s="221"/>
      <c r="L5625" s="221"/>
      <c r="M5625" s="221"/>
      <c r="N5625" s="221"/>
      <c r="O5625" s="225"/>
      <c r="P5625" s="118" t="s">
        <v>16547</v>
      </c>
      <c r="Q5625" s="16" t="s">
        <v>20</v>
      </c>
      <c r="R5625" s="17" t="s">
        <v>3739</v>
      </c>
      <c r="S5625" s="121" t="s">
        <v>169</v>
      </c>
      <c r="T5625" s="122"/>
      <c r="U5625" s="22"/>
      <c r="V5625" s="123" t="s">
        <v>2747</v>
      </c>
      <c r="W5625" s="122">
        <v>2018</v>
      </c>
      <c r="X5625" s="221"/>
      <c r="Y5625" s="221"/>
      <c r="Z5625" s="221"/>
      <c r="AA5625" s="221"/>
      <c r="AB5625" s="223"/>
    </row>
    <row r="5626" spans="1:28" ht="17.100000000000001" customHeight="1" thickTop="1">
      <c r="A5626" s="226" t="s">
        <v>16093</v>
      </c>
      <c r="B5626" s="28">
        <v>46051</v>
      </c>
      <c r="C5626" s="25">
        <v>2012</v>
      </c>
      <c r="D5626" s="13" t="s">
        <v>2355</v>
      </c>
      <c r="E5626" s="228"/>
      <c r="F5626" s="109" t="s">
        <v>16116</v>
      </c>
      <c r="G5626" s="24"/>
      <c r="H5626" s="230">
        <v>3.5</v>
      </c>
      <c r="I5626" s="220">
        <v>403000</v>
      </c>
      <c r="J5626" s="220">
        <f>I5626*0.1</f>
        <v>40300</v>
      </c>
      <c r="K5626" s="220">
        <v>0</v>
      </c>
      <c r="L5626" s="220">
        <v>9210</v>
      </c>
      <c r="M5626" s="220">
        <v>22000</v>
      </c>
      <c r="N5626" s="220">
        <f>SUM(I5626:M5627)</f>
        <v>474510</v>
      </c>
      <c r="O5626" s="224"/>
      <c r="P5626" s="110" t="s">
        <v>17015</v>
      </c>
      <c r="Q5626" s="15" t="s">
        <v>19</v>
      </c>
      <c r="R5626" s="205"/>
      <c r="S5626" s="189" t="s">
        <v>25744</v>
      </c>
      <c r="T5626" s="114"/>
      <c r="U5626" s="21"/>
      <c r="V5626" s="115">
        <v>46064</v>
      </c>
      <c r="W5626" s="116">
        <v>1004</v>
      </c>
      <c r="X5626" s="220">
        <v>450000</v>
      </c>
      <c r="Y5626" s="220">
        <f>X5626*0.1</f>
        <v>45000</v>
      </c>
      <c r="Z5626" s="220">
        <v>9210</v>
      </c>
      <c r="AA5626" s="220">
        <f>SUM(X5626:Z5626)</f>
        <v>504210</v>
      </c>
      <c r="AB5626" s="222">
        <v>46069</v>
      </c>
    </row>
    <row r="5627" spans="1:28" ht="17.100000000000001" customHeight="1" thickBot="1">
      <c r="A5627" s="227"/>
      <c r="B5627" s="27" t="s">
        <v>2171</v>
      </c>
      <c r="C5627" s="27">
        <v>50193</v>
      </c>
      <c r="D5627" s="14" t="s">
        <v>2788</v>
      </c>
      <c r="E5627" s="229"/>
      <c r="F5627" s="117" t="s">
        <v>16105</v>
      </c>
      <c r="G5627" s="26">
        <v>65030</v>
      </c>
      <c r="H5627" s="231"/>
      <c r="I5627" s="221"/>
      <c r="J5627" s="221"/>
      <c r="K5627" s="221"/>
      <c r="L5627" s="221"/>
      <c r="M5627" s="221"/>
      <c r="N5627" s="221"/>
      <c r="O5627" s="225"/>
      <c r="P5627" s="118" t="s">
        <v>17016</v>
      </c>
      <c r="Q5627" s="16" t="s">
        <v>20</v>
      </c>
      <c r="R5627" s="17" t="s">
        <v>1829</v>
      </c>
      <c r="S5627" s="121"/>
      <c r="T5627" s="122"/>
      <c r="U5627" s="22"/>
      <c r="V5627" s="123" t="s">
        <v>2747</v>
      </c>
      <c r="W5627" s="122">
        <v>2019</v>
      </c>
      <c r="X5627" s="221"/>
      <c r="Y5627" s="221"/>
      <c r="Z5627" s="221"/>
      <c r="AA5627" s="221"/>
      <c r="AB5627" s="223"/>
    </row>
    <row r="5628" spans="1:28" ht="17.100000000000001" customHeight="1" thickTop="1">
      <c r="A5628" s="226" t="s">
        <v>16164</v>
      </c>
      <c r="B5628" s="28">
        <v>46052</v>
      </c>
      <c r="C5628" s="25">
        <v>276</v>
      </c>
      <c r="D5628" s="13" t="s">
        <v>853</v>
      </c>
      <c r="E5628" s="228"/>
      <c r="F5628" s="109" t="s">
        <v>9821</v>
      </c>
      <c r="G5628" s="24" t="s">
        <v>3859</v>
      </c>
      <c r="H5628" s="230">
        <v>4.5</v>
      </c>
      <c r="I5628" s="220">
        <v>1379000</v>
      </c>
      <c r="J5628" s="220">
        <f>I5628*0.1</f>
        <v>137900</v>
      </c>
      <c r="K5628" s="220">
        <v>0</v>
      </c>
      <c r="L5628" s="220">
        <v>8740</v>
      </c>
      <c r="M5628" s="220">
        <v>22000</v>
      </c>
      <c r="N5628" s="220">
        <f>SUM(I5628:M5629)</f>
        <v>1547640</v>
      </c>
      <c r="O5628" s="224"/>
      <c r="P5628" s="110" t="s">
        <v>16118</v>
      </c>
      <c r="Q5628" s="15" t="s">
        <v>19</v>
      </c>
      <c r="R5628" s="205"/>
      <c r="S5628" s="189" t="s">
        <v>25619</v>
      </c>
      <c r="T5628" s="114"/>
      <c r="U5628" s="21" t="s">
        <v>16606</v>
      </c>
      <c r="V5628" s="115">
        <v>46056</v>
      </c>
      <c r="W5628" s="116">
        <v>1927</v>
      </c>
      <c r="X5628" s="220">
        <v>1418000</v>
      </c>
      <c r="Y5628" s="220">
        <f>X5628*0.1</f>
        <v>141800</v>
      </c>
      <c r="Z5628" s="220">
        <v>8740</v>
      </c>
      <c r="AA5628" s="220">
        <f>SUM(X5628:Z5628)</f>
        <v>1568540</v>
      </c>
      <c r="AB5628" s="222">
        <v>46063</v>
      </c>
    </row>
    <row r="5629" spans="1:28" ht="17.100000000000001" customHeight="1" thickBot="1">
      <c r="A5629" s="227"/>
      <c r="B5629" s="27" t="s">
        <v>4960</v>
      </c>
      <c r="C5629" s="27">
        <v>73</v>
      </c>
      <c r="D5629" s="14" t="s">
        <v>2559</v>
      </c>
      <c r="E5629" s="229"/>
      <c r="F5629" s="117" t="s">
        <v>16117</v>
      </c>
      <c r="G5629" s="26">
        <v>15624</v>
      </c>
      <c r="H5629" s="231"/>
      <c r="I5629" s="221"/>
      <c r="J5629" s="221"/>
      <c r="K5629" s="221"/>
      <c r="L5629" s="221"/>
      <c r="M5629" s="221"/>
      <c r="N5629" s="221"/>
      <c r="O5629" s="225"/>
      <c r="P5629" s="118" t="s">
        <v>6983</v>
      </c>
      <c r="Q5629" s="16" t="s">
        <v>20</v>
      </c>
      <c r="R5629" s="17" t="s">
        <v>3739</v>
      </c>
      <c r="S5629" s="121"/>
      <c r="T5629" s="122"/>
      <c r="U5629" s="22"/>
      <c r="V5629" s="123" t="s">
        <v>2103</v>
      </c>
      <c r="W5629" s="122">
        <v>3287</v>
      </c>
      <c r="X5629" s="221"/>
      <c r="Y5629" s="221"/>
      <c r="Z5629" s="221"/>
      <c r="AA5629" s="221"/>
      <c r="AB5629" s="223"/>
    </row>
    <row r="5630" spans="1:28" ht="17.100000000000001" customHeight="1" thickTop="1">
      <c r="A5630" s="226" t="s">
        <v>16165</v>
      </c>
      <c r="B5630" s="28">
        <v>46052</v>
      </c>
      <c r="C5630" s="25">
        <v>276</v>
      </c>
      <c r="D5630" s="13" t="s">
        <v>1678</v>
      </c>
      <c r="E5630" s="228"/>
      <c r="F5630" s="109" t="s">
        <v>9009</v>
      </c>
      <c r="G5630" s="24"/>
      <c r="H5630" s="230">
        <v>4.5</v>
      </c>
      <c r="I5630" s="220">
        <v>717000</v>
      </c>
      <c r="J5630" s="220">
        <f>I5630*0.1</f>
        <v>71700</v>
      </c>
      <c r="K5630" s="220">
        <v>0</v>
      </c>
      <c r="L5630" s="220">
        <v>7040</v>
      </c>
      <c r="M5630" s="220">
        <v>22000</v>
      </c>
      <c r="N5630" s="220">
        <f>SUM(I5630:M5631)</f>
        <v>817740</v>
      </c>
      <c r="O5630" s="224"/>
      <c r="P5630" s="110" t="s">
        <v>16508</v>
      </c>
      <c r="Q5630" s="15" t="s">
        <v>19</v>
      </c>
      <c r="R5630" s="205"/>
      <c r="S5630" s="189" t="s">
        <v>1361</v>
      </c>
      <c r="T5630" s="114"/>
      <c r="U5630" s="21"/>
      <c r="V5630" s="115">
        <v>46056</v>
      </c>
      <c r="W5630" s="116">
        <v>1927</v>
      </c>
      <c r="X5630" s="220">
        <v>767000</v>
      </c>
      <c r="Y5630" s="220">
        <f>X5630*0.1</f>
        <v>76700</v>
      </c>
      <c r="Z5630" s="220">
        <v>7040</v>
      </c>
      <c r="AA5630" s="220">
        <f>SUM(X5630:Z5630)</f>
        <v>850740</v>
      </c>
      <c r="AB5630" s="222">
        <v>46063</v>
      </c>
    </row>
    <row r="5631" spans="1:28" ht="17.100000000000001" customHeight="1" thickBot="1">
      <c r="A5631" s="227"/>
      <c r="B5631" s="27" t="s">
        <v>4960</v>
      </c>
      <c r="C5631" s="27">
        <v>103</v>
      </c>
      <c r="D5631" s="14" t="s">
        <v>273</v>
      </c>
      <c r="E5631" s="229"/>
      <c r="F5631" s="117" t="s">
        <v>16119</v>
      </c>
      <c r="G5631" s="26">
        <v>56279</v>
      </c>
      <c r="H5631" s="231"/>
      <c r="I5631" s="221"/>
      <c r="J5631" s="221"/>
      <c r="K5631" s="221"/>
      <c r="L5631" s="221"/>
      <c r="M5631" s="221"/>
      <c r="N5631" s="221"/>
      <c r="O5631" s="225"/>
      <c r="P5631" s="118" t="s">
        <v>1664</v>
      </c>
      <c r="Q5631" s="16" t="s">
        <v>20</v>
      </c>
      <c r="R5631" s="17" t="s">
        <v>3739</v>
      </c>
      <c r="S5631" s="121" t="s">
        <v>169</v>
      </c>
      <c r="T5631" s="122"/>
      <c r="U5631" s="22"/>
      <c r="V5631" s="123" t="s">
        <v>2103</v>
      </c>
      <c r="W5631" s="122">
        <v>3291</v>
      </c>
      <c r="X5631" s="221"/>
      <c r="Y5631" s="221"/>
      <c r="Z5631" s="221"/>
      <c r="AA5631" s="221"/>
      <c r="AB5631" s="223"/>
    </row>
    <row r="5632" spans="1:28" ht="17.100000000000001" customHeight="1" thickTop="1">
      <c r="A5632" s="226" t="s">
        <v>16166</v>
      </c>
      <c r="B5632" s="28">
        <v>46052</v>
      </c>
      <c r="C5632" s="25">
        <v>276</v>
      </c>
      <c r="D5632" s="13" t="s">
        <v>1740</v>
      </c>
      <c r="E5632" s="228"/>
      <c r="F5632" s="109" t="s">
        <v>16120</v>
      </c>
      <c r="G5632" s="24" t="s">
        <v>2530</v>
      </c>
      <c r="H5632" s="230">
        <v>4</v>
      </c>
      <c r="I5632" s="220">
        <v>570000</v>
      </c>
      <c r="J5632" s="220">
        <f>I5632*0.1</f>
        <v>57000</v>
      </c>
      <c r="K5632" s="220">
        <v>0</v>
      </c>
      <c r="L5632" s="220">
        <v>9550</v>
      </c>
      <c r="M5632" s="220">
        <v>22000</v>
      </c>
      <c r="N5632" s="220">
        <f>SUM(I5632:M5633)</f>
        <v>658550</v>
      </c>
      <c r="O5632" s="224"/>
      <c r="P5632" s="110" t="s">
        <v>16122</v>
      </c>
      <c r="Q5632" s="15" t="s">
        <v>19</v>
      </c>
      <c r="R5632" s="205"/>
      <c r="S5632" s="189" t="s">
        <v>25559</v>
      </c>
      <c r="T5632" s="114"/>
      <c r="U5632" s="21" t="s">
        <v>17053</v>
      </c>
      <c r="V5632" s="115">
        <v>46057</v>
      </c>
      <c r="W5632" s="116">
        <v>1003</v>
      </c>
      <c r="X5632" s="220">
        <v>680000</v>
      </c>
      <c r="Y5632" s="220">
        <f>X5632*0.1</f>
        <v>68000</v>
      </c>
      <c r="Z5632" s="220">
        <v>9550</v>
      </c>
      <c r="AA5632" s="220">
        <f>SUM(X5632:Z5632)</f>
        <v>757550</v>
      </c>
      <c r="AB5632" s="222">
        <v>46065</v>
      </c>
    </row>
    <row r="5633" spans="1:28" ht="17.100000000000001" customHeight="1" thickBot="1">
      <c r="A5633" s="227"/>
      <c r="B5633" s="27" t="s">
        <v>4960</v>
      </c>
      <c r="C5633" s="27">
        <v>20074</v>
      </c>
      <c r="D5633" s="14" t="s">
        <v>1797</v>
      </c>
      <c r="E5633" s="229"/>
      <c r="F5633" s="117" t="s">
        <v>16121</v>
      </c>
      <c r="G5633" s="26">
        <v>29123</v>
      </c>
      <c r="H5633" s="231"/>
      <c r="I5633" s="221"/>
      <c r="J5633" s="221"/>
      <c r="K5633" s="221"/>
      <c r="L5633" s="221"/>
      <c r="M5633" s="221"/>
      <c r="N5633" s="221"/>
      <c r="O5633" s="225"/>
      <c r="P5633" s="118" t="s">
        <v>6828</v>
      </c>
      <c r="Q5633" s="16" t="s">
        <v>20</v>
      </c>
      <c r="R5633" s="17" t="s">
        <v>1829</v>
      </c>
      <c r="S5633" s="121" t="s">
        <v>17017</v>
      </c>
      <c r="T5633" s="122"/>
      <c r="U5633" s="22"/>
      <c r="V5633" s="123" t="s">
        <v>8648</v>
      </c>
      <c r="W5633" s="122">
        <v>5068</v>
      </c>
      <c r="X5633" s="221"/>
      <c r="Y5633" s="221"/>
      <c r="Z5633" s="221"/>
      <c r="AA5633" s="221"/>
      <c r="AB5633" s="223"/>
    </row>
    <row r="5634" spans="1:28" ht="17.100000000000001" customHeight="1" thickTop="1">
      <c r="A5634" s="226" t="s">
        <v>16167</v>
      </c>
      <c r="B5634" s="28">
        <v>46052</v>
      </c>
      <c r="C5634" s="25">
        <v>88</v>
      </c>
      <c r="D5634" s="13" t="s">
        <v>3494</v>
      </c>
      <c r="E5634" s="228"/>
      <c r="F5634" s="109" t="s">
        <v>16123</v>
      </c>
      <c r="G5634" s="24" t="s">
        <v>3867</v>
      </c>
      <c r="H5634" s="230">
        <v>4.5</v>
      </c>
      <c r="I5634" s="220">
        <v>1515000</v>
      </c>
      <c r="J5634" s="220">
        <f>I5634*0.1</f>
        <v>151500</v>
      </c>
      <c r="K5634" s="220">
        <v>0</v>
      </c>
      <c r="L5634" s="220">
        <v>8640</v>
      </c>
      <c r="M5634" s="220">
        <v>44000</v>
      </c>
      <c r="N5634" s="220">
        <f>SUM(I5634:M5635)</f>
        <v>1719140</v>
      </c>
      <c r="O5634" s="224"/>
      <c r="P5634" s="110" t="s">
        <v>18170</v>
      </c>
      <c r="Q5634" s="15" t="s">
        <v>19</v>
      </c>
      <c r="R5634" s="205"/>
      <c r="S5634" s="189" t="s">
        <v>25745</v>
      </c>
      <c r="T5634" s="114"/>
      <c r="U5634" s="21" t="s">
        <v>18911</v>
      </c>
      <c r="V5634" s="115">
        <v>46084</v>
      </c>
      <c r="W5634" s="116">
        <v>1931</v>
      </c>
      <c r="X5634" s="220">
        <v>1601000</v>
      </c>
      <c r="Y5634" s="220">
        <f>X5634*0.1</f>
        <v>160100</v>
      </c>
      <c r="Z5634" s="220">
        <v>8640</v>
      </c>
      <c r="AA5634" s="220">
        <f>SUM(X5634:Z5634)</f>
        <v>1769740</v>
      </c>
      <c r="AB5634" s="222">
        <v>46091</v>
      </c>
    </row>
    <row r="5635" spans="1:28" ht="17.100000000000001" customHeight="1" thickBot="1">
      <c r="A5635" s="227"/>
      <c r="B5635" s="27" t="s">
        <v>4468</v>
      </c>
      <c r="C5635" s="27">
        <v>1015</v>
      </c>
      <c r="D5635" s="14" t="s">
        <v>273</v>
      </c>
      <c r="E5635" s="229"/>
      <c r="F5635" s="117" t="s">
        <v>16124</v>
      </c>
      <c r="G5635" s="26">
        <v>41250</v>
      </c>
      <c r="H5635" s="231"/>
      <c r="I5635" s="221"/>
      <c r="J5635" s="221"/>
      <c r="K5635" s="221"/>
      <c r="L5635" s="221"/>
      <c r="M5635" s="221"/>
      <c r="N5635" s="221"/>
      <c r="O5635" s="225"/>
      <c r="P5635" s="118" t="s">
        <v>18171</v>
      </c>
      <c r="Q5635" s="16" t="s">
        <v>20</v>
      </c>
      <c r="R5635" s="17" t="s">
        <v>1869</v>
      </c>
      <c r="S5635" s="121" t="s">
        <v>1597</v>
      </c>
      <c r="T5635" s="122"/>
      <c r="U5635" s="22"/>
      <c r="V5635" s="123" t="s">
        <v>2103</v>
      </c>
      <c r="W5635" s="122">
        <v>3195</v>
      </c>
      <c r="X5635" s="221"/>
      <c r="Y5635" s="221"/>
      <c r="Z5635" s="221"/>
      <c r="AA5635" s="221"/>
      <c r="AB5635" s="223"/>
    </row>
    <row r="5636" spans="1:28" ht="17.100000000000001" customHeight="1" thickTop="1">
      <c r="A5636" s="226" t="s">
        <v>16168</v>
      </c>
      <c r="B5636" s="28">
        <v>46052</v>
      </c>
      <c r="C5636" s="25">
        <v>88</v>
      </c>
      <c r="D5636" s="13" t="s">
        <v>1983</v>
      </c>
      <c r="E5636" s="228"/>
      <c r="F5636" s="109" t="s">
        <v>5122</v>
      </c>
      <c r="G5636" s="24" t="s">
        <v>2038</v>
      </c>
      <c r="H5636" s="230">
        <v>4</v>
      </c>
      <c r="I5636" s="220">
        <v>3070000</v>
      </c>
      <c r="J5636" s="220">
        <f>I5636*0.1</f>
        <v>307000</v>
      </c>
      <c r="K5636" s="220">
        <v>3300</v>
      </c>
      <c r="L5636" s="220">
        <v>12250</v>
      </c>
      <c r="M5636" s="220">
        <v>88000</v>
      </c>
      <c r="N5636" s="220">
        <f>SUM(I5636:M5637)</f>
        <v>3480550</v>
      </c>
      <c r="O5636" s="224"/>
      <c r="P5636" s="110" t="s">
        <v>17854</v>
      </c>
      <c r="Q5636" s="15" t="s">
        <v>19</v>
      </c>
      <c r="R5636" s="205"/>
      <c r="S5636" s="189" t="s">
        <v>25745</v>
      </c>
      <c r="T5636" s="114"/>
      <c r="U5636" s="21"/>
      <c r="V5636" s="115">
        <v>46134</v>
      </c>
      <c r="W5636" s="116">
        <v>1014</v>
      </c>
      <c r="X5636" s="220">
        <v>3055000</v>
      </c>
      <c r="Y5636" s="220">
        <f>X5636*0.1</f>
        <v>305500</v>
      </c>
      <c r="Z5636" s="220">
        <v>12250</v>
      </c>
      <c r="AA5636" s="220">
        <f>SUM(X5636:Z5636)</f>
        <v>3372750</v>
      </c>
      <c r="AB5636" s="222">
        <v>46139</v>
      </c>
    </row>
    <row r="5637" spans="1:28" ht="17.100000000000001" customHeight="1" thickBot="1">
      <c r="A5637" s="227"/>
      <c r="B5637" s="27" t="s">
        <v>4468</v>
      </c>
      <c r="C5637" s="27">
        <v>1026</v>
      </c>
      <c r="D5637" s="14" t="s">
        <v>2559</v>
      </c>
      <c r="E5637" s="229"/>
      <c r="F5637" s="117" t="s">
        <v>16125</v>
      </c>
      <c r="G5637" s="26">
        <v>15528</v>
      </c>
      <c r="H5637" s="231"/>
      <c r="I5637" s="221"/>
      <c r="J5637" s="221"/>
      <c r="K5637" s="221"/>
      <c r="L5637" s="221"/>
      <c r="M5637" s="221"/>
      <c r="N5637" s="221"/>
      <c r="O5637" s="225"/>
      <c r="P5637" s="118" t="s">
        <v>17855</v>
      </c>
      <c r="Q5637" s="16" t="s">
        <v>20</v>
      </c>
      <c r="R5637" s="17" t="s">
        <v>17799</v>
      </c>
      <c r="S5637" s="121" t="s">
        <v>17868</v>
      </c>
      <c r="T5637" s="122"/>
      <c r="U5637" s="22"/>
      <c r="V5637" s="123" t="s">
        <v>23332</v>
      </c>
      <c r="W5637" s="122">
        <v>6043</v>
      </c>
      <c r="X5637" s="221"/>
      <c r="Y5637" s="221"/>
      <c r="Z5637" s="221"/>
      <c r="AA5637" s="221"/>
      <c r="AB5637" s="223"/>
    </row>
    <row r="5638" spans="1:28" ht="17.100000000000001" customHeight="1" thickTop="1">
      <c r="A5638" s="226" t="s">
        <v>16169</v>
      </c>
      <c r="B5638" s="28">
        <v>46052</v>
      </c>
      <c r="C5638" s="25">
        <v>88</v>
      </c>
      <c r="D5638" s="13" t="s">
        <v>2790</v>
      </c>
      <c r="E5638" s="228"/>
      <c r="F5638" s="109" t="s">
        <v>16126</v>
      </c>
      <c r="G5638" s="24" t="s">
        <v>2084</v>
      </c>
      <c r="H5638" s="230">
        <v>4</v>
      </c>
      <c r="I5638" s="220">
        <v>1215000</v>
      </c>
      <c r="J5638" s="220">
        <f>I5638*0.1</f>
        <v>121500</v>
      </c>
      <c r="K5638" s="220">
        <v>0</v>
      </c>
      <c r="L5638" s="220">
        <v>8450</v>
      </c>
      <c r="M5638" s="220">
        <v>44000</v>
      </c>
      <c r="N5638" s="220">
        <f>SUM(I5638:M5639)</f>
        <v>1388950</v>
      </c>
      <c r="O5638" s="224"/>
      <c r="P5638" s="110" t="s">
        <v>17292</v>
      </c>
      <c r="Q5638" s="15" t="s">
        <v>19</v>
      </c>
      <c r="R5638" s="205"/>
      <c r="S5638" s="189" t="s">
        <v>25746</v>
      </c>
      <c r="T5638" s="114"/>
      <c r="U5638" s="21" t="s">
        <v>20466</v>
      </c>
      <c r="V5638" s="115">
        <v>46120</v>
      </c>
      <c r="W5638" s="116">
        <v>1012</v>
      </c>
      <c r="X5638" s="220">
        <v>1195000</v>
      </c>
      <c r="Y5638" s="220">
        <f>X5638*0.1</f>
        <v>119500</v>
      </c>
      <c r="Z5638" s="220">
        <v>8450</v>
      </c>
      <c r="AA5638" s="220">
        <f>SUM(X5638:Z5638)</f>
        <v>1322950</v>
      </c>
      <c r="AB5638" s="222">
        <v>46125</v>
      </c>
    </row>
    <row r="5639" spans="1:28" ht="17.100000000000001" customHeight="1" thickBot="1">
      <c r="A5639" s="227"/>
      <c r="B5639" s="27" t="s">
        <v>4468</v>
      </c>
      <c r="C5639" s="27">
        <v>1034</v>
      </c>
      <c r="D5639" s="14" t="s">
        <v>1710</v>
      </c>
      <c r="E5639" s="229"/>
      <c r="F5639" s="117" t="s">
        <v>16127</v>
      </c>
      <c r="G5639" s="26">
        <v>19971</v>
      </c>
      <c r="H5639" s="231"/>
      <c r="I5639" s="221"/>
      <c r="J5639" s="221"/>
      <c r="K5639" s="221"/>
      <c r="L5639" s="221"/>
      <c r="M5639" s="221"/>
      <c r="N5639" s="221"/>
      <c r="O5639" s="225"/>
      <c r="P5639" s="118" t="s">
        <v>17293</v>
      </c>
      <c r="Q5639" s="16" t="s">
        <v>20</v>
      </c>
      <c r="R5639" s="17" t="s">
        <v>2264</v>
      </c>
      <c r="S5639" s="121" t="s">
        <v>2312</v>
      </c>
      <c r="T5639" s="122"/>
      <c r="U5639" s="22"/>
      <c r="V5639" s="123" t="s">
        <v>2747</v>
      </c>
      <c r="W5639" s="122">
        <v>2061</v>
      </c>
      <c r="X5639" s="221"/>
      <c r="Y5639" s="221"/>
      <c r="Z5639" s="221"/>
      <c r="AA5639" s="221"/>
      <c r="AB5639" s="223"/>
    </row>
    <row r="5640" spans="1:28" ht="17.100000000000001" customHeight="1" thickTop="1">
      <c r="A5640" s="226" t="s">
        <v>16170</v>
      </c>
      <c r="B5640" s="28">
        <v>46052</v>
      </c>
      <c r="C5640" s="25">
        <v>88</v>
      </c>
      <c r="D5640" s="13" t="s">
        <v>2652</v>
      </c>
      <c r="E5640" s="228"/>
      <c r="F5640" s="109" t="s">
        <v>16128</v>
      </c>
      <c r="G5640" s="24" t="s">
        <v>4412</v>
      </c>
      <c r="H5640" s="230">
        <v>4</v>
      </c>
      <c r="I5640" s="220">
        <v>3270000</v>
      </c>
      <c r="J5640" s="220">
        <f>I5640*0.1</f>
        <v>327000</v>
      </c>
      <c r="K5640" s="220">
        <f>2500+250</f>
        <v>2750</v>
      </c>
      <c r="L5640" s="220">
        <v>12310</v>
      </c>
      <c r="M5640" s="220">
        <v>88000</v>
      </c>
      <c r="N5640" s="220">
        <f>SUM(I5640:M5641)</f>
        <v>3700060</v>
      </c>
      <c r="O5640" s="224"/>
      <c r="P5640" s="110" t="s">
        <v>16589</v>
      </c>
      <c r="Q5640" s="15" t="s">
        <v>19</v>
      </c>
      <c r="R5640" s="205"/>
      <c r="S5640" s="189" t="s">
        <v>25745</v>
      </c>
      <c r="T5640" s="114"/>
      <c r="U5640" s="21"/>
      <c r="V5640" s="115">
        <v>46074</v>
      </c>
      <c r="W5640" s="116">
        <v>1289</v>
      </c>
      <c r="X5640" s="220">
        <v>3365000</v>
      </c>
      <c r="Y5640" s="220">
        <f>X5640*0.1</f>
        <v>336500</v>
      </c>
      <c r="Z5640" s="220">
        <v>12310</v>
      </c>
      <c r="AA5640" s="220">
        <f>SUM(X5640:Z5640)</f>
        <v>3713810</v>
      </c>
      <c r="AB5640" s="222">
        <v>46077</v>
      </c>
    </row>
    <row r="5641" spans="1:28" ht="17.100000000000001" customHeight="1" thickBot="1">
      <c r="A5641" s="227"/>
      <c r="B5641" s="27" t="s">
        <v>4468</v>
      </c>
      <c r="C5641" s="27">
        <v>1065</v>
      </c>
      <c r="D5641" s="14" t="s">
        <v>7144</v>
      </c>
      <c r="E5641" s="229"/>
      <c r="F5641" s="117" t="s">
        <v>16129</v>
      </c>
      <c r="G5641" s="26">
        <v>19766</v>
      </c>
      <c r="H5641" s="231"/>
      <c r="I5641" s="221"/>
      <c r="J5641" s="221"/>
      <c r="K5641" s="221"/>
      <c r="L5641" s="221"/>
      <c r="M5641" s="221"/>
      <c r="N5641" s="221"/>
      <c r="O5641" s="225"/>
      <c r="P5641" s="118" t="s">
        <v>16590</v>
      </c>
      <c r="Q5641" s="16" t="s">
        <v>20</v>
      </c>
      <c r="R5641" s="17" t="s">
        <v>3494</v>
      </c>
      <c r="S5641" s="121" t="s">
        <v>1731</v>
      </c>
      <c r="T5641" s="122"/>
      <c r="U5641" s="22"/>
      <c r="V5641" s="123" t="s">
        <v>2472</v>
      </c>
      <c r="W5641" s="122">
        <v>35853</v>
      </c>
      <c r="X5641" s="221"/>
      <c r="Y5641" s="221"/>
      <c r="Z5641" s="221"/>
      <c r="AA5641" s="221"/>
      <c r="AB5641" s="223"/>
    </row>
    <row r="5642" spans="1:28" ht="17.100000000000001" customHeight="1" thickTop="1">
      <c r="A5642" s="226" t="s">
        <v>16171</v>
      </c>
      <c r="B5642" s="28">
        <v>46052</v>
      </c>
      <c r="C5642" s="25"/>
      <c r="D5642" s="13" t="s">
        <v>1666</v>
      </c>
      <c r="E5642" s="228"/>
      <c r="F5642" s="109" t="s">
        <v>4145</v>
      </c>
      <c r="G5642" s="24" t="s">
        <v>15180</v>
      </c>
      <c r="H5642" s="232" t="s">
        <v>1705</v>
      </c>
      <c r="I5642" s="220">
        <f>141900/1.1</f>
        <v>128999.99999999999</v>
      </c>
      <c r="J5642" s="220">
        <f>I5642*0.1</f>
        <v>12900</v>
      </c>
      <c r="K5642" s="220">
        <v>0</v>
      </c>
      <c r="L5642" s="220">
        <v>8460</v>
      </c>
      <c r="M5642" s="220">
        <v>0</v>
      </c>
      <c r="N5642" s="220">
        <f>SUM(I5642:M5643)</f>
        <v>150360</v>
      </c>
      <c r="O5642" s="224"/>
      <c r="P5642" s="110" t="s">
        <v>17333</v>
      </c>
      <c r="Q5642" s="15" t="s">
        <v>19</v>
      </c>
      <c r="R5642" s="205"/>
      <c r="S5642" s="189" t="s">
        <v>25747</v>
      </c>
      <c r="T5642" s="114"/>
      <c r="U5642" s="21"/>
      <c r="V5642" s="115">
        <v>46074</v>
      </c>
      <c r="W5642" s="116">
        <v>1289</v>
      </c>
      <c r="X5642" s="220">
        <v>240000</v>
      </c>
      <c r="Y5642" s="220">
        <f>X5642*0.1</f>
        <v>24000</v>
      </c>
      <c r="Z5642" s="220">
        <v>8460</v>
      </c>
      <c r="AA5642" s="220">
        <f>SUM(X5642:Z5642)</f>
        <v>272460</v>
      </c>
      <c r="AB5642" s="222">
        <v>46079</v>
      </c>
    </row>
    <row r="5643" spans="1:28" ht="17.100000000000001" customHeight="1" thickBot="1">
      <c r="A5643" s="227"/>
      <c r="B5643" s="27" t="s">
        <v>1708</v>
      </c>
      <c r="C5643" s="27" t="s">
        <v>16130</v>
      </c>
      <c r="D5643" s="14" t="s">
        <v>1568</v>
      </c>
      <c r="E5643" s="229"/>
      <c r="F5643" s="117" t="s">
        <v>16131</v>
      </c>
      <c r="G5643" s="26">
        <v>45214</v>
      </c>
      <c r="H5643" s="231"/>
      <c r="I5643" s="221"/>
      <c r="J5643" s="221"/>
      <c r="K5643" s="221"/>
      <c r="L5643" s="221"/>
      <c r="M5643" s="221"/>
      <c r="N5643" s="221"/>
      <c r="O5643" s="225"/>
      <c r="P5643" s="118" t="s">
        <v>17334</v>
      </c>
      <c r="Q5643" s="16" t="s">
        <v>20</v>
      </c>
      <c r="R5643" s="17" t="s">
        <v>3521</v>
      </c>
      <c r="S5643" s="121" t="s">
        <v>17597</v>
      </c>
      <c r="T5643" s="122"/>
      <c r="U5643" s="22"/>
      <c r="V5643" s="123" t="s">
        <v>2472</v>
      </c>
      <c r="W5643" s="122">
        <v>65126</v>
      </c>
      <c r="X5643" s="221"/>
      <c r="Y5643" s="221"/>
      <c r="Z5643" s="221"/>
      <c r="AA5643" s="221"/>
      <c r="AB5643" s="223"/>
    </row>
    <row r="5644" spans="1:28" ht="17.100000000000001" customHeight="1" thickTop="1">
      <c r="A5644" s="226" t="s">
        <v>16172</v>
      </c>
      <c r="B5644" s="28">
        <v>46052</v>
      </c>
      <c r="C5644" s="25"/>
      <c r="D5644" s="13" t="s">
        <v>1589</v>
      </c>
      <c r="E5644" s="228"/>
      <c r="F5644" s="109" t="s">
        <v>16154</v>
      </c>
      <c r="G5644" s="24" t="s">
        <v>16155</v>
      </c>
      <c r="H5644" s="230">
        <v>4</v>
      </c>
      <c r="I5644" s="220">
        <f>570900/1.1</f>
        <v>518999.99999999994</v>
      </c>
      <c r="J5644" s="220">
        <f>I5644*0.1</f>
        <v>51900</v>
      </c>
      <c r="K5644" s="220">
        <v>0</v>
      </c>
      <c r="L5644" s="220">
        <v>8230</v>
      </c>
      <c r="M5644" s="220">
        <v>0</v>
      </c>
      <c r="N5644" s="220">
        <f>SUM(I5644:M5645)</f>
        <v>579130</v>
      </c>
      <c r="O5644" s="224"/>
      <c r="P5644" s="110" t="s">
        <v>20418</v>
      </c>
      <c r="Q5644" s="15" t="s">
        <v>19</v>
      </c>
      <c r="R5644" s="205"/>
      <c r="S5644" s="189" t="s">
        <v>1361</v>
      </c>
      <c r="T5644" s="114"/>
      <c r="U5644" s="21"/>
      <c r="V5644" s="115">
        <v>46109</v>
      </c>
      <c r="W5644" s="116">
        <v>1294</v>
      </c>
      <c r="X5644" s="220">
        <v>650000</v>
      </c>
      <c r="Y5644" s="220">
        <f>X5644*0.1</f>
        <v>65000</v>
      </c>
      <c r="Z5644" s="220">
        <v>8230</v>
      </c>
      <c r="AA5644" s="220">
        <f>SUM(X5644:Z5644)</f>
        <v>723230</v>
      </c>
      <c r="AB5644" s="222">
        <v>46112</v>
      </c>
    </row>
    <row r="5645" spans="1:28" ht="17.100000000000001" customHeight="1" thickBot="1">
      <c r="A5645" s="227"/>
      <c r="B5645" s="27" t="s">
        <v>1708</v>
      </c>
      <c r="C5645" s="27" t="s">
        <v>16133</v>
      </c>
      <c r="D5645" s="14" t="s">
        <v>1568</v>
      </c>
      <c r="E5645" s="229"/>
      <c r="F5645" s="117" t="s">
        <v>16134</v>
      </c>
      <c r="G5645" s="26">
        <v>56159</v>
      </c>
      <c r="H5645" s="231"/>
      <c r="I5645" s="221"/>
      <c r="J5645" s="221"/>
      <c r="K5645" s="221"/>
      <c r="L5645" s="221"/>
      <c r="M5645" s="221"/>
      <c r="N5645" s="221"/>
      <c r="O5645" s="225"/>
      <c r="P5645" s="118" t="s">
        <v>20419</v>
      </c>
      <c r="Q5645" s="16" t="s">
        <v>20</v>
      </c>
      <c r="R5645" s="17" t="s">
        <v>20397</v>
      </c>
      <c r="S5645" s="121" t="s">
        <v>9675</v>
      </c>
      <c r="T5645" s="122"/>
      <c r="U5645" s="22"/>
      <c r="V5645" s="123" t="s">
        <v>2472</v>
      </c>
      <c r="W5645" s="122">
        <v>65583</v>
      </c>
      <c r="X5645" s="221"/>
      <c r="Y5645" s="221"/>
      <c r="Z5645" s="221"/>
      <c r="AA5645" s="221"/>
      <c r="AB5645" s="223"/>
    </row>
    <row r="5646" spans="1:28" ht="17.100000000000001" customHeight="1" thickTop="1">
      <c r="A5646" s="226" t="s">
        <v>16173</v>
      </c>
      <c r="B5646" s="28">
        <v>46052</v>
      </c>
      <c r="C5646" s="25"/>
      <c r="D5646" s="13" t="s">
        <v>2866</v>
      </c>
      <c r="E5646" s="228"/>
      <c r="F5646" s="109" t="s">
        <v>16153</v>
      </c>
      <c r="G5646" s="24" t="s">
        <v>10108</v>
      </c>
      <c r="H5646" s="230">
        <v>4.5</v>
      </c>
      <c r="I5646" s="220">
        <f>1606000/1.1</f>
        <v>1459999.9999999998</v>
      </c>
      <c r="J5646" s="220">
        <f>I5646*0.1</f>
        <v>145999.99999999997</v>
      </c>
      <c r="K5646" s="220">
        <v>0</v>
      </c>
      <c r="L5646" s="220">
        <v>11050</v>
      </c>
      <c r="M5646" s="220">
        <v>0</v>
      </c>
      <c r="N5646" s="220">
        <f>SUM(I5646:M5647)</f>
        <v>1617049.9999999998</v>
      </c>
      <c r="O5646" s="224"/>
      <c r="P5646" s="110" t="s">
        <v>19797</v>
      </c>
      <c r="Q5646" s="15" t="s">
        <v>19</v>
      </c>
      <c r="R5646" s="205"/>
      <c r="S5646" s="189" t="s">
        <v>1271</v>
      </c>
      <c r="T5646" s="114"/>
      <c r="U5646" s="21"/>
      <c r="V5646" s="115">
        <v>46102</v>
      </c>
      <c r="W5646" s="116">
        <v>1293</v>
      </c>
      <c r="X5646" s="220">
        <v>1565000</v>
      </c>
      <c r="Y5646" s="220">
        <f>X5646*0.1</f>
        <v>156500</v>
      </c>
      <c r="Z5646" s="220">
        <v>11050</v>
      </c>
      <c r="AA5646" s="220">
        <f>SUM(X5646:Z5646)</f>
        <v>1732550</v>
      </c>
      <c r="AB5646" s="222">
        <v>46105</v>
      </c>
    </row>
    <row r="5647" spans="1:28" ht="17.100000000000001" customHeight="1" thickBot="1">
      <c r="A5647" s="227"/>
      <c r="B5647" s="27" t="s">
        <v>1708</v>
      </c>
      <c r="C5647" s="27" t="s">
        <v>16135</v>
      </c>
      <c r="D5647" s="14" t="s">
        <v>1710</v>
      </c>
      <c r="E5647" s="229"/>
      <c r="F5647" s="117" t="s">
        <v>16136</v>
      </c>
      <c r="G5647" s="26">
        <v>32830</v>
      </c>
      <c r="H5647" s="231"/>
      <c r="I5647" s="221"/>
      <c r="J5647" s="221"/>
      <c r="K5647" s="221"/>
      <c r="L5647" s="221"/>
      <c r="M5647" s="221"/>
      <c r="N5647" s="221"/>
      <c r="O5647" s="225"/>
      <c r="P5647" s="118" t="s">
        <v>19798</v>
      </c>
      <c r="Q5647" s="16" t="s">
        <v>20</v>
      </c>
      <c r="R5647" s="17" t="s">
        <v>2657</v>
      </c>
      <c r="S5647" s="121" t="s">
        <v>19799</v>
      </c>
      <c r="T5647" s="122"/>
      <c r="U5647" s="22"/>
      <c r="V5647" s="123" t="s">
        <v>2472</v>
      </c>
      <c r="W5647" s="122">
        <v>37269</v>
      </c>
      <c r="X5647" s="221"/>
      <c r="Y5647" s="221"/>
      <c r="Z5647" s="221"/>
      <c r="AA5647" s="221"/>
      <c r="AB5647" s="223"/>
    </row>
    <row r="5648" spans="1:28" ht="17.100000000000001" customHeight="1" thickTop="1">
      <c r="A5648" s="226" t="s">
        <v>16174</v>
      </c>
      <c r="B5648" s="28">
        <v>46052</v>
      </c>
      <c r="C5648" s="25"/>
      <c r="D5648" s="13" t="s">
        <v>1733</v>
      </c>
      <c r="E5648" s="228"/>
      <c r="F5648" s="109" t="s">
        <v>16157</v>
      </c>
      <c r="G5648" s="24" t="s">
        <v>14550</v>
      </c>
      <c r="H5648" s="230">
        <v>4.5</v>
      </c>
      <c r="I5648" s="220">
        <f>2651000/1.1</f>
        <v>2410000</v>
      </c>
      <c r="J5648" s="220">
        <f>I5648*0.1</f>
        <v>241000</v>
      </c>
      <c r="K5648" s="220">
        <v>0</v>
      </c>
      <c r="L5648" s="220">
        <v>11900</v>
      </c>
      <c r="M5648" s="220">
        <v>0</v>
      </c>
      <c r="N5648" s="220">
        <f>SUM(I5648:M5649)</f>
        <v>2662900</v>
      </c>
      <c r="O5648" s="224"/>
      <c r="P5648" s="110" t="s">
        <v>17374</v>
      </c>
      <c r="Q5648" s="15" t="s">
        <v>19</v>
      </c>
      <c r="R5648" s="205"/>
      <c r="S5648" s="189" t="s">
        <v>1361</v>
      </c>
      <c r="T5648" s="114"/>
      <c r="U5648" s="21"/>
      <c r="V5648" s="115">
        <v>46081</v>
      </c>
      <c r="W5648" s="116">
        <v>1290</v>
      </c>
      <c r="X5648" s="220">
        <v>2420000</v>
      </c>
      <c r="Y5648" s="220">
        <f>X5648*0.1</f>
        <v>242000</v>
      </c>
      <c r="Z5648" s="220">
        <v>11900</v>
      </c>
      <c r="AA5648" s="220">
        <f>SUM(X5648:Z5648)</f>
        <v>2673900</v>
      </c>
      <c r="AB5648" s="222">
        <v>46084</v>
      </c>
    </row>
    <row r="5649" spans="1:28" ht="17.100000000000001" customHeight="1" thickBot="1">
      <c r="A5649" s="227"/>
      <c r="B5649" s="27" t="s">
        <v>1708</v>
      </c>
      <c r="C5649" s="27" t="s">
        <v>16137</v>
      </c>
      <c r="D5649" s="14" t="s">
        <v>898</v>
      </c>
      <c r="E5649" s="229"/>
      <c r="F5649" s="117" t="s">
        <v>16138</v>
      </c>
      <c r="G5649" s="26">
        <v>50381</v>
      </c>
      <c r="H5649" s="231"/>
      <c r="I5649" s="221"/>
      <c r="J5649" s="221"/>
      <c r="K5649" s="221"/>
      <c r="L5649" s="221"/>
      <c r="M5649" s="221"/>
      <c r="N5649" s="221"/>
      <c r="O5649" s="225"/>
      <c r="P5649" s="118" t="s">
        <v>17375</v>
      </c>
      <c r="Q5649" s="16" t="s">
        <v>20</v>
      </c>
      <c r="R5649" s="17" t="s">
        <v>17360</v>
      </c>
      <c r="S5649" s="121" t="s">
        <v>1731</v>
      </c>
      <c r="T5649" s="122"/>
      <c r="U5649" s="22"/>
      <c r="V5649" s="123" t="s">
        <v>2472</v>
      </c>
      <c r="W5649" s="122">
        <v>31181</v>
      </c>
      <c r="X5649" s="221"/>
      <c r="Y5649" s="221"/>
      <c r="Z5649" s="221"/>
      <c r="AA5649" s="221"/>
      <c r="AB5649" s="223"/>
    </row>
    <row r="5650" spans="1:28" ht="17.100000000000001" customHeight="1" thickTop="1">
      <c r="A5650" s="226" t="s">
        <v>16175</v>
      </c>
      <c r="B5650" s="28">
        <v>46052</v>
      </c>
      <c r="C5650" s="25"/>
      <c r="D5650" s="13" t="s">
        <v>1598</v>
      </c>
      <c r="E5650" s="228"/>
      <c r="F5650" s="109" t="s">
        <v>14524</v>
      </c>
      <c r="G5650" s="24" t="s">
        <v>5115</v>
      </c>
      <c r="H5650" s="230">
        <v>4.5</v>
      </c>
      <c r="I5650" s="220">
        <f>1199000/1.1</f>
        <v>1090000</v>
      </c>
      <c r="J5650" s="220">
        <f>I5650*0.1</f>
        <v>109000</v>
      </c>
      <c r="K5650" s="220">
        <v>3700</v>
      </c>
      <c r="L5650" s="220">
        <v>11330</v>
      </c>
      <c r="M5650" s="220">
        <v>0</v>
      </c>
      <c r="N5650" s="220">
        <f>SUM(I5650:M5651)</f>
        <v>1214030</v>
      </c>
      <c r="O5650" s="224"/>
      <c r="P5650" s="110" t="s">
        <v>17118</v>
      </c>
      <c r="Q5650" s="15" t="s">
        <v>19</v>
      </c>
      <c r="R5650" s="205"/>
      <c r="S5650" s="189" t="s">
        <v>1312</v>
      </c>
      <c r="T5650" s="114"/>
      <c r="U5650" s="21"/>
      <c r="V5650" s="115">
        <v>46071</v>
      </c>
      <c r="W5650" s="116">
        <v>1005</v>
      </c>
      <c r="X5650" s="220">
        <v>1150000</v>
      </c>
      <c r="Y5650" s="220">
        <f>X5650*0.1</f>
        <v>115000</v>
      </c>
      <c r="Z5650" s="220">
        <v>11330</v>
      </c>
      <c r="AA5650" s="220">
        <f>SUM(X5650:Z5650)</f>
        <v>1276330</v>
      </c>
      <c r="AB5650" s="222">
        <v>46073</v>
      </c>
    </row>
    <row r="5651" spans="1:28" ht="17.100000000000001" customHeight="1" thickBot="1">
      <c r="A5651" s="227"/>
      <c r="B5651" s="27" t="s">
        <v>1708</v>
      </c>
      <c r="C5651" s="27" t="s">
        <v>16139</v>
      </c>
      <c r="D5651" s="14" t="s">
        <v>7144</v>
      </c>
      <c r="E5651" s="229"/>
      <c r="F5651" s="117" t="s">
        <v>16140</v>
      </c>
      <c r="G5651" s="26">
        <v>48202</v>
      </c>
      <c r="H5651" s="231"/>
      <c r="I5651" s="221"/>
      <c r="J5651" s="221"/>
      <c r="K5651" s="221"/>
      <c r="L5651" s="221"/>
      <c r="M5651" s="221"/>
      <c r="N5651" s="221"/>
      <c r="O5651" s="225"/>
      <c r="P5651" s="118" t="s">
        <v>17119</v>
      </c>
      <c r="Q5651" s="16" t="s">
        <v>20</v>
      </c>
      <c r="R5651" s="17" t="s">
        <v>2158</v>
      </c>
      <c r="S5651" s="121" t="s">
        <v>7898</v>
      </c>
      <c r="T5651" s="122"/>
      <c r="U5651" s="22"/>
      <c r="V5651" s="123" t="s">
        <v>2747</v>
      </c>
      <c r="W5651" s="122">
        <v>1106</v>
      </c>
      <c r="X5651" s="221"/>
      <c r="Y5651" s="221"/>
      <c r="Z5651" s="221"/>
      <c r="AA5651" s="221"/>
      <c r="AB5651" s="223"/>
    </row>
    <row r="5652" spans="1:28" ht="17.100000000000001" customHeight="1" thickTop="1">
      <c r="A5652" s="226" t="s">
        <v>16176</v>
      </c>
      <c r="B5652" s="28">
        <v>46052</v>
      </c>
      <c r="C5652" s="25"/>
      <c r="D5652" s="13" t="s">
        <v>2094</v>
      </c>
      <c r="E5652" s="228"/>
      <c r="F5652" s="109" t="s">
        <v>9821</v>
      </c>
      <c r="G5652" s="24" t="s">
        <v>16152</v>
      </c>
      <c r="H5652" s="230">
        <v>4</v>
      </c>
      <c r="I5652" s="220">
        <f>1754500/1.1</f>
        <v>1594999.9999999998</v>
      </c>
      <c r="J5652" s="220">
        <f>I5652*0.1</f>
        <v>159500</v>
      </c>
      <c r="K5652" s="220">
        <v>0</v>
      </c>
      <c r="L5652" s="220">
        <v>7230</v>
      </c>
      <c r="M5652" s="220">
        <v>0</v>
      </c>
      <c r="N5652" s="220">
        <f>SUM(I5652:M5653)</f>
        <v>1761729.9999999998</v>
      </c>
      <c r="O5652" s="224"/>
      <c r="P5652" s="110" t="s">
        <v>17552</v>
      </c>
      <c r="Q5652" s="15" t="s">
        <v>19</v>
      </c>
      <c r="R5652" s="205"/>
      <c r="S5652" s="189" t="s">
        <v>1276</v>
      </c>
      <c r="T5652" s="114"/>
      <c r="U5652" s="21"/>
      <c r="V5652" s="115">
        <v>46078</v>
      </c>
      <c r="W5652" s="116">
        <v>1006</v>
      </c>
      <c r="X5652" s="220">
        <v>1600000</v>
      </c>
      <c r="Y5652" s="220">
        <f>X5652*0.1</f>
        <v>160000</v>
      </c>
      <c r="Z5652" s="220">
        <v>7230</v>
      </c>
      <c r="AA5652" s="220">
        <f>SUM(X5652:Z5652)</f>
        <v>1767230</v>
      </c>
      <c r="AB5652" s="222">
        <v>46083</v>
      </c>
    </row>
    <row r="5653" spans="1:28" ht="17.100000000000001" customHeight="1" thickBot="1">
      <c r="A5653" s="227"/>
      <c r="B5653" s="27" t="s">
        <v>1708</v>
      </c>
      <c r="C5653" s="27" t="s">
        <v>16141</v>
      </c>
      <c r="D5653" s="14" t="s">
        <v>273</v>
      </c>
      <c r="E5653" s="229"/>
      <c r="F5653" s="117" t="s">
        <v>16142</v>
      </c>
      <c r="G5653" s="26">
        <v>3079</v>
      </c>
      <c r="H5653" s="231"/>
      <c r="I5653" s="221"/>
      <c r="J5653" s="221"/>
      <c r="K5653" s="221"/>
      <c r="L5653" s="221"/>
      <c r="M5653" s="221"/>
      <c r="N5653" s="221"/>
      <c r="O5653" s="225"/>
      <c r="P5653" s="118" t="s">
        <v>17553</v>
      </c>
      <c r="Q5653" s="16" t="s">
        <v>20</v>
      </c>
      <c r="R5653" s="17" t="s">
        <v>2305</v>
      </c>
      <c r="S5653" s="121" t="s">
        <v>4378</v>
      </c>
      <c r="T5653" s="122"/>
      <c r="U5653" s="22"/>
      <c r="V5653" s="123" t="s">
        <v>2747</v>
      </c>
      <c r="W5653" s="122">
        <v>1023</v>
      </c>
      <c r="X5653" s="221"/>
      <c r="Y5653" s="221"/>
      <c r="Z5653" s="221"/>
      <c r="AA5653" s="221"/>
      <c r="AB5653" s="223"/>
    </row>
    <row r="5654" spans="1:28" ht="17.100000000000001" customHeight="1" thickTop="1">
      <c r="A5654" s="226" t="s">
        <v>16177</v>
      </c>
      <c r="B5654" s="28">
        <v>46052</v>
      </c>
      <c r="C5654" s="25"/>
      <c r="D5654" s="13" t="s">
        <v>2010</v>
      </c>
      <c r="E5654" s="228"/>
      <c r="F5654" s="109" t="s">
        <v>16151</v>
      </c>
      <c r="G5654" s="24" t="s">
        <v>3482</v>
      </c>
      <c r="H5654" s="230">
        <v>4.5</v>
      </c>
      <c r="I5654" s="220">
        <f>2805000/1.1</f>
        <v>2550000</v>
      </c>
      <c r="J5654" s="220">
        <f>I5654*0.1</f>
        <v>255000</v>
      </c>
      <c r="K5654" s="220">
        <v>0</v>
      </c>
      <c r="L5654" s="220">
        <v>15890</v>
      </c>
      <c r="M5654" s="220">
        <v>0</v>
      </c>
      <c r="N5654" s="220">
        <f>SUM(I5654:M5655)</f>
        <v>2820890</v>
      </c>
      <c r="O5654" s="224"/>
      <c r="P5654" s="110" t="s">
        <v>17124</v>
      </c>
      <c r="Q5654" s="15" t="s">
        <v>19</v>
      </c>
      <c r="R5654" s="205"/>
      <c r="S5654" s="189" t="s">
        <v>1361</v>
      </c>
      <c r="T5654" s="114"/>
      <c r="U5654" s="21"/>
      <c r="V5654" s="115">
        <v>46074</v>
      </c>
      <c r="W5654" s="116">
        <v>1289</v>
      </c>
      <c r="X5654" s="220">
        <v>2555000</v>
      </c>
      <c r="Y5654" s="220">
        <f>X5654*0.1</f>
        <v>255500</v>
      </c>
      <c r="Z5654" s="220">
        <v>15890</v>
      </c>
      <c r="AA5654" s="220">
        <f>SUM(X5654:Z5654)</f>
        <v>2826390</v>
      </c>
      <c r="AB5654" s="222">
        <v>46079</v>
      </c>
    </row>
    <row r="5655" spans="1:28" ht="17.100000000000001" customHeight="1" thickBot="1">
      <c r="A5655" s="227"/>
      <c r="B5655" s="27" t="s">
        <v>1708</v>
      </c>
      <c r="C5655" s="27" t="s">
        <v>16143</v>
      </c>
      <c r="D5655" s="14" t="s">
        <v>2559</v>
      </c>
      <c r="E5655" s="229"/>
      <c r="F5655" s="117" t="s">
        <v>17123</v>
      </c>
      <c r="G5655" s="26">
        <v>31028</v>
      </c>
      <c r="H5655" s="231"/>
      <c r="I5655" s="221"/>
      <c r="J5655" s="221"/>
      <c r="K5655" s="221"/>
      <c r="L5655" s="221"/>
      <c r="M5655" s="221"/>
      <c r="N5655" s="221"/>
      <c r="O5655" s="225"/>
      <c r="P5655" s="118" t="s">
        <v>17125</v>
      </c>
      <c r="Q5655" s="16" t="s">
        <v>20</v>
      </c>
      <c r="R5655" s="17" t="s">
        <v>2158</v>
      </c>
      <c r="S5655" s="121" t="s">
        <v>10516</v>
      </c>
      <c r="T5655" s="122"/>
      <c r="U5655" s="22"/>
      <c r="V5655" s="123" t="s">
        <v>2472</v>
      </c>
      <c r="W5655" s="122">
        <v>35685</v>
      </c>
      <c r="X5655" s="221"/>
      <c r="Y5655" s="221"/>
      <c r="Z5655" s="221"/>
      <c r="AA5655" s="221"/>
      <c r="AB5655" s="223"/>
    </row>
    <row r="5656" spans="1:28" ht="17.100000000000001" customHeight="1" thickTop="1">
      <c r="A5656" s="226" t="s">
        <v>16178</v>
      </c>
      <c r="B5656" s="28">
        <v>46052</v>
      </c>
      <c r="C5656" s="25"/>
      <c r="D5656" s="13" t="s">
        <v>2313</v>
      </c>
      <c r="E5656" s="228"/>
      <c r="F5656" s="109" t="s">
        <v>11673</v>
      </c>
      <c r="G5656" s="24" t="s">
        <v>16156</v>
      </c>
      <c r="H5656" s="230">
        <v>4</v>
      </c>
      <c r="I5656" s="220">
        <f>3828000/1.1</f>
        <v>3479999.9999999995</v>
      </c>
      <c r="J5656" s="220">
        <f>I5656*0.1</f>
        <v>348000</v>
      </c>
      <c r="K5656" s="220">
        <v>4200</v>
      </c>
      <c r="L5656" s="220">
        <v>14140</v>
      </c>
      <c r="M5656" s="220">
        <v>0</v>
      </c>
      <c r="N5656" s="220">
        <f>SUM(I5656:M5657)</f>
        <v>3846339.9999999995</v>
      </c>
      <c r="O5656" s="224"/>
      <c r="P5656" s="110" t="s">
        <v>17363</v>
      </c>
      <c r="Q5656" s="15" t="s">
        <v>19</v>
      </c>
      <c r="R5656" s="205"/>
      <c r="S5656" s="189" t="s">
        <v>1361</v>
      </c>
      <c r="T5656" s="114"/>
      <c r="U5656" s="21"/>
      <c r="V5656" s="115">
        <v>46074</v>
      </c>
      <c r="W5656" s="116">
        <v>1289</v>
      </c>
      <c r="X5656" s="220">
        <v>3300000</v>
      </c>
      <c r="Y5656" s="220">
        <f>X5656*0.1</f>
        <v>330000</v>
      </c>
      <c r="Z5656" s="220">
        <v>14140</v>
      </c>
      <c r="AA5656" s="220">
        <f>SUM(X5656:Z5656)</f>
        <v>3644140</v>
      </c>
      <c r="AB5656" s="222">
        <v>46077</v>
      </c>
    </row>
    <row r="5657" spans="1:28" ht="17.100000000000001" customHeight="1" thickBot="1">
      <c r="A5657" s="227"/>
      <c r="B5657" s="27" t="s">
        <v>1708</v>
      </c>
      <c r="C5657" s="27" t="s">
        <v>16144</v>
      </c>
      <c r="D5657" s="14" t="s">
        <v>273</v>
      </c>
      <c r="E5657" s="229"/>
      <c r="F5657" s="117" t="s">
        <v>16145</v>
      </c>
      <c r="G5657" s="26">
        <v>55361</v>
      </c>
      <c r="H5657" s="231"/>
      <c r="I5657" s="221"/>
      <c r="J5657" s="221"/>
      <c r="K5657" s="221"/>
      <c r="L5657" s="221"/>
      <c r="M5657" s="221"/>
      <c r="N5657" s="221"/>
      <c r="O5657" s="225"/>
      <c r="P5657" s="118" t="s">
        <v>17364</v>
      </c>
      <c r="Q5657" s="16" t="s">
        <v>20</v>
      </c>
      <c r="R5657" s="17" t="s">
        <v>17360</v>
      </c>
      <c r="S5657" s="121" t="s">
        <v>169</v>
      </c>
      <c r="T5657" s="122"/>
      <c r="U5657" s="22"/>
      <c r="V5657" s="123" t="s">
        <v>2472</v>
      </c>
      <c r="W5657" s="122">
        <v>35443</v>
      </c>
      <c r="X5657" s="221"/>
      <c r="Y5657" s="221"/>
      <c r="Z5657" s="221"/>
      <c r="AA5657" s="221"/>
      <c r="AB5657" s="223"/>
    </row>
    <row r="5658" spans="1:28" ht="17.100000000000001" customHeight="1" thickTop="1">
      <c r="A5658" s="226" t="s">
        <v>16179</v>
      </c>
      <c r="B5658" s="28">
        <v>46052</v>
      </c>
      <c r="C5658" s="25"/>
      <c r="D5658" s="13" t="s">
        <v>1829</v>
      </c>
      <c r="E5658" s="228"/>
      <c r="F5658" s="109" t="s">
        <v>16158</v>
      </c>
      <c r="G5658" s="24" t="s">
        <v>11085</v>
      </c>
      <c r="H5658" s="230">
        <v>4.5</v>
      </c>
      <c r="I5658" s="220">
        <f>2282500/1.1</f>
        <v>2074999.9999999998</v>
      </c>
      <c r="J5658" s="220">
        <f>I5658*0.1</f>
        <v>207500</v>
      </c>
      <c r="K5658" s="220">
        <v>0</v>
      </c>
      <c r="L5658" s="220">
        <v>7790</v>
      </c>
      <c r="M5658" s="220">
        <v>0</v>
      </c>
      <c r="N5658" s="220">
        <f>SUM(I5658:M5659)</f>
        <v>2290290</v>
      </c>
      <c r="O5658" s="224"/>
      <c r="P5658" s="110" t="s">
        <v>17230</v>
      </c>
      <c r="Q5658" s="15" t="s">
        <v>19</v>
      </c>
      <c r="R5658" s="205"/>
      <c r="S5658" s="189" t="s">
        <v>1361</v>
      </c>
      <c r="T5658" s="114"/>
      <c r="U5658" s="21"/>
      <c r="V5658" s="115">
        <v>46077</v>
      </c>
      <c r="W5658" s="116">
        <v>1930</v>
      </c>
      <c r="X5658" s="220">
        <v>2168000</v>
      </c>
      <c r="Y5658" s="220">
        <f>X5658*0.1</f>
        <v>216800</v>
      </c>
      <c r="Z5658" s="220">
        <v>7790</v>
      </c>
      <c r="AA5658" s="220">
        <f>SUM(X5658:Z5658)</f>
        <v>2392590</v>
      </c>
      <c r="AB5658" s="222"/>
    </row>
    <row r="5659" spans="1:28" ht="17.100000000000001" customHeight="1" thickBot="1">
      <c r="A5659" s="227"/>
      <c r="B5659" s="27" t="s">
        <v>1708</v>
      </c>
      <c r="C5659" s="27" t="s">
        <v>16147</v>
      </c>
      <c r="D5659" s="14" t="s">
        <v>1568</v>
      </c>
      <c r="E5659" s="229"/>
      <c r="F5659" s="117" t="s">
        <v>16148</v>
      </c>
      <c r="G5659" s="26">
        <v>29409</v>
      </c>
      <c r="H5659" s="231"/>
      <c r="I5659" s="221"/>
      <c r="J5659" s="221"/>
      <c r="K5659" s="221"/>
      <c r="L5659" s="221"/>
      <c r="M5659" s="221"/>
      <c r="N5659" s="221"/>
      <c r="O5659" s="225"/>
      <c r="P5659" s="118" t="s">
        <v>17231</v>
      </c>
      <c r="Q5659" s="16" t="s">
        <v>20</v>
      </c>
      <c r="R5659" s="17" t="s">
        <v>2264</v>
      </c>
      <c r="S5659" s="121" t="s">
        <v>1731</v>
      </c>
      <c r="T5659" s="122"/>
      <c r="U5659" s="22"/>
      <c r="V5659" s="123" t="s">
        <v>2103</v>
      </c>
      <c r="W5659" s="122">
        <v>3261</v>
      </c>
      <c r="X5659" s="221"/>
      <c r="Y5659" s="221"/>
      <c r="Z5659" s="221"/>
      <c r="AA5659" s="221"/>
      <c r="AB5659" s="223"/>
    </row>
    <row r="5660" spans="1:28" ht="17.100000000000001" customHeight="1" thickTop="1">
      <c r="A5660" s="226" t="s">
        <v>16180</v>
      </c>
      <c r="B5660" s="28">
        <v>46052</v>
      </c>
      <c r="C5660" s="25"/>
      <c r="D5660" s="13" t="s">
        <v>2712</v>
      </c>
      <c r="E5660" s="228"/>
      <c r="F5660" s="109" t="s">
        <v>16159</v>
      </c>
      <c r="G5660" s="24" t="s">
        <v>17020</v>
      </c>
      <c r="H5660" s="230">
        <v>4.5</v>
      </c>
      <c r="I5660" s="220">
        <f>1644500/1.1</f>
        <v>1494999.9999999998</v>
      </c>
      <c r="J5660" s="220">
        <f>I5660*0.1</f>
        <v>149499.99999999997</v>
      </c>
      <c r="K5660" s="220">
        <v>0</v>
      </c>
      <c r="L5660" s="220">
        <v>8390</v>
      </c>
      <c r="M5660" s="220">
        <v>0</v>
      </c>
      <c r="N5660" s="220">
        <f>SUM(I5660:M5661)</f>
        <v>1652889.9999999998</v>
      </c>
      <c r="O5660" s="224"/>
      <c r="P5660" s="110" t="s">
        <v>17021</v>
      </c>
      <c r="Q5660" s="15" t="s">
        <v>19</v>
      </c>
      <c r="R5660" s="205"/>
      <c r="S5660" s="189" t="s">
        <v>1361</v>
      </c>
      <c r="T5660" s="114"/>
      <c r="U5660" s="21"/>
      <c r="V5660" s="115"/>
      <c r="W5660" s="116"/>
      <c r="X5660" s="220"/>
      <c r="Y5660" s="220">
        <f>X5660*0.1</f>
        <v>0</v>
      </c>
      <c r="Z5660" s="220"/>
      <c r="AA5660" s="220">
        <f>SUM(X5660:Z5660)</f>
        <v>0</v>
      </c>
      <c r="AB5660" s="222"/>
    </row>
    <row r="5661" spans="1:28" ht="17.100000000000001" customHeight="1" thickBot="1">
      <c r="A5661" s="227"/>
      <c r="B5661" s="27" t="s">
        <v>1708</v>
      </c>
      <c r="C5661" s="27" t="s">
        <v>16149</v>
      </c>
      <c r="D5661" s="14" t="s">
        <v>2559</v>
      </c>
      <c r="E5661" s="229"/>
      <c r="F5661" s="117" t="s">
        <v>16150</v>
      </c>
      <c r="G5661" s="26">
        <v>45765</v>
      </c>
      <c r="H5661" s="231"/>
      <c r="I5661" s="221"/>
      <c r="J5661" s="221"/>
      <c r="K5661" s="221"/>
      <c r="L5661" s="221"/>
      <c r="M5661" s="221"/>
      <c r="N5661" s="221"/>
      <c r="O5661" s="225"/>
      <c r="P5661" s="118" t="s">
        <v>17022</v>
      </c>
      <c r="Q5661" s="16" t="s">
        <v>20</v>
      </c>
      <c r="R5661" s="17" t="s">
        <v>1829</v>
      </c>
      <c r="S5661" s="121" t="s">
        <v>4413</v>
      </c>
      <c r="T5661" s="122"/>
      <c r="U5661" s="22"/>
      <c r="V5661" s="123"/>
      <c r="W5661" s="122"/>
      <c r="X5661" s="221"/>
      <c r="Y5661" s="221"/>
      <c r="Z5661" s="221"/>
      <c r="AA5661" s="221"/>
      <c r="AB5661" s="223"/>
    </row>
    <row r="5662" spans="1:28" ht="17.100000000000001" customHeight="1" thickTop="1">
      <c r="A5662" s="226" t="s">
        <v>16181</v>
      </c>
      <c r="B5662" s="28">
        <v>46052</v>
      </c>
      <c r="C5662" s="25"/>
      <c r="D5662" s="13" t="s">
        <v>2129</v>
      </c>
      <c r="E5662" s="228"/>
      <c r="F5662" s="109" t="s">
        <v>16188</v>
      </c>
      <c r="G5662" s="24" t="s">
        <v>16189</v>
      </c>
      <c r="H5662" s="230">
        <v>4</v>
      </c>
      <c r="I5662" s="220">
        <f>1166000/1.1</f>
        <v>1060000</v>
      </c>
      <c r="J5662" s="220">
        <f>I5662*0.1</f>
        <v>106000</v>
      </c>
      <c r="K5662" s="220">
        <v>3700</v>
      </c>
      <c r="L5662" s="220">
        <v>16260</v>
      </c>
      <c r="M5662" s="220">
        <v>0</v>
      </c>
      <c r="N5662" s="220">
        <f>SUM(I5662:M5663)</f>
        <v>1185960</v>
      </c>
      <c r="O5662" s="224"/>
      <c r="P5662" s="110" t="s">
        <v>17228</v>
      </c>
      <c r="Q5662" s="15" t="s">
        <v>19</v>
      </c>
      <c r="R5662" s="205"/>
      <c r="S5662" s="189" t="s">
        <v>1361</v>
      </c>
      <c r="T5662" s="114"/>
      <c r="U5662" s="21"/>
      <c r="V5662" s="115">
        <v>46092</v>
      </c>
      <c r="W5662" s="116">
        <v>1008</v>
      </c>
      <c r="X5662" s="220">
        <v>1175000</v>
      </c>
      <c r="Y5662" s="220">
        <f>X5662*0.1</f>
        <v>117500</v>
      </c>
      <c r="Z5662" s="220">
        <v>16260</v>
      </c>
      <c r="AA5662" s="220">
        <f>SUM(X5662:Z5662)</f>
        <v>1308760</v>
      </c>
      <c r="AB5662" s="222">
        <v>46098</v>
      </c>
    </row>
    <row r="5663" spans="1:28" ht="17.100000000000001" customHeight="1" thickBot="1">
      <c r="A5663" s="227"/>
      <c r="B5663" s="27" t="s">
        <v>1708</v>
      </c>
      <c r="C5663" s="27" t="s">
        <v>16183</v>
      </c>
      <c r="D5663" s="14" t="s">
        <v>1584</v>
      </c>
      <c r="E5663" s="229"/>
      <c r="F5663" s="117" t="s">
        <v>16184</v>
      </c>
      <c r="G5663" s="26">
        <v>65139</v>
      </c>
      <c r="H5663" s="231"/>
      <c r="I5663" s="221"/>
      <c r="J5663" s="221"/>
      <c r="K5663" s="221"/>
      <c r="L5663" s="221"/>
      <c r="M5663" s="221"/>
      <c r="N5663" s="221"/>
      <c r="O5663" s="225"/>
      <c r="P5663" s="118" t="s">
        <v>17229</v>
      </c>
      <c r="Q5663" s="16" t="s">
        <v>20</v>
      </c>
      <c r="R5663" s="17" t="s">
        <v>2264</v>
      </c>
      <c r="S5663" s="121" t="s">
        <v>1731</v>
      </c>
      <c r="T5663" s="122"/>
      <c r="U5663" s="22"/>
      <c r="V5663" s="123" t="s">
        <v>19459</v>
      </c>
      <c r="W5663" s="122">
        <v>4030</v>
      </c>
      <c r="X5663" s="221"/>
      <c r="Y5663" s="221"/>
      <c r="Z5663" s="221"/>
      <c r="AA5663" s="221"/>
      <c r="AB5663" s="223"/>
    </row>
    <row r="5664" spans="1:28" ht="17.100000000000001" customHeight="1" thickTop="1">
      <c r="A5664" s="226" t="s">
        <v>16182</v>
      </c>
      <c r="B5664" s="28">
        <v>46052</v>
      </c>
      <c r="C5664" s="25"/>
      <c r="D5664" s="13" t="s">
        <v>3271</v>
      </c>
      <c r="E5664" s="228"/>
      <c r="F5664" s="109" t="s">
        <v>16190</v>
      </c>
      <c r="G5664" s="24" t="s">
        <v>16191</v>
      </c>
      <c r="H5664" s="230">
        <v>6</v>
      </c>
      <c r="I5664" s="220">
        <f>3261500/1.1</f>
        <v>2964999.9999999995</v>
      </c>
      <c r="J5664" s="220">
        <f>I5664*0.1</f>
        <v>296499.99999999994</v>
      </c>
      <c r="K5664" s="220">
        <v>0</v>
      </c>
      <c r="L5664" s="220">
        <v>8780</v>
      </c>
      <c r="M5664" s="220">
        <v>0</v>
      </c>
      <c r="N5664" s="220">
        <f>SUM(I5664:M5665)</f>
        <v>3270279.9999999995</v>
      </c>
      <c r="O5664" s="224"/>
      <c r="P5664" s="110" t="s">
        <v>18055</v>
      </c>
      <c r="Q5664" s="15" t="s">
        <v>19</v>
      </c>
      <c r="R5664" s="205"/>
      <c r="S5664" s="189" t="s">
        <v>1276</v>
      </c>
      <c r="T5664" s="114"/>
      <c r="U5664" s="21" t="s">
        <v>19502</v>
      </c>
      <c r="V5664" s="115"/>
      <c r="W5664" s="116"/>
      <c r="X5664" s="220"/>
      <c r="Y5664" s="220">
        <f>X5664*0.1</f>
        <v>0</v>
      </c>
      <c r="Z5664" s="220"/>
      <c r="AA5664" s="220">
        <f>SUM(X5664:Z5664)</f>
        <v>0</v>
      </c>
      <c r="AB5664" s="222"/>
    </row>
    <row r="5665" spans="1:28" ht="17.100000000000001" customHeight="1" thickBot="1">
      <c r="A5665" s="227"/>
      <c r="B5665" s="27" t="s">
        <v>1708</v>
      </c>
      <c r="C5665" s="27" t="s">
        <v>16185</v>
      </c>
      <c r="D5665" s="14" t="s">
        <v>273</v>
      </c>
      <c r="E5665" s="229"/>
      <c r="F5665" s="117" t="s">
        <v>16186</v>
      </c>
      <c r="G5665" s="26">
        <v>567</v>
      </c>
      <c r="H5665" s="231"/>
      <c r="I5665" s="221"/>
      <c r="J5665" s="221"/>
      <c r="K5665" s="221"/>
      <c r="L5665" s="221"/>
      <c r="M5665" s="221"/>
      <c r="N5665" s="221"/>
      <c r="O5665" s="225"/>
      <c r="P5665" s="118" t="s">
        <v>18056</v>
      </c>
      <c r="Q5665" s="16" t="s">
        <v>20</v>
      </c>
      <c r="R5665" s="17" t="s">
        <v>17949</v>
      </c>
      <c r="S5665" s="121" t="s">
        <v>1606</v>
      </c>
      <c r="T5665" s="122"/>
      <c r="U5665" s="22"/>
      <c r="V5665" s="123"/>
      <c r="W5665" s="122"/>
      <c r="X5665" s="221"/>
      <c r="Y5665" s="221"/>
      <c r="Z5665" s="221"/>
      <c r="AA5665" s="221"/>
      <c r="AB5665" s="223"/>
    </row>
    <row r="5666" spans="1:28" ht="17.100000000000001" customHeight="1" thickTop="1">
      <c r="A5666" s="226" t="s">
        <v>16187</v>
      </c>
      <c r="B5666" s="28">
        <v>46052</v>
      </c>
      <c r="C5666" s="25">
        <v>1191</v>
      </c>
      <c r="D5666" s="13" t="s">
        <v>2712</v>
      </c>
      <c r="E5666" s="228"/>
      <c r="F5666" s="109" t="s">
        <v>4009</v>
      </c>
      <c r="G5666" s="24" t="s">
        <v>16193</v>
      </c>
      <c r="H5666" s="230">
        <v>4.5</v>
      </c>
      <c r="I5666" s="220">
        <v>1265000</v>
      </c>
      <c r="J5666" s="220">
        <f>I5666*0.1</f>
        <v>126500</v>
      </c>
      <c r="K5666" s="220">
        <v>5500</v>
      </c>
      <c r="L5666" s="220">
        <v>16240</v>
      </c>
      <c r="M5666" s="220">
        <v>16500</v>
      </c>
      <c r="N5666" s="220">
        <f>SUM(I5666:M5667)</f>
        <v>1429740</v>
      </c>
      <c r="O5666" s="224"/>
      <c r="P5666" s="110" t="s">
        <v>16194</v>
      </c>
      <c r="Q5666" s="15" t="s">
        <v>19</v>
      </c>
      <c r="R5666" s="205"/>
      <c r="S5666" s="189" t="s">
        <v>1271</v>
      </c>
      <c r="T5666" s="114"/>
      <c r="U5666" s="21"/>
      <c r="V5666" s="115">
        <v>46058</v>
      </c>
      <c r="W5666" s="116">
        <v>1317</v>
      </c>
      <c r="X5666" s="220">
        <v>1365000</v>
      </c>
      <c r="Y5666" s="220">
        <f>X5666*0.1</f>
        <v>136500</v>
      </c>
      <c r="Z5666" s="220">
        <v>16240</v>
      </c>
      <c r="AA5666" s="220">
        <f>SUM(X5666:Z5666)</f>
        <v>1517740</v>
      </c>
      <c r="AB5666" s="222">
        <v>46059</v>
      </c>
    </row>
    <row r="5667" spans="1:28" ht="17.100000000000001" customHeight="1" thickBot="1">
      <c r="A5667" s="227"/>
      <c r="B5667" s="27" t="s">
        <v>1813</v>
      </c>
      <c r="C5667" s="27">
        <v>88125</v>
      </c>
      <c r="D5667" s="14" t="s">
        <v>131</v>
      </c>
      <c r="E5667" s="229"/>
      <c r="F5667" s="117" t="s">
        <v>16192</v>
      </c>
      <c r="G5667" s="26">
        <v>44400</v>
      </c>
      <c r="H5667" s="231"/>
      <c r="I5667" s="221"/>
      <c r="J5667" s="221"/>
      <c r="K5667" s="221"/>
      <c r="L5667" s="221"/>
      <c r="M5667" s="221"/>
      <c r="N5667" s="221"/>
      <c r="O5667" s="225"/>
      <c r="P5667" s="118" t="s">
        <v>16527</v>
      </c>
      <c r="Q5667" s="16" t="s">
        <v>20</v>
      </c>
      <c r="R5667" s="17" t="s">
        <v>3739</v>
      </c>
      <c r="S5667" s="121" t="s">
        <v>1731</v>
      </c>
      <c r="T5667" s="122"/>
      <c r="U5667" s="22"/>
      <c r="V5667" s="123" t="s">
        <v>13379</v>
      </c>
      <c r="W5667" s="122">
        <v>63</v>
      </c>
      <c r="X5667" s="221"/>
      <c r="Y5667" s="221"/>
      <c r="Z5667" s="221"/>
      <c r="AA5667" s="221"/>
      <c r="AB5667" s="223"/>
    </row>
    <row r="5668" spans="1:28" ht="17.100000000000001" customHeight="1" thickTop="1">
      <c r="A5668" s="226" t="s">
        <v>16235</v>
      </c>
      <c r="B5668" s="28">
        <v>46052</v>
      </c>
      <c r="C5668" s="25">
        <v>1404</v>
      </c>
      <c r="D5668" s="13" t="s">
        <v>1754</v>
      </c>
      <c r="E5668" s="228"/>
      <c r="F5668" s="109" t="s">
        <v>7214</v>
      </c>
      <c r="G5668" s="24"/>
      <c r="H5668" s="230">
        <v>4</v>
      </c>
      <c r="I5668" s="220">
        <v>556000</v>
      </c>
      <c r="J5668" s="220">
        <f>I5668*0.1</f>
        <v>55600</v>
      </c>
      <c r="K5668" s="220">
        <v>0</v>
      </c>
      <c r="L5668" s="220">
        <v>8400</v>
      </c>
      <c r="M5668" s="220">
        <v>15400</v>
      </c>
      <c r="N5668" s="220">
        <f>SUM(I5668:M5669)</f>
        <v>635400</v>
      </c>
      <c r="O5668" s="224"/>
      <c r="P5668" s="110" t="s">
        <v>16516</v>
      </c>
      <c r="Q5668" s="15" t="s">
        <v>19</v>
      </c>
      <c r="R5668" s="205"/>
      <c r="S5668" s="189"/>
      <c r="T5668" s="114"/>
      <c r="U5668" s="21"/>
      <c r="V5668" s="115">
        <v>46057</v>
      </c>
      <c r="W5668" s="116">
        <v>1003</v>
      </c>
      <c r="X5668" s="220">
        <v>655000</v>
      </c>
      <c r="Y5668" s="220">
        <f>X5668*0.1</f>
        <v>65500</v>
      </c>
      <c r="Z5668" s="220">
        <v>8400</v>
      </c>
      <c r="AA5668" s="220">
        <f>SUM(X5668:Z5668)</f>
        <v>728900</v>
      </c>
      <c r="AB5668" s="222">
        <v>46062</v>
      </c>
    </row>
    <row r="5669" spans="1:28" ht="17.100000000000001" customHeight="1" thickBot="1">
      <c r="A5669" s="227"/>
      <c r="B5669" s="27" t="s">
        <v>2597</v>
      </c>
      <c r="C5669" s="27">
        <v>1007</v>
      </c>
      <c r="D5669" s="14" t="s">
        <v>1710</v>
      </c>
      <c r="E5669" s="229"/>
      <c r="F5669" s="117" t="s">
        <v>16246</v>
      </c>
      <c r="G5669" s="26">
        <v>59608</v>
      </c>
      <c r="H5669" s="231"/>
      <c r="I5669" s="221"/>
      <c r="J5669" s="221"/>
      <c r="K5669" s="221"/>
      <c r="L5669" s="221"/>
      <c r="M5669" s="221"/>
      <c r="N5669" s="221"/>
      <c r="O5669" s="225"/>
      <c r="P5669" s="118" t="s">
        <v>16517</v>
      </c>
      <c r="Q5669" s="16" t="s">
        <v>20</v>
      </c>
      <c r="R5669" s="17" t="s">
        <v>3739</v>
      </c>
      <c r="S5669" s="121" t="s">
        <v>1661</v>
      </c>
      <c r="T5669" s="122"/>
      <c r="U5669" s="22"/>
      <c r="V5669" s="123" t="s">
        <v>2747</v>
      </c>
      <c r="W5669" s="122">
        <v>5081</v>
      </c>
      <c r="X5669" s="221"/>
      <c r="Y5669" s="221"/>
      <c r="Z5669" s="221"/>
      <c r="AA5669" s="221"/>
      <c r="AB5669" s="223"/>
    </row>
    <row r="5670" spans="1:28" ht="17.100000000000001" customHeight="1" thickTop="1">
      <c r="A5670" s="226" t="s">
        <v>16236</v>
      </c>
      <c r="B5670" s="28">
        <v>46052</v>
      </c>
      <c r="C5670" s="25">
        <v>1404</v>
      </c>
      <c r="D5670" s="13" t="s">
        <v>2033</v>
      </c>
      <c r="E5670" s="228"/>
      <c r="F5670" s="109" t="s">
        <v>16247</v>
      </c>
      <c r="G5670" s="24" t="s">
        <v>7399</v>
      </c>
      <c r="H5670" s="230">
        <v>3.5</v>
      </c>
      <c r="I5670" s="220">
        <v>396000</v>
      </c>
      <c r="J5670" s="220">
        <f>I5670*0.1</f>
        <v>39600</v>
      </c>
      <c r="K5670" s="220">
        <v>0</v>
      </c>
      <c r="L5670" s="220">
        <v>9790</v>
      </c>
      <c r="M5670" s="220">
        <v>15400</v>
      </c>
      <c r="N5670" s="220">
        <f>SUM(I5670:M5671)</f>
        <v>460790</v>
      </c>
      <c r="O5670" s="224"/>
      <c r="P5670" s="110" t="s">
        <v>16504</v>
      </c>
      <c r="Q5670" s="15" t="s">
        <v>19</v>
      </c>
      <c r="R5670" s="205"/>
      <c r="S5670" s="189"/>
      <c r="T5670" s="114"/>
      <c r="U5670" s="21" t="s">
        <v>16596</v>
      </c>
      <c r="V5670" s="115">
        <v>46057</v>
      </c>
      <c r="W5670" s="116">
        <v>1003</v>
      </c>
      <c r="X5670" s="220">
        <v>460000</v>
      </c>
      <c r="Y5670" s="220">
        <f>X5670*0.1</f>
        <v>46000</v>
      </c>
      <c r="Z5670" s="220">
        <v>9790</v>
      </c>
      <c r="AA5670" s="220">
        <f>SUM(X5670:Z5670)</f>
        <v>515790</v>
      </c>
      <c r="AB5670" s="222">
        <v>46063</v>
      </c>
    </row>
    <row r="5671" spans="1:28" ht="17.100000000000001" customHeight="1" thickBot="1">
      <c r="A5671" s="227"/>
      <c r="B5671" s="27" t="s">
        <v>2597</v>
      </c>
      <c r="C5671" s="27">
        <v>2003</v>
      </c>
      <c r="D5671" s="14" t="s">
        <v>273</v>
      </c>
      <c r="E5671" s="229"/>
      <c r="F5671" s="117" t="s">
        <v>16248</v>
      </c>
      <c r="G5671" s="26">
        <v>32684</v>
      </c>
      <c r="H5671" s="231"/>
      <c r="I5671" s="221"/>
      <c r="J5671" s="221"/>
      <c r="K5671" s="221"/>
      <c r="L5671" s="221"/>
      <c r="M5671" s="221"/>
      <c r="N5671" s="221"/>
      <c r="O5671" s="225"/>
      <c r="P5671" s="118" t="s">
        <v>16505</v>
      </c>
      <c r="Q5671" s="16" t="s">
        <v>20</v>
      </c>
      <c r="R5671" s="17" t="s">
        <v>3739</v>
      </c>
      <c r="S5671" s="121"/>
      <c r="T5671" s="122"/>
      <c r="U5671" s="22"/>
      <c r="V5671" s="123" t="s">
        <v>2747</v>
      </c>
      <c r="W5671" s="122">
        <v>5074</v>
      </c>
      <c r="X5671" s="221"/>
      <c r="Y5671" s="221"/>
      <c r="Z5671" s="221"/>
      <c r="AA5671" s="221"/>
      <c r="AB5671" s="223"/>
    </row>
    <row r="5672" spans="1:28" ht="17.100000000000001" customHeight="1" thickTop="1">
      <c r="A5672" s="226" t="s">
        <v>16237</v>
      </c>
      <c r="B5672" s="28">
        <v>46052</v>
      </c>
      <c r="C5672" s="25">
        <v>1404</v>
      </c>
      <c r="D5672" s="13" t="s">
        <v>2129</v>
      </c>
      <c r="E5672" s="228"/>
      <c r="F5672" s="109" t="s">
        <v>16249</v>
      </c>
      <c r="G5672" s="24" t="s">
        <v>16064</v>
      </c>
      <c r="H5672" s="230">
        <v>4</v>
      </c>
      <c r="I5672" s="220">
        <v>547000</v>
      </c>
      <c r="J5672" s="220">
        <f>I5672*0.1</f>
        <v>54700</v>
      </c>
      <c r="K5672" s="220">
        <v>6270</v>
      </c>
      <c r="L5672" s="220">
        <v>10720</v>
      </c>
      <c r="M5672" s="220">
        <v>15400</v>
      </c>
      <c r="N5672" s="220">
        <f>SUM(I5672:M5673)</f>
        <v>634090</v>
      </c>
      <c r="O5672" s="224"/>
      <c r="P5672" s="110" t="s">
        <v>16518</v>
      </c>
      <c r="Q5672" s="15" t="s">
        <v>19</v>
      </c>
      <c r="R5672" s="205"/>
      <c r="S5672" s="189"/>
      <c r="T5672" s="114"/>
      <c r="U5672" s="21"/>
      <c r="V5672" s="115">
        <v>46057</v>
      </c>
      <c r="W5672" s="116">
        <v>1003</v>
      </c>
      <c r="X5672" s="220">
        <v>630000</v>
      </c>
      <c r="Y5672" s="220">
        <f>X5672*0.1</f>
        <v>63000</v>
      </c>
      <c r="Z5672" s="220">
        <v>10720</v>
      </c>
      <c r="AA5672" s="220">
        <f>SUM(X5672:Z5672)</f>
        <v>703720</v>
      </c>
      <c r="AB5672" s="222">
        <v>46062</v>
      </c>
    </row>
    <row r="5673" spans="1:28" ht="17.100000000000001" customHeight="1" thickBot="1">
      <c r="A5673" s="227"/>
      <c r="B5673" s="27" t="s">
        <v>2597</v>
      </c>
      <c r="C5673" s="27">
        <v>3004</v>
      </c>
      <c r="D5673" s="14" t="s">
        <v>2559</v>
      </c>
      <c r="E5673" s="229"/>
      <c r="F5673" s="117" t="s">
        <v>16250</v>
      </c>
      <c r="G5673" s="26">
        <v>86213</v>
      </c>
      <c r="H5673" s="231"/>
      <c r="I5673" s="221"/>
      <c r="J5673" s="221"/>
      <c r="K5673" s="221"/>
      <c r="L5673" s="221"/>
      <c r="M5673" s="221"/>
      <c r="N5673" s="221"/>
      <c r="O5673" s="225"/>
      <c r="P5673" s="118" t="s">
        <v>1972</v>
      </c>
      <c r="Q5673" s="16" t="s">
        <v>20</v>
      </c>
      <c r="R5673" s="17" t="s">
        <v>3739</v>
      </c>
      <c r="S5673" s="121" t="s">
        <v>7721</v>
      </c>
      <c r="T5673" s="122"/>
      <c r="U5673" s="22"/>
      <c r="V5673" s="123" t="s">
        <v>2747</v>
      </c>
      <c r="W5673" s="122">
        <v>5080</v>
      </c>
      <c r="X5673" s="221"/>
      <c r="Y5673" s="221"/>
      <c r="Z5673" s="221"/>
      <c r="AA5673" s="221"/>
      <c r="AB5673" s="223"/>
    </row>
    <row r="5674" spans="1:28" ht="17.100000000000001" customHeight="1" thickTop="1">
      <c r="A5674" s="226" t="s">
        <v>16238</v>
      </c>
      <c r="B5674" s="28">
        <v>46052</v>
      </c>
      <c r="C5674" s="25">
        <v>1404</v>
      </c>
      <c r="D5674" s="13" t="s">
        <v>1642</v>
      </c>
      <c r="E5674" s="228"/>
      <c r="F5674" s="109" t="s">
        <v>16251</v>
      </c>
      <c r="G5674" s="24"/>
      <c r="H5674" s="230">
        <v>4</v>
      </c>
      <c r="I5674" s="220">
        <v>875000</v>
      </c>
      <c r="J5674" s="220">
        <f>I5674*0.1</f>
        <v>87500</v>
      </c>
      <c r="K5674" s="220">
        <v>0</v>
      </c>
      <c r="L5674" s="220">
        <v>5690</v>
      </c>
      <c r="M5674" s="220">
        <v>15400</v>
      </c>
      <c r="N5674" s="220">
        <f>SUM(I5674:M5675)</f>
        <v>983590</v>
      </c>
      <c r="O5674" s="224"/>
      <c r="P5674" s="110" t="s">
        <v>16579</v>
      </c>
      <c r="Q5674" s="15" t="s">
        <v>19</v>
      </c>
      <c r="R5674" s="205"/>
      <c r="S5674" s="189" t="s">
        <v>529</v>
      </c>
      <c r="T5674" s="114"/>
      <c r="U5674" s="21"/>
      <c r="V5674" s="115">
        <v>46071</v>
      </c>
      <c r="W5674" s="116">
        <v>1005</v>
      </c>
      <c r="X5674" s="220">
        <v>900000</v>
      </c>
      <c r="Y5674" s="220">
        <f>X5674*0.1</f>
        <v>90000</v>
      </c>
      <c r="Z5674" s="220">
        <v>5690</v>
      </c>
      <c r="AA5674" s="220">
        <f>SUM(X5674:Z5674)</f>
        <v>995690</v>
      </c>
      <c r="AB5674" s="222">
        <v>46073</v>
      </c>
    </row>
    <row r="5675" spans="1:28" ht="17.100000000000001" customHeight="1" thickBot="1">
      <c r="A5675" s="227"/>
      <c r="B5675" s="27" t="s">
        <v>2597</v>
      </c>
      <c r="C5675" s="27">
        <v>3005</v>
      </c>
      <c r="D5675" s="14" t="s">
        <v>14980</v>
      </c>
      <c r="E5675" s="229"/>
      <c r="F5675" s="117" t="s">
        <v>16252</v>
      </c>
      <c r="G5675" s="26">
        <v>42065</v>
      </c>
      <c r="H5675" s="231"/>
      <c r="I5675" s="221"/>
      <c r="J5675" s="221"/>
      <c r="K5675" s="221"/>
      <c r="L5675" s="221"/>
      <c r="M5675" s="221"/>
      <c r="N5675" s="221"/>
      <c r="O5675" s="225"/>
      <c r="P5675" s="118" t="s">
        <v>3281</v>
      </c>
      <c r="Q5675" s="16" t="s">
        <v>20</v>
      </c>
      <c r="R5675" s="17" t="s">
        <v>3494</v>
      </c>
      <c r="S5675" s="121" t="s">
        <v>1923</v>
      </c>
      <c r="T5675" s="122"/>
      <c r="U5675" s="22"/>
      <c r="V5675" s="123" t="s">
        <v>2747</v>
      </c>
      <c r="W5675" s="122">
        <v>2048</v>
      </c>
      <c r="X5675" s="221"/>
      <c r="Y5675" s="221"/>
      <c r="Z5675" s="221"/>
      <c r="AA5675" s="221"/>
      <c r="AB5675" s="223"/>
    </row>
    <row r="5676" spans="1:28" ht="17.100000000000001" customHeight="1" thickTop="1">
      <c r="A5676" s="226" t="s">
        <v>16239</v>
      </c>
      <c r="B5676" s="28">
        <v>46052</v>
      </c>
      <c r="C5676" s="25">
        <v>1404</v>
      </c>
      <c r="D5676" s="13" t="s">
        <v>2637</v>
      </c>
      <c r="E5676" s="228"/>
      <c r="F5676" s="109" t="s">
        <v>11673</v>
      </c>
      <c r="G5676" s="24" t="s">
        <v>7036</v>
      </c>
      <c r="H5676" s="230">
        <v>4</v>
      </c>
      <c r="I5676" s="220">
        <v>3834000</v>
      </c>
      <c r="J5676" s="220">
        <f>I5676*0.1</f>
        <v>383400</v>
      </c>
      <c r="K5676" s="220">
        <v>9130</v>
      </c>
      <c r="L5676" s="220">
        <v>12490</v>
      </c>
      <c r="M5676" s="220">
        <v>15400</v>
      </c>
      <c r="N5676" s="220">
        <f>SUM(I5676:M5677)</f>
        <v>4254420</v>
      </c>
      <c r="O5676" s="224"/>
      <c r="P5676" s="110" t="s">
        <v>16502</v>
      </c>
      <c r="Q5676" s="15" t="s">
        <v>19</v>
      </c>
      <c r="R5676" s="205"/>
      <c r="S5676" s="189" t="s">
        <v>25748</v>
      </c>
      <c r="T5676" s="114"/>
      <c r="U5676" s="21"/>
      <c r="V5676" s="115">
        <v>46071</v>
      </c>
      <c r="W5676" s="116">
        <v>1005</v>
      </c>
      <c r="X5676" s="220">
        <v>4025000</v>
      </c>
      <c r="Y5676" s="220">
        <f>X5676*0.1</f>
        <v>402500</v>
      </c>
      <c r="Z5676" s="220">
        <v>12490</v>
      </c>
      <c r="AA5676" s="220">
        <f>SUM(X5676:Z5676)</f>
        <v>4439990</v>
      </c>
      <c r="AB5676" s="222">
        <v>46079</v>
      </c>
    </row>
    <row r="5677" spans="1:28" ht="17.100000000000001" customHeight="1" thickBot="1">
      <c r="A5677" s="227"/>
      <c r="B5677" s="27" t="s">
        <v>2597</v>
      </c>
      <c r="C5677" s="27">
        <v>3014</v>
      </c>
      <c r="D5677" s="14" t="s">
        <v>273</v>
      </c>
      <c r="E5677" s="229"/>
      <c r="F5677" s="117" t="s">
        <v>16253</v>
      </c>
      <c r="G5677" s="26">
        <v>42444</v>
      </c>
      <c r="H5677" s="231"/>
      <c r="I5677" s="221"/>
      <c r="J5677" s="221"/>
      <c r="K5677" s="221"/>
      <c r="L5677" s="221"/>
      <c r="M5677" s="221"/>
      <c r="N5677" s="221"/>
      <c r="O5677" s="225"/>
      <c r="P5677" s="118" t="s">
        <v>2287</v>
      </c>
      <c r="Q5677" s="16" t="s">
        <v>20</v>
      </c>
      <c r="R5677" s="17" t="s">
        <v>3739</v>
      </c>
      <c r="S5677" s="121" t="s">
        <v>1731</v>
      </c>
      <c r="T5677" s="122"/>
      <c r="U5677" s="22"/>
      <c r="V5677" s="123" t="s">
        <v>2747</v>
      </c>
      <c r="W5677" s="122">
        <v>6040</v>
      </c>
      <c r="X5677" s="221"/>
      <c r="Y5677" s="221"/>
      <c r="Z5677" s="221"/>
      <c r="AA5677" s="221"/>
      <c r="AB5677" s="223"/>
    </row>
    <row r="5678" spans="1:28" ht="17.100000000000001" customHeight="1" thickTop="1">
      <c r="A5678" s="226" t="s">
        <v>16240</v>
      </c>
      <c r="B5678" s="28">
        <v>46052</v>
      </c>
      <c r="C5678" s="25">
        <v>1404</v>
      </c>
      <c r="D5678" s="13" t="s">
        <v>1553</v>
      </c>
      <c r="E5678" s="228"/>
      <c r="F5678" s="109" t="s">
        <v>15229</v>
      </c>
      <c r="G5678" s="24" t="s">
        <v>16282</v>
      </c>
      <c r="H5678" s="230">
        <v>4</v>
      </c>
      <c r="I5678" s="220">
        <v>1050000</v>
      </c>
      <c r="J5678" s="220">
        <f>I5678*0.1</f>
        <v>105000</v>
      </c>
      <c r="K5678" s="220">
        <v>7150</v>
      </c>
      <c r="L5678" s="220">
        <v>12030</v>
      </c>
      <c r="M5678" s="220">
        <v>15400</v>
      </c>
      <c r="N5678" s="220">
        <f>SUM(I5678:M5679)</f>
        <v>1189580</v>
      </c>
      <c r="O5678" s="224"/>
      <c r="P5678" s="110" t="s">
        <v>16577</v>
      </c>
      <c r="Q5678" s="15" t="s">
        <v>19</v>
      </c>
      <c r="R5678" s="205"/>
      <c r="S5678" s="189"/>
      <c r="T5678" s="114"/>
      <c r="U5678" s="21"/>
      <c r="V5678" s="115">
        <v>46064</v>
      </c>
      <c r="W5678" s="116">
        <v>1004</v>
      </c>
      <c r="X5678" s="220">
        <v>1140000</v>
      </c>
      <c r="Y5678" s="220">
        <f>X5678*0.1</f>
        <v>114000</v>
      </c>
      <c r="Z5678" s="220">
        <v>12030</v>
      </c>
      <c r="AA5678" s="220">
        <f>SUM(X5678:Z5678)</f>
        <v>1266030</v>
      </c>
      <c r="AB5678" s="222">
        <v>46070</v>
      </c>
    </row>
    <row r="5679" spans="1:28" ht="17.100000000000001" customHeight="1" thickBot="1">
      <c r="A5679" s="227"/>
      <c r="B5679" s="27" t="s">
        <v>2597</v>
      </c>
      <c r="C5679" s="27">
        <v>3121</v>
      </c>
      <c r="D5679" s="14" t="s">
        <v>273</v>
      </c>
      <c r="E5679" s="229"/>
      <c r="F5679" s="117" t="s">
        <v>16254</v>
      </c>
      <c r="G5679" s="26">
        <v>138610</v>
      </c>
      <c r="H5679" s="231"/>
      <c r="I5679" s="221"/>
      <c r="J5679" s="221"/>
      <c r="K5679" s="221"/>
      <c r="L5679" s="221"/>
      <c r="M5679" s="221"/>
      <c r="N5679" s="221"/>
      <c r="O5679" s="225"/>
      <c r="P5679" s="118" t="s">
        <v>16578</v>
      </c>
      <c r="Q5679" s="16" t="s">
        <v>20</v>
      </c>
      <c r="R5679" s="17" t="s">
        <v>3494</v>
      </c>
      <c r="S5679" s="121" t="s">
        <v>1731</v>
      </c>
      <c r="T5679" s="122"/>
      <c r="U5679" s="22"/>
      <c r="V5679" s="123" t="s">
        <v>2747</v>
      </c>
      <c r="W5679" s="122">
        <v>5023</v>
      </c>
      <c r="X5679" s="221"/>
      <c r="Y5679" s="221"/>
      <c r="Z5679" s="221"/>
      <c r="AA5679" s="221"/>
      <c r="AB5679" s="223"/>
    </row>
    <row r="5680" spans="1:28" ht="17.100000000000001" customHeight="1" thickTop="1">
      <c r="A5680" s="226" t="s">
        <v>16241</v>
      </c>
      <c r="B5680" s="28">
        <v>46052</v>
      </c>
      <c r="C5680" s="25">
        <v>1404</v>
      </c>
      <c r="D5680" s="13" t="s">
        <v>1746</v>
      </c>
      <c r="E5680" s="228"/>
      <c r="F5680" s="109" t="s">
        <v>16255</v>
      </c>
      <c r="G5680" s="24" t="s">
        <v>12336</v>
      </c>
      <c r="H5680" s="230">
        <v>4</v>
      </c>
      <c r="I5680" s="220">
        <v>1963000</v>
      </c>
      <c r="J5680" s="220">
        <f>I5680*0.1</f>
        <v>196300</v>
      </c>
      <c r="K5680" s="220">
        <v>10560</v>
      </c>
      <c r="L5680" s="220">
        <v>16550</v>
      </c>
      <c r="M5680" s="220">
        <v>15400</v>
      </c>
      <c r="N5680" s="220">
        <f>SUM(I5680:M5681)</f>
        <v>2201810</v>
      </c>
      <c r="O5680" s="224"/>
      <c r="P5680" s="110" t="s">
        <v>16580</v>
      </c>
      <c r="Q5680" s="15" t="s">
        <v>19</v>
      </c>
      <c r="R5680" s="205"/>
      <c r="S5680" s="189" t="s">
        <v>25749</v>
      </c>
      <c r="T5680" s="114"/>
      <c r="U5680" s="21" t="s">
        <v>17613</v>
      </c>
      <c r="V5680" s="115">
        <v>46078</v>
      </c>
      <c r="W5680" s="116">
        <v>1006</v>
      </c>
      <c r="X5680" s="220">
        <v>2050000</v>
      </c>
      <c r="Y5680" s="220">
        <f>X5680*0.1</f>
        <v>205000</v>
      </c>
      <c r="Z5680" s="220">
        <v>16550</v>
      </c>
      <c r="AA5680" s="220">
        <f>SUM(X5680:Z5680)</f>
        <v>2271550</v>
      </c>
      <c r="AB5680" s="222">
        <v>46086</v>
      </c>
    </row>
    <row r="5681" spans="1:28" ht="17.100000000000001" customHeight="1" thickBot="1">
      <c r="A5681" s="227"/>
      <c r="B5681" s="27" t="s">
        <v>2597</v>
      </c>
      <c r="C5681" s="27">
        <v>3217</v>
      </c>
      <c r="D5681" s="14" t="s">
        <v>273</v>
      </c>
      <c r="E5681" s="229"/>
      <c r="F5681" s="117" t="s">
        <v>16256</v>
      </c>
      <c r="G5681" s="26">
        <v>73622</v>
      </c>
      <c r="H5681" s="231"/>
      <c r="I5681" s="221"/>
      <c r="J5681" s="221"/>
      <c r="K5681" s="221"/>
      <c r="L5681" s="221"/>
      <c r="M5681" s="221"/>
      <c r="N5681" s="221"/>
      <c r="O5681" s="225"/>
      <c r="P5681" s="118" t="s">
        <v>2287</v>
      </c>
      <c r="Q5681" s="16" t="s">
        <v>20</v>
      </c>
      <c r="R5681" s="17" t="s">
        <v>3494</v>
      </c>
      <c r="S5681" s="121" t="s">
        <v>169</v>
      </c>
      <c r="T5681" s="122"/>
      <c r="U5681" s="22"/>
      <c r="V5681" s="123" t="s">
        <v>8648</v>
      </c>
      <c r="W5681" s="122">
        <v>6059</v>
      </c>
      <c r="X5681" s="221"/>
      <c r="Y5681" s="221"/>
      <c r="Z5681" s="221"/>
      <c r="AA5681" s="221"/>
      <c r="AB5681" s="223"/>
    </row>
    <row r="5682" spans="1:28" ht="17.100000000000001" customHeight="1" thickTop="1">
      <c r="A5682" s="226" t="s">
        <v>16242</v>
      </c>
      <c r="B5682" s="28">
        <v>46052</v>
      </c>
      <c r="C5682" s="25">
        <v>1404</v>
      </c>
      <c r="D5682" s="13" t="s">
        <v>1788</v>
      </c>
      <c r="E5682" s="228"/>
      <c r="F5682" s="109" t="s">
        <v>16257</v>
      </c>
      <c r="G5682" s="24" t="s">
        <v>8087</v>
      </c>
      <c r="H5682" s="230">
        <v>3.5</v>
      </c>
      <c r="I5682" s="220">
        <v>420000</v>
      </c>
      <c r="J5682" s="220">
        <f>I5682*0.1</f>
        <v>42000</v>
      </c>
      <c r="K5682" s="220">
        <v>0</v>
      </c>
      <c r="L5682" s="220">
        <v>9200</v>
      </c>
      <c r="M5682" s="220">
        <v>15400</v>
      </c>
      <c r="N5682" s="220">
        <f>SUM(I5682:M5683)</f>
        <v>486600</v>
      </c>
      <c r="O5682" s="224"/>
      <c r="P5682" s="110" t="s">
        <v>16551</v>
      </c>
      <c r="Q5682" s="15" t="s">
        <v>19</v>
      </c>
      <c r="R5682" s="205"/>
      <c r="S5682" s="189"/>
      <c r="T5682" s="114"/>
      <c r="U5682" s="21" t="s">
        <v>17339</v>
      </c>
      <c r="V5682" s="115">
        <v>46064</v>
      </c>
      <c r="W5682" s="116">
        <v>1004</v>
      </c>
      <c r="X5682" s="220">
        <v>510000</v>
      </c>
      <c r="Y5682" s="220">
        <f>X5682*0.1</f>
        <v>51000</v>
      </c>
      <c r="Z5682" s="220">
        <v>9200</v>
      </c>
      <c r="AA5682" s="220">
        <f>SUM(X5682:Z5682)</f>
        <v>570200</v>
      </c>
      <c r="AB5682" s="222">
        <v>46070</v>
      </c>
    </row>
    <row r="5683" spans="1:28" ht="17.100000000000001" customHeight="1" thickBot="1">
      <c r="A5683" s="227"/>
      <c r="B5683" s="27" t="s">
        <v>2597</v>
      </c>
      <c r="C5683" s="27">
        <v>7111</v>
      </c>
      <c r="D5683" s="14" t="s">
        <v>3792</v>
      </c>
      <c r="E5683" s="229"/>
      <c r="F5683" s="117" t="s">
        <v>16258</v>
      </c>
      <c r="G5683" s="26">
        <v>46700</v>
      </c>
      <c r="H5683" s="231"/>
      <c r="I5683" s="221"/>
      <c r="J5683" s="221"/>
      <c r="K5683" s="221"/>
      <c r="L5683" s="221"/>
      <c r="M5683" s="221"/>
      <c r="N5683" s="221"/>
      <c r="O5683" s="225"/>
      <c r="P5683" s="118" t="s">
        <v>7826</v>
      </c>
      <c r="Q5683" s="16" t="s">
        <v>20</v>
      </c>
      <c r="R5683" s="17" t="s">
        <v>3739</v>
      </c>
      <c r="S5683" s="121"/>
      <c r="T5683" s="122"/>
      <c r="U5683" s="22"/>
      <c r="V5683" s="123" t="s">
        <v>2747</v>
      </c>
      <c r="W5683" s="122">
        <v>2029</v>
      </c>
      <c r="X5683" s="221"/>
      <c r="Y5683" s="221"/>
      <c r="Z5683" s="221"/>
      <c r="AA5683" s="221"/>
      <c r="AB5683" s="223"/>
    </row>
    <row r="5684" spans="1:28" ht="17.100000000000001" customHeight="1" thickTop="1">
      <c r="A5684" s="226" t="s">
        <v>16243</v>
      </c>
      <c r="B5684" s="28">
        <v>46052</v>
      </c>
      <c r="C5684" s="25">
        <v>1404</v>
      </c>
      <c r="D5684" s="13" t="s">
        <v>2811</v>
      </c>
      <c r="E5684" s="228"/>
      <c r="F5684" s="109" t="s">
        <v>16259</v>
      </c>
      <c r="G5684" s="24"/>
      <c r="H5684" s="230">
        <v>3</v>
      </c>
      <c r="I5684" s="220">
        <v>316000</v>
      </c>
      <c r="J5684" s="220">
        <f>I5684*0.1</f>
        <v>31600</v>
      </c>
      <c r="K5684" s="220">
        <v>0</v>
      </c>
      <c r="L5684" s="220">
        <v>9200</v>
      </c>
      <c r="M5684" s="220">
        <v>15400</v>
      </c>
      <c r="N5684" s="220">
        <f>SUM(I5684:M5685)</f>
        <v>372200</v>
      </c>
      <c r="O5684" s="224"/>
      <c r="P5684" s="110" t="s">
        <v>17108</v>
      </c>
      <c r="Q5684" s="15" t="s">
        <v>19</v>
      </c>
      <c r="R5684" s="205"/>
      <c r="S5684" s="189"/>
      <c r="T5684" s="114"/>
      <c r="U5684" s="21"/>
      <c r="V5684" s="115">
        <v>46067</v>
      </c>
      <c r="W5684" s="116">
        <v>1288</v>
      </c>
      <c r="X5684" s="220">
        <v>335000</v>
      </c>
      <c r="Y5684" s="220">
        <f>X5684*0.1</f>
        <v>33500</v>
      </c>
      <c r="Z5684" s="220">
        <v>9200</v>
      </c>
      <c r="AA5684" s="220">
        <f>SUM(X5684:Z5684)</f>
        <v>377700</v>
      </c>
      <c r="AB5684" s="222">
        <v>46070</v>
      </c>
    </row>
    <row r="5685" spans="1:28" ht="17.100000000000001" customHeight="1" thickBot="1">
      <c r="A5685" s="227"/>
      <c r="B5685" s="27" t="s">
        <v>2597</v>
      </c>
      <c r="C5685" s="27">
        <v>9005</v>
      </c>
      <c r="D5685" s="14" t="s">
        <v>273</v>
      </c>
      <c r="E5685" s="229"/>
      <c r="F5685" s="117" t="s">
        <v>16260</v>
      </c>
      <c r="G5685" s="26">
        <v>76760</v>
      </c>
      <c r="H5685" s="231"/>
      <c r="I5685" s="221"/>
      <c r="J5685" s="221"/>
      <c r="K5685" s="221"/>
      <c r="L5685" s="221"/>
      <c r="M5685" s="221"/>
      <c r="N5685" s="221"/>
      <c r="O5685" s="225"/>
      <c r="P5685" s="118" t="s">
        <v>1972</v>
      </c>
      <c r="Q5685" s="16" t="s">
        <v>20</v>
      </c>
      <c r="R5685" s="17" t="s">
        <v>2158</v>
      </c>
      <c r="S5685" s="121" t="s">
        <v>2360</v>
      </c>
      <c r="T5685" s="122"/>
      <c r="U5685" s="22"/>
      <c r="V5685" s="123" t="s">
        <v>2472</v>
      </c>
      <c r="W5685" s="122">
        <v>60125</v>
      </c>
      <c r="X5685" s="221"/>
      <c r="Y5685" s="221"/>
      <c r="Z5685" s="221"/>
      <c r="AA5685" s="221"/>
      <c r="AB5685" s="223"/>
    </row>
    <row r="5686" spans="1:28" ht="17.100000000000001" customHeight="1" thickTop="1">
      <c r="A5686" s="226" t="s">
        <v>16244</v>
      </c>
      <c r="B5686" s="28">
        <v>46052</v>
      </c>
      <c r="C5686" s="25">
        <v>1404</v>
      </c>
      <c r="D5686" s="13" t="s">
        <v>4775</v>
      </c>
      <c r="E5686" s="228"/>
      <c r="F5686" s="109" t="s">
        <v>16261</v>
      </c>
      <c r="G5686" s="24"/>
      <c r="H5686" s="232" t="s">
        <v>1705</v>
      </c>
      <c r="I5686" s="220">
        <v>307000</v>
      </c>
      <c r="J5686" s="220">
        <f>I5686*0.1</f>
        <v>30700</v>
      </c>
      <c r="K5686" s="220">
        <v>0</v>
      </c>
      <c r="L5686" s="220">
        <v>7570</v>
      </c>
      <c r="M5686" s="220">
        <v>15400</v>
      </c>
      <c r="N5686" s="220">
        <f>SUM(I5686:M5687)</f>
        <v>360670</v>
      </c>
      <c r="O5686" s="224"/>
      <c r="P5686" s="110" t="s">
        <v>16550</v>
      </c>
      <c r="Q5686" s="15" t="s">
        <v>19</v>
      </c>
      <c r="R5686" s="205"/>
      <c r="S5686" s="189"/>
      <c r="T5686" s="114"/>
      <c r="U5686" s="21"/>
      <c r="V5686" s="115">
        <v>46064</v>
      </c>
      <c r="W5686" s="116">
        <v>1004</v>
      </c>
      <c r="X5686" s="220">
        <v>330000</v>
      </c>
      <c r="Y5686" s="220">
        <v>33000</v>
      </c>
      <c r="Z5686" s="220">
        <v>7570</v>
      </c>
      <c r="AA5686" s="220">
        <f>SUM(X5686:Z5686)</f>
        <v>370570</v>
      </c>
      <c r="AB5686" s="222">
        <v>46069</v>
      </c>
    </row>
    <row r="5687" spans="1:28" ht="17.100000000000001" customHeight="1" thickBot="1">
      <c r="A5687" s="227"/>
      <c r="B5687" s="27" t="s">
        <v>2597</v>
      </c>
      <c r="C5687" s="27">
        <v>9025</v>
      </c>
      <c r="D5687" s="14" t="s">
        <v>898</v>
      </c>
      <c r="E5687" s="229"/>
      <c r="F5687" s="117" t="s">
        <v>16262</v>
      </c>
      <c r="G5687" s="26">
        <v>44234</v>
      </c>
      <c r="H5687" s="231"/>
      <c r="I5687" s="221"/>
      <c r="J5687" s="221"/>
      <c r="K5687" s="221"/>
      <c r="L5687" s="221"/>
      <c r="M5687" s="221"/>
      <c r="N5687" s="221"/>
      <c r="O5687" s="225"/>
      <c r="P5687" s="118" t="s">
        <v>1972</v>
      </c>
      <c r="Q5687" s="16" t="s">
        <v>20</v>
      </c>
      <c r="R5687" s="17" t="s">
        <v>3739</v>
      </c>
      <c r="S5687" s="121"/>
      <c r="T5687" s="122"/>
      <c r="U5687" s="22"/>
      <c r="V5687" s="123" t="s">
        <v>8877</v>
      </c>
      <c r="W5687" s="122">
        <v>2016</v>
      </c>
      <c r="X5687" s="221"/>
      <c r="Y5687" s="221"/>
      <c r="Z5687" s="221"/>
      <c r="AA5687" s="221"/>
      <c r="AB5687" s="223"/>
    </row>
    <row r="5688" spans="1:28" ht="17.100000000000001" customHeight="1" thickTop="1">
      <c r="A5688" s="226" t="s">
        <v>16245</v>
      </c>
      <c r="B5688" s="28">
        <v>46052</v>
      </c>
      <c r="C5688" s="25">
        <v>1404</v>
      </c>
      <c r="D5688" s="13" t="s">
        <v>4104</v>
      </c>
      <c r="E5688" s="228"/>
      <c r="F5688" s="109" t="s">
        <v>16263</v>
      </c>
      <c r="G5688" s="24" t="s">
        <v>16283</v>
      </c>
      <c r="H5688" s="230">
        <v>3.5</v>
      </c>
      <c r="I5688" s="220">
        <v>253000</v>
      </c>
      <c r="J5688" s="220">
        <f>I5688*0.1</f>
        <v>25300</v>
      </c>
      <c r="K5688" s="220">
        <v>0</v>
      </c>
      <c r="L5688" s="220">
        <v>9930</v>
      </c>
      <c r="M5688" s="220">
        <v>15400</v>
      </c>
      <c r="N5688" s="220">
        <f>SUM(I5688:M5689)</f>
        <v>303630</v>
      </c>
      <c r="O5688" s="224"/>
      <c r="P5688" s="110" t="s">
        <v>16506</v>
      </c>
      <c r="Q5688" s="15" t="s">
        <v>19</v>
      </c>
      <c r="R5688" s="205"/>
      <c r="S5688" s="189"/>
      <c r="T5688" s="114"/>
      <c r="U5688" s="21" t="s">
        <v>16599</v>
      </c>
      <c r="V5688" s="115">
        <v>46057</v>
      </c>
      <c r="W5688" s="116">
        <v>1003</v>
      </c>
      <c r="X5688" s="220">
        <v>295000</v>
      </c>
      <c r="Y5688" s="220">
        <f>X5688*0.1</f>
        <v>29500</v>
      </c>
      <c r="Z5688" s="220">
        <v>9930</v>
      </c>
      <c r="AA5688" s="220">
        <f>SUM(X5688:Z5688)</f>
        <v>334430</v>
      </c>
      <c r="AB5688" s="222">
        <v>46063</v>
      </c>
    </row>
    <row r="5689" spans="1:28" ht="17.100000000000001" customHeight="1" thickBot="1">
      <c r="A5689" s="227"/>
      <c r="B5689" s="27" t="s">
        <v>2597</v>
      </c>
      <c r="C5689" s="27">
        <v>9038</v>
      </c>
      <c r="D5689" s="14" t="s">
        <v>273</v>
      </c>
      <c r="E5689" s="229"/>
      <c r="F5689" s="117" t="s">
        <v>16264</v>
      </c>
      <c r="G5689" s="26">
        <v>79938</v>
      </c>
      <c r="H5689" s="231"/>
      <c r="I5689" s="221"/>
      <c r="J5689" s="221"/>
      <c r="K5689" s="221"/>
      <c r="L5689" s="221"/>
      <c r="M5689" s="221"/>
      <c r="N5689" s="221"/>
      <c r="O5689" s="225"/>
      <c r="P5689" s="118" t="s">
        <v>16507</v>
      </c>
      <c r="Q5689" s="16" t="s">
        <v>20</v>
      </c>
      <c r="R5689" s="17" t="s">
        <v>3739</v>
      </c>
      <c r="S5689" s="121" t="s">
        <v>1625</v>
      </c>
      <c r="T5689" s="122"/>
      <c r="U5689" s="22"/>
      <c r="V5689" s="123" t="s">
        <v>2747</v>
      </c>
      <c r="W5689" s="122">
        <v>5114</v>
      </c>
      <c r="X5689" s="221"/>
      <c r="Y5689" s="221"/>
      <c r="Z5689" s="221"/>
      <c r="AA5689" s="221"/>
      <c r="AB5689" s="223"/>
    </row>
    <row r="5690" spans="1:28" ht="17.100000000000001" customHeight="1" thickTop="1">
      <c r="A5690" s="226" t="s">
        <v>16268</v>
      </c>
      <c r="B5690" s="28">
        <v>46052</v>
      </c>
      <c r="C5690" s="25">
        <v>1404</v>
      </c>
      <c r="D5690" s="13" t="s">
        <v>1542</v>
      </c>
      <c r="E5690" s="228"/>
      <c r="F5690" s="109" t="s">
        <v>15911</v>
      </c>
      <c r="G5690" s="24" t="s">
        <v>16284</v>
      </c>
      <c r="H5690" s="230">
        <v>3.5</v>
      </c>
      <c r="I5690" s="220">
        <v>310000</v>
      </c>
      <c r="J5690" s="220">
        <f>I5690*0.1</f>
        <v>31000</v>
      </c>
      <c r="K5690" s="220">
        <v>0</v>
      </c>
      <c r="L5690" s="220">
        <v>8780</v>
      </c>
      <c r="M5690" s="220">
        <v>15400</v>
      </c>
      <c r="N5690" s="220">
        <f>SUM(I5690:M5691)</f>
        <v>365180</v>
      </c>
      <c r="O5690" s="224"/>
      <c r="P5690" s="110" t="s">
        <v>16548</v>
      </c>
      <c r="Q5690" s="15" t="s">
        <v>19</v>
      </c>
      <c r="R5690" s="205"/>
      <c r="S5690" s="189"/>
      <c r="T5690" s="114"/>
      <c r="U5690" s="21"/>
      <c r="V5690" s="115">
        <v>46071</v>
      </c>
      <c r="W5690" s="116">
        <v>1005</v>
      </c>
      <c r="X5690" s="220">
        <v>370000</v>
      </c>
      <c r="Y5690" s="220">
        <f>X5690*0.1</f>
        <v>37000</v>
      </c>
      <c r="Z5690" s="220">
        <v>8780</v>
      </c>
      <c r="AA5690" s="220">
        <f>SUM(X5690:Z5690)</f>
        <v>415780</v>
      </c>
      <c r="AB5690" s="222">
        <v>46079</v>
      </c>
    </row>
    <row r="5691" spans="1:28" ht="17.100000000000001" customHeight="1" thickBot="1">
      <c r="A5691" s="227"/>
      <c r="B5691" s="27" t="s">
        <v>2597</v>
      </c>
      <c r="C5691" s="27">
        <v>9039</v>
      </c>
      <c r="D5691" s="14" t="s">
        <v>5509</v>
      </c>
      <c r="E5691" s="229"/>
      <c r="F5691" s="117" t="s">
        <v>16265</v>
      </c>
      <c r="G5691" s="26">
        <v>47896</v>
      </c>
      <c r="H5691" s="231"/>
      <c r="I5691" s="221"/>
      <c r="J5691" s="221"/>
      <c r="K5691" s="221"/>
      <c r="L5691" s="221"/>
      <c r="M5691" s="221"/>
      <c r="N5691" s="221"/>
      <c r="O5691" s="225"/>
      <c r="P5691" s="118" t="s">
        <v>16549</v>
      </c>
      <c r="Q5691" s="16" t="s">
        <v>20</v>
      </c>
      <c r="R5691" s="17" t="s">
        <v>3739</v>
      </c>
      <c r="S5691" s="121"/>
      <c r="T5691" s="122"/>
      <c r="U5691" s="22"/>
      <c r="V5691" s="123" t="s">
        <v>7161</v>
      </c>
      <c r="W5691" s="122">
        <v>2056</v>
      </c>
      <c r="X5691" s="221"/>
      <c r="Y5691" s="221"/>
      <c r="Z5691" s="221"/>
      <c r="AA5691" s="221"/>
      <c r="AB5691" s="223"/>
    </row>
    <row r="5692" spans="1:28" ht="17.100000000000001" customHeight="1" thickTop="1">
      <c r="A5692" s="226" t="s">
        <v>16269</v>
      </c>
      <c r="B5692" s="28">
        <v>46052</v>
      </c>
      <c r="C5692" s="25">
        <v>1404</v>
      </c>
      <c r="D5692" s="13" t="s">
        <v>5521</v>
      </c>
      <c r="E5692" s="228"/>
      <c r="F5692" s="109" t="s">
        <v>16266</v>
      </c>
      <c r="G5692" s="24" t="s">
        <v>16285</v>
      </c>
      <c r="H5692" s="230">
        <v>4</v>
      </c>
      <c r="I5692" s="220">
        <v>220000</v>
      </c>
      <c r="J5692" s="220">
        <f>I5692*0.1</f>
        <v>22000</v>
      </c>
      <c r="K5692" s="220">
        <v>0</v>
      </c>
      <c r="L5692" s="220">
        <v>8490</v>
      </c>
      <c r="M5692" s="220">
        <v>15400</v>
      </c>
      <c r="N5692" s="220">
        <f>SUM(I5692:M5693)</f>
        <v>265890</v>
      </c>
      <c r="O5692" s="224"/>
      <c r="P5692" s="110" t="s">
        <v>16503</v>
      </c>
      <c r="Q5692" s="15" t="s">
        <v>19</v>
      </c>
      <c r="R5692" s="205"/>
      <c r="S5692" s="189"/>
      <c r="T5692" s="114"/>
      <c r="U5692" s="21" t="s">
        <v>16600</v>
      </c>
      <c r="V5692" s="115">
        <v>46057</v>
      </c>
      <c r="W5692" s="116">
        <v>1003</v>
      </c>
      <c r="X5692" s="220">
        <v>270000</v>
      </c>
      <c r="Y5692" s="220">
        <f>X5692*0.1</f>
        <v>27000</v>
      </c>
      <c r="Z5692" s="220">
        <v>8490</v>
      </c>
      <c r="AA5692" s="220">
        <f>SUM(X5692:Z5692)</f>
        <v>305490</v>
      </c>
      <c r="AB5692" s="222">
        <v>46063</v>
      </c>
    </row>
    <row r="5693" spans="1:28" ht="17.100000000000001" customHeight="1" thickBot="1">
      <c r="A5693" s="227"/>
      <c r="B5693" s="27" t="s">
        <v>2597</v>
      </c>
      <c r="C5693" s="27">
        <v>6252</v>
      </c>
      <c r="D5693" s="14" t="s">
        <v>898</v>
      </c>
      <c r="E5693" s="229"/>
      <c r="F5693" s="117" t="s">
        <v>16267</v>
      </c>
      <c r="G5693" s="26">
        <v>39333</v>
      </c>
      <c r="H5693" s="231"/>
      <c r="I5693" s="221"/>
      <c r="J5693" s="221"/>
      <c r="K5693" s="221"/>
      <c r="L5693" s="221"/>
      <c r="M5693" s="221"/>
      <c r="N5693" s="221"/>
      <c r="O5693" s="225"/>
      <c r="P5693" s="118" t="s">
        <v>1972</v>
      </c>
      <c r="Q5693" s="16" t="s">
        <v>20</v>
      </c>
      <c r="R5693" s="17" t="s">
        <v>3739</v>
      </c>
      <c r="S5693" s="121" t="s">
        <v>2236</v>
      </c>
      <c r="T5693" s="122"/>
      <c r="U5693" s="22"/>
      <c r="V5693" s="123" t="s">
        <v>2747</v>
      </c>
      <c r="W5693" s="122">
        <v>5077</v>
      </c>
      <c r="X5693" s="221"/>
      <c r="Y5693" s="221"/>
      <c r="Z5693" s="221"/>
      <c r="AA5693" s="221"/>
      <c r="AB5693" s="223"/>
    </row>
    <row r="5694" spans="1:28" ht="17.100000000000001" customHeight="1" thickTop="1">
      <c r="A5694" s="226" t="s">
        <v>16270</v>
      </c>
      <c r="B5694" s="28">
        <v>46053</v>
      </c>
      <c r="C5694" s="25">
        <v>1451</v>
      </c>
      <c r="D5694" s="13" t="s">
        <v>1788</v>
      </c>
      <c r="E5694" s="228"/>
      <c r="F5694" s="109" t="s">
        <v>16274</v>
      </c>
      <c r="G5694" s="24"/>
      <c r="H5694" s="230">
        <v>4</v>
      </c>
      <c r="I5694" s="220">
        <v>515000</v>
      </c>
      <c r="J5694" s="220">
        <f>I5694*0.1</f>
        <v>51500</v>
      </c>
      <c r="K5694" s="220">
        <v>0</v>
      </c>
      <c r="L5694" s="220">
        <v>9940</v>
      </c>
      <c r="M5694" s="220">
        <v>16500</v>
      </c>
      <c r="N5694" s="220">
        <f>SUM(I5694:M5695)</f>
        <v>592940</v>
      </c>
      <c r="O5694" s="224"/>
      <c r="P5694" s="110" t="s">
        <v>16536</v>
      </c>
      <c r="Q5694" s="15" t="s">
        <v>19</v>
      </c>
      <c r="R5694" s="205"/>
      <c r="S5694" s="189" t="s">
        <v>25750</v>
      </c>
      <c r="T5694" s="114"/>
      <c r="U5694" s="21"/>
      <c r="V5694" s="115">
        <v>46071</v>
      </c>
      <c r="W5694" s="116">
        <v>1005</v>
      </c>
      <c r="X5694" s="220">
        <v>590000</v>
      </c>
      <c r="Y5694" s="220">
        <f>X5694*0.1</f>
        <v>59000</v>
      </c>
      <c r="Z5694" s="220">
        <v>9240</v>
      </c>
      <c r="AA5694" s="220">
        <f>SUM(X5694:Z5694)</f>
        <v>658240</v>
      </c>
      <c r="AB5694" s="222">
        <v>46073</v>
      </c>
    </row>
    <row r="5695" spans="1:28" ht="17.100000000000001" customHeight="1" thickBot="1">
      <c r="A5695" s="227"/>
      <c r="B5695" s="27" t="s">
        <v>1765</v>
      </c>
      <c r="C5695" s="27">
        <v>6099</v>
      </c>
      <c r="D5695" s="14" t="s">
        <v>2559</v>
      </c>
      <c r="E5695" s="229"/>
      <c r="F5695" s="117" t="s">
        <v>16275</v>
      </c>
      <c r="G5695" s="26">
        <v>56568</v>
      </c>
      <c r="H5695" s="231"/>
      <c r="I5695" s="221"/>
      <c r="J5695" s="221"/>
      <c r="K5695" s="221"/>
      <c r="L5695" s="221"/>
      <c r="M5695" s="221"/>
      <c r="N5695" s="221"/>
      <c r="O5695" s="225"/>
      <c r="P5695" s="118" t="s">
        <v>16537</v>
      </c>
      <c r="Q5695" s="16" t="s">
        <v>20</v>
      </c>
      <c r="R5695" s="17" t="s">
        <v>3739</v>
      </c>
      <c r="S5695" s="121" t="s">
        <v>16538</v>
      </c>
      <c r="T5695" s="122"/>
      <c r="U5695" s="22"/>
      <c r="V5695" s="123" t="s">
        <v>2747</v>
      </c>
      <c r="W5695" s="122">
        <v>5064</v>
      </c>
      <c r="X5695" s="221"/>
      <c r="Y5695" s="221"/>
      <c r="Z5695" s="221"/>
      <c r="AA5695" s="221"/>
      <c r="AB5695" s="223"/>
    </row>
    <row r="5696" spans="1:28" ht="17.100000000000001" customHeight="1" thickTop="1">
      <c r="A5696" s="226" t="s">
        <v>16271</v>
      </c>
      <c r="B5696" s="28">
        <v>46053</v>
      </c>
      <c r="C5696" s="25">
        <v>297</v>
      </c>
      <c r="D5696" s="13" t="s">
        <v>1976</v>
      </c>
      <c r="E5696" s="228"/>
      <c r="F5696" s="188" t="s">
        <v>14902</v>
      </c>
      <c r="G5696" s="24"/>
      <c r="H5696" s="230">
        <v>4.5</v>
      </c>
      <c r="I5696" s="220">
        <v>1184000</v>
      </c>
      <c r="J5696" s="220">
        <f>I5696*0.1</f>
        <v>118400</v>
      </c>
      <c r="K5696" s="220">
        <v>0</v>
      </c>
      <c r="L5696" s="220">
        <v>8630</v>
      </c>
      <c r="M5696" s="220">
        <v>15950</v>
      </c>
      <c r="N5696" s="220">
        <f>SUM(I5696:M5697)</f>
        <v>1326980</v>
      </c>
      <c r="O5696" s="224"/>
      <c r="P5696" s="110" t="s">
        <v>16540</v>
      </c>
      <c r="Q5696" s="15" t="s">
        <v>19</v>
      </c>
      <c r="R5696" s="205"/>
      <c r="S5696" s="189" t="s">
        <v>758</v>
      </c>
      <c r="T5696" s="114"/>
      <c r="U5696" s="21"/>
      <c r="V5696" s="115">
        <v>46078</v>
      </c>
      <c r="W5696" s="116">
        <v>1006</v>
      </c>
      <c r="X5696" s="220">
        <v>1245000</v>
      </c>
      <c r="Y5696" s="220">
        <f>X5696*0.1</f>
        <v>124500</v>
      </c>
      <c r="Z5696" s="220">
        <v>8630</v>
      </c>
      <c r="AA5696" s="220">
        <f>SUM(X5696:Z5696)</f>
        <v>1378130</v>
      </c>
      <c r="AB5696" s="222">
        <v>46083</v>
      </c>
    </row>
    <row r="5697" spans="1:28" ht="17.100000000000001" customHeight="1" thickBot="1">
      <c r="A5697" s="227"/>
      <c r="B5697" s="27" t="s">
        <v>3518</v>
      </c>
      <c r="C5697" s="27">
        <v>3089</v>
      </c>
      <c r="D5697" s="14" t="s">
        <v>273</v>
      </c>
      <c r="E5697" s="229"/>
      <c r="F5697" s="117" t="s">
        <v>16276</v>
      </c>
      <c r="G5697" s="26">
        <v>57443</v>
      </c>
      <c r="H5697" s="231"/>
      <c r="I5697" s="221"/>
      <c r="J5697" s="221"/>
      <c r="K5697" s="221"/>
      <c r="L5697" s="221"/>
      <c r="M5697" s="221"/>
      <c r="N5697" s="221"/>
      <c r="O5697" s="225"/>
      <c r="P5697" s="118" t="s">
        <v>16541</v>
      </c>
      <c r="Q5697" s="16" t="s">
        <v>20</v>
      </c>
      <c r="R5697" s="17" t="s">
        <v>3739</v>
      </c>
      <c r="S5697" s="121" t="s">
        <v>1661</v>
      </c>
      <c r="T5697" s="122"/>
      <c r="U5697" s="22"/>
      <c r="V5697" s="123" t="s">
        <v>2747</v>
      </c>
      <c r="W5697" s="122">
        <v>2036</v>
      </c>
      <c r="X5697" s="221"/>
      <c r="Y5697" s="221"/>
      <c r="Z5697" s="221"/>
      <c r="AA5697" s="221"/>
      <c r="AB5697" s="223"/>
    </row>
    <row r="5698" spans="1:28" ht="17.100000000000001" customHeight="1" thickTop="1">
      <c r="A5698" s="226" t="s">
        <v>16272</v>
      </c>
      <c r="B5698" s="28">
        <v>46053</v>
      </c>
      <c r="C5698" s="25">
        <v>1008</v>
      </c>
      <c r="D5698" s="13" t="s">
        <v>1983</v>
      </c>
      <c r="E5698" s="228"/>
      <c r="F5698" s="109" t="s">
        <v>16277</v>
      </c>
      <c r="G5698" s="24"/>
      <c r="H5698" s="230">
        <v>4.5</v>
      </c>
      <c r="I5698" s="220">
        <v>1222000</v>
      </c>
      <c r="J5698" s="220">
        <f>I5698*0.1</f>
        <v>122200</v>
      </c>
      <c r="K5698" s="220">
        <v>0</v>
      </c>
      <c r="L5698" s="220">
        <v>8570</v>
      </c>
      <c r="M5698" s="220">
        <v>15950</v>
      </c>
      <c r="N5698" s="220">
        <f>SUM(I5698:M5699)</f>
        <v>1368720</v>
      </c>
      <c r="O5698" s="224"/>
      <c r="P5698" s="110" t="s">
        <v>16544</v>
      </c>
      <c r="Q5698" s="15" t="s">
        <v>19</v>
      </c>
      <c r="R5698" s="205"/>
      <c r="S5698" s="189"/>
      <c r="T5698" s="114"/>
      <c r="U5698" s="21"/>
      <c r="V5698" s="115">
        <v>46060</v>
      </c>
      <c r="W5698" s="116">
        <v>1287</v>
      </c>
      <c r="X5698" s="220">
        <v>1345000</v>
      </c>
      <c r="Y5698" s="220">
        <f>X5698*0.1</f>
        <v>134500</v>
      </c>
      <c r="Z5698" s="220">
        <v>8570</v>
      </c>
      <c r="AA5698" s="220">
        <f>SUM(X5698:Z5698)</f>
        <v>1488070</v>
      </c>
      <c r="AB5698" s="222">
        <v>46070</v>
      </c>
    </row>
    <row r="5699" spans="1:28" ht="17.100000000000001" customHeight="1" thickBot="1">
      <c r="A5699" s="227"/>
      <c r="B5699" s="27" t="s">
        <v>1697</v>
      </c>
      <c r="C5699" s="27">
        <v>3071</v>
      </c>
      <c r="D5699" s="14" t="s">
        <v>2559</v>
      </c>
      <c r="E5699" s="229"/>
      <c r="F5699" s="117" t="s">
        <v>16278</v>
      </c>
      <c r="G5699" s="26">
        <v>29590</v>
      </c>
      <c r="H5699" s="231"/>
      <c r="I5699" s="221"/>
      <c r="J5699" s="221"/>
      <c r="K5699" s="221"/>
      <c r="L5699" s="221"/>
      <c r="M5699" s="221"/>
      <c r="N5699" s="221"/>
      <c r="O5699" s="225"/>
      <c r="P5699" s="118" t="s">
        <v>8913</v>
      </c>
      <c r="Q5699" s="16" t="s">
        <v>20</v>
      </c>
      <c r="R5699" s="17" t="s">
        <v>3739</v>
      </c>
      <c r="S5699" s="121" t="s">
        <v>1661</v>
      </c>
      <c r="T5699" s="122"/>
      <c r="U5699" s="22"/>
      <c r="V5699" s="123" t="s">
        <v>6641</v>
      </c>
      <c r="W5699" s="122">
        <v>60113</v>
      </c>
      <c r="X5699" s="221"/>
      <c r="Y5699" s="221"/>
      <c r="Z5699" s="221"/>
      <c r="AA5699" s="221"/>
      <c r="AB5699" s="223"/>
    </row>
    <row r="5700" spans="1:28" ht="17.100000000000001" customHeight="1" thickTop="1">
      <c r="A5700" s="226" t="s">
        <v>16273</v>
      </c>
      <c r="B5700" s="28">
        <v>46053</v>
      </c>
      <c r="C5700" s="25">
        <v>1008</v>
      </c>
      <c r="D5700" s="13" t="s">
        <v>2810</v>
      </c>
      <c r="E5700" s="228"/>
      <c r="F5700" s="109" t="s">
        <v>16279</v>
      </c>
      <c r="G5700" s="24" t="s">
        <v>7909</v>
      </c>
      <c r="H5700" s="232" t="s">
        <v>4130</v>
      </c>
      <c r="I5700" s="220">
        <v>1482000</v>
      </c>
      <c r="J5700" s="220">
        <f>I5700*0.1</f>
        <v>148200</v>
      </c>
      <c r="K5700" s="220">
        <v>0</v>
      </c>
      <c r="L5700" s="220">
        <v>14200</v>
      </c>
      <c r="M5700" s="220">
        <v>15950</v>
      </c>
      <c r="N5700" s="220">
        <f>SUM(I5700:M5701)</f>
        <v>1660350</v>
      </c>
      <c r="O5700" s="224"/>
      <c r="P5700" s="110" t="s">
        <v>16281</v>
      </c>
      <c r="Q5700" s="15" t="s">
        <v>19</v>
      </c>
      <c r="R5700" s="205"/>
      <c r="S5700" s="189" t="s">
        <v>183</v>
      </c>
      <c r="T5700" s="114"/>
      <c r="U5700" s="21" t="s">
        <v>17728</v>
      </c>
      <c r="V5700" s="115">
        <v>46061</v>
      </c>
      <c r="W5700" s="116"/>
      <c r="X5700" s="220">
        <v>2053500</v>
      </c>
      <c r="Y5700" s="220">
        <v>0</v>
      </c>
      <c r="Z5700" s="220">
        <v>0</v>
      </c>
      <c r="AA5700" s="220">
        <f>SUM(X5700:Z5700)</f>
        <v>2053500</v>
      </c>
      <c r="AB5700" s="222">
        <v>46074</v>
      </c>
    </row>
    <row r="5701" spans="1:28" ht="17.100000000000001" customHeight="1" thickBot="1">
      <c r="A5701" s="227"/>
      <c r="B5701" s="27" t="s">
        <v>1697</v>
      </c>
      <c r="C5701" s="27">
        <v>3091</v>
      </c>
      <c r="D5701" s="14" t="s">
        <v>2014</v>
      </c>
      <c r="E5701" s="229"/>
      <c r="F5701" s="117" t="s">
        <v>16280</v>
      </c>
      <c r="G5701" s="26">
        <v>7</v>
      </c>
      <c r="H5701" s="231"/>
      <c r="I5701" s="221"/>
      <c r="J5701" s="221"/>
      <c r="K5701" s="221"/>
      <c r="L5701" s="221"/>
      <c r="M5701" s="221"/>
      <c r="N5701" s="221"/>
      <c r="O5701" s="225"/>
      <c r="P5701" s="118" t="s">
        <v>16545</v>
      </c>
      <c r="Q5701" s="16" t="s">
        <v>20</v>
      </c>
      <c r="R5701" s="17" t="s">
        <v>3739</v>
      </c>
      <c r="S5701" s="121" t="s">
        <v>2647</v>
      </c>
      <c r="T5701" s="122"/>
      <c r="U5701" s="22"/>
      <c r="V5701" s="123" t="s">
        <v>18124</v>
      </c>
      <c r="W5701" s="122"/>
      <c r="X5701" s="221"/>
      <c r="Y5701" s="221"/>
      <c r="Z5701" s="221"/>
      <c r="AA5701" s="221"/>
      <c r="AB5701" s="223"/>
    </row>
    <row r="5702" spans="1:28" ht="17.100000000000001" customHeight="1" thickTop="1">
      <c r="A5702" s="226" t="s">
        <v>16286</v>
      </c>
      <c r="B5702" s="28">
        <v>46053</v>
      </c>
      <c r="C5702" s="25">
        <v>1286</v>
      </c>
      <c r="D5702" s="13" t="s">
        <v>2017</v>
      </c>
      <c r="E5702" s="228"/>
      <c r="F5702" s="109" t="s">
        <v>16300</v>
      </c>
      <c r="G5702" s="24" t="s">
        <v>3242</v>
      </c>
      <c r="H5702" s="230">
        <v>6</v>
      </c>
      <c r="I5702" s="220">
        <v>1585000</v>
      </c>
      <c r="J5702" s="220">
        <f>I5702*0.1</f>
        <v>158500</v>
      </c>
      <c r="K5702" s="220">
        <v>0</v>
      </c>
      <c r="L5702" s="220">
        <v>8980</v>
      </c>
      <c r="M5702" s="220">
        <v>12100</v>
      </c>
      <c r="N5702" s="220">
        <f>SUM(I5702:M5703)</f>
        <v>1764580</v>
      </c>
      <c r="O5702" s="224"/>
      <c r="P5702" s="110" t="s">
        <v>16318</v>
      </c>
      <c r="Q5702" s="15" t="s">
        <v>19</v>
      </c>
      <c r="R5702" s="205"/>
      <c r="S5702" s="189" t="s">
        <v>25507</v>
      </c>
      <c r="T5702" s="114"/>
      <c r="U5702" s="85" t="s">
        <v>17656</v>
      </c>
      <c r="V5702" s="115">
        <v>46063</v>
      </c>
      <c r="W5702" s="116">
        <v>1928</v>
      </c>
      <c r="X5702" s="220">
        <v>1645000</v>
      </c>
      <c r="Y5702" s="220">
        <f>X5702*0.1</f>
        <v>164500</v>
      </c>
      <c r="Z5702" s="220">
        <v>8980</v>
      </c>
      <c r="AA5702" s="220">
        <f>SUM(X5702:Z5702)</f>
        <v>1818480</v>
      </c>
      <c r="AB5702" s="222"/>
    </row>
    <row r="5703" spans="1:28" ht="17.100000000000001" customHeight="1" thickBot="1">
      <c r="A5703" s="227"/>
      <c r="B5703" s="27" t="s">
        <v>2472</v>
      </c>
      <c r="C5703" s="27">
        <v>31053</v>
      </c>
      <c r="D5703" s="14" t="s">
        <v>2559</v>
      </c>
      <c r="E5703" s="229"/>
      <c r="F5703" s="117" t="s">
        <v>16301</v>
      </c>
      <c r="G5703" s="26">
        <v>1228</v>
      </c>
      <c r="H5703" s="231"/>
      <c r="I5703" s="221"/>
      <c r="J5703" s="221"/>
      <c r="K5703" s="221"/>
      <c r="L5703" s="221"/>
      <c r="M5703" s="221"/>
      <c r="N5703" s="221"/>
      <c r="O5703" s="225"/>
      <c r="P5703" s="118" t="s">
        <v>16607</v>
      </c>
      <c r="Q5703" s="16" t="s">
        <v>20</v>
      </c>
      <c r="R5703" s="17" t="s">
        <v>3494</v>
      </c>
      <c r="S5703" s="121" t="s">
        <v>7798</v>
      </c>
      <c r="T5703" s="122"/>
      <c r="U5703" s="22"/>
      <c r="V5703" s="123" t="s">
        <v>7507</v>
      </c>
      <c r="W5703" s="122">
        <v>3049</v>
      </c>
      <c r="X5703" s="221"/>
      <c r="Y5703" s="221"/>
      <c r="Z5703" s="221"/>
      <c r="AA5703" s="221"/>
      <c r="AB5703" s="223"/>
    </row>
    <row r="5704" spans="1:28" ht="17.100000000000001" customHeight="1" thickTop="1">
      <c r="A5704" s="226" t="s">
        <v>16287</v>
      </c>
      <c r="B5704" s="28">
        <v>46053</v>
      </c>
      <c r="C5704" s="25">
        <v>1286</v>
      </c>
      <c r="D5704" s="13" t="s">
        <v>3474</v>
      </c>
      <c r="E5704" s="228"/>
      <c r="F5704" s="109" t="s">
        <v>16302</v>
      </c>
      <c r="G5704" s="24" t="s">
        <v>5552</v>
      </c>
      <c r="H5704" s="230">
        <v>4</v>
      </c>
      <c r="I5704" s="220">
        <v>1480000</v>
      </c>
      <c r="J5704" s="220">
        <f>I5704*0.1</f>
        <v>148000</v>
      </c>
      <c r="K5704" s="220">
        <v>6600</v>
      </c>
      <c r="L5704" s="220">
        <v>9440</v>
      </c>
      <c r="M5704" s="220">
        <v>23100</v>
      </c>
      <c r="N5704" s="220">
        <f>SUM(I5704:M5705)</f>
        <v>1667140</v>
      </c>
      <c r="O5704" s="224"/>
      <c r="P5704" s="110" t="s">
        <v>16319</v>
      </c>
      <c r="Q5704" s="15" t="s">
        <v>19</v>
      </c>
      <c r="R5704" s="205"/>
      <c r="S5704" s="189" t="s">
        <v>283</v>
      </c>
      <c r="T5704" s="114"/>
      <c r="U5704" s="21"/>
      <c r="V5704" s="115">
        <v>46064</v>
      </c>
      <c r="W5704" s="116">
        <v>1004</v>
      </c>
      <c r="X5704" s="220">
        <v>1620000</v>
      </c>
      <c r="Y5704" s="220">
        <f>X5704*0.1</f>
        <v>162000</v>
      </c>
      <c r="Z5704" s="220">
        <v>9440</v>
      </c>
      <c r="AA5704" s="220">
        <f>SUM(X5704:Z5704)</f>
        <v>1791440</v>
      </c>
      <c r="AB5704" s="222">
        <v>46070</v>
      </c>
    </row>
    <row r="5705" spans="1:28" ht="17.100000000000001" customHeight="1" thickBot="1">
      <c r="A5705" s="227"/>
      <c r="B5705" s="27" t="s">
        <v>2472</v>
      </c>
      <c r="C5705" s="27">
        <v>31080</v>
      </c>
      <c r="D5705" s="14" t="s">
        <v>273</v>
      </c>
      <c r="E5705" s="229"/>
      <c r="F5705" s="117" t="s">
        <v>16303</v>
      </c>
      <c r="G5705" s="26">
        <v>37603</v>
      </c>
      <c r="H5705" s="231"/>
      <c r="I5705" s="221"/>
      <c r="J5705" s="221"/>
      <c r="K5705" s="221"/>
      <c r="L5705" s="221"/>
      <c r="M5705" s="221"/>
      <c r="N5705" s="221"/>
      <c r="O5705" s="225"/>
      <c r="P5705" s="118" t="s">
        <v>16610</v>
      </c>
      <c r="Q5705" s="16" t="s">
        <v>20</v>
      </c>
      <c r="R5705" s="17" t="s">
        <v>3494</v>
      </c>
      <c r="S5705" s="121" t="s">
        <v>169</v>
      </c>
      <c r="T5705" s="122"/>
      <c r="U5705" s="22"/>
      <c r="V5705" s="123" t="s">
        <v>2747</v>
      </c>
      <c r="W5705" s="122">
        <v>5021</v>
      </c>
      <c r="X5705" s="221"/>
      <c r="Y5705" s="221"/>
      <c r="Z5705" s="221"/>
      <c r="AA5705" s="221"/>
      <c r="AB5705" s="223"/>
    </row>
    <row r="5706" spans="1:28" ht="17.100000000000001" customHeight="1" thickTop="1">
      <c r="A5706" s="233" t="s">
        <v>16288</v>
      </c>
      <c r="B5706" s="28">
        <v>46053</v>
      </c>
      <c r="C5706" s="25">
        <v>1286</v>
      </c>
      <c r="D5706" s="13" t="s">
        <v>1053</v>
      </c>
      <c r="E5706" s="228"/>
      <c r="F5706" s="109" t="s">
        <v>16320</v>
      </c>
      <c r="G5706" s="24"/>
      <c r="H5706" s="230">
        <v>4.5</v>
      </c>
      <c r="I5706" s="220">
        <v>4175000</v>
      </c>
      <c r="J5706" s="220">
        <f>I5706*0.1</f>
        <v>417500</v>
      </c>
      <c r="K5706" s="220">
        <v>0</v>
      </c>
      <c r="L5706" s="220">
        <v>11040</v>
      </c>
      <c r="M5706" s="220">
        <v>12100</v>
      </c>
      <c r="N5706" s="220">
        <f>SUM(I5706:M5707)</f>
        <v>4615640</v>
      </c>
      <c r="O5706" s="224"/>
      <c r="P5706" s="110"/>
      <c r="Q5706" s="15" t="s">
        <v>19</v>
      </c>
      <c r="R5706" s="205"/>
      <c r="S5706" s="189" t="s">
        <v>25751</v>
      </c>
      <c r="T5706" s="114" t="s">
        <v>7899</v>
      </c>
      <c r="U5706" s="21"/>
      <c r="V5706" s="115"/>
      <c r="W5706" s="116"/>
      <c r="X5706" s="220"/>
      <c r="Y5706" s="220">
        <f>X5706*0.1</f>
        <v>0</v>
      </c>
      <c r="Z5706" s="220"/>
      <c r="AA5706" s="220">
        <f>SUM(X5706:Z5706)</f>
        <v>0</v>
      </c>
      <c r="AB5706" s="222"/>
    </row>
    <row r="5707" spans="1:28" ht="17.100000000000001" customHeight="1" thickBot="1">
      <c r="A5707" s="234"/>
      <c r="B5707" s="27" t="s">
        <v>2472</v>
      </c>
      <c r="C5707" s="27">
        <v>31182</v>
      </c>
      <c r="D5707" s="14" t="s">
        <v>273</v>
      </c>
      <c r="E5707" s="229"/>
      <c r="F5707" s="117" t="s">
        <v>16304</v>
      </c>
      <c r="G5707" s="26">
        <v>46438</v>
      </c>
      <c r="H5707" s="231"/>
      <c r="I5707" s="221"/>
      <c r="J5707" s="221"/>
      <c r="K5707" s="221"/>
      <c r="L5707" s="221"/>
      <c r="M5707" s="221"/>
      <c r="N5707" s="221"/>
      <c r="O5707" s="225"/>
      <c r="P5707" s="118"/>
      <c r="Q5707" s="16" t="s">
        <v>20</v>
      </c>
      <c r="R5707" s="17" t="s">
        <v>10331</v>
      </c>
      <c r="S5707" s="121"/>
      <c r="T5707" s="122"/>
      <c r="U5707" s="22"/>
      <c r="V5707" s="123"/>
      <c r="W5707" s="122"/>
      <c r="X5707" s="221"/>
      <c r="Y5707" s="221"/>
      <c r="Z5707" s="221"/>
      <c r="AA5707" s="221"/>
      <c r="AB5707" s="223"/>
    </row>
    <row r="5708" spans="1:28" ht="17.100000000000001" customHeight="1" thickTop="1">
      <c r="A5708" s="226" t="s">
        <v>16289</v>
      </c>
      <c r="B5708" s="28">
        <v>46053</v>
      </c>
      <c r="C5708" s="25">
        <v>1286</v>
      </c>
      <c r="D5708" s="13" t="s">
        <v>1976</v>
      </c>
      <c r="E5708" s="228"/>
      <c r="F5708" s="109" t="s">
        <v>15619</v>
      </c>
      <c r="G5708" s="24"/>
      <c r="H5708" s="230">
        <v>4.5</v>
      </c>
      <c r="I5708" s="220">
        <v>1305000</v>
      </c>
      <c r="J5708" s="220">
        <f>I5708*0.1</f>
        <v>130500</v>
      </c>
      <c r="K5708" s="220">
        <v>0</v>
      </c>
      <c r="L5708" s="220">
        <v>6850</v>
      </c>
      <c r="M5708" s="220">
        <v>12100</v>
      </c>
      <c r="N5708" s="220">
        <f>SUM(I5708:M5709)</f>
        <v>1454450</v>
      </c>
      <c r="O5708" s="224"/>
      <c r="P5708" s="110" t="s">
        <v>16652</v>
      </c>
      <c r="Q5708" s="15" t="s">
        <v>19</v>
      </c>
      <c r="R5708" s="205"/>
      <c r="S5708" s="189" t="s">
        <v>758</v>
      </c>
      <c r="T5708" s="114"/>
      <c r="U5708" s="21"/>
      <c r="V5708" s="115">
        <v>46064</v>
      </c>
      <c r="W5708" s="116">
        <v>1004</v>
      </c>
      <c r="X5708" s="220">
        <v>1395000</v>
      </c>
      <c r="Y5708" s="220">
        <f>X5708*0.1</f>
        <v>139500</v>
      </c>
      <c r="Z5708" s="220">
        <v>6580</v>
      </c>
      <c r="AA5708" s="220">
        <f>SUM(X5708:Z5708)</f>
        <v>1541080</v>
      </c>
      <c r="AB5708" s="222">
        <v>46070</v>
      </c>
    </row>
    <row r="5709" spans="1:28" ht="17.100000000000001" customHeight="1" thickBot="1">
      <c r="A5709" s="227"/>
      <c r="B5709" s="27" t="s">
        <v>2472</v>
      </c>
      <c r="C5709" s="27">
        <v>31378</v>
      </c>
      <c r="D5709" s="14" t="s">
        <v>2559</v>
      </c>
      <c r="E5709" s="229"/>
      <c r="F5709" s="117" t="s">
        <v>16305</v>
      </c>
      <c r="G5709" s="26">
        <v>33951</v>
      </c>
      <c r="H5709" s="231"/>
      <c r="I5709" s="221"/>
      <c r="J5709" s="221"/>
      <c r="K5709" s="221"/>
      <c r="L5709" s="221"/>
      <c r="M5709" s="221"/>
      <c r="N5709" s="221"/>
      <c r="O5709" s="225"/>
      <c r="P5709" s="118" t="s">
        <v>16653</v>
      </c>
      <c r="Q5709" s="16" t="s">
        <v>20</v>
      </c>
      <c r="R5709" s="17" t="s">
        <v>3269</v>
      </c>
      <c r="S5709" s="121" t="s">
        <v>1731</v>
      </c>
      <c r="T5709" s="122"/>
      <c r="U5709" s="22"/>
      <c r="V5709" s="123" t="s">
        <v>7161</v>
      </c>
      <c r="W5709" s="122">
        <v>2046</v>
      </c>
      <c r="X5709" s="221"/>
      <c r="Y5709" s="221"/>
      <c r="Z5709" s="221"/>
      <c r="AA5709" s="221"/>
      <c r="AB5709" s="223"/>
    </row>
    <row r="5710" spans="1:28" ht="17.100000000000001" customHeight="1" thickTop="1">
      <c r="A5710" s="226" t="s">
        <v>16372</v>
      </c>
      <c r="B5710" s="28">
        <v>46053</v>
      </c>
      <c r="C5710" s="25">
        <v>1286</v>
      </c>
      <c r="D5710" s="13" t="s">
        <v>1564</v>
      </c>
      <c r="E5710" s="228"/>
      <c r="F5710" s="109" t="s">
        <v>16306</v>
      </c>
      <c r="G5710" s="24" t="s">
        <v>16321</v>
      </c>
      <c r="H5710" s="230">
        <v>4.5</v>
      </c>
      <c r="I5710" s="220">
        <v>700000</v>
      </c>
      <c r="J5710" s="220">
        <f>I5710*0.1</f>
        <v>70000</v>
      </c>
      <c r="K5710" s="220">
        <v>6270</v>
      </c>
      <c r="L5710" s="220">
        <v>9130</v>
      </c>
      <c r="M5710" s="220">
        <v>13200</v>
      </c>
      <c r="N5710" s="220">
        <f>SUM(I5710:M5711)</f>
        <v>798600</v>
      </c>
      <c r="O5710" s="224"/>
      <c r="P5710" s="110" t="s">
        <v>16322</v>
      </c>
      <c r="Q5710" s="15" t="s">
        <v>19</v>
      </c>
      <c r="R5710" s="205"/>
      <c r="S5710" s="189" t="s">
        <v>25752</v>
      </c>
      <c r="T5710" s="114"/>
      <c r="U5710" s="21" t="s">
        <v>17615</v>
      </c>
      <c r="V5710" s="115">
        <v>46071</v>
      </c>
      <c r="W5710" s="116">
        <v>1005</v>
      </c>
      <c r="X5710" s="220">
        <v>800000</v>
      </c>
      <c r="Y5710" s="220">
        <f>X5710*0.1</f>
        <v>80000</v>
      </c>
      <c r="Z5710" s="220">
        <v>9130</v>
      </c>
      <c r="AA5710" s="220">
        <f>SUM(X5710:Z5710)</f>
        <v>889130</v>
      </c>
      <c r="AB5710" s="222">
        <v>46073</v>
      </c>
    </row>
    <row r="5711" spans="1:28" ht="17.100000000000001" customHeight="1" thickBot="1">
      <c r="A5711" s="227"/>
      <c r="B5711" s="27" t="s">
        <v>2472</v>
      </c>
      <c r="C5711" s="27">
        <v>37555</v>
      </c>
      <c r="D5711" s="14" t="s">
        <v>2559</v>
      </c>
      <c r="E5711" s="229"/>
      <c r="F5711" s="117" t="s">
        <v>16307</v>
      </c>
      <c r="G5711" s="26">
        <v>95981</v>
      </c>
      <c r="H5711" s="231"/>
      <c r="I5711" s="221"/>
      <c r="J5711" s="221"/>
      <c r="K5711" s="221"/>
      <c r="L5711" s="221"/>
      <c r="M5711" s="221"/>
      <c r="N5711" s="221"/>
      <c r="O5711" s="225"/>
      <c r="P5711" s="118" t="s">
        <v>16609</v>
      </c>
      <c r="Q5711" s="16" t="s">
        <v>20</v>
      </c>
      <c r="R5711" s="17" t="s">
        <v>3494</v>
      </c>
      <c r="S5711" s="121" t="s">
        <v>17795</v>
      </c>
      <c r="T5711" s="122"/>
      <c r="U5711" s="22"/>
      <c r="V5711" s="123" t="s">
        <v>2747</v>
      </c>
      <c r="W5711" s="122">
        <v>5173</v>
      </c>
      <c r="X5711" s="221"/>
      <c r="Y5711" s="221"/>
      <c r="Z5711" s="221"/>
      <c r="AA5711" s="221"/>
      <c r="AB5711" s="223"/>
    </row>
    <row r="5712" spans="1:28" ht="17.100000000000001" customHeight="1" thickTop="1">
      <c r="A5712" s="226" t="s">
        <v>16290</v>
      </c>
      <c r="B5712" s="28">
        <v>46053</v>
      </c>
      <c r="C5712" s="25">
        <v>1286</v>
      </c>
      <c r="D5712" s="13" t="s">
        <v>1778</v>
      </c>
      <c r="E5712" s="228"/>
      <c r="F5712" s="109" t="s">
        <v>16308</v>
      </c>
      <c r="G5712" s="24" t="s">
        <v>16323</v>
      </c>
      <c r="H5712" s="230">
        <v>4.5</v>
      </c>
      <c r="I5712" s="220">
        <v>545000</v>
      </c>
      <c r="J5712" s="220">
        <f>I5712*0.1</f>
        <v>54500</v>
      </c>
      <c r="K5712" s="220">
        <v>9460</v>
      </c>
      <c r="L5712" s="220">
        <v>14440</v>
      </c>
      <c r="M5712" s="220">
        <v>12100</v>
      </c>
      <c r="N5712" s="220">
        <f>SUM(I5712:M5713)</f>
        <v>635500</v>
      </c>
      <c r="O5712" s="224"/>
      <c r="P5712" s="110" t="s">
        <v>16324</v>
      </c>
      <c r="Q5712" s="15" t="s">
        <v>19</v>
      </c>
      <c r="R5712" s="205"/>
      <c r="S5712" s="189" t="s">
        <v>25684</v>
      </c>
      <c r="T5712" s="114"/>
      <c r="U5712" s="21"/>
      <c r="V5712" s="115">
        <v>46064</v>
      </c>
      <c r="W5712" s="116">
        <v>1004</v>
      </c>
      <c r="X5712" s="220">
        <v>670000</v>
      </c>
      <c r="Y5712" s="220">
        <f>X5712*0.1</f>
        <v>67000</v>
      </c>
      <c r="Z5712" s="220">
        <v>14440</v>
      </c>
      <c r="AA5712" s="220">
        <f>SUM(X5712:Z5712)</f>
        <v>751440</v>
      </c>
      <c r="AB5712" s="222">
        <v>46070</v>
      </c>
    </row>
    <row r="5713" spans="1:28" ht="17.100000000000001" customHeight="1" thickBot="1">
      <c r="A5713" s="227"/>
      <c r="B5713" s="27" t="s">
        <v>2472</v>
      </c>
      <c r="C5713" s="27">
        <v>37696</v>
      </c>
      <c r="D5713" s="14" t="s">
        <v>2559</v>
      </c>
      <c r="E5713" s="229"/>
      <c r="F5713" s="117" t="s">
        <v>16309</v>
      </c>
      <c r="G5713" s="26">
        <v>89983</v>
      </c>
      <c r="H5713" s="231"/>
      <c r="I5713" s="221"/>
      <c r="J5713" s="221"/>
      <c r="K5713" s="221"/>
      <c r="L5713" s="221"/>
      <c r="M5713" s="221"/>
      <c r="N5713" s="221"/>
      <c r="O5713" s="225"/>
      <c r="P5713" s="118" t="s">
        <v>16611</v>
      </c>
      <c r="Q5713" s="16" t="s">
        <v>20</v>
      </c>
      <c r="R5713" s="17" t="s">
        <v>3494</v>
      </c>
      <c r="S5713" s="121" t="s">
        <v>2025</v>
      </c>
      <c r="T5713" s="122"/>
      <c r="U5713" s="22"/>
      <c r="V5713" s="123" t="s">
        <v>2747</v>
      </c>
      <c r="W5713" s="122">
        <v>5019</v>
      </c>
      <c r="X5713" s="221"/>
      <c r="Y5713" s="221"/>
      <c r="Z5713" s="221"/>
      <c r="AA5713" s="221"/>
      <c r="AB5713" s="223"/>
    </row>
    <row r="5714" spans="1:28" ht="17.100000000000001" customHeight="1" thickTop="1">
      <c r="A5714" s="226" t="s">
        <v>16291</v>
      </c>
      <c r="B5714" s="28">
        <v>46053</v>
      </c>
      <c r="C5714" s="25">
        <v>1286</v>
      </c>
      <c r="D5714" s="13" t="s">
        <v>1853</v>
      </c>
      <c r="E5714" s="228"/>
      <c r="F5714" s="109" t="s">
        <v>2612</v>
      </c>
      <c r="G5714" s="24"/>
      <c r="H5714" s="230">
        <v>4</v>
      </c>
      <c r="I5714" s="220">
        <v>423000</v>
      </c>
      <c r="J5714" s="220">
        <f>I5714*0.1</f>
        <v>42300</v>
      </c>
      <c r="K5714" s="220">
        <v>0</v>
      </c>
      <c r="L5714" s="220">
        <v>17700</v>
      </c>
      <c r="M5714" s="220">
        <v>16500</v>
      </c>
      <c r="N5714" s="220">
        <f>SUM(I5714:M5715)</f>
        <v>499500</v>
      </c>
      <c r="O5714" s="224"/>
      <c r="P5714" s="110" t="s">
        <v>16570</v>
      </c>
      <c r="Q5714" s="15" t="s">
        <v>19</v>
      </c>
      <c r="R5714" s="205"/>
      <c r="S5714" s="189" t="s">
        <v>758</v>
      </c>
      <c r="T5714" s="114"/>
      <c r="U5714" s="21"/>
      <c r="V5714" s="115">
        <v>46060</v>
      </c>
      <c r="W5714" s="116">
        <v>1287</v>
      </c>
      <c r="X5714" s="220">
        <v>500000</v>
      </c>
      <c r="Y5714" s="220">
        <f>X5714*0.1</f>
        <v>50000</v>
      </c>
      <c r="Z5714" s="220">
        <v>17700</v>
      </c>
      <c r="AA5714" s="220">
        <f>SUM(X5714:Z5714)</f>
        <v>567700</v>
      </c>
      <c r="AB5714" s="222">
        <v>46063</v>
      </c>
    </row>
    <row r="5715" spans="1:28" ht="17.100000000000001" customHeight="1" thickBot="1">
      <c r="A5715" s="227"/>
      <c r="B5715" s="27" t="s">
        <v>2472</v>
      </c>
      <c r="C5715" s="27">
        <v>53445</v>
      </c>
      <c r="D5715" s="14" t="s">
        <v>1584</v>
      </c>
      <c r="E5715" s="229"/>
      <c r="F5715" s="117" t="s">
        <v>15715</v>
      </c>
      <c r="G5715" s="26">
        <v>103360</v>
      </c>
      <c r="H5715" s="231"/>
      <c r="I5715" s="221"/>
      <c r="J5715" s="221"/>
      <c r="K5715" s="221"/>
      <c r="L5715" s="221"/>
      <c r="M5715" s="221"/>
      <c r="N5715" s="221"/>
      <c r="O5715" s="225"/>
      <c r="P5715" s="118" t="s">
        <v>16571</v>
      </c>
      <c r="Q5715" s="16" t="s">
        <v>20</v>
      </c>
      <c r="R5715" s="17" t="s">
        <v>3494</v>
      </c>
      <c r="S5715" s="121" t="s">
        <v>1731</v>
      </c>
      <c r="T5715" s="122"/>
      <c r="U5715" s="22"/>
      <c r="V5715" s="123" t="s">
        <v>2472</v>
      </c>
      <c r="W5715" s="122">
        <v>80081</v>
      </c>
      <c r="X5715" s="221"/>
      <c r="Y5715" s="221"/>
      <c r="Z5715" s="221"/>
      <c r="AA5715" s="221"/>
      <c r="AB5715" s="223"/>
    </row>
    <row r="5716" spans="1:28" ht="17.100000000000001" customHeight="1" thickTop="1">
      <c r="A5716" s="226" t="s">
        <v>16292</v>
      </c>
      <c r="B5716" s="28">
        <v>46053</v>
      </c>
      <c r="C5716" s="25">
        <v>1286</v>
      </c>
      <c r="D5716" s="13" t="s">
        <v>2010</v>
      </c>
      <c r="E5716" s="228"/>
      <c r="F5716" s="109" t="s">
        <v>16310</v>
      </c>
      <c r="G5716" s="24" t="s">
        <v>3482</v>
      </c>
      <c r="H5716" s="230">
        <v>5</v>
      </c>
      <c r="I5716" s="220">
        <v>1425000</v>
      </c>
      <c r="J5716" s="220">
        <f>I5716*0.1</f>
        <v>142500</v>
      </c>
      <c r="K5716" s="220">
        <v>0</v>
      </c>
      <c r="L5716" s="220">
        <v>8200</v>
      </c>
      <c r="M5716" s="220">
        <v>11000</v>
      </c>
      <c r="N5716" s="220">
        <f>SUM(I5716:M5717)</f>
        <v>1586700</v>
      </c>
      <c r="O5716" s="224"/>
      <c r="P5716" s="110" t="s">
        <v>16325</v>
      </c>
      <c r="Q5716" s="15" t="s">
        <v>19</v>
      </c>
      <c r="R5716" s="205"/>
      <c r="S5716" s="189"/>
      <c r="T5716" s="114"/>
      <c r="U5716" s="21"/>
      <c r="V5716" s="115">
        <v>46056</v>
      </c>
      <c r="W5716" s="116">
        <v>1927</v>
      </c>
      <c r="X5716" s="220">
        <v>1524000</v>
      </c>
      <c r="Y5716" s="220">
        <f>X5716*0.1</f>
        <v>152400</v>
      </c>
      <c r="Z5716" s="220">
        <v>8200</v>
      </c>
      <c r="AA5716" s="220">
        <f>SUM(X5716:Z5716)</f>
        <v>1684600</v>
      </c>
      <c r="AB5716" s="222">
        <v>46063</v>
      </c>
    </row>
    <row r="5717" spans="1:28" ht="17.100000000000001" customHeight="1" thickBot="1">
      <c r="A5717" s="227"/>
      <c r="B5717" s="27" t="s">
        <v>2472</v>
      </c>
      <c r="C5717" s="27">
        <v>62026</v>
      </c>
      <c r="D5717" s="14" t="s">
        <v>1584</v>
      </c>
      <c r="E5717" s="229"/>
      <c r="F5717" s="117" t="s">
        <v>16311</v>
      </c>
      <c r="G5717" s="26">
        <v>21220</v>
      </c>
      <c r="H5717" s="231"/>
      <c r="I5717" s="221"/>
      <c r="J5717" s="221"/>
      <c r="K5717" s="221"/>
      <c r="L5717" s="221"/>
      <c r="M5717" s="221"/>
      <c r="N5717" s="221"/>
      <c r="O5717" s="225"/>
      <c r="P5717" s="118" t="s">
        <v>3355</v>
      </c>
      <c r="Q5717" s="16" t="s">
        <v>20</v>
      </c>
      <c r="R5717" s="17" t="s">
        <v>3494</v>
      </c>
      <c r="S5717" s="121" t="s">
        <v>169</v>
      </c>
      <c r="T5717" s="122"/>
      <c r="U5717" s="22"/>
      <c r="V5717" s="123" t="s">
        <v>2103</v>
      </c>
      <c r="W5717" s="122">
        <v>3409</v>
      </c>
      <c r="X5717" s="221"/>
      <c r="Y5717" s="221"/>
      <c r="Z5717" s="221"/>
      <c r="AA5717" s="221"/>
      <c r="AB5717" s="223"/>
    </row>
    <row r="5718" spans="1:28" ht="17.100000000000001" customHeight="1" thickTop="1">
      <c r="A5718" s="226" t="s">
        <v>16293</v>
      </c>
      <c r="B5718" s="28">
        <v>46053</v>
      </c>
      <c r="C5718" s="25">
        <v>1286</v>
      </c>
      <c r="D5718" s="13" t="s">
        <v>1702</v>
      </c>
      <c r="E5718" s="228"/>
      <c r="F5718" s="109" t="s">
        <v>16312</v>
      </c>
      <c r="G5718" s="24" t="s">
        <v>16326</v>
      </c>
      <c r="H5718" s="230">
        <v>4</v>
      </c>
      <c r="I5718" s="220">
        <v>655000</v>
      </c>
      <c r="J5718" s="220">
        <f>I5718*0.1</f>
        <v>65500</v>
      </c>
      <c r="K5718" s="220">
        <v>0</v>
      </c>
      <c r="L5718" s="220">
        <v>9790</v>
      </c>
      <c r="M5718" s="220">
        <v>12100</v>
      </c>
      <c r="N5718" s="220">
        <f>SUM(I5718:M5719)</f>
        <v>742390</v>
      </c>
      <c r="O5718" s="224"/>
      <c r="P5718" s="110" t="s">
        <v>16327</v>
      </c>
      <c r="Q5718" s="15" t="s">
        <v>19</v>
      </c>
      <c r="R5718" s="205"/>
      <c r="S5718" s="189" t="s">
        <v>758</v>
      </c>
      <c r="T5718" s="114"/>
      <c r="U5718" s="21"/>
      <c r="V5718" s="115">
        <v>46057</v>
      </c>
      <c r="W5718" s="116">
        <v>1003</v>
      </c>
      <c r="X5718" s="220">
        <v>750000</v>
      </c>
      <c r="Y5718" s="220">
        <f>X5718*0.1</f>
        <v>75000</v>
      </c>
      <c r="Z5718" s="220">
        <v>9790</v>
      </c>
      <c r="AA5718" s="220">
        <f>SUM(X5718:Z5718)</f>
        <v>834790</v>
      </c>
      <c r="AB5718" s="222">
        <v>46063</v>
      </c>
    </row>
    <row r="5719" spans="1:28" ht="17.100000000000001" customHeight="1" thickBot="1">
      <c r="A5719" s="227"/>
      <c r="B5719" s="27" t="s">
        <v>2472</v>
      </c>
      <c r="C5719" s="27">
        <v>65004</v>
      </c>
      <c r="D5719" s="14" t="s">
        <v>273</v>
      </c>
      <c r="E5719" s="229"/>
      <c r="F5719" s="117" t="s">
        <v>16313</v>
      </c>
      <c r="G5719" s="26">
        <v>75410</v>
      </c>
      <c r="H5719" s="231"/>
      <c r="I5719" s="221"/>
      <c r="J5719" s="221"/>
      <c r="K5719" s="221"/>
      <c r="L5719" s="221"/>
      <c r="M5719" s="221"/>
      <c r="N5719" s="221"/>
      <c r="O5719" s="225"/>
      <c r="P5719" s="118" t="s">
        <v>16608</v>
      </c>
      <c r="Q5719" s="16" t="s">
        <v>20</v>
      </c>
      <c r="R5719" s="17" t="s">
        <v>3494</v>
      </c>
      <c r="S5719" s="121" t="s">
        <v>4530</v>
      </c>
      <c r="T5719" s="122" t="s">
        <v>4717</v>
      </c>
      <c r="U5719" s="22"/>
      <c r="V5719" s="123" t="s">
        <v>8648</v>
      </c>
      <c r="W5719" s="122">
        <v>2090</v>
      </c>
      <c r="X5719" s="221"/>
      <c r="Y5719" s="221"/>
      <c r="Z5719" s="221"/>
      <c r="AA5719" s="221"/>
      <c r="AB5719" s="223"/>
    </row>
    <row r="5720" spans="1:28" ht="17.100000000000001" customHeight="1" thickTop="1">
      <c r="A5720" s="226" t="s">
        <v>16294</v>
      </c>
      <c r="B5720" s="28">
        <v>46053</v>
      </c>
      <c r="C5720" s="25">
        <v>1286</v>
      </c>
      <c r="D5720" s="13" t="s">
        <v>2892</v>
      </c>
      <c r="E5720" s="228"/>
      <c r="F5720" s="109" t="s">
        <v>16314</v>
      </c>
      <c r="G5720" s="24" t="s">
        <v>10068</v>
      </c>
      <c r="H5720" s="230">
        <v>4.5</v>
      </c>
      <c r="I5720" s="220">
        <v>1550000</v>
      </c>
      <c r="J5720" s="220">
        <f>I5720*0.1</f>
        <v>155000</v>
      </c>
      <c r="K5720" s="220">
        <v>7150</v>
      </c>
      <c r="L5720" s="220">
        <v>14760</v>
      </c>
      <c r="M5720" s="220">
        <v>23100</v>
      </c>
      <c r="N5720" s="220">
        <f>SUM(I5720:M5721)</f>
        <v>1750010</v>
      </c>
      <c r="O5720" s="224"/>
      <c r="P5720" s="110" t="s">
        <v>16329</v>
      </c>
      <c r="Q5720" s="15" t="s">
        <v>19</v>
      </c>
      <c r="R5720" s="205"/>
      <c r="S5720" s="189" t="s">
        <v>25753</v>
      </c>
      <c r="T5720" s="114"/>
      <c r="U5720" s="21"/>
      <c r="V5720" s="115">
        <v>46078</v>
      </c>
      <c r="W5720" s="116">
        <v>1006</v>
      </c>
      <c r="X5720" s="220">
        <v>1720000</v>
      </c>
      <c r="Y5720" s="220">
        <f>X5720*0.1</f>
        <v>172000</v>
      </c>
      <c r="Z5720" s="220">
        <v>14760</v>
      </c>
      <c r="AA5720" s="220">
        <f>SUM(X5720:Z5720)</f>
        <v>1906760</v>
      </c>
      <c r="AB5720" s="222">
        <v>46083</v>
      </c>
    </row>
    <row r="5721" spans="1:28" ht="17.100000000000001" customHeight="1" thickBot="1">
      <c r="A5721" s="227"/>
      <c r="B5721" s="27" t="s">
        <v>2472</v>
      </c>
      <c r="C5721" s="27">
        <v>81086</v>
      </c>
      <c r="D5721" s="14" t="s">
        <v>898</v>
      </c>
      <c r="E5721" s="229"/>
      <c r="F5721" s="117" t="s">
        <v>16328</v>
      </c>
      <c r="G5721" s="26">
        <v>51528</v>
      </c>
      <c r="H5721" s="231"/>
      <c r="I5721" s="221"/>
      <c r="J5721" s="221"/>
      <c r="K5721" s="221"/>
      <c r="L5721" s="221"/>
      <c r="M5721" s="221"/>
      <c r="N5721" s="221"/>
      <c r="O5721" s="225"/>
      <c r="P5721" s="118" t="s">
        <v>16569</v>
      </c>
      <c r="Q5721" s="16" t="s">
        <v>20</v>
      </c>
      <c r="R5721" s="17" t="s">
        <v>3494</v>
      </c>
      <c r="S5721" s="121" t="s">
        <v>1731</v>
      </c>
      <c r="T5721" s="122"/>
      <c r="U5721" s="22"/>
      <c r="V5721" s="123" t="s">
        <v>2747</v>
      </c>
      <c r="W5721" s="122">
        <v>5050</v>
      </c>
      <c r="X5721" s="221"/>
      <c r="Y5721" s="221"/>
      <c r="Z5721" s="221"/>
      <c r="AA5721" s="221"/>
      <c r="AB5721" s="223"/>
    </row>
    <row r="5722" spans="1:28" ht="17.100000000000001" customHeight="1" thickTop="1">
      <c r="A5722" s="226" t="s">
        <v>16295</v>
      </c>
      <c r="B5722" s="28">
        <v>46053</v>
      </c>
      <c r="C5722" s="25">
        <v>1286</v>
      </c>
      <c r="D5722" s="13" t="s">
        <v>1702</v>
      </c>
      <c r="E5722" s="228"/>
      <c r="F5722" s="109" t="s">
        <v>16330</v>
      </c>
      <c r="G5722" s="24"/>
      <c r="H5722" s="230">
        <v>4</v>
      </c>
      <c r="I5722" s="220">
        <v>1485000</v>
      </c>
      <c r="J5722" s="220">
        <f>I5722*0.1</f>
        <v>148500</v>
      </c>
      <c r="K5722" s="220">
        <v>0</v>
      </c>
      <c r="L5722" s="220">
        <v>21090</v>
      </c>
      <c r="M5722" s="220">
        <v>16500</v>
      </c>
      <c r="N5722" s="220">
        <f>SUM(I5722:M5723)</f>
        <v>1671090</v>
      </c>
      <c r="O5722" s="224"/>
      <c r="P5722" s="110" t="s">
        <v>16650</v>
      </c>
      <c r="Q5722" s="15" t="s">
        <v>19</v>
      </c>
      <c r="R5722" s="205"/>
      <c r="S5722" s="189" t="s">
        <v>25507</v>
      </c>
      <c r="T5722" s="114"/>
      <c r="U5722" s="21"/>
      <c r="V5722" s="115"/>
      <c r="W5722" s="116"/>
      <c r="X5722" s="220"/>
      <c r="Y5722" s="220">
        <f>X5722*0.1</f>
        <v>0</v>
      </c>
      <c r="Z5722" s="220"/>
      <c r="AA5722" s="220">
        <f>SUM(X5722:Z5722)</f>
        <v>0</v>
      </c>
      <c r="AB5722" s="222"/>
    </row>
    <row r="5723" spans="1:28" ht="17.100000000000001" customHeight="1" thickBot="1">
      <c r="A5723" s="227"/>
      <c r="B5723" s="27" t="s">
        <v>2472</v>
      </c>
      <c r="C5723" s="27">
        <v>82012</v>
      </c>
      <c r="D5723" s="14" t="s">
        <v>273</v>
      </c>
      <c r="E5723" s="229"/>
      <c r="F5723" s="117" t="s">
        <v>16331</v>
      </c>
      <c r="G5723" s="26">
        <v>35617</v>
      </c>
      <c r="H5723" s="231"/>
      <c r="I5723" s="221"/>
      <c r="J5723" s="221"/>
      <c r="K5723" s="221"/>
      <c r="L5723" s="221"/>
      <c r="M5723" s="221"/>
      <c r="N5723" s="221"/>
      <c r="O5723" s="225"/>
      <c r="P5723" s="118" t="s">
        <v>1844</v>
      </c>
      <c r="Q5723" s="16" t="s">
        <v>20</v>
      </c>
      <c r="R5723" s="17" t="s">
        <v>3269</v>
      </c>
      <c r="S5723" s="121" t="s">
        <v>1606</v>
      </c>
      <c r="T5723" s="122"/>
      <c r="U5723" s="22"/>
      <c r="V5723" s="123"/>
      <c r="W5723" s="122"/>
      <c r="X5723" s="221"/>
      <c r="Y5723" s="221"/>
      <c r="Z5723" s="221"/>
      <c r="AA5723" s="221"/>
      <c r="AB5723" s="223"/>
    </row>
    <row r="5724" spans="1:28" ht="17.100000000000001" customHeight="1" thickTop="1">
      <c r="A5724" s="226" t="s">
        <v>16296</v>
      </c>
      <c r="B5724" s="28">
        <v>46053</v>
      </c>
      <c r="C5724" s="25">
        <v>1286</v>
      </c>
      <c r="D5724" s="13" t="s">
        <v>1632</v>
      </c>
      <c r="E5724" s="228"/>
      <c r="F5724" s="109" t="s">
        <v>16315</v>
      </c>
      <c r="G5724" s="24"/>
      <c r="H5724" s="230">
        <v>4</v>
      </c>
      <c r="I5724" s="220">
        <v>390000</v>
      </c>
      <c r="J5724" s="220">
        <f>I5724*0.1</f>
        <v>39000</v>
      </c>
      <c r="K5724" s="220">
        <v>0</v>
      </c>
      <c r="L5724" s="220">
        <v>18960</v>
      </c>
      <c r="M5724" s="220">
        <v>16500</v>
      </c>
      <c r="N5724" s="220">
        <f>SUM(I5724:M5725)</f>
        <v>464460</v>
      </c>
      <c r="O5724" s="224"/>
      <c r="P5724" s="110" t="s">
        <v>16567</v>
      </c>
      <c r="Q5724" s="15" t="s">
        <v>19</v>
      </c>
      <c r="R5724" s="205"/>
      <c r="S5724" s="189" t="s">
        <v>25386</v>
      </c>
      <c r="T5724" s="114"/>
      <c r="U5724" s="21"/>
      <c r="V5724" s="115">
        <v>46060</v>
      </c>
      <c r="W5724" s="116">
        <v>1287</v>
      </c>
      <c r="X5724" s="220">
        <v>535000</v>
      </c>
      <c r="Y5724" s="220">
        <f>X5724*0.1</f>
        <v>53500</v>
      </c>
      <c r="Z5724" s="220">
        <v>18980</v>
      </c>
      <c r="AA5724" s="220">
        <f>SUM(X5724:Z5724)</f>
        <v>607480</v>
      </c>
      <c r="AB5724" s="222">
        <v>46063</v>
      </c>
    </row>
    <row r="5725" spans="1:28" ht="17.100000000000001" customHeight="1" thickBot="1">
      <c r="A5725" s="227"/>
      <c r="B5725" s="27" t="s">
        <v>2472</v>
      </c>
      <c r="C5725" s="27">
        <v>82085</v>
      </c>
      <c r="D5725" s="14" t="s">
        <v>1584</v>
      </c>
      <c r="E5725" s="229"/>
      <c r="F5725" s="117" t="s">
        <v>16332</v>
      </c>
      <c r="G5725" s="26">
        <v>64392</v>
      </c>
      <c r="H5725" s="231"/>
      <c r="I5725" s="221"/>
      <c r="J5725" s="221"/>
      <c r="K5725" s="221"/>
      <c r="L5725" s="221"/>
      <c r="M5725" s="221"/>
      <c r="N5725" s="221"/>
      <c r="O5725" s="225"/>
      <c r="P5725" s="118" t="s">
        <v>2404</v>
      </c>
      <c r="Q5725" s="16" t="s">
        <v>20</v>
      </c>
      <c r="R5725" s="17" t="s">
        <v>3494</v>
      </c>
      <c r="S5725" s="121" t="s">
        <v>16568</v>
      </c>
      <c r="T5725" s="122"/>
      <c r="U5725" s="22"/>
      <c r="V5725" s="123" t="s">
        <v>2472</v>
      </c>
      <c r="W5725" s="122">
        <v>80069</v>
      </c>
      <c r="X5725" s="221"/>
      <c r="Y5725" s="221"/>
      <c r="Z5725" s="221"/>
      <c r="AA5725" s="221"/>
      <c r="AB5725" s="223"/>
    </row>
    <row r="5726" spans="1:28" ht="17.100000000000001" customHeight="1" thickTop="1">
      <c r="A5726" s="226" t="s">
        <v>16297</v>
      </c>
      <c r="B5726" s="28">
        <v>46053</v>
      </c>
      <c r="C5726" s="25">
        <v>1286</v>
      </c>
      <c r="D5726" s="13" t="s">
        <v>2406</v>
      </c>
      <c r="E5726" s="228"/>
      <c r="F5726" s="109" t="s">
        <v>16316</v>
      </c>
      <c r="G5726" s="24"/>
      <c r="H5726" s="230">
        <v>4.5</v>
      </c>
      <c r="I5726" s="220">
        <v>1500000</v>
      </c>
      <c r="J5726" s="220">
        <f>I5726*0.1</f>
        <v>150000</v>
      </c>
      <c r="K5726" s="220">
        <v>0</v>
      </c>
      <c r="L5726" s="220">
        <v>16160</v>
      </c>
      <c r="M5726" s="220">
        <v>23100</v>
      </c>
      <c r="N5726" s="220">
        <f>SUM(I5726:M5727)</f>
        <v>1689260</v>
      </c>
      <c r="O5726" s="224"/>
      <c r="P5726" s="110" t="s">
        <v>16591</v>
      </c>
      <c r="Q5726" s="15" t="s">
        <v>19</v>
      </c>
      <c r="R5726" s="205"/>
      <c r="S5726" s="189" t="s">
        <v>455</v>
      </c>
      <c r="T5726" s="114"/>
      <c r="U5726" s="21"/>
      <c r="V5726" s="115">
        <v>46058</v>
      </c>
      <c r="W5726" s="116">
        <v>1317</v>
      </c>
      <c r="X5726" s="220">
        <v>1705000</v>
      </c>
      <c r="Y5726" s="220">
        <f>X5726*0.1</f>
        <v>170500</v>
      </c>
      <c r="Z5726" s="220">
        <v>16160</v>
      </c>
      <c r="AA5726" s="220">
        <f>SUM(X5726:Z5726)</f>
        <v>1891660</v>
      </c>
      <c r="AB5726" s="222">
        <v>46059</v>
      </c>
    </row>
    <row r="5727" spans="1:28" ht="17.100000000000001" customHeight="1" thickBot="1">
      <c r="A5727" s="227"/>
      <c r="B5727" s="27" t="s">
        <v>2472</v>
      </c>
      <c r="C5727" s="27">
        <v>82249</v>
      </c>
      <c r="D5727" s="14" t="s">
        <v>1690</v>
      </c>
      <c r="E5727" s="229"/>
      <c r="F5727" s="117" t="s">
        <v>16333</v>
      </c>
      <c r="G5727" s="26">
        <v>51908</v>
      </c>
      <c r="H5727" s="231"/>
      <c r="I5727" s="221"/>
      <c r="J5727" s="221"/>
      <c r="K5727" s="221"/>
      <c r="L5727" s="221"/>
      <c r="M5727" s="221"/>
      <c r="N5727" s="221"/>
      <c r="O5727" s="225"/>
      <c r="P5727" s="118" t="s">
        <v>16592</v>
      </c>
      <c r="Q5727" s="16" t="s">
        <v>20</v>
      </c>
      <c r="R5727" s="17" t="s">
        <v>3494</v>
      </c>
      <c r="S5727" s="121" t="s">
        <v>1625</v>
      </c>
      <c r="T5727" s="122"/>
      <c r="U5727" s="22"/>
      <c r="V5727" s="123" t="s">
        <v>13379</v>
      </c>
      <c r="W5727" s="122">
        <v>177</v>
      </c>
      <c r="X5727" s="221"/>
      <c r="Y5727" s="221"/>
      <c r="Z5727" s="221"/>
      <c r="AA5727" s="221"/>
      <c r="AB5727" s="223"/>
    </row>
    <row r="5728" spans="1:28" ht="17.100000000000001" customHeight="1" thickTop="1">
      <c r="A5728" s="226" t="s">
        <v>16298</v>
      </c>
      <c r="B5728" s="28">
        <v>46053</v>
      </c>
      <c r="C5728" s="25">
        <v>1286</v>
      </c>
      <c r="D5728" s="13" t="s">
        <v>2264</v>
      </c>
      <c r="E5728" s="228"/>
      <c r="F5728" s="109" t="s">
        <v>15707</v>
      </c>
      <c r="G5728" s="24"/>
      <c r="H5728" s="230">
        <v>4.5</v>
      </c>
      <c r="I5728" s="220">
        <v>2095000</v>
      </c>
      <c r="J5728" s="220">
        <f>I5728*0.1</f>
        <v>209500</v>
      </c>
      <c r="K5728" s="220">
        <v>0</v>
      </c>
      <c r="L5728" s="220">
        <v>16240</v>
      </c>
      <c r="M5728" s="220">
        <v>16500</v>
      </c>
      <c r="N5728" s="220">
        <f>SUM(I5728:M5729)</f>
        <v>2337240</v>
      </c>
      <c r="O5728" s="224"/>
      <c r="P5728" s="110" t="s">
        <v>16572</v>
      </c>
      <c r="Q5728" s="15" t="s">
        <v>19</v>
      </c>
      <c r="R5728" s="205"/>
      <c r="S5728" s="189" t="s">
        <v>25754</v>
      </c>
      <c r="T5728" s="114"/>
      <c r="U5728" s="21"/>
      <c r="V5728" s="115">
        <v>46082</v>
      </c>
      <c r="W5728" s="116"/>
      <c r="X5728" s="220">
        <v>3530000</v>
      </c>
      <c r="Y5728" s="220">
        <v>0</v>
      </c>
      <c r="Z5728" s="220">
        <v>0</v>
      </c>
      <c r="AA5728" s="220">
        <f>SUM(X5728:Z5728)</f>
        <v>3530000</v>
      </c>
      <c r="AB5728" s="222">
        <v>46111</v>
      </c>
    </row>
    <row r="5729" spans="1:28" ht="17.100000000000001" customHeight="1" thickBot="1">
      <c r="A5729" s="227"/>
      <c r="B5729" s="27" t="s">
        <v>2472</v>
      </c>
      <c r="C5729" s="27">
        <v>82331</v>
      </c>
      <c r="D5729" s="14" t="s">
        <v>273</v>
      </c>
      <c r="E5729" s="229"/>
      <c r="F5729" s="117" t="s">
        <v>16334</v>
      </c>
      <c r="G5729" s="26">
        <v>43432</v>
      </c>
      <c r="H5729" s="231"/>
      <c r="I5729" s="221"/>
      <c r="J5729" s="221"/>
      <c r="K5729" s="221"/>
      <c r="L5729" s="221"/>
      <c r="M5729" s="221"/>
      <c r="N5729" s="221"/>
      <c r="O5729" s="225"/>
      <c r="P5729" s="118" t="s">
        <v>4487</v>
      </c>
      <c r="Q5729" s="16" t="s">
        <v>20</v>
      </c>
      <c r="R5729" s="17" t="s">
        <v>3494</v>
      </c>
      <c r="S5729" s="121" t="s">
        <v>9618</v>
      </c>
      <c r="T5729" s="122"/>
      <c r="U5729" s="22"/>
      <c r="V5729" s="123" t="s">
        <v>23947</v>
      </c>
      <c r="W5729" s="122"/>
      <c r="X5729" s="221"/>
      <c r="Y5729" s="221"/>
      <c r="Z5729" s="221"/>
      <c r="AA5729" s="221"/>
      <c r="AB5729" s="223"/>
    </row>
    <row r="5730" spans="1:28" ht="17.100000000000001" customHeight="1" thickTop="1">
      <c r="A5730" s="226" t="s">
        <v>16299</v>
      </c>
      <c r="B5730" s="28">
        <v>46053</v>
      </c>
      <c r="C5730" s="25">
        <v>1286</v>
      </c>
      <c r="D5730" s="13" t="s">
        <v>2073</v>
      </c>
      <c r="E5730" s="228"/>
      <c r="F5730" s="109" t="s">
        <v>16317</v>
      </c>
      <c r="G5730" s="24" t="s">
        <v>4239</v>
      </c>
      <c r="H5730" s="230">
        <v>4.5</v>
      </c>
      <c r="I5730" s="220">
        <v>1275000</v>
      </c>
      <c r="J5730" s="220">
        <f>I5730*0.1</f>
        <v>127500</v>
      </c>
      <c r="K5730" s="220">
        <v>7150</v>
      </c>
      <c r="L5730" s="220">
        <v>20540</v>
      </c>
      <c r="M5730" s="220">
        <v>16500</v>
      </c>
      <c r="N5730" s="220">
        <f>SUM(I5730:M5731)</f>
        <v>1446690</v>
      </c>
      <c r="O5730" s="224"/>
      <c r="P5730" s="110" t="s">
        <v>16336</v>
      </c>
      <c r="Q5730" s="15" t="s">
        <v>19</v>
      </c>
      <c r="R5730" s="205"/>
      <c r="S5730" s="189" t="s">
        <v>758</v>
      </c>
      <c r="T5730" s="114"/>
      <c r="U5730" s="21" t="s">
        <v>17026</v>
      </c>
      <c r="V5730" s="115">
        <v>46067</v>
      </c>
      <c r="W5730" s="116">
        <v>1288</v>
      </c>
      <c r="X5730" s="220">
        <v>1395000</v>
      </c>
      <c r="Y5730" s="220">
        <f>X5730*0.1</f>
        <v>139500</v>
      </c>
      <c r="Z5730" s="220">
        <v>20540</v>
      </c>
      <c r="AA5730" s="220">
        <f>SUM(X5730:Z5730)</f>
        <v>1555040</v>
      </c>
      <c r="AB5730" s="222">
        <v>46070</v>
      </c>
    </row>
    <row r="5731" spans="1:28" ht="17.100000000000001" customHeight="1" thickBot="1">
      <c r="A5731" s="227"/>
      <c r="B5731" s="27" t="s">
        <v>2472</v>
      </c>
      <c r="C5731" s="27">
        <v>82416</v>
      </c>
      <c r="D5731" s="14" t="s">
        <v>1584</v>
      </c>
      <c r="E5731" s="229"/>
      <c r="F5731" s="117" t="s">
        <v>16335</v>
      </c>
      <c r="G5731" s="26">
        <v>62346</v>
      </c>
      <c r="H5731" s="231"/>
      <c r="I5731" s="221"/>
      <c r="J5731" s="221"/>
      <c r="K5731" s="221"/>
      <c r="L5731" s="221"/>
      <c r="M5731" s="221"/>
      <c r="N5731" s="221"/>
      <c r="O5731" s="225"/>
      <c r="P5731" s="118" t="s">
        <v>16573</v>
      </c>
      <c r="Q5731" s="16" t="s">
        <v>20</v>
      </c>
      <c r="R5731" s="17" t="s">
        <v>3494</v>
      </c>
      <c r="S5731" s="121" t="s">
        <v>16574</v>
      </c>
      <c r="T5731" s="122"/>
      <c r="U5731" s="22"/>
      <c r="V5731" s="123" t="s">
        <v>2472</v>
      </c>
      <c r="W5731" s="122">
        <v>80313</v>
      </c>
      <c r="X5731" s="221"/>
      <c r="Y5731" s="221"/>
      <c r="Z5731" s="221"/>
      <c r="AA5731" s="221"/>
      <c r="AB5731" s="223"/>
    </row>
    <row r="5732" spans="1:28" ht="17.100000000000001" customHeight="1" thickTop="1">
      <c r="A5732" s="226" t="s">
        <v>16376</v>
      </c>
      <c r="B5732" s="28">
        <v>46055</v>
      </c>
      <c r="C5732" s="25">
        <v>2079</v>
      </c>
      <c r="D5732" s="13" t="s">
        <v>5521</v>
      </c>
      <c r="E5732" s="228"/>
      <c r="F5732" s="109" t="s">
        <v>16355</v>
      </c>
      <c r="G5732" s="24" t="s">
        <v>1551</v>
      </c>
      <c r="H5732" s="230">
        <v>4.5</v>
      </c>
      <c r="I5732" s="220">
        <v>434000</v>
      </c>
      <c r="J5732" s="220">
        <f>I5732*0.1</f>
        <v>43400</v>
      </c>
      <c r="K5732" s="220">
        <f>3200+320</f>
        <v>3520</v>
      </c>
      <c r="L5732" s="220">
        <v>19440</v>
      </c>
      <c r="M5732" s="220">
        <v>11000</v>
      </c>
      <c r="N5732" s="220">
        <f>SUM(I5732:M5733)</f>
        <v>511360</v>
      </c>
      <c r="O5732" s="224"/>
      <c r="P5732" s="110" t="s">
        <v>16357</v>
      </c>
      <c r="Q5732" s="15" t="s">
        <v>19</v>
      </c>
      <c r="R5732" s="205"/>
      <c r="S5732" s="189" t="s">
        <v>1361</v>
      </c>
      <c r="T5732" s="114"/>
      <c r="U5732" s="21"/>
      <c r="V5732" s="115">
        <v>46060</v>
      </c>
      <c r="W5732" s="116">
        <v>1287</v>
      </c>
      <c r="X5732" s="220">
        <v>520000</v>
      </c>
      <c r="Y5732" s="220">
        <f>X5732*0.1</f>
        <v>52000</v>
      </c>
      <c r="Z5732" s="220">
        <v>19440</v>
      </c>
      <c r="AA5732" s="220">
        <f>SUM(X5732:Z5732)</f>
        <v>591440</v>
      </c>
      <c r="AB5732" s="222">
        <v>46063</v>
      </c>
    </row>
    <row r="5733" spans="1:28" ht="17.100000000000001" customHeight="1" thickBot="1">
      <c r="A5733" s="227"/>
      <c r="B5733" s="27" t="s">
        <v>82</v>
      </c>
      <c r="C5733" s="27">
        <v>32003</v>
      </c>
      <c r="D5733" s="14" t="s">
        <v>2059</v>
      </c>
      <c r="E5733" s="229"/>
      <c r="F5733" s="117" t="s">
        <v>16356</v>
      </c>
      <c r="G5733" s="26">
        <v>40531</v>
      </c>
      <c r="H5733" s="231"/>
      <c r="I5733" s="221"/>
      <c r="J5733" s="221"/>
      <c r="K5733" s="221"/>
      <c r="L5733" s="221"/>
      <c r="M5733" s="221"/>
      <c r="N5733" s="221"/>
      <c r="O5733" s="225"/>
      <c r="P5733" s="118" t="s">
        <v>16670</v>
      </c>
      <c r="Q5733" s="16" t="s">
        <v>20</v>
      </c>
      <c r="R5733" s="17" t="s">
        <v>3269</v>
      </c>
      <c r="S5733" s="121" t="s">
        <v>1649</v>
      </c>
      <c r="T5733" s="122"/>
      <c r="U5733" s="22"/>
      <c r="V5733" s="123" t="s">
        <v>2472</v>
      </c>
      <c r="W5733" s="122">
        <v>80431</v>
      </c>
      <c r="X5733" s="221"/>
      <c r="Y5733" s="221"/>
      <c r="Z5733" s="221"/>
      <c r="AA5733" s="221"/>
      <c r="AB5733" s="223"/>
    </row>
    <row r="5734" spans="1:28" ht="17.100000000000001" customHeight="1" thickTop="1">
      <c r="A5734" s="226" t="s">
        <v>16377</v>
      </c>
      <c r="B5734" s="28">
        <v>46055</v>
      </c>
      <c r="C5734" s="25">
        <v>2079</v>
      </c>
      <c r="D5734" s="13" t="s">
        <v>1578</v>
      </c>
      <c r="E5734" s="228"/>
      <c r="F5734" s="109" t="s">
        <v>16358</v>
      </c>
      <c r="G5734" s="24"/>
      <c r="H5734" s="230">
        <v>4.5</v>
      </c>
      <c r="I5734" s="220">
        <v>1600000</v>
      </c>
      <c r="J5734" s="220">
        <f>I5734*0.1</f>
        <v>160000</v>
      </c>
      <c r="K5734" s="220">
        <v>0</v>
      </c>
      <c r="L5734" s="220">
        <v>15250</v>
      </c>
      <c r="M5734" s="220">
        <v>11000</v>
      </c>
      <c r="N5734" s="220">
        <f>SUM(I5734:M5735)</f>
        <v>1786250</v>
      </c>
      <c r="O5734" s="224"/>
      <c r="P5734" s="110" t="s">
        <v>16530</v>
      </c>
      <c r="Q5734" s="15" t="s">
        <v>19</v>
      </c>
      <c r="R5734" s="205"/>
      <c r="S5734" s="189" t="s">
        <v>25446</v>
      </c>
      <c r="T5734" s="114"/>
      <c r="U5734" s="21"/>
      <c r="V5734" s="115">
        <v>46074</v>
      </c>
      <c r="W5734" s="116">
        <v>1289</v>
      </c>
      <c r="X5734" s="220">
        <v>1655000</v>
      </c>
      <c r="Y5734" s="220">
        <f>X5734*0.1</f>
        <v>165500</v>
      </c>
      <c r="Z5734" s="220">
        <v>15250</v>
      </c>
      <c r="AA5734" s="220">
        <f>SUM(X5734:Z5734)</f>
        <v>1835750</v>
      </c>
      <c r="AB5734" s="222">
        <v>46077</v>
      </c>
    </row>
    <row r="5735" spans="1:28" ht="17.100000000000001" customHeight="1" thickBot="1">
      <c r="A5735" s="227"/>
      <c r="B5735" s="27" t="s">
        <v>82</v>
      </c>
      <c r="C5735" s="27">
        <v>33510</v>
      </c>
      <c r="D5735" s="14" t="s">
        <v>273</v>
      </c>
      <c r="E5735" s="229"/>
      <c r="F5735" s="117" t="s">
        <v>16359</v>
      </c>
      <c r="G5735" s="26">
        <v>61327</v>
      </c>
      <c r="H5735" s="231"/>
      <c r="I5735" s="221"/>
      <c r="J5735" s="221"/>
      <c r="K5735" s="221"/>
      <c r="L5735" s="221"/>
      <c r="M5735" s="221"/>
      <c r="N5735" s="221"/>
      <c r="O5735" s="225"/>
      <c r="P5735" s="118" t="s">
        <v>4735</v>
      </c>
      <c r="Q5735" s="16" t="s">
        <v>20</v>
      </c>
      <c r="R5735" s="17" t="s">
        <v>3739</v>
      </c>
      <c r="S5735" s="121" t="s">
        <v>16623</v>
      </c>
      <c r="T5735" s="122"/>
      <c r="U5735" s="22"/>
      <c r="V5735" s="123" t="s">
        <v>2472</v>
      </c>
      <c r="W5735" s="122">
        <v>80121</v>
      </c>
      <c r="X5735" s="221"/>
      <c r="Y5735" s="221"/>
      <c r="Z5735" s="221"/>
      <c r="AA5735" s="221"/>
      <c r="AB5735" s="223"/>
    </row>
    <row r="5736" spans="1:28" ht="17.100000000000001" customHeight="1" thickTop="1">
      <c r="A5736" s="226" t="s">
        <v>16378</v>
      </c>
      <c r="B5736" s="28">
        <v>46055</v>
      </c>
      <c r="C5736" s="25">
        <v>2079</v>
      </c>
      <c r="D5736" s="13" t="s">
        <v>1961</v>
      </c>
      <c r="E5736" s="228"/>
      <c r="F5736" s="109" t="s">
        <v>16360</v>
      </c>
      <c r="G5736" s="24"/>
      <c r="H5736" s="230">
        <v>3.5</v>
      </c>
      <c r="I5736" s="220">
        <v>2055000</v>
      </c>
      <c r="J5736" s="220">
        <f>I5736*0.1</f>
        <v>205500</v>
      </c>
      <c r="K5736" s="220">
        <v>0</v>
      </c>
      <c r="L5736" s="220">
        <v>19180</v>
      </c>
      <c r="M5736" s="220">
        <v>11000</v>
      </c>
      <c r="N5736" s="220">
        <v>2290680</v>
      </c>
      <c r="O5736" s="224"/>
      <c r="P5736" s="110" t="s">
        <v>17129</v>
      </c>
      <c r="Q5736" s="15" t="s">
        <v>19</v>
      </c>
      <c r="R5736" s="205"/>
      <c r="S5736" s="189" t="s">
        <v>1072</v>
      </c>
      <c r="T5736" s="114"/>
      <c r="U5736" s="21"/>
      <c r="V5736" s="115">
        <v>46074</v>
      </c>
      <c r="W5736" s="116">
        <v>1289</v>
      </c>
      <c r="X5736" s="220">
        <v>2200000</v>
      </c>
      <c r="Y5736" s="220">
        <f>X5736*0.1</f>
        <v>220000</v>
      </c>
      <c r="Z5736" s="220">
        <v>19180</v>
      </c>
      <c r="AA5736" s="220">
        <f>SUM(X5736:Z5736)</f>
        <v>2439180</v>
      </c>
      <c r="AB5736" s="222">
        <v>46077</v>
      </c>
    </row>
    <row r="5737" spans="1:28" ht="17.100000000000001" customHeight="1" thickBot="1">
      <c r="A5737" s="227"/>
      <c r="B5737" s="27" t="s">
        <v>82</v>
      </c>
      <c r="C5737" s="27">
        <v>34515</v>
      </c>
      <c r="D5737" s="14" t="s">
        <v>2559</v>
      </c>
      <c r="E5737" s="229"/>
      <c r="F5737" s="117" t="s">
        <v>16361</v>
      </c>
      <c r="G5737" s="26">
        <v>40078</v>
      </c>
      <c r="H5737" s="231"/>
      <c r="I5737" s="221"/>
      <c r="J5737" s="221"/>
      <c r="K5737" s="221"/>
      <c r="L5737" s="221"/>
      <c r="M5737" s="221"/>
      <c r="N5737" s="221"/>
      <c r="O5737" s="225"/>
      <c r="P5737" s="118" t="s">
        <v>4743</v>
      </c>
      <c r="Q5737" s="16" t="s">
        <v>20</v>
      </c>
      <c r="R5737" s="17" t="s">
        <v>2158</v>
      </c>
      <c r="S5737" s="121" t="s">
        <v>11269</v>
      </c>
      <c r="T5737" s="122"/>
      <c r="U5737" s="22"/>
      <c r="V5737" s="123" t="s">
        <v>2472</v>
      </c>
      <c r="W5737" s="122">
        <v>80119</v>
      </c>
      <c r="X5737" s="221"/>
      <c r="Y5737" s="221"/>
      <c r="Z5737" s="221"/>
      <c r="AA5737" s="221"/>
      <c r="AB5737" s="223"/>
    </row>
    <row r="5738" spans="1:28" ht="17.100000000000001" customHeight="1" thickTop="1">
      <c r="A5738" s="226" t="s">
        <v>16379</v>
      </c>
      <c r="B5738" s="28">
        <v>46055</v>
      </c>
      <c r="C5738" s="25">
        <v>2079</v>
      </c>
      <c r="D5738" s="13" t="s">
        <v>1788</v>
      </c>
      <c r="E5738" s="228"/>
      <c r="F5738" s="109" t="s">
        <v>16362</v>
      </c>
      <c r="G5738" s="24"/>
      <c r="H5738" s="230">
        <v>4.5</v>
      </c>
      <c r="I5738" s="220">
        <v>747000</v>
      </c>
      <c r="J5738" s="220">
        <f>I5738*0.1</f>
        <v>74700</v>
      </c>
      <c r="K5738" s="220">
        <v>0</v>
      </c>
      <c r="L5738" s="220">
        <v>19330</v>
      </c>
      <c r="M5738" s="220">
        <v>11000</v>
      </c>
      <c r="N5738" s="220">
        <f>SUM(I5738:M5739)</f>
        <v>852030</v>
      </c>
      <c r="O5738" s="224"/>
      <c r="P5738" s="110" t="s">
        <v>17128</v>
      </c>
      <c r="Q5738" s="15" t="s">
        <v>19</v>
      </c>
      <c r="R5738" s="205"/>
      <c r="S5738" s="189"/>
      <c r="T5738" s="114"/>
      <c r="U5738" s="21"/>
      <c r="V5738" s="115">
        <v>46060</v>
      </c>
      <c r="W5738" s="116">
        <v>1287</v>
      </c>
      <c r="X5738" s="220">
        <v>865000</v>
      </c>
      <c r="Y5738" s="220">
        <f>X5738*0.1</f>
        <v>86500</v>
      </c>
      <c r="Z5738" s="220">
        <v>19330</v>
      </c>
      <c r="AA5738" s="220">
        <f>SUM(X5738:Z5738)</f>
        <v>970830</v>
      </c>
      <c r="AB5738" s="222">
        <v>46070</v>
      </c>
    </row>
    <row r="5739" spans="1:28" ht="17.100000000000001" customHeight="1" thickBot="1">
      <c r="A5739" s="227"/>
      <c r="B5739" s="27" t="s">
        <v>82</v>
      </c>
      <c r="C5739" s="27">
        <v>34517</v>
      </c>
      <c r="D5739" s="14" t="s">
        <v>1627</v>
      </c>
      <c r="E5739" s="229"/>
      <c r="F5739" s="117" t="s">
        <v>16363</v>
      </c>
      <c r="G5739" s="26">
        <v>66473</v>
      </c>
      <c r="H5739" s="231"/>
      <c r="I5739" s="221"/>
      <c r="J5739" s="221"/>
      <c r="K5739" s="221"/>
      <c r="L5739" s="221"/>
      <c r="M5739" s="221"/>
      <c r="N5739" s="221"/>
      <c r="O5739" s="225"/>
      <c r="P5739" s="118" t="s">
        <v>4743</v>
      </c>
      <c r="Q5739" s="16" t="s">
        <v>20</v>
      </c>
      <c r="R5739" s="17" t="s">
        <v>2158</v>
      </c>
      <c r="S5739" s="121" t="s">
        <v>11269</v>
      </c>
      <c r="T5739" s="122"/>
      <c r="U5739" s="22"/>
      <c r="V5739" s="123" t="s">
        <v>2472</v>
      </c>
      <c r="W5739" s="122">
        <v>80375</v>
      </c>
      <c r="X5739" s="221"/>
      <c r="Y5739" s="221"/>
      <c r="Z5739" s="221"/>
      <c r="AA5739" s="221"/>
      <c r="AB5739" s="223"/>
    </row>
    <row r="5740" spans="1:28" ht="17.100000000000001" customHeight="1" thickTop="1">
      <c r="A5740" s="226" t="s">
        <v>16380</v>
      </c>
      <c r="B5740" s="28">
        <v>46055</v>
      </c>
      <c r="C5740" s="25">
        <v>2079</v>
      </c>
      <c r="D5740" s="13" t="s">
        <v>2406</v>
      </c>
      <c r="E5740" s="228"/>
      <c r="F5740" s="109" t="s">
        <v>7190</v>
      </c>
      <c r="G5740" s="24"/>
      <c r="H5740" s="230">
        <v>4</v>
      </c>
      <c r="I5740" s="220">
        <v>410000</v>
      </c>
      <c r="J5740" s="220">
        <f>I5740*0.1</f>
        <v>41000</v>
      </c>
      <c r="K5740" s="220">
        <v>0</v>
      </c>
      <c r="L5740" s="220">
        <v>17600</v>
      </c>
      <c r="M5740" s="220">
        <v>11000</v>
      </c>
      <c r="N5740" s="220">
        <f>SUM(I5740:M5741)</f>
        <v>479600</v>
      </c>
      <c r="O5740" s="224"/>
      <c r="P5740" s="110" t="s">
        <v>16671</v>
      </c>
      <c r="Q5740" s="15" t="s">
        <v>19</v>
      </c>
      <c r="R5740" s="205"/>
      <c r="S5740" s="189" t="s">
        <v>25755</v>
      </c>
      <c r="T5740" s="114"/>
      <c r="U5740" s="21"/>
      <c r="V5740" s="115">
        <v>46088</v>
      </c>
      <c r="W5740" s="116">
        <v>1291</v>
      </c>
      <c r="X5740" s="220">
        <v>530000</v>
      </c>
      <c r="Y5740" s="220">
        <f>X5740*0.1</f>
        <v>53000</v>
      </c>
      <c r="Z5740" s="220">
        <v>17600</v>
      </c>
      <c r="AA5740" s="220">
        <f>SUM(X5740:Z5740)</f>
        <v>600600</v>
      </c>
      <c r="AB5740" s="222">
        <v>46098</v>
      </c>
    </row>
    <row r="5741" spans="1:28" ht="17.100000000000001" customHeight="1" thickBot="1">
      <c r="A5741" s="227"/>
      <c r="B5741" s="27" t="s">
        <v>82</v>
      </c>
      <c r="C5741" s="27">
        <v>34520</v>
      </c>
      <c r="D5741" s="14" t="s">
        <v>16364</v>
      </c>
      <c r="E5741" s="229"/>
      <c r="F5741" s="117" t="s">
        <v>16365</v>
      </c>
      <c r="G5741" s="26">
        <v>107932</v>
      </c>
      <c r="H5741" s="231"/>
      <c r="I5741" s="221"/>
      <c r="J5741" s="221"/>
      <c r="K5741" s="221"/>
      <c r="L5741" s="221"/>
      <c r="M5741" s="221"/>
      <c r="N5741" s="221"/>
      <c r="O5741" s="225"/>
      <c r="P5741" s="118" t="s">
        <v>7903</v>
      </c>
      <c r="Q5741" s="16" t="s">
        <v>20</v>
      </c>
      <c r="R5741" s="17" t="s">
        <v>3269</v>
      </c>
      <c r="S5741" s="121" t="s">
        <v>16672</v>
      </c>
      <c r="T5741" s="122"/>
      <c r="U5741" s="22"/>
      <c r="V5741" s="123" t="s">
        <v>6641</v>
      </c>
      <c r="W5741" s="122">
        <v>80116</v>
      </c>
      <c r="X5741" s="221"/>
      <c r="Y5741" s="221"/>
      <c r="Z5741" s="221"/>
      <c r="AA5741" s="221"/>
      <c r="AB5741" s="223"/>
    </row>
    <row r="5742" spans="1:28" ht="17.100000000000001" customHeight="1" thickTop="1">
      <c r="A5742" s="226" t="s">
        <v>16381</v>
      </c>
      <c r="B5742" s="28">
        <v>46055</v>
      </c>
      <c r="C5742" s="25"/>
      <c r="D5742" s="13" t="s">
        <v>2429</v>
      </c>
      <c r="E5742" s="228"/>
      <c r="F5742" s="109" t="s">
        <v>16615</v>
      </c>
      <c r="G5742" s="24"/>
      <c r="H5742" s="230">
        <v>4.5</v>
      </c>
      <c r="I5742" s="220">
        <v>635000</v>
      </c>
      <c r="J5742" s="220">
        <f>I5742*0.1</f>
        <v>63500</v>
      </c>
      <c r="K5742" s="220">
        <v>0</v>
      </c>
      <c r="L5742" s="220">
        <v>22050</v>
      </c>
      <c r="M5742" s="220">
        <v>14850</v>
      </c>
      <c r="N5742" s="220">
        <f>SUM(I5742:M5743)</f>
        <v>735400</v>
      </c>
      <c r="O5742" s="224"/>
      <c r="P5742" s="110" t="s">
        <v>17012</v>
      </c>
      <c r="Q5742" s="15" t="s">
        <v>19</v>
      </c>
      <c r="R5742" s="205"/>
      <c r="S5742" s="189"/>
      <c r="T5742" s="114"/>
      <c r="U5742" s="21"/>
      <c r="V5742" s="115">
        <v>46074</v>
      </c>
      <c r="W5742" s="116">
        <v>1289</v>
      </c>
      <c r="X5742" s="220">
        <v>840000</v>
      </c>
      <c r="Y5742" s="220">
        <f>X5742*0.1</f>
        <v>84000</v>
      </c>
      <c r="Z5742" s="220">
        <v>22050</v>
      </c>
      <c r="AA5742" s="220">
        <f>SUM(X5742:Z5742)</f>
        <v>946050</v>
      </c>
      <c r="AB5742" s="222">
        <v>46077</v>
      </c>
    </row>
    <row r="5743" spans="1:28" ht="17.100000000000001" customHeight="1" thickBot="1">
      <c r="A5743" s="227"/>
      <c r="B5743" s="27" t="s">
        <v>2727</v>
      </c>
      <c r="C5743" s="27">
        <v>80253</v>
      </c>
      <c r="D5743" s="14" t="s">
        <v>2559</v>
      </c>
      <c r="E5743" s="229"/>
      <c r="F5743" s="117" t="s">
        <v>17011</v>
      </c>
      <c r="G5743" s="26">
        <v>43234</v>
      </c>
      <c r="H5743" s="231"/>
      <c r="I5743" s="221"/>
      <c r="J5743" s="221"/>
      <c r="K5743" s="221"/>
      <c r="L5743" s="221"/>
      <c r="M5743" s="221"/>
      <c r="N5743" s="221"/>
      <c r="O5743" s="225"/>
      <c r="P5743" s="118" t="s">
        <v>13101</v>
      </c>
      <c r="Q5743" s="16" t="s">
        <v>20</v>
      </c>
      <c r="R5743" s="17" t="s">
        <v>1829</v>
      </c>
      <c r="S5743" s="121" t="s">
        <v>17013</v>
      </c>
      <c r="T5743" s="122"/>
      <c r="U5743" s="22"/>
      <c r="V5743" s="123" t="s">
        <v>2472</v>
      </c>
      <c r="W5743" s="122">
        <v>80109</v>
      </c>
      <c r="X5743" s="221"/>
      <c r="Y5743" s="221"/>
      <c r="Z5743" s="221"/>
      <c r="AA5743" s="221"/>
      <c r="AB5743" s="223"/>
    </row>
    <row r="5744" spans="1:28" ht="17.100000000000001" customHeight="1" thickTop="1">
      <c r="A5744" s="226" t="s">
        <v>16382</v>
      </c>
      <c r="B5744" s="28">
        <v>46055</v>
      </c>
      <c r="C5744" s="25"/>
      <c r="D5744" s="13" t="s">
        <v>2690</v>
      </c>
      <c r="E5744" s="228"/>
      <c r="F5744" s="109" t="s">
        <v>16366</v>
      </c>
      <c r="G5744" s="24"/>
      <c r="H5744" s="230">
        <v>4.5</v>
      </c>
      <c r="I5744" s="220">
        <v>1962000</v>
      </c>
      <c r="J5744" s="220">
        <f>I5744*0.1</f>
        <v>196200</v>
      </c>
      <c r="K5744" s="220">
        <v>0</v>
      </c>
      <c r="L5744" s="220">
        <v>16240</v>
      </c>
      <c r="M5744" s="220">
        <v>14850</v>
      </c>
      <c r="N5744" s="220">
        <f>SUM(I5744:M5745)</f>
        <v>2189290</v>
      </c>
      <c r="O5744" s="224"/>
      <c r="P5744" s="110" t="s">
        <v>17009</v>
      </c>
      <c r="Q5744" s="15" t="s">
        <v>19</v>
      </c>
      <c r="R5744" s="205"/>
      <c r="S5744" s="189"/>
      <c r="T5744" s="114"/>
      <c r="U5744" s="21"/>
      <c r="V5744" s="115">
        <v>46060</v>
      </c>
      <c r="W5744" s="116">
        <v>1287</v>
      </c>
      <c r="X5744" s="220">
        <v>1895000</v>
      </c>
      <c r="Y5744" s="220">
        <f>X5744*0.1</f>
        <v>189500</v>
      </c>
      <c r="Z5744" s="220">
        <v>16240</v>
      </c>
      <c r="AA5744" s="220">
        <f>SUM(X5744:Z5744)</f>
        <v>2100740</v>
      </c>
      <c r="AB5744" s="222">
        <v>46063</v>
      </c>
    </row>
    <row r="5745" spans="1:28" ht="17.100000000000001" customHeight="1" thickBot="1">
      <c r="A5745" s="227"/>
      <c r="B5745" s="27" t="s">
        <v>2727</v>
      </c>
      <c r="C5745" s="27">
        <v>80257</v>
      </c>
      <c r="D5745" s="14" t="s">
        <v>3274</v>
      </c>
      <c r="E5745" s="229"/>
      <c r="F5745" s="117" t="s">
        <v>17008</v>
      </c>
      <c r="G5745" s="26">
        <v>58371</v>
      </c>
      <c r="H5745" s="231"/>
      <c r="I5745" s="221"/>
      <c r="J5745" s="221"/>
      <c r="K5745" s="221"/>
      <c r="L5745" s="221"/>
      <c r="M5745" s="221"/>
      <c r="N5745" s="221"/>
      <c r="O5745" s="225"/>
      <c r="P5745" s="118" t="s">
        <v>17010</v>
      </c>
      <c r="Q5745" s="16" t="s">
        <v>20</v>
      </c>
      <c r="R5745" s="17" t="s">
        <v>1829</v>
      </c>
      <c r="S5745" s="121" t="s">
        <v>7720</v>
      </c>
      <c r="T5745" s="122"/>
      <c r="U5745" s="22"/>
      <c r="V5745" s="123" t="s">
        <v>2472</v>
      </c>
      <c r="W5745" s="122">
        <v>80406</v>
      </c>
      <c r="X5745" s="221"/>
      <c r="Y5745" s="221"/>
      <c r="Z5745" s="221"/>
      <c r="AA5745" s="221"/>
      <c r="AB5745" s="223"/>
    </row>
    <row r="5746" spans="1:28" ht="17.100000000000001" customHeight="1" thickTop="1">
      <c r="A5746" s="226" t="s">
        <v>16383</v>
      </c>
      <c r="B5746" s="28">
        <v>46055</v>
      </c>
      <c r="C5746" s="25"/>
      <c r="D5746" s="13" t="s">
        <v>2182</v>
      </c>
      <c r="E5746" s="228"/>
      <c r="F5746" s="109" t="s">
        <v>8431</v>
      </c>
      <c r="G5746" s="24" t="s">
        <v>15669</v>
      </c>
      <c r="H5746" s="230">
        <v>5</v>
      </c>
      <c r="I5746" s="220">
        <f>1518000/1.1</f>
        <v>1380000</v>
      </c>
      <c r="J5746" s="220">
        <f>I5746*0.1</f>
        <v>138000</v>
      </c>
      <c r="K5746" s="220">
        <v>0</v>
      </c>
      <c r="L5746" s="220">
        <v>8130</v>
      </c>
      <c r="M5746" s="220">
        <v>0</v>
      </c>
      <c r="N5746" s="220">
        <f>SUM(I5746:M5747)</f>
        <v>1526130</v>
      </c>
      <c r="O5746" s="224"/>
      <c r="P5746" s="110" t="s">
        <v>19853</v>
      </c>
      <c r="Q5746" s="15" t="s">
        <v>19</v>
      </c>
      <c r="R5746" s="205"/>
      <c r="S5746" s="189" t="s">
        <v>1276</v>
      </c>
      <c r="T5746" s="114"/>
      <c r="U5746" s="21" t="s">
        <v>19878</v>
      </c>
      <c r="V5746" s="115">
        <v>46091</v>
      </c>
      <c r="W5746" s="116">
        <v>1932</v>
      </c>
      <c r="X5746" s="220">
        <v>1436000</v>
      </c>
      <c r="Y5746" s="220">
        <f>X5746*0.1</f>
        <v>143600</v>
      </c>
      <c r="Z5746" s="220">
        <v>8130</v>
      </c>
      <c r="AA5746" s="220">
        <f>SUM(X5746:Z5746)</f>
        <v>1587730</v>
      </c>
      <c r="AB5746" s="222"/>
    </row>
    <row r="5747" spans="1:28" ht="17.100000000000001" customHeight="1" thickBot="1">
      <c r="A5747" s="227"/>
      <c r="B5747" s="27" t="s">
        <v>1708</v>
      </c>
      <c r="C5747" s="27" t="s">
        <v>16367</v>
      </c>
      <c r="D5747" s="14" t="s">
        <v>131</v>
      </c>
      <c r="E5747" s="229"/>
      <c r="F5747" s="117" t="s">
        <v>16368</v>
      </c>
      <c r="G5747" s="26">
        <v>7264</v>
      </c>
      <c r="H5747" s="231"/>
      <c r="I5747" s="221"/>
      <c r="J5747" s="221"/>
      <c r="K5747" s="221"/>
      <c r="L5747" s="221"/>
      <c r="M5747" s="221"/>
      <c r="N5747" s="221"/>
      <c r="O5747" s="225"/>
      <c r="P5747" s="118" t="s">
        <v>19854</v>
      </c>
      <c r="Q5747" s="16" t="s">
        <v>20</v>
      </c>
      <c r="R5747" s="17" t="s">
        <v>2341</v>
      </c>
      <c r="S5747" s="121" t="s">
        <v>19855</v>
      </c>
      <c r="T5747" s="122"/>
      <c r="U5747" s="22"/>
      <c r="V5747" s="123" t="s">
        <v>2103</v>
      </c>
      <c r="W5747" s="122">
        <v>3539</v>
      </c>
      <c r="X5747" s="221"/>
      <c r="Y5747" s="221"/>
      <c r="Z5747" s="221"/>
      <c r="AA5747" s="221"/>
      <c r="AB5747" s="223"/>
    </row>
    <row r="5748" spans="1:28" ht="17.100000000000001" customHeight="1" thickTop="1">
      <c r="A5748" s="226" t="s">
        <v>16384</v>
      </c>
      <c r="B5748" s="28">
        <v>46055</v>
      </c>
      <c r="C5748" s="25"/>
      <c r="D5748" s="13" t="s">
        <v>1666</v>
      </c>
      <c r="E5748" s="228"/>
      <c r="F5748" s="109" t="s">
        <v>16373</v>
      </c>
      <c r="G5748" s="24" t="s">
        <v>11771</v>
      </c>
      <c r="H5748" s="230">
        <v>4</v>
      </c>
      <c r="I5748" s="220">
        <f>356400/1.1</f>
        <v>324000</v>
      </c>
      <c r="J5748" s="220">
        <f>I5748*0.1</f>
        <v>32400</v>
      </c>
      <c r="K5748" s="220">
        <v>0</v>
      </c>
      <c r="L5748" s="220">
        <v>8860</v>
      </c>
      <c r="M5748" s="220">
        <v>0</v>
      </c>
      <c r="N5748" s="220">
        <f>SUM(I5748:M5749)</f>
        <v>365260</v>
      </c>
      <c r="O5748" s="224"/>
      <c r="P5748" s="110" t="s">
        <v>17929</v>
      </c>
      <c r="Q5748" s="15" t="s">
        <v>19</v>
      </c>
      <c r="R5748" s="205"/>
      <c r="S5748" s="189" t="s">
        <v>1271</v>
      </c>
      <c r="T5748" s="114"/>
      <c r="U5748" s="21"/>
      <c r="V5748" s="115">
        <v>46081</v>
      </c>
      <c r="W5748" s="116">
        <v>1290</v>
      </c>
      <c r="X5748" s="220">
        <v>400000</v>
      </c>
      <c r="Y5748" s="220">
        <f>X5748*0.1</f>
        <v>40000</v>
      </c>
      <c r="Z5748" s="220">
        <v>8860</v>
      </c>
      <c r="AA5748" s="220">
        <f>SUM(X5748:Z5748)</f>
        <v>448860</v>
      </c>
      <c r="AB5748" s="222">
        <v>46091</v>
      </c>
    </row>
    <row r="5749" spans="1:28" ht="17.100000000000001" customHeight="1" thickBot="1">
      <c r="A5749" s="227"/>
      <c r="B5749" s="27" t="s">
        <v>1708</v>
      </c>
      <c r="C5749" s="27" t="s">
        <v>16375</v>
      </c>
      <c r="D5749" s="14" t="s">
        <v>2014</v>
      </c>
      <c r="E5749" s="229"/>
      <c r="F5749" s="117" t="s">
        <v>16374</v>
      </c>
      <c r="G5749" s="26">
        <v>49364</v>
      </c>
      <c r="H5749" s="231"/>
      <c r="I5749" s="221"/>
      <c r="J5749" s="221"/>
      <c r="K5749" s="221"/>
      <c r="L5749" s="221"/>
      <c r="M5749" s="221"/>
      <c r="N5749" s="221"/>
      <c r="O5749" s="225"/>
      <c r="P5749" s="118" t="s">
        <v>17930</v>
      </c>
      <c r="Q5749" s="16" t="s">
        <v>20</v>
      </c>
      <c r="R5749" s="17" t="s">
        <v>17871</v>
      </c>
      <c r="S5749" s="121" t="s">
        <v>18710</v>
      </c>
      <c r="T5749" s="122"/>
      <c r="U5749" s="22"/>
      <c r="V5749" s="123" t="s">
        <v>2472</v>
      </c>
      <c r="W5749" s="122">
        <v>65388</v>
      </c>
      <c r="X5749" s="221"/>
      <c r="Y5749" s="221"/>
      <c r="Z5749" s="221"/>
      <c r="AA5749" s="221"/>
      <c r="AB5749" s="223"/>
    </row>
    <row r="5750" spans="1:28" ht="17.100000000000001" customHeight="1" thickTop="1">
      <c r="A5750" s="233" t="s">
        <v>16385</v>
      </c>
      <c r="B5750" s="28">
        <v>46055</v>
      </c>
      <c r="C5750" s="25"/>
      <c r="D5750" s="13" t="s">
        <v>1810</v>
      </c>
      <c r="E5750" s="228"/>
      <c r="F5750" s="109" t="s">
        <v>16371</v>
      </c>
      <c r="G5750" s="24" t="s">
        <v>13586</v>
      </c>
      <c r="H5750" s="230">
        <v>4</v>
      </c>
      <c r="I5750" s="220">
        <f>3448500/1.1</f>
        <v>3134999.9999999995</v>
      </c>
      <c r="J5750" s="220">
        <f>I5750*0.1</f>
        <v>313499.99999999994</v>
      </c>
      <c r="K5750" s="220">
        <v>3600</v>
      </c>
      <c r="L5750" s="220">
        <v>18470</v>
      </c>
      <c r="M5750" s="220">
        <v>0</v>
      </c>
      <c r="N5750" s="220">
        <f>SUM(I5750:M5751)</f>
        <v>3470569.9999999995</v>
      </c>
      <c r="O5750" s="224"/>
      <c r="P5750" s="110"/>
      <c r="Q5750" s="15" t="s">
        <v>19</v>
      </c>
      <c r="R5750" s="205"/>
      <c r="S5750" s="189" t="s">
        <v>1276</v>
      </c>
      <c r="T5750" s="114" t="s">
        <v>7899</v>
      </c>
      <c r="U5750" s="21"/>
      <c r="V5750" s="115"/>
      <c r="W5750" s="116"/>
      <c r="X5750" s="220"/>
      <c r="Y5750" s="220">
        <f>X5750*0.1</f>
        <v>0</v>
      </c>
      <c r="Z5750" s="220"/>
      <c r="AA5750" s="220">
        <f>SUM(X5750:Z5750)</f>
        <v>0</v>
      </c>
      <c r="AB5750" s="222"/>
    </row>
    <row r="5751" spans="1:28" ht="17.100000000000001" customHeight="1" thickBot="1">
      <c r="A5751" s="234"/>
      <c r="B5751" s="27" t="s">
        <v>1708</v>
      </c>
      <c r="C5751" s="27" t="s">
        <v>16369</v>
      </c>
      <c r="D5751" s="14" t="s">
        <v>1584</v>
      </c>
      <c r="E5751" s="229"/>
      <c r="F5751" s="117" t="s">
        <v>16370</v>
      </c>
      <c r="G5751" s="26">
        <v>48536</v>
      </c>
      <c r="H5751" s="231"/>
      <c r="I5751" s="221"/>
      <c r="J5751" s="221"/>
      <c r="K5751" s="221"/>
      <c r="L5751" s="221"/>
      <c r="M5751" s="221"/>
      <c r="N5751" s="221"/>
      <c r="O5751" s="225"/>
      <c r="P5751" s="118"/>
      <c r="Q5751" s="16" t="s">
        <v>20</v>
      </c>
      <c r="R5751" s="17" t="s">
        <v>10331</v>
      </c>
      <c r="S5751" s="121" t="s">
        <v>18057</v>
      </c>
      <c r="T5751" s="122"/>
      <c r="U5751" s="22"/>
      <c r="V5751" s="123"/>
      <c r="W5751" s="122"/>
      <c r="X5751" s="221"/>
      <c r="Y5751" s="221"/>
      <c r="Z5751" s="221"/>
      <c r="AA5751" s="221"/>
      <c r="AB5751" s="223"/>
    </row>
    <row r="5752" spans="1:28" ht="17.100000000000001" customHeight="1" thickTop="1">
      <c r="A5752" s="226" t="s">
        <v>16431</v>
      </c>
      <c r="B5752" s="28">
        <v>46056</v>
      </c>
      <c r="C5752" s="25">
        <v>1079</v>
      </c>
      <c r="D5752" s="13" t="s">
        <v>4531</v>
      </c>
      <c r="E5752" s="228"/>
      <c r="F5752" s="109" t="s">
        <v>16437</v>
      </c>
      <c r="G5752" s="24" t="s">
        <v>8499</v>
      </c>
      <c r="H5752" s="230">
        <v>4</v>
      </c>
      <c r="I5752" s="220">
        <v>365000</v>
      </c>
      <c r="J5752" s="220">
        <f>I5752*0.1</f>
        <v>36500</v>
      </c>
      <c r="K5752" s="220">
        <v>3080</v>
      </c>
      <c r="L5752" s="220">
        <v>14580</v>
      </c>
      <c r="M5752" s="220">
        <v>16500</v>
      </c>
      <c r="N5752" s="220">
        <f>SUM(I5752:M5753)</f>
        <v>435660</v>
      </c>
      <c r="O5752" s="224"/>
      <c r="P5752" s="110" t="s">
        <v>16439</v>
      </c>
      <c r="Q5752" s="15" t="s">
        <v>19</v>
      </c>
      <c r="R5752" s="205"/>
      <c r="S5752" s="189" t="s">
        <v>25732</v>
      </c>
      <c r="T5752" s="114"/>
      <c r="U5752" s="21"/>
      <c r="V5752" s="115">
        <v>46067</v>
      </c>
      <c r="W5752" s="116">
        <v>1288</v>
      </c>
      <c r="X5752" s="220">
        <v>500000</v>
      </c>
      <c r="Y5752" s="220">
        <f>X5752*0.1</f>
        <v>50000</v>
      </c>
      <c r="Z5752" s="220">
        <v>14580</v>
      </c>
      <c r="AA5752" s="220">
        <f>SUM(X5752:Z5752)</f>
        <v>564580</v>
      </c>
      <c r="AB5752" s="222">
        <v>46072</v>
      </c>
    </row>
    <row r="5753" spans="1:28" ht="17.100000000000001" customHeight="1" thickBot="1">
      <c r="A5753" s="227"/>
      <c r="B5753" s="27" t="s">
        <v>1583</v>
      </c>
      <c r="C5753" s="27">
        <v>84155</v>
      </c>
      <c r="D5753" s="14" t="s">
        <v>1710</v>
      </c>
      <c r="E5753" s="229"/>
      <c r="F5753" s="117" t="s">
        <v>16438</v>
      </c>
      <c r="G5753" s="26">
        <v>48116</v>
      </c>
      <c r="H5753" s="231"/>
      <c r="I5753" s="221"/>
      <c r="J5753" s="221"/>
      <c r="K5753" s="221"/>
      <c r="L5753" s="221"/>
      <c r="M5753" s="221"/>
      <c r="N5753" s="221"/>
      <c r="O5753" s="225"/>
      <c r="P5753" s="118" t="s">
        <v>17101</v>
      </c>
      <c r="Q5753" s="16" t="s">
        <v>20</v>
      </c>
      <c r="R5753" s="17" t="s">
        <v>2158</v>
      </c>
      <c r="S5753" s="121" t="s">
        <v>17102</v>
      </c>
      <c r="T5753" s="122"/>
      <c r="U5753" s="22"/>
      <c r="V5753" s="123" t="s">
        <v>6641</v>
      </c>
      <c r="W5753" s="122">
        <v>80014</v>
      </c>
      <c r="X5753" s="221"/>
      <c r="Y5753" s="221"/>
      <c r="Z5753" s="221"/>
      <c r="AA5753" s="221"/>
      <c r="AB5753" s="223"/>
    </row>
    <row r="5754" spans="1:28" ht="17.100000000000001" customHeight="1" thickTop="1">
      <c r="A5754" s="226" t="s">
        <v>16432</v>
      </c>
      <c r="B5754" s="28">
        <v>46056</v>
      </c>
      <c r="C5754" s="25">
        <v>976</v>
      </c>
      <c r="D5754" s="13" t="s">
        <v>2040</v>
      </c>
      <c r="E5754" s="228"/>
      <c r="F5754" s="109" t="s">
        <v>15629</v>
      </c>
      <c r="G5754" s="24"/>
      <c r="H5754" s="230">
        <v>4</v>
      </c>
      <c r="I5754" s="220">
        <v>1068000</v>
      </c>
      <c r="J5754" s="220">
        <f>I5754*0.1</f>
        <v>106800</v>
      </c>
      <c r="K5754" s="220">
        <v>0</v>
      </c>
      <c r="L5754" s="220">
        <v>8550</v>
      </c>
      <c r="M5754" s="220">
        <v>22000</v>
      </c>
      <c r="N5754" s="220">
        <f>SUM(I5754:M5755)</f>
        <v>1205350</v>
      </c>
      <c r="O5754" s="224"/>
      <c r="P5754" s="110" t="s">
        <v>17373</v>
      </c>
      <c r="Q5754" s="15" t="s">
        <v>19</v>
      </c>
      <c r="R5754" s="205"/>
      <c r="S5754" s="189" t="s">
        <v>758</v>
      </c>
      <c r="T5754" s="114"/>
      <c r="U5754" s="21"/>
      <c r="V5754" s="115"/>
      <c r="W5754" s="116"/>
      <c r="X5754" s="220"/>
      <c r="Y5754" s="220">
        <f>X5754*0.1</f>
        <v>0</v>
      </c>
      <c r="Z5754" s="220"/>
      <c r="AA5754" s="220">
        <f>SUM(X5754:Z5754)</f>
        <v>0</v>
      </c>
      <c r="AB5754" s="222"/>
    </row>
    <row r="5755" spans="1:28" ht="17.100000000000001" customHeight="1" thickBot="1">
      <c r="A5755" s="227"/>
      <c r="B5755" s="27" t="s">
        <v>15939</v>
      </c>
      <c r="C5755" s="27">
        <v>28</v>
      </c>
      <c r="D5755" s="14" t="s">
        <v>2559</v>
      </c>
      <c r="E5755" s="229"/>
      <c r="F5755" s="117" t="s">
        <v>16440</v>
      </c>
      <c r="G5755" s="26">
        <v>20156</v>
      </c>
      <c r="H5755" s="231"/>
      <c r="I5755" s="221"/>
      <c r="J5755" s="221"/>
      <c r="K5755" s="221"/>
      <c r="L5755" s="221"/>
      <c r="M5755" s="221"/>
      <c r="N5755" s="221"/>
      <c r="O5755" s="225"/>
      <c r="P5755" s="118" t="s">
        <v>2446</v>
      </c>
      <c r="Q5755" s="16" t="s">
        <v>20</v>
      </c>
      <c r="R5755" s="17" t="s">
        <v>17360</v>
      </c>
      <c r="S5755" s="121" t="s">
        <v>9752</v>
      </c>
      <c r="T5755" s="122"/>
      <c r="U5755" s="22"/>
      <c r="V5755" s="123"/>
      <c r="W5755" s="122"/>
      <c r="X5755" s="221"/>
      <c r="Y5755" s="221"/>
      <c r="Z5755" s="221"/>
      <c r="AA5755" s="221"/>
      <c r="AB5755" s="223"/>
    </row>
    <row r="5756" spans="1:28" ht="17.100000000000001" customHeight="1" thickTop="1">
      <c r="A5756" s="226" t="s">
        <v>16433</v>
      </c>
      <c r="B5756" s="28">
        <v>46056</v>
      </c>
      <c r="C5756" s="25">
        <v>1927</v>
      </c>
      <c r="D5756" s="13" t="s">
        <v>3243</v>
      </c>
      <c r="E5756" s="228"/>
      <c r="F5756" s="109" t="s">
        <v>16450</v>
      </c>
      <c r="G5756" s="24" t="s">
        <v>2926</v>
      </c>
      <c r="H5756" s="230">
        <v>4</v>
      </c>
      <c r="I5756" s="220">
        <v>1157000</v>
      </c>
      <c r="J5756" s="220">
        <f>I5756*0.1</f>
        <v>115700</v>
      </c>
      <c r="K5756" s="220">
        <v>3520</v>
      </c>
      <c r="L5756" s="220">
        <v>12470</v>
      </c>
      <c r="M5756" s="220">
        <v>15950</v>
      </c>
      <c r="N5756" s="220">
        <f>SUM(I5756:M5757)</f>
        <v>1304640</v>
      </c>
      <c r="O5756" s="224"/>
      <c r="P5756" s="110" t="s">
        <v>16476</v>
      </c>
      <c r="Q5756" s="15" t="s">
        <v>19</v>
      </c>
      <c r="R5756" s="205"/>
      <c r="S5756" s="189" t="s">
        <v>25756</v>
      </c>
      <c r="T5756" s="114"/>
      <c r="U5756" s="21"/>
      <c r="V5756" s="115">
        <v>46081</v>
      </c>
      <c r="W5756" s="116">
        <v>1290</v>
      </c>
      <c r="X5756" s="220">
        <v>1250000</v>
      </c>
      <c r="Y5756" s="220">
        <f>X5756*0.1</f>
        <v>125000</v>
      </c>
      <c r="Z5756" s="220">
        <v>12470</v>
      </c>
      <c r="AA5756" s="220">
        <f>SUM(X5756:Z5756)</f>
        <v>1387470</v>
      </c>
      <c r="AB5756" s="222">
        <v>46084</v>
      </c>
    </row>
    <row r="5757" spans="1:28" ht="17.100000000000001" customHeight="1" thickBot="1">
      <c r="A5757" s="227"/>
      <c r="B5757" s="27" t="s">
        <v>2103</v>
      </c>
      <c r="C5757" s="27">
        <v>184</v>
      </c>
      <c r="D5757" s="14" t="s">
        <v>273</v>
      </c>
      <c r="E5757" s="229"/>
      <c r="F5757" s="117" t="s">
        <v>16451</v>
      </c>
      <c r="G5757" s="26">
        <v>96947</v>
      </c>
      <c r="H5757" s="231"/>
      <c r="I5757" s="221"/>
      <c r="J5757" s="221"/>
      <c r="K5757" s="221"/>
      <c r="L5757" s="221"/>
      <c r="M5757" s="221"/>
      <c r="N5757" s="221"/>
      <c r="O5757" s="225"/>
      <c r="P5757" s="118" t="s">
        <v>8111</v>
      </c>
      <c r="Q5757" s="16" t="s">
        <v>20</v>
      </c>
      <c r="R5757" s="17" t="s">
        <v>2158</v>
      </c>
      <c r="S5757" s="121" t="s">
        <v>17111</v>
      </c>
      <c r="T5757" s="122"/>
      <c r="U5757" s="22"/>
      <c r="V5757" s="123" t="s">
        <v>2472</v>
      </c>
      <c r="W5757" s="122">
        <v>50171</v>
      </c>
      <c r="X5757" s="221"/>
      <c r="Y5757" s="221"/>
      <c r="Z5757" s="221"/>
      <c r="AA5757" s="221"/>
      <c r="AB5757" s="223"/>
    </row>
    <row r="5758" spans="1:28" ht="17.100000000000001" customHeight="1" thickTop="1">
      <c r="A5758" s="226" t="s">
        <v>16434</v>
      </c>
      <c r="B5758" s="28">
        <v>46056</v>
      </c>
      <c r="C5758" s="25">
        <v>1927</v>
      </c>
      <c r="D5758" s="13" t="s">
        <v>1883</v>
      </c>
      <c r="E5758" s="228"/>
      <c r="F5758" s="109" t="s">
        <v>15513</v>
      </c>
      <c r="G5758" s="24"/>
      <c r="H5758" s="230">
        <v>4</v>
      </c>
      <c r="I5758" s="220">
        <v>820000</v>
      </c>
      <c r="J5758" s="220">
        <f>I5758*0.1</f>
        <v>82000</v>
      </c>
      <c r="K5758" s="220">
        <v>0</v>
      </c>
      <c r="L5758" s="220">
        <v>8390</v>
      </c>
      <c r="M5758" s="220">
        <v>15950</v>
      </c>
      <c r="N5758" s="220">
        <f>SUM(I5758:M5759)</f>
        <v>926340</v>
      </c>
      <c r="O5758" s="224"/>
      <c r="P5758" s="110" t="s">
        <v>17105</v>
      </c>
      <c r="Q5758" s="15" t="s">
        <v>19</v>
      </c>
      <c r="R5758" s="205"/>
      <c r="S5758" s="189"/>
      <c r="T5758" s="114"/>
      <c r="U5758" s="21"/>
      <c r="V5758" s="115">
        <v>46060</v>
      </c>
      <c r="W5758" s="116">
        <v>1287</v>
      </c>
      <c r="X5758" s="220">
        <v>900000</v>
      </c>
      <c r="Y5758" s="220">
        <f>X5758*0.1</f>
        <v>90000</v>
      </c>
      <c r="Z5758" s="220">
        <v>8390</v>
      </c>
      <c r="AA5758" s="220">
        <f>SUM(X5758:Z5758)</f>
        <v>998390</v>
      </c>
      <c r="AB5758" s="222">
        <v>46065</v>
      </c>
    </row>
    <row r="5759" spans="1:28" ht="17.100000000000001" customHeight="1" thickBot="1">
      <c r="A5759" s="227"/>
      <c r="B5759" s="27" t="s">
        <v>2103</v>
      </c>
      <c r="C5759" s="27">
        <v>3007</v>
      </c>
      <c r="D5759" s="14" t="s">
        <v>273</v>
      </c>
      <c r="E5759" s="229"/>
      <c r="F5759" s="117" t="s">
        <v>16452</v>
      </c>
      <c r="G5759" s="26">
        <v>77676</v>
      </c>
      <c r="H5759" s="231"/>
      <c r="I5759" s="221"/>
      <c r="J5759" s="221"/>
      <c r="K5759" s="221"/>
      <c r="L5759" s="221"/>
      <c r="M5759" s="221"/>
      <c r="N5759" s="221"/>
      <c r="O5759" s="225"/>
      <c r="P5759" s="118" t="s">
        <v>12117</v>
      </c>
      <c r="Q5759" s="16" t="s">
        <v>20</v>
      </c>
      <c r="R5759" s="17" t="s">
        <v>2158</v>
      </c>
      <c r="S5759" s="121"/>
      <c r="T5759" s="122"/>
      <c r="U5759" s="22"/>
      <c r="V5759" s="123" t="s">
        <v>2472</v>
      </c>
      <c r="W5759" s="122">
        <v>60440</v>
      </c>
      <c r="X5759" s="221"/>
      <c r="Y5759" s="221"/>
      <c r="Z5759" s="221"/>
      <c r="AA5759" s="221"/>
      <c r="AB5759" s="223"/>
    </row>
    <row r="5760" spans="1:28" ht="17.100000000000001" customHeight="1" thickTop="1">
      <c r="A5760" s="226" t="s">
        <v>16435</v>
      </c>
      <c r="B5760" s="28">
        <v>46056</v>
      </c>
      <c r="C5760" s="25">
        <v>1927</v>
      </c>
      <c r="D5760" s="13" t="s">
        <v>2324</v>
      </c>
      <c r="E5760" s="228"/>
      <c r="F5760" s="109" t="s">
        <v>16453</v>
      </c>
      <c r="G5760" s="24"/>
      <c r="H5760" s="230">
        <v>4</v>
      </c>
      <c r="I5760" s="220">
        <v>786000</v>
      </c>
      <c r="J5760" s="220">
        <f>I5760*0.1</f>
        <v>78600</v>
      </c>
      <c r="K5760" s="220">
        <v>0</v>
      </c>
      <c r="L5760" s="220">
        <v>12270</v>
      </c>
      <c r="M5760" s="220">
        <v>15950</v>
      </c>
      <c r="N5760" s="220">
        <f>SUM(I5760:M5761)</f>
        <v>892820</v>
      </c>
      <c r="O5760" s="224"/>
      <c r="P5760" s="110" t="s">
        <v>17259</v>
      </c>
      <c r="Q5760" s="15" t="s">
        <v>19</v>
      </c>
      <c r="R5760" s="205"/>
      <c r="S5760" s="189" t="s">
        <v>25757</v>
      </c>
      <c r="T5760" s="114"/>
      <c r="U5760" s="21"/>
      <c r="V5760" s="115">
        <v>46095</v>
      </c>
      <c r="W5760" s="116">
        <v>1292</v>
      </c>
      <c r="X5760" s="220">
        <v>850000</v>
      </c>
      <c r="Y5760" s="220">
        <f>X5760*0.1</f>
        <v>85000</v>
      </c>
      <c r="Z5760" s="220">
        <v>12270</v>
      </c>
      <c r="AA5760" s="220">
        <f>SUM(X5760:Z5760)</f>
        <v>947270</v>
      </c>
      <c r="AB5760" s="222">
        <v>46098</v>
      </c>
    </row>
    <row r="5761" spans="1:28" ht="17.100000000000001" customHeight="1" thickBot="1">
      <c r="A5761" s="227"/>
      <c r="B5761" s="27" t="s">
        <v>2103</v>
      </c>
      <c r="C5761" s="27">
        <v>5029</v>
      </c>
      <c r="D5761" s="14" t="s">
        <v>898</v>
      </c>
      <c r="E5761" s="229"/>
      <c r="F5761" s="117" t="s">
        <v>17268</v>
      </c>
      <c r="G5761" s="26">
        <v>56771</v>
      </c>
      <c r="H5761" s="231"/>
      <c r="I5761" s="221"/>
      <c r="J5761" s="221"/>
      <c r="K5761" s="221"/>
      <c r="L5761" s="221"/>
      <c r="M5761" s="221"/>
      <c r="N5761" s="221"/>
      <c r="O5761" s="225"/>
      <c r="P5761" s="118" t="s">
        <v>17260</v>
      </c>
      <c r="Q5761" s="16" t="s">
        <v>20</v>
      </c>
      <c r="R5761" s="17" t="s">
        <v>2264</v>
      </c>
      <c r="S5761" s="121" t="s">
        <v>1731</v>
      </c>
      <c r="T5761" s="122"/>
      <c r="U5761" s="22"/>
      <c r="V5761" s="123" t="s">
        <v>2472</v>
      </c>
      <c r="W5761" s="122">
        <v>80149</v>
      </c>
      <c r="X5761" s="221"/>
      <c r="Y5761" s="221"/>
      <c r="Z5761" s="221"/>
      <c r="AA5761" s="221"/>
      <c r="AB5761" s="223"/>
    </row>
    <row r="5762" spans="1:28" ht="17.100000000000001" customHeight="1" thickTop="1">
      <c r="A5762" s="226" t="s">
        <v>16436</v>
      </c>
      <c r="B5762" s="28">
        <v>46056</v>
      </c>
      <c r="C5762" s="25">
        <v>1927</v>
      </c>
      <c r="D5762" s="13" t="s">
        <v>3406</v>
      </c>
      <c r="E5762" s="228"/>
      <c r="F5762" s="109" t="s">
        <v>16454</v>
      </c>
      <c r="G5762" s="24"/>
      <c r="H5762" s="230">
        <v>5</v>
      </c>
      <c r="I5762" s="220">
        <v>1343000</v>
      </c>
      <c r="J5762" s="220">
        <f>I5762*0.1</f>
        <v>134300</v>
      </c>
      <c r="K5762" s="220">
        <v>0</v>
      </c>
      <c r="L5762" s="220">
        <v>6850</v>
      </c>
      <c r="M5762" s="220">
        <v>15950</v>
      </c>
      <c r="N5762" s="220">
        <f>SUM(I5762:M5763)</f>
        <v>1500100</v>
      </c>
      <c r="O5762" s="224"/>
      <c r="P5762" s="110" t="s">
        <v>17106</v>
      </c>
      <c r="Q5762" s="15" t="s">
        <v>19</v>
      </c>
      <c r="R5762" s="205"/>
      <c r="S5762" s="189"/>
      <c r="T5762" s="114"/>
      <c r="U5762" s="21"/>
      <c r="V5762" s="115">
        <v>46063</v>
      </c>
      <c r="W5762" s="116">
        <v>1928</v>
      </c>
      <c r="X5762" s="220">
        <v>1397000</v>
      </c>
      <c r="Y5762" s="220">
        <f>X5762*0.1</f>
        <v>139700</v>
      </c>
      <c r="Z5762" s="220">
        <v>6850</v>
      </c>
      <c r="AA5762" s="220">
        <f>SUM(X5762:Z5762)</f>
        <v>1543550</v>
      </c>
      <c r="AB5762" s="222"/>
    </row>
    <row r="5763" spans="1:28" ht="17.100000000000001" customHeight="1" thickBot="1">
      <c r="A5763" s="227"/>
      <c r="B5763" s="27" t="s">
        <v>2103</v>
      </c>
      <c r="C5763" s="27">
        <v>70065</v>
      </c>
      <c r="D5763" s="14" t="s">
        <v>16477</v>
      </c>
      <c r="E5763" s="229"/>
      <c r="F5763" s="117" t="s">
        <v>16455</v>
      </c>
      <c r="G5763" s="26">
        <v>20114</v>
      </c>
      <c r="H5763" s="231"/>
      <c r="I5763" s="221"/>
      <c r="J5763" s="221"/>
      <c r="K5763" s="221"/>
      <c r="L5763" s="221"/>
      <c r="M5763" s="221"/>
      <c r="N5763" s="221"/>
      <c r="O5763" s="225"/>
      <c r="P5763" s="118" t="s">
        <v>17107</v>
      </c>
      <c r="Q5763" s="16" t="s">
        <v>20</v>
      </c>
      <c r="R5763" s="17" t="s">
        <v>2158</v>
      </c>
      <c r="S5763" s="121"/>
      <c r="T5763" s="122"/>
      <c r="U5763" s="22"/>
      <c r="V5763" s="123" t="s">
        <v>2103</v>
      </c>
      <c r="W5763" s="122">
        <v>3373</v>
      </c>
      <c r="X5763" s="221"/>
      <c r="Y5763" s="221"/>
      <c r="Z5763" s="221"/>
      <c r="AA5763" s="221"/>
      <c r="AB5763" s="223"/>
    </row>
    <row r="5764" spans="1:28" ht="17.100000000000001" customHeight="1" thickTop="1">
      <c r="A5764" s="226" t="s">
        <v>16441</v>
      </c>
      <c r="B5764" s="28">
        <v>46056</v>
      </c>
      <c r="C5764" s="25">
        <v>805</v>
      </c>
      <c r="D5764" s="13" t="s">
        <v>1883</v>
      </c>
      <c r="E5764" s="228"/>
      <c r="F5764" s="109" t="s">
        <v>14903</v>
      </c>
      <c r="G5764" s="24"/>
      <c r="H5764" s="230">
        <v>4</v>
      </c>
      <c r="I5764" s="220">
        <v>879000</v>
      </c>
      <c r="J5764" s="220">
        <f>I5764*0.1</f>
        <v>87900</v>
      </c>
      <c r="K5764" s="220">
        <v>0</v>
      </c>
      <c r="L5764" s="220">
        <v>7150</v>
      </c>
      <c r="M5764" s="220">
        <v>15950</v>
      </c>
      <c r="N5764" s="220">
        <f>SUM(I5764:M5765)</f>
        <v>990000</v>
      </c>
      <c r="O5764" s="224"/>
      <c r="P5764" s="110" t="s">
        <v>17115</v>
      </c>
      <c r="Q5764" s="15" t="s">
        <v>19</v>
      </c>
      <c r="R5764" s="205"/>
      <c r="S5764" s="189" t="s">
        <v>25757</v>
      </c>
      <c r="T5764" s="114" t="s">
        <v>17350</v>
      </c>
      <c r="U5764" s="21"/>
      <c r="V5764" s="115">
        <v>46067</v>
      </c>
      <c r="W5764" s="116">
        <v>1288</v>
      </c>
      <c r="X5764" s="220">
        <v>915000</v>
      </c>
      <c r="Y5764" s="220">
        <f>X5764*0.1</f>
        <v>91500</v>
      </c>
      <c r="Z5764" s="220">
        <v>7150</v>
      </c>
      <c r="AA5764" s="220">
        <f>SUM(X5764:Z5764)</f>
        <v>1013650</v>
      </c>
      <c r="AB5764" s="222">
        <v>46070</v>
      </c>
    </row>
    <row r="5765" spans="1:28" ht="17.100000000000001" customHeight="1" thickBot="1">
      <c r="A5765" s="227"/>
      <c r="B5765" s="27" t="s">
        <v>3314</v>
      </c>
      <c r="C5765" s="27">
        <v>3044</v>
      </c>
      <c r="D5765" s="14" t="s">
        <v>16478</v>
      </c>
      <c r="E5765" s="229"/>
      <c r="F5765" s="117" t="s">
        <v>16456</v>
      </c>
      <c r="G5765" s="26">
        <v>42552</v>
      </c>
      <c r="H5765" s="231"/>
      <c r="I5765" s="221"/>
      <c r="J5765" s="221"/>
      <c r="K5765" s="221"/>
      <c r="L5765" s="221"/>
      <c r="M5765" s="221"/>
      <c r="N5765" s="221"/>
      <c r="O5765" s="225"/>
      <c r="P5765" s="118" t="s">
        <v>7318</v>
      </c>
      <c r="Q5765" s="16" t="s">
        <v>20</v>
      </c>
      <c r="R5765" s="17" t="s">
        <v>2158</v>
      </c>
      <c r="S5765" s="121" t="s">
        <v>17349</v>
      </c>
      <c r="T5765" s="122"/>
      <c r="U5765" s="22"/>
      <c r="V5765" s="123" t="s">
        <v>2472</v>
      </c>
      <c r="W5765" s="122">
        <v>60154</v>
      </c>
      <c r="X5765" s="221"/>
      <c r="Y5765" s="221"/>
      <c r="Z5765" s="221"/>
      <c r="AA5765" s="221"/>
      <c r="AB5765" s="223"/>
    </row>
    <row r="5766" spans="1:28" ht="17.100000000000001" customHeight="1" thickTop="1">
      <c r="A5766" s="233" t="s">
        <v>16442</v>
      </c>
      <c r="B5766" s="28">
        <v>46056</v>
      </c>
      <c r="C5766" s="25">
        <v>805</v>
      </c>
      <c r="D5766" s="13" t="s">
        <v>5353</v>
      </c>
      <c r="E5766" s="228"/>
      <c r="F5766" s="109" t="s">
        <v>16457</v>
      </c>
      <c r="G5766" s="24"/>
      <c r="H5766" s="230">
        <v>3</v>
      </c>
      <c r="I5766" s="220">
        <v>211000</v>
      </c>
      <c r="J5766" s="220">
        <f>I5766*0.1</f>
        <v>21100</v>
      </c>
      <c r="K5766" s="220">
        <v>0</v>
      </c>
      <c r="L5766" s="220">
        <v>8490</v>
      </c>
      <c r="M5766" s="220">
        <v>15950</v>
      </c>
      <c r="N5766" s="220">
        <f>SUM(I5766:M5767)</f>
        <v>256540</v>
      </c>
      <c r="O5766" s="224"/>
      <c r="P5766" s="110" t="s">
        <v>17114</v>
      </c>
      <c r="Q5766" s="15" t="s">
        <v>19</v>
      </c>
      <c r="R5766" s="205"/>
      <c r="S5766" s="189"/>
      <c r="T5766" s="114" t="s">
        <v>17194</v>
      </c>
      <c r="U5766" s="21"/>
      <c r="V5766" s="115"/>
      <c r="W5766" s="116"/>
      <c r="X5766" s="220"/>
      <c r="Y5766" s="220">
        <f>X5766*0.1</f>
        <v>0</v>
      </c>
      <c r="Z5766" s="220"/>
      <c r="AA5766" s="220">
        <f>SUM(X5766:Z5766)</f>
        <v>0</v>
      </c>
      <c r="AB5766" s="222"/>
    </row>
    <row r="5767" spans="1:28" ht="17.100000000000001" customHeight="1" thickBot="1">
      <c r="A5767" s="234"/>
      <c r="B5767" s="27" t="s">
        <v>3314</v>
      </c>
      <c r="C5767" s="27">
        <v>3067</v>
      </c>
      <c r="D5767" s="14" t="s">
        <v>1584</v>
      </c>
      <c r="E5767" s="229"/>
      <c r="F5767" s="117" t="s">
        <v>16458</v>
      </c>
      <c r="G5767" s="26">
        <v>46474</v>
      </c>
      <c r="H5767" s="231"/>
      <c r="I5767" s="221"/>
      <c r="J5767" s="221"/>
      <c r="K5767" s="221"/>
      <c r="L5767" s="221"/>
      <c r="M5767" s="221"/>
      <c r="N5767" s="221"/>
      <c r="O5767" s="225"/>
      <c r="P5767" s="118" t="s">
        <v>3919</v>
      </c>
      <c r="Q5767" s="16" t="s">
        <v>20</v>
      </c>
      <c r="R5767" s="17" t="s">
        <v>2158</v>
      </c>
      <c r="S5767" s="121"/>
      <c r="T5767" s="122"/>
      <c r="U5767" s="22"/>
      <c r="V5767" s="123"/>
      <c r="W5767" s="122"/>
      <c r="X5767" s="221"/>
      <c r="Y5767" s="221"/>
      <c r="Z5767" s="221"/>
      <c r="AA5767" s="221"/>
      <c r="AB5767" s="223"/>
    </row>
    <row r="5768" spans="1:28" ht="17.100000000000001" customHeight="1" thickTop="1">
      <c r="A5768" s="226" t="s">
        <v>16443</v>
      </c>
      <c r="B5768" s="28">
        <v>46056</v>
      </c>
      <c r="C5768" s="25">
        <v>805</v>
      </c>
      <c r="D5768" s="13" t="s">
        <v>1829</v>
      </c>
      <c r="E5768" s="228"/>
      <c r="F5768" s="109" t="s">
        <v>16459</v>
      </c>
      <c r="G5768" s="24" t="s">
        <v>4315</v>
      </c>
      <c r="H5768" s="230">
        <v>4.5</v>
      </c>
      <c r="I5768" s="220">
        <v>3135000</v>
      </c>
      <c r="J5768" s="220">
        <f>I5768*0.1</f>
        <v>313500</v>
      </c>
      <c r="K5768" s="220">
        <v>3300</v>
      </c>
      <c r="L5768" s="220">
        <v>18270</v>
      </c>
      <c r="M5768" s="220">
        <v>19250</v>
      </c>
      <c r="N5768" s="220">
        <f>SUM(I5768:M5769)</f>
        <v>3489320</v>
      </c>
      <c r="O5768" s="224"/>
      <c r="P5768" s="110" t="s">
        <v>16480</v>
      </c>
      <c r="Q5768" s="15" t="s">
        <v>19</v>
      </c>
      <c r="R5768" s="205"/>
      <c r="S5768" s="189" t="s">
        <v>283</v>
      </c>
      <c r="T5768" s="114"/>
      <c r="U5768" s="21"/>
      <c r="V5768" s="115">
        <v>46067</v>
      </c>
      <c r="W5768" s="116">
        <v>1288</v>
      </c>
      <c r="X5768" s="220">
        <v>3250000</v>
      </c>
      <c r="Y5768" s="220">
        <f>X5768*0.1</f>
        <v>325000</v>
      </c>
      <c r="Z5768" s="220">
        <v>18270</v>
      </c>
      <c r="AA5768" s="220">
        <f>SUM(X5768:Z5768)</f>
        <v>3593270</v>
      </c>
      <c r="AB5768" s="222">
        <v>46077</v>
      </c>
    </row>
    <row r="5769" spans="1:28" ht="17.100000000000001" customHeight="1" thickBot="1">
      <c r="A5769" s="227"/>
      <c r="B5769" s="27" t="s">
        <v>3314</v>
      </c>
      <c r="C5769" s="27">
        <v>5007</v>
      </c>
      <c r="D5769" s="14" t="s">
        <v>2559</v>
      </c>
      <c r="E5769" s="229"/>
      <c r="F5769" s="117" t="s">
        <v>16479</v>
      </c>
      <c r="G5769" s="26">
        <v>31812</v>
      </c>
      <c r="H5769" s="231"/>
      <c r="I5769" s="221"/>
      <c r="J5769" s="221"/>
      <c r="K5769" s="221"/>
      <c r="L5769" s="221"/>
      <c r="M5769" s="221"/>
      <c r="N5769" s="221"/>
      <c r="O5769" s="225"/>
      <c r="P5769" s="118" t="s">
        <v>17116</v>
      </c>
      <c r="Q5769" s="16" t="s">
        <v>20</v>
      </c>
      <c r="R5769" s="17" t="s">
        <v>2158</v>
      </c>
      <c r="S5769" s="121" t="s">
        <v>169</v>
      </c>
      <c r="T5769" s="122"/>
      <c r="U5769" s="22"/>
      <c r="V5769" s="123" t="s">
        <v>6641</v>
      </c>
      <c r="W5769" s="122">
        <v>80010</v>
      </c>
      <c r="X5769" s="221"/>
      <c r="Y5769" s="221"/>
      <c r="Z5769" s="221"/>
      <c r="AA5769" s="221"/>
      <c r="AB5769" s="223"/>
    </row>
    <row r="5770" spans="1:28" ht="17.100000000000001" customHeight="1" thickTop="1">
      <c r="A5770" s="226" t="s">
        <v>16444</v>
      </c>
      <c r="B5770" s="28">
        <v>46056</v>
      </c>
      <c r="C5770" s="25">
        <v>925</v>
      </c>
      <c r="D5770" s="13" t="s">
        <v>1642</v>
      </c>
      <c r="E5770" s="228"/>
      <c r="F5770" s="109" t="s">
        <v>16460</v>
      </c>
      <c r="G5770" s="24" t="s">
        <v>2084</v>
      </c>
      <c r="H5770" s="230">
        <v>4</v>
      </c>
      <c r="I5770" s="220">
        <v>714000</v>
      </c>
      <c r="J5770" s="220">
        <f>I5770*0.1</f>
        <v>71400</v>
      </c>
      <c r="K5770" s="220">
        <v>0</v>
      </c>
      <c r="L5770" s="220">
        <v>6470</v>
      </c>
      <c r="M5770" s="220">
        <v>15950</v>
      </c>
      <c r="N5770" s="220">
        <f>SUM(I5770:M5771)</f>
        <v>807820</v>
      </c>
      <c r="O5770" s="224"/>
      <c r="P5770" s="110" t="s">
        <v>16481</v>
      </c>
      <c r="Q5770" s="15" t="s">
        <v>19</v>
      </c>
      <c r="R5770" s="205"/>
      <c r="S5770" s="189" t="s">
        <v>696</v>
      </c>
      <c r="T5770" s="114"/>
      <c r="U5770" s="21"/>
      <c r="V5770" s="115">
        <v>46060</v>
      </c>
      <c r="W5770" s="116">
        <v>1287</v>
      </c>
      <c r="X5770" s="220">
        <v>830000</v>
      </c>
      <c r="Y5770" s="220">
        <f>X5770*0.1</f>
        <v>83000</v>
      </c>
      <c r="Z5770" s="220">
        <v>6470</v>
      </c>
      <c r="AA5770" s="220">
        <f>SUM(X5770:Z5770)</f>
        <v>919470</v>
      </c>
      <c r="AB5770" s="222">
        <v>46070</v>
      </c>
    </row>
    <row r="5771" spans="1:28" ht="17.100000000000001" customHeight="1" thickBot="1">
      <c r="A5771" s="227"/>
      <c r="B5771" s="27" t="s">
        <v>2654</v>
      </c>
      <c r="C5771" s="27">
        <v>3006</v>
      </c>
      <c r="D5771" s="14" t="s">
        <v>1710</v>
      </c>
      <c r="E5771" s="229"/>
      <c r="F5771" s="117" t="s">
        <v>16461</v>
      </c>
      <c r="G5771" s="26">
        <v>54854</v>
      </c>
      <c r="H5771" s="231"/>
      <c r="I5771" s="221"/>
      <c r="J5771" s="221"/>
      <c r="K5771" s="221"/>
      <c r="L5771" s="221"/>
      <c r="M5771" s="221"/>
      <c r="N5771" s="221"/>
      <c r="O5771" s="225"/>
      <c r="P5771" s="118" t="s">
        <v>15065</v>
      </c>
      <c r="Q5771" s="16" t="s">
        <v>20</v>
      </c>
      <c r="R5771" s="17" t="s">
        <v>2264</v>
      </c>
      <c r="S5771" s="121" t="s">
        <v>3429</v>
      </c>
      <c r="T5771" s="122"/>
      <c r="U5771" s="22"/>
      <c r="V5771" s="123" t="s">
        <v>2472</v>
      </c>
      <c r="W5771" s="122">
        <v>60422</v>
      </c>
      <c r="X5771" s="221"/>
      <c r="Y5771" s="221"/>
      <c r="Z5771" s="221"/>
      <c r="AA5771" s="221"/>
      <c r="AB5771" s="223"/>
    </row>
    <row r="5772" spans="1:28" ht="17.100000000000001" customHeight="1" thickTop="1">
      <c r="A5772" s="226" t="s">
        <v>16445</v>
      </c>
      <c r="B5772" s="28">
        <v>46056</v>
      </c>
      <c r="C5772" s="25">
        <v>925</v>
      </c>
      <c r="D5772" s="13" t="s">
        <v>1899</v>
      </c>
      <c r="E5772" s="228"/>
      <c r="F5772" s="109" t="s">
        <v>16462</v>
      </c>
      <c r="G5772" s="24"/>
      <c r="H5772" s="230">
        <v>4</v>
      </c>
      <c r="I5772" s="220">
        <v>783000</v>
      </c>
      <c r="J5772" s="220">
        <f>I5772*0.1</f>
        <v>78300</v>
      </c>
      <c r="K5772" s="220">
        <v>0</v>
      </c>
      <c r="L5772" s="220">
        <v>8400</v>
      </c>
      <c r="M5772" s="220">
        <v>15950</v>
      </c>
      <c r="N5772" s="220">
        <f>SUM(I5772:M5773)</f>
        <v>885650</v>
      </c>
      <c r="O5772" s="224"/>
      <c r="P5772" s="110" t="s">
        <v>17113</v>
      </c>
      <c r="Q5772" s="15" t="s">
        <v>19</v>
      </c>
      <c r="R5772" s="205"/>
      <c r="S5772" s="189" t="s">
        <v>283</v>
      </c>
      <c r="T5772" s="114"/>
      <c r="U5772" s="21"/>
      <c r="V5772" s="115">
        <v>46081</v>
      </c>
      <c r="W5772" s="116">
        <v>1290</v>
      </c>
      <c r="X5772" s="220">
        <v>805000</v>
      </c>
      <c r="Y5772" s="220">
        <f>X5772*0.1</f>
        <v>80500</v>
      </c>
      <c r="Z5772" s="220">
        <v>8400</v>
      </c>
      <c r="AA5772" s="220">
        <f>SUM(X5772:Z5772)</f>
        <v>893900</v>
      </c>
      <c r="AB5772" s="222">
        <v>46084</v>
      </c>
    </row>
    <row r="5773" spans="1:28" ht="17.100000000000001" customHeight="1" thickBot="1">
      <c r="A5773" s="227"/>
      <c r="B5773" s="27" t="s">
        <v>2654</v>
      </c>
      <c r="C5773" s="27">
        <v>3009</v>
      </c>
      <c r="D5773" s="14" t="s">
        <v>1602</v>
      </c>
      <c r="E5773" s="229"/>
      <c r="F5773" s="117" t="s">
        <v>16463</v>
      </c>
      <c r="G5773" s="26">
        <v>33287</v>
      </c>
      <c r="H5773" s="231"/>
      <c r="I5773" s="221"/>
      <c r="J5773" s="221"/>
      <c r="K5773" s="221"/>
      <c r="L5773" s="221"/>
      <c r="M5773" s="221"/>
      <c r="N5773" s="221"/>
      <c r="O5773" s="225"/>
      <c r="P5773" s="118" t="s">
        <v>4541</v>
      </c>
      <c r="Q5773" s="16" t="s">
        <v>20</v>
      </c>
      <c r="R5773" s="17" t="s">
        <v>2158</v>
      </c>
      <c r="S5773" s="121" t="s">
        <v>169</v>
      </c>
      <c r="T5773" s="122"/>
      <c r="U5773" s="22"/>
      <c r="V5773" s="123" t="s">
        <v>2472</v>
      </c>
      <c r="W5773" s="122">
        <v>60065</v>
      </c>
      <c r="X5773" s="221"/>
      <c r="Y5773" s="221"/>
      <c r="Z5773" s="221"/>
      <c r="AA5773" s="221"/>
      <c r="AB5773" s="223"/>
    </row>
    <row r="5774" spans="1:28" ht="17.100000000000001" customHeight="1" thickTop="1">
      <c r="A5774" s="226" t="s">
        <v>16446</v>
      </c>
      <c r="B5774" s="28">
        <v>46056</v>
      </c>
      <c r="C5774" s="25">
        <v>925</v>
      </c>
      <c r="D5774" s="13" t="s">
        <v>1642</v>
      </c>
      <c r="E5774" s="228"/>
      <c r="F5774" s="109" t="s">
        <v>16460</v>
      </c>
      <c r="G5774" s="24" t="s">
        <v>2084</v>
      </c>
      <c r="H5774" s="230">
        <v>4</v>
      </c>
      <c r="I5774" s="220">
        <v>774000</v>
      </c>
      <c r="J5774" s="220">
        <f>I5774*0.1</f>
        <v>77400</v>
      </c>
      <c r="K5774" s="220">
        <v>0</v>
      </c>
      <c r="L5774" s="220">
        <v>6470</v>
      </c>
      <c r="M5774" s="220">
        <v>15950</v>
      </c>
      <c r="N5774" s="220">
        <f>SUM(I5774:M5775)</f>
        <v>873820</v>
      </c>
      <c r="O5774" s="224"/>
      <c r="P5774" s="110" t="s">
        <v>16482</v>
      </c>
      <c r="Q5774" s="15" t="s">
        <v>19</v>
      </c>
      <c r="R5774" s="205"/>
      <c r="S5774" s="189" t="s">
        <v>696</v>
      </c>
      <c r="T5774" s="114"/>
      <c r="U5774" s="21" t="s">
        <v>19861</v>
      </c>
      <c r="V5774" s="115">
        <v>46092</v>
      </c>
      <c r="W5774" s="116">
        <v>1008</v>
      </c>
      <c r="X5774" s="220">
        <v>810000</v>
      </c>
      <c r="Y5774" s="220">
        <f>X5774*0.1</f>
        <v>81000</v>
      </c>
      <c r="Z5774" s="220">
        <v>6470</v>
      </c>
      <c r="AA5774" s="220">
        <f>SUM(X5774:Z5774)</f>
        <v>897470</v>
      </c>
      <c r="AB5774" s="222">
        <v>46100</v>
      </c>
    </row>
    <row r="5775" spans="1:28" ht="17.100000000000001" customHeight="1" thickBot="1">
      <c r="A5775" s="227"/>
      <c r="B5775" s="27" t="s">
        <v>2654</v>
      </c>
      <c r="C5775" s="27">
        <v>3012</v>
      </c>
      <c r="D5775" s="14" t="s">
        <v>1710</v>
      </c>
      <c r="E5775" s="229"/>
      <c r="F5775" s="117" t="s">
        <v>16464</v>
      </c>
      <c r="G5775" s="26">
        <v>57871</v>
      </c>
      <c r="H5775" s="231"/>
      <c r="I5775" s="221"/>
      <c r="J5775" s="221"/>
      <c r="K5775" s="221"/>
      <c r="L5775" s="221"/>
      <c r="M5775" s="221"/>
      <c r="N5775" s="221"/>
      <c r="O5775" s="225"/>
      <c r="P5775" s="118" t="s">
        <v>15065</v>
      </c>
      <c r="Q5775" s="16" t="s">
        <v>20</v>
      </c>
      <c r="R5775" s="17" t="s">
        <v>2264</v>
      </c>
      <c r="S5775" s="121"/>
      <c r="T5775" s="122"/>
      <c r="U5775" s="22"/>
      <c r="V5775" s="123" t="s">
        <v>8648</v>
      </c>
      <c r="W5775" s="122">
        <v>2021</v>
      </c>
      <c r="X5775" s="221"/>
      <c r="Y5775" s="221"/>
      <c r="Z5775" s="221"/>
      <c r="AA5775" s="221"/>
      <c r="AB5775" s="223"/>
    </row>
    <row r="5776" spans="1:28" ht="17.100000000000001" customHeight="1" thickTop="1">
      <c r="A5776" s="226" t="s">
        <v>16447</v>
      </c>
      <c r="B5776" s="28">
        <v>46056</v>
      </c>
      <c r="C5776" s="25">
        <v>925</v>
      </c>
      <c r="D5776" s="13" t="s">
        <v>2313</v>
      </c>
      <c r="E5776" s="228"/>
      <c r="F5776" s="109" t="s">
        <v>16465</v>
      </c>
      <c r="G5776" s="24"/>
      <c r="H5776" s="232" t="s">
        <v>11953</v>
      </c>
      <c r="I5776" s="220">
        <v>529000</v>
      </c>
      <c r="J5776" s="220">
        <f>I5776*0.1</f>
        <v>52900</v>
      </c>
      <c r="K5776" s="220">
        <v>0</v>
      </c>
      <c r="L5776" s="220">
        <v>8550</v>
      </c>
      <c r="M5776" s="220">
        <v>15950</v>
      </c>
      <c r="N5776" s="220">
        <f>SUM(I5776:M5777)</f>
        <v>606400</v>
      </c>
      <c r="O5776" s="224"/>
      <c r="P5776" s="110" t="s">
        <v>17112</v>
      </c>
      <c r="Q5776" s="15" t="s">
        <v>19</v>
      </c>
      <c r="R5776" s="205"/>
      <c r="S5776" s="189"/>
      <c r="T5776" s="114"/>
      <c r="U5776" s="21"/>
      <c r="V5776" s="115">
        <v>46067</v>
      </c>
      <c r="W5776" s="116">
        <v>1288</v>
      </c>
      <c r="X5776" s="220">
        <v>635000</v>
      </c>
      <c r="Y5776" s="220">
        <f>X5776*0.1</f>
        <v>63500</v>
      </c>
      <c r="Z5776" s="220">
        <v>8550</v>
      </c>
      <c r="AA5776" s="220">
        <f>SUM(X5776:Z5776)</f>
        <v>707050</v>
      </c>
      <c r="AB5776" s="222">
        <v>46070</v>
      </c>
    </row>
    <row r="5777" spans="1:28" ht="17.100000000000001" customHeight="1" thickBot="1">
      <c r="A5777" s="227"/>
      <c r="B5777" s="27" t="s">
        <v>2654</v>
      </c>
      <c r="C5777" s="27">
        <v>3089</v>
      </c>
      <c r="D5777" s="14" t="s">
        <v>16483</v>
      </c>
      <c r="E5777" s="229"/>
      <c r="F5777" s="117" t="s">
        <v>16466</v>
      </c>
      <c r="G5777" s="26">
        <v>47878</v>
      </c>
      <c r="H5777" s="231"/>
      <c r="I5777" s="221"/>
      <c r="J5777" s="221"/>
      <c r="K5777" s="221"/>
      <c r="L5777" s="221"/>
      <c r="M5777" s="221"/>
      <c r="N5777" s="221"/>
      <c r="O5777" s="225"/>
      <c r="P5777" s="118" t="s">
        <v>4842</v>
      </c>
      <c r="Q5777" s="16" t="s">
        <v>20</v>
      </c>
      <c r="R5777" s="17" t="s">
        <v>2158</v>
      </c>
      <c r="S5777" s="121" t="s">
        <v>16621</v>
      </c>
      <c r="T5777" s="122"/>
      <c r="U5777" s="22"/>
      <c r="V5777" s="123" t="s">
        <v>2472</v>
      </c>
      <c r="W5777" s="122">
        <v>60132</v>
      </c>
      <c r="X5777" s="221"/>
      <c r="Y5777" s="221"/>
      <c r="Z5777" s="221"/>
      <c r="AA5777" s="221"/>
      <c r="AB5777" s="223"/>
    </row>
    <row r="5778" spans="1:28" ht="17.100000000000001" customHeight="1" thickTop="1">
      <c r="A5778" s="226" t="s">
        <v>16448</v>
      </c>
      <c r="B5778" s="28">
        <v>46056</v>
      </c>
      <c r="C5778" s="25">
        <v>925</v>
      </c>
      <c r="D5778" s="13" t="s">
        <v>2033</v>
      </c>
      <c r="E5778" s="228"/>
      <c r="F5778" s="109" t="s">
        <v>16467</v>
      </c>
      <c r="G5778" s="24" t="s">
        <v>4025</v>
      </c>
      <c r="H5778" s="230">
        <v>4</v>
      </c>
      <c r="I5778" s="220">
        <v>497000</v>
      </c>
      <c r="J5778" s="220">
        <f>I5778*0.1</f>
        <v>49700</v>
      </c>
      <c r="K5778" s="220">
        <v>0</v>
      </c>
      <c r="L5778" s="220">
        <v>9490</v>
      </c>
      <c r="M5778" s="220">
        <v>15950</v>
      </c>
      <c r="N5778" s="220">
        <f>SUM(I5778:M5779)</f>
        <v>572140</v>
      </c>
      <c r="O5778" s="224"/>
      <c r="P5778" s="110" t="s">
        <v>16484</v>
      </c>
      <c r="Q5778" s="15" t="s">
        <v>19</v>
      </c>
      <c r="R5778" s="205"/>
      <c r="S5778" s="189"/>
      <c r="T5778" s="114"/>
      <c r="U5778" s="21"/>
      <c r="V5778" s="115">
        <v>46060</v>
      </c>
      <c r="W5778" s="116">
        <v>1287</v>
      </c>
      <c r="X5778" s="220">
        <v>605000</v>
      </c>
      <c r="Y5778" s="220">
        <f>X5778*0.1</f>
        <v>60500</v>
      </c>
      <c r="Z5778" s="220">
        <v>9490</v>
      </c>
      <c r="AA5778" s="220">
        <f>SUM(X5778:Z5778)</f>
        <v>674990</v>
      </c>
      <c r="AB5778" s="222">
        <v>46065</v>
      </c>
    </row>
    <row r="5779" spans="1:28" ht="17.100000000000001" customHeight="1" thickBot="1">
      <c r="A5779" s="227"/>
      <c r="B5779" s="27" t="s">
        <v>2654</v>
      </c>
      <c r="C5779" s="27">
        <v>3110</v>
      </c>
      <c r="D5779" s="14" t="s">
        <v>1548</v>
      </c>
      <c r="E5779" s="229"/>
      <c r="F5779" s="117" t="s">
        <v>16468</v>
      </c>
      <c r="G5779" s="26">
        <v>26695</v>
      </c>
      <c r="H5779" s="231"/>
      <c r="I5779" s="221"/>
      <c r="J5779" s="221"/>
      <c r="K5779" s="221"/>
      <c r="L5779" s="221"/>
      <c r="M5779" s="221"/>
      <c r="N5779" s="221"/>
      <c r="O5779" s="225"/>
      <c r="P5779" s="118" t="s">
        <v>17104</v>
      </c>
      <c r="Q5779" s="16" t="s">
        <v>20</v>
      </c>
      <c r="R5779" s="17" t="s">
        <v>2158</v>
      </c>
      <c r="S5779" s="121" t="s">
        <v>3566</v>
      </c>
      <c r="T5779" s="122"/>
      <c r="U5779" s="22"/>
      <c r="V5779" s="123" t="s">
        <v>2472</v>
      </c>
      <c r="W5779" s="122">
        <v>60435</v>
      </c>
      <c r="X5779" s="221"/>
      <c r="Y5779" s="221"/>
      <c r="Z5779" s="221"/>
      <c r="AA5779" s="221"/>
      <c r="AB5779" s="223"/>
    </row>
    <row r="5780" spans="1:28" ht="17.100000000000001" customHeight="1" thickTop="1">
      <c r="A5780" s="226" t="s">
        <v>16449</v>
      </c>
      <c r="B5780" s="28">
        <v>46056</v>
      </c>
      <c r="C5780" s="25">
        <v>925</v>
      </c>
      <c r="D5780" s="13" t="s">
        <v>1908</v>
      </c>
      <c r="E5780" s="228"/>
      <c r="F5780" s="109" t="s">
        <v>16469</v>
      </c>
      <c r="G5780" s="24"/>
      <c r="H5780" s="230">
        <v>3.5</v>
      </c>
      <c r="I5780" s="220">
        <v>343000</v>
      </c>
      <c r="J5780" s="220">
        <f>I5780*0.1</f>
        <v>34300</v>
      </c>
      <c r="K5780" s="220">
        <v>0</v>
      </c>
      <c r="L5780" s="220">
        <v>8780</v>
      </c>
      <c r="M5780" s="220">
        <v>15950</v>
      </c>
      <c r="N5780" s="220">
        <f>SUM(I5780:M5781)</f>
        <v>402030</v>
      </c>
      <c r="O5780" s="224"/>
      <c r="P5780" s="110" t="s">
        <v>17310</v>
      </c>
      <c r="Q5780" s="15" t="s">
        <v>19</v>
      </c>
      <c r="R5780" s="205"/>
      <c r="S5780" s="189" t="s">
        <v>25757</v>
      </c>
      <c r="T5780" s="114"/>
      <c r="U5780" s="21"/>
      <c r="V5780" s="115"/>
      <c r="W5780" s="116"/>
      <c r="X5780" s="220"/>
      <c r="Y5780" s="220">
        <f>X5780*0.1</f>
        <v>0</v>
      </c>
      <c r="Z5780" s="220"/>
      <c r="AA5780" s="220">
        <f>SUM(X5780:Z5780)</f>
        <v>0</v>
      </c>
      <c r="AB5780" s="222"/>
    </row>
    <row r="5781" spans="1:28" ht="17.100000000000001" customHeight="1" thickBot="1">
      <c r="A5781" s="227"/>
      <c r="B5781" s="27" t="s">
        <v>2654</v>
      </c>
      <c r="C5781" s="27">
        <v>3117</v>
      </c>
      <c r="D5781" s="14" t="s">
        <v>1548</v>
      </c>
      <c r="E5781" s="229"/>
      <c r="F5781" s="117" t="s">
        <v>16470</v>
      </c>
      <c r="G5781" s="26">
        <v>41451</v>
      </c>
      <c r="H5781" s="231"/>
      <c r="I5781" s="221"/>
      <c r="J5781" s="221"/>
      <c r="K5781" s="221"/>
      <c r="L5781" s="221"/>
      <c r="M5781" s="221"/>
      <c r="N5781" s="221"/>
      <c r="O5781" s="225"/>
      <c r="P5781" s="118" t="s">
        <v>17311</v>
      </c>
      <c r="Q5781" s="16" t="s">
        <v>20</v>
      </c>
      <c r="R5781" s="17" t="s">
        <v>2264</v>
      </c>
      <c r="S5781" s="121" t="s">
        <v>1731</v>
      </c>
      <c r="T5781" s="122"/>
      <c r="U5781" s="22"/>
      <c r="V5781" s="123"/>
      <c r="W5781" s="122"/>
      <c r="X5781" s="221"/>
      <c r="Y5781" s="221"/>
      <c r="Z5781" s="221"/>
      <c r="AA5781" s="221"/>
      <c r="AB5781" s="223"/>
    </row>
    <row r="5782" spans="1:28" ht="17.100000000000001" customHeight="1" thickTop="1">
      <c r="A5782" s="226" t="s">
        <v>16474</v>
      </c>
      <c r="B5782" s="28">
        <v>46056</v>
      </c>
      <c r="C5782" s="25">
        <v>925</v>
      </c>
      <c r="D5782" s="13" t="s">
        <v>1642</v>
      </c>
      <c r="E5782" s="228"/>
      <c r="F5782" s="109" t="s">
        <v>16471</v>
      </c>
      <c r="G5782" s="24"/>
      <c r="H5782" s="230">
        <v>4</v>
      </c>
      <c r="I5782" s="220">
        <v>1259000</v>
      </c>
      <c r="J5782" s="220">
        <f>I5782*0.1</f>
        <v>125900</v>
      </c>
      <c r="K5782" s="220">
        <v>0</v>
      </c>
      <c r="L5782" s="220">
        <v>7040</v>
      </c>
      <c r="M5782" s="220">
        <v>15950</v>
      </c>
      <c r="N5782" s="220">
        <f>SUM(I5782:M5783)</f>
        <v>1407890</v>
      </c>
      <c r="O5782" s="224"/>
      <c r="P5782" s="110" t="s">
        <v>17103</v>
      </c>
      <c r="Q5782" s="15" t="s">
        <v>19</v>
      </c>
      <c r="R5782" s="205"/>
      <c r="S5782" s="189"/>
      <c r="T5782" s="114"/>
      <c r="U5782" s="21"/>
      <c r="V5782" s="115">
        <v>46060</v>
      </c>
      <c r="W5782" s="116">
        <v>1287</v>
      </c>
      <c r="X5782" s="220">
        <v>1330000</v>
      </c>
      <c r="Y5782" s="220">
        <f>X5782*0.1</f>
        <v>133000</v>
      </c>
      <c r="Z5782" s="220">
        <v>7040</v>
      </c>
      <c r="AA5782" s="220">
        <f>SUM(X5782:Z5782)</f>
        <v>1470040</v>
      </c>
      <c r="AB5782" s="222">
        <v>46065</v>
      </c>
    </row>
    <row r="5783" spans="1:28" ht="17.100000000000001" customHeight="1" thickBot="1">
      <c r="A5783" s="227"/>
      <c r="B5783" s="27" t="s">
        <v>2654</v>
      </c>
      <c r="C5783" s="27">
        <v>3122</v>
      </c>
      <c r="D5783" s="14" t="s">
        <v>16478</v>
      </c>
      <c r="E5783" s="229"/>
      <c r="F5783" s="117" t="s">
        <v>16472</v>
      </c>
      <c r="G5783" s="26">
        <v>37962</v>
      </c>
      <c r="H5783" s="231"/>
      <c r="I5783" s="221"/>
      <c r="J5783" s="221"/>
      <c r="K5783" s="221"/>
      <c r="L5783" s="221"/>
      <c r="M5783" s="221"/>
      <c r="N5783" s="221"/>
      <c r="O5783" s="225"/>
      <c r="P5783" s="118" t="s">
        <v>15866</v>
      </c>
      <c r="Q5783" s="16" t="s">
        <v>20</v>
      </c>
      <c r="R5783" s="17" t="s">
        <v>2158</v>
      </c>
      <c r="S5783" s="121" t="s">
        <v>2166</v>
      </c>
      <c r="T5783" s="122"/>
      <c r="U5783" s="22"/>
      <c r="V5783" s="123" t="s">
        <v>2472</v>
      </c>
      <c r="W5783" s="122">
        <v>60436</v>
      </c>
      <c r="X5783" s="221"/>
      <c r="Y5783" s="221"/>
      <c r="Z5783" s="221"/>
      <c r="AA5783" s="221"/>
      <c r="AB5783" s="223"/>
    </row>
    <row r="5784" spans="1:28" ht="17.100000000000001" customHeight="1" thickTop="1">
      <c r="A5784" s="226" t="s">
        <v>16475</v>
      </c>
      <c r="B5784" s="28">
        <v>46056</v>
      </c>
      <c r="C5784" s="25">
        <v>925</v>
      </c>
      <c r="D5784" s="13" t="s">
        <v>1899</v>
      </c>
      <c r="E5784" s="228"/>
      <c r="F5784" s="109" t="s">
        <v>16473</v>
      </c>
      <c r="G5784" s="24" t="s">
        <v>4315</v>
      </c>
      <c r="H5784" s="230">
        <v>4.5</v>
      </c>
      <c r="I5784" s="220">
        <v>1846000</v>
      </c>
      <c r="J5784" s="220">
        <f>I5784*0.1</f>
        <v>184600</v>
      </c>
      <c r="K5784" s="220">
        <v>3520</v>
      </c>
      <c r="L5784" s="220">
        <v>20800</v>
      </c>
      <c r="M5784" s="220">
        <v>15950</v>
      </c>
      <c r="N5784" s="220">
        <f>SUM(I5784:M5785)</f>
        <v>2070870</v>
      </c>
      <c r="O5784" s="224"/>
      <c r="P5784" s="110" t="s">
        <v>16486</v>
      </c>
      <c r="Q5784" s="15" t="s">
        <v>19</v>
      </c>
      <c r="R5784" s="205"/>
      <c r="S5784" s="189"/>
      <c r="T5784" s="114"/>
      <c r="U5784" s="21"/>
      <c r="V5784" s="115">
        <v>46081</v>
      </c>
      <c r="W5784" s="116">
        <v>1290</v>
      </c>
      <c r="X5784" s="220">
        <v>1950000</v>
      </c>
      <c r="Y5784" s="220">
        <f>X5784*0.1</f>
        <v>195000</v>
      </c>
      <c r="Z5784" s="220">
        <v>20800</v>
      </c>
      <c r="AA5784" s="220">
        <f>SUM(X5784:Z5784)</f>
        <v>2165800</v>
      </c>
      <c r="AB5784" s="222">
        <v>46091</v>
      </c>
    </row>
    <row r="5785" spans="1:28" ht="17.100000000000001" customHeight="1" thickBot="1">
      <c r="A5785" s="227"/>
      <c r="B5785" s="27" t="s">
        <v>2654</v>
      </c>
      <c r="C5785" s="27">
        <v>5024</v>
      </c>
      <c r="D5785" s="14" t="s">
        <v>1710</v>
      </c>
      <c r="E5785" s="229"/>
      <c r="F5785" s="117" t="s">
        <v>16485</v>
      </c>
      <c r="G5785" s="26">
        <v>37831</v>
      </c>
      <c r="H5785" s="231"/>
      <c r="I5785" s="221"/>
      <c r="J5785" s="221"/>
      <c r="K5785" s="221"/>
      <c r="L5785" s="221"/>
      <c r="M5785" s="221"/>
      <c r="N5785" s="221"/>
      <c r="O5785" s="225"/>
      <c r="P5785" s="118" t="s">
        <v>17117</v>
      </c>
      <c r="Q5785" s="16" t="s">
        <v>20</v>
      </c>
      <c r="R5785" s="17" t="s">
        <v>2158</v>
      </c>
      <c r="S5785" s="121" t="s">
        <v>16623</v>
      </c>
      <c r="T5785" s="122"/>
      <c r="U5785" s="22"/>
      <c r="V5785" s="123" t="s">
        <v>18914</v>
      </c>
      <c r="W5785" s="122">
        <v>80227</v>
      </c>
      <c r="X5785" s="221"/>
      <c r="Y5785" s="221"/>
      <c r="Z5785" s="221"/>
      <c r="AA5785" s="221"/>
      <c r="AB5785" s="223"/>
    </row>
    <row r="5786" spans="1:28" ht="17.100000000000001" customHeight="1" thickTop="1">
      <c r="A5786" s="226" t="s">
        <v>16487</v>
      </c>
      <c r="B5786" s="28">
        <v>46056</v>
      </c>
      <c r="C5786" s="25">
        <v>1274</v>
      </c>
      <c r="D5786" s="13" t="s">
        <v>1715</v>
      </c>
      <c r="E5786" s="228"/>
      <c r="F5786" s="109" t="s">
        <v>16493</v>
      </c>
      <c r="G5786" s="24"/>
      <c r="H5786" s="230">
        <v>4</v>
      </c>
      <c r="I5786" s="220">
        <v>1609000</v>
      </c>
      <c r="J5786" s="220">
        <f>I5786*0.1</f>
        <v>160900</v>
      </c>
      <c r="K5786" s="220">
        <v>0</v>
      </c>
      <c r="L5786" s="220">
        <v>15250</v>
      </c>
      <c r="M5786" s="220">
        <v>18150</v>
      </c>
      <c r="N5786" s="220">
        <f>SUM(I5786:M5787)</f>
        <v>1803300</v>
      </c>
      <c r="O5786" s="224"/>
      <c r="P5786" s="110" t="s">
        <v>17014</v>
      </c>
      <c r="Q5786" s="15" t="s">
        <v>19</v>
      </c>
      <c r="R5786" s="205"/>
      <c r="S5786" s="189" t="s">
        <v>758</v>
      </c>
      <c r="T5786" s="114"/>
      <c r="U5786" s="21"/>
      <c r="V5786" s="115">
        <v>46067</v>
      </c>
      <c r="W5786" s="116">
        <v>1288</v>
      </c>
      <c r="X5786" s="220">
        <v>1765000</v>
      </c>
      <c r="Y5786" s="220">
        <f>X5786*0.1</f>
        <v>176500</v>
      </c>
      <c r="Z5786" s="220">
        <v>15250</v>
      </c>
      <c r="AA5786" s="220">
        <f>SUM(X5786:Z5786)</f>
        <v>1956750</v>
      </c>
      <c r="AB5786" s="222">
        <v>46070</v>
      </c>
    </row>
    <row r="5787" spans="1:28" ht="17.100000000000001" customHeight="1" thickBot="1">
      <c r="A5787" s="227"/>
      <c r="B5787" s="27" t="s">
        <v>3543</v>
      </c>
      <c r="C5787" s="27">
        <v>38082</v>
      </c>
      <c r="D5787" s="14" t="s">
        <v>273</v>
      </c>
      <c r="E5787" s="229"/>
      <c r="F5787" s="117" t="s">
        <v>16492</v>
      </c>
      <c r="G5787" s="26">
        <v>21374</v>
      </c>
      <c r="H5787" s="231"/>
      <c r="I5787" s="221"/>
      <c r="J5787" s="221"/>
      <c r="K5787" s="221"/>
      <c r="L5787" s="221"/>
      <c r="M5787" s="221"/>
      <c r="N5787" s="221"/>
      <c r="O5787" s="225"/>
      <c r="P5787" s="118" t="s">
        <v>1972</v>
      </c>
      <c r="Q5787" s="16" t="s">
        <v>20</v>
      </c>
      <c r="R5787" s="17" t="s">
        <v>1829</v>
      </c>
      <c r="S5787" s="121" t="s">
        <v>1731</v>
      </c>
      <c r="T5787" s="122"/>
      <c r="U5787" s="22"/>
      <c r="V5787" s="123" t="s">
        <v>2472</v>
      </c>
      <c r="W5787" s="122">
        <v>80152</v>
      </c>
      <c r="X5787" s="221"/>
      <c r="Y5787" s="221"/>
      <c r="Z5787" s="221"/>
      <c r="AA5787" s="221"/>
      <c r="AB5787" s="223"/>
    </row>
    <row r="5788" spans="1:28" ht="17.100000000000001" customHeight="1" thickTop="1">
      <c r="A5788" s="226" t="s">
        <v>16491</v>
      </c>
      <c r="B5788" s="28">
        <v>46057</v>
      </c>
      <c r="C5788" s="25">
        <v>1003</v>
      </c>
      <c r="D5788" s="13" t="s">
        <v>2491</v>
      </c>
      <c r="E5788" s="228"/>
      <c r="F5788" s="109" t="s">
        <v>15193</v>
      </c>
      <c r="G5788" s="24" t="s">
        <v>15604</v>
      </c>
      <c r="H5788" s="230">
        <v>5</v>
      </c>
      <c r="I5788" s="220">
        <v>1120000</v>
      </c>
      <c r="J5788" s="220">
        <f>I5788*0.1</f>
        <v>112000</v>
      </c>
      <c r="K5788" s="220">
        <v>0</v>
      </c>
      <c r="L5788" s="220">
        <v>9150</v>
      </c>
      <c r="M5788" s="220">
        <v>11000</v>
      </c>
      <c r="N5788" s="220">
        <f>SUM(I5788:M5789)</f>
        <v>1252150</v>
      </c>
      <c r="O5788" s="224"/>
      <c r="P5788" s="110" t="s">
        <v>16489</v>
      </c>
      <c r="Q5788" s="15" t="s">
        <v>19</v>
      </c>
      <c r="R5788" s="205"/>
      <c r="S5788" s="189" t="s">
        <v>283</v>
      </c>
      <c r="T5788" s="114"/>
      <c r="U5788" s="21" t="s">
        <v>19864</v>
      </c>
      <c r="V5788" s="115">
        <v>46095</v>
      </c>
      <c r="W5788" s="116">
        <v>1292</v>
      </c>
      <c r="X5788" s="220">
        <v>1275000</v>
      </c>
      <c r="Y5788" s="220">
        <f>X5788*0.1</f>
        <v>127500</v>
      </c>
      <c r="Z5788" s="220">
        <v>9150</v>
      </c>
      <c r="AA5788" s="220">
        <f>SUM(X5788:Z5788)</f>
        <v>1411650</v>
      </c>
      <c r="AB5788" s="222">
        <v>46100</v>
      </c>
    </row>
    <row r="5789" spans="1:28" ht="17.100000000000001" customHeight="1" thickBot="1">
      <c r="A5789" s="227"/>
      <c r="B5789" s="27" t="s">
        <v>2747</v>
      </c>
      <c r="C5789" s="27">
        <v>2003</v>
      </c>
      <c r="D5789" s="14" t="s">
        <v>2559</v>
      </c>
      <c r="E5789" s="229"/>
      <c r="F5789" s="117" t="s">
        <v>16488</v>
      </c>
      <c r="G5789" s="26">
        <v>2032</v>
      </c>
      <c r="H5789" s="231"/>
      <c r="I5789" s="221"/>
      <c r="J5789" s="221"/>
      <c r="K5789" s="221"/>
      <c r="L5789" s="221"/>
      <c r="M5789" s="221"/>
      <c r="N5789" s="221"/>
      <c r="O5789" s="225"/>
      <c r="P5789" s="118" t="s">
        <v>17110</v>
      </c>
      <c r="Q5789" s="16" t="s">
        <v>20</v>
      </c>
      <c r="R5789" s="17" t="s">
        <v>2158</v>
      </c>
      <c r="S5789" s="121" t="s">
        <v>1625</v>
      </c>
      <c r="T5789" s="122"/>
      <c r="U5789" s="22"/>
      <c r="V5789" s="123" t="s">
        <v>2472</v>
      </c>
      <c r="W5789" s="122">
        <v>60458</v>
      </c>
      <c r="X5789" s="221"/>
      <c r="Y5789" s="221"/>
      <c r="Z5789" s="221"/>
      <c r="AA5789" s="221"/>
      <c r="AB5789" s="223"/>
    </row>
    <row r="5790" spans="1:28" ht="17.100000000000001" customHeight="1" thickTop="1">
      <c r="A5790" s="226" t="s">
        <v>16494</v>
      </c>
      <c r="B5790" s="28">
        <v>46057</v>
      </c>
      <c r="C5790" s="25">
        <v>2341</v>
      </c>
      <c r="D5790" s="13" t="s">
        <v>1053</v>
      </c>
      <c r="E5790" s="228"/>
      <c r="F5790" s="109" t="s">
        <v>16497</v>
      </c>
      <c r="G5790" s="24"/>
      <c r="H5790" s="230">
        <v>4.5</v>
      </c>
      <c r="I5790" s="220">
        <v>660000</v>
      </c>
      <c r="J5790" s="220">
        <f>I5790*0.1</f>
        <v>66000</v>
      </c>
      <c r="K5790" s="220">
        <v>0</v>
      </c>
      <c r="L5790" s="220">
        <v>8010</v>
      </c>
      <c r="M5790" s="220">
        <v>16500</v>
      </c>
      <c r="N5790" s="220">
        <f>SUM(I5790:M5791)</f>
        <v>750510</v>
      </c>
      <c r="O5790" s="224"/>
      <c r="P5790" s="110" t="s">
        <v>17286</v>
      </c>
      <c r="Q5790" s="15" t="s">
        <v>19</v>
      </c>
      <c r="R5790" s="205"/>
      <c r="S5790" s="189" t="s">
        <v>758</v>
      </c>
      <c r="T5790" s="114"/>
      <c r="U5790" s="21"/>
      <c r="V5790" s="115">
        <v>46074</v>
      </c>
      <c r="W5790" s="116">
        <v>1289</v>
      </c>
      <c r="X5790" s="220">
        <v>750000</v>
      </c>
      <c r="Y5790" s="220">
        <f>X5790*0.1</f>
        <v>75000</v>
      </c>
      <c r="Z5790" s="220">
        <v>8010</v>
      </c>
      <c r="AA5790" s="220">
        <f>SUM(X5790:Z5790)</f>
        <v>833010</v>
      </c>
      <c r="AB5790" s="222">
        <v>46077</v>
      </c>
    </row>
    <row r="5791" spans="1:28" ht="17.100000000000001" customHeight="1" thickBot="1">
      <c r="A5791" s="227"/>
      <c r="B5791" s="27" t="s">
        <v>3367</v>
      </c>
      <c r="C5791" s="27">
        <v>20116</v>
      </c>
      <c r="D5791" s="14" t="s">
        <v>1584</v>
      </c>
      <c r="E5791" s="229"/>
      <c r="F5791" s="117" t="s">
        <v>16498</v>
      </c>
      <c r="G5791" s="26">
        <v>49620</v>
      </c>
      <c r="H5791" s="231"/>
      <c r="I5791" s="221"/>
      <c r="J5791" s="221"/>
      <c r="K5791" s="221"/>
      <c r="L5791" s="221"/>
      <c r="M5791" s="221"/>
      <c r="N5791" s="221"/>
      <c r="O5791" s="225"/>
      <c r="P5791" s="118" t="s">
        <v>4314</v>
      </c>
      <c r="Q5791" s="16" t="s">
        <v>20</v>
      </c>
      <c r="R5791" s="17" t="s">
        <v>3521</v>
      </c>
      <c r="S5791" s="121" t="s">
        <v>11197</v>
      </c>
      <c r="T5791" s="122"/>
      <c r="U5791" s="22"/>
      <c r="V5791" s="123" t="s">
        <v>2472</v>
      </c>
      <c r="W5791" s="122">
        <v>60083</v>
      </c>
      <c r="X5791" s="221"/>
      <c r="Y5791" s="221"/>
      <c r="Z5791" s="221"/>
      <c r="AA5791" s="221"/>
      <c r="AB5791" s="223"/>
    </row>
    <row r="5792" spans="1:28" ht="17.100000000000001" customHeight="1" thickTop="1">
      <c r="A5792" s="226" t="s">
        <v>16495</v>
      </c>
      <c r="B5792" s="28">
        <v>46057</v>
      </c>
      <c r="C5792" s="25">
        <v>2341</v>
      </c>
      <c r="D5792" s="13" t="s">
        <v>2429</v>
      </c>
      <c r="E5792" s="228"/>
      <c r="F5792" s="109" t="s">
        <v>5380</v>
      </c>
      <c r="G5792" s="24"/>
      <c r="H5792" s="230">
        <v>4</v>
      </c>
      <c r="I5792" s="220">
        <v>1060000</v>
      </c>
      <c r="J5792" s="220">
        <f>I5792*0.1</f>
        <v>106000</v>
      </c>
      <c r="K5792" s="220">
        <v>0</v>
      </c>
      <c r="L5792" s="220">
        <v>10190</v>
      </c>
      <c r="M5792" s="220">
        <v>16500</v>
      </c>
      <c r="N5792" s="220">
        <f>SUM(I5792:M5793)</f>
        <v>1192690</v>
      </c>
      <c r="O5792" s="224"/>
      <c r="P5792" s="110" t="s">
        <v>16581</v>
      </c>
      <c r="Q5792" s="15" t="s">
        <v>19</v>
      </c>
      <c r="R5792" s="205"/>
      <c r="S5792" s="189" t="s">
        <v>25758</v>
      </c>
      <c r="T5792" s="114"/>
      <c r="U5792" s="21"/>
      <c r="V5792" s="115">
        <v>46085</v>
      </c>
      <c r="W5792" s="116">
        <v>1007</v>
      </c>
      <c r="X5792" s="220">
        <v>1100000</v>
      </c>
      <c r="Y5792" s="220">
        <f>X5792*0.1</f>
        <v>110000</v>
      </c>
      <c r="Z5792" s="220">
        <v>10190</v>
      </c>
      <c r="AA5792" s="220">
        <f>SUM(X5792:Z5792)</f>
        <v>1220190</v>
      </c>
      <c r="AB5792" s="222">
        <v>46090</v>
      </c>
    </row>
    <row r="5793" spans="1:28" ht="17.100000000000001" customHeight="1" thickBot="1">
      <c r="A5793" s="227"/>
      <c r="B5793" s="27" t="s">
        <v>3367</v>
      </c>
      <c r="C5793" s="27">
        <v>60039</v>
      </c>
      <c r="D5793" s="14" t="s">
        <v>2559</v>
      </c>
      <c r="E5793" s="229"/>
      <c r="F5793" s="117" t="s">
        <v>16499</v>
      </c>
      <c r="G5793" s="26">
        <v>75652</v>
      </c>
      <c r="H5793" s="231"/>
      <c r="I5793" s="221"/>
      <c r="J5793" s="221"/>
      <c r="K5793" s="221"/>
      <c r="L5793" s="221"/>
      <c r="M5793" s="221"/>
      <c r="N5793" s="221"/>
      <c r="O5793" s="225"/>
      <c r="P5793" s="118" t="s">
        <v>2404</v>
      </c>
      <c r="Q5793" s="16" t="s">
        <v>20</v>
      </c>
      <c r="R5793" s="17" t="s">
        <v>3494</v>
      </c>
      <c r="S5793" s="121" t="s">
        <v>11746</v>
      </c>
      <c r="T5793" s="122"/>
      <c r="U5793" s="22"/>
      <c r="V5793" s="123" t="s">
        <v>7161</v>
      </c>
      <c r="W5793" s="122">
        <v>6106</v>
      </c>
      <c r="X5793" s="221"/>
      <c r="Y5793" s="221"/>
      <c r="Z5793" s="221"/>
      <c r="AA5793" s="221"/>
      <c r="AB5793" s="223"/>
    </row>
    <row r="5794" spans="1:28" ht="17.100000000000001" customHeight="1" thickTop="1">
      <c r="A5794" s="226" t="s">
        <v>16496</v>
      </c>
      <c r="B5794" s="28">
        <v>46057</v>
      </c>
      <c r="C5794" s="25">
        <v>2341</v>
      </c>
      <c r="D5794" s="13" t="s">
        <v>2491</v>
      </c>
      <c r="E5794" s="228"/>
      <c r="F5794" s="109" t="s">
        <v>16500</v>
      </c>
      <c r="G5794" s="24" t="s">
        <v>9243</v>
      </c>
      <c r="H5794" s="230">
        <v>5</v>
      </c>
      <c r="I5794" s="220">
        <v>1605000</v>
      </c>
      <c r="J5794" s="220">
        <f>I5794*0.1</f>
        <v>160500</v>
      </c>
      <c r="K5794" s="220">
        <f>2500+250</f>
        <v>2750</v>
      </c>
      <c r="L5794" s="220">
        <v>11890</v>
      </c>
      <c r="M5794" s="220">
        <v>16500</v>
      </c>
      <c r="N5794" s="220">
        <f>SUM(I5794:M5795)</f>
        <v>1796640</v>
      </c>
      <c r="O5794" s="224"/>
      <c r="P5794" s="110" t="s">
        <v>17018</v>
      </c>
      <c r="Q5794" s="15" t="s">
        <v>19</v>
      </c>
      <c r="R5794" s="205"/>
      <c r="S5794" s="189" t="s">
        <v>25392</v>
      </c>
      <c r="T5794" s="114"/>
      <c r="U5794" s="21"/>
      <c r="V5794" s="115">
        <v>46081</v>
      </c>
      <c r="W5794" s="116">
        <v>1290</v>
      </c>
      <c r="X5794" s="220">
        <v>1710000</v>
      </c>
      <c r="Y5794" s="220">
        <f>X5794*0.1</f>
        <v>171000</v>
      </c>
      <c r="Z5794" s="220">
        <v>11890</v>
      </c>
      <c r="AA5794" s="220">
        <f>SUM(X5794:Z5794)</f>
        <v>1892890</v>
      </c>
      <c r="AB5794" s="222">
        <v>46084</v>
      </c>
    </row>
    <row r="5795" spans="1:28" ht="17.100000000000001" customHeight="1" thickBot="1">
      <c r="A5795" s="227"/>
      <c r="B5795" s="27" t="s">
        <v>3367</v>
      </c>
      <c r="C5795" s="27">
        <v>60073</v>
      </c>
      <c r="D5795" s="14" t="s">
        <v>1584</v>
      </c>
      <c r="E5795" s="229"/>
      <c r="F5795" s="117" t="s">
        <v>16501</v>
      </c>
      <c r="G5795" s="26">
        <v>17879</v>
      </c>
      <c r="H5795" s="231"/>
      <c r="I5795" s="221"/>
      <c r="J5795" s="221"/>
      <c r="K5795" s="221"/>
      <c r="L5795" s="221"/>
      <c r="M5795" s="221"/>
      <c r="N5795" s="221"/>
      <c r="O5795" s="225"/>
      <c r="P5795" s="118" t="s">
        <v>14144</v>
      </c>
      <c r="Q5795" s="16" t="s">
        <v>20</v>
      </c>
      <c r="R5795" s="17" t="s">
        <v>1829</v>
      </c>
      <c r="S5795" s="121" t="s">
        <v>4378</v>
      </c>
      <c r="T5795" s="122"/>
      <c r="U5795" s="22"/>
      <c r="V5795" s="123" t="s">
        <v>2472</v>
      </c>
      <c r="W5795" s="122">
        <v>55273</v>
      </c>
      <c r="X5795" s="221"/>
      <c r="Y5795" s="221"/>
      <c r="Z5795" s="221"/>
      <c r="AA5795" s="221"/>
      <c r="AB5795" s="223"/>
    </row>
    <row r="5796" spans="1:28" ht="17.100000000000001" customHeight="1" thickTop="1">
      <c r="A5796" s="226" t="s">
        <v>16625</v>
      </c>
      <c r="B5796" s="28">
        <v>46057</v>
      </c>
      <c r="C5796" s="25">
        <v>1824</v>
      </c>
      <c r="D5796" s="13" t="s">
        <v>1578</v>
      </c>
      <c r="E5796" s="228"/>
      <c r="F5796" s="109" t="s">
        <v>16640</v>
      </c>
      <c r="G5796" s="24"/>
      <c r="H5796" s="230">
        <v>4.5</v>
      </c>
      <c r="I5796" s="220">
        <v>784000</v>
      </c>
      <c r="J5796" s="220">
        <f>I5796*0.1</f>
        <v>78400</v>
      </c>
      <c r="K5796" s="220">
        <v>0</v>
      </c>
      <c r="L5796" s="220">
        <v>9200</v>
      </c>
      <c r="M5796" s="220">
        <v>18150</v>
      </c>
      <c r="N5796" s="220">
        <f>SUM(I5796:M5797)</f>
        <v>889750</v>
      </c>
      <c r="O5796" s="224"/>
      <c r="P5796" s="110" t="s">
        <v>17312</v>
      </c>
      <c r="Q5796" s="15" t="s">
        <v>19</v>
      </c>
      <c r="R5796" s="205"/>
      <c r="S5796" s="189"/>
      <c r="T5796" s="114"/>
      <c r="U5796" s="21"/>
      <c r="V5796" s="115">
        <v>46074</v>
      </c>
      <c r="W5796" s="116">
        <v>1289</v>
      </c>
      <c r="X5796" s="220">
        <v>885000</v>
      </c>
      <c r="Y5796" s="220">
        <f>X5796*0.1</f>
        <v>88500</v>
      </c>
      <c r="Z5796" s="220">
        <v>9200</v>
      </c>
      <c r="AA5796" s="220">
        <f>SUM(X5796:Z5796)</f>
        <v>982700</v>
      </c>
      <c r="AB5796" s="222">
        <v>46077</v>
      </c>
    </row>
    <row r="5797" spans="1:28" ht="17.100000000000001" customHeight="1" thickBot="1">
      <c r="A5797" s="227"/>
      <c r="B5797" s="27" t="s">
        <v>2519</v>
      </c>
      <c r="C5797" s="27">
        <v>3150</v>
      </c>
      <c r="D5797" s="14" t="s">
        <v>273</v>
      </c>
      <c r="E5797" s="229"/>
      <c r="F5797" s="117" t="s">
        <v>16641</v>
      </c>
      <c r="G5797" s="26">
        <v>70750</v>
      </c>
      <c r="H5797" s="231"/>
      <c r="I5797" s="221"/>
      <c r="J5797" s="221"/>
      <c r="K5797" s="221"/>
      <c r="L5797" s="221"/>
      <c r="M5797" s="221"/>
      <c r="N5797" s="221"/>
      <c r="O5797" s="225"/>
      <c r="P5797" s="118" t="s">
        <v>17313</v>
      </c>
      <c r="Q5797" s="16" t="s">
        <v>20</v>
      </c>
      <c r="R5797" s="17" t="s">
        <v>2264</v>
      </c>
      <c r="S5797" s="121" t="s">
        <v>17314</v>
      </c>
      <c r="T5797" s="122"/>
      <c r="U5797" s="22"/>
      <c r="V5797" s="123" t="s">
        <v>2472</v>
      </c>
      <c r="W5797" s="122">
        <v>60097</v>
      </c>
      <c r="X5797" s="221"/>
      <c r="Y5797" s="221"/>
      <c r="Z5797" s="221"/>
      <c r="AA5797" s="221"/>
      <c r="AB5797" s="223"/>
    </row>
    <row r="5798" spans="1:28" ht="17.100000000000001" customHeight="1" thickTop="1">
      <c r="A5798" s="226" t="s">
        <v>16626</v>
      </c>
      <c r="B5798" s="28">
        <v>46057</v>
      </c>
      <c r="C5798" s="25">
        <v>1824</v>
      </c>
      <c r="D5798" s="13" t="s">
        <v>1908</v>
      </c>
      <c r="E5798" s="228"/>
      <c r="F5798" s="109" t="s">
        <v>16642</v>
      </c>
      <c r="G5798" s="24" t="s">
        <v>1551</v>
      </c>
      <c r="H5798" s="230">
        <v>4.5</v>
      </c>
      <c r="I5798" s="220">
        <v>795000</v>
      </c>
      <c r="J5798" s="220">
        <f>I5798*0.1</f>
        <v>79500</v>
      </c>
      <c r="K5798" s="220">
        <f>3200+320</f>
        <v>3520</v>
      </c>
      <c r="L5798" s="220">
        <v>10830</v>
      </c>
      <c r="M5798" s="220">
        <v>18150</v>
      </c>
      <c r="N5798" s="220">
        <f>SUM(I5798:M5799)</f>
        <v>907000</v>
      </c>
      <c r="O5798" s="224"/>
      <c r="P5798" s="110" t="s">
        <v>16644</v>
      </c>
      <c r="Q5798" s="15" t="s">
        <v>19</v>
      </c>
      <c r="R5798" s="205"/>
      <c r="S5798" s="189" t="s">
        <v>25759</v>
      </c>
      <c r="T5798" s="114"/>
      <c r="U5798" s="21"/>
      <c r="V5798" s="115">
        <v>46060</v>
      </c>
      <c r="W5798" s="116">
        <v>1287</v>
      </c>
      <c r="X5798" s="220">
        <v>920000</v>
      </c>
      <c r="Y5798" s="220">
        <f>X5798*0.1</f>
        <v>92000</v>
      </c>
      <c r="Z5798" s="220">
        <v>10830</v>
      </c>
      <c r="AA5798" s="220">
        <f>SUM(X5798:Z5798)</f>
        <v>1022830</v>
      </c>
      <c r="AB5798" s="222">
        <v>46063</v>
      </c>
    </row>
    <row r="5799" spans="1:28" ht="17.100000000000001" customHeight="1" thickBot="1">
      <c r="A5799" s="227"/>
      <c r="B5799" s="27" t="s">
        <v>2519</v>
      </c>
      <c r="C5799" s="27">
        <v>30129</v>
      </c>
      <c r="D5799" s="14" t="s">
        <v>2559</v>
      </c>
      <c r="E5799" s="229"/>
      <c r="F5799" s="117" t="s">
        <v>16643</v>
      </c>
      <c r="G5799" s="26">
        <v>95204</v>
      </c>
      <c r="H5799" s="231"/>
      <c r="I5799" s="221"/>
      <c r="J5799" s="221"/>
      <c r="K5799" s="221"/>
      <c r="L5799" s="221"/>
      <c r="M5799" s="221"/>
      <c r="N5799" s="221"/>
      <c r="O5799" s="225"/>
      <c r="P5799" s="118" t="s">
        <v>10865</v>
      </c>
      <c r="Q5799" s="16" t="s">
        <v>20</v>
      </c>
      <c r="R5799" s="17" t="s">
        <v>1829</v>
      </c>
      <c r="S5799" s="121" t="s">
        <v>17007</v>
      </c>
      <c r="T5799" s="122"/>
      <c r="U5799" s="22"/>
      <c r="V5799" s="123" t="s">
        <v>2472</v>
      </c>
      <c r="W5799" s="122">
        <v>113</v>
      </c>
      <c r="X5799" s="221"/>
      <c r="Y5799" s="221"/>
      <c r="Z5799" s="221"/>
      <c r="AA5799" s="221"/>
      <c r="AB5799" s="223"/>
    </row>
    <row r="5800" spans="1:28" ht="17.100000000000001" customHeight="1" thickTop="1">
      <c r="A5800" s="226" t="s">
        <v>16627</v>
      </c>
      <c r="B5800" s="28">
        <v>46057</v>
      </c>
      <c r="C5800" s="25">
        <v>1824</v>
      </c>
      <c r="D5800" s="13" t="s">
        <v>1666</v>
      </c>
      <c r="E5800" s="228"/>
      <c r="F5800" s="109" t="s">
        <v>1916</v>
      </c>
      <c r="G5800" s="24"/>
      <c r="H5800" s="230">
        <v>4</v>
      </c>
      <c r="I5800" s="220">
        <v>365000</v>
      </c>
      <c r="J5800" s="220">
        <f>I5800*0.1</f>
        <v>36500</v>
      </c>
      <c r="K5800" s="220">
        <v>0</v>
      </c>
      <c r="L5800" s="220">
        <v>17700</v>
      </c>
      <c r="M5800" s="220">
        <v>18150</v>
      </c>
      <c r="N5800" s="220">
        <f>SUM(I5800:M5801)</f>
        <v>437350</v>
      </c>
      <c r="O5800" s="224"/>
      <c r="P5800" s="110" t="s">
        <v>17006</v>
      </c>
      <c r="Q5800" s="15" t="s">
        <v>19</v>
      </c>
      <c r="R5800" s="205"/>
      <c r="S5800" s="189"/>
      <c r="T5800" s="114"/>
      <c r="U5800" s="21"/>
      <c r="V5800" s="115">
        <v>46060</v>
      </c>
      <c r="W5800" s="116">
        <v>1287</v>
      </c>
      <c r="X5800" s="220">
        <v>490000</v>
      </c>
      <c r="Y5800" s="220">
        <f>X5800*0.1</f>
        <v>49000</v>
      </c>
      <c r="Z5800" s="220">
        <v>17700</v>
      </c>
      <c r="AA5800" s="220">
        <f>SUM(X5800:Z5800)</f>
        <v>556700</v>
      </c>
      <c r="AB5800" s="222">
        <v>46063</v>
      </c>
    </row>
    <row r="5801" spans="1:28" ht="17.100000000000001" customHeight="1" thickBot="1">
      <c r="A5801" s="227"/>
      <c r="B5801" s="27" t="s">
        <v>2519</v>
      </c>
      <c r="C5801" s="27">
        <v>38025</v>
      </c>
      <c r="D5801" s="14" t="s">
        <v>898</v>
      </c>
      <c r="E5801" s="229"/>
      <c r="F5801" s="117" t="s">
        <v>16645</v>
      </c>
      <c r="G5801" s="26">
        <v>67777</v>
      </c>
      <c r="H5801" s="231"/>
      <c r="I5801" s="221"/>
      <c r="J5801" s="221"/>
      <c r="K5801" s="221"/>
      <c r="L5801" s="221"/>
      <c r="M5801" s="221"/>
      <c r="N5801" s="221"/>
      <c r="O5801" s="225"/>
      <c r="P5801" s="118" t="s">
        <v>10865</v>
      </c>
      <c r="Q5801" s="16" t="s">
        <v>20</v>
      </c>
      <c r="R5801" s="17" t="s">
        <v>1829</v>
      </c>
      <c r="S5801" s="121" t="s">
        <v>2236</v>
      </c>
      <c r="T5801" s="122"/>
      <c r="U5801" s="22"/>
      <c r="V5801" s="123" t="s">
        <v>2472</v>
      </c>
      <c r="W5801" s="122">
        <v>80391</v>
      </c>
      <c r="X5801" s="221"/>
      <c r="Y5801" s="221"/>
      <c r="Z5801" s="221"/>
      <c r="AA5801" s="221"/>
      <c r="AB5801" s="223"/>
    </row>
    <row r="5802" spans="1:28" ht="17.100000000000001" customHeight="1" thickTop="1">
      <c r="A5802" s="226" t="s">
        <v>16635</v>
      </c>
      <c r="B5802" s="28">
        <v>46057</v>
      </c>
      <c r="C5802" s="25">
        <v>1824</v>
      </c>
      <c r="D5802" s="13" t="s">
        <v>1762</v>
      </c>
      <c r="E5802" s="228"/>
      <c r="F5802" s="109" t="s">
        <v>1916</v>
      </c>
      <c r="G5802" s="24"/>
      <c r="H5802" s="230">
        <v>4.5</v>
      </c>
      <c r="I5802" s="220">
        <v>420000</v>
      </c>
      <c r="J5802" s="220">
        <f>I5802*0.1</f>
        <v>42000</v>
      </c>
      <c r="K5802" s="220">
        <v>0</v>
      </c>
      <c r="L5802" s="220">
        <v>17700</v>
      </c>
      <c r="M5802" s="220">
        <v>18150</v>
      </c>
      <c r="N5802" s="220">
        <f>SUM(I5802:M5803)</f>
        <v>497850</v>
      </c>
      <c r="O5802" s="224"/>
      <c r="P5802" s="110" t="s">
        <v>16649</v>
      </c>
      <c r="Q5802" s="15" t="s">
        <v>19</v>
      </c>
      <c r="R5802" s="205"/>
      <c r="S5802" s="189"/>
      <c r="T5802" s="114"/>
      <c r="U5802" s="21"/>
      <c r="V5802" s="115">
        <v>46067</v>
      </c>
      <c r="W5802" s="116">
        <v>1288</v>
      </c>
      <c r="X5802" s="220">
        <v>520000</v>
      </c>
      <c r="Y5802" s="220">
        <f>X5802*0.1</f>
        <v>52000</v>
      </c>
      <c r="Z5802" s="220">
        <v>17700</v>
      </c>
      <c r="AA5802" s="220">
        <f>SUM(X5802:Z5802)</f>
        <v>589700</v>
      </c>
      <c r="AB5802" s="222">
        <v>46070</v>
      </c>
    </row>
    <row r="5803" spans="1:28" ht="17.100000000000001" customHeight="1" thickBot="1">
      <c r="A5803" s="227"/>
      <c r="B5803" s="27" t="s">
        <v>2519</v>
      </c>
      <c r="C5803" s="27">
        <v>38046</v>
      </c>
      <c r="D5803" s="14" t="s">
        <v>898</v>
      </c>
      <c r="E5803" s="229"/>
      <c r="F5803" s="117" t="s">
        <v>16646</v>
      </c>
      <c r="G5803" s="26">
        <v>43298</v>
      </c>
      <c r="H5803" s="231"/>
      <c r="I5803" s="221"/>
      <c r="J5803" s="221"/>
      <c r="K5803" s="221"/>
      <c r="L5803" s="221"/>
      <c r="M5803" s="221"/>
      <c r="N5803" s="221"/>
      <c r="O5803" s="225"/>
      <c r="P5803" s="118" t="s">
        <v>1664</v>
      </c>
      <c r="Q5803" s="16" t="s">
        <v>20</v>
      </c>
      <c r="R5803" s="17" t="s">
        <v>3269</v>
      </c>
      <c r="S5803" s="121" t="s">
        <v>8314</v>
      </c>
      <c r="T5803" s="122"/>
      <c r="U5803" s="22"/>
      <c r="V5803" s="123" t="s">
        <v>2472</v>
      </c>
      <c r="W5803" s="122">
        <v>80007</v>
      </c>
      <c r="X5803" s="221"/>
      <c r="Y5803" s="221"/>
      <c r="Z5803" s="221"/>
      <c r="AA5803" s="221"/>
      <c r="AB5803" s="223"/>
    </row>
    <row r="5804" spans="1:28" ht="17.100000000000001" customHeight="1" thickTop="1">
      <c r="A5804" s="226" t="s">
        <v>16636</v>
      </c>
      <c r="B5804" s="28">
        <v>46057</v>
      </c>
      <c r="C5804" s="25">
        <v>1824</v>
      </c>
      <c r="D5804" s="13" t="s">
        <v>1883</v>
      </c>
      <c r="E5804" s="228"/>
      <c r="F5804" s="109" t="s">
        <v>16647</v>
      </c>
      <c r="G5804" s="24"/>
      <c r="H5804" s="230">
        <v>4.5</v>
      </c>
      <c r="I5804" s="220">
        <v>2880000</v>
      </c>
      <c r="J5804" s="220">
        <f>I5804*0.1</f>
        <v>288000</v>
      </c>
      <c r="K5804" s="220">
        <v>0</v>
      </c>
      <c r="L5804" s="220">
        <v>17800</v>
      </c>
      <c r="M5804" s="220">
        <v>18150</v>
      </c>
      <c r="N5804" s="220">
        <f>SUM(I5804:M5805)</f>
        <v>3203950</v>
      </c>
      <c r="O5804" s="224"/>
      <c r="P5804" s="110" t="s">
        <v>17122</v>
      </c>
      <c r="Q5804" s="15" t="s">
        <v>19</v>
      </c>
      <c r="R5804" s="205"/>
      <c r="S5804" s="189"/>
      <c r="T5804" s="114"/>
      <c r="U5804" s="21"/>
      <c r="V5804" s="115">
        <v>46114</v>
      </c>
      <c r="W5804" s="116"/>
      <c r="X5804" s="220">
        <v>3100000</v>
      </c>
      <c r="Y5804" s="220">
        <f>X5804*0.1</f>
        <v>310000</v>
      </c>
      <c r="Z5804" s="220">
        <v>17800</v>
      </c>
      <c r="AA5804" s="220">
        <f>SUM(X5804:Z5804)</f>
        <v>3427800</v>
      </c>
      <c r="AB5804" s="222"/>
    </row>
    <row r="5805" spans="1:28" ht="17.100000000000001" customHeight="1" thickBot="1">
      <c r="A5805" s="227"/>
      <c r="B5805" s="27" t="s">
        <v>2519</v>
      </c>
      <c r="C5805" s="27">
        <v>38058</v>
      </c>
      <c r="D5805" s="14" t="s">
        <v>2177</v>
      </c>
      <c r="E5805" s="229"/>
      <c r="F5805" s="117" t="s">
        <v>16648</v>
      </c>
      <c r="G5805" s="26">
        <v>31908</v>
      </c>
      <c r="H5805" s="231"/>
      <c r="I5805" s="221"/>
      <c r="J5805" s="221"/>
      <c r="K5805" s="221"/>
      <c r="L5805" s="221"/>
      <c r="M5805" s="221"/>
      <c r="N5805" s="221"/>
      <c r="O5805" s="225"/>
      <c r="P5805" s="118" t="s">
        <v>4883</v>
      </c>
      <c r="Q5805" s="16" t="s">
        <v>20</v>
      </c>
      <c r="R5805" s="17" t="s">
        <v>2158</v>
      </c>
      <c r="S5805" s="121" t="s">
        <v>5222</v>
      </c>
      <c r="T5805" s="122"/>
      <c r="U5805" s="22"/>
      <c r="V5805" s="123" t="s">
        <v>6682</v>
      </c>
      <c r="W5805" s="122">
        <v>48349</v>
      </c>
      <c r="X5805" s="221"/>
      <c r="Y5805" s="221"/>
      <c r="Z5805" s="221"/>
      <c r="AA5805" s="221"/>
      <c r="AB5805" s="223"/>
    </row>
    <row r="5806" spans="1:28" ht="17.100000000000001" customHeight="1" thickTop="1">
      <c r="A5806" s="226" t="s">
        <v>16637</v>
      </c>
      <c r="B5806" s="28">
        <v>46058</v>
      </c>
      <c r="C5806" s="25">
        <v>1317</v>
      </c>
      <c r="D5806" s="13" t="s">
        <v>2913</v>
      </c>
      <c r="E5806" s="228"/>
      <c r="F5806" s="109" t="s">
        <v>16633</v>
      </c>
      <c r="G5806" s="24" t="s">
        <v>1540</v>
      </c>
      <c r="H5806" s="230">
        <v>4.5</v>
      </c>
      <c r="I5806" s="220">
        <v>3150000</v>
      </c>
      <c r="J5806" s="220">
        <f>I5806*0.1</f>
        <v>315000</v>
      </c>
      <c r="K5806" s="220">
        <v>3300</v>
      </c>
      <c r="L5806" s="220">
        <v>17210</v>
      </c>
      <c r="M5806" s="220">
        <v>16500</v>
      </c>
      <c r="N5806" s="220">
        <f>SUM(I5806:M5807)</f>
        <v>3502010</v>
      </c>
      <c r="O5806" s="224"/>
      <c r="P5806" s="110" t="s">
        <v>16634</v>
      </c>
      <c r="Q5806" s="15" t="s">
        <v>19</v>
      </c>
      <c r="R5806" s="205"/>
      <c r="S5806" s="189"/>
      <c r="T5806" s="114"/>
      <c r="U5806" s="21"/>
      <c r="V5806" s="115">
        <v>46081</v>
      </c>
      <c r="W5806" s="116">
        <v>1290</v>
      </c>
      <c r="X5806" s="220">
        <v>3315000</v>
      </c>
      <c r="Y5806" s="220">
        <f>X5806*0.1</f>
        <v>331500</v>
      </c>
      <c r="Z5806" s="220">
        <v>17210</v>
      </c>
      <c r="AA5806" s="220">
        <f>SUM(X5806:Z5806)</f>
        <v>3663710</v>
      </c>
      <c r="AB5806" s="222">
        <v>46084</v>
      </c>
    </row>
    <row r="5807" spans="1:28" ht="17.100000000000001" customHeight="1" thickBot="1">
      <c r="A5807" s="227"/>
      <c r="B5807" s="27" t="s">
        <v>13379</v>
      </c>
      <c r="C5807" s="27">
        <v>79</v>
      </c>
      <c r="D5807" s="14" t="s">
        <v>2559</v>
      </c>
      <c r="E5807" s="229"/>
      <c r="F5807" s="117" t="s">
        <v>16628</v>
      </c>
      <c r="G5807" s="26">
        <v>25726</v>
      </c>
      <c r="H5807" s="231"/>
      <c r="I5807" s="221"/>
      <c r="J5807" s="221"/>
      <c r="K5807" s="221"/>
      <c r="L5807" s="221"/>
      <c r="M5807" s="221"/>
      <c r="N5807" s="221"/>
      <c r="O5807" s="225"/>
      <c r="P5807" s="118" t="s">
        <v>1647</v>
      </c>
      <c r="Q5807" s="16" t="s">
        <v>20</v>
      </c>
      <c r="R5807" s="17" t="s">
        <v>1829</v>
      </c>
      <c r="S5807" s="121" t="s">
        <v>9307</v>
      </c>
      <c r="T5807" s="122"/>
      <c r="U5807" s="22"/>
      <c r="V5807" s="123" t="s">
        <v>2472</v>
      </c>
      <c r="W5807" s="122">
        <v>80170</v>
      </c>
      <c r="X5807" s="221"/>
      <c r="Y5807" s="221"/>
      <c r="Z5807" s="221"/>
      <c r="AA5807" s="221"/>
      <c r="AB5807" s="223"/>
    </row>
    <row r="5808" spans="1:28" ht="17.100000000000001" customHeight="1" thickTop="1">
      <c r="A5808" s="226" t="s">
        <v>16638</v>
      </c>
      <c r="B5808" s="28">
        <v>46058</v>
      </c>
      <c r="C5808" s="25">
        <v>1317</v>
      </c>
      <c r="D5808" s="13" t="s">
        <v>2288</v>
      </c>
      <c r="E5808" s="228"/>
      <c r="F5808" s="109" t="s">
        <v>16629</v>
      </c>
      <c r="G5808" s="24"/>
      <c r="H5808" s="230">
        <v>4.5</v>
      </c>
      <c r="I5808" s="220">
        <v>1340000</v>
      </c>
      <c r="J5808" s="220">
        <f>I5808*0.1</f>
        <v>134000</v>
      </c>
      <c r="K5808" s="220">
        <v>0</v>
      </c>
      <c r="L5808" s="220">
        <v>15280</v>
      </c>
      <c r="M5808" s="220">
        <v>16500</v>
      </c>
      <c r="N5808" s="220">
        <f>SUM(I5808:M5809)</f>
        <v>1505780</v>
      </c>
      <c r="O5808" s="224"/>
      <c r="P5808" s="110" t="s">
        <v>17100</v>
      </c>
      <c r="Q5808" s="15" t="s">
        <v>19</v>
      </c>
      <c r="R5808" s="205"/>
      <c r="S5808" s="189" t="s">
        <v>25367</v>
      </c>
      <c r="T5808" s="114"/>
      <c r="U5808" s="21"/>
      <c r="V5808" s="115">
        <v>46060</v>
      </c>
      <c r="W5808" s="116">
        <v>1287</v>
      </c>
      <c r="X5808" s="220">
        <v>1475000</v>
      </c>
      <c r="Y5808" s="220">
        <f>X5808*0.1</f>
        <v>147500</v>
      </c>
      <c r="Z5808" s="220">
        <v>15280</v>
      </c>
      <c r="AA5808" s="220">
        <f>SUM(X5808:Z5808)</f>
        <v>1637780</v>
      </c>
      <c r="AB5808" s="222">
        <v>46065</v>
      </c>
    </row>
    <row r="5809" spans="1:28" ht="17.100000000000001" customHeight="1" thickBot="1">
      <c r="A5809" s="227"/>
      <c r="B5809" s="27" t="s">
        <v>13379</v>
      </c>
      <c r="C5809" s="27">
        <v>127</v>
      </c>
      <c r="D5809" s="14" t="s">
        <v>1584</v>
      </c>
      <c r="E5809" s="229"/>
      <c r="F5809" s="117" t="s">
        <v>16630</v>
      </c>
      <c r="G5809" s="26">
        <v>40749</v>
      </c>
      <c r="H5809" s="231"/>
      <c r="I5809" s="221"/>
      <c r="J5809" s="221"/>
      <c r="K5809" s="221"/>
      <c r="L5809" s="221"/>
      <c r="M5809" s="221"/>
      <c r="N5809" s="221"/>
      <c r="O5809" s="225"/>
      <c r="P5809" s="118" t="s">
        <v>4583</v>
      </c>
      <c r="Q5809" s="16" t="s">
        <v>20</v>
      </c>
      <c r="R5809" s="17" t="s">
        <v>2158</v>
      </c>
      <c r="S5809" s="121" t="s">
        <v>1731</v>
      </c>
      <c r="T5809" s="122"/>
      <c r="U5809" s="22"/>
      <c r="V5809" s="123" t="s">
        <v>2472</v>
      </c>
      <c r="W5809" s="122">
        <v>80403</v>
      </c>
      <c r="X5809" s="221"/>
      <c r="Y5809" s="221"/>
      <c r="Z5809" s="221"/>
      <c r="AA5809" s="221"/>
      <c r="AB5809" s="223"/>
    </row>
    <row r="5810" spans="1:28" ht="17.100000000000001" customHeight="1" thickTop="1">
      <c r="A5810" s="226" t="s">
        <v>16639</v>
      </c>
      <c r="B5810" s="28">
        <v>46058</v>
      </c>
      <c r="C5810" s="25">
        <v>1317</v>
      </c>
      <c r="D5810" s="13" t="s">
        <v>2040</v>
      </c>
      <c r="E5810" s="228"/>
      <c r="F5810" s="109" t="s">
        <v>16631</v>
      </c>
      <c r="G5810" s="24" t="s">
        <v>2494</v>
      </c>
      <c r="H5810" s="230">
        <v>4.5</v>
      </c>
      <c r="I5810" s="220">
        <v>3990000</v>
      </c>
      <c r="J5810" s="220">
        <f>I5810*0.1</f>
        <v>399000</v>
      </c>
      <c r="K5810" s="220">
        <f>4100+410</f>
        <v>4510</v>
      </c>
      <c r="L5810" s="220">
        <v>15540</v>
      </c>
      <c r="M5810" s="220">
        <v>16500</v>
      </c>
      <c r="N5810" s="220">
        <f>SUM(I5810:M5811)</f>
        <v>4425550</v>
      </c>
      <c r="O5810" s="224"/>
      <c r="P5810" s="110" t="s">
        <v>16632</v>
      </c>
      <c r="Q5810" s="15" t="s">
        <v>19</v>
      </c>
      <c r="R5810" s="205"/>
      <c r="S5810" s="189" t="s">
        <v>25367</v>
      </c>
      <c r="T5810" s="114"/>
      <c r="U5810" s="21" t="s">
        <v>19856</v>
      </c>
      <c r="V5810" s="115">
        <v>46095</v>
      </c>
      <c r="W5810" s="116">
        <v>1292</v>
      </c>
      <c r="X5810" s="220">
        <v>4055000</v>
      </c>
      <c r="Y5810" s="220">
        <f>X5810*0.1</f>
        <v>405500</v>
      </c>
      <c r="Z5810" s="220">
        <v>15540</v>
      </c>
      <c r="AA5810" s="220">
        <f>SUM(X5810:Z5810)</f>
        <v>4476040</v>
      </c>
      <c r="AB5810" s="222">
        <v>46100</v>
      </c>
    </row>
    <row r="5811" spans="1:28" ht="17.100000000000001" customHeight="1" thickBot="1">
      <c r="A5811" s="227"/>
      <c r="B5811" s="27" t="s">
        <v>13379</v>
      </c>
      <c r="C5811" s="27">
        <v>757</v>
      </c>
      <c r="D5811" s="14" t="s">
        <v>2559</v>
      </c>
      <c r="E5811" s="229"/>
      <c r="F5811" s="117" t="s">
        <v>16651</v>
      </c>
      <c r="G5811" s="26">
        <v>51158</v>
      </c>
      <c r="H5811" s="231"/>
      <c r="I5811" s="221"/>
      <c r="J5811" s="221"/>
      <c r="K5811" s="221"/>
      <c r="L5811" s="221"/>
      <c r="M5811" s="221"/>
      <c r="N5811" s="221"/>
      <c r="O5811" s="225"/>
      <c r="P5811" s="118" t="s">
        <v>2287</v>
      </c>
      <c r="Q5811" s="16" t="s">
        <v>20</v>
      </c>
      <c r="R5811" s="17" t="s">
        <v>3269</v>
      </c>
      <c r="S5811" s="121" t="s">
        <v>17598</v>
      </c>
      <c r="T5811" s="122"/>
      <c r="U5811" s="22"/>
      <c r="V5811" s="123" t="s">
        <v>2472</v>
      </c>
      <c r="W5811" s="122">
        <v>13219</v>
      </c>
      <c r="X5811" s="221"/>
      <c r="Y5811" s="221"/>
      <c r="Z5811" s="221"/>
      <c r="AA5811" s="221"/>
      <c r="AB5811" s="223"/>
    </row>
    <row r="5812" spans="1:28" ht="17.100000000000001" customHeight="1" thickTop="1">
      <c r="A5812" s="226" t="s">
        <v>16656</v>
      </c>
      <c r="B5812" s="28">
        <v>46054</v>
      </c>
      <c r="C5812" s="25"/>
      <c r="D5812" s="13" t="s">
        <v>1762</v>
      </c>
      <c r="E5812" s="228"/>
      <c r="F5812" s="109" t="s">
        <v>5164</v>
      </c>
      <c r="G5812" s="24" t="s">
        <v>2543</v>
      </c>
      <c r="H5812" s="230"/>
      <c r="I5812" s="220">
        <v>0</v>
      </c>
      <c r="J5812" s="220">
        <f>I5812*0.1</f>
        <v>0</v>
      </c>
      <c r="K5812" s="220">
        <v>0</v>
      </c>
      <c r="L5812" s="220">
        <v>0</v>
      </c>
      <c r="M5812" s="220">
        <v>0</v>
      </c>
      <c r="N5812" s="220">
        <f>SUM(I5812:M5813)</f>
        <v>0</v>
      </c>
      <c r="O5812" s="224"/>
      <c r="P5812" s="110" t="s">
        <v>16659</v>
      </c>
      <c r="Q5812" s="15" t="s">
        <v>19</v>
      </c>
      <c r="R5812" s="205"/>
      <c r="S5812" s="189"/>
      <c r="T5812" s="114"/>
      <c r="U5812" s="21"/>
      <c r="V5812" s="115">
        <v>46155</v>
      </c>
      <c r="W5812" s="116">
        <v>1016</v>
      </c>
      <c r="X5812" s="220">
        <v>336000</v>
      </c>
      <c r="Y5812" s="220">
        <f>X5812*0.1</f>
        <v>33600</v>
      </c>
      <c r="Z5812" s="220">
        <v>14520</v>
      </c>
      <c r="AA5812" s="220">
        <f>SUM(X5812:Z5812)</f>
        <v>384120</v>
      </c>
      <c r="AB5812" s="222">
        <v>46160</v>
      </c>
    </row>
    <row r="5813" spans="1:28" ht="17.100000000000001" customHeight="1" thickBot="1">
      <c r="A5813" s="227"/>
      <c r="B5813" s="27" t="s">
        <v>16657</v>
      </c>
      <c r="C5813" s="27"/>
      <c r="D5813" s="14"/>
      <c r="E5813" s="229"/>
      <c r="F5813" s="117" t="s">
        <v>16658</v>
      </c>
      <c r="G5813" s="26">
        <v>48300</v>
      </c>
      <c r="H5813" s="231"/>
      <c r="I5813" s="221"/>
      <c r="J5813" s="221"/>
      <c r="K5813" s="221"/>
      <c r="L5813" s="221"/>
      <c r="M5813" s="221"/>
      <c r="N5813" s="221"/>
      <c r="O5813" s="225"/>
      <c r="P5813" s="118" t="s">
        <v>2287</v>
      </c>
      <c r="Q5813" s="16" t="s">
        <v>20</v>
      </c>
      <c r="R5813" s="17" t="s">
        <v>2610</v>
      </c>
      <c r="S5813" s="121"/>
      <c r="T5813" s="122"/>
      <c r="U5813" s="22"/>
      <c r="V5813" s="123" t="s">
        <v>8877</v>
      </c>
      <c r="W5813" s="122">
        <v>10027</v>
      </c>
      <c r="X5813" s="221"/>
      <c r="Y5813" s="221"/>
      <c r="Z5813" s="221"/>
      <c r="AA5813" s="221"/>
      <c r="AB5813" s="223"/>
    </row>
    <row r="5814" spans="1:28" ht="17.100000000000001" customHeight="1" thickTop="1">
      <c r="A5814" s="226" t="s">
        <v>16660</v>
      </c>
      <c r="B5814" s="28">
        <v>46056</v>
      </c>
      <c r="C5814" s="25"/>
      <c r="D5814" s="13" t="s">
        <v>16662</v>
      </c>
      <c r="E5814" s="228"/>
      <c r="F5814" s="109" t="s">
        <v>16663</v>
      </c>
      <c r="G5814" s="24" t="s">
        <v>8709</v>
      </c>
      <c r="H5814" s="230"/>
      <c r="I5814" s="220">
        <v>50000</v>
      </c>
      <c r="J5814" s="220">
        <v>0</v>
      </c>
      <c r="K5814" s="220">
        <v>0</v>
      </c>
      <c r="L5814" s="220">
        <v>0</v>
      </c>
      <c r="M5814" s="220">
        <v>0</v>
      </c>
      <c r="N5814" s="220">
        <f>SUM(I5814:M5815)</f>
        <v>50000</v>
      </c>
      <c r="O5814" s="224"/>
      <c r="P5814" s="110" t="s">
        <v>16665</v>
      </c>
      <c r="Q5814" s="15" t="s">
        <v>19</v>
      </c>
      <c r="R5814" s="205"/>
      <c r="S5814" s="189"/>
      <c r="T5814" s="114"/>
      <c r="U5814" s="21"/>
      <c r="V5814" s="115">
        <v>46064</v>
      </c>
      <c r="W5814" s="116">
        <v>1004</v>
      </c>
      <c r="X5814" s="220">
        <v>114000</v>
      </c>
      <c r="Y5814" s="220">
        <f>X5814*0.1</f>
        <v>11400</v>
      </c>
      <c r="Z5814" s="220">
        <v>15180</v>
      </c>
      <c r="AA5814" s="220">
        <f>SUM(X5814:Z5814)</f>
        <v>140580</v>
      </c>
      <c r="AB5814" s="222">
        <v>46070</v>
      </c>
    </row>
    <row r="5815" spans="1:28" ht="17.100000000000001" customHeight="1" thickBot="1">
      <c r="A5815" s="227"/>
      <c r="B5815" s="27" t="s">
        <v>16661</v>
      </c>
      <c r="C5815" s="27"/>
      <c r="D5815" s="14"/>
      <c r="E5815" s="229"/>
      <c r="F5815" s="117" t="s">
        <v>16664</v>
      </c>
      <c r="G5815" s="26"/>
      <c r="H5815" s="231"/>
      <c r="I5815" s="221"/>
      <c r="J5815" s="221"/>
      <c r="K5815" s="221"/>
      <c r="L5815" s="221"/>
      <c r="M5815" s="221"/>
      <c r="N5815" s="221"/>
      <c r="O5815" s="225"/>
      <c r="P5815" s="118" t="s">
        <v>16666</v>
      </c>
      <c r="Q5815" s="16" t="s">
        <v>20</v>
      </c>
      <c r="R5815" s="17" t="s">
        <v>2295</v>
      </c>
      <c r="S5815" s="121" t="s">
        <v>16667</v>
      </c>
      <c r="T5815" s="122"/>
      <c r="U5815" s="22"/>
      <c r="V5815" s="123" t="s">
        <v>2747</v>
      </c>
      <c r="W5815" s="122">
        <v>9241</v>
      </c>
      <c r="X5815" s="221"/>
      <c r="Y5815" s="221"/>
      <c r="Z5815" s="221"/>
      <c r="AA5815" s="221"/>
      <c r="AB5815" s="223"/>
    </row>
    <row r="5816" spans="1:28" ht="17.100000000000001" customHeight="1" thickTop="1">
      <c r="A5816" s="226" t="s">
        <v>16674</v>
      </c>
      <c r="B5816" s="28">
        <v>46058</v>
      </c>
      <c r="C5816" s="25">
        <v>2144</v>
      </c>
      <c r="D5816" s="13" t="s">
        <v>3243</v>
      </c>
      <c r="E5816" s="228"/>
      <c r="F5816" s="109" t="s">
        <v>7214</v>
      </c>
      <c r="G5816" s="24"/>
      <c r="H5816" s="232" t="s">
        <v>1705</v>
      </c>
      <c r="I5816" s="220">
        <v>181000</v>
      </c>
      <c r="J5816" s="220">
        <f>I5816*0.1</f>
        <v>18100</v>
      </c>
      <c r="K5816" s="220">
        <v>0</v>
      </c>
      <c r="L5816" s="220">
        <v>8400</v>
      </c>
      <c r="M5816" s="220">
        <v>14300</v>
      </c>
      <c r="N5816" s="220">
        <f>SUM(I5816:M5817)</f>
        <v>221800</v>
      </c>
      <c r="O5816" s="224"/>
      <c r="P5816" s="110" t="s">
        <v>17301</v>
      </c>
      <c r="Q5816" s="15" t="s">
        <v>19</v>
      </c>
      <c r="R5816" s="205"/>
      <c r="S5816" s="189"/>
      <c r="T5816" s="114" t="s">
        <v>20838</v>
      </c>
      <c r="U5816" s="21"/>
      <c r="V5816" s="115">
        <v>46109</v>
      </c>
      <c r="W5816" s="116">
        <v>1294</v>
      </c>
      <c r="X5816" s="220">
        <v>148000</v>
      </c>
      <c r="Y5816" s="220">
        <f>X5816*0.1</f>
        <v>14800</v>
      </c>
      <c r="Z5816" s="220">
        <v>8400</v>
      </c>
      <c r="AA5816" s="220">
        <f>SUM(X5816:Z5816)</f>
        <v>171200</v>
      </c>
      <c r="AB5816" s="222">
        <v>46112</v>
      </c>
    </row>
    <row r="5817" spans="1:28" ht="17.100000000000001" customHeight="1" thickBot="1">
      <c r="A5817" s="227"/>
      <c r="B5817" s="27" t="s">
        <v>1918</v>
      </c>
      <c r="C5817" s="27">
        <v>24</v>
      </c>
      <c r="D5817" s="14" t="s">
        <v>2753</v>
      </c>
      <c r="E5817" s="229"/>
      <c r="F5817" s="117" t="s">
        <v>16690</v>
      </c>
      <c r="G5817" s="26">
        <v>137518</v>
      </c>
      <c r="H5817" s="231"/>
      <c r="I5817" s="221"/>
      <c r="J5817" s="221"/>
      <c r="K5817" s="221"/>
      <c r="L5817" s="221"/>
      <c r="M5817" s="221"/>
      <c r="N5817" s="221"/>
      <c r="O5817" s="225"/>
      <c r="P5817" s="118" t="s">
        <v>17302</v>
      </c>
      <c r="Q5817" s="16" t="s">
        <v>20</v>
      </c>
      <c r="R5817" s="17" t="s">
        <v>2264</v>
      </c>
      <c r="S5817" s="121" t="s">
        <v>17303</v>
      </c>
      <c r="T5817" s="122"/>
      <c r="U5817" s="22"/>
      <c r="V5817" s="123" t="s">
        <v>21250</v>
      </c>
      <c r="W5817" s="122">
        <v>90164</v>
      </c>
      <c r="X5817" s="221"/>
      <c r="Y5817" s="221"/>
      <c r="Z5817" s="221"/>
      <c r="AA5817" s="221"/>
      <c r="AB5817" s="223"/>
    </row>
    <row r="5818" spans="1:28" ht="17.100000000000001" customHeight="1" thickTop="1">
      <c r="A5818" s="226" t="s">
        <v>16675</v>
      </c>
      <c r="B5818" s="28">
        <v>46058</v>
      </c>
      <c r="C5818" s="25">
        <v>2144</v>
      </c>
      <c r="D5818" s="13" t="s">
        <v>1578</v>
      </c>
      <c r="E5818" s="228"/>
      <c r="F5818" s="109" t="s">
        <v>16847</v>
      </c>
      <c r="G5818" s="24"/>
      <c r="H5818" s="230">
        <v>4</v>
      </c>
      <c r="I5818" s="220">
        <v>495000</v>
      </c>
      <c r="J5818" s="220">
        <f>I5818*0.1</f>
        <v>49500</v>
      </c>
      <c r="K5818" s="220">
        <v>0</v>
      </c>
      <c r="L5818" s="220">
        <v>8430</v>
      </c>
      <c r="M5818" s="220">
        <v>14300</v>
      </c>
      <c r="N5818" s="220">
        <f>SUM(I5818:M5819)</f>
        <v>567230</v>
      </c>
      <c r="O5818" s="224"/>
      <c r="P5818" s="110" t="s">
        <v>17212</v>
      </c>
      <c r="Q5818" s="15" t="s">
        <v>19</v>
      </c>
      <c r="R5818" s="205"/>
      <c r="S5818" s="189"/>
      <c r="T5818" s="114"/>
      <c r="U5818" s="21"/>
      <c r="V5818" s="115">
        <v>46064</v>
      </c>
      <c r="W5818" s="116">
        <v>1004</v>
      </c>
      <c r="X5818" s="220">
        <v>555000</v>
      </c>
      <c r="Y5818" s="220">
        <f>X5818*0.1</f>
        <v>55500</v>
      </c>
      <c r="Z5818" s="220">
        <v>8430</v>
      </c>
      <c r="AA5818" s="220">
        <f>SUM(X5818:Z5818)</f>
        <v>618930</v>
      </c>
      <c r="AB5818" s="222">
        <v>46069</v>
      </c>
    </row>
    <row r="5819" spans="1:28" ht="17.100000000000001" customHeight="1" thickBot="1">
      <c r="A5819" s="227"/>
      <c r="B5819" s="27" t="s">
        <v>1918</v>
      </c>
      <c r="C5819" s="27">
        <v>2034</v>
      </c>
      <c r="D5819" s="14" t="s">
        <v>1710</v>
      </c>
      <c r="E5819" s="229"/>
      <c r="F5819" s="117" t="s">
        <v>16691</v>
      </c>
      <c r="G5819" s="26">
        <v>44588</v>
      </c>
      <c r="H5819" s="231"/>
      <c r="I5819" s="221"/>
      <c r="J5819" s="221"/>
      <c r="K5819" s="221"/>
      <c r="L5819" s="221"/>
      <c r="M5819" s="221"/>
      <c r="N5819" s="221"/>
      <c r="O5819" s="225"/>
      <c r="P5819" s="118" t="s">
        <v>17213</v>
      </c>
      <c r="Q5819" s="16" t="s">
        <v>20</v>
      </c>
      <c r="R5819" s="17" t="s">
        <v>2264</v>
      </c>
      <c r="S5819" s="121"/>
      <c r="T5819" s="122"/>
      <c r="U5819" s="22"/>
      <c r="V5819" s="123" t="s">
        <v>2747</v>
      </c>
      <c r="W5819" s="122">
        <v>5148</v>
      </c>
      <c r="X5819" s="221"/>
      <c r="Y5819" s="221"/>
      <c r="Z5819" s="221"/>
      <c r="AA5819" s="221"/>
      <c r="AB5819" s="223"/>
    </row>
    <row r="5820" spans="1:28" ht="17.100000000000001" customHeight="1" thickTop="1">
      <c r="A5820" s="226" t="s">
        <v>16676</v>
      </c>
      <c r="B5820" s="28">
        <v>46058</v>
      </c>
      <c r="C5820" s="25">
        <v>2144</v>
      </c>
      <c r="D5820" s="13" t="s">
        <v>3494</v>
      </c>
      <c r="E5820" s="228"/>
      <c r="F5820" s="109" t="s">
        <v>15643</v>
      </c>
      <c r="G5820" s="24"/>
      <c r="H5820" s="230">
        <v>4.5</v>
      </c>
      <c r="I5820" s="220">
        <v>906000</v>
      </c>
      <c r="J5820" s="220">
        <f>I5820*0.1</f>
        <v>90600</v>
      </c>
      <c r="K5820" s="220">
        <v>0</v>
      </c>
      <c r="L5820" s="220">
        <v>6830</v>
      </c>
      <c r="M5820" s="220">
        <v>14300</v>
      </c>
      <c r="N5820" s="220">
        <f>SUM(I5820:M5821)</f>
        <v>1017730</v>
      </c>
      <c r="O5820" s="224"/>
      <c r="P5820" s="110" t="s">
        <v>17300</v>
      </c>
      <c r="Q5820" s="15" t="s">
        <v>19</v>
      </c>
      <c r="R5820" s="205"/>
      <c r="S5820" s="189"/>
      <c r="T5820" s="114"/>
      <c r="U5820" s="21"/>
      <c r="V5820" s="115">
        <v>46078</v>
      </c>
      <c r="W5820" s="116">
        <v>1006</v>
      </c>
      <c r="X5820" s="220">
        <v>1065000</v>
      </c>
      <c r="Y5820" s="220">
        <f>X5820*0.1</f>
        <v>106500</v>
      </c>
      <c r="Z5820" s="220">
        <v>6830</v>
      </c>
      <c r="AA5820" s="220">
        <f>SUM(X5820:Z5820)</f>
        <v>1178330</v>
      </c>
      <c r="AB5820" s="222">
        <v>46083</v>
      </c>
    </row>
    <row r="5821" spans="1:28" ht="17.100000000000001" customHeight="1" thickBot="1">
      <c r="A5821" s="227"/>
      <c r="B5821" s="27" t="s">
        <v>1918</v>
      </c>
      <c r="C5821" s="27">
        <v>2035</v>
      </c>
      <c r="D5821" s="14" t="s">
        <v>2248</v>
      </c>
      <c r="E5821" s="229"/>
      <c r="F5821" s="117" t="s">
        <v>16692</v>
      </c>
      <c r="G5821" s="26">
        <v>55526</v>
      </c>
      <c r="H5821" s="231"/>
      <c r="I5821" s="221"/>
      <c r="J5821" s="221"/>
      <c r="K5821" s="221"/>
      <c r="L5821" s="221"/>
      <c r="M5821" s="221"/>
      <c r="N5821" s="221"/>
      <c r="O5821" s="225"/>
      <c r="P5821" s="118" t="s">
        <v>2404</v>
      </c>
      <c r="Q5821" s="16" t="s">
        <v>20</v>
      </c>
      <c r="R5821" s="17" t="s">
        <v>2264</v>
      </c>
      <c r="S5821" s="121" t="s">
        <v>18144</v>
      </c>
      <c r="T5821" s="122"/>
      <c r="U5821" s="22"/>
      <c r="V5821" s="123" t="s">
        <v>2747</v>
      </c>
      <c r="W5821" s="122">
        <v>5068</v>
      </c>
      <c r="X5821" s="221"/>
      <c r="Y5821" s="221"/>
      <c r="Z5821" s="221"/>
      <c r="AA5821" s="221"/>
      <c r="AB5821" s="223"/>
    </row>
    <row r="5822" spans="1:28" ht="17.100000000000001" customHeight="1" thickTop="1">
      <c r="A5822" s="226" t="s">
        <v>16677</v>
      </c>
      <c r="B5822" s="28">
        <v>46058</v>
      </c>
      <c r="C5822" s="25">
        <v>2144</v>
      </c>
      <c r="D5822" s="13" t="s">
        <v>3269</v>
      </c>
      <c r="E5822" s="228"/>
      <c r="F5822" s="109" t="s">
        <v>14891</v>
      </c>
      <c r="G5822" s="24" t="s">
        <v>10428</v>
      </c>
      <c r="H5822" s="230">
        <v>4.5</v>
      </c>
      <c r="I5822" s="220">
        <v>738000</v>
      </c>
      <c r="J5822" s="220">
        <f>I5822*0.1</f>
        <v>73800</v>
      </c>
      <c r="K5822" s="220">
        <v>0</v>
      </c>
      <c r="L5822" s="220">
        <v>7950</v>
      </c>
      <c r="M5822" s="220">
        <v>14300</v>
      </c>
      <c r="N5822" s="220">
        <f>SUM(I5822:M5823)</f>
        <v>834050</v>
      </c>
      <c r="O5822" s="224"/>
      <c r="P5822" s="110" t="s">
        <v>16849</v>
      </c>
      <c r="Q5822" s="15" t="s">
        <v>19</v>
      </c>
      <c r="R5822" s="205"/>
      <c r="S5822" s="189" t="s">
        <v>25760</v>
      </c>
      <c r="T5822" s="114"/>
      <c r="U5822" s="21"/>
      <c r="V5822" s="115">
        <v>46063</v>
      </c>
      <c r="W5822" s="116">
        <v>1928</v>
      </c>
      <c r="X5822" s="220">
        <v>833000</v>
      </c>
      <c r="Y5822" s="220">
        <f>X5822*0.1</f>
        <v>83300</v>
      </c>
      <c r="Z5822" s="220">
        <v>7950</v>
      </c>
      <c r="AA5822" s="220">
        <f>SUM(X5822:Z5822)</f>
        <v>924250</v>
      </c>
      <c r="AB5822" s="222"/>
    </row>
    <row r="5823" spans="1:28" ht="17.100000000000001" customHeight="1" thickBot="1">
      <c r="A5823" s="227"/>
      <c r="B5823" s="27" t="s">
        <v>1918</v>
      </c>
      <c r="C5823" s="27">
        <v>2105</v>
      </c>
      <c r="D5823" s="14" t="s">
        <v>16848</v>
      </c>
      <c r="E5823" s="229"/>
      <c r="F5823" s="117" t="s">
        <v>16693</v>
      </c>
      <c r="G5823" s="26">
        <v>35084</v>
      </c>
      <c r="H5823" s="231"/>
      <c r="I5823" s="221"/>
      <c r="J5823" s="221"/>
      <c r="K5823" s="221"/>
      <c r="L5823" s="221"/>
      <c r="M5823" s="221"/>
      <c r="N5823" s="221"/>
      <c r="O5823" s="225"/>
      <c r="P5823" s="118" t="s">
        <v>17206</v>
      </c>
      <c r="Q5823" s="16" t="s">
        <v>20</v>
      </c>
      <c r="R5823" s="17" t="s">
        <v>2264</v>
      </c>
      <c r="S5823" s="121" t="s">
        <v>4035</v>
      </c>
      <c r="T5823" s="122"/>
      <c r="U5823" s="22"/>
      <c r="V5823" s="123" t="s">
        <v>2103</v>
      </c>
      <c r="W5823" s="122">
        <v>3259</v>
      </c>
      <c r="X5823" s="221"/>
      <c r="Y5823" s="221"/>
      <c r="Z5823" s="221"/>
      <c r="AA5823" s="221"/>
      <c r="AB5823" s="223"/>
    </row>
    <row r="5824" spans="1:28" ht="17.100000000000001" customHeight="1" thickTop="1">
      <c r="A5824" s="226" t="s">
        <v>16678</v>
      </c>
      <c r="B5824" s="28">
        <v>46058</v>
      </c>
      <c r="C5824" s="25">
        <v>2144</v>
      </c>
      <c r="D5824" s="13" t="s">
        <v>1931</v>
      </c>
      <c r="E5824" s="228"/>
      <c r="F5824" s="109" t="s">
        <v>16850</v>
      </c>
      <c r="G5824" s="24"/>
      <c r="H5824" s="230">
        <v>3.5</v>
      </c>
      <c r="I5824" s="220">
        <v>923000</v>
      </c>
      <c r="J5824" s="220">
        <f>I5824*0.1</f>
        <v>92300</v>
      </c>
      <c r="K5824" s="220">
        <v>0</v>
      </c>
      <c r="L5824" s="220">
        <v>9200</v>
      </c>
      <c r="M5824" s="220">
        <v>14300</v>
      </c>
      <c r="N5824" s="220">
        <f>SUM(I5824:M5825)</f>
        <v>1038800</v>
      </c>
      <c r="O5824" s="224"/>
      <c r="P5824" s="110" t="s">
        <v>17298</v>
      </c>
      <c r="Q5824" s="15" t="s">
        <v>19</v>
      </c>
      <c r="R5824" s="205"/>
      <c r="S5824" s="189"/>
      <c r="T5824" s="114"/>
      <c r="U5824" s="21"/>
      <c r="V5824" s="115"/>
      <c r="W5824" s="116"/>
      <c r="X5824" s="220"/>
      <c r="Y5824" s="220">
        <f>X5824*0.1</f>
        <v>0</v>
      </c>
      <c r="Z5824" s="220"/>
      <c r="AA5824" s="220">
        <f>SUM(X5824:Z5824)</f>
        <v>0</v>
      </c>
      <c r="AB5824" s="222"/>
    </row>
    <row r="5825" spans="1:28" ht="17.100000000000001" customHeight="1" thickBot="1">
      <c r="A5825" s="227"/>
      <c r="B5825" s="27" t="s">
        <v>1918</v>
      </c>
      <c r="C5825" s="27">
        <v>2143</v>
      </c>
      <c r="D5825" s="14" t="s">
        <v>1797</v>
      </c>
      <c r="E5825" s="229"/>
      <c r="F5825" s="117" t="s">
        <v>16694</v>
      </c>
      <c r="G5825" s="26">
        <v>33333</v>
      </c>
      <c r="H5825" s="231"/>
      <c r="I5825" s="221"/>
      <c r="J5825" s="221"/>
      <c r="K5825" s="221"/>
      <c r="L5825" s="221"/>
      <c r="M5825" s="221"/>
      <c r="N5825" s="221"/>
      <c r="O5825" s="225"/>
      <c r="P5825" s="118" t="s">
        <v>17299</v>
      </c>
      <c r="Q5825" s="16" t="s">
        <v>20</v>
      </c>
      <c r="R5825" s="17" t="s">
        <v>2264</v>
      </c>
      <c r="S5825" s="121"/>
      <c r="T5825" s="122"/>
      <c r="U5825" s="22"/>
      <c r="V5825" s="123"/>
      <c r="W5825" s="122"/>
      <c r="X5825" s="221"/>
      <c r="Y5825" s="221"/>
      <c r="Z5825" s="221"/>
      <c r="AA5825" s="221"/>
      <c r="AB5825" s="223"/>
    </row>
    <row r="5826" spans="1:28" ht="17.100000000000001" customHeight="1" thickTop="1">
      <c r="A5826" s="226" t="s">
        <v>16679</v>
      </c>
      <c r="B5826" s="28">
        <v>46058</v>
      </c>
      <c r="C5826" s="25">
        <v>2144</v>
      </c>
      <c r="D5826" s="13" t="s">
        <v>3422</v>
      </c>
      <c r="E5826" s="228"/>
      <c r="F5826" s="109" t="s">
        <v>16851</v>
      </c>
      <c r="G5826" s="24"/>
      <c r="H5826" s="230">
        <v>4.5</v>
      </c>
      <c r="I5826" s="220">
        <v>668000</v>
      </c>
      <c r="J5826" s="220">
        <f>I5826*0.1</f>
        <v>66800</v>
      </c>
      <c r="K5826" s="220">
        <v>0</v>
      </c>
      <c r="L5826" s="220">
        <v>8230</v>
      </c>
      <c r="M5826" s="220">
        <v>14300</v>
      </c>
      <c r="N5826" s="220">
        <f>SUM(I5826:M5827)</f>
        <v>757330</v>
      </c>
      <c r="O5826" s="224"/>
      <c r="P5826" s="110" t="s">
        <v>17296</v>
      </c>
      <c r="Q5826" s="15" t="s">
        <v>19</v>
      </c>
      <c r="R5826" s="205"/>
      <c r="S5826" s="189" t="s">
        <v>758</v>
      </c>
      <c r="T5826" s="114"/>
      <c r="U5826" s="21"/>
      <c r="V5826" s="115">
        <v>46071</v>
      </c>
      <c r="W5826" s="116">
        <v>1005</v>
      </c>
      <c r="X5826" s="220">
        <v>715000</v>
      </c>
      <c r="Y5826" s="220">
        <f>X5826*0.1</f>
        <v>71500</v>
      </c>
      <c r="Z5826" s="220">
        <v>8230</v>
      </c>
      <c r="AA5826" s="220">
        <f>SUM(X5826:Z5826)</f>
        <v>794730</v>
      </c>
      <c r="AB5826" s="222">
        <v>46073</v>
      </c>
    </row>
    <row r="5827" spans="1:28" ht="17.100000000000001" customHeight="1" thickBot="1">
      <c r="A5827" s="227"/>
      <c r="B5827" s="27" t="s">
        <v>1918</v>
      </c>
      <c r="C5827" s="27">
        <v>2145</v>
      </c>
      <c r="D5827" s="14" t="s">
        <v>898</v>
      </c>
      <c r="E5827" s="229"/>
      <c r="F5827" s="117" t="s">
        <v>16695</v>
      </c>
      <c r="G5827" s="26">
        <v>37140</v>
      </c>
      <c r="H5827" s="231"/>
      <c r="I5827" s="221"/>
      <c r="J5827" s="221"/>
      <c r="K5827" s="221"/>
      <c r="L5827" s="221"/>
      <c r="M5827" s="221"/>
      <c r="N5827" s="221"/>
      <c r="O5827" s="225"/>
      <c r="P5827" s="118" t="s">
        <v>3355</v>
      </c>
      <c r="Q5827" s="16" t="s">
        <v>20</v>
      </c>
      <c r="R5827" s="17" t="s">
        <v>2264</v>
      </c>
      <c r="S5827" s="121" t="s">
        <v>17297</v>
      </c>
      <c r="T5827" s="122"/>
      <c r="U5827" s="22"/>
      <c r="V5827" s="123" t="s">
        <v>2747</v>
      </c>
      <c r="W5827" s="122">
        <v>2053</v>
      </c>
      <c r="X5827" s="221"/>
      <c r="Y5827" s="221"/>
      <c r="Z5827" s="221"/>
      <c r="AA5827" s="221"/>
      <c r="AB5827" s="223"/>
    </row>
    <row r="5828" spans="1:28" ht="17.100000000000001" customHeight="1" thickTop="1">
      <c r="A5828" s="226" t="s">
        <v>16680</v>
      </c>
      <c r="B5828" s="28">
        <v>46058</v>
      </c>
      <c r="C5828" s="25">
        <v>2144</v>
      </c>
      <c r="D5828" s="13" t="s">
        <v>1553</v>
      </c>
      <c r="E5828" s="228"/>
      <c r="F5828" s="109" t="s">
        <v>16852</v>
      </c>
      <c r="G5828" s="24" t="s">
        <v>12987</v>
      </c>
      <c r="H5828" s="230">
        <v>4</v>
      </c>
      <c r="I5828" s="220">
        <v>1020000</v>
      </c>
      <c r="J5828" s="220">
        <f>I5828*0.1</f>
        <v>102000</v>
      </c>
      <c r="K5828" s="220">
        <v>0</v>
      </c>
      <c r="L5828" s="220">
        <v>9010</v>
      </c>
      <c r="M5828" s="220">
        <v>14300</v>
      </c>
      <c r="N5828" s="220">
        <f>SUM(I5828:M5829)</f>
        <v>1145310</v>
      </c>
      <c r="O5828" s="224"/>
      <c r="P5828" s="110" t="s">
        <v>16853</v>
      </c>
      <c r="Q5828" s="15" t="s">
        <v>19</v>
      </c>
      <c r="R5828" s="205"/>
      <c r="S5828" s="189"/>
      <c r="T5828" s="114"/>
      <c r="U5828" s="21"/>
      <c r="V5828" s="115">
        <v>46064</v>
      </c>
      <c r="W5828" s="116">
        <v>1004</v>
      </c>
      <c r="X5828" s="220">
        <v>1065000</v>
      </c>
      <c r="Y5828" s="220">
        <f>X5828*0.1</f>
        <v>106500</v>
      </c>
      <c r="Z5828" s="220">
        <v>9010</v>
      </c>
      <c r="AA5828" s="220">
        <f>SUM(X5828:Z5828)</f>
        <v>1180510</v>
      </c>
      <c r="AB5828" s="222">
        <v>46069</v>
      </c>
    </row>
    <row r="5829" spans="1:28" ht="17.100000000000001" customHeight="1" thickBot="1">
      <c r="A5829" s="227"/>
      <c r="B5829" s="27" t="s">
        <v>1918</v>
      </c>
      <c r="C5829" s="27">
        <v>2506</v>
      </c>
      <c r="D5829" s="14" t="s">
        <v>1797</v>
      </c>
      <c r="E5829" s="229"/>
      <c r="F5829" s="117" t="s">
        <v>16696</v>
      </c>
      <c r="G5829" s="26">
        <v>52233</v>
      </c>
      <c r="H5829" s="231"/>
      <c r="I5829" s="221"/>
      <c r="J5829" s="221"/>
      <c r="K5829" s="221"/>
      <c r="L5829" s="221"/>
      <c r="M5829" s="221"/>
      <c r="N5829" s="221"/>
      <c r="O5829" s="225"/>
      <c r="P5829" s="118" t="s">
        <v>2287</v>
      </c>
      <c r="Q5829" s="16" t="s">
        <v>20</v>
      </c>
      <c r="R5829" s="17" t="s">
        <v>2264</v>
      </c>
      <c r="S5829" s="121" t="s">
        <v>169</v>
      </c>
      <c r="T5829" s="122"/>
      <c r="U5829" s="22"/>
      <c r="V5829" s="123" t="s">
        <v>2747</v>
      </c>
      <c r="W5829" s="122">
        <v>5067</v>
      </c>
      <c r="X5829" s="221"/>
      <c r="Y5829" s="221"/>
      <c r="Z5829" s="221"/>
      <c r="AA5829" s="221"/>
      <c r="AB5829" s="223"/>
    </row>
    <row r="5830" spans="1:28" ht="17.100000000000001" customHeight="1" thickTop="1">
      <c r="A5830" s="226" t="s">
        <v>16681</v>
      </c>
      <c r="B5830" s="28">
        <v>46058</v>
      </c>
      <c r="C5830" s="25">
        <v>2144</v>
      </c>
      <c r="D5830" s="13" t="s">
        <v>1839</v>
      </c>
      <c r="E5830" s="228"/>
      <c r="F5830" s="109" t="s">
        <v>16854</v>
      </c>
      <c r="G5830" s="24" t="s">
        <v>12984</v>
      </c>
      <c r="H5830" s="230">
        <v>4</v>
      </c>
      <c r="I5830" s="220">
        <v>479000</v>
      </c>
      <c r="J5830" s="220">
        <f>I5830*0.1</f>
        <v>47900</v>
      </c>
      <c r="K5830" s="220">
        <v>0</v>
      </c>
      <c r="L5830" s="220">
        <v>8550</v>
      </c>
      <c r="M5830" s="220">
        <v>14300</v>
      </c>
      <c r="N5830" s="220">
        <f>SUM(I5830:M5831)</f>
        <v>549750</v>
      </c>
      <c r="O5830" s="224"/>
      <c r="P5830" s="110" t="s">
        <v>16855</v>
      </c>
      <c r="Q5830" s="15" t="s">
        <v>19</v>
      </c>
      <c r="R5830" s="205"/>
      <c r="S5830" s="189" t="s">
        <v>25429</v>
      </c>
      <c r="T5830" s="114"/>
      <c r="U5830" s="21"/>
      <c r="V5830" s="115">
        <v>46064</v>
      </c>
      <c r="W5830" s="116">
        <v>1004</v>
      </c>
      <c r="X5830" s="220">
        <v>550000</v>
      </c>
      <c r="Y5830" s="220">
        <f>X5830*0.1</f>
        <v>55000</v>
      </c>
      <c r="Z5830" s="220">
        <v>8550</v>
      </c>
      <c r="AA5830" s="220">
        <f>SUM(X5830:Z5830)</f>
        <v>613550</v>
      </c>
      <c r="AB5830" s="222">
        <v>46069</v>
      </c>
    </row>
    <row r="5831" spans="1:28" ht="17.100000000000001" customHeight="1" thickBot="1">
      <c r="A5831" s="227"/>
      <c r="B5831" s="27" t="s">
        <v>1918</v>
      </c>
      <c r="C5831" s="27">
        <v>2531</v>
      </c>
      <c r="D5831" s="14" t="s">
        <v>54</v>
      </c>
      <c r="E5831" s="229"/>
      <c r="F5831" s="117" t="s">
        <v>16697</v>
      </c>
      <c r="G5831" s="26">
        <v>21285</v>
      </c>
      <c r="H5831" s="231"/>
      <c r="I5831" s="221"/>
      <c r="J5831" s="221"/>
      <c r="K5831" s="221"/>
      <c r="L5831" s="221"/>
      <c r="M5831" s="221"/>
      <c r="N5831" s="221"/>
      <c r="O5831" s="225"/>
      <c r="P5831" s="118" t="s">
        <v>17218</v>
      </c>
      <c r="Q5831" s="16" t="s">
        <v>20</v>
      </c>
      <c r="R5831" s="17" t="s">
        <v>2264</v>
      </c>
      <c r="S5831" s="121" t="s">
        <v>7708</v>
      </c>
      <c r="T5831" s="122"/>
      <c r="U5831" s="22"/>
      <c r="V5831" s="123" t="s">
        <v>7161</v>
      </c>
      <c r="W5831" s="122">
        <v>5057</v>
      </c>
      <c r="X5831" s="221"/>
      <c r="Y5831" s="221"/>
      <c r="Z5831" s="221"/>
      <c r="AA5831" s="221"/>
      <c r="AB5831" s="223"/>
    </row>
    <row r="5832" spans="1:28" ht="17.100000000000001" customHeight="1" thickTop="1">
      <c r="A5832" s="226" t="s">
        <v>16682</v>
      </c>
      <c r="B5832" s="28">
        <v>46058</v>
      </c>
      <c r="C5832" s="25">
        <v>2144</v>
      </c>
      <c r="D5832" s="13" t="s">
        <v>3406</v>
      </c>
      <c r="E5832" s="228"/>
      <c r="F5832" s="109" t="s">
        <v>16856</v>
      </c>
      <c r="G5832" s="24"/>
      <c r="H5832" s="230">
        <v>4</v>
      </c>
      <c r="I5832" s="220">
        <v>631000</v>
      </c>
      <c r="J5832" s="220">
        <f>I5832*0.1</f>
        <v>63100</v>
      </c>
      <c r="K5832" s="220">
        <v>0</v>
      </c>
      <c r="L5832" s="220">
        <v>8430</v>
      </c>
      <c r="M5832" s="220">
        <v>14300</v>
      </c>
      <c r="N5832" s="220">
        <f>SUM(I5832:M5833)</f>
        <v>716830</v>
      </c>
      <c r="O5832" s="224"/>
      <c r="P5832" s="110" t="s">
        <v>17288</v>
      </c>
      <c r="Q5832" s="15" t="s">
        <v>19</v>
      </c>
      <c r="R5832" s="205"/>
      <c r="S5832" s="189" t="s">
        <v>25761</v>
      </c>
      <c r="T5832" s="114"/>
      <c r="U5832" s="21"/>
      <c r="V5832" s="115">
        <v>46078</v>
      </c>
      <c r="W5832" s="116">
        <v>1006</v>
      </c>
      <c r="X5832" s="220">
        <v>710000</v>
      </c>
      <c r="Y5832" s="220">
        <f>X5832*0.1</f>
        <v>71000</v>
      </c>
      <c r="Z5832" s="220">
        <v>8430</v>
      </c>
      <c r="AA5832" s="220">
        <f>SUM(X5832:Z5832)</f>
        <v>789430</v>
      </c>
      <c r="AB5832" s="222">
        <v>46083</v>
      </c>
    </row>
    <row r="5833" spans="1:28" ht="17.100000000000001" customHeight="1" thickBot="1">
      <c r="A5833" s="227"/>
      <c r="B5833" s="27" t="s">
        <v>1918</v>
      </c>
      <c r="C5833" s="27">
        <v>2539</v>
      </c>
      <c r="D5833" s="14" t="s">
        <v>1710</v>
      </c>
      <c r="E5833" s="229"/>
      <c r="F5833" s="117" t="s">
        <v>16698</v>
      </c>
      <c r="G5833" s="26">
        <v>58376</v>
      </c>
      <c r="H5833" s="231"/>
      <c r="I5833" s="221"/>
      <c r="J5833" s="221"/>
      <c r="K5833" s="221"/>
      <c r="L5833" s="221"/>
      <c r="M5833" s="221"/>
      <c r="N5833" s="221"/>
      <c r="O5833" s="225"/>
      <c r="P5833" s="118" t="s">
        <v>15065</v>
      </c>
      <c r="Q5833" s="16" t="s">
        <v>20</v>
      </c>
      <c r="R5833" s="17" t="s">
        <v>2264</v>
      </c>
      <c r="S5833" s="121" t="s">
        <v>17289</v>
      </c>
      <c r="T5833" s="122"/>
      <c r="U5833" s="22"/>
      <c r="V5833" s="123" t="s">
        <v>2747</v>
      </c>
      <c r="W5833" s="122">
        <v>2023</v>
      </c>
      <c r="X5833" s="221"/>
      <c r="Y5833" s="221"/>
      <c r="Z5833" s="221"/>
      <c r="AA5833" s="221"/>
      <c r="AB5833" s="223"/>
    </row>
    <row r="5834" spans="1:28" ht="17.100000000000001" customHeight="1" thickTop="1">
      <c r="A5834" s="226" t="s">
        <v>16683</v>
      </c>
      <c r="B5834" s="28">
        <v>46058</v>
      </c>
      <c r="C5834" s="25">
        <v>2144</v>
      </c>
      <c r="D5834" s="13" t="s">
        <v>3406</v>
      </c>
      <c r="E5834" s="228"/>
      <c r="F5834" s="109" t="s">
        <v>16856</v>
      </c>
      <c r="G5834" s="24"/>
      <c r="H5834" s="230">
        <v>4.5</v>
      </c>
      <c r="I5834" s="220">
        <v>712000</v>
      </c>
      <c r="J5834" s="220">
        <f>I5834*0.1</f>
        <v>71200</v>
      </c>
      <c r="K5834" s="220">
        <v>0</v>
      </c>
      <c r="L5834" s="220">
        <v>8430</v>
      </c>
      <c r="M5834" s="220">
        <v>14300</v>
      </c>
      <c r="N5834" s="220">
        <f>SUM(I5834:M5835)</f>
        <v>805930</v>
      </c>
      <c r="O5834" s="224"/>
      <c r="P5834" s="110" t="s">
        <v>17287</v>
      </c>
      <c r="Q5834" s="15" t="s">
        <v>19</v>
      </c>
      <c r="R5834" s="205"/>
      <c r="S5834" s="189" t="s">
        <v>25761</v>
      </c>
      <c r="T5834" s="114" t="s">
        <v>17343</v>
      </c>
      <c r="U5834" s="21"/>
      <c r="V5834" s="115">
        <v>46063</v>
      </c>
      <c r="W5834" s="116">
        <v>1928</v>
      </c>
      <c r="X5834" s="220">
        <v>795000</v>
      </c>
      <c r="Y5834" s="220">
        <f>X5834*0.1</f>
        <v>79500</v>
      </c>
      <c r="Z5834" s="220">
        <v>8430</v>
      </c>
      <c r="AA5834" s="220">
        <f>SUM(X5834:Z5834)</f>
        <v>882930</v>
      </c>
      <c r="AB5834" s="222">
        <v>46070</v>
      </c>
    </row>
    <row r="5835" spans="1:28" ht="17.100000000000001" customHeight="1" thickBot="1">
      <c r="A5835" s="227"/>
      <c r="B5835" s="27" t="s">
        <v>1918</v>
      </c>
      <c r="C5835" s="27">
        <v>2546</v>
      </c>
      <c r="D5835" s="14" t="s">
        <v>1710</v>
      </c>
      <c r="E5835" s="229"/>
      <c r="F5835" s="117" t="s">
        <v>16699</v>
      </c>
      <c r="G5835" s="26">
        <v>55283</v>
      </c>
      <c r="H5835" s="231"/>
      <c r="I5835" s="221"/>
      <c r="J5835" s="221"/>
      <c r="K5835" s="221"/>
      <c r="L5835" s="221"/>
      <c r="M5835" s="221"/>
      <c r="N5835" s="221"/>
      <c r="O5835" s="225"/>
      <c r="P5835" s="118" t="s">
        <v>15065</v>
      </c>
      <c r="Q5835" s="16" t="s">
        <v>20</v>
      </c>
      <c r="R5835" s="17" t="s">
        <v>2264</v>
      </c>
      <c r="S5835" s="128" t="s">
        <v>17732</v>
      </c>
      <c r="T5835" s="122"/>
      <c r="U5835" s="22"/>
      <c r="V5835" s="123" t="s">
        <v>7507</v>
      </c>
      <c r="W5835" s="122">
        <v>3243</v>
      </c>
      <c r="X5835" s="221"/>
      <c r="Y5835" s="221"/>
      <c r="Z5835" s="221"/>
      <c r="AA5835" s="221"/>
      <c r="AB5835" s="223"/>
    </row>
    <row r="5836" spans="1:28" ht="17.100000000000001" customHeight="1" thickTop="1">
      <c r="A5836" s="226" t="s">
        <v>16684</v>
      </c>
      <c r="B5836" s="28">
        <v>46058</v>
      </c>
      <c r="C5836" s="25">
        <v>2144</v>
      </c>
      <c r="D5836" s="13" t="s">
        <v>3406</v>
      </c>
      <c r="E5836" s="228"/>
      <c r="F5836" s="109" t="s">
        <v>16856</v>
      </c>
      <c r="G5836" s="24"/>
      <c r="H5836" s="230">
        <v>4</v>
      </c>
      <c r="I5836" s="220">
        <v>670000</v>
      </c>
      <c r="J5836" s="220">
        <f>I5836*0.1</f>
        <v>67000</v>
      </c>
      <c r="K5836" s="220">
        <v>0</v>
      </c>
      <c r="L5836" s="220">
        <v>8430</v>
      </c>
      <c r="M5836" s="220">
        <v>14300</v>
      </c>
      <c r="N5836" s="220">
        <f>SUM(I5836:M5837)</f>
        <v>759730</v>
      </c>
      <c r="O5836" s="224"/>
      <c r="P5836" s="110" t="s">
        <v>17290</v>
      </c>
      <c r="Q5836" s="15" t="s">
        <v>19</v>
      </c>
      <c r="R5836" s="205"/>
      <c r="S5836" s="189" t="s">
        <v>25761</v>
      </c>
      <c r="T5836" s="114"/>
      <c r="U5836" s="21"/>
      <c r="V5836" s="115">
        <v>46095</v>
      </c>
      <c r="W5836" s="116">
        <v>1292</v>
      </c>
      <c r="X5836" s="220">
        <v>700000</v>
      </c>
      <c r="Y5836" s="220">
        <f>X5836*0.1</f>
        <v>70000</v>
      </c>
      <c r="Z5836" s="220">
        <v>8430</v>
      </c>
      <c r="AA5836" s="220">
        <f>SUM(X5836:Z5836)</f>
        <v>778430</v>
      </c>
      <c r="AB5836" s="222">
        <v>46098</v>
      </c>
    </row>
    <row r="5837" spans="1:28" ht="17.100000000000001" customHeight="1" thickBot="1">
      <c r="A5837" s="227"/>
      <c r="B5837" s="27" t="s">
        <v>1918</v>
      </c>
      <c r="C5837" s="27">
        <v>2550</v>
      </c>
      <c r="D5837" s="14" t="s">
        <v>1710</v>
      </c>
      <c r="E5837" s="229"/>
      <c r="F5837" s="117" t="s">
        <v>16700</v>
      </c>
      <c r="G5837" s="26">
        <v>55544</v>
      </c>
      <c r="H5837" s="231"/>
      <c r="I5837" s="221"/>
      <c r="J5837" s="221"/>
      <c r="K5837" s="221"/>
      <c r="L5837" s="221"/>
      <c r="M5837" s="221"/>
      <c r="N5837" s="221"/>
      <c r="O5837" s="225"/>
      <c r="P5837" s="118" t="s">
        <v>15065</v>
      </c>
      <c r="Q5837" s="16" t="s">
        <v>20</v>
      </c>
      <c r="R5837" s="17" t="s">
        <v>2264</v>
      </c>
      <c r="S5837" s="121" t="s">
        <v>17291</v>
      </c>
      <c r="T5837" s="122"/>
      <c r="U5837" s="22"/>
      <c r="V5837" s="123" t="s">
        <v>2472</v>
      </c>
      <c r="W5837" s="122">
        <v>60047</v>
      </c>
      <c r="X5837" s="221"/>
      <c r="Y5837" s="221"/>
      <c r="Z5837" s="221"/>
      <c r="AA5837" s="221"/>
      <c r="AB5837" s="223"/>
    </row>
    <row r="5838" spans="1:28" ht="17.100000000000001" customHeight="1" thickTop="1">
      <c r="A5838" s="226" t="s">
        <v>16685</v>
      </c>
      <c r="B5838" s="28">
        <v>46058</v>
      </c>
      <c r="C5838" s="25">
        <v>2144</v>
      </c>
      <c r="D5838" s="13" t="s">
        <v>2690</v>
      </c>
      <c r="E5838" s="228"/>
      <c r="F5838" s="109" t="s">
        <v>15665</v>
      </c>
      <c r="G5838" s="24" t="s">
        <v>16857</v>
      </c>
      <c r="H5838" s="230">
        <v>4</v>
      </c>
      <c r="I5838" s="220">
        <v>1260000</v>
      </c>
      <c r="J5838" s="220">
        <f>I5838*0.1</f>
        <v>126000</v>
      </c>
      <c r="K5838" s="220">
        <v>0</v>
      </c>
      <c r="L5838" s="220">
        <v>8740</v>
      </c>
      <c r="M5838" s="220">
        <v>14300</v>
      </c>
      <c r="N5838" s="220">
        <f>SUM(I5838:M5839)</f>
        <v>1409040</v>
      </c>
      <c r="O5838" s="224"/>
      <c r="P5838" s="110" t="s">
        <v>16858</v>
      </c>
      <c r="Q5838" s="15" t="s">
        <v>19</v>
      </c>
      <c r="R5838" s="205"/>
      <c r="S5838" s="189" t="s">
        <v>529</v>
      </c>
      <c r="T5838" s="114"/>
      <c r="U5838" s="21" t="s">
        <v>18975</v>
      </c>
      <c r="V5838" s="115">
        <v>46085</v>
      </c>
      <c r="W5838" s="116">
        <v>1007</v>
      </c>
      <c r="X5838" s="220">
        <v>1310000</v>
      </c>
      <c r="Y5838" s="220">
        <f>X5838*0.1</f>
        <v>131000</v>
      </c>
      <c r="Z5838" s="220">
        <v>8740</v>
      </c>
      <c r="AA5838" s="220">
        <f>SUM(X5838:Z5838)</f>
        <v>1449740</v>
      </c>
      <c r="AB5838" s="222">
        <v>46090</v>
      </c>
    </row>
    <row r="5839" spans="1:28" ht="17.100000000000001" customHeight="1" thickBot="1">
      <c r="A5839" s="227"/>
      <c r="B5839" s="27" t="s">
        <v>1918</v>
      </c>
      <c r="C5839" s="27">
        <v>2555</v>
      </c>
      <c r="D5839" s="14" t="s">
        <v>273</v>
      </c>
      <c r="E5839" s="229"/>
      <c r="F5839" s="117" t="s">
        <v>16701</v>
      </c>
      <c r="G5839" s="26">
        <v>24621</v>
      </c>
      <c r="H5839" s="231"/>
      <c r="I5839" s="221"/>
      <c r="J5839" s="221"/>
      <c r="K5839" s="221"/>
      <c r="L5839" s="221"/>
      <c r="M5839" s="221"/>
      <c r="N5839" s="221"/>
      <c r="O5839" s="225"/>
      <c r="P5839" s="118" t="s">
        <v>1647</v>
      </c>
      <c r="Q5839" s="16" t="s">
        <v>20</v>
      </c>
      <c r="R5839" s="17" t="s">
        <v>2264</v>
      </c>
      <c r="S5839" s="121" t="s">
        <v>4378</v>
      </c>
      <c r="T5839" s="122"/>
      <c r="U5839" s="22"/>
      <c r="V5839" s="123" t="s">
        <v>2747</v>
      </c>
      <c r="W5839" s="122">
        <v>2095</v>
      </c>
      <c r="X5839" s="221"/>
      <c r="Y5839" s="221"/>
      <c r="Z5839" s="221"/>
      <c r="AA5839" s="221"/>
      <c r="AB5839" s="223"/>
    </row>
    <row r="5840" spans="1:28" ht="17.100000000000001" customHeight="1" thickTop="1">
      <c r="A5840" s="226" t="s">
        <v>16686</v>
      </c>
      <c r="B5840" s="28">
        <v>46058</v>
      </c>
      <c r="C5840" s="25">
        <v>2144</v>
      </c>
      <c r="D5840" s="13" t="s">
        <v>2264</v>
      </c>
      <c r="E5840" s="228"/>
      <c r="F5840" s="109" t="s">
        <v>14900</v>
      </c>
      <c r="G5840" s="24"/>
      <c r="H5840" s="230">
        <v>4</v>
      </c>
      <c r="I5840" s="220">
        <v>775000</v>
      </c>
      <c r="J5840" s="220">
        <f>I5840*0.1</f>
        <v>77500</v>
      </c>
      <c r="K5840" s="220">
        <v>0</v>
      </c>
      <c r="L5840" s="220">
        <v>6830</v>
      </c>
      <c r="M5840" s="220">
        <v>14300</v>
      </c>
      <c r="N5840" s="220">
        <f>SUM(I5840:M5841)</f>
        <v>873630</v>
      </c>
      <c r="O5840" s="224"/>
      <c r="P5840" s="110" t="s">
        <v>17295</v>
      </c>
      <c r="Q5840" s="15" t="s">
        <v>19</v>
      </c>
      <c r="R5840" s="205"/>
      <c r="S5840" s="189" t="s">
        <v>25386</v>
      </c>
      <c r="T5840" s="114"/>
      <c r="U5840" s="21"/>
      <c r="V5840" s="115">
        <v>46078</v>
      </c>
      <c r="W5840" s="116">
        <v>1006</v>
      </c>
      <c r="X5840" s="220">
        <v>855000</v>
      </c>
      <c r="Y5840" s="220">
        <f>X5840*0.1</f>
        <v>85500</v>
      </c>
      <c r="Z5840" s="220">
        <v>6830</v>
      </c>
      <c r="AA5840" s="220">
        <f>SUM(X5840:Z5840)</f>
        <v>947330</v>
      </c>
      <c r="AB5840" s="222">
        <v>46083</v>
      </c>
    </row>
    <row r="5841" spans="1:28" ht="17.100000000000001" customHeight="1" thickBot="1">
      <c r="A5841" s="227"/>
      <c r="B5841" s="27" t="s">
        <v>1918</v>
      </c>
      <c r="C5841" s="27">
        <v>2646</v>
      </c>
      <c r="D5841" s="14" t="s">
        <v>898</v>
      </c>
      <c r="E5841" s="229"/>
      <c r="F5841" s="117" t="s">
        <v>16702</v>
      </c>
      <c r="G5841" s="26">
        <v>52360</v>
      </c>
      <c r="H5841" s="231"/>
      <c r="I5841" s="221"/>
      <c r="J5841" s="221"/>
      <c r="K5841" s="221"/>
      <c r="L5841" s="221"/>
      <c r="M5841" s="221"/>
      <c r="N5841" s="221"/>
      <c r="O5841" s="225"/>
      <c r="P5841" s="118" t="s">
        <v>2404</v>
      </c>
      <c r="Q5841" s="16" t="s">
        <v>20</v>
      </c>
      <c r="R5841" s="17" t="s">
        <v>2264</v>
      </c>
      <c r="S5841" s="121" t="s">
        <v>17357</v>
      </c>
      <c r="T5841" s="122"/>
      <c r="U5841" s="22"/>
      <c r="V5841" s="123" t="s">
        <v>2747</v>
      </c>
      <c r="W5841" s="122">
        <v>2039</v>
      </c>
      <c r="X5841" s="221"/>
      <c r="Y5841" s="221"/>
      <c r="Z5841" s="221"/>
      <c r="AA5841" s="221"/>
      <c r="AB5841" s="223"/>
    </row>
    <row r="5842" spans="1:28" ht="17.100000000000001" customHeight="1" thickTop="1">
      <c r="A5842" s="226" t="s">
        <v>16687</v>
      </c>
      <c r="B5842" s="28">
        <v>46058</v>
      </c>
      <c r="C5842" s="25">
        <v>2144</v>
      </c>
      <c r="D5842" s="13" t="s">
        <v>1623</v>
      </c>
      <c r="E5842" s="228"/>
      <c r="F5842" s="109" t="s">
        <v>4678</v>
      </c>
      <c r="G5842" s="24" t="s">
        <v>5523</v>
      </c>
      <c r="H5842" s="230">
        <v>4.5</v>
      </c>
      <c r="I5842" s="220">
        <v>1572000</v>
      </c>
      <c r="J5842" s="220">
        <f>I5842*0.1</f>
        <v>157200</v>
      </c>
      <c r="K5842" s="220">
        <v>0</v>
      </c>
      <c r="L5842" s="220">
        <v>6960</v>
      </c>
      <c r="M5842" s="220">
        <v>14300</v>
      </c>
      <c r="N5842" s="220">
        <f>SUM(I5842:M5843)</f>
        <v>1750460</v>
      </c>
      <c r="O5842" s="224"/>
      <c r="P5842" s="110" t="s">
        <v>16859</v>
      </c>
      <c r="Q5842" s="15" t="s">
        <v>19</v>
      </c>
      <c r="R5842" s="205"/>
      <c r="S5842" s="189"/>
      <c r="T5842" s="114"/>
      <c r="U5842" s="21"/>
      <c r="V5842" s="115">
        <v>46063</v>
      </c>
      <c r="W5842" s="116">
        <v>1928</v>
      </c>
      <c r="X5842" s="220">
        <v>1594000</v>
      </c>
      <c r="Y5842" s="220">
        <f>X5842*0.1</f>
        <v>159400</v>
      </c>
      <c r="Z5842" s="220">
        <v>6960</v>
      </c>
      <c r="AA5842" s="220">
        <f>SUM(X5842:Z5842)</f>
        <v>1760360</v>
      </c>
      <c r="AB5842" s="222"/>
    </row>
    <row r="5843" spans="1:28" ht="17.100000000000001" customHeight="1" thickBot="1">
      <c r="A5843" s="227"/>
      <c r="B5843" s="27" t="s">
        <v>1918</v>
      </c>
      <c r="C5843" s="27">
        <v>2691</v>
      </c>
      <c r="D5843" s="14" t="s">
        <v>2559</v>
      </c>
      <c r="E5843" s="229"/>
      <c r="F5843" s="117" t="s">
        <v>16703</v>
      </c>
      <c r="G5843" s="26">
        <v>10906</v>
      </c>
      <c r="H5843" s="231"/>
      <c r="I5843" s="221"/>
      <c r="J5843" s="221"/>
      <c r="K5843" s="221"/>
      <c r="L5843" s="221"/>
      <c r="M5843" s="221"/>
      <c r="N5843" s="221"/>
      <c r="O5843" s="225"/>
      <c r="P5843" s="118" t="s">
        <v>1647</v>
      </c>
      <c r="Q5843" s="16" t="s">
        <v>20</v>
      </c>
      <c r="R5843" s="17" t="s">
        <v>2264</v>
      </c>
      <c r="S5843" s="121" t="s">
        <v>2784</v>
      </c>
      <c r="T5843" s="122"/>
      <c r="U5843" s="22"/>
      <c r="V5843" s="123" t="s">
        <v>2103</v>
      </c>
      <c r="W5843" s="122">
        <v>3241</v>
      </c>
      <c r="X5843" s="221"/>
      <c r="Y5843" s="221"/>
      <c r="Z5843" s="221"/>
      <c r="AA5843" s="221"/>
      <c r="AB5843" s="223"/>
    </row>
    <row r="5844" spans="1:28" ht="17.100000000000001" customHeight="1" thickTop="1">
      <c r="A5844" s="226" t="s">
        <v>16688</v>
      </c>
      <c r="B5844" s="28">
        <v>46058</v>
      </c>
      <c r="C5844" s="25">
        <v>2144</v>
      </c>
      <c r="D5844" s="13" t="s">
        <v>3769</v>
      </c>
      <c r="E5844" s="228"/>
      <c r="F5844" s="109" t="s">
        <v>16704</v>
      </c>
      <c r="G5844" s="24" t="s">
        <v>2084</v>
      </c>
      <c r="H5844" s="230">
        <v>3.5</v>
      </c>
      <c r="I5844" s="220">
        <v>866000</v>
      </c>
      <c r="J5844" s="220">
        <f>I5844*0.1</f>
        <v>86600</v>
      </c>
      <c r="K5844" s="220">
        <v>0</v>
      </c>
      <c r="L5844" s="220">
        <v>6880</v>
      </c>
      <c r="M5844" s="220">
        <v>14300</v>
      </c>
      <c r="N5844" s="220">
        <f>SUM(I5844:M5845)</f>
        <v>973780</v>
      </c>
      <c r="O5844" s="224"/>
      <c r="P5844" s="110" t="s">
        <v>16860</v>
      </c>
      <c r="Q5844" s="15" t="s">
        <v>19</v>
      </c>
      <c r="R5844" s="205"/>
      <c r="S5844" s="189" t="s">
        <v>283</v>
      </c>
      <c r="T5844" s="114"/>
      <c r="U5844" s="21" t="s">
        <v>19865</v>
      </c>
      <c r="V5844" s="115">
        <v>46097</v>
      </c>
      <c r="W5844" s="116"/>
      <c r="X5844" s="220">
        <v>1030000</v>
      </c>
      <c r="Y5844" s="220">
        <f>X5844*0.1</f>
        <v>103000</v>
      </c>
      <c r="Z5844" s="220">
        <v>6880</v>
      </c>
      <c r="AA5844" s="220">
        <f>SUM(X5844:Z5844)</f>
        <v>1139880</v>
      </c>
      <c r="AB5844" s="222"/>
    </row>
    <row r="5845" spans="1:28" ht="17.100000000000001" customHeight="1" thickBot="1">
      <c r="A5845" s="227"/>
      <c r="B5845" s="27" t="s">
        <v>1918</v>
      </c>
      <c r="C5845" s="27">
        <v>2703</v>
      </c>
      <c r="D5845" s="14" t="s">
        <v>2559</v>
      </c>
      <c r="E5845" s="229"/>
      <c r="F5845" s="117" t="s">
        <v>16705</v>
      </c>
      <c r="G5845" s="26">
        <v>50520</v>
      </c>
      <c r="H5845" s="231"/>
      <c r="I5845" s="221"/>
      <c r="J5845" s="221"/>
      <c r="K5845" s="221"/>
      <c r="L5845" s="221"/>
      <c r="M5845" s="221"/>
      <c r="N5845" s="221"/>
      <c r="O5845" s="225"/>
      <c r="P5845" s="118" t="s">
        <v>4226</v>
      </c>
      <c r="Q5845" s="16" t="s">
        <v>20</v>
      </c>
      <c r="R5845" s="17" t="s">
        <v>17360</v>
      </c>
      <c r="S5845" s="121" t="s">
        <v>6802</v>
      </c>
      <c r="T5845" s="122" t="s">
        <v>17345</v>
      </c>
      <c r="U5845" s="22"/>
      <c r="V5845" s="123" t="s">
        <v>6682</v>
      </c>
      <c r="W5845" s="122">
        <v>52450</v>
      </c>
      <c r="X5845" s="221"/>
      <c r="Y5845" s="221"/>
      <c r="Z5845" s="221"/>
      <c r="AA5845" s="221"/>
      <c r="AB5845" s="223"/>
    </row>
    <row r="5846" spans="1:28" ht="17.100000000000001" customHeight="1" thickTop="1">
      <c r="A5846" s="226" t="s">
        <v>16689</v>
      </c>
      <c r="B5846" s="28">
        <v>46058</v>
      </c>
      <c r="C5846" s="25">
        <v>2144</v>
      </c>
      <c r="D5846" s="13" t="s">
        <v>3406</v>
      </c>
      <c r="E5846" s="228"/>
      <c r="F5846" s="109" t="s">
        <v>15608</v>
      </c>
      <c r="G5846" s="24"/>
      <c r="H5846" s="230">
        <v>4.5</v>
      </c>
      <c r="I5846" s="220">
        <v>1293000</v>
      </c>
      <c r="J5846" s="220">
        <f>I5846*0.1</f>
        <v>129300</v>
      </c>
      <c r="K5846" s="220">
        <v>0</v>
      </c>
      <c r="L5846" s="220">
        <v>8550</v>
      </c>
      <c r="M5846" s="220">
        <v>14300</v>
      </c>
      <c r="N5846" s="220">
        <f>SUM(I5846:M5847)</f>
        <v>1445150</v>
      </c>
      <c r="O5846" s="224"/>
      <c r="P5846" s="110" t="s">
        <v>17207</v>
      </c>
      <c r="Q5846" s="15" t="s">
        <v>19</v>
      </c>
      <c r="R5846" s="205"/>
      <c r="S5846" s="189" t="s">
        <v>1406</v>
      </c>
      <c r="T5846" s="114"/>
      <c r="U5846" s="21"/>
      <c r="V5846" s="115">
        <v>46063</v>
      </c>
      <c r="W5846" s="116">
        <v>1928</v>
      </c>
      <c r="X5846" s="220">
        <v>1337000</v>
      </c>
      <c r="Y5846" s="220">
        <f>X5846*0.1</f>
        <v>133700</v>
      </c>
      <c r="Z5846" s="220">
        <v>8550</v>
      </c>
      <c r="AA5846" s="220">
        <f>SUM(X5846:Z5846)</f>
        <v>1479250</v>
      </c>
      <c r="AB5846" s="222"/>
    </row>
    <row r="5847" spans="1:28" ht="17.100000000000001" customHeight="1" thickBot="1">
      <c r="A5847" s="227"/>
      <c r="B5847" s="27" t="s">
        <v>1918</v>
      </c>
      <c r="C5847" s="27">
        <v>2724</v>
      </c>
      <c r="D5847" s="14" t="s">
        <v>2559</v>
      </c>
      <c r="E5847" s="229"/>
      <c r="F5847" s="117" t="s">
        <v>16706</v>
      </c>
      <c r="G5847" s="26">
        <v>32900</v>
      </c>
      <c r="H5847" s="231"/>
      <c r="I5847" s="221"/>
      <c r="J5847" s="221"/>
      <c r="K5847" s="221"/>
      <c r="L5847" s="221"/>
      <c r="M5847" s="221"/>
      <c r="N5847" s="221"/>
      <c r="O5847" s="225"/>
      <c r="P5847" s="118" t="s">
        <v>2404</v>
      </c>
      <c r="Q5847" s="16" t="s">
        <v>20</v>
      </c>
      <c r="R5847" s="17" t="s">
        <v>2264</v>
      </c>
      <c r="S5847" s="121" t="s">
        <v>2025</v>
      </c>
      <c r="T5847" s="122"/>
      <c r="U5847" s="22"/>
      <c r="V5847" s="123" t="s">
        <v>2103</v>
      </c>
      <c r="W5847" s="122">
        <v>3009</v>
      </c>
      <c r="X5847" s="221"/>
      <c r="Y5847" s="221"/>
      <c r="Z5847" s="221"/>
      <c r="AA5847" s="221"/>
      <c r="AB5847" s="223"/>
    </row>
    <row r="5848" spans="1:28" ht="17.100000000000001" customHeight="1" thickTop="1">
      <c r="A5848" s="226" t="s">
        <v>16710</v>
      </c>
      <c r="B5848" s="28">
        <v>46058</v>
      </c>
      <c r="C5848" s="25">
        <v>2144</v>
      </c>
      <c r="D5848" s="13" t="s">
        <v>1915</v>
      </c>
      <c r="E5848" s="228"/>
      <c r="F5848" s="109" t="s">
        <v>16861</v>
      </c>
      <c r="G5848" s="24"/>
      <c r="H5848" s="230">
        <v>4</v>
      </c>
      <c r="I5848" s="220">
        <v>562000</v>
      </c>
      <c r="J5848" s="220">
        <f>I5848*0.1</f>
        <v>56200</v>
      </c>
      <c r="K5848" s="220">
        <v>0</v>
      </c>
      <c r="L5848" s="220">
        <v>9790</v>
      </c>
      <c r="M5848" s="220">
        <v>14300</v>
      </c>
      <c r="N5848" s="220">
        <f>SUM(I5848:M5849)</f>
        <v>642290</v>
      </c>
      <c r="O5848" s="224"/>
      <c r="P5848" s="110" t="s">
        <v>16862</v>
      </c>
      <c r="Q5848" s="15" t="s">
        <v>19</v>
      </c>
      <c r="R5848" s="205"/>
      <c r="S5848" s="189"/>
      <c r="T5848" s="114"/>
      <c r="U5848" s="21"/>
      <c r="V5848" s="115">
        <v>46071</v>
      </c>
      <c r="W5848" s="116">
        <v>1005</v>
      </c>
      <c r="X5848" s="220">
        <v>640000</v>
      </c>
      <c r="Y5848" s="220">
        <f>X5848*0.1</f>
        <v>64000</v>
      </c>
      <c r="Z5848" s="220">
        <v>9790</v>
      </c>
      <c r="AA5848" s="220">
        <f>SUM(X5848:Z5848)</f>
        <v>713790</v>
      </c>
      <c r="AB5848" s="222">
        <v>46073</v>
      </c>
    </row>
    <row r="5849" spans="1:28" ht="17.100000000000001" customHeight="1" thickBot="1">
      <c r="A5849" s="227"/>
      <c r="B5849" s="27" t="s">
        <v>1918</v>
      </c>
      <c r="C5849" s="27">
        <v>2745</v>
      </c>
      <c r="D5849" s="14" t="s">
        <v>273</v>
      </c>
      <c r="E5849" s="229"/>
      <c r="F5849" s="117" t="s">
        <v>16707</v>
      </c>
      <c r="G5849" s="26">
        <v>70515</v>
      </c>
      <c r="H5849" s="231"/>
      <c r="I5849" s="221"/>
      <c r="J5849" s="221"/>
      <c r="K5849" s="221"/>
      <c r="L5849" s="221"/>
      <c r="M5849" s="221"/>
      <c r="N5849" s="221"/>
      <c r="O5849" s="225"/>
      <c r="P5849" s="118" t="s">
        <v>17371</v>
      </c>
      <c r="Q5849" s="16" t="s">
        <v>20</v>
      </c>
      <c r="R5849" s="17" t="s">
        <v>17360</v>
      </c>
      <c r="S5849" s="121" t="s">
        <v>7721</v>
      </c>
      <c r="T5849" s="122"/>
      <c r="U5849" s="22"/>
      <c r="V5849" s="123" t="s">
        <v>2747</v>
      </c>
      <c r="W5849" s="122">
        <v>2066</v>
      </c>
      <c r="X5849" s="221"/>
      <c r="Y5849" s="221"/>
      <c r="Z5849" s="221"/>
      <c r="AA5849" s="221"/>
      <c r="AB5849" s="223"/>
    </row>
    <row r="5850" spans="1:28" ht="17.100000000000001" customHeight="1" thickTop="1">
      <c r="A5850" s="226" t="s">
        <v>16711</v>
      </c>
      <c r="B5850" s="28">
        <v>46058</v>
      </c>
      <c r="C5850" s="25">
        <v>2144</v>
      </c>
      <c r="D5850" s="13" t="s">
        <v>4739</v>
      </c>
      <c r="E5850" s="228"/>
      <c r="F5850" s="109" t="s">
        <v>419</v>
      </c>
      <c r="G5850" s="24" t="s">
        <v>16863</v>
      </c>
      <c r="H5850" s="230">
        <v>4</v>
      </c>
      <c r="I5850" s="220">
        <v>1065000</v>
      </c>
      <c r="J5850" s="220">
        <f>I5850*0.1</f>
        <v>106500</v>
      </c>
      <c r="K5850" s="220">
        <v>3200</v>
      </c>
      <c r="L5850" s="220">
        <v>18960</v>
      </c>
      <c r="M5850" s="220">
        <v>14300</v>
      </c>
      <c r="N5850" s="220">
        <f>SUM(I5850:M5851)</f>
        <v>1207960</v>
      </c>
      <c r="O5850" s="224"/>
      <c r="P5850" s="110" t="s">
        <v>17265</v>
      </c>
      <c r="Q5850" s="15" t="s">
        <v>19</v>
      </c>
      <c r="R5850" s="205"/>
      <c r="S5850" s="189" t="s">
        <v>283</v>
      </c>
      <c r="T5850" s="114"/>
      <c r="U5850" s="21"/>
      <c r="V5850" s="115">
        <v>46072</v>
      </c>
      <c r="W5850" s="116">
        <v>1319</v>
      </c>
      <c r="X5850" s="220">
        <v>1195000</v>
      </c>
      <c r="Y5850" s="220">
        <f>X5850*0.1</f>
        <v>119500</v>
      </c>
      <c r="Z5850" s="220">
        <v>18960</v>
      </c>
      <c r="AA5850" s="220">
        <f>SUM(X5850:Z5850)</f>
        <v>1333460</v>
      </c>
      <c r="AB5850" s="222">
        <v>46073</v>
      </c>
    </row>
    <row r="5851" spans="1:28" ht="17.100000000000001" customHeight="1" thickBot="1">
      <c r="A5851" s="227"/>
      <c r="B5851" s="27" t="s">
        <v>1918</v>
      </c>
      <c r="C5851" s="27">
        <v>4167</v>
      </c>
      <c r="D5851" s="14" t="s">
        <v>1560</v>
      </c>
      <c r="E5851" s="229"/>
      <c r="F5851" s="117" t="s">
        <v>17264</v>
      </c>
      <c r="G5851" s="26">
        <v>37178</v>
      </c>
      <c r="H5851" s="231"/>
      <c r="I5851" s="221"/>
      <c r="J5851" s="221"/>
      <c r="K5851" s="221"/>
      <c r="L5851" s="221"/>
      <c r="M5851" s="221"/>
      <c r="N5851" s="221"/>
      <c r="O5851" s="225"/>
      <c r="P5851" s="118" t="s">
        <v>17266</v>
      </c>
      <c r="Q5851" s="16" t="s">
        <v>20</v>
      </c>
      <c r="R5851" s="17" t="s">
        <v>2264</v>
      </c>
      <c r="S5851" s="121" t="s">
        <v>169</v>
      </c>
      <c r="T5851" s="122"/>
      <c r="U5851" s="22"/>
      <c r="V5851" s="123" t="s">
        <v>13379</v>
      </c>
      <c r="W5851" s="122">
        <v>2</v>
      </c>
      <c r="X5851" s="221"/>
      <c r="Y5851" s="221"/>
      <c r="Z5851" s="221"/>
      <c r="AA5851" s="221"/>
      <c r="AB5851" s="223"/>
    </row>
    <row r="5852" spans="1:28" ht="17.100000000000001" customHeight="1" thickTop="1">
      <c r="A5852" s="226" t="s">
        <v>16712</v>
      </c>
      <c r="B5852" s="28">
        <v>46058</v>
      </c>
      <c r="C5852" s="25">
        <v>2144</v>
      </c>
      <c r="D5852" s="13" t="s">
        <v>2267</v>
      </c>
      <c r="E5852" s="228"/>
      <c r="F5852" s="109" t="s">
        <v>16708</v>
      </c>
      <c r="G5852" s="24"/>
      <c r="H5852" s="230">
        <v>4</v>
      </c>
      <c r="I5852" s="220">
        <v>695000</v>
      </c>
      <c r="J5852" s="220">
        <v>0</v>
      </c>
      <c r="K5852" s="220">
        <v>0</v>
      </c>
      <c r="L5852" s="220">
        <v>9200</v>
      </c>
      <c r="M5852" s="220">
        <v>14300</v>
      </c>
      <c r="N5852" s="220">
        <f>SUM(I5852:M5853)</f>
        <v>718500</v>
      </c>
      <c r="O5852" s="224"/>
      <c r="P5852" s="110" t="s">
        <v>17294</v>
      </c>
      <c r="Q5852" s="15" t="s">
        <v>19</v>
      </c>
      <c r="R5852" s="205"/>
      <c r="S5852" s="189" t="s">
        <v>25762</v>
      </c>
      <c r="T5852" s="114" t="s">
        <v>7899</v>
      </c>
      <c r="U5852" s="21"/>
      <c r="V5852" s="115">
        <v>46137</v>
      </c>
      <c r="W5852" s="116"/>
      <c r="X5852" s="220">
        <v>830000</v>
      </c>
      <c r="Y5852" s="220">
        <f>X5852*0.1</f>
        <v>83000</v>
      </c>
      <c r="Z5852" s="220">
        <v>9200</v>
      </c>
      <c r="AA5852" s="220">
        <f>SUM(X5852:Z5852)</f>
        <v>922200</v>
      </c>
      <c r="AB5852" s="222"/>
    </row>
    <row r="5853" spans="1:28" ht="17.100000000000001" customHeight="1" thickBot="1">
      <c r="A5853" s="227"/>
      <c r="B5853" s="27" t="s">
        <v>1918</v>
      </c>
      <c r="C5853" s="27">
        <v>35313</v>
      </c>
      <c r="D5853" s="14" t="s">
        <v>2559</v>
      </c>
      <c r="E5853" s="229"/>
      <c r="F5853" s="117" t="s">
        <v>16709</v>
      </c>
      <c r="G5853" s="26">
        <v>35960</v>
      </c>
      <c r="H5853" s="231"/>
      <c r="I5853" s="221"/>
      <c r="J5853" s="221"/>
      <c r="K5853" s="221"/>
      <c r="L5853" s="221"/>
      <c r="M5853" s="221"/>
      <c r="N5853" s="221"/>
      <c r="O5853" s="225"/>
      <c r="P5853" s="118" t="s">
        <v>12896</v>
      </c>
      <c r="Q5853" s="16" t="s">
        <v>20</v>
      </c>
      <c r="R5853" s="17" t="s">
        <v>2264</v>
      </c>
      <c r="S5853" s="121"/>
      <c r="T5853" s="122"/>
      <c r="U5853" s="22"/>
      <c r="V5853" s="123" t="s">
        <v>6682</v>
      </c>
      <c r="W5853" s="122">
        <v>51635</v>
      </c>
      <c r="X5853" s="221"/>
      <c r="Y5853" s="221"/>
      <c r="Z5853" s="221"/>
      <c r="AA5853" s="221"/>
      <c r="AB5853" s="223"/>
    </row>
    <row r="5854" spans="1:28" ht="17.100000000000001" customHeight="1" thickTop="1">
      <c r="A5854" s="226" t="s">
        <v>16713</v>
      </c>
      <c r="B5854" s="28">
        <v>46058</v>
      </c>
      <c r="C5854" s="25">
        <v>1552</v>
      </c>
      <c r="D5854" s="13" t="s">
        <v>1578</v>
      </c>
      <c r="E5854" s="228"/>
      <c r="F5854" s="109" t="s">
        <v>16752</v>
      </c>
      <c r="G5854" s="24" t="s">
        <v>2487</v>
      </c>
      <c r="H5854" s="230">
        <v>5</v>
      </c>
      <c r="I5854" s="220">
        <v>1800000</v>
      </c>
      <c r="J5854" s="220">
        <f>I5854*0.1</f>
        <v>180000</v>
      </c>
      <c r="K5854" s="220">
        <v>0</v>
      </c>
      <c r="L5854" s="220">
        <v>20730</v>
      </c>
      <c r="M5854" s="220">
        <v>16500</v>
      </c>
      <c r="N5854" s="220">
        <f>SUM(I5854:M5855)</f>
        <v>2017230</v>
      </c>
      <c r="O5854" s="224"/>
      <c r="P5854" s="110" t="s">
        <v>16865</v>
      </c>
      <c r="Q5854" s="15" t="s">
        <v>19</v>
      </c>
      <c r="R5854" s="205"/>
      <c r="S5854" s="189" t="s">
        <v>25763</v>
      </c>
      <c r="T5854" s="114"/>
      <c r="U5854" s="21"/>
      <c r="V5854" s="115"/>
      <c r="W5854" s="116"/>
      <c r="X5854" s="220"/>
      <c r="Y5854" s="220">
        <f>X5854*0.1</f>
        <v>0</v>
      </c>
      <c r="Z5854" s="220"/>
      <c r="AA5854" s="220">
        <f>SUM(X5854:Z5854)</f>
        <v>0</v>
      </c>
      <c r="AB5854" s="222"/>
    </row>
    <row r="5855" spans="1:28" ht="17.100000000000001" customHeight="1" thickBot="1">
      <c r="A5855" s="227"/>
      <c r="B5855" s="27" t="s">
        <v>1592</v>
      </c>
      <c r="C5855" s="27">
        <v>75350</v>
      </c>
      <c r="D5855" s="14" t="s">
        <v>273</v>
      </c>
      <c r="E5855" s="229"/>
      <c r="F5855" s="117" t="s">
        <v>16864</v>
      </c>
      <c r="G5855" s="26">
        <v>36697</v>
      </c>
      <c r="H5855" s="231"/>
      <c r="I5855" s="221"/>
      <c r="J5855" s="221"/>
      <c r="K5855" s="221"/>
      <c r="L5855" s="221"/>
      <c r="M5855" s="221"/>
      <c r="N5855" s="221"/>
      <c r="O5855" s="225"/>
      <c r="P5855" s="118" t="s">
        <v>17267</v>
      </c>
      <c r="Q5855" s="16" t="s">
        <v>20</v>
      </c>
      <c r="R5855" s="17" t="s">
        <v>2264</v>
      </c>
      <c r="S5855" s="121" t="s">
        <v>1923</v>
      </c>
      <c r="T5855" s="122"/>
      <c r="U5855" s="22"/>
      <c r="V5855" s="123"/>
      <c r="W5855" s="122"/>
      <c r="X5855" s="221"/>
      <c r="Y5855" s="221"/>
      <c r="Z5855" s="221"/>
      <c r="AA5855" s="221"/>
      <c r="AB5855" s="223"/>
    </row>
    <row r="5856" spans="1:28" ht="17.100000000000001" customHeight="1" thickTop="1">
      <c r="A5856" s="226" t="s">
        <v>16714</v>
      </c>
      <c r="B5856" s="28">
        <v>46058</v>
      </c>
      <c r="C5856" s="25">
        <v>2013</v>
      </c>
      <c r="D5856" s="13" t="s">
        <v>1976</v>
      </c>
      <c r="E5856" s="228"/>
      <c r="F5856" s="109" t="s">
        <v>16866</v>
      </c>
      <c r="G5856" s="24"/>
      <c r="H5856" s="230">
        <v>4.5</v>
      </c>
      <c r="I5856" s="220">
        <v>2188000</v>
      </c>
      <c r="J5856" s="220">
        <f>I5856*0.1</f>
        <v>218800</v>
      </c>
      <c r="K5856" s="220">
        <v>0</v>
      </c>
      <c r="L5856" s="220">
        <v>15890</v>
      </c>
      <c r="M5856" s="220">
        <v>22000</v>
      </c>
      <c r="N5856" s="220">
        <f>SUM(I5856:M5857)</f>
        <v>2444690</v>
      </c>
      <c r="O5856" s="224"/>
      <c r="P5856" s="110" t="s">
        <v>17220</v>
      </c>
      <c r="Q5856" s="15" t="s">
        <v>19</v>
      </c>
      <c r="R5856" s="205"/>
      <c r="S5856" s="189" t="s">
        <v>25764</v>
      </c>
      <c r="T5856" s="114"/>
      <c r="U5856" s="21"/>
      <c r="V5856" s="115">
        <v>46085</v>
      </c>
      <c r="W5856" s="116">
        <v>1007</v>
      </c>
      <c r="X5856" s="220">
        <v>2160000</v>
      </c>
      <c r="Y5856" s="220">
        <f>X5856*0.1</f>
        <v>216000</v>
      </c>
      <c r="Z5856" s="220">
        <v>15890</v>
      </c>
      <c r="AA5856" s="220">
        <f>SUM(X5856:Z5856)</f>
        <v>2391890</v>
      </c>
      <c r="AB5856" s="222">
        <v>46090</v>
      </c>
    </row>
    <row r="5857" spans="1:28" ht="17.100000000000001" customHeight="1" thickBot="1">
      <c r="A5857" s="227"/>
      <c r="B5857" s="27" t="s">
        <v>2680</v>
      </c>
      <c r="C5857" s="27">
        <v>30026</v>
      </c>
      <c r="D5857" s="14" t="s">
        <v>898</v>
      </c>
      <c r="E5857" s="229"/>
      <c r="F5857" s="117" t="s">
        <v>16753</v>
      </c>
      <c r="G5857" s="26">
        <v>43742</v>
      </c>
      <c r="H5857" s="231"/>
      <c r="I5857" s="221"/>
      <c r="J5857" s="221"/>
      <c r="K5857" s="221"/>
      <c r="L5857" s="221"/>
      <c r="M5857" s="221"/>
      <c r="N5857" s="221"/>
      <c r="O5857" s="225"/>
      <c r="P5857" s="118" t="s">
        <v>7595</v>
      </c>
      <c r="Q5857" s="16" t="s">
        <v>20</v>
      </c>
      <c r="R5857" s="17" t="s">
        <v>2264</v>
      </c>
      <c r="S5857" s="121" t="s">
        <v>17221</v>
      </c>
      <c r="T5857" s="122"/>
      <c r="U5857" s="22"/>
      <c r="V5857" s="123" t="s">
        <v>2747</v>
      </c>
      <c r="W5857" s="122">
        <v>6022</v>
      </c>
      <c r="X5857" s="221"/>
      <c r="Y5857" s="221"/>
      <c r="Z5857" s="221"/>
      <c r="AA5857" s="221"/>
      <c r="AB5857" s="223"/>
    </row>
    <row r="5858" spans="1:28" ht="17.100000000000001" customHeight="1" thickTop="1">
      <c r="A5858" s="226" t="s">
        <v>16715</v>
      </c>
      <c r="B5858" s="28">
        <v>46058</v>
      </c>
      <c r="C5858" s="25">
        <v>2013</v>
      </c>
      <c r="D5858" s="13" t="s">
        <v>1961</v>
      </c>
      <c r="E5858" s="228"/>
      <c r="F5858" s="109" t="s">
        <v>16754</v>
      </c>
      <c r="G5858" s="24"/>
      <c r="H5858" s="230">
        <v>4</v>
      </c>
      <c r="I5858" s="220">
        <v>1872000</v>
      </c>
      <c r="J5858" s="220">
        <f>I5858*0.1</f>
        <v>187200</v>
      </c>
      <c r="K5858" s="220">
        <v>0</v>
      </c>
      <c r="L5858" s="220">
        <v>11740</v>
      </c>
      <c r="M5858" s="220">
        <v>22000</v>
      </c>
      <c r="N5858" s="220">
        <f>SUM(I5858:M5859)</f>
        <v>2092940</v>
      </c>
      <c r="O5858" s="224"/>
      <c r="P5858" s="110" t="s">
        <v>17275</v>
      </c>
      <c r="Q5858" s="15" t="s">
        <v>19</v>
      </c>
      <c r="R5858" s="205"/>
      <c r="S5858" s="189" t="s">
        <v>1072</v>
      </c>
      <c r="T5858" s="114"/>
      <c r="U5858" s="21"/>
      <c r="V5858" s="115">
        <v>46063</v>
      </c>
      <c r="W5858" s="116"/>
      <c r="X5858" s="220">
        <v>2020000</v>
      </c>
      <c r="Y5858" s="220">
        <f>X5858*0.1</f>
        <v>202000</v>
      </c>
      <c r="Z5858" s="220">
        <v>11740</v>
      </c>
      <c r="AA5858" s="220">
        <f>SUM(X5858:Z5858)</f>
        <v>2233740</v>
      </c>
      <c r="AB5858" s="222"/>
    </row>
    <row r="5859" spans="1:28" ht="17.100000000000001" customHeight="1" thickBot="1">
      <c r="A5859" s="227"/>
      <c r="B5859" s="27" t="s">
        <v>2680</v>
      </c>
      <c r="C5859" s="27">
        <v>30159</v>
      </c>
      <c r="D5859" s="14" t="s">
        <v>2559</v>
      </c>
      <c r="E5859" s="229"/>
      <c r="F5859" s="117" t="s">
        <v>16755</v>
      </c>
      <c r="G5859" s="26">
        <v>51129</v>
      </c>
      <c r="H5859" s="231"/>
      <c r="I5859" s="221"/>
      <c r="J5859" s="221"/>
      <c r="K5859" s="221"/>
      <c r="L5859" s="221"/>
      <c r="M5859" s="221"/>
      <c r="N5859" s="221"/>
      <c r="O5859" s="225"/>
      <c r="P5859" s="118" t="s">
        <v>14723</v>
      </c>
      <c r="Q5859" s="16" t="s">
        <v>20</v>
      </c>
      <c r="R5859" s="17" t="s">
        <v>3521</v>
      </c>
      <c r="S5859" s="121" t="s">
        <v>17351</v>
      </c>
      <c r="T5859" s="122"/>
      <c r="U5859" s="22"/>
      <c r="V5859" s="123" t="s">
        <v>6682</v>
      </c>
      <c r="W5859" s="122">
        <v>84569</v>
      </c>
      <c r="X5859" s="221"/>
      <c r="Y5859" s="221"/>
      <c r="Z5859" s="221"/>
      <c r="AA5859" s="221"/>
      <c r="AB5859" s="223"/>
    </row>
    <row r="5860" spans="1:28" ht="17.100000000000001" customHeight="1" thickTop="1">
      <c r="A5860" s="226" t="s">
        <v>16716</v>
      </c>
      <c r="B5860" s="28">
        <v>46058</v>
      </c>
      <c r="C5860" s="25">
        <v>2013</v>
      </c>
      <c r="D5860" s="13" t="s">
        <v>2920</v>
      </c>
      <c r="E5860" s="228"/>
      <c r="F5860" s="109" t="s">
        <v>16867</v>
      </c>
      <c r="G5860" s="24" t="s">
        <v>3859</v>
      </c>
      <c r="H5860" s="230">
        <v>4</v>
      </c>
      <c r="I5860" s="220">
        <v>675000</v>
      </c>
      <c r="J5860" s="220">
        <f>I5860*0.1</f>
        <v>67500</v>
      </c>
      <c r="K5860" s="220">
        <v>0</v>
      </c>
      <c r="L5860" s="220">
        <v>8110</v>
      </c>
      <c r="M5860" s="220">
        <v>22000</v>
      </c>
      <c r="N5860" s="220">
        <f>SUM(I5860:M5861)</f>
        <v>772610</v>
      </c>
      <c r="O5860" s="224"/>
      <c r="P5860" s="110" t="s">
        <v>16873</v>
      </c>
      <c r="Q5860" s="15" t="s">
        <v>19</v>
      </c>
      <c r="R5860" s="205"/>
      <c r="S5860" s="189" t="s">
        <v>25688</v>
      </c>
      <c r="T5860" s="114" t="s">
        <v>17365</v>
      </c>
      <c r="U5860" s="21"/>
      <c r="V5860" s="115">
        <v>46064</v>
      </c>
      <c r="W5860" s="116">
        <v>1004</v>
      </c>
      <c r="X5860" s="220">
        <v>755000</v>
      </c>
      <c r="Y5860" s="220">
        <f>X5860*0.1</f>
        <v>75500</v>
      </c>
      <c r="Z5860" s="220">
        <v>8110</v>
      </c>
      <c r="AA5860" s="220">
        <f>SUM(X5860:Z5860)</f>
        <v>838610</v>
      </c>
      <c r="AB5860" s="222">
        <v>46069</v>
      </c>
    </row>
    <row r="5861" spans="1:28" ht="17.100000000000001" customHeight="1" thickBot="1">
      <c r="A5861" s="227"/>
      <c r="B5861" s="27" t="s">
        <v>2680</v>
      </c>
      <c r="C5861" s="27">
        <v>50012</v>
      </c>
      <c r="D5861" s="14" t="s">
        <v>1690</v>
      </c>
      <c r="E5861" s="229"/>
      <c r="F5861" s="117" t="s">
        <v>16756</v>
      </c>
      <c r="G5861" s="26">
        <v>58790</v>
      </c>
      <c r="H5861" s="231"/>
      <c r="I5861" s="221"/>
      <c r="J5861" s="221"/>
      <c r="K5861" s="221"/>
      <c r="L5861" s="221"/>
      <c r="M5861" s="221"/>
      <c r="N5861" s="221"/>
      <c r="O5861" s="225"/>
      <c r="P5861" s="118" t="s">
        <v>17210</v>
      </c>
      <c r="Q5861" s="16" t="s">
        <v>20</v>
      </c>
      <c r="R5861" s="17" t="s">
        <v>2264</v>
      </c>
      <c r="S5861" s="121" t="s">
        <v>17332</v>
      </c>
      <c r="T5861" s="122"/>
      <c r="U5861" s="22"/>
      <c r="V5861" s="123" t="s">
        <v>2747</v>
      </c>
      <c r="W5861" s="122">
        <v>5074</v>
      </c>
      <c r="X5861" s="221"/>
      <c r="Y5861" s="221"/>
      <c r="Z5861" s="221"/>
      <c r="AA5861" s="221"/>
      <c r="AB5861" s="223"/>
    </row>
    <row r="5862" spans="1:28" ht="17.100000000000001" customHeight="1" thickTop="1">
      <c r="A5862" s="226" t="s">
        <v>16717</v>
      </c>
      <c r="B5862" s="28">
        <v>46058</v>
      </c>
      <c r="C5862" s="25">
        <v>2013</v>
      </c>
      <c r="D5862" s="13" t="s">
        <v>2073</v>
      </c>
      <c r="E5862" s="228"/>
      <c r="F5862" s="109" t="s">
        <v>16868</v>
      </c>
      <c r="G5862" s="24" t="s">
        <v>16869</v>
      </c>
      <c r="H5862" s="230">
        <v>4.5</v>
      </c>
      <c r="I5862" s="220">
        <v>551000</v>
      </c>
      <c r="J5862" s="220">
        <f>I5862*0.1</f>
        <v>55100</v>
      </c>
      <c r="K5862" s="220">
        <v>0</v>
      </c>
      <c r="L5862" s="220">
        <v>9200</v>
      </c>
      <c r="M5862" s="220">
        <v>22000</v>
      </c>
      <c r="N5862" s="220">
        <f>SUM(I5862:M5863)</f>
        <v>637300</v>
      </c>
      <c r="O5862" s="224"/>
      <c r="P5862" s="110" t="s">
        <v>16872</v>
      </c>
      <c r="Q5862" s="15" t="s">
        <v>19</v>
      </c>
      <c r="R5862" s="205"/>
      <c r="S5862" s="189"/>
      <c r="T5862" s="114"/>
      <c r="U5862" s="21"/>
      <c r="V5862" s="115">
        <v>46063</v>
      </c>
      <c r="W5862" s="116">
        <v>1928</v>
      </c>
      <c r="X5862" s="220">
        <v>598000</v>
      </c>
      <c r="Y5862" s="220">
        <f>X5862*0.1</f>
        <v>59800</v>
      </c>
      <c r="Z5862" s="220">
        <v>9200</v>
      </c>
      <c r="AA5862" s="220">
        <f>SUM(X5862:Z5862)</f>
        <v>667000</v>
      </c>
      <c r="AB5862" s="222"/>
    </row>
    <row r="5863" spans="1:28" ht="17.100000000000001" customHeight="1" thickBot="1">
      <c r="A5863" s="227"/>
      <c r="B5863" s="27" t="s">
        <v>2680</v>
      </c>
      <c r="C5863" s="27">
        <v>50078</v>
      </c>
      <c r="D5863" s="14" t="s">
        <v>3792</v>
      </c>
      <c r="E5863" s="229"/>
      <c r="F5863" s="117" t="s">
        <v>16757</v>
      </c>
      <c r="G5863" s="26">
        <v>23613</v>
      </c>
      <c r="H5863" s="231"/>
      <c r="I5863" s="221"/>
      <c r="J5863" s="221"/>
      <c r="K5863" s="221"/>
      <c r="L5863" s="221"/>
      <c r="M5863" s="221"/>
      <c r="N5863" s="221"/>
      <c r="O5863" s="225"/>
      <c r="P5863" s="118" t="s">
        <v>17209</v>
      </c>
      <c r="Q5863" s="16" t="s">
        <v>20</v>
      </c>
      <c r="R5863" s="17" t="s">
        <v>2264</v>
      </c>
      <c r="S5863" s="121" t="s">
        <v>169</v>
      </c>
      <c r="T5863" s="122"/>
      <c r="U5863" s="22"/>
      <c r="V5863" s="123" t="s">
        <v>2103</v>
      </c>
      <c r="W5863" s="122">
        <v>3253</v>
      </c>
      <c r="X5863" s="221"/>
      <c r="Y5863" s="221"/>
      <c r="Z5863" s="221"/>
      <c r="AA5863" s="221"/>
      <c r="AB5863" s="223"/>
    </row>
    <row r="5864" spans="1:28" ht="17.100000000000001" customHeight="1" thickTop="1">
      <c r="A5864" s="226" t="s">
        <v>16718</v>
      </c>
      <c r="B5864" s="28">
        <v>46058</v>
      </c>
      <c r="C5864" s="25">
        <v>2013</v>
      </c>
      <c r="D5864" s="13" t="s">
        <v>4050</v>
      </c>
      <c r="E5864" s="228"/>
      <c r="F5864" s="109" t="s">
        <v>16870</v>
      </c>
      <c r="G5864" s="24" t="s">
        <v>4120</v>
      </c>
      <c r="H5864" s="230">
        <v>4</v>
      </c>
      <c r="I5864" s="220">
        <v>816000</v>
      </c>
      <c r="J5864" s="220">
        <f>I5864*0.1</f>
        <v>81600</v>
      </c>
      <c r="K5864" s="220">
        <v>0</v>
      </c>
      <c r="L5864" s="220">
        <v>6590</v>
      </c>
      <c r="M5864" s="220">
        <v>22000</v>
      </c>
      <c r="N5864" s="220">
        <f>SUM(I5864:M5865)</f>
        <v>926190</v>
      </c>
      <c r="O5864" s="224"/>
      <c r="P5864" s="110" t="s">
        <v>16871</v>
      </c>
      <c r="Q5864" s="15" t="s">
        <v>19</v>
      </c>
      <c r="R5864" s="205"/>
      <c r="S5864" s="189" t="s">
        <v>283</v>
      </c>
      <c r="T5864" s="114"/>
      <c r="U5864" s="21" t="s">
        <v>18976</v>
      </c>
      <c r="V5864" s="115">
        <v>46085</v>
      </c>
      <c r="W5864" s="116">
        <v>1007</v>
      </c>
      <c r="X5864" s="220">
        <v>860000</v>
      </c>
      <c r="Y5864" s="220">
        <f>X5864*0.1</f>
        <v>86000</v>
      </c>
      <c r="Z5864" s="220">
        <v>6590</v>
      </c>
      <c r="AA5864" s="220">
        <f>SUM(X5864:Z5864)</f>
        <v>952590</v>
      </c>
      <c r="AB5864" s="222">
        <v>46090</v>
      </c>
    </row>
    <row r="5865" spans="1:28" ht="17.100000000000001" customHeight="1" thickBot="1">
      <c r="A5865" s="227"/>
      <c r="B5865" s="27" t="s">
        <v>2680</v>
      </c>
      <c r="C5865" s="27">
        <v>50097</v>
      </c>
      <c r="D5865" s="14" t="s">
        <v>1690</v>
      </c>
      <c r="E5865" s="229"/>
      <c r="F5865" s="117" t="s">
        <v>16758</v>
      </c>
      <c r="G5865" s="26">
        <v>28168</v>
      </c>
      <c r="H5865" s="231"/>
      <c r="I5865" s="221"/>
      <c r="J5865" s="221"/>
      <c r="K5865" s="221"/>
      <c r="L5865" s="221"/>
      <c r="M5865" s="221"/>
      <c r="N5865" s="221"/>
      <c r="O5865" s="225"/>
      <c r="P5865" s="118" t="s">
        <v>4913</v>
      </c>
      <c r="Q5865" s="16" t="s">
        <v>20</v>
      </c>
      <c r="R5865" s="17" t="s">
        <v>2264</v>
      </c>
      <c r="S5865" s="121" t="s">
        <v>2025</v>
      </c>
      <c r="T5865" s="122"/>
      <c r="U5865" s="22"/>
      <c r="V5865" s="123" t="s">
        <v>2747</v>
      </c>
      <c r="W5865" s="122">
        <v>2086</v>
      </c>
      <c r="X5865" s="221"/>
      <c r="Y5865" s="221"/>
      <c r="Z5865" s="221"/>
      <c r="AA5865" s="221"/>
      <c r="AB5865" s="223"/>
    </row>
    <row r="5866" spans="1:28" ht="17.100000000000001" customHeight="1" thickTop="1">
      <c r="A5866" s="226" t="s">
        <v>16719</v>
      </c>
      <c r="B5866" s="28">
        <v>46058</v>
      </c>
      <c r="C5866" s="25">
        <v>2013</v>
      </c>
      <c r="D5866" s="13" t="s">
        <v>1931</v>
      </c>
      <c r="E5866" s="228"/>
      <c r="F5866" s="109" t="s">
        <v>7546</v>
      </c>
      <c r="G5866" s="24"/>
      <c r="H5866" s="230">
        <v>4</v>
      </c>
      <c r="I5866" s="220">
        <v>999000</v>
      </c>
      <c r="J5866" s="220">
        <f>I5866*0.1</f>
        <v>99900</v>
      </c>
      <c r="K5866" s="220">
        <v>0</v>
      </c>
      <c r="L5866" s="220">
        <v>9310</v>
      </c>
      <c r="M5866" s="220">
        <v>22000</v>
      </c>
      <c r="N5866" s="220">
        <f>SUM(I5866:M5867)</f>
        <v>1130210</v>
      </c>
      <c r="O5866" s="224"/>
      <c r="P5866" s="110" t="s">
        <v>17222</v>
      </c>
      <c r="Q5866" s="15" t="s">
        <v>19</v>
      </c>
      <c r="R5866" s="205"/>
      <c r="S5866" s="189" t="s">
        <v>25684</v>
      </c>
      <c r="T5866" s="114"/>
      <c r="U5866" s="21"/>
      <c r="V5866" s="115">
        <v>46064</v>
      </c>
      <c r="W5866" s="116">
        <v>1004</v>
      </c>
      <c r="X5866" s="220">
        <v>1070000</v>
      </c>
      <c r="Y5866" s="220">
        <f>X5866*0.1</f>
        <v>107000</v>
      </c>
      <c r="Z5866" s="220">
        <v>9310</v>
      </c>
      <c r="AA5866" s="220">
        <f>SUM(X5866:Z5866)</f>
        <v>1186310</v>
      </c>
      <c r="AB5866" s="222">
        <v>46070</v>
      </c>
    </row>
    <row r="5867" spans="1:28" ht="17.100000000000001" customHeight="1" thickBot="1">
      <c r="A5867" s="227"/>
      <c r="B5867" s="27" t="s">
        <v>2680</v>
      </c>
      <c r="C5867" s="27">
        <v>50107</v>
      </c>
      <c r="D5867" s="14" t="s">
        <v>2559</v>
      </c>
      <c r="E5867" s="229"/>
      <c r="F5867" s="117" t="s">
        <v>16759</v>
      </c>
      <c r="G5867" s="26">
        <v>57871</v>
      </c>
      <c r="H5867" s="231"/>
      <c r="I5867" s="221"/>
      <c r="J5867" s="221"/>
      <c r="K5867" s="221"/>
      <c r="L5867" s="221"/>
      <c r="M5867" s="221"/>
      <c r="N5867" s="221"/>
      <c r="O5867" s="225"/>
      <c r="P5867" s="118" t="s">
        <v>4045</v>
      </c>
      <c r="Q5867" s="16" t="s">
        <v>20</v>
      </c>
      <c r="R5867" s="17" t="s">
        <v>2264</v>
      </c>
      <c r="S5867" s="121" t="s">
        <v>1731</v>
      </c>
      <c r="T5867" s="122"/>
      <c r="U5867" s="22"/>
      <c r="V5867" s="123" t="s">
        <v>7161</v>
      </c>
      <c r="W5867" s="122">
        <v>5060</v>
      </c>
      <c r="X5867" s="221"/>
      <c r="Y5867" s="221"/>
      <c r="Z5867" s="221"/>
      <c r="AA5867" s="221"/>
      <c r="AB5867" s="223"/>
    </row>
    <row r="5868" spans="1:28" ht="17.100000000000001" customHeight="1" thickTop="1">
      <c r="A5868" s="226" t="s">
        <v>16720</v>
      </c>
      <c r="B5868" s="28">
        <v>46058</v>
      </c>
      <c r="C5868" s="25">
        <v>2013</v>
      </c>
      <c r="D5868" s="13" t="s">
        <v>2182</v>
      </c>
      <c r="E5868" s="228"/>
      <c r="F5868" s="109" t="s">
        <v>16874</v>
      </c>
      <c r="G5868" s="24"/>
      <c r="H5868" s="230">
        <v>4.5</v>
      </c>
      <c r="I5868" s="220">
        <v>1124000</v>
      </c>
      <c r="J5868" s="220">
        <f>I5868*0.1</f>
        <v>112400</v>
      </c>
      <c r="K5868" s="220">
        <v>0</v>
      </c>
      <c r="L5868" s="220">
        <v>5990</v>
      </c>
      <c r="M5868" s="220">
        <v>22000</v>
      </c>
      <c r="N5868" s="220">
        <f>SUM(I5868:M5869)</f>
        <v>1264390</v>
      </c>
      <c r="O5868" s="224"/>
      <c r="P5868" s="110" t="s">
        <v>17284</v>
      </c>
      <c r="Q5868" s="15" t="s">
        <v>19</v>
      </c>
      <c r="R5868" s="205"/>
      <c r="S5868" s="189" t="s">
        <v>25765</v>
      </c>
      <c r="T5868" s="114"/>
      <c r="U5868" s="21"/>
      <c r="V5868" s="115">
        <v>46155</v>
      </c>
      <c r="W5868" s="116">
        <v>1016</v>
      </c>
      <c r="X5868" s="220">
        <v>1125000</v>
      </c>
      <c r="Y5868" s="220">
        <f>X5868*0.1</f>
        <v>112500</v>
      </c>
      <c r="Z5868" s="220">
        <v>5990</v>
      </c>
      <c r="AA5868" s="220">
        <f>SUM(X5868:Z5868)</f>
        <v>1243490</v>
      </c>
      <c r="AB5868" s="222">
        <v>46160</v>
      </c>
    </row>
    <row r="5869" spans="1:28" ht="17.100000000000001" customHeight="1" thickBot="1">
      <c r="A5869" s="227"/>
      <c r="B5869" s="27" t="s">
        <v>2680</v>
      </c>
      <c r="C5869" s="27">
        <v>50136</v>
      </c>
      <c r="D5869" s="14" t="s">
        <v>3792</v>
      </c>
      <c r="E5869" s="229"/>
      <c r="F5869" s="117" t="s">
        <v>16760</v>
      </c>
      <c r="G5869" s="26">
        <v>43755</v>
      </c>
      <c r="H5869" s="231"/>
      <c r="I5869" s="221"/>
      <c r="J5869" s="221"/>
      <c r="K5869" s="221"/>
      <c r="L5869" s="221"/>
      <c r="M5869" s="221"/>
      <c r="N5869" s="221"/>
      <c r="O5869" s="225"/>
      <c r="P5869" s="118" t="s">
        <v>17280</v>
      </c>
      <c r="Q5869" s="16" t="s">
        <v>20</v>
      </c>
      <c r="R5869" s="17" t="s">
        <v>3521</v>
      </c>
      <c r="S5869" s="121" t="s">
        <v>3581</v>
      </c>
      <c r="T5869" s="122"/>
      <c r="U5869" s="22"/>
      <c r="V5869" s="123" t="s">
        <v>2747</v>
      </c>
      <c r="W5869" s="122">
        <v>2023</v>
      </c>
      <c r="X5869" s="221"/>
      <c r="Y5869" s="221"/>
      <c r="Z5869" s="221"/>
      <c r="AA5869" s="221"/>
      <c r="AB5869" s="223"/>
    </row>
    <row r="5870" spans="1:28" ht="17.100000000000001" customHeight="1" thickTop="1">
      <c r="A5870" s="226" t="s">
        <v>16721</v>
      </c>
      <c r="B5870" s="28">
        <v>46058</v>
      </c>
      <c r="C5870" s="25">
        <v>2013</v>
      </c>
      <c r="D5870" s="13" t="s">
        <v>2320</v>
      </c>
      <c r="E5870" s="228"/>
      <c r="F5870" s="109" t="s">
        <v>16874</v>
      </c>
      <c r="G5870" s="24"/>
      <c r="H5870" s="230">
        <v>4</v>
      </c>
      <c r="I5870" s="220">
        <v>1102000</v>
      </c>
      <c r="J5870" s="220">
        <f>I5870*0.1</f>
        <v>110200</v>
      </c>
      <c r="K5870" s="220">
        <v>0</v>
      </c>
      <c r="L5870" s="220">
        <v>5990</v>
      </c>
      <c r="M5870" s="220">
        <v>22000</v>
      </c>
      <c r="N5870" s="220">
        <f>SUM(I5870:M5871)</f>
        <v>1240190</v>
      </c>
      <c r="O5870" s="224"/>
      <c r="P5870" s="110" t="s">
        <v>17273</v>
      </c>
      <c r="Q5870" s="15" t="s">
        <v>19</v>
      </c>
      <c r="R5870" s="205"/>
      <c r="S5870" s="189" t="s">
        <v>25765</v>
      </c>
      <c r="T5870" s="114"/>
      <c r="U5870" s="21"/>
      <c r="V5870" s="115">
        <v>46064</v>
      </c>
      <c r="W5870" s="116">
        <v>1004</v>
      </c>
      <c r="X5870" s="220">
        <v>1200000</v>
      </c>
      <c r="Y5870" s="220">
        <f>X5870*0.1</f>
        <v>120000</v>
      </c>
      <c r="Z5870" s="220">
        <v>5990</v>
      </c>
      <c r="AA5870" s="220">
        <f>SUM(X5870:Z5870)</f>
        <v>1325990</v>
      </c>
      <c r="AB5870" s="222">
        <v>46070</v>
      </c>
    </row>
    <row r="5871" spans="1:28" ht="17.100000000000001" customHeight="1" thickBot="1">
      <c r="A5871" s="227"/>
      <c r="B5871" s="27" t="s">
        <v>2680</v>
      </c>
      <c r="C5871" s="27">
        <v>50139</v>
      </c>
      <c r="D5871" s="14" t="s">
        <v>1797</v>
      </c>
      <c r="E5871" s="229"/>
      <c r="F5871" s="117" t="s">
        <v>16761</v>
      </c>
      <c r="G5871" s="26">
        <v>29246</v>
      </c>
      <c r="H5871" s="231"/>
      <c r="I5871" s="221"/>
      <c r="J5871" s="221"/>
      <c r="K5871" s="221"/>
      <c r="L5871" s="221"/>
      <c r="M5871" s="221"/>
      <c r="N5871" s="221"/>
      <c r="O5871" s="225"/>
      <c r="P5871" s="118" t="s">
        <v>16562</v>
      </c>
      <c r="Q5871" s="16" t="s">
        <v>20</v>
      </c>
      <c r="R5871" s="17" t="s">
        <v>3521</v>
      </c>
      <c r="S5871" s="121" t="s">
        <v>16576</v>
      </c>
      <c r="T5871" s="122"/>
      <c r="U5871" s="22"/>
      <c r="V5871" s="123" t="s">
        <v>2747</v>
      </c>
      <c r="W5871" s="122">
        <v>5050</v>
      </c>
      <c r="X5871" s="221"/>
      <c r="Y5871" s="221"/>
      <c r="Z5871" s="221"/>
      <c r="AA5871" s="221"/>
      <c r="AB5871" s="223"/>
    </row>
    <row r="5872" spans="1:28" ht="17.100000000000001" customHeight="1" thickTop="1">
      <c r="A5872" s="226" t="s">
        <v>16722</v>
      </c>
      <c r="B5872" s="28">
        <v>46058</v>
      </c>
      <c r="C5872" s="25">
        <v>2013</v>
      </c>
      <c r="D5872" s="13" t="s">
        <v>1947</v>
      </c>
      <c r="E5872" s="228"/>
      <c r="F5872" s="109" t="s">
        <v>16875</v>
      </c>
      <c r="G5872" s="24"/>
      <c r="H5872" s="230">
        <v>4</v>
      </c>
      <c r="I5872" s="220">
        <v>1003000</v>
      </c>
      <c r="J5872" s="220">
        <f>I5872*0.1</f>
        <v>100300</v>
      </c>
      <c r="K5872" s="220">
        <v>0</v>
      </c>
      <c r="L5872" s="220">
        <v>6560</v>
      </c>
      <c r="M5872" s="220">
        <v>22000</v>
      </c>
      <c r="N5872" s="220">
        <f>SUM(I5872:M5873)</f>
        <v>1131860</v>
      </c>
      <c r="O5872" s="224"/>
      <c r="P5872" s="110" t="s">
        <v>17272</v>
      </c>
      <c r="Q5872" s="15" t="s">
        <v>19</v>
      </c>
      <c r="R5872" s="205"/>
      <c r="S5872" s="189" t="s">
        <v>25766</v>
      </c>
      <c r="T5872" s="114"/>
      <c r="U5872" s="21"/>
      <c r="V5872" s="115">
        <v>46064</v>
      </c>
      <c r="W5872" s="116">
        <v>1004</v>
      </c>
      <c r="X5872" s="220">
        <v>1100000</v>
      </c>
      <c r="Y5872" s="220">
        <f>X5872*0.1</f>
        <v>110000</v>
      </c>
      <c r="Z5872" s="220">
        <v>6560</v>
      </c>
      <c r="AA5872" s="220">
        <f>SUM(X5872:Z5872)</f>
        <v>1216560</v>
      </c>
      <c r="AB5872" s="222">
        <v>46070</v>
      </c>
    </row>
    <row r="5873" spans="1:28" ht="17.100000000000001" customHeight="1" thickBot="1">
      <c r="A5873" s="227"/>
      <c r="B5873" s="27" t="s">
        <v>2680</v>
      </c>
      <c r="C5873" s="27">
        <v>50140</v>
      </c>
      <c r="D5873" s="14" t="s">
        <v>131</v>
      </c>
      <c r="E5873" s="229"/>
      <c r="F5873" s="117" t="s">
        <v>16762</v>
      </c>
      <c r="G5873" s="26">
        <v>46289</v>
      </c>
      <c r="H5873" s="231"/>
      <c r="I5873" s="221"/>
      <c r="J5873" s="221"/>
      <c r="K5873" s="221"/>
      <c r="L5873" s="221"/>
      <c r="M5873" s="221"/>
      <c r="N5873" s="221"/>
      <c r="O5873" s="225"/>
      <c r="P5873" s="118" t="s">
        <v>16562</v>
      </c>
      <c r="Q5873" s="16" t="s">
        <v>20</v>
      </c>
      <c r="R5873" s="17" t="s">
        <v>3521</v>
      </c>
      <c r="S5873" s="121" t="s">
        <v>4895</v>
      </c>
      <c r="T5873" s="122"/>
      <c r="U5873" s="22"/>
      <c r="V5873" s="123" t="s">
        <v>2747</v>
      </c>
      <c r="W5873" s="122">
        <v>5070</v>
      </c>
      <c r="X5873" s="221"/>
      <c r="Y5873" s="221"/>
      <c r="Z5873" s="221"/>
      <c r="AA5873" s="221"/>
      <c r="AB5873" s="223"/>
    </row>
    <row r="5874" spans="1:28" ht="17.100000000000001" customHeight="1" thickTop="1">
      <c r="A5874" s="226" t="s">
        <v>16723</v>
      </c>
      <c r="B5874" s="28">
        <v>46058</v>
      </c>
      <c r="C5874" s="25">
        <v>2013</v>
      </c>
      <c r="D5874" s="13" t="s">
        <v>2320</v>
      </c>
      <c r="E5874" s="228"/>
      <c r="F5874" s="109" t="s">
        <v>16874</v>
      </c>
      <c r="G5874" s="24"/>
      <c r="H5874" s="230">
        <v>4</v>
      </c>
      <c r="I5874" s="220">
        <v>1101000</v>
      </c>
      <c r="J5874" s="220">
        <f>I5874*0.1</f>
        <v>110100</v>
      </c>
      <c r="K5874" s="220">
        <v>0</v>
      </c>
      <c r="L5874" s="220">
        <v>5990</v>
      </c>
      <c r="M5874" s="220">
        <v>22000</v>
      </c>
      <c r="N5874" s="220">
        <f>SUM(I5874:M5875)</f>
        <v>1239090</v>
      </c>
      <c r="O5874" s="224"/>
      <c r="P5874" s="110" t="s">
        <v>17274</v>
      </c>
      <c r="Q5874" s="15" t="s">
        <v>19</v>
      </c>
      <c r="R5874" s="205"/>
      <c r="S5874" s="189" t="s">
        <v>25765</v>
      </c>
      <c r="T5874" s="114"/>
      <c r="U5874" s="21"/>
      <c r="V5874" s="115">
        <v>46064</v>
      </c>
      <c r="W5874" s="116"/>
      <c r="X5874" s="220">
        <v>1240000</v>
      </c>
      <c r="Y5874" s="220">
        <f>X5874*0.1</f>
        <v>124000</v>
      </c>
      <c r="Z5874" s="220">
        <v>5990</v>
      </c>
      <c r="AA5874" s="220">
        <f>SUM(X5874:Z5874)</f>
        <v>1369990</v>
      </c>
      <c r="AB5874" s="222"/>
    </row>
    <row r="5875" spans="1:28" ht="17.100000000000001" customHeight="1" thickBot="1">
      <c r="A5875" s="227"/>
      <c r="B5875" s="27" t="s">
        <v>2680</v>
      </c>
      <c r="C5875" s="27">
        <v>50147</v>
      </c>
      <c r="D5875" s="14" t="s">
        <v>1797</v>
      </c>
      <c r="E5875" s="229"/>
      <c r="F5875" s="117" t="s">
        <v>16763</v>
      </c>
      <c r="G5875" s="26">
        <v>34203</v>
      </c>
      <c r="H5875" s="231"/>
      <c r="I5875" s="221"/>
      <c r="J5875" s="221"/>
      <c r="K5875" s="221"/>
      <c r="L5875" s="221"/>
      <c r="M5875" s="221"/>
      <c r="N5875" s="221"/>
      <c r="O5875" s="225"/>
      <c r="P5875" s="118" t="s">
        <v>16562</v>
      </c>
      <c r="Q5875" s="16" t="s">
        <v>20</v>
      </c>
      <c r="R5875" s="17" t="s">
        <v>3521</v>
      </c>
      <c r="S5875" s="121" t="s">
        <v>16576</v>
      </c>
      <c r="T5875" s="122"/>
      <c r="U5875" s="22"/>
      <c r="V5875" s="123" t="s">
        <v>6682</v>
      </c>
      <c r="W5875" s="122">
        <v>84558</v>
      </c>
      <c r="X5875" s="221"/>
      <c r="Y5875" s="221"/>
      <c r="Z5875" s="221"/>
      <c r="AA5875" s="221"/>
      <c r="AB5875" s="223"/>
    </row>
    <row r="5876" spans="1:28" ht="17.100000000000001" customHeight="1" thickTop="1">
      <c r="A5876" s="226" t="s">
        <v>16724</v>
      </c>
      <c r="B5876" s="28">
        <v>46058</v>
      </c>
      <c r="C5876" s="25">
        <v>2013</v>
      </c>
      <c r="D5876" s="13" t="s">
        <v>2320</v>
      </c>
      <c r="E5876" s="228"/>
      <c r="F5876" s="109" t="s">
        <v>16874</v>
      </c>
      <c r="G5876" s="24"/>
      <c r="H5876" s="230">
        <v>4</v>
      </c>
      <c r="I5876" s="220">
        <v>1047000</v>
      </c>
      <c r="J5876" s="220">
        <f>I5876*0.1</f>
        <v>104700</v>
      </c>
      <c r="K5876" s="220">
        <v>0</v>
      </c>
      <c r="L5876" s="220">
        <v>5990</v>
      </c>
      <c r="M5876" s="220">
        <v>22000</v>
      </c>
      <c r="N5876" s="220">
        <f>SUM(I5876:M5877)</f>
        <v>1179690</v>
      </c>
      <c r="O5876" s="224"/>
      <c r="P5876" s="110" t="s">
        <v>17282</v>
      </c>
      <c r="Q5876" s="15" t="s">
        <v>19</v>
      </c>
      <c r="R5876" s="205"/>
      <c r="S5876" s="189" t="s">
        <v>25767</v>
      </c>
      <c r="T5876" s="114"/>
      <c r="U5876" s="21"/>
      <c r="V5876" s="115">
        <v>46085</v>
      </c>
      <c r="W5876" s="116">
        <v>1007</v>
      </c>
      <c r="X5876" s="220">
        <v>1120000</v>
      </c>
      <c r="Y5876" s="220">
        <f>X5876*0.1</f>
        <v>112000</v>
      </c>
      <c r="Z5876" s="220">
        <v>5990</v>
      </c>
      <c r="AA5876" s="220">
        <f>SUM(X5876:Z5876)</f>
        <v>1237990</v>
      </c>
      <c r="AB5876" s="222">
        <v>46090</v>
      </c>
    </row>
    <row r="5877" spans="1:28" ht="17.100000000000001" customHeight="1" thickBot="1">
      <c r="A5877" s="227"/>
      <c r="B5877" s="27" t="s">
        <v>2680</v>
      </c>
      <c r="C5877" s="27">
        <v>50149</v>
      </c>
      <c r="D5877" s="14" t="s">
        <v>5509</v>
      </c>
      <c r="E5877" s="229"/>
      <c r="F5877" s="117" t="s">
        <v>16764</v>
      </c>
      <c r="G5877" s="26">
        <v>41627</v>
      </c>
      <c r="H5877" s="231"/>
      <c r="I5877" s="221"/>
      <c r="J5877" s="221"/>
      <c r="K5877" s="221"/>
      <c r="L5877" s="221"/>
      <c r="M5877" s="221"/>
      <c r="N5877" s="221"/>
      <c r="O5877" s="225"/>
      <c r="P5877" s="118" t="s">
        <v>17280</v>
      </c>
      <c r="Q5877" s="16" t="s">
        <v>20</v>
      </c>
      <c r="R5877" s="17" t="s">
        <v>3521</v>
      </c>
      <c r="S5877" s="121" t="s">
        <v>17283</v>
      </c>
      <c r="T5877" s="122"/>
      <c r="U5877" s="22"/>
      <c r="V5877" s="123" t="s">
        <v>2747</v>
      </c>
      <c r="W5877" s="122">
        <v>2015</v>
      </c>
      <c r="X5877" s="221"/>
      <c r="Y5877" s="221"/>
      <c r="Z5877" s="221"/>
      <c r="AA5877" s="221"/>
      <c r="AB5877" s="223"/>
    </row>
    <row r="5878" spans="1:28" ht="17.100000000000001" customHeight="1" thickTop="1">
      <c r="A5878" s="226" t="s">
        <v>16725</v>
      </c>
      <c r="B5878" s="28">
        <v>46058</v>
      </c>
      <c r="C5878" s="25">
        <v>2013</v>
      </c>
      <c r="D5878" s="13" t="s">
        <v>1947</v>
      </c>
      <c r="E5878" s="228"/>
      <c r="F5878" s="109" t="s">
        <v>16875</v>
      </c>
      <c r="G5878" s="24"/>
      <c r="H5878" s="230">
        <v>3.5</v>
      </c>
      <c r="I5878" s="220">
        <v>765000</v>
      </c>
      <c r="J5878" s="220">
        <f>I5878*0.1</f>
        <v>76500</v>
      </c>
      <c r="K5878" s="220">
        <v>0</v>
      </c>
      <c r="L5878" s="220">
        <v>6560</v>
      </c>
      <c r="M5878" s="220">
        <v>22000</v>
      </c>
      <c r="N5878" s="220">
        <f>SUM(I5878:M5879)</f>
        <v>870060</v>
      </c>
      <c r="O5878" s="224"/>
      <c r="P5878" s="110" t="s">
        <v>17276</v>
      </c>
      <c r="Q5878" s="15" t="s">
        <v>19</v>
      </c>
      <c r="R5878" s="205"/>
      <c r="S5878" s="189" t="s">
        <v>25765</v>
      </c>
      <c r="T5878" s="114"/>
      <c r="U5878" s="21"/>
      <c r="V5878" s="115">
        <v>46130</v>
      </c>
      <c r="W5878" s="116">
        <v>1297</v>
      </c>
      <c r="X5878" s="220">
        <v>980000</v>
      </c>
      <c r="Y5878" s="220">
        <f>X5878*0.1</f>
        <v>98000</v>
      </c>
      <c r="Z5878" s="220">
        <v>6560</v>
      </c>
      <c r="AA5878" s="220">
        <f>SUM(X5878:Z5878)</f>
        <v>1084560</v>
      </c>
      <c r="AB5878" s="222">
        <v>46133</v>
      </c>
    </row>
    <row r="5879" spans="1:28" ht="17.100000000000001" customHeight="1" thickBot="1">
      <c r="A5879" s="227"/>
      <c r="B5879" s="27" t="s">
        <v>2680</v>
      </c>
      <c r="C5879" s="27">
        <v>50153</v>
      </c>
      <c r="D5879" s="14" t="s">
        <v>131</v>
      </c>
      <c r="E5879" s="229"/>
      <c r="F5879" s="117" t="s">
        <v>16765</v>
      </c>
      <c r="G5879" s="26">
        <v>52129</v>
      </c>
      <c r="H5879" s="231"/>
      <c r="I5879" s="221"/>
      <c r="J5879" s="221"/>
      <c r="K5879" s="221"/>
      <c r="L5879" s="221"/>
      <c r="M5879" s="221"/>
      <c r="N5879" s="221"/>
      <c r="O5879" s="225"/>
      <c r="P5879" s="118" t="s">
        <v>16562</v>
      </c>
      <c r="Q5879" s="16" t="s">
        <v>20</v>
      </c>
      <c r="R5879" s="17" t="s">
        <v>3521</v>
      </c>
      <c r="S5879" s="121" t="s">
        <v>16576</v>
      </c>
      <c r="T5879" s="122"/>
      <c r="U5879" s="22"/>
      <c r="V5879" s="123" t="s">
        <v>2472</v>
      </c>
      <c r="W5879" s="122">
        <v>62083</v>
      </c>
      <c r="X5879" s="221"/>
      <c r="Y5879" s="221"/>
      <c r="Z5879" s="221"/>
      <c r="AA5879" s="221"/>
      <c r="AB5879" s="223"/>
    </row>
    <row r="5880" spans="1:28" ht="17.100000000000001" customHeight="1" thickTop="1">
      <c r="A5880" s="226" t="s">
        <v>16726</v>
      </c>
      <c r="B5880" s="28">
        <v>46058</v>
      </c>
      <c r="C5880" s="25">
        <v>2013</v>
      </c>
      <c r="D5880" s="13" t="s">
        <v>1685</v>
      </c>
      <c r="E5880" s="228"/>
      <c r="F5880" s="109" t="s">
        <v>16876</v>
      </c>
      <c r="G5880" s="24" t="s">
        <v>3867</v>
      </c>
      <c r="H5880" s="230">
        <v>4</v>
      </c>
      <c r="I5880" s="220">
        <v>458000</v>
      </c>
      <c r="J5880" s="220">
        <f>I5880*0.1</f>
        <v>45800</v>
      </c>
      <c r="K5880" s="220">
        <v>0</v>
      </c>
      <c r="L5880" s="220">
        <v>9670</v>
      </c>
      <c r="M5880" s="220">
        <v>22000</v>
      </c>
      <c r="N5880" s="220">
        <f>SUM(I5880:M5881)</f>
        <v>535470</v>
      </c>
      <c r="O5880" s="224"/>
      <c r="P5880" s="110" t="s">
        <v>16877</v>
      </c>
      <c r="Q5880" s="15" t="s">
        <v>19</v>
      </c>
      <c r="R5880" s="205"/>
      <c r="S5880" s="189"/>
      <c r="T5880" s="114"/>
      <c r="U5880" s="21" t="s">
        <v>19862</v>
      </c>
      <c r="V5880" s="115">
        <v>46095</v>
      </c>
      <c r="W5880" s="116">
        <v>1292</v>
      </c>
      <c r="X5880" s="220">
        <v>495000</v>
      </c>
      <c r="Y5880" s="220">
        <f>X5880*0.1</f>
        <v>49500</v>
      </c>
      <c r="Z5880" s="220">
        <v>9670</v>
      </c>
      <c r="AA5880" s="220">
        <f>SUM(X5880:Z5880)</f>
        <v>554170</v>
      </c>
      <c r="AB5880" s="222">
        <v>46100</v>
      </c>
    </row>
    <row r="5881" spans="1:28" ht="17.100000000000001" customHeight="1" thickBot="1">
      <c r="A5881" s="227"/>
      <c r="B5881" s="27" t="s">
        <v>2680</v>
      </c>
      <c r="C5881" s="27">
        <v>50155</v>
      </c>
      <c r="D5881" s="14" t="s">
        <v>1690</v>
      </c>
      <c r="E5881" s="229"/>
      <c r="F5881" s="117" t="s">
        <v>16766</v>
      </c>
      <c r="G5881" s="26">
        <v>28182</v>
      </c>
      <c r="H5881" s="231"/>
      <c r="I5881" s="221"/>
      <c r="J5881" s="221"/>
      <c r="K5881" s="221"/>
      <c r="L5881" s="221"/>
      <c r="M5881" s="221"/>
      <c r="N5881" s="221"/>
      <c r="O5881" s="225"/>
      <c r="P5881" s="118" t="s">
        <v>5159</v>
      </c>
      <c r="Q5881" s="16" t="s">
        <v>20</v>
      </c>
      <c r="R5881" s="17" t="s">
        <v>2264</v>
      </c>
      <c r="S5881" s="121" t="s">
        <v>1731</v>
      </c>
      <c r="T5881" s="122"/>
      <c r="U5881" s="22"/>
      <c r="V5881" s="123" t="s">
        <v>2472</v>
      </c>
      <c r="W5881" s="122">
        <v>60005</v>
      </c>
      <c r="X5881" s="221"/>
      <c r="Y5881" s="221"/>
      <c r="Z5881" s="221"/>
      <c r="AA5881" s="221"/>
      <c r="AB5881" s="223"/>
    </row>
    <row r="5882" spans="1:28" ht="17.100000000000001" customHeight="1" thickTop="1">
      <c r="A5882" s="226" t="s">
        <v>16727</v>
      </c>
      <c r="B5882" s="28">
        <v>46058</v>
      </c>
      <c r="C5882" s="25">
        <v>2013</v>
      </c>
      <c r="D5882" s="13" t="s">
        <v>2182</v>
      </c>
      <c r="E5882" s="228"/>
      <c r="F5882" s="109" t="s">
        <v>16874</v>
      </c>
      <c r="G5882" s="24"/>
      <c r="H5882" s="230">
        <v>4</v>
      </c>
      <c r="I5882" s="220">
        <v>1092000</v>
      </c>
      <c r="J5882" s="220">
        <f>I5882*0.1</f>
        <v>109200</v>
      </c>
      <c r="K5882" s="220">
        <v>0</v>
      </c>
      <c r="L5882" s="220">
        <v>5990</v>
      </c>
      <c r="M5882" s="220">
        <v>22000</v>
      </c>
      <c r="N5882" s="220">
        <f>SUM(I5882:M5883)</f>
        <v>1229190</v>
      </c>
      <c r="O5882" s="224"/>
      <c r="P5882" s="110" t="s">
        <v>17285</v>
      </c>
      <c r="Q5882" s="15" t="s">
        <v>19</v>
      </c>
      <c r="R5882" s="205"/>
      <c r="S5882" s="189" t="s">
        <v>25765</v>
      </c>
      <c r="T5882" s="114"/>
      <c r="U5882" s="21"/>
      <c r="V5882" s="115">
        <v>46078</v>
      </c>
      <c r="W5882" s="116">
        <v>1006</v>
      </c>
      <c r="X5882" s="220">
        <v>1115000</v>
      </c>
      <c r="Y5882" s="220">
        <f>X5882*0.1</f>
        <v>111500</v>
      </c>
      <c r="Z5882" s="220">
        <v>5990</v>
      </c>
      <c r="AA5882" s="220">
        <f>SUM(X5882:Z5882)</f>
        <v>1232490</v>
      </c>
      <c r="AB5882" s="222">
        <v>46083</v>
      </c>
    </row>
    <row r="5883" spans="1:28" ht="17.100000000000001" customHeight="1" thickBot="1">
      <c r="A5883" s="227"/>
      <c r="B5883" s="27" t="s">
        <v>2680</v>
      </c>
      <c r="C5883" s="27">
        <v>50156</v>
      </c>
      <c r="D5883" s="14" t="s">
        <v>1690</v>
      </c>
      <c r="E5883" s="229"/>
      <c r="F5883" s="117" t="s">
        <v>16767</v>
      </c>
      <c r="G5883" s="26">
        <v>39278</v>
      </c>
      <c r="H5883" s="231"/>
      <c r="I5883" s="221"/>
      <c r="J5883" s="221"/>
      <c r="K5883" s="221"/>
      <c r="L5883" s="221"/>
      <c r="M5883" s="221"/>
      <c r="N5883" s="221"/>
      <c r="O5883" s="225"/>
      <c r="P5883" s="118" t="s">
        <v>17280</v>
      </c>
      <c r="Q5883" s="16" t="s">
        <v>20</v>
      </c>
      <c r="R5883" s="17" t="s">
        <v>3521</v>
      </c>
      <c r="S5883" s="121" t="s">
        <v>17283</v>
      </c>
      <c r="T5883" s="122"/>
      <c r="U5883" s="22"/>
      <c r="V5883" s="123" t="s">
        <v>2747</v>
      </c>
      <c r="W5883" s="122">
        <v>2008</v>
      </c>
      <c r="X5883" s="221"/>
      <c r="Y5883" s="221"/>
      <c r="Z5883" s="221"/>
      <c r="AA5883" s="221"/>
      <c r="AB5883" s="223"/>
    </row>
    <row r="5884" spans="1:28" ht="17.100000000000001" customHeight="1" thickTop="1">
      <c r="A5884" s="226" t="s">
        <v>16728</v>
      </c>
      <c r="B5884" s="28">
        <v>46058</v>
      </c>
      <c r="C5884" s="25">
        <v>2013</v>
      </c>
      <c r="D5884" s="13" t="s">
        <v>1947</v>
      </c>
      <c r="E5884" s="228"/>
      <c r="F5884" s="109" t="s">
        <v>16875</v>
      </c>
      <c r="G5884" s="24"/>
      <c r="H5884" s="230">
        <v>4</v>
      </c>
      <c r="I5884" s="220">
        <v>968000</v>
      </c>
      <c r="J5884" s="220">
        <f>I5884*0.1</f>
        <v>96800</v>
      </c>
      <c r="K5884" s="220">
        <v>0</v>
      </c>
      <c r="L5884" s="220">
        <v>6560</v>
      </c>
      <c r="M5884" s="220">
        <v>22000</v>
      </c>
      <c r="N5884" s="220">
        <f>SUM(I5884:M5885)</f>
        <v>1093360</v>
      </c>
      <c r="O5884" s="224"/>
      <c r="P5884" s="110" t="s">
        <v>17277</v>
      </c>
      <c r="Q5884" s="15" t="s">
        <v>19</v>
      </c>
      <c r="R5884" s="205"/>
      <c r="S5884" s="189" t="s">
        <v>25765</v>
      </c>
      <c r="T5884" s="114"/>
      <c r="U5884" s="21"/>
      <c r="V5884" s="115">
        <v>46078</v>
      </c>
      <c r="W5884" s="116">
        <v>1006</v>
      </c>
      <c r="X5884" s="220">
        <v>980000</v>
      </c>
      <c r="Y5884" s="220">
        <f>X5884*0.1</f>
        <v>98000</v>
      </c>
      <c r="Z5884" s="220">
        <v>6560</v>
      </c>
      <c r="AA5884" s="220">
        <f>SUM(X5884:Z5884)</f>
        <v>1084560</v>
      </c>
      <c r="AB5884" s="222">
        <v>46083</v>
      </c>
    </row>
    <row r="5885" spans="1:28" ht="17.100000000000001" customHeight="1" thickBot="1">
      <c r="A5885" s="227"/>
      <c r="B5885" s="27" t="s">
        <v>2680</v>
      </c>
      <c r="C5885" s="27">
        <v>50157</v>
      </c>
      <c r="D5885" s="14" t="s">
        <v>131</v>
      </c>
      <c r="E5885" s="229"/>
      <c r="F5885" s="117" t="s">
        <v>16768</v>
      </c>
      <c r="G5885" s="26">
        <v>55330</v>
      </c>
      <c r="H5885" s="231"/>
      <c r="I5885" s="221"/>
      <c r="J5885" s="221"/>
      <c r="K5885" s="221"/>
      <c r="L5885" s="221"/>
      <c r="M5885" s="221"/>
      <c r="N5885" s="221"/>
      <c r="O5885" s="225"/>
      <c r="P5885" s="118" t="s">
        <v>16562</v>
      </c>
      <c r="Q5885" s="16" t="s">
        <v>20</v>
      </c>
      <c r="R5885" s="17" t="s">
        <v>3521</v>
      </c>
      <c r="S5885" s="121" t="s">
        <v>17278</v>
      </c>
      <c r="T5885" s="122"/>
      <c r="U5885" s="22"/>
      <c r="V5885" s="123" t="s">
        <v>2747</v>
      </c>
      <c r="W5885" s="122">
        <v>2027</v>
      </c>
      <c r="X5885" s="221"/>
      <c r="Y5885" s="221"/>
      <c r="Z5885" s="221"/>
      <c r="AA5885" s="221"/>
      <c r="AB5885" s="223"/>
    </row>
    <row r="5886" spans="1:28" ht="17.100000000000001" customHeight="1" thickTop="1">
      <c r="A5886" s="226" t="s">
        <v>16729</v>
      </c>
      <c r="B5886" s="28">
        <v>46058</v>
      </c>
      <c r="C5886" s="25">
        <v>2013</v>
      </c>
      <c r="D5886" s="13" t="s">
        <v>1947</v>
      </c>
      <c r="E5886" s="228"/>
      <c r="F5886" s="109" t="s">
        <v>16875</v>
      </c>
      <c r="G5886" s="24"/>
      <c r="H5886" s="230">
        <v>4</v>
      </c>
      <c r="I5886" s="220">
        <v>946000</v>
      </c>
      <c r="J5886" s="220">
        <f>I5886*0.1</f>
        <v>94600</v>
      </c>
      <c r="K5886" s="220">
        <v>0</v>
      </c>
      <c r="L5886" s="220">
        <v>6560</v>
      </c>
      <c r="M5886" s="220">
        <v>22000</v>
      </c>
      <c r="N5886" s="220">
        <f>SUM(I5886:M5887)</f>
        <v>1069160</v>
      </c>
      <c r="O5886" s="224"/>
      <c r="P5886" s="110" t="s">
        <v>17279</v>
      </c>
      <c r="Q5886" s="15" t="s">
        <v>19</v>
      </c>
      <c r="R5886" s="205"/>
      <c r="S5886" s="189" t="s">
        <v>25766</v>
      </c>
      <c r="T5886" s="114"/>
      <c r="U5886" s="21"/>
      <c r="V5886" s="115">
        <v>46071</v>
      </c>
      <c r="W5886" s="116">
        <v>1005</v>
      </c>
      <c r="X5886" s="220">
        <v>985000</v>
      </c>
      <c r="Y5886" s="220">
        <f>X5886*0.1</f>
        <v>98500</v>
      </c>
      <c r="Z5886" s="220">
        <v>6560</v>
      </c>
      <c r="AA5886" s="220">
        <f>SUM(X5886:Z5886)</f>
        <v>1090060</v>
      </c>
      <c r="AB5886" s="222">
        <v>46073</v>
      </c>
    </row>
    <row r="5887" spans="1:28" ht="17.100000000000001" customHeight="1" thickBot="1">
      <c r="A5887" s="227"/>
      <c r="B5887" s="27" t="s">
        <v>2680</v>
      </c>
      <c r="C5887" s="27">
        <v>50160</v>
      </c>
      <c r="D5887" s="14" t="s">
        <v>273</v>
      </c>
      <c r="E5887" s="229"/>
      <c r="F5887" s="117" t="s">
        <v>16769</v>
      </c>
      <c r="G5887" s="26">
        <v>59651</v>
      </c>
      <c r="H5887" s="231"/>
      <c r="I5887" s="221"/>
      <c r="J5887" s="221"/>
      <c r="K5887" s="221"/>
      <c r="L5887" s="221"/>
      <c r="M5887" s="221"/>
      <c r="N5887" s="221"/>
      <c r="O5887" s="225"/>
      <c r="P5887" s="118" t="s">
        <v>17280</v>
      </c>
      <c r="Q5887" s="16" t="s">
        <v>20</v>
      </c>
      <c r="R5887" s="17" t="s">
        <v>3521</v>
      </c>
      <c r="S5887" s="121" t="s">
        <v>17281</v>
      </c>
      <c r="T5887" s="122"/>
      <c r="U5887" s="22"/>
      <c r="V5887" s="123" t="s">
        <v>2747</v>
      </c>
      <c r="W5887" s="122">
        <v>2043</v>
      </c>
      <c r="X5887" s="221"/>
      <c r="Y5887" s="221"/>
      <c r="Z5887" s="221"/>
      <c r="AA5887" s="221"/>
      <c r="AB5887" s="223"/>
    </row>
    <row r="5888" spans="1:28" ht="17.100000000000001" customHeight="1" thickTop="1">
      <c r="A5888" s="226" t="s">
        <v>16730</v>
      </c>
      <c r="B5888" s="28">
        <v>46058</v>
      </c>
      <c r="C5888" s="25">
        <v>2013</v>
      </c>
      <c r="D5888" s="13" t="s">
        <v>1988</v>
      </c>
      <c r="E5888" s="228"/>
      <c r="F5888" s="109" t="s">
        <v>14960</v>
      </c>
      <c r="G5888" s="24"/>
      <c r="H5888" s="230">
        <v>4</v>
      </c>
      <c r="I5888" s="220">
        <v>1155000</v>
      </c>
      <c r="J5888" s="220">
        <f>I5888*0.1</f>
        <v>115500</v>
      </c>
      <c r="K5888" s="220">
        <v>0</v>
      </c>
      <c r="L5888" s="220">
        <v>6860</v>
      </c>
      <c r="M5888" s="220">
        <v>22000</v>
      </c>
      <c r="N5888" s="220">
        <f>SUM(I5888:M5889)</f>
        <v>1299360</v>
      </c>
      <c r="O5888" s="224"/>
      <c r="P5888" s="110" t="s">
        <v>17211</v>
      </c>
      <c r="Q5888" s="15" t="s">
        <v>19</v>
      </c>
      <c r="R5888" s="205"/>
      <c r="S5888" s="189"/>
      <c r="T5888" s="114"/>
      <c r="U5888" s="21"/>
      <c r="V5888" s="115">
        <v>46064</v>
      </c>
      <c r="W5888" s="116">
        <v>1004</v>
      </c>
      <c r="X5888" s="220">
        <v>1250000</v>
      </c>
      <c r="Y5888" s="220">
        <f>X5888*0.1</f>
        <v>125000</v>
      </c>
      <c r="Z5888" s="220">
        <v>6860</v>
      </c>
      <c r="AA5888" s="220">
        <f>SUM(X5888:Z5888)</f>
        <v>1381860</v>
      </c>
      <c r="AB5888" s="222">
        <v>46069</v>
      </c>
    </row>
    <row r="5889" spans="1:28" ht="17.100000000000001" customHeight="1" thickBot="1">
      <c r="A5889" s="227"/>
      <c r="B5889" s="27" t="s">
        <v>2680</v>
      </c>
      <c r="C5889" s="27">
        <v>50169</v>
      </c>
      <c r="D5889" s="14" t="s">
        <v>1797</v>
      </c>
      <c r="E5889" s="229"/>
      <c r="F5889" s="117" t="s">
        <v>16770</v>
      </c>
      <c r="G5889" s="26">
        <v>10663</v>
      </c>
      <c r="H5889" s="231"/>
      <c r="I5889" s="221"/>
      <c r="J5889" s="221"/>
      <c r="K5889" s="221"/>
      <c r="L5889" s="221"/>
      <c r="M5889" s="221"/>
      <c r="N5889" s="221"/>
      <c r="O5889" s="225"/>
      <c r="P5889" s="118" t="s">
        <v>1664</v>
      </c>
      <c r="Q5889" s="16" t="s">
        <v>20</v>
      </c>
      <c r="R5889" s="17" t="s">
        <v>2264</v>
      </c>
      <c r="S5889" s="121"/>
      <c r="T5889" s="122"/>
      <c r="U5889" s="22"/>
      <c r="V5889" s="123" t="s">
        <v>2747</v>
      </c>
      <c r="W5889" s="122">
        <v>5052</v>
      </c>
      <c r="X5889" s="221"/>
      <c r="Y5889" s="221"/>
      <c r="Z5889" s="221"/>
      <c r="AA5889" s="221"/>
      <c r="AB5889" s="223"/>
    </row>
    <row r="5890" spans="1:28" ht="17.100000000000001" customHeight="1" thickTop="1">
      <c r="A5890" s="226" t="s">
        <v>16731</v>
      </c>
      <c r="B5890" s="28">
        <v>46059</v>
      </c>
      <c r="C5890" s="25">
        <v>277</v>
      </c>
      <c r="D5890" s="13" t="s">
        <v>1887</v>
      </c>
      <c r="E5890" s="228"/>
      <c r="F5890" s="109" t="s">
        <v>16883</v>
      </c>
      <c r="G5890" s="24" t="s">
        <v>3859</v>
      </c>
      <c r="H5890" s="230">
        <v>4</v>
      </c>
      <c r="I5890" s="220">
        <v>852000</v>
      </c>
      <c r="J5890" s="220">
        <f>I5890*0.1</f>
        <v>85200</v>
      </c>
      <c r="K5890" s="220">
        <v>0</v>
      </c>
      <c r="L5890" s="220">
        <v>6960</v>
      </c>
      <c r="M5890" s="220">
        <v>22000</v>
      </c>
      <c r="N5890" s="220">
        <f>SUM(I5890:M5891)</f>
        <v>966160</v>
      </c>
      <c r="O5890" s="224"/>
      <c r="P5890" s="110" t="s">
        <v>17223</v>
      </c>
      <c r="Q5890" s="15" t="s">
        <v>19</v>
      </c>
      <c r="R5890" s="205"/>
      <c r="S5890" s="189" t="s">
        <v>25688</v>
      </c>
      <c r="T5890" s="114"/>
      <c r="U5890" s="21"/>
      <c r="V5890" s="115">
        <v>46106</v>
      </c>
      <c r="W5890" s="116">
        <v>1010</v>
      </c>
      <c r="X5890" s="220">
        <v>870000</v>
      </c>
      <c r="Y5890" s="220">
        <f>X5890*0.1</f>
        <v>87000</v>
      </c>
      <c r="Z5890" s="220">
        <v>6960</v>
      </c>
      <c r="AA5890" s="220">
        <f>SUM(X5890:Z5890)</f>
        <v>963960</v>
      </c>
      <c r="AB5890" s="222">
        <v>46111</v>
      </c>
    </row>
    <row r="5891" spans="1:28" ht="17.100000000000001" customHeight="1" thickBot="1">
      <c r="A5891" s="227"/>
      <c r="B5891" s="27" t="s">
        <v>15537</v>
      </c>
      <c r="C5891" s="27">
        <v>61</v>
      </c>
      <c r="D5891" s="14" t="s">
        <v>273</v>
      </c>
      <c r="E5891" s="229"/>
      <c r="F5891" s="117" t="s">
        <v>16771</v>
      </c>
      <c r="G5891" s="26">
        <v>17044</v>
      </c>
      <c r="H5891" s="231"/>
      <c r="I5891" s="221"/>
      <c r="J5891" s="221"/>
      <c r="K5891" s="221"/>
      <c r="L5891" s="221"/>
      <c r="M5891" s="221"/>
      <c r="N5891" s="221"/>
      <c r="O5891" s="225"/>
      <c r="P5891" s="118" t="s">
        <v>17224</v>
      </c>
      <c r="Q5891" s="16" t="s">
        <v>20</v>
      </c>
      <c r="R5891" s="17" t="s">
        <v>2264</v>
      </c>
      <c r="S5891" s="121" t="s">
        <v>17225</v>
      </c>
      <c r="T5891" s="122"/>
      <c r="U5891" s="22"/>
      <c r="V5891" s="123" t="s">
        <v>2747</v>
      </c>
      <c r="W5891" s="122">
        <v>2026</v>
      </c>
      <c r="X5891" s="221"/>
      <c r="Y5891" s="221"/>
      <c r="Z5891" s="221"/>
      <c r="AA5891" s="221"/>
      <c r="AB5891" s="223"/>
    </row>
    <row r="5892" spans="1:28" ht="17.100000000000001" customHeight="1" thickTop="1">
      <c r="A5892" s="226" t="s">
        <v>16732</v>
      </c>
      <c r="B5892" s="28">
        <v>46059</v>
      </c>
      <c r="C5892" s="25">
        <v>277</v>
      </c>
      <c r="D5892" s="13" t="s">
        <v>2010</v>
      </c>
      <c r="E5892" s="228"/>
      <c r="F5892" s="109" t="s">
        <v>16884</v>
      </c>
      <c r="G5892" s="24"/>
      <c r="H5892" s="230">
        <v>4.5</v>
      </c>
      <c r="I5892" s="220">
        <v>703000</v>
      </c>
      <c r="J5892" s="220">
        <f>I5892*0.1</f>
        <v>70300</v>
      </c>
      <c r="K5892" s="220">
        <v>0</v>
      </c>
      <c r="L5892" s="220">
        <v>8450</v>
      </c>
      <c r="M5892" s="220">
        <v>22000</v>
      </c>
      <c r="N5892" s="220">
        <f>SUM(I5892:M5893)</f>
        <v>803750</v>
      </c>
      <c r="O5892" s="224"/>
      <c r="P5892" s="110" t="s">
        <v>17226</v>
      </c>
      <c r="Q5892" s="15" t="s">
        <v>19</v>
      </c>
      <c r="R5892" s="205"/>
      <c r="S5892" s="189"/>
      <c r="T5892" s="114"/>
      <c r="U5892" s="21"/>
      <c r="V5892" s="115">
        <v>46063</v>
      </c>
      <c r="W5892" s="116">
        <v>1928</v>
      </c>
      <c r="X5892" s="220">
        <v>785000</v>
      </c>
      <c r="Y5892" s="220">
        <f>X5892*0.1</f>
        <v>78500</v>
      </c>
      <c r="Z5892" s="220">
        <v>8450</v>
      </c>
      <c r="AA5892" s="220">
        <f>SUM(X5892:Z5892)</f>
        <v>871950</v>
      </c>
      <c r="AB5892" s="222">
        <v>46070</v>
      </c>
    </row>
    <row r="5893" spans="1:28" ht="17.100000000000001" customHeight="1" thickBot="1">
      <c r="A5893" s="227"/>
      <c r="B5893" s="27" t="s">
        <v>15537</v>
      </c>
      <c r="C5893" s="27">
        <v>110</v>
      </c>
      <c r="D5893" s="14" t="s">
        <v>1584</v>
      </c>
      <c r="E5893" s="229"/>
      <c r="F5893" s="117" t="s">
        <v>16772</v>
      </c>
      <c r="G5893" s="26">
        <v>56041</v>
      </c>
      <c r="H5893" s="231"/>
      <c r="I5893" s="221"/>
      <c r="J5893" s="221"/>
      <c r="K5893" s="221"/>
      <c r="L5893" s="221"/>
      <c r="M5893" s="221"/>
      <c r="N5893" s="221"/>
      <c r="O5893" s="225"/>
      <c r="P5893" s="118" t="s">
        <v>3820</v>
      </c>
      <c r="Q5893" s="16" t="s">
        <v>20</v>
      </c>
      <c r="R5893" s="17" t="s">
        <v>2264</v>
      </c>
      <c r="S5893" s="121"/>
      <c r="T5893" s="122"/>
      <c r="U5893" s="22"/>
      <c r="V5893" s="123" t="s">
        <v>17341</v>
      </c>
      <c r="W5893" s="122">
        <v>3239</v>
      </c>
      <c r="X5893" s="221"/>
      <c r="Y5893" s="221"/>
      <c r="Z5893" s="221"/>
      <c r="AA5893" s="221"/>
      <c r="AB5893" s="223"/>
    </row>
    <row r="5894" spans="1:28" ht="17.100000000000001" customHeight="1" thickTop="1">
      <c r="A5894" s="226" t="s">
        <v>16733</v>
      </c>
      <c r="B5894" s="28">
        <v>46059</v>
      </c>
      <c r="C5894" s="25">
        <v>277</v>
      </c>
      <c r="D5894" s="13" t="s">
        <v>2065</v>
      </c>
      <c r="E5894" s="228"/>
      <c r="F5894" s="109" t="s">
        <v>16251</v>
      </c>
      <c r="G5894" s="24"/>
      <c r="H5894" s="230">
        <v>4.5</v>
      </c>
      <c r="I5894" s="220">
        <v>725000</v>
      </c>
      <c r="J5894" s="220">
        <f>I5894*0.1</f>
        <v>72500</v>
      </c>
      <c r="K5894" s="220">
        <v>0</v>
      </c>
      <c r="L5894" s="220">
        <v>5690</v>
      </c>
      <c r="M5894" s="220">
        <v>22000</v>
      </c>
      <c r="N5894" s="220">
        <f>SUM(I5894:M5895)</f>
        <v>825190</v>
      </c>
      <c r="O5894" s="224"/>
      <c r="P5894" s="110" t="s">
        <v>17109</v>
      </c>
      <c r="Q5894" s="15" t="s">
        <v>19</v>
      </c>
      <c r="R5894" s="205"/>
      <c r="S5894" s="189"/>
      <c r="T5894" s="114"/>
      <c r="U5894" s="21"/>
      <c r="V5894" s="115">
        <v>46063</v>
      </c>
      <c r="W5894" s="116">
        <v>1928</v>
      </c>
      <c r="X5894" s="220">
        <v>815000</v>
      </c>
      <c r="Y5894" s="220">
        <f>X5894*0.1</f>
        <v>81500</v>
      </c>
      <c r="Z5894" s="220">
        <v>5690</v>
      </c>
      <c r="AA5894" s="220">
        <f>SUM(X5894:Z5894)</f>
        <v>902190</v>
      </c>
      <c r="AB5894" s="222">
        <v>46069</v>
      </c>
    </row>
    <row r="5895" spans="1:28" ht="17.100000000000001" customHeight="1" thickBot="1">
      <c r="A5895" s="227"/>
      <c r="B5895" s="27" t="s">
        <v>15537</v>
      </c>
      <c r="C5895" s="27">
        <v>123</v>
      </c>
      <c r="D5895" s="14" t="s">
        <v>898</v>
      </c>
      <c r="E5895" s="229"/>
      <c r="F5895" s="117" t="s">
        <v>16773</v>
      </c>
      <c r="G5895" s="26">
        <v>14772</v>
      </c>
      <c r="H5895" s="231"/>
      <c r="I5895" s="221"/>
      <c r="J5895" s="221"/>
      <c r="K5895" s="221"/>
      <c r="L5895" s="221"/>
      <c r="M5895" s="221"/>
      <c r="N5895" s="221"/>
      <c r="O5895" s="225"/>
      <c r="P5895" s="118" t="s">
        <v>12896</v>
      </c>
      <c r="Q5895" s="16" t="s">
        <v>20</v>
      </c>
      <c r="R5895" s="17" t="s">
        <v>2158</v>
      </c>
      <c r="S5895" s="121"/>
      <c r="T5895" s="122"/>
      <c r="U5895" s="22"/>
      <c r="V5895" s="123" t="s">
        <v>2103</v>
      </c>
      <c r="W5895" s="122">
        <v>3301</v>
      </c>
      <c r="X5895" s="221"/>
      <c r="Y5895" s="221"/>
      <c r="Z5895" s="221"/>
      <c r="AA5895" s="221"/>
      <c r="AB5895" s="223"/>
    </row>
    <row r="5896" spans="1:28" ht="17.100000000000001" customHeight="1" thickTop="1">
      <c r="A5896" s="226" t="s">
        <v>16734</v>
      </c>
      <c r="B5896" s="28">
        <v>46059</v>
      </c>
      <c r="C5896" s="25">
        <v>1192</v>
      </c>
      <c r="D5896" s="13" t="s">
        <v>1666</v>
      </c>
      <c r="E5896" s="228"/>
      <c r="F5896" s="109" t="s">
        <v>16774</v>
      </c>
      <c r="G5896" s="24"/>
      <c r="H5896" s="230">
        <v>4.5</v>
      </c>
      <c r="I5896" s="220">
        <v>1095000</v>
      </c>
      <c r="J5896" s="220">
        <f>I5896*0.1</f>
        <v>109500</v>
      </c>
      <c r="K5896" s="220">
        <v>0</v>
      </c>
      <c r="L5896" s="220">
        <v>12030</v>
      </c>
      <c r="M5896" s="220">
        <v>12100</v>
      </c>
      <c r="N5896" s="220">
        <f>SUM(I5896:M5897)</f>
        <v>1228630</v>
      </c>
      <c r="O5896" s="224"/>
      <c r="P5896" s="110" t="s">
        <v>17254</v>
      </c>
      <c r="Q5896" s="15" t="s">
        <v>19</v>
      </c>
      <c r="R5896" s="205"/>
      <c r="S5896" s="189" t="s">
        <v>25688</v>
      </c>
      <c r="T5896" s="114"/>
      <c r="U5896" s="21"/>
      <c r="V5896" s="115">
        <v>46067</v>
      </c>
      <c r="W5896" s="116">
        <v>1288</v>
      </c>
      <c r="X5896" s="220">
        <v>1200000</v>
      </c>
      <c r="Y5896" s="220">
        <f>X5896*0.1</f>
        <v>120000</v>
      </c>
      <c r="Z5896" s="220">
        <v>12030</v>
      </c>
      <c r="AA5896" s="220">
        <f>SUM(X5896:Z5896)</f>
        <v>1332030</v>
      </c>
      <c r="AB5896" s="222">
        <v>46073</v>
      </c>
    </row>
    <row r="5897" spans="1:28" ht="17.100000000000001" customHeight="1" thickBot="1">
      <c r="A5897" s="227"/>
      <c r="B5897" s="27" t="s">
        <v>1813</v>
      </c>
      <c r="C5897" s="27">
        <v>20175</v>
      </c>
      <c r="D5897" s="14" t="s">
        <v>2559</v>
      </c>
      <c r="E5897" s="229"/>
      <c r="F5897" s="117" t="s">
        <v>16775</v>
      </c>
      <c r="G5897" s="26">
        <v>75037</v>
      </c>
      <c r="H5897" s="231"/>
      <c r="I5897" s="221"/>
      <c r="J5897" s="221"/>
      <c r="K5897" s="221"/>
      <c r="L5897" s="221"/>
      <c r="M5897" s="221"/>
      <c r="N5897" s="221"/>
      <c r="O5897" s="225"/>
      <c r="P5897" s="118" t="s">
        <v>17255</v>
      </c>
      <c r="Q5897" s="16" t="s">
        <v>20</v>
      </c>
      <c r="R5897" s="17" t="s">
        <v>2264</v>
      </c>
      <c r="S5897" s="121" t="s">
        <v>10515</v>
      </c>
      <c r="T5897" s="122"/>
      <c r="U5897" s="22"/>
      <c r="V5897" s="123" t="s">
        <v>6641</v>
      </c>
      <c r="W5897" s="122">
        <v>40</v>
      </c>
      <c r="X5897" s="221"/>
      <c r="Y5897" s="221"/>
      <c r="Z5897" s="221"/>
      <c r="AA5897" s="221"/>
      <c r="AB5897" s="223"/>
    </row>
    <row r="5898" spans="1:28" ht="17.100000000000001" customHeight="1" thickTop="1">
      <c r="A5898" s="226" t="s">
        <v>16735</v>
      </c>
      <c r="B5898" s="28">
        <v>46059</v>
      </c>
      <c r="C5898" s="25">
        <v>1192</v>
      </c>
      <c r="D5898" s="13" t="s">
        <v>1816</v>
      </c>
      <c r="E5898" s="228"/>
      <c r="F5898" s="109" t="s">
        <v>15229</v>
      </c>
      <c r="G5898" s="24"/>
      <c r="H5898" s="230">
        <v>4</v>
      </c>
      <c r="I5898" s="220">
        <v>895000</v>
      </c>
      <c r="J5898" s="220">
        <f>I5898*0.1</f>
        <v>89500</v>
      </c>
      <c r="K5898" s="220">
        <v>0</v>
      </c>
      <c r="L5898" s="220">
        <v>12030</v>
      </c>
      <c r="M5898" s="220">
        <v>12100</v>
      </c>
      <c r="N5898" s="220">
        <f>SUM(I5898:M5899)</f>
        <v>1008630</v>
      </c>
      <c r="O5898" s="224"/>
      <c r="P5898" s="110" t="s">
        <v>17304</v>
      </c>
      <c r="Q5898" s="15" t="s">
        <v>19</v>
      </c>
      <c r="R5898" s="205"/>
      <c r="S5898" s="189" t="s">
        <v>25768</v>
      </c>
      <c r="T5898" s="114"/>
      <c r="U5898" s="21"/>
      <c r="V5898" s="115">
        <v>46081</v>
      </c>
      <c r="W5898" s="116">
        <v>1290</v>
      </c>
      <c r="X5898" s="220">
        <v>950000</v>
      </c>
      <c r="Y5898" s="220">
        <f>X5898*0.1</f>
        <v>95000</v>
      </c>
      <c r="Z5898" s="220">
        <v>12030</v>
      </c>
      <c r="AA5898" s="220">
        <f>SUM(X5898:Z5898)</f>
        <v>1057030</v>
      </c>
      <c r="AB5898" s="222">
        <v>46084</v>
      </c>
    </row>
    <row r="5899" spans="1:28" ht="17.100000000000001" customHeight="1" thickBot="1">
      <c r="A5899" s="227"/>
      <c r="B5899" s="27" t="s">
        <v>1813</v>
      </c>
      <c r="C5899" s="27">
        <v>20492</v>
      </c>
      <c r="D5899" s="14" t="s">
        <v>2559</v>
      </c>
      <c r="E5899" s="229"/>
      <c r="F5899" s="117" t="s">
        <v>16776</v>
      </c>
      <c r="G5899" s="26">
        <v>103878</v>
      </c>
      <c r="H5899" s="231"/>
      <c r="I5899" s="221"/>
      <c r="J5899" s="221"/>
      <c r="K5899" s="221"/>
      <c r="L5899" s="221"/>
      <c r="M5899" s="221"/>
      <c r="N5899" s="221"/>
      <c r="O5899" s="225"/>
      <c r="P5899" s="118" t="s">
        <v>17305</v>
      </c>
      <c r="Q5899" s="16" t="s">
        <v>20</v>
      </c>
      <c r="R5899" s="17" t="s">
        <v>2264</v>
      </c>
      <c r="S5899" s="121" t="s">
        <v>17306</v>
      </c>
      <c r="T5899" s="122"/>
      <c r="U5899" s="22"/>
      <c r="V5899" s="123" t="s">
        <v>2472</v>
      </c>
      <c r="W5899" s="122">
        <v>50193</v>
      </c>
      <c r="X5899" s="221"/>
      <c r="Y5899" s="221"/>
      <c r="Z5899" s="221"/>
      <c r="AA5899" s="221"/>
      <c r="AB5899" s="223"/>
    </row>
    <row r="5900" spans="1:28" ht="17.100000000000001" customHeight="1" thickTop="1">
      <c r="A5900" s="233" t="s">
        <v>16736</v>
      </c>
      <c r="B5900" s="28">
        <v>46059</v>
      </c>
      <c r="C5900" s="25">
        <v>1192</v>
      </c>
      <c r="D5900" s="13" t="s">
        <v>1996</v>
      </c>
      <c r="E5900" s="228"/>
      <c r="F5900" s="109" t="s">
        <v>16885</v>
      </c>
      <c r="G5900" s="24" t="s">
        <v>1540</v>
      </c>
      <c r="H5900" s="230">
        <v>4.5</v>
      </c>
      <c r="I5900" s="220">
        <v>1955000</v>
      </c>
      <c r="J5900" s="220">
        <f>I5900*0.1</f>
        <v>195500</v>
      </c>
      <c r="K5900" s="220">
        <v>3520</v>
      </c>
      <c r="L5900" s="220">
        <v>22350</v>
      </c>
      <c r="M5900" s="220">
        <v>16500</v>
      </c>
      <c r="N5900" s="220">
        <f>SUM(I5900:M5901)</f>
        <v>2192870</v>
      </c>
      <c r="O5900" s="224"/>
      <c r="P5900" s="110" t="s">
        <v>16887</v>
      </c>
      <c r="Q5900" s="15" t="s">
        <v>19</v>
      </c>
      <c r="R5900" s="205"/>
      <c r="S5900" s="189" t="s">
        <v>758</v>
      </c>
      <c r="T5900" s="114" t="s">
        <v>17342</v>
      </c>
      <c r="U5900" s="21"/>
      <c r="V5900" s="115"/>
      <c r="W5900" s="116"/>
      <c r="X5900" s="220"/>
      <c r="Y5900" s="220">
        <f>X5900*0.1</f>
        <v>0</v>
      </c>
      <c r="Z5900" s="220"/>
      <c r="AA5900" s="220">
        <f>SUM(X5900:Z5900)</f>
        <v>0</v>
      </c>
      <c r="AB5900" s="222"/>
    </row>
    <row r="5901" spans="1:28" ht="17.100000000000001" customHeight="1" thickBot="1">
      <c r="A5901" s="234"/>
      <c r="B5901" s="27" t="s">
        <v>1813</v>
      </c>
      <c r="C5901" s="27">
        <v>88014</v>
      </c>
      <c r="D5901" s="14" t="s">
        <v>1584</v>
      </c>
      <c r="E5901" s="229"/>
      <c r="F5901" s="117" t="s">
        <v>16886</v>
      </c>
      <c r="G5901" s="26">
        <v>19431</v>
      </c>
      <c r="H5901" s="231"/>
      <c r="I5901" s="221"/>
      <c r="J5901" s="221"/>
      <c r="K5901" s="221"/>
      <c r="L5901" s="221"/>
      <c r="M5901" s="221"/>
      <c r="N5901" s="221"/>
      <c r="O5901" s="225"/>
      <c r="P5901" s="118" t="s">
        <v>17263</v>
      </c>
      <c r="Q5901" s="16" t="s">
        <v>20</v>
      </c>
      <c r="R5901" s="17" t="s">
        <v>2264</v>
      </c>
      <c r="S5901" s="121" t="s">
        <v>17346</v>
      </c>
      <c r="T5901" s="122"/>
      <c r="U5901" s="22"/>
      <c r="V5901" s="123"/>
      <c r="W5901" s="122"/>
      <c r="X5901" s="221"/>
      <c r="Y5901" s="221"/>
      <c r="Z5901" s="221"/>
      <c r="AA5901" s="221"/>
      <c r="AB5901" s="223"/>
    </row>
    <row r="5902" spans="1:28" ht="17.100000000000001" customHeight="1" thickTop="1">
      <c r="A5902" s="226" t="s">
        <v>16737</v>
      </c>
      <c r="B5902" s="28">
        <v>46059</v>
      </c>
      <c r="C5902" s="25">
        <v>2121</v>
      </c>
      <c r="D5902" s="13" t="s">
        <v>1578</v>
      </c>
      <c r="E5902" s="228"/>
      <c r="F5902" s="109" t="s">
        <v>16777</v>
      </c>
      <c r="G5902" s="24"/>
      <c r="H5902" s="230">
        <v>4.5</v>
      </c>
      <c r="I5902" s="220">
        <v>2600000</v>
      </c>
      <c r="J5902" s="220">
        <f>I5902*0.1</f>
        <v>260000</v>
      </c>
      <c r="K5902" s="220">
        <v>0</v>
      </c>
      <c r="L5902" s="220">
        <v>17640</v>
      </c>
      <c r="M5902" s="220">
        <v>16500</v>
      </c>
      <c r="N5902" s="220">
        <f>SUM(I5902:M5903)</f>
        <v>2894140</v>
      </c>
      <c r="O5902" s="224"/>
      <c r="P5902" s="110" t="s">
        <v>17262</v>
      </c>
      <c r="Q5902" s="15" t="s">
        <v>19</v>
      </c>
      <c r="R5902" s="205"/>
      <c r="S5902" s="189" t="s">
        <v>455</v>
      </c>
      <c r="T5902" s="114"/>
      <c r="U5902" s="21"/>
      <c r="V5902" s="115">
        <v>46079</v>
      </c>
      <c r="W5902" s="116">
        <v>1320</v>
      </c>
      <c r="X5902" s="220">
        <v>2805000</v>
      </c>
      <c r="Y5902" s="220">
        <f>X5902*0.1</f>
        <v>280500</v>
      </c>
      <c r="Z5902" s="220">
        <v>17640</v>
      </c>
      <c r="AA5902" s="220">
        <f>SUM(X5902:Z5902)</f>
        <v>3103140</v>
      </c>
      <c r="AB5902" s="222">
        <v>46080</v>
      </c>
    </row>
    <row r="5903" spans="1:28" ht="17.100000000000001" customHeight="1" thickBot="1">
      <c r="A5903" s="227"/>
      <c r="B5903" s="27" t="s">
        <v>1536</v>
      </c>
      <c r="C5903" s="27">
        <v>13050</v>
      </c>
      <c r="D5903" s="14" t="s">
        <v>1690</v>
      </c>
      <c r="E5903" s="229"/>
      <c r="F5903" s="117" t="s">
        <v>16888</v>
      </c>
      <c r="G5903" s="26">
        <v>66597</v>
      </c>
      <c r="H5903" s="231"/>
      <c r="I5903" s="221"/>
      <c r="J5903" s="221"/>
      <c r="K5903" s="221"/>
      <c r="L5903" s="221"/>
      <c r="M5903" s="221"/>
      <c r="N5903" s="221"/>
      <c r="O5903" s="225"/>
      <c r="P5903" s="118" t="s">
        <v>8888</v>
      </c>
      <c r="Q5903" s="16" t="s">
        <v>20</v>
      </c>
      <c r="R5903" s="17" t="s">
        <v>2264</v>
      </c>
      <c r="S5903" s="121" t="s">
        <v>1731</v>
      </c>
      <c r="T5903" s="122"/>
      <c r="U5903" s="22"/>
      <c r="V5903" s="123" t="s">
        <v>13379</v>
      </c>
      <c r="W5903" s="122">
        <v>80</v>
      </c>
      <c r="X5903" s="221"/>
      <c r="Y5903" s="221"/>
      <c r="Z5903" s="221"/>
      <c r="AA5903" s="221"/>
      <c r="AB5903" s="223"/>
    </row>
    <row r="5904" spans="1:28" ht="17.100000000000001" customHeight="1" thickTop="1">
      <c r="A5904" s="226" t="s">
        <v>16738</v>
      </c>
      <c r="B5904" s="28">
        <v>46059</v>
      </c>
      <c r="C5904" s="25">
        <v>2121</v>
      </c>
      <c r="D5904" s="13" t="s">
        <v>853</v>
      </c>
      <c r="E5904" s="228"/>
      <c r="F5904" s="109" t="s">
        <v>16778</v>
      </c>
      <c r="G5904" s="24" t="s">
        <v>9046</v>
      </c>
      <c r="H5904" s="230">
        <v>4.5</v>
      </c>
      <c r="I5904" s="220">
        <v>780000</v>
      </c>
      <c r="J5904" s="220">
        <f>I5904*0.1</f>
        <v>78000</v>
      </c>
      <c r="K5904" s="220">
        <v>2200</v>
      </c>
      <c r="L5904" s="220">
        <v>12470</v>
      </c>
      <c r="M5904" s="220">
        <v>16500</v>
      </c>
      <c r="N5904" s="220">
        <f>SUM(I5904:M5905)</f>
        <v>889170</v>
      </c>
      <c r="O5904" s="224"/>
      <c r="P5904" s="110" t="s">
        <v>16890</v>
      </c>
      <c r="Q5904" s="15" t="s">
        <v>19</v>
      </c>
      <c r="R5904" s="205"/>
      <c r="S5904" s="189" t="s">
        <v>25691</v>
      </c>
      <c r="T5904" s="114"/>
      <c r="U5904" s="21"/>
      <c r="V5904" s="115">
        <v>46116</v>
      </c>
      <c r="W5904" s="116">
        <v>1295</v>
      </c>
      <c r="X5904" s="220">
        <v>890000</v>
      </c>
      <c r="Y5904" s="220">
        <f>X5904*0.1</f>
        <v>89000</v>
      </c>
      <c r="Z5904" s="220">
        <v>12470</v>
      </c>
      <c r="AA5904" s="220">
        <f>SUM(X5904:Z5904)</f>
        <v>991470</v>
      </c>
      <c r="AB5904" s="222">
        <v>46119</v>
      </c>
    </row>
    <row r="5905" spans="1:28" ht="17.100000000000001" customHeight="1" thickBot="1">
      <c r="A5905" s="227"/>
      <c r="B5905" s="27" t="s">
        <v>1536</v>
      </c>
      <c r="C5905" s="27">
        <v>13330</v>
      </c>
      <c r="D5905" s="14" t="s">
        <v>1690</v>
      </c>
      <c r="E5905" s="229"/>
      <c r="F5905" s="117" t="s">
        <v>16889</v>
      </c>
      <c r="G5905" s="26">
        <v>59544</v>
      </c>
      <c r="H5905" s="231"/>
      <c r="I5905" s="221"/>
      <c r="J5905" s="221"/>
      <c r="K5905" s="221"/>
      <c r="L5905" s="221"/>
      <c r="M5905" s="221"/>
      <c r="N5905" s="221"/>
      <c r="O5905" s="225"/>
      <c r="P5905" s="118" t="s">
        <v>16531</v>
      </c>
      <c r="Q5905" s="16" t="s">
        <v>20</v>
      </c>
      <c r="R5905" s="17" t="s">
        <v>2264</v>
      </c>
      <c r="S5905" s="121" t="s">
        <v>1606</v>
      </c>
      <c r="T5905" s="122"/>
      <c r="U5905" s="22"/>
      <c r="V5905" s="123" t="s">
        <v>2472</v>
      </c>
      <c r="W5905" s="122">
        <v>80065</v>
      </c>
      <c r="X5905" s="221"/>
      <c r="Y5905" s="221"/>
      <c r="Z5905" s="221"/>
      <c r="AA5905" s="221"/>
      <c r="AB5905" s="223"/>
    </row>
    <row r="5906" spans="1:28" ht="17.100000000000001" customHeight="1" thickTop="1">
      <c r="A5906" s="226" t="s">
        <v>16739</v>
      </c>
      <c r="B5906" s="28">
        <v>46059</v>
      </c>
      <c r="C5906" s="25">
        <v>2121</v>
      </c>
      <c r="D5906" s="13" t="s">
        <v>1788</v>
      </c>
      <c r="E5906" s="228"/>
      <c r="F5906" s="109" t="s">
        <v>16779</v>
      </c>
      <c r="G5906" s="24"/>
      <c r="H5906" s="230">
        <v>4.5</v>
      </c>
      <c r="I5906" s="220">
        <v>1350000</v>
      </c>
      <c r="J5906" s="220">
        <f>I5906*0.1</f>
        <v>135000</v>
      </c>
      <c r="K5906" s="220">
        <v>0</v>
      </c>
      <c r="L5906" s="220">
        <v>19090</v>
      </c>
      <c r="M5906" s="220">
        <v>16500</v>
      </c>
      <c r="N5906" s="220">
        <f>SUM(I5906:M5907)</f>
        <v>1520590</v>
      </c>
      <c r="O5906" s="224"/>
      <c r="P5906" s="110" t="s">
        <v>17261</v>
      </c>
      <c r="Q5906" s="15" t="s">
        <v>19</v>
      </c>
      <c r="R5906" s="205"/>
      <c r="S5906" s="189"/>
      <c r="T5906" s="114"/>
      <c r="U5906" s="21"/>
      <c r="V5906" s="115">
        <v>46072</v>
      </c>
      <c r="W5906" s="116">
        <v>1319</v>
      </c>
      <c r="X5906" s="220">
        <v>1530000</v>
      </c>
      <c r="Y5906" s="220">
        <f>X5906*0.1</f>
        <v>153000</v>
      </c>
      <c r="Z5906" s="220">
        <v>19090</v>
      </c>
      <c r="AA5906" s="220">
        <f>SUM(X5906:Z5906)</f>
        <v>1702090</v>
      </c>
      <c r="AB5906" s="222">
        <v>46073</v>
      </c>
    </row>
    <row r="5907" spans="1:28" ht="17.100000000000001" customHeight="1" thickBot="1">
      <c r="A5907" s="227"/>
      <c r="B5907" s="27" t="s">
        <v>1536</v>
      </c>
      <c r="C5907" s="27">
        <v>58218</v>
      </c>
      <c r="D5907" s="14" t="s">
        <v>1593</v>
      </c>
      <c r="E5907" s="229"/>
      <c r="F5907" s="117" t="s">
        <v>16891</v>
      </c>
      <c r="G5907" s="26">
        <v>48174</v>
      </c>
      <c r="H5907" s="231"/>
      <c r="I5907" s="221"/>
      <c r="J5907" s="221"/>
      <c r="K5907" s="221"/>
      <c r="L5907" s="221"/>
      <c r="M5907" s="221"/>
      <c r="N5907" s="221"/>
      <c r="O5907" s="225"/>
      <c r="P5907" s="118" t="s">
        <v>4962</v>
      </c>
      <c r="Q5907" s="16" t="s">
        <v>20</v>
      </c>
      <c r="R5907" s="17" t="s">
        <v>2264</v>
      </c>
      <c r="S5907" s="121" t="s">
        <v>1606</v>
      </c>
      <c r="T5907" s="122"/>
      <c r="U5907" s="22"/>
      <c r="V5907" s="123" t="s">
        <v>14285</v>
      </c>
      <c r="W5907" s="122" t="s">
        <v>17833</v>
      </c>
      <c r="X5907" s="221"/>
      <c r="Y5907" s="221"/>
      <c r="Z5907" s="221"/>
      <c r="AA5907" s="221"/>
      <c r="AB5907" s="223"/>
    </row>
    <row r="5908" spans="1:28" ht="17.100000000000001" customHeight="1" thickTop="1">
      <c r="A5908" s="226" t="s">
        <v>16740</v>
      </c>
      <c r="B5908" s="28">
        <v>46059</v>
      </c>
      <c r="C5908" s="25">
        <v>2121</v>
      </c>
      <c r="D5908" s="13" t="s">
        <v>3243</v>
      </c>
      <c r="E5908" s="228"/>
      <c r="F5908" s="109" t="s">
        <v>16780</v>
      </c>
      <c r="G5908" s="24" t="s">
        <v>16893</v>
      </c>
      <c r="H5908" s="230">
        <v>4.5</v>
      </c>
      <c r="I5908" s="220">
        <v>1030000</v>
      </c>
      <c r="J5908" s="220">
        <f>I5908*0.1</f>
        <v>103000</v>
      </c>
      <c r="K5908" s="220">
        <v>3520</v>
      </c>
      <c r="L5908" s="220">
        <v>17800</v>
      </c>
      <c r="M5908" s="220">
        <v>16500</v>
      </c>
      <c r="N5908" s="220">
        <f>SUM(I5908:M5909)</f>
        <v>1170820</v>
      </c>
      <c r="O5908" s="224"/>
      <c r="P5908" s="110" t="s">
        <v>16894</v>
      </c>
      <c r="Q5908" s="15" t="s">
        <v>19</v>
      </c>
      <c r="R5908" s="205"/>
      <c r="S5908" s="189" t="s">
        <v>283</v>
      </c>
      <c r="T5908" s="114"/>
      <c r="U5908" s="21"/>
      <c r="V5908" s="115">
        <v>46072</v>
      </c>
      <c r="W5908" s="116">
        <v>1319</v>
      </c>
      <c r="X5908" s="220">
        <v>1145000</v>
      </c>
      <c r="Y5908" s="220">
        <f>X5908*0.1</f>
        <v>114500</v>
      </c>
      <c r="Z5908" s="220">
        <v>17800</v>
      </c>
      <c r="AA5908" s="220">
        <f>SUM(X5908:Z5908)</f>
        <v>1277300</v>
      </c>
      <c r="AB5908" s="222">
        <v>46073</v>
      </c>
    </row>
    <row r="5909" spans="1:28" ht="17.100000000000001" customHeight="1" thickBot="1">
      <c r="A5909" s="227"/>
      <c r="B5909" s="27" t="s">
        <v>1536</v>
      </c>
      <c r="C5909" s="27">
        <v>58473</v>
      </c>
      <c r="D5909" s="14" t="s">
        <v>131</v>
      </c>
      <c r="E5909" s="229"/>
      <c r="F5909" s="117" t="s">
        <v>16892</v>
      </c>
      <c r="G5909" s="26">
        <v>60093</v>
      </c>
      <c r="H5909" s="231"/>
      <c r="I5909" s="221"/>
      <c r="J5909" s="221"/>
      <c r="K5909" s="221"/>
      <c r="L5909" s="221"/>
      <c r="M5909" s="221"/>
      <c r="N5909" s="221"/>
      <c r="O5909" s="225"/>
      <c r="P5909" s="118" t="s">
        <v>9673</v>
      </c>
      <c r="Q5909" s="16" t="s">
        <v>20</v>
      </c>
      <c r="R5909" s="17" t="s">
        <v>2264</v>
      </c>
      <c r="S5909" s="121" t="s">
        <v>1731</v>
      </c>
      <c r="T5909" s="122"/>
      <c r="U5909" s="22"/>
      <c r="V5909" s="123" t="s">
        <v>13379</v>
      </c>
      <c r="W5909" s="122">
        <v>101</v>
      </c>
      <c r="X5909" s="221"/>
      <c r="Y5909" s="221"/>
      <c r="Z5909" s="221"/>
      <c r="AA5909" s="221"/>
      <c r="AB5909" s="223"/>
    </row>
    <row r="5910" spans="1:28" ht="17.100000000000001" customHeight="1" thickTop="1">
      <c r="A5910" s="226" t="s">
        <v>16741</v>
      </c>
      <c r="B5910" s="28">
        <v>46059</v>
      </c>
      <c r="C5910" s="25">
        <v>1405</v>
      </c>
      <c r="D5910" s="13" t="s">
        <v>16895</v>
      </c>
      <c r="E5910" s="228"/>
      <c r="F5910" s="109" t="s">
        <v>7450</v>
      </c>
      <c r="G5910" s="24" t="s">
        <v>16897</v>
      </c>
      <c r="H5910" s="230">
        <v>3.5</v>
      </c>
      <c r="I5910" s="220">
        <v>215000</v>
      </c>
      <c r="J5910" s="220">
        <f>I5910*0.1</f>
        <v>21500</v>
      </c>
      <c r="K5910" s="220">
        <v>0</v>
      </c>
      <c r="L5910" s="220">
        <v>8460</v>
      </c>
      <c r="M5910" s="220">
        <v>15400</v>
      </c>
      <c r="N5910" s="220">
        <f>SUM(I5910:M5911)</f>
        <v>260360</v>
      </c>
      <c r="O5910" s="224"/>
      <c r="P5910" s="110" t="s">
        <v>17328</v>
      </c>
      <c r="Q5910" s="15" t="s">
        <v>19</v>
      </c>
      <c r="R5910" s="205"/>
      <c r="S5910" s="189" t="s">
        <v>25769</v>
      </c>
      <c r="T5910" s="114"/>
      <c r="U5910" s="21" t="s">
        <v>17658</v>
      </c>
      <c r="V5910" s="115">
        <v>46078</v>
      </c>
      <c r="W5910" s="116">
        <v>1006</v>
      </c>
      <c r="X5910" s="220">
        <v>290000</v>
      </c>
      <c r="Y5910" s="220">
        <f>X5910*0.1</f>
        <v>29000</v>
      </c>
      <c r="Z5910" s="220">
        <v>8460</v>
      </c>
      <c r="AA5910" s="220">
        <f>SUM(X5910:Z5910)</f>
        <v>327460</v>
      </c>
      <c r="AB5910" s="222">
        <v>46084</v>
      </c>
    </row>
    <row r="5911" spans="1:28" ht="17.100000000000001" customHeight="1" thickBot="1">
      <c r="A5911" s="227"/>
      <c r="B5911" s="27" t="s">
        <v>2597</v>
      </c>
      <c r="C5911" s="27">
        <v>2156</v>
      </c>
      <c r="D5911" s="14" t="s">
        <v>16896</v>
      </c>
      <c r="E5911" s="229"/>
      <c r="F5911" s="117" t="s">
        <v>16781</v>
      </c>
      <c r="G5911" s="26">
        <v>39158</v>
      </c>
      <c r="H5911" s="231"/>
      <c r="I5911" s="221"/>
      <c r="J5911" s="221"/>
      <c r="K5911" s="221"/>
      <c r="L5911" s="221"/>
      <c r="M5911" s="221"/>
      <c r="N5911" s="221"/>
      <c r="O5911" s="225"/>
      <c r="P5911" s="118" t="s">
        <v>17329</v>
      </c>
      <c r="Q5911" s="16" t="s">
        <v>20</v>
      </c>
      <c r="R5911" s="17" t="s">
        <v>2264</v>
      </c>
      <c r="S5911" s="121"/>
      <c r="T5911" s="122"/>
      <c r="U5911" s="22"/>
      <c r="V5911" s="123" t="s">
        <v>7161</v>
      </c>
      <c r="W5911" s="122">
        <v>5206</v>
      </c>
      <c r="X5911" s="221"/>
      <c r="Y5911" s="221"/>
      <c r="Z5911" s="221"/>
      <c r="AA5911" s="221"/>
      <c r="AB5911" s="223"/>
    </row>
    <row r="5912" spans="1:28" ht="17.100000000000001" customHeight="1" thickTop="1">
      <c r="A5912" s="233" t="s">
        <v>16742</v>
      </c>
      <c r="B5912" s="28">
        <v>46059</v>
      </c>
      <c r="C5912" s="25">
        <v>1405</v>
      </c>
      <c r="D5912" s="13" t="s">
        <v>16898</v>
      </c>
      <c r="E5912" s="228"/>
      <c r="F5912" s="109" t="s">
        <v>14854</v>
      </c>
      <c r="G5912" s="24"/>
      <c r="H5912" s="230">
        <v>4.5</v>
      </c>
      <c r="I5912" s="220">
        <v>2754000</v>
      </c>
      <c r="J5912" s="220">
        <f>I5912*0.1</f>
        <v>275400</v>
      </c>
      <c r="K5912" s="220">
        <v>0</v>
      </c>
      <c r="L5912" s="220">
        <v>12250</v>
      </c>
      <c r="M5912" s="220">
        <v>15400</v>
      </c>
      <c r="N5912" s="220">
        <f>SUM(I5912:M5913)</f>
        <v>3057050</v>
      </c>
      <c r="O5912" s="224"/>
      <c r="P5912" s="110" t="s">
        <v>17330</v>
      </c>
      <c r="Q5912" s="15" t="s">
        <v>19</v>
      </c>
      <c r="R5912" s="205"/>
      <c r="S5912" s="189"/>
      <c r="T5912" s="114" t="s">
        <v>17881</v>
      </c>
      <c r="U5912" s="21"/>
      <c r="V5912" s="115"/>
      <c r="W5912" s="116"/>
      <c r="X5912" s="220"/>
      <c r="Y5912" s="220">
        <f>X5912*0.1</f>
        <v>0</v>
      </c>
      <c r="Z5912" s="220"/>
      <c r="AA5912" s="220">
        <f>SUM(X5912:Z5912)</f>
        <v>0</v>
      </c>
      <c r="AB5912" s="222"/>
    </row>
    <row r="5913" spans="1:28" ht="17.100000000000001" customHeight="1" thickBot="1">
      <c r="A5913" s="234"/>
      <c r="B5913" s="27" t="s">
        <v>2597</v>
      </c>
      <c r="C5913" s="27">
        <v>3011</v>
      </c>
      <c r="D5913" s="14" t="s">
        <v>16899</v>
      </c>
      <c r="E5913" s="229"/>
      <c r="F5913" s="117" t="s">
        <v>16782</v>
      </c>
      <c r="G5913" s="26">
        <v>25655</v>
      </c>
      <c r="H5913" s="231"/>
      <c r="I5913" s="221"/>
      <c r="J5913" s="221"/>
      <c r="K5913" s="221"/>
      <c r="L5913" s="221"/>
      <c r="M5913" s="221"/>
      <c r="N5913" s="221"/>
      <c r="O5913" s="225"/>
      <c r="P5913" s="118" t="s">
        <v>11248</v>
      </c>
      <c r="Q5913" s="16" t="s">
        <v>20</v>
      </c>
      <c r="R5913" s="17" t="s">
        <v>2264</v>
      </c>
      <c r="S5913" s="121"/>
      <c r="T5913" s="122"/>
      <c r="U5913" s="22"/>
      <c r="V5913" s="123"/>
      <c r="W5913" s="122"/>
      <c r="X5913" s="221"/>
      <c r="Y5913" s="221"/>
      <c r="Z5913" s="221"/>
      <c r="AA5913" s="221"/>
      <c r="AB5913" s="223"/>
    </row>
    <row r="5914" spans="1:28" ht="17.100000000000001" customHeight="1" thickTop="1">
      <c r="A5914" s="226" t="s">
        <v>16743</v>
      </c>
      <c r="B5914" s="28">
        <v>46059</v>
      </c>
      <c r="C5914" s="25">
        <v>1405</v>
      </c>
      <c r="D5914" s="13" t="s">
        <v>16900</v>
      </c>
      <c r="E5914" s="228"/>
      <c r="F5914" s="109" t="s">
        <v>14966</v>
      </c>
      <c r="G5914" s="24" t="s">
        <v>16902</v>
      </c>
      <c r="H5914" s="230">
        <v>4.5</v>
      </c>
      <c r="I5914" s="220">
        <v>2320000</v>
      </c>
      <c r="J5914" s="220">
        <f>I5914*0.1</f>
        <v>232000</v>
      </c>
      <c r="K5914" s="220">
        <v>3300</v>
      </c>
      <c r="L5914" s="220">
        <v>15750</v>
      </c>
      <c r="M5914" s="220">
        <v>19800</v>
      </c>
      <c r="N5914" s="220">
        <f>SUM(I5914:M5915)</f>
        <v>2590850</v>
      </c>
      <c r="O5914" s="224"/>
      <c r="P5914" s="110" t="s">
        <v>17271</v>
      </c>
      <c r="Q5914" s="15" t="s">
        <v>19</v>
      </c>
      <c r="R5914" s="205"/>
      <c r="S5914" s="189" t="s">
        <v>455</v>
      </c>
      <c r="T5914" s="114"/>
      <c r="U5914" s="21"/>
      <c r="V5914" s="115">
        <v>46092</v>
      </c>
      <c r="W5914" s="116">
        <v>1008</v>
      </c>
      <c r="X5914" s="220">
        <v>2480000</v>
      </c>
      <c r="Y5914" s="220">
        <f>X5914*0.1</f>
        <v>248000</v>
      </c>
      <c r="Z5914" s="220">
        <v>15750</v>
      </c>
      <c r="AA5914" s="220">
        <f>SUM(X5914:Z5914)</f>
        <v>2743750</v>
      </c>
      <c r="AB5914" s="222">
        <v>46098</v>
      </c>
    </row>
    <row r="5915" spans="1:28" ht="17.100000000000001" customHeight="1" thickBot="1">
      <c r="A5915" s="227"/>
      <c r="B5915" s="27" t="s">
        <v>2597</v>
      </c>
      <c r="C5915" s="27">
        <v>3052</v>
      </c>
      <c r="D5915" s="14" t="s">
        <v>16901</v>
      </c>
      <c r="E5915" s="229"/>
      <c r="F5915" s="117" t="s">
        <v>16783</v>
      </c>
      <c r="G5915" s="26">
        <v>39652</v>
      </c>
      <c r="H5915" s="231"/>
      <c r="I5915" s="221"/>
      <c r="J5915" s="221"/>
      <c r="K5915" s="221"/>
      <c r="L5915" s="221"/>
      <c r="M5915" s="221"/>
      <c r="N5915" s="221"/>
      <c r="O5915" s="225"/>
      <c r="P5915" s="118" t="s">
        <v>1586</v>
      </c>
      <c r="Q5915" s="16" t="s">
        <v>20</v>
      </c>
      <c r="R5915" s="17" t="s">
        <v>2264</v>
      </c>
      <c r="S5915" s="121" t="s">
        <v>1606</v>
      </c>
      <c r="T5915" s="122"/>
      <c r="U5915" s="22"/>
      <c r="V5915" s="123" t="s">
        <v>19459</v>
      </c>
      <c r="W5915" s="122">
        <v>5026</v>
      </c>
      <c r="X5915" s="221"/>
      <c r="Y5915" s="221"/>
      <c r="Z5915" s="221"/>
      <c r="AA5915" s="221"/>
      <c r="AB5915" s="223"/>
    </row>
    <row r="5916" spans="1:28" ht="17.100000000000001" customHeight="1" thickTop="1">
      <c r="A5916" s="233" t="s">
        <v>16744</v>
      </c>
      <c r="B5916" s="28">
        <v>46059</v>
      </c>
      <c r="C5916" s="25">
        <v>1405</v>
      </c>
      <c r="D5916" s="13" t="s">
        <v>16903</v>
      </c>
      <c r="E5916" s="228"/>
      <c r="F5916" s="109" t="s">
        <v>14891</v>
      </c>
      <c r="G5916" s="24"/>
      <c r="H5916" s="230">
        <v>4</v>
      </c>
      <c r="I5916" s="220">
        <v>549000</v>
      </c>
      <c r="J5916" s="220">
        <f>I5916*0.1</f>
        <v>54900</v>
      </c>
      <c r="K5916" s="220">
        <v>0</v>
      </c>
      <c r="L5916" s="220">
        <v>7950</v>
      </c>
      <c r="M5916" s="220">
        <v>15400</v>
      </c>
      <c r="N5916" s="220">
        <f>SUM(I5916:M5917)</f>
        <v>627250</v>
      </c>
      <c r="O5916" s="224"/>
      <c r="P5916" s="110" t="s">
        <v>17331</v>
      </c>
      <c r="Q5916" s="15" t="s">
        <v>19</v>
      </c>
      <c r="R5916" s="205"/>
      <c r="S5916" s="189"/>
      <c r="T5916" s="114" t="s">
        <v>17881</v>
      </c>
      <c r="U5916" s="21"/>
      <c r="V5916" s="115"/>
      <c r="W5916" s="116"/>
      <c r="X5916" s="220"/>
      <c r="Y5916" s="220">
        <f>X5916*0.1</f>
        <v>0</v>
      </c>
      <c r="Z5916" s="220"/>
      <c r="AA5916" s="220">
        <f>SUM(X5916:Z5916)</f>
        <v>0</v>
      </c>
      <c r="AB5916" s="222"/>
    </row>
    <row r="5917" spans="1:28" ht="16.5" customHeight="1" thickBot="1">
      <c r="A5917" s="234"/>
      <c r="B5917" s="27" t="s">
        <v>2597</v>
      </c>
      <c r="C5917" s="27">
        <v>3097</v>
      </c>
      <c r="D5917" s="14" t="s">
        <v>16904</v>
      </c>
      <c r="E5917" s="229"/>
      <c r="F5917" s="117" t="s">
        <v>16784</v>
      </c>
      <c r="G5917" s="26">
        <v>53314</v>
      </c>
      <c r="H5917" s="231"/>
      <c r="I5917" s="221"/>
      <c r="J5917" s="221"/>
      <c r="K5917" s="221"/>
      <c r="L5917" s="221"/>
      <c r="M5917" s="221"/>
      <c r="N5917" s="221"/>
      <c r="O5917" s="225"/>
      <c r="P5917" s="118" t="s">
        <v>16226</v>
      </c>
      <c r="Q5917" s="16" t="s">
        <v>20</v>
      </c>
      <c r="R5917" s="17" t="s">
        <v>2264</v>
      </c>
      <c r="S5917" s="121"/>
      <c r="T5917" s="122"/>
      <c r="U5917" s="22"/>
      <c r="V5917" s="123"/>
      <c r="W5917" s="122"/>
      <c r="X5917" s="221"/>
      <c r="Y5917" s="221"/>
      <c r="Z5917" s="221"/>
      <c r="AA5917" s="221"/>
      <c r="AB5917" s="223"/>
    </row>
    <row r="5918" spans="1:28" ht="17.100000000000001" customHeight="1" thickTop="1">
      <c r="A5918" s="226" t="s">
        <v>16745</v>
      </c>
      <c r="B5918" s="28">
        <v>46059</v>
      </c>
      <c r="C5918" s="25">
        <v>1405</v>
      </c>
      <c r="D5918" s="13" t="s">
        <v>16905</v>
      </c>
      <c r="E5918" s="228"/>
      <c r="F5918" s="109" t="s">
        <v>16785</v>
      </c>
      <c r="G5918" s="24" t="s">
        <v>16906</v>
      </c>
      <c r="H5918" s="230">
        <v>4</v>
      </c>
      <c r="I5918" s="220">
        <v>539000</v>
      </c>
      <c r="J5918" s="220">
        <f>I5918*0.1</f>
        <v>53900</v>
      </c>
      <c r="K5918" s="220">
        <v>0</v>
      </c>
      <c r="L5918" s="220">
        <v>9790</v>
      </c>
      <c r="M5918" s="220">
        <v>15400</v>
      </c>
      <c r="N5918" s="220">
        <f>SUM(I5918:M5919)</f>
        <v>618090</v>
      </c>
      <c r="O5918" s="224"/>
      <c r="P5918" s="110" t="s">
        <v>17317</v>
      </c>
      <c r="Q5918" s="15" t="s">
        <v>19</v>
      </c>
      <c r="R5918" s="205"/>
      <c r="S5918" s="189" t="s">
        <v>25770</v>
      </c>
      <c r="T5918" s="114"/>
      <c r="U5918" s="21"/>
      <c r="V5918" s="115">
        <v>46078</v>
      </c>
      <c r="W5918" s="116">
        <v>1006</v>
      </c>
      <c r="X5918" s="220">
        <v>620000</v>
      </c>
      <c r="Y5918" s="220">
        <f>X5918*0.1</f>
        <v>62000</v>
      </c>
      <c r="Z5918" s="220">
        <v>9790</v>
      </c>
      <c r="AA5918" s="220">
        <f>SUM(X5918:Z5918)</f>
        <v>691790</v>
      </c>
      <c r="AB5918" s="222">
        <v>46083</v>
      </c>
    </row>
    <row r="5919" spans="1:28" ht="17.100000000000001" customHeight="1" thickBot="1">
      <c r="A5919" s="227"/>
      <c r="B5919" s="27" t="s">
        <v>2597</v>
      </c>
      <c r="C5919" s="27">
        <v>3108</v>
      </c>
      <c r="D5919" s="14" t="s">
        <v>1690</v>
      </c>
      <c r="E5919" s="229"/>
      <c r="F5919" s="117" t="s">
        <v>16786</v>
      </c>
      <c r="G5919" s="26">
        <v>49997</v>
      </c>
      <c r="H5919" s="231"/>
      <c r="I5919" s="221"/>
      <c r="J5919" s="221"/>
      <c r="K5919" s="221"/>
      <c r="L5919" s="221"/>
      <c r="M5919" s="221"/>
      <c r="N5919" s="221"/>
      <c r="O5919" s="225"/>
      <c r="P5919" s="118" t="s">
        <v>17318</v>
      </c>
      <c r="Q5919" s="16" t="s">
        <v>20</v>
      </c>
      <c r="R5919" s="17" t="s">
        <v>2264</v>
      </c>
      <c r="S5919" s="121" t="s">
        <v>10520</v>
      </c>
      <c r="T5919" s="122"/>
      <c r="U5919" s="22"/>
      <c r="V5919" s="123" t="s">
        <v>7161</v>
      </c>
      <c r="W5919" s="122">
        <v>2035</v>
      </c>
      <c r="X5919" s="221"/>
      <c r="Y5919" s="221"/>
      <c r="Z5919" s="221"/>
      <c r="AA5919" s="221"/>
      <c r="AB5919" s="223"/>
    </row>
    <row r="5920" spans="1:28" ht="17.100000000000001" customHeight="1" thickTop="1">
      <c r="A5920" s="226" t="s">
        <v>16746</v>
      </c>
      <c r="B5920" s="28">
        <v>46059</v>
      </c>
      <c r="C5920" s="25">
        <v>1405</v>
      </c>
      <c r="D5920" s="13" t="s">
        <v>16907</v>
      </c>
      <c r="E5920" s="228"/>
      <c r="F5920" s="109" t="s">
        <v>16787</v>
      </c>
      <c r="G5920" s="24"/>
      <c r="H5920" s="230">
        <v>4.5</v>
      </c>
      <c r="I5920" s="220">
        <v>1304000</v>
      </c>
      <c r="J5920" s="220">
        <f>I5920*0.1</f>
        <v>130400</v>
      </c>
      <c r="K5920" s="220">
        <v>0</v>
      </c>
      <c r="L5920" s="220">
        <v>7790</v>
      </c>
      <c r="M5920" s="220">
        <v>15400</v>
      </c>
      <c r="N5920" s="220">
        <f>SUM(I5920:M5921)</f>
        <v>1457590</v>
      </c>
      <c r="O5920" s="224"/>
      <c r="P5920" s="110" t="s">
        <v>17319</v>
      </c>
      <c r="Q5920" s="15" t="s">
        <v>19</v>
      </c>
      <c r="R5920" s="205"/>
      <c r="S5920" s="189" t="s">
        <v>283</v>
      </c>
      <c r="T5920" s="114"/>
      <c r="U5920" s="21"/>
      <c r="V5920" s="115">
        <v>46109</v>
      </c>
      <c r="W5920" s="116">
        <v>1294</v>
      </c>
      <c r="X5920" s="220">
        <v>1360000</v>
      </c>
      <c r="Y5920" s="220">
        <f>X5920*0.1</f>
        <v>136000</v>
      </c>
      <c r="Z5920" s="220">
        <v>7790</v>
      </c>
      <c r="AA5920" s="220">
        <f>SUM(X5920:Z5920)</f>
        <v>1503790</v>
      </c>
      <c r="AB5920" s="222">
        <v>46112</v>
      </c>
    </row>
    <row r="5921" spans="1:28" ht="17.100000000000001" customHeight="1" thickBot="1">
      <c r="A5921" s="227"/>
      <c r="B5921" s="27" t="s">
        <v>2597</v>
      </c>
      <c r="C5921" s="27">
        <v>3109</v>
      </c>
      <c r="D5921" s="14" t="s">
        <v>16908</v>
      </c>
      <c r="E5921" s="229"/>
      <c r="F5921" s="117" t="s">
        <v>16788</v>
      </c>
      <c r="G5921" s="26">
        <v>34520</v>
      </c>
      <c r="H5921" s="231"/>
      <c r="I5921" s="221"/>
      <c r="J5921" s="221"/>
      <c r="K5921" s="221"/>
      <c r="L5921" s="221"/>
      <c r="M5921" s="221"/>
      <c r="N5921" s="221"/>
      <c r="O5921" s="225"/>
      <c r="P5921" s="118" t="s">
        <v>17320</v>
      </c>
      <c r="Q5921" s="16" t="s">
        <v>20</v>
      </c>
      <c r="R5921" s="17" t="s">
        <v>2264</v>
      </c>
      <c r="S5921" s="121" t="s">
        <v>1731</v>
      </c>
      <c r="T5921" s="122"/>
      <c r="U5921" s="22"/>
      <c r="V5921" s="123" t="s">
        <v>21250</v>
      </c>
      <c r="W5921" s="122">
        <v>60069</v>
      </c>
      <c r="X5921" s="221"/>
      <c r="Y5921" s="221"/>
      <c r="Z5921" s="221"/>
      <c r="AA5921" s="221"/>
      <c r="AB5921" s="223"/>
    </row>
    <row r="5922" spans="1:28" ht="17.100000000000001" customHeight="1" thickTop="1">
      <c r="A5922" s="233" t="s">
        <v>16747</v>
      </c>
      <c r="B5922" s="28">
        <v>46059</v>
      </c>
      <c r="C5922" s="25">
        <v>1405</v>
      </c>
      <c r="D5922" s="13" t="s">
        <v>16909</v>
      </c>
      <c r="E5922" s="228"/>
      <c r="F5922" s="109" t="s">
        <v>16789</v>
      </c>
      <c r="G5922" s="24" t="s">
        <v>16910</v>
      </c>
      <c r="H5922" s="230">
        <v>4</v>
      </c>
      <c r="I5922" s="220">
        <v>453000</v>
      </c>
      <c r="J5922" s="220">
        <f>I5922*0.1</f>
        <v>45300</v>
      </c>
      <c r="K5922" s="220">
        <v>0</v>
      </c>
      <c r="L5922" s="220">
        <v>8230</v>
      </c>
      <c r="M5922" s="220">
        <v>15400</v>
      </c>
      <c r="N5922" s="220">
        <f>SUM(I5922:M5923)</f>
        <v>521930</v>
      </c>
      <c r="O5922" s="224"/>
      <c r="P5922" s="110" t="s">
        <v>17326</v>
      </c>
      <c r="Q5922" s="15" t="s">
        <v>19</v>
      </c>
      <c r="R5922" s="205"/>
      <c r="S5922" s="189"/>
      <c r="T5922" s="114" t="s">
        <v>17881</v>
      </c>
      <c r="U5922" s="21"/>
      <c r="V5922" s="115"/>
      <c r="W5922" s="116"/>
      <c r="X5922" s="220"/>
      <c r="Y5922" s="220">
        <f>X5922*0.1</f>
        <v>0</v>
      </c>
      <c r="Z5922" s="220"/>
      <c r="AA5922" s="220">
        <f>SUM(X5922:Z5922)</f>
        <v>0</v>
      </c>
      <c r="AB5922" s="222"/>
    </row>
    <row r="5923" spans="1:28" ht="17.100000000000001" customHeight="1" thickBot="1">
      <c r="A5923" s="234"/>
      <c r="B5923" s="27" t="s">
        <v>2597</v>
      </c>
      <c r="C5923" s="27">
        <v>3161</v>
      </c>
      <c r="D5923" s="14" t="s">
        <v>2559</v>
      </c>
      <c r="E5923" s="229"/>
      <c r="F5923" s="117" t="s">
        <v>16790</v>
      </c>
      <c r="G5923" s="26">
        <v>76540</v>
      </c>
      <c r="H5923" s="231"/>
      <c r="I5923" s="221"/>
      <c r="J5923" s="221"/>
      <c r="K5923" s="221"/>
      <c r="L5923" s="221"/>
      <c r="M5923" s="221"/>
      <c r="N5923" s="221"/>
      <c r="O5923" s="225"/>
      <c r="P5923" s="118" t="s">
        <v>17327</v>
      </c>
      <c r="Q5923" s="16" t="s">
        <v>20</v>
      </c>
      <c r="R5923" s="17" t="s">
        <v>2264</v>
      </c>
      <c r="S5923" s="121" t="s">
        <v>1573</v>
      </c>
      <c r="T5923" s="122"/>
      <c r="U5923" s="22"/>
      <c r="V5923" s="123"/>
      <c r="W5923" s="122"/>
      <c r="X5923" s="221"/>
      <c r="Y5923" s="221"/>
      <c r="Z5923" s="221"/>
      <c r="AA5923" s="221"/>
      <c r="AB5923" s="223"/>
    </row>
    <row r="5924" spans="1:28" ht="17.100000000000001" customHeight="1" thickTop="1">
      <c r="A5924" s="226" t="s">
        <v>16748</v>
      </c>
      <c r="B5924" s="28">
        <v>46059</v>
      </c>
      <c r="C5924" s="25">
        <v>1405</v>
      </c>
      <c r="D5924" s="13" t="s">
        <v>16911</v>
      </c>
      <c r="E5924" s="228"/>
      <c r="F5924" s="109" t="s">
        <v>16913</v>
      </c>
      <c r="G5924" s="24" t="s">
        <v>16914</v>
      </c>
      <c r="H5924" s="230">
        <v>4</v>
      </c>
      <c r="I5924" s="220">
        <v>1620000</v>
      </c>
      <c r="J5924" s="220">
        <f>I5924*0.1</f>
        <v>162000</v>
      </c>
      <c r="K5924" s="220">
        <v>2750</v>
      </c>
      <c r="L5924" s="220">
        <v>10220</v>
      </c>
      <c r="M5924" s="220">
        <v>15400</v>
      </c>
      <c r="N5924" s="220">
        <f>SUM(I5924:M5925)</f>
        <v>1810370</v>
      </c>
      <c r="O5924" s="224"/>
      <c r="P5924" s="110" t="s">
        <v>17861</v>
      </c>
      <c r="Q5924" s="15" t="s">
        <v>19</v>
      </c>
      <c r="R5924" s="205"/>
      <c r="S5924" s="189" t="s">
        <v>25771</v>
      </c>
      <c r="T5924" s="114"/>
      <c r="U5924" s="21"/>
      <c r="V5924" s="115">
        <v>46085</v>
      </c>
      <c r="W5924" s="116">
        <v>1007</v>
      </c>
      <c r="X5924" s="220">
        <v>1715000</v>
      </c>
      <c r="Y5924" s="220">
        <f>X5924*0.1</f>
        <v>171500</v>
      </c>
      <c r="Z5924" s="220">
        <v>10220</v>
      </c>
      <c r="AA5924" s="220">
        <f>SUM(X5924:Z5924)</f>
        <v>1896720</v>
      </c>
      <c r="AB5924" s="222">
        <v>46090</v>
      </c>
    </row>
    <row r="5925" spans="1:28" ht="17.100000000000001" customHeight="1" thickBot="1">
      <c r="A5925" s="227"/>
      <c r="B5925" s="27" t="s">
        <v>2597</v>
      </c>
      <c r="C5925" s="27">
        <v>3214</v>
      </c>
      <c r="D5925" s="14" t="s">
        <v>16912</v>
      </c>
      <c r="E5925" s="229"/>
      <c r="F5925" s="117" t="s">
        <v>16791</v>
      </c>
      <c r="G5925" s="26">
        <v>38614</v>
      </c>
      <c r="H5925" s="231"/>
      <c r="I5925" s="221"/>
      <c r="J5925" s="221"/>
      <c r="K5925" s="221"/>
      <c r="L5925" s="221"/>
      <c r="M5925" s="221"/>
      <c r="N5925" s="221"/>
      <c r="O5925" s="225"/>
      <c r="P5925" s="118" t="s">
        <v>3281</v>
      </c>
      <c r="Q5925" s="16" t="s">
        <v>20</v>
      </c>
      <c r="R5925" s="17" t="s">
        <v>17799</v>
      </c>
      <c r="S5925" s="121" t="s">
        <v>4716</v>
      </c>
      <c r="T5925" s="122"/>
      <c r="U5925" s="22"/>
      <c r="V5925" s="123" t="s">
        <v>2747</v>
      </c>
      <c r="W5925" s="122">
        <v>6110</v>
      </c>
      <c r="X5925" s="221"/>
      <c r="Y5925" s="221"/>
      <c r="Z5925" s="221"/>
      <c r="AA5925" s="221"/>
      <c r="AB5925" s="223"/>
    </row>
    <row r="5926" spans="1:28" ht="17.100000000000001" customHeight="1" thickTop="1">
      <c r="A5926" s="226" t="s">
        <v>16749</v>
      </c>
      <c r="B5926" s="28">
        <v>46059</v>
      </c>
      <c r="C5926" s="25">
        <v>1405</v>
      </c>
      <c r="D5926" s="13" t="s">
        <v>16915</v>
      </c>
      <c r="E5926" s="228"/>
      <c r="F5926" s="109" t="s">
        <v>16792</v>
      </c>
      <c r="G5926" s="24" t="s">
        <v>4596</v>
      </c>
      <c r="H5926" s="230">
        <v>4.5</v>
      </c>
      <c r="I5926" s="220">
        <v>2199000</v>
      </c>
      <c r="J5926" s="220">
        <f>I5926*0.1</f>
        <v>219900</v>
      </c>
      <c r="K5926" s="220">
        <v>2750</v>
      </c>
      <c r="L5926" s="220">
        <v>8150</v>
      </c>
      <c r="M5926" s="220">
        <v>15400</v>
      </c>
      <c r="N5926" s="220">
        <f>SUM(I5926:M5927)</f>
        <v>2445200</v>
      </c>
      <c r="O5926" s="224"/>
      <c r="P5926" s="110" t="s">
        <v>17865</v>
      </c>
      <c r="Q5926" s="15" t="s">
        <v>19</v>
      </c>
      <c r="R5926" s="205"/>
      <c r="S5926" s="189" t="s">
        <v>283</v>
      </c>
      <c r="T5926" s="114"/>
      <c r="U5926" s="21"/>
      <c r="V5926" s="115">
        <v>46078</v>
      </c>
      <c r="W5926" s="116">
        <v>1006</v>
      </c>
      <c r="X5926" s="220">
        <v>2300000</v>
      </c>
      <c r="Y5926" s="220">
        <f>X5926*0.1</f>
        <v>230000</v>
      </c>
      <c r="Z5926" s="220">
        <v>8150</v>
      </c>
      <c r="AA5926" s="220">
        <f>SUM(X5926:Z5926)</f>
        <v>2538150</v>
      </c>
      <c r="AB5926" s="222">
        <v>46083</v>
      </c>
    </row>
    <row r="5927" spans="1:28" ht="17.100000000000001" customHeight="1" thickBot="1">
      <c r="A5927" s="227"/>
      <c r="B5927" s="27" t="s">
        <v>2597</v>
      </c>
      <c r="C5927" s="27">
        <v>3238</v>
      </c>
      <c r="D5927" s="14" t="s">
        <v>16899</v>
      </c>
      <c r="E5927" s="229"/>
      <c r="F5927" s="117" t="s">
        <v>16793</v>
      </c>
      <c r="G5927" s="26">
        <v>36424</v>
      </c>
      <c r="H5927" s="231"/>
      <c r="I5927" s="221"/>
      <c r="J5927" s="221"/>
      <c r="K5927" s="221"/>
      <c r="L5927" s="221"/>
      <c r="M5927" s="221"/>
      <c r="N5927" s="221"/>
      <c r="O5927" s="225"/>
      <c r="P5927" s="118" t="s">
        <v>17866</v>
      </c>
      <c r="Q5927" s="16" t="s">
        <v>20</v>
      </c>
      <c r="R5927" s="17" t="s">
        <v>17799</v>
      </c>
      <c r="S5927" s="121" t="s">
        <v>17352</v>
      </c>
      <c r="T5927" s="122"/>
      <c r="U5927" s="22"/>
      <c r="V5927" s="123" t="s">
        <v>2747</v>
      </c>
      <c r="W5927" s="122">
        <v>6042</v>
      </c>
      <c r="X5927" s="221"/>
      <c r="Y5927" s="221"/>
      <c r="Z5927" s="221"/>
      <c r="AA5927" s="221"/>
      <c r="AB5927" s="223"/>
    </row>
    <row r="5928" spans="1:28" ht="17.100000000000001" customHeight="1" thickTop="1">
      <c r="A5928" s="226" t="s">
        <v>16750</v>
      </c>
      <c r="B5928" s="28">
        <v>46059</v>
      </c>
      <c r="C5928" s="25">
        <v>1405</v>
      </c>
      <c r="D5928" s="13" t="s">
        <v>16916</v>
      </c>
      <c r="E5928" s="228"/>
      <c r="F5928" s="109" t="s">
        <v>16794</v>
      </c>
      <c r="G5928" s="24" t="s">
        <v>16917</v>
      </c>
      <c r="H5928" s="230">
        <v>4.5</v>
      </c>
      <c r="I5928" s="220">
        <v>1681000</v>
      </c>
      <c r="J5928" s="220">
        <f>I5928*0.1</f>
        <v>168100</v>
      </c>
      <c r="K5928" s="220">
        <v>0</v>
      </c>
      <c r="L5928" s="220">
        <v>7340</v>
      </c>
      <c r="M5928" s="220">
        <v>15400</v>
      </c>
      <c r="N5928" s="220">
        <f>SUM(I5928:M5929)</f>
        <v>1871840</v>
      </c>
      <c r="O5928" s="224"/>
      <c r="P5928" s="110" t="s">
        <v>17315</v>
      </c>
      <c r="Q5928" s="15" t="s">
        <v>19</v>
      </c>
      <c r="R5928" s="205"/>
      <c r="S5928" s="189" t="s">
        <v>25507</v>
      </c>
      <c r="T5928" s="114"/>
      <c r="U5928" s="21" t="s">
        <v>20459</v>
      </c>
      <c r="V5928" s="115">
        <v>46102</v>
      </c>
      <c r="W5928" s="116">
        <v>1293</v>
      </c>
      <c r="X5928" s="220">
        <v>1675000</v>
      </c>
      <c r="Y5928" s="220">
        <f>X5928*0.1</f>
        <v>167500</v>
      </c>
      <c r="Z5928" s="220">
        <v>7340</v>
      </c>
      <c r="AA5928" s="220">
        <f>SUM(X5928:Z5928)</f>
        <v>1849840</v>
      </c>
      <c r="AB5928" s="222">
        <v>46107</v>
      </c>
    </row>
    <row r="5929" spans="1:28" ht="17.100000000000001" customHeight="1" thickBot="1">
      <c r="A5929" s="227"/>
      <c r="B5929" s="27" t="s">
        <v>2597</v>
      </c>
      <c r="C5929" s="27">
        <v>3310</v>
      </c>
      <c r="D5929" s="14" t="s">
        <v>16912</v>
      </c>
      <c r="E5929" s="229"/>
      <c r="F5929" s="117" t="s">
        <v>16795</v>
      </c>
      <c r="G5929" s="26">
        <v>18058</v>
      </c>
      <c r="H5929" s="231"/>
      <c r="I5929" s="221"/>
      <c r="J5929" s="221"/>
      <c r="K5929" s="221"/>
      <c r="L5929" s="221"/>
      <c r="M5929" s="221"/>
      <c r="N5929" s="221"/>
      <c r="O5929" s="225"/>
      <c r="P5929" s="118" t="s">
        <v>4608</v>
      </c>
      <c r="Q5929" s="16" t="s">
        <v>20</v>
      </c>
      <c r="R5929" s="17" t="s">
        <v>2264</v>
      </c>
      <c r="S5929" s="121" t="s">
        <v>1606</v>
      </c>
      <c r="T5929" s="122"/>
      <c r="U5929" s="22"/>
      <c r="V5929" s="123" t="s">
        <v>2472</v>
      </c>
      <c r="W5929" s="122">
        <v>60418</v>
      </c>
      <c r="X5929" s="221"/>
      <c r="Y5929" s="221"/>
      <c r="Z5929" s="221"/>
      <c r="AA5929" s="221"/>
      <c r="AB5929" s="223"/>
    </row>
    <row r="5930" spans="1:28" ht="17.100000000000001" customHeight="1" thickTop="1">
      <c r="A5930" s="226" t="s">
        <v>16751</v>
      </c>
      <c r="B5930" s="28">
        <v>46059</v>
      </c>
      <c r="C5930" s="25">
        <v>1405</v>
      </c>
      <c r="D5930" s="13" t="s">
        <v>16918</v>
      </c>
      <c r="E5930" s="228"/>
      <c r="F5930" s="109" t="s">
        <v>16796</v>
      </c>
      <c r="G5930" s="24" t="s">
        <v>17269</v>
      </c>
      <c r="H5930" s="230">
        <v>4</v>
      </c>
      <c r="I5930" s="220">
        <v>793000</v>
      </c>
      <c r="J5930" s="220">
        <f>I5930*0.1</f>
        <v>79300</v>
      </c>
      <c r="K5930" s="220">
        <v>0</v>
      </c>
      <c r="L5930" s="220">
        <v>8430</v>
      </c>
      <c r="M5930" s="220">
        <v>15400</v>
      </c>
      <c r="N5930" s="220">
        <f>SUM(I5930:M5931)</f>
        <v>896130</v>
      </c>
      <c r="O5930" s="224"/>
      <c r="P5930" s="110" t="s">
        <v>17323</v>
      </c>
      <c r="Q5930" s="15" t="s">
        <v>19</v>
      </c>
      <c r="R5930" s="205"/>
      <c r="S5930" s="189"/>
      <c r="T5930" s="114"/>
      <c r="U5930" s="21"/>
      <c r="V5930" s="115">
        <v>46071</v>
      </c>
      <c r="W5930" s="116">
        <v>1005</v>
      </c>
      <c r="X5930" s="220">
        <v>870000</v>
      </c>
      <c r="Y5930" s="220">
        <f>X5930*0.1</f>
        <v>87000</v>
      </c>
      <c r="Z5930" s="220">
        <v>8430</v>
      </c>
      <c r="AA5930" s="220">
        <f>SUM(X5930:Z5930)</f>
        <v>965430</v>
      </c>
      <c r="AB5930" s="222">
        <v>46077</v>
      </c>
    </row>
    <row r="5931" spans="1:28" ht="17.100000000000001" customHeight="1" thickBot="1">
      <c r="A5931" s="227"/>
      <c r="B5931" s="27" t="s">
        <v>2597</v>
      </c>
      <c r="C5931" s="27">
        <v>3360</v>
      </c>
      <c r="D5931" s="14" t="s">
        <v>2559</v>
      </c>
      <c r="E5931" s="229"/>
      <c r="F5931" s="117" t="s">
        <v>16797</v>
      </c>
      <c r="G5931" s="26">
        <v>53209</v>
      </c>
      <c r="H5931" s="231"/>
      <c r="I5931" s="221"/>
      <c r="J5931" s="221"/>
      <c r="K5931" s="221"/>
      <c r="L5931" s="221"/>
      <c r="M5931" s="221"/>
      <c r="N5931" s="221"/>
      <c r="O5931" s="225"/>
      <c r="P5931" s="118" t="s">
        <v>17324</v>
      </c>
      <c r="Q5931" s="16" t="s">
        <v>20</v>
      </c>
      <c r="R5931" s="17" t="s">
        <v>2264</v>
      </c>
      <c r="S5931" s="121" t="s">
        <v>17353</v>
      </c>
      <c r="T5931" s="122"/>
      <c r="U5931" s="22"/>
      <c r="V5931" s="123" t="s">
        <v>7161</v>
      </c>
      <c r="W5931" s="122">
        <v>2061</v>
      </c>
      <c r="X5931" s="221"/>
      <c r="Y5931" s="221"/>
      <c r="Z5931" s="221"/>
      <c r="AA5931" s="221"/>
      <c r="AB5931" s="223"/>
    </row>
    <row r="5932" spans="1:28" ht="17.100000000000001" customHeight="1" thickTop="1">
      <c r="A5932" s="226" t="s">
        <v>16798</v>
      </c>
      <c r="B5932" s="28">
        <v>46059</v>
      </c>
      <c r="C5932" s="25">
        <v>1405</v>
      </c>
      <c r="D5932" s="13" t="s">
        <v>16919</v>
      </c>
      <c r="E5932" s="228"/>
      <c r="F5932" s="109" t="s">
        <v>16804</v>
      </c>
      <c r="G5932" s="24" t="s">
        <v>16921</v>
      </c>
      <c r="H5932" s="230">
        <v>4</v>
      </c>
      <c r="I5932" s="220">
        <v>765000</v>
      </c>
      <c r="J5932" s="220">
        <f>I5932*0.1</f>
        <v>76500</v>
      </c>
      <c r="K5932" s="220">
        <v>0</v>
      </c>
      <c r="L5932" s="220">
        <v>8550</v>
      </c>
      <c r="M5932" s="220">
        <v>15400</v>
      </c>
      <c r="N5932" s="220">
        <f>SUM(I5932:M5933)</f>
        <v>865450</v>
      </c>
      <c r="O5932" s="224"/>
      <c r="P5932" s="110" t="s">
        <v>17316</v>
      </c>
      <c r="Q5932" s="15" t="s">
        <v>19</v>
      </c>
      <c r="R5932" s="205"/>
      <c r="S5932" s="189" t="s">
        <v>25772</v>
      </c>
      <c r="T5932" s="114"/>
      <c r="U5932" s="21"/>
      <c r="V5932" s="115">
        <v>46071</v>
      </c>
      <c r="W5932" s="116">
        <v>1005</v>
      </c>
      <c r="X5932" s="220">
        <v>825000</v>
      </c>
      <c r="Y5932" s="220">
        <f>X5932*0.1</f>
        <v>82500</v>
      </c>
      <c r="Z5932" s="220">
        <v>8550</v>
      </c>
      <c r="AA5932" s="220">
        <f>SUM(X5932:Z5932)</f>
        <v>916050</v>
      </c>
      <c r="AB5932" s="222">
        <v>46073</v>
      </c>
    </row>
    <row r="5933" spans="1:28" ht="17.100000000000001" customHeight="1" thickBot="1">
      <c r="A5933" s="227"/>
      <c r="B5933" s="27" t="s">
        <v>2597</v>
      </c>
      <c r="C5933" s="27">
        <v>3375</v>
      </c>
      <c r="D5933" s="14" t="s">
        <v>16920</v>
      </c>
      <c r="E5933" s="229"/>
      <c r="F5933" s="117" t="s">
        <v>16805</v>
      </c>
      <c r="G5933" s="26">
        <v>32870</v>
      </c>
      <c r="H5933" s="231"/>
      <c r="I5933" s="221"/>
      <c r="J5933" s="221"/>
      <c r="K5933" s="221"/>
      <c r="L5933" s="221"/>
      <c r="M5933" s="221"/>
      <c r="N5933" s="221"/>
      <c r="O5933" s="225"/>
      <c r="P5933" s="118" t="s">
        <v>6778</v>
      </c>
      <c r="Q5933" s="16" t="s">
        <v>20</v>
      </c>
      <c r="R5933" s="17" t="s">
        <v>2264</v>
      </c>
      <c r="S5933" s="121" t="s">
        <v>17356</v>
      </c>
      <c r="T5933" s="122"/>
      <c r="U5933" s="22"/>
      <c r="V5933" s="123" t="s">
        <v>2747</v>
      </c>
      <c r="W5933" s="122">
        <v>2027</v>
      </c>
      <c r="X5933" s="221"/>
      <c r="Y5933" s="221"/>
      <c r="Z5933" s="221"/>
      <c r="AA5933" s="221"/>
      <c r="AB5933" s="223"/>
    </row>
    <row r="5934" spans="1:28" ht="17.100000000000001" customHeight="1" thickTop="1">
      <c r="A5934" s="226" t="s">
        <v>16799</v>
      </c>
      <c r="B5934" s="28">
        <v>46059</v>
      </c>
      <c r="C5934" s="25">
        <v>1405</v>
      </c>
      <c r="D5934" s="13" t="s">
        <v>16922</v>
      </c>
      <c r="E5934" s="228"/>
      <c r="F5934" s="109" t="s">
        <v>16806</v>
      </c>
      <c r="G5934" s="24"/>
      <c r="H5934" s="230">
        <v>4</v>
      </c>
      <c r="I5934" s="220">
        <v>944000</v>
      </c>
      <c r="J5934" s="220">
        <f>I5934*0.1</f>
        <v>94400</v>
      </c>
      <c r="K5934" s="220">
        <v>0</v>
      </c>
      <c r="L5934" s="220">
        <v>8680</v>
      </c>
      <c r="M5934" s="220">
        <v>15400</v>
      </c>
      <c r="N5934" s="220">
        <f>SUM(I5934:M5935)</f>
        <v>1062480</v>
      </c>
      <c r="O5934" s="224"/>
      <c r="P5934" s="110" t="s">
        <v>17214</v>
      </c>
      <c r="Q5934" s="15" t="s">
        <v>19</v>
      </c>
      <c r="R5934" s="205"/>
      <c r="S5934" s="189"/>
      <c r="T5934" s="114"/>
      <c r="U5934" s="21"/>
      <c r="V5934" s="115">
        <v>46064</v>
      </c>
      <c r="W5934" s="116">
        <v>1004</v>
      </c>
      <c r="X5934" s="220">
        <v>1020000</v>
      </c>
      <c r="Y5934" s="220">
        <f>X5934*0.1</f>
        <v>102000</v>
      </c>
      <c r="Z5934" s="220">
        <v>8680</v>
      </c>
      <c r="AA5934" s="220">
        <f>SUM(X5934:Z5934)</f>
        <v>1130680</v>
      </c>
      <c r="AB5934" s="222">
        <v>46069</v>
      </c>
    </row>
    <row r="5935" spans="1:28" ht="17.100000000000001" customHeight="1" thickBot="1">
      <c r="A5935" s="227"/>
      <c r="B5935" s="27" t="s">
        <v>2597</v>
      </c>
      <c r="C5935" s="27">
        <v>5578</v>
      </c>
      <c r="D5935" s="14" t="s">
        <v>2559</v>
      </c>
      <c r="E5935" s="229"/>
      <c r="F5935" s="117" t="s">
        <v>16807</v>
      </c>
      <c r="G5935" s="26">
        <v>68085</v>
      </c>
      <c r="H5935" s="231"/>
      <c r="I5935" s="221"/>
      <c r="J5935" s="221"/>
      <c r="K5935" s="221"/>
      <c r="L5935" s="221"/>
      <c r="M5935" s="221"/>
      <c r="N5935" s="221"/>
      <c r="O5935" s="225"/>
      <c r="P5935" s="118" t="s">
        <v>17215</v>
      </c>
      <c r="Q5935" s="16" t="s">
        <v>20</v>
      </c>
      <c r="R5935" s="17" t="s">
        <v>2264</v>
      </c>
      <c r="S5935" s="121"/>
      <c r="T5935" s="122"/>
      <c r="U5935" s="22"/>
      <c r="V5935" s="123" t="s">
        <v>2747</v>
      </c>
      <c r="W5935" s="122">
        <v>5172</v>
      </c>
      <c r="X5935" s="221"/>
      <c r="Y5935" s="221"/>
      <c r="Z5935" s="221"/>
      <c r="AA5935" s="221"/>
      <c r="AB5935" s="223"/>
    </row>
    <row r="5936" spans="1:28" ht="17.100000000000001" customHeight="1" thickTop="1">
      <c r="A5936" s="226" t="s">
        <v>16800</v>
      </c>
      <c r="B5936" s="28">
        <v>46059</v>
      </c>
      <c r="C5936" s="25">
        <v>1405</v>
      </c>
      <c r="D5936" s="13" t="s">
        <v>16923</v>
      </c>
      <c r="E5936" s="228"/>
      <c r="F5936" s="109" t="s">
        <v>16808</v>
      </c>
      <c r="G5936" s="24"/>
      <c r="H5936" s="230">
        <v>3.5</v>
      </c>
      <c r="I5936" s="220">
        <v>912000</v>
      </c>
      <c r="J5936" s="220">
        <v>0</v>
      </c>
      <c r="K5936" s="220">
        <v>0</v>
      </c>
      <c r="L5936" s="220">
        <v>10360</v>
      </c>
      <c r="M5936" s="220">
        <v>15400</v>
      </c>
      <c r="N5936" s="220">
        <f>SUM(I5936:M5937)</f>
        <v>937760</v>
      </c>
      <c r="O5936" s="224"/>
      <c r="P5936" s="110" t="s">
        <v>17321</v>
      </c>
      <c r="Q5936" s="15" t="s">
        <v>19</v>
      </c>
      <c r="R5936" s="205"/>
      <c r="S5936" s="189" t="s">
        <v>25773</v>
      </c>
      <c r="T5936" s="114"/>
      <c r="U5936" s="21"/>
      <c r="V5936" s="115">
        <v>46085</v>
      </c>
      <c r="W5936" s="116">
        <v>1007</v>
      </c>
      <c r="X5936" s="220">
        <v>955000</v>
      </c>
      <c r="Y5936" s="220">
        <f>X5936*0.1</f>
        <v>95500</v>
      </c>
      <c r="Z5936" s="220">
        <v>14360</v>
      </c>
      <c r="AA5936" s="220">
        <f>SUM(X5936:Z5936)</f>
        <v>1064860</v>
      </c>
      <c r="AB5936" s="222">
        <v>46090</v>
      </c>
    </row>
    <row r="5937" spans="1:28" ht="17.100000000000001" customHeight="1" thickBot="1">
      <c r="A5937" s="227"/>
      <c r="B5937" s="27" t="s">
        <v>2597</v>
      </c>
      <c r="C5937" s="27">
        <v>5580</v>
      </c>
      <c r="D5937" s="14" t="s">
        <v>16924</v>
      </c>
      <c r="E5937" s="229"/>
      <c r="F5937" s="117" t="s">
        <v>16809</v>
      </c>
      <c r="G5937" s="26">
        <v>57001</v>
      </c>
      <c r="H5937" s="231"/>
      <c r="I5937" s="221"/>
      <c r="J5937" s="221"/>
      <c r="K5937" s="221"/>
      <c r="L5937" s="221"/>
      <c r="M5937" s="221"/>
      <c r="N5937" s="221"/>
      <c r="O5937" s="225"/>
      <c r="P5937" s="118" t="s">
        <v>17322</v>
      </c>
      <c r="Q5937" s="16" t="s">
        <v>20</v>
      </c>
      <c r="R5937" s="17" t="s">
        <v>2264</v>
      </c>
      <c r="S5937" s="121" t="s">
        <v>17355</v>
      </c>
      <c r="T5937" s="122"/>
      <c r="U5937" s="22"/>
      <c r="V5937" s="123" t="s">
        <v>2747</v>
      </c>
      <c r="W5937" s="122">
        <v>6090</v>
      </c>
      <c r="X5937" s="221"/>
      <c r="Y5937" s="221"/>
      <c r="Z5937" s="221"/>
      <c r="AA5937" s="221"/>
      <c r="AB5937" s="223"/>
    </row>
    <row r="5938" spans="1:28" ht="17.100000000000001" customHeight="1" thickTop="1">
      <c r="A5938" s="226" t="s">
        <v>16801</v>
      </c>
      <c r="B5938" s="28">
        <v>46059</v>
      </c>
      <c r="C5938" s="25">
        <v>1405</v>
      </c>
      <c r="D5938" s="13" t="s">
        <v>16915</v>
      </c>
      <c r="E5938" s="228"/>
      <c r="F5938" s="109" t="s">
        <v>16806</v>
      </c>
      <c r="G5938" s="24" t="s">
        <v>16925</v>
      </c>
      <c r="H5938" s="230">
        <v>4.5</v>
      </c>
      <c r="I5938" s="220">
        <v>1225000</v>
      </c>
      <c r="J5938" s="220">
        <f>I5938*0.1</f>
        <v>122500</v>
      </c>
      <c r="K5938" s="220">
        <v>0</v>
      </c>
      <c r="L5938" s="220">
        <v>8680</v>
      </c>
      <c r="M5938" s="220">
        <v>15400</v>
      </c>
      <c r="N5938" s="220">
        <f>SUM(I5938:M5939)</f>
        <v>1371580</v>
      </c>
      <c r="O5938" s="224"/>
      <c r="P5938" s="110" t="s">
        <v>17325</v>
      </c>
      <c r="Q5938" s="15" t="s">
        <v>19</v>
      </c>
      <c r="R5938" s="205"/>
      <c r="S5938" s="189"/>
      <c r="T5938" s="114"/>
      <c r="U5938" s="21" t="s">
        <v>19522</v>
      </c>
      <c r="V5938" s="115">
        <v>46091</v>
      </c>
      <c r="W5938" s="116">
        <v>1932</v>
      </c>
      <c r="X5938" s="220">
        <v>1267000</v>
      </c>
      <c r="Y5938" s="220">
        <f>X5938*0.1</f>
        <v>126700</v>
      </c>
      <c r="Z5938" s="220">
        <v>8680</v>
      </c>
      <c r="AA5938" s="220">
        <f>SUM(X5938:Z5938)</f>
        <v>1402380</v>
      </c>
      <c r="AB5938" s="222"/>
    </row>
    <row r="5939" spans="1:28" ht="17.100000000000001" customHeight="1" thickBot="1">
      <c r="A5939" s="227"/>
      <c r="B5939" s="27" t="s">
        <v>2597</v>
      </c>
      <c r="C5939" s="27">
        <v>5608</v>
      </c>
      <c r="D5939" s="14" t="s">
        <v>2559</v>
      </c>
      <c r="E5939" s="229"/>
      <c r="F5939" s="117" t="s">
        <v>16810</v>
      </c>
      <c r="G5939" s="26">
        <v>18702</v>
      </c>
      <c r="H5939" s="231"/>
      <c r="I5939" s="221"/>
      <c r="J5939" s="221"/>
      <c r="K5939" s="221"/>
      <c r="L5939" s="221"/>
      <c r="M5939" s="221"/>
      <c r="N5939" s="221"/>
      <c r="O5939" s="225"/>
      <c r="P5939" s="118" t="s">
        <v>17322</v>
      </c>
      <c r="Q5939" s="16" t="s">
        <v>20</v>
      </c>
      <c r="R5939" s="17" t="s">
        <v>2264</v>
      </c>
      <c r="S5939" s="121" t="s">
        <v>9675</v>
      </c>
      <c r="T5939" s="122"/>
      <c r="U5939" s="22"/>
      <c r="V5939" s="123" t="s">
        <v>19456</v>
      </c>
      <c r="W5939" s="122">
        <v>3443</v>
      </c>
      <c r="X5939" s="221"/>
      <c r="Y5939" s="221"/>
      <c r="Z5939" s="221"/>
      <c r="AA5939" s="221"/>
      <c r="AB5939" s="223"/>
    </row>
    <row r="5940" spans="1:28" ht="17.100000000000001" customHeight="1" thickTop="1">
      <c r="A5940" s="226" t="s">
        <v>16802</v>
      </c>
      <c r="B5940" s="28">
        <v>46059</v>
      </c>
      <c r="C5940" s="25">
        <v>1405</v>
      </c>
      <c r="D5940" s="13" t="s">
        <v>16926</v>
      </c>
      <c r="E5940" s="228"/>
      <c r="F5940" s="109" t="s">
        <v>16811</v>
      </c>
      <c r="G5940" s="24" t="s">
        <v>16927</v>
      </c>
      <c r="H5940" s="230">
        <v>4.5</v>
      </c>
      <c r="I5940" s="220">
        <v>2007000</v>
      </c>
      <c r="J5940" s="220">
        <f>I5940*0.1</f>
        <v>200700</v>
      </c>
      <c r="K5940" s="220">
        <v>3300</v>
      </c>
      <c r="L5940" s="220">
        <v>21720</v>
      </c>
      <c r="M5940" s="220">
        <v>15400</v>
      </c>
      <c r="N5940" s="220">
        <f>SUM(I5940:M5941)</f>
        <v>2248120</v>
      </c>
      <c r="O5940" s="224"/>
      <c r="P5940" s="110" t="s">
        <v>17270</v>
      </c>
      <c r="Q5940" s="15" t="s">
        <v>19</v>
      </c>
      <c r="R5940" s="205"/>
      <c r="S5940" s="189" t="s">
        <v>25774</v>
      </c>
      <c r="T5940" s="114"/>
      <c r="U5940" s="21"/>
      <c r="V5940" s="115">
        <v>46086</v>
      </c>
      <c r="W5940" s="116">
        <v>1321</v>
      </c>
      <c r="X5940" s="220">
        <v>2145000</v>
      </c>
      <c r="Y5940" s="220">
        <f>X5940*0.1</f>
        <v>214500</v>
      </c>
      <c r="Z5940" s="220">
        <v>21720</v>
      </c>
      <c r="AA5940" s="220">
        <f>SUM(X5940:Z5940)</f>
        <v>2381220</v>
      </c>
      <c r="AB5940" s="222"/>
    </row>
    <row r="5941" spans="1:28" ht="17.100000000000001" customHeight="1" thickBot="1">
      <c r="A5941" s="227"/>
      <c r="B5941" s="27" t="s">
        <v>2597</v>
      </c>
      <c r="C5941" s="27">
        <v>7013</v>
      </c>
      <c r="D5941" s="14" t="s">
        <v>273</v>
      </c>
      <c r="E5941" s="229"/>
      <c r="F5941" s="117" t="s">
        <v>16812</v>
      </c>
      <c r="G5941" s="26">
        <v>77405</v>
      </c>
      <c r="H5941" s="231"/>
      <c r="I5941" s="221"/>
      <c r="J5941" s="221"/>
      <c r="K5941" s="221"/>
      <c r="L5941" s="221"/>
      <c r="M5941" s="221"/>
      <c r="N5941" s="221"/>
      <c r="O5941" s="225"/>
      <c r="P5941" s="118" t="s">
        <v>8646</v>
      </c>
      <c r="Q5941" s="16" t="s">
        <v>20</v>
      </c>
      <c r="R5941" s="17" t="s">
        <v>2264</v>
      </c>
      <c r="S5941" s="121" t="s">
        <v>1731</v>
      </c>
      <c r="T5941" s="122"/>
      <c r="U5941" s="22"/>
      <c r="V5941" s="123" t="s">
        <v>18928</v>
      </c>
      <c r="W5941" s="122">
        <v>45</v>
      </c>
      <c r="X5941" s="221"/>
      <c r="Y5941" s="221"/>
      <c r="Z5941" s="221"/>
      <c r="AA5941" s="221"/>
      <c r="AB5941" s="223"/>
    </row>
    <row r="5942" spans="1:28" ht="17.100000000000001" customHeight="1" thickTop="1">
      <c r="A5942" s="226" t="s">
        <v>16803</v>
      </c>
      <c r="B5942" s="28">
        <v>46059</v>
      </c>
      <c r="C5942" s="25">
        <v>1405</v>
      </c>
      <c r="D5942" s="13" t="s">
        <v>16928</v>
      </c>
      <c r="E5942" s="228"/>
      <c r="F5942" s="109" t="s">
        <v>16813</v>
      </c>
      <c r="G5942" s="24"/>
      <c r="H5942" s="230">
        <v>4</v>
      </c>
      <c r="I5942" s="220">
        <v>304000</v>
      </c>
      <c r="J5942" s="220">
        <f>I5942*0.1</f>
        <v>30400</v>
      </c>
      <c r="K5942" s="220">
        <v>0</v>
      </c>
      <c r="L5942" s="220">
        <v>9200</v>
      </c>
      <c r="M5942" s="220">
        <v>15400</v>
      </c>
      <c r="N5942" s="220">
        <f>SUM(I5942:M5943)</f>
        <v>359000</v>
      </c>
      <c r="O5942" s="224"/>
      <c r="P5942" s="110" t="s">
        <v>17372</v>
      </c>
      <c r="Q5942" s="15" t="s">
        <v>19</v>
      </c>
      <c r="R5942" s="205"/>
      <c r="S5942" s="189"/>
      <c r="T5942" s="114"/>
      <c r="U5942" s="21"/>
      <c r="V5942" s="115">
        <v>46067</v>
      </c>
      <c r="W5942" s="116">
        <v>1288</v>
      </c>
      <c r="X5942" s="220">
        <v>385000</v>
      </c>
      <c r="Y5942" s="220">
        <f>X5942*0.1</f>
        <v>38500</v>
      </c>
      <c r="Z5942" s="220">
        <v>9200</v>
      </c>
      <c r="AA5942" s="220">
        <f>SUM(X5942:Z5942)</f>
        <v>432700</v>
      </c>
      <c r="AB5942" s="222">
        <v>46070</v>
      </c>
    </row>
    <row r="5943" spans="1:28" ht="17.100000000000001" customHeight="1" thickBot="1">
      <c r="A5943" s="227"/>
      <c r="B5943" s="27" t="s">
        <v>2597</v>
      </c>
      <c r="C5943" s="27">
        <v>9200</v>
      </c>
      <c r="D5943" s="14" t="s">
        <v>16929</v>
      </c>
      <c r="E5943" s="229"/>
      <c r="F5943" s="117" t="s">
        <v>16814</v>
      </c>
      <c r="G5943" s="26">
        <v>58432</v>
      </c>
      <c r="H5943" s="231"/>
      <c r="I5943" s="221"/>
      <c r="J5943" s="221"/>
      <c r="K5943" s="221"/>
      <c r="L5943" s="221"/>
      <c r="M5943" s="221"/>
      <c r="N5943" s="221"/>
      <c r="O5943" s="225"/>
      <c r="P5943" s="118" t="s">
        <v>1972</v>
      </c>
      <c r="Q5943" s="16" t="s">
        <v>20</v>
      </c>
      <c r="R5943" s="17" t="s">
        <v>17360</v>
      </c>
      <c r="S5943" s="121"/>
      <c r="T5943" s="122"/>
      <c r="U5943" s="22"/>
      <c r="V5943" s="123" t="s">
        <v>2472</v>
      </c>
      <c r="W5943" s="122">
        <v>60433</v>
      </c>
      <c r="X5943" s="221"/>
      <c r="Y5943" s="221"/>
      <c r="Z5943" s="221"/>
      <c r="AA5943" s="221"/>
      <c r="AB5943" s="223"/>
    </row>
    <row r="5944" spans="1:28" ht="17.100000000000001" customHeight="1" thickTop="1">
      <c r="A5944" s="226" t="s">
        <v>16815</v>
      </c>
      <c r="B5944" s="28">
        <v>46059</v>
      </c>
      <c r="C5944" s="25"/>
      <c r="D5944" s="13" t="s">
        <v>2690</v>
      </c>
      <c r="E5944" s="228"/>
      <c r="F5944" s="109" t="s">
        <v>16878</v>
      </c>
      <c r="G5944" s="24" t="s">
        <v>9090</v>
      </c>
      <c r="H5944" s="230">
        <v>4</v>
      </c>
      <c r="I5944" s="220">
        <v>1210000</v>
      </c>
      <c r="J5944" s="220">
        <f>I5944*0.1</f>
        <v>121000</v>
      </c>
      <c r="K5944" s="220">
        <v>0</v>
      </c>
      <c r="L5944" s="220">
        <v>8550</v>
      </c>
      <c r="M5944" s="220">
        <v>0</v>
      </c>
      <c r="N5944" s="220">
        <f>SUM(I5944:M5945)</f>
        <v>1339550</v>
      </c>
      <c r="O5944" s="224"/>
      <c r="P5944" s="110" t="s">
        <v>18586</v>
      </c>
      <c r="Q5944" s="15" t="s">
        <v>19</v>
      </c>
      <c r="R5944" s="205"/>
      <c r="S5944" s="189" t="s">
        <v>529</v>
      </c>
      <c r="T5944" s="114"/>
      <c r="U5944" s="21"/>
      <c r="V5944" s="115">
        <v>46085</v>
      </c>
      <c r="W5944" s="116">
        <v>1007</v>
      </c>
      <c r="X5944" s="220">
        <v>1245000</v>
      </c>
      <c r="Y5944" s="220">
        <f>X5944*0.1</f>
        <v>124500</v>
      </c>
      <c r="Z5944" s="220">
        <v>8550</v>
      </c>
      <c r="AA5944" s="220">
        <f>SUM(X5944:Z5944)</f>
        <v>1378050</v>
      </c>
      <c r="AB5944" s="222">
        <v>46090</v>
      </c>
    </row>
    <row r="5945" spans="1:28" ht="17.100000000000001" customHeight="1" thickBot="1">
      <c r="A5945" s="227"/>
      <c r="B5945" s="27" t="s">
        <v>1708</v>
      </c>
      <c r="C5945" s="27" t="s">
        <v>16822</v>
      </c>
      <c r="D5945" s="14" t="s">
        <v>2559</v>
      </c>
      <c r="E5945" s="229"/>
      <c r="F5945" s="117" t="s">
        <v>16823</v>
      </c>
      <c r="G5945" s="26">
        <v>52022</v>
      </c>
      <c r="H5945" s="231"/>
      <c r="I5945" s="221"/>
      <c r="J5945" s="221"/>
      <c r="K5945" s="221"/>
      <c r="L5945" s="221"/>
      <c r="M5945" s="221"/>
      <c r="N5945" s="221"/>
      <c r="O5945" s="225"/>
      <c r="P5945" s="118" t="s">
        <v>4211</v>
      </c>
      <c r="Q5945" s="16" t="s">
        <v>20</v>
      </c>
      <c r="R5945" s="17" t="s">
        <v>2318</v>
      </c>
      <c r="S5945" s="121" t="s">
        <v>2312</v>
      </c>
      <c r="T5945" s="122"/>
      <c r="U5945" s="22"/>
      <c r="V5945" s="123" t="s">
        <v>2747</v>
      </c>
      <c r="W5945" s="122">
        <v>1059</v>
      </c>
      <c r="X5945" s="221"/>
      <c r="Y5945" s="221"/>
      <c r="Z5945" s="221"/>
      <c r="AA5945" s="221"/>
      <c r="AB5945" s="223"/>
    </row>
    <row r="5946" spans="1:28" ht="17.100000000000001" customHeight="1" thickTop="1">
      <c r="A5946" s="226" t="s">
        <v>16816</v>
      </c>
      <c r="B5946" s="28">
        <v>46059</v>
      </c>
      <c r="C5946" s="25"/>
      <c r="D5946" s="13" t="s">
        <v>2524</v>
      </c>
      <c r="E5946" s="228"/>
      <c r="F5946" s="109" t="s">
        <v>7450</v>
      </c>
      <c r="G5946" s="24" t="s">
        <v>8087</v>
      </c>
      <c r="H5946" s="230">
        <v>4</v>
      </c>
      <c r="I5946" s="220">
        <v>309000</v>
      </c>
      <c r="J5946" s="220">
        <f>I5946*0.1</f>
        <v>30900</v>
      </c>
      <c r="K5946" s="220">
        <v>0</v>
      </c>
      <c r="L5946" s="220">
        <v>8930</v>
      </c>
      <c r="M5946" s="220">
        <v>0</v>
      </c>
      <c r="N5946" s="220">
        <f>SUM(I5946:M5947)</f>
        <v>348830</v>
      </c>
      <c r="O5946" s="224"/>
      <c r="P5946" s="110" t="s">
        <v>17358</v>
      </c>
      <c r="Q5946" s="15" t="s">
        <v>19</v>
      </c>
      <c r="R5946" s="205"/>
      <c r="S5946" s="189" t="s">
        <v>529</v>
      </c>
      <c r="T5946" s="114"/>
      <c r="U5946" s="21"/>
      <c r="V5946" s="115">
        <v>46088</v>
      </c>
      <c r="W5946" s="116">
        <v>1291</v>
      </c>
      <c r="X5946" s="220">
        <v>405000</v>
      </c>
      <c r="Y5946" s="220">
        <f>X5946*0.1</f>
        <v>40500</v>
      </c>
      <c r="Z5946" s="220">
        <v>8930</v>
      </c>
      <c r="AA5946" s="220">
        <f>SUM(X5946:Z5946)</f>
        <v>454430</v>
      </c>
      <c r="AB5946" s="222">
        <v>46091</v>
      </c>
    </row>
    <row r="5947" spans="1:28" ht="17.100000000000001" customHeight="1" thickBot="1">
      <c r="A5947" s="227"/>
      <c r="B5947" s="27" t="s">
        <v>1708</v>
      </c>
      <c r="C5947" s="27" t="s">
        <v>16824</v>
      </c>
      <c r="D5947" s="14" t="s">
        <v>1584</v>
      </c>
      <c r="E5947" s="229"/>
      <c r="F5947" s="117" t="s">
        <v>16825</v>
      </c>
      <c r="G5947" s="26">
        <v>53324</v>
      </c>
      <c r="H5947" s="231"/>
      <c r="I5947" s="221"/>
      <c r="J5947" s="221"/>
      <c r="K5947" s="221"/>
      <c r="L5947" s="221"/>
      <c r="M5947" s="221"/>
      <c r="N5947" s="221"/>
      <c r="O5947" s="225"/>
      <c r="P5947" s="118" t="s">
        <v>17359</v>
      </c>
      <c r="Q5947" s="16" t="s">
        <v>20</v>
      </c>
      <c r="R5947" s="17" t="s">
        <v>17360</v>
      </c>
      <c r="S5947" s="121" t="s">
        <v>17361</v>
      </c>
      <c r="T5947" s="122"/>
      <c r="U5947" s="22"/>
      <c r="V5947" s="123" t="s">
        <v>2472</v>
      </c>
      <c r="W5947" s="122">
        <v>31063</v>
      </c>
      <c r="X5947" s="221"/>
      <c r="Y5947" s="221"/>
      <c r="Z5947" s="221"/>
      <c r="AA5947" s="221"/>
      <c r="AB5947" s="223"/>
    </row>
    <row r="5948" spans="1:28" ht="17.100000000000001" customHeight="1" thickTop="1">
      <c r="A5948" s="226" t="s">
        <v>16817</v>
      </c>
      <c r="B5948" s="28">
        <v>46059</v>
      </c>
      <c r="C5948" s="25"/>
      <c r="D5948" s="13" t="s">
        <v>1788</v>
      </c>
      <c r="E5948" s="228"/>
      <c r="F5948" s="109" t="s">
        <v>7495</v>
      </c>
      <c r="G5948" s="24" t="s">
        <v>4860</v>
      </c>
      <c r="H5948" s="230">
        <v>4</v>
      </c>
      <c r="I5948" s="220">
        <v>674000</v>
      </c>
      <c r="J5948" s="220">
        <f>I5948*0.1</f>
        <v>67400</v>
      </c>
      <c r="K5948" s="220">
        <v>0</v>
      </c>
      <c r="L5948" s="220">
        <v>7950</v>
      </c>
      <c r="M5948" s="220">
        <v>0</v>
      </c>
      <c r="N5948" s="220">
        <f>SUM(I5948:M5949)</f>
        <v>749350</v>
      </c>
      <c r="O5948" s="224"/>
      <c r="P5948" s="110" t="s">
        <v>20664</v>
      </c>
      <c r="Q5948" s="15" t="s">
        <v>19</v>
      </c>
      <c r="R5948" s="205"/>
      <c r="S5948" s="189" t="s">
        <v>455</v>
      </c>
      <c r="T5948" s="114"/>
      <c r="U5948" s="85" t="s">
        <v>20664</v>
      </c>
      <c r="V5948" s="115">
        <v>46116</v>
      </c>
      <c r="W5948" s="116">
        <v>1295</v>
      </c>
      <c r="X5948" s="220">
        <v>700000</v>
      </c>
      <c r="Y5948" s="220">
        <f>X5948*0.1</f>
        <v>70000</v>
      </c>
      <c r="Z5948" s="220">
        <v>7950</v>
      </c>
      <c r="AA5948" s="220">
        <f>SUM(X5948:Z5948)</f>
        <v>777950</v>
      </c>
      <c r="AB5948" s="222">
        <v>46122</v>
      </c>
    </row>
    <row r="5949" spans="1:28" ht="17.100000000000001" customHeight="1" thickBot="1">
      <c r="A5949" s="227"/>
      <c r="B5949" s="27" t="s">
        <v>1708</v>
      </c>
      <c r="C5949" s="27" t="s">
        <v>16826</v>
      </c>
      <c r="D5949" s="14" t="s">
        <v>5509</v>
      </c>
      <c r="E5949" s="229"/>
      <c r="F5949" s="117" t="s">
        <v>16827</v>
      </c>
      <c r="G5949" s="26">
        <v>51366</v>
      </c>
      <c r="H5949" s="231"/>
      <c r="I5949" s="221"/>
      <c r="J5949" s="221"/>
      <c r="K5949" s="221"/>
      <c r="L5949" s="221"/>
      <c r="M5949" s="221"/>
      <c r="N5949" s="221"/>
      <c r="O5949" s="225"/>
      <c r="P5949" s="118" t="s">
        <v>20665</v>
      </c>
      <c r="Q5949" s="16" t="s">
        <v>20</v>
      </c>
      <c r="R5949" s="17" t="s">
        <v>2353</v>
      </c>
      <c r="S5949" s="121" t="s">
        <v>1731</v>
      </c>
      <c r="T5949" s="122"/>
      <c r="U5949" s="22"/>
      <c r="V5949" s="123" t="s">
        <v>2472</v>
      </c>
      <c r="W5949" s="122">
        <v>31169</v>
      </c>
      <c r="X5949" s="221"/>
      <c r="Y5949" s="221"/>
      <c r="Z5949" s="221"/>
      <c r="AA5949" s="221"/>
      <c r="AB5949" s="223"/>
    </row>
    <row r="5950" spans="1:28" ht="17.100000000000001" customHeight="1" thickTop="1">
      <c r="A5950" s="233" t="s">
        <v>16818</v>
      </c>
      <c r="B5950" s="28">
        <v>46059</v>
      </c>
      <c r="C5950" s="25"/>
      <c r="D5950" s="13" t="s">
        <v>3406</v>
      </c>
      <c r="E5950" s="228"/>
      <c r="F5950" s="109" t="s">
        <v>15179</v>
      </c>
      <c r="G5950" s="24" t="s">
        <v>16879</v>
      </c>
      <c r="H5950" s="230">
        <v>4</v>
      </c>
      <c r="I5950" s="220">
        <v>3970000</v>
      </c>
      <c r="J5950" s="220">
        <f>I5950*0.1</f>
        <v>397000</v>
      </c>
      <c r="K5950" s="220">
        <v>3600</v>
      </c>
      <c r="L5950" s="220">
        <v>18470</v>
      </c>
      <c r="M5950" s="220">
        <v>0</v>
      </c>
      <c r="N5950" s="220">
        <f>SUM(I5950:M5951)</f>
        <v>4389070</v>
      </c>
      <c r="O5950" s="224"/>
      <c r="P5950" s="110"/>
      <c r="Q5950" s="15" t="s">
        <v>19</v>
      </c>
      <c r="R5950" s="205"/>
      <c r="S5950" s="189" t="s">
        <v>25507</v>
      </c>
      <c r="T5950" s="114" t="s">
        <v>7899</v>
      </c>
      <c r="U5950" s="21"/>
      <c r="V5950" s="115"/>
      <c r="W5950" s="116"/>
      <c r="X5950" s="220"/>
      <c r="Y5950" s="220">
        <f>X5950*0.1</f>
        <v>0</v>
      </c>
      <c r="Z5950" s="220"/>
      <c r="AA5950" s="220">
        <f>SUM(X5950:Z5950)</f>
        <v>0</v>
      </c>
      <c r="AB5950" s="222"/>
    </row>
    <row r="5951" spans="1:28" ht="17.100000000000001" customHeight="1" thickBot="1">
      <c r="A5951" s="234"/>
      <c r="B5951" s="27" t="s">
        <v>1708</v>
      </c>
      <c r="C5951" s="27" t="s">
        <v>16828</v>
      </c>
      <c r="D5951" s="14" t="s">
        <v>2559</v>
      </c>
      <c r="E5951" s="229"/>
      <c r="F5951" s="117" t="s">
        <v>16829</v>
      </c>
      <c r="G5951" s="26">
        <v>40267</v>
      </c>
      <c r="H5951" s="231"/>
      <c r="I5951" s="221"/>
      <c r="J5951" s="221"/>
      <c r="K5951" s="221"/>
      <c r="L5951" s="221"/>
      <c r="M5951" s="221"/>
      <c r="N5951" s="221"/>
      <c r="O5951" s="225"/>
      <c r="P5951" s="118"/>
      <c r="Q5951" s="16" t="s">
        <v>20</v>
      </c>
      <c r="R5951" s="17" t="s">
        <v>10331</v>
      </c>
      <c r="S5951" s="121"/>
      <c r="T5951" s="122"/>
      <c r="U5951" s="22"/>
      <c r="V5951" s="123"/>
      <c r="W5951" s="122"/>
      <c r="X5951" s="221"/>
      <c r="Y5951" s="221"/>
      <c r="Z5951" s="221"/>
      <c r="AA5951" s="221"/>
      <c r="AB5951" s="223"/>
    </row>
    <row r="5952" spans="1:28" ht="17.100000000000001" customHeight="1" thickTop="1">
      <c r="A5952" s="226" t="s">
        <v>16819</v>
      </c>
      <c r="B5952" s="28">
        <v>46059</v>
      </c>
      <c r="C5952" s="25"/>
      <c r="D5952" s="13" t="s">
        <v>1642</v>
      </c>
      <c r="E5952" s="228"/>
      <c r="F5952" s="109" t="s">
        <v>16880</v>
      </c>
      <c r="G5952" s="24" t="s">
        <v>4022</v>
      </c>
      <c r="H5952" s="230">
        <v>4</v>
      </c>
      <c r="I5952" s="220">
        <v>1580000</v>
      </c>
      <c r="J5952" s="220">
        <f>I5952*0.1</f>
        <v>158000</v>
      </c>
      <c r="K5952" s="220">
        <v>0</v>
      </c>
      <c r="L5952" s="220">
        <v>6180</v>
      </c>
      <c r="M5952" s="220">
        <v>0</v>
      </c>
      <c r="N5952" s="220">
        <f>SUM(I5952:M5953)</f>
        <v>1744180</v>
      </c>
      <c r="O5952" s="224"/>
      <c r="P5952" s="110" t="s">
        <v>19991</v>
      </c>
      <c r="Q5952" s="15" t="s">
        <v>19</v>
      </c>
      <c r="R5952" s="205"/>
      <c r="S5952" s="189" t="s">
        <v>529</v>
      </c>
      <c r="T5952" s="114"/>
      <c r="U5952" s="21"/>
      <c r="V5952" s="115">
        <v>46095</v>
      </c>
      <c r="W5952" s="116">
        <v>1292</v>
      </c>
      <c r="X5952" s="220">
        <v>1680000</v>
      </c>
      <c r="Y5952" s="220">
        <f>X5952*0.1</f>
        <v>168000</v>
      </c>
      <c r="Z5952" s="220">
        <v>6180</v>
      </c>
      <c r="AA5952" s="220">
        <f>SUM(X5952:Z5952)</f>
        <v>1854180</v>
      </c>
      <c r="AB5952" s="222">
        <v>46105</v>
      </c>
    </row>
    <row r="5953" spans="1:28" ht="17.100000000000001" customHeight="1" thickBot="1">
      <c r="A5953" s="227"/>
      <c r="B5953" s="27" t="s">
        <v>1708</v>
      </c>
      <c r="C5953" s="27" t="s">
        <v>16830</v>
      </c>
      <c r="D5953" s="14" t="s">
        <v>1797</v>
      </c>
      <c r="E5953" s="229"/>
      <c r="F5953" s="117" t="s">
        <v>16831</v>
      </c>
      <c r="G5953" s="26">
        <v>13994</v>
      </c>
      <c r="H5953" s="231"/>
      <c r="I5953" s="221"/>
      <c r="J5953" s="221"/>
      <c r="K5953" s="221"/>
      <c r="L5953" s="221"/>
      <c r="M5953" s="221"/>
      <c r="N5953" s="221"/>
      <c r="O5953" s="225"/>
      <c r="P5953" s="118" t="s">
        <v>3545</v>
      </c>
      <c r="Q5953" s="16" t="s">
        <v>20</v>
      </c>
      <c r="R5953" s="17" t="s">
        <v>19992</v>
      </c>
      <c r="S5953" s="121" t="s">
        <v>1923</v>
      </c>
      <c r="T5953" s="122"/>
      <c r="U5953" s="22"/>
      <c r="V5953" s="123" t="s">
        <v>2472</v>
      </c>
      <c r="W5953" s="122">
        <v>65493</v>
      </c>
      <c r="X5953" s="221"/>
      <c r="Y5953" s="221"/>
      <c r="Z5953" s="221"/>
      <c r="AA5953" s="221"/>
      <c r="AB5953" s="223"/>
    </row>
    <row r="5954" spans="1:28" ht="17.100000000000001" customHeight="1" thickTop="1">
      <c r="A5954" s="233" t="s">
        <v>16820</v>
      </c>
      <c r="B5954" s="28">
        <v>46059</v>
      </c>
      <c r="C5954" s="25"/>
      <c r="D5954" s="13" t="s">
        <v>1589</v>
      </c>
      <c r="E5954" s="228"/>
      <c r="F5954" s="109" t="s">
        <v>7495</v>
      </c>
      <c r="G5954" s="24" t="s">
        <v>16881</v>
      </c>
      <c r="H5954" s="230">
        <v>4</v>
      </c>
      <c r="I5954" s="220">
        <v>839000</v>
      </c>
      <c r="J5954" s="220">
        <f>I5954*0.1</f>
        <v>83900</v>
      </c>
      <c r="K5954" s="220">
        <v>0</v>
      </c>
      <c r="L5954" s="220">
        <v>7950</v>
      </c>
      <c r="M5954" s="220">
        <v>0</v>
      </c>
      <c r="N5954" s="220">
        <f>SUM(I5954:M5955)</f>
        <v>930850</v>
      </c>
      <c r="O5954" s="224"/>
      <c r="P5954" s="110" t="s">
        <v>18587</v>
      </c>
      <c r="Q5954" s="15" t="s">
        <v>19</v>
      </c>
      <c r="R5954" s="205"/>
      <c r="S5954" s="189" t="s">
        <v>1072</v>
      </c>
      <c r="T5954" s="114" t="s">
        <v>19258</v>
      </c>
      <c r="U5954" s="21"/>
      <c r="V5954" s="115"/>
      <c r="W5954" s="116"/>
      <c r="X5954" s="220"/>
      <c r="Y5954" s="220">
        <f>X5954*0.1</f>
        <v>0</v>
      </c>
      <c r="Z5954" s="220"/>
      <c r="AA5954" s="220">
        <f>SUM(X5954:Z5954)</f>
        <v>0</v>
      </c>
      <c r="AB5954" s="222"/>
    </row>
    <row r="5955" spans="1:28" ht="17.100000000000001" customHeight="1" thickBot="1">
      <c r="A5955" s="234"/>
      <c r="B5955" s="27" t="s">
        <v>1708</v>
      </c>
      <c r="C5955" s="27" t="s">
        <v>16832</v>
      </c>
      <c r="D5955" s="14" t="s">
        <v>2753</v>
      </c>
      <c r="E5955" s="229"/>
      <c r="F5955" s="117" t="s">
        <v>16833</v>
      </c>
      <c r="G5955" s="26">
        <v>54948</v>
      </c>
      <c r="H5955" s="231"/>
      <c r="I5955" s="221"/>
      <c r="J5955" s="221"/>
      <c r="K5955" s="221"/>
      <c r="L5955" s="221"/>
      <c r="M5955" s="221"/>
      <c r="N5955" s="221"/>
      <c r="O5955" s="225"/>
      <c r="P5955" s="118" t="s">
        <v>18588</v>
      </c>
      <c r="Q5955" s="16" t="s">
        <v>20</v>
      </c>
      <c r="R5955" s="17" t="s">
        <v>2318</v>
      </c>
      <c r="S5955" s="121" t="s">
        <v>18708</v>
      </c>
      <c r="T5955" s="122"/>
      <c r="U5955" s="22"/>
      <c r="V5955" s="123"/>
      <c r="W5955" s="122"/>
      <c r="X5955" s="221"/>
      <c r="Y5955" s="221"/>
      <c r="Z5955" s="221"/>
      <c r="AA5955" s="221"/>
      <c r="AB5955" s="223"/>
    </row>
    <row r="5956" spans="1:28" ht="17.100000000000001" customHeight="1" thickTop="1">
      <c r="A5956" s="226" t="s">
        <v>16821</v>
      </c>
      <c r="B5956" s="28">
        <v>46059</v>
      </c>
      <c r="C5956" s="25"/>
      <c r="D5956" s="13" t="s">
        <v>2931</v>
      </c>
      <c r="E5956" s="228"/>
      <c r="F5956" s="109" t="s">
        <v>16882</v>
      </c>
      <c r="G5956" s="24" t="s">
        <v>8489</v>
      </c>
      <c r="H5956" s="230">
        <v>0</v>
      </c>
      <c r="I5956" s="220">
        <v>81000</v>
      </c>
      <c r="J5956" s="220">
        <f>I5956*0.1</f>
        <v>8100</v>
      </c>
      <c r="K5956" s="220">
        <v>0</v>
      </c>
      <c r="L5956" s="220">
        <v>9380</v>
      </c>
      <c r="M5956" s="220">
        <v>0</v>
      </c>
      <c r="N5956" s="220">
        <f>SUM(I5956:M5957)</f>
        <v>98480</v>
      </c>
      <c r="O5956" s="224"/>
      <c r="P5956" s="110" t="s">
        <v>17797</v>
      </c>
      <c r="Q5956" s="15" t="s">
        <v>19</v>
      </c>
      <c r="R5956" s="205"/>
      <c r="S5956" s="189"/>
      <c r="T5956" s="114"/>
      <c r="U5956" s="21"/>
      <c r="V5956" s="115">
        <v>46081</v>
      </c>
      <c r="W5956" s="116">
        <v>1290</v>
      </c>
      <c r="X5956" s="220">
        <v>190000</v>
      </c>
      <c r="Y5956" s="220">
        <f>X5956*0.1</f>
        <v>19000</v>
      </c>
      <c r="Z5956" s="220">
        <v>9380</v>
      </c>
      <c r="AA5956" s="220">
        <f>SUM(X5956:Z5956)</f>
        <v>218380</v>
      </c>
      <c r="AB5956" s="222">
        <v>46084</v>
      </c>
    </row>
    <row r="5957" spans="1:28" ht="17.100000000000001" customHeight="1" thickBot="1">
      <c r="A5957" s="227"/>
      <c r="B5957" s="27" t="s">
        <v>1708</v>
      </c>
      <c r="C5957" s="27" t="s">
        <v>16834</v>
      </c>
      <c r="D5957" s="14" t="s">
        <v>1584</v>
      </c>
      <c r="E5957" s="229"/>
      <c r="F5957" s="117" t="s">
        <v>16835</v>
      </c>
      <c r="G5957" s="26">
        <v>57669</v>
      </c>
      <c r="H5957" s="231"/>
      <c r="I5957" s="221"/>
      <c r="J5957" s="221"/>
      <c r="K5957" s="221"/>
      <c r="L5957" s="221"/>
      <c r="M5957" s="221"/>
      <c r="N5957" s="221"/>
      <c r="O5957" s="225"/>
      <c r="P5957" s="118" t="s">
        <v>17798</v>
      </c>
      <c r="Q5957" s="16" t="s">
        <v>20</v>
      </c>
      <c r="R5957" s="17" t="s">
        <v>17799</v>
      </c>
      <c r="S5957" s="121" t="s">
        <v>3461</v>
      </c>
      <c r="T5957" s="122"/>
      <c r="U5957" s="22"/>
      <c r="V5957" s="123" t="s">
        <v>2472</v>
      </c>
      <c r="W5957" s="122">
        <v>31197</v>
      </c>
      <c r="X5957" s="221"/>
      <c r="Y5957" s="221"/>
      <c r="Z5957" s="221"/>
      <c r="AA5957" s="221"/>
      <c r="AB5957" s="223"/>
    </row>
    <row r="5958" spans="1:28" ht="17.100000000000001" customHeight="1" thickTop="1">
      <c r="A5958" s="226" t="s">
        <v>16836</v>
      </c>
      <c r="B5958" s="28">
        <v>46060</v>
      </c>
      <c r="C5958" s="25">
        <v>298</v>
      </c>
      <c r="D5958" s="13" t="s">
        <v>1976</v>
      </c>
      <c r="E5958" s="228"/>
      <c r="F5958" s="109" t="s">
        <v>7264</v>
      </c>
      <c r="G5958" s="24"/>
      <c r="H5958" s="230">
        <v>4.5</v>
      </c>
      <c r="I5958" s="220">
        <v>511000</v>
      </c>
      <c r="J5958" s="220">
        <f>I5958*0.1</f>
        <v>51100</v>
      </c>
      <c r="K5958" s="220">
        <v>0</v>
      </c>
      <c r="L5958" s="220">
        <v>6550</v>
      </c>
      <c r="M5958" s="220">
        <v>15950</v>
      </c>
      <c r="N5958" s="220">
        <f>SUM(I5958:M5959)</f>
        <v>584600</v>
      </c>
      <c r="O5958" s="224"/>
      <c r="P5958" s="110" t="s">
        <v>17307</v>
      </c>
      <c r="Q5958" s="15" t="s">
        <v>19</v>
      </c>
      <c r="R5958" s="205"/>
      <c r="S5958" s="189" t="s">
        <v>283</v>
      </c>
      <c r="T5958" s="114"/>
      <c r="U5958" s="21"/>
      <c r="V5958" s="115">
        <v>46067</v>
      </c>
      <c r="W5958" s="116">
        <v>1288</v>
      </c>
      <c r="X5958" s="220">
        <v>610000</v>
      </c>
      <c r="Y5958" s="220">
        <f>X5958*0.1</f>
        <v>61000</v>
      </c>
      <c r="Z5958" s="220">
        <v>6550</v>
      </c>
      <c r="AA5958" s="220">
        <f>SUM(X5958:Z5958)</f>
        <v>677550</v>
      </c>
      <c r="AB5958" s="222">
        <v>46070</v>
      </c>
    </row>
    <row r="5959" spans="1:28" ht="17.100000000000001" customHeight="1" thickBot="1">
      <c r="A5959" s="227"/>
      <c r="B5959" s="27" t="s">
        <v>3518</v>
      </c>
      <c r="C5959" s="27">
        <v>3126</v>
      </c>
      <c r="D5959" s="14" t="s">
        <v>1584</v>
      </c>
      <c r="E5959" s="229"/>
      <c r="F5959" s="117" t="s">
        <v>16837</v>
      </c>
      <c r="G5959" s="26">
        <v>34130</v>
      </c>
      <c r="H5959" s="231"/>
      <c r="I5959" s="221"/>
      <c r="J5959" s="221"/>
      <c r="K5959" s="221"/>
      <c r="L5959" s="221"/>
      <c r="M5959" s="221"/>
      <c r="N5959" s="221"/>
      <c r="O5959" s="225"/>
      <c r="P5959" s="118" t="s">
        <v>3919</v>
      </c>
      <c r="Q5959" s="16" t="s">
        <v>20</v>
      </c>
      <c r="R5959" s="17" t="s">
        <v>2264</v>
      </c>
      <c r="S5959" s="121" t="s">
        <v>169</v>
      </c>
      <c r="T5959" s="122"/>
      <c r="U5959" s="22"/>
      <c r="V5959" s="123" t="s">
        <v>2472</v>
      </c>
      <c r="W5959" s="122">
        <v>60036</v>
      </c>
      <c r="X5959" s="221"/>
      <c r="Y5959" s="221"/>
      <c r="Z5959" s="221"/>
      <c r="AA5959" s="221"/>
      <c r="AB5959" s="223"/>
    </row>
    <row r="5960" spans="1:28" ht="17.100000000000001" customHeight="1" thickTop="1">
      <c r="A5960" s="233" t="s">
        <v>16838</v>
      </c>
      <c r="B5960" s="28">
        <v>46060</v>
      </c>
      <c r="C5960" s="25"/>
      <c r="D5960" s="13" t="s">
        <v>16959</v>
      </c>
      <c r="E5960" s="228"/>
      <c r="F5960" s="109" t="s">
        <v>15179</v>
      </c>
      <c r="G5960" s="24" t="s">
        <v>16960</v>
      </c>
      <c r="H5960" s="230">
        <v>4.5</v>
      </c>
      <c r="I5960" s="220">
        <v>4060000</v>
      </c>
      <c r="J5960" s="220">
        <f>I5960*0.1</f>
        <v>406000</v>
      </c>
      <c r="K5960" s="220">
        <v>0</v>
      </c>
      <c r="L5960" s="220">
        <v>18470</v>
      </c>
      <c r="M5960" s="220">
        <v>0</v>
      </c>
      <c r="N5960" s="220">
        <f>SUM(I5960:M5961)</f>
        <v>4484470</v>
      </c>
      <c r="O5960" s="224"/>
      <c r="P5960" s="110"/>
      <c r="Q5960" s="15" t="s">
        <v>19</v>
      </c>
      <c r="R5960" s="205"/>
      <c r="S5960" s="189" t="s">
        <v>455</v>
      </c>
      <c r="T5960" s="114" t="s">
        <v>7899</v>
      </c>
      <c r="U5960" s="21"/>
      <c r="V5960" s="115"/>
      <c r="W5960" s="116"/>
      <c r="X5960" s="220"/>
      <c r="Y5960" s="220">
        <f>X5960*0.1</f>
        <v>0</v>
      </c>
      <c r="Z5960" s="220"/>
      <c r="AA5960" s="220">
        <f>SUM(X5960:Z5960)</f>
        <v>0</v>
      </c>
      <c r="AB5960" s="222"/>
    </row>
    <row r="5961" spans="1:28" ht="17.100000000000001" customHeight="1" thickBot="1">
      <c r="A5961" s="234"/>
      <c r="B5961" s="27" t="s">
        <v>1708</v>
      </c>
      <c r="C5961" s="27" t="s">
        <v>16839</v>
      </c>
      <c r="D5961" s="14" t="s">
        <v>16901</v>
      </c>
      <c r="E5961" s="229"/>
      <c r="F5961" s="117" t="s">
        <v>16846</v>
      </c>
      <c r="G5961" s="26">
        <v>52488</v>
      </c>
      <c r="H5961" s="231"/>
      <c r="I5961" s="221"/>
      <c r="J5961" s="221"/>
      <c r="K5961" s="221"/>
      <c r="L5961" s="221"/>
      <c r="M5961" s="221"/>
      <c r="N5961" s="221"/>
      <c r="O5961" s="225"/>
      <c r="P5961" s="118"/>
      <c r="Q5961" s="16" t="s">
        <v>20</v>
      </c>
      <c r="R5961" s="17" t="s">
        <v>10331</v>
      </c>
      <c r="S5961" s="121"/>
      <c r="T5961" s="122"/>
      <c r="U5961" s="22"/>
      <c r="V5961" s="123"/>
      <c r="W5961" s="122"/>
      <c r="X5961" s="221"/>
      <c r="Y5961" s="221"/>
      <c r="Z5961" s="221"/>
      <c r="AA5961" s="221"/>
      <c r="AB5961" s="223"/>
    </row>
    <row r="5962" spans="1:28" ht="17.100000000000001" customHeight="1" thickTop="1">
      <c r="A5962" s="226" t="s">
        <v>16840</v>
      </c>
      <c r="B5962" s="28">
        <v>46060</v>
      </c>
      <c r="C5962" s="25">
        <v>1530</v>
      </c>
      <c r="D5962" s="13" t="s">
        <v>16961</v>
      </c>
      <c r="E5962" s="228"/>
      <c r="F5962" s="109" t="s">
        <v>15705</v>
      </c>
      <c r="G5962" s="24"/>
      <c r="H5962" s="230">
        <v>4.5</v>
      </c>
      <c r="I5962" s="220">
        <v>2990000</v>
      </c>
      <c r="J5962" s="220">
        <f>I5962*0.1</f>
        <v>299000</v>
      </c>
      <c r="K5962" s="220">
        <v>0</v>
      </c>
      <c r="L5962" s="220">
        <v>18170</v>
      </c>
      <c r="M5962" s="220">
        <v>16500</v>
      </c>
      <c r="N5962" s="220">
        <f>SUM(I5962:M5963)</f>
        <v>3323670</v>
      </c>
      <c r="O5962" s="224"/>
      <c r="P5962" s="110" t="s">
        <v>17575</v>
      </c>
      <c r="Q5962" s="15" t="s">
        <v>19</v>
      </c>
      <c r="R5962" s="205"/>
      <c r="S5962" s="189" t="s">
        <v>25775</v>
      </c>
      <c r="T5962" s="114"/>
      <c r="U5962" s="21"/>
      <c r="V5962" s="115">
        <v>46095</v>
      </c>
      <c r="W5962" s="116">
        <v>1292</v>
      </c>
      <c r="X5962" s="220">
        <v>3220000</v>
      </c>
      <c r="Y5962" s="220">
        <f>X5962*0.1</f>
        <v>322000</v>
      </c>
      <c r="Z5962" s="220">
        <v>18170</v>
      </c>
      <c r="AA5962" s="220">
        <f>SUM(X5962:Z5962)</f>
        <v>3560170</v>
      </c>
      <c r="AB5962" s="222">
        <v>46105</v>
      </c>
    </row>
    <row r="5963" spans="1:28" ht="17.100000000000001" customHeight="1" thickBot="1">
      <c r="A5963" s="227"/>
      <c r="B5963" s="27" t="s">
        <v>1547</v>
      </c>
      <c r="C5963" s="27">
        <v>83110</v>
      </c>
      <c r="D5963" s="14" t="s">
        <v>16899</v>
      </c>
      <c r="E5963" s="229"/>
      <c r="F5963" s="117" t="s">
        <v>16962</v>
      </c>
      <c r="G5963" s="26">
        <v>27034</v>
      </c>
      <c r="H5963" s="231"/>
      <c r="I5963" s="221"/>
      <c r="J5963" s="221"/>
      <c r="K5963" s="221"/>
      <c r="L5963" s="221"/>
      <c r="M5963" s="221"/>
      <c r="N5963" s="221"/>
      <c r="O5963" s="225"/>
      <c r="P5963" s="118" t="s">
        <v>17576</v>
      </c>
      <c r="Q5963" s="16" t="s">
        <v>20</v>
      </c>
      <c r="R5963" s="17" t="s">
        <v>3526</v>
      </c>
      <c r="S5963" s="121" t="s">
        <v>3552</v>
      </c>
      <c r="T5963" s="122"/>
      <c r="U5963" s="22"/>
      <c r="V5963" s="123" t="s">
        <v>6641</v>
      </c>
      <c r="W5963" s="122">
        <v>80193</v>
      </c>
      <c r="X5963" s="221"/>
      <c r="Y5963" s="221"/>
      <c r="Z5963" s="221"/>
      <c r="AA5963" s="221"/>
      <c r="AB5963" s="223"/>
    </row>
    <row r="5964" spans="1:28" ht="17.100000000000001" customHeight="1" thickTop="1">
      <c r="A5964" s="226" t="s">
        <v>16841</v>
      </c>
      <c r="B5964" s="28">
        <v>46060</v>
      </c>
      <c r="C5964" s="25">
        <v>1530</v>
      </c>
      <c r="D5964" s="13" t="s">
        <v>16961</v>
      </c>
      <c r="E5964" s="228"/>
      <c r="F5964" s="109" t="s">
        <v>419</v>
      </c>
      <c r="G5964" s="24"/>
      <c r="H5964" s="230">
        <v>4.5</v>
      </c>
      <c r="I5964" s="220">
        <v>1850000</v>
      </c>
      <c r="J5964" s="220">
        <f>I5964*0.1</f>
        <v>185000</v>
      </c>
      <c r="K5964" s="220">
        <v>0</v>
      </c>
      <c r="L5964" s="220">
        <v>17600</v>
      </c>
      <c r="M5964" s="220">
        <v>27500</v>
      </c>
      <c r="N5964" s="220">
        <f>SUM(I5964:M5965)</f>
        <v>2080100</v>
      </c>
      <c r="O5964" s="224"/>
      <c r="P5964" s="110" t="s">
        <v>17256</v>
      </c>
      <c r="Q5964" s="15" t="s">
        <v>19</v>
      </c>
      <c r="R5964" s="205"/>
      <c r="S5964" s="189"/>
      <c r="T5964" s="114"/>
      <c r="U5964" s="21"/>
      <c r="V5964" s="115">
        <v>46109</v>
      </c>
      <c r="W5964" s="116">
        <v>1294</v>
      </c>
      <c r="X5964" s="220">
        <v>2000000</v>
      </c>
      <c r="Y5964" s="220">
        <f>X5964*0.1</f>
        <v>200000</v>
      </c>
      <c r="Z5964" s="220">
        <v>17600</v>
      </c>
      <c r="AA5964" s="220">
        <f>SUM(X5964:Z5964)</f>
        <v>2217600</v>
      </c>
      <c r="AB5964" s="222">
        <v>46112</v>
      </c>
    </row>
    <row r="5965" spans="1:28" ht="17.100000000000001" customHeight="1" thickBot="1">
      <c r="A5965" s="227"/>
      <c r="B5965" s="27" t="s">
        <v>1547</v>
      </c>
      <c r="C5965" s="27">
        <v>83178</v>
      </c>
      <c r="D5965" s="14" t="s">
        <v>131</v>
      </c>
      <c r="E5965" s="229"/>
      <c r="F5965" s="117" t="s">
        <v>16963</v>
      </c>
      <c r="G5965" s="26">
        <v>39009</v>
      </c>
      <c r="H5965" s="231"/>
      <c r="I5965" s="221"/>
      <c r="J5965" s="221"/>
      <c r="K5965" s="221"/>
      <c r="L5965" s="221"/>
      <c r="M5965" s="221"/>
      <c r="N5965" s="221"/>
      <c r="O5965" s="225"/>
      <c r="P5965" s="118" t="s">
        <v>17257</v>
      </c>
      <c r="Q5965" s="16" t="s">
        <v>20</v>
      </c>
      <c r="R5965" s="17" t="s">
        <v>2264</v>
      </c>
      <c r="S5965" s="121" t="s">
        <v>7720</v>
      </c>
      <c r="T5965" s="122"/>
      <c r="U5965" s="22"/>
      <c r="V5965" s="123" t="s">
        <v>21250</v>
      </c>
      <c r="W5965" s="122">
        <v>80100</v>
      </c>
      <c r="X5965" s="221"/>
      <c r="Y5965" s="221"/>
      <c r="Z5965" s="221"/>
      <c r="AA5965" s="221"/>
      <c r="AB5965" s="223"/>
    </row>
    <row r="5966" spans="1:28" ht="17.100000000000001" customHeight="1" thickTop="1">
      <c r="A5966" s="226" t="s">
        <v>16842</v>
      </c>
      <c r="B5966" s="28">
        <v>46060</v>
      </c>
      <c r="C5966" s="25">
        <v>1287</v>
      </c>
      <c r="D5966" s="13" t="s">
        <v>16923</v>
      </c>
      <c r="E5966" s="228"/>
      <c r="F5966" s="109" t="s">
        <v>16941</v>
      </c>
      <c r="G5966" s="24"/>
      <c r="H5966" s="230">
        <v>4</v>
      </c>
      <c r="I5966" s="220">
        <v>800000</v>
      </c>
      <c r="J5966" s="220">
        <f>I5966*0.1</f>
        <v>80000</v>
      </c>
      <c r="K5966" s="220">
        <v>0</v>
      </c>
      <c r="L5966" s="220">
        <v>10190</v>
      </c>
      <c r="M5966" s="220">
        <v>12100</v>
      </c>
      <c r="N5966" s="220">
        <f>SUM(I5966:M5967)</f>
        <v>902290</v>
      </c>
      <c r="O5966" s="224"/>
      <c r="P5966" s="110" t="s">
        <v>17565</v>
      </c>
      <c r="Q5966" s="15" t="s">
        <v>19</v>
      </c>
      <c r="R5966" s="205"/>
      <c r="S5966" s="189" t="s">
        <v>25776</v>
      </c>
      <c r="T5966" s="114"/>
      <c r="U5966" s="21"/>
      <c r="V5966" s="115">
        <v>46071</v>
      </c>
      <c r="W5966" s="116">
        <v>1005</v>
      </c>
      <c r="X5966" s="220">
        <v>890000</v>
      </c>
      <c r="Y5966" s="220">
        <f>X5966*0.1</f>
        <v>89000</v>
      </c>
      <c r="Z5966" s="220">
        <v>10190</v>
      </c>
      <c r="AA5966" s="220">
        <f>SUM(X5966:Z5966)</f>
        <v>989190</v>
      </c>
      <c r="AB5966" s="222">
        <v>46073</v>
      </c>
    </row>
    <row r="5967" spans="1:28" ht="17.100000000000001" customHeight="1" thickBot="1">
      <c r="A5967" s="227"/>
      <c r="B5967" s="27" t="s">
        <v>16930</v>
      </c>
      <c r="C5967" s="27">
        <v>35314</v>
      </c>
      <c r="D5967" s="14" t="s">
        <v>16899</v>
      </c>
      <c r="E5967" s="229"/>
      <c r="F5967" s="117" t="s">
        <v>16942</v>
      </c>
      <c r="G5967" s="26">
        <v>78315</v>
      </c>
      <c r="H5967" s="231"/>
      <c r="I5967" s="221"/>
      <c r="J5967" s="221"/>
      <c r="K5967" s="221"/>
      <c r="L5967" s="221"/>
      <c r="M5967" s="221"/>
      <c r="N5967" s="221"/>
      <c r="O5967" s="225"/>
      <c r="P5967" s="118" t="s">
        <v>17566</v>
      </c>
      <c r="Q5967" s="16" t="s">
        <v>20</v>
      </c>
      <c r="R5967" s="17" t="s">
        <v>3526</v>
      </c>
      <c r="S5967" s="121" t="s">
        <v>17567</v>
      </c>
      <c r="T5967" s="122"/>
      <c r="U5967" s="22"/>
      <c r="V5967" s="123" t="s">
        <v>2747</v>
      </c>
      <c r="W5967" s="122">
        <v>6027</v>
      </c>
      <c r="X5967" s="221"/>
      <c r="Y5967" s="221"/>
      <c r="Z5967" s="221"/>
      <c r="AA5967" s="221"/>
      <c r="AB5967" s="223"/>
    </row>
    <row r="5968" spans="1:28" ht="17.100000000000001" customHeight="1" thickTop="1">
      <c r="A5968" s="226" t="s">
        <v>16843</v>
      </c>
      <c r="B5968" s="28">
        <v>46060</v>
      </c>
      <c r="C5968" s="25">
        <v>1287</v>
      </c>
      <c r="D5968" s="13" t="s">
        <v>16964</v>
      </c>
      <c r="E5968" s="228"/>
      <c r="F5968" s="109" t="s">
        <v>16943</v>
      </c>
      <c r="G5968" s="24" t="s">
        <v>16965</v>
      </c>
      <c r="H5968" s="230">
        <v>4</v>
      </c>
      <c r="I5968" s="220">
        <v>805000</v>
      </c>
      <c r="J5968" s="220">
        <f>I5968*0.1</f>
        <v>80500</v>
      </c>
      <c r="K5968" s="220">
        <v>4070</v>
      </c>
      <c r="L5968" s="220">
        <v>14340</v>
      </c>
      <c r="M5968" s="220">
        <v>12100</v>
      </c>
      <c r="N5968" s="220">
        <f>SUM(I5968:M5969)</f>
        <v>916010</v>
      </c>
      <c r="O5968" s="224"/>
      <c r="P5968" s="110" t="s">
        <v>16966</v>
      </c>
      <c r="Q5968" s="15" t="s">
        <v>19</v>
      </c>
      <c r="R5968" s="205"/>
      <c r="S5968" s="189" t="s">
        <v>25777</v>
      </c>
      <c r="T5968" s="114"/>
      <c r="U5968" s="21"/>
      <c r="V5968" s="115">
        <v>46078</v>
      </c>
      <c r="W5968" s="116">
        <v>1006</v>
      </c>
      <c r="X5968" s="220">
        <v>820000</v>
      </c>
      <c r="Y5968" s="220">
        <f>X5968*0.1</f>
        <v>82000</v>
      </c>
      <c r="Z5968" s="220">
        <v>14340</v>
      </c>
      <c r="AA5968" s="220">
        <f>SUM(X5968:Z5968)</f>
        <v>916340</v>
      </c>
      <c r="AB5968" s="222">
        <v>46083</v>
      </c>
    </row>
    <row r="5969" spans="1:28" ht="17.100000000000001" customHeight="1" thickBot="1">
      <c r="A5969" s="227"/>
      <c r="B5969" s="27" t="s">
        <v>16930</v>
      </c>
      <c r="C5969" s="27">
        <v>35316</v>
      </c>
      <c r="D5969" s="14" t="s">
        <v>2559</v>
      </c>
      <c r="E5969" s="229"/>
      <c r="F5969" s="117" t="s">
        <v>16944</v>
      </c>
      <c r="G5969" s="26">
        <v>97601</v>
      </c>
      <c r="H5969" s="231"/>
      <c r="I5969" s="221"/>
      <c r="J5969" s="221"/>
      <c r="K5969" s="221"/>
      <c r="L5969" s="221"/>
      <c r="M5969" s="221"/>
      <c r="N5969" s="221"/>
      <c r="O5969" s="225"/>
      <c r="P5969" s="118" t="s">
        <v>17568</v>
      </c>
      <c r="Q5969" s="16" t="s">
        <v>20</v>
      </c>
      <c r="R5969" s="17" t="s">
        <v>3526</v>
      </c>
      <c r="S5969" s="121" t="s">
        <v>17569</v>
      </c>
      <c r="T5969" s="122" t="s">
        <v>17347</v>
      </c>
      <c r="U5969" s="22"/>
      <c r="V5969" s="123" t="s">
        <v>2747</v>
      </c>
      <c r="W5969" s="122">
        <v>6070</v>
      </c>
      <c r="X5969" s="221"/>
      <c r="Y5969" s="221"/>
      <c r="Z5969" s="221"/>
      <c r="AA5969" s="221"/>
      <c r="AB5969" s="223"/>
    </row>
    <row r="5970" spans="1:28" ht="17.100000000000001" customHeight="1" thickTop="1">
      <c r="A5970" s="226" t="s">
        <v>16844</v>
      </c>
      <c r="B5970" s="28">
        <v>46060</v>
      </c>
      <c r="C5970" s="25">
        <v>1287</v>
      </c>
      <c r="D5970" s="13" t="s">
        <v>16967</v>
      </c>
      <c r="E5970" s="228"/>
      <c r="F5970" s="109" t="s">
        <v>16945</v>
      </c>
      <c r="G5970" s="24" t="s">
        <v>16968</v>
      </c>
      <c r="H5970" s="230">
        <v>4</v>
      </c>
      <c r="I5970" s="220">
        <v>585000</v>
      </c>
      <c r="J5970" s="220">
        <f>I5970*0.1</f>
        <v>58500</v>
      </c>
      <c r="K5970" s="220">
        <v>3080</v>
      </c>
      <c r="L5970" s="220">
        <v>9130</v>
      </c>
      <c r="M5970" s="220">
        <v>12100</v>
      </c>
      <c r="N5970" s="220">
        <f>SUM(I5970:M5971)</f>
        <v>667810</v>
      </c>
      <c r="O5970" s="224"/>
      <c r="P5970" s="110" t="s">
        <v>16969</v>
      </c>
      <c r="Q5970" s="15" t="s">
        <v>19</v>
      </c>
      <c r="R5970" s="205"/>
      <c r="S5970" s="189" t="s">
        <v>283</v>
      </c>
      <c r="T5970" s="114"/>
      <c r="U5970" s="21"/>
      <c r="V5970" s="115">
        <v>46078</v>
      </c>
      <c r="W5970" s="116">
        <v>1006</v>
      </c>
      <c r="X5970" s="220">
        <v>680000</v>
      </c>
      <c r="Y5970" s="220">
        <f>X5970*0.1</f>
        <v>68000</v>
      </c>
      <c r="Z5970" s="220">
        <v>9130</v>
      </c>
      <c r="AA5970" s="220">
        <f>SUM(X5970:Z5970)</f>
        <v>757130</v>
      </c>
      <c r="AB5970" s="222">
        <v>46083</v>
      </c>
    </row>
    <row r="5971" spans="1:28" ht="17.100000000000001" customHeight="1" thickBot="1">
      <c r="A5971" s="227"/>
      <c r="B5971" s="27" t="s">
        <v>16930</v>
      </c>
      <c r="C5971" s="27">
        <v>37602</v>
      </c>
      <c r="D5971" s="14" t="s">
        <v>16899</v>
      </c>
      <c r="E5971" s="229"/>
      <c r="F5971" s="117" t="s">
        <v>16946</v>
      </c>
      <c r="G5971" s="26">
        <v>112323</v>
      </c>
      <c r="H5971" s="231"/>
      <c r="I5971" s="221"/>
      <c r="J5971" s="221"/>
      <c r="K5971" s="221"/>
      <c r="L5971" s="221"/>
      <c r="M5971" s="221"/>
      <c r="N5971" s="221"/>
      <c r="O5971" s="225"/>
      <c r="P5971" s="118" t="s">
        <v>17563</v>
      </c>
      <c r="Q5971" s="16" t="s">
        <v>20</v>
      </c>
      <c r="R5971" s="17" t="s">
        <v>3526</v>
      </c>
      <c r="S5971" s="121" t="s">
        <v>17564</v>
      </c>
      <c r="T5971" s="122"/>
      <c r="U5971" s="22"/>
      <c r="V5971" s="123" t="s">
        <v>2747</v>
      </c>
      <c r="W5971" s="122">
        <v>6048</v>
      </c>
      <c r="X5971" s="221"/>
      <c r="Y5971" s="221"/>
      <c r="Z5971" s="221"/>
      <c r="AA5971" s="221"/>
      <c r="AB5971" s="223"/>
    </row>
    <row r="5972" spans="1:28" ht="17.100000000000001" customHeight="1" thickTop="1">
      <c r="A5972" s="226" t="s">
        <v>16845</v>
      </c>
      <c r="B5972" s="28">
        <v>46060</v>
      </c>
      <c r="C5972" s="25">
        <v>1287</v>
      </c>
      <c r="D5972" s="13" t="s">
        <v>16970</v>
      </c>
      <c r="E5972" s="228"/>
      <c r="F5972" s="109" t="s">
        <v>16947</v>
      </c>
      <c r="G5972" s="24"/>
      <c r="H5972" s="230">
        <v>4</v>
      </c>
      <c r="I5972" s="220">
        <v>1055000</v>
      </c>
      <c r="J5972" s="220">
        <f>I5972*0.1</f>
        <v>105500</v>
      </c>
      <c r="K5972" s="220">
        <v>0</v>
      </c>
      <c r="L5972" s="220">
        <v>9810</v>
      </c>
      <c r="M5972" s="220">
        <v>12100</v>
      </c>
      <c r="N5972" s="220">
        <f>SUM(I5972:M5973)</f>
        <v>1182410</v>
      </c>
      <c r="O5972" s="224"/>
      <c r="P5972" s="110" t="s">
        <v>17570</v>
      </c>
      <c r="Q5972" s="15" t="s">
        <v>19</v>
      </c>
      <c r="R5972" s="205"/>
      <c r="S5972" s="189" t="s">
        <v>758</v>
      </c>
      <c r="T5972" s="114"/>
      <c r="U5972" s="21"/>
      <c r="V5972" s="115">
        <v>46137</v>
      </c>
      <c r="W5972" s="116">
        <v>1298</v>
      </c>
      <c r="X5972" s="220">
        <v>1150000</v>
      </c>
      <c r="Y5972" s="220">
        <f>X5972*0.1</f>
        <v>115000</v>
      </c>
      <c r="Z5972" s="220">
        <v>9810</v>
      </c>
      <c r="AA5972" s="220">
        <f>SUM(X5972:Z5972)</f>
        <v>1274810</v>
      </c>
      <c r="AB5972" s="222">
        <v>46154</v>
      </c>
    </row>
    <row r="5973" spans="1:28" ht="17.100000000000001" customHeight="1" thickBot="1">
      <c r="A5973" s="227"/>
      <c r="B5973" s="27" t="s">
        <v>16930</v>
      </c>
      <c r="C5973" s="27">
        <v>37711</v>
      </c>
      <c r="D5973" s="14" t="s">
        <v>16971</v>
      </c>
      <c r="E5973" s="229"/>
      <c r="F5973" s="117" t="s">
        <v>16948</v>
      </c>
      <c r="G5973" s="26">
        <v>33468</v>
      </c>
      <c r="H5973" s="231"/>
      <c r="I5973" s="221"/>
      <c r="J5973" s="221"/>
      <c r="K5973" s="221"/>
      <c r="L5973" s="221"/>
      <c r="M5973" s="221"/>
      <c r="N5973" s="221"/>
      <c r="O5973" s="225"/>
      <c r="P5973" s="118" t="s">
        <v>3355</v>
      </c>
      <c r="Q5973" s="16" t="s">
        <v>20</v>
      </c>
      <c r="R5973" s="17" t="s">
        <v>3526</v>
      </c>
      <c r="S5973" s="121" t="s">
        <v>17571</v>
      </c>
      <c r="T5973" s="122" t="s">
        <v>17348</v>
      </c>
      <c r="U5973" s="22"/>
      <c r="V5973" s="123" t="s">
        <v>6642</v>
      </c>
      <c r="W5973" s="122">
        <v>55067</v>
      </c>
      <c r="X5973" s="221"/>
      <c r="Y5973" s="221"/>
      <c r="Z5973" s="221"/>
      <c r="AA5973" s="221"/>
      <c r="AB5973" s="223"/>
    </row>
    <row r="5974" spans="1:28" ht="17.100000000000001" customHeight="1" thickTop="1">
      <c r="A5974" s="226" t="s">
        <v>16931</v>
      </c>
      <c r="B5974" s="28">
        <v>46060</v>
      </c>
      <c r="C5974" s="25">
        <v>1287</v>
      </c>
      <c r="D5974" s="13" t="s">
        <v>16972</v>
      </c>
      <c r="E5974" s="228"/>
      <c r="F5974" s="109" t="s">
        <v>16949</v>
      </c>
      <c r="G5974" s="24"/>
      <c r="H5974" s="230">
        <v>4</v>
      </c>
      <c r="I5974" s="220">
        <v>450000</v>
      </c>
      <c r="J5974" s="220">
        <f>I5974*0.1</f>
        <v>45000</v>
      </c>
      <c r="K5974" s="220">
        <v>0</v>
      </c>
      <c r="L5974" s="220">
        <v>8540</v>
      </c>
      <c r="M5974" s="220">
        <v>13200</v>
      </c>
      <c r="N5974" s="220">
        <f>SUM(I5974:M5975)</f>
        <v>516740</v>
      </c>
      <c r="O5974" s="224"/>
      <c r="P5974" s="110" t="s">
        <v>17574</v>
      </c>
      <c r="Q5974" s="15" t="s">
        <v>19</v>
      </c>
      <c r="R5974" s="205"/>
      <c r="S5974" s="189"/>
      <c r="T5974" s="114"/>
      <c r="U5974" s="21"/>
      <c r="V5974" s="115">
        <v>46071</v>
      </c>
      <c r="W5974" s="116">
        <v>1005</v>
      </c>
      <c r="X5974" s="220">
        <v>500000</v>
      </c>
      <c r="Y5974" s="220">
        <f>X5974*0.1</f>
        <v>50000</v>
      </c>
      <c r="Z5974" s="220">
        <v>8540</v>
      </c>
      <c r="AA5974" s="220">
        <f>SUM(X5974:Z5974)</f>
        <v>558540</v>
      </c>
      <c r="AB5974" s="222">
        <v>46079</v>
      </c>
    </row>
    <row r="5975" spans="1:28" ht="17.100000000000001" customHeight="1" thickBot="1">
      <c r="A5975" s="227"/>
      <c r="B5975" s="27" t="s">
        <v>16930</v>
      </c>
      <c r="C5975" s="27">
        <v>60174</v>
      </c>
      <c r="D5975" s="14" t="s">
        <v>16924</v>
      </c>
      <c r="E5975" s="229"/>
      <c r="F5975" s="117" t="s">
        <v>16950</v>
      </c>
      <c r="G5975" s="26">
        <v>59981</v>
      </c>
      <c r="H5975" s="231"/>
      <c r="I5975" s="221"/>
      <c r="J5975" s="221"/>
      <c r="K5975" s="221"/>
      <c r="L5975" s="221"/>
      <c r="M5975" s="221"/>
      <c r="N5975" s="221"/>
      <c r="O5975" s="225"/>
      <c r="P5975" s="118" t="s">
        <v>1972</v>
      </c>
      <c r="Q5975" s="16" t="s">
        <v>20</v>
      </c>
      <c r="R5975" s="17" t="s">
        <v>3526</v>
      </c>
      <c r="S5975" s="121" t="s">
        <v>7721</v>
      </c>
      <c r="T5975" s="122"/>
      <c r="U5975" s="22"/>
      <c r="V5975" s="123" t="s">
        <v>7161</v>
      </c>
      <c r="W5975" s="122">
        <v>2064</v>
      </c>
      <c r="X5975" s="221"/>
      <c r="Y5975" s="221"/>
      <c r="Z5975" s="221"/>
      <c r="AA5975" s="221"/>
      <c r="AB5975" s="223"/>
    </row>
    <row r="5976" spans="1:28" ht="17.100000000000001" customHeight="1" thickTop="1">
      <c r="A5976" s="226" t="s">
        <v>16932</v>
      </c>
      <c r="B5976" s="28">
        <v>46060</v>
      </c>
      <c r="C5976" s="25">
        <v>1287</v>
      </c>
      <c r="D5976" s="13" t="s">
        <v>16973</v>
      </c>
      <c r="E5976" s="228"/>
      <c r="F5976" s="109" t="s">
        <v>16951</v>
      </c>
      <c r="G5976" s="24"/>
      <c r="H5976" s="230">
        <v>4</v>
      </c>
      <c r="I5976" s="220">
        <v>1100000</v>
      </c>
      <c r="J5976" s="220">
        <f>I5976*0.1</f>
        <v>110000</v>
      </c>
      <c r="K5976" s="220">
        <v>0</v>
      </c>
      <c r="L5976" s="220">
        <v>9010</v>
      </c>
      <c r="M5976" s="220">
        <v>12100</v>
      </c>
      <c r="N5976" s="220">
        <f>SUM(I5976:M5977)</f>
        <v>1231110</v>
      </c>
      <c r="O5976" s="224"/>
      <c r="P5976" s="110" t="s">
        <v>17573</v>
      </c>
      <c r="Q5976" s="15" t="s">
        <v>19</v>
      </c>
      <c r="R5976" s="205"/>
      <c r="S5976" s="189"/>
      <c r="T5976" s="114"/>
      <c r="U5976" s="21"/>
      <c r="V5976" s="115">
        <v>46120</v>
      </c>
      <c r="W5976" s="116">
        <v>1012</v>
      </c>
      <c r="X5976" s="220">
        <v>1160000</v>
      </c>
      <c r="Y5976" s="220">
        <f>X5976*0.1</f>
        <v>116000</v>
      </c>
      <c r="Z5976" s="220">
        <v>9010</v>
      </c>
      <c r="AA5976" s="220">
        <f>SUM(X5976:Z5976)</f>
        <v>1285010</v>
      </c>
      <c r="AB5976" s="222">
        <v>46125</v>
      </c>
    </row>
    <row r="5977" spans="1:28" ht="17.100000000000001" customHeight="1" thickBot="1">
      <c r="A5977" s="227"/>
      <c r="B5977" s="27" t="s">
        <v>16930</v>
      </c>
      <c r="C5977" s="27">
        <v>65367</v>
      </c>
      <c r="D5977" s="14" t="s">
        <v>16899</v>
      </c>
      <c r="E5977" s="229"/>
      <c r="F5977" s="117" t="s">
        <v>16952</v>
      </c>
      <c r="G5977" s="26">
        <v>72639</v>
      </c>
      <c r="H5977" s="231"/>
      <c r="I5977" s="221"/>
      <c r="J5977" s="221"/>
      <c r="K5977" s="221"/>
      <c r="L5977" s="221"/>
      <c r="M5977" s="221"/>
      <c r="N5977" s="221"/>
      <c r="O5977" s="225"/>
      <c r="P5977" s="118" t="s">
        <v>2870</v>
      </c>
      <c r="Q5977" s="16" t="s">
        <v>20</v>
      </c>
      <c r="R5977" s="17" t="s">
        <v>3526</v>
      </c>
      <c r="S5977" s="121"/>
      <c r="T5977" s="122"/>
      <c r="U5977" s="22"/>
      <c r="V5977" s="123" t="s">
        <v>2747</v>
      </c>
      <c r="W5977" s="122">
        <v>2011</v>
      </c>
      <c r="X5977" s="221"/>
      <c r="Y5977" s="221"/>
      <c r="Z5977" s="221"/>
      <c r="AA5977" s="221"/>
      <c r="AB5977" s="223"/>
    </row>
    <row r="5978" spans="1:28" ht="17.100000000000001" customHeight="1" thickTop="1">
      <c r="A5978" s="226" t="s">
        <v>16933</v>
      </c>
      <c r="B5978" s="28">
        <v>46060</v>
      </c>
      <c r="C5978" s="25">
        <v>1287</v>
      </c>
      <c r="D5978" s="13" t="s">
        <v>16974</v>
      </c>
      <c r="E5978" s="228"/>
      <c r="F5978" s="109" t="s">
        <v>16951</v>
      </c>
      <c r="G5978" s="24" t="s">
        <v>16976</v>
      </c>
      <c r="H5978" s="230">
        <v>4</v>
      </c>
      <c r="I5978" s="220">
        <v>1115000</v>
      </c>
      <c r="J5978" s="220">
        <f>I5978*0.1</f>
        <v>111500</v>
      </c>
      <c r="K5978" s="220">
        <v>0</v>
      </c>
      <c r="L5978" s="220">
        <v>9010</v>
      </c>
      <c r="M5978" s="220">
        <v>12100</v>
      </c>
      <c r="N5978" s="220">
        <f>SUM(I5978:M5979)</f>
        <v>1247610</v>
      </c>
      <c r="O5978" s="224"/>
      <c r="P5978" s="110" t="s">
        <v>16977</v>
      </c>
      <c r="Q5978" s="15" t="s">
        <v>19</v>
      </c>
      <c r="R5978" s="205"/>
      <c r="S5978" s="189"/>
      <c r="T5978" s="114"/>
      <c r="U5978" s="21"/>
      <c r="V5978" s="115">
        <v>46067</v>
      </c>
      <c r="W5978" s="116">
        <v>1288</v>
      </c>
      <c r="X5978" s="220">
        <v>1200000</v>
      </c>
      <c r="Y5978" s="220">
        <f>X5978*0.1</f>
        <v>120000</v>
      </c>
      <c r="Z5978" s="220">
        <v>9010</v>
      </c>
      <c r="AA5978" s="220">
        <f>SUM(X5978:Z5978)</f>
        <v>1329010</v>
      </c>
      <c r="AB5978" s="222">
        <v>46070</v>
      </c>
    </row>
    <row r="5979" spans="1:28" ht="17.100000000000001" customHeight="1" thickBot="1">
      <c r="A5979" s="227"/>
      <c r="B5979" s="27" t="s">
        <v>16930</v>
      </c>
      <c r="C5979" s="27">
        <v>65511</v>
      </c>
      <c r="D5979" s="14" t="s">
        <v>16975</v>
      </c>
      <c r="E5979" s="229"/>
      <c r="F5979" s="117" t="s">
        <v>16953</v>
      </c>
      <c r="G5979" s="26">
        <v>59537</v>
      </c>
      <c r="H5979" s="231"/>
      <c r="I5979" s="221"/>
      <c r="J5979" s="221"/>
      <c r="K5979" s="221"/>
      <c r="L5979" s="221"/>
      <c r="M5979" s="221"/>
      <c r="N5979" s="221"/>
      <c r="O5979" s="225"/>
      <c r="P5979" s="118" t="s">
        <v>17554</v>
      </c>
      <c r="Q5979" s="16" t="s">
        <v>20</v>
      </c>
      <c r="R5979" s="17" t="s">
        <v>3526</v>
      </c>
      <c r="S5979" s="121"/>
      <c r="T5979" s="122"/>
      <c r="U5979" s="22"/>
      <c r="V5979" s="123" t="s">
        <v>2472</v>
      </c>
      <c r="W5979" s="122">
        <v>60272</v>
      </c>
      <c r="X5979" s="221"/>
      <c r="Y5979" s="221"/>
      <c r="Z5979" s="221"/>
      <c r="AA5979" s="221"/>
      <c r="AB5979" s="223"/>
    </row>
    <row r="5980" spans="1:28" ht="17.100000000000001" customHeight="1" thickTop="1">
      <c r="A5980" s="226" t="s">
        <v>16934</v>
      </c>
      <c r="B5980" s="28">
        <v>46060</v>
      </c>
      <c r="C5980" s="25">
        <v>1287</v>
      </c>
      <c r="D5980" s="13" t="s">
        <v>16978</v>
      </c>
      <c r="E5980" s="228"/>
      <c r="F5980" s="109" t="s">
        <v>16861</v>
      </c>
      <c r="G5980" s="24" t="s">
        <v>16979</v>
      </c>
      <c r="H5980" s="230">
        <v>4.5</v>
      </c>
      <c r="I5980" s="220">
        <v>705000</v>
      </c>
      <c r="J5980" s="220">
        <f>I5980*0.1</f>
        <v>70500</v>
      </c>
      <c r="K5980" s="220">
        <v>0</v>
      </c>
      <c r="L5980" s="220">
        <v>9790</v>
      </c>
      <c r="M5980" s="220">
        <v>12100</v>
      </c>
      <c r="N5980" s="220">
        <f>SUM(I5980:M5981)</f>
        <v>797390</v>
      </c>
      <c r="O5980" s="224"/>
      <c r="P5980" s="110" t="s">
        <v>16980</v>
      </c>
      <c r="Q5980" s="15" t="s">
        <v>19</v>
      </c>
      <c r="R5980" s="205"/>
      <c r="S5980" s="189" t="s">
        <v>455</v>
      </c>
      <c r="T5980" s="114"/>
      <c r="U5980" s="21"/>
      <c r="V5980" s="115">
        <v>46067</v>
      </c>
      <c r="W5980" s="116">
        <v>1288</v>
      </c>
      <c r="X5980" s="220">
        <v>795000</v>
      </c>
      <c r="Y5980" s="220">
        <f>X5980*0.1</f>
        <v>79500</v>
      </c>
      <c r="Z5980" s="220">
        <v>9790</v>
      </c>
      <c r="AA5980" s="220">
        <f>SUM(X5980:Z5980)</f>
        <v>884290</v>
      </c>
      <c r="AB5980" s="222">
        <v>46077</v>
      </c>
    </row>
    <row r="5981" spans="1:28" ht="17.100000000000001" customHeight="1" thickBot="1">
      <c r="A5981" s="227"/>
      <c r="B5981" s="27" t="s">
        <v>16930</v>
      </c>
      <c r="C5981" s="27">
        <v>65602</v>
      </c>
      <c r="D5981" s="14" t="s">
        <v>2559</v>
      </c>
      <c r="E5981" s="229"/>
      <c r="F5981" s="117" t="s">
        <v>16954</v>
      </c>
      <c r="G5981" s="26">
        <v>74725</v>
      </c>
      <c r="H5981" s="231"/>
      <c r="I5981" s="221"/>
      <c r="J5981" s="221"/>
      <c r="K5981" s="221"/>
      <c r="L5981" s="221"/>
      <c r="M5981" s="221"/>
      <c r="N5981" s="221"/>
      <c r="O5981" s="225"/>
      <c r="P5981" s="118" t="s">
        <v>17572</v>
      </c>
      <c r="Q5981" s="16" t="s">
        <v>20</v>
      </c>
      <c r="R5981" s="17" t="s">
        <v>3526</v>
      </c>
      <c r="S5981" s="121" t="s">
        <v>2025</v>
      </c>
      <c r="T5981" s="122"/>
      <c r="U5981" s="22"/>
      <c r="V5981" s="123" t="s">
        <v>6641</v>
      </c>
      <c r="W5981" s="122">
        <v>60385</v>
      </c>
      <c r="X5981" s="221"/>
      <c r="Y5981" s="221"/>
      <c r="Z5981" s="221"/>
      <c r="AA5981" s="221"/>
      <c r="AB5981" s="223"/>
    </row>
    <row r="5982" spans="1:28" ht="17.100000000000001" customHeight="1" thickTop="1">
      <c r="A5982" s="226" t="s">
        <v>16935</v>
      </c>
      <c r="B5982" s="28">
        <v>46060</v>
      </c>
      <c r="C5982" s="25">
        <v>1287</v>
      </c>
      <c r="D5982" s="13" t="s">
        <v>16981</v>
      </c>
      <c r="E5982" s="228"/>
      <c r="F5982" s="109" t="s">
        <v>16955</v>
      </c>
      <c r="G5982" s="24" t="s">
        <v>16984</v>
      </c>
      <c r="H5982" s="230">
        <v>4.5</v>
      </c>
      <c r="I5982" s="220">
        <v>2080000</v>
      </c>
      <c r="J5982" s="220">
        <f>I5982*0.1</f>
        <v>208000</v>
      </c>
      <c r="K5982" s="220">
        <v>3300</v>
      </c>
      <c r="L5982" s="220">
        <v>17800</v>
      </c>
      <c r="M5982" s="220">
        <v>23100</v>
      </c>
      <c r="N5982" s="220">
        <f>SUM(I5982:M5983)</f>
        <v>2332200</v>
      </c>
      <c r="O5982" s="224"/>
      <c r="P5982" s="110" t="s">
        <v>16985</v>
      </c>
      <c r="Q5982" s="15" t="s">
        <v>19</v>
      </c>
      <c r="R5982" s="205"/>
      <c r="S5982" s="189" t="s">
        <v>25778</v>
      </c>
      <c r="T5982" s="114"/>
      <c r="U5982" s="21" t="s">
        <v>18593</v>
      </c>
      <c r="V5982" s="115">
        <v>46079</v>
      </c>
      <c r="W5982" s="116">
        <v>1320</v>
      </c>
      <c r="X5982" s="220">
        <v>2530000</v>
      </c>
      <c r="Y5982" s="220">
        <f>X5982*0.1</f>
        <v>253000</v>
      </c>
      <c r="Z5982" s="220">
        <v>17800</v>
      </c>
      <c r="AA5982" s="220">
        <f>SUM(X5982:Z5982)</f>
        <v>2800800</v>
      </c>
      <c r="AB5982" s="222">
        <v>46080</v>
      </c>
    </row>
    <row r="5983" spans="1:28" ht="17.100000000000001" customHeight="1" thickBot="1">
      <c r="A5983" s="227"/>
      <c r="B5983" s="27" t="s">
        <v>16930</v>
      </c>
      <c r="C5983" s="27">
        <v>81036</v>
      </c>
      <c r="D5983" s="14" t="s">
        <v>16982</v>
      </c>
      <c r="E5983" s="229"/>
      <c r="F5983" s="117" t="s">
        <v>16983</v>
      </c>
      <c r="G5983" s="26">
        <v>21850</v>
      </c>
      <c r="H5983" s="231"/>
      <c r="I5983" s="221"/>
      <c r="J5983" s="221"/>
      <c r="K5983" s="221"/>
      <c r="L5983" s="221"/>
      <c r="M5983" s="221"/>
      <c r="N5983" s="221"/>
      <c r="O5983" s="225"/>
      <c r="P5983" s="118" t="s">
        <v>1586</v>
      </c>
      <c r="Q5983" s="16" t="s">
        <v>20</v>
      </c>
      <c r="R5983" s="17" t="s">
        <v>3526</v>
      </c>
      <c r="S5983" s="121" t="s">
        <v>17579</v>
      </c>
      <c r="T5983" s="122"/>
      <c r="U5983" s="22"/>
      <c r="V5983" s="123" t="s">
        <v>13379</v>
      </c>
      <c r="W5983" s="122">
        <v>542</v>
      </c>
      <c r="X5983" s="221"/>
      <c r="Y5983" s="221"/>
      <c r="Z5983" s="221"/>
      <c r="AA5983" s="221"/>
      <c r="AB5983" s="223"/>
    </row>
    <row r="5984" spans="1:28" ht="17.100000000000001" customHeight="1" thickTop="1">
      <c r="A5984" s="226" t="s">
        <v>16936</v>
      </c>
      <c r="B5984" s="28">
        <v>46060</v>
      </c>
      <c r="C5984" s="25">
        <v>1287</v>
      </c>
      <c r="D5984" s="13" t="s">
        <v>16986</v>
      </c>
      <c r="E5984" s="228"/>
      <c r="F5984" s="109" t="s">
        <v>16956</v>
      </c>
      <c r="G5984" s="24" t="s">
        <v>16988</v>
      </c>
      <c r="H5984" s="230">
        <v>4.5</v>
      </c>
      <c r="I5984" s="220">
        <v>745000</v>
      </c>
      <c r="J5984" s="220">
        <f>I5984*0.1</f>
        <v>74500</v>
      </c>
      <c r="K5984" s="220">
        <v>2750</v>
      </c>
      <c r="L5984" s="220">
        <v>11810</v>
      </c>
      <c r="M5984" s="220">
        <v>16500</v>
      </c>
      <c r="N5984" s="220">
        <f>SUM(I5984:M5985)</f>
        <v>850560</v>
      </c>
      <c r="O5984" s="224"/>
      <c r="P5984" s="110" t="s">
        <v>16989</v>
      </c>
      <c r="Q5984" s="15" t="s">
        <v>19</v>
      </c>
      <c r="R5984" s="205"/>
      <c r="S5984" s="189"/>
      <c r="T5984" s="114" t="s">
        <v>17729</v>
      </c>
      <c r="U5984" s="21"/>
      <c r="V5984" s="115">
        <v>46078</v>
      </c>
      <c r="W5984" s="116">
        <v>1006</v>
      </c>
      <c r="X5984" s="220">
        <v>860000</v>
      </c>
      <c r="Y5984" s="220">
        <f>X5984*0.1</f>
        <v>86000</v>
      </c>
      <c r="Z5984" s="220">
        <v>11810</v>
      </c>
      <c r="AA5984" s="220">
        <f>SUM(X5984:Z5984)</f>
        <v>957810</v>
      </c>
      <c r="AB5984" s="222">
        <v>46086</v>
      </c>
    </row>
    <row r="5985" spans="1:28" ht="17.100000000000001" customHeight="1" thickBot="1">
      <c r="A5985" s="227"/>
      <c r="B5985" s="27" t="s">
        <v>16930</v>
      </c>
      <c r="C5985" s="27">
        <v>81090</v>
      </c>
      <c r="D5985" s="14" t="s">
        <v>16982</v>
      </c>
      <c r="E5985" s="229"/>
      <c r="F5985" s="117" t="s">
        <v>16987</v>
      </c>
      <c r="G5985" s="26">
        <v>44171</v>
      </c>
      <c r="H5985" s="231"/>
      <c r="I5985" s="221"/>
      <c r="J5985" s="221"/>
      <c r="K5985" s="221"/>
      <c r="L5985" s="221"/>
      <c r="M5985" s="221"/>
      <c r="N5985" s="221"/>
      <c r="O5985" s="225"/>
      <c r="P5985" s="118" t="s">
        <v>18841</v>
      </c>
      <c r="Q5985" s="16" t="s">
        <v>20</v>
      </c>
      <c r="R5985" s="17" t="s">
        <v>3913</v>
      </c>
      <c r="S5985" s="121" t="s">
        <v>10120</v>
      </c>
      <c r="T5985" s="122"/>
      <c r="U5985" s="22"/>
      <c r="V5985" s="123" t="s">
        <v>2747</v>
      </c>
      <c r="W5985" s="122">
        <v>5008</v>
      </c>
      <c r="X5985" s="221"/>
      <c r="Y5985" s="221"/>
      <c r="Z5985" s="221"/>
      <c r="AA5985" s="221"/>
      <c r="AB5985" s="223"/>
    </row>
    <row r="5986" spans="1:28" ht="17.100000000000001" customHeight="1" thickTop="1">
      <c r="A5986" s="226" t="s">
        <v>16937</v>
      </c>
      <c r="B5986" s="28">
        <v>46060</v>
      </c>
      <c r="C5986" s="25">
        <v>1287</v>
      </c>
      <c r="D5986" s="13" t="s">
        <v>16990</v>
      </c>
      <c r="E5986" s="228"/>
      <c r="F5986" s="109" t="s">
        <v>16957</v>
      </c>
      <c r="G5986" s="24" t="s">
        <v>16991</v>
      </c>
      <c r="H5986" s="230">
        <v>4.5</v>
      </c>
      <c r="I5986" s="220">
        <v>880000</v>
      </c>
      <c r="J5986" s="220">
        <f>I5986*0.1</f>
        <v>88000</v>
      </c>
      <c r="K5986" s="220">
        <v>2200</v>
      </c>
      <c r="L5986" s="220">
        <v>12470</v>
      </c>
      <c r="M5986" s="220">
        <v>23100</v>
      </c>
      <c r="N5986" s="220">
        <f>SUM(I5986:M5987)</f>
        <v>1005770</v>
      </c>
      <c r="O5986" s="224"/>
      <c r="P5986" s="110" t="s">
        <v>16992</v>
      </c>
      <c r="Q5986" s="15" t="s">
        <v>19</v>
      </c>
      <c r="R5986" s="205"/>
      <c r="S5986" s="189" t="s">
        <v>25691</v>
      </c>
      <c r="T5986" s="114"/>
      <c r="U5986" s="21"/>
      <c r="V5986" s="115">
        <v>46081</v>
      </c>
      <c r="W5986" s="116">
        <v>1290</v>
      </c>
      <c r="X5986" s="220">
        <v>1050000</v>
      </c>
      <c r="Y5986" s="220">
        <f>X5986*0.1</f>
        <v>105000</v>
      </c>
      <c r="Z5986" s="220">
        <v>12470</v>
      </c>
      <c r="AA5986" s="220">
        <f>SUM(X5986:Z5986)</f>
        <v>1167470</v>
      </c>
      <c r="AB5986" s="222">
        <v>46084</v>
      </c>
    </row>
    <row r="5987" spans="1:28" ht="17.100000000000001" customHeight="1" thickBot="1">
      <c r="A5987" s="227"/>
      <c r="B5987" s="27" t="s">
        <v>16930</v>
      </c>
      <c r="C5987" s="27">
        <v>81096</v>
      </c>
      <c r="D5987" s="14" t="s">
        <v>16899</v>
      </c>
      <c r="E5987" s="229"/>
      <c r="F5987" s="117" t="s">
        <v>18484</v>
      </c>
      <c r="G5987" s="26">
        <v>44310</v>
      </c>
      <c r="H5987" s="231"/>
      <c r="I5987" s="221"/>
      <c r="J5987" s="221"/>
      <c r="K5987" s="221"/>
      <c r="L5987" s="221"/>
      <c r="M5987" s="221"/>
      <c r="N5987" s="221"/>
      <c r="O5987" s="225"/>
      <c r="P5987" s="118" t="s">
        <v>18485</v>
      </c>
      <c r="Q5987" s="16" t="s">
        <v>20</v>
      </c>
      <c r="R5987" s="17" t="s">
        <v>3559</v>
      </c>
      <c r="S5987" s="121" t="s">
        <v>1606</v>
      </c>
      <c r="T5987" s="122"/>
      <c r="U5987" s="22"/>
      <c r="V5987" s="123" t="s">
        <v>2472</v>
      </c>
      <c r="W5987" s="122">
        <v>80022</v>
      </c>
      <c r="X5987" s="221"/>
      <c r="Y5987" s="221"/>
      <c r="Z5987" s="221"/>
      <c r="AA5987" s="221"/>
      <c r="AB5987" s="223"/>
    </row>
    <row r="5988" spans="1:28" ht="17.100000000000001" customHeight="1" thickTop="1">
      <c r="A5988" s="226" t="s">
        <v>16938</v>
      </c>
      <c r="B5988" s="28">
        <v>46060</v>
      </c>
      <c r="C5988" s="25">
        <v>1287</v>
      </c>
      <c r="D5988" s="13" t="s">
        <v>16993</v>
      </c>
      <c r="E5988" s="228"/>
      <c r="F5988" s="109" t="s">
        <v>16955</v>
      </c>
      <c r="G5988" s="24" t="s">
        <v>16991</v>
      </c>
      <c r="H5988" s="230">
        <v>4.5</v>
      </c>
      <c r="I5988" s="220">
        <v>1365000</v>
      </c>
      <c r="J5988" s="220">
        <f>I5988*0.1</f>
        <v>136500</v>
      </c>
      <c r="K5988" s="220">
        <v>3520</v>
      </c>
      <c r="L5988" s="220">
        <v>19440</v>
      </c>
      <c r="M5988" s="220">
        <v>16500</v>
      </c>
      <c r="N5988" s="220">
        <f>SUM(I5988:M5989)</f>
        <v>1540960</v>
      </c>
      <c r="O5988" s="224"/>
      <c r="P5988" s="110" t="s">
        <v>16996</v>
      </c>
      <c r="Q5988" s="15" t="s">
        <v>19</v>
      </c>
      <c r="R5988" s="205"/>
      <c r="S5988" s="189" t="s">
        <v>455</v>
      </c>
      <c r="T5988" s="114"/>
      <c r="U5988" s="21"/>
      <c r="V5988" s="115">
        <v>46072</v>
      </c>
      <c r="W5988" s="116">
        <v>1319</v>
      </c>
      <c r="X5988" s="220">
        <v>1580000</v>
      </c>
      <c r="Y5988" s="220">
        <f>X5988*0.1</f>
        <v>158000</v>
      </c>
      <c r="Z5988" s="220">
        <v>19440</v>
      </c>
      <c r="AA5988" s="220">
        <f>SUM(X5988:Z5988)</f>
        <v>1757440</v>
      </c>
      <c r="AB5988" s="222">
        <v>46073</v>
      </c>
    </row>
    <row r="5989" spans="1:28" ht="17.100000000000001" customHeight="1" thickBot="1">
      <c r="A5989" s="227"/>
      <c r="B5989" s="27" t="s">
        <v>16930</v>
      </c>
      <c r="C5989" s="27">
        <v>82169</v>
      </c>
      <c r="D5989" s="14" t="s">
        <v>16994</v>
      </c>
      <c r="E5989" s="229"/>
      <c r="F5989" s="117" t="s">
        <v>16995</v>
      </c>
      <c r="G5989" s="26">
        <v>47446</v>
      </c>
      <c r="H5989" s="231"/>
      <c r="I5989" s="221"/>
      <c r="J5989" s="221"/>
      <c r="K5989" s="221"/>
      <c r="L5989" s="221"/>
      <c r="M5989" s="221"/>
      <c r="N5989" s="221"/>
      <c r="O5989" s="225"/>
      <c r="P5989" s="118" t="s">
        <v>1586</v>
      </c>
      <c r="Q5989" s="16" t="s">
        <v>20</v>
      </c>
      <c r="R5989" s="17" t="s">
        <v>3526</v>
      </c>
      <c r="S5989" s="121" t="s">
        <v>3947</v>
      </c>
      <c r="T5989" s="122"/>
      <c r="U5989" s="22"/>
      <c r="V5989" s="123" t="s">
        <v>14285</v>
      </c>
      <c r="W5989" s="122" t="s">
        <v>17834</v>
      </c>
      <c r="X5989" s="221"/>
      <c r="Y5989" s="221"/>
      <c r="Z5989" s="221"/>
      <c r="AA5989" s="221"/>
      <c r="AB5989" s="223"/>
    </row>
    <row r="5990" spans="1:28" ht="17.100000000000001" customHeight="1" thickTop="1">
      <c r="A5990" s="226" t="s">
        <v>16939</v>
      </c>
      <c r="B5990" s="28">
        <v>46060</v>
      </c>
      <c r="C5990" s="25">
        <v>1287</v>
      </c>
      <c r="D5990" s="13" t="s">
        <v>16905</v>
      </c>
      <c r="E5990" s="228"/>
      <c r="F5990" s="109" t="s">
        <v>16958</v>
      </c>
      <c r="G5990" s="24" t="s">
        <v>16998</v>
      </c>
      <c r="H5990" s="230">
        <v>4.5</v>
      </c>
      <c r="I5990" s="220">
        <v>3830000</v>
      </c>
      <c r="J5990" s="220">
        <f>I5990*0.1</f>
        <v>383000</v>
      </c>
      <c r="K5990" s="220">
        <v>4620</v>
      </c>
      <c r="L5990" s="220">
        <v>21270</v>
      </c>
      <c r="M5990" s="220">
        <v>16500</v>
      </c>
      <c r="N5990" s="220">
        <f>SUM(I5990:M5991)</f>
        <v>4255390</v>
      </c>
      <c r="O5990" s="224"/>
      <c r="P5990" s="110" t="s">
        <v>16999</v>
      </c>
      <c r="Q5990" s="15" t="s">
        <v>19</v>
      </c>
      <c r="R5990" s="205"/>
      <c r="S5990" s="189" t="s">
        <v>455</v>
      </c>
      <c r="T5990" s="114"/>
      <c r="U5990" s="21"/>
      <c r="V5990" s="115"/>
      <c r="W5990" s="116"/>
      <c r="X5990" s="220"/>
      <c r="Y5990" s="220">
        <f>X5990*0.1</f>
        <v>0</v>
      </c>
      <c r="Z5990" s="220"/>
      <c r="AA5990" s="220">
        <f>SUM(X5990:Z5990)</f>
        <v>0</v>
      </c>
      <c r="AB5990" s="222"/>
    </row>
    <row r="5991" spans="1:28" ht="17.100000000000001" customHeight="1" thickBot="1">
      <c r="A5991" s="227"/>
      <c r="B5991" s="27" t="s">
        <v>16930</v>
      </c>
      <c r="C5991" s="27">
        <v>82210</v>
      </c>
      <c r="D5991" s="14" t="s">
        <v>16899</v>
      </c>
      <c r="E5991" s="229"/>
      <c r="F5991" s="117" t="s">
        <v>16997</v>
      </c>
      <c r="G5991" s="26">
        <v>44208</v>
      </c>
      <c r="H5991" s="231"/>
      <c r="I5991" s="221"/>
      <c r="J5991" s="221"/>
      <c r="K5991" s="221"/>
      <c r="L5991" s="221"/>
      <c r="M5991" s="221"/>
      <c r="N5991" s="221"/>
      <c r="O5991" s="225"/>
      <c r="P5991" s="118" t="s">
        <v>17580</v>
      </c>
      <c r="Q5991" s="16" t="s">
        <v>20</v>
      </c>
      <c r="R5991" s="17" t="s">
        <v>3526</v>
      </c>
      <c r="S5991" s="121" t="s">
        <v>1731</v>
      </c>
      <c r="T5991" s="122"/>
      <c r="U5991" s="22"/>
      <c r="V5991" s="123"/>
      <c r="W5991" s="122"/>
      <c r="X5991" s="221"/>
      <c r="Y5991" s="221"/>
      <c r="Z5991" s="221"/>
      <c r="AA5991" s="221"/>
      <c r="AB5991" s="223"/>
    </row>
    <row r="5992" spans="1:28" ht="17.100000000000001" customHeight="1" thickTop="1">
      <c r="A5992" s="226" t="s">
        <v>16940</v>
      </c>
      <c r="B5992" s="28">
        <v>46060</v>
      </c>
      <c r="C5992" s="25">
        <v>1287</v>
      </c>
      <c r="D5992" s="13" t="s">
        <v>17000</v>
      </c>
      <c r="E5992" s="228"/>
      <c r="F5992" s="109" t="s">
        <v>15924</v>
      </c>
      <c r="G5992" s="24" t="s">
        <v>17002</v>
      </c>
      <c r="H5992" s="230">
        <v>4</v>
      </c>
      <c r="I5992" s="220">
        <v>680000</v>
      </c>
      <c r="J5992" s="220">
        <f>I5992*0.1</f>
        <v>68000</v>
      </c>
      <c r="K5992" s="220">
        <v>3080</v>
      </c>
      <c r="L5992" s="220">
        <v>17600</v>
      </c>
      <c r="M5992" s="220">
        <v>16500</v>
      </c>
      <c r="N5992" s="220">
        <f>SUM(I5992:M5993)</f>
        <v>785180</v>
      </c>
      <c r="O5992" s="224"/>
      <c r="P5992" s="110" t="s">
        <v>17003</v>
      </c>
      <c r="Q5992" s="15" t="s">
        <v>19</v>
      </c>
      <c r="R5992" s="205"/>
      <c r="S5992" s="189" t="s">
        <v>25429</v>
      </c>
      <c r="T5992" s="114"/>
      <c r="U5992" s="21"/>
      <c r="V5992" s="115">
        <v>46078</v>
      </c>
      <c r="W5992" s="116">
        <v>1006</v>
      </c>
      <c r="X5992" s="220">
        <v>810000</v>
      </c>
      <c r="Y5992" s="220">
        <f>X5992*0.1</f>
        <v>81000</v>
      </c>
      <c r="Z5992" s="220">
        <v>17600</v>
      </c>
      <c r="AA5992" s="220">
        <f>SUM(X5992:Z5992)</f>
        <v>908600</v>
      </c>
      <c r="AB5992" s="222">
        <v>46083</v>
      </c>
    </row>
    <row r="5993" spans="1:28" ht="17.100000000000001" customHeight="1" thickBot="1">
      <c r="A5993" s="227"/>
      <c r="B5993" s="27" t="s">
        <v>16930</v>
      </c>
      <c r="C5993" s="27">
        <v>82496</v>
      </c>
      <c r="D5993" s="14" t="s">
        <v>16982</v>
      </c>
      <c r="E5993" s="229"/>
      <c r="F5993" s="117" t="s">
        <v>17001</v>
      </c>
      <c r="G5993" s="26">
        <v>60084</v>
      </c>
      <c r="H5993" s="231"/>
      <c r="I5993" s="221"/>
      <c r="J5993" s="221"/>
      <c r="K5993" s="221"/>
      <c r="L5993" s="221"/>
      <c r="M5993" s="221"/>
      <c r="N5993" s="221"/>
      <c r="O5993" s="225"/>
      <c r="P5993" s="118" t="s">
        <v>17577</v>
      </c>
      <c r="Q5993" s="16" t="s">
        <v>20</v>
      </c>
      <c r="R5993" s="17" t="s">
        <v>3526</v>
      </c>
      <c r="S5993" s="121" t="s">
        <v>17578</v>
      </c>
      <c r="T5993" s="122"/>
      <c r="U5993" s="22"/>
      <c r="V5993" s="123" t="s">
        <v>2747</v>
      </c>
      <c r="W5993" s="122">
        <v>6036</v>
      </c>
      <c r="X5993" s="221"/>
      <c r="Y5993" s="221"/>
      <c r="Z5993" s="221"/>
      <c r="AA5993" s="221"/>
      <c r="AB5993" s="223"/>
    </row>
    <row r="5994" spans="1:28" ht="17.100000000000001" customHeight="1" thickTop="1">
      <c r="A5994" s="226" t="s">
        <v>17064</v>
      </c>
      <c r="B5994" s="28">
        <v>46062</v>
      </c>
      <c r="C5994" s="25">
        <v>2080</v>
      </c>
      <c r="D5994" s="13" t="s">
        <v>1607</v>
      </c>
      <c r="E5994" s="228"/>
      <c r="F5994" s="109" t="s">
        <v>10244</v>
      </c>
      <c r="G5994" s="24" t="s">
        <v>3867</v>
      </c>
      <c r="H5994" s="230">
        <v>4</v>
      </c>
      <c r="I5994" s="220">
        <v>1165000</v>
      </c>
      <c r="J5994" s="220">
        <f>I5994*0.1</f>
        <v>116500</v>
      </c>
      <c r="K5994" s="220">
        <f>3200+320</f>
        <v>3520</v>
      </c>
      <c r="L5994" s="220">
        <v>22520</v>
      </c>
      <c r="M5994" s="220">
        <v>11000</v>
      </c>
      <c r="N5994" s="220">
        <f>SUM(I5994:M5995)</f>
        <v>1318540</v>
      </c>
      <c r="O5994" s="224"/>
      <c r="P5994" s="110" t="s">
        <v>17258</v>
      </c>
      <c r="Q5994" s="15" t="s">
        <v>19</v>
      </c>
      <c r="R5994" s="205"/>
      <c r="S5994" s="189" t="s">
        <v>25446</v>
      </c>
      <c r="T5994" s="114"/>
      <c r="U5994" s="21" t="s">
        <v>19379</v>
      </c>
      <c r="V5994" s="115">
        <v>46165</v>
      </c>
      <c r="W5994" s="116">
        <v>1301</v>
      </c>
      <c r="X5994" s="220">
        <v>1230000</v>
      </c>
      <c r="Y5994" s="220">
        <f>X5994*0.1</f>
        <v>123000</v>
      </c>
      <c r="Z5994" s="220">
        <v>22520</v>
      </c>
      <c r="AA5994" s="220">
        <f>SUM(X5994:Z5994)</f>
        <v>1375520</v>
      </c>
      <c r="AB5994" s="222"/>
    </row>
    <row r="5995" spans="1:28" ht="17.100000000000001" customHeight="1" thickBot="1">
      <c r="A5995" s="227"/>
      <c r="B5995" s="27" t="s">
        <v>82</v>
      </c>
      <c r="C5995" s="27">
        <v>31002</v>
      </c>
      <c r="D5995" s="14" t="s">
        <v>2559</v>
      </c>
      <c r="E5995" s="229"/>
      <c r="F5995" s="117" t="s">
        <v>17032</v>
      </c>
      <c r="G5995" s="26">
        <v>42129</v>
      </c>
      <c r="H5995" s="231"/>
      <c r="I5995" s="221"/>
      <c r="J5995" s="221"/>
      <c r="K5995" s="221"/>
      <c r="L5995" s="221"/>
      <c r="M5995" s="221"/>
      <c r="N5995" s="221"/>
      <c r="O5995" s="225"/>
      <c r="P5995" s="118" t="s">
        <v>9498</v>
      </c>
      <c r="Q5995" s="16" t="s">
        <v>20</v>
      </c>
      <c r="R5995" s="17" t="s">
        <v>2264</v>
      </c>
      <c r="S5995" s="121" t="s">
        <v>1731</v>
      </c>
      <c r="T5995" s="122"/>
      <c r="U5995" s="22"/>
      <c r="V5995" s="123" t="s">
        <v>6641</v>
      </c>
      <c r="W5995" s="122">
        <v>80028</v>
      </c>
      <c r="X5995" s="221"/>
      <c r="Y5995" s="221"/>
      <c r="Z5995" s="221"/>
      <c r="AA5995" s="221"/>
      <c r="AB5995" s="223"/>
    </row>
    <row r="5996" spans="1:28" ht="17.100000000000001" customHeight="1" thickTop="1">
      <c r="A5996" s="226" t="s">
        <v>17065</v>
      </c>
      <c r="B5996" s="28">
        <v>46062</v>
      </c>
      <c r="C5996" s="25">
        <v>2080</v>
      </c>
      <c r="D5996" s="13" t="s">
        <v>2892</v>
      </c>
      <c r="E5996" s="228"/>
      <c r="F5996" s="109" t="s">
        <v>17033</v>
      </c>
      <c r="G5996" s="24" t="s">
        <v>4120</v>
      </c>
      <c r="H5996" s="230">
        <v>4.5</v>
      </c>
      <c r="I5996" s="220">
        <v>1620000</v>
      </c>
      <c r="J5996" s="220">
        <f>I5996*0.1</f>
        <v>162000</v>
      </c>
      <c r="K5996" s="220">
        <v>3520</v>
      </c>
      <c r="L5996" s="220">
        <v>18130</v>
      </c>
      <c r="M5996" s="220">
        <v>11000</v>
      </c>
      <c r="N5996" s="220">
        <f>SUM(I5996:M5997)</f>
        <v>1814650</v>
      </c>
      <c r="O5996" s="224"/>
      <c r="P5996" s="110" t="s">
        <v>17035</v>
      </c>
      <c r="Q5996" s="15" t="s">
        <v>19</v>
      </c>
      <c r="R5996" s="205"/>
      <c r="S5996" s="189" t="s">
        <v>1361</v>
      </c>
      <c r="T5996" s="114"/>
      <c r="U5996" s="21"/>
      <c r="V5996" s="115"/>
      <c r="W5996" s="116"/>
      <c r="X5996" s="220"/>
      <c r="Y5996" s="220">
        <f>X5996*0.1</f>
        <v>0</v>
      </c>
      <c r="Z5996" s="220"/>
      <c r="AA5996" s="220">
        <f>SUM(X5996:Z5996)</f>
        <v>0</v>
      </c>
      <c r="AB5996" s="222"/>
    </row>
    <row r="5997" spans="1:28" ht="17.100000000000001" customHeight="1" thickBot="1">
      <c r="A5997" s="227"/>
      <c r="B5997" s="27" t="s">
        <v>82</v>
      </c>
      <c r="C5997" s="27">
        <v>36033</v>
      </c>
      <c r="D5997" s="14" t="s">
        <v>898</v>
      </c>
      <c r="E5997" s="229"/>
      <c r="F5997" s="117" t="s">
        <v>17034</v>
      </c>
      <c r="G5997" s="26">
        <v>61504</v>
      </c>
      <c r="H5997" s="231"/>
      <c r="I5997" s="221"/>
      <c r="J5997" s="221"/>
      <c r="K5997" s="221"/>
      <c r="L5997" s="221"/>
      <c r="M5997" s="221"/>
      <c r="N5997" s="221"/>
      <c r="O5997" s="225"/>
      <c r="P5997" s="118" t="s">
        <v>17376</v>
      </c>
      <c r="Q5997" s="16" t="s">
        <v>20</v>
      </c>
      <c r="R5997" s="17" t="s">
        <v>17360</v>
      </c>
      <c r="S5997" s="121" t="s">
        <v>1731</v>
      </c>
      <c r="T5997" s="122"/>
      <c r="U5997" s="22"/>
      <c r="V5997" s="123"/>
      <c r="W5997" s="122"/>
      <c r="X5997" s="221"/>
      <c r="Y5997" s="221"/>
      <c r="Z5997" s="221"/>
      <c r="AA5997" s="221"/>
      <c r="AB5997" s="223"/>
    </row>
    <row r="5998" spans="1:28" ht="17.100000000000001" customHeight="1" thickTop="1">
      <c r="A5998" s="226" t="s">
        <v>17066</v>
      </c>
      <c r="B5998" s="28">
        <v>46062</v>
      </c>
      <c r="C5998" s="25"/>
      <c r="D5998" s="13" t="s">
        <v>1935</v>
      </c>
      <c r="E5998" s="228"/>
      <c r="F5998" s="109" t="s">
        <v>17036</v>
      </c>
      <c r="G5998" s="24" t="s">
        <v>2871</v>
      </c>
      <c r="H5998" s="230">
        <v>4</v>
      </c>
      <c r="I5998" s="220">
        <v>681000</v>
      </c>
      <c r="J5998" s="220">
        <f>I5998*0.1</f>
        <v>68100</v>
      </c>
      <c r="K5998" s="220">
        <v>3520</v>
      </c>
      <c r="L5998" s="220">
        <v>19090</v>
      </c>
      <c r="M5998" s="220">
        <v>15950</v>
      </c>
      <c r="N5998" s="220">
        <f>SUM(I5998:M5999)</f>
        <v>787660</v>
      </c>
      <c r="O5998" s="224"/>
      <c r="P5998" s="110" t="s">
        <v>17038</v>
      </c>
      <c r="Q5998" s="15" t="s">
        <v>19</v>
      </c>
      <c r="R5998" s="205"/>
      <c r="S5998" s="189"/>
      <c r="T5998" s="114"/>
      <c r="U5998" s="21"/>
      <c r="V5998" s="115">
        <v>46067</v>
      </c>
      <c r="W5998" s="116">
        <v>1288</v>
      </c>
      <c r="X5998" s="220">
        <v>820000</v>
      </c>
      <c r="Y5998" s="220">
        <f>X5998*0.1</f>
        <v>82000</v>
      </c>
      <c r="Z5998" s="220">
        <v>19090</v>
      </c>
      <c r="AA5998" s="220">
        <f>SUM(X5998:Z5998)</f>
        <v>921090</v>
      </c>
      <c r="AB5998" s="222">
        <v>46072</v>
      </c>
    </row>
    <row r="5999" spans="1:28" ht="17.100000000000001" customHeight="1" thickBot="1">
      <c r="A5999" s="227"/>
      <c r="B5999" s="27" t="s">
        <v>17072</v>
      </c>
      <c r="C5999" s="27">
        <v>60027</v>
      </c>
      <c r="D5999" s="14" t="s">
        <v>273</v>
      </c>
      <c r="E5999" s="229"/>
      <c r="F5999" s="117" t="s">
        <v>17037</v>
      </c>
      <c r="G5999" s="26">
        <v>93644</v>
      </c>
      <c r="H5999" s="231"/>
      <c r="I5999" s="221"/>
      <c r="J5999" s="221"/>
      <c r="K5999" s="221"/>
      <c r="L5999" s="221"/>
      <c r="M5999" s="221"/>
      <c r="N5999" s="221"/>
      <c r="O5999" s="225"/>
      <c r="P5999" s="118" t="s">
        <v>2898</v>
      </c>
      <c r="Q5999" s="16" t="s">
        <v>20</v>
      </c>
      <c r="R5999" s="17" t="s">
        <v>2305</v>
      </c>
      <c r="S5999" s="121" t="s">
        <v>7720</v>
      </c>
      <c r="T5999" s="122"/>
      <c r="U5999" s="22"/>
      <c r="V5999" s="123" t="s">
        <v>2472</v>
      </c>
      <c r="W5999" s="122">
        <v>80367</v>
      </c>
      <c r="X5999" s="221"/>
      <c r="Y5999" s="221"/>
      <c r="Z5999" s="221"/>
      <c r="AA5999" s="221"/>
      <c r="AB5999" s="223"/>
    </row>
    <row r="6000" spans="1:28" ht="17.100000000000001" customHeight="1" thickTop="1">
      <c r="A6000" s="226" t="s">
        <v>17067</v>
      </c>
      <c r="B6000" s="28">
        <v>46062</v>
      </c>
      <c r="C6000" s="25"/>
      <c r="D6000" s="13" t="s">
        <v>1676</v>
      </c>
      <c r="E6000" s="228"/>
      <c r="F6000" s="109" t="s">
        <v>1916</v>
      </c>
      <c r="G6000" s="24"/>
      <c r="H6000" s="230">
        <v>3.5</v>
      </c>
      <c r="I6000" s="220">
        <v>230000</v>
      </c>
      <c r="J6000" s="220">
        <f>I6000*0.1</f>
        <v>23000</v>
      </c>
      <c r="K6000" s="220">
        <v>0</v>
      </c>
      <c r="L6000" s="220">
        <v>17700</v>
      </c>
      <c r="M6000" s="220">
        <v>14850</v>
      </c>
      <c r="N6000" s="220">
        <f>SUM(I6000:M6001)</f>
        <v>285550</v>
      </c>
      <c r="O6000" s="224"/>
      <c r="P6000" s="110" t="s">
        <v>17557</v>
      </c>
      <c r="Q6000" s="15" t="s">
        <v>19</v>
      </c>
      <c r="R6000" s="205"/>
      <c r="S6000" s="189"/>
      <c r="T6000" s="114"/>
      <c r="U6000" s="21"/>
      <c r="V6000" s="115">
        <v>46067</v>
      </c>
      <c r="W6000" s="116">
        <v>1288</v>
      </c>
      <c r="X6000" s="220">
        <v>525000</v>
      </c>
      <c r="Y6000" s="220">
        <f>X6000*0.1</f>
        <v>52500</v>
      </c>
      <c r="Z6000" s="220">
        <v>17700</v>
      </c>
      <c r="AA6000" s="220">
        <f>SUM(X6000:Z6000)</f>
        <v>595200</v>
      </c>
      <c r="AB6000" s="222">
        <v>46070</v>
      </c>
    </row>
    <row r="6001" spans="1:28" ht="17.100000000000001" customHeight="1" thickBot="1">
      <c r="A6001" s="227"/>
      <c r="B6001" s="27" t="s">
        <v>2727</v>
      </c>
      <c r="C6001" s="27">
        <v>70097</v>
      </c>
      <c r="D6001" s="14" t="s">
        <v>1568</v>
      </c>
      <c r="E6001" s="229"/>
      <c r="F6001" s="117" t="s">
        <v>17556</v>
      </c>
      <c r="G6001" s="26">
        <v>50477</v>
      </c>
      <c r="H6001" s="231"/>
      <c r="I6001" s="221"/>
      <c r="J6001" s="221"/>
      <c r="K6001" s="221"/>
      <c r="L6001" s="221"/>
      <c r="M6001" s="221"/>
      <c r="N6001" s="221"/>
      <c r="O6001" s="225"/>
      <c r="P6001" s="118" t="s">
        <v>13855</v>
      </c>
      <c r="Q6001" s="16" t="s">
        <v>20</v>
      </c>
      <c r="R6001" s="17" t="s">
        <v>2305</v>
      </c>
      <c r="S6001" s="121"/>
      <c r="T6001" s="122"/>
      <c r="U6001" s="22"/>
      <c r="V6001" s="123" t="s">
        <v>2472</v>
      </c>
      <c r="W6001" s="122">
        <v>80095</v>
      </c>
      <c r="X6001" s="221"/>
      <c r="Y6001" s="221"/>
      <c r="Z6001" s="221"/>
      <c r="AA6001" s="221"/>
      <c r="AB6001" s="223"/>
    </row>
    <row r="6002" spans="1:28" ht="17.100000000000001" customHeight="1" thickTop="1">
      <c r="A6002" s="226" t="s">
        <v>17068</v>
      </c>
      <c r="B6002" s="28">
        <v>46062</v>
      </c>
      <c r="C6002" s="25"/>
      <c r="D6002" s="13" t="s">
        <v>1578</v>
      </c>
      <c r="E6002" s="228"/>
      <c r="F6002" s="109" t="s">
        <v>1854</v>
      </c>
      <c r="G6002" s="24"/>
      <c r="H6002" s="230">
        <v>4</v>
      </c>
      <c r="I6002" s="220">
        <v>1501000</v>
      </c>
      <c r="J6002" s="220">
        <f>I6002*0.1</f>
        <v>150100</v>
      </c>
      <c r="K6002" s="220">
        <v>0</v>
      </c>
      <c r="L6002" s="220">
        <v>16240</v>
      </c>
      <c r="M6002" s="220">
        <v>14850</v>
      </c>
      <c r="N6002" s="220">
        <f>SUM(I6002:M6003)</f>
        <v>1682190</v>
      </c>
      <c r="O6002" s="224"/>
      <c r="P6002" s="110" t="s">
        <v>17559</v>
      </c>
      <c r="Q6002" s="15" t="s">
        <v>19</v>
      </c>
      <c r="R6002" s="205"/>
      <c r="S6002" s="189"/>
      <c r="T6002" s="114"/>
      <c r="U6002" s="21"/>
      <c r="V6002" s="115">
        <v>46067</v>
      </c>
      <c r="W6002" s="116">
        <v>1288</v>
      </c>
      <c r="X6002" s="220">
        <v>1745000</v>
      </c>
      <c r="Y6002" s="220">
        <f>X6002*0.1</f>
        <v>174500</v>
      </c>
      <c r="Z6002" s="220">
        <v>16240</v>
      </c>
      <c r="AA6002" s="220">
        <f>SUM(X6002:Z6002)</f>
        <v>1935740</v>
      </c>
      <c r="AB6002" s="222">
        <v>46070</v>
      </c>
    </row>
    <row r="6003" spans="1:28" ht="17.100000000000001" customHeight="1" thickBot="1">
      <c r="A6003" s="227"/>
      <c r="B6003" s="27" t="s">
        <v>2727</v>
      </c>
      <c r="C6003" s="27">
        <v>80254</v>
      </c>
      <c r="D6003" s="14" t="s">
        <v>3746</v>
      </c>
      <c r="E6003" s="229"/>
      <c r="F6003" s="117" t="s">
        <v>17558</v>
      </c>
      <c r="G6003" s="26">
        <v>45372</v>
      </c>
      <c r="H6003" s="231"/>
      <c r="I6003" s="221"/>
      <c r="J6003" s="221"/>
      <c r="K6003" s="221"/>
      <c r="L6003" s="221"/>
      <c r="M6003" s="221"/>
      <c r="N6003" s="221"/>
      <c r="O6003" s="225"/>
      <c r="P6003" s="118" t="s">
        <v>2729</v>
      </c>
      <c r="Q6003" s="16" t="s">
        <v>20</v>
      </c>
      <c r="R6003" s="17" t="s">
        <v>3526</v>
      </c>
      <c r="S6003" s="121" t="s">
        <v>7720</v>
      </c>
      <c r="T6003" s="122"/>
      <c r="U6003" s="22"/>
      <c r="V6003" s="123" t="s">
        <v>2472</v>
      </c>
      <c r="W6003" s="122">
        <v>80068</v>
      </c>
      <c r="X6003" s="221"/>
      <c r="Y6003" s="221"/>
      <c r="Z6003" s="221"/>
      <c r="AA6003" s="221"/>
      <c r="AB6003" s="223"/>
    </row>
    <row r="6004" spans="1:28" ht="17.100000000000001" customHeight="1" thickTop="1">
      <c r="A6004" s="226" t="s">
        <v>17069</v>
      </c>
      <c r="B6004" s="28">
        <v>46062</v>
      </c>
      <c r="C6004" s="25"/>
      <c r="D6004" s="13" t="s">
        <v>1883</v>
      </c>
      <c r="E6004" s="228"/>
      <c r="F6004" s="109" t="s">
        <v>17344</v>
      </c>
      <c r="G6004" s="24"/>
      <c r="H6004" s="230">
        <v>4</v>
      </c>
      <c r="I6004" s="220">
        <v>1491000</v>
      </c>
      <c r="J6004" s="220">
        <f>I6004*0.1</f>
        <v>149100</v>
      </c>
      <c r="K6004" s="220">
        <v>0</v>
      </c>
      <c r="L6004" s="220">
        <v>12510</v>
      </c>
      <c r="M6004" s="220">
        <v>14850</v>
      </c>
      <c r="N6004" s="220">
        <f>SUM(I6004:M6005)</f>
        <v>1667460</v>
      </c>
      <c r="O6004" s="224"/>
      <c r="P6004" s="110" t="s">
        <v>17561</v>
      </c>
      <c r="Q6004" s="15" t="s">
        <v>19</v>
      </c>
      <c r="R6004" s="205"/>
      <c r="S6004" s="189"/>
      <c r="T6004" s="114"/>
      <c r="U6004" s="21"/>
      <c r="V6004" s="115">
        <v>46067</v>
      </c>
      <c r="W6004" s="116">
        <v>1288</v>
      </c>
      <c r="X6004" s="220">
        <v>1630000</v>
      </c>
      <c r="Y6004" s="220">
        <f>X6004*0.1</f>
        <v>163000</v>
      </c>
      <c r="Z6004" s="220">
        <v>12510</v>
      </c>
      <c r="AA6004" s="220">
        <f>SUM(X6004:Z6004)</f>
        <v>1805510</v>
      </c>
      <c r="AB6004" s="222">
        <v>46070</v>
      </c>
    </row>
    <row r="6005" spans="1:28" ht="17.100000000000001" customHeight="1" thickBot="1">
      <c r="A6005" s="227"/>
      <c r="B6005" s="27" t="s">
        <v>2727</v>
      </c>
      <c r="C6005" s="27">
        <v>80255</v>
      </c>
      <c r="D6005" s="14" t="s">
        <v>273</v>
      </c>
      <c r="E6005" s="229"/>
      <c r="F6005" s="117" t="s">
        <v>17560</v>
      </c>
      <c r="G6005" s="26">
        <v>31050</v>
      </c>
      <c r="H6005" s="231"/>
      <c r="I6005" s="221"/>
      <c r="J6005" s="221"/>
      <c r="K6005" s="221"/>
      <c r="L6005" s="221"/>
      <c r="M6005" s="221"/>
      <c r="N6005" s="221"/>
      <c r="O6005" s="225"/>
      <c r="P6005" s="118" t="s">
        <v>2729</v>
      </c>
      <c r="Q6005" s="16" t="s">
        <v>20</v>
      </c>
      <c r="R6005" s="17" t="s">
        <v>3526</v>
      </c>
      <c r="S6005" s="121" t="s">
        <v>7720</v>
      </c>
      <c r="T6005" s="122"/>
      <c r="U6005" s="22"/>
      <c r="V6005" s="123" t="s">
        <v>2472</v>
      </c>
      <c r="W6005" s="122">
        <v>80071</v>
      </c>
      <c r="X6005" s="221"/>
      <c r="Y6005" s="221"/>
      <c r="Z6005" s="221"/>
      <c r="AA6005" s="221"/>
      <c r="AB6005" s="223"/>
    </row>
    <row r="6006" spans="1:28" ht="17.100000000000001" customHeight="1" thickTop="1">
      <c r="A6006" s="226" t="s">
        <v>17070</v>
      </c>
      <c r="B6006" s="28">
        <v>46062</v>
      </c>
      <c r="C6006" s="25"/>
      <c r="D6006" s="13" t="s">
        <v>1658</v>
      </c>
      <c r="E6006" s="228"/>
      <c r="F6006" s="109" t="s">
        <v>1854</v>
      </c>
      <c r="G6006" s="24" t="s">
        <v>1551</v>
      </c>
      <c r="H6006" s="230">
        <v>4.5</v>
      </c>
      <c r="I6006" s="220">
        <v>502000</v>
      </c>
      <c r="J6006" s="220">
        <f>I6006*0.1</f>
        <v>50200</v>
      </c>
      <c r="K6006" s="220">
        <v>3520</v>
      </c>
      <c r="L6006" s="220">
        <v>17700</v>
      </c>
      <c r="M6006" s="220">
        <v>14850</v>
      </c>
      <c r="N6006" s="220">
        <f>SUM(I6006:M6007)</f>
        <v>588270</v>
      </c>
      <c r="O6006" s="224"/>
      <c r="P6006" s="110" t="s">
        <v>17039</v>
      </c>
      <c r="Q6006" s="15" t="s">
        <v>19</v>
      </c>
      <c r="R6006" s="205"/>
      <c r="S6006" s="189"/>
      <c r="T6006" s="114"/>
      <c r="U6006" s="21"/>
      <c r="V6006" s="115">
        <v>46067</v>
      </c>
      <c r="W6006" s="116">
        <v>1288</v>
      </c>
      <c r="X6006" s="220">
        <v>600000</v>
      </c>
      <c r="Y6006" s="220">
        <f>X6006*0.1</f>
        <v>60000</v>
      </c>
      <c r="Z6006" s="220">
        <v>17700</v>
      </c>
      <c r="AA6006" s="220">
        <f>SUM(X6006:Z6006)</f>
        <v>677700</v>
      </c>
      <c r="AB6006" s="222">
        <v>46070</v>
      </c>
    </row>
    <row r="6007" spans="1:28" ht="17.100000000000001" customHeight="1" thickBot="1">
      <c r="A6007" s="227"/>
      <c r="B6007" s="27" t="s">
        <v>2727</v>
      </c>
      <c r="C6007" s="27">
        <v>80259</v>
      </c>
      <c r="D6007" s="14" t="s">
        <v>2559</v>
      </c>
      <c r="E6007" s="229"/>
      <c r="F6007" s="117" t="s">
        <v>17555</v>
      </c>
      <c r="G6007" s="26">
        <v>71537</v>
      </c>
      <c r="H6007" s="231"/>
      <c r="I6007" s="221"/>
      <c r="J6007" s="221"/>
      <c r="K6007" s="221"/>
      <c r="L6007" s="221"/>
      <c r="M6007" s="221"/>
      <c r="N6007" s="221"/>
      <c r="O6007" s="225"/>
      <c r="P6007" s="118" t="s">
        <v>4762</v>
      </c>
      <c r="Q6007" s="16" t="s">
        <v>20</v>
      </c>
      <c r="R6007" s="17" t="s">
        <v>2305</v>
      </c>
      <c r="S6007" s="121"/>
      <c r="T6007" s="122"/>
      <c r="U6007" s="22"/>
      <c r="V6007" s="123" t="s">
        <v>2472</v>
      </c>
      <c r="W6007" s="122">
        <v>80091</v>
      </c>
      <c r="X6007" s="221"/>
      <c r="Y6007" s="221"/>
      <c r="Z6007" s="221"/>
      <c r="AA6007" s="221"/>
      <c r="AB6007" s="223"/>
    </row>
    <row r="6008" spans="1:28" ht="17.100000000000001" customHeight="1" thickTop="1">
      <c r="A6008" s="226" t="s">
        <v>17071</v>
      </c>
      <c r="B6008" s="28">
        <v>46062</v>
      </c>
      <c r="C6008" s="25">
        <v>91</v>
      </c>
      <c r="D6008" s="13" t="s">
        <v>1988</v>
      </c>
      <c r="E6008" s="228"/>
      <c r="F6008" s="109" t="s">
        <v>17041</v>
      </c>
      <c r="G6008" s="24" t="s">
        <v>2907</v>
      </c>
      <c r="H6008" s="230">
        <v>4</v>
      </c>
      <c r="I6008" s="220">
        <v>1025000</v>
      </c>
      <c r="J6008" s="220">
        <f>I6008*0.1</f>
        <v>102500</v>
      </c>
      <c r="K6008" s="220">
        <v>0</v>
      </c>
      <c r="L6008" s="220">
        <v>6550</v>
      </c>
      <c r="M6008" s="220">
        <v>44000</v>
      </c>
      <c r="N6008" s="220">
        <f>SUM(I6008:M6009)</f>
        <v>1178050</v>
      </c>
      <c r="O6008" s="224"/>
      <c r="P6008" s="110" t="s">
        <v>17869</v>
      </c>
      <c r="Q6008" s="15" t="s">
        <v>19</v>
      </c>
      <c r="R6008" s="205"/>
      <c r="S6008" s="189" t="s">
        <v>25779</v>
      </c>
      <c r="T6008" s="114"/>
      <c r="U6008" s="21"/>
      <c r="V6008" s="115">
        <v>46077</v>
      </c>
      <c r="W6008" s="116">
        <v>1930</v>
      </c>
      <c r="X6008" s="220">
        <v>1093000</v>
      </c>
      <c r="Y6008" s="220">
        <f>X6008*0.1</f>
        <v>109300</v>
      </c>
      <c r="Z6008" s="220">
        <v>6550</v>
      </c>
      <c r="AA6008" s="220">
        <f>SUM(X6008:Z6008)</f>
        <v>1208850</v>
      </c>
      <c r="AB6008" s="222"/>
    </row>
    <row r="6009" spans="1:28" ht="17.100000000000001" customHeight="1" thickBot="1">
      <c r="A6009" s="227"/>
      <c r="B6009" s="27" t="s">
        <v>4468</v>
      </c>
      <c r="C6009" s="27">
        <v>1002</v>
      </c>
      <c r="D6009" s="14" t="s">
        <v>273</v>
      </c>
      <c r="E6009" s="229"/>
      <c r="F6009" s="117" t="s">
        <v>17040</v>
      </c>
      <c r="G6009" s="26">
        <v>8185</v>
      </c>
      <c r="H6009" s="231"/>
      <c r="I6009" s="221"/>
      <c r="J6009" s="221"/>
      <c r="K6009" s="221"/>
      <c r="L6009" s="221"/>
      <c r="M6009" s="221"/>
      <c r="N6009" s="221"/>
      <c r="O6009" s="225"/>
      <c r="P6009" s="118" t="s">
        <v>17870</v>
      </c>
      <c r="Q6009" s="16" t="s">
        <v>20</v>
      </c>
      <c r="R6009" s="17" t="s">
        <v>17871</v>
      </c>
      <c r="S6009" s="121" t="s">
        <v>1731</v>
      </c>
      <c r="T6009" s="122"/>
      <c r="U6009" s="22"/>
      <c r="V6009" s="123" t="s">
        <v>2103</v>
      </c>
      <c r="W6009" s="122">
        <v>3263</v>
      </c>
      <c r="X6009" s="221"/>
      <c r="Y6009" s="221"/>
      <c r="Z6009" s="221"/>
      <c r="AA6009" s="221"/>
      <c r="AB6009" s="223"/>
    </row>
    <row r="6010" spans="1:28" ht="17.100000000000001" customHeight="1" thickTop="1">
      <c r="A6010" s="226" t="s">
        <v>17075</v>
      </c>
      <c r="B6010" s="28">
        <v>46062</v>
      </c>
      <c r="C6010" s="25"/>
      <c r="D6010" s="13" t="s">
        <v>2167</v>
      </c>
      <c r="E6010" s="228"/>
      <c r="F6010" s="109" t="s">
        <v>15179</v>
      </c>
      <c r="G6010" s="24" t="s">
        <v>12306</v>
      </c>
      <c r="H6010" s="230">
        <v>4</v>
      </c>
      <c r="I6010" s="220">
        <f>3525500/1.1</f>
        <v>3204999.9999999995</v>
      </c>
      <c r="J6010" s="220">
        <f>I6010*0.1</f>
        <v>320500</v>
      </c>
      <c r="K6010" s="220">
        <v>0</v>
      </c>
      <c r="L6010" s="220">
        <v>16550</v>
      </c>
      <c r="M6010" s="220">
        <v>0</v>
      </c>
      <c r="N6010" s="220">
        <f>SUM(I6010:M6011)</f>
        <v>3542049.9999999995</v>
      </c>
      <c r="O6010" s="224"/>
      <c r="P6010" s="110" t="s">
        <v>21685</v>
      </c>
      <c r="Q6010" s="15" t="s">
        <v>19</v>
      </c>
      <c r="R6010" s="205"/>
      <c r="S6010" s="189" t="s">
        <v>25372</v>
      </c>
      <c r="T6010" s="114"/>
      <c r="U6010" s="21" t="s">
        <v>24286</v>
      </c>
      <c r="V6010" s="115"/>
      <c r="W6010" s="116"/>
      <c r="X6010" s="220"/>
      <c r="Y6010" s="220">
        <f>X6010*0.1</f>
        <v>0</v>
      </c>
      <c r="Z6010" s="220"/>
      <c r="AA6010" s="220">
        <f>SUM(X6010:Z6010)</f>
        <v>0</v>
      </c>
      <c r="AB6010" s="222"/>
    </row>
    <row r="6011" spans="1:28" ht="17.100000000000001" customHeight="1" thickBot="1">
      <c r="A6011" s="227"/>
      <c r="B6011" s="27" t="s">
        <v>1708</v>
      </c>
      <c r="C6011" s="27" t="s">
        <v>17073</v>
      </c>
      <c r="D6011" s="14" t="s">
        <v>2559</v>
      </c>
      <c r="E6011" s="229"/>
      <c r="F6011" s="117" t="s">
        <v>17074</v>
      </c>
      <c r="G6011" s="26">
        <v>52736</v>
      </c>
      <c r="H6011" s="231"/>
      <c r="I6011" s="221"/>
      <c r="J6011" s="221"/>
      <c r="K6011" s="221"/>
      <c r="L6011" s="221"/>
      <c r="M6011" s="221"/>
      <c r="N6011" s="221"/>
      <c r="O6011" s="225"/>
      <c r="P6011" s="118" t="s">
        <v>21686</v>
      </c>
      <c r="Q6011" s="16" t="s">
        <v>20</v>
      </c>
      <c r="R6011" s="17" t="s">
        <v>1772</v>
      </c>
      <c r="S6011" s="121" t="s">
        <v>21687</v>
      </c>
      <c r="T6011" s="122"/>
      <c r="U6011" s="22"/>
      <c r="V6011" s="123"/>
      <c r="W6011" s="122"/>
      <c r="X6011" s="221"/>
      <c r="Y6011" s="221"/>
      <c r="Z6011" s="221"/>
      <c r="AA6011" s="221"/>
      <c r="AB6011" s="223"/>
    </row>
    <row r="6012" spans="1:28" ht="17.100000000000001" customHeight="1" thickTop="1">
      <c r="A6012" s="233" t="s">
        <v>17076</v>
      </c>
      <c r="B6012" s="28">
        <v>46062</v>
      </c>
      <c r="C6012" s="25"/>
      <c r="D6012" s="13" t="s">
        <v>2406</v>
      </c>
      <c r="E6012" s="228"/>
      <c r="F6012" s="109" t="s">
        <v>17043</v>
      </c>
      <c r="G6012" s="24" t="s">
        <v>17045</v>
      </c>
      <c r="H6012" s="230">
        <v>4</v>
      </c>
      <c r="I6012" s="220">
        <f>1010900/1.1</f>
        <v>918999.99999999988</v>
      </c>
      <c r="J6012" s="220">
        <v>91900</v>
      </c>
      <c r="K6012" s="220">
        <v>0</v>
      </c>
      <c r="L6012" s="220">
        <v>8110</v>
      </c>
      <c r="M6012" s="220">
        <v>0</v>
      </c>
      <c r="N6012" s="220">
        <f>SUM(I6012:M6013)</f>
        <v>1019009.9999999999</v>
      </c>
      <c r="O6012" s="224"/>
      <c r="P6012" s="110"/>
      <c r="Q6012" s="15" t="s">
        <v>19</v>
      </c>
      <c r="R6012" s="205"/>
      <c r="S6012" s="189" t="s">
        <v>1072</v>
      </c>
      <c r="T6012" s="114" t="s">
        <v>18136</v>
      </c>
      <c r="U6012" s="21"/>
      <c r="V6012" s="115"/>
      <c r="W6012" s="116"/>
      <c r="X6012" s="220"/>
      <c r="Y6012" s="220">
        <f>X6012*0.1</f>
        <v>0</v>
      </c>
      <c r="Z6012" s="220"/>
      <c r="AA6012" s="220">
        <f>SUM(X6012:Z6012)</f>
        <v>0</v>
      </c>
      <c r="AB6012" s="222"/>
    </row>
    <row r="6013" spans="1:28" ht="17.100000000000001" customHeight="1" thickBot="1">
      <c r="A6013" s="234"/>
      <c r="B6013" s="27" t="s">
        <v>1708</v>
      </c>
      <c r="C6013" s="27" t="s">
        <v>17042</v>
      </c>
      <c r="D6013" s="14" t="s">
        <v>2559</v>
      </c>
      <c r="E6013" s="229"/>
      <c r="F6013" s="117" t="s">
        <v>17044</v>
      </c>
      <c r="G6013" s="26">
        <v>49999</v>
      </c>
      <c r="H6013" s="231"/>
      <c r="I6013" s="221"/>
      <c r="J6013" s="221"/>
      <c r="K6013" s="221"/>
      <c r="L6013" s="221"/>
      <c r="M6013" s="221"/>
      <c r="N6013" s="221"/>
      <c r="O6013" s="225"/>
      <c r="P6013" s="118"/>
      <c r="Q6013" s="16" t="s">
        <v>20</v>
      </c>
      <c r="R6013" s="17" t="s">
        <v>10331</v>
      </c>
      <c r="S6013" s="121"/>
      <c r="T6013" s="122"/>
      <c r="U6013" s="22"/>
      <c r="V6013" s="123"/>
      <c r="W6013" s="122"/>
      <c r="X6013" s="221"/>
      <c r="Y6013" s="221"/>
      <c r="Z6013" s="221"/>
      <c r="AA6013" s="221"/>
      <c r="AB6013" s="223"/>
    </row>
    <row r="6014" spans="1:28" ht="17.100000000000001" customHeight="1" thickTop="1">
      <c r="A6014" s="226" t="s">
        <v>17077</v>
      </c>
      <c r="B6014" s="28">
        <v>46062</v>
      </c>
      <c r="C6014" s="25"/>
      <c r="D6014" s="13" t="s">
        <v>2057</v>
      </c>
      <c r="E6014" s="228"/>
      <c r="F6014" s="109" t="s">
        <v>17047</v>
      </c>
      <c r="G6014" s="24" t="s">
        <v>17049</v>
      </c>
      <c r="H6014" s="230">
        <v>4.5</v>
      </c>
      <c r="I6014" s="220">
        <f>3261500/1.1</f>
        <v>2964999.9999999995</v>
      </c>
      <c r="J6014" s="220">
        <f>I6014*0.1</f>
        <v>296499.99999999994</v>
      </c>
      <c r="K6014" s="220">
        <v>0</v>
      </c>
      <c r="L6014" s="220">
        <v>14930</v>
      </c>
      <c r="M6014" s="220">
        <v>0</v>
      </c>
      <c r="N6014" s="220">
        <f>SUM(I6014:M6015)</f>
        <v>3276429.9999999995</v>
      </c>
      <c r="O6014" s="224"/>
      <c r="P6014" s="110" t="s">
        <v>21377</v>
      </c>
      <c r="Q6014" s="15" t="s">
        <v>19</v>
      </c>
      <c r="R6014" s="205"/>
      <c r="S6014" s="189" t="s">
        <v>1276</v>
      </c>
      <c r="T6014" s="114"/>
      <c r="U6014" s="21"/>
      <c r="V6014" s="115">
        <v>46116</v>
      </c>
      <c r="W6014" s="116">
        <v>1295</v>
      </c>
      <c r="X6014" s="220">
        <v>3105000</v>
      </c>
      <c r="Y6014" s="220">
        <f>X6014*0.1</f>
        <v>310500</v>
      </c>
      <c r="Z6014" s="220">
        <v>14930</v>
      </c>
      <c r="AA6014" s="220">
        <f>SUM(X6014:Z6014)</f>
        <v>3430430</v>
      </c>
      <c r="AB6014" s="222">
        <v>46119</v>
      </c>
    </row>
    <row r="6015" spans="1:28" ht="17.100000000000001" customHeight="1" thickBot="1">
      <c r="A6015" s="227"/>
      <c r="B6015" s="27" t="s">
        <v>1708</v>
      </c>
      <c r="C6015" s="27" t="s">
        <v>17046</v>
      </c>
      <c r="D6015" s="14" t="s">
        <v>2059</v>
      </c>
      <c r="E6015" s="229"/>
      <c r="F6015" s="117" t="s">
        <v>17048</v>
      </c>
      <c r="G6015" s="26">
        <v>31190</v>
      </c>
      <c r="H6015" s="231"/>
      <c r="I6015" s="221"/>
      <c r="J6015" s="221"/>
      <c r="K6015" s="221"/>
      <c r="L6015" s="221"/>
      <c r="M6015" s="221"/>
      <c r="N6015" s="221"/>
      <c r="O6015" s="225"/>
      <c r="P6015" s="118" t="s">
        <v>21378</v>
      </c>
      <c r="Q6015" s="16" t="s">
        <v>20</v>
      </c>
      <c r="R6015" s="17" t="s">
        <v>21379</v>
      </c>
      <c r="S6015" s="121" t="s">
        <v>21380</v>
      </c>
      <c r="T6015" s="122"/>
      <c r="U6015" s="22"/>
      <c r="V6015" s="123" t="s">
        <v>2472</v>
      </c>
      <c r="W6015" s="122">
        <v>31006</v>
      </c>
      <c r="X6015" s="221"/>
      <c r="Y6015" s="221"/>
      <c r="Z6015" s="221"/>
      <c r="AA6015" s="221"/>
      <c r="AB6015" s="223"/>
    </row>
    <row r="6016" spans="1:28" ht="17.100000000000001" customHeight="1" thickTop="1">
      <c r="A6016" s="226" t="s">
        <v>17078</v>
      </c>
      <c r="B6016" s="28">
        <v>46062</v>
      </c>
      <c r="C6016" s="25"/>
      <c r="D6016" s="13" t="s">
        <v>2057</v>
      </c>
      <c r="E6016" s="228"/>
      <c r="F6016" s="109" t="s">
        <v>17085</v>
      </c>
      <c r="G6016" s="24" t="s">
        <v>4446</v>
      </c>
      <c r="H6016" s="230">
        <v>5</v>
      </c>
      <c r="I6016" s="220">
        <f>2040500/1.1</f>
        <v>1854999.9999999998</v>
      </c>
      <c r="J6016" s="220">
        <f>I6016*0.1</f>
        <v>185500</v>
      </c>
      <c r="K6016" s="220">
        <v>0</v>
      </c>
      <c r="L6016" s="220">
        <v>10000</v>
      </c>
      <c r="M6016" s="220">
        <v>0</v>
      </c>
      <c r="N6016" s="220">
        <f>SUM(I6016:M6017)</f>
        <v>2050499.9999999998</v>
      </c>
      <c r="O6016" s="224" t="s">
        <v>21381</v>
      </c>
      <c r="P6016" s="110" t="s">
        <v>21683</v>
      </c>
      <c r="Q6016" s="15" t="s">
        <v>19</v>
      </c>
      <c r="R6016" s="205"/>
      <c r="S6016" s="189" t="s">
        <v>1312</v>
      </c>
      <c r="T6016" s="114"/>
      <c r="U6016" s="21" t="s">
        <v>21741</v>
      </c>
      <c r="V6016" s="115">
        <v>46123</v>
      </c>
      <c r="W6016" s="116">
        <v>1296</v>
      </c>
      <c r="X6016" s="220">
        <v>1960000</v>
      </c>
      <c r="Y6016" s="220">
        <f>X6016*0.1</f>
        <v>196000</v>
      </c>
      <c r="Z6016" s="220">
        <v>10000</v>
      </c>
      <c r="AA6016" s="220">
        <f>SUM(X6016:Z6016)</f>
        <v>2166000</v>
      </c>
      <c r="AB6016" s="222">
        <v>46126</v>
      </c>
    </row>
    <row r="6017" spans="1:28" ht="17.100000000000001" customHeight="1" thickBot="1">
      <c r="A6017" s="227"/>
      <c r="B6017" s="27" t="s">
        <v>1708</v>
      </c>
      <c r="C6017" s="27" t="s">
        <v>17084</v>
      </c>
      <c r="D6017" s="14" t="s">
        <v>2753</v>
      </c>
      <c r="E6017" s="229"/>
      <c r="F6017" s="117" t="s">
        <v>17086</v>
      </c>
      <c r="G6017" s="26">
        <v>13699</v>
      </c>
      <c r="H6017" s="231"/>
      <c r="I6017" s="221"/>
      <c r="J6017" s="221"/>
      <c r="K6017" s="221"/>
      <c r="L6017" s="221"/>
      <c r="M6017" s="221"/>
      <c r="N6017" s="221"/>
      <c r="O6017" s="225"/>
      <c r="P6017" s="118" t="s">
        <v>4306</v>
      </c>
      <c r="Q6017" s="16" t="s">
        <v>20</v>
      </c>
      <c r="R6017" s="17" t="s">
        <v>1772</v>
      </c>
      <c r="S6017" s="121" t="s">
        <v>7898</v>
      </c>
      <c r="T6017" s="122"/>
      <c r="U6017" s="22"/>
      <c r="V6017" s="123" t="s">
        <v>7160</v>
      </c>
      <c r="W6017" s="122">
        <v>37746</v>
      </c>
      <c r="X6017" s="221"/>
      <c r="Y6017" s="221"/>
      <c r="Z6017" s="221"/>
      <c r="AA6017" s="221"/>
      <c r="AB6017" s="223"/>
    </row>
    <row r="6018" spans="1:28" ht="17.100000000000001" customHeight="1" thickTop="1">
      <c r="A6018" s="226" t="s">
        <v>17079</v>
      </c>
      <c r="B6018" s="28">
        <v>46062</v>
      </c>
      <c r="C6018" s="25"/>
      <c r="D6018" s="13" t="s">
        <v>2182</v>
      </c>
      <c r="E6018" s="228"/>
      <c r="F6018" s="109" t="s">
        <v>17088</v>
      </c>
      <c r="G6018" s="24" t="s">
        <v>10428</v>
      </c>
      <c r="H6018" s="230">
        <v>4.5</v>
      </c>
      <c r="I6018" s="220">
        <f>4240500/1.1</f>
        <v>3854999.9999999995</v>
      </c>
      <c r="J6018" s="220">
        <f>I6018*0.1</f>
        <v>385500</v>
      </c>
      <c r="K6018" s="220">
        <v>3000</v>
      </c>
      <c r="L6018" s="220">
        <v>13850</v>
      </c>
      <c r="M6018" s="220">
        <v>0</v>
      </c>
      <c r="N6018" s="220">
        <f>SUM(I6018:M6019)</f>
        <v>4257350</v>
      </c>
      <c r="O6018" s="224"/>
      <c r="P6018" s="110" t="s">
        <v>18472</v>
      </c>
      <c r="Q6018" s="15" t="s">
        <v>19</v>
      </c>
      <c r="R6018" s="205"/>
      <c r="S6018" s="189" t="s">
        <v>1276</v>
      </c>
      <c r="T6018" s="114"/>
      <c r="U6018" s="21" t="s">
        <v>19496</v>
      </c>
      <c r="V6018" s="115">
        <v>46101</v>
      </c>
      <c r="W6018" s="116"/>
      <c r="X6018" s="220">
        <v>3970000</v>
      </c>
      <c r="Y6018" s="220">
        <f>X6018*0.1</f>
        <v>397000</v>
      </c>
      <c r="Z6018" s="220">
        <v>13850</v>
      </c>
      <c r="AA6018" s="220">
        <f>SUM(X6018:Z6018)</f>
        <v>4380850</v>
      </c>
      <c r="AB6018" s="222"/>
    </row>
    <row r="6019" spans="1:28" ht="17.100000000000001" customHeight="1" thickBot="1">
      <c r="A6019" s="227"/>
      <c r="B6019" s="27" t="s">
        <v>1708</v>
      </c>
      <c r="C6019" s="27" t="s">
        <v>17087</v>
      </c>
      <c r="D6019" s="14" t="s">
        <v>1710</v>
      </c>
      <c r="E6019" s="229"/>
      <c r="F6019" s="117" t="s">
        <v>17089</v>
      </c>
      <c r="G6019" s="26">
        <v>17588</v>
      </c>
      <c r="H6019" s="231"/>
      <c r="I6019" s="221"/>
      <c r="J6019" s="221"/>
      <c r="K6019" s="221"/>
      <c r="L6019" s="221"/>
      <c r="M6019" s="221"/>
      <c r="N6019" s="221"/>
      <c r="O6019" s="225"/>
      <c r="P6019" s="118" t="s">
        <v>18473</v>
      </c>
      <c r="Q6019" s="16" t="s">
        <v>20</v>
      </c>
      <c r="R6019" s="17" t="s">
        <v>3559</v>
      </c>
      <c r="S6019" s="121" t="s">
        <v>18474</v>
      </c>
      <c r="T6019" s="122"/>
      <c r="U6019" s="22"/>
      <c r="V6019" s="123" t="s">
        <v>6682</v>
      </c>
      <c r="W6019" s="122">
        <v>51422</v>
      </c>
      <c r="X6019" s="221"/>
      <c r="Y6019" s="221"/>
      <c r="Z6019" s="221"/>
      <c r="AA6019" s="221"/>
      <c r="AB6019" s="223"/>
    </row>
    <row r="6020" spans="1:28" ht="17.100000000000001" customHeight="1" thickTop="1">
      <c r="A6020" s="226" t="s">
        <v>17080</v>
      </c>
      <c r="B6020" s="28">
        <v>46062</v>
      </c>
      <c r="C6020" s="25"/>
      <c r="D6020" s="13" t="s">
        <v>2010</v>
      </c>
      <c r="E6020" s="228"/>
      <c r="F6020" s="109" t="s">
        <v>17130</v>
      </c>
      <c r="G6020" s="24" t="s">
        <v>4968</v>
      </c>
      <c r="H6020" s="230">
        <v>4.5</v>
      </c>
      <c r="I6020" s="220">
        <f>3014000/1.1</f>
        <v>2740000</v>
      </c>
      <c r="J6020" s="220">
        <f>I6020*0.1</f>
        <v>274000</v>
      </c>
      <c r="K6020" s="220">
        <v>3600</v>
      </c>
      <c r="L6020" s="220">
        <v>10660</v>
      </c>
      <c r="M6020" s="220">
        <v>0</v>
      </c>
      <c r="N6020" s="220">
        <f>SUM(I6020:M6021)</f>
        <v>3028260</v>
      </c>
      <c r="O6020" s="224"/>
      <c r="P6020" s="110" t="s">
        <v>19794</v>
      </c>
      <c r="Q6020" s="15" t="s">
        <v>19</v>
      </c>
      <c r="R6020" s="205"/>
      <c r="S6020" s="189" t="s">
        <v>1276</v>
      </c>
      <c r="T6020" s="114"/>
      <c r="U6020" s="21"/>
      <c r="V6020" s="115">
        <v>46095</v>
      </c>
      <c r="W6020" s="116">
        <v>1292</v>
      </c>
      <c r="X6020" s="220">
        <v>2640000</v>
      </c>
      <c r="Y6020" s="220">
        <f>X6020*0.1</f>
        <v>264000</v>
      </c>
      <c r="Z6020" s="220">
        <v>10660</v>
      </c>
      <c r="AA6020" s="220">
        <f>SUM(X6020:Z6020)</f>
        <v>2914660</v>
      </c>
      <c r="AB6020" s="222">
        <v>46100</v>
      </c>
    </row>
    <row r="6021" spans="1:28" ht="17.100000000000001" customHeight="1" thickBot="1">
      <c r="A6021" s="227"/>
      <c r="B6021" s="27" t="s">
        <v>1708</v>
      </c>
      <c r="C6021" s="27" t="s">
        <v>17090</v>
      </c>
      <c r="D6021" s="14" t="s">
        <v>1548</v>
      </c>
      <c r="E6021" s="229"/>
      <c r="F6021" s="117" t="s">
        <v>17091</v>
      </c>
      <c r="G6021" s="26">
        <v>26478</v>
      </c>
      <c r="H6021" s="231"/>
      <c r="I6021" s="221"/>
      <c r="J6021" s="221"/>
      <c r="K6021" s="221"/>
      <c r="L6021" s="221"/>
      <c r="M6021" s="221"/>
      <c r="N6021" s="221"/>
      <c r="O6021" s="225"/>
      <c r="P6021" s="118" t="s">
        <v>2906</v>
      </c>
      <c r="Q6021" s="16" t="s">
        <v>20</v>
      </c>
      <c r="R6021" s="17" t="s">
        <v>2657</v>
      </c>
      <c r="S6021" s="121" t="s">
        <v>19795</v>
      </c>
      <c r="T6021" s="122"/>
      <c r="U6021" s="22"/>
      <c r="V6021" s="123" t="s">
        <v>2472</v>
      </c>
      <c r="W6021" s="122">
        <v>31225</v>
      </c>
      <c r="X6021" s="221"/>
      <c r="Y6021" s="221"/>
      <c r="Z6021" s="221"/>
      <c r="AA6021" s="221"/>
      <c r="AB6021" s="223"/>
    </row>
    <row r="6022" spans="1:28" ht="17.100000000000001" customHeight="1" thickTop="1">
      <c r="A6022" s="226" t="s">
        <v>17081</v>
      </c>
      <c r="B6022" s="28">
        <v>46062</v>
      </c>
      <c r="C6022" s="25"/>
      <c r="D6022" s="13" t="s">
        <v>1824</v>
      </c>
      <c r="E6022" s="228"/>
      <c r="F6022" s="109" t="s">
        <v>9188</v>
      </c>
      <c r="G6022" s="24" t="s">
        <v>5007</v>
      </c>
      <c r="H6022" s="230">
        <v>4</v>
      </c>
      <c r="I6022" s="220">
        <f>504900/1.1</f>
        <v>458999.99999999994</v>
      </c>
      <c r="J6022" s="220">
        <f>I6022*0.1</f>
        <v>45900</v>
      </c>
      <c r="K6022" s="220">
        <v>7200</v>
      </c>
      <c r="L6022" s="220">
        <v>9790</v>
      </c>
      <c r="M6022" s="220">
        <v>0</v>
      </c>
      <c r="N6022" s="220">
        <f>SUM(I6022:M6023)</f>
        <v>521889.99999999994</v>
      </c>
      <c r="O6022" s="224"/>
      <c r="P6022" s="110" t="s">
        <v>18165</v>
      </c>
      <c r="Q6022" s="15" t="s">
        <v>19</v>
      </c>
      <c r="R6022" s="205"/>
      <c r="S6022" s="189" t="s">
        <v>25667</v>
      </c>
      <c r="T6022" s="114"/>
      <c r="U6022" s="21"/>
      <c r="V6022" s="115">
        <v>46081</v>
      </c>
      <c r="W6022" s="116">
        <v>1290</v>
      </c>
      <c r="X6022" s="220">
        <v>590000</v>
      </c>
      <c r="Y6022" s="220">
        <f>X6022*0.1</f>
        <v>59000</v>
      </c>
      <c r="Z6022" s="220">
        <v>9790</v>
      </c>
      <c r="AA6022" s="220">
        <f>SUM(X6022:Z6022)</f>
        <v>658790</v>
      </c>
      <c r="AB6022" s="222">
        <v>46084</v>
      </c>
    </row>
    <row r="6023" spans="1:28" ht="17.100000000000001" customHeight="1" thickBot="1">
      <c r="A6023" s="227"/>
      <c r="B6023" s="27" t="s">
        <v>1708</v>
      </c>
      <c r="C6023" s="27" t="s">
        <v>17092</v>
      </c>
      <c r="D6023" s="14" t="s">
        <v>1568</v>
      </c>
      <c r="E6023" s="229"/>
      <c r="F6023" s="117" t="s">
        <v>17093</v>
      </c>
      <c r="G6023" s="26">
        <v>47128</v>
      </c>
      <c r="H6023" s="231"/>
      <c r="I6023" s="221"/>
      <c r="J6023" s="221"/>
      <c r="K6023" s="221"/>
      <c r="L6023" s="221"/>
      <c r="M6023" s="221"/>
      <c r="N6023" s="221"/>
      <c r="O6023" s="225"/>
      <c r="P6023" s="118" t="s">
        <v>18166</v>
      </c>
      <c r="Q6023" s="16" t="s">
        <v>20</v>
      </c>
      <c r="R6023" s="17" t="s">
        <v>2311</v>
      </c>
      <c r="S6023" s="121" t="s">
        <v>4035</v>
      </c>
      <c r="T6023" s="122"/>
      <c r="U6023" s="22"/>
      <c r="V6023" s="123" t="s">
        <v>2472</v>
      </c>
      <c r="W6023" s="122">
        <v>65588</v>
      </c>
      <c r="X6023" s="221"/>
      <c r="Y6023" s="221"/>
      <c r="Z6023" s="221"/>
      <c r="AA6023" s="221"/>
      <c r="AB6023" s="223"/>
    </row>
    <row r="6024" spans="1:28" ht="17.100000000000001" customHeight="1" thickTop="1">
      <c r="A6024" s="226" t="s">
        <v>17082</v>
      </c>
      <c r="B6024" s="28">
        <v>46062</v>
      </c>
      <c r="C6024" s="25"/>
      <c r="D6024" s="13" t="s">
        <v>2040</v>
      </c>
      <c r="E6024" s="228"/>
      <c r="F6024" s="109" t="s">
        <v>17095</v>
      </c>
      <c r="G6024" s="24" t="s">
        <v>5346</v>
      </c>
      <c r="H6024" s="230">
        <v>4.5</v>
      </c>
      <c r="I6024" s="220">
        <f>1485000/1.1</f>
        <v>1350000</v>
      </c>
      <c r="J6024" s="220">
        <f>I6024*0.1</f>
        <v>135000</v>
      </c>
      <c r="K6024" s="220">
        <v>0</v>
      </c>
      <c r="L6024" s="220">
        <v>6850</v>
      </c>
      <c r="M6024" s="220">
        <v>0</v>
      </c>
      <c r="N6024" s="220">
        <f>SUM(I6024:M6025)</f>
        <v>1491850</v>
      </c>
      <c r="O6024" s="224"/>
      <c r="P6024" s="110" t="s">
        <v>18933</v>
      </c>
      <c r="Q6024" s="15" t="s">
        <v>19</v>
      </c>
      <c r="R6024" s="205"/>
      <c r="S6024" s="189" t="s">
        <v>1276</v>
      </c>
      <c r="T6024" s="114"/>
      <c r="U6024" s="21" t="s">
        <v>19296</v>
      </c>
      <c r="V6024" s="115">
        <v>46084</v>
      </c>
      <c r="W6024" s="116">
        <v>1931</v>
      </c>
      <c r="X6024" s="220">
        <v>1506000</v>
      </c>
      <c r="Y6024" s="220">
        <f>X6024*0.1</f>
        <v>150600</v>
      </c>
      <c r="Z6024" s="220">
        <v>6850</v>
      </c>
      <c r="AA6024" s="220">
        <f>SUM(X6024:Z6024)</f>
        <v>1663450</v>
      </c>
      <c r="AB6024" s="222"/>
    </row>
    <row r="6025" spans="1:28" ht="17.100000000000001" customHeight="1" thickBot="1">
      <c r="A6025" s="227"/>
      <c r="B6025" s="27" t="s">
        <v>1708</v>
      </c>
      <c r="C6025" s="27" t="s">
        <v>17094</v>
      </c>
      <c r="D6025" s="14" t="s">
        <v>1797</v>
      </c>
      <c r="E6025" s="229"/>
      <c r="F6025" s="117" t="s">
        <v>17096</v>
      </c>
      <c r="G6025" s="26">
        <v>27414</v>
      </c>
      <c r="H6025" s="231"/>
      <c r="I6025" s="221"/>
      <c r="J6025" s="221"/>
      <c r="K6025" s="221"/>
      <c r="L6025" s="221"/>
      <c r="M6025" s="221"/>
      <c r="N6025" s="221"/>
      <c r="O6025" s="225"/>
      <c r="P6025" s="118" t="s">
        <v>18934</v>
      </c>
      <c r="Q6025" s="16" t="s">
        <v>20</v>
      </c>
      <c r="R6025" s="17" t="s">
        <v>18931</v>
      </c>
      <c r="S6025" s="121" t="s">
        <v>18935</v>
      </c>
      <c r="T6025" s="122"/>
      <c r="U6025" s="22"/>
      <c r="V6025" s="123" t="s">
        <v>2103</v>
      </c>
      <c r="W6025" s="122">
        <v>3181</v>
      </c>
      <c r="X6025" s="221"/>
      <c r="Y6025" s="221"/>
      <c r="Z6025" s="221"/>
      <c r="AA6025" s="221"/>
      <c r="AB6025" s="223"/>
    </row>
    <row r="6026" spans="1:28" ht="17.100000000000001" customHeight="1" thickTop="1">
      <c r="A6026" s="226" t="s">
        <v>17083</v>
      </c>
      <c r="B6026" s="28">
        <v>46062</v>
      </c>
      <c r="C6026" s="25"/>
      <c r="D6026" s="13" t="s">
        <v>2441</v>
      </c>
      <c r="E6026" s="228"/>
      <c r="F6026" s="109" t="s">
        <v>5122</v>
      </c>
      <c r="G6026" s="24" t="s">
        <v>17099</v>
      </c>
      <c r="H6026" s="230">
        <v>4.5</v>
      </c>
      <c r="I6026" s="220">
        <f>3250500/1.1</f>
        <v>2954999.9999999995</v>
      </c>
      <c r="J6026" s="220">
        <f>I6026*0.1</f>
        <v>295499.99999999994</v>
      </c>
      <c r="K6026" s="220">
        <v>3000</v>
      </c>
      <c r="L6026" s="220">
        <v>12250</v>
      </c>
      <c r="M6026" s="220">
        <v>0</v>
      </c>
      <c r="N6026" s="220">
        <f>SUM(I6026:M6027)</f>
        <v>3265749.9999999995</v>
      </c>
      <c r="O6026" s="224"/>
      <c r="P6026" s="110"/>
      <c r="Q6026" s="15" t="s">
        <v>19</v>
      </c>
      <c r="R6026" s="205"/>
      <c r="S6026" s="189" t="s">
        <v>1422</v>
      </c>
      <c r="T6026" s="114"/>
      <c r="U6026" s="21"/>
      <c r="V6026" s="115">
        <v>46088</v>
      </c>
      <c r="W6026" s="116">
        <v>1291</v>
      </c>
      <c r="X6026" s="220">
        <v>3020000</v>
      </c>
      <c r="Y6026" s="220">
        <f>X6026*0.1</f>
        <v>302000</v>
      </c>
      <c r="Z6026" s="220">
        <v>12250</v>
      </c>
      <c r="AA6026" s="220">
        <f>SUM(X6026:Z6026)</f>
        <v>3334250</v>
      </c>
      <c r="AB6026" s="222">
        <v>46093</v>
      </c>
    </row>
    <row r="6027" spans="1:28" ht="17.100000000000001" customHeight="1" thickBot="1">
      <c r="A6027" s="227"/>
      <c r="B6027" s="27" t="s">
        <v>1708</v>
      </c>
      <c r="C6027" s="27" t="s">
        <v>17097</v>
      </c>
      <c r="D6027" s="14" t="s">
        <v>131</v>
      </c>
      <c r="E6027" s="229"/>
      <c r="F6027" s="117" t="s">
        <v>17098</v>
      </c>
      <c r="G6027" s="26">
        <v>19706</v>
      </c>
      <c r="H6027" s="231"/>
      <c r="I6027" s="221"/>
      <c r="J6027" s="221"/>
      <c r="K6027" s="221"/>
      <c r="L6027" s="221"/>
      <c r="M6027" s="221"/>
      <c r="N6027" s="221"/>
      <c r="O6027" s="225"/>
      <c r="P6027" s="118"/>
      <c r="Q6027" s="16" t="s">
        <v>20</v>
      </c>
      <c r="R6027" s="17"/>
      <c r="S6027" s="121"/>
      <c r="T6027" s="122"/>
      <c r="U6027" s="22"/>
      <c r="V6027" s="123" t="s">
        <v>2472</v>
      </c>
      <c r="W6027" s="122">
        <v>37625</v>
      </c>
      <c r="X6027" s="221"/>
      <c r="Y6027" s="221"/>
      <c r="Z6027" s="221"/>
      <c r="AA6027" s="221"/>
      <c r="AB6027" s="223"/>
    </row>
    <row r="6028" spans="1:28" ht="17.100000000000001" customHeight="1" thickTop="1">
      <c r="A6028" s="226" t="s">
        <v>17131</v>
      </c>
      <c r="B6028" s="28">
        <v>46063</v>
      </c>
      <c r="C6028" s="25">
        <v>1080</v>
      </c>
      <c r="D6028" s="13" t="s">
        <v>2065</v>
      </c>
      <c r="E6028" s="228"/>
      <c r="F6028" s="109" t="s">
        <v>17146</v>
      </c>
      <c r="G6028" s="24" t="s">
        <v>14175</v>
      </c>
      <c r="H6028" s="230">
        <v>4.5</v>
      </c>
      <c r="I6028" s="220">
        <v>2215000</v>
      </c>
      <c r="J6028" s="220">
        <f>I6028*0.1</f>
        <v>221500</v>
      </c>
      <c r="K6028" s="220">
        <v>3300</v>
      </c>
      <c r="L6028" s="220">
        <v>22160</v>
      </c>
      <c r="M6028" s="220">
        <v>16500</v>
      </c>
      <c r="N6028" s="220">
        <f>SUM(I6028:M6029)</f>
        <v>2478460</v>
      </c>
      <c r="O6028" s="224"/>
      <c r="P6028" s="110" t="s">
        <v>17164</v>
      </c>
      <c r="Q6028" s="15" t="s">
        <v>19</v>
      </c>
      <c r="R6028" s="205"/>
      <c r="S6028" s="189" t="s">
        <v>25691</v>
      </c>
      <c r="T6028" s="114" t="s">
        <v>20395</v>
      </c>
      <c r="U6028" s="21" t="s">
        <v>19380</v>
      </c>
      <c r="V6028" s="115">
        <v>46102</v>
      </c>
      <c r="W6028" s="116">
        <v>1293</v>
      </c>
      <c r="X6028" s="220">
        <v>2350000</v>
      </c>
      <c r="Y6028" s="220">
        <f>X6028*0.1</f>
        <v>235000</v>
      </c>
      <c r="Z6028" s="220">
        <v>22160</v>
      </c>
      <c r="AA6028" s="220">
        <f>SUM(X6028:Z6028)</f>
        <v>2607160</v>
      </c>
      <c r="AB6028" s="222">
        <v>46105</v>
      </c>
    </row>
    <row r="6029" spans="1:28" ht="17.100000000000001" customHeight="1" thickBot="1">
      <c r="A6029" s="227"/>
      <c r="B6029" s="27" t="s">
        <v>1583</v>
      </c>
      <c r="C6029" s="27">
        <v>84038</v>
      </c>
      <c r="D6029" s="14" t="s">
        <v>1690</v>
      </c>
      <c r="E6029" s="229"/>
      <c r="F6029" s="117" t="s">
        <v>17163</v>
      </c>
      <c r="G6029" s="26">
        <v>41407</v>
      </c>
      <c r="H6029" s="231"/>
      <c r="I6029" s="221"/>
      <c r="J6029" s="221"/>
      <c r="K6029" s="221"/>
      <c r="L6029" s="221"/>
      <c r="M6029" s="221"/>
      <c r="N6029" s="221"/>
      <c r="O6029" s="225"/>
      <c r="P6029" s="118" t="s">
        <v>17366</v>
      </c>
      <c r="Q6029" s="16" t="s">
        <v>20</v>
      </c>
      <c r="R6029" s="17" t="s">
        <v>17360</v>
      </c>
      <c r="S6029" s="121" t="s">
        <v>1606</v>
      </c>
      <c r="T6029" s="122" t="s">
        <v>25015</v>
      </c>
      <c r="U6029" s="22"/>
      <c r="V6029" s="123" t="s">
        <v>2472</v>
      </c>
      <c r="W6029" s="122">
        <v>80007</v>
      </c>
      <c r="X6029" s="221"/>
      <c r="Y6029" s="221"/>
      <c r="Z6029" s="221"/>
      <c r="AA6029" s="221"/>
      <c r="AB6029" s="223"/>
    </row>
    <row r="6030" spans="1:28" ht="17.100000000000001" customHeight="1" thickTop="1" thickBot="1">
      <c r="A6030" s="226" t="s">
        <v>17132</v>
      </c>
      <c r="B6030" s="28">
        <v>46063</v>
      </c>
      <c r="C6030" s="25">
        <v>1928</v>
      </c>
      <c r="D6030" s="13" t="s">
        <v>1634</v>
      </c>
      <c r="E6030" s="228"/>
      <c r="F6030" s="109" t="s">
        <v>17147</v>
      </c>
      <c r="G6030" s="24"/>
      <c r="H6030" s="230">
        <v>4.5</v>
      </c>
      <c r="I6030" s="220">
        <v>1029000</v>
      </c>
      <c r="J6030" s="220">
        <f>I6030*0.1</f>
        <v>102900</v>
      </c>
      <c r="K6030" s="220">
        <v>0</v>
      </c>
      <c r="L6030" s="220">
        <v>8040</v>
      </c>
      <c r="M6030" s="220">
        <v>15950</v>
      </c>
      <c r="N6030" s="220">
        <f>SUM(I6030:M6031)</f>
        <v>1155890</v>
      </c>
      <c r="O6030" s="224"/>
      <c r="P6030" s="110" t="s">
        <v>17711</v>
      </c>
      <c r="Q6030" s="15" t="s">
        <v>19</v>
      </c>
      <c r="R6030" s="205"/>
      <c r="S6030" s="189" t="s">
        <v>25780</v>
      </c>
      <c r="T6030" s="122"/>
      <c r="U6030" s="21"/>
      <c r="V6030" s="115"/>
      <c r="W6030" s="116"/>
      <c r="X6030" s="220"/>
      <c r="Y6030" s="220">
        <f>X6030*0.1</f>
        <v>0</v>
      </c>
      <c r="Z6030" s="220"/>
      <c r="AA6030" s="220">
        <f>SUM(X6030:Z6030)</f>
        <v>0</v>
      </c>
      <c r="AB6030" s="222"/>
    </row>
    <row r="6031" spans="1:28" ht="17.100000000000001" customHeight="1" thickBot="1">
      <c r="A6031" s="227"/>
      <c r="B6031" s="27" t="s">
        <v>2103</v>
      </c>
      <c r="C6031" s="27">
        <v>3173</v>
      </c>
      <c r="D6031" s="14" t="s">
        <v>2559</v>
      </c>
      <c r="E6031" s="229"/>
      <c r="F6031" s="117" t="s">
        <v>17148</v>
      </c>
      <c r="G6031" s="26">
        <v>30368</v>
      </c>
      <c r="H6031" s="231"/>
      <c r="I6031" s="221"/>
      <c r="J6031" s="221"/>
      <c r="K6031" s="221"/>
      <c r="L6031" s="221"/>
      <c r="M6031" s="221"/>
      <c r="N6031" s="221"/>
      <c r="O6031" s="225"/>
      <c r="P6031" s="118" t="s">
        <v>10976</v>
      </c>
      <c r="Q6031" s="16" t="s">
        <v>20</v>
      </c>
      <c r="R6031" s="17" t="s">
        <v>1860</v>
      </c>
      <c r="S6031" s="121" t="s">
        <v>17712</v>
      </c>
      <c r="T6031" s="122"/>
      <c r="U6031" s="22"/>
      <c r="V6031" s="123"/>
      <c r="W6031" s="122"/>
      <c r="X6031" s="221"/>
      <c r="Y6031" s="221"/>
      <c r="Z6031" s="221"/>
      <c r="AA6031" s="221"/>
      <c r="AB6031" s="223"/>
    </row>
    <row r="6032" spans="1:28" ht="17.100000000000001" customHeight="1" thickTop="1">
      <c r="A6032" s="226" t="s">
        <v>17133</v>
      </c>
      <c r="B6032" s="28">
        <v>46063</v>
      </c>
      <c r="C6032" s="25">
        <v>1928</v>
      </c>
      <c r="D6032" s="13" t="s">
        <v>1634</v>
      </c>
      <c r="E6032" s="228"/>
      <c r="F6032" s="109" t="s">
        <v>17147</v>
      </c>
      <c r="G6032" s="24"/>
      <c r="H6032" s="230">
        <v>3.5</v>
      </c>
      <c r="I6032" s="220">
        <v>907000</v>
      </c>
      <c r="J6032" s="220">
        <f>I6032*0.1</f>
        <v>90700</v>
      </c>
      <c r="K6032" s="220">
        <v>0</v>
      </c>
      <c r="L6032" s="220">
        <v>8040</v>
      </c>
      <c r="M6032" s="220">
        <v>15950</v>
      </c>
      <c r="N6032" s="220">
        <f>SUM(I6032:M6033)</f>
        <v>1021690</v>
      </c>
      <c r="O6032" s="224"/>
      <c r="P6032" s="110" t="s">
        <v>17715</v>
      </c>
      <c r="Q6032" s="15" t="s">
        <v>19</v>
      </c>
      <c r="R6032" s="205"/>
      <c r="S6032" s="189" t="s">
        <v>25780</v>
      </c>
      <c r="T6032" s="114"/>
      <c r="U6032" s="21"/>
      <c r="V6032" s="115">
        <v>46085</v>
      </c>
      <c r="W6032" s="116">
        <v>1007</v>
      </c>
      <c r="X6032" s="220">
        <v>965000</v>
      </c>
      <c r="Y6032" s="220">
        <f>X6032*0.1</f>
        <v>96500</v>
      </c>
      <c r="Z6032" s="220">
        <v>8040</v>
      </c>
      <c r="AA6032" s="220">
        <f>SUM(X6032:Z6032)</f>
        <v>1069540</v>
      </c>
      <c r="AB6032" s="222">
        <v>46090</v>
      </c>
    </row>
    <row r="6033" spans="1:28" ht="17.100000000000001" customHeight="1" thickBot="1">
      <c r="A6033" s="227"/>
      <c r="B6033" s="27" t="s">
        <v>2103</v>
      </c>
      <c r="C6033" s="27">
        <v>3193</v>
      </c>
      <c r="D6033" s="14" t="s">
        <v>2559</v>
      </c>
      <c r="E6033" s="229"/>
      <c r="F6033" s="117" t="s">
        <v>17149</v>
      </c>
      <c r="G6033" s="26">
        <v>43570</v>
      </c>
      <c r="H6033" s="231"/>
      <c r="I6033" s="221"/>
      <c r="J6033" s="221"/>
      <c r="K6033" s="221"/>
      <c r="L6033" s="221"/>
      <c r="M6033" s="221"/>
      <c r="N6033" s="221"/>
      <c r="O6033" s="225"/>
      <c r="P6033" s="118" t="s">
        <v>10976</v>
      </c>
      <c r="Q6033" s="16" t="s">
        <v>20</v>
      </c>
      <c r="R6033" s="17" t="s">
        <v>1860</v>
      </c>
      <c r="S6033" s="121" t="s">
        <v>6952</v>
      </c>
      <c r="T6033" s="122"/>
      <c r="U6033" s="22"/>
      <c r="V6033" s="123" t="s">
        <v>2747</v>
      </c>
      <c r="W6033" s="122">
        <v>2039</v>
      </c>
      <c r="X6033" s="221"/>
      <c r="Y6033" s="221"/>
      <c r="Z6033" s="221"/>
      <c r="AA6033" s="221"/>
      <c r="AB6033" s="223"/>
    </row>
    <row r="6034" spans="1:28" ht="17.100000000000001" customHeight="1" thickTop="1">
      <c r="A6034" s="226" t="s">
        <v>17134</v>
      </c>
      <c r="B6034" s="28">
        <v>46063</v>
      </c>
      <c r="C6034" s="25">
        <v>1928</v>
      </c>
      <c r="D6034" s="13" t="s">
        <v>17165</v>
      </c>
      <c r="E6034" s="228"/>
      <c r="F6034" s="109" t="s">
        <v>15513</v>
      </c>
      <c r="G6034" s="24"/>
      <c r="H6034" s="230">
        <v>4</v>
      </c>
      <c r="I6034" s="220">
        <v>490000</v>
      </c>
      <c r="J6034" s="220">
        <f>I6034*0.1</f>
        <v>49000</v>
      </c>
      <c r="K6034" s="220">
        <v>0</v>
      </c>
      <c r="L6034" s="220">
        <v>10010</v>
      </c>
      <c r="M6034" s="220">
        <v>15950</v>
      </c>
      <c r="N6034" s="220">
        <f>SUM(I6034:M6035)</f>
        <v>564960</v>
      </c>
      <c r="O6034" s="224"/>
      <c r="P6034" s="110" t="s">
        <v>17710</v>
      </c>
      <c r="Q6034" s="15" t="s">
        <v>19</v>
      </c>
      <c r="R6034" s="205"/>
      <c r="S6034" s="189"/>
      <c r="T6034" s="114"/>
      <c r="U6034" s="21"/>
      <c r="V6034" s="115">
        <v>46116</v>
      </c>
      <c r="W6034" s="116">
        <v>1295</v>
      </c>
      <c r="X6034" s="220">
        <v>650000</v>
      </c>
      <c r="Y6034" s="220">
        <f>X6034*0.1</f>
        <v>65000</v>
      </c>
      <c r="Z6034" s="220">
        <v>10010</v>
      </c>
      <c r="AA6034" s="220">
        <f>SUM(X6034:Z6034)</f>
        <v>725010</v>
      </c>
      <c r="AB6034" s="222">
        <v>46126</v>
      </c>
    </row>
    <row r="6035" spans="1:28" ht="17.100000000000001" customHeight="1" thickBot="1">
      <c r="A6035" s="227"/>
      <c r="B6035" s="27" t="s">
        <v>2103</v>
      </c>
      <c r="C6035" s="27">
        <v>3312</v>
      </c>
      <c r="D6035" s="14" t="s">
        <v>273</v>
      </c>
      <c r="E6035" s="229"/>
      <c r="F6035" s="117" t="s">
        <v>17150</v>
      </c>
      <c r="G6035" s="26">
        <v>15953</v>
      </c>
      <c r="H6035" s="231"/>
      <c r="I6035" s="221"/>
      <c r="J6035" s="221"/>
      <c r="K6035" s="221"/>
      <c r="L6035" s="221"/>
      <c r="M6035" s="221"/>
      <c r="N6035" s="221"/>
      <c r="O6035" s="225"/>
      <c r="P6035" s="118" t="s">
        <v>10210</v>
      </c>
      <c r="Q6035" s="16" t="s">
        <v>20</v>
      </c>
      <c r="R6035" s="17" t="s">
        <v>1860</v>
      </c>
      <c r="S6035" s="121"/>
      <c r="T6035" s="122"/>
      <c r="U6035" s="22"/>
      <c r="V6035" s="123" t="s">
        <v>6642</v>
      </c>
      <c r="W6035" s="122">
        <v>60162</v>
      </c>
      <c r="X6035" s="221"/>
      <c r="Y6035" s="221"/>
      <c r="Z6035" s="221"/>
      <c r="AA6035" s="221"/>
      <c r="AB6035" s="223"/>
    </row>
    <row r="6036" spans="1:28" ht="17.100000000000001" customHeight="1" thickTop="1">
      <c r="A6036" s="226" t="s">
        <v>17135</v>
      </c>
      <c r="B6036" s="28">
        <v>46063</v>
      </c>
      <c r="C6036" s="25">
        <v>1928</v>
      </c>
      <c r="D6036" s="13" t="s">
        <v>1837</v>
      </c>
      <c r="E6036" s="228"/>
      <c r="F6036" s="109" t="s">
        <v>17167</v>
      </c>
      <c r="G6036" s="24"/>
      <c r="H6036" s="230">
        <v>4</v>
      </c>
      <c r="I6036" s="220">
        <v>1436000</v>
      </c>
      <c r="J6036" s="220">
        <f>I6036*0.1</f>
        <v>143600</v>
      </c>
      <c r="K6036" s="220">
        <v>0</v>
      </c>
      <c r="L6036" s="220">
        <v>19180</v>
      </c>
      <c r="M6036" s="220">
        <v>15950</v>
      </c>
      <c r="N6036" s="220">
        <f>SUM(I6036:M6037)</f>
        <v>1614730</v>
      </c>
      <c r="O6036" s="224"/>
      <c r="P6036" s="110" t="s">
        <v>17700</v>
      </c>
      <c r="Q6036" s="15" t="s">
        <v>19</v>
      </c>
      <c r="R6036" s="205"/>
      <c r="S6036" s="189" t="s">
        <v>758</v>
      </c>
      <c r="T6036" s="114"/>
      <c r="U6036" s="21"/>
      <c r="V6036" s="115">
        <v>46074</v>
      </c>
      <c r="W6036" s="116">
        <v>1289</v>
      </c>
      <c r="X6036" s="220">
        <v>1550000</v>
      </c>
      <c r="Y6036" s="220">
        <f>X6036*0.1</f>
        <v>155000</v>
      </c>
      <c r="Z6036" s="220">
        <v>19180</v>
      </c>
      <c r="AA6036" s="220">
        <f>SUM(X6036:Z6036)</f>
        <v>1724180</v>
      </c>
      <c r="AB6036" s="222">
        <v>46077</v>
      </c>
    </row>
    <row r="6037" spans="1:28" ht="17.100000000000001" customHeight="1" thickBot="1">
      <c r="A6037" s="227"/>
      <c r="B6037" s="27" t="s">
        <v>2103</v>
      </c>
      <c r="C6037" s="27">
        <v>5017</v>
      </c>
      <c r="D6037" s="14" t="s">
        <v>2559</v>
      </c>
      <c r="E6037" s="229"/>
      <c r="F6037" s="117" t="s">
        <v>17166</v>
      </c>
      <c r="G6037" s="26">
        <v>99500</v>
      </c>
      <c r="H6037" s="231"/>
      <c r="I6037" s="221"/>
      <c r="J6037" s="221"/>
      <c r="K6037" s="221"/>
      <c r="L6037" s="221"/>
      <c r="M6037" s="221"/>
      <c r="N6037" s="221"/>
      <c r="O6037" s="225"/>
      <c r="P6037" s="118" t="s">
        <v>9366</v>
      </c>
      <c r="Q6037" s="16" t="s">
        <v>20</v>
      </c>
      <c r="R6037" s="17" t="s">
        <v>1860</v>
      </c>
      <c r="S6037" s="121" t="s">
        <v>9304</v>
      </c>
      <c r="T6037" s="122"/>
      <c r="U6037" s="22"/>
      <c r="V6037" s="123" t="s">
        <v>2472</v>
      </c>
      <c r="W6037" s="122">
        <v>80016</v>
      </c>
      <c r="X6037" s="221"/>
      <c r="Y6037" s="221"/>
      <c r="Z6037" s="221"/>
      <c r="AA6037" s="221"/>
      <c r="AB6037" s="223"/>
    </row>
    <row r="6038" spans="1:28" ht="17.100000000000001" customHeight="1" thickTop="1">
      <c r="A6038" s="226" t="s">
        <v>17136</v>
      </c>
      <c r="B6038" s="28">
        <v>46063</v>
      </c>
      <c r="C6038" s="25">
        <v>1928</v>
      </c>
      <c r="D6038" s="13" t="s">
        <v>1899</v>
      </c>
      <c r="E6038" s="228"/>
      <c r="F6038" s="109" t="s">
        <v>17151</v>
      </c>
      <c r="G6038" s="24"/>
      <c r="H6038" s="230">
        <v>4.5</v>
      </c>
      <c r="I6038" s="220">
        <v>680000</v>
      </c>
      <c r="J6038" s="220">
        <f>I6038*0.1</f>
        <v>68000</v>
      </c>
      <c r="K6038" s="220">
        <v>0</v>
      </c>
      <c r="L6038" s="220">
        <v>9790</v>
      </c>
      <c r="M6038" s="220">
        <v>15950</v>
      </c>
      <c r="N6038" s="220">
        <f>SUM(I6038:M6039)</f>
        <v>773740</v>
      </c>
      <c r="O6038" s="224"/>
      <c r="P6038" s="110" t="s">
        <v>17706</v>
      </c>
      <c r="Q6038" s="15" t="s">
        <v>19</v>
      </c>
      <c r="R6038" s="205"/>
      <c r="S6038" s="189" t="s">
        <v>183</v>
      </c>
      <c r="T6038" s="114"/>
      <c r="U6038" s="21"/>
      <c r="V6038" s="115">
        <v>46113</v>
      </c>
      <c r="W6038" s="116">
        <v>1011</v>
      </c>
      <c r="X6038" s="220">
        <v>765000</v>
      </c>
      <c r="Y6038" s="220">
        <f>X6038*0.1</f>
        <v>76500</v>
      </c>
      <c r="Z6038" s="220">
        <v>9790</v>
      </c>
      <c r="AA6038" s="220">
        <f>SUM(X6038:Z6038)</f>
        <v>851290</v>
      </c>
      <c r="AB6038" s="222">
        <v>46118</v>
      </c>
    </row>
    <row r="6039" spans="1:28" ht="17.100000000000001" customHeight="1" thickBot="1">
      <c r="A6039" s="227"/>
      <c r="B6039" s="27" t="s">
        <v>2103</v>
      </c>
      <c r="C6039" s="27">
        <v>5416</v>
      </c>
      <c r="D6039" s="14" t="s">
        <v>1568</v>
      </c>
      <c r="E6039" s="229"/>
      <c r="F6039" s="117" t="s">
        <v>17152</v>
      </c>
      <c r="G6039" s="26">
        <v>40145</v>
      </c>
      <c r="H6039" s="231"/>
      <c r="I6039" s="221"/>
      <c r="J6039" s="221"/>
      <c r="K6039" s="221"/>
      <c r="L6039" s="221"/>
      <c r="M6039" s="221"/>
      <c r="N6039" s="221"/>
      <c r="O6039" s="225"/>
      <c r="P6039" s="118" t="s">
        <v>17707</v>
      </c>
      <c r="Q6039" s="16" t="s">
        <v>20</v>
      </c>
      <c r="R6039" s="17" t="s">
        <v>1860</v>
      </c>
      <c r="S6039" s="121" t="s">
        <v>1731</v>
      </c>
      <c r="T6039" s="122"/>
      <c r="U6039" s="22"/>
      <c r="V6039" s="123" t="s">
        <v>2747</v>
      </c>
      <c r="W6039" s="122">
        <v>2070</v>
      </c>
      <c r="X6039" s="221"/>
      <c r="Y6039" s="221"/>
      <c r="Z6039" s="221"/>
      <c r="AA6039" s="221"/>
      <c r="AB6039" s="223"/>
    </row>
    <row r="6040" spans="1:28" ht="17.100000000000001" customHeight="1" thickTop="1">
      <c r="A6040" s="226" t="s">
        <v>17137</v>
      </c>
      <c r="B6040" s="28">
        <v>46063</v>
      </c>
      <c r="C6040" s="25">
        <v>1928</v>
      </c>
      <c r="D6040" s="13" t="s">
        <v>1607</v>
      </c>
      <c r="E6040" s="228"/>
      <c r="F6040" s="109" t="s">
        <v>17153</v>
      </c>
      <c r="G6040" s="24"/>
      <c r="H6040" s="230">
        <v>4.5</v>
      </c>
      <c r="I6040" s="220">
        <v>729000</v>
      </c>
      <c r="J6040" s="220">
        <f>I6040*0.1</f>
        <v>72900</v>
      </c>
      <c r="K6040" s="220">
        <v>0</v>
      </c>
      <c r="L6040" s="220">
        <v>9200</v>
      </c>
      <c r="M6040" s="220">
        <v>15950</v>
      </c>
      <c r="N6040" s="220">
        <f>SUM(I6040:M6041)</f>
        <v>827050</v>
      </c>
      <c r="O6040" s="224"/>
      <c r="P6040" s="110" t="s">
        <v>17708</v>
      </c>
      <c r="Q6040" s="15" t="s">
        <v>19</v>
      </c>
      <c r="R6040" s="205"/>
      <c r="S6040" s="189" t="s">
        <v>283</v>
      </c>
      <c r="T6040" s="114"/>
      <c r="U6040" s="21"/>
      <c r="V6040" s="115">
        <v>46081</v>
      </c>
      <c r="W6040" s="116">
        <v>1290</v>
      </c>
      <c r="X6040" s="220">
        <v>815000</v>
      </c>
      <c r="Y6040" s="220">
        <f>X6040*0.1</f>
        <v>81500</v>
      </c>
      <c r="Z6040" s="220">
        <v>9200</v>
      </c>
      <c r="AA6040" s="220">
        <f>SUM(X6040:Z6040)</f>
        <v>905700</v>
      </c>
      <c r="AB6040" s="222">
        <v>46084</v>
      </c>
    </row>
    <row r="6041" spans="1:28" ht="17.100000000000001" customHeight="1" thickBot="1">
      <c r="A6041" s="227"/>
      <c r="B6041" s="27" t="s">
        <v>2103</v>
      </c>
      <c r="C6041" s="27">
        <v>5446</v>
      </c>
      <c r="D6041" s="14" t="s">
        <v>3792</v>
      </c>
      <c r="E6041" s="229"/>
      <c r="F6041" s="117" t="s">
        <v>17154</v>
      </c>
      <c r="G6041" s="26">
        <v>48123</v>
      </c>
      <c r="H6041" s="231"/>
      <c r="I6041" s="221"/>
      <c r="J6041" s="221"/>
      <c r="K6041" s="221"/>
      <c r="L6041" s="221"/>
      <c r="M6041" s="221"/>
      <c r="N6041" s="221"/>
      <c r="O6041" s="225"/>
      <c r="P6041" s="118" t="s">
        <v>17709</v>
      </c>
      <c r="Q6041" s="16" t="s">
        <v>20</v>
      </c>
      <c r="R6041" s="17" t="s">
        <v>1860</v>
      </c>
      <c r="S6041" s="121" t="s">
        <v>2360</v>
      </c>
      <c r="T6041" s="122"/>
      <c r="U6041" s="22"/>
      <c r="V6041" s="123" t="s">
        <v>2472</v>
      </c>
      <c r="W6041" s="122">
        <v>60063</v>
      </c>
      <c r="X6041" s="221"/>
      <c r="Y6041" s="221"/>
      <c r="Z6041" s="221"/>
      <c r="AA6041" s="221"/>
      <c r="AB6041" s="223"/>
    </row>
    <row r="6042" spans="1:28" ht="17.100000000000001" customHeight="1" thickTop="1">
      <c r="A6042" s="226" t="s">
        <v>17138</v>
      </c>
      <c r="B6042" s="28">
        <v>46063</v>
      </c>
      <c r="C6042" s="25">
        <v>806</v>
      </c>
      <c r="D6042" s="13" t="s">
        <v>2010</v>
      </c>
      <c r="E6042" s="228"/>
      <c r="F6042" s="109" t="s">
        <v>17155</v>
      </c>
      <c r="G6042" s="24"/>
      <c r="H6042" s="230">
        <v>4.5</v>
      </c>
      <c r="I6042" s="220">
        <v>2320000</v>
      </c>
      <c r="J6042" s="220">
        <f>I6042*0.1</f>
        <v>232000</v>
      </c>
      <c r="K6042" s="220">
        <v>0</v>
      </c>
      <c r="L6042" s="220">
        <v>16360</v>
      </c>
      <c r="M6042" s="220">
        <v>19250</v>
      </c>
      <c r="N6042" s="220">
        <f>SUM(I6042:M6043)</f>
        <v>2587610</v>
      </c>
      <c r="O6042" s="224"/>
      <c r="P6042" s="110" t="s">
        <v>17701</v>
      </c>
      <c r="Q6042" s="15" t="s">
        <v>19</v>
      </c>
      <c r="R6042" s="205"/>
      <c r="S6042" s="189" t="s">
        <v>283</v>
      </c>
      <c r="T6042" s="114"/>
      <c r="U6042" s="21"/>
      <c r="V6042" s="115">
        <v>46074</v>
      </c>
      <c r="W6042" s="116">
        <v>1289</v>
      </c>
      <c r="X6042" s="220">
        <v>2465000</v>
      </c>
      <c r="Y6042" s="220">
        <f>X6042*0.1</f>
        <v>246500</v>
      </c>
      <c r="Z6042" s="220">
        <v>16360</v>
      </c>
      <c r="AA6042" s="220">
        <f>SUM(X6042:Z6042)</f>
        <v>2727860</v>
      </c>
      <c r="AB6042" s="222">
        <v>46077</v>
      </c>
    </row>
    <row r="6043" spans="1:28" ht="17.100000000000001" customHeight="1" thickBot="1">
      <c r="A6043" s="227"/>
      <c r="B6043" s="27" t="s">
        <v>3314</v>
      </c>
      <c r="C6043" s="27">
        <v>5002</v>
      </c>
      <c r="D6043" s="14" t="s">
        <v>1568</v>
      </c>
      <c r="E6043" s="229"/>
      <c r="F6043" s="117" t="s">
        <v>17168</v>
      </c>
      <c r="G6043" s="26">
        <v>47437</v>
      </c>
      <c r="H6043" s="231"/>
      <c r="I6043" s="221"/>
      <c r="J6043" s="221"/>
      <c r="K6043" s="221"/>
      <c r="L6043" s="221"/>
      <c r="M6043" s="221"/>
      <c r="N6043" s="221"/>
      <c r="O6043" s="225"/>
      <c r="P6043" s="118" t="s">
        <v>3316</v>
      </c>
      <c r="Q6043" s="16" t="s">
        <v>20</v>
      </c>
      <c r="R6043" s="17" t="s">
        <v>1860</v>
      </c>
      <c r="S6043" s="121" t="s">
        <v>3552</v>
      </c>
      <c r="T6043" s="122"/>
      <c r="U6043" s="22"/>
      <c r="V6043" s="123" t="s">
        <v>2472</v>
      </c>
      <c r="W6043" s="122">
        <v>80275</v>
      </c>
      <c r="X6043" s="221"/>
      <c r="Y6043" s="221"/>
      <c r="Z6043" s="221"/>
      <c r="AA6043" s="221"/>
      <c r="AB6043" s="223"/>
    </row>
    <row r="6044" spans="1:28" ht="17.100000000000001" customHeight="1" thickTop="1">
      <c r="A6044" s="226" t="s">
        <v>17139</v>
      </c>
      <c r="B6044" s="28">
        <v>46063</v>
      </c>
      <c r="C6044" s="25">
        <v>806</v>
      </c>
      <c r="D6044" s="13" t="s">
        <v>1762</v>
      </c>
      <c r="E6044" s="228"/>
      <c r="F6044" s="109" t="s">
        <v>17156</v>
      </c>
      <c r="G6044" s="24"/>
      <c r="H6044" s="230">
        <v>4.5</v>
      </c>
      <c r="I6044" s="220">
        <v>238000</v>
      </c>
      <c r="J6044" s="220">
        <f>I6044*0.1</f>
        <v>23800</v>
      </c>
      <c r="K6044" s="220">
        <v>0</v>
      </c>
      <c r="L6044" s="220">
        <v>17700</v>
      </c>
      <c r="M6044" s="220">
        <v>15950</v>
      </c>
      <c r="N6044" s="220">
        <f>SUM(I6044:M6045)</f>
        <v>295450</v>
      </c>
      <c r="O6044" s="224"/>
      <c r="P6044" s="110" t="s">
        <v>17702</v>
      </c>
      <c r="Q6044" s="15" t="s">
        <v>19</v>
      </c>
      <c r="R6044" s="205"/>
      <c r="S6044" s="189"/>
      <c r="T6044" s="114"/>
      <c r="U6044" s="21"/>
      <c r="V6044" s="115">
        <v>46074</v>
      </c>
      <c r="W6044" s="116">
        <v>1289</v>
      </c>
      <c r="X6044" s="220">
        <v>420000</v>
      </c>
      <c r="Y6044" s="220">
        <f>X6044*0.1</f>
        <v>42000</v>
      </c>
      <c r="Z6044" s="220">
        <v>17700</v>
      </c>
      <c r="AA6044" s="220">
        <f>SUM(X6044:Z6044)</f>
        <v>479700</v>
      </c>
      <c r="AB6044" s="222">
        <v>46079</v>
      </c>
    </row>
    <row r="6045" spans="1:28" ht="17.100000000000001" customHeight="1" thickBot="1">
      <c r="A6045" s="227"/>
      <c r="B6045" s="27" t="s">
        <v>3314</v>
      </c>
      <c r="C6045" s="27">
        <v>5005</v>
      </c>
      <c r="D6045" s="14" t="s">
        <v>898</v>
      </c>
      <c r="E6045" s="229"/>
      <c r="F6045" s="117" t="s">
        <v>17169</v>
      </c>
      <c r="G6045" s="26">
        <v>38040</v>
      </c>
      <c r="H6045" s="231"/>
      <c r="I6045" s="221"/>
      <c r="J6045" s="221"/>
      <c r="K6045" s="221"/>
      <c r="L6045" s="221"/>
      <c r="M6045" s="221"/>
      <c r="N6045" s="221"/>
      <c r="O6045" s="225"/>
      <c r="P6045" s="118" t="s">
        <v>3316</v>
      </c>
      <c r="Q6045" s="16" t="s">
        <v>20</v>
      </c>
      <c r="R6045" s="17" t="s">
        <v>1860</v>
      </c>
      <c r="S6045" s="121" t="s">
        <v>9265</v>
      </c>
      <c r="T6045" s="122"/>
      <c r="U6045" s="22"/>
      <c r="V6045" s="123" t="s">
        <v>6641</v>
      </c>
      <c r="W6045" s="122">
        <v>80073</v>
      </c>
      <c r="X6045" s="221"/>
      <c r="Y6045" s="221"/>
      <c r="Z6045" s="221"/>
      <c r="AA6045" s="221"/>
      <c r="AB6045" s="223"/>
    </row>
    <row r="6046" spans="1:28" ht="17.100000000000001" customHeight="1" thickTop="1">
      <c r="A6046" s="226" t="s">
        <v>17140</v>
      </c>
      <c r="B6046" s="28">
        <v>46063</v>
      </c>
      <c r="C6046" s="25">
        <v>926</v>
      </c>
      <c r="D6046" s="13" t="s">
        <v>1578</v>
      </c>
      <c r="E6046" s="228"/>
      <c r="F6046" s="109" t="s">
        <v>17157</v>
      </c>
      <c r="G6046" s="24"/>
      <c r="H6046" s="230">
        <v>4</v>
      </c>
      <c r="I6046" s="220">
        <v>1126000</v>
      </c>
      <c r="J6046" s="220">
        <f>I6046*0.1</f>
        <v>112600</v>
      </c>
      <c r="K6046" s="220">
        <v>0</v>
      </c>
      <c r="L6046" s="220">
        <v>9200</v>
      </c>
      <c r="M6046" s="220">
        <v>15950</v>
      </c>
      <c r="N6046" s="220">
        <f>SUM(I6046:M6047)</f>
        <v>1263750</v>
      </c>
      <c r="O6046" s="224"/>
      <c r="P6046" s="110" t="s">
        <v>17721</v>
      </c>
      <c r="Q6046" s="15" t="s">
        <v>19</v>
      </c>
      <c r="R6046" s="205"/>
      <c r="S6046" s="189"/>
      <c r="T6046" s="114"/>
      <c r="U6046" s="21"/>
      <c r="V6046" s="115">
        <v>46067</v>
      </c>
      <c r="W6046" s="116">
        <v>1288</v>
      </c>
      <c r="X6046" s="220">
        <v>1250000</v>
      </c>
      <c r="Y6046" s="220">
        <f>X6046*0.1</f>
        <v>125000</v>
      </c>
      <c r="Z6046" s="220">
        <v>9200</v>
      </c>
      <c r="AA6046" s="220">
        <f>SUM(X6046:Z6046)</f>
        <v>1384200</v>
      </c>
      <c r="AB6046" s="222">
        <v>46073</v>
      </c>
    </row>
    <row r="6047" spans="1:28" ht="17.100000000000001" customHeight="1" thickBot="1">
      <c r="A6047" s="227"/>
      <c r="B6047" s="27" t="s">
        <v>2654</v>
      </c>
      <c r="C6047" s="27">
        <v>3087</v>
      </c>
      <c r="D6047" s="14" t="s">
        <v>273</v>
      </c>
      <c r="E6047" s="229"/>
      <c r="F6047" s="117" t="s">
        <v>17158</v>
      </c>
      <c r="G6047" s="26">
        <v>30678</v>
      </c>
      <c r="H6047" s="231"/>
      <c r="I6047" s="221"/>
      <c r="J6047" s="221"/>
      <c r="K6047" s="221"/>
      <c r="L6047" s="221"/>
      <c r="M6047" s="221"/>
      <c r="N6047" s="221"/>
      <c r="O6047" s="225"/>
      <c r="P6047" s="118" t="s">
        <v>17722</v>
      </c>
      <c r="Q6047" s="16" t="s">
        <v>20</v>
      </c>
      <c r="R6047" s="17" t="s">
        <v>1860</v>
      </c>
      <c r="S6047" s="121" t="s">
        <v>17599</v>
      </c>
      <c r="T6047" s="122"/>
      <c r="U6047" s="22"/>
      <c r="V6047" s="123" t="s">
        <v>6641</v>
      </c>
      <c r="W6047" s="122">
        <v>60427</v>
      </c>
      <c r="X6047" s="221"/>
      <c r="Y6047" s="221"/>
      <c r="Z6047" s="221"/>
      <c r="AA6047" s="221"/>
      <c r="AB6047" s="223"/>
    </row>
    <row r="6048" spans="1:28" ht="17.100000000000001" customHeight="1" thickTop="1">
      <c r="A6048" s="226" t="s">
        <v>17141</v>
      </c>
      <c r="B6048" s="28">
        <v>46063</v>
      </c>
      <c r="C6048" s="25">
        <v>926</v>
      </c>
      <c r="D6048" s="13" t="s">
        <v>2010</v>
      </c>
      <c r="E6048" s="228"/>
      <c r="F6048" s="109" t="s">
        <v>16460</v>
      </c>
      <c r="G6048" s="24" t="s">
        <v>1540</v>
      </c>
      <c r="H6048" s="230">
        <v>4</v>
      </c>
      <c r="I6048" s="220">
        <v>799000</v>
      </c>
      <c r="J6048" s="220">
        <f>I6048*0.1</f>
        <v>79900</v>
      </c>
      <c r="K6048" s="220">
        <v>0</v>
      </c>
      <c r="L6048" s="220">
        <v>6470</v>
      </c>
      <c r="M6048" s="220">
        <v>15950</v>
      </c>
      <c r="N6048" s="220">
        <f>SUM(I6048:M6049)</f>
        <v>901320</v>
      </c>
      <c r="O6048" s="224"/>
      <c r="P6048" s="110" t="s">
        <v>17170</v>
      </c>
      <c r="Q6048" s="15" t="s">
        <v>19</v>
      </c>
      <c r="R6048" s="205"/>
      <c r="S6048" s="189" t="s">
        <v>696</v>
      </c>
      <c r="T6048" s="114"/>
      <c r="U6048" s="21"/>
      <c r="V6048" s="115">
        <v>46074</v>
      </c>
      <c r="W6048" s="116">
        <v>1289</v>
      </c>
      <c r="X6048" s="220">
        <v>835000</v>
      </c>
      <c r="Y6048" s="220">
        <f>X6048*0.1</f>
        <v>83500</v>
      </c>
      <c r="Z6048" s="220">
        <v>6470</v>
      </c>
      <c r="AA6048" s="220">
        <f>SUM(X6048:Z6048)</f>
        <v>924970</v>
      </c>
      <c r="AB6048" s="222">
        <v>46077</v>
      </c>
    </row>
    <row r="6049" spans="1:28" ht="17.100000000000001" customHeight="1" thickBot="1">
      <c r="A6049" s="227"/>
      <c r="B6049" s="27" t="s">
        <v>2654</v>
      </c>
      <c r="C6049" s="27">
        <v>3127</v>
      </c>
      <c r="D6049" s="14" t="s">
        <v>1710</v>
      </c>
      <c r="E6049" s="229"/>
      <c r="F6049" s="117" t="s">
        <v>17159</v>
      </c>
      <c r="G6049" s="26">
        <v>47863</v>
      </c>
      <c r="H6049" s="231"/>
      <c r="I6049" s="221"/>
      <c r="J6049" s="221"/>
      <c r="K6049" s="221"/>
      <c r="L6049" s="221"/>
      <c r="M6049" s="221"/>
      <c r="N6049" s="221"/>
      <c r="O6049" s="225"/>
      <c r="P6049" s="118" t="s">
        <v>15065</v>
      </c>
      <c r="Q6049" s="16" t="s">
        <v>20</v>
      </c>
      <c r="R6049" s="17" t="s">
        <v>1860</v>
      </c>
      <c r="S6049" s="121" t="s">
        <v>9661</v>
      </c>
      <c r="T6049" s="122"/>
      <c r="U6049" s="22"/>
      <c r="V6049" s="123" t="s">
        <v>2472</v>
      </c>
      <c r="W6049" s="122">
        <v>60105</v>
      </c>
      <c r="X6049" s="221"/>
      <c r="Y6049" s="221"/>
      <c r="Z6049" s="221"/>
      <c r="AA6049" s="221"/>
      <c r="AB6049" s="223"/>
    </row>
    <row r="6050" spans="1:28" ht="17.100000000000001" customHeight="1" thickTop="1">
      <c r="A6050" s="226" t="s">
        <v>17142</v>
      </c>
      <c r="B6050" s="28">
        <v>46063</v>
      </c>
      <c r="C6050" s="25">
        <v>926</v>
      </c>
      <c r="D6050" s="13" t="s">
        <v>2010</v>
      </c>
      <c r="E6050" s="228"/>
      <c r="F6050" s="109" t="s">
        <v>16460</v>
      </c>
      <c r="G6050" s="24"/>
      <c r="H6050" s="230">
        <v>4</v>
      </c>
      <c r="I6050" s="220">
        <v>706000</v>
      </c>
      <c r="J6050" s="220">
        <f>I6050*0.1</f>
        <v>70600</v>
      </c>
      <c r="K6050" s="220">
        <v>0</v>
      </c>
      <c r="L6050" s="220">
        <v>6470</v>
      </c>
      <c r="M6050" s="220">
        <v>15950</v>
      </c>
      <c r="N6050" s="220">
        <f>SUM(I6050:M6051)</f>
        <v>799020</v>
      </c>
      <c r="O6050" s="224"/>
      <c r="P6050" s="110" t="s">
        <v>17720</v>
      </c>
      <c r="Q6050" s="15" t="s">
        <v>19</v>
      </c>
      <c r="R6050" s="205"/>
      <c r="S6050" s="189" t="s">
        <v>696</v>
      </c>
      <c r="T6050" s="114"/>
      <c r="U6050" s="21"/>
      <c r="V6050" s="115">
        <v>46099</v>
      </c>
      <c r="W6050" s="116">
        <v>1009</v>
      </c>
      <c r="X6050" s="220">
        <v>715000</v>
      </c>
      <c r="Y6050" s="220">
        <f>X6050*0.1</f>
        <v>71500</v>
      </c>
      <c r="Z6050" s="220">
        <v>6470</v>
      </c>
      <c r="AA6050" s="220">
        <f>SUM(X6050:Z6050)</f>
        <v>792970</v>
      </c>
      <c r="AB6050" s="222">
        <v>46105</v>
      </c>
    </row>
    <row r="6051" spans="1:28" ht="17.100000000000001" customHeight="1" thickBot="1">
      <c r="A6051" s="227"/>
      <c r="B6051" s="27" t="s">
        <v>2654</v>
      </c>
      <c r="C6051" s="27">
        <v>3129</v>
      </c>
      <c r="D6051" s="14" t="s">
        <v>273</v>
      </c>
      <c r="E6051" s="229"/>
      <c r="F6051" s="117" t="s">
        <v>17160</v>
      </c>
      <c r="G6051" s="26">
        <v>57898</v>
      </c>
      <c r="H6051" s="231"/>
      <c r="I6051" s="221"/>
      <c r="J6051" s="221"/>
      <c r="K6051" s="221"/>
      <c r="L6051" s="221"/>
      <c r="M6051" s="221"/>
      <c r="N6051" s="221"/>
      <c r="O6051" s="225"/>
      <c r="P6051" s="118" t="s">
        <v>15065</v>
      </c>
      <c r="Q6051" s="16" t="s">
        <v>20</v>
      </c>
      <c r="R6051" s="17" t="s">
        <v>1860</v>
      </c>
      <c r="S6051" s="121" t="s">
        <v>3429</v>
      </c>
      <c r="T6051" s="122"/>
      <c r="U6051" s="22"/>
      <c r="V6051" s="123" t="s">
        <v>2747</v>
      </c>
      <c r="W6051" s="122">
        <v>2042</v>
      </c>
      <c r="X6051" s="221"/>
      <c r="Y6051" s="221"/>
      <c r="Z6051" s="221"/>
      <c r="AA6051" s="221"/>
      <c r="AB6051" s="223"/>
    </row>
    <row r="6052" spans="1:28" ht="17.100000000000001" customHeight="1" thickTop="1">
      <c r="A6052" s="226" t="s">
        <v>17143</v>
      </c>
      <c r="B6052" s="28">
        <v>46063</v>
      </c>
      <c r="C6052" s="25">
        <v>926</v>
      </c>
      <c r="D6052" s="13" t="s">
        <v>1953</v>
      </c>
      <c r="E6052" s="228"/>
      <c r="F6052" s="109" t="s">
        <v>17161</v>
      </c>
      <c r="G6052" s="24"/>
      <c r="H6052" s="230">
        <v>4.5</v>
      </c>
      <c r="I6052" s="220">
        <v>1459000</v>
      </c>
      <c r="J6052" s="220">
        <f>I6052*0.1</f>
        <v>145900</v>
      </c>
      <c r="K6052" s="220">
        <v>0</v>
      </c>
      <c r="L6052" s="220">
        <v>19090</v>
      </c>
      <c r="M6052" s="220">
        <v>15950</v>
      </c>
      <c r="N6052" s="220">
        <f>SUM(I6052:M6053)</f>
        <v>1639940</v>
      </c>
      <c r="O6052" s="224"/>
      <c r="P6052" s="110" t="s">
        <v>17694</v>
      </c>
      <c r="Q6052" s="15" t="s">
        <v>19</v>
      </c>
      <c r="R6052" s="205"/>
      <c r="S6052" s="189"/>
      <c r="T6052" s="114"/>
      <c r="U6052" s="21"/>
      <c r="V6052" s="115">
        <v>46067</v>
      </c>
      <c r="W6052" s="116">
        <v>1288</v>
      </c>
      <c r="X6052" s="220">
        <v>1650000</v>
      </c>
      <c r="Y6052" s="220">
        <f>X6052*0.1</f>
        <v>165000</v>
      </c>
      <c r="Z6052" s="220">
        <v>19090</v>
      </c>
      <c r="AA6052" s="220">
        <f>SUM(X6052:Z6052)</f>
        <v>1834090</v>
      </c>
      <c r="AB6052" s="222">
        <v>46072</v>
      </c>
    </row>
    <row r="6053" spans="1:28" ht="17.100000000000001" customHeight="1" thickBot="1">
      <c r="A6053" s="227"/>
      <c r="B6053" s="27" t="s">
        <v>2654</v>
      </c>
      <c r="C6053" s="27">
        <v>50076</v>
      </c>
      <c r="D6053" s="14" t="s">
        <v>1584</v>
      </c>
      <c r="E6053" s="229"/>
      <c r="F6053" s="117" t="s">
        <v>17171</v>
      </c>
      <c r="G6053" s="26">
        <v>47717</v>
      </c>
      <c r="H6053" s="231"/>
      <c r="I6053" s="221"/>
      <c r="J6053" s="221"/>
      <c r="K6053" s="221"/>
      <c r="L6053" s="221"/>
      <c r="M6053" s="221"/>
      <c r="N6053" s="221"/>
      <c r="O6053" s="225"/>
      <c r="P6053" s="118" t="s">
        <v>13051</v>
      </c>
      <c r="Q6053" s="16" t="s">
        <v>20</v>
      </c>
      <c r="R6053" s="17" t="s">
        <v>1860</v>
      </c>
      <c r="S6053" s="121" t="s">
        <v>3566</v>
      </c>
      <c r="T6053" s="122"/>
      <c r="U6053" s="22"/>
      <c r="V6053" s="123" t="s">
        <v>2472</v>
      </c>
      <c r="W6053" s="122">
        <v>80370</v>
      </c>
      <c r="X6053" s="221"/>
      <c r="Y6053" s="221"/>
      <c r="Z6053" s="221"/>
      <c r="AA6053" s="221"/>
      <c r="AB6053" s="223"/>
    </row>
    <row r="6054" spans="1:28" ht="17.100000000000001" customHeight="1" thickTop="1">
      <c r="A6054" s="226" t="s">
        <v>17144</v>
      </c>
      <c r="B6054" s="28">
        <v>46063</v>
      </c>
      <c r="C6054" s="25">
        <v>1227</v>
      </c>
      <c r="D6054" s="13" t="s">
        <v>2429</v>
      </c>
      <c r="E6054" s="228"/>
      <c r="F6054" s="109" t="s">
        <v>8433</v>
      </c>
      <c r="G6054" s="24"/>
      <c r="H6054" s="230">
        <v>4</v>
      </c>
      <c r="I6054" s="220">
        <v>1208000</v>
      </c>
      <c r="J6054" s="220">
        <f>I6054*0.1</f>
        <v>120800</v>
      </c>
      <c r="K6054" s="220">
        <v>0</v>
      </c>
      <c r="L6054" s="220">
        <v>11740</v>
      </c>
      <c r="M6054" s="220">
        <v>15950</v>
      </c>
      <c r="N6054" s="220">
        <f>SUM(I6054:M6055)</f>
        <v>1356490</v>
      </c>
      <c r="O6054" s="224"/>
      <c r="P6054" s="110" t="s">
        <v>17703</v>
      </c>
      <c r="Q6054" s="15" t="s">
        <v>19</v>
      </c>
      <c r="R6054" s="205"/>
      <c r="S6054" s="189"/>
      <c r="T6054" s="114"/>
      <c r="U6054" s="21"/>
      <c r="V6054" s="115">
        <v>46074</v>
      </c>
      <c r="W6054" s="116">
        <v>1289</v>
      </c>
      <c r="X6054" s="220">
        <v>1380000</v>
      </c>
      <c r="Y6054" s="220">
        <f>X6054*0.1</f>
        <v>138000</v>
      </c>
      <c r="Z6054" s="220">
        <v>11740</v>
      </c>
      <c r="AA6054" s="220">
        <f>SUM(X6054:Z6054)</f>
        <v>1529740</v>
      </c>
      <c r="AB6054" s="222">
        <v>46077</v>
      </c>
    </row>
    <row r="6055" spans="1:28" ht="17.100000000000001" customHeight="1" thickBot="1">
      <c r="A6055" s="227"/>
      <c r="B6055" s="27" t="s">
        <v>2344</v>
      </c>
      <c r="C6055" s="27">
        <v>32029</v>
      </c>
      <c r="D6055" s="14" t="s">
        <v>1584</v>
      </c>
      <c r="E6055" s="229"/>
      <c r="F6055" s="117" t="s">
        <v>17172</v>
      </c>
      <c r="G6055" s="26">
        <v>65393</v>
      </c>
      <c r="H6055" s="231"/>
      <c r="I6055" s="221"/>
      <c r="J6055" s="221"/>
      <c r="K6055" s="221"/>
      <c r="L6055" s="221"/>
      <c r="M6055" s="221"/>
      <c r="N6055" s="221"/>
      <c r="O6055" s="225"/>
      <c r="P6055" s="118" t="s">
        <v>10206</v>
      </c>
      <c r="Q6055" s="16" t="s">
        <v>20</v>
      </c>
      <c r="R6055" s="17" t="s">
        <v>1860</v>
      </c>
      <c r="S6055" s="121" t="s">
        <v>13165</v>
      </c>
      <c r="T6055" s="122"/>
      <c r="U6055" s="22"/>
      <c r="V6055" s="123" t="s">
        <v>2472</v>
      </c>
      <c r="W6055" s="122">
        <v>80008</v>
      </c>
      <c r="X6055" s="221"/>
      <c r="Y6055" s="221"/>
      <c r="Z6055" s="221"/>
      <c r="AA6055" s="221"/>
      <c r="AB6055" s="223"/>
    </row>
    <row r="6056" spans="1:28" ht="17.100000000000001" customHeight="1" thickTop="1">
      <c r="A6056" s="226" t="s">
        <v>17145</v>
      </c>
      <c r="B6056" s="28">
        <v>46063</v>
      </c>
      <c r="C6056" s="25">
        <v>1227</v>
      </c>
      <c r="D6056" s="13" t="s">
        <v>3269</v>
      </c>
      <c r="E6056" s="228"/>
      <c r="F6056" s="109" t="s">
        <v>17162</v>
      </c>
      <c r="G6056" s="24"/>
      <c r="H6056" s="230">
        <v>4</v>
      </c>
      <c r="I6056" s="220">
        <v>744000</v>
      </c>
      <c r="J6056" s="220">
        <f>I6056*0.1</f>
        <v>74400</v>
      </c>
      <c r="K6056" s="220">
        <v>0</v>
      </c>
      <c r="L6056" s="220">
        <v>7440</v>
      </c>
      <c r="M6056" s="220">
        <v>15950</v>
      </c>
      <c r="N6056" s="220">
        <f>SUM(I6056:M6057)</f>
        <v>841790</v>
      </c>
      <c r="O6056" s="224"/>
      <c r="P6056" s="110" t="s">
        <v>17696</v>
      </c>
      <c r="Q6056" s="15" t="s">
        <v>19</v>
      </c>
      <c r="R6056" s="205"/>
      <c r="S6056" s="189" t="s">
        <v>696</v>
      </c>
      <c r="T6056" s="114"/>
      <c r="U6056" s="21"/>
      <c r="V6056" s="115">
        <v>46067</v>
      </c>
      <c r="W6056" s="116">
        <v>1288</v>
      </c>
      <c r="X6056" s="220">
        <v>960000</v>
      </c>
      <c r="Y6056" s="220">
        <f>X6056*0.1</f>
        <v>96000</v>
      </c>
      <c r="Z6056" s="220">
        <v>7440</v>
      </c>
      <c r="AA6056" s="220">
        <f>SUM(X6056:Z6056)</f>
        <v>1063440</v>
      </c>
      <c r="AB6056" s="222">
        <v>46072</v>
      </c>
    </row>
    <row r="6057" spans="1:28" ht="17.100000000000001" customHeight="1" thickBot="1">
      <c r="A6057" s="227"/>
      <c r="B6057" s="27" t="s">
        <v>2344</v>
      </c>
      <c r="C6057" s="27">
        <v>62023</v>
      </c>
      <c r="D6057" s="14" t="s">
        <v>1584</v>
      </c>
      <c r="E6057" s="229"/>
      <c r="F6057" s="117" t="s">
        <v>17695</v>
      </c>
      <c r="G6057" s="26">
        <v>35187</v>
      </c>
      <c r="H6057" s="231"/>
      <c r="I6057" s="221"/>
      <c r="J6057" s="221"/>
      <c r="K6057" s="221"/>
      <c r="L6057" s="221"/>
      <c r="M6057" s="221"/>
      <c r="N6057" s="221"/>
      <c r="O6057" s="225"/>
      <c r="P6057" s="118" t="s">
        <v>15065</v>
      </c>
      <c r="Q6057" s="16" t="s">
        <v>20</v>
      </c>
      <c r="R6057" s="17" t="s">
        <v>1860</v>
      </c>
      <c r="S6057" s="121"/>
      <c r="T6057" s="122"/>
      <c r="U6057" s="22"/>
      <c r="V6057" s="123" t="s">
        <v>2472</v>
      </c>
      <c r="W6057" s="122">
        <v>41065</v>
      </c>
      <c r="X6057" s="221"/>
      <c r="Y6057" s="221"/>
      <c r="Z6057" s="221"/>
      <c r="AA6057" s="221"/>
      <c r="AB6057" s="223"/>
    </row>
    <row r="6058" spans="1:28" ht="17.100000000000001" customHeight="1" thickTop="1">
      <c r="A6058" s="226" t="s">
        <v>17173</v>
      </c>
      <c r="B6058" s="28">
        <v>46063</v>
      </c>
      <c r="C6058" s="25">
        <v>1275</v>
      </c>
      <c r="D6058" s="13" t="s">
        <v>1715</v>
      </c>
      <c r="E6058" s="228"/>
      <c r="F6058" s="109" t="s">
        <v>1854</v>
      </c>
      <c r="G6058" s="24"/>
      <c r="H6058" s="230">
        <v>4.5</v>
      </c>
      <c r="I6058" s="220">
        <v>1751000</v>
      </c>
      <c r="J6058" s="220">
        <f>I6058*0.1</f>
        <v>175100</v>
      </c>
      <c r="K6058" s="220">
        <v>0</v>
      </c>
      <c r="L6058" s="220">
        <v>17600</v>
      </c>
      <c r="M6058" s="220">
        <v>18150</v>
      </c>
      <c r="N6058" s="220">
        <f>SUM(I6058:M6059)</f>
        <v>1961850</v>
      </c>
      <c r="O6058" s="224"/>
      <c r="P6058" s="110" t="s">
        <v>17581</v>
      </c>
      <c r="Q6058" s="15" t="s">
        <v>19</v>
      </c>
      <c r="R6058" s="205"/>
      <c r="S6058" s="189"/>
      <c r="T6058" s="114"/>
      <c r="U6058" s="21"/>
      <c r="V6058" s="115">
        <v>46081</v>
      </c>
      <c r="W6058" s="116">
        <v>1290</v>
      </c>
      <c r="X6058" s="220">
        <v>1930000</v>
      </c>
      <c r="Y6058" s="220">
        <f>X6058*0.1</f>
        <v>193000</v>
      </c>
      <c r="Z6058" s="220">
        <v>17600</v>
      </c>
      <c r="AA6058" s="220">
        <f>SUM(X6058:Z6058)</f>
        <v>2140600</v>
      </c>
      <c r="AB6058" s="222">
        <v>46084</v>
      </c>
    </row>
    <row r="6059" spans="1:28" ht="17.100000000000001" customHeight="1" thickBot="1">
      <c r="A6059" s="227"/>
      <c r="B6059" s="27" t="s">
        <v>3543</v>
      </c>
      <c r="C6059" s="27">
        <v>20183</v>
      </c>
      <c r="D6059" s="14" t="s">
        <v>2753</v>
      </c>
      <c r="E6059" s="229"/>
      <c r="F6059" s="117" t="s">
        <v>17192</v>
      </c>
      <c r="G6059" s="26">
        <v>24957</v>
      </c>
      <c r="H6059" s="231"/>
      <c r="I6059" s="221"/>
      <c r="J6059" s="221"/>
      <c r="K6059" s="221"/>
      <c r="L6059" s="221"/>
      <c r="M6059" s="221"/>
      <c r="N6059" s="221"/>
      <c r="O6059" s="225"/>
      <c r="P6059" s="118" t="s">
        <v>10182</v>
      </c>
      <c r="Q6059" s="16" t="s">
        <v>20</v>
      </c>
      <c r="R6059" s="17" t="s">
        <v>3526</v>
      </c>
      <c r="S6059" s="121"/>
      <c r="T6059" s="122"/>
      <c r="U6059" s="22"/>
      <c r="V6059" s="123" t="s">
        <v>2472</v>
      </c>
      <c r="W6059" s="122">
        <v>80009</v>
      </c>
      <c r="X6059" s="221"/>
      <c r="Y6059" s="221"/>
      <c r="Z6059" s="221"/>
      <c r="AA6059" s="221"/>
      <c r="AB6059" s="223"/>
    </row>
    <row r="6060" spans="1:28" ht="17.100000000000001" customHeight="1" thickTop="1">
      <c r="A6060" s="226" t="s">
        <v>17174</v>
      </c>
      <c r="B6060" s="28">
        <v>46063</v>
      </c>
      <c r="C6060" s="25">
        <v>1275</v>
      </c>
      <c r="D6060" s="13" t="s">
        <v>1931</v>
      </c>
      <c r="E6060" s="228"/>
      <c r="F6060" s="109" t="s">
        <v>17175</v>
      </c>
      <c r="G6060" s="24"/>
      <c r="H6060" s="230">
        <v>4</v>
      </c>
      <c r="I6060" s="220">
        <v>912000</v>
      </c>
      <c r="J6060" s="220">
        <f>I6060*0.1</f>
        <v>91200</v>
      </c>
      <c r="K6060" s="220">
        <v>0</v>
      </c>
      <c r="L6060" s="220">
        <v>18570</v>
      </c>
      <c r="M6060" s="220">
        <v>18150</v>
      </c>
      <c r="N6060" s="220">
        <f>SUM(I6060:M6061)</f>
        <v>1039920</v>
      </c>
      <c r="O6060" s="224"/>
      <c r="P6060" s="110" t="s">
        <v>17582</v>
      </c>
      <c r="Q6060" s="15" t="s">
        <v>19</v>
      </c>
      <c r="R6060" s="205"/>
      <c r="S6060" s="189" t="s">
        <v>25436</v>
      </c>
      <c r="T6060" s="114"/>
      <c r="U6060" s="21"/>
      <c r="V6060" s="115">
        <v>46074</v>
      </c>
      <c r="W6060" s="116">
        <v>1289</v>
      </c>
      <c r="X6060" s="220">
        <v>1020000</v>
      </c>
      <c r="Y6060" s="220">
        <f>X6060*0.1</f>
        <v>102000</v>
      </c>
      <c r="Z6060" s="220">
        <v>18570</v>
      </c>
      <c r="AA6060" s="220">
        <f>SUM(X6060:Z6060)</f>
        <v>1140570</v>
      </c>
      <c r="AB6060" s="222">
        <v>46077</v>
      </c>
    </row>
    <row r="6061" spans="1:28" ht="17.100000000000001" customHeight="1" thickBot="1">
      <c r="A6061" s="227"/>
      <c r="B6061" s="27" t="s">
        <v>3543</v>
      </c>
      <c r="C6061" s="27">
        <v>38039</v>
      </c>
      <c r="D6061" s="14" t="s">
        <v>2559</v>
      </c>
      <c r="E6061" s="229"/>
      <c r="F6061" s="117" t="s">
        <v>17176</v>
      </c>
      <c r="G6061" s="26">
        <v>59053</v>
      </c>
      <c r="H6061" s="231"/>
      <c r="I6061" s="221"/>
      <c r="J6061" s="221"/>
      <c r="K6061" s="221"/>
      <c r="L6061" s="221"/>
      <c r="M6061" s="221"/>
      <c r="N6061" s="221"/>
      <c r="O6061" s="225"/>
      <c r="P6061" s="118" t="s">
        <v>17583</v>
      </c>
      <c r="Q6061" s="16" t="s">
        <v>20</v>
      </c>
      <c r="R6061" s="17" t="s">
        <v>3526</v>
      </c>
      <c r="S6061" s="121" t="s">
        <v>1606</v>
      </c>
      <c r="T6061" s="122"/>
      <c r="U6061" s="22"/>
      <c r="V6061" s="123" t="s">
        <v>2472</v>
      </c>
      <c r="W6061" s="122">
        <v>80014</v>
      </c>
      <c r="X6061" s="221"/>
      <c r="Y6061" s="221"/>
      <c r="Z6061" s="221"/>
      <c r="AA6061" s="221"/>
      <c r="AB6061" s="223"/>
    </row>
    <row r="6062" spans="1:28" ht="17.100000000000001" customHeight="1" thickTop="1">
      <c r="A6062" s="226" t="s">
        <v>17179</v>
      </c>
      <c r="B6062" s="28">
        <v>46063</v>
      </c>
      <c r="C6062" s="25">
        <v>1275</v>
      </c>
      <c r="D6062" s="13" t="s">
        <v>1996</v>
      </c>
      <c r="E6062" s="228"/>
      <c r="F6062" s="109" t="s">
        <v>10244</v>
      </c>
      <c r="G6062" s="24" t="s">
        <v>1540</v>
      </c>
      <c r="H6062" s="230">
        <v>3.5</v>
      </c>
      <c r="I6062" s="220">
        <v>503000</v>
      </c>
      <c r="J6062" s="220">
        <f>I6062*0.1</f>
        <v>50300</v>
      </c>
      <c r="K6062" s="220">
        <v>0</v>
      </c>
      <c r="L6062" s="220">
        <v>22520</v>
      </c>
      <c r="M6062" s="220">
        <v>18150</v>
      </c>
      <c r="N6062" s="220">
        <f>SUM(I6062:M6063)</f>
        <v>593970</v>
      </c>
      <c r="O6062" s="224"/>
      <c r="P6062" s="110" t="s">
        <v>17178</v>
      </c>
      <c r="Q6062" s="15" t="s">
        <v>19</v>
      </c>
      <c r="R6062" s="205"/>
      <c r="S6062" s="189"/>
      <c r="T6062" s="114"/>
      <c r="U6062" s="21"/>
      <c r="V6062" s="115">
        <v>46123</v>
      </c>
      <c r="W6062" s="116">
        <v>1296</v>
      </c>
      <c r="X6062" s="220">
        <v>400000</v>
      </c>
      <c r="Y6062" s="220">
        <f>X6062*0.1</f>
        <v>40000</v>
      </c>
      <c r="Z6062" s="220">
        <v>22520</v>
      </c>
      <c r="AA6062" s="220">
        <f>SUM(X6062:Z6062)</f>
        <v>462520</v>
      </c>
      <c r="AB6062" s="222">
        <v>46126</v>
      </c>
    </row>
    <row r="6063" spans="1:28" ht="17.100000000000001" customHeight="1" thickBot="1">
      <c r="A6063" s="227"/>
      <c r="B6063" s="27" t="s">
        <v>3543</v>
      </c>
      <c r="C6063" s="27">
        <v>38075</v>
      </c>
      <c r="D6063" s="14" t="s">
        <v>1584</v>
      </c>
      <c r="E6063" s="229"/>
      <c r="F6063" s="117" t="s">
        <v>17177</v>
      </c>
      <c r="G6063" s="26">
        <v>86262</v>
      </c>
      <c r="H6063" s="231"/>
      <c r="I6063" s="221"/>
      <c r="J6063" s="221"/>
      <c r="K6063" s="221"/>
      <c r="L6063" s="221"/>
      <c r="M6063" s="221"/>
      <c r="N6063" s="221"/>
      <c r="O6063" s="225"/>
      <c r="P6063" s="118" t="s">
        <v>18269</v>
      </c>
      <c r="Q6063" s="16" t="s">
        <v>20</v>
      </c>
      <c r="R6063" s="17" t="s">
        <v>18270</v>
      </c>
      <c r="S6063" s="121" t="s">
        <v>9265</v>
      </c>
      <c r="T6063" s="122"/>
      <c r="U6063" s="22"/>
      <c r="V6063" s="123" t="s">
        <v>2472</v>
      </c>
      <c r="W6063" s="122">
        <v>80113</v>
      </c>
      <c r="X6063" s="221"/>
      <c r="Y6063" s="221"/>
      <c r="Z6063" s="221"/>
      <c r="AA6063" s="221"/>
      <c r="AB6063" s="223"/>
    </row>
    <row r="6064" spans="1:28" ht="17.100000000000001" customHeight="1" thickTop="1">
      <c r="A6064" s="226" t="s">
        <v>17180</v>
      </c>
      <c r="B6064" s="28">
        <v>46063</v>
      </c>
      <c r="C6064" s="25">
        <v>977</v>
      </c>
      <c r="D6064" s="13" t="s">
        <v>1053</v>
      </c>
      <c r="E6064" s="228"/>
      <c r="F6064" s="109" t="s">
        <v>17186</v>
      </c>
      <c r="G6064" s="24"/>
      <c r="H6064" s="230">
        <v>4</v>
      </c>
      <c r="I6064" s="220">
        <v>1029000</v>
      </c>
      <c r="J6064" s="220">
        <f>I6064*0.1</f>
        <v>102900</v>
      </c>
      <c r="K6064" s="220">
        <v>0</v>
      </c>
      <c r="L6064" s="220">
        <v>8790</v>
      </c>
      <c r="M6064" s="220">
        <v>22000</v>
      </c>
      <c r="N6064" s="220">
        <f>SUM(I6064:M6065)</f>
        <v>1162690</v>
      </c>
      <c r="O6064" s="224"/>
      <c r="P6064" s="110" t="s">
        <v>17875</v>
      </c>
      <c r="Q6064" s="15" t="s">
        <v>19</v>
      </c>
      <c r="R6064" s="205"/>
      <c r="S6064" s="189" t="s">
        <v>758</v>
      </c>
      <c r="T6064" s="114"/>
      <c r="U6064" s="21"/>
      <c r="V6064" s="115"/>
      <c r="W6064" s="116"/>
      <c r="X6064" s="220"/>
      <c r="Y6064" s="220">
        <f>X6064*0.1</f>
        <v>0</v>
      </c>
      <c r="Z6064" s="220"/>
      <c r="AA6064" s="220">
        <f>SUM(X6064:Z6064)</f>
        <v>0</v>
      </c>
      <c r="AB6064" s="222"/>
    </row>
    <row r="6065" spans="1:28" ht="17.100000000000001" customHeight="1" thickBot="1">
      <c r="A6065" s="227"/>
      <c r="B6065" s="27" t="s">
        <v>15939</v>
      </c>
      <c r="C6065" s="27">
        <v>57</v>
      </c>
      <c r="D6065" s="14" t="s">
        <v>3792</v>
      </c>
      <c r="E6065" s="229"/>
      <c r="F6065" s="117" t="s">
        <v>17187</v>
      </c>
      <c r="G6065" s="26">
        <v>55384</v>
      </c>
      <c r="H6065" s="231"/>
      <c r="I6065" s="221"/>
      <c r="J6065" s="221"/>
      <c r="K6065" s="221"/>
      <c r="L6065" s="221"/>
      <c r="M6065" s="221"/>
      <c r="N6065" s="221"/>
      <c r="O6065" s="225"/>
      <c r="P6065" s="118" t="s">
        <v>2031</v>
      </c>
      <c r="Q6065" s="16" t="s">
        <v>20</v>
      </c>
      <c r="R6065" s="17" t="s">
        <v>17871</v>
      </c>
      <c r="S6065" s="121" t="s">
        <v>8880</v>
      </c>
      <c r="T6065" s="122"/>
      <c r="U6065" s="22"/>
      <c r="V6065" s="123"/>
      <c r="W6065" s="122"/>
      <c r="X6065" s="221"/>
      <c r="Y6065" s="221"/>
      <c r="Z6065" s="221"/>
      <c r="AA6065" s="221"/>
      <c r="AB6065" s="223"/>
    </row>
    <row r="6066" spans="1:28" ht="17.100000000000001" customHeight="1" thickTop="1">
      <c r="A6066" s="226" t="s">
        <v>17181</v>
      </c>
      <c r="B6066" s="28">
        <v>46063</v>
      </c>
      <c r="C6066" s="25">
        <v>977</v>
      </c>
      <c r="D6066" s="13" t="s">
        <v>3474</v>
      </c>
      <c r="E6066" s="228"/>
      <c r="F6066" s="109" t="s">
        <v>15904</v>
      </c>
      <c r="G6066" s="24"/>
      <c r="H6066" s="230">
        <v>3.5</v>
      </c>
      <c r="I6066" s="220">
        <v>628000</v>
      </c>
      <c r="J6066" s="220">
        <f>I6066*0.1</f>
        <v>62800</v>
      </c>
      <c r="K6066" s="220">
        <v>0</v>
      </c>
      <c r="L6066" s="220">
        <v>6470</v>
      </c>
      <c r="M6066" s="220">
        <v>22000</v>
      </c>
      <c r="N6066" s="220">
        <f>SUM(I6066:M6067)</f>
        <v>719270</v>
      </c>
      <c r="O6066" s="224"/>
      <c r="P6066" s="110" t="s">
        <v>17877</v>
      </c>
      <c r="Q6066" s="15" t="s">
        <v>19</v>
      </c>
      <c r="R6066" s="205"/>
      <c r="S6066" s="189" t="s">
        <v>25387</v>
      </c>
      <c r="T6066" s="114"/>
      <c r="U6066" s="21"/>
      <c r="V6066" s="115">
        <v>46120</v>
      </c>
      <c r="W6066" s="116">
        <v>1012</v>
      </c>
      <c r="X6066" s="220">
        <v>700000</v>
      </c>
      <c r="Y6066" s="220">
        <f>X6066*0.1</f>
        <v>70000</v>
      </c>
      <c r="Z6066" s="220">
        <v>6470</v>
      </c>
      <c r="AA6066" s="220">
        <f>SUM(X6066:Z6066)</f>
        <v>776470</v>
      </c>
      <c r="AB6066" s="222">
        <v>46125</v>
      </c>
    </row>
    <row r="6067" spans="1:28" ht="17.100000000000001" customHeight="1" thickBot="1">
      <c r="A6067" s="227"/>
      <c r="B6067" s="27" t="s">
        <v>15939</v>
      </c>
      <c r="C6067" s="27">
        <v>78</v>
      </c>
      <c r="D6067" s="14" t="s">
        <v>273</v>
      </c>
      <c r="E6067" s="229"/>
      <c r="F6067" s="117" t="s">
        <v>17185</v>
      </c>
      <c r="G6067" s="26">
        <v>52212</v>
      </c>
      <c r="H6067" s="231"/>
      <c r="I6067" s="221"/>
      <c r="J6067" s="221"/>
      <c r="K6067" s="221"/>
      <c r="L6067" s="221"/>
      <c r="M6067" s="221"/>
      <c r="N6067" s="221"/>
      <c r="O6067" s="225"/>
      <c r="P6067" s="118" t="s">
        <v>2031</v>
      </c>
      <c r="Q6067" s="16" t="s">
        <v>20</v>
      </c>
      <c r="R6067" s="17" t="s">
        <v>17871</v>
      </c>
      <c r="S6067" s="121" t="s">
        <v>9304</v>
      </c>
      <c r="T6067" s="122"/>
      <c r="U6067" s="22"/>
      <c r="V6067" s="123" t="s">
        <v>2747</v>
      </c>
      <c r="W6067" s="122">
        <v>2015</v>
      </c>
      <c r="X6067" s="221"/>
      <c r="Y6067" s="221"/>
      <c r="Z6067" s="221"/>
      <c r="AA6067" s="221"/>
      <c r="AB6067" s="223"/>
    </row>
    <row r="6068" spans="1:28" ht="17.100000000000001" customHeight="1" thickTop="1">
      <c r="A6068" s="226" t="s">
        <v>17182</v>
      </c>
      <c r="B6068" s="28">
        <v>46063</v>
      </c>
      <c r="C6068" s="25">
        <v>977</v>
      </c>
      <c r="D6068" s="13" t="s">
        <v>1837</v>
      </c>
      <c r="E6068" s="228"/>
      <c r="F6068" s="109" t="s">
        <v>17183</v>
      </c>
      <c r="G6068" s="24"/>
      <c r="H6068" s="230">
        <v>4</v>
      </c>
      <c r="I6068" s="220">
        <v>838000</v>
      </c>
      <c r="J6068" s="220">
        <f>I6068*0.1</f>
        <v>83800</v>
      </c>
      <c r="K6068" s="220">
        <v>0</v>
      </c>
      <c r="L6068" s="220">
        <v>7440</v>
      </c>
      <c r="M6068" s="220">
        <v>22000</v>
      </c>
      <c r="N6068" s="220">
        <f>SUM(I6068:M6069)</f>
        <v>951240</v>
      </c>
      <c r="O6068" s="224"/>
      <c r="P6068" s="110" t="s">
        <v>17880</v>
      </c>
      <c r="Q6068" s="15" t="s">
        <v>19</v>
      </c>
      <c r="R6068" s="205"/>
      <c r="S6068" s="189" t="s">
        <v>25781</v>
      </c>
      <c r="T6068" s="114"/>
      <c r="U6068" s="21"/>
      <c r="V6068" s="115">
        <v>46080</v>
      </c>
      <c r="W6068" s="116"/>
      <c r="X6068" s="220">
        <v>1040000</v>
      </c>
      <c r="Y6068" s="220">
        <f>X6068*0.1</f>
        <v>104000</v>
      </c>
      <c r="Z6068" s="220">
        <v>7440</v>
      </c>
      <c r="AA6068" s="220">
        <f>SUM(X6068:Z6068)</f>
        <v>1151440</v>
      </c>
      <c r="AB6068" s="222"/>
    </row>
    <row r="6069" spans="1:28" ht="17.100000000000001" customHeight="1" thickBot="1">
      <c r="A6069" s="227"/>
      <c r="B6069" s="27" t="s">
        <v>15939</v>
      </c>
      <c r="C6069" s="27">
        <v>1043</v>
      </c>
      <c r="D6069" s="14" t="s">
        <v>1584</v>
      </c>
      <c r="E6069" s="229"/>
      <c r="F6069" s="117" t="s">
        <v>17184</v>
      </c>
      <c r="G6069" s="26">
        <v>40245</v>
      </c>
      <c r="H6069" s="231"/>
      <c r="I6069" s="221"/>
      <c r="J6069" s="221"/>
      <c r="K6069" s="221"/>
      <c r="L6069" s="221"/>
      <c r="M6069" s="221"/>
      <c r="N6069" s="221"/>
      <c r="O6069" s="225"/>
      <c r="P6069" s="118" t="s">
        <v>10020</v>
      </c>
      <c r="Q6069" s="16" t="s">
        <v>20</v>
      </c>
      <c r="R6069" s="17" t="s">
        <v>17871</v>
      </c>
      <c r="S6069" s="121" t="s">
        <v>9752</v>
      </c>
      <c r="T6069" s="122"/>
      <c r="U6069" s="22"/>
      <c r="V6069" s="123" t="s">
        <v>6682</v>
      </c>
      <c r="W6069" s="122">
        <v>51949</v>
      </c>
      <c r="X6069" s="221"/>
      <c r="Y6069" s="221"/>
      <c r="Z6069" s="221"/>
      <c r="AA6069" s="221"/>
      <c r="AB6069" s="223"/>
    </row>
    <row r="6070" spans="1:28" ht="17.100000000000001" customHeight="1" thickTop="1">
      <c r="A6070" s="226" t="s">
        <v>17190</v>
      </c>
      <c r="B6070" s="28">
        <v>46063</v>
      </c>
      <c r="C6070" s="25">
        <v>977</v>
      </c>
      <c r="D6070" s="13" t="s">
        <v>3243</v>
      </c>
      <c r="E6070" s="228"/>
      <c r="F6070" s="109" t="s">
        <v>17188</v>
      </c>
      <c r="G6070" s="24"/>
      <c r="H6070" s="230">
        <v>4</v>
      </c>
      <c r="I6070" s="220">
        <v>287000</v>
      </c>
      <c r="J6070" s="220">
        <f>I6070*0.1</f>
        <v>28700</v>
      </c>
      <c r="K6070" s="220">
        <v>0</v>
      </c>
      <c r="L6070" s="220">
        <v>7340</v>
      </c>
      <c r="M6070" s="220">
        <v>22000</v>
      </c>
      <c r="N6070" s="220">
        <f>SUM(I6070:M6071)</f>
        <v>345040</v>
      </c>
      <c r="O6070" s="224"/>
      <c r="P6070" s="110" t="s">
        <v>17878</v>
      </c>
      <c r="Q6070" s="15" t="s">
        <v>19</v>
      </c>
      <c r="R6070" s="205"/>
      <c r="S6070" s="189"/>
      <c r="T6070" s="114"/>
      <c r="U6070" s="21"/>
      <c r="V6070" s="115">
        <v>46088</v>
      </c>
      <c r="W6070" s="116">
        <v>1291</v>
      </c>
      <c r="X6070" s="220">
        <v>360000</v>
      </c>
      <c r="Y6070" s="220">
        <f>X6070*0.1</f>
        <v>36000</v>
      </c>
      <c r="Z6070" s="220">
        <v>7340</v>
      </c>
      <c r="AA6070" s="220">
        <f>SUM(X6070:Z6070)</f>
        <v>403340</v>
      </c>
      <c r="AB6070" s="222">
        <v>46093</v>
      </c>
    </row>
    <row r="6071" spans="1:28" ht="17.100000000000001" customHeight="1" thickBot="1">
      <c r="A6071" s="227"/>
      <c r="B6071" s="27" t="s">
        <v>15939</v>
      </c>
      <c r="C6071" s="27">
        <v>1064</v>
      </c>
      <c r="D6071" s="14" t="s">
        <v>1584</v>
      </c>
      <c r="E6071" s="229"/>
      <c r="F6071" s="117" t="s">
        <v>17189</v>
      </c>
      <c r="G6071" s="26">
        <v>35528</v>
      </c>
      <c r="H6071" s="231"/>
      <c r="I6071" s="221"/>
      <c r="J6071" s="221"/>
      <c r="K6071" s="221"/>
      <c r="L6071" s="221"/>
      <c r="M6071" s="221"/>
      <c r="N6071" s="221"/>
      <c r="O6071" s="225"/>
      <c r="P6071" s="118" t="s">
        <v>17879</v>
      </c>
      <c r="Q6071" s="16" t="s">
        <v>20</v>
      </c>
      <c r="R6071" s="17" t="s">
        <v>17871</v>
      </c>
      <c r="S6071" s="121"/>
      <c r="T6071" s="122"/>
      <c r="U6071" s="22"/>
      <c r="V6071" s="123" t="s">
        <v>6641</v>
      </c>
      <c r="W6071" s="122">
        <v>60441</v>
      </c>
      <c r="X6071" s="221"/>
      <c r="Y6071" s="221"/>
      <c r="Z6071" s="221"/>
      <c r="AA6071" s="221"/>
      <c r="AB6071" s="223"/>
    </row>
    <row r="6072" spans="1:28" ht="17.100000000000001" customHeight="1" thickTop="1">
      <c r="A6072" s="226" t="s">
        <v>17193</v>
      </c>
      <c r="B6072" s="28">
        <v>46064</v>
      </c>
      <c r="C6072" s="25">
        <v>1004</v>
      </c>
      <c r="D6072" s="13" t="s">
        <v>3327</v>
      </c>
      <c r="E6072" s="228"/>
      <c r="F6072" s="109" t="s">
        <v>16247</v>
      </c>
      <c r="G6072" s="24"/>
      <c r="H6072" s="230">
        <v>4</v>
      </c>
      <c r="I6072" s="220">
        <v>485000</v>
      </c>
      <c r="J6072" s="220">
        <f>I6072*0.1</f>
        <v>48500</v>
      </c>
      <c r="K6072" s="220">
        <v>0</v>
      </c>
      <c r="L6072" s="220">
        <v>9790</v>
      </c>
      <c r="M6072" s="220">
        <v>11000</v>
      </c>
      <c r="N6072" s="220">
        <f>SUM(I6072:M6073)</f>
        <v>554290</v>
      </c>
      <c r="O6072" s="224"/>
      <c r="P6072" s="110" t="s">
        <v>17713</v>
      </c>
      <c r="Q6072" s="15" t="s">
        <v>19</v>
      </c>
      <c r="R6072" s="205"/>
      <c r="S6072" s="189"/>
      <c r="T6072" s="114"/>
      <c r="U6072" s="21"/>
      <c r="V6072" s="115">
        <v>46067</v>
      </c>
      <c r="W6072" s="116">
        <v>1288</v>
      </c>
      <c r="X6072" s="220">
        <v>550000</v>
      </c>
      <c r="Y6072" s="220">
        <f>X6072*0.1</f>
        <v>55000</v>
      </c>
      <c r="Z6072" s="220">
        <v>9790</v>
      </c>
      <c r="AA6072" s="220">
        <f>SUM(X6072:Z6072)</f>
        <v>614790</v>
      </c>
      <c r="AB6072" s="222">
        <v>46072</v>
      </c>
    </row>
    <row r="6073" spans="1:28" ht="17.100000000000001" customHeight="1" thickBot="1">
      <c r="A6073" s="227"/>
      <c r="B6073" s="27" t="s">
        <v>2747</v>
      </c>
      <c r="C6073" s="27">
        <v>2004</v>
      </c>
      <c r="D6073" s="14" t="s">
        <v>131</v>
      </c>
      <c r="E6073" s="229"/>
      <c r="F6073" s="117" t="s">
        <v>17191</v>
      </c>
      <c r="G6073" s="26">
        <v>52495</v>
      </c>
      <c r="H6073" s="231"/>
      <c r="I6073" s="221"/>
      <c r="J6073" s="221"/>
      <c r="K6073" s="221"/>
      <c r="L6073" s="221"/>
      <c r="M6073" s="221"/>
      <c r="N6073" s="221"/>
      <c r="O6073" s="225"/>
      <c r="P6073" s="118" t="s">
        <v>17714</v>
      </c>
      <c r="Q6073" s="16" t="s">
        <v>20</v>
      </c>
      <c r="R6073" s="17" t="s">
        <v>1860</v>
      </c>
      <c r="S6073" s="121" t="s">
        <v>2366</v>
      </c>
      <c r="T6073" s="122"/>
      <c r="U6073" s="22"/>
      <c r="V6073" s="123" t="s">
        <v>2472</v>
      </c>
      <c r="W6073" s="122">
        <v>60418</v>
      </c>
      <c r="X6073" s="221"/>
      <c r="Y6073" s="221"/>
      <c r="Z6073" s="221"/>
      <c r="AA6073" s="221"/>
      <c r="AB6073" s="223"/>
    </row>
    <row r="6074" spans="1:28" ht="17.100000000000001" customHeight="1" thickTop="1">
      <c r="A6074" s="226" t="s">
        <v>17198</v>
      </c>
      <c r="B6074" s="28">
        <v>46064</v>
      </c>
      <c r="C6074" s="25">
        <v>1825</v>
      </c>
      <c r="D6074" s="13" t="s">
        <v>4750</v>
      </c>
      <c r="E6074" s="228"/>
      <c r="F6074" s="109" t="s">
        <v>17201</v>
      </c>
      <c r="G6074" s="24"/>
      <c r="H6074" s="230">
        <v>4</v>
      </c>
      <c r="I6074" s="220">
        <v>1235000</v>
      </c>
      <c r="J6074" s="220">
        <f>I6074*0.1</f>
        <v>123500</v>
      </c>
      <c r="K6074" s="220">
        <v>0</v>
      </c>
      <c r="L6074" s="220">
        <v>12470</v>
      </c>
      <c r="M6074" s="220">
        <v>18150</v>
      </c>
      <c r="N6074" s="220">
        <f>SUM(I6074:M6075)</f>
        <v>1389120</v>
      </c>
      <c r="O6074" s="224"/>
      <c r="P6074" s="110" t="s">
        <v>17718</v>
      </c>
      <c r="Q6074" s="15" t="s">
        <v>19</v>
      </c>
      <c r="R6074" s="205"/>
      <c r="S6074" s="189"/>
      <c r="T6074" s="114"/>
      <c r="U6074" s="21"/>
      <c r="V6074" s="115">
        <v>46078</v>
      </c>
      <c r="W6074" s="116">
        <v>1006</v>
      </c>
      <c r="X6074" s="220">
        <v>1320000</v>
      </c>
      <c r="Y6074" s="220">
        <f>X6074*0.1</f>
        <v>132000</v>
      </c>
      <c r="Z6074" s="220">
        <v>12470</v>
      </c>
      <c r="AA6074" s="220">
        <f>SUM(X6074:Z6074)</f>
        <v>1464470</v>
      </c>
      <c r="AB6074" s="222">
        <v>46083</v>
      </c>
    </row>
    <row r="6075" spans="1:28" ht="17.100000000000001" customHeight="1" thickBot="1">
      <c r="A6075" s="227"/>
      <c r="B6075" s="27" t="s">
        <v>2519</v>
      </c>
      <c r="C6075" s="27">
        <v>30291</v>
      </c>
      <c r="D6075" s="14" t="s">
        <v>273</v>
      </c>
      <c r="E6075" s="229"/>
      <c r="F6075" s="117" t="s">
        <v>17202</v>
      </c>
      <c r="G6075" s="26">
        <v>77841</v>
      </c>
      <c r="H6075" s="231"/>
      <c r="I6075" s="221"/>
      <c r="J6075" s="221"/>
      <c r="K6075" s="221"/>
      <c r="L6075" s="221"/>
      <c r="M6075" s="221"/>
      <c r="N6075" s="221"/>
      <c r="O6075" s="225"/>
      <c r="P6075" s="118" t="s">
        <v>2870</v>
      </c>
      <c r="Q6075" s="16" t="s">
        <v>20</v>
      </c>
      <c r="R6075" s="17" t="s">
        <v>1860</v>
      </c>
      <c r="S6075" s="121" t="s">
        <v>3977</v>
      </c>
      <c r="T6075" s="122"/>
      <c r="U6075" s="22"/>
      <c r="V6075" s="123" t="s">
        <v>2747</v>
      </c>
      <c r="W6075" s="122">
        <v>5136</v>
      </c>
      <c r="X6075" s="221"/>
      <c r="Y6075" s="221"/>
      <c r="Z6075" s="221"/>
      <c r="AA6075" s="221"/>
      <c r="AB6075" s="223"/>
    </row>
    <row r="6076" spans="1:28" ht="17.100000000000001" customHeight="1" thickTop="1">
      <c r="A6076" s="226" t="s">
        <v>17199</v>
      </c>
      <c r="B6076" s="28">
        <v>46064</v>
      </c>
      <c r="C6076" s="25">
        <v>1825</v>
      </c>
      <c r="D6076" s="13" t="s">
        <v>2371</v>
      </c>
      <c r="E6076" s="228"/>
      <c r="F6076" s="109" t="s">
        <v>16943</v>
      </c>
      <c r="G6076" s="24"/>
      <c r="H6076" s="230">
        <v>4</v>
      </c>
      <c r="I6076" s="220">
        <v>800000</v>
      </c>
      <c r="J6076" s="220">
        <f>I6076*0.1</f>
        <v>80000</v>
      </c>
      <c r="K6076" s="220">
        <v>0</v>
      </c>
      <c r="L6076" s="220">
        <v>14340</v>
      </c>
      <c r="M6076" s="220">
        <v>18150</v>
      </c>
      <c r="N6076" s="220">
        <f>SUM(I6076:M6077)</f>
        <v>912490</v>
      </c>
      <c r="O6076" s="224"/>
      <c r="P6076" s="110" t="s">
        <v>17867</v>
      </c>
      <c r="Q6076" s="15" t="s">
        <v>19</v>
      </c>
      <c r="R6076" s="205"/>
      <c r="S6076" s="189" t="s">
        <v>758</v>
      </c>
      <c r="T6076" s="114"/>
      <c r="U6076" s="21"/>
      <c r="V6076" s="115">
        <v>46074</v>
      </c>
      <c r="W6076" s="116">
        <v>1289</v>
      </c>
      <c r="X6076" s="220">
        <v>900000</v>
      </c>
      <c r="Y6076" s="220">
        <f>X6076*0.1</f>
        <v>90000</v>
      </c>
      <c r="Z6076" s="220">
        <v>14340</v>
      </c>
      <c r="AA6076" s="220">
        <f>SUM(X6076:Z6076)</f>
        <v>1004340</v>
      </c>
      <c r="AB6076" s="222">
        <v>46077</v>
      </c>
    </row>
    <row r="6077" spans="1:28" ht="17.100000000000001" customHeight="1" thickBot="1">
      <c r="A6077" s="227"/>
      <c r="B6077" s="27" t="s">
        <v>2519</v>
      </c>
      <c r="C6077" s="27">
        <v>30643</v>
      </c>
      <c r="D6077" s="14" t="s">
        <v>2559</v>
      </c>
      <c r="E6077" s="229"/>
      <c r="F6077" s="117" t="s">
        <v>17203</v>
      </c>
      <c r="G6077" s="26">
        <v>71641</v>
      </c>
      <c r="H6077" s="231"/>
      <c r="I6077" s="221"/>
      <c r="J6077" s="221"/>
      <c r="K6077" s="221"/>
      <c r="L6077" s="221"/>
      <c r="M6077" s="221"/>
      <c r="N6077" s="221"/>
      <c r="O6077" s="225"/>
      <c r="P6077" s="118" t="s">
        <v>4243</v>
      </c>
      <c r="Q6077" s="16" t="s">
        <v>20</v>
      </c>
      <c r="R6077" s="17" t="s">
        <v>17799</v>
      </c>
      <c r="S6077" s="121" t="s">
        <v>10260</v>
      </c>
      <c r="T6077" s="122"/>
      <c r="U6077" s="22"/>
      <c r="V6077" s="123" t="s">
        <v>2472</v>
      </c>
      <c r="W6077" s="122">
        <v>50127</v>
      </c>
      <c r="X6077" s="221"/>
      <c r="Y6077" s="221"/>
      <c r="Z6077" s="221"/>
      <c r="AA6077" s="221"/>
      <c r="AB6077" s="223"/>
    </row>
    <row r="6078" spans="1:28" ht="17.100000000000001" customHeight="1" thickTop="1">
      <c r="A6078" s="226" t="s">
        <v>17200</v>
      </c>
      <c r="B6078" s="28">
        <v>46064</v>
      </c>
      <c r="C6078" s="25">
        <v>1825</v>
      </c>
      <c r="D6078" s="13" t="s">
        <v>1589</v>
      </c>
      <c r="E6078" s="228"/>
      <c r="F6078" s="109" t="s">
        <v>17204</v>
      </c>
      <c r="G6078" s="24"/>
      <c r="H6078" s="230">
        <v>4.5</v>
      </c>
      <c r="I6078" s="220">
        <v>1495000</v>
      </c>
      <c r="J6078" s="220">
        <f>I6078*0.1</f>
        <v>149500</v>
      </c>
      <c r="K6078" s="220">
        <v>0</v>
      </c>
      <c r="L6078" s="220">
        <v>18570</v>
      </c>
      <c r="M6078" s="220">
        <v>18150</v>
      </c>
      <c r="N6078" s="220">
        <f>SUM(I6078:M6079)</f>
        <v>1681220</v>
      </c>
      <c r="O6078" s="224"/>
      <c r="P6078" s="110" t="s">
        <v>17704</v>
      </c>
      <c r="Q6078" s="15" t="s">
        <v>19</v>
      </c>
      <c r="R6078" s="205"/>
      <c r="S6078" s="189" t="s">
        <v>25782</v>
      </c>
      <c r="T6078" s="114"/>
      <c r="U6078" s="21"/>
      <c r="V6078" s="115">
        <v>46067</v>
      </c>
      <c r="W6078" s="116">
        <v>1288</v>
      </c>
      <c r="X6078" s="220">
        <v>1580000</v>
      </c>
      <c r="Y6078" s="220">
        <f>X6078*0.1</f>
        <v>158000</v>
      </c>
      <c r="Z6078" s="220">
        <v>18570</v>
      </c>
      <c r="AA6078" s="220">
        <f>SUM(X6078:Z6078)</f>
        <v>1756570</v>
      </c>
      <c r="AB6078" s="222">
        <v>46073</v>
      </c>
    </row>
    <row r="6079" spans="1:28" ht="17.100000000000001" customHeight="1" thickBot="1">
      <c r="A6079" s="227"/>
      <c r="B6079" s="27" t="s">
        <v>2519</v>
      </c>
      <c r="C6079" s="27">
        <v>38110</v>
      </c>
      <c r="D6079" s="14" t="s">
        <v>1584</v>
      </c>
      <c r="E6079" s="229"/>
      <c r="F6079" s="117" t="s">
        <v>17205</v>
      </c>
      <c r="G6079" s="26">
        <v>25635</v>
      </c>
      <c r="H6079" s="231"/>
      <c r="I6079" s="221"/>
      <c r="J6079" s="221"/>
      <c r="K6079" s="221"/>
      <c r="L6079" s="221"/>
      <c r="M6079" s="221"/>
      <c r="N6079" s="221"/>
      <c r="O6079" s="225"/>
      <c r="P6079" s="118" t="s">
        <v>4302</v>
      </c>
      <c r="Q6079" s="16" t="s">
        <v>20</v>
      </c>
      <c r="R6079" s="17" t="s">
        <v>1860</v>
      </c>
      <c r="S6079" s="121" t="s">
        <v>17705</v>
      </c>
      <c r="T6079" s="122"/>
      <c r="U6079" s="22"/>
      <c r="V6079" s="123" t="s">
        <v>6641</v>
      </c>
      <c r="W6079" s="122">
        <v>80363</v>
      </c>
      <c r="X6079" s="221"/>
      <c r="Y6079" s="221"/>
      <c r="Z6079" s="221"/>
      <c r="AA6079" s="221"/>
      <c r="AB6079" s="223"/>
    </row>
    <row r="6080" spans="1:28" ht="17.100000000000001" customHeight="1" thickTop="1">
      <c r="A6080" s="226" t="s">
        <v>17232</v>
      </c>
      <c r="B6080" s="28">
        <v>46065</v>
      </c>
      <c r="C6080" s="25">
        <v>1970</v>
      </c>
      <c r="D6080" s="13" t="s">
        <v>1883</v>
      </c>
      <c r="E6080" s="228"/>
      <c r="F6080" s="109" t="s">
        <v>4893</v>
      </c>
      <c r="G6080" s="24"/>
      <c r="H6080" s="230">
        <v>4</v>
      </c>
      <c r="I6080" s="220">
        <v>844000</v>
      </c>
      <c r="J6080" s="220">
        <f>I6080*0.1</f>
        <v>84400</v>
      </c>
      <c r="K6080" s="220">
        <v>0</v>
      </c>
      <c r="L6080" s="220">
        <v>7440</v>
      </c>
      <c r="M6080" s="220">
        <v>15950</v>
      </c>
      <c r="N6080" s="220">
        <f>SUM(I6080:M6081)</f>
        <v>951790</v>
      </c>
      <c r="O6080" s="224"/>
      <c r="P6080" s="110" t="s">
        <v>17562</v>
      </c>
      <c r="Q6080" s="15" t="s">
        <v>19</v>
      </c>
      <c r="R6080" s="205"/>
      <c r="S6080" s="189"/>
      <c r="T6080" s="114"/>
      <c r="U6080" s="21"/>
      <c r="V6080" s="115">
        <v>46088</v>
      </c>
      <c r="W6080" s="116">
        <v>1291</v>
      </c>
      <c r="X6080" s="220">
        <v>940000</v>
      </c>
      <c r="Y6080" s="220">
        <f>X6080*0.1</f>
        <v>94000</v>
      </c>
      <c r="Z6080" s="220">
        <v>7440</v>
      </c>
      <c r="AA6080" s="220">
        <f>SUM(X6080:Z6080)</f>
        <v>1041440</v>
      </c>
      <c r="AB6080" s="222">
        <v>46091</v>
      </c>
    </row>
    <row r="6081" spans="1:28" ht="17.100000000000001" customHeight="1" thickBot="1">
      <c r="A6081" s="227"/>
      <c r="B6081" s="27" t="s">
        <v>3730</v>
      </c>
      <c r="C6081" s="27">
        <v>62027</v>
      </c>
      <c r="D6081" s="14" t="s">
        <v>1584</v>
      </c>
      <c r="E6081" s="229"/>
      <c r="F6081" s="117" t="s">
        <v>17219</v>
      </c>
      <c r="G6081" s="26">
        <v>58748</v>
      </c>
      <c r="H6081" s="231"/>
      <c r="I6081" s="221"/>
      <c r="J6081" s="221"/>
      <c r="K6081" s="221"/>
      <c r="L6081" s="221"/>
      <c r="M6081" s="221"/>
      <c r="N6081" s="221"/>
      <c r="O6081" s="225"/>
      <c r="P6081" s="118" t="s">
        <v>3733</v>
      </c>
      <c r="Q6081" s="16" t="s">
        <v>20</v>
      </c>
      <c r="R6081" s="17" t="s">
        <v>3526</v>
      </c>
      <c r="S6081" s="121"/>
      <c r="T6081" s="122"/>
      <c r="U6081" s="22"/>
      <c r="V6081" s="123" t="s">
        <v>2472</v>
      </c>
      <c r="W6081" s="122">
        <v>41013</v>
      </c>
      <c r="X6081" s="221"/>
      <c r="Y6081" s="221"/>
      <c r="Z6081" s="221"/>
      <c r="AA6081" s="221"/>
      <c r="AB6081" s="223"/>
    </row>
    <row r="6082" spans="1:28" ht="17.100000000000001" customHeight="1" thickTop="1">
      <c r="A6082" s="226" t="s">
        <v>17233</v>
      </c>
      <c r="B6082" s="28">
        <v>46065</v>
      </c>
      <c r="C6082" s="25">
        <v>1318</v>
      </c>
      <c r="D6082" s="13" t="s">
        <v>812</v>
      </c>
      <c r="E6082" s="228"/>
      <c r="F6082" s="109" t="s">
        <v>5436</v>
      </c>
      <c r="G6082" s="24" t="s">
        <v>1551</v>
      </c>
      <c r="H6082" s="230">
        <v>4</v>
      </c>
      <c r="I6082" s="220">
        <v>935000</v>
      </c>
      <c r="J6082" s="220">
        <f>I6082*0.1</f>
        <v>93500</v>
      </c>
      <c r="K6082" s="220">
        <f>2500+250</f>
        <v>2750</v>
      </c>
      <c r="L6082" s="220">
        <v>19440</v>
      </c>
      <c r="M6082" s="220">
        <v>16500</v>
      </c>
      <c r="N6082" s="220">
        <f>SUM(I6082:M6083)</f>
        <v>1067190</v>
      </c>
      <c r="O6082" s="224"/>
      <c r="P6082" s="110" t="s">
        <v>17241</v>
      </c>
      <c r="Q6082" s="15" t="s">
        <v>19</v>
      </c>
      <c r="R6082" s="205"/>
      <c r="S6082" s="189" t="s">
        <v>25367</v>
      </c>
      <c r="T6082" s="114"/>
      <c r="U6082" s="21"/>
      <c r="V6082" s="115">
        <v>46074</v>
      </c>
      <c r="W6082" s="116">
        <v>1289</v>
      </c>
      <c r="X6082" s="220">
        <v>1085000</v>
      </c>
      <c r="Y6082" s="220">
        <f>X6082*0.1</f>
        <v>108500</v>
      </c>
      <c r="Z6082" s="220">
        <v>19440</v>
      </c>
      <c r="AA6082" s="220">
        <f>SUM(X6082:Z6082)</f>
        <v>1212940</v>
      </c>
      <c r="AB6082" s="222">
        <v>46077</v>
      </c>
    </row>
    <row r="6083" spans="1:28" ht="17.100000000000001" customHeight="1" thickBot="1">
      <c r="A6083" s="227"/>
      <c r="B6083" s="27" t="s">
        <v>13379</v>
      </c>
      <c r="C6083" s="27">
        <v>530</v>
      </c>
      <c r="D6083" s="14" t="s">
        <v>131</v>
      </c>
      <c r="E6083" s="229"/>
      <c r="F6083" s="117" t="s">
        <v>17240</v>
      </c>
      <c r="G6083" s="26">
        <v>76249</v>
      </c>
      <c r="H6083" s="231"/>
      <c r="I6083" s="221"/>
      <c r="J6083" s="221"/>
      <c r="K6083" s="221"/>
      <c r="L6083" s="221"/>
      <c r="M6083" s="221"/>
      <c r="N6083" s="221"/>
      <c r="O6083" s="225"/>
      <c r="P6083" s="118" t="s">
        <v>17840</v>
      </c>
      <c r="Q6083" s="16" t="s">
        <v>20</v>
      </c>
      <c r="R6083" s="17" t="s">
        <v>17799</v>
      </c>
      <c r="S6083" s="121" t="s">
        <v>1731</v>
      </c>
      <c r="T6083" s="122"/>
      <c r="U6083" s="22"/>
      <c r="V6083" s="123" t="s">
        <v>2472</v>
      </c>
      <c r="W6083" s="122">
        <v>80009</v>
      </c>
      <c r="X6083" s="221"/>
      <c r="Y6083" s="221"/>
      <c r="Z6083" s="221"/>
      <c r="AA6083" s="221"/>
      <c r="AB6083" s="223"/>
    </row>
    <row r="6084" spans="1:28" ht="17.100000000000001" customHeight="1" thickTop="1">
      <c r="A6084" s="226" t="s">
        <v>17234</v>
      </c>
      <c r="B6084" s="28">
        <v>46065</v>
      </c>
      <c r="C6084" s="25">
        <v>1318</v>
      </c>
      <c r="D6084" s="13" t="s">
        <v>2203</v>
      </c>
      <c r="E6084" s="228"/>
      <c r="F6084" s="109" t="s">
        <v>17242</v>
      </c>
      <c r="G6084" s="24" t="s">
        <v>1551</v>
      </c>
      <c r="H6084" s="230">
        <v>4</v>
      </c>
      <c r="I6084" s="220">
        <v>1320000</v>
      </c>
      <c r="J6084" s="220">
        <f>I6084*0.1</f>
        <v>132000</v>
      </c>
      <c r="K6084" s="220">
        <f>3200+320</f>
        <v>3520</v>
      </c>
      <c r="L6084" s="220">
        <v>18570</v>
      </c>
      <c r="M6084" s="220">
        <v>16500</v>
      </c>
      <c r="N6084" s="220">
        <f>SUM(I6084:M6085)</f>
        <v>1490590</v>
      </c>
      <c r="O6084" s="224"/>
      <c r="P6084" s="110" t="s">
        <v>17244</v>
      </c>
      <c r="Q6084" s="15" t="s">
        <v>19</v>
      </c>
      <c r="R6084" s="205"/>
      <c r="S6084" s="189" t="s">
        <v>25367</v>
      </c>
      <c r="T6084" s="114"/>
      <c r="U6084" s="21" t="s">
        <v>19378</v>
      </c>
      <c r="V6084" s="115">
        <v>46095</v>
      </c>
      <c r="W6084" s="116">
        <v>1292</v>
      </c>
      <c r="X6084" s="220">
        <v>1435000</v>
      </c>
      <c r="Y6084" s="220">
        <f>X6084*0.1</f>
        <v>143500</v>
      </c>
      <c r="Z6084" s="220">
        <v>18570</v>
      </c>
      <c r="AA6084" s="220">
        <f>SUM(X6084:Z6084)</f>
        <v>1597070</v>
      </c>
      <c r="AB6084" s="222">
        <v>46098</v>
      </c>
    </row>
    <row r="6085" spans="1:28" ht="17.100000000000001" customHeight="1" thickBot="1">
      <c r="A6085" s="227"/>
      <c r="B6085" s="27" t="s">
        <v>13379</v>
      </c>
      <c r="C6085" s="27">
        <v>550</v>
      </c>
      <c r="D6085" s="14" t="s">
        <v>1584</v>
      </c>
      <c r="E6085" s="229"/>
      <c r="F6085" s="117" t="s">
        <v>17243</v>
      </c>
      <c r="G6085" s="26">
        <v>49532</v>
      </c>
      <c r="H6085" s="231"/>
      <c r="I6085" s="221"/>
      <c r="J6085" s="221"/>
      <c r="K6085" s="221"/>
      <c r="L6085" s="221"/>
      <c r="M6085" s="221"/>
      <c r="N6085" s="221"/>
      <c r="O6085" s="225"/>
      <c r="P6085" s="118" t="s">
        <v>7595</v>
      </c>
      <c r="Q6085" s="16" t="s">
        <v>20</v>
      </c>
      <c r="R6085" s="17" t="s">
        <v>1860</v>
      </c>
      <c r="S6085" s="121" t="s">
        <v>1731</v>
      </c>
      <c r="T6085" s="122"/>
      <c r="U6085" s="22"/>
      <c r="V6085" s="123" t="s">
        <v>2472</v>
      </c>
      <c r="W6085" s="122">
        <v>80298</v>
      </c>
      <c r="X6085" s="221"/>
      <c r="Y6085" s="221"/>
      <c r="Z6085" s="221"/>
      <c r="AA6085" s="221"/>
      <c r="AB6085" s="223"/>
    </row>
    <row r="6086" spans="1:28" ht="17.100000000000001" customHeight="1" thickTop="1">
      <c r="A6086" s="226" t="s">
        <v>17235</v>
      </c>
      <c r="B6086" s="28">
        <v>46065</v>
      </c>
      <c r="C6086" s="25">
        <v>1318</v>
      </c>
      <c r="D6086" s="13" t="s">
        <v>2324</v>
      </c>
      <c r="E6086" s="228"/>
      <c r="F6086" s="109" t="s">
        <v>17245</v>
      </c>
      <c r="G6086" s="24"/>
      <c r="H6086" s="230">
        <v>4.5</v>
      </c>
      <c r="I6086" s="220">
        <v>1640000</v>
      </c>
      <c r="J6086" s="220">
        <f>I6086*0.1</f>
        <v>164000</v>
      </c>
      <c r="K6086" s="220">
        <v>0</v>
      </c>
      <c r="L6086" s="220">
        <v>19880</v>
      </c>
      <c r="M6086" s="220">
        <v>16500</v>
      </c>
      <c r="N6086" s="220">
        <f>SUM(I6086:M6087)</f>
        <v>1840380</v>
      </c>
      <c r="O6086" s="224"/>
      <c r="P6086" s="110" t="s">
        <v>17697</v>
      </c>
      <c r="Q6086" s="15" t="s">
        <v>19</v>
      </c>
      <c r="R6086" s="205"/>
      <c r="S6086" s="189" t="s">
        <v>25367</v>
      </c>
      <c r="T6086" s="114"/>
      <c r="U6086" s="21"/>
      <c r="V6086" s="115">
        <v>46067</v>
      </c>
      <c r="W6086" s="116">
        <v>1288</v>
      </c>
      <c r="X6086" s="220">
        <v>1740000</v>
      </c>
      <c r="Y6086" s="220">
        <f>X6086*0.1</f>
        <v>174000</v>
      </c>
      <c r="Z6086" s="220">
        <v>19880</v>
      </c>
      <c r="AA6086" s="220">
        <f>SUM(X6086:Z6086)</f>
        <v>1933880</v>
      </c>
      <c r="AB6086" s="222">
        <v>46072</v>
      </c>
    </row>
    <row r="6087" spans="1:28" ht="17.100000000000001" customHeight="1" thickBot="1">
      <c r="A6087" s="227"/>
      <c r="B6087" s="27" t="s">
        <v>13379</v>
      </c>
      <c r="C6087" s="27">
        <v>568</v>
      </c>
      <c r="D6087" s="14" t="s">
        <v>1568</v>
      </c>
      <c r="E6087" s="229"/>
      <c r="F6087" s="117" t="s">
        <v>17246</v>
      </c>
      <c r="G6087" s="26">
        <v>30040</v>
      </c>
      <c r="H6087" s="231"/>
      <c r="I6087" s="221"/>
      <c r="J6087" s="221"/>
      <c r="K6087" s="221"/>
      <c r="L6087" s="221"/>
      <c r="M6087" s="221"/>
      <c r="N6087" s="221"/>
      <c r="O6087" s="225"/>
      <c r="P6087" s="118" t="s">
        <v>17698</v>
      </c>
      <c r="Q6087" s="16" t="s">
        <v>20</v>
      </c>
      <c r="R6087" s="17" t="s">
        <v>1860</v>
      </c>
      <c r="S6087" s="121" t="s">
        <v>1731</v>
      </c>
      <c r="T6087" s="122"/>
      <c r="U6087" s="22"/>
      <c r="V6087" s="123" t="s">
        <v>2472</v>
      </c>
      <c r="W6087" s="122">
        <v>80359</v>
      </c>
      <c r="X6087" s="221"/>
      <c r="Y6087" s="221"/>
      <c r="Z6087" s="221"/>
      <c r="AA6087" s="221"/>
      <c r="AB6087" s="223"/>
    </row>
    <row r="6088" spans="1:28" ht="17.100000000000001" customHeight="1" thickTop="1">
      <c r="A6088" s="226" t="s">
        <v>17236</v>
      </c>
      <c r="B6088" s="28">
        <v>46065</v>
      </c>
      <c r="C6088" s="25">
        <v>1318</v>
      </c>
      <c r="D6088" s="13" t="s">
        <v>1715</v>
      </c>
      <c r="E6088" s="228"/>
      <c r="F6088" s="109" t="s">
        <v>14418</v>
      </c>
      <c r="G6088" s="24"/>
      <c r="H6088" s="230">
        <v>4.5</v>
      </c>
      <c r="I6088" s="220">
        <v>2075000</v>
      </c>
      <c r="J6088" s="220">
        <f>I6088*0.1</f>
        <v>207500</v>
      </c>
      <c r="K6088" s="220">
        <v>0</v>
      </c>
      <c r="L6088" s="220">
        <v>21720</v>
      </c>
      <c r="M6088" s="220">
        <v>16500</v>
      </c>
      <c r="N6088" s="220">
        <f>SUM(I6088:M6089)</f>
        <v>2320720</v>
      </c>
      <c r="O6088" s="224"/>
      <c r="P6088" s="110" t="s">
        <v>17719</v>
      </c>
      <c r="Q6088" s="15" t="s">
        <v>19</v>
      </c>
      <c r="R6088" s="205"/>
      <c r="S6088" s="189" t="s">
        <v>25367</v>
      </c>
      <c r="T6088" s="114"/>
      <c r="U6088" s="21"/>
      <c r="V6088" s="115">
        <v>46074</v>
      </c>
      <c r="W6088" s="116"/>
      <c r="X6088" s="220">
        <v>2300000</v>
      </c>
      <c r="Y6088" s="220">
        <f>X6088*0.1</f>
        <v>230000</v>
      </c>
      <c r="Z6088" s="220">
        <v>21720</v>
      </c>
      <c r="AA6088" s="220">
        <f>SUM(X6088:Z6088)</f>
        <v>2551720</v>
      </c>
      <c r="AB6088" s="222"/>
    </row>
    <row r="6089" spans="1:28" ht="17.100000000000001" customHeight="1" thickBot="1">
      <c r="A6089" s="227"/>
      <c r="B6089" s="27" t="s">
        <v>13379</v>
      </c>
      <c r="C6089" s="27">
        <v>593</v>
      </c>
      <c r="D6089" s="14" t="s">
        <v>1584</v>
      </c>
      <c r="E6089" s="229"/>
      <c r="F6089" s="117" t="s">
        <v>17247</v>
      </c>
      <c r="G6089" s="26">
        <v>62912</v>
      </c>
      <c r="H6089" s="231"/>
      <c r="I6089" s="221"/>
      <c r="J6089" s="221"/>
      <c r="K6089" s="221"/>
      <c r="L6089" s="221"/>
      <c r="M6089" s="221"/>
      <c r="N6089" s="221"/>
      <c r="O6089" s="225"/>
      <c r="P6089" s="118" t="s">
        <v>11562</v>
      </c>
      <c r="Q6089" s="16" t="s">
        <v>20</v>
      </c>
      <c r="R6089" s="17" t="s">
        <v>1860</v>
      </c>
      <c r="S6089" s="121" t="s">
        <v>1731</v>
      </c>
      <c r="T6089" s="122"/>
      <c r="U6089" s="22"/>
      <c r="V6089" s="123" t="s">
        <v>6682</v>
      </c>
      <c r="W6089" s="122">
        <v>52340</v>
      </c>
      <c r="X6089" s="221"/>
      <c r="Y6089" s="221"/>
      <c r="Z6089" s="221"/>
      <c r="AA6089" s="221"/>
      <c r="AB6089" s="223"/>
    </row>
    <row r="6090" spans="1:28" ht="17.100000000000001" customHeight="1" thickTop="1">
      <c r="A6090" s="226" t="s">
        <v>17237</v>
      </c>
      <c r="B6090" s="28">
        <v>46065</v>
      </c>
      <c r="C6090" s="25">
        <v>1318</v>
      </c>
      <c r="D6090" s="13" t="s">
        <v>812</v>
      </c>
      <c r="E6090" s="228"/>
      <c r="F6090" s="109" t="s">
        <v>17248</v>
      </c>
      <c r="G6090" s="24" t="s">
        <v>1551</v>
      </c>
      <c r="H6090" s="230">
        <v>4.5</v>
      </c>
      <c r="I6090" s="220">
        <v>2085000</v>
      </c>
      <c r="J6090" s="220">
        <f>I6090*0.1</f>
        <v>208500</v>
      </c>
      <c r="K6090" s="220">
        <f>3300</f>
        <v>3300</v>
      </c>
      <c r="L6090" s="220">
        <v>18220</v>
      </c>
      <c r="M6090" s="220">
        <v>16500</v>
      </c>
      <c r="N6090" s="220">
        <f>SUM(I6090:M6091)</f>
        <v>2331520</v>
      </c>
      <c r="O6090" s="224"/>
      <c r="P6090" s="110" t="s">
        <v>17250</v>
      </c>
      <c r="Q6090" s="15" t="s">
        <v>19</v>
      </c>
      <c r="R6090" s="205"/>
      <c r="S6090" s="189" t="s">
        <v>1306</v>
      </c>
      <c r="T6090" s="114"/>
      <c r="U6090" s="21"/>
      <c r="V6090" s="115">
        <v>46081</v>
      </c>
      <c r="W6090" s="116">
        <v>1290</v>
      </c>
      <c r="X6090" s="220">
        <v>2200000</v>
      </c>
      <c r="Y6090" s="220">
        <f>X6090*0.1</f>
        <v>220000</v>
      </c>
      <c r="Z6090" s="220">
        <v>18220</v>
      </c>
      <c r="AA6090" s="220">
        <f>SUM(X6090:Z6090)</f>
        <v>2438220</v>
      </c>
      <c r="AB6090" s="222">
        <v>46084</v>
      </c>
    </row>
    <row r="6091" spans="1:28" ht="17.100000000000001" customHeight="1" thickBot="1">
      <c r="A6091" s="227"/>
      <c r="B6091" s="27" t="s">
        <v>13379</v>
      </c>
      <c r="C6091" s="27">
        <v>628</v>
      </c>
      <c r="D6091" s="14" t="s">
        <v>273</v>
      </c>
      <c r="E6091" s="229"/>
      <c r="F6091" s="117" t="s">
        <v>17249</v>
      </c>
      <c r="G6091" s="26">
        <v>19367</v>
      </c>
      <c r="H6091" s="231"/>
      <c r="I6091" s="221"/>
      <c r="J6091" s="221"/>
      <c r="K6091" s="221"/>
      <c r="L6091" s="221"/>
      <c r="M6091" s="221"/>
      <c r="N6091" s="221"/>
      <c r="O6091" s="225"/>
      <c r="P6091" s="118" t="s">
        <v>14585</v>
      </c>
      <c r="Q6091" s="16" t="s">
        <v>20</v>
      </c>
      <c r="R6091" s="17" t="s">
        <v>1860</v>
      </c>
      <c r="S6091" s="121" t="s">
        <v>1606</v>
      </c>
      <c r="T6091" s="122"/>
      <c r="U6091" s="22"/>
      <c r="V6091" s="123" t="s">
        <v>2472</v>
      </c>
      <c r="W6091" s="122">
        <v>80283</v>
      </c>
      <c r="X6091" s="221"/>
      <c r="Y6091" s="221"/>
      <c r="Z6091" s="221"/>
      <c r="AA6091" s="221"/>
      <c r="AB6091" s="223"/>
    </row>
    <row r="6092" spans="1:28" ht="17.100000000000001" customHeight="1" thickTop="1">
      <c r="A6092" s="226" t="s">
        <v>17238</v>
      </c>
      <c r="B6092" s="28">
        <v>46065</v>
      </c>
      <c r="C6092" s="25">
        <v>1318</v>
      </c>
      <c r="D6092" s="13" t="s">
        <v>4531</v>
      </c>
      <c r="E6092" s="228"/>
      <c r="F6092" s="109" t="s">
        <v>17251</v>
      </c>
      <c r="G6092" s="24"/>
      <c r="H6092" s="230">
        <v>4</v>
      </c>
      <c r="I6092" s="220">
        <v>160000</v>
      </c>
      <c r="J6092" s="220">
        <f>I6092*0.1</f>
        <v>16000</v>
      </c>
      <c r="K6092" s="220">
        <v>0</v>
      </c>
      <c r="L6092" s="220">
        <v>8490</v>
      </c>
      <c r="M6092" s="220">
        <v>16500</v>
      </c>
      <c r="N6092" s="220">
        <f>SUM(I6092:M6093)</f>
        <v>200990</v>
      </c>
      <c r="O6092" s="224"/>
      <c r="P6092" s="110" t="s">
        <v>17716</v>
      </c>
      <c r="Q6092" s="15" t="s">
        <v>19</v>
      </c>
      <c r="R6092" s="205"/>
      <c r="S6092" s="189" t="s">
        <v>25783</v>
      </c>
      <c r="T6092" s="114"/>
      <c r="U6092" s="21"/>
      <c r="V6092" s="115">
        <v>46071</v>
      </c>
      <c r="W6092" s="116">
        <v>1005</v>
      </c>
      <c r="X6092" s="220">
        <v>220000</v>
      </c>
      <c r="Y6092" s="220">
        <f>X6092*0.1</f>
        <v>22000</v>
      </c>
      <c r="Z6092" s="220">
        <v>8490</v>
      </c>
      <c r="AA6092" s="220">
        <f>SUM(X6092:Z6092)</f>
        <v>250490</v>
      </c>
      <c r="AB6092" s="222">
        <v>46073</v>
      </c>
    </row>
    <row r="6093" spans="1:28" ht="17.100000000000001" customHeight="1" thickBot="1">
      <c r="A6093" s="227"/>
      <c r="B6093" s="27" t="s">
        <v>13379</v>
      </c>
      <c r="C6093" s="27">
        <v>716</v>
      </c>
      <c r="D6093" s="14" t="s">
        <v>131</v>
      </c>
      <c r="E6093" s="229"/>
      <c r="F6093" s="117" t="s">
        <v>17252</v>
      </c>
      <c r="G6093" s="26">
        <v>58647</v>
      </c>
      <c r="H6093" s="231"/>
      <c r="I6093" s="221"/>
      <c r="J6093" s="221"/>
      <c r="K6093" s="221"/>
      <c r="L6093" s="221"/>
      <c r="M6093" s="221"/>
      <c r="N6093" s="221"/>
      <c r="O6093" s="225"/>
      <c r="P6093" s="118" t="s">
        <v>7595</v>
      </c>
      <c r="Q6093" s="16" t="s">
        <v>20</v>
      </c>
      <c r="R6093" s="17" t="s">
        <v>1860</v>
      </c>
      <c r="S6093" s="121" t="s">
        <v>17717</v>
      </c>
      <c r="T6093" s="122"/>
      <c r="U6093" s="22"/>
      <c r="V6093" s="123" t="s">
        <v>2747</v>
      </c>
      <c r="W6093" s="122">
        <v>5043</v>
      </c>
      <c r="X6093" s="221"/>
      <c r="Y6093" s="221"/>
      <c r="Z6093" s="221"/>
      <c r="AA6093" s="221"/>
      <c r="AB6093" s="223"/>
    </row>
    <row r="6094" spans="1:28" ht="17.100000000000001" customHeight="1" thickTop="1">
      <c r="A6094" s="226" t="s">
        <v>17239</v>
      </c>
      <c r="B6094" s="28">
        <v>46065</v>
      </c>
      <c r="C6094" s="25">
        <v>1318</v>
      </c>
      <c r="D6094" s="13" t="s">
        <v>1678</v>
      </c>
      <c r="E6094" s="228"/>
      <c r="F6094" s="109" t="s">
        <v>8431</v>
      </c>
      <c r="G6094" s="24"/>
      <c r="H6094" s="230">
        <v>4.5</v>
      </c>
      <c r="I6094" s="220">
        <v>1255000</v>
      </c>
      <c r="J6094" s="220">
        <f>I6094*0.1</f>
        <v>125500</v>
      </c>
      <c r="K6094" s="220">
        <v>0</v>
      </c>
      <c r="L6094" s="220">
        <v>8130</v>
      </c>
      <c r="M6094" s="220">
        <v>16500</v>
      </c>
      <c r="N6094" s="220">
        <f>SUM(I6094:M6095)</f>
        <v>1405130</v>
      </c>
      <c r="O6094" s="224"/>
      <c r="P6094" s="110" t="s">
        <v>17367</v>
      </c>
      <c r="Q6094" s="15" t="s">
        <v>19</v>
      </c>
      <c r="R6094" s="205"/>
      <c r="S6094" s="189" t="s">
        <v>25367</v>
      </c>
      <c r="T6094" s="114"/>
      <c r="U6094" s="21"/>
      <c r="V6094" s="115">
        <v>46071</v>
      </c>
      <c r="W6094" s="116">
        <v>1005</v>
      </c>
      <c r="X6094" s="220">
        <v>1315000</v>
      </c>
      <c r="Y6094" s="220">
        <f>X6094*0.1</f>
        <v>131500</v>
      </c>
      <c r="Z6094" s="220">
        <v>8130</v>
      </c>
      <c r="AA6094" s="220">
        <f>SUM(X6094:Z6094)</f>
        <v>1454630</v>
      </c>
      <c r="AB6094" s="222">
        <v>46073</v>
      </c>
    </row>
    <row r="6095" spans="1:28" ht="17.100000000000001" customHeight="1" thickBot="1">
      <c r="A6095" s="227"/>
      <c r="B6095" s="27" t="s">
        <v>13379</v>
      </c>
      <c r="C6095" s="27">
        <v>757</v>
      </c>
      <c r="D6095" s="14" t="s">
        <v>131</v>
      </c>
      <c r="E6095" s="229"/>
      <c r="F6095" s="117" t="s">
        <v>17253</v>
      </c>
      <c r="G6095" s="26">
        <v>24191</v>
      </c>
      <c r="H6095" s="231"/>
      <c r="I6095" s="221"/>
      <c r="J6095" s="221"/>
      <c r="K6095" s="221"/>
      <c r="L6095" s="221"/>
      <c r="M6095" s="221"/>
      <c r="N6095" s="221"/>
      <c r="O6095" s="225"/>
      <c r="P6095" s="118" t="s">
        <v>17368</v>
      </c>
      <c r="Q6095" s="16" t="s">
        <v>20</v>
      </c>
      <c r="R6095" s="17" t="s">
        <v>17360</v>
      </c>
      <c r="S6095" s="121" t="s">
        <v>1731</v>
      </c>
      <c r="T6095" s="122"/>
      <c r="U6095" s="22"/>
      <c r="V6095" s="123" t="s">
        <v>2747</v>
      </c>
      <c r="W6095" s="122">
        <v>5044</v>
      </c>
      <c r="X6095" s="221"/>
      <c r="Y6095" s="221"/>
      <c r="Z6095" s="221"/>
      <c r="AA6095" s="221"/>
      <c r="AB6095" s="223"/>
    </row>
    <row r="6096" spans="1:28" ht="17.100000000000001" customHeight="1" thickTop="1">
      <c r="A6096" s="226" t="s">
        <v>17384</v>
      </c>
      <c r="B6096" s="28">
        <v>46065</v>
      </c>
      <c r="C6096" s="25">
        <v>2145</v>
      </c>
      <c r="D6096" s="13" t="s">
        <v>17461</v>
      </c>
      <c r="E6096" s="228"/>
      <c r="F6096" s="109" t="s">
        <v>7495</v>
      </c>
      <c r="G6096" s="24" t="s">
        <v>2894</v>
      </c>
      <c r="H6096" s="230">
        <v>4.5</v>
      </c>
      <c r="I6096" s="220">
        <v>765000</v>
      </c>
      <c r="J6096" s="220">
        <f>I6096*0.1</f>
        <v>76500</v>
      </c>
      <c r="K6096" s="220">
        <v>0</v>
      </c>
      <c r="L6096" s="220">
        <v>7950</v>
      </c>
      <c r="M6096" s="220">
        <v>14300</v>
      </c>
      <c r="N6096" s="220">
        <f>SUM(I6096:M6097)</f>
        <v>863750</v>
      </c>
      <c r="O6096" s="224"/>
      <c r="P6096" s="110" t="s">
        <v>17462</v>
      </c>
      <c r="Q6096" s="15" t="s">
        <v>19</v>
      </c>
      <c r="R6096" s="205"/>
      <c r="S6096" s="189"/>
      <c r="T6096" s="114"/>
      <c r="U6096" s="21"/>
      <c r="V6096" s="115">
        <v>46077</v>
      </c>
      <c r="W6096" s="116">
        <v>1930</v>
      </c>
      <c r="X6096" s="220">
        <v>788000</v>
      </c>
      <c r="Y6096" s="220">
        <f>X6096*0.1</f>
        <v>78800</v>
      </c>
      <c r="Z6096" s="220">
        <v>7950</v>
      </c>
      <c r="AA6096" s="220">
        <f>SUM(X6096:Z6096)</f>
        <v>874750</v>
      </c>
      <c r="AB6096" s="222"/>
    </row>
    <row r="6097" spans="1:28" ht="17.100000000000001" customHeight="1" thickBot="1">
      <c r="A6097" s="227"/>
      <c r="B6097" s="27" t="s">
        <v>1918</v>
      </c>
      <c r="C6097" s="27">
        <v>2105</v>
      </c>
      <c r="D6097" s="14" t="s">
        <v>16848</v>
      </c>
      <c r="E6097" s="229"/>
      <c r="F6097" s="117" t="s">
        <v>17377</v>
      </c>
      <c r="G6097" s="26">
        <v>56287</v>
      </c>
      <c r="H6097" s="231"/>
      <c r="I6097" s="221"/>
      <c r="J6097" s="221"/>
      <c r="K6097" s="221"/>
      <c r="L6097" s="221"/>
      <c r="M6097" s="221"/>
      <c r="N6097" s="221"/>
      <c r="O6097" s="225"/>
      <c r="P6097" s="118" t="s">
        <v>17725</v>
      </c>
      <c r="Q6097" s="16" t="s">
        <v>20</v>
      </c>
      <c r="R6097" s="17" t="s">
        <v>1860</v>
      </c>
      <c r="S6097" s="121" t="s">
        <v>17726</v>
      </c>
      <c r="T6097" s="122"/>
      <c r="U6097" s="22"/>
      <c r="V6097" s="123" t="s">
        <v>2103</v>
      </c>
      <c r="W6097" s="122">
        <v>3129</v>
      </c>
      <c r="X6097" s="221"/>
      <c r="Y6097" s="221"/>
      <c r="Z6097" s="221"/>
      <c r="AA6097" s="221"/>
      <c r="AB6097" s="223"/>
    </row>
    <row r="6098" spans="1:28" ht="17.100000000000001" customHeight="1" thickTop="1">
      <c r="A6098" s="226" t="s">
        <v>17385</v>
      </c>
      <c r="B6098" s="28">
        <v>46065</v>
      </c>
      <c r="C6098" s="25">
        <v>2145</v>
      </c>
      <c r="D6098" s="13" t="s">
        <v>1947</v>
      </c>
      <c r="E6098" s="228"/>
      <c r="F6098" s="109" t="s">
        <v>15695</v>
      </c>
      <c r="G6098" s="24" t="s">
        <v>17463</v>
      </c>
      <c r="H6098" s="230">
        <v>4</v>
      </c>
      <c r="I6098" s="220">
        <v>789000</v>
      </c>
      <c r="J6098" s="220">
        <f>I6098*0.1</f>
        <v>78900</v>
      </c>
      <c r="K6098" s="220">
        <v>0</v>
      </c>
      <c r="L6098" s="220">
        <v>8510</v>
      </c>
      <c r="M6098" s="220">
        <v>14300</v>
      </c>
      <c r="N6098" s="220">
        <f>SUM(I6098:M6099)</f>
        <v>890710</v>
      </c>
      <c r="O6098" s="224"/>
      <c r="P6098" s="110" t="s">
        <v>17948</v>
      </c>
      <c r="Q6098" s="15" t="s">
        <v>19</v>
      </c>
      <c r="R6098" s="205"/>
      <c r="S6098" s="189" t="s">
        <v>25784</v>
      </c>
      <c r="T6098" s="114"/>
      <c r="U6098" s="21"/>
      <c r="V6098" s="115">
        <v>46071</v>
      </c>
      <c r="W6098" s="116">
        <v>1005</v>
      </c>
      <c r="X6098" s="220">
        <v>865000</v>
      </c>
      <c r="Y6098" s="220">
        <f>X6098*0.1</f>
        <v>86500</v>
      </c>
      <c r="Z6098" s="220">
        <v>8510</v>
      </c>
      <c r="AA6098" s="220">
        <f>SUM(X6098:Z6098)</f>
        <v>960010</v>
      </c>
      <c r="AB6098" s="222">
        <v>46077</v>
      </c>
    </row>
    <row r="6099" spans="1:28" ht="17.100000000000001" customHeight="1" thickBot="1">
      <c r="A6099" s="227"/>
      <c r="B6099" s="27" t="s">
        <v>1918</v>
      </c>
      <c r="C6099" s="27">
        <v>2515</v>
      </c>
      <c r="D6099" s="14" t="s">
        <v>1710</v>
      </c>
      <c r="E6099" s="229"/>
      <c r="F6099" s="117" t="s">
        <v>17378</v>
      </c>
      <c r="G6099" s="26">
        <v>8434</v>
      </c>
      <c r="H6099" s="231"/>
      <c r="I6099" s="221"/>
      <c r="J6099" s="221"/>
      <c r="K6099" s="221"/>
      <c r="L6099" s="221"/>
      <c r="M6099" s="221"/>
      <c r="N6099" s="221"/>
      <c r="O6099" s="225"/>
      <c r="P6099" s="118" t="s">
        <v>2942</v>
      </c>
      <c r="Q6099" s="16" t="s">
        <v>20</v>
      </c>
      <c r="R6099" s="17" t="s">
        <v>17949</v>
      </c>
      <c r="S6099" s="121" t="s">
        <v>4539</v>
      </c>
      <c r="T6099" s="122"/>
      <c r="U6099" s="22"/>
      <c r="V6099" s="123" t="s">
        <v>2747</v>
      </c>
      <c r="W6099" s="122">
        <v>5041</v>
      </c>
      <c r="X6099" s="221"/>
      <c r="Y6099" s="221"/>
      <c r="Z6099" s="221"/>
      <c r="AA6099" s="221"/>
      <c r="AB6099" s="223"/>
    </row>
    <row r="6100" spans="1:28" ht="17.100000000000001" customHeight="1" thickTop="1">
      <c r="A6100" s="226" t="s">
        <v>17386</v>
      </c>
      <c r="B6100" s="28">
        <v>46065</v>
      </c>
      <c r="C6100" s="25">
        <v>2145</v>
      </c>
      <c r="D6100" s="13" t="s">
        <v>1634</v>
      </c>
      <c r="E6100" s="228"/>
      <c r="F6100" s="109" t="s">
        <v>17464</v>
      </c>
      <c r="G6100" s="24" t="s">
        <v>9136</v>
      </c>
      <c r="H6100" s="230">
        <v>5</v>
      </c>
      <c r="I6100" s="220">
        <v>1560000</v>
      </c>
      <c r="J6100" s="220">
        <f>I6100*0.1</f>
        <v>156000</v>
      </c>
      <c r="K6100" s="220">
        <v>0</v>
      </c>
      <c r="L6100" s="220">
        <v>9710</v>
      </c>
      <c r="M6100" s="220">
        <v>14300</v>
      </c>
      <c r="N6100" s="220">
        <f>SUM(I6100:M6101)</f>
        <v>1740010</v>
      </c>
      <c r="O6100" s="224"/>
      <c r="P6100" s="110" t="s">
        <v>17465</v>
      </c>
      <c r="Q6100" s="15" t="s">
        <v>19</v>
      </c>
      <c r="R6100" s="205"/>
      <c r="S6100" s="189" t="s">
        <v>25710</v>
      </c>
      <c r="T6100" s="114"/>
      <c r="U6100" s="21"/>
      <c r="V6100" s="115">
        <v>46095</v>
      </c>
      <c r="W6100" s="116">
        <v>1292</v>
      </c>
      <c r="X6100" s="220">
        <v>1560000</v>
      </c>
      <c r="Y6100" s="220">
        <f>X6100*0.1</f>
        <v>156000</v>
      </c>
      <c r="Z6100" s="220">
        <v>9710</v>
      </c>
      <c r="AA6100" s="220">
        <f>SUM(X6100:Z6100)</f>
        <v>1725710</v>
      </c>
      <c r="AB6100" s="222">
        <v>46098</v>
      </c>
    </row>
    <row r="6101" spans="1:28" ht="17.100000000000001" customHeight="1" thickBot="1">
      <c r="A6101" s="227"/>
      <c r="B6101" s="27" t="s">
        <v>1918</v>
      </c>
      <c r="C6101" s="27">
        <v>2517</v>
      </c>
      <c r="D6101" s="14" t="s">
        <v>2520</v>
      </c>
      <c r="E6101" s="229"/>
      <c r="F6101" s="117" t="s">
        <v>17379</v>
      </c>
      <c r="G6101" s="26">
        <v>28020</v>
      </c>
      <c r="H6101" s="231"/>
      <c r="I6101" s="221"/>
      <c r="J6101" s="221"/>
      <c r="K6101" s="221"/>
      <c r="L6101" s="221"/>
      <c r="M6101" s="221"/>
      <c r="N6101" s="221"/>
      <c r="O6101" s="225"/>
      <c r="P6101" s="118" t="s">
        <v>17727</v>
      </c>
      <c r="Q6101" s="16" t="s">
        <v>20</v>
      </c>
      <c r="R6101" s="17" t="s">
        <v>1860</v>
      </c>
      <c r="S6101" s="121" t="s">
        <v>4035</v>
      </c>
      <c r="T6101" s="122"/>
      <c r="U6101" s="22"/>
      <c r="V6101" s="123" t="s">
        <v>2472</v>
      </c>
      <c r="W6101" s="122">
        <v>60001</v>
      </c>
      <c r="X6101" s="221"/>
      <c r="Y6101" s="221"/>
      <c r="Z6101" s="221"/>
      <c r="AA6101" s="221"/>
      <c r="AB6101" s="223"/>
    </row>
    <row r="6102" spans="1:28" ht="17.100000000000001" customHeight="1" thickTop="1">
      <c r="A6102" s="226" t="s">
        <v>17387</v>
      </c>
      <c r="B6102" s="28">
        <v>46065</v>
      </c>
      <c r="C6102" s="25">
        <v>2145</v>
      </c>
      <c r="D6102" s="13" t="s">
        <v>1555</v>
      </c>
      <c r="E6102" s="228"/>
      <c r="F6102" s="109" t="s">
        <v>17466</v>
      </c>
      <c r="G6102" s="24" t="s">
        <v>17467</v>
      </c>
      <c r="H6102" s="230">
        <v>5</v>
      </c>
      <c r="I6102" s="220">
        <v>1070000</v>
      </c>
      <c r="J6102" s="220">
        <f>I6102*0.1</f>
        <v>107000</v>
      </c>
      <c r="K6102" s="220">
        <v>0</v>
      </c>
      <c r="L6102" s="220">
        <v>8320</v>
      </c>
      <c r="M6102" s="220">
        <v>14300</v>
      </c>
      <c r="N6102" s="220">
        <f>SUM(I6102:M6103)</f>
        <v>1199620</v>
      </c>
      <c r="O6102" s="224"/>
      <c r="P6102" s="110" t="s">
        <v>17468</v>
      </c>
      <c r="Q6102" s="15" t="s">
        <v>19</v>
      </c>
      <c r="R6102" s="205"/>
      <c r="S6102" s="189" t="s">
        <v>25386</v>
      </c>
      <c r="T6102" s="114"/>
      <c r="U6102" s="21"/>
      <c r="V6102" s="115"/>
      <c r="W6102" s="116"/>
      <c r="X6102" s="220"/>
      <c r="Y6102" s="220">
        <f>X6102*0.1</f>
        <v>0</v>
      </c>
      <c r="Z6102" s="220"/>
      <c r="AA6102" s="220">
        <f>SUM(X6102:Z6102)</f>
        <v>0</v>
      </c>
      <c r="AB6102" s="222"/>
    </row>
    <row r="6103" spans="1:28" ht="17.100000000000001" customHeight="1" thickBot="1">
      <c r="A6103" s="227"/>
      <c r="B6103" s="27" t="s">
        <v>1918</v>
      </c>
      <c r="C6103" s="27">
        <v>2570</v>
      </c>
      <c r="D6103" s="14" t="s">
        <v>1690</v>
      </c>
      <c r="E6103" s="229"/>
      <c r="F6103" s="117" t="s">
        <v>17380</v>
      </c>
      <c r="G6103" s="26">
        <v>3940</v>
      </c>
      <c r="H6103" s="231"/>
      <c r="I6103" s="221"/>
      <c r="J6103" s="221"/>
      <c r="K6103" s="221"/>
      <c r="L6103" s="221"/>
      <c r="M6103" s="221"/>
      <c r="N6103" s="221"/>
      <c r="O6103" s="225"/>
      <c r="P6103" s="118" t="s">
        <v>17699</v>
      </c>
      <c r="Q6103" s="16" t="s">
        <v>20</v>
      </c>
      <c r="R6103" s="17" t="s">
        <v>1860</v>
      </c>
      <c r="S6103" s="121" t="s">
        <v>2405</v>
      </c>
      <c r="T6103" s="122"/>
      <c r="U6103" s="22"/>
      <c r="V6103" s="123"/>
      <c r="W6103" s="122"/>
      <c r="X6103" s="221"/>
      <c r="Y6103" s="221"/>
      <c r="Z6103" s="221"/>
      <c r="AA6103" s="221"/>
      <c r="AB6103" s="223"/>
    </row>
    <row r="6104" spans="1:28" ht="17.100000000000001" customHeight="1" thickTop="1">
      <c r="A6104" s="226" t="s">
        <v>17388</v>
      </c>
      <c r="B6104" s="28">
        <v>46065</v>
      </c>
      <c r="C6104" s="25">
        <v>2145</v>
      </c>
      <c r="D6104" s="13" t="s">
        <v>2324</v>
      </c>
      <c r="E6104" s="228"/>
      <c r="F6104" s="109" t="s">
        <v>14962</v>
      </c>
      <c r="G6104" s="24"/>
      <c r="H6104" s="230">
        <v>4.5</v>
      </c>
      <c r="I6104" s="220">
        <v>903000</v>
      </c>
      <c r="J6104" s="220">
        <f>I6104*0.1</f>
        <v>90300</v>
      </c>
      <c r="K6104" s="220">
        <v>0</v>
      </c>
      <c r="L6104" s="220">
        <v>8740</v>
      </c>
      <c r="M6104" s="220">
        <v>14300</v>
      </c>
      <c r="N6104" s="220">
        <f>SUM(I6104:M6105)</f>
        <v>1016340</v>
      </c>
      <c r="O6104" s="224"/>
      <c r="P6104" s="110" t="s">
        <v>17802</v>
      </c>
      <c r="Q6104" s="15" t="s">
        <v>19</v>
      </c>
      <c r="R6104" s="205"/>
      <c r="S6104" s="189" t="s">
        <v>25701</v>
      </c>
      <c r="T6104" s="114"/>
      <c r="U6104" s="21"/>
      <c r="V6104" s="115"/>
      <c r="W6104" s="116"/>
      <c r="X6104" s="220"/>
      <c r="Y6104" s="220">
        <f>X6104*0.1</f>
        <v>0</v>
      </c>
      <c r="Z6104" s="220"/>
      <c r="AA6104" s="220">
        <f>SUM(X6104:Z6104)</f>
        <v>0</v>
      </c>
      <c r="AB6104" s="222"/>
    </row>
    <row r="6105" spans="1:28" ht="17.100000000000001" customHeight="1" thickBot="1">
      <c r="A6105" s="227"/>
      <c r="B6105" s="27" t="s">
        <v>1918</v>
      </c>
      <c r="C6105" s="27">
        <v>2572</v>
      </c>
      <c r="D6105" s="14" t="s">
        <v>1710</v>
      </c>
      <c r="E6105" s="229"/>
      <c r="F6105" s="117" t="s">
        <v>17381</v>
      </c>
      <c r="G6105" s="26">
        <v>8908</v>
      </c>
      <c r="H6105" s="231"/>
      <c r="I6105" s="221"/>
      <c r="J6105" s="221"/>
      <c r="K6105" s="221"/>
      <c r="L6105" s="221"/>
      <c r="M6105" s="221"/>
      <c r="N6105" s="221"/>
      <c r="O6105" s="225"/>
      <c r="P6105" s="118" t="s">
        <v>17803</v>
      </c>
      <c r="Q6105" s="16" t="s">
        <v>20</v>
      </c>
      <c r="R6105" s="17" t="s">
        <v>17799</v>
      </c>
      <c r="S6105" s="121" t="s">
        <v>17804</v>
      </c>
      <c r="T6105" s="122"/>
      <c r="U6105" s="22"/>
      <c r="V6105" s="123"/>
      <c r="W6105" s="122"/>
      <c r="X6105" s="221"/>
      <c r="Y6105" s="221"/>
      <c r="Z6105" s="221"/>
      <c r="AA6105" s="221"/>
      <c r="AB6105" s="223"/>
    </row>
    <row r="6106" spans="1:28" ht="17.100000000000001" customHeight="1" thickTop="1">
      <c r="A6106" s="226" t="s">
        <v>17389</v>
      </c>
      <c r="B6106" s="28">
        <v>46065</v>
      </c>
      <c r="C6106" s="25">
        <v>2145</v>
      </c>
      <c r="D6106" s="13" t="s">
        <v>2652</v>
      </c>
      <c r="E6106" s="228"/>
      <c r="F6106" s="109" t="s">
        <v>17469</v>
      </c>
      <c r="G6106" s="24"/>
      <c r="H6106" s="230">
        <v>4.5</v>
      </c>
      <c r="I6106" s="220">
        <v>1495000</v>
      </c>
      <c r="J6106" s="220">
        <f>I6106*0.1</f>
        <v>149500</v>
      </c>
      <c r="K6106" s="220">
        <v>0</v>
      </c>
      <c r="L6106" s="220">
        <v>14200</v>
      </c>
      <c r="M6106" s="220">
        <v>14300</v>
      </c>
      <c r="N6106" s="220">
        <f>SUM(I6106:M6107)</f>
        <v>1673000</v>
      </c>
      <c r="O6106" s="224"/>
      <c r="P6106" s="110" t="s">
        <v>17724</v>
      </c>
      <c r="Q6106" s="15" t="s">
        <v>19</v>
      </c>
      <c r="R6106" s="205"/>
      <c r="S6106" s="189"/>
      <c r="T6106" s="114"/>
      <c r="U6106" s="21"/>
      <c r="V6106" s="115">
        <v>46112</v>
      </c>
      <c r="W6106" s="116"/>
      <c r="X6106" s="220">
        <v>1600000</v>
      </c>
      <c r="Y6106" s="220">
        <f>X6106*0.1</f>
        <v>160000</v>
      </c>
      <c r="Z6106" s="220">
        <v>14200</v>
      </c>
      <c r="AA6106" s="220">
        <f>SUM(X6106:Z6106)</f>
        <v>1774200</v>
      </c>
      <c r="AB6106" s="222"/>
    </row>
    <row r="6107" spans="1:28" ht="17.100000000000001" customHeight="1" thickBot="1">
      <c r="A6107" s="227"/>
      <c r="B6107" s="27" t="s">
        <v>1918</v>
      </c>
      <c r="C6107" s="27">
        <v>2607</v>
      </c>
      <c r="D6107" s="14" t="s">
        <v>273</v>
      </c>
      <c r="E6107" s="229"/>
      <c r="F6107" s="117" t="s">
        <v>17382</v>
      </c>
      <c r="G6107" s="26">
        <v>13243</v>
      </c>
      <c r="H6107" s="231"/>
      <c r="I6107" s="221"/>
      <c r="J6107" s="221"/>
      <c r="K6107" s="221"/>
      <c r="L6107" s="221"/>
      <c r="M6107" s="221"/>
      <c r="N6107" s="221"/>
      <c r="O6107" s="225"/>
      <c r="P6107" s="118" t="s">
        <v>2404</v>
      </c>
      <c r="Q6107" s="16" t="s">
        <v>20</v>
      </c>
      <c r="R6107" s="17" t="s">
        <v>1860</v>
      </c>
      <c r="S6107" s="121" t="s">
        <v>3566</v>
      </c>
      <c r="T6107" s="122"/>
      <c r="U6107" s="22"/>
      <c r="V6107" s="123" t="s">
        <v>6682</v>
      </c>
      <c r="W6107" s="122">
        <v>49606</v>
      </c>
      <c r="X6107" s="221"/>
      <c r="Y6107" s="221"/>
      <c r="Z6107" s="221"/>
      <c r="AA6107" s="221"/>
      <c r="AB6107" s="223"/>
    </row>
    <row r="6108" spans="1:28" ht="17.100000000000001" customHeight="1" thickTop="1">
      <c r="A6108" s="226" t="s">
        <v>17390</v>
      </c>
      <c r="B6108" s="28">
        <v>46065</v>
      </c>
      <c r="C6108" s="25">
        <v>2145</v>
      </c>
      <c r="D6108" s="13" t="s">
        <v>3739</v>
      </c>
      <c r="E6108" s="228"/>
      <c r="F6108" s="109" t="s">
        <v>15643</v>
      </c>
      <c r="G6108" s="24"/>
      <c r="H6108" s="230">
        <v>4</v>
      </c>
      <c r="I6108" s="220">
        <v>968000</v>
      </c>
      <c r="J6108" s="220">
        <f>I6108*0.1</f>
        <v>96800</v>
      </c>
      <c r="K6108" s="220">
        <v>0</v>
      </c>
      <c r="L6108" s="220">
        <v>6830</v>
      </c>
      <c r="M6108" s="220">
        <v>14300</v>
      </c>
      <c r="N6108" s="220">
        <f>SUM(I6108:M6109)</f>
        <v>1085930</v>
      </c>
      <c r="O6108" s="224"/>
      <c r="P6108" s="110" t="s">
        <v>17723</v>
      </c>
      <c r="Q6108" s="15" t="s">
        <v>19</v>
      </c>
      <c r="R6108" s="205"/>
      <c r="S6108" s="189"/>
      <c r="T6108" s="114"/>
      <c r="U6108" s="21"/>
      <c r="V6108" s="115">
        <v>46071</v>
      </c>
      <c r="W6108" s="116">
        <v>1005</v>
      </c>
      <c r="X6108" s="220">
        <v>1095000</v>
      </c>
      <c r="Y6108" s="220">
        <f>X6108*0.1</f>
        <v>109500</v>
      </c>
      <c r="Z6108" s="220">
        <v>6830</v>
      </c>
      <c r="AA6108" s="220">
        <f>SUM(X6108:Z6108)</f>
        <v>1211330</v>
      </c>
      <c r="AB6108" s="222">
        <v>46073</v>
      </c>
    </row>
    <row r="6109" spans="1:28" ht="17.100000000000001" customHeight="1" thickBot="1">
      <c r="A6109" s="227"/>
      <c r="B6109" s="27" t="s">
        <v>1918</v>
      </c>
      <c r="C6109" s="27">
        <v>2616</v>
      </c>
      <c r="D6109" s="14" t="s">
        <v>17470</v>
      </c>
      <c r="E6109" s="229"/>
      <c r="F6109" s="117" t="s">
        <v>17383</v>
      </c>
      <c r="G6109" s="26">
        <v>36687</v>
      </c>
      <c r="H6109" s="231"/>
      <c r="I6109" s="221"/>
      <c r="J6109" s="221"/>
      <c r="K6109" s="221"/>
      <c r="L6109" s="221"/>
      <c r="M6109" s="221"/>
      <c r="N6109" s="221"/>
      <c r="O6109" s="225"/>
      <c r="P6109" s="118" t="s">
        <v>12896</v>
      </c>
      <c r="Q6109" s="16" t="s">
        <v>20</v>
      </c>
      <c r="R6109" s="17" t="s">
        <v>1860</v>
      </c>
      <c r="S6109" s="121"/>
      <c r="T6109" s="122"/>
      <c r="U6109" s="22"/>
      <c r="V6109" s="123" t="s">
        <v>2747</v>
      </c>
      <c r="W6109" s="122">
        <v>5047</v>
      </c>
      <c r="X6109" s="221"/>
      <c r="Y6109" s="221"/>
      <c r="Z6109" s="221"/>
      <c r="AA6109" s="221"/>
      <c r="AB6109" s="223"/>
    </row>
    <row r="6110" spans="1:28" ht="17.100000000000001" customHeight="1" thickTop="1">
      <c r="A6110" s="226" t="s">
        <v>17391</v>
      </c>
      <c r="B6110" s="28">
        <v>46065</v>
      </c>
      <c r="C6110" s="25">
        <v>2014</v>
      </c>
      <c r="D6110" s="13" t="s">
        <v>2610</v>
      </c>
      <c r="E6110" s="228"/>
      <c r="F6110" s="109" t="s">
        <v>17471</v>
      </c>
      <c r="G6110" s="24"/>
      <c r="H6110" s="230">
        <v>4.5</v>
      </c>
      <c r="I6110" s="220">
        <v>1072000</v>
      </c>
      <c r="J6110" s="220">
        <f>I6110*0.1</f>
        <v>107200</v>
      </c>
      <c r="K6110" s="220">
        <v>0</v>
      </c>
      <c r="L6110" s="220">
        <v>10360</v>
      </c>
      <c r="M6110" s="220">
        <v>22000</v>
      </c>
      <c r="N6110" s="220">
        <f>SUM(I6110:M6111)</f>
        <v>1211560</v>
      </c>
      <c r="O6110" s="224"/>
      <c r="P6110" s="110" t="s">
        <v>17852</v>
      </c>
      <c r="Q6110" s="15" t="s">
        <v>19</v>
      </c>
      <c r="R6110" s="205"/>
      <c r="S6110" s="189" t="s">
        <v>25766</v>
      </c>
      <c r="T6110" s="114"/>
      <c r="U6110" s="21"/>
      <c r="V6110" s="115">
        <v>46078</v>
      </c>
      <c r="W6110" s="116">
        <v>1006</v>
      </c>
      <c r="X6110" s="220">
        <v>1055000</v>
      </c>
      <c r="Y6110" s="220">
        <f>X6110*0.1</f>
        <v>105500</v>
      </c>
      <c r="Z6110" s="220">
        <v>10360</v>
      </c>
      <c r="AA6110" s="220">
        <f>SUM(X6110:Z6110)</f>
        <v>1170860</v>
      </c>
      <c r="AB6110" s="222">
        <v>46083</v>
      </c>
    </row>
    <row r="6111" spans="1:28" ht="17.100000000000001" customHeight="1" thickBot="1">
      <c r="A6111" s="227"/>
      <c r="B6111" s="27" t="s">
        <v>2680</v>
      </c>
      <c r="C6111" s="27">
        <v>30155</v>
      </c>
      <c r="D6111" s="14" t="s">
        <v>2559</v>
      </c>
      <c r="E6111" s="229"/>
      <c r="F6111" s="117" t="s">
        <v>17410</v>
      </c>
      <c r="G6111" s="26">
        <v>51509</v>
      </c>
      <c r="H6111" s="231"/>
      <c r="I6111" s="221"/>
      <c r="J6111" s="221"/>
      <c r="K6111" s="221"/>
      <c r="L6111" s="221"/>
      <c r="M6111" s="221"/>
      <c r="N6111" s="221"/>
      <c r="O6111" s="225"/>
      <c r="P6111" s="118" t="s">
        <v>17853</v>
      </c>
      <c r="Q6111" s="16" t="s">
        <v>20</v>
      </c>
      <c r="R6111" s="17" t="s">
        <v>17799</v>
      </c>
      <c r="S6111" s="121" t="s">
        <v>3581</v>
      </c>
      <c r="T6111" s="122"/>
      <c r="U6111" s="22"/>
      <c r="V6111" s="123" t="s">
        <v>2747</v>
      </c>
      <c r="W6111" s="122">
        <v>6011</v>
      </c>
      <c r="X6111" s="221"/>
      <c r="Y6111" s="221"/>
      <c r="Z6111" s="221"/>
      <c r="AA6111" s="221"/>
      <c r="AB6111" s="223"/>
    </row>
    <row r="6112" spans="1:28" ht="17.100000000000001" customHeight="1" thickTop="1">
      <c r="A6112" s="226" t="s">
        <v>17392</v>
      </c>
      <c r="B6112" s="28">
        <v>46065</v>
      </c>
      <c r="C6112" s="25">
        <v>2014</v>
      </c>
      <c r="D6112" s="13" t="s">
        <v>2324</v>
      </c>
      <c r="E6112" s="228"/>
      <c r="F6112" s="109" t="s">
        <v>7546</v>
      </c>
      <c r="G6112" s="24"/>
      <c r="H6112" s="230">
        <v>4</v>
      </c>
      <c r="I6112" s="220">
        <v>998000</v>
      </c>
      <c r="J6112" s="220">
        <f>I6112*0.1</f>
        <v>99800</v>
      </c>
      <c r="K6112" s="220">
        <v>0</v>
      </c>
      <c r="L6112" s="220">
        <v>8740</v>
      </c>
      <c r="M6112" s="220">
        <v>22000</v>
      </c>
      <c r="N6112" s="220">
        <f>SUM(I6112:M6113)</f>
        <v>1128540</v>
      </c>
      <c r="O6112" s="224"/>
      <c r="P6112" s="110" t="s">
        <v>18150</v>
      </c>
      <c r="Q6112" s="15" t="s">
        <v>19</v>
      </c>
      <c r="R6112" s="205"/>
      <c r="S6112" s="189" t="s">
        <v>25688</v>
      </c>
      <c r="T6112" s="114"/>
      <c r="U6112" s="21"/>
      <c r="V6112" s="115">
        <v>46109</v>
      </c>
      <c r="W6112" s="116">
        <v>1294</v>
      </c>
      <c r="X6112" s="220">
        <v>1080000</v>
      </c>
      <c r="Y6112" s="220">
        <f>X6112*0.1</f>
        <v>108000</v>
      </c>
      <c r="Z6112" s="220">
        <v>8740</v>
      </c>
      <c r="AA6112" s="220">
        <f>SUM(X6112:Z6112)</f>
        <v>1196740</v>
      </c>
      <c r="AB6112" s="222">
        <v>46112</v>
      </c>
    </row>
    <row r="6113" spans="1:28" ht="17.100000000000001" customHeight="1" thickBot="1">
      <c r="A6113" s="227"/>
      <c r="B6113" s="27" t="s">
        <v>2680</v>
      </c>
      <c r="C6113" s="27">
        <v>50033</v>
      </c>
      <c r="D6113" s="14" t="s">
        <v>2559</v>
      </c>
      <c r="E6113" s="229"/>
      <c r="F6113" s="117" t="s">
        <v>17411</v>
      </c>
      <c r="G6113" s="26">
        <v>50099</v>
      </c>
      <c r="H6113" s="231"/>
      <c r="I6113" s="221"/>
      <c r="J6113" s="221"/>
      <c r="K6113" s="221"/>
      <c r="L6113" s="221"/>
      <c r="M6113" s="221"/>
      <c r="N6113" s="221"/>
      <c r="O6113" s="225"/>
      <c r="P6113" s="118" t="s">
        <v>18151</v>
      </c>
      <c r="Q6113" s="16" t="s">
        <v>20</v>
      </c>
      <c r="R6113" s="17" t="s">
        <v>1876</v>
      </c>
      <c r="S6113" s="121" t="s">
        <v>18152</v>
      </c>
      <c r="T6113" s="122"/>
      <c r="U6113" s="22"/>
      <c r="V6113" s="123" t="s">
        <v>7160</v>
      </c>
      <c r="W6113" s="122">
        <v>60213</v>
      </c>
      <c r="X6113" s="221"/>
      <c r="Y6113" s="221"/>
      <c r="Z6113" s="221"/>
      <c r="AA6113" s="221"/>
      <c r="AB6113" s="223"/>
    </row>
    <row r="6114" spans="1:28" ht="17.100000000000001" customHeight="1" thickTop="1">
      <c r="A6114" s="226" t="s">
        <v>17393</v>
      </c>
      <c r="B6114" s="28">
        <v>46065</v>
      </c>
      <c r="C6114" s="25">
        <v>2014</v>
      </c>
      <c r="D6114" s="13" t="s">
        <v>2610</v>
      </c>
      <c r="E6114" s="228"/>
      <c r="F6114" s="109" t="s">
        <v>17472</v>
      </c>
      <c r="G6114" s="24" t="s">
        <v>1540</v>
      </c>
      <c r="H6114" s="230">
        <v>4</v>
      </c>
      <c r="I6114" s="220">
        <v>633000</v>
      </c>
      <c r="J6114" s="220">
        <f>I6114*0.1</f>
        <v>63300</v>
      </c>
      <c r="K6114" s="220">
        <v>0</v>
      </c>
      <c r="L6114" s="220">
        <v>8110</v>
      </c>
      <c r="M6114" s="220">
        <v>22000</v>
      </c>
      <c r="N6114" s="220">
        <f>SUM(I6114:M6115)</f>
        <v>726410</v>
      </c>
      <c r="O6114" s="224"/>
      <c r="P6114" s="110" t="s">
        <v>17473</v>
      </c>
      <c r="Q6114" s="15" t="s">
        <v>19</v>
      </c>
      <c r="R6114" s="205"/>
      <c r="S6114" s="189" t="s">
        <v>25785</v>
      </c>
      <c r="T6114" s="114"/>
      <c r="U6114" s="21"/>
      <c r="V6114" s="115">
        <v>46071</v>
      </c>
      <c r="W6114" s="116">
        <v>1005</v>
      </c>
      <c r="X6114" s="220">
        <v>745000</v>
      </c>
      <c r="Y6114" s="220">
        <f>X6114*0.1</f>
        <v>74500</v>
      </c>
      <c r="Z6114" s="220">
        <v>8110</v>
      </c>
      <c r="AA6114" s="220">
        <f>SUM(X6114:Z6114)</f>
        <v>827610</v>
      </c>
      <c r="AB6114" s="222">
        <v>46073</v>
      </c>
    </row>
    <row r="6115" spans="1:28" ht="17.100000000000001" customHeight="1" thickBot="1">
      <c r="A6115" s="227"/>
      <c r="B6115" s="27" t="s">
        <v>2680</v>
      </c>
      <c r="C6115" s="27">
        <v>50050</v>
      </c>
      <c r="D6115" s="14" t="s">
        <v>1690</v>
      </c>
      <c r="E6115" s="229"/>
      <c r="F6115" s="117" t="s">
        <v>17412</v>
      </c>
      <c r="G6115" s="26">
        <v>52762</v>
      </c>
      <c r="H6115" s="231"/>
      <c r="I6115" s="221"/>
      <c r="J6115" s="221"/>
      <c r="K6115" s="221"/>
      <c r="L6115" s="221"/>
      <c r="M6115" s="221"/>
      <c r="N6115" s="221"/>
      <c r="O6115" s="225"/>
      <c r="P6115" s="118" t="s">
        <v>17801</v>
      </c>
      <c r="Q6115" s="16" t="s">
        <v>20</v>
      </c>
      <c r="R6115" s="17" t="s">
        <v>17799</v>
      </c>
      <c r="S6115" s="121" t="s">
        <v>10484</v>
      </c>
      <c r="T6115" s="122"/>
      <c r="U6115" s="22"/>
      <c r="V6115" s="123" t="s">
        <v>2747</v>
      </c>
      <c r="W6115" s="122">
        <v>5045</v>
      </c>
      <c r="X6115" s="221"/>
      <c r="Y6115" s="221"/>
      <c r="Z6115" s="221"/>
      <c r="AA6115" s="221"/>
      <c r="AB6115" s="223"/>
    </row>
    <row r="6116" spans="1:28" ht="17.100000000000001" customHeight="1" thickTop="1">
      <c r="A6116" s="226" t="s">
        <v>17394</v>
      </c>
      <c r="B6116" s="28">
        <v>46065</v>
      </c>
      <c r="C6116" s="25">
        <v>2014</v>
      </c>
      <c r="D6116" s="13" t="s">
        <v>2158</v>
      </c>
      <c r="E6116" s="228"/>
      <c r="F6116" s="109" t="s">
        <v>16880</v>
      </c>
      <c r="G6116" s="24" t="s">
        <v>2536</v>
      </c>
      <c r="H6116" s="230">
        <v>4</v>
      </c>
      <c r="I6116" s="220">
        <v>1459000</v>
      </c>
      <c r="J6116" s="220">
        <f>I6116*0.1</f>
        <v>145900</v>
      </c>
      <c r="K6116" s="220">
        <v>0</v>
      </c>
      <c r="L6116" s="220">
        <v>8360</v>
      </c>
      <c r="M6116" s="220">
        <v>22000</v>
      </c>
      <c r="N6116" s="220">
        <f>SUM(I6116:M6117)</f>
        <v>1635260</v>
      </c>
      <c r="O6116" s="224"/>
      <c r="P6116" s="110" t="s">
        <v>17474</v>
      </c>
      <c r="Q6116" s="15" t="s">
        <v>19</v>
      </c>
      <c r="R6116" s="205"/>
      <c r="S6116" s="189" t="s">
        <v>1072</v>
      </c>
      <c r="T6116" s="114"/>
      <c r="U6116" s="21"/>
      <c r="V6116" s="115">
        <v>46071</v>
      </c>
      <c r="W6116" s="116">
        <v>1005</v>
      </c>
      <c r="X6116" s="220">
        <v>1600000</v>
      </c>
      <c r="Y6116" s="220">
        <f>X6116*0.1</f>
        <v>160000</v>
      </c>
      <c r="Z6116" s="220">
        <v>8360</v>
      </c>
      <c r="AA6116" s="220">
        <f>SUM(X6116:Z6116)</f>
        <v>1768360</v>
      </c>
      <c r="AB6116" s="222">
        <v>46077</v>
      </c>
    </row>
    <row r="6117" spans="1:28" ht="17.100000000000001" customHeight="1" thickBot="1">
      <c r="A6117" s="227"/>
      <c r="B6117" s="27" t="s">
        <v>2680</v>
      </c>
      <c r="C6117" s="27">
        <v>50146</v>
      </c>
      <c r="D6117" s="14" t="s">
        <v>1797</v>
      </c>
      <c r="E6117" s="229"/>
      <c r="F6117" s="117" t="s">
        <v>17413</v>
      </c>
      <c r="G6117" s="26">
        <v>41360</v>
      </c>
      <c r="H6117" s="231"/>
      <c r="I6117" s="221"/>
      <c r="J6117" s="221"/>
      <c r="K6117" s="221"/>
      <c r="L6117" s="221"/>
      <c r="M6117" s="221"/>
      <c r="N6117" s="221"/>
      <c r="O6117" s="225"/>
      <c r="P6117" s="118" t="s">
        <v>18529</v>
      </c>
      <c r="Q6117" s="16" t="s">
        <v>20</v>
      </c>
      <c r="R6117" s="17" t="s">
        <v>17871</v>
      </c>
      <c r="S6117" s="121" t="s">
        <v>17805</v>
      </c>
      <c r="T6117" s="122"/>
      <c r="U6117" s="22"/>
      <c r="V6117" s="123" t="s">
        <v>7161</v>
      </c>
      <c r="W6117" s="122">
        <v>5048</v>
      </c>
      <c r="X6117" s="221"/>
      <c r="Y6117" s="221"/>
      <c r="Z6117" s="221"/>
      <c r="AA6117" s="221"/>
      <c r="AB6117" s="223"/>
    </row>
    <row r="6118" spans="1:28" ht="17.100000000000001" customHeight="1" thickTop="1">
      <c r="A6118" s="226" t="s">
        <v>17395</v>
      </c>
      <c r="B6118" s="28">
        <v>46065</v>
      </c>
      <c r="C6118" s="25">
        <v>2014</v>
      </c>
      <c r="D6118" s="13" t="s">
        <v>2457</v>
      </c>
      <c r="E6118" s="228"/>
      <c r="F6118" s="109" t="s">
        <v>16880</v>
      </c>
      <c r="G6118" s="24" t="s">
        <v>1605</v>
      </c>
      <c r="H6118" s="230">
        <v>6</v>
      </c>
      <c r="I6118" s="220">
        <v>1954000</v>
      </c>
      <c r="J6118" s="220">
        <f>I6118*0.1</f>
        <v>195400</v>
      </c>
      <c r="K6118" s="220">
        <v>0</v>
      </c>
      <c r="L6118" s="220">
        <v>6180</v>
      </c>
      <c r="M6118" s="220">
        <v>22000</v>
      </c>
      <c r="N6118" s="220">
        <f>SUM(I6118:M6119)</f>
        <v>2177580</v>
      </c>
      <c r="O6118" s="224"/>
      <c r="P6118" s="110" t="s">
        <v>17475</v>
      </c>
      <c r="Q6118" s="15" t="s">
        <v>19</v>
      </c>
      <c r="R6118" s="205"/>
      <c r="S6118" s="189" t="s">
        <v>283</v>
      </c>
      <c r="T6118" s="114"/>
      <c r="U6118" s="21" t="s">
        <v>18912</v>
      </c>
      <c r="V6118" s="115">
        <v>46084</v>
      </c>
      <c r="W6118" s="116">
        <v>1931</v>
      </c>
      <c r="X6118" s="220">
        <v>1976000</v>
      </c>
      <c r="Y6118" s="220">
        <f>X6118*0.1</f>
        <v>197600</v>
      </c>
      <c r="Z6118" s="220">
        <v>6180</v>
      </c>
      <c r="AA6118" s="220">
        <f>SUM(X6118:Z6118)</f>
        <v>2179780</v>
      </c>
      <c r="AB6118" s="222">
        <v>46091</v>
      </c>
    </row>
    <row r="6119" spans="1:28" ht="17.100000000000001" customHeight="1" thickBot="1">
      <c r="A6119" s="227"/>
      <c r="B6119" s="27" t="s">
        <v>2680</v>
      </c>
      <c r="C6119" s="27">
        <v>50156</v>
      </c>
      <c r="D6119" s="14" t="s">
        <v>273</v>
      </c>
      <c r="E6119" s="229"/>
      <c r="F6119" s="117" t="s">
        <v>17414</v>
      </c>
      <c r="G6119" s="26">
        <v>4821</v>
      </c>
      <c r="H6119" s="231"/>
      <c r="I6119" s="221"/>
      <c r="J6119" s="221"/>
      <c r="K6119" s="221"/>
      <c r="L6119" s="221"/>
      <c r="M6119" s="221"/>
      <c r="N6119" s="221"/>
      <c r="O6119" s="225"/>
      <c r="P6119" s="118" t="s">
        <v>17851</v>
      </c>
      <c r="Q6119" s="16" t="s">
        <v>20</v>
      </c>
      <c r="R6119" s="17" t="s">
        <v>17799</v>
      </c>
      <c r="S6119" s="121" t="s">
        <v>1731</v>
      </c>
      <c r="T6119" s="122"/>
      <c r="U6119" s="22"/>
      <c r="V6119" s="123" t="s">
        <v>2103</v>
      </c>
      <c r="W6119" s="122">
        <v>3091</v>
      </c>
      <c r="X6119" s="221"/>
      <c r="Y6119" s="221"/>
      <c r="Z6119" s="221"/>
      <c r="AA6119" s="221"/>
      <c r="AB6119" s="223"/>
    </row>
    <row r="6120" spans="1:28" ht="17.100000000000001" customHeight="1" thickTop="1">
      <c r="A6120" s="226" t="s">
        <v>17396</v>
      </c>
      <c r="B6120" s="28">
        <v>46065</v>
      </c>
      <c r="C6120" s="25">
        <v>2014</v>
      </c>
      <c r="D6120" s="13" t="s">
        <v>11337</v>
      </c>
      <c r="E6120" s="228"/>
      <c r="F6120" s="109" t="s">
        <v>17476</v>
      </c>
      <c r="G6120" s="24" t="s">
        <v>2871</v>
      </c>
      <c r="H6120" s="230">
        <v>4</v>
      </c>
      <c r="I6120" s="220">
        <v>432000</v>
      </c>
      <c r="J6120" s="220">
        <f>I6120*0.1</f>
        <v>43200</v>
      </c>
      <c r="K6120" s="220">
        <v>0</v>
      </c>
      <c r="L6120" s="220">
        <v>9010</v>
      </c>
      <c r="M6120" s="220">
        <v>22000</v>
      </c>
      <c r="N6120" s="220">
        <f>SUM(I6120:M6121)</f>
        <v>506210</v>
      </c>
      <c r="O6120" s="224"/>
      <c r="P6120" s="110" t="s">
        <v>17477</v>
      </c>
      <c r="Q6120" s="15" t="s">
        <v>19</v>
      </c>
      <c r="R6120" s="205"/>
      <c r="S6120" s="189" t="s">
        <v>25786</v>
      </c>
      <c r="T6120" s="114"/>
      <c r="U6120" s="21"/>
      <c r="V6120" s="115">
        <v>46071</v>
      </c>
      <c r="W6120" s="116">
        <v>1005</v>
      </c>
      <c r="X6120" s="220">
        <v>540000</v>
      </c>
      <c r="Y6120" s="220">
        <f>X6120*0.1</f>
        <v>54000</v>
      </c>
      <c r="Z6120" s="220">
        <v>9010</v>
      </c>
      <c r="AA6120" s="220">
        <f>SUM(X6120:Z6120)</f>
        <v>603010</v>
      </c>
      <c r="AB6120" s="222">
        <v>46077</v>
      </c>
    </row>
    <row r="6121" spans="1:28" ht="17.100000000000001" customHeight="1" thickBot="1">
      <c r="A6121" s="227"/>
      <c r="B6121" s="27" t="s">
        <v>2680</v>
      </c>
      <c r="C6121" s="27">
        <v>50176</v>
      </c>
      <c r="D6121" s="14" t="s">
        <v>273</v>
      </c>
      <c r="E6121" s="229"/>
      <c r="F6121" s="117" t="s">
        <v>17415</v>
      </c>
      <c r="G6121" s="26">
        <v>145661</v>
      </c>
      <c r="H6121" s="231"/>
      <c r="I6121" s="221"/>
      <c r="J6121" s="221"/>
      <c r="K6121" s="221"/>
      <c r="L6121" s="221"/>
      <c r="M6121" s="221"/>
      <c r="N6121" s="221"/>
      <c r="O6121" s="225"/>
      <c r="P6121" s="118" t="s">
        <v>17876</v>
      </c>
      <c r="Q6121" s="16" t="s">
        <v>20</v>
      </c>
      <c r="R6121" s="17" t="s">
        <v>17871</v>
      </c>
      <c r="S6121" s="121" t="s">
        <v>18143</v>
      </c>
      <c r="T6121" s="122"/>
      <c r="U6121" s="22"/>
      <c r="V6121" s="123" t="s">
        <v>2747</v>
      </c>
      <c r="W6121" s="122">
        <v>5069</v>
      </c>
      <c r="X6121" s="221"/>
      <c r="Y6121" s="221"/>
      <c r="Z6121" s="221"/>
      <c r="AA6121" s="221"/>
      <c r="AB6121" s="223"/>
    </row>
    <row r="6122" spans="1:28" ht="17.100000000000001" customHeight="1" thickTop="1">
      <c r="A6122" s="226" t="s">
        <v>17397</v>
      </c>
      <c r="B6122" s="28">
        <v>46065</v>
      </c>
      <c r="C6122" s="25">
        <v>2014</v>
      </c>
      <c r="D6122" s="13" t="s">
        <v>1642</v>
      </c>
      <c r="E6122" s="228"/>
      <c r="F6122" s="109" t="s">
        <v>14962</v>
      </c>
      <c r="G6122" s="24" t="s">
        <v>2894</v>
      </c>
      <c r="H6122" s="230">
        <v>4.5</v>
      </c>
      <c r="I6122" s="220">
        <v>915000</v>
      </c>
      <c r="J6122" s="220">
        <f>I6122*0.1</f>
        <v>91500</v>
      </c>
      <c r="K6122" s="220">
        <v>0</v>
      </c>
      <c r="L6122" s="220">
        <v>7040</v>
      </c>
      <c r="M6122" s="220">
        <v>22000</v>
      </c>
      <c r="N6122" s="220">
        <f>SUM(I6122:M6123)</f>
        <v>1035540</v>
      </c>
      <c r="O6122" s="224"/>
      <c r="P6122" s="110" t="s">
        <v>17478</v>
      </c>
      <c r="Q6122" s="15" t="s">
        <v>19</v>
      </c>
      <c r="R6122" s="205"/>
      <c r="S6122" s="189" t="s">
        <v>25787</v>
      </c>
      <c r="T6122" s="114"/>
      <c r="U6122" s="21"/>
      <c r="V6122" s="115">
        <v>46070</v>
      </c>
      <c r="W6122" s="116">
        <v>1929</v>
      </c>
      <c r="X6122" s="220">
        <v>1102000</v>
      </c>
      <c r="Y6122" s="220">
        <f>X6122*0.1</f>
        <v>110200</v>
      </c>
      <c r="Z6122" s="220">
        <v>7040</v>
      </c>
      <c r="AA6122" s="220">
        <f>SUM(X6122:Z6122)</f>
        <v>1219240</v>
      </c>
      <c r="AB6122" s="222"/>
    </row>
    <row r="6123" spans="1:28" ht="17.100000000000001" customHeight="1" thickBot="1">
      <c r="A6123" s="227"/>
      <c r="B6123" s="27" t="s">
        <v>2680</v>
      </c>
      <c r="C6123" s="27">
        <v>50177</v>
      </c>
      <c r="D6123" s="14" t="s">
        <v>1710</v>
      </c>
      <c r="E6123" s="229"/>
      <c r="F6123" s="117" t="s">
        <v>17416</v>
      </c>
      <c r="G6123" s="26">
        <v>43390</v>
      </c>
      <c r="H6123" s="231"/>
      <c r="I6123" s="221"/>
      <c r="J6123" s="221"/>
      <c r="K6123" s="221"/>
      <c r="L6123" s="221"/>
      <c r="M6123" s="221"/>
      <c r="N6123" s="221"/>
      <c r="O6123" s="225"/>
      <c r="P6123" s="118" t="s">
        <v>6784</v>
      </c>
      <c r="Q6123" s="16" t="s">
        <v>20</v>
      </c>
      <c r="R6123" s="17" t="s">
        <v>17799</v>
      </c>
      <c r="S6123" s="121" t="s">
        <v>17726</v>
      </c>
      <c r="T6123" s="122"/>
      <c r="U6123" s="22"/>
      <c r="V6123" s="123" t="s">
        <v>2103</v>
      </c>
      <c r="W6123" s="122">
        <v>3269</v>
      </c>
      <c r="X6123" s="221"/>
      <c r="Y6123" s="221"/>
      <c r="Z6123" s="221"/>
      <c r="AA6123" s="221"/>
      <c r="AB6123" s="223"/>
    </row>
    <row r="6124" spans="1:28" ht="17.100000000000001" customHeight="1" thickTop="1">
      <c r="A6124" s="226" t="s">
        <v>17398</v>
      </c>
      <c r="B6124" s="28">
        <v>46066</v>
      </c>
      <c r="C6124" s="25">
        <v>1406</v>
      </c>
      <c r="D6124" s="13" t="s">
        <v>2463</v>
      </c>
      <c r="E6124" s="228"/>
      <c r="F6124" s="109" t="s">
        <v>15619</v>
      </c>
      <c r="G6124" s="24" t="s">
        <v>5337</v>
      </c>
      <c r="H6124" s="230">
        <v>4</v>
      </c>
      <c r="I6124" s="220">
        <v>509000</v>
      </c>
      <c r="J6124" s="220">
        <f>I6124*0.1</f>
        <v>50900</v>
      </c>
      <c r="K6124" s="220">
        <v>0</v>
      </c>
      <c r="L6124" s="220">
        <v>9910</v>
      </c>
      <c r="M6124" s="220">
        <v>15400</v>
      </c>
      <c r="N6124" s="220">
        <f>SUM(I6124:M6125)</f>
        <v>585210</v>
      </c>
      <c r="O6124" s="224"/>
      <c r="P6124" s="110" t="s">
        <v>17859</v>
      </c>
      <c r="Q6124" s="15" t="s">
        <v>19</v>
      </c>
      <c r="R6124" s="205"/>
      <c r="S6124" s="189"/>
      <c r="T6124" s="114"/>
      <c r="U6124" s="21"/>
      <c r="V6124" s="115">
        <v>46074</v>
      </c>
      <c r="W6124" s="116">
        <v>1289</v>
      </c>
      <c r="X6124" s="220">
        <v>660000</v>
      </c>
      <c r="Y6124" s="220">
        <f>X6124*0.1</f>
        <v>66000</v>
      </c>
      <c r="Z6124" s="220">
        <v>9910</v>
      </c>
      <c r="AA6124" s="220">
        <f>SUM(X6124:Z6124)</f>
        <v>735910</v>
      </c>
      <c r="AB6124" s="222">
        <v>46077</v>
      </c>
    </row>
    <row r="6125" spans="1:28" ht="17.100000000000001" customHeight="1" thickBot="1">
      <c r="A6125" s="227"/>
      <c r="B6125" s="27" t="s">
        <v>2597</v>
      </c>
      <c r="C6125" s="27">
        <v>3046</v>
      </c>
      <c r="D6125" s="14" t="s">
        <v>2559</v>
      </c>
      <c r="E6125" s="229"/>
      <c r="F6125" s="117" t="s">
        <v>17417</v>
      </c>
      <c r="G6125" s="26">
        <v>70768</v>
      </c>
      <c r="H6125" s="231"/>
      <c r="I6125" s="221"/>
      <c r="J6125" s="221"/>
      <c r="K6125" s="221"/>
      <c r="L6125" s="221"/>
      <c r="M6125" s="221"/>
      <c r="N6125" s="221"/>
      <c r="O6125" s="225"/>
      <c r="P6125" s="118" t="s">
        <v>17860</v>
      </c>
      <c r="Q6125" s="16" t="s">
        <v>20</v>
      </c>
      <c r="R6125" s="17" t="s">
        <v>17799</v>
      </c>
      <c r="S6125" s="121"/>
      <c r="T6125" s="122"/>
      <c r="U6125" s="22"/>
      <c r="V6125" s="123" t="s">
        <v>2472</v>
      </c>
      <c r="W6125" s="122">
        <v>60152</v>
      </c>
      <c r="X6125" s="221"/>
      <c r="Y6125" s="221"/>
      <c r="Z6125" s="221"/>
      <c r="AA6125" s="221"/>
      <c r="AB6125" s="223"/>
    </row>
    <row r="6126" spans="1:28" ht="17.100000000000001" customHeight="1" thickTop="1">
      <c r="A6126" s="226" t="s">
        <v>17399</v>
      </c>
      <c r="B6126" s="28">
        <v>46066</v>
      </c>
      <c r="C6126" s="25">
        <v>1406</v>
      </c>
      <c r="D6126" s="13" t="s">
        <v>3739</v>
      </c>
      <c r="E6126" s="228"/>
      <c r="F6126" s="109" t="s">
        <v>17418</v>
      </c>
      <c r="G6126" s="24"/>
      <c r="H6126" s="230">
        <v>4</v>
      </c>
      <c r="I6126" s="220">
        <v>795000</v>
      </c>
      <c r="J6126" s="220">
        <v>0</v>
      </c>
      <c r="K6126" s="220">
        <v>0</v>
      </c>
      <c r="L6126" s="220">
        <v>7150</v>
      </c>
      <c r="M6126" s="220">
        <v>15400</v>
      </c>
      <c r="N6126" s="220">
        <f>SUM(I6126:M6127)</f>
        <v>817550</v>
      </c>
      <c r="O6126" s="224"/>
      <c r="P6126" s="110" t="s">
        <v>17862</v>
      </c>
      <c r="Q6126" s="15" t="s">
        <v>19</v>
      </c>
      <c r="R6126" s="205"/>
      <c r="S6126" s="189" t="s">
        <v>25788</v>
      </c>
      <c r="T6126" s="114"/>
      <c r="U6126" s="21"/>
      <c r="V6126" s="115">
        <v>46134</v>
      </c>
      <c r="W6126" s="116">
        <v>1014</v>
      </c>
      <c r="X6126" s="220">
        <v>830000</v>
      </c>
      <c r="Y6126" s="220">
        <f>X6126*0.1</f>
        <v>83000</v>
      </c>
      <c r="Z6126" s="220">
        <v>7150</v>
      </c>
      <c r="AA6126" s="220">
        <f>SUM(X6126:Z6126)</f>
        <v>920150</v>
      </c>
      <c r="AB6126" s="222">
        <v>46139</v>
      </c>
    </row>
    <row r="6127" spans="1:28" ht="17.100000000000001" customHeight="1" thickBot="1">
      <c r="A6127" s="227"/>
      <c r="B6127" s="27" t="s">
        <v>2597</v>
      </c>
      <c r="C6127" s="27">
        <v>3071</v>
      </c>
      <c r="D6127" s="14" t="s">
        <v>1584</v>
      </c>
      <c r="E6127" s="229"/>
      <c r="F6127" s="117" t="s">
        <v>17419</v>
      </c>
      <c r="G6127" s="26">
        <v>59210</v>
      </c>
      <c r="H6127" s="231"/>
      <c r="I6127" s="221"/>
      <c r="J6127" s="221"/>
      <c r="K6127" s="221"/>
      <c r="L6127" s="221"/>
      <c r="M6127" s="221"/>
      <c r="N6127" s="221"/>
      <c r="O6127" s="225"/>
      <c r="P6127" s="118" t="s">
        <v>17863</v>
      </c>
      <c r="Q6127" s="16" t="s">
        <v>20</v>
      </c>
      <c r="R6127" s="17" t="s">
        <v>17799</v>
      </c>
      <c r="S6127" s="121" t="s">
        <v>17864</v>
      </c>
      <c r="T6127" s="122"/>
      <c r="U6127" s="22"/>
      <c r="V6127" s="123" t="s">
        <v>23332</v>
      </c>
      <c r="W6127" s="122">
        <v>2047</v>
      </c>
      <c r="X6127" s="221"/>
      <c r="Y6127" s="221"/>
      <c r="Z6127" s="221"/>
      <c r="AA6127" s="221"/>
      <c r="AB6127" s="223"/>
    </row>
    <row r="6128" spans="1:28" ht="17.100000000000001" customHeight="1" thickTop="1">
      <c r="A6128" s="226" t="s">
        <v>17400</v>
      </c>
      <c r="B6128" s="28">
        <v>46066</v>
      </c>
      <c r="C6128" s="25">
        <v>1406</v>
      </c>
      <c r="D6128" s="13" t="s">
        <v>2573</v>
      </c>
      <c r="E6128" s="228"/>
      <c r="F6128" s="109" t="s">
        <v>17481</v>
      </c>
      <c r="G6128" s="24" t="s">
        <v>17480</v>
      </c>
      <c r="H6128" s="230">
        <v>4</v>
      </c>
      <c r="I6128" s="220">
        <v>1348000</v>
      </c>
      <c r="J6128" s="220">
        <f>I6128*0.1</f>
        <v>134800</v>
      </c>
      <c r="K6128" s="220">
        <v>3300</v>
      </c>
      <c r="L6128" s="220">
        <v>9720</v>
      </c>
      <c r="M6128" s="220">
        <v>15400</v>
      </c>
      <c r="N6128" s="220">
        <f>SUM(I6128:M6129)</f>
        <v>1511220</v>
      </c>
      <c r="O6128" s="224"/>
      <c r="P6128" s="110" t="s">
        <v>17856</v>
      </c>
      <c r="Q6128" s="15" t="s">
        <v>19</v>
      </c>
      <c r="R6128" s="205"/>
      <c r="S6128" s="189" t="s">
        <v>25789</v>
      </c>
      <c r="T6128" s="114"/>
      <c r="U6128" s="21" t="s">
        <v>19521</v>
      </c>
      <c r="V6128" s="115">
        <v>46102</v>
      </c>
      <c r="W6128" s="116">
        <v>1293</v>
      </c>
      <c r="X6128" s="220">
        <v>1370000</v>
      </c>
      <c r="Y6128" s="220">
        <f>X6128*0.1</f>
        <v>137000</v>
      </c>
      <c r="Z6128" s="220">
        <v>9720</v>
      </c>
      <c r="AA6128" s="220">
        <f>SUM(X6128:Z6128)</f>
        <v>1516720</v>
      </c>
      <c r="AB6128" s="222">
        <v>46105</v>
      </c>
    </row>
    <row r="6129" spans="1:28" ht="17.100000000000001" customHeight="1" thickBot="1">
      <c r="A6129" s="227"/>
      <c r="B6129" s="27" t="s">
        <v>2597</v>
      </c>
      <c r="C6129" s="27">
        <v>3198</v>
      </c>
      <c r="D6129" s="14" t="s">
        <v>898</v>
      </c>
      <c r="E6129" s="229"/>
      <c r="F6129" s="117" t="s">
        <v>17479</v>
      </c>
      <c r="G6129" s="26">
        <v>57111</v>
      </c>
      <c r="H6129" s="231"/>
      <c r="I6129" s="221"/>
      <c r="J6129" s="221"/>
      <c r="K6129" s="221"/>
      <c r="L6129" s="221"/>
      <c r="M6129" s="221"/>
      <c r="N6129" s="221"/>
      <c r="O6129" s="225"/>
      <c r="P6129" s="118" t="s">
        <v>17857</v>
      </c>
      <c r="Q6129" s="16" t="s">
        <v>20</v>
      </c>
      <c r="R6129" s="17" t="s">
        <v>17799</v>
      </c>
      <c r="S6129" s="121" t="s">
        <v>17858</v>
      </c>
      <c r="T6129" s="122"/>
      <c r="U6129" s="22"/>
      <c r="V6129" s="123" t="s">
        <v>2472</v>
      </c>
      <c r="W6129" s="122">
        <v>13184</v>
      </c>
      <c r="X6129" s="221"/>
      <c r="Y6129" s="221"/>
      <c r="Z6129" s="221"/>
      <c r="AA6129" s="221"/>
      <c r="AB6129" s="223"/>
    </row>
    <row r="6130" spans="1:28" ht="17.100000000000001" customHeight="1" thickTop="1">
      <c r="A6130" s="226" t="s">
        <v>17401</v>
      </c>
      <c r="B6130" s="28">
        <v>46066</v>
      </c>
      <c r="C6130" s="25">
        <v>278</v>
      </c>
      <c r="D6130" s="13" t="s">
        <v>1053</v>
      </c>
      <c r="E6130" s="228"/>
      <c r="F6130" s="109" t="s">
        <v>15629</v>
      </c>
      <c r="G6130" s="24"/>
      <c r="H6130" s="230">
        <v>4</v>
      </c>
      <c r="I6130" s="220">
        <v>913000</v>
      </c>
      <c r="J6130" s="220">
        <f>I6130*0.1</f>
        <v>91300</v>
      </c>
      <c r="K6130" s="220">
        <v>0</v>
      </c>
      <c r="L6130" s="220">
        <v>8550</v>
      </c>
      <c r="M6130" s="220">
        <v>22000</v>
      </c>
      <c r="N6130" s="220">
        <f>SUM(I6130:M6131)</f>
        <v>1034850</v>
      </c>
      <c r="O6130" s="224"/>
      <c r="P6130" s="110" t="s">
        <v>17849</v>
      </c>
      <c r="Q6130" s="15" t="s">
        <v>19</v>
      </c>
      <c r="R6130" s="205"/>
      <c r="S6130" s="189" t="s">
        <v>25790</v>
      </c>
      <c r="T6130" s="114"/>
      <c r="U6130" s="21"/>
      <c r="V6130" s="115">
        <v>46078</v>
      </c>
      <c r="W6130" s="116">
        <v>1006</v>
      </c>
      <c r="X6130" s="220">
        <v>1040000</v>
      </c>
      <c r="Y6130" s="220">
        <f>X6130*0.1</f>
        <v>104000</v>
      </c>
      <c r="Z6130" s="220">
        <v>8550</v>
      </c>
      <c r="AA6130" s="220">
        <f>SUM(X6130:Z6130)</f>
        <v>1152550</v>
      </c>
      <c r="AB6130" s="222">
        <v>46083</v>
      </c>
    </row>
    <row r="6131" spans="1:28" ht="17.100000000000001" customHeight="1" thickBot="1">
      <c r="A6131" s="227"/>
      <c r="B6131" s="27" t="s">
        <v>15537</v>
      </c>
      <c r="C6131" s="27">
        <v>3</v>
      </c>
      <c r="D6131" s="14" t="s">
        <v>273</v>
      </c>
      <c r="E6131" s="229"/>
      <c r="F6131" s="117" t="s">
        <v>17420</v>
      </c>
      <c r="G6131" s="26">
        <v>35803</v>
      </c>
      <c r="H6131" s="231"/>
      <c r="I6131" s="221"/>
      <c r="J6131" s="221"/>
      <c r="K6131" s="221"/>
      <c r="L6131" s="221"/>
      <c r="M6131" s="221"/>
      <c r="N6131" s="221"/>
      <c r="O6131" s="225"/>
      <c r="P6131" s="118" t="s">
        <v>17850</v>
      </c>
      <c r="Q6131" s="16" t="s">
        <v>20</v>
      </c>
      <c r="R6131" s="17" t="s">
        <v>17799</v>
      </c>
      <c r="S6131" s="121" t="s">
        <v>16576</v>
      </c>
      <c r="T6131" s="122"/>
      <c r="U6131" s="22"/>
      <c r="V6131" s="123" t="s">
        <v>2747</v>
      </c>
      <c r="W6131" s="122">
        <v>2045</v>
      </c>
      <c r="X6131" s="221"/>
      <c r="Y6131" s="221"/>
      <c r="Z6131" s="221"/>
      <c r="AA6131" s="221"/>
      <c r="AB6131" s="223"/>
    </row>
    <row r="6132" spans="1:28" ht="17.100000000000001" customHeight="1" thickTop="1">
      <c r="A6132" s="226" t="s">
        <v>17402</v>
      </c>
      <c r="B6132" s="28">
        <v>46066</v>
      </c>
      <c r="C6132" s="25">
        <v>278</v>
      </c>
      <c r="D6132" s="13" t="s">
        <v>1666</v>
      </c>
      <c r="E6132" s="228"/>
      <c r="F6132" s="109" t="s">
        <v>17482</v>
      </c>
      <c r="G6132" s="24" t="s">
        <v>3345</v>
      </c>
      <c r="H6132" s="230">
        <v>4</v>
      </c>
      <c r="I6132" s="220">
        <v>510000</v>
      </c>
      <c r="J6132" s="220">
        <f>I6132*0.1</f>
        <v>51000</v>
      </c>
      <c r="K6132" s="220">
        <v>0</v>
      </c>
      <c r="L6132" s="220">
        <v>9790</v>
      </c>
      <c r="M6132" s="220">
        <v>22000</v>
      </c>
      <c r="N6132" s="220">
        <f>SUM(I6132:M6133)</f>
        <v>592790</v>
      </c>
      <c r="O6132" s="224"/>
      <c r="P6132" s="110" t="s">
        <v>17483</v>
      </c>
      <c r="Q6132" s="15" t="s">
        <v>19</v>
      </c>
      <c r="R6132" s="205"/>
      <c r="S6132" s="189"/>
      <c r="T6132" s="114"/>
      <c r="U6132" s="21"/>
      <c r="V6132" s="115">
        <v>46078</v>
      </c>
      <c r="W6132" s="116">
        <v>1006</v>
      </c>
      <c r="X6132" s="220">
        <v>580000</v>
      </c>
      <c r="Y6132" s="220">
        <f>X6132*0.1</f>
        <v>58000</v>
      </c>
      <c r="Z6132" s="220">
        <v>9790</v>
      </c>
      <c r="AA6132" s="220">
        <f>SUM(X6132:Z6132)</f>
        <v>647790</v>
      </c>
      <c r="AB6132" s="222">
        <v>46083</v>
      </c>
    </row>
    <row r="6133" spans="1:28" ht="17.100000000000001" customHeight="1" thickBot="1">
      <c r="A6133" s="227"/>
      <c r="B6133" s="27" t="s">
        <v>15537</v>
      </c>
      <c r="C6133" s="27">
        <v>67</v>
      </c>
      <c r="D6133" s="14" t="s">
        <v>2559</v>
      </c>
      <c r="E6133" s="229"/>
      <c r="F6133" s="117" t="s">
        <v>17421</v>
      </c>
      <c r="G6133" s="26">
        <v>76964</v>
      </c>
      <c r="H6133" s="231"/>
      <c r="I6133" s="221"/>
      <c r="J6133" s="221"/>
      <c r="K6133" s="221"/>
      <c r="L6133" s="221"/>
      <c r="M6133" s="221"/>
      <c r="N6133" s="221"/>
      <c r="O6133" s="225"/>
      <c r="P6133" s="118" t="s">
        <v>17847</v>
      </c>
      <c r="Q6133" s="16" t="s">
        <v>20</v>
      </c>
      <c r="R6133" s="17" t="s">
        <v>17799</v>
      </c>
      <c r="S6133" s="121" t="s">
        <v>17848</v>
      </c>
      <c r="T6133" s="122"/>
      <c r="U6133" s="22"/>
      <c r="V6133" s="123" t="s">
        <v>2747</v>
      </c>
      <c r="W6133" s="122">
        <v>2050</v>
      </c>
      <c r="X6133" s="221"/>
      <c r="Y6133" s="221"/>
      <c r="Z6133" s="221"/>
      <c r="AA6133" s="221"/>
      <c r="AB6133" s="223"/>
    </row>
    <row r="6134" spans="1:28" ht="17.100000000000001" customHeight="1" thickTop="1">
      <c r="A6134" s="226" t="s">
        <v>17403</v>
      </c>
      <c r="B6134" s="28">
        <v>46066</v>
      </c>
      <c r="C6134" s="25">
        <v>2122</v>
      </c>
      <c r="D6134" s="13" t="s">
        <v>1963</v>
      </c>
      <c r="E6134" s="228"/>
      <c r="F6134" s="109" t="s">
        <v>17422</v>
      </c>
      <c r="G6134" s="24" t="s">
        <v>14171</v>
      </c>
      <c r="H6134" s="230">
        <v>4.5</v>
      </c>
      <c r="I6134" s="220">
        <v>2135000</v>
      </c>
      <c r="J6134" s="220">
        <f>I6134*0.1</f>
        <v>213500</v>
      </c>
      <c r="K6134" s="220">
        <v>2750</v>
      </c>
      <c r="L6134" s="220">
        <v>15750</v>
      </c>
      <c r="M6134" s="220">
        <v>16500</v>
      </c>
      <c r="N6134" s="220">
        <f>SUM(I6134:M6135)</f>
        <v>2383500</v>
      </c>
      <c r="O6134" s="224"/>
      <c r="P6134" s="110" t="s">
        <v>17485</v>
      </c>
      <c r="Q6134" s="15" t="s">
        <v>19</v>
      </c>
      <c r="R6134" s="205"/>
      <c r="S6134" s="189" t="s">
        <v>25791</v>
      </c>
      <c r="T6134" s="114"/>
      <c r="U6134" s="21"/>
      <c r="V6134" s="115">
        <v>46072</v>
      </c>
      <c r="W6134" s="116">
        <v>1319</v>
      </c>
      <c r="X6134" s="220">
        <v>2320000</v>
      </c>
      <c r="Y6134" s="220">
        <f>X6134*0.1</f>
        <v>232000</v>
      </c>
      <c r="Z6134" s="220">
        <v>15750</v>
      </c>
      <c r="AA6134" s="220">
        <f>SUM(X6134:Z6134)</f>
        <v>2567750</v>
      </c>
      <c r="AB6134" s="222">
        <v>46073</v>
      </c>
    </row>
    <row r="6135" spans="1:28" ht="17.100000000000001" customHeight="1" thickBot="1">
      <c r="A6135" s="227"/>
      <c r="B6135" s="27" t="s">
        <v>1536</v>
      </c>
      <c r="C6135" s="27">
        <v>13013</v>
      </c>
      <c r="D6135" s="14" t="s">
        <v>273</v>
      </c>
      <c r="E6135" s="229"/>
      <c r="F6135" s="117" t="s">
        <v>17484</v>
      </c>
      <c r="G6135" s="26">
        <v>15455</v>
      </c>
      <c r="H6135" s="231"/>
      <c r="I6135" s="221"/>
      <c r="J6135" s="221"/>
      <c r="K6135" s="221"/>
      <c r="L6135" s="221"/>
      <c r="M6135" s="221"/>
      <c r="N6135" s="221"/>
      <c r="O6135" s="225"/>
      <c r="P6135" s="118" t="s">
        <v>17842</v>
      </c>
      <c r="Q6135" s="16" t="s">
        <v>20</v>
      </c>
      <c r="R6135" s="17" t="s">
        <v>17799</v>
      </c>
      <c r="S6135" s="121" t="s">
        <v>1731</v>
      </c>
      <c r="T6135" s="122"/>
      <c r="U6135" s="22"/>
      <c r="V6135" s="123" t="s">
        <v>13379</v>
      </c>
      <c r="W6135" s="122">
        <v>23</v>
      </c>
      <c r="X6135" s="221"/>
      <c r="Y6135" s="221"/>
      <c r="Z6135" s="221"/>
      <c r="AA6135" s="221"/>
      <c r="AB6135" s="223"/>
    </row>
    <row r="6136" spans="1:28" ht="17.100000000000001" customHeight="1" thickTop="1">
      <c r="A6136" s="226" t="s">
        <v>17404</v>
      </c>
      <c r="B6136" s="28">
        <v>46066</v>
      </c>
      <c r="C6136" s="25">
        <v>2122</v>
      </c>
      <c r="D6136" s="13" t="s">
        <v>1976</v>
      </c>
      <c r="E6136" s="228"/>
      <c r="F6136" s="109" t="s">
        <v>17423</v>
      </c>
      <c r="G6136" s="24"/>
      <c r="H6136" s="230">
        <v>4.5</v>
      </c>
      <c r="I6136" s="220">
        <v>1720000</v>
      </c>
      <c r="J6136" s="220">
        <f>I6136*0.1</f>
        <v>172000</v>
      </c>
      <c r="K6136" s="220">
        <v>0</v>
      </c>
      <c r="L6136" s="220">
        <v>17930</v>
      </c>
      <c r="M6136" s="220">
        <v>16500</v>
      </c>
      <c r="N6136" s="220">
        <f>SUM(I6136:M6137)</f>
        <v>1926430</v>
      </c>
      <c r="O6136" s="224"/>
      <c r="P6136" s="110" t="s">
        <v>17845</v>
      </c>
      <c r="Q6136" s="15" t="s">
        <v>19</v>
      </c>
      <c r="R6136" s="205"/>
      <c r="S6136" s="189" t="s">
        <v>25507</v>
      </c>
      <c r="T6136" s="114"/>
      <c r="U6136" s="21"/>
      <c r="V6136" s="115">
        <v>46088</v>
      </c>
      <c r="W6136" s="116">
        <v>1291</v>
      </c>
      <c r="X6136" s="220">
        <v>1910000</v>
      </c>
      <c r="Y6136" s="220">
        <f>X6136*0.1</f>
        <v>191000</v>
      </c>
      <c r="Z6136" s="220">
        <v>17930</v>
      </c>
      <c r="AA6136" s="220">
        <f>SUM(X6136:Z6136)</f>
        <v>2118930</v>
      </c>
      <c r="AB6136" s="222">
        <v>46091</v>
      </c>
    </row>
    <row r="6137" spans="1:28" ht="17.100000000000001" customHeight="1" thickBot="1">
      <c r="A6137" s="227"/>
      <c r="B6137" s="27" t="s">
        <v>1536</v>
      </c>
      <c r="C6137" s="27">
        <v>20286</v>
      </c>
      <c r="D6137" s="14" t="s">
        <v>1690</v>
      </c>
      <c r="E6137" s="229"/>
      <c r="F6137" s="117" t="s">
        <v>17486</v>
      </c>
      <c r="G6137" s="26">
        <v>45435</v>
      </c>
      <c r="H6137" s="231"/>
      <c r="I6137" s="221"/>
      <c r="J6137" s="221"/>
      <c r="K6137" s="221"/>
      <c r="L6137" s="221"/>
      <c r="M6137" s="221"/>
      <c r="N6137" s="221"/>
      <c r="O6137" s="225"/>
      <c r="P6137" s="118" t="s">
        <v>17846</v>
      </c>
      <c r="Q6137" s="16" t="s">
        <v>20</v>
      </c>
      <c r="R6137" s="17" t="s">
        <v>17799</v>
      </c>
      <c r="S6137" s="121" t="s">
        <v>1606</v>
      </c>
      <c r="T6137" s="122"/>
      <c r="U6137" s="22"/>
      <c r="V6137" s="123" t="s">
        <v>2472</v>
      </c>
      <c r="W6137" s="122">
        <v>80013</v>
      </c>
      <c r="X6137" s="221"/>
      <c r="Y6137" s="221"/>
      <c r="Z6137" s="221"/>
      <c r="AA6137" s="221"/>
      <c r="AB6137" s="223"/>
    </row>
    <row r="6138" spans="1:28" ht="17.100000000000001" customHeight="1" thickTop="1">
      <c r="A6138" s="226" t="s">
        <v>17405</v>
      </c>
      <c r="B6138" s="28">
        <v>46066</v>
      </c>
      <c r="C6138" s="25">
        <v>2122</v>
      </c>
      <c r="D6138" s="13" t="s">
        <v>1704</v>
      </c>
      <c r="E6138" s="228"/>
      <c r="F6138" s="109" t="s">
        <v>17487</v>
      </c>
      <c r="G6138" s="24"/>
      <c r="H6138" s="230">
        <v>4.5</v>
      </c>
      <c r="I6138" s="220">
        <v>2260000</v>
      </c>
      <c r="J6138" s="220">
        <f>I6138*0.1</f>
        <v>226000</v>
      </c>
      <c r="K6138" s="220">
        <v>0</v>
      </c>
      <c r="L6138" s="220">
        <v>21650</v>
      </c>
      <c r="M6138" s="220">
        <v>16500</v>
      </c>
      <c r="N6138" s="220">
        <f>SUM(I6138:M6139)</f>
        <v>2524150</v>
      </c>
      <c r="O6138" s="224"/>
      <c r="P6138" s="110" t="s">
        <v>17843</v>
      </c>
      <c r="Q6138" s="15" t="s">
        <v>19</v>
      </c>
      <c r="R6138" s="205"/>
      <c r="S6138" s="189" t="s">
        <v>758</v>
      </c>
      <c r="T6138" s="114"/>
      <c r="U6138" s="21"/>
      <c r="V6138" s="115">
        <v>46123</v>
      </c>
      <c r="W6138" s="116">
        <v>1296</v>
      </c>
      <c r="X6138" s="220">
        <v>2380000</v>
      </c>
      <c r="Y6138" s="220">
        <f>X6138*0.1</f>
        <v>238000</v>
      </c>
      <c r="Z6138" s="220">
        <v>21650</v>
      </c>
      <c r="AA6138" s="220">
        <f>SUM(X6138:Z6138)</f>
        <v>2639650</v>
      </c>
      <c r="AB6138" s="222">
        <v>46128</v>
      </c>
    </row>
    <row r="6139" spans="1:28" ht="17.100000000000001" customHeight="1" thickBot="1">
      <c r="A6139" s="227"/>
      <c r="B6139" s="27" t="s">
        <v>1536</v>
      </c>
      <c r="C6139" s="27">
        <v>58108</v>
      </c>
      <c r="D6139" s="14" t="s">
        <v>1690</v>
      </c>
      <c r="E6139" s="229"/>
      <c r="F6139" s="117" t="s">
        <v>17488</v>
      </c>
      <c r="G6139" s="26">
        <v>43380</v>
      </c>
      <c r="H6139" s="231"/>
      <c r="I6139" s="221"/>
      <c r="J6139" s="221"/>
      <c r="K6139" s="221"/>
      <c r="L6139" s="221"/>
      <c r="M6139" s="221"/>
      <c r="N6139" s="221"/>
      <c r="O6139" s="225"/>
      <c r="P6139" s="118" t="s">
        <v>17844</v>
      </c>
      <c r="Q6139" s="16" t="s">
        <v>20</v>
      </c>
      <c r="R6139" s="17" t="s">
        <v>17799</v>
      </c>
      <c r="S6139" s="121" t="s">
        <v>10995</v>
      </c>
      <c r="T6139" s="122"/>
      <c r="U6139" s="22"/>
      <c r="V6139" s="123" t="s">
        <v>22473</v>
      </c>
      <c r="W6139" s="122">
        <v>80115</v>
      </c>
      <c r="X6139" s="221"/>
      <c r="Y6139" s="221"/>
      <c r="Z6139" s="221"/>
      <c r="AA6139" s="221"/>
      <c r="AB6139" s="223"/>
    </row>
    <row r="6140" spans="1:28" ht="17.100000000000001" customHeight="1" thickTop="1">
      <c r="A6140" s="226" t="s">
        <v>17406</v>
      </c>
      <c r="B6140" s="28">
        <v>46066</v>
      </c>
      <c r="C6140" s="25">
        <v>2122</v>
      </c>
      <c r="D6140" s="13" t="s">
        <v>2712</v>
      </c>
      <c r="E6140" s="228"/>
      <c r="F6140" s="109" t="s">
        <v>17424</v>
      </c>
      <c r="G6140" s="24" t="s">
        <v>2907</v>
      </c>
      <c r="H6140" s="230">
        <v>4.5</v>
      </c>
      <c r="I6140" s="220">
        <v>1980000</v>
      </c>
      <c r="J6140" s="220">
        <f>I6140*0.1</f>
        <v>198000</v>
      </c>
      <c r="K6140" s="220">
        <v>3300</v>
      </c>
      <c r="L6140" s="220">
        <v>18890</v>
      </c>
      <c r="M6140" s="220">
        <v>27500</v>
      </c>
      <c r="N6140" s="220">
        <f>SUM(I6140:M6141)</f>
        <v>2227690</v>
      </c>
      <c r="O6140" s="224"/>
      <c r="P6140" s="110" t="s">
        <v>17838</v>
      </c>
      <c r="Q6140" s="15" t="s">
        <v>19</v>
      </c>
      <c r="R6140" s="205"/>
      <c r="S6140" s="189" t="s">
        <v>758</v>
      </c>
      <c r="T6140" s="114"/>
      <c r="U6140" s="21"/>
      <c r="V6140" s="115">
        <v>46086</v>
      </c>
      <c r="W6140" s="116">
        <v>1321</v>
      </c>
      <c r="X6140" s="220">
        <v>2165000</v>
      </c>
      <c r="Y6140" s="220">
        <f>X6140*0.1</f>
        <v>216500</v>
      </c>
      <c r="Z6140" s="220">
        <v>18890</v>
      </c>
      <c r="AA6140" s="220">
        <f>SUM(X6140:Z6140)</f>
        <v>2400390</v>
      </c>
      <c r="AB6140" s="222">
        <v>46087</v>
      </c>
    </row>
    <row r="6141" spans="1:28" ht="17.100000000000001" customHeight="1" thickBot="1">
      <c r="A6141" s="227"/>
      <c r="B6141" s="27" t="s">
        <v>1536</v>
      </c>
      <c r="C6141" s="27">
        <v>58302</v>
      </c>
      <c r="D6141" s="14" t="s">
        <v>898</v>
      </c>
      <c r="E6141" s="229"/>
      <c r="F6141" s="117" t="s">
        <v>17489</v>
      </c>
      <c r="G6141" s="26">
        <v>41074</v>
      </c>
      <c r="H6141" s="231"/>
      <c r="I6141" s="221"/>
      <c r="J6141" s="221"/>
      <c r="K6141" s="221"/>
      <c r="L6141" s="221"/>
      <c r="M6141" s="221"/>
      <c r="N6141" s="221"/>
      <c r="O6141" s="225"/>
      <c r="P6141" s="118" t="s">
        <v>17839</v>
      </c>
      <c r="Q6141" s="16" t="s">
        <v>20</v>
      </c>
      <c r="R6141" s="17" t="s">
        <v>17799</v>
      </c>
      <c r="S6141" s="121" t="s">
        <v>17936</v>
      </c>
      <c r="T6141" s="122"/>
      <c r="U6141" s="22"/>
      <c r="V6141" s="123" t="s">
        <v>18928</v>
      </c>
      <c r="W6141" s="122">
        <v>306</v>
      </c>
      <c r="X6141" s="221"/>
      <c r="Y6141" s="221"/>
      <c r="Z6141" s="221"/>
      <c r="AA6141" s="221"/>
      <c r="AB6141" s="223"/>
    </row>
    <row r="6142" spans="1:28" ht="17.100000000000001" customHeight="1" thickTop="1">
      <c r="A6142" s="226" t="s">
        <v>17407</v>
      </c>
      <c r="B6142" s="28">
        <v>46066</v>
      </c>
      <c r="C6142" s="25">
        <v>2122</v>
      </c>
      <c r="D6142" s="13" t="s">
        <v>853</v>
      </c>
      <c r="E6142" s="228"/>
      <c r="F6142" s="109" t="s">
        <v>15924</v>
      </c>
      <c r="G6142" s="24" t="s">
        <v>17491</v>
      </c>
      <c r="H6142" s="230">
        <v>4.5</v>
      </c>
      <c r="I6142" s="220">
        <v>1080000</v>
      </c>
      <c r="J6142" s="220">
        <f>I6142*0.1</f>
        <v>108000</v>
      </c>
      <c r="K6142" s="220">
        <v>2750</v>
      </c>
      <c r="L6142" s="220">
        <v>17600</v>
      </c>
      <c r="M6142" s="220">
        <v>27500</v>
      </c>
      <c r="N6142" s="220">
        <f>SUM(I6142:M6143)</f>
        <v>1235850</v>
      </c>
      <c r="O6142" s="224"/>
      <c r="P6142" s="110" t="s">
        <v>17492</v>
      </c>
      <c r="Q6142" s="15" t="s">
        <v>19</v>
      </c>
      <c r="R6142" s="205"/>
      <c r="S6142" s="189" t="s">
        <v>455</v>
      </c>
      <c r="T6142" s="114"/>
      <c r="U6142" s="21"/>
      <c r="V6142" s="115">
        <v>46074</v>
      </c>
      <c r="W6142" s="116">
        <v>1289</v>
      </c>
      <c r="X6142" s="220">
        <v>1260000</v>
      </c>
      <c r="Y6142" s="220">
        <f>X6142*0.1</f>
        <v>126000</v>
      </c>
      <c r="Z6142" s="220">
        <v>17600</v>
      </c>
      <c r="AA6142" s="220">
        <f>SUM(X6142:Z6142)</f>
        <v>1403600</v>
      </c>
      <c r="AB6142" s="222">
        <v>46084</v>
      </c>
    </row>
    <row r="6143" spans="1:28" ht="17.100000000000001" customHeight="1" thickBot="1">
      <c r="A6143" s="227"/>
      <c r="B6143" s="27" t="s">
        <v>1536</v>
      </c>
      <c r="C6143" s="27">
        <v>58876</v>
      </c>
      <c r="D6143" s="14" t="s">
        <v>898</v>
      </c>
      <c r="E6143" s="229"/>
      <c r="F6143" s="117" t="s">
        <v>17490</v>
      </c>
      <c r="G6143" s="26">
        <v>49146</v>
      </c>
      <c r="H6143" s="231"/>
      <c r="I6143" s="221"/>
      <c r="J6143" s="221"/>
      <c r="K6143" s="221"/>
      <c r="L6143" s="221"/>
      <c r="M6143" s="221"/>
      <c r="N6143" s="221"/>
      <c r="O6143" s="225"/>
      <c r="P6143" s="118" t="s">
        <v>17841</v>
      </c>
      <c r="Q6143" s="16" t="s">
        <v>20</v>
      </c>
      <c r="R6143" s="17" t="s">
        <v>17799</v>
      </c>
      <c r="S6143" s="121" t="s">
        <v>1731</v>
      </c>
      <c r="T6143" s="122"/>
      <c r="U6143" s="22"/>
      <c r="V6143" s="123" t="s">
        <v>6641</v>
      </c>
      <c r="W6143" s="122">
        <v>80376</v>
      </c>
      <c r="X6143" s="221"/>
      <c r="Y6143" s="221"/>
      <c r="Z6143" s="221"/>
      <c r="AA6143" s="221"/>
      <c r="AB6143" s="223"/>
    </row>
    <row r="6144" spans="1:28" ht="17.100000000000001" customHeight="1" thickTop="1">
      <c r="A6144" s="226" t="s">
        <v>17408</v>
      </c>
      <c r="B6144" s="28">
        <v>46066</v>
      </c>
      <c r="C6144" s="25"/>
      <c r="D6144" s="13" t="s">
        <v>2637</v>
      </c>
      <c r="E6144" s="228"/>
      <c r="F6144" s="109" t="s">
        <v>17440</v>
      </c>
      <c r="G6144" s="24" t="s">
        <v>10108</v>
      </c>
      <c r="H6144" s="230">
        <v>4</v>
      </c>
      <c r="I6144" s="220">
        <v>1060000</v>
      </c>
      <c r="J6144" s="220">
        <f>I6144*0.1</f>
        <v>106000</v>
      </c>
      <c r="K6144" s="220">
        <v>30500</v>
      </c>
      <c r="L6144" s="220">
        <v>8950</v>
      </c>
      <c r="M6144" s="220">
        <v>0</v>
      </c>
      <c r="N6144" s="220">
        <f>SUM(I6144:M6145)</f>
        <v>1205450</v>
      </c>
      <c r="O6144" s="224"/>
      <c r="P6144" s="110" t="s">
        <v>18475</v>
      </c>
      <c r="Q6144" s="15" t="s">
        <v>19</v>
      </c>
      <c r="R6144" s="205"/>
      <c r="S6144" s="189" t="s">
        <v>283</v>
      </c>
      <c r="T6144" s="114"/>
      <c r="U6144" s="21"/>
      <c r="V6144" s="115">
        <v>46088</v>
      </c>
      <c r="W6144" s="116">
        <v>1291</v>
      </c>
      <c r="X6144" s="220">
        <v>1210000</v>
      </c>
      <c r="Y6144" s="220">
        <f>X6144*0.1</f>
        <v>121000</v>
      </c>
      <c r="Z6144" s="220">
        <v>8950</v>
      </c>
      <c r="AA6144" s="220">
        <f>SUM(X6144:Z6144)</f>
        <v>1339950</v>
      </c>
      <c r="AB6144" s="222">
        <v>46091</v>
      </c>
    </row>
    <row r="6145" spans="1:28" ht="17.100000000000001" customHeight="1" thickBot="1">
      <c r="A6145" s="227"/>
      <c r="B6145" s="27" t="s">
        <v>1708</v>
      </c>
      <c r="C6145" s="27" t="s">
        <v>17436</v>
      </c>
      <c r="D6145" s="14" t="s">
        <v>898</v>
      </c>
      <c r="E6145" s="229"/>
      <c r="F6145" s="117" t="s">
        <v>17437</v>
      </c>
      <c r="G6145" s="26">
        <v>24934</v>
      </c>
      <c r="H6145" s="231"/>
      <c r="I6145" s="221"/>
      <c r="J6145" s="221"/>
      <c r="K6145" s="221"/>
      <c r="L6145" s="221"/>
      <c r="M6145" s="221"/>
      <c r="N6145" s="221"/>
      <c r="O6145" s="225"/>
      <c r="P6145" s="118" t="s">
        <v>18476</v>
      </c>
      <c r="Q6145" s="16" t="s">
        <v>20</v>
      </c>
      <c r="R6145" s="17" t="s">
        <v>3559</v>
      </c>
      <c r="S6145" s="121" t="s">
        <v>1731</v>
      </c>
      <c r="T6145" s="122"/>
      <c r="U6145" s="22"/>
      <c r="V6145" s="123" t="s">
        <v>2472</v>
      </c>
      <c r="W6145" s="122">
        <v>37160</v>
      </c>
      <c r="X6145" s="221"/>
      <c r="Y6145" s="221"/>
      <c r="Z6145" s="221"/>
      <c r="AA6145" s="221"/>
      <c r="AB6145" s="223"/>
    </row>
    <row r="6146" spans="1:28" ht="17.100000000000001" customHeight="1" thickTop="1">
      <c r="A6146" s="226" t="s">
        <v>17409</v>
      </c>
      <c r="B6146" s="28">
        <v>46066</v>
      </c>
      <c r="C6146" s="25"/>
      <c r="D6146" s="13" t="s">
        <v>2652</v>
      </c>
      <c r="E6146" s="228"/>
      <c r="F6146" s="109" t="s">
        <v>17441</v>
      </c>
      <c r="G6146" s="24" t="s">
        <v>16914</v>
      </c>
      <c r="H6146" s="230">
        <v>4.5</v>
      </c>
      <c r="I6146" s="220">
        <v>1400000</v>
      </c>
      <c r="J6146" s="220">
        <f>I6146*0.1</f>
        <v>140000</v>
      </c>
      <c r="K6146" s="220">
        <v>1100</v>
      </c>
      <c r="L6146" s="220">
        <v>8990</v>
      </c>
      <c r="M6146" s="220">
        <v>0</v>
      </c>
      <c r="N6146" s="220">
        <f>SUM(I6146:M6147)</f>
        <v>1550090</v>
      </c>
      <c r="O6146" s="224"/>
      <c r="P6146" s="110" t="s">
        <v>18939</v>
      </c>
      <c r="Q6146" s="15" t="s">
        <v>19</v>
      </c>
      <c r="R6146" s="205"/>
      <c r="S6146" s="189" t="s">
        <v>25507</v>
      </c>
      <c r="T6146" s="114"/>
      <c r="U6146" s="21" t="s">
        <v>19520</v>
      </c>
      <c r="V6146" s="115">
        <v>46095</v>
      </c>
      <c r="W6146" s="116">
        <v>1292</v>
      </c>
      <c r="X6146" s="220">
        <v>1530000</v>
      </c>
      <c r="Y6146" s="220">
        <f>X6146*0.1</f>
        <v>153000</v>
      </c>
      <c r="Z6146" s="220">
        <v>8990</v>
      </c>
      <c r="AA6146" s="220">
        <f>SUM(X6146:Z6146)</f>
        <v>1691990</v>
      </c>
      <c r="AB6146" s="222">
        <v>46098</v>
      </c>
    </row>
    <row r="6147" spans="1:28" ht="17.100000000000001" customHeight="1" thickBot="1">
      <c r="A6147" s="227"/>
      <c r="B6147" s="27" t="s">
        <v>1708</v>
      </c>
      <c r="C6147" s="27" t="s">
        <v>17438</v>
      </c>
      <c r="D6147" s="14" t="s">
        <v>273</v>
      </c>
      <c r="E6147" s="229"/>
      <c r="F6147" s="117" t="s">
        <v>17439</v>
      </c>
      <c r="G6147" s="26">
        <v>41296</v>
      </c>
      <c r="H6147" s="231"/>
      <c r="I6147" s="221"/>
      <c r="J6147" s="221"/>
      <c r="K6147" s="221"/>
      <c r="L6147" s="221"/>
      <c r="M6147" s="221"/>
      <c r="N6147" s="221"/>
      <c r="O6147" s="225"/>
      <c r="P6147" s="118" t="s">
        <v>18940</v>
      </c>
      <c r="Q6147" s="16" t="s">
        <v>20</v>
      </c>
      <c r="R6147" s="17" t="s">
        <v>18931</v>
      </c>
      <c r="S6147" s="121" t="s">
        <v>11877</v>
      </c>
      <c r="T6147" s="122"/>
      <c r="U6147" s="22"/>
      <c r="V6147" s="123" t="s">
        <v>2472</v>
      </c>
      <c r="W6147" s="122">
        <v>40122</v>
      </c>
      <c r="X6147" s="221"/>
      <c r="Y6147" s="221"/>
      <c r="Z6147" s="221"/>
      <c r="AA6147" s="221"/>
      <c r="AB6147" s="223"/>
    </row>
    <row r="6148" spans="1:28" ht="17.100000000000001" customHeight="1" thickTop="1">
      <c r="A6148" s="226" t="s">
        <v>17425</v>
      </c>
      <c r="B6148" s="28">
        <v>46066</v>
      </c>
      <c r="C6148" s="25"/>
      <c r="D6148" s="13" t="s">
        <v>1704</v>
      </c>
      <c r="E6148" s="228"/>
      <c r="F6148" s="109" t="s">
        <v>17444</v>
      </c>
      <c r="G6148" s="24" t="s">
        <v>17493</v>
      </c>
      <c r="H6148" s="230">
        <v>4.5</v>
      </c>
      <c r="I6148" s="220">
        <v>3150000</v>
      </c>
      <c r="J6148" s="220">
        <f>I6148*0.1</f>
        <v>315000</v>
      </c>
      <c r="K6148" s="220">
        <v>3600</v>
      </c>
      <c r="L6148" s="220">
        <v>14900</v>
      </c>
      <c r="M6148" s="220">
        <v>0</v>
      </c>
      <c r="N6148" s="220">
        <f>SUM(I6148:M6149)</f>
        <v>3483500</v>
      </c>
      <c r="O6148" s="224"/>
      <c r="P6148" s="110" t="s">
        <v>19518</v>
      </c>
      <c r="Q6148" s="15" t="s">
        <v>19</v>
      </c>
      <c r="R6148" s="205"/>
      <c r="S6148" s="189" t="s">
        <v>529</v>
      </c>
      <c r="T6148" s="114"/>
      <c r="U6148" s="21"/>
      <c r="V6148" s="115">
        <v>46095</v>
      </c>
      <c r="W6148" s="116">
        <v>1292</v>
      </c>
      <c r="X6148" s="220">
        <v>3200000</v>
      </c>
      <c r="Y6148" s="220">
        <f>X6148*0.1</f>
        <v>320000</v>
      </c>
      <c r="Z6148" s="220">
        <v>14900</v>
      </c>
      <c r="AA6148" s="220">
        <f>SUM(X6148:Z6148)</f>
        <v>3534900</v>
      </c>
      <c r="AB6148" s="222">
        <v>46105</v>
      </c>
    </row>
    <row r="6149" spans="1:28" ht="17.100000000000001" customHeight="1" thickBot="1">
      <c r="A6149" s="227"/>
      <c r="B6149" s="27" t="s">
        <v>1708</v>
      </c>
      <c r="C6149" s="27" t="s">
        <v>17442</v>
      </c>
      <c r="D6149" s="14" t="s">
        <v>273</v>
      </c>
      <c r="E6149" s="229"/>
      <c r="F6149" s="117" t="s">
        <v>17443</v>
      </c>
      <c r="G6149" s="26">
        <v>29413</v>
      </c>
      <c r="H6149" s="231"/>
      <c r="I6149" s="221"/>
      <c r="J6149" s="221"/>
      <c r="K6149" s="221"/>
      <c r="L6149" s="221"/>
      <c r="M6149" s="221"/>
      <c r="N6149" s="221"/>
      <c r="O6149" s="225"/>
      <c r="P6149" s="118" t="s">
        <v>4137</v>
      </c>
      <c r="Q6149" s="16" t="s">
        <v>20</v>
      </c>
      <c r="R6149" s="17" t="s">
        <v>3332</v>
      </c>
      <c r="S6149" s="121" t="s">
        <v>1923</v>
      </c>
      <c r="T6149" s="122"/>
      <c r="U6149" s="22"/>
      <c r="V6149" s="123" t="s">
        <v>6642</v>
      </c>
      <c r="W6149" s="122">
        <v>37388</v>
      </c>
      <c r="X6149" s="221"/>
      <c r="Y6149" s="221"/>
      <c r="Z6149" s="221"/>
      <c r="AA6149" s="221"/>
      <c r="AB6149" s="223"/>
    </row>
    <row r="6150" spans="1:28" ht="17.100000000000001" customHeight="1" thickTop="1">
      <c r="A6150" s="226" t="s">
        <v>17426</v>
      </c>
      <c r="B6150" s="28">
        <v>46066</v>
      </c>
      <c r="C6150" s="25"/>
      <c r="D6150" s="13" t="s">
        <v>2379</v>
      </c>
      <c r="E6150" s="228"/>
      <c r="F6150" s="109" t="s">
        <v>17447</v>
      </c>
      <c r="G6150" s="24" t="s">
        <v>14542</v>
      </c>
      <c r="H6150" s="230">
        <v>4.5</v>
      </c>
      <c r="I6150" s="220">
        <v>5710000</v>
      </c>
      <c r="J6150" s="220">
        <f>I6150*0.1</f>
        <v>571000</v>
      </c>
      <c r="K6150" s="220">
        <v>4100</v>
      </c>
      <c r="L6150" s="220">
        <v>14230</v>
      </c>
      <c r="M6150" s="220">
        <v>0</v>
      </c>
      <c r="N6150" s="220">
        <f>SUM(I6150:M6151)</f>
        <v>6299330</v>
      </c>
      <c r="O6150" s="224"/>
      <c r="P6150" s="110" t="s">
        <v>19560</v>
      </c>
      <c r="Q6150" s="15" t="s">
        <v>19</v>
      </c>
      <c r="R6150" s="205"/>
      <c r="S6150" s="189" t="s">
        <v>529</v>
      </c>
      <c r="T6150" s="114"/>
      <c r="U6150" s="21"/>
      <c r="V6150" s="115">
        <v>46088</v>
      </c>
      <c r="W6150" s="116">
        <v>1291</v>
      </c>
      <c r="X6150" s="220">
        <v>5905000</v>
      </c>
      <c r="Y6150" s="220">
        <f>X6150*0.1</f>
        <v>590500</v>
      </c>
      <c r="Z6150" s="220">
        <v>14230</v>
      </c>
      <c r="AA6150" s="220">
        <f>SUM(X6150:Z6150)</f>
        <v>6509730</v>
      </c>
      <c r="AB6150" s="222">
        <v>46098</v>
      </c>
    </row>
    <row r="6151" spans="1:28" ht="17.100000000000001" customHeight="1" thickBot="1">
      <c r="A6151" s="227"/>
      <c r="B6151" s="27" t="s">
        <v>1708</v>
      </c>
      <c r="C6151" s="27" t="s">
        <v>17445</v>
      </c>
      <c r="D6151" s="14" t="s">
        <v>1584</v>
      </c>
      <c r="E6151" s="229"/>
      <c r="F6151" s="117" t="s">
        <v>17446</v>
      </c>
      <c r="G6151" s="26">
        <v>5907</v>
      </c>
      <c r="H6151" s="231"/>
      <c r="I6151" s="221"/>
      <c r="J6151" s="221"/>
      <c r="K6151" s="221"/>
      <c r="L6151" s="221"/>
      <c r="M6151" s="221"/>
      <c r="N6151" s="221"/>
      <c r="O6151" s="225"/>
      <c r="P6151" s="118" t="s">
        <v>7855</v>
      </c>
      <c r="Q6151" s="16" t="s">
        <v>20</v>
      </c>
      <c r="R6151" s="17" t="s">
        <v>3913</v>
      </c>
      <c r="S6151" s="121" t="s">
        <v>1722</v>
      </c>
      <c r="T6151" s="122"/>
      <c r="U6151" s="22"/>
      <c r="V6151" s="123" t="s">
        <v>2472</v>
      </c>
      <c r="W6151" s="122">
        <v>37647</v>
      </c>
      <c r="X6151" s="221"/>
      <c r="Y6151" s="221"/>
      <c r="Z6151" s="221"/>
      <c r="AA6151" s="221"/>
      <c r="AB6151" s="223"/>
    </row>
    <row r="6152" spans="1:28" ht="17.100000000000001" customHeight="1" thickTop="1">
      <c r="A6152" s="226" t="s">
        <v>17427</v>
      </c>
      <c r="B6152" s="28">
        <v>46066</v>
      </c>
      <c r="C6152" s="25"/>
      <c r="D6152" s="13" t="s">
        <v>2470</v>
      </c>
      <c r="E6152" s="228"/>
      <c r="F6152" s="109" t="s">
        <v>17450</v>
      </c>
      <c r="G6152" s="24" t="s">
        <v>17494</v>
      </c>
      <c r="H6152" s="230">
        <v>5</v>
      </c>
      <c r="I6152" s="220">
        <v>2650000</v>
      </c>
      <c r="J6152" s="220">
        <f>I6152*0.1</f>
        <v>265000</v>
      </c>
      <c r="K6152" s="220">
        <v>0</v>
      </c>
      <c r="L6152" s="220">
        <v>11710</v>
      </c>
      <c r="M6152" s="220">
        <v>0</v>
      </c>
      <c r="N6152" s="220">
        <f>SUM(I6152:M6153)</f>
        <v>2926710</v>
      </c>
      <c r="O6152" s="224"/>
      <c r="P6152" s="110" t="s">
        <v>18667</v>
      </c>
      <c r="Q6152" s="15" t="s">
        <v>19</v>
      </c>
      <c r="R6152" s="205"/>
      <c r="S6152" s="189" t="s">
        <v>25507</v>
      </c>
      <c r="T6152" s="114"/>
      <c r="U6152" s="21"/>
      <c r="V6152" s="115">
        <v>46088</v>
      </c>
      <c r="W6152" s="116">
        <v>1291</v>
      </c>
      <c r="X6152" s="220">
        <v>2720000</v>
      </c>
      <c r="Y6152" s="220">
        <f>X6152*0.1</f>
        <v>272000</v>
      </c>
      <c r="Z6152" s="220">
        <v>11710</v>
      </c>
      <c r="AA6152" s="220">
        <f>SUM(X6152:Z6152)</f>
        <v>3003710</v>
      </c>
      <c r="AB6152" s="222">
        <v>46091</v>
      </c>
    </row>
    <row r="6153" spans="1:28" ht="17.100000000000001" customHeight="1" thickBot="1">
      <c r="A6153" s="227"/>
      <c r="B6153" s="27" t="s">
        <v>1708</v>
      </c>
      <c r="C6153" s="27" t="s">
        <v>17448</v>
      </c>
      <c r="D6153" s="14" t="s">
        <v>2753</v>
      </c>
      <c r="E6153" s="229"/>
      <c r="F6153" s="117" t="s">
        <v>17449</v>
      </c>
      <c r="G6153" s="26">
        <v>10925</v>
      </c>
      <c r="H6153" s="231"/>
      <c r="I6153" s="221"/>
      <c r="J6153" s="221"/>
      <c r="K6153" s="221"/>
      <c r="L6153" s="221"/>
      <c r="M6153" s="221"/>
      <c r="N6153" s="221"/>
      <c r="O6153" s="225"/>
      <c r="P6153" s="118" t="s">
        <v>18668</v>
      </c>
      <c r="Q6153" s="16" t="s">
        <v>20</v>
      </c>
      <c r="R6153" s="17" t="s">
        <v>1883</v>
      </c>
      <c r="S6153" s="121" t="s">
        <v>13716</v>
      </c>
      <c r="T6153" s="122"/>
      <c r="U6153" s="22"/>
      <c r="V6153" s="123" t="s">
        <v>2472</v>
      </c>
      <c r="W6153" s="122">
        <v>37531</v>
      </c>
      <c r="X6153" s="221"/>
      <c r="Y6153" s="221"/>
      <c r="Z6153" s="221"/>
      <c r="AA6153" s="221"/>
      <c r="AB6153" s="223"/>
    </row>
    <row r="6154" spans="1:28" ht="17.100000000000001" customHeight="1" thickTop="1">
      <c r="A6154" s="226" t="s">
        <v>17428</v>
      </c>
      <c r="B6154" s="28">
        <v>46066</v>
      </c>
      <c r="C6154" s="25"/>
      <c r="D6154" s="13" t="s">
        <v>1754</v>
      </c>
      <c r="E6154" s="228"/>
      <c r="F6154" s="109" t="s">
        <v>7462</v>
      </c>
      <c r="G6154" s="24" t="s">
        <v>17495</v>
      </c>
      <c r="H6154" s="230">
        <v>4</v>
      </c>
      <c r="I6154" s="220">
        <v>405000</v>
      </c>
      <c r="J6154" s="220">
        <f>I6154*0.1</f>
        <v>40500</v>
      </c>
      <c r="K6154" s="220">
        <v>0</v>
      </c>
      <c r="L6154" s="220">
        <v>8400</v>
      </c>
      <c r="M6154" s="220">
        <v>0</v>
      </c>
      <c r="N6154" s="220">
        <f>SUM(I6154:M6155)</f>
        <v>453900</v>
      </c>
      <c r="O6154" s="224"/>
      <c r="P6154" s="110" t="s">
        <v>18470</v>
      </c>
      <c r="Q6154" s="15" t="s">
        <v>19</v>
      </c>
      <c r="R6154" s="205"/>
      <c r="S6154" s="189" t="s">
        <v>283</v>
      </c>
      <c r="T6154" s="114"/>
      <c r="U6154" s="21" t="s">
        <v>19297</v>
      </c>
      <c r="V6154" s="115">
        <v>46088</v>
      </c>
      <c r="W6154" s="116">
        <v>1291</v>
      </c>
      <c r="X6154" s="220">
        <v>820000</v>
      </c>
      <c r="Y6154" s="220">
        <f>X6154*0.1</f>
        <v>82000</v>
      </c>
      <c r="Z6154" s="220">
        <v>8400</v>
      </c>
      <c r="AA6154" s="220">
        <f>SUM(X6154:Z6154)</f>
        <v>910400</v>
      </c>
      <c r="AB6154" s="222">
        <v>46093</v>
      </c>
    </row>
    <row r="6155" spans="1:28" ht="17.100000000000001" customHeight="1" thickBot="1">
      <c r="A6155" s="227"/>
      <c r="B6155" s="27" t="s">
        <v>1708</v>
      </c>
      <c r="C6155" s="27" t="s">
        <v>17451</v>
      </c>
      <c r="D6155" s="14" t="s">
        <v>1710</v>
      </c>
      <c r="E6155" s="229"/>
      <c r="F6155" s="117" t="s">
        <v>17452</v>
      </c>
      <c r="G6155" s="26">
        <v>67802</v>
      </c>
      <c r="H6155" s="231"/>
      <c r="I6155" s="221"/>
      <c r="J6155" s="221"/>
      <c r="K6155" s="221"/>
      <c r="L6155" s="221"/>
      <c r="M6155" s="221"/>
      <c r="N6155" s="221"/>
      <c r="O6155" s="225"/>
      <c r="P6155" s="118" t="s">
        <v>18471</v>
      </c>
      <c r="Q6155" s="16" t="s">
        <v>20</v>
      </c>
      <c r="R6155" s="17" t="s">
        <v>3559</v>
      </c>
      <c r="S6155" s="121" t="s">
        <v>169</v>
      </c>
      <c r="T6155" s="122"/>
      <c r="U6155" s="22"/>
      <c r="V6155" s="123" t="s">
        <v>2472</v>
      </c>
      <c r="W6155" s="122">
        <v>65298</v>
      </c>
      <c r="X6155" s="221"/>
      <c r="Y6155" s="221"/>
      <c r="Z6155" s="221"/>
      <c r="AA6155" s="221"/>
      <c r="AB6155" s="223"/>
    </row>
    <row r="6156" spans="1:28" ht="17.100000000000001" customHeight="1" thickTop="1">
      <c r="A6156" s="226" t="s">
        <v>17429</v>
      </c>
      <c r="B6156" s="28">
        <v>46066</v>
      </c>
      <c r="C6156" s="25"/>
      <c r="D6156" s="13" t="s">
        <v>2010</v>
      </c>
      <c r="E6156" s="228"/>
      <c r="F6156" s="109" t="s">
        <v>17455</v>
      </c>
      <c r="G6156" s="24" t="s">
        <v>4689</v>
      </c>
      <c r="H6156" s="230">
        <v>4.5</v>
      </c>
      <c r="I6156" s="220">
        <v>1160000</v>
      </c>
      <c r="J6156" s="220">
        <f>I6156*0.1</f>
        <v>116000</v>
      </c>
      <c r="K6156" s="220">
        <v>0</v>
      </c>
      <c r="L6156" s="220">
        <v>5670</v>
      </c>
      <c r="M6156" s="220">
        <v>0</v>
      </c>
      <c r="N6156" s="220">
        <f>SUM(I6156:M6157)</f>
        <v>1281670</v>
      </c>
      <c r="O6156" s="224"/>
      <c r="P6156" s="110" t="s">
        <v>17970</v>
      </c>
      <c r="Q6156" s="15" t="s">
        <v>19</v>
      </c>
      <c r="R6156" s="205"/>
      <c r="S6156" s="189" t="s">
        <v>25507</v>
      </c>
      <c r="T6156" s="114"/>
      <c r="U6156" s="21"/>
      <c r="V6156" s="115">
        <v>46084</v>
      </c>
      <c r="W6156" s="116">
        <v>1931</v>
      </c>
      <c r="X6156" s="220">
        <v>1231000</v>
      </c>
      <c r="Y6156" s="220">
        <f>X6156*0.1</f>
        <v>123100</v>
      </c>
      <c r="Z6156" s="220">
        <v>5670</v>
      </c>
      <c r="AA6156" s="220">
        <f>SUM(X6156:Z6156)</f>
        <v>1359770</v>
      </c>
      <c r="AB6156" s="222">
        <v>46091</v>
      </c>
    </row>
    <row r="6157" spans="1:28" ht="17.100000000000001" customHeight="1" thickBot="1">
      <c r="A6157" s="227"/>
      <c r="B6157" s="27" t="s">
        <v>1708</v>
      </c>
      <c r="C6157" s="27" t="s">
        <v>17453</v>
      </c>
      <c r="D6157" s="14" t="s">
        <v>1584</v>
      </c>
      <c r="E6157" s="229"/>
      <c r="F6157" s="117" t="s">
        <v>17454</v>
      </c>
      <c r="G6157" s="26">
        <v>32211</v>
      </c>
      <c r="H6157" s="231"/>
      <c r="I6157" s="221"/>
      <c r="J6157" s="221"/>
      <c r="K6157" s="221"/>
      <c r="L6157" s="221"/>
      <c r="M6157" s="221"/>
      <c r="N6157" s="221"/>
      <c r="O6157" s="225"/>
      <c r="P6157" s="118" t="s">
        <v>17971</v>
      </c>
      <c r="Q6157" s="16" t="s">
        <v>20</v>
      </c>
      <c r="R6157" s="17" t="s">
        <v>17949</v>
      </c>
      <c r="S6157" s="121" t="s">
        <v>1606</v>
      </c>
      <c r="T6157" s="122"/>
      <c r="U6157" s="22"/>
      <c r="V6157" s="123" t="s">
        <v>2103</v>
      </c>
      <c r="W6157" s="122">
        <v>3193</v>
      </c>
      <c r="X6157" s="221"/>
      <c r="Y6157" s="221"/>
      <c r="Z6157" s="221"/>
      <c r="AA6157" s="221"/>
      <c r="AB6157" s="223"/>
    </row>
    <row r="6158" spans="1:28" ht="17.100000000000001" customHeight="1" thickTop="1">
      <c r="A6158" s="226" t="s">
        <v>17430</v>
      </c>
      <c r="B6158" s="28">
        <v>46066</v>
      </c>
      <c r="C6158" s="25"/>
      <c r="D6158" s="13" t="s">
        <v>2320</v>
      </c>
      <c r="E6158" s="228"/>
      <c r="F6158" s="109" t="s">
        <v>17458</v>
      </c>
      <c r="G6158" s="24" t="s">
        <v>6917</v>
      </c>
      <c r="H6158" s="230">
        <v>4</v>
      </c>
      <c r="I6158" s="220">
        <v>2515000</v>
      </c>
      <c r="J6158" s="220">
        <f>I6158*0.1</f>
        <v>251500</v>
      </c>
      <c r="K6158" s="220">
        <v>2500</v>
      </c>
      <c r="L6158" s="220">
        <v>14190</v>
      </c>
      <c r="M6158" s="220">
        <v>0</v>
      </c>
      <c r="N6158" s="220">
        <f>SUM(I6158:M6159)</f>
        <v>2783190</v>
      </c>
      <c r="O6158" s="224"/>
      <c r="P6158" s="110" t="s">
        <v>18654</v>
      </c>
      <c r="Q6158" s="15" t="s">
        <v>19</v>
      </c>
      <c r="R6158" s="205"/>
      <c r="S6158" s="189" t="s">
        <v>529</v>
      </c>
      <c r="T6158" s="114"/>
      <c r="U6158" s="21"/>
      <c r="V6158" s="115">
        <v>46088</v>
      </c>
      <c r="W6158" s="116">
        <v>1291</v>
      </c>
      <c r="X6158" s="220">
        <v>2705000</v>
      </c>
      <c r="Y6158" s="220">
        <f>X6158*0.1</f>
        <v>270500</v>
      </c>
      <c r="Z6158" s="220">
        <v>14190</v>
      </c>
      <c r="AA6158" s="220">
        <f>SUM(X6158:Z6158)</f>
        <v>2989690</v>
      </c>
      <c r="AB6158" s="222">
        <v>46091</v>
      </c>
    </row>
    <row r="6159" spans="1:28" ht="17.100000000000001" customHeight="1" thickBot="1">
      <c r="A6159" s="227"/>
      <c r="B6159" s="27" t="s">
        <v>1708</v>
      </c>
      <c r="C6159" s="27" t="s">
        <v>17456</v>
      </c>
      <c r="D6159" s="14" t="s">
        <v>1584</v>
      </c>
      <c r="E6159" s="229"/>
      <c r="F6159" s="117" t="s">
        <v>17457</v>
      </c>
      <c r="G6159" s="26">
        <v>21979</v>
      </c>
      <c r="H6159" s="231"/>
      <c r="I6159" s="221"/>
      <c r="J6159" s="221"/>
      <c r="K6159" s="221"/>
      <c r="L6159" s="221"/>
      <c r="M6159" s="221"/>
      <c r="N6159" s="221"/>
      <c r="O6159" s="225"/>
      <c r="P6159" s="118" t="s">
        <v>18655</v>
      </c>
      <c r="Q6159" s="16" t="s">
        <v>20</v>
      </c>
      <c r="R6159" s="17" t="s">
        <v>2318</v>
      </c>
      <c r="S6159" s="121" t="s">
        <v>18450</v>
      </c>
      <c r="T6159" s="122"/>
      <c r="U6159" s="22"/>
      <c r="V6159" s="123" t="s">
        <v>2472</v>
      </c>
      <c r="W6159" s="122">
        <v>37645</v>
      </c>
      <c r="X6159" s="221"/>
      <c r="Y6159" s="221"/>
      <c r="Z6159" s="221"/>
      <c r="AA6159" s="221"/>
      <c r="AB6159" s="223"/>
    </row>
    <row r="6160" spans="1:28" ht="17.100000000000001" customHeight="1" thickTop="1">
      <c r="A6160" s="226" t="s">
        <v>17431</v>
      </c>
      <c r="B6160" s="28">
        <v>46066</v>
      </c>
      <c r="C6160" s="25"/>
      <c r="D6160" s="13" t="s">
        <v>2057</v>
      </c>
      <c r="E6160" s="228"/>
      <c r="F6160" s="109" t="s">
        <v>17458</v>
      </c>
      <c r="G6160" s="24" t="s">
        <v>17049</v>
      </c>
      <c r="H6160" s="230">
        <v>4.5</v>
      </c>
      <c r="I6160" s="220">
        <v>2600000</v>
      </c>
      <c r="J6160" s="220">
        <f>I6160*0.1</f>
        <v>260000</v>
      </c>
      <c r="K6160" s="220">
        <v>0</v>
      </c>
      <c r="L6160" s="220">
        <v>11740</v>
      </c>
      <c r="M6160" s="220">
        <v>0</v>
      </c>
      <c r="N6160" s="220">
        <f>SUM(I6160:M6161)</f>
        <v>2871740</v>
      </c>
      <c r="O6160" s="224"/>
      <c r="P6160" s="110" t="s">
        <v>18869</v>
      </c>
      <c r="Q6160" s="15" t="s">
        <v>19</v>
      </c>
      <c r="R6160" s="205"/>
      <c r="S6160" s="189" t="s">
        <v>283</v>
      </c>
      <c r="T6160" s="114"/>
      <c r="U6160" s="21"/>
      <c r="V6160" s="115">
        <v>46095</v>
      </c>
      <c r="W6160" s="116">
        <v>1292</v>
      </c>
      <c r="X6160" s="220">
        <v>2670000</v>
      </c>
      <c r="Y6160" s="220">
        <f>X6160*0.1</f>
        <v>267000</v>
      </c>
      <c r="Z6160" s="220">
        <v>11740</v>
      </c>
      <c r="AA6160" s="220">
        <f>SUM(X6160:Z6160)</f>
        <v>2948740</v>
      </c>
      <c r="AB6160" s="222">
        <v>46098</v>
      </c>
    </row>
    <row r="6161" spans="1:28" ht="17.100000000000001" customHeight="1" thickBot="1">
      <c r="A6161" s="227"/>
      <c r="B6161" s="27" t="s">
        <v>1708</v>
      </c>
      <c r="C6161" s="27" t="s">
        <v>17459</v>
      </c>
      <c r="D6161" s="14" t="s">
        <v>273</v>
      </c>
      <c r="E6161" s="229"/>
      <c r="F6161" s="117" t="s">
        <v>17460</v>
      </c>
      <c r="G6161" s="26">
        <v>34006</v>
      </c>
      <c r="H6161" s="231"/>
      <c r="I6161" s="221"/>
      <c r="J6161" s="221"/>
      <c r="K6161" s="221"/>
      <c r="L6161" s="221"/>
      <c r="M6161" s="221"/>
      <c r="N6161" s="221"/>
      <c r="O6161" s="225"/>
      <c r="P6161" s="118" t="s">
        <v>18870</v>
      </c>
      <c r="Q6161" s="16" t="s">
        <v>20</v>
      </c>
      <c r="R6161" s="17" t="s">
        <v>853</v>
      </c>
      <c r="S6161" s="121" t="s">
        <v>2703</v>
      </c>
      <c r="T6161" s="122"/>
      <c r="U6161" s="22"/>
      <c r="V6161" s="123" t="s">
        <v>2472</v>
      </c>
      <c r="W6161" s="122">
        <v>37173</v>
      </c>
      <c r="X6161" s="221"/>
      <c r="Y6161" s="221"/>
      <c r="Z6161" s="221"/>
      <c r="AA6161" s="221"/>
      <c r="AB6161" s="223"/>
    </row>
    <row r="6162" spans="1:28" ht="17.100000000000001" customHeight="1" thickTop="1">
      <c r="A6162" s="226" t="s">
        <v>17432</v>
      </c>
      <c r="B6162" s="28">
        <v>46067</v>
      </c>
      <c r="C6162" s="25"/>
      <c r="D6162" s="13" t="s">
        <v>1953</v>
      </c>
      <c r="E6162" s="228"/>
      <c r="F6162" s="109" t="s">
        <v>17497</v>
      </c>
      <c r="G6162" s="24" t="s">
        <v>17527</v>
      </c>
      <c r="H6162" s="232" t="s">
        <v>1705</v>
      </c>
      <c r="I6162" s="220">
        <v>1870000</v>
      </c>
      <c r="J6162" s="220">
        <f>I6162*0.1</f>
        <v>187000</v>
      </c>
      <c r="K6162" s="220">
        <v>4800</v>
      </c>
      <c r="L6162" s="220">
        <v>16550</v>
      </c>
      <c r="M6162" s="220">
        <v>0</v>
      </c>
      <c r="N6162" s="220">
        <f>SUM(I6162:M6163)</f>
        <v>2078350</v>
      </c>
      <c r="O6162" s="224"/>
      <c r="P6162" s="110" t="s">
        <v>18468</v>
      </c>
      <c r="Q6162" s="15" t="s">
        <v>19</v>
      </c>
      <c r="R6162" s="205"/>
      <c r="S6162" s="189" t="s">
        <v>25507</v>
      </c>
      <c r="T6162" s="114"/>
      <c r="U6162" s="21"/>
      <c r="V6162" s="115">
        <v>46081</v>
      </c>
      <c r="W6162" s="116">
        <v>1290</v>
      </c>
      <c r="X6162" s="220">
        <v>2030000</v>
      </c>
      <c r="Y6162" s="220">
        <f>X6162*0.1</f>
        <v>203000</v>
      </c>
      <c r="Z6162" s="220">
        <v>16550</v>
      </c>
      <c r="AA6162" s="220">
        <f>SUM(X6162:Z6162)</f>
        <v>2249550</v>
      </c>
      <c r="AB6162" s="222">
        <v>46084</v>
      </c>
    </row>
    <row r="6163" spans="1:28" ht="17.100000000000001" customHeight="1" thickBot="1">
      <c r="A6163" s="227"/>
      <c r="B6163" s="27" t="s">
        <v>1708</v>
      </c>
      <c r="C6163" s="27" t="s">
        <v>17496</v>
      </c>
      <c r="D6163" s="14" t="s">
        <v>273</v>
      </c>
      <c r="E6163" s="229"/>
      <c r="F6163" s="117" t="s">
        <v>17498</v>
      </c>
      <c r="G6163" s="26">
        <v>136205</v>
      </c>
      <c r="H6163" s="231"/>
      <c r="I6163" s="221"/>
      <c r="J6163" s="221"/>
      <c r="K6163" s="221"/>
      <c r="L6163" s="221"/>
      <c r="M6163" s="221"/>
      <c r="N6163" s="221"/>
      <c r="O6163" s="225"/>
      <c r="P6163" s="118" t="s">
        <v>18469</v>
      </c>
      <c r="Q6163" s="16" t="s">
        <v>20</v>
      </c>
      <c r="R6163" s="17" t="s">
        <v>3559</v>
      </c>
      <c r="S6163" s="121" t="s">
        <v>1606</v>
      </c>
      <c r="T6163" s="122"/>
      <c r="U6163" s="22"/>
      <c r="V6163" s="123" t="s">
        <v>2472</v>
      </c>
      <c r="W6163" s="122">
        <v>37714</v>
      </c>
      <c r="X6163" s="221"/>
      <c r="Y6163" s="221"/>
      <c r="Z6163" s="221"/>
      <c r="AA6163" s="221"/>
      <c r="AB6163" s="223"/>
    </row>
    <row r="6164" spans="1:28" ht="17.100000000000001" customHeight="1" thickTop="1">
      <c r="A6164" s="226" t="s">
        <v>17433</v>
      </c>
      <c r="B6164" s="28">
        <v>46067</v>
      </c>
      <c r="C6164" s="25">
        <v>1288</v>
      </c>
      <c r="D6164" s="13" t="s">
        <v>2712</v>
      </c>
      <c r="E6164" s="228"/>
      <c r="F6164" s="109" t="s">
        <v>17511</v>
      </c>
      <c r="G6164" s="24" t="s">
        <v>17528</v>
      </c>
      <c r="H6164" s="230">
        <v>4.5</v>
      </c>
      <c r="I6164" s="220">
        <v>2070000</v>
      </c>
      <c r="J6164" s="220">
        <f>I6164*0.1</f>
        <v>207000</v>
      </c>
      <c r="K6164" s="220">
        <v>3300</v>
      </c>
      <c r="L6164" s="220">
        <v>12470</v>
      </c>
      <c r="M6164" s="220">
        <v>12100</v>
      </c>
      <c r="N6164" s="220">
        <f>SUM(I6164:M6165)</f>
        <v>2304870</v>
      </c>
      <c r="O6164" s="224"/>
      <c r="P6164" s="110" t="s">
        <v>17529</v>
      </c>
      <c r="Q6164" s="15" t="s">
        <v>19</v>
      </c>
      <c r="R6164" s="205"/>
      <c r="S6164" s="189" t="s">
        <v>25792</v>
      </c>
      <c r="T6164" s="114"/>
      <c r="U6164" s="21"/>
      <c r="V6164" s="115">
        <v>46071</v>
      </c>
      <c r="W6164" s="116">
        <v>1005</v>
      </c>
      <c r="X6164" s="220">
        <v>2190000</v>
      </c>
      <c r="Y6164" s="220">
        <f>X6164*0.1</f>
        <v>219000</v>
      </c>
      <c r="Z6164" s="220">
        <v>12470</v>
      </c>
      <c r="AA6164" s="220">
        <f>SUM(X6164:Z6164)</f>
        <v>2421470</v>
      </c>
      <c r="AB6164" s="222">
        <v>46073</v>
      </c>
    </row>
    <row r="6165" spans="1:28" ht="17.100000000000001" customHeight="1" thickBot="1">
      <c r="A6165" s="227"/>
      <c r="B6165" s="27" t="s">
        <v>2472</v>
      </c>
      <c r="C6165" s="27">
        <v>31291</v>
      </c>
      <c r="D6165" s="14" t="s">
        <v>2559</v>
      </c>
      <c r="E6165" s="229"/>
      <c r="F6165" s="117" t="s">
        <v>17512</v>
      </c>
      <c r="G6165" s="26">
        <v>57480</v>
      </c>
      <c r="H6165" s="231"/>
      <c r="I6165" s="221"/>
      <c r="J6165" s="221"/>
      <c r="K6165" s="221"/>
      <c r="L6165" s="221"/>
      <c r="M6165" s="221"/>
      <c r="N6165" s="221"/>
      <c r="O6165" s="225"/>
      <c r="P6165" s="118" t="s">
        <v>17806</v>
      </c>
      <c r="Q6165" s="16" t="s">
        <v>20</v>
      </c>
      <c r="R6165" s="17" t="s">
        <v>3913</v>
      </c>
      <c r="S6165" s="121" t="s">
        <v>17807</v>
      </c>
      <c r="T6165" s="122"/>
      <c r="U6165" s="22"/>
      <c r="V6165" s="123" t="s">
        <v>2747</v>
      </c>
      <c r="W6165" s="122">
        <v>5076</v>
      </c>
      <c r="X6165" s="221"/>
      <c r="Y6165" s="221"/>
      <c r="Z6165" s="221"/>
      <c r="AA6165" s="221"/>
      <c r="AB6165" s="223"/>
    </row>
    <row r="6166" spans="1:28" ht="17.100000000000001" customHeight="1" thickTop="1">
      <c r="A6166" s="226" t="s">
        <v>17434</v>
      </c>
      <c r="B6166" s="28">
        <v>46067</v>
      </c>
      <c r="C6166" s="25">
        <v>1288</v>
      </c>
      <c r="D6166" s="13" t="s">
        <v>2712</v>
      </c>
      <c r="E6166" s="228"/>
      <c r="F6166" s="109" t="s">
        <v>17530</v>
      </c>
      <c r="G6166" s="24" t="s">
        <v>3999</v>
      </c>
      <c r="H6166" s="230">
        <v>4.5</v>
      </c>
      <c r="I6166" s="220">
        <v>2315000</v>
      </c>
      <c r="J6166" s="220">
        <f>I6166*0.1</f>
        <v>231500</v>
      </c>
      <c r="K6166" s="220">
        <v>3300</v>
      </c>
      <c r="L6166" s="220">
        <v>11110</v>
      </c>
      <c r="M6166" s="220">
        <v>12100</v>
      </c>
      <c r="N6166" s="220">
        <f>SUM(I6166:M6167)</f>
        <v>2573010</v>
      </c>
      <c r="O6166" s="224"/>
      <c r="P6166" s="110" t="s">
        <v>17531</v>
      </c>
      <c r="Q6166" s="15" t="s">
        <v>19</v>
      </c>
      <c r="R6166" s="205"/>
      <c r="S6166" s="189" t="s">
        <v>25691</v>
      </c>
      <c r="T6166" s="114"/>
      <c r="U6166" s="21"/>
      <c r="V6166" s="115">
        <v>46078</v>
      </c>
      <c r="W6166" s="116">
        <v>1006</v>
      </c>
      <c r="X6166" s="220">
        <v>2450000</v>
      </c>
      <c r="Y6166" s="220">
        <f>X6166*0.1</f>
        <v>245000</v>
      </c>
      <c r="Z6166" s="220">
        <v>11110</v>
      </c>
      <c r="AA6166" s="220">
        <f>SUM(X6166:Z6166)</f>
        <v>2706110</v>
      </c>
      <c r="AB6166" s="222">
        <v>46086</v>
      </c>
    </row>
    <row r="6167" spans="1:28" ht="17.100000000000001" customHeight="1" thickBot="1">
      <c r="A6167" s="227"/>
      <c r="B6167" s="27" t="s">
        <v>2472</v>
      </c>
      <c r="C6167" s="27">
        <v>31305</v>
      </c>
      <c r="D6167" s="14" t="s">
        <v>273</v>
      </c>
      <c r="E6167" s="229"/>
      <c r="F6167" s="117" t="s">
        <v>17513</v>
      </c>
      <c r="G6167" s="26">
        <v>55110</v>
      </c>
      <c r="H6167" s="231"/>
      <c r="I6167" s="221"/>
      <c r="J6167" s="221"/>
      <c r="K6167" s="221"/>
      <c r="L6167" s="221"/>
      <c r="M6167" s="221"/>
      <c r="N6167" s="221"/>
      <c r="O6167" s="225"/>
      <c r="P6167" s="118" t="s">
        <v>17959</v>
      </c>
      <c r="Q6167" s="16" t="s">
        <v>20</v>
      </c>
      <c r="R6167" s="17" t="s">
        <v>17949</v>
      </c>
      <c r="S6167" s="121" t="s">
        <v>17960</v>
      </c>
      <c r="T6167" s="122"/>
      <c r="U6167" s="22"/>
      <c r="V6167" s="123" t="s">
        <v>7161</v>
      </c>
      <c r="W6167" s="122">
        <v>6017</v>
      </c>
      <c r="X6167" s="221"/>
      <c r="Y6167" s="221"/>
      <c r="Z6167" s="221"/>
      <c r="AA6167" s="221"/>
      <c r="AB6167" s="223"/>
    </row>
    <row r="6168" spans="1:28" ht="17.100000000000001" customHeight="1" thickTop="1">
      <c r="A6168" s="226" t="s">
        <v>17435</v>
      </c>
      <c r="B6168" s="28">
        <v>46067</v>
      </c>
      <c r="C6168" s="25">
        <v>1288</v>
      </c>
      <c r="D6168" s="13" t="s">
        <v>4104</v>
      </c>
      <c r="E6168" s="228"/>
      <c r="F6168" s="109" t="s">
        <v>16943</v>
      </c>
      <c r="G6168" s="24" t="s">
        <v>17532</v>
      </c>
      <c r="H6168" s="230">
        <v>4</v>
      </c>
      <c r="I6168" s="220">
        <v>500000</v>
      </c>
      <c r="J6168" s="220">
        <v>50000</v>
      </c>
      <c r="K6168" s="220">
        <v>4070</v>
      </c>
      <c r="L6168" s="220">
        <v>14340</v>
      </c>
      <c r="M6168" s="220">
        <v>12100</v>
      </c>
      <c r="N6168" s="220">
        <f>SUM(I6168:M6169)</f>
        <v>580510</v>
      </c>
      <c r="O6168" s="224"/>
      <c r="P6168" s="110" t="s">
        <v>17533</v>
      </c>
      <c r="Q6168" s="15" t="s">
        <v>19</v>
      </c>
      <c r="R6168" s="205"/>
      <c r="S6168" s="189"/>
      <c r="T6168" s="114"/>
      <c r="U6168" s="21"/>
      <c r="V6168" s="115">
        <v>46078</v>
      </c>
      <c r="W6168" s="116">
        <v>1006</v>
      </c>
      <c r="X6168" s="220">
        <v>610000</v>
      </c>
      <c r="Y6168" s="220">
        <f>X6168*0.1</f>
        <v>61000</v>
      </c>
      <c r="Z6168" s="220">
        <v>14340</v>
      </c>
      <c r="AA6168" s="220">
        <f>SUM(X6168:Z6168)</f>
        <v>685340</v>
      </c>
      <c r="AB6168" s="222">
        <v>46083</v>
      </c>
    </row>
    <row r="6169" spans="1:28" ht="17.100000000000001" customHeight="1" thickBot="1">
      <c r="A6169" s="227"/>
      <c r="B6169" s="27" t="s">
        <v>2472</v>
      </c>
      <c r="C6169" s="27">
        <v>35186</v>
      </c>
      <c r="D6169" s="14" t="s">
        <v>273</v>
      </c>
      <c r="E6169" s="229"/>
      <c r="F6169" s="117" t="s">
        <v>17514</v>
      </c>
      <c r="G6169" s="26">
        <v>107609</v>
      </c>
      <c r="H6169" s="231"/>
      <c r="I6169" s="221"/>
      <c r="J6169" s="221"/>
      <c r="K6169" s="221"/>
      <c r="L6169" s="221"/>
      <c r="M6169" s="221"/>
      <c r="N6169" s="221"/>
      <c r="O6169" s="225"/>
      <c r="P6169" s="118" t="s">
        <v>14299</v>
      </c>
      <c r="Q6169" s="16" t="s">
        <v>20</v>
      </c>
      <c r="R6169" s="17" t="s">
        <v>17949</v>
      </c>
      <c r="S6169" s="121" t="s">
        <v>17956</v>
      </c>
      <c r="T6169" s="122"/>
      <c r="U6169" s="22"/>
      <c r="V6169" s="123" t="s">
        <v>2747</v>
      </c>
      <c r="W6169" s="122">
        <v>6024</v>
      </c>
      <c r="X6169" s="221"/>
      <c r="Y6169" s="221"/>
      <c r="Z6169" s="221"/>
      <c r="AA6169" s="221"/>
      <c r="AB6169" s="223"/>
    </row>
    <row r="6170" spans="1:28" ht="17.100000000000001" customHeight="1" thickTop="1">
      <c r="A6170" s="226" t="s">
        <v>17499</v>
      </c>
      <c r="B6170" s="28">
        <v>46067</v>
      </c>
      <c r="C6170" s="25">
        <v>1288</v>
      </c>
      <c r="D6170" s="13" t="s">
        <v>2239</v>
      </c>
      <c r="E6170" s="228"/>
      <c r="F6170" s="109" t="s">
        <v>17515</v>
      </c>
      <c r="G6170" s="24" t="s">
        <v>17534</v>
      </c>
      <c r="H6170" s="230">
        <v>4.5</v>
      </c>
      <c r="I6170" s="220">
        <v>1805000</v>
      </c>
      <c r="J6170" s="220">
        <f>I6170*0.1</f>
        <v>180500</v>
      </c>
      <c r="K6170" s="220">
        <v>2200</v>
      </c>
      <c r="L6170" s="220">
        <v>7450</v>
      </c>
      <c r="M6170" s="220">
        <v>12100</v>
      </c>
      <c r="N6170" s="220">
        <f>SUM(I6170:M6171)</f>
        <v>2007250</v>
      </c>
      <c r="O6170" s="224"/>
      <c r="P6170" s="110" t="s">
        <v>17535</v>
      </c>
      <c r="Q6170" s="15" t="s">
        <v>19</v>
      </c>
      <c r="R6170" s="205"/>
      <c r="S6170" s="189" t="s">
        <v>25793</v>
      </c>
      <c r="T6170" s="114"/>
      <c r="U6170" s="21"/>
      <c r="V6170" s="115">
        <v>46071</v>
      </c>
      <c r="W6170" s="116">
        <v>1005</v>
      </c>
      <c r="X6170" s="220">
        <v>1890000</v>
      </c>
      <c r="Y6170" s="220">
        <f>X6170*0.1</f>
        <v>189000</v>
      </c>
      <c r="Z6170" s="220">
        <v>7450</v>
      </c>
      <c r="AA6170" s="220">
        <f>SUM(X6170:Z6170)</f>
        <v>2086450</v>
      </c>
      <c r="AB6170" s="222">
        <v>46073</v>
      </c>
    </row>
    <row r="6171" spans="1:28" ht="17.100000000000001" customHeight="1" thickBot="1">
      <c r="A6171" s="227"/>
      <c r="B6171" s="27" t="s">
        <v>2472</v>
      </c>
      <c r="C6171" s="27">
        <v>37010</v>
      </c>
      <c r="D6171" s="14" t="s">
        <v>15244</v>
      </c>
      <c r="E6171" s="229"/>
      <c r="F6171" s="117" t="s">
        <v>17516</v>
      </c>
      <c r="G6171" s="26">
        <v>10008</v>
      </c>
      <c r="H6171" s="231"/>
      <c r="I6171" s="221"/>
      <c r="J6171" s="221"/>
      <c r="K6171" s="221"/>
      <c r="L6171" s="221"/>
      <c r="M6171" s="221"/>
      <c r="N6171" s="221"/>
      <c r="O6171" s="225"/>
      <c r="P6171" s="118" t="s">
        <v>17808</v>
      </c>
      <c r="Q6171" s="16" t="s">
        <v>20</v>
      </c>
      <c r="R6171" s="17" t="s">
        <v>3913</v>
      </c>
      <c r="S6171" s="121" t="s">
        <v>17809</v>
      </c>
      <c r="T6171" s="122"/>
      <c r="U6171" s="22"/>
      <c r="V6171" s="123" t="s">
        <v>2747</v>
      </c>
      <c r="W6171" s="122">
        <v>5075</v>
      </c>
      <c r="X6171" s="221"/>
      <c r="Y6171" s="221"/>
      <c r="Z6171" s="221"/>
      <c r="AA6171" s="221"/>
      <c r="AB6171" s="223"/>
    </row>
    <row r="6172" spans="1:28" ht="17.100000000000001" customHeight="1" thickTop="1">
      <c r="A6172" s="226" t="s">
        <v>17500</v>
      </c>
      <c r="B6172" s="28">
        <v>46067</v>
      </c>
      <c r="C6172" s="25">
        <v>1288</v>
      </c>
      <c r="D6172" s="13" t="s">
        <v>1542</v>
      </c>
      <c r="E6172" s="228"/>
      <c r="F6172" s="109" t="s">
        <v>17517</v>
      </c>
      <c r="G6172" s="24"/>
      <c r="H6172" s="230">
        <v>4.5</v>
      </c>
      <c r="I6172" s="220">
        <v>910000</v>
      </c>
      <c r="J6172" s="220">
        <f>I6172*0.1</f>
        <v>91000</v>
      </c>
      <c r="K6172" s="220">
        <v>0</v>
      </c>
      <c r="L6172" s="220">
        <v>10120</v>
      </c>
      <c r="M6172" s="220">
        <v>12100</v>
      </c>
      <c r="N6172" s="220">
        <f>SUM(I6172:M6173)</f>
        <v>1023220</v>
      </c>
      <c r="O6172" s="224"/>
      <c r="P6172" s="110" t="s">
        <v>17953</v>
      </c>
      <c r="Q6172" s="15" t="s">
        <v>19</v>
      </c>
      <c r="R6172" s="205"/>
      <c r="S6172" s="189" t="s">
        <v>25794</v>
      </c>
      <c r="T6172" s="114"/>
      <c r="U6172" s="21"/>
      <c r="V6172" s="115">
        <v>46078</v>
      </c>
      <c r="W6172" s="116">
        <v>1006</v>
      </c>
      <c r="X6172" s="220">
        <v>1000000</v>
      </c>
      <c r="Y6172" s="220">
        <f>X6172*0.1</f>
        <v>100000</v>
      </c>
      <c r="Z6172" s="220">
        <v>10120</v>
      </c>
      <c r="AA6172" s="220">
        <f>SUM(X6172:Z6172)</f>
        <v>1110120</v>
      </c>
      <c r="AB6172" s="222">
        <v>46083</v>
      </c>
    </row>
    <row r="6173" spans="1:28" ht="17.100000000000001" customHeight="1" thickBot="1">
      <c r="A6173" s="227"/>
      <c r="B6173" s="27" t="s">
        <v>2472</v>
      </c>
      <c r="C6173" s="27">
        <v>37220</v>
      </c>
      <c r="D6173" s="14" t="s">
        <v>17536</v>
      </c>
      <c r="E6173" s="229"/>
      <c r="F6173" s="117" t="s">
        <v>17518</v>
      </c>
      <c r="G6173" s="26">
        <v>58960</v>
      </c>
      <c r="H6173" s="231"/>
      <c r="I6173" s="221"/>
      <c r="J6173" s="221"/>
      <c r="K6173" s="221"/>
      <c r="L6173" s="221"/>
      <c r="M6173" s="221"/>
      <c r="N6173" s="221"/>
      <c r="O6173" s="225"/>
      <c r="P6173" s="118" t="s">
        <v>17954</v>
      </c>
      <c r="Q6173" s="16" t="s">
        <v>20</v>
      </c>
      <c r="R6173" s="17" t="s">
        <v>17949</v>
      </c>
      <c r="S6173" s="121" t="s">
        <v>17955</v>
      </c>
      <c r="T6173" s="122"/>
      <c r="U6173" s="22"/>
      <c r="V6173" s="123" t="s">
        <v>8648</v>
      </c>
      <c r="W6173" s="122">
        <v>6019</v>
      </c>
      <c r="X6173" s="221"/>
      <c r="Y6173" s="221"/>
      <c r="Z6173" s="221"/>
      <c r="AA6173" s="221"/>
      <c r="AB6173" s="223"/>
    </row>
    <row r="6174" spans="1:28" ht="17.100000000000001" customHeight="1" thickTop="1">
      <c r="A6174" s="226" t="s">
        <v>17501</v>
      </c>
      <c r="B6174" s="28">
        <v>46067</v>
      </c>
      <c r="C6174" s="25">
        <v>1288</v>
      </c>
      <c r="D6174" s="13" t="s">
        <v>4739</v>
      </c>
      <c r="E6174" s="228"/>
      <c r="F6174" s="109" t="s">
        <v>16774</v>
      </c>
      <c r="G6174" s="24" t="s">
        <v>12254</v>
      </c>
      <c r="H6174" s="230">
        <v>4.5</v>
      </c>
      <c r="I6174" s="220">
        <v>1185000</v>
      </c>
      <c r="J6174" s="220">
        <f>I6174*0.1</f>
        <v>118500</v>
      </c>
      <c r="K6174" s="220">
        <v>3520</v>
      </c>
      <c r="L6174" s="220">
        <v>12030</v>
      </c>
      <c r="M6174" s="220">
        <v>12100</v>
      </c>
      <c r="N6174" s="220">
        <f>SUM(I6174:M6175)</f>
        <v>1331150</v>
      </c>
      <c r="O6174" s="224"/>
      <c r="P6174" s="110" t="s">
        <v>17537</v>
      </c>
      <c r="Q6174" s="15" t="s">
        <v>19</v>
      </c>
      <c r="R6174" s="205"/>
      <c r="S6174" s="189" t="s">
        <v>25795</v>
      </c>
      <c r="T6174" s="114"/>
      <c r="U6174" s="21" t="s">
        <v>19499</v>
      </c>
      <c r="V6174" s="115">
        <v>46099</v>
      </c>
      <c r="W6174" s="116">
        <v>1009</v>
      </c>
      <c r="X6174" s="220">
        <v>1280000</v>
      </c>
      <c r="Y6174" s="220">
        <f>X6174*0.1</f>
        <v>128000</v>
      </c>
      <c r="Z6174" s="220">
        <v>12030</v>
      </c>
      <c r="AA6174" s="220">
        <f>SUM(X6174:Z6174)</f>
        <v>1420030</v>
      </c>
      <c r="AB6174" s="222">
        <v>46105</v>
      </c>
    </row>
    <row r="6175" spans="1:28" ht="17.100000000000001" customHeight="1" thickBot="1">
      <c r="A6175" s="227"/>
      <c r="B6175" s="27" t="s">
        <v>2472</v>
      </c>
      <c r="C6175" s="27">
        <v>37291</v>
      </c>
      <c r="D6175" s="14" t="s">
        <v>2559</v>
      </c>
      <c r="E6175" s="229"/>
      <c r="F6175" s="117" t="s">
        <v>17519</v>
      </c>
      <c r="G6175" s="26">
        <v>75161</v>
      </c>
      <c r="H6175" s="231"/>
      <c r="I6175" s="221"/>
      <c r="J6175" s="221"/>
      <c r="K6175" s="221"/>
      <c r="L6175" s="221"/>
      <c r="M6175" s="221"/>
      <c r="N6175" s="221"/>
      <c r="O6175" s="225"/>
      <c r="P6175" s="118" t="s">
        <v>17957</v>
      </c>
      <c r="Q6175" s="16" t="s">
        <v>20</v>
      </c>
      <c r="R6175" s="17" t="s">
        <v>17949</v>
      </c>
      <c r="S6175" s="121" t="s">
        <v>17958</v>
      </c>
      <c r="T6175" s="122"/>
      <c r="U6175" s="22"/>
      <c r="V6175" s="123" t="s">
        <v>8877</v>
      </c>
      <c r="W6175" s="122">
        <v>5077</v>
      </c>
      <c r="X6175" s="221"/>
      <c r="Y6175" s="221"/>
      <c r="Z6175" s="221"/>
      <c r="AA6175" s="221"/>
      <c r="AB6175" s="223"/>
    </row>
    <row r="6176" spans="1:28" ht="17.100000000000001" customHeight="1" thickTop="1">
      <c r="A6176" s="226" t="s">
        <v>17502</v>
      </c>
      <c r="B6176" s="28">
        <v>46067</v>
      </c>
      <c r="C6176" s="25">
        <v>1288</v>
      </c>
      <c r="D6176" s="13" t="s">
        <v>3327</v>
      </c>
      <c r="E6176" s="228"/>
      <c r="F6176" s="109" t="s">
        <v>14891</v>
      </c>
      <c r="G6176" s="24"/>
      <c r="H6176" s="230">
        <v>4.5</v>
      </c>
      <c r="I6176" s="220">
        <v>565000</v>
      </c>
      <c r="J6176" s="220">
        <f>I6176*0.1</f>
        <v>56500</v>
      </c>
      <c r="K6176" s="220">
        <v>0</v>
      </c>
      <c r="L6176" s="220">
        <v>7950</v>
      </c>
      <c r="M6176" s="220">
        <v>13200</v>
      </c>
      <c r="N6176" s="220">
        <f>SUM(I6176:M6177)</f>
        <v>642650</v>
      </c>
      <c r="O6176" s="224"/>
      <c r="P6176" s="110" t="s">
        <v>17962</v>
      </c>
      <c r="Q6176" s="15" t="s">
        <v>19</v>
      </c>
      <c r="R6176" s="205"/>
      <c r="S6176" s="189" t="s">
        <v>758</v>
      </c>
      <c r="T6176" s="114"/>
      <c r="U6176" s="21"/>
      <c r="V6176" s="115">
        <v>46088</v>
      </c>
      <c r="W6176" s="116">
        <v>1291</v>
      </c>
      <c r="X6176" s="220">
        <v>620000</v>
      </c>
      <c r="Y6176" s="220">
        <f>X6176*0.1</f>
        <v>62000</v>
      </c>
      <c r="Z6176" s="220">
        <v>7950</v>
      </c>
      <c r="AA6176" s="220">
        <f>SUM(X6176:Z6176)</f>
        <v>689950</v>
      </c>
      <c r="AB6176" s="222">
        <v>46091</v>
      </c>
    </row>
    <row r="6177" spans="1:28" ht="17.100000000000001" customHeight="1" thickBot="1">
      <c r="A6177" s="227"/>
      <c r="B6177" s="27" t="s">
        <v>2472</v>
      </c>
      <c r="C6177" s="27">
        <v>62028</v>
      </c>
      <c r="D6177" s="14" t="s">
        <v>2753</v>
      </c>
      <c r="E6177" s="229"/>
      <c r="F6177" s="117" t="s">
        <v>17520</v>
      </c>
      <c r="G6177" s="26">
        <v>68009</v>
      </c>
      <c r="H6177" s="231"/>
      <c r="I6177" s="221"/>
      <c r="J6177" s="221"/>
      <c r="K6177" s="221"/>
      <c r="L6177" s="221"/>
      <c r="M6177" s="221"/>
      <c r="N6177" s="221"/>
      <c r="O6177" s="225"/>
      <c r="P6177" s="118" t="s">
        <v>17963</v>
      </c>
      <c r="Q6177" s="16" t="s">
        <v>20</v>
      </c>
      <c r="R6177" s="17" t="s">
        <v>17949</v>
      </c>
      <c r="S6177" s="121" t="s">
        <v>6727</v>
      </c>
      <c r="T6177" s="122"/>
      <c r="U6177" s="22"/>
      <c r="V6177" s="123" t="s">
        <v>2472</v>
      </c>
      <c r="W6177" s="122">
        <v>60136</v>
      </c>
      <c r="X6177" s="221"/>
      <c r="Y6177" s="221"/>
      <c r="Z6177" s="221"/>
      <c r="AA6177" s="221"/>
      <c r="AB6177" s="223"/>
    </row>
    <row r="6178" spans="1:28" ht="17.100000000000001" customHeight="1" thickTop="1">
      <c r="A6178" s="226" t="s">
        <v>17503</v>
      </c>
      <c r="B6178" s="28">
        <v>46067</v>
      </c>
      <c r="C6178" s="25">
        <v>1288</v>
      </c>
      <c r="D6178" s="13" t="s">
        <v>2652</v>
      </c>
      <c r="E6178" s="228"/>
      <c r="F6178" s="109" t="s">
        <v>14900</v>
      </c>
      <c r="G6178" s="24"/>
      <c r="H6178" s="230">
        <v>5</v>
      </c>
      <c r="I6178" s="220">
        <v>1120000</v>
      </c>
      <c r="J6178" s="220">
        <f>I6178*0.1</f>
        <v>112000</v>
      </c>
      <c r="K6178" s="220">
        <v>0</v>
      </c>
      <c r="L6178" s="220">
        <v>8350</v>
      </c>
      <c r="M6178" s="220">
        <v>11000</v>
      </c>
      <c r="N6178" s="220">
        <f>SUM(I6178:M6179)</f>
        <v>1251350</v>
      </c>
      <c r="O6178" s="224"/>
      <c r="P6178" s="110" t="s">
        <v>17966</v>
      </c>
      <c r="Q6178" s="15" t="s">
        <v>19</v>
      </c>
      <c r="R6178" s="205"/>
      <c r="S6178" s="189" t="s">
        <v>1361</v>
      </c>
      <c r="T6178" s="114" t="s">
        <v>18486</v>
      </c>
      <c r="U6178" s="21"/>
      <c r="V6178" s="115">
        <v>46077</v>
      </c>
      <c r="W6178" s="116">
        <v>1930</v>
      </c>
      <c r="X6178" s="220">
        <v>1152000</v>
      </c>
      <c r="Y6178" s="220">
        <f>X6178*0.1</f>
        <v>115200</v>
      </c>
      <c r="Z6178" s="220">
        <v>8350</v>
      </c>
      <c r="AA6178" s="220">
        <f>SUM(X6178:Z6178)</f>
        <v>1275550</v>
      </c>
      <c r="AB6178" s="222"/>
    </row>
    <row r="6179" spans="1:28" ht="17.100000000000001" customHeight="1" thickBot="1">
      <c r="A6179" s="227"/>
      <c r="B6179" s="27" t="s">
        <v>2472</v>
      </c>
      <c r="C6179" s="27">
        <v>62049</v>
      </c>
      <c r="D6179" s="14" t="s">
        <v>1690</v>
      </c>
      <c r="E6179" s="229"/>
      <c r="F6179" s="117" t="s">
        <v>17521</v>
      </c>
      <c r="G6179" s="26">
        <v>4261</v>
      </c>
      <c r="H6179" s="231"/>
      <c r="I6179" s="221"/>
      <c r="J6179" s="221"/>
      <c r="K6179" s="221"/>
      <c r="L6179" s="221"/>
      <c r="M6179" s="221"/>
      <c r="N6179" s="221"/>
      <c r="O6179" s="225"/>
      <c r="P6179" s="118" t="s">
        <v>2404</v>
      </c>
      <c r="Q6179" s="16" t="s">
        <v>20</v>
      </c>
      <c r="R6179" s="17" t="s">
        <v>17949</v>
      </c>
      <c r="S6179" s="121" t="s">
        <v>18477</v>
      </c>
      <c r="T6179" s="122"/>
      <c r="U6179" s="22"/>
      <c r="V6179" s="123" t="s">
        <v>2103</v>
      </c>
      <c r="W6179" s="122">
        <v>3093</v>
      </c>
      <c r="X6179" s="221"/>
      <c r="Y6179" s="221"/>
      <c r="Z6179" s="221"/>
      <c r="AA6179" s="221"/>
      <c r="AB6179" s="223"/>
    </row>
    <row r="6180" spans="1:28" ht="17.100000000000001" customHeight="1" thickTop="1">
      <c r="A6180" s="226" t="s">
        <v>17504</v>
      </c>
      <c r="B6180" s="28">
        <v>46067</v>
      </c>
      <c r="C6180" s="25">
        <v>1288</v>
      </c>
      <c r="D6180" s="13" t="s">
        <v>3769</v>
      </c>
      <c r="E6180" s="228"/>
      <c r="F6180" s="109" t="s">
        <v>17522</v>
      </c>
      <c r="G6180" s="24" t="s">
        <v>3859</v>
      </c>
      <c r="H6180" s="230">
        <v>4</v>
      </c>
      <c r="I6180" s="220">
        <v>815000</v>
      </c>
      <c r="J6180" s="220">
        <f>I6180*0.1</f>
        <v>81500</v>
      </c>
      <c r="K6180" s="220">
        <v>0</v>
      </c>
      <c r="L6180" s="220">
        <v>6860</v>
      </c>
      <c r="M6180" s="220">
        <v>12100</v>
      </c>
      <c r="N6180" s="220">
        <f>SUM(I6180:M6181)</f>
        <v>915460</v>
      </c>
      <c r="O6180" s="224"/>
      <c r="P6180" s="110" t="s">
        <v>17538</v>
      </c>
      <c r="Q6180" s="15" t="s">
        <v>19</v>
      </c>
      <c r="R6180" s="205"/>
      <c r="S6180" s="189" t="s">
        <v>25760</v>
      </c>
      <c r="T6180" s="114"/>
      <c r="U6180" s="21"/>
      <c r="V6180" s="115">
        <v>46099</v>
      </c>
      <c r="W6180" s="116">
        <v>1009</v>
      </c>
      <c r="X6180" s="220">
        <v>895000</v>
      </c>
      <c r="Y6180" s="220">
        <f>X6180*0.1</f>
        <v>89500</v>
      </c>
      <c r="Z6180" s="220">
        <v>6860</v>
      </c>
      <c r="AA6180" s="220">
        <f>SUM(X6180:Z6180)</f>
        <v>991360</v>
      </c>
      <c r="AB6180" s="222">
        <v>46106</v>
      </c>
    </row>
    <row r="6181" spans="1:28" ht="17.100000000000001" customHeight="1" thickBot="1">
      <c r="A6181" s="227"/>
      <c r="B6181" s="27" t="s">
        <v>2472</v>
      </c>
      <c r="C6181" s="27">
        <v>65426</v>
      </c>
      <c r="D6181" s="14" t="s">
        <v>1710</v>
      </c>
      <c r="E6181" s="229"/>
      <c r="F6181" s="117" t="s">
        <v>17523</v>
      </c>
      <c r="G6181" s="26">
        <v>33264</v>
      </c>
      <c r="H6181" s="231"/>
      <c r="I6181" s="221"/>
      <c r="J6181" s="221"/>
      <c r="K6181" s="221"/>
      <c r="L6181" s="221"/>
      <c r="M6181" s="221"/>
      <c r="N6181" s="221"/>
      <c r="O6181" s="225"/>
      <c r="P6181" s="118" t="s">
        <v>17964</v>
      </c>
      <c r="Q6181" s="16" t="s">
        <v>20</v>
      </c>
      <c r="R6181" s="17" t="s">
        <v>17949</v>
      </c>
      <c r="S6181" s="121" t="s">
        <v>17965</v>
      </c>
      <c r="T6181" s="122"/>
      <c r="U6181" s="22"/>
      <c r="V6181" s="123" t="s">
        <v>20442</v>
      </c>
      <c r="W6181" s="122">
        <v>2025</v>
      </c>
      <c r="X6181" s="221"/>
      <c r="Y6181" s="221"/>
      <c r="Z6181" s="221"/>
      <c r="AA6181" s="221"/>
      <c r="AB6181" s="223"/>
    </row>
    <row r="6182" spans="1:28" ht="17.100000000000001" customHeight="1" thickTop="1">
      <c r="A6182" s="226" t="s">
        <v>17505</v>
      </c>
      <c r="B6182" s="28">
        <v>46067</v>
      </c>
      <c r="C6182" s="25">
        <v>1288</v>
      </c>
      <c r="D6182" s="13" t="s">
        <v>3327</v>
      </c>
      <c r="E6182" s="228"/>
      <c r="F6182" s="109" t="s">
        <v>15674</v>
      </c>
      <c r="G6182" s="24"/>
      <c r="H6182" s="230">
        <v>4</v>
      </c>
      <c r="I6182" s="220">
        <v>740000</v>
      </c>
      <c r="J6182" s="220">
        <f>I6182*0.1</f>
        <v>74000</v>
      </c>
      <c r="K6182" s="220">
        <v>0</v>
      </c>
      <c r="L6182" s="220">
        <v>9790</v>
      </c>
      <c r="M6182" s="220">
        <v>12100</v>
      </c>
      <c r="N6182" s="220">
        <f>SUM(I6182:M6183)</f>
        <v>835890</v>
      </c>
      <c r="O6182" s="224"/>
      <c r="P6182" s="110" t="s">
        <v>17961</v>
      </c>
      <c r="Q6182" s="15" t="s">
        <v>19</v>
      </c>
      <c r="R6182" s="205"/>
      <c r="S6182" s="189" t="s">
        <v>25794</v>
      </c>
      <c r="T6182" s="114"/>
      <c r="U6182" s="21"/>
      <c r="V6182" s="115">
        <v>46116</v>
      </c>
      <c r="W6182" s="116">
        <v>1295</v>
      </c>
      <c r="X6182" s="220">
        <v>760000</v>
      </c>
      <c r="Y6182" s="220">
        <f>X6182*0.1</f>
        <v>76000</v>
      </c>
      <c r="Z6182" s="220">
        <v>9790</v>
      </c>
      <c r="AA6182" s="220">
        <f>SUM(X6182:Z6182)</f>
        <v>845790</v>
      </c>
      <c r="AB6182" s="222">
        <v>46119</v>
      </c>
    </row>
    <row r="6183" spans="1:28" ht="17.100000000000001" customHeight="1" thickBot="1">
      <c r="A6183" s="227"/>
      <c r="B6183" s="27" t="s">
        <v>2472</v>
      </c>
      <c r="C6183" s="27">
        <v>65462</v>
      </c>
      <c r="D6183" s="14" t="s">
        <v>273</v>
      </c>
      <c r="E6183" s="229"/>
      <c r="F6183" s="117" t="s">
        <v>17524</v>
      </c>
      <c r="G6183" s="26">
        <v>60460</v>
      </c>
      <c r="H6183" s="231"/>
      <c r="I6183" s="221"/>
      <c r="J6183" s="221"/>
      <c r="K6183" s="221"/>
      <c r="L6183" s="221"/>
      <c r="M6183" s="221"/>
      <c r="N6183" s="221"/>
      <c r="O6183" s="225"/>
      <c r="P6183" s="118" t="s">
        <v>4550</v>
      </c>
      <c r="Q6183" s="16" t="s">
        <v>20</v>
      </c>
      <c r="R6183" s="17" t="s">
        <v>17949</v>
      </c>
      <c r="S6183" s="121" t="s">
        <v>6727</v>
      </c>
      <c r="T6183" s="122"/>
      <c r="U6183" s="22"/>
      <c r="V6183" s="123" t="s">
        <v>2472</v>
      </c>
      <c r="W6183" s="122">
        <v>60124</v>
      </c>
      <c r="X6183" s="221"/>
      <c r="Y6183" s="221"/>
      <c r="Z6183" s="221"/>
      <c r="AA6183" s="221"/>
      <c r="AB6183" s="223"/>
    </row>
    <row r="6184" spans="1:28" ht="17.100000000000001" customHeight="1" thickTop="1">
      <c r="A6184" s="226" t="s">
        <v>17506</v>
      </c>
      <c r="B6184" s="28">
        <v>46067</v>
      </c>
      <c r="C6184" s="25">
        <v>1288</v>
      </c>
      <c r="D6184" s="13" t="s">
        <v>1598</v>
      </c>
      <c r="E6184" s="228"/>
      <c r="F6184" s="109" t="s">
        <v>17525</v>
      </c>
      <c r="G6184" s="24"/>
      <c r="H6184" s="230">
        <v>4.5</v>
      </c>
      <c r="I6184" s="220">
        <v>490000</v>
      </c>
      <c r="J6184" s="220">
        <f>I6184*0.1</f>
        <v>49000</v>
      </c>
      <c r="K6184" s="220">
        <v>0</v>
      </c>
      <c r="L6184" s="220">
        <v>8400</v>
      </c>
      <c r="M6184" s="220">
        <v>12100</v>
      </c>
      <c r="N6184" s="220">
        <f>SUM(I6184:M6185)</f>
        <v>559500</v>
      </c>
      <c r="O6184" s="224"/>
      <c r="P6184" s="110" t="s">
        <v>17810</v>
      </c>
      <c r="Q6184" s="15" t="s">
        <v>19</v>
      </c>
      <c r="R6184" s="205"/>
      <c r="S6184" s="189" t="s">
        <v>25750</v>
      </c>
      <c r="T6184" s="114"/>
      <c r="U6184" s="21"/>
      <c r="V6184" s="115">
        <v>46071</v>
      </c>
      <c r="W6184" s="116">
        <v>1005</v>
      </c>
      <c r="X6184" s="220">
        <v>580000</v>
      </c>
      <c r="Y6184" s="220">
        <f>X6184*0.1</f>
        <v>58000</v>
      </c>
      <c r="Z6184" s="220">
        <v>8400</v>
      </c>
      <c r="AA6184" s="220">
        <f>SUM(X6184:Z6184)</f>
        <v>646400</v>
      </c>
      <c r="AB6184" s="222">
        <v>46073</v>
      </c>
    </row>
    <row r="6185" spans="1:28" ht="17.100000000000001" customHeight="1" thickBot="1">
      <c r="A6185" s="227"/>
      <c r="B6185" s="27" t="s">
        <v>2472</v>
      </c>
      <c r="C6185" s="27">
        <v>65526</v>
      </c>
      <c r="D6185" s="14" t="s">
        <v>1736</v>
      </c>
      <c r="E6185" s="229"/>
      <c r="F6185" s="117" t="s">
        <v>17526</v>
      </c>
      <c r="G6185" s="26">
        <v>60120</v>
      </c>
      <c r="H6185" s="231"/>
      <c r="I6185" s="221"/>
      <c r="J6185" s="221"/>
      <c r="K6185" s="221"/>
      <c r="L6185" s="221"/>
      <c r="M6185" s="221"/>
      <c r="N6185" s="221"/>
      <c r="O6185" s="225"/>
      <c r="P6185" s="118" t="s">
        <v>5163</v>
      </c>
      <c r="Q6185" s="16" t="s">
        <v>20</v>
      </c>
      <c r="R6185" s="17" t="s">
        <v>3913</v>
      </c>
      <c r="S6185" s="121" t="s">
        <v>17811</v>
      </c>
      <c r="T6185" s="122"/>
      <c r="U6185" s="22"/>
      <c r="V6185" s="123" t="s">
        <v>2747</v>
      </c>
      <c r="W6185" s="122">
        <v>2088</v>
      </c>
      <c r="X6185" s="221"/>
      <c r="Y6185" s="221"/>
      <c r="Z6185" s="221"/>
      <c r="AA6185" s="221"/>
      <c r="AB6185" s="223"/>
    </row>
    <row r="6186" spans="1:28" ht="17.100000000000001" customHeight="1" thickTop="1">
      <c r="A6186" s="226" t="s">
        <v>17507</v>
      </c>
      <c r="B6186" s="28">
        <v>46067</v>
      </c>
      <c r="C6186" s="25">
        <v>1288</v>
      </c>
      <c r="D6186" s="13" t="s">
        <v>1976</v>
      </c>
      <c r="E6186" s="228"/>
      <c r="F6186" s="109" t="s">
        <v>17539</v>
      </c>
      <c r="G6186" s="24"/>
      <c r="H6186" s="230">
        <v>4.5</v>
      </c>
      <c r="I6186" s="220">
        <v>2115000</v>
      </c>
      <c r="J6186" s="220">
        <f>I6186*0.1</f>
        <v>211500</v>
      </c>
      <c r="K6186" s="220">
        <v>0</v>
      </c>
      <c r="L6186" s="220">
        <v>17600</v>
      </c>
      <c r="M6186" s="220">
        <v>16500</v>
      </c>
      <c r="N6186" s="220">
        <f>SUM(I6186:M6187)</f>
        <v>2360600</v>
      </c>
      <c r="O6186" s="224"/>
      <c r="P6186" s="110" t="s">
        <v>17950</v>
      </c>
      <c r="Q6186" s="15" t="s">
        <v>19</v>
      </c>
      <c r="R6186" s="205"/>
      <c r="S6186" s="189" t="s">
        <v>455</v>
      </c>
      <c r="T6186" s="114"/>
      <c r="U6186" s="21"/>
      <c r="V6186" s="115">
        <v>46088</v>
      </c>
      <c r="W6186" s="116">
        <v>1291</v>
      </c>
      <c r="X6186" s="220">
        <v>2295000</v>
      </c>
      <c r="Y6186" s="220">
        <f>X6186*0.1</f>
        <v>229500</v>
      </c>
      <c r="Z6186" s="220">
        <v>17600</v>
      </c>
      <c r="AA6186" s="220">
        <f>SUM(X6186:Z6186)</f>
        <v>2542100</v>
      </c>
      <c r="AB6186" s="222">
        <v>46091</v>
      </c>
    </row>
    <row r="6187" spans="1:28" ht="17.100000000000001" customHeight="1" thickBot="1">
      <c r="A6187" s="227"/>
      <c r="B6187" s="27" t="s">
        <v>2472</v>
      </c>
      <c r="C6187" s="27">
        <v>72003</v>
      </c>
      <c r="D6187" s="14" t="s">
        <v>1670</v>
      </c>
      <c r="E6187" s="229"/>
      <c r="F6187" s="117" t="s">
        <v>17540</v>
      </c>
      <c r="G6187" s="26">
        <v>29023</v>
      </c>
      <c r="H6187" s="231"/>
      <c r="I6187" s="221"/>
      <c r="J6187" s="221"/>
      <c r="K6187" s="221"/>
      <c r="L6187" s="221"/>
      <c r="M6187" s="221"/>
      <c r="N6187" s="221"/>
      <c r="O6187" s="225"/>
      <c r="P6187" s="118" t="s">
        <v>17951</v>
      </c>
      <c r="Q6187" s="16" t="s">
        <v>20</v>
      </c>
      <c r="R6187" s="17" t="s">
        <v>17949</v>
      </c>
      <c r="S6187" s="121" t="s">
        <v>1606</v>
      </c>
      <c r="T6187" s="122"/>
      <c r="U6187" s="22"/>
      <c r="V6187" s="123" t="s">
        <v>2472</v>
      </c>
      <c r="W6187" s="122">
        <v>80378</v>
      </c>
      <c r="X6187" s="221"/>
      <c r="Y6187" s="221"/>
      <c r="Z6187" s="221"/>
      <c r="AA6187" s="221"/>
      <c r="AB6187" s="223"/>
    </row>
    <row r="6188" spans="1:28" ht="17.100000000000001" customHeight="1" thickTop="1">
      <c r="A6188" s="226" t="s">
        <v>17508</v>
      </c>
      <c r="B6188" s="28">
        <v>46067</v>
      </c>
      <c r="C6188" s="25">
        <v>1288</v>
      </c>
      <c r="D6188" s="13" t="s">
        <v>1542</v>
      </c>
      <c r="E6188" s="228"/>
      <c r="F6188" s="109" t="s">
        <v>419</v>
      </c>
      <c r="G6188" s="24" t="s">
        <v>17542</v>
      </c>
      <c r="H6188" s="230">
        <v>4</v>
      </c>
      <c r="I6188" s="220">
        <v>400000</v>
      </c>
      <c r="J6188" s="220">
        <f>I6188*0.1</f>
        <v>40000</v>
      </c>
      <c r="K6188" s="220">
        <v>3520</v>
      </c>
      <c r="L6188" s="220">
        <v>17700</v>
      </c>
      <c r="M6188" s="220">
        <v>23100</v>
      </c>
      <c r="N6188" s="220">
        <f>SUM(I6188:M6189)</f>
        <v>484320</v>
      </c>
      <c r="O6188" s="224"/>
      <c r="P6188" s="110" t="s">
        <v>17543</v>
      </c>
      <c r="Q6188" s="15" t="s">
        <v>19</v>
      </c>
      <c r="R6188" s="205"/>
      <c r="S6188" s="189" t="s">
        <v>758</v>
      </c>
      <c r="T6188" s="114"/>
      <c r="U6188" s="21"/>
      <c r="V6188" s="115">
        <v>46109</v>
      </c>
      <c r="W6188" s="116">
        <v>1294</v>
      </c>
      <c r="X6188" s="220">
        <v>490000</v>
      </c>
      <c r="Y6188" s="220">
        <f>X6188*0.1</f>
        <v>49000</v>
      </c>
      <c r="Z6188" s="220">
        <v>17700</v>
      </c>
      <c r="AA6188" s="220">
        <f>SUM(X6188:Z6188)</f>
        <v>556700</v>
      </c>
      <c r="AB6188" s="222">
        <v>46118</v>
      </c>
    </row>
    <row r="6189" spans="1:28" ht="17.100000000000001" customHeight="1" thickBot="1">
      <c r="A6189" s="227"/>
      <c r="B6189" s="27" t="s">
        <v>2472</v>
      </c>
      <c r="C6189" s="27">
        <v>82401</v>
      </c>
      <c r="D6189" s="14" t="s">
        <v>898</v>
      </c>
      <c r="E6189" s="229"/>
      <c r="F6189" s="117" t="s">
        <v>17541</v>
      </c>
      <c r="G6189" s="26">
        <v>47499</v>
      </c>
      <c r="H6189" s="231"/>
      <c r="I6189" s="221"/>
      <c r="J6189" s="221"/>
      <c r="K6189" s="221"/>
      <c r="L6189" s="221"/>
      <c r="M6189" s="221"/>
      <c r="N6189" s="221"/>
      <c r="O6189" s="225"/>
      <c r="P6189" s="118" t="s">
        <v>17952</v>
      </c>
      <c r="Q6189" s="16" t="s">
        <v>20</v>
      </c>
      <c r="R6189" s="17" t="s">
        <v>17949</v>
      </c>
      <c r="S6189" s="121" t="s">
        <v>169</v>
      </c>
      <c r="T6189" s="122"/>
      <c r="U6189" s="22"/>
      <c r="V6189" s="123" t="s">
        <v>6641</v>
      </c>
      <c r="W6189" s="122">
        <v>80259</v>
      </c>
      <c r="X6189" s="221"/>
      <c r="Y6189" s="221"/>
      <c r="Z6189" s="221"/>
      <c r="AA6189" s="221"/>
      <c r="AB6189" s="223"/>
    </row>
    <row r="6190" spans="1:28" ht="17.100000000000001" customHeight="1" thickTop="1">
      <c r="A6190" s="226" t="s">
        <v>17509</v>
      </c>
      <c r="B6190" s="28">
        <v>46067</v>
      </c>
      <c r="C6190" s="25">
        <v>1288</v>
      </c>
      <c r="D6190" s="13" t="s">
        <v>2073</v>
      </c>
      <c r="E6190" s="228"/>
      <c r="F6190" s="109" t="s">
        <v>16780</v>
      </c>
      <c r="G6190" s="24" t="s">
        <v>4940</v>
      </c>
      <c r="H6190" s="230">
        <v>4.5</v>
      </c>
      <c r="I6190" s="220">
        <v>1450000</v>
      </c>
      <c r="J6190" s="220">
        <f>I6190*0.1</f>
        <v>145000</v>
      </c>
      <c r="K6190" s="220">
        <v>3520</v>
      </c>
      <c r="L6190" s="220">
        <v>17800</v>
      </c>
      <c r="M6190" s="220">
        <v>23100</v>
      </c>
      <c r="N6190" s="220">
        <f>SUM(I6190:M6191)</f>
        <v>1639420</v>
      </c>
      <c r="O6190" s="224"/>
      <c r="P6190" s="110" t="s">
        <v>17545</v>
      </c>
      <c r="Q6190" s="15" t="s">
        <v>19</v>
      </c>
      <c r="R6190" s="205"/>
      <c r="S6190" s="189" t="s">
        <v>1406</v>
      </c>
      <c r="T6190" s="114"/>
      <c r="U6190" s="21"/>
      <c r="V6190" s="115">
        <v>46074</v>
      </c>
      <c r="W6190" s="116">
        <v>1289</v>
      </c>
      <c r="X6190" s="220">
        <v>1600000</v>
      </c>
      <c r="Y6190" s="220">
        <f>X6190*0.1</f>
        <v>160000</v>
      </c>
      <c r="Z6190" s="220">
        <v>17800</v>
      </c>
      <c r="AA6190" s="220">
        <f>SUM(X6190:Z6190)</f>
        <v>1777800</v>
      </c>
      <c r="AB6190" s="222">
        <v>46077</v>
      </c>
    </row>
    <row r="6191" spans="1:28" ht="17.100000000000001" customHeight="1" thickBot="1">
      <c r="A6191" s="227"/>
      <c r="B6191" s="27" t="s">
        <v>2472</v>
      </c>
      <c r="C6191" s="27">
        <v>82455</v>
      </c>
      <c r="D6191" s="14" t="s">
        <v>16483</v>
      </c>
      <c r="E6191" s="229"/>
      <c r="F6191" s="117" t="s">
        <v>17544</v>
      </c>
      <c r="G6191" s="26">
        <v>49700</v>
      </c>
      <c r="H6191" s="231"/>
      <c r="I6191" s="221"/>
      <c r="J6191" s="221"/>
      <c r="K6191" s="221"/>
      <c r="L6191" s="221"/>
      <c r="M6191" s="221"/>
      <c r="N6191" s="221"/>
      <c r="O6191" s="225"/>
      <c r="P6191" s="118" t="s">
        <v>2870</v>
      </c>
      <c r="Q6191" s="16" t="s">
        <v>20</v>
      </c>
      <c r="R6191" s="17" t="s">
        <v>17949</v>
      </c>
      <c r="S6191" s="121" t="s">
        <v>1731</v>
      </c>
      <c r="T6191" s="122"/>
      <c r="U6191" s="22"/>
      <c r="V6191" s="123" t="s">
        <v>2472</v>
      </c>
      <c r="W6191" s="122">
        <v>80022</v>
      </c>
      <c r="X6191" s="221"/>
      <c r="Y6191" s="221"/>
      <c r="Z6191" s="221"/>
      <c r="AA6191" s="221"/>
      <c r="AB6191" s="223"/>
    </row>
    <row r="6192" spans="1:28" ht="17.100000000000001" customHeight="1" thickTop="1">
      <c r="A6192" s="226" t="s">
        <v>17510</v>
      </c>
      <c r="B6192" s="28">
        <v>46067</v>
      </c>
      <c r="C6192" s="25">
        <v>1288</v>
      </c>
      <c r="D6192" s="13" t="s">
        <v>2610</v>
      </c>
      <c r="E6192" s="228"/>
      <c r="F6192" s="109" t="s">
        <v>15707</v>
      </c>
      <c r="G6192" s="24" t="s">
        <v>14531</v>
      </c>
      <c r="H6192" s="230">
        <v>4.5</v>
      </c>
      <c r="I6192" s="220">
        <v>1625000</v>
      </c>
      <c r="J6192" s="220">
        <f>I6192*0.1</f>
        <v>162500</v>
      </c>
      <c r="K6192" s="220">
        <v>3300</v>
      </c>
      <c r="L6192" s="220">
        <v>16240</v>
      </c>
      <c r="M6192" s="220">
        <v>16500</v>
      </c>
      <c r="N6192" s="220">
        <f>SUM(I6192:M6193)</f>
        <v>1823540</v>
      </c>
      <c r="O6192" s="224"/>
      <c r="P6192" s="110" t="s">
        <v>17547</v>
      </c>
      <c r="Q6192" s="15" t="s">
        <v>19</v>
      </c>
      <c r="R6192" s="205"/>
      <c r="S6192" s="189"/>
      <c r="T6192" s="114"/>
      <c r="U6192" s="21"/>
      <c r="V6192" s="115">
        <v>46086</v>
      </c>
      <c r="W6192" s="116">
        <v>1321</v>
      </c>
      <c r="X6192" s="220">
        <v>1980000</v>
      </c>
      <c r="Y6192" s="220">
        <f>X6192*0.1</f>
        <v>198000</v>
      </c>
      <c r="Z6192" s="220">
        <v>16240</v>
      </c>
      <c r="AA6192" s="220">
        <f>SUM(X6192:Z6192)</f>
        <v>2194240</v>
      </c>
      <c r="AB6192" s="222">
        <v>46087</v>
      </c>
    </row>
    <row r="6193" spans="1:28" ht="17.100000000000001" customHeight="1" thickBot="1">
      <c r="A6193" s="227"/>
      <c r="B6193" s="27" t="s">
        <v>2472</v>
      </c>
      <c r="C6193" s="27">
        <v>82551</v>
      </c>
      <c r="D6193" s="14" t="s">
        <v>273</v>
      </c>
      <c r="E6193" s="229"/>
      <c r="F6193" s="117" t="s">
        <v>17546</v>
      </c>
      <c r="G6193" s="26">
        <v>58230</v>
      </c>
      <c r="H6193" s="231"/>
      <c r="I6193" s="221"/>
      <c r="J6193" s="221"/>
      <c r="K6193" s="221"/>
      <c r="L6193" s="221"/>
      <c r="M6193" s="221"/>
      <c r="N6193" s="221"/>
      <c r="O6193" s="225"/>
      <c r="P6193" s="118" t="s">
        <v>1586</v>
      </c>
      <c r="Q6193" s="16" t="s">
        <v>20</v>
      </c>
      <c r="R6193" s="17" t="s">
        <v>17949</v>
      </c>
      <c r="S6193" s="121" t="s">
        <v>1661</v>
      </c>
      <c r="T6193" s="122"/>
      <c r="U6193" s="22"/>
      <c r="V6193" s="123" t="s">
        <v>18928</v>
      </c>
      <c r="W6193" s="122">
        <v>14</v>
      </c>
      <c r="X6193" s="221"/>
      <c r="Y6193" s="221"/>
      <c r="Z6193" s="221"/>
      <c r="AA6193" s="221"/>
      <c r="AB6193" s="223"/>
    </row>
    <row r="6194" spans="1:28" ht="17.100000000000001" customHeight="1" thickTop="1">
      <c r="A6194" s="226" t="s">
        <v>17668</v>
      </c>
      <c r="B6194" s="28">
        <v>46069</v>
      </c>
      <c r="C6194" s="25">
        <v>2081</v>
      </c>
      <c r="D6194" s="13" t="s">
        <v>2573</v>
      </c>
      <c r="E6194" s="228"/>
      <c r="F6194" s="109" t="s">
        <v>17584</v>
      </c>
      <c r="G6194" s="24" t="s">
        <v>1540</v>
      </c>
      <c r="H6194" s="230">
        <v>4.5</v>
      </c>
      <c r="I6194" s="220">
        <v>1605000</v>
      </c>
      <c r="J6194" s="220">
        <f>I6194*0.1</f>
        <v>160500</v>
      </c>
      <c r="K6194" s="220">
        <f>2500+250</f>
        <v>2750</v>
      </c>
      <c r="L6194" s="220">
        <v>15160</v>
      </c>
      <c r="M6194" s="220">
        <v>11000</v>
      </c>
      <c r="N6194" s="220">
        <f>SUM(I6194:M6195)</f>
        <v>1794410</v>
      </c>
      <c r="O6194" s="224"/>
      <c r="P6194" s="110" t="s">
        <v>17586</v>
      </c>
      <c r="Q6194" s="15" t="s">
        <v>19</v>
      </c>
      <c r="R6194" s="205"/>
      <c r="S6194" s="189" t="s">
        <v>25796</v>
      </c>
      <c r="T6194" s="114"/>
      <c r="U6194" s="21"/>
      <c r="V6194" s="115">
        <v>46074</v>
      </c>
      <c r="W6194" s="116">
        <v>1289</v>
      </c>
      <c r="X6194" s="220">
        <v>1695000</v>
      </c>
      <c r="Y6194" s="220">
        <f>X6194*0.1</f>
        <v>169500</v>
      </c>
      <c r="Z6194" s="220">
        <v>15160</v>
      </c>
      <c r="AA6194" s="220">
        <f>SUM(X6194:Z6194)</f>
        <v>1879660</v>
      </c>
      <c r="AB6194" s="222">
        <v>46077</v>
      </c>
    </row>
    <row r="6195" spans="1:28" ht="17.100000000000001" customHeight="1" thickBot="1">
      <c r="A6195" s="227"/>
      <c r="B6195" s="27" t="s">
        <v>82</v>
      </c>
      <c r="C6195" s="27">
        <v>36005</v>
      </c>
      <c r="D6195" s="14" t="s">
        <v>2559</v>
      </c>
      <c r="E6195" s="229"/>
      <c r="F6195" s="117" t="s">
        <v>17585</v>
      </c>
      <c r="G6195" s="26">
        <v>51578</v>
      </c>
      <c r="H6195" s="231"/>
      <c r="I6195" s="221"/>
      <c r="J6195" s="221"/>
      <c r="K6195" s="221"/>
      <c r="L6195" s="221"/>
      <c r="M6195" s="221"/>
      <c r="N6195" s="221"/>
      <c r="O6195" s="225"/>
      <c r="P6195" s="118" t="s">
        <v>13040</v>
      </c>
      <c r="Q6195" s="16" t="s">
        <v>20</v>
      </c>
      <c r="R6195" s="17" t="s">
        <v>17799</v>
      </c>
      <c r="S6195" s="121" t="s">
        <v>17804</v>
      </c>
      <c r="T6195" s="122"/>
      <c r="U6195" s="22"/>
      <c r="V6195" s="123" t="s">
        <v>2472</v>
      </c>
      <c r="W6195" s="122">
        <v>80099</v>
      </c>
      <c r="X6195" s="221"/>
      <c r="Y6195" s="221"/>
      <c r="Z6195" s="221"/>
      <c r="AA6195" s="221"/>
      <c r="AB6195" s="223"/>
    </row>
    <row r="6196" spans="1:28" ht="17.100000000000001" customHeight="1" thickTop="1">
      <c r="A6196" s="226" t="s">
        <v>17669</v>
      </c>
      <c r="B6196" s="28">
        <v>46069</v>
      </c>
      <c r="C6196" s="25"/>
      <c r="D6196" s="13" t="s">
        <v>2766</v>
      </c>
      <c r="E6196" s="228"/>
      <c r="F6196" s="109" t="s">
        <v>17587</v>
      </c>
      <c r="G6196" s="24" t="s">
        <v>3867</v>
      </c>
      <c r="H6196" s="230">
        <v>4</v>
      </c>
      <c r="I6196" s="220">
        <v>1141000</v>
      </c>
      <c r="J6196" s="220">
        <f>I6196*0.1</f>
        <v>114100</v>
      </c>
      <c r="K6196" s="220">
        <f>3200+320</f>
        <v>3520</v>
      </c>
      <c r="L6196" s="220">
        <v>20950</v>
      </c>
      <c r="M6196" s="220">
        <v>14850</v>
      </c>
      <c r="N6196" s="220">
        <f>SUM(I6196:M6197)</f>
        <v>1294420</v>
      </c>
      <c r="O6196" s="224"/>
      <c r="P6196" s="110" t="s">
        <v>17589</v>
      </c>
      <c r="Q6196" s="15" t="s">
        <v>19</v>
      </c>
      <c r="R6196" s="205"/>
      <c r="S6196" s="189" t="s">
        <v>758</v>
      </c>
      <c r="T6196" s="114"/>
      <c r="U6196" s="21" t="s">
        <v>19381</v>
      </c>
      <c r="V6196" s="115">
        <v>46116</v>
      </c>
      <c r="W6196" s="116">
        <v>1295</v>
      </c>
      <c r="X6196" s="220">
        <v>1260000</v>
      </c>
      <c r="Y6196" s="220">
        <f>X6196*0.1</f>
        <v>126000</v>
      </c>
      <c r="Z6196" s="220">
        <v>20950</v>
      </c>
      <c r="AA6196" s="220">
        <f>SUM(X6196:Z6196)</f>
        <v>1406950</v>
      </c>
      <c r="AB6196" s="222">
        <v>46119</v>
      </c>
    </row>
    <row r="6197" spans="1:28" ht="17.100000000000001" customHeight="1" thickBot="1">
      <c r="A6197" s="227"/>
      <c r="B6197" s="27" t="s">
        <v>9764</v>
      </c>
      <c r="C6197" s="27">
        <v>10018</v>
      </c>
      <c r="D6197" s="14" t="s">
        <v>1797</v>
      </c>
      <c r="E6197" s="229"/>
      <c r="F6197" s="117" t="s">
        <v>17588</v>
      </c>
      <c r="G6197" s="26">
        <v>45664</v>
      </c>
      <c r="H6197" s="231"/>
      <c r="I6197" s="221"/>
      <c r="J6197" s="221"/>
      <c r="K6197" s="221"/>
      <c r="L6197" s="221"/>
      <c r="M6197" s="221"/>
      <c r="N6197" s="221"/>
      <c r="O6197" s="225"/>
      <c r="P6197" s="118" t="s">
        <v>4030</v>
      </c>
      <c r="Q6197" s="16" t="s">
        <v>20</v>
      </c>
      <c r="R6197" s="17" t="s">
        <v>17871</v>
      </c>
      <c r="S6197" s="121" t="s">
        <v>5180</v>
      </c>
      <c r="T6197" s="122"/>
      <c r="U6197" s="22"/>
      <c r="V6197" s="123" t="s">
        <v>2472</v>
      </c>
      <c r="W6197" s="122">
        <v>80098</v>
      </c>
      <c r="X6197" s="221"/>
      <c r="Y6197" s="221"/>
      <c r="Z6197" s="221"/>
      <c r="AA6197" s="221"/>
      <c r="AB6197" s="223"/>
    </row>
    <row r="6198" spans="1:28" ht="17.100000000000001" customHeight="1" thickTop="1">
      <c r="A6198" s="226" t="s">
        <v>17670</v>
      </c>
      <c r="B6198" s="28">
        <v>46069</v>
      </c>
      <c r="C6198" s="25"/>
      <c r="D6198" s="13" t="s">
        <v>1837</v>
      </c>
      <c r="E6198" s="228"/>
      <c r="F6198" s="109" t="s">
        <v>17590</v>
      </c>
      <c r="G6198" s="24"/>
      <c r="H6198" s="230">
        <v>5</v>
      </c>
      <c r="I6198" s="220">
        <v>1577000</v>
      </c>
      <c r="J6198" s="220">
        <f>I6198*0.1</f>
        <v>157700</v>
      </c>
      <c r="K6198" s="220">
        <v>0</v>
      </c>
      <c r="L6198" s="220">
        <v>15250</v>
      </c>
      <c r="M6198" s="220">
        <v>14850</v>
      </c>
      <c r="N6198" s="220">
        <f>SUM(I6198:M6199)</f>
        <v>1764800</v>
      </c>
      <c r="O6198" s="224"/>
      <c r="P6198" s="110" t="s">
        <v>17882</v>
      </c>
      <c r="Q6198" s="15" t="s">
        <v>19</v>
      </c>
      <c r="R6198" s="205"/>
      <c r="S6198" s="189" t="s">
        <v>758</v>
      </c>
      <c r="T6198" s="114"/>
      <c r="U6198" s="21"/>
      <c r="V6198" s="115">
        <v>46088</v>
      </c>
      <c r="W6198" s="116">
        <v>1291</v>
      </c>
      <c r="X6198" s="220">
        <v>1615000</v>
      </c>
      <c r="Y6198" s="220">
        <f>X6198*0.1</f>
        <v>161500</v>
      </c>
      <c r="Z6198" s="220">
        <v>15250</v>
      </c>
      <c r="AA6198" s="220">
        <f>SUM(X6198:Z6198)</f>
        <v>1791750</v>
      </c>
      <c r="AB6198" s="222">
        <v>46091</v>
      </c>
    </row>
    <row r="6199" spans="1:28" ht="17.100000000000001" customHeight="1" thickBot="1">
      <c r="A6199" s="227"/>
      <c r="B6199" s="27" t="s">
        <v>9764</v>
      </c>
      <c r="C6199" s="27">
        <v>10019</v>
      </c>
      <c r="D6199" s="14" t="s">
        <v>898</v>
      </c>
      <c r="E6199" s="229"/>
      <c r="F6199" s="117" t="s">
        <v>17591</v>
      </c>
      <c r="G6199" s="26">
        <v>21187</v>
      </c>
      <c r="H6199" s="231"/>
      <c r="I6199" s="221"/>
      <c r="J6199" s="221"/>
      <c r="K6199" s="221"/>
      <c r="L6199" s="221"/>
      <c r="M6199" s="221"/>
      <c r="N6199" s="221"/>
      <c r="O6199" s="225"/>
      <c r="P6199" s="118" t="s">
        <v>4030</v>
      </c>
      <c r="Q6199" s="16" t="s">
        <v>20</v>
      </c>
      <c r="R6199" s="17" t="s">
        <v>17871</v>
      </c>
      <c r="S6199" s="121" t="s">
        <v>5180</v>
      </c>
      <c r="T6199" s="122"/>
      <c r="U6199" s="22"/>
      <c r="V6199" s="123" t="s">
        <v>2472</v>
      </c>
      <c r="W6199" s="122">
        <v>80181</v>
      </c>
      <c r="X6199" s="221"/>
      <c r="Y6199" s="221"/>
      <c r="Z6199" s="221"/>
      <c r="AA6199" s="221"/>
      <c r="AB6199" s="223"/>
    </row>
    <row r="6200" spans="1:28" ht="17.100000000000001" customHeight="1" thickTop="1">
      <c r="A6200" s="226" t="s">
        <v>17671</v>
      </c>
      <c r="B6200" s="28">
        <v>46069</v>
      </c>
      <c r="C6200" s="25"/>
      <c r="D6200" s="13" t="s">
        <v>2900</v>
      </c>
      <c r="E6200" s="228"/>
      <c r="F6200" s="109" t="s">
        <v>17592</v>
      </c>
      <c r="G6200" s="24" t="s">
        <v>2871</v>
      </c>
      <c r="H6200" s="230">
        <v>4.5</v>
      </c>
      <c r="I6200" s="220">
        <v>1582000</v>
      </c>
      <c r="J6200" s="220">
        <f>I6200*0.1</f>
        <v>158200</v>
      </c>
      <c r="K6200" s="220">
        <v>3300</v>
      </c>
      <c r="L6200" s="220">
        <v>20630</v>
      </c>
      <c r="M6200" s="220">
        <v>14850</v>
      </c>
      <c r="N6200" s="220">
        <f>SUM(I6200:M6201)</f>
        <v>1778980</v>
      </c>
      <c r="O6200" s="224"/>
      <c r="P6200" s="110" t="s">
        <v>17594</v>
      </c>
      <c r="Q6200" s="15" t="s">
        <v>19</v>
      </c>
      <c r="R6200" s="205"/>
      <c r="S6200" s="189" t="s">
        <v>25797</v>
      </c>
      <c r="T6200" s="114"/>
      <c r="U6200" s="21"/>
      <c r="V6200" s="115">
        <v>46095</v>
      </c>
      <c r="W6200" s="116">
        <v>1292</v>
      </c>
      <c r="X6200" s="220">
        <v>1700000</v>
      </c>
      <c r="Y6200" s="220">
        <f>X6200*0.1</f>
        <v>170000</v>
      </c>
      <c r="Z6200" s="220">
        <v>20630</v>
      </c>
      <c r="AA6200" s="220">
        <f>SUM(X6200:Z6200)</f>
        <v>1890630</v>
      </c>
      <c r="AB6200" s="222">
        <v>46098</v>
      </c>
    </row>
    <row r="6201" spans="1:28" ht="17.100000000000001" customHeight="1" thickBot="1">
      <c r="A6201" s="227"/>
      <c r="B6201" s="27" t="s">
        <v>8691</v>
      </c>
      <c r="C6201" s="27">
        <v>60069</v>
      </c>
      <c r="D6201" s="14" t="s">
        <v>131</v>
      </c>
      <c r="E6201" s="229"/>
      <c r="F6201" s="117" t="s">
        <v>17593</v>
      </c>
      <c r="G6201" s="26">
        <v>67451</v>
      </c>
      <c r="H6201" s="231"/>
      <c r="I6201" s="221"/>
      <c r="J6201" s="221"/>
      <c r="K6201" s="221"/>
      <c r="L6201" s="221"/>
      <c r="M6201" s="221"/>
      <c r="N6201" s="221"/>
      <c r="O6201" s="225"/>
      <c r="P6201" s="118" t="s">
        <v>18163</v>
      </c>
      <c r="Q6201" s="16" t="s">
        <v>20</v>
      </c>
      <c r="R6201" s="17" t="s">
        <v>1876</v>
      </c>
      <c r="S6201" s="121" t="s">
        <v>2405</v>
      </c>
      <c r="T6201" s="122"/>
      <c r="U6201" s="22"/>
      <c r="V6201" s="123" t="s">
        <v>2472</v>
      </c>
      <c r="W6201" s="122">
        <v>80024</v>
      </c>
      <c r="X6201" s="221"/>
      <c r="Y6201" s="221"/>
      <c r="Z6201" s="221"/>
      <c r="AA6201" s="221"/>
      <c r="AB6201" s="223"/>
    </row>
    <row r="6202" spans="1:28" ht="17.100000000000001" customHeight="1" thickTop="1">
      <c r="A6202" s="226" t="s">
        <v>17672</v>
      </c>
      <c r="B6202" s="28">
        <v>46069</v>
      </c>
      <c r="C6202" s="25"/>
      <c r="D6202" s="13" t="s">
        <v>1678</v>
      </c>
      <c r="E6202" s="228"/>
      <c r="F6202" s="109" t="s">
        <v>17595</v>
      </c>
      <c r="G6202" s="24"/>
      <c r="H6202" s="230">
        <v>4.5</v>
      </c>
      <c r="I6202" s="220">
        <v>2687000</v>
      </c>
      <c r="J6202" s="220">
        <f>I6202*0.1</f>
        <v>268700</v>
      </c>
      <c r="K6202" s="220">
        <v>0</v>
      </c>
      <c r="L6202" s="220">
        <v>19530</v>
      </c>
      <c r="M6202" s="220">
        <v>14850</v>
      </c>
      <c r="N6202" s="220">
        <f>SUM(I6202:M6203)</f>
        <v>2990080</v>
      </c>
      <c r="O6202" s="224"/>
      <c r="P6202" s="110" t="s">
        <v>18161</v>
      </c>
      <c r="Q6202" s="15" t="s">
        <v>19</v>
      </c>
      <c r="R6202" s="205"/>
      <c r="S6202" s="189" t="s">
        <v>25797</v>
      </c>
      <c r="T6202" s="114"/>
      <c r="U6202" s="21"/>
      <c r="V6202" s="115">
        <v>46074</v>
      </c>
      <c r="W6202" s="116">
        <v>1289</v>
      </c>
      <c r="X6202" s="220">
        <v>2860000</v>
      </c>
      <c r="Y6202" s="220">
        <f>X6202*0.1</f>
        <v>286000</v>
      </c>
      <c r="Z6202" s="220">
        <v>19530</v>
      </c>
      <c r="AA6202" s="220">
        <f>SUM(X6202:Z6202)</f>
        <v>3165530</v>
      </c>
      <c r="AB6202" s="222">
        <v>46084</v>
      </c>
    </row>
    <row r="6203" spans="1:28" ht="17.100000000000001" customHeight="1" thickBot="1">
      <c r="A6203" s="227"/>
      <c r="B6203" s="27" t="s">
        <v>8691</v>
      </c>
      <c r="C6203" s="27">
        <v>60154</v>
      </c>
      <c r="D6203" s="14" t="s">
        <v>2559</v>
      </c>
      <c r="E6203" s="229"/>
      <c r="F6203" s="117" t="s">
        <v>17596</v>
      </c>
      <c r="G6203" s="26">
        <v>32048</v>
      </c>
      <c r="H6203" s="231"/>
      <c r="I6203" s="221"/>
      <c r="J6203" s="221"/>
      <c r="K6203" s="221"/>
      <c r="L6203" s="221"/>
      <c r="M6203" s="221"/>
      <c r="N6203" s="221"/>
      <c r="O6203" s="225"/>
      <c r="P6203" s="118" t="s">
        <v>2898</v>
      </c>
      <c r="Q6203" s="16" t="s">
        <v>20</v>
      </c>
      <c r="R6203" s="17" t="s">
        <v>1876</v>
      </c>
      <c r="S6203" s="121" t="s">
        <v>18162</v>
      </c>
      <c r="T6203" s="122"/>
      <c r="U6203" s="22"/>
      <c r="V6203" s="123" t="s">
        <v>6641</v>
      </c>
      <c r="W6203" s="122">
        <v>80387</v>
      </c>
      <c r="X6203" s="221"/>
      <c r="Y6203" s="221"/>
      <c r="Z6203" s="221"/>
      <c r="AA6203" s="221"/>
      <c r="AB6203" s="223"/>
    </row>
    <row r="6204" spans="1:28" ht="17.100000000000001" customHeight="1" thickTop="1">
      <c r="A6204" s="226" t="s">
        <v>17673</v>
      </c>
      <c r="B6204" s="28">
        <v>46069</v>
      </c>
      <c r="C6204" s="25"/>
      <c r="D6204" s="13" t="s">
        <v>1996</v>
      </c>
      <c r="E6204" s="228"/>
      <c r="F6204" s="109" t="s">
        <v>14488</v>
      </c>
      <c r="G6204" s="24" t="s">
        <v>1540</v>
      </c>
      <c r="H6204" s="230">
        <v>4</v>
      </c>
      <c r="I6204" s="220">
        <v>694000</v>
      </c>
      <c r="J6204" s="220">
        <f>I6204*0.1</f>
        <v>69400</v>
      </c>
      <c r="K6204" s="220">
        <f>3200+320</f>
        <v>3520</v>
      </c>
      <c r="L6204" s="220">
        <v>19440</v>
      </c>
      <c r="M6204" s="220">
        <v>15950</v>
      </c>
      <c r="N6204" s="220">
        <f>SUM(I6204:M6205)</f>
        <v>802310</v>
      </c>
      <c r="O6204" s="224"/>
      <c r="P6204" s="110" t="s">
        <v>17617</v>
      </c>
      <c r="Q6204" s="15" t="s">
        <v>19</v>
      </c>
      <c r="R6204" s="205"/>
      <c r="S6204" s="189"/>
      <c r="T6204" s="114"/>
      <c r="U6204" s="21"/>
      <c r="V6204" s="115">
        <v>46074</v>
      </c>
      <c r="W6204" s="116">
        <v>1289</v>
      </c>
      <c r="X6204" s="220">
        <v>1240000</v>
      </c>
      <c r="Y6204" s="220">
        <f>X6204*0.1</f>
        <v>124000</v>
      </c>
      <c r="Z6204" s="220">
        <v>19440</v>
      </c>
      <c r="AA6204" s="220">
        <f>SUM(X6204:Z6204)</f>
        <v>1383440</v>
      </c>
      <c r="AB6204" s="222">
        <v>46077</v>
      </c>
    </row>
    <row r="6205" spans="1:28" ht="17.100000000000001" customHeight="1" thickBot="1">
      <c r="A6205" s="227"/>
      <c r="B6205" s="27" t="s">
        <v>4028</v>
      </c>
      <c r="C6205" s="27">
        <v>20284</v>
      </c>
      <c r="D6205" s="14" t="s">
        <v>1584</v>
      </c>
      <c r="E6205" s="229"/>
      <c r="F6205" s="117" t="s">
        <v>17616</v>
      </c>
      <c r="G6205" s="26">
        <v>65714</v>
      </c>
      <c r="H6205" s="231"/>
      <c r="I6205" s="221"/>
      <c r="J6205" s="221"/>
      <c r="K6205" s="221"/>
      <c r="L6205" s="221"/>
      <c r="M6205" s="221"/>
      <c r="N6205" s="221"/>
      <c r="O6205" s="225"/>
      <c r="P6205" s="118" t="s">
        <v>18142</v>
      </c>
      <c r="Q6205" s="16" t="s">
        <v>20</v>
      </c>
      <c r="R6205" s="17" t="s">
        <v>1876</v>
      </c>
      <c r="S6205" s="121" t="s">
        <v>1680</v>
      </c>
      <c r="T6205" s="122"/>
      <c r="U6205" s="22"/>
      <c r="V6205" s="123" t="s">
        <v>2472</v>
      </c>
      <c r="W6205" s="122">
        <v>80363</v>
      </c>
      <c r="X6205" s="221"/>
      <c r="Y6205" s="221"/>
      <c r="Z6205" s="221"/>
      <c r="AA6205" s="221"/>
      <c r="AB6205" s="223"/>
    </row>
    <row r="6206" spans="1:28" ht="17.100000000000001" customHeight="1" thickTop="1">
      <c r="A6206" s="226" t="s">
        <v>17674</v>
      </c>
      <c r="B6206" s="28">
        <v>46069</v>
      </c>
      <c r="C6206" s="25"/>
      <c r="D6206" s="13" t="s">
        <v>2129</v>
      </c>
      <c r="E6206" s="228"/>
      <c r="F6206" s="109" t="s">
        <v>17643</v>
      </c>
      <c r="G6206" s="24" t="s">
        <v>9195</v>
      </c>
      <c r="H6206" s="230">
        <v>4</v>
      </c>
      <c r="I6206" s="220">
        <f>1309000/1.1</f>
        <v>1190000</v>
      </c>
      <c r="J6206" s="220">
        <f>I6206*0.1</f>
        <v>119000</v>
      </c>
      <c r="K6206" s="220">
        <v>0</v>
      </c>
      <c r="L6206" s="220">
        <v>14820</v>
      </c>
      <c r="M6206" s="220">
        <v>0</v>
      </c>
      <c r="N6206" s="220">
        <f>SUM(I6206:M6207)</f>
        <v>1323820</v>
      </c>
      <c r="O6206" s="224"/>
      <c r="P6206" s="110" t="s">
        <v>18753</v>
      </c>
      <c r="Q6206" s="15" t="s">
        <v>19</v>
      </c>
      <c r="R6206" s="205"/>
      <c r="S6206" s="189" t="s">
        <v>25798</v>
      </c>
      <c r="T6206" s="114"/>
      <c r="U6206" s="21"/>
      <c r="V6206" s="115">
        <v>46088</v>
      </c>
      <c r="W6206" s="116">
        <v>1291</v>
      </c>
      <c r="X6206" s="220">
        <v>1460000</v>
      </c>
      <c r="Y6206" s="220">
        <f>X6206*0.1</f>
        <v>146000</v>
      </c>
      <c r="Z6206" s="220">
        <v>14820</v>
      </c>
      <c r="AA6206" s="220">
        <f>SUM(X6206:Z6206)</f>
        <v>1620820</v>
      </c>
      <c r="AB6206" s="222">
        <v>46091</v>
      </c>
    </row>
    <row r="6207" spans="1:28" ht="17.100000000000001" customHeight="1" thickBot="1">
      <c r="A6207" s="227"/>
      <c r="B6207" s="27" t="s">
        <v>1708</v>
      </c>
      <c r="C6207" s="27" t="s">
        <v>17619</v>
      </c>
      <c r="D6207" s="14" t="s">
        <v>3274</v>
      </c>
      <c r="E6207" s="229"/>
      <c r="F6207" s="117" t="s">
        <v>17620</v>
      </c>
      <c r="G6207" s="26">
        <v>68299</v>
      </c>
      <c r="H6207" s="231"/>
      <c r="I6207" s="221"/>
      <c r="J6207" s="221"/>
      <c r="K6207" s="221"/>
      <c r="L6207" s="221"/>
      <c r="M6207" s="221"/>
      <c r="N6207" s="221"/>
      <c r="O6207" s="225"/>
      <c r="P6207" s="118" t="s">
        <v>18754</v>
      </c>
      <c r="Q6207" s="16" t="s">
        <v>20</v>
      </c>
      <c r="R6207" s="17" t="s">
        <v>1704</v>
      </c>
      <c r="S6207" s="121" t="s">
        <v>18755</v>
      </c>
      <c r="T6207" s="122"/>
      <c r="U6207" s="22"/>
      <c r="V6207" s="123" t="s">
        <v>2472</v>
      </c>
      <c r="W6207" s="122">
        <v>37643</v>
      </c>
      <c r="X6207" s="221"/>
      <c r="Y6207" s="221"/>
      <c r="Z6207" s="221"/>
      <c r="AA6207" s="221"/>
      <c r="AB6207" s="223"/>
    </row>
    <row r="6208" spans="1:28" ht="17.100000000000001" customHeight="1" thickTop="1">
      <c r="A6208" s="226" t="s">
        <v>17675</v>
      </c>
      <c r="B6208" s="28">
        <v>46069</v>
      </c>
      <c r="C6208" s="25"/>
      <c r="D6208" s="13" t="s">
        <v>1704</v>
      </c>
      <c r="E6208" s="228"/>
      <c r="F6208" s="109" t="s">
        <v>7049</v>
      </c>
      <c r="G6208" s="24" t="s">
        <v>17644</v>
      </c>
      <c r="H6208" s="230">
        <v>4.5</v>
      </c>
      <c r="I6208" s="220">
        <f>1276000/1.1</f>
        <v>1160000</v>
      </c>
      <c r="J6208" s="220">
        <f>I6208*0.1</f>
        <v>116000</v>
      </c>
      <c r="K6208" s="220">
        <v>0</v>
      </c>
      <c r="L6208" s="220">
        <v>7150</v>
      </c>
      <c r="M6208" s="220">
        <v>0</v>
      </c>
      <c r="N6208" s="220">
        <f>SUM(I6208:M6209)</f>
        <v>1283150</v>
      </c>
      <c r="O6208" s="224"/>
      <c r="P6208" s="110" t="s">
        <v>18652</v>
      </c>
      <c r="Q6208" s="15" t="s">
        <v>19</v>
      </c>
      <c r="R6208" s="205"/>
      <c r="S6208" s="189" t="s">
        <v>1361</v>
      </c>
      <c r="T6208" s="114"/>
      <c r="U6208" s="21"/>
      <c r="V6208" s="115">
        <v>46098</v>
      </c>
      <c r="W6208" s="116">
        <v>1933</v>
      </c>
      <c r="X6208" s="220">
        <v>1224000</v>
      </c>
      <c r="Y6208" s="220">
        <f>X6208*0.1</f>
        <v>122400</v>
      </c>
      <c r="Z6208" s="220">
        <v>7150</v>
      </c>
      <c r="AA6208" s="220">
        <f>SUM(X6208:Z6208)</f>
        <v>1353550</v>
      </c>
      <c r="AB6208" s="222"/>
    </row>
    <row r="6209" spans="1:28" ht="17.100000000000001" customHeight="1" thickBot="1">
      <c r="A6209" s="227"/>
      <c r="B6209" s="27" t="s">
        <v>1708</v>
      </c>
      <c r="C6209" s="27" t="s">
        <v>17621</v>
      </c>
      <c r="D6209" s="14" t="s">
        <v>1584</v>
      </c>
      <c r="E6209" s="229"/>
      <c r="F6209" s="117" t="s">
        <v>17622</v>
      </c>
      <c r="G6209" s="26">
        <v>29010</v>
      </c>
      <c r="H6209" s="231"/>
      <c r="I6209" s="221"/>
      <c r="J6209" s="221"/>
      <c r="K6209" s="221"/>
      <c r="L6209" s="221"/>
      <c r="M6209" s="221"/>
      <c r="N6209" s="221"/>
      <c r="O6209" s="225"/>
      <c r="P6209" s="118" t="s">
        <v>18653</v>
      </c>
      <c r="Q6209" s="16" t="s">
        <v>20</v>
      </c>
      <c r="R6209" s="17" t="s">
        <v>2318</v>
      </c>
      <c r="S6209" s="121" t="s">
        <v>169</v>
      </c>
      <c r="T6209" s="122"/>
      <c r="U6209" s="22"/>
      <c r="V6209" s="123" t="s">
        <v>2103</v>
      </c>
      <c r="W6209" s="122">
        <v>3391</v>
      </c>
      <c r="X6209" s="221"/>
      <c r="Y6209" s="221"/>
      <c r="Z6209" s="221"/>
      <c r="AA6209" s="221"/>
      <c r="AB6209" s="223"/>
    </row>
    <row r="6210" spans="1:28" ht="17.100000000000001" customHeight="1" thickTop="1">
      <c r="A6210" s="226" t="s">
        <v>17676</v>
      </c>
      <c r="B6210" s="28">
        <v>46069</v>
      </c>
      <c r="C6210" s="25"/>
      <c r="D6210" s="13" t="s">
        <v>2288</v>
      </c>
      <c r="E6210" s="228"/>
      <c r="F6210" s="109" t="s">
        <v>17645</v>
      </c>
      <c r="G6210" s="24" t="s">
        <v>17646</v>
      </c>
      <c r="H6210" s="230">
        <v>4.5</v>
      </c>
      <c r="I6210" s="220">
        <f>657000/1.1</f>
        <v>597272.72727272718</v>
      </c>
      <c r="J6210" s="220">
        <f>I6210*0.1</f>
        <v>59727.272727272721</v>
      </c>
      <c r="K6210" s="220">
        <v>0</v>
      </c>
      <c r="L6210" s="220">
        <v>9130</v>
      </c>
      <c r="M6210" s="220">
        <v>0</v>
      </c>
      <c r="N6210" s="220">
        <f>SUM(I6210:M6211)</f>
        <v>666129.99999999988</v>
      </c>
      <c r="O6210" s="224"/>
      <c r="P6210" s="110" t="s">
        <v>18669</v>
      </c>
      <c r="Q6210" s="15" t="s">
        <v>19</v>
      </c>
      <c r="R6210" s="205"/>
      <c r="S6210" s="189" t="s">
        <v>1276</v>
      </c>
      <c r="T6210" s="114"/>
      <c r="U6210" s="21"/>
      <c r="V6210" s="115">
        <v>46088</v>
      </c>
      <c r="W6210" s="116">
        <v>1291</v>
      </c>
      <c r="X6210" s="220">
        <v>805000</v>
      </c>
      <c r="Y6210" s="220">
        <f>X6210*0.1</f>
        <v>80500</v>
      </c>
      <c r="Z6210" s="220">
        <v>9130</v>
      </c>
      <c r="AA6210" s="220">
        <f>SUM(X6210:Z6210)</f>
        <v>894630</v>
      </c>
      <c r="AB6210" s="222">
        <v>46093</v>
      </c>
    </row>
    <row r="6211" spans="1:28" ht="17.100000000000001" customHeight="1" thickBot="1">
      <c r="A6211" s="227"/>
      <c r="B6211" s="27" t="s">
        <v>1708</v>
      </c>
      <c r="C6211" s="27" t="s">
        <v>17623</v>
      </c>
      <c r="D6211" s="14" t="s">
        <v>273</v>
      </c>
      <c r="E6211" s="229"/>
      <c r="F6211" s="117" t="s">
        <v>17624</v>
      </c>
      <c r="G6211" s="26">
        <v>55191</v>
      </c>
      <c r="H6211" s="231"/>
      <c r="I6211" s="221"/>
      <c r="J6211" s="221"/>
      <c r="K6211" s="221"/>
      <c r="L6211" s="221"/>
      <c r="M6211" s="221"/>
      <c r="N6211" s="221"/>
      <c r="O6211" s="225"/>
      <c r="P6211" s="118" t="s">
        <v>18670</v>
      </c>
      <c r="Q6211" s="16" t="s">
        <v>20</v>
      </c>
      <c r="R6211" s="17" t="s">
        <v>1883</v>
      </c>
      <c r="S6211" s="121" t="s">
        <v>13716</v>
      </c>
      <c r="T6211" s="122"/>
      <c r="U6211" s="22"/>
      <c r="V6211" s="123" t="s">
        <v>2472</v>
      </c>
      <c r="W6211" s="122">
        <v>37483</v>
      </c>
      <c r="X6211" s="221"/>
      <c r="Y6211" s="221"/>
      <c r="Z6211" s="221"/>
      <c r="AA6211" s="221"/>
      <c r="AB6211" s="223"/>
    </row>
    <row r="6212" spans="1:28" ht="17.100000000000001" customHeight="1" thickTop="1">
      <c r="A6212" s="226" t="s">
        <v>17677</v>
      </c>
      <c r="B6212" s="28">
        <v>46069</v>
      </c>
      <c r="C6212" s="25"/>
      <c r="D6212" s="13" t="s">
        <v>2113</v>
      </c>
      <c r="E6212" s="228"/>
      <c r="F6212" s="109" t="s">
        <v>17647</v>
      </c>
      <c r="G6212" s="24" t="s">
        <v>5510</v>
      </c>
      <c r="H6212" s="230">
        <v>4</v>
      </c>
      <c r="I6212" s="220">
        <f>819500/1.1</f>
        <v>744999.99999999988</v>
      </c>
      <c r="J6212" s="220">
        <f>I6212*0.1</f>
        <v>74499.999999999985</v>
      </c>
      <c r="K6212" s="220">
        <v>0</v>
      </c>
      <c r="L6212" s="220">
        <v>9810</v>
      </c>
      <c r="M6212" s="220">
        <v>0</v>
      </c>
      <c r="N6212" s="220">
        <f>SUM(I6212:M6213)</f>
        <v>829309.99999999988</v>
      </c>
      <c r="O6212" s="224"/>
      <c r="P6212" s="110" t="s">
        <v>20807</v>
      </c>
      <c r="Q6212" s="15" t="s">
        <v>19</v>
      </c>
      <c r="R6212" s="205"/>
      <c r="S6212" s="189" t="s">
        <v>1276</v>
      </c>
      <c r="T6212" s="114"/>
      <c r="U6212" s="21"/>
      <c r="V6212" s="115">
        <v>46102</v>
      </c>
      <c r="W6212" s="116">
        <v>1293</v>
      </c>
      <c r="X6212" s="220">
        <v>795000</v>
      </c>
      <c r="Y6212" s="220">
        <f>X6212*0.1</f>
        <v>79500</v>
      </c>
      <c r="Z6212" s="220">
        <v>9810</v>
      </c>
      <c r="AA6212" s="220">
        <f>SUM(X6212:Z6212)</f>
        <v>884310</v>
      </c>
      <c r="AB6212" s="222">
        <v>46111</v>
      </c>
    </row>
    <row r="6213" spans="1:28" ht="17.100000000000001" customHeight="1" thickBot="1">
      <c r="A6213" s="227"/>
      <c r="B6213" s="27" t="s">
        <v>1708</v>
      </c>
      <c r="C6213" s="27" t="s">
        <v>17625</v>
      </c>
      <c r="D6213" s="14" t="s">
        <v>2014</v>
      </c>
      <c r="E6213" s="229"/>
      <c r="F6213" s="117" t="s">
        <v>17626</v>
      </c>
      <c r="G6213" s="26">
        <v>87216</v>
      </c>
      <c r="H6213" s="231"/>
      <c r="I6213" s="221"/>
      <c r="J6213" s="221"/>
      <c r="K6213" s="221"/>
      <c r="L6213" s="221"/>
      <c r="M6213" s="221"/>
      <c r="N6213" s="221"/>
      <c r="O6213" s="225"/>
      <c r="P6213" s="118" t="s">
        <v>20808</v>
      </c>
      <c r="Q6213" s="16" t="s">
        <v>20</v>
      </c>
      <c r="R6213" s="17" t="s">
        <v>20778</v>
      </c>
      <c r="S6213" s="121" t="s">
        <v>20792</v>
      </c>
      <c r="T6213" s="122"/>
      <c r="U6213" s="22"/>
      <c r="V6213" s="123" t="s">
        <v>2472</v>
      </c>
      <c r="W6213" s="122">
        <v>37651</v>
      </c>
      <c r="X6213" s="221"/>
      <c r="Y6213" s="221"/>
      <c r="Z6213" s="221"/>
      <c r="AA6213" s="221"/>
      <c r="AB6213" s="223"/>
    </row>
    <row r="6214" spans="1:28" ht="17.100000000000001" customHeight="1" thickTop="1">
      <c r="A6214" s="226" t="s">
        <v>17678</v>
      </c>
      <c r="B6214" s="28">
        <v>46069</v>
      </c>
      <c r="C6214" s="25"/>
      <c r="D6214" s="13" t="s">
        <v>2033</v>
      </c>
      <c r="E6214" s="228"/>
      <c r="F6214" s="109" t="s">
        <v>8562</v>
      </c>
      <c r="G6214" s="24" t="s">
        <v>11031</v>
      </c>
      <c r="H6214" s="230">
        <v>4</v>
      </c>
      <c r="I6214" s="220">
        <f>972400/1.1</f>
        <v>883999.99999999988</v>
      </c>
      <c r="J6214" s="220">
        <f>I6214*0.1</f>
        <v>88400</v>
      </c>
      <c r="K6214" s="220">
        <v>0</v>
      </c>
      <c r="L6214" s="220">
        <v>10120</v>
      </c>
      <c r="M6214" s="220">
        <v>0</v>
      </c>
      <c r="N6214" s="220">
        <f>SUM(I6214:M6215)</f>
        <v>982519.99999999988</v>
      </c>
      <c r="O6214" s="224"/>
      <c r="P6214" s="110" t="s">
        <v>18941</v>
      </c>
      <c r="Q6214" s="15" t="s">
        <v>19</v>
      </c>
      <c r="R6214" s="205"/>
      <c r="S6214" s="189" t="s">
        <v>758</v>
      </c>
      <c r="T6214" s="114" t="s">
        <v>19843</v>
      </c>
      <c r="U6214" s="21" t="s">
        <v>24468</v>
      </c>
      <c r="V6214" s="115">
        <v>46095</v>
      </c>
      <c r="W6214" s="116">
        <v>1292</v>
      </c>
      <c r="X6214" s="220">
        <v>920000</v>
      </c>
      <c r="Y6214" s="220">
        <f>X6214*0.1</f>
        <v>92000</v>
      </c>
      <c r="Z6214" s="220">
        <v>10120</v>
      </c>
      <c r="AA6214" s="220">
        <f>SUM(X6214:Z6214)</f>
        <v>1022120</v>
      </c>
      <c r="AB6214" s="222">
        <v>46098</v>
      </c>
    </row>
    <row r="6215" spans="1:28" ht="17.100000000000001" customHeight="1" thickBot="1">
      <c r="A6215" s="227"/>
      <c r="B6215" s="27" t="s">
        <v>1708</v>
      </c>
      <c r="C6215" s="27" t="s">
        <v>17627</v>
      </c>
      <c r="D6215" s="14" t="s">
        <v>1568</v>
      </c>
      <c r="E6215" s="229"/>
      <c r="F6215" s="117" t="s">
        <v>17628</v>
      </c>
      <c r="G6215" s="26">
        <v>64385</v>
      </c>
      <c r="H6215" s="231"/>
      <c r="I6215" s="221"/>
      <c r="J6215" s="221"/>
      <c r="K6215" s="221"/>
      <c r="L6215" s="221"/>
      <c r="M6215" s="221"/>
      <c r="N6215" s="221"/>
      <c r="O6215" s="225"/>
      <c r="P6215" s="118" t="s">
        <v>18942</v>
      </c>
      <c r="Q6215" s="16" t="s">
        <v>20</v>
      </c>
      <c r="R6215" s="17" t="s">
        <v>1772</v>
      </c>
      <c r="S6215" s="121" t="s">
        <v>8262</v>
      </c>
      <c r="T6215" s="122" t="s">
        <v>20392</v>
      </c>
      <c r="U6215" s="22"/>
      <c r="V6215" s="123" t="s">
        <v>2472</v>
      </c>
      <c r="W6215" s="122">
        <v>31480</v>
      </c>
      <c r="X6215" s="221"/>
      <c r="Y6215" s="221"/>
      <c r="Z6215" s="221"/>
      <c r="AA6215" s="221"/>
      <c r="AB6215" s="223"/>
    </row>
    <row r="6216" spans="1:28" ht="17.100000000000001" customHeight="1" thickTop="1">
      <c r="A6216" s="226" t="s">
        <v>17679</v>
      </c>
      <c r="B6216" s="28">
        <v>46069</v>
      </c>
      <c r="C6216" s="25"/>
      <c r="D6216" s="13" t="s">
        <v>3332</v>
      </c>
      <c r="E6216" s="228"/>
      <c r="F6216" s="109" t="s">
        <v>17648</v>
      </c>
      <c r="G6216" s="24" t="s">
        <v>17649</v>
      </c>
      <c r="H6216" s="230">
        <v>4.5</v>
      </c>
      <c r="I6216" s="220">
        <f>2376000/1.1</f>
        <v>2160000</v>
      </c>
      <c r="J6216" s="220">
        <f>I6216*0.1</f>
        <v>216000</v>
      </c>
      <c r="K6216" s="220">
        <v>0</v>
      </c>
      <c r="L6216" s="220">
        <v>11710</v>
      </c>
      <c r="M6216" s="220">
        <v>0</v>
      </c>
      <c r="N6216" s="220">
        <f>SUM(I6216:M6217)</f>
        <v>2387710</v>
      </c>
      <c r="O6216" s="224"/>
      <c r="P6216" s="110" t="s">
        <v>21684</v>
      </c>
      <c r="Q6216" s="15" t="s">
        <v>19</v>
      </c>
      <c r="R6216" s="205"/>
      <c r="S6216" s="189" t="s">
        <v>1276</v>
      </c>
      <c r="T6216" s="114"/>
      <c r="U6216" s="21" t="s">
        <v>21740</v>
      </c>
      <c r="V6216" s="115">
        <v>46130</v>
      </c>
      <c r="W6216" s="116">
        <v>1297</v>
      </c>
      <c r="X6216" s="220">
        <v>2455000</v>
      </c>
      <c r="Y6216" s="220">
        <f>X6216*0.1</f>
        <v>245500</v>
      </c>
      <c r="Z6216" s="220">
        <v>11710</v>
      </c>
      <c r="AA6216" s="220">
        <f>SUM(X6216:Z6216)</f>
        <v>2712210</v>
      </c>
      <c r="AB6216" s="222">
        <v>46133</v>
      </c>
    </row>
    <row r="6217" spans="1:28" ht="17.100000000000001" customHeight="1" thickBot="1">
      <c r="A6217" s="227"/>
      <c r="B6217" s="27" t="s">
        <v>1708</v>
      </c>
      <c r="C6217" s="27" t="s">
        <v>17629</v>
      </c>
      <c r="D6217" s="14" t="s">
        <v>2559</v>
      </c>
      <c r="E6217" s="229"/>
      <c r="F6217" s="117" t="s">
        <v>17630</v>
      </c>
      <c r="G6217" s="26">
        <v>43219</v>
      </c>
      <c r="H6217" s="231"/>
      <c r="I6217" s="221"/>
      <c r="J6217" s="221"/>
      <c r="K6217" s="221"/>
      <c r="L6217" s="221"/>
      <c r="M6217" s="221"/>
      <c r="N6217" s="221"/>
      <c r="O6217" s="225"/>
      <c r="P6217" s="118" t="s">
        <v>4306</v>
      </c>
      <c r="Q6217" s="16" t="s">
        <v>20</v>
      </c>
      <c r="R6217" s="17" t="s">
        <v>1772</v>
      </c>
      <c r="S6217" s="121" t="s">
        <v>13167</v>
      </c>
      <c r="T6217" s="122"/>
      <c r="U6217" s="22"/>
      <c r="V6217" s="123" t="s">
        <v>2472</v>
      </c>
      <c r="W6217" s="122">
        <v>31187</v>
      </c>
      <c r="X6217" s="221"/>
      <c r="Y6217" s="221"/>
      <c r="Z6217" s="221"/>
      <c r="AA6217" s="221"/>
      <c r="AB6217" s="223"/>
    </row>
    <row r="6218" spans="1:28" ht="17.100000000000001" customHeight="1" thickTop="1">
      <c r="A6218" s="226" t="s">
        <v>17680</v>
      </c>
      <c r="B6218" s="28">
        <v>46069</v>
      </c>
      <c r="C6218" s="25"/>
      <c r="D6218" s="13" t="s">
        <v>1746</v>
      </c>
      <c r="E6218" s="228"/>
      <c r="F6218" s="109" t="s">
        <v>8562</v>
      </c>
      <c r="G6218" s="24" t="s">
        <v>4471</v>
      </c>
      <c r="H6218" s="230">
        <v>4</v>
      </c>
      <c r="I6218" s="220">
        <f>790900/1.1</f>
        <v>719000</v>
      </c>
      <c r="J6218" s="220">
        <f>I6218*0.1</f>
        <v>71900</v>
      </c>
      <c r="K6218" s="220">
        <v>0</v>
      </c>
      <c r="L6218" s="220">
        <v>10120</v>
      </c>
      <c r="M6218" s="220">
        <v>0</v>
      </c>
      <c r="N6218" s="220">
        <f>SUM(I6218:M6219)</f>
        <v>801020</v>
      </c>
      <c r="O6218" s="224"/>
      <c r="P6218" s="110" t="s">
        <v>18756</v>
      </c>
      <c r="Q6218" s="15" t="s">
        <v>19</v>
      </c>
      <c r="R6218" s="205"/>
      <c r="S6218" s="189" t="s">
        <v>1276</v>
      </c>
      <c r="T6218" s="114"/>
      <c r="U6218" s="21"/>
      <c r="V6218" s="115">
        <v>46088</v>
      </c>
      <c r="W6218" s="116">
        <v>1291</v>
      </c>
      <c r="X6218" s="220">
        <v>825000</v>
      </c>
      <c r="Y6218" s="220">
        <f>X6218*0.1</f>
        <v>82500</v>
      </c>
      <c r="Z6218" s="220">
        <v>10120</v>
      </c>
      <c r="AA6218" s="220">
        <f>SUM(X6218:Z6218)</f>
        <v>917620</v>
      </c>
      <c r="AB6218" s="222">
        <v>46091</v>
      </c>
    </row>
    <row r="6219" spans="1:28" ht="17.100000000000001" customHeight="1" thickBot="1">
      <c r="A6219" s="227"/>
      <c r="B6219" s="27" t="s">
        <v>1708</v>
      </c>
      <c r="C6219" s="27" t="s">
        <v>17631</v>
      </c>
      <c r="D6219" s="14" t="s">
        <v>273</v>
      </c>
      <c r="E6219" s="229"/>
      <c r="F6219" s="117" t="s">
        <v>17632</v>
      </c>
      <c r="G6219" s="26">
        <v>59783</v>
      </c>
      <c r="H6219" s="231"/>
      <c r="I6219" s="221"/>
      <c r="J6219" s="221"/>
      <c r="K6219" s="221"/>
      <c r="L6219" s="221"/>
      <c r="M6219" s="221"/>
      <c r="N6219" s="221"/>
      <c r="O6219" s="225"/>
      <c r="P6219" s="118" t="s">
        <v>18757</v>
      </c>
      <c r="Q6219" s="16" t="s">
        <v>20</v>
      </c>
      <c r="R6219" s="17" t="s">
        <v>1704</v>
      </c>
      <c r="S6219" s="121" t="s">
        <v>18980</v>
      </c>
      <c r="T6219" s="122"/>
      <c r="U6219" s="22"/>
      <c r="V6219" s="123" t="s">
        <v>2472</v>
      </c>
      <c r="W6219" s="122">
        <v>37635</v>
      </c>
      <c r="X6219" s="221"/>
      <c r="Y6219" s="221"/>
      <c r="Z6219" s="221"/>
      <c r="AA6219" s="221"/>
      <c r="AB6219" s="223"/>
    </row>
    <row r="6220" spans="1:28" ht="17.100000000000001" customHeight="1" thickTop="1">
      <c r="A6220" s="233" t="s">
        <v>17681</v>
      </c>
      <c r="B6220" s="28">
        <v>46069</v>
      </c>
      <c r="C6220" s="25"/>
      <c r="D6220" s="13" t="s">
        <v>1632</v>
      </c>
      <c r="E6220" s="228"/>
      <c r="F6220" s="109" t="s">
        <v>17650</v>
      </c>
      <c r="G6220" s="24" t="s">
        <v>17651</v>
      </c>
      <c r="H6220" s="230">
        <v>4</v>
      </c>
      <c r="I6220" s="220">
        <f>902000/1.1</f>
        <v>819999.99999999988</v>
      </c>
      <c r="J6220" s="220">
        <f>I6220*0.1</f>
        <v>82000</v>
      </c>
      <c r="K6220" s="220">
        <v>0</v>
      </c>
      <c r="L6220" s="220">
        <v>10190</v>
      </c>
      <c r="M6220" s="220">
        <v>0</v>
      </c>
      <c r="N6220" s="220">
        <f>SUM(I6220:M6221)</f>
        <v>912189.99999999988</v>
      </c>
      <c r="O6220" s="224"/>
      <c r="P6220" s="110" t="s">
        <v>18875</v>
      </c>
      <c r="Q6220" s="15" t="s">
        <v>19</v>
      </c>
      <c r="R6220" s="205"/>
      <c r="S6220" s="189" t="s">
        <v>1361</v>
      </c>
      <c r="T6220" s="114" t="s">
        <v>19796</v>
      </c>
      <c r="U6220" s="21"/>
      <c r="V6220" s="115"/>
      <c r="W6220" s="116"/>
      <c r="X6220" s="220"/>
      <c r="Y6220" s="220">
        <f>X6220*0.1</f>
        <v>0</v>
      </c>
      <c r="Z6220" s="220"/>
      <c r="AA6220" s="220">
        <f>SUM(X6220:Z6220)</f>
        <v>0</v>
      </c>
      <c r="AB6220" s="222"/>
    </row>
    <row r="6221" spans="1:28" ht="17.100000000000001" customHeight="1" thickBot="1">
      <c r="A6221" s="234"/>
      <c r="B6221" s="27" t="s">
        <v>1708</v>
      </c>
      <c r="C6221" s="27" t="s">
        <v>17633</v>
      </c>
      <c r="D6221" s="14" t="s">
        <v>273</v>
      </c>
      <c r="E6221" s="229"/>
      <c r="F6221" s="117" t="s">
        <v>17634</v>
      </c>
      <c r="G6221" s="26">
        <v>71528</v>
      </c>
      <c r="H6221" s="231"/>
      <c r="I6221" s="221"/>
      <c r="J6221" s="221"/>
      <c r="K6221" s="221"/>
      <c r="L6221" s="221"/>
      <c r="M6221" s="221"/>
      <c r="N6221" s="221"/>
      <c r="O6221" s="225"/>
      <c r="P6221" s="118" t="s">
        <v>18876</v>
      </c>
      <c r="Q6221" s="16" t="s">
        <v>20</v>
      </c>
      <c r="R6221" s="17" t="s">
        <v>853</v>
      </c>
      <c r="S6221" s="121" t="s">
        <v>1601</v>
      </c>
      <c r="T6221" s="122"/>
      <c r="U6221" s="22"/>
      <c r="V6221" s="123"/>
      <c r="W6221" s="122"/>
      <c r="X6221" s="221"/>
      <c r="Y6221" s="221"/>
      <c r="Z6221" s="221"/>
      <c r="AA6221" s="221"/>
      <c r="AB6221" s="223"/>
    </row>
    <row r="6222" spans="1:28" ht="17.100000000000001" customHeight="1" thickTop="1">
      <c r="A6222" s="226" t="s">
        <v>17682</v>
      </c>
      <c r="B6222" s="28">
        <v>46069</v>
      </c>
      <c r="C6222" s="25"/>
      <c r="D6222" s="13" t="s">
        <v>3243</v>
      </c>
      <c r="E6222" s="228"/>
      <c r="F6222" s="109" t="s">
        <v>17652</v>
      </c>
      <c r="G6222" s="24" t="s">
        <v>12984</v>
      </c>
      <c r="H6222" s="230">
        <v>4.5</v>
      </c>
      <c r="I6222" s="220">
        <f>6380000/1.1</f>
        <v>5799999.9999999991</v>
      </c>
      <c r="J6222" s="220">
        <f>I6222*0.1</f>
        <v>579999.99999999988</v>
      </c>
      <c r="K6222" s="220">
        <v>0</v>
      </c>
      <c r="L6222" s="220">
        <v>15760</v>
      </c>
      <c r="M6222" s="220">
        <v>0</v>
      </c>
      <c r="N6222" s="220">
        <f>SUM(I6222:M6223)</f>
        <v>6395759.9999999991</v>
      </c>
      <c r="O6222" s="224"/>
      <c r="P6222" s="110" t="s">
        <v>21127</v>
      </c>
      <c r="Q6222" s="15" t="s">
        <v>19</v>
      </c>
      <c r="R6222" s="205"/>
      <c r="S6222" s="189" t="s">
        <v>1361</v>
      </c>
      <c r="T6222" s="114"/>
      <c r="U6222" s="21"/>
      <c r="V6222" s="115">
        <v>46123</v>
      </c>
      <c r="W6222" s="116">
        <v>1296</v>
      </c>
      <c r="X6222" s="220">
        <v>5795000</v>
      </c>
      <c r="Y6222" s="220">
        <f>X6222*0.1</f>
        <v>579500</v>
      </c>
      <c r="Z6222" s="220">
        <v>15760</v>
      </c>
      <c r="AA6222" s="220">
        <f>SUM(X6222:Z6222)</f>
        <v>6390260</v>
      </c>
      <c r="AB6222" s="222">
        <v>46126</v>
      </c>
    </row>
    <row r="6223" spans="1:28" ht="17.100000000000001" customHeight="1" thickBot="1">
      <c r="A6223" s="227"/>
      <c r="B6223" s="27" t="s">
        <v>1708</v>
      </c>
      <c r="C6223" s="27" t="s">
        <v>17635</v>
      </c>
      <c r="D6223" s="14" t="s">
        <v>273</v>
      </c>
      <c r="E6223" s="229"/>
      <c r="F6223" s="117" t="s">
        <v>17636</v>
      </c>
      <c r="G6223" s="26">
        <v>48821</v>
      </c>
      <c r="H6223" s="231"/>
      <c r="I6223" s="221"/>
      <c r="J6223" s="221"/>
      <c r="K6223" s="221"/>
      <c r="L6223" s="221"/>
      <c r="M6223" s="221"/>
      <c r="N6223" s="221"/>
      <c r="O6223" s="225"/>
      <c r="P6223" s="118" t="s">
        <v>21128</v>
      </c>
      <c r="Q6223" s="16" t="s">
        <v>20</v>
      </c>
      <c r="R6223" s="17" t="s">
        <v>1897</v>
      </c>
      <c r="S6223" s="121" t="s">
        <v>21129</v>
      </c>
      <c r="T6223" s="122"/>
      <c r="U6223" s="22"/>
      <c r="V6223" s="123" t="s">
        <v>2472</v>
      </c>
      <c r="W6223" s="122">
        <v>31007</v>
      </c>
      <c r="X6223" s="221"/>
      <c r="Y6223" s="221"/>
      <c r="Z6223" s="221"/>
      <c r="AA6223" s="221"/>
      <c r="AB6223" s="223"/>
    </row>
    <row r="6224" spans="1:28" ht="17.100000000000001" customHeight="1" thickTop="1">
      <c r="A6224" s="226" t="s">
        <v>17683</v>
      </c>
      <c r="B6224" s="28">
        <v>46069</v>
      </c>
      <c r="C6224" s="25"/>
      <c r="D6224" s="13" t="s">
        <v>1883</v>
      </c>
      <c r="E6224" s="228"/>
      <c r="F6224" s="109" t="s">
        <v>13218</v>
      </c>
      <c r="G6224" s="24" t="s">
        <v>16071</v>
      </c>
      <c r="H6224" s="230">
        <v>4</v>
      </c>
      <c r="I6224" s="220">
        <f>3976500/1.1</f>
        <v>3614999.9999999995</v>
      </c>
      <c r="J6224" s="220">
        <f>I6224*0.1</f>
        <v>361500</v>
      </c>
      <c r="K6224" s="220">
        <v>0</v>
      </c>
      <c r="L6224" s="220">
        <v>12490</v>
      </c>
      <c r="M6224" s="220">
        <v>0</v>
      </c>
      <c r="N6224" s="220">
        <f>SUM(I6224:M6225)</f>
        <v>3988989.9999999995</v>
      </c>
      <c r="O6224" s="224"/>
      <c r="P6224" s="110" t="s">
        <v>18671</v>
      </c>
      <c r="Q6224" s="15" t="s">
        <v>19</v>
      </c>
      <c r="R6224" s="205"/>
      <c r="S6224" s="189" t="s">
        <v>1271</v>
      </c>
      <c r="T6224" s="114" t="s">
        <v>20660</v>
      </c>
      <c r="U6224" s="21" t="s">
        <v>19587</v>
      </c>
      <c r="V6224" s="115">
        <v>46102</v>
      </c>
      <c r="W6224" s="116">
        <v>1293</v>
      </c>
      <c r="X6224" s="220">
        <v>3805000</v>
      </c>
      <c r="Y6224" s="220">
        <f>X6224*0.1</f>
        <v>380500</v>
      </c>
      <c r="Z6224" s="220">
        <v>12490</v>
      </c>
      <c r="AA6224" s="220">
        <f>SUM(X6224:Z6224)</f>
        <v>4197990</v>
      </c>
      <c r="AB6224" s="222">
        <v>46105</v>
      </c>
    </row>
    <row r="6225" spans="1:28" ht="17.100000000000001" customHeight="1" thickBot="1">
      <c r="A6225" s="227"/>
      <c r="B6225" s="27" t="s">
        <v>1708</v>
      </c>
      <c r="C6225" s="27" t="s">
        <v>17637</v>
      </c>
      <c r="D6225" s="14" t="s">
        <v>273</v>
      </c>
      <c r="E6225" s="229"/>
      <c r="F6225" s="117" t="s">
        <v>17638</v>
      </c>
      <c r="G6225" s="26">
        <v>52688</v>
      </c>
      <c r="H6225" s="231"/>
      <c r="I6225" s="221"/>
      <c r="J6225" s="221"/>
      <c r="K6225" s="221"/>
      <c r="L6225" s="221"/>
      <c r="M6225" s="221"/>
      <c r="N6225" s="221"/>
      <c r="O6225" s="225"/>
      <c r="P6225" s="118" t="s">
        <v>18672</v>
      </c>
      <c r="Q6225" s="16" t="s">
        <v>20</v>
      </c>
      <c r="R6225" s="17" t="s">
        <v>1883</v>
      </c>
      <c r="S6225" s="121" t="s">
        <v>18673</v>
      </c>
      <c r="T6225" s="122"/>
      <c r="U6225" s="22"/>
      <c r="V6225" s="123" t="s">
        <v>2472</v>
      </c>
      <c r="W6225" s="122">
        <v>37310</v>
      </c>
      <c r="X6225" s="221"/>
      <c r="Y6225" s="221"/>
      <c r="Z6225" s="221"/>
      <c r="AA6225" s="221"/>
      <c r="AB6225" s="223"/>
    </row>
    <row r="6226" spans="1:28" ht="17.100000000000001" customHeight="1" thickTop="1">
      <c r="A6226" s="226" t="s">
        <v>17684</v>
      </c>
      <c r="B6226" s="28">
        <v>46069</v>
      </c>
      <c r="C6226" s="25"/>
      <c r="D6226" s="13" t="s">
        <v>2107</v>
      </c>
      <c r="E6226" s="228"/>
      <c r="F6226" s="109" t="s">
        <v>17653</v>
      </c>
      <c r="G6226" s="24" t="s">
        <v>12998</v>
      </c>
      <c r="H6226" s="230">
        <v>4.5</v>
      </c>
      <c r="I6226" s="220">
        <f>7359000/1.1</f>
        <v>6689999.9999999991</v>
      </c>
      <c r="J6226" s="220">
        <f>I6226*0.1</f>
        <v>669000</v>
      </c>
      <c r="K6226" s="220">
        <v>0</v>
      </c>
      <c r="L6226" s="220">
        <v>13990</v>
      </c>
      <c r="M6226" s="220">
        <v>0</v>
      </c>
      <c r="N6226" s="220">
        <f>SUM(I6226:M6227)</f>
        <v>7372989.9999999991</v>
      </c>
      <c r="O6226" s="224"/>
      <c r="P6226" s="110" t="s">
        <v>18466</v>
      </c>
      <c r="Q6226" s="15" t="s">
        <v>19</v>
      </c>
      <c r="R6226" s="205"/>
      <c r="S6226" s="189" t="s">
        <v>1361</v>
      </c>
      <c r="T6226" s="114"/>
      <c r="U6226" s="21"/>
      <c r="V6226" s="115">
        <v>46088</v>
      </c>
      <c r="W6226" s="116">
        <v>1291</v>
      </c>
      <c r="X6226" s="220">
        <v>6785000</v>
      </c>
      <c r="Y6226" s="220">
        <f>X6226*0.1</f>
        <v>678500</v>
      </c>
      <c r="Z6226" s="220">
        <v>13990</v>
      </c>
      <c r="AA6226" s="220">
        <f>SUM(X6226:Z6226)</f>
        <v>7477490</v>
      </c>
      <c r="AB6226" s="222">
        <v>46091</v>
      </c>
    </row>
    <row r="6227" spans="1:28" ht="17.100000000000001" customHeight="1" thickBot="1">
      <c r="A6227" s="227"/>
      <c r="B6227" s="27" t="s">
        <v>1708</v>
      </c>
      <c r="C6227" s="27" t="s">
        <v>17639</v>
      </c>
      <c r="D6227" s="14" t="s">
        <v>273</v>
      </c>
      <c r="E6227" s="229"/>
      <c r="F6227" s="117" t="s">
        <v>17640</v>
      </c>
      <c r="G6227" s="26">
        <v>37356</v>
      </c>
      <c r="H6227" s="231"/>
      <c r="I6227" s="221"/>
      <c r="J6227" s="221"/>
      <c r="K6227" s="221"/>
      <c r="L6227" s="221"/>
      <c r="M6227" s="221"/>
      <c r="N6227" s="221"/>
      <c r="O6227" s="225"/>
      <c r="P6227" s="118" t="s">
        <v>18467</v>
      </c>
      <c r="Q6227" s="16" t="s">
        <v>20</v>
      </c>
      <c r="R6227" s="17" t="s">
        <v>3559</v>
      </c>
      <c r="S6227" s="121" t="s">
        <v>2025</v>
      </c>
      <c r="T6227" s="122"/>
      <c r="U6227" s="22"/>
      <c r="V6227" s="123" t="s">
        <v>2472</v>
      </c>
      <c r="W6227" s="122">
        <v>37157</v>
      </c>
      <c r="X6227" s="221"/>
      <c r="Y6227" s="221"/>
      <c r="Z6227" s="221"/>
      <c r="AA6227" s="221"/>
      <c r="AB6227" s="223"/>
    </row>
    <row r="6228" spans="1:28" ht="17.100000000000001" customHeight="1" thickTop="1">
      <c r="A6228" s="226" t="s">
        <v>17685</v>
      </c>
      <c r="B6228" s="28">
        <v>46069</v>
      </c>
      <c r="C6228" s="25"/>
      <c r="D6228" s="13" t="s">
        <v>1623</v>
      </c>
      <c r="E6228" s="228"/>
      <c r="F6228" s="109" t="s">
        <v>17654</v>
      </c>
      <c r="G6228" s="24" t="s">
        <v>17655</v>
      </c>
      <c r="H6228" s="230">
        <v>4</v>
      </c>
      <c r="I6228" s="220">
        <f>2354000/1.1</f>
        <v>2140000</v>
      </c>
      <c r="J6228" s="220">
        <f>I6228*0.1</f>
        <v>214000</v>
      </c>
      <c r="K6228" s="220">
        <v>0</v>
      </c>
      <c r="L6228" s="220">
        <v>10490</v>
      </c>
      <c r="M6228" s="220">
        <v>0</v>
      </c>
      <c r="N6228" s="220">
        <f>SUM(I6228:M6229)</f>
        <v>2364490</v>
      </c>
      <c r="O6228" s="224"/>
      <c r="P6228" s="110" t="s">
        <v>20514</v>
      </c>
      <c r="Q6228" s="15" t="s">
        <v>19</v>
      </c>
      <c r="R6228" s="205"/>
      <c r="S6228" s="189" t="s">
        <v>25799</v>
      </c>
      <c r="T6228" s="114"/>
      <c r="U6228" s="21"/>
      <c r="V6228" s="115">
        <v>46102</v>
      </c>
      <c r="W6228" s="116">
        <v>1293</v>
      </c>
      <c r="X6228" s="220">
        <v>2450000</v>
      </c>
      <c r="Y6228" s="220">
        <f>X6228*0.1</f>
        <v>245000</v>
      </c>
      <c r="Z6228" s="220">
        <v>10490</v>
      </c>
      <c r="AA6228" s="220">
        <f>SUM(X6228:Z6228)</f>
        <v>2705490</v>
      </c>
      <c r="AB6228" s="222">
        <v>46107</v>
      </c>
    </row>
    <row r="6229" spans="1:28" ht="17.100000000000001" customHeight="1" thickBot="1">
      <c r="A6229" s="227"/>
      <c r="B6229" s="27" t="s">
        <v>1708</v>
      </c>
      <c r="C6229" s="27" t="s">
        <v>17641</v>
      </c>
      <c r="D6229" s="14" t="s">
        <v>2559</v>
      </c>
      <c r="E6229" s="229"/>
      <c r="F6229" s="117" t="s">
        <v>17642</v>
      </c>
      <c r="G6229" s="26">
        <v>19054</v>
      </c>
      <c r="H6229" s="231"/>
      <c r="I6229" s="221"/>
      <c r="J6229" s="221"/>
      <c r="K6229" s="221"/>
      <c r="L6229" s="221"/>
      <c r="M6229" s="221"/>
      <c r="N6229" s="221"/>
      <c r="O6229" s="225"/>
      <c r="P6229" s="118" t="s">
        <v>20515</v>
      </c>
      <c r="Q6229" s="16" t="s">
        <v>20</v>
      </c>
      <c r="R6229" s="17" t="s">
        <v>20516</v>
      </c>
      <c r="S6229" s="121" t="s">
        <v>20517</v>
      </c>
      <c r="T6229" s="122"/>
      <c r="U6229" s="22"/>
      <c r="V6229" s="123" t="s">
        <v>2472</v>
      </c>
      <c r="W6229" s="122">
        <v>37312</v>
      </c>
      <c r="X6229" s="221"/>
      <c r="Y6229" s="221"/>
      <c r="Z6229" s="221"/>
      <c r="AA6229" s="221"/>
      <c r="AB6229" s="223"/>
    </row>
    <row r="6230" spans="1:28" ht="17.100000000000001" customHeight="1" thickTop="1">
      <c r="A6230" s="226" t="s">
        <v>17686</v>
      </c>
      <c r="B6230" s="28">
        <v>46069</v>
      </c>
      <c r="C6230" s="25"/>
      <c r="D6230" s="13" t="s">
        <v>1748</v>
      </c>
      <c r="E6230" s="228"/>
      <c r="F6230" s="109" t="s">
        <v>17665</v>
      </c>
      <c r="G6230" s="24" t="s">
        <v>17666</v>
      </c>
      <c r="H6230" s="230">
        <v>4.5</v>
      </c>
      <c r="I6230" s="220">
        <f>935000/1.1</f>
        <v>849999.99999999988</v>
      </c>
      <c r="J6230" s="220">
        <f>I6230*0.1</f>
        <v>85000</v>
      </c>
      <c r="K6230" s="220">
        <v>0</v>
      </c>
      <c r="L6230" s="220">
        <v>8550</v>
      </c>
      <c r="M6230" s="220">
        <v>0</v>
      </c>
      <c r="N6230" s="220">
        <f>SUM(I6230:M6231)</f>
        <v>943549.99999999988</v>
      </c>
      <c r="O6230" s="224"/>
      <c r="P6230" s="110" t="s">
        <v>18871</v>
      </c>
      <c r="Q6230" s="15" t="s">
        <v>19</v>
      </c>
      <c r="R6230" s="205"/>
      <c r="S6230" s="189" t="s">
        <v>1312</v>
      </c>
      <c r="T6230" s="114"/>
      <c r="U6230" s="21"/>
      <c r="V6230" s="115">
        <v>46116</v>
      </c>
      <c r="W6230" s="116">
        <v>1295</v>
      </c>
      <c r="X6230" s="220">
        <v>930000</v>
      </c>
      <c r="Y6230" s="220">
        <f>X6230*0.1</f>
        <v>93000</v>
      </c>
      <c r="Z6230" s="220">
        <v>8550</v>
      </c>
      <c r="AA6230" s="220">
        <f>SUM(X6230:Z6230)</f>
        <v>1031550</v>
      </c>
      <c r="AB6230" s="222">
        <v>46119</v>
      </c>
    </row>
    <row r="6231" spans="1:28" ht="17.100000000000001" customHeight="1" thickBot="1">
      <c r="A6231" s="227"/>
      <c r="B6231" s="27" t="s">
        <v>1708</v>
      </c>
      <c r="C6231" s="27" t="s">
        <v>17659</v>
      </c>
      <c r="D6231" s="14" t="s">
        <v>1584</v>
      </c>
      <c r="E6231" s="229"/>
      <c r="F6231" s="117" t="s">
        <v>17660</v>
      </c>
      <c r="G6231" s="26">
        <v>53863</v>
      </c>
      <c r="H6231" s="231"/>
      <c r="I6231" s="221"/>
      <c r="J6231" s="221"/>
      <c r="K6231" s="221"/>
      <c r="L6231" s="221"/>
      <c r="M6231" s="221"/>
      <c r="N6231" s="221"/>
      <c r="O6231" s="225"/>
      <c r="P6231" s="118" t="s">
        <v>18872</v>
      </c>
      <c r="Q6231" s="16" t="s">
        <v>20</v>
      </c>
      <c r="R6231" s="17" t="s">
        <v>853</v>
      </c>
      <c r="S6231" s="121" t="s">
        <v>1731</v>
      </c>
      <c r="T6231" s="122"/>
      <c r="U6231" s="22"/>
      <c r="V6231" s="123" t="s">
        <v>2472</v>
      </c>
      <c r="W6231" s="122">
        <v>65390</v>
      </c>
      <c r="X6231" s="221"/>
      <c r="Y6231" s="221"/>
      <c r="Z6231" s="221"/>
      <c r="AA6231" s="221"/>
      <c r="AB6231" s="223"/>
    </row>
    <row r="6232" spans="1:28" ht="17.100000000000001" customHeight="1" thickTop="1">
      <c r="A6232" s="226" t="s">
        <v>17687</v>
      </c>
      <c r="B6232" s="28">
        <v>46069</v>
      </c>
      <c r="C6232" s="25"/>
      <c r="D6232" s="13" t="s">
        <v>2239</v>
      </c>
      <c r="E6232" s="228"/>
      <c r="F6232" s="109" t="s">
        <v>17648</v>
      </c>
      <c r="G6232" s="24" t="s">
        <v>11035</v>
      </c>
      <c r="H6232" s="230">
        <v>4.5</v>
      </c>
      <c r="I6232" s="220">
        <f>3030500/1.1</f>
        <v>2755000</v>
      </c>
      <c r="J6232" s="220">
        <f>I6232*0.1</f>
        <v>275500</v>
      </c>
      <c r="K6232" s="220">
        <v>0</v>
      </c>
      <c r="L6232" s="220">
        <v>11710</v>
      </c>
      <c r="M6232" s="220">
        <v>0</v>
      </c>
      <c r="N6232" s="220">
        <f>SUM(I6232:M6233)</f>
        <v>3042210</v>
      </c>
      <c r="O6232" s="224"/>
      <c r="P6232" s="110" t="s">
        <v>18464</v>
      </c>
      <c r="Q6232" s="15" t="s">
        <v>19</v>
      </c>
      <c r="R6232" s="205"/>
      <c r="S6232" s="189" t="s">
        <v>1312</v>
      </c>
      <c r="T6232" s="114"/>
      <c r="U6232" s="21" t="s">
        <v>19494</v>
      </c>
      <c r="V6232" s="115">
        <v>46095</v>
      </c>
      <c r="W6232" s="116"/>
      <c r="X6232" s="220">
        <v>2900000</v>
      </c>
      <c r="Y6232" s="220">
        <f>X6232*0.1</f>
        <v>290000</v>
      </c>
      <c r="Z6232" s="220">
        <v>11710</v>
      </c>
      <c r="AA6232" s="220">
        <f>SUM(X6232:Z6232)</f>
        <v>3201710</v>
      </c>
      <c r="AB6232" s="222"/>
    </row>
    <row r="6233" spans="1:28" ht="17.100000000000001" customHeight="1" thickBot="1">
      <c r="A6233" s="227"/>
      <c r="B6233" s="27" t="s">
        <v>1708</v>
      </c>
      <c r="C6233" s="27" t="s">
        <v>17661</v>
      </c>
      <c r="D6233" s="14" t="s">
        <v>1584</v>
      </c>
      <c r="E6233" s="229"/>
      <c r="F6233" s="117" t="s">
        <v>17662</v>
      </c>
      <c r="G6233" s="26">
        <v>18843</v>
      </c>
      <c r="H6233" s="231"/>
      <c r="I6233" s="221"/>
      <c r="J6233" s="221"/>
      <c r="K6233" s="221"/>
      <c r="L6233" s="221"/>
      <c r="M6233" s="221"/>
      <c r="N6233" s="221"/>
      <c r="O6233" s="225"/>
      <c r="P6233" s="118" t="s">
        <v>18465</v>
      </c>
      <c r="Q6233" s="16" t="s">
        <v>20</v>
      </c>
      <c r="R6233" s="17" t="s">
        <v>3559</v>
      </c>
      <c r="S6233" s="121" t="s">
        <v>18707</v>
      </c>
      <c r="T6233" s="122"/>
      <c r="U6233" s="22"/>
      <c r="V6233" s="123" t="s">
        <v>6682</v>
      </c>
      <c r="W6233" s="122">
        <v>52538</v>
      </c>
      <c r="X6233" s="221"/>
      <c r="Y6233" s="221"/>
      <c r="Z6233" s="221"/>
      <c r="AA6233" s="221"/>
      <c r="AB6233" s="223"/>
    </row>
    <row r="6234" spans="1:28" ht="17.100000000000001" customHeight="1" thickTop="1">
      <c r="A6234" s="226" t="s">
        <v>17688</v>
      </c>
      <c r="B6234" s="28">
        <v>46069</v>
      </c>
      <c r="C6234" s="25"/>
      <c r="D6234" s="13" t="s">
        <v>2392</v>
      </c>
      <c r="E6234" s="228"/>
      <c r="F6234" s="109" t="s">
        <v>17667</v>
      </c>
      <c r="G6234" s="24" t="s">
        <v>6933</v>
      </c>
      <c r="H6234" s="230">
        <v>4.5</v>
      </c>
      <c r="I6234" s="220">
        <f>3448500/1.1</f>
        <v>3134999.9999999995</v>
      </c>
      <c r="J6234" s="220">
        <f>I6234*0.1</f>
        <v>313499.99999999994</v>
      </c>
      <c r="K6234" s="220">
        <v>0</v>
      </c>
      <c r="L6234" s="220">
        <v>13110</v>
      </c>
      <c r="M6234" s="220">
        <v>0</v>
      </c>
      <c r="N6234" s="220">
        <f>SUM(I6234:M6235)</f>
        <v>3461609.9999999995</v>
      </c>
      <c r="O6234" s="224"/>
      <c r="P6234" s="110" t="s">
        <v>20024</v>
      </c>
      <c r="Q6234" s="15" t="s">
        <v>19</v>
      </c>
      <c r="R6234" s="205"/>
      <c r="S6234" s="189" t="s">
        <v>1276</v>
      </c>
      <c r="T6234" s="114"/>
      <c r="U6234" s="21" t="s">
        <v>21856</v>
      </c>
      <c r="V6234" s="115"/>
      <c r="W6234" s="116"/>
      <c r="X6234" s="220"/>
      <c r="Y6234" s="220">
        <f>X6234*0.1</f>
        <v>0</v>
      </c>
      <c r="Z6234" s="220"/>
      <c r="AA6234" s="220">
        <f>SUM(X6234:Z6234)</f>
        <v>0</v>
      </c>
      <c r="AB6234" s="222"/>
    </row>
    <row r="6235" spans="1:28" ht="17.100000000000001" customHeight="1" thickBot="1">
      <c r="A6235" s="227"/>
      <c r="B6235" s="27" t="s">
        <v>1708</v>
      </c>
      <c r="C6235" s="27" t="s">
        <v>17663</v>
      </c>
      <c r="D6235" s="14" t="s">
        <v>273</v>
      </c>
      <c r="E6235" s="229"/>
      <c r="F6235" s="117" t="s">
        <v>17664</v>
      </c>
      <c r="G6235" s="26">
        <v>44388</v>
      </c>
      <c r="H6235" s="231"/>
      <c r="I6235" s="221"/>
      <c r="J6235" s="221"/>
      <c r="K6235" s="221"/>
      <c r="L6235" s="221"/>
      <c r="M6235" s="221"/>
      <c r="N6235" s="221"/>
      <c r="O6235" s="225"/>
      <c r="P6235" s="118" t="s">
        <v>20025</v>
      </c>
      <c r="Q6235" s="16" t="s">
        <v>20</v>
      </c>
      <c r="R6235" s="17" t="s">
        <v>19992</v>
      </c>
      <c r="S6235" s="121" t="s">
        <v>20026</v>
      </c>
      <c r="T6235" s="122"/>
      <c r="U6235" s="22"/>
      <c r="V6235" s="123"/>
      <c r="W6235" s="122"/>
      <c r="X6235" s="221"/>
      <c r="Y6235" s="221"/>
      <c r="Z6235" s="221"/>
      <c r="AA6235" s="221"/>
      <c r="AB6235" s="223"/>
    </row>
    <row r="6236" spans="1:28" ht="17.100000000000001" customHeight="1" thickTop="1">
      <c r="A6236" s="226" t="s">
        <v>17733</v>
      </c>
      <c r="B6236" s="28">
        <v>46070</v>
      </c>
      <c r="C6236" s="25">
        <v>1081</v>
      </c>
      <c r="D6236" s="13" t="s">
        <v>2324</v>
      </c>
      <c r="E6236" s="228"/>
      <c r="F6236" s="109" t="s">
        <v>17775</v>
      </c>
      <c r="G6236" s="24" t="s">
        <v>15602</v>
      </c>
      <c r="H6236" s="230">
        <v>4.5</v>
      </c>
      <c r="I6236" s="220">
        <v>2325000</v>
      </c>
      <c r="J6236" s="220">
        <f>I6236*0.1</f>
        <v>232500</v>
      </c>
      <c r="K6236" s="220">
        <v>2750</v>
      </c>
      <c r="L6236" s="220">
        <v>18100</v>
      </c>
      <c r="M6236" s="220">
        <v>16500</v>
      </c>
      <c r="N6236" s="220">
        <f>SUM(I6236:M6237)</f>
        <v>2594850</v>
      </c>
      <c r="O6236" s="224"/>
      <c r="P6236" s="110" t="s">
        <v>17776</v>
      </c>
      <c r="Q6236" s="15" t="s">
        <v>19</v>
      </c>
      <c r="R6236" s="205"/>
      <c r="S6236" s="189" t="s">
        <v>25800</v>
      </c>
      <c r="T6236" s="114"/>
      <c r="U6236" s="21"/>
      <c r="V6236" s="115">
        <v>46081</v>
      </c>
      <c r="W6236" s="116">
        <v>1290</v>
      </c>
      <c r="X6236" s="220">
        <v>2420000</v>
      </c>
      <c r="Y6236" s="220">
        <f>X6236*0.1</f>
        <v>242000</v>
      </c>
      <c r="Z6236" s="220">
        <v>18100</v>
      </c>
      <c r="AA6236" s="220">
        <f>SUM(X6236:Z6236)</f>
        <v>2680100</v>
      </c>
      <c r="AB6236" s="222">
        <v>46084</v>
      </c>
    </row>
    <row r="6237" spans="1:28" ht="17.100000000000001" customHeight="1" thickBot="1">
      <c r="A6237" s="227"/>
      <c r="B6237" s="27" t="s">
        <v>1583</v>
      </c>
      <c r="C6237" s="27">
        <v>82091</v>
      </c>
      <c r="D6237" s="14" t="s">
        <v>1584</v>
      </c>
      <c r="E6237" s="229"/>
      <c r="F6237" s="117" t="s">
        <v>18153</v>
      </c>
      <c r="G6237" s="26">
        <v>22783</v>
      </c>
      <c r="H6237" s="231"/>
      <c r="I6237" s="221"/>
      <c r="J6237" s="221"/>
      <c r="K6237" s="221"/>
      <c r="L6237" s="221"/>
      <c r="M6237" s="221"/>
      <c r="N6237" s="221"/>
      <c r="O6237" s="225"/>
      <c r="P6237" s="118" t="s">
        <v>1844</v>
      </c>
      <c r="Q6237" s="16" t="s">
        <v>20</v>
      </c>
      <c r="R6237" s="17" t="s">
        <v>1876</v>
      </c>
      <c r="S6237" s="121" t="s">
        <v>1606</v>
      </c>
      <c r="T6237" s="122"/>
      <c r="U6237" s="22"/>
      <c r="V6237" s="123" t="s">
        <v>2472</v>
      </c>
      <c r="W6237" s="122">
        <v>80017</v>
      </c>
      <c r="X6237" s="221"/>
      <c r="Y6237" s="221"/>
      <c r="Z6237" s="221"/>
      <c r="AA6237" s="221"/>
      <c r="AB6237" s="223"/>
    </row>
    <row r="6238" spans="1:28" ht="17.100000000000001" customHeight="1" thickTop="1">
      <c r="A6238" s="226" t="s">
        <v>17734</v>
      </c>
      <c r="B6238" s="28">
        <v>46070</v>
      </c>
      <c r="C6238" s="25">
        <v>1929</v>
      </c>
      <c r="D6238" s="13" t="s">
        <v>2324</v>
      </c>
      <c r="E6238" s="228"/>
      <c r="F6238" s="109" t="s">
        <v>17743</v>
      </c>
      <c r="G6238" s="24"/>
      <c r="H6238" s="230">
        <v>4</v>
      </c>
      <c r="I6238" s="220">
        <v>604000</v>
      </c>
      <c r="J6238" s="220">
        <f>I6238*0.1</f>
        <v>60400</v>
      </c>
      <c r="K6238" s="220">
        <v>0</v>
      </c>
      <c r="L6238" s="220">
        <v>7150</v>
      </c>
      <c r="M6238" s="220">
        <v>15950</v>
      </c>
      <c r="N6238" s="220">
        <f>SUM(I6238:M6239)</f>
        <v>687500</v>
      </c>
      <c r="O6238" s="224"/>
      <c r="P6238" s="110" t="s">
        <v>18141</v>
      </c>
      <c r="Q6238" s="15" t="s">
        <v>19</v>
      </c>
      <c r="R6238" s="205"/>
      <c r="S6238" s="189"/>
      <c r="T6238" s="114"/>
      <c r="U6238" s="21"/>
      <c r="V6238" s="115">
        <v>46074</v>
      </c>
      <c r="W6238" s="116">
        <v>1289</v>
      </c>
      <c r="X6238" s="220">
        <v>650000</v>
      </c>
      <c r="Y6238" s="220">
        <f>X6238*0.1</f>
        <v>65000</v>
      </c>
      <c r="Z6238" s="220">
        <v>7150</v>
      </c>
      <c r="AA6238" s="220">
        <f>SUM(X6238:Z6238)</f>
        <v>722150</v>
      </c>
      <c r="AB6238" s="222">
        <v>46077</v>
      </c>
    </row>
    <row r="6239" spans="1:28" ht="17.100000000000001" customHeight="1" thickBot="1">
      <c r="A6239" s="227"/>
      <c r="B6239" s="27" t="s">
        <v>17742</v>
      </c>
      <c r="C6239" s="27">
        <v>3315</v>
      </c>
      <c r="D6239" s="14" t="s">
        <v>1584</v>
      </c>
      <c r="E6239" s="229"/>
      <c r="F6239" s="117" t="s">
        <v>17744</v>
      </c>
      <c r="G6239" s="26">
        <v>38439</v>
      </c>
      <c r="H6239" s="231"/>
      <c r="I6239" s="221"/>
      <c r="J6239" s="221"/>
      <c r="K6239" s="221"/>
      <c r="L6239" s="221"/>
      <c r="M6239" s="221"/>
      <c r="N6239" s="221"/>
      <c r="O6239" s="225"/>
      <c r="P6239" s="118" t="s">
        <v>12117</v>
      </c>
      <c r="Q6239" s="16" t="s">
        <v>20</v>
      </c>
      <c r="R6239" s="17" t="s">
        <v>1876</v>
      </c>
      <c r="S6239" s="121"/>
      <c r="T6239" s="122"/>
      <c r="U6239" s="22"/>
      <c r="V6239" s="123" t="s">
        <v>2472</v>
      </c>
      <c r="W6239" s="122">
        <v>60368</v>
      </c>
      <c r="X6239" s="221"/>
      <c r="Y6239" s="221"/>
      <c r="Z6239" s="221"/>
      <c r="AA6239" s="221"/>
      <c r="AB6239" s="223"/>
    </row>
    <row r="6240" spans="1:28" ht="17.100000000000001" customHeight="1" thickTop="1">
      <c r="A6240" s="226" t="s">
        <v>17735</v>
      </c>
      <c r="B6240" s="28">
        <v>46070</v>
      </c>
      <c r="C6240" s="25">
        <v>1929</v>
      </c>
      <c r="D6240" s="13" t="s">
        <v>1871</v>
      </c>
      <c r="E6240" s="228"/>
      <c r="F6240" s="109" t="s">
        <v>17745</v>
      </c>
      <c r="G6240" s="24"/>
      <c r="H6240" s="230">
        <v>4</v>
      </c>
      <c r="I6240" s="220">
        <v>2154000</v>
      </c>
      <c r="J6240" s="220">
        <f>I6240*0.1</f>
        <v>215400</v>
      </c>
      <c r="K6240" s="220">
        <v>0</v>
      </c>
      <c r="L6240" s="220">
        <v>23320</v>
      </c>
      <c r="M6240" s="220">
        <v>19250</v>
      </c>
      <c r="N6240" s="220">
        <f>SUM(I6240:M6241)</f>
        <v>2411970</v>
      </c>
      <c r="O6240" s="224"/>
      <c r="P6240" s="110" t="s">
        <v>18139</v>
      </c>
      <c r="Q6240" s="15" t="s">
        <v>19</v>
      </c>
      <c r="R6240" s="205"/>
      <c r="S6240" s="189"/>
      <c r="T6240" s="114"/>
      <c r="U6240" s="21"/>
      <c r="V6240" s="115">
        <v>46074</v>
      </c>
      <c r="W6240" s="116">
        <v>1289</v>
      </c>
      <c r="X6240" s="220">
        <v>2320000</v>
      </c>
      <c r="Y6240" s="220">
        <f>X6240*0.1</f>
        <v>232000</v>
      </c>
      <c r="Z6240" s="220">
        <v>23320</v>
      </c>
      <c r="AA6240" s="220">
        <f>SUM(X6240:Z6240)</f>
        <v>2575320</v>
      </c>
      <c r="AB6240" s="222">
        <v>46077</v>
      </c>
    </row>
    <row r="6241" spans="1:28" ht="17.100000000000001" customHeight="1" thickBot="1">
      <c r="A6241" s="227"/>
      <c r="B6241" s="27" t="s">
        <v>17742</v>
      </c>
      <c r="C6241" s="27">
        <v>5030</v>
      </c>
      <c r="D6241" s="14" t="s">
        <v>1568</v>
      </c>
      <c r="E6241" s="229"/>
      <c r="F6241" s="117" t="s">
        <v>17766</v>
      </c>
      <c r="G6241" s="26">
        <v>62627</v>
      </c>
      <c r="H6241" s="231"/>
      <c r="I6241" s="221"/>
      <c r="J6241" s="221"/>
      <c r="K6241" s="221"/>
      <c r="L6241" s="221"/>
      <c r="M6241" s="221"/>
      <c r="N6241" s="221"/>
      <c r="O6241" s="225"/>
      <c r="P6241" s="118" t="s">
        <v>9738</v>
      </c>
      <c r="Q6241" s="16" t="s">
        <v>20</v>
      </c>
      <c r="R6241" s="17" t="s">
        <v>1876</v>
      </c>
      <c r="S6241" s="121" t="s">
        <v>1625</v>
      </c>
      <c r="T6241" s="122"/>
      <c r="U6241" s="22"/>
      <c r="V6241" s="123" t="s">
        <v>2472</v>
      </c>
      <c r="W6241" s="122">
        <v>80336</v>
      </c>
      <c r="X6241" s="221"/>
      <c r="Y6241" s="221"/>
      <c r="Z6241" s="221"/>
      <c r="AA6241" s="221"/>
      <c r="AB6241" s="223"/>
    </row>
    <row r="6242" spans="1:28" ht="17.100000000000001" customHeight="1" thickTop="1">
      <c r="A6242" s="226" t="s">
        <v>17736</v>
      </c>
      <c r="B6242" s="28">
        <v>46070</v>
      </c>
      <c r="C6242" s="25">
        <v>1929</v>
      </c>
      <c r="D6242" s="13" t="s">
        <v>1531</v>
      </c>
      <c r="E6242" s="228"/>
      <c r="F6242" s="109" t="s">
        <v>17746</v>
      </c>
      <c r="G6242" s="24"/>
      <c r="H6242" s="230">
        <v>4</v>
      </c>
      <c r="I6242" s="220">
        <v>768000</v>
      </c>
      <c r="J6242" s="220">
        <f>I6242*0.1</f>
        <v>76800</v>
      </c>
      <c r="K6242" s="220">
        <v>0</v>
      </c>
      <c r="L6242" s="220">
        <v>9790</v>
      </c>
      <c r="M6242" s="220">
        <v>15950</v>
      </c>
      <c r="N6242" s="220">
        <f>SUM(I6242:M6243)</f>
        <v>870540</v>
      </c>
      <c r="O6242" s="224"/>
      <c r="P6242" s="110" t="s">
        <v>18147</v>
      </c>
      <c r="Q6242" s="15" t="s">
        <v>19</v>
      </c>
      <c r="R6242" s="205"/>
      <c r="S6242" s="189"/>
      <c r="T6242" s="114"/>
      <c r="U6242" s="21"/>
      <c r="V6242" s="115">
        <v>46081</v>
      </c>
      <c r="W6242" s="116">
        <v>1290</v>
      </c>
      <c r="X6242" s="220">
        <v>805000</v>
      </c>
      <c r="Y6242" s="220">
        <f>X6242*0.1</f>
        <v>80500</v>
      </c>
      <c r="Z6242" s="220">
        <v>9790</v>
      </c>
      <c r="AA6242" s="220">
        <f>SUM(X6242:Z6242)</f>
        <v>895290</v>
      </c>
      <c r="AB6242" s="222">
        <v>46084</v>
      </c>
    </row>
    <row r="6243" spans="1:28" ht="17.100000000000001" customHeight="1" thickBot="1">
      <c r="A6243" s="227"/>
      <c r="B6243" s="27" t="s">
        <v>17742</v>
      </c>
      <c r="C6243" s="27">
        <v>5418</v>
      </c>
      <c r="D6243" s="14" t="s">
        <v>1866</v>
      </c>
      <c r="E6243" s="229"/>
      <c r="F6243" s="117" t="s">
        <v>17747</v>
      </c>
      <c r="G6243" s="26">
        <v>53557</v>
      </c>
      <c r="H6243" s="231"/>
      <c r="I6243" s="221"/>
      <c r="J6243" s="221"/>
      <c r="K6243" s="221"/>
      <c r="L6243" s="221"/>
      <c r="M6243" s="221"/>
      <c r="N6243" s="221"/>
      <c r="O6243" s="225"/>
      <c r="P6243" s="118" t="s">
        <v>5159</v>
      </c>
      <c r="Q6243" s="16" t="s">
        <v>20</v>
      </c>
      <c r="R6243" s="17" t="s">
        <v>1876</v>
      </c>
      <c r="S6243" s="121" t="s">
        <v>7703</v>
      </c>
      <c r="T6243" s="122"/>
      <c r="U6243" s="22"/>
      <c r="V6243" s="123" t="s">
        <v>2472</v>
      </c>
      <c r="W6243" s="122">
        <v>60070</v>
      </c>
      <c r="X6243" s="221"/>
      <c r="Y6243" s="221"/>
      <c r="Z6243" s="221"/>
      <c r="AA6243" s="221"/>
      <c r="AB6243" s="223"/>
    </row>
    <row r="6244" spans="1:28" ht="17.100000000000001" customHeight="1" thickTop="1">
      <c r="A6244" s="226" t="s">
        <v>17737</v>
      </c>
      <c r="B6244" s="28">
        <v>46070</v>
      </c>
      <c r="C6244" s="25">
        <v>1929</v>
      </c>
      <c r="D6244" s="13" t="s">
        <v>1816</v>
      </c>
      <c r="E6244" s="228"/>
      <c r="F6244" s="109" t="s">
        <v>17748</v>
      </c>
      <c r="G6244" s="24"/>
      <c r="H6244" s="230">
        <v>4.5</v>
      </c>
      <c r="I6244" s="220">
        <v>731000</v>
      </c>
      <c r="J6244" s="220">
        <f>I6244*0.1</f>
        <v>73100</v>
      </c>
      <c r="K6244" s="220">
        <v>0</v>
      </c>
      <c r="L6244" s="220">
        <v>12450</v>
      </c>
      <c r="M6244" s="220">
        <v>15950</v>
      </c>
      <c r="N6244" s="220">
        <f>SUM(I6244:M6245)</f>
        <v>832500</v>
      </c>
      <c r="O6244" s="224"/>
      <c r="P6244" s="110" t="s">
        <v>18157</v>
      </c>
      <c r="Q6244" s="15" t="s">
        <v>19</v>
      </c>
      <c r="R6244" s="205"/>
      <c r="S6244" s="189" t="s">
        <v>283</v>
      </c>
      <c r="T6244" s="114"/>
      <c r="U6244" s="21"/>
      <c r="V6244" s="115">
        <v>46081</v>
      </c>
      <c r="W6244" s="116">
        <v>1290</v>
      </c>
      <c r="X6244" s="220">
        <v>975000</v>
      </c>
      <c r="Y6244" s="220">
        <f>X6244*0.1</f>
        <v>97500</v>
      </c>
      <c r="Z6244" s="220">
        <v>12450</v>
      </c>
      <c r="AA6244" s="220">
        <f>SUM(X6244:Z6244)</f>
        <v>1084950</v>
      </c>
      <c r="AB6244" s="222">
        <v>46084</v>
      </c>
    </row>
    <row r="6245" spans="1:28" ht="17.100000000000001" customHeight="1" thickBot="1">
      <c r="A6245" s="227"/>
      <c r="B6245" s="27" t="s">
        <v>17742</v>
      </c>
      <c r="C6245" s="27">
        <v>32062</v>
      </c>
      <c r="D6245" s="14" t="s">
        <v>898</v>
      </c>
      <c r="E6245" s="229"/>
      <c r="F6245" s="117" t="s">
        <v>17767</v>
      </c>
      <c r="G6245" s="26">
        <v>18899</v>
      </c>
      <c r="H6245" s="231"/>
      <c r="I6245" s="221"/>
      <c r="J6245" s="221"/>
      <c r="K6245" s="221"/>
      <c r="L6245" s="221"/>
      <c r="M6245" s="221"/>
      <c r="N6245" s="221"/>
      <c r="O6245" s="225"/>
      <c r="P6245" s="118" t="s">
        <v>18158</v>
      </c>
      <c r="Q6245" s="16" t="s">
        <v>20</v>
      </c>
      <c r="R6245" s="17" t="s">
        <v>1876</v>
      </c>
      <c r="S6245" s="121" t="s">
        <v>18182</v>
      </c>
      <c r="T6245" s="122"/>
      <c r="U6245" s="22"/>
      <c r="V6245" s="123" t="s">
        <v>2472</v>
      </c>
      <c r="W6245" s="122">
        <v>80024</v>
      </c>
      <c r="X6245" s="221"/>
      <c r="Y6245" s="221"/>
      <c r="Z6245" s="221"/>
      <c r="AA6245" s="221"/>
      <c r="AB6245" s="223"/>
    </row>
    <row r="6246" spans="1:28" ht="17.100000000000001" customHeight="1" thickTop="1">
      <c r="A6246" s="226" t="s">
        <v>17738</v>
      </c>
      <c r="B6246" s="28">
        <v>46070</v>
      </c>
      <c r="C6246" s="25">
        <v>1929</v>
      </c>
      <c r="D6246" s="13" t="s">
        <v>2324</v>
      </c>
      <c r="E6246" s="228"/>
      <c r="F6246" s="109" t="s">
        <v>17749</v>
      </c>
      <c r="G6246" s="24"/>
      <c r="H6246" s="230">
        <v>4.5</v>
      </c>
      <c r="I6246" s="220">
        <v>1241000</v>
      </c>
      <c r="J6246" s="220">
        <f>I6246*0.1</f>
        <v>124100</v>
      </c>
      <c r="K6246" s="220">
        <v>0</v>
      </c>
      <c r="L6246" s="220">
        <v>7440</v>
      </c>
      <c r="M6246" s="220">
        <v>15950</v>
      </c>
      <c r="N6246" s="220">
        <f>SUM(I6246:M6247)</f>
        <v>1388490</v>
      </c>
      <c r="O6246" s="224"/>
      <c r="P6246" s="110" t="s">
        <v>18145</v>
      </c>
      <c r="Q6246" s="15" t="s">
        <v>19</v>
      </c>
      <c r="R6246" s="205"/>
      <c r="S6246" s="189"/>
      <c r="T6246" s="114"/>
      <c r="U6246" s="21"/>
      <c r="V6246" s="115">
        <v>46081</v>
      </c>
      <c r="W6246" s="116">
        <v>1290</v>
      </c>
      <c r="X6246" s="220">
        <v>1365000</v>
      </c>
      <c r="Y6246" s="220">
        <f>X6246*0.1</f>
        <v>136500</v>
      </c>
      <c r="Z6246" s="220">
        <v>7440</v>
      </c>
      <c r="AA6246" s="220">
        <f>SUM(X6246:Z6246)</f>
        <v>1508940</v>
      </c>
      <c r="AB6246" s="222">
        <v>46084</v>
      </c>
    </row>
    <row r="6247" spans="1:28" ht="17.100000000000001" customHeight="1" thickBot="1">
      <c r="A6247" s="227"/>
      <c r="B6247" s="27" t="s">
        <v>17742</v>
      </c>
      <c r="C6247" s="27">
        <v>62072</v>
      </c>
      <c r="D6247" s="14" t="s">
        <v>1584</v>
      </c>
      <c r="E6247" s="229"/>
      <c r="F6247" s="117" t="s">
        <v>17750</v>
      </c>
      <c r="G6247" s="26">
        <v>20743</v>
      </c>
      <c r="H6247" s="231"/>
      <c r="I6247" s="221"/>
      <c r="J6247" s="221"/>
      <c r="K6247" s="221"/>
      <c r="L6247" s="221"/>
      <c r="M6247" s="221"/>
      <c r="N6247" s="221"/>
      <c r="O6247" s="225"/>
      <c r="P6247" s="118" t="s">
        <v>18146</v>
      </c>
      <c r="Q6247" s="16" t="s">
        <v>20</v>
      </c>
      <c r="R6247" s="17" t="s">
        <v>1876</v>
      </c>
      <c r="S6247" s="121" t="s">
        <v>15757</v>
      </c>
      <c r="T6247" s="122"/>
      <c r="U6247" s="22"/>
      <c r="V6247" s="123" t="s">
        <v>2472</v>
      </c>
      <c r="W6247" s="122">
        <v>41044</v>
      </c>
      <c r="X6247" s="221"/>
      <c r="Y6247" s="221"/>
      <c r="Z6247" s="221"/>
      <c r="AA6247" s="221"/>
      <c r="AB6247" s="223"/>
    </row>
    <row r="6248" spans="1:28" ht="17.100000000000001" customHeight="1" thickTop="1">
      <c r="A6248" s="226" t="s">
        <v>17739</v>
      </c>
      <c r="B6248" s="28">
        <v>46070</v>
      </c>
      <c r="C6248" s="25">
        <v>807</v>
      </c>
      <c r="D6248" s="13" t="s">
        <v>2610</v>
      </c>
      <c r="E6248" s="228"/>
      <c r="F6248" s="109" t="s">
        <v>17751</v>
      </c>
      <c r="G6248" s="24" t="s">
        <v>4239</v>
      </c>
      <c r="H6248" s="230">
        <v>4.5</v>
      </c>
      <c r="I6248" s="220">
        <v>751000</v>
      </c>
      <c r="J6248" s="220">
        <f>I6248*0.1</f>
        <v>75100</v>
      </c>
      <c r="K6248" s="220">
        <v>2200</v>
      </c>
      <c r="L6248" s="220">
        <v>12470</v>
      </c>
      <c r="M6248" s="220">
        <v>15950</v>
      </c>
      <c r="N6248" s="220">
        <f>SUM(I6248:M6249)</f>
        <v>856720</v>
      </c>
      <c r="O6248" s="224"/>
      <c r="P6248" s="110" t="s">
        <v>17769</v>
      </c>
      <c r="Q6248" s="15" t="s">
        <v>19</v>
      </c>
      <c r="R6248" s="205"/>
      <c r="S6248" s="189"/>
      <c r="T6248" s="114"/>
      <c r="U6248" s="21"/>
      <c r="V6248" s="115">
        <v>46081</v>
      </c>
      <c r="W6248" s="116">
        <v>1290</v>
      </c>
      <c r="X6248" s="220">
        <v>880000</v>
      </c>
      <c r="Y6248" s="220">
        <f>X6248*0.1</f>
        <v>88000</v>
      </c>
      <c r="Z6248" s="220">
        <v>12470</v>
      </c>
      <c r="AA6248" s="220">
        <f>SUM(X6248:Z6248)</f>
        <v>980470</v>
      </c>
      <c r="AB6248" s="222">
        <v>46084</v>
      </c>
    </row>
    <row r="6249" spans="1:28" ht="17.100000000000001" customHeight="1" thickBot="1">
      <c r="A6249" s="227"/>
      <c r="B6249" s="27" t="s">
        <v>3314</v>
      </c>
      <c r="C6249" s="27">
        <v>70064</v>
      </c>
      <c r="D6249" s="14" t="s">
        <v>1797</v>
      </c>
      <c r="E6249" s="229"/>
      <c r="F6249" s="117" t="s">
        <v>17768</v>
      </c>
      <c r="G6249" s="26">
        <v>49120</v>
      </c>
      <c r="H6249" s="231"/>
      <c r="I6249" s="221"/>
      <c r="J6249" s="221"/>
      <c r="K6249" s="221"/>
      <c r="L6249" s="221"/>
      <c r="M6249" s="221"/>
      <c r="N6249" s="221"/>
      <c r="O6249" s="225"/>
      <c r="P6249" s="118" t="s">
        <v>18159</v>
      </c>
      <c r="Q6249" s="16" t="s">
        <v>20</v>
      </c>
      <c r="R6249" s="17" t="s">
        <v>1876</v>
      </c>
      <c r="S6249" s="121" t="s">
        <v>7722</v>
      </c>
      <c r="T6249" s="122"/>
      <c r="U6249" s="22"/>
      <c r="V6249" s="123" t="s">
        <v>2472</v>
      </c>
      <c r="W6249" s="122">
        <v>80020</v>
      </c>
      <c r="X6249" s="221"/>
      <c r="Y6249" s="221"/>
      <c r="Z6249" s="221"/>
      <c r="AA6249" s="221"/>
      <c r="AB6249" s="223"/>
    </row>
    <row r="6250" spans="1:28" ht="17.100000000000001" customHeight="1" thickTop="1">
      <c r="A6250" s="226" t="s">
        <v>17740</v>
      </c>
      <c r="B6250" s="28">
        <v>46070</v>
      </c>
      <c r="C6250" s="25">
        <v>807</v>
      </c>
      <c r="D6250" s="13" t="s">
        <v>3269</v>
      </c>
      <c r="E6250" s="228"/>
      <c r="F6250" s="109" t="s">
        <v>17752</v>
      </c>
      <c r="G6250" s="24" t="s">
        <v>2530</v>
      </c>
      <c r="H6250" s="230">
        <v>4</v>
      </c>
      <c r="I6250" s="220">
        <v>1630000</v>
      </c>
      <c r="J6250" s="220">
        <f>I6250*0.1</f>
        <v>163000</v>
      </c>
      <c r="K6250" s="220">
        <v>2750</v>
      </c>
      <c r="L6250" s="220">
        <v>15180</v>
      </c>
      <c r="M6250" s="220">
        <v>20900</v>
      </c>
      <c r="N6250" s="220">
        <f>SUM(I6250:M6251)</f>
        <v>1831830</v>
      </c>
      <c r="O6250" s="224"/>
      <c r="P6250" s="110" t="s">
        <v>17771</v>
      </c>
      <c r="Q6250" s="15" t="s">
        <v>19</v>
      </c>
      <c r="R6250" s="205"/>
      <c r="S6250" s="189"/>
      <c r="T6250" s="114"/>
      <c r="U6250" s="21"/>
      <c r="V6250" s="115">
        <v>46074</v>
      </c>
      <c r="W6250" s="116">
        <v>1289</v>
      </c>
      <c r="X6250" s="220">
        <v>1855000</v>
      </c>
      <c r="Y6250" s="220">
        <f>X6250*0.1</f>
        <v>185500</v>
      </c>
      <c r="Z6250" s="220">
        <v>15180</v>
      </c>
      <c r="AA6250" s="220">
        <f>SUM(X6250:Z6250)</f>
        <v>2055680</v>
      </c>
      <c r="AB6250" s="222">
        <v>46077</v>
      </c>
    </row>
    <row r="6251" spans="1:28" ht="17.100000000000001" customHeight="1" thickBot="1">
      <c r="A6251" s="227"/>
      <c r="B6251" s="27" t="s">
        <v>3314</v>
      </c>
      <c r="C6251" s="27">
        <v>70078</v>
      </c>
      <c r="D6251" s="14" t="s">
        <v>273</v>
      </c>
      <c r="E6251" s="229"/>
      <c r="F6251" s="117" t="s">
        <v>17770</v>
      </c>
      <c r="G6251" s="26">
        <v>36996</v>
      </c>
      <c r="H6251" s="231"/>
      <c r="I6251" s="221"/>
      <c r="J6251" s="221"/>
      <c r="K6251" s="221"/>
      <c r="L6251" s="221"/>
      <c r="M6251" s="221"/>
      <c r="N6251" s="221"/>
      <c r="O6251" s="225"/>
      <c r="P6251" s="118" t="s">
        <v>18140</v>
      </c>
      <c r="Q6251" s="16" t="s">
        <v>20</v>
      </c>
      <c r="R6251" s="17" t="s">
        <v>1876</v>
      </c>
      <c r="S6251" s="121"/>
      <c r="T6251" s="122"/>
      <c r="U6251" s="22"/>
      <c r="V6251" s="123" t="s">
        <v>2472</v>
      </c>
      <c r="W6251" s="122">
        <v>80359</v>
      </c>
      <c r="X6251" s="221"/>
      <c r="Y6251" s="221"/>
      <c r="Z6251" s="221"/>
      <c r="AA6251" s="221"/>
      <c r="AB6251" s="223"/>
    </row>
    <row r="6252" spans="1:28" ht="17.100000000000001" customHeight="1" thickTop="1">
      <c r="A6252" s="226" t="s">
        <v>17741</v>
      </c>
      <c r="B6252" s="28">
        <v>46070</v>
      </c>
      <c r="C6252" s="25">
        <v>927</v>
      </c>
      <c r="D6252" s="13" t="s">
        <v>4775</v>
      </c>
      <c r="E6252" s="228"/>
      <c r="F6252" s="109" t="s">
        <v>17753</v>
      </c>
      <c r="G6252" s="24" t="s">
        <v>3453</v>
      </c>
      <c r="H6252" s="230">
        <v>4</v>
      </c>
      <c r="I6252" s="220">
        <v>1010000</v>
      </c>
      <c r="J6252" s="220">
        <f>I6252*0.1</f>
        <v>101000</v>
      </c>
      <c r="K6252" s="220">
        <v>0</v>
      </c>
      <c r="L6252" s="220">
        <v>8990</v>
      </c>
      <c r="M6252" s="220">
        <v>20900</v>
      </c>
      <c r="N6252" s="220">
        <f>SUM(I6252:M6253)</f>
        <v>1140890</v>
      </c>
      <c r="O6252" s="224"/>
      <c r="P6252" s="110" t="s">
        <v>17772</v>
      </c>
      <c r="Q6252" s="15" t="s">
        <v>19</v>
      </c>
      <c r="R6252" s="205"/>
      <c r="S6252" s="189"/>
      <c r="T6252" s="114"/>
      <c r="U6252" s="21" t="s">
        <v>20451</v>
      </c>
      <c r="V6252" s="115"/>
      <c r="W6252" s="116"/>
      <c r="X6252" s="220"/>
      <c r="Y6252" s="220">
        <f>X6252*0.1</f>
        <v>0</v>
      </c>
      <c r="Z6252" s="220"/>
      <c r="AA6252" s="220">
        <f>SUM(X6252:Z6252)</f>
        <v>0</v>
      </c>
      <c r="AB6252" s="222"/>
    </row>
    <row r="6253" spans="1:28" ht="17.100000000000001" customHeight="1" thickBot="1">
      <c r="A6253" s="227"/>
      <c r="B6253" s="27" t="s">
        <v>2654</v>
      </c>
      <c r="C6253" s="27">
        <v>3037</v>
      </c>
      <c r="D6253" s="14" t="s">
        <v>898</v>
      </c>
      <c r="E6253" s="229"/>
      <c r="F6253" s="117" t="s">
        <v>17754</v>
      </c>
      <c r="G6253" s="26">
        <v>44228</v>
      </c>
      <c r="H6253" s="231"/>
      <c r="I6253" s="221"/>
      <c r="J6253" s="221"/>
      <c r="K6253" s="221"/>
      <c r="L6253" s="221"/>
      <c r="M6253" s="221"/>
      <c r="N6253" s="221"/>
      <c r="O6253" s="225"/>
      <c r="P6253" s="118" t="s">
        <v>18149</v>
      </c>
      <c r="Q6253" s="16" t="s">
        <v>20</v>
      </c>
      <c r="R6253" s="17" t="s">
        <v>1876</v>
      </c>
      <c r="S6253" s="121" t="s">
        <v>7703</v>
      </c>
      <c r="T6253" s="122"/>
      <c r="U6253" s="22"/>
      <c r="V6253" s="123"/>
      <c r="W6253" s="122"/>
      <c r="X6253" s="221"/>
      <c r="Y6253" s="221"/>
      <c r="Z6253" s="221"/>
      <c r="AA6253" s="221"/>
      <c r="AB6253" s="223"/>
    </row>
    <row r="6254" spans="1:28" ht="17.100000000000001" customHeight="1" thickTop="1">
      <c r="A6254" s="226" t="s">
        <v>17758</v>
      </c>
      <c r="B6254" s="28">
        <v>46070</v>
      </c>
      <c r="C6254" s="25">
        <v>927</v>
      </c>
      <c r="D6254" s="13" t="s">
        <v>3269</v>
      </c>
      <c r="E6254" s="228"/>
      <c r="F6254" s="109" t="s">
        <v>14900</v>
      </c>
      <c r="G6254" s="24"/>
      <c r="H6254" s="230">
        <v>4</v>
      </c>
      <c r="I6254" s="220">
        <v>955000</v>
      </c>
      <c r="J6254" s="220">
        <f>I6254*0.1</f>
        <v>95500</v>
      </c>
      <c r="K6254" s="220">
        <v>0</v>
      </c>
      <c r="L6254" s="220">
        <v>6830</v>
      </c>
      <c r="M6254" s="220">
        <v>15950</v>
      </c>
      <c r="N6254" s="220">
        <f>SUM(I6254:M6255)</f>
        <v>1073280</v>
      </c>
      <c r="O6254" s="224"/>
      <c r="P6254" s="110" t="s">
        <v>18148</v>
      </c>
      <c r="Q6254" s="15" t="s">
        <v>19</v>
      </c>
      <c r="R6254" s="205"/>
      <c r="S6254" s="189"/>
      <c r="T6254" s="114"/>
      <c r="U6254" s="21"/>
      <c r="V6254" s="115">
        <v>46088</v>
      </c>
      <c r="W6254" s="116">
        <v>1291</v>
      </c>
      <c r="X6254" s="220">
        <v>1025000</v>
      </c>
      <c r="Y6254" s="220">
        <f>X6254*0.1</f>
        <v>102500</v>
      </c>
      <c r="Z6254" s="220">
        <v>6830</v>
      </c>
      <c r="AA6254" s="220">
        <f>SUM(X6254:Z6254)</f>
        <v>1134330</v>
      </c>
      <c r="AB6254" s="222">
        <v>46091</v>
      </c>
    </row>
    <row r="6255" spans="1:28" ht="17.100000000000001" customHeight="1" thickBot="1">
      <c r="A6255" s="227"/>
      <c r="B6255" s="27" t="s">
        <v>2654</v>
      </c>
      <c r="C6255" s="27">
        <v>3053</v>
      </c>
      <c r="D6255" s="14" t="s">
        <v>1548</v>
      </c>
      <c r="E6255" s="229"/>
      <c r="F6255" s="117" t="s">
        <v>17755</v>
      </c>
      <c r="G6255" s="26">
        <v>20557</v>
      </c>
      <c r="H6255" s="231"/>
      <c r="I6255" s="221"/>
      <c r="J6255" s="221"/>
      <c r="K6255" s="221"/>
      <c r="L6255" s="221"/>
      <c r="M6255" s="221"/>
      <c r="N6255" s="221"/>
      <c r="O6255" s="225"/>
      <c r="P6255" s="118" t="s">
        <v>4007</v>
      </c>
      <c r="Q6255" s="16" t="s">
        <v>20</v>
      </c>
      <c r="R6255" s="17" t="s">
        <v>1876</v>
      </c>
      <c r="S6255" s="121"/>
      <c r="T6255" s="122"/>
      <c r="U6255" s="22"/>
      <c r="V6255" s="123" t="s">
        <v>2472</v>
      </c>
      <c r="W6255" s="122">
        <v>60089</v>
      </c>
      <c r="X6255" s="221"/>
      <c r="Y6255" s="221"/>
      <c r="Z6255" s="221"/>
      <c r="AA6255" s="221"/>
      <c r="AB6255" s="223"/>
    </row>
    <row r="6256" spans="1:28" ht="17.100000000000001" customHeight="1" thickTop="1">
      <c r="A6256" s="226" t="s">
        <v>17759</v>
      </c>
      <c r="B6256" s="28">
        <v>46070</v>
      </c>
      <c r="C6256" s="25">
        <v>927</v>
      </c>
      <c r="D6256" s="13" t="s">
        <v>2324</v>
      </c>
      <c r="E6256" s="228"/>
      <c r="F6256" s="109" t="s">
        <v>9850</v>
      </c>
      <c r="G6256" s="24"/>
      <c r="H6256" s="230">
        <v>4</v>
      </c>
      <c r="I6256" s="220">
        <v>1404000</v>
      </c>
      <c r="J6256" s="220">
        <f>I6256*0.1</f>
        <v>140400</v>
      </c>
      <c r="K6256" s="220">
        <v>0</v>
      </c>
      <c r="L6256" s="220">
        <v>15100</v>
      </c>
      <c r="M6256" s="220">
        <v>15950</v>
      </c>
      <c r="N6256" s="220">
        <f>SUM(I6256:M6257)</f>
        <v>1575450</v>
      </c>
      <c r="O6256" s="224"/>
      <c r="P6256" s="110" t="s">
        <v>18154</v>
      </c>
      <c r="Q6256" s="15" t="s">
        <v>19</v>
      </c>
      <c r="R6256" s="205"/>
      <c r="S6256" s="189"/>
      <c r="T6256" s="114"/>
      <c r="U6256" s="21"/>
      <c r="V6256" s="115">
        <v>46081</v>
      </c>
      <c r="W6256" s="116">
        <v>1290</v>
      </c>
      <c r="X6256" s="220">
        <v>1570000</v>
      </c>
      <c r="Y6256" s="220">
        <f>X6256*0.1</f>
        <v>157000</v>
      </c>
      <c r="Z6256" s="220">
        <v>15100</v>
      </c>
      <c r="AA6256" s="220">
        <f>SUM(X6256:Z6256)</f>
        <v>1742100</v>
      </c>
      <c r="AB6256" s="222">
        <v>46084</v>
      </c>
    </row>
    <row r="6257" spans="1:28" ht="17.100000000000001" customHeight="1" thickBot="1">
      <c r="A6257" s="227"/>
      <c r="B6257" s="27" t="s">
        <v>2654</v>
      </c>
      <c r="C6257" s="27">
        <v>5015</v>
      </c>
      <c r="D6257" s="14" t="s">
        <v>2753</v>
      </c>
      <c r="E6257" s="229"/>
      <c r="F6257" s="117" t="s">
        <v>17773</v>
      </c>
      <c r="G6257" s="26">
        <v>24146</v>
      </c>
      <c r="H6257" s="231"/>
      <c r="I6257" s="221"/>
      <c r="J6257" s="221"/>
      <c r="K6257" s="221"/>
      <c r="L6257" s="221"/>
      <c r="M6257" s="221"/>
      <c r="N6257" s="221"/>
      <c r="O6257" s="225"/>
      <c r="P6257" s="118" t="s">
        <v>18155</v>
      </c>
      <c r="Q6257" s="16" t="s">
        <v>20</v>
      </c>
      <c r="R6257" s="17" t="s">
        <v>1876</v>
      </c>
      <c r="S6257" s="121" t="s">
        <v>18156</v>
      </c>
      <c r="T6257" s="122"/>
      <c r="U6257" s="22"/>
      <c r="V6257" s="123" t="s">
        <v>2472</v>
      </c>
      <c r="W6257" s="122">
        <v>80013</v>
      </c>
      <c r="X6257" s="221"/>
      <c r="Y6257" s="221"/>
      <c r="Z6257" s="221"/>
      <c r="AA6257" s="221"/>
      <c r="AB6257" s="223"/>
    </row>
    <row r="6258" spans="1:28" ht="17.100000000000001" customHeight="1" thickTop="1">
      <c r="A6258" s="226" t="s">
        <v>17760</v>
      </c>
      <c r="B6258" s="28">
        <v>46070</v>
      </c>
      <c r="C6258" s="25">
        <v>1228</v>
      </c>
      <c r="D6258" s="13" t="s">
        <v>1883</v>
      </c>
      <c r="E6258" s="228" t="s">
        <v>17756</v>
      </c>
      <c r="F6258" s="109" t="s">
        <v>17757</v>
      </c>
      <c r="G6258" s="24"/>
      <c r="H6258" s="230">
        <v>4.5</v>
      </c>
      <c r="I6258" s="220">
        <v>1462000</v>
      </c>
      <c r="J6258" s="220">
        <f>I6258*0.1</f>
        <v>146200</v>
      </c>
      <c r="K6258" s="220">
        <v>0</v>
      </c>
      <c r="L6258" s="220">
        <v>12510</v>
      </c>
      <c r="M6258" s="220">
        <v>15950</v>
      </c>
      <c r="N6258" s="220">
        <f>SUM(I6258:M6259)</f>
        <v>1636660</v>
      </c>
      <c r="O6258" s="224"/>
      <c r="P6258" s="110" t="s">
        <v>18160</v>
      </c>
      <c r="Q6258" s="15" t="s">
        <v>19</v>
      </c>
      <c r="R6258" s="205"/>
      <c r="S6258" s="189"/>
      <c r="T6258" s="114"/>
      <c r="U6258" s="21"/>
      <c r="V6258" s="115">
        <v>46095</v>
      </c>
      <c r="W6258" s="116">
        <v>1292</v>
      </c>
      <c r="X6258" s="220">
        <v>1555000</v>
      </c>
      <c r="Y6258" s="220">
        <f>X6258*0.1</f>
        <v>155500</v>
      </c>
      <c r="Z6258" s="220">
        <v>12510</v>
      </c>
      <c r="AA6258" s="220">
        <f>SUM(X6258:Z6258)</f>
        <v>1723010</v>
      </c>
      <c r="AB6258" s="222">
        <v>46098</v>
      </c>
    </row>
    <row r="6259" spans="1:28" ht="17.100000000000001" customHeight="1" thickBot="1">
      <c r="A6259" s="227"/>
      <c r="B6259" s="27" t="s">
        <v>2344</v>
      </c>
      <c r="C6259" s="27">
        <v>30057</v>
      </c>
      <c r="D6259" s="14" t="s">
        <v>131</v>
      </c>
      <c r="E6259" s="229"/>
      <c r="F6259" s="117" t="s">
        <v>17774</v>
      </c>
      <c r="G6259" s="26">
        <v>31480</v>
      </c>
      <c r="H6259" s="231"/>
      <c r="I6259" s="221"/>
      <c r="J6259" s="221"/>
      <c r="K6259" s="221"/>
      <c r="L6259" s="221"/>
      <c r="M6259" s="221"/>
      <c r="N6259" s="221"/>
      <c r="O6259" s="225"/>
      <c r="P6259" s="118" t="s">
        <v>16520</v>
      </c>
      <c r="Q6259" s="16" t="s">
        <v>20</v>
      </c>
      <c r="R6259" s="17" t="s">
        <v>1876</v>
      </c>
      <c r="S6259" s="121" t="s">
        <v>10356</v>
      </c>
      <c r="T6259" s="122"/>
      <c r="U6259" s="22"/>
      <c r="V6259" s="123" t="s">
        <v>2472</v>
      </c>
      <c r="W6259" s="122">
        <v>80188</v>
      </c>
      <c r="X6259" s="221"/>
      <c r="Y6259" s="221"/>
      <c r="Z6259" s="221"/>
      <c r="AA6259" s="221"/>
      <c r="AB6259" s="223"/>
    </row>
    <row r="6260" spans="1:28" ht="17.100000000000001" customHeight="1" thickTop="1">
      <c r="A6260" s="226" t="s">
        <v>17761</v>
      </c>
      <c r="B6260" s="28">
        <v>46070</v>
      </c>
      <c r="C6260" s="25">
        <v>978</v>
      </c>
      <c r="D6260" s="13" t="s">
        <v>2811</v>
      </c>
      <c r="E6260" s="228"/>
      <c r="F6260" s="109" t="s">
        <v>17777</v>
      </c>
      <c r="G6260" s="24"/>
      <c r="H6260" s="230">
        <v>4.5</v>
      </c>
      <c r="I6260" s="220">
        <v>918000</v>
      </c>
      <c r="J6260" s="220">
        <f>I6260*0.1</f>
        <v>91800</v>
      </c>
      <c r="K6260" s="220">
        <v>0</v>
      </c>
      <c r="L6260" s="220">
        <v>9140</v>
      </c>
      <c r="M6260" s="220">
        <v>22000</v>
      </c>
      <c r="N6260" s="220">
        <f>SUM(I6260:M6261)</f>
        <v>1040940</v>
      </c>
      <c r="O6260" s="224"/>
      <c r="P6260" s="110" t="s">
        <v>18608</v>
      </c>
      <c r="Q6260" s="15" t="s">
        <v>19</v>
      </c>
      <c r="R6260" s="205"/>
      <c r="S6260" s="189"/>
      <c r="T6260" s="114"/>
      <c r="U6260" s="21"/>
      <c r="V6260" s="115">
        <v>46088</v>
      </c>
      <c r="W6260" s="116">
        <v>1291</v>
      </c>
      <c r="X6260" s="220">
        <v>1005000</v>
      </c>
      <c r="Y6260" s="220">
        <f>X6260*0.1</f>
        <v>100500</v>
      </c>
      <c r="Z6260" s="220">
        <v>9140</v>
      </c>
      <c r="AA6260" s="220">
        <f>SUM(X6260:Z6260)</f>
        <v>1114640</v>
      </c>
      <c r="AB6260" s="222">
        <v>46091</v>
      </c>
    </row>
    <row r="6261" spans="1:28" ht="17.100000000000001" customHeight="1" thickBot="1">
      <c r="A6261" s="227"/>
      <c r="B6261" s="27" t="s">
        <v>17765</v>
      </c>
      <c r="C6261" s="27">
        <v>17</v>
      </c>
      <c r="D6261" s="14" t="s">
        <v>1548</v>
      </c>
      <c r="E6261" s="229"/>
      <c r="F6261" s="117" t="s">
        <v>17778</v>
      </c>
      <c r="G6261" s="26">
        <v>46370</v>
      </c>
      <c r="H6261" s="231"/>
      <c r="I6261" s="221"/>
      <c r="J6261" s="221"/>
      <c r="K6261" s="221"/>
      <c r="L6261" s="221"/>
      <c r="M6261" s="221"/>
      <c r="N6261" s="221"/>
      <c r="O6261" s="225"/>
      <c r="P6261" s="118" t="s">
        <v>12626</v>
      </c>
      <c r="Q6261" s="16" t="s">
        <v>20</v>
      </c>
      <c r="R6261" s="17" t="s">
        <v>2318</v>
      </c>
      <c r="S6261" s="121" t="s">
        <v>18609</v>
      </c>
      <c r="T6261" s="122"/>
      <c r="U6261" s="22"/>
      <c r="V6261" s="123" t="s">
        <v>2472</v>
      </c>
      <c r="W6261" s="122">
        <v>60090</v>
      </c>
      <c r="X6261" s="221"/>
      <c r="Y6261" s="221"/>
      <c r="Z6261" s="221"/>
      <c r="AA6261" s="221"/>
      <c r="AB6261" s="223"/>
    </row>
    <row r="6262" spans="1:28" ht="17.100000000000001" customHeight="1" thickTop="1">
      <c r="A6262" s="226" t="s">
        <v>17762</v>
      </c>
      <c r="B6262" s="28">
        <v>46070</v>
      </c>
      <c r="C6262" s="25">
        <v>978</v>
      </c>
      <c r="D6262" s="13" t="s">
        <v>3769</v>
      </c>
      <c r="E6262" s="228"/>
      <c r="F6262" s="109" t="s">
        <v>15607</v>
      </c>
      <c r="G6262" s="24"/>
      <c r="H6262" s="230">
        <v>4</v>
      </c>
      <c r="I6262" s="220">
        <v>428000</v>
      </c>
      <c r="J6262" s="220">
        <f>I6262*0.1</f>
        <v>42800</v>
      </c>
      <c r="K6262" s="220">
        <v>0</v>
      </c>
      <c r="L6262" s="220">
        <v>7140</v>
      </c>
      <c r="M6262" s="220">
        <v>22000</v>
      </c>
      <c r="N6262" s="220">
        <f>SUM(I6262:M6263)</f>
        <v>499940</v>
      </c>
      <c r="O6262" s="224"/>
      <c r="P6262" s="110" t="s">
        <v>18595</v>
      </c>
      <c r="Q6262" s="15" t="s">
        <v>19</v>
      </c>
      <c r="R6262" s="205"/>
      <c r="S6262" s="189" t="s">
        <v>758</v>
      </c>
      <c r="T6262" s="114"/>
      <c r="U6262" s="21"/>
      <c r="V6262" s="115">
        <v>46077</v>
      </c>
      <c r="W6262" s="116">
        <v>1930</v>
      </c>
      <c r="X6262" s="220">
        <v>562000</v>
      </c>
      <c r="Y6262" s="220">
        <f>X6262*0.1</f>
        <v>56200</v>
      </c>
      <c r="Z6262" s="220">
        <v>7140</v>
      </c>
      <c r="AA6262" s="220">
        <f>SUM(X6262:Z6262)</f>
        <v>625340</v>
      </c>
      <c r="AB6262" s="222"/>
    </row>
    <row r="6263" spans="1:28" ht="17.100000000000001" customHeight="1" thickBot="1">
      <c r="A6263" s="227"/>
      <c r="B6263" s="27" t="s">
        <v>17765</v>
      </c>
      <c r="C6263" s="27">
        <v>136</v>
      </c>
      <c r="D6263" s="14" t="s">
        <v>3731</v>
      </c>
      <c r="E6263" s="229"/>
      <c r="F6263" s="117" t="s">
        <v>17779</v>
      </c>
      <c r="G6263" s="26">
        <v>34580</v>
      </c>
      <c r="H6263" s="231"/>
      <c r="I6263" s="221"/>
      <c r="J6263" s="221"/>
      <c r="K6263" s="221"/>
      <c r="L6263" s="221"/>
      <c r="M6263" s="221"/>
      <c r="N6263" s="221"/>
      <c r="O6263" s="225"/>
      <c r="P6263" s="118" t="s">
        <v>2031</v>
      </c>
      <c r="Q6263" s="16" t="s">
        <v>20</v>
      </c>
      <c r="R6263" s="17" t="s">
        <v>2318</v>
      </c>
      <c r="S6263" s="121" t="s">
        <v>1661</v>
      </c>
      <c r="T6263" s="122"/>
      <c r="U6263" s="22"/>
      <c r="V6263" s="123" t="s">
        <v>2103</v>
      </c>
      <c r="W6263" s="122">
        <v>3443</v>
      </c>
      <c r="X6263" s="221"/>
      <c r="Y6263" s="221"/>
      <c r="Z6263" s="221"/>
      <c r="AA6263" s="221"/>
      <c r="AB6263" s="223"/>
    </row>
    <row r="6264" spans="1:28" ht="17.100000000000001" customHeight="1" thickTop="1">
      <c r="A6264" s="226" t="s">
        <v>17763</v>
      </c>
      <c r="B6264" s="28">
        <v>46070</v>
      </c>
      <c r="C6264" s="25">
        <v>978</v>
      </c>
      <c r="D6264" s="13" t="s">
        <v>2610</v>
      </c>
      <c r="E6264" s="228"/>
      <c r="F6264" s="109" t="s">
        <v>14903</v>
      </c>
      <c r="G6264" s="24"/>
      <c r="H6264" s="230">
        <v>4</v>
      </c>
      <c r="I6264" s="220">
        <v>709000</v>
      </c>
      <c r="J6264" s="220">
        <f>I6264*0.1</f>
        <v>70900</v>
      </c>
      <c r="K6264" s="220">
        <v>0</v>
      </c>
      <c r="L6264" s="220">
        <v>7150</v>
      </c>
      <c r="M6264" s="220">
        <v>22000</v>
      </c>
      <c r="N6264" s="220">
        <f>SUM(I6264:M6265)</f>
        <v>809050</v>
      </c>
      <c r="O6264" s="224"/>
      <c r="P6264" s="110" t="s">
        <v>18610</v>
      </c>
      <c r="Q6264" s="15" t="s">
        <v>19</v>
      </c>
      <c r="R6264" s="205"/>
      <c r="S6264" s="189" t="s">
        <v>25801</v>
      </c>
      <c r="T6264" s="114"/>
      <c r="U6264" s="21"/>
      <c r="V6264" s="115">
        <v>46116</v>
      </c>
      <c r="W6264" s="116">
        <v>1295</v>
      </c>
      <c r="X6264" s="220">
        <v>835000</v>
      </c>
      <c r="Y6264" s="220">
        <f>X6264*0.1</f>
        <v>83500</v>
      </c>
      <c r="Z6264" s="220">
        <v>7150</v>
      </c>
      <c r="AA6264" s="220">
        <f>SUM(X6264:Z6264)</f>
        <v>925650</v>
      </c>
      <c r="AB6264" s="222">
        <v>46119</v>
      </c>
    </row>
    <row r="6265" spans="1:28" ht="17.100000000000001" customHeight="1" thickBot="1">
      <c r="A6265" s="227"/>
      <c r="B6265" s="27" t="s">
        <v>17765</v>
      </c>
      <c r="C6265" s="27">
        <v>1006</v>
      </c>
      <c r="D6265" s="14" t="s">
        <v>1710</v>
      </c>
      <c r="E6265" s="229"/>
      <c r="F6265" s="117" t="s">
        <v>17780</v>
      </c>
      <c r="G6265" s="26">
        <v>47830</v>
      </c>
      <c r="H6265" s="231"/>
      <c r="I6265" s="221"/>
      <c r="J6265" s="221"/>
      <c r="K6265" s="221"/>
      <c r="L6265" s="221"/>
      <c r="M6265" s="221"/>
      <c r="N6265" s="221"/>
      <c r="O6265" s="225"/>
      <c r="P6265" s="118" t="s">
        <v>4946</v>
      </c>
      <c r="Q6265" s="16" t="s">
        <v>20</v>
      </c>
      <c r="R6265" s="17" t="s">
        <v>2318</v>
      </c>
      <c r="S6265" s="121" t="s">
        <v>9586</v>
      </c>
      <c r="T6265" s="122"/>
      <c r="U6265" s="22"/>
      <c r="V6265" s="123" t="s">
        <v>2472</v>
      </c>
      <c r="W6265" s="122">
        <v>62031</v>
      </c>
      <c r="X6265" s="221"/>
      <c r="Y6265" s="221"/>
      <c r="Z6265" s="221"/>
      <c r="AA6265" s="221"/>
      <c r="AB6265" s="223"/>
    </row>
    <row r="6266" spans="1:28" ht="17.100000000000001" customHeight="1" thickTop="1">
      <c r="A6266" s="226" t="s">
        <v>17764</v>
      </c>
      <c r="B6266" s="28">
        <v>46070</v>
      </c>
      <c r="C6266" s="25">
        <v>978</v>
      </c>
      <c r="D6266" s="13" t="s">
        <v>2379</v>
      </c>
      <c r="E6266" s="228"/>
      <c r="F6266" s="109" t="s">
        <v>14900</v>
      </c>
      <c r="G6266" s="24"/>
      <c r="H6266" s="230">
        <v>4.5</v>
      </c>
      <c r="I6266" s="220">
        <v>1128000</v>
      </c>
      <c r="J6266" s="220">
        <f>I6266*0.1</f>
        <v>112800</v>
      </c>
      <c r="K6266" s="220">
        <v>0</v>
      </c>
      <c r="L6266" s="220">
        <v>8350</v>
      </c>
      <c r="M6266" s="220">
        <v>22000</v>
      </c>
      <c r="N6266" s="220">
        <f>SUM(I6266:M6267)</f>
        <v>1271150</v>
      </c>
      <c r="O6266" s="224"/>
      <c r="P6266" s="110" t="s">
        <v>18611</v>
      </c>
      <c r="Q6266" s="15" t="s">
        <v>19</v>
      </c>
      <c r="R6266" s="205"/>
      <c r="S6266" s="189" t="s">
        <v>758</v>
      </c>
      <c r="T6266" s="114"/>
      <c r="U6266" s="21"/>
      <c r="V6266" s="115">
        <v>46084</v>
      </c>
      <c r="W6266" s="116">
        <v>1931</v>
      </c>
      <c r="X6266" s="220">
        <v>1158000</v>
      </c>
      <c r="Y6266" s="220">
        <f>X6266*0.1</f>
        <v>115800</v>
      </c>
      <c r="Z6266" s="220">
        <v>8350</v>
      </c>
      <c r="AA6266" s="220">
        <f>SUM(X6266:Z6266)</f>
        <v>1282150</v>
      </c>
      <c r="AB6266" s="222">
        <v>46091</v>
      </c>
    </row>
    <row r="6267" spans="1:28" ht="17.100000000000001" customHeight="1" thickBot="1">
      <c r="A6267" s="227"/>
      <c r="B6267" s="27" t="s">
        <v>17765</v>
      </c>
      <c r="C6267" s="27">
        <v>1011</v>
      </c>
      <c r="D6267" s="14" t="s">
        <v>1797</v>
      </c>
      <c r="E6267" s="229"/>
      <c r="F6267" s="117" t="s">
        <v>17781</v>
      </c>
      <c r="G6267" s="26">
        <v>4648</v>
      </c>
      <c r="H6267" s="231"/>
      <c r="I6267" s="221"/>
      <c r="J6267" s="221"/>
      <c r="K6267" s="221"/>
      <c r="L6267" s="221"/>
      <c r="M6267" s="221"/>
      <c r="N6267" s="221"/>
      <c r="O6267" s="225"/>
      <c r="P6267" s="118" t="s">
        <v>2446</v>
      </c>
      <c r="Q6267" s="16" t="s">
        <v>20</v>
      </c>
      <c r="R6267" s="17" t="s">
        <v>2318</v>
      </c>
      <c r="S6267" s="121" t="s">
        <v>17947</v>
      </c>
      <c r="T6267" s="122"/>
      <c r="U6267" s="22"/>
      <c r="V6267" s="123" t="s">
        <v>2103</v>
      </c>
      <c r="W6267" s="122">
        <v>3133</v>
      </c>
      <c r="X6267" s="221"/>
      <c r="Y6267" s="221"/>
      <c r="Z6267" s="221"/>
      <c r="AA6267" s="221"/>
      <c r="AB6267" s="223"/>
    </row>
    <row r="6268" spans="1:28" ht="17.100000000000001" customHeight="1" thickTop="1">
      <c r="A6268" s="226" t="s">
        <v>17782</v>
      </c>
      <c r="B6268" s="28">
        <v>46071</v>
      </c>
      <c r="C6268" s="25">
        <v>1005</v>
      </c>
      <c r="D6268" s="13" t="s">
        <v>1555</v>
      </c>
      <c r="E6268" s="228"/>
      <c r="F6268" s="109" t="s">
        <v>14902</v>
      </c>
      <c r="G6268" s="24" t="s">
        <v>10135</v>
      </c>
      <c r="H6268" s="230">
        <v>4.5</v>
      </c>
      <c r="I6268" s="220">
        <v>965000</v>
      </c>
      <c r="J6268" s="220">
        <f>I6268*0.1</f>
        <v>96500</v>
      </c>
      <c r="K6268" s="220">
        <v>0</v>
      </c>
      <c r="L6268" s="220">
        <v>7150</v>
      </c>
      <c r="M6268" s="220">
        <v>12100</v>
      </c>
      <c r="N6268" s="220">
        <f>SUM(I6268:M6269)</f>
        <v>1080750</v>
      </c>
      <c r="O6268" s="224"/>
      <c r="P6268" s="110" t="s">
        <v>17792</v>
      </c>
      <c r="Q6268" s="15" t="s">
        <v>19</v>
      </c>
      <c r="R6268" s="205"/>
      <c r="S6268" s="189"/>
      <c r="T6268" s="114"/>
      <c r="U6268" s="21" t="s">
        <v>20452</v>
      </c>
      <c r="V6268" s="115"/>
      <c r="W6268" s="116"/>
      <c r="X6268" s="220"/>
      <c r="Y6268" s="220">
        <f>X6268*0.1</f>
        <v>0</v>
      </c>
      <c r="Z6268" s="220"/>
      <c r="AA6268" s="220">
        <f>SUM(X6268:Z6268)</f>
        <v>0</v>
      </c>
      <c r="AB6268" s="222"/>
    </row>
    <row r="6269" spans="1:28" ht="17.100000000000001" customHeight="1" thickBot="1">
      <c r="A6269" s="227"/>
      <c r="B6269" s="27" t="s">
        <v>2747</v>
      </c>
      <c r="C6269" s="27">
        <v>1140</v>
      </c>
      <c r="D6269" s="14" t="s">
        <v>273</v>
      </c>
      <c r="E6269" s="229"/>
      <c r="F6269" s="117" t="s">
        <v>17787</v>
      </c>
      <c r="G6269" s="26">
        <v>59284</v>
      </c>
      <c r="H6269" s="231"/>
      <c r="I6269" s="221"/>
      <c r="J6269" s="221"/>
      <c r="K6269" s="221"/>
      <c r="L6269" s="221"/>
      <c r="M6269" s="221"/>
      <c r="N6269" s="221"/>
      <c r="O6269" s="225"/>
      <c r="P6269" s="118" t="s">
        <v>2749</v>
      </c>
      <c r="Q6269" s="16" t="s">
        <v>20</v>
      </c>
      <c r="R6269" s="17" t="s">
        <v>18270</v>
      </c>
      <c r="S6269" s="121" t="s">
        <v>169</v>
      </c>
      <c r="T6269" s="122"/>
      <c r="U6269" s="22"/>
      <c r="V6269" s="123"/>
      <c r="W6269" s="122"/>
      <c r="X6269" s="221"/>
      <c r="Y6269" s="221"/>
      <c r="Z6269" s="221"/>
      <c r="AA6269" s="221"/>
      <c r="AB6269" s="223"/>
    </row>
    <row r="6270" spans="1:28" ht="17.100000000000001" customHeight="1" thickTop="1">
      <c r="A6270" s="226" t="s">
        <v>17783</v>
      </c>
      <c r="B6270" s="28">
        <v>46071</v>
      </c>
      <c r="C6270" s="25">
        <v>1005</v>
      </c>
      <c r="D6270" s="13" t="s">
        <v>2422</v>
      </c>
      <c r="E6270" s="228"/>
      <c r="F6270" s="109" t="s">
        <v>14962</v>
      </c>
      <c r="G6270" s="24"/>
      <c r="H6270" s="230">
        <v>4.5</v>
      </c>
      <c r="I6270" s="220">
        <v>615000</v>
      </c>
      <c r="J6270" s="220">
        <f>I6270*0.1</f>
        <v>61500</v>
      </c>
      <c r="K6270" s="220">
        <v>0</v>
      </c>
      <c r="L6270" s="220">
        <v>9310</v>
      </c>
      <c r="M6270" s="220">
        <v>12100</v>
      </c>
      <c r="N6270" s="220">
        <f>SUM(I6270:M6271)</f>
        <v>697910</v>
      </c>
      <c r="O6270" s="224"/>
      <c r="P6270" s="110" t="s">
        <v>18525</v>
      </c>
      <c r="Q6270" s="15" t="s">
        <v>19</v>
      </c>
      <c r="R6270" s="205"/>
      <c r="S6270" s="189"/>
      <c r="T6270" s="114"/>
      <c r="U6270" s="21"/>
      <c r="V6270" s="115">
        <v>46081</v>
      </c>
      <c r="W6270" s="116">
        <v>1290</v>
      </c>
      <c r="X6270" s="220">
        <v>700000</v>
      </c>
      <c r="Y6270" s="220">
        <f>X6270*0.1</f>
        <v>70000</v>
      </c>
      <c r="Z6270" s="220">
        <v>9310</v>
      </c>
      <c r="AA6270" s="220">
        <f>SUM(X6270:Z6270)</f>
        <v>779310</v>
      </c>
      <c r="AB6270" s="222">
        <v>46084</v>
      </c>
    </row>
    <row r="6271" spans="1:28" ht="17.100000000000001" customHeight="1" thickBot="1">
      <c r="A6271" s="227"/>
      <c r="B6271" s="27" t="s">
        <v>2747</v>
      </c>
      <c r="C6271" s="27">
        <v>1178</v>
      </c>
      <c r="D6271" s="14" t="s">
        <v>3792</v>
      </c>
      <c r="E6271" s="229"/>
      <c r="F6271" s="117" t="s">
        <v>17788</v>
      </c>
      <c r="G6271" s="26">
        <v>57790</v>
      </c>
      <c r="H6271" s="231"/>
      <c r="I6271" s="221"/>
      <c r="J6271" s="221"/>
      <c r="K6271" s="221"/>
      <c r="L6271" s="221"/>
      <c r="M6271" s="221"/>
      <c r="N6271" s="221"/>
      <c r="O6271" s="225"/>
      <c r="P6271" s="118" t="s">
        <v>4094</v>
      </c>
      <c r="Q6271" s="16" t="s">
        <v>20</v>
      </c>
      <c r="R6271" s="17" t="s">
        <v>18270</v>
      </c>
      <c r="S6271" s="121" t="s">
        <v>169</v>
      </c>
      <c r="T6271" s="122"/>
      <c r="U6271" s="22"/>
      <c r="V6271" s="123" t="s">
        <v>2472</v>
      </c>
      <c r="W6271" s="122">
        <v>60069</v>
      </c>
      <c r="X6271" s="221"/>
      <c r="Y6271" s="221"/>
      <c r="Z6271" s="221"/>
      <c r="AA6271" s="221"/>
      <c r="AB6271" s="223"/>
    </row>
    <row r="6272" spans="1:28" ht="17.100000000000001" customHeight="1" thickTop="1">
      <c r="A6272" s="226" t="s">
        <v>17784</v>
      </c>
      <c r="B6272" s="28">
        <v>46071</v>
      </c>
      <c r="C6272" s="25">
        <v>1005</v>
      </c>
      <c r="D6272" s="13" t="s">
        <v>1878</v>
      </c>
      <c r="E6272" s="228"/>
      <c r="F6272" s="109" t="s">
        <v>7495</v>
      </c>
      <c r="G6272" s="24"/>
      <c r="H6272" s="230">
        <v>4.5</v>
      </c>
      <c r="I6272" s="220">
        <v>339000</v>
      </c>
      <c r="J6272" s="220">
        <f>I6272*0.1</f>
        <v>33900</v>
      </c>
      <c r="K6272" s="220">
        <v>0</v>
      </c>
      <c r="L6272" s="220">
        <v>9170</v>
      </c>
      <c r="M6272" s="220">
        <v>11000</v>
      </c>
      <c r="N6272" s="220">
        <f>SUM(I6272:M6273)</f>
        <v>393070</v>
      </c>
      <c r="O6272" s="224"/>
      <c r="P6272" s="110" t="s">
        <v>18272</v>
      </c>
      <c r="Q6272" s="15" t="s">
        <v>19</v>
      </c>
      <c r="R6272" s="205"/>
      <c r="S6272" s="189"/>
      <c r="T6272" s="114"/>
      <c r="U6272" s="21"/>
      <c r="V6272" s="115">
        <v>46074</v>
      </c>
      <c r="W6272" s="116">
        <v>1289</v>
      </c>
      <c r="X6272" s="220">
        <v>385000</v>
      </c>
      <c r="Y6272" s="220">
        <f>X6272*0.1</f>
        <v>38500</v>
      </c>
      <c r="Z6272" s="220">
        <v>9170</v>
      </c>
      <c r="AA6272" s="220">
        <f>SUM(X6272:Z6272)</f>
        <v>432670</v>
      </c>
      <c r="AB6272" s="222">
        <v>46080</v>
      </c>
    </row>
    <row r="6273" spans="1:28" ht="17.100000000000001" customHeight="1" thickBot="1">
      <c r="A6273" s="227"/>
      <c r="B6273" s="27" t="s">
        <v>2747</v>
      </c>
      <c r="C6273" s="27">
        <v>3062</v>
      </c>
      <c r="D6273" s="14" t="s">
        <v>17793</v>
      </c>
      <c r="E6273" s="229"/>
      <c r="F6273" s="117" t="s">
        <v>17789</v>
      </c>
      <c r="G6273" s="26">
        <v>8715</v>
      </c>
      <c r="H6273" s="231"/>
      <c r="I6273" s="221"/>
      <c r="J6273" s="221"/>
      <c r="K6273" s="221"/>
      <c r="L6273" s="221"/>
      <c r="M6273" s="221"/>
      <c r="N6273" s="221"/>
      <c r="O6273" s="225"/>
      <c r="P6273" s="118" t="s">
        <v>18273</v>
      </c>
      <c r="Q6273" s="16" t="s">
        <v>20</v>
      </c>
      <c r="R6273" s="17" t="s">
        <v>3913</v>
      </c>
      <c r="S6273" s="121"/>
      <c r="T6273" s="122"/>
      <c r="U6273" s="22"/>
      <c r="V6273" s="123" t="s">
        <v>2472</v>
      </c>
      <c r="W6273" s="122">
        <v>60403</v>
      </c>
      <c r="X6273" s="221"/>
      <c r="Y6273" s="221"/>
      <c r="Z6273" s="221"/>
      <c r="AA6273" s="221"/>
      <c r="AB6273" s="223"/>
    </row>
    <row r="6274" spans="1:28" ht="17.100000000000001" customHeight="1" thickTop="1">
      <c r="A6274" s="226" t="s">
        <v>17785</v>
      </c>
      <c r="B6274" s="28">
        <v>46071</v>
      </c>
      <c r="C6274" s="25">
        <v>1005</v>
      </c>
      <c r="D6274" s="13" t="s">
        <v>1824</v>
      </c>
      <c r="E6274" s="228"/>
      <c r="F6274" s="109" t="s">
        <v>17790</v>
      </c>
      <c r="G6274" s="24"/>
      <c r="H6274" s="230">
        <v>4</v>
      </c>
      <c r="I6274" s="220">
        <v>231000</v>
      </c>
      <c r="J6274" s="220">
        <f>I6274*0.1</f>
        <v>23100</v>
      </c>
      <c r="K6274" s="220">
        <v>0</v>
      </c>
      <c r="L6274" s="220">
        <v>9670</v>
      </c>
      <c r="M6274" s="220">
        <v>11000</v>
      </c>
      <c r="N6274" s="220">
        <f>SUM(I6274:M6275)</f>
        <v>274770</v>
      </c>
      <c r="O6274" s="224"/>
      <c r="P6274" s="110" t="s">
        <v>18526</v>
      </c>
      <c r="Q6274" s="15" t="s">
        <v>19</v>
      </c>
      <c r="R6274" s="205"/>
      <c r="S6274" s="189"/>
      <c r="T6274" s="114"/>
      <c r="U6274" s="21"/>
      <c r="V6274" s="115">
        <v>46116</v>
      </c>
      <c r="W6274" s="116">
        <v>1295</v>
      </c>
      <c r="X6274" s="220">
        <v>400000</v>
      </c>
      <c r="Y6274" s="220">
        <f>X6274*0.1</f>
        <v>40000</v>
      </c>
      <c r="Z6274" s="220">
        <v>9670</v>
      </c>
      <c r="AA6274" s="220">
        <f>SUM(X6274:Z6274)</f>
        <v>449670</v>
      </c>
      <c r="AB6274" s="222">
        <v>46119</v>
      </c>
    </row>
    <row r="6275" spans="1:28" ht="17.100000000000001" customHeight="1" thickBot="1">
      <c r="A6275" s="227"/>
      <c r="B6275" s="27" t="s">
        <v>2747</v>
      </c>
      <c r="C6275" s="27">
        <v>3130</v>
      </c>
      <c r="D6275" s="14" t="s">
        <v>2559</v>
      </c>
      <c r="E6275" s="229"/>
      <c r="F6275" s="117" t="s">
        <v>17791</v>
      </c>
      <c r="G6275" s="26">
        <v>52835</v>
      </c>
      <c r="H6275" s="231"/>
      <c r="I6275" s="221"/>
      <c r="J6275" s="221"/>
      <c r="K6275" s="221"/>
      <c r="L6275" s="221"/>
      <c r="M6275" s="221"/>
      <c r="N6275" s="221"/>
      <c r="O6275" s="225"/>
      <c r="P6275" s="118" t="s">
        <v>18273</v>
      </c>
      <c r="Q6275" s="16" t="s">
        <v>20</v>
      </c>
      <c r="R6275" s="17" t="s">
        <v>18270</v>
      </c>
      <c r="S6275" s="121"/>
      <c r="T6275" s="122"/>
      <c r="U6275" s="22"/>
      <c r="V6275" s="123" t="s">
        <v>2472</v>
      </c>
      <c r="W6275" s="122">
        <v>60572</v>
      </c>
      <c r="X6275" s="221"/>
      <c r="Y6275" s="221"/>
      <c r="Z6275" s="221"/>
      <c r="AA6275" s="221"/>
      <c r="AB6275" s="223"/>
    </row>
    <row r="6276" spans="1:28" ht="17.100000000000001" customHeight="1" thickTop="1">
      <c r="A6276" s="226" t="s">
        <v>17786</v>
      </c>
      <c r="B6276" s="28">
        <v>46071</v>
      </c>
      <c r="C6276" s="25">
        <v>1005</v>
      </c>
      <c r="D6276" s="13" t="s">
        <v>4739</v>
      </c>
      <c r="E6276" s="228"/>
      <c r="F6276" s="109" t="s">
        <v>15553</v>
      </c>
      <c r="G6276" s="24"/>
      <c r="H6276" s="230">
        <v>4</v>
      </c>
      <c r="I6276" s="220">
        <v>470000</v>
      </c>
      <c r="J6276" s="220">
        <f>I6276*0.1</f>
        <v>47000</v>
      </c>
      <c r="K6276" s="220">
        <v>0</v>
      </c>
      <c r="L6276" s="220">
        <v>19440</v>
      </c>
      <c r="M6276" s="220">
        <v>9900</v>
      </c>
      <c r="N6276" s="220">
        <f>SUM(I6276:M6277)</f>
        <v>546340</v>
      </c>
      <c r="O6276" s="224"/>
      <c r="P6276" s="110" t="s">
        <v>18480</v>
      </c>
      <c r="Q6276" s="15" t="s">
        <v>19</v>
      </c>
      <c r="R6276" s="205"/>
      <c r="S6276" s="189" t="s">
        <v>758</v>
      </c>
      <c r="T6276" s="114"/>
      <c r="U6276" s="21"/>
      <c r="V6276" s="115">
        <v>46081</v>
      </c>
      <c r="W6276" s="116">
        <v>1290</v>
      </c>
      <c r="X6276" s="220">
        <v>700000</v>
      </c>
      <c r="Y6276" s="220">
        <f>X6276*0.1</f>
        <v>70000</v>
      </c>
      <c r="Z6276" s="220">
        <v>19440</v>
      </c>
      <c r="AA6276" s="220">
        <f>SUM(X6276:Z6276)</f>
        <v>789440</v>
      </c>
      <c r="AB6276" s="222">
        <v>46084</v>
      </c>
    </row>
    <row r="6277" spans="1:28" ht="17.100000000000001" customHeight="1" thickBot="1">
      <c r="A6277" s="227"/>
      <c r="B6277" s="27" t="s">
        <v>2747</v>
      </c>
      <c r="C6277" s="27">
        <v>10127</v>
      </c>
      <c r="D6277" s="14" t="s">
        <v>273</v>
      </c>
      <c r="E6277" s="229"/>
      <c r="F6277" s="117" t="s">
        <v>17794</v>
      </c>
      <c r="G6277" s="26">
        <v>88934</v>
      </c>
      <c r="H6277" s="231"/>
      <c r="I6277" s="221"/>
      <c r="J6277" s="221"/>
      <c r="K6277" s="221"/>
      <c r="L6277" s="221"/>
      <c r="M6277" s="221"/>
      <c r="N6277" s="221"/>
      <c r="O6277" s="225"/>
      <c r="P6277" s="118" t="s">
        <v>18481</v>
      </c>
      <c r="Q6277" s="16" t="s">
        <v>20</v>
      </c>
      <c r="R6277" s="17" t="s">
        <v>3559</v>
      </c>
      <c r="S6277" s="121" t="s">
        <v>1731</v>
      </c>
      <c r="T6277" s="122"/>
      <c r="U6277" s="22"/>
      <c r="V6277" s="123" t="s">
        <v>2472</v>
      </c>
      <c r="W6277" s="122">
        <v>80058</v>
      </c>
      <c r="X6277" s="221"/>
      <c r="Y6277" s="221"/>
      <c r="Z6277" s="221"/>
      <c r="AA6277" s="221"/>
      <c r="AB6277" s="223"/>
    </row>
    <row r="6278" spans="1:28" ht="17.100000000000001" customHeight="1" thickTop="1">
      <c r="A6278" s="226" t="s">
        <v>17819</v>
      </c>
      <c r="B6278" s="28">
        <v>46072</v>
      </c>
      <c r="C6278" s="25">
        <v>1971</v>
      </c>
      <c r="D6278" s="13" t="s">
        <v>2406</v>
      </c>
      <c r="E6278" s="228"/>
      <c r="F6278" s="109" t="s">
        <v>17812</v>
      </c>
      <c r="G6278" s="24"/>
      <c r="H6278" s="230">
        <v>4.5</v>
      </c>
      <c r="I6278" s="220">
        <v>1401000</v>
      </c>
      <c r="J6278" s="220">
        <f>I6278*0.1</f>
        <v>140100</v>
      </c>
      <c r="K6278" s="220">
        <v>0</v>
      </c>
      <c r="L6278" s="220">
        <v>12450</v>
      </c>
      <c r="M6278" s="220">
        <v>15950</v>
      </c>
      <c r="N6278" s="220">
        <f>SUM(I6278:M6279)</f>
        <v>1569500</v>
      </c>
      <c r="O6278" s="224"/>
      <c r="P6278" s="110" t="s">
        <v>18172</v>
      </c>
      <c r="Q6278" s="15" t="s">
        <v>19</v>
      </c>
      <c r="R6278" s="205"/>
      <c r="S6278" s="189"/>
      <c r="T6278" s="114"/>
      <c r="U6278" s="21"/>
      <c r="V6278" s="115">
        <v>46088</v>
      </c>
      <c r="W6278" s="116">
        <v>1291</v>
      </c>
      <c r="X6278" s="220">
        <v>1570000</v>
      </c>
      <c r="Y6278" s="220">
        <f>X6278*0.1</f>
        <v>157000</v>
      </c>
      <c r="Z6278" s="220">
        <v>12450</v>
      </c>
      <c r="AA6278" s="220">
        <f>SUM(X6278:Z6278)</f>
        <v>1739450</v>
      </c>
      <c r="AB6278" s="222">
        <v>46091</v>
      </c>
    </row>
    <row r="6279" spans="1:28" ht="17.100000000000001" customHeight="1" thickBot="1">
      <c r="A6279" s="227"/>
      <c r="B6279" s="27" t="s">
        <v>3730</v>
      </c>
      <c r="C6279" s="27">
        <v>5002</v>
      </c>
      <c r="D6279" s="14" t="s">
        <v>898</v>
      </c>
      <c r="E6279" s="229"/>
      <c r="F6279" s="117" t="s">
        <v>17813</v>
      </c>
      <c r="G6279" s="26">
        <v>40781</v>
      </c>
      <c r="H6279" s="231"/>
      <c r="I6279" s="221"/>
      <c r="J6279" s="221"/>
      <c r="K6279" s="221"/>
      <c r="L6279" s="221"/>
      <c r="M6279" s="221"/>
      <c r="N6279" s="221"/>
      <c r="O6279" s="225"/>
      <c r="P6279" s="118" t="s">
        <v>18173</v>
      </c>
      <c r="Q6279" s="16" t="s">
        <v>20</v>
      </c>
      <c r="R6279" s="17" t="s">
        <v>1869</v>
      </c>
      <c r="S6279" s="121" t="s">
        <v>18369</v>
      </c>
      <c r="T6279" s="122"/>
      <c r="U6279" s="22"/>
      <c r="V6279" s="123" t="s">
        <v>2472</v>
      </c>
      <c r="W6279" s="122">
        <v>80377</v>
      </c>
      <c r="X6279" s="221"/>
      <c r="Y6279" s="221"/>
      <c r="Z6279" s="221"/>
      <c r="AA6279" s="221"/>
      <c r="AB6279" s="223"/>
    </row>
    <row r="6280" spans="1:28" ht="17.100000000000001" customHeight="1" thickTop="1">
      <c r="A6280" s="226" t="s">
        <v>17820</v>
      </c>
      <c r="B6280" s="28">
        <v>46072</v>
      </c>
      <c r="C6280" s="25">
        <v>1971</v>
      </c>
      <c r="D6280" s="13" t="s">
        <v>2017</v>
      </c>
      <c r="E6280" s="228"/>
      <c r="F6280" s="109" t="s">
        <v>17814</v>
      </c>
      <c r="G6280" s="24" t="s">
        <v>4315</v>
      </c>
      <c r="H6280" s="230">
        <v>5</v>
      </c>
      <c r="I6280" s="220">
        <v>846000</v>
      </c>
      <c r="J6280" s="220">
        <f>I6280*0.1</f>
        <v>84600</v>
      </c>
      <c r="K6280" s="220">
        <v>0</v>
      </c>
      <c r="L6280" s="220">
        <v>9150</v>
      </c>
      <c r="M6280" s="220">
        <v>15950</v>
      </c>
      <c r="N6280" s="220">
        <f>SUM(I6280:M6281)</f>
        <v>955700</v>
      </c>
      <c r="O6280" s="224"/>
      <c r="P6280" s="110" t="s">
        <v>17816</v>
      </c>
      <c r="Q6280" s="15" t="s">
        <v>19</v>
      </c>
      <c r="R6280" s="205"/>
      <c r="S6280" s="189"/>
      <c r="T6280" s="114"/>
      <c r="U6280" s="21" t="s">
        <v>20458</v>
      </c>
      <c r="V6280" s="115">
        <v>46116</v>
      </c>
      <c r="W6280" s="116">
        <v>1295</v>
      </c>
      <c r="X6280" s="220">
        <v>925000</v>
      </c>
      <c r="Y6280" s="220">
        <f>X6280*0.1</f>
        <v>92500</v>
      </c>
      <c r="Z6280" s="220">
        <v>9150</v>
      </c>
      <c r="AA6280" s="220">
        <f>SUM(X6280:Z6280)</f>
        <v>1026650</v>
      </c>
      <c r="AB6280" s="222">
        <v>46119</v>
      </c>
    </row>
    <row r="6281" spans="1:28" ht="17.100000000000001" customHeight="1" thickBot="1">
      <c r="A6281" s="227"/>
      <c r="B6281" s="27" t="s">
        <v>3730</v>
      </c>
      <c r="C6281" s="27">
        <v>5439</v>
      </c>
      <c r="D6281" s="14" t="s">
        <v>1710</v>
      </c>
      <c r="E6281" s="229"/>
      <c r="F6281" s="117" t="s">
        <v>17815</v>
      </c>
      <c r="G6281" s="26">
        <v>3044</v>
      </c>
      <c r="H6281" s="231"/>
      <c r="I6281" s="221"/>
      <c r="J6281" s="221"/>
      <c r="K6281" s="221"/>
      <c r="L6281" s="221"/>
      <c r="M6281" s="221"/>
      <c r="N6281" s="221"/>
      <c r="O6281" s="225"/>
      <c r="P6281" s="118" t="s">
        <v>10645</v>
      </c>
      <c r="Q6281" s="16" t="s">
        <v>20</v>
      </c>
      <c r="R6281" s="17" t="s">
        <v>3559</v>
      </c>
      <c r="S6281" s="121" t="s">
        <v>10120</v>
      </c>
      <c r="T6281" s="122"/>
      <c r="U6281" s="22"/>
      <c r="V6281" s="123" t="s">
        <v>2472</v>
      </c>
      <c r="W6281" s="122">
        <v>60081</v>
      </c>
      <c r="X6281" s="221"/>
      <c r="Y6281" s="221"/>
      <c r="Z6281" s="221"/>
      <c r="AA6281" s="221"/>
      <c r="AB6281" s="223"/>
    </row>
    <row r="6282" spans="1:28" ht="17.100000000000001" customHeight="1" thickTop="1">
      <c r="A6282" s="226" t="s">
        <v>17821</v>
      </c>
      <c r="B6282" s="28">
        <v>46072</v>
      </c>
      <c r="C6282" s="25">
        <v>1319</v>
      </c>
      <c r="D6282" s="13" t="s">
        <v>1702</v>
      </c>
      <c r="E6282" s="228"/>
      <c r="F6282" s="109" t="s">
        <v>17835</v>
      </c>
      <c r="G6282" s="24"/>
      <c r="H6282" s="230">
        <v>4.5</v>
      </c>
      <c r="I6282" s="220">
        <v>850000</v>
      </c>
      <c r="J6282" s="220">
        <f>I6282*0.1</f>
        <v>85000</v>
      </c>
      <c r="K6282" s="220">
        <v>0</v>
      </c>
      <c r="L6282" s="220">
        <v>22520</v>
      </c>
      <c r="M6282" s="220">
        <v>16500</v>
      </c>
      <c r="N6282" s="220">
        <f>SUM(I6282:M6283)</f>
        <v>974020</v>
      </c>
      <c r="O6282" s="224"/>
      <c r="P6282" s="110" t="s">
        <v>18174</v>
      </c>
      <c r="Q6282" s="15" t="s">
        <v>19</v>
      </c>
      <c r="R6282" s="205"/>
      <c r="S6282" s="189" t="s">
        <v>25367</v>
      </c>
      <c r="T6282" s="114"/>
      <c r="U6282" s="21"/>
      <c r="V6282" s="115">
        <v>46074</v>
      </c>
      <c r="W6282" s="116">
        <v>1289</v>
      </c>
      <c r="X6282" s="220">
        <v>1040000</v>
      </c>
      <c r="Y6282" s="220">
        <f>X6282*0.1</f>
        <v>104000</v>
      </c>
      <c r="Z6282" s="220">
        <v>22520</v>
      </c>
      <c r="AA6282" s="220">
        <f>SUM(X6282:Z6282)</f>
        <v>1166520</v>
      </c>
      <c r="AB6282" s="222">
        <v>46079</v>
      </c>
    </row>
    <row r="6283" spans="1:28" ht="17.100000000000001" customHeight="1" thickBot="1">
      <c r="A6283" s="227"/>
      <c r="B6283" s="27" t="s">
        <v>13379</v>
      </c>
      <c r="C6283" s="27">
        <v>13</v>
      </c>
      <c r="D6283" s="14" t="s">
        <v>2059</v>
      </c>
      <c r="E6283" s="229"/>
      <c r="F6283" s="117" t="s">
        <v>17826</v>
      </c>
      <c r="G6283" s="26">
        <v>35600</v>
      </c>
      <c r="H6283" s="231"/>
      <c r="I6283" s="221"/>
      <c r="J6283" s="221"/>
      <c r="K6283" s="221"/>
      <c r="L6283" s="221"/>
      <c r="M6283" s="221"/>
      <c r="N6283" s="221"/>
      <c r="O6283" s="225"/>
      <c r="P6283" s="118" t="s">
        <v>18175</v>
      </c>
      <c r="Q6283" s="16" t="s">
        <v>20</v>
      </c>
      <c r="R6283" s="17" t="s">
        <v>1869</v>
      </c>
      <c r="S6283" s="121" t="s">
        <v>9091</v>
      </c>
      <c r="T6283" s="122" t="s">
        <v>18176</v>
      </c>
      <c r="U6283" s="22"/>
      <c r="V6283" s="123" t="s">
        <v>2472</v>
      </c>
      <c r="W6283" s="122">
        <v>80379</v>
      </c>
      <c r="X6283" s="221"/>
      <c r="Y6283" s="221"/>
      <c r="Z6283" s="221"/>
      <c r="AA6283" s="221"/>
      <c r="AB6283" s="223"/>
    </row>
    <row r="6284" spans="1:28" ht="17.100000000000001" customHeight="1" thickTop="1">
      <c r="A6284" s="226" t="s">
        <v>17822</v>
      </c>
      <c r="B6284" s="28">
        <v>46072</v>
      </c>
      <c r="C6284" s="25">
        <v>1319</v>
      </c>
      <c r="D6284" s="13" t="s">
        <v>1931</v>
      </c>
      <c r="E6284" s="228"/>
      <c r="F6284" s="109" t="s">
        <v>17156</v>
      </c>
      <c r="G6284" s="24"/>
      <c r="H6284" s="230">
        <v>4.5</v>
      </c>
      <c r="I6284" s="220">
        <v>785000</v>
      </c>
      <c r="J6284" s="220">
        <f>I6284*0.1</f>
        <v>78500</v>
      </c>
      <c r="K6284" s="220">
        <v>0</v>
      </c>
      <c r="L6284" s="220">
        <v>16580</v>
      </c>
      <c r="M6284" s="220">
        <v>16500</v>
      </c>
      <c r="N6284" s="220">
        <f>SUM(I6284:M6285)</f>
        <v>896580</v>
      </c>
      <c r="O6284" s="224"/>
      <c r="P6284" s="110" t="s">
        <v>18164</v>
      </c>
      <c r="Q6284" s="15" t="s">
        <v>19</v>
      </c>
      <c r="R6284" s="205"/>
      <c r="S6284" s="189" t="s">
        <v>1361</v>
      </c>
      <c r="T6284" s="114"/>
      <c r="U6284" s="21"/>
      <c r="V6284" s="115">
        <v>46088</v>
      </c>
      <c r="W6284" s="116">
        <v>1291</v>
      </c>
      <c r="X6284" s="220">
        <v>920000</v>
      </c>
      <c r="Y6284" s="220">
        <f>X6284*0.1</f>
        <v>92000</v>
      </c>
      <c r="Z6284" s="220">
        <v>16580</v>
      </c>
      <c r="AA6284" s="220">
        <f>SUM(X6284:Z6284)</f>
        <v>1028580</v>
      </c>
      <c r="AB6284" s="222">
        <v>46091</v>
      </c>
    </row>
    <row r="6285" spans="1:28" ht="17.100000000000001" customHeight="1" thickBot="1">
      <c r="A6285" s="227"/>
      <c r="B6285" s="27" t="s">
        <v>13379</v>
      </c>
      <c r="C6285" s="27">
        <v>62</v>
      </c>
      <c r="D6285" s="14" t="s">
        <v>1548</v>
      </c>
      <c r="E6285" s="229"/>
      <c r="F6285" s="117" t="s">
        <v>17827</v>
      </c>
      <c r="G6285" s="26">
        <v>30886</v>
      </c>
      <c r="H6285" s="231"/>
      <c r="I6285" s="221"/>
      <c r="J6285" s="221"/>
      <c r="K6285" s="221"/>
      <c r="L6285" s="221"/>
      <c r="M6285" s="221"/>
      <c r="N6285" s="221"/>
      <c r="O6285" s="225"/>
      <c r="P6285" s="118" t="s">
        <v>10534</v>
      </c>
      <c r="Q6285" s="16" t="s">
        <v>20</v>
      </c>
      <c r="R6285" s="17" t="s">
        <v>1876</v>
      </c>
      <c r="S6285" s="121" t="s">
        <v>3754</v>
      </c>
      <c r="T6285" s="122"/>
      <c r="U6285" s="22"/>
      <c r="V6285" s="123" t="s">
        <v>2472</v>
      </c>
      <c r="W6285" s="122">
        <v>80120</v>
      </c>
      <c r="X6285" s="221"/>
      <c r="Y6285" s="221"/>
      <c r="Z6285" s="221"/>
      <c r="AA6285" s="221"/>
      <c r="AB6285" s="223"/>
    </row>
    <row r="6286" spans="1:28" ht="17.100000000000001" customHeight="1" thickTop="1">
      <c r="A6286" s="226" t="s">
        <v>17823</v>
      </c>
      <c r="B6286" s="28">
        <v>46072</v>
      </c>
      <c r="C6286" s="25">
        <v>1319</v>
      </c>
      <c r="D6286" s="13" t="s">
        <v>2964</v>
      </c>
      <c r="E6286" s="228"/>
      <c r="F6286" s="109" t="s">
        <v>17828</v>
      </c>
      <c r="G6286" s="24" t="s">
        <v>4120</v>
      </c>
      <c r="H6286" s="230">
        <v>4</v>
      </c>
      <c r="I6286" s="220">
        <v>2890000</v>
      </c>
      <c r="J6286" s="220">
        <f>I6286*0.1</f>
        <v>289000</v>
      </c>
      <c r="K6286" s="220">
        <v>3300</v>
      </c>
      <c r="L6286" s="220">
        <v>21140</v>
      </c>
      <c r="M6286" s="220">
        <v>16500</v>
      </c>
      <c r="N6286" s="220">
        <f>SUM(I6286:M6287)</f>
        <v>3219940</v>
      </c>
      <c r="O6286" s="224"/>
      <c r="P6286" s="110" t="s">
        <v>17836</v>
      </c>
      <c r="Q6286" s="15" t="s">
        <v>19</v>
      </c>
      <c r="R6286" s="205"/>
      <c r="S6286" s="189" t="s">
        <v>1306</v>
      </c>
      <c r="T6286" s="114"/>
      <c r="U6286" s="21"/>
      <c r="V6286" s="115">
        <v>46081</v>
      </c>
      <c r="W6286" s="116">
        <v>1290</v>
      </c>
      <c r="X6286" s="220">
        <v>3085000</v>
      </c>
      <c r="Y6286" s="220">
        <f>X6286*0.1</f>
        <v>308500</v>
      </c>
      <c r="Z6286" s="220">
        <v>21140</v>
      </c>
      <c r="AA6286" s="220">
        <f>SUM(X6286:Z6286)</f>
        <v>3414640</v>
      </c>
      <c r="AB6286" s="222">
        <v>46084</v>
      </c>
    </row>
    <row r="6287" spans="1:28" ht="17.100000000000001" customHeight="1" thickBot="1">
      <c r="A6287" s="227"/>
      <c r="B6287" s="27" t="s">
        <v>13379</v>
      </c>
      <c r="C6287" s="27">
        <v>532</v>
      </c>
      <c r="D6287" s="14" t="s">
        <v>273</v>
      </c>
      <c r="E6287" s="229"/>
      <c r="F6287" s="117" t="s">
        <v>17829</v>
      </c>
      <c r="G6287" s="26">
        <v>40696</v>
      </c>
      <c r="H6287" s="231"/>
      <c r="I6287" s="221"/>
      <c r="J6287" s="221"/>
      <c r="K6287" s="221"/>
      <c r="L6287" s="221"/>
      <c r="M6287" s="221"/>
      <c r="N6287" s="221"/>
      <c r="O6287" s="225"/>
      <c r="P6287" s="118" t="s">
        <v>11562</v>
      </c>
      <c r="Q6287" s="16" t="s">
        <v>20</v>
      </c>
      <c r="R6287" s="17" t="s">
        <v>1869</v>
      </c>
      <c r="S6287" s="121" t="s">
        <v>1606</v>
      </c>
      <c r="T6287" s="122"/>
      <c r="U6287" s="22"/>
      <c r="V6287" s="123" t="s">
        <v>2472</v>
      </c>
      <c r="W6287" s="122">
        <v>80019</v>
      </c>
      <c r="X6287" s="221"/>
      <c r="Y6287" s="221"/>
      <c r="Z6287" s="221"/>
      <c r="AA6287" s="221"/>
      <c r="AB6287" s="223"/>
    </row>
    <row r="6288" spans="1:28" ht="17.100000000000001" customHeight="1" thickTop="1">
      <c r="A6288" s="226" t="s">
        <v>17824</v>
      </c>
      <c r="B6288" s="28">
        <v>46072</v>
      </c>
      <c r="C6288" s="25">
        <v>1319</v>
      </c>
      <c r="D6288" s="13" t="s">
        <v>1632</v>
      </c>
      <c r="E6288" s="228"/>
      <c r="F6288" s="109" t="s">
        <v>17830</v>
      </c>
      <c r="G6288" s="24"/>
      <c r="H6288" s="230">
        <v>4.5</v>
      </c>
      <c r="I6288" s="220">
        <v>1455000</v>
      </c>
      <c r="J6288" s="220">
        <f>I6288*0.1</f>
        <v>145500</v>
      </c>
      <c r="K6288" s="220">
        <v>0</v>
      </c>
      <c r="L6288" s="220">
        <v>12550</v>
      </c>
      <c r="M6288" s="220">
        <v>18700</v>
      </c>
      <c r="N6288" s="220">
        <f>SUM(I6288:M6289)</f>
        <v>1631750</v>
      </c>
      <c r="O6288" s="224"/>
      <c r="P6288" s="110" t="s">
        <v>18177</v>
      </c>
      <c r="Q6288" s="15" t="s">
        <v>19</v>
      </c>
      <c r="R6288" s="205"/>
      <c r="S6288" s="189" t="s">
        <v>25802</v>
      </c>
      <c r="T6288" s="114"/>
      <c r="U6288" s="21"/>
      <c r="V6288" s="115">
        <v>46088</v>
      </c>
      <c r="W6288" s="116">
        <v>1291</v>
      </c>
      <c r="X6288" s="220">
        <v>1530000</v>
      </c>
      <c r="Y6288" s="220">
        <f>X6288*0.1</f>
        <v>153000</v>
      </c>
      <c r="Z6288" s="220">
        <v>12550</v>
      </c>
      <c r="AA6288" s="220">
        <f>SUM(X6288:Z6288)</f>
        <v>1695550</v>
      </c>
      <c r="AB6288" s="222">
        <v>46091</v>
      </c>
    </row>
    <row r="6289" spans="1:28" ht="17.100000000000001" customHeight="1" thickBot="1">
      <c r="A6289" s="227"/>
      <c r="B6289" s="27" t="s">
        <v>13379</v>
      </c>
      <c r="C6289" s="27">
        <v>607</v>
      </c>
      <c r="D6289" s="14" t="s">
        <v>273</v>
      </c>
      <c r="E6289" s="229"/>
      <c r="F6289" s="117" t="s">
        <v>17837</v>
      </c>
      <c r="G6289" s="26">
        <v>54966</v>
      </c>
      <c r="H6289" s="231"/>
      <c r="I6289" s="221"/>
      <c r="J6289" s="221"/>
      <c r="K6289" s="221"/>
      <c r="L6289" s="221"/>
      <c r="M6289" s="221"/>
      <c r="N6289" s="221"/>
      <c r="O6289" s="225"/>
      <c r="P6289" s="118" t="s">
        <v>1844</v>
      </c>
      <c r="Q6289" s="16" t="s">
        <v>20</v>
      </c>
      <c r="R6289" s="17" t="s">
        <v>1869</v>
      </c>
      <c r="S6289" s="121" t="s">
        <v>18178</v>
      </c>
      <c r="T6289" s="122"/>
      <c r="U6289" s="22"/>
      <c r="V6289" s="123" t="s">
        <v>2472</v>
      </c>
      <c r="W6289" s="122">
        <v>153</v>
      </c>
      <c r="X6289" s="221"/>
      <c r="Y6289" s="221"/>
      <c r="Z6289" s="221"/>
      <c r="AA6289" s="221"/>
      <c r="AB6289" s="223"/>
    </row>
    <row r="6290" spans="1:28" ht="17.100000000000001" customHeight="1" thickTop="1">
      <c r="A6290" s="226" t="s">
        <v>17825</v>
      </c>
      <c r="B6290" s="28">
        <v>46072</v>
      </c>
      <c r="C6290" s="25">
        <v>1319</v>
      </c>
      <c r="D6290" s="13" t="s">
        <v>1704</v>
      </c>
      <c r="E6290" s="228"/>
      <c r="F6290" s="109" t="s">
        <v>17831</v>
      </c>
      <c r="G6290" s="24"/>
      <c r="H6290" s="230">
        <v>4</v>
      </c>
      <c r="I6290" s="220">
        <v>1695000</v>
      </c>
      <c r="J6290" s="220">
        <f>I6290*0.1</f>
        <v>169500</v>
      </c>
      <c r="K6290" s="220">
        <v>0</v>
      </c>
      <c r="L6290" s="220">
        <v>21650</v>
      </c>
      <c r="M6290" s="220">
        <v>16500</v>
      </c>
      <c r="N6290" s="220">
        <f>SUM(I6290:M6291)</f>
        <v>1902650</v>
      </c>
      <c r="O6290" s="224"/>
      <c r="P6290" s="110" t="s">
        <v>18483</v>
      </c>
      <c r="Q6290" s="15" t="s">
        <v>19</v>
      </c>
      <c r="R6290" s="205"/>
      <c r="S6290" s="189" t="s">
        <v>25634</v>
      </c>
      <c r="T6290" s="114"/>
      <c r="U6290" s="21"/>
      <c r="V6290" s="115">
        <v>46081</v>
      </c>
      <c r="W6290" s="116">
        <v>1290</v>
      </c>
      <c r="X6290" s="220">
        <v>1850000</v>
      </c>
      <c r="Y6290" s="220">
        <f>X6290*0.1</f>
        <v>185000</v>
      </c>
      <c r="Z6290" s="220">
        <v>21650</v>
      </c>
      <c r="AA6290" s="220">
        <f>SUM(X6290:Z6290)</f>
        <v>2056650</v>
      </c>
      <c r="AB6290" s="222">
        <v>46086</v>
      </c>
    </row>
    <row r="6291" spans="1:28" ht="17.100000000000001" customHeight="1" thickBot="1">
      <c r="A6291" s="227"/>
      <c r="B6291" s="27" t="s">
        <v>13379</v>
      </c>
      <c r="C6291" s="27">
        <v>618</v>
      </c>
      <c r="D6291" s="14" t="s">
        <v>131</v>
      </c>
      <c r="E6291" s="229"/>
      <c r="F6291" s="117" t="s">
        <v>17832</v>
      </c>
      <c r="G6291" s="26">
        <v>64343</v>
      </c>
      <c r="H6291" s="231"/>
      <c r="I6291" s="221"/>
      <c r="J6291" s="221"/>
      <c r="K6291" s="221"/>
      <c r="L6291" s="221"/>
      <c r="M6291" s="221"/>
      <c r="N6291" s="221"/>
      <c r="O6291" s="225"/>
      <c r="P6291" s="118" t="s">
        <v>1844</v>
      </c>
      <c r="Q6291" s="16" t="s">
        <v>20</v>
      </c>
      <c r="R6291" s="17" t="s">
        <v>3559</v>
      </c>
      <c r="S6291" s="121" t="s">
        <v>1606</v>
      </c>
      <c r="T6291" s="122"/>
      <c r="U6291" s="22"/>
      <c r="V6291" s="123" t="s">
        <v>6641</v>
      </c>
      <c r="W6291" s="122">
        <v>80280</v>
      </c>
      <c r="X6291" s="221"/>
      <c r="Y6291" s="221"/>
      <c r="Z6291" s="221"/>
      <c r="AA6291" s="221"/>
      <c r="AB6291" s="223"/>
    </row>
    <row r="6292" spans="1:28" ht="17.100000000000001" customHeight="1" thickTop="1">
      <c r="A6292" s="226" t="s">
        <v>17883</v>
      </c>
      <c r="B6292" s="28">
        <v>46072</v>
      </c>
      <c r="C6292" s="25">
        <v>2146</v>
      </c>
      <c r="D6292" s="13" t="s">
        <v>2355</v>
      </c>
      <c r="E6292" s="228"/>
      <c r="F6292" s="109" t="s">
        <v>17897</v>
      </c>
      <c r="G6292" s="24" t="s">
        <v>10904</v>
      </c>
      <c r="H6292" s="230">
        <v>4</v>
      </c>
      <c r="I6292" s="220">
        <v>278000</v>
      </c>
      <c r="J6292" s="220">
        <f>I6292*0.1</f>
        <v>27800</v>
      </c>
      <c r="K6292" s="220">
        <v>0</v>
      </c>
      <c r="L6292" s="220">
        <v>9770</v>
      </c>
      <c r="M6292" s="220">
        <v>14300</v>
      </c>
      <c r="N6292" s="220">
        <f>SUM(I6292:M6293)</f>
        <v>329870</v>
      </c>
      <c r="O6292" s="224"/>
      <c r="P6292" s="110" t="s">
        <v>18360</v>
      </c>
      <c r="Q6292" s="15" t="s">
        <v>19</v>
      </c>
      <c r="R6292" s="205"/>
      <c r="S6292" s="189"/>
      <c r="T6292" s="114"/>
      <c r="U6292" s="21"/>
      <c r="V6292" s="115">
        <v>46078</v>
      </c>
      <c r="W6292" s="116">
        <v>1006</v>
      </c>
      <c r="X6292" s="220">
        <v>340000</v>
      </c>
      <c r="Y6292" s="220">
        <f>X6292*0.1</f>
        <v>34000</v>
      </c>
      <c r="Z6292" s="220">
        <v>9770</v>
      </c>
      <c r="AA6292" s="220">
        <f>SUM(X6292:Z6292)</f>
        <v>383770</v>
      </c>
      <c r="AB6292" s="222">
        <v>46083</v>
      </c>
    </row>
    <row r="6293" spans="1:28" ht="17.100000000000001" customHeight="1" thickBot="1">
      <c r="A6293" s="227"/>
      <c r="B6293" s="27" t="s">
        <v>3228</v>
      </c>
      <c r="C6293" s="27">
        <v>95</v>
      </c>
      <c r="D6293" s="14" t="s">
        <v>1568</v>
      </c>
      <c r="E6293" s="229"/>
      <c r="F6293" s="117" t="s">
        <v>17890</v>
      </c>
      <c r="G6293" s="26">
        <v>58303</v>
      </c>
      <c r="H6293" s="231"/>
      <c r="I6293" s="221"/>
      <c r="J6293" s="221"/>
      <c r="K6293" s="221"/>
      <c r="L6293" s="221"/>
      <c r="M6293" s="221"/>
      <c r="N6293" s="221"/>
      <c r="O6293" s="225"/>
      <c r="P6293" s="118" t="s">
        <v>18361</v>
      </c>
      <c r="Q6293" s="16" t="s">
        <v>20</v>
      </c>
      <c r="R6293" s="17" t="s">
        <v>18270</v>
      </c>
      <c r="S6293" s="121" t="s">
        <v>18733</v>
      </c>
      <c r="T6293" s="122" t="s">
        <v>18180</v>
      </c>
      <c r="U6293" s="22"/>
      <c r="V6293" s="123" t="s">
        <v>2747</v>
      </c>
      <c r="W6293" s="122">
        <v>5073</v>
      </c>
      <c r="X6293" s="221"/>
      <c r="Y6293" s="221"/>
      <c r="Z6293" s="221"/>
      <c r="AA6293" s="221"/>
      <c r="AB6293" s="223"/>
    </row>
    <row r="6294" spans="1:28" ht="17.100000000000001" customHeight="1" thickTop="1">
      <c r="A6294" s="226" t="s">
        <v>17884</v>
      </c>
      <c r="B6294" s="28">
        <v>46072</v>
      </c>
      <c r="C6294" s="25">
        <v>2146</v>
      </c>
      <c r="D6294" s="13" t="s">
        <v>2073</v>
      </c>
      <c r="E6294" s="228"/>
      <c r="F6294" s="109" t="s">
        <v>17898</v>
      </c>
      <c r="G6294" s="24"/>
      <c r="H6294" s="230">
        <v>3.5</v>
      </c>
      <c r="I6294" s="220">
        <v>534000</v>
      </c>
      <c r="J6294" s="220">
        <f>I6294*0.1</f>
        <v>53400</v>
      </c>
      <c r="K6294" s="220">
        <v>0</v>
      </c>
      <c r="L6294" s="220">
        <v>8030</v>
      </c>
      <c r="M6294" s="220">
        <v>14300</v>
      </c>
      <c r="N6294" s="220">
        <f>SUM(I6294:M6295)</f>
        <v>609730</v>
      </c>
      <c r="O6294" s="224"/>
      <c r="P6294" s="110" t="s">
        <v>18515</v>
      </c>
      <c r="Q6294" s="15" t="s">
        <v>19</v>
      </c>
      <c r="R6294" s="205"/>
      <c r="S6294" s="189" t="s">
        <v>758</v>
      </c>
      <c r="T6294" s="114"/>
      <c r="U6294" s="21"/>
      <c r="V6294" s="115">
        <v>46095</v>
      </c>
      <c r="W6294" s="116">
        <v>1292</v>
      </c>
      <c r="X6294" s="220">
        <v>580000</v>
      </c>
      <c r="Y6294" s="220">
        <f>X6294*0.1</f>
        <v>58000</v>
      </c>
      <c r="Z6294" s="220">
        <v>8030</v>
      </c>
      <c r="AA6294" s="220">
        <f>SUM(X6294:Z6294)</f>
        <v>646030</v>
      </c>
      <c r="AB6294" s="222">
        <v>46098</v>
      </c>
    </row>
    <row r="6295" spans="1:28" ht="17.100000000000001" customHeight="1" thickBot="1">
      <c r="A6295" s="227"/>
      <c r="B6295" s="27" t="s">
        <v>3228</v>
      </c>
      <c r="C6295" s="27">
        <v>196</v>
      </c>
      <c r="D6295" s="14" t="s">
        <v>1710</v>
      </c>
      <c r="E6295" s="229"/>
      <c r="F6295" s="117" t="s">
        <v>17891</v>
      </c>
      <c r="G6295" s="26">
        <v>51642</v>
      </c>
      <c r="H6295" s="231"/>
      <c r="I6295" s="221"/>
      <c r="J6295" s="221"/>
      <c r="K6295" s="221"/>
      <c r="L6295" s="221"/>
      <c r="M6295" s="221"/>
      <c r="N6295" s="221"/>
      <c r="O6295" s="225"/>
      <c r="P6295" s="118" t="s">
        <v>18516</v>
      </c>
      <c r="Q6295" s="16" t="s">
        <v>20</v>
      </c>
      <c r="R6295" s="17" t="s">
        <v>18270</v>
      </c>
      <c r="S6295" s="121" t="s">
        <v>169</v>
      </c>
      <c r="T6295" s="122"/>
      <c r="U6295" s="22"/>
      <c r="V6295" s="123" t="s">
        <v>2472</v>
      </c>
      <c r="W6295" s="122">
        <v>60075</v>
      </c>
      <c r="X6295" s="221"/>
      <c r="Y6295" s="221"/>
      <c r="Z6295" s="221"/>
      <c r="AA6295" s="221"/>
      <c r="AB6295" s="223"/>
    </row>
    <row r="6296" spans="1:28" ht="17.100000000000001" customHeight="1" thickTop="1">
      <c r="A6296" s="226" t="s">
        <v>17885</v>
      </c>
      <c r="B6296" s="28">
        <v>46072</v>
      </c>
      <c r="C6296" s="25">
        <v>2146</v>
      </c>
      <c r="D6296" s="13" t="s">
        <v>1988</v>
      </c>
      <c r="E6296" s="228"/>
      <c r="F6296" s="109" t="s">
        <v>8431</v>
      </c>
      <c r="G6296" s="24" t="s">
        <v>17899</v>
      </c>
      <c r="H6296" s="230">
        <v>4.5</v>
      </c>
      <c r="I6296" s="220">
        <v>1305000</v>
      </c>
      <c r="J6296" s="220">
        <f>I6296*0.1</f>
        <v>130500</v>
      </c>
      <c r="K6296" s="220">
        <v>0</v>
      </c>
      <c r="L6296" s="220">
        <v>8130</v>
      </c>
      <c r="M6296" s="220">
        <v>14300</v>
      </c>
      <c r="N6296" s="220">
        <f>SUM(I6296:M6297)</f>
        <v>1457930</v>
      </c>
      <c r="O6296" s="224"/>
      <c r="P6296" s="110" t="s">
        <v>18357</v>
      </c>
      <c r="Q6296" s="15" t="s">
        <v>19</v>
      </c>
      <c r="R6296" s="205"/>
      <c r="S6296" s="189" t="s">
        <v>25803</v>
      </c>
      <c r="T6296" s="114"/>
      <c r="U6296" s="21"/>
      <c r="V6296" s="115">
        <v>46078</v>
      </c>
      <c r="W6296" s="116">
        <v>1006</v>
      </c>
      <c r="X6296" s="220">
        <v>1345000</v>
      </c>
      <c r="Y6296" s="220">
        <f>X6296*0.1</f>
        <v>134500</v>
      </c>
      <c r="Z6296" s="220">
        <v>8130</v>
      </c>
      <c r="AA6296" s="220">
        <f>SUM(X6296:Z6296)</f>
        <v>1487630</v>
      </c>
      <c r="AB6296" s="222">
        <v>46083</v>
      </c>
    </row>
    <row r="6297" spans="1:28" ht="17.100000000000001" customHeight="1" thickBot="1">
      <c r="A6297" s="227"/>
      <c r="B6297" s="27" t="s">
        <v>3228</v>
      </c>
      <c r="C6297" s="27">
        <v>2518</v>
      </c>
      <c r="D6297" s="14" t="s">
        <v>2559</v>
      </c>
      <c r="E6297" s="229"/>
      <c r="F6297" s="117" t="s">
        <v>17892</v>
      </c>
      <c r="G6297" s="26">
        <v>17027</v>
      </c>
      <c r="H6297" s="231"/>
      <c r="I6297" s="221"/>
      <c r="J6297" s="221"/>
      <c r="K6297" s="221"/>
      <c r="L6297" s="221"/>
      <c r="M6297" s="221"/>
      <c r="N6297" s="221"/>
      <c r="O6297" s="225"/>
      <c r="P6297" s="118" t="s">
        <v>2404</v>
      </c>
      <c r="Q6297" s="16" t="s">
        <v>20</v>
      </c>
      <c r="R6297" s="17" t="s">
        <v>18270</v>
      </c>
      <c r="S6297" s="121" t="s">
        <v>18358</v>
      </c>
      <c r="T6297" s="122"/>
      <c r="U6297" s="22"/>
      <c r="V6297" s="123" t="s">
        <v>2747</v>
      </c>
      <c r="W6297" s="122">
        <v>5085</v>
      </c>
      <c r="X6297" s="221"/>
      <c r="Y6297" s="221"/>
      <c r="Z6297" s="221"/>
      <c r="AA6297" s="221"/>
      <c r="AB6297" s="223"/>
    </row>
    <row r="6298" spans="1:28" ht="17.100000000000001" customHeight="1" thickTop="1">
      <c r="A6298" s="226" t="s">
        <v>17886</v>
      </c>
      <c r="B6298" s="28">
        <v>46072</v>
      </c>
      <c r="C6298" s="25">
        <v>2146</v>
      </c>
      <c r="D6298" s="13" t="s">
        <v>2811</v>
      </c>
      <c r="E6298" s="228"/>
      <c r="F6298" s="109" t="s">
        <v>17900</v>
      </c>
      <c r="G6298" s="24"/>
      <c r="H6298" s="230">
        <v>4.5</v>
      </c>
      <c r="I6298" s="220">
        <v>651000</v>
      </c>
      <c r="J6298" s="220">
        <f>I6298*0.1</f>
        <v>65100</v>
      </c>
      <c r="K6298" s="220">
        <v>0</v>
      </c>
      <c r="L6298" s="220">
        <v>9200</v>
      </c>
      <c r="M6298" s="220">
        <v>14300</v>
      </c>
      <c r="N6298" s="220">
        <f>SUM(I6298:M6299)</f>
        <v>739600</v>
      </c>
      <c r="O6298" s="224"/>
      <c r="P6298" s="110" t="s">
        <v>18517</v>
      </c>
      <c r="Q6298" s="15" t="s">
        <v>19</v>
      </c>
      <c r="R6298" s="205"/>
      <c r="S6298" s="189"/>
      <c r="T6298" s="114"/>
      <c r="U6298" s="21"/>
      <c r="V6298" s="115">
        <v>46078</v>
      </c>
      <c r="W6298" s="116">
        <v>1006</v>
      </c>
      <c r="X6298" s="220">
        <v>750000</v>
      </c>
      <c r="Y6298" s="220">
        <f>X6298*0.1</f>
        <v>75000</v>
      </c>
      <c r="Z6298" s="220">
        <v>9200</v>
      </c>
      <c r="AA6298" s="220">
        <f>SUM(X6298:Z6298)</f>
        <v>834200</v>
      </c>
      <c r="AB6298" s="222">
        <v>46084</v>
      </c>
    </row>
    <row r="6299" spans="1:28" ht="17.100000000000001" customHeight="1" thickBot="1">
      <c r="A6299" s="227"/>
      <c r="B6299" s="27" t="s">
        <v>3228</v>
      </c>
      <c r="C6299" s="27">
        <v>2531</v>
      </c>
      <c r="D6299" s="14" t="s">
        <v>273</v>
      </c>
      <c r="E6299" s="229"/>
      <c r="F6299" s="117" t="s">
        <v>17893</v>
      </c>
      <c r="G6299" s="26">
        <v>75539</v>
      </c>
      <c r="H6299" s="231"/>
      <c r="I6299" s="221"/>
      <c r="J6299" s="221"/>
      <c r="K6299" s="221"/>
      <c r="L6299" s="221"/>
      <c r="M6299" s="221"/>
      <c r="N6299" s="221"/>
      <c r="O6299" s="225"/>
      <c r="P6299" s="118" t="s">
        <v>8539</v>
      </c>
      <c r="Q6299" s="16" t="s">
        <v>20</v>
      </c>
      <c r="R6299" s="17" t="s">
        <v>18270</v>
      </c>
      <c r="S6299" s="121" t="s">
        <v>18518</v>
      </c>
      <c r="T6299" s="122"/>
      <c r="U6299" s="22"/>
      <c r="V6299" s="123" t="s">
        <v>8648</v>
      </c>
      <c r="W6299" s="122">
        <v>5091</v>
      </c>
      <c r="X6299" s="221"/>
      <c r="Y6299" s="221"/>
      <c r="Z6299" s="221"/>
      <c r="AA6299" s="221"/>
      <c r="AB6299" s="223"/>
    </row>
    <row r="6300" spans="1:28" ht="17.100000000000001" customHeight="1" thickTop="1">
      <c r="A6300" s="226" t="s">
        <v>17887</v>
      </c>
      <c r="B6300" s="28">
        <v>46072</v>
      </c>
      <c r="C6300" s="25">
        <v>2146</v>
      </c>
      <c r="D6300" s="13" t="s">
        <v>1678</v>
      </c>
      <c r="E6300" s="228"/>
      <c r="F6300" s="109" t="s">
        <v>15607</v>
      </c>
      <c r="G6300" s="24"/>
      <c r="H6300" s="230">
        <v>4.5</v>
      </c>
      <c r="I6300" s="220">
        <v>655000</v>
      </c>
      <c r="J6300" s="220">
        <f>I6300*0.1</f>
        <v>65500</v>
      </c>
      <c r="K6300" s="220">
        <v>0</v>
      </c>
      <c r="L6300" s="220">
        <v>6550</v>
      </c>
      <c r="M6300" s="220">
        <v>14300</v>
      </c>
      <c r="N6300" s="220">
        <f>SUM(I6300:M6301)</f>
        <v>741350</v>
      </c>
      <c r="O6300" s="224"/>
      <c r="P6300" s="110" t="s">
        <v>18351</v>
      </c>
      <c r="Q6300" s="15" t="s">
        <v>19</v>
      </c>
      <c r="R6300" s="205"/>
      <c r="S6300" s="189" t="s">
        <v>25804</v>
      </c>
      <c r="T6300" s="114"/>
      <c r="U6300" s="21"/>
      <c r="V6300" s="115">
        <v>46077</v>
      </c>
      <c r="W6300" s="116">
        <v>1930</v>
      </c>
      <c r="X6300" s="220">
        <v>691000</v>
      </c>
      <c r="Y6300" s="220">
        <f>X6300*0.1</f>
        <v>69100</v>
      </c>
      <c r="Z6300" s="220">
        <v>6550</v>
      </c>
      <c r="AA6300" s="220">
        <f>SUM(X6300:Z6300)</f>
        <v>766650</v>
      </c>
      <c r="AB6300" s="222"/>
    </row>
    <row r="6301" spans="1:28" ht="17.100000000000001" customHeight="1" thickBot="1">
      <c r="A6301" s="227"/>
      <c r="B6301" s="27" t="s">
        <v>3228</v>
      </c>
      <c r="C6301" s="27">
        <v>2552</v>
      </c>
      <c r="D6301" s="14" t="s">
        <v>3731</v>
      </c>
      <c r="E6301" s="229"/>
      <c r="F6301" s="117" t="s">
        <v>17894</v>
      </c>
      <c r="G6301" s="26">
        <v>5759</v>
      </c>
      <c r="H6301" s="231"/>
      <c r="I6301" s="221"/>
      <c r="J6301" s="221"/>
      <c r="K6301" s="221"/>
      <c r="L6301" s="221"/>
      <c r="M6301" s="221"/>
      <c r="N6301" s="221"/>
      <c r="O6301" s="225"/>
      <c r="P6301" s="118" t="s">
        <v>18352</v>
      </c>
      <c r="Q6301" s="16" t="s">
        <v>20</v>
      </c>
      <c r="R6301" s="17" t="s">
        <v>18270</v>
      </c>
      <c r="S6301" s="121" t="s">
        <v>18353</v>
      </c>
      <c r="T6301" s="122"/>
      <c r="U6301" s="22"/>
      <c r="V6301" s="123" t="s">
        <v>2103</v>
      </c>
      <c r="W6301" s="122">
        <v>3267</v>
      </c>
      <c r="X6301" s="221"/>
      <c r="Y6301" s="221"/>
      <c r="Z6301" s="221"/>
      <c r="AA6301" s="221"/>
      <c r="AB6301" s="223"/>
    </row>
    <row r="6302" spans="1:28" ht="17.100000000000001" customHeight="1" thickTop="1">
      <c r="A6302" s="226" t="s">
        <v>17888</v>
      </c>
      <c r="B6302" s="28">
        <v>46072</v>
      </c>
      <c r="C6302" s="25">
        <v>2146</v>
      </c>
      <c r="D6302" s="13" t="s">
        <v>2644</v>
      </c>
      <c r="E6302" s="228"/>
      <c r="F6302" s="109" t="s">
        <v>17901</v>
      </c>
      <c r="G6302" s="24"/>
      <c r="H6302" s="230">
        <v>4</v>
      </c>
      <c r="I6302" s="220">
        <v>1044000</v>
      </c>
      <c r="J6302" s="220">
        <f>I6302*0.1</f>
        <v>104400</v>
      </c>
      <c r="K6302" s="220">
        <v>0</v>
      </c>
      <c r="L6302" s="220">
        <v>8790</v>
      </c>
      <c r="M6302" s="220">
        <v>14300</v>
      </c>
      <c r="N6302" s="220">
        <f>SUM(I6302:M6303)</f>
        <v>1171490</v>
      </c>
      <c r="O6302" s="224"/>
      <c r="P6302" s="110" t="s">
        <v>18359</v>
      </c>
      <c r="Q6302" s="15" t="s">
        <v>19</v>
      </c>
      <c r="R6302" s="205"/>
      <c r="S6302" s="189"/>
      <c r="T6302" s="114"/>
      <c r="U6302" s="21"/>
      <c r="V6302" s="115">
        <v>46078</v>
      </c>
      <c r="W6302" s="116">
        <v>1006</v>
      </c>
      <c r="X6302" s="220">
        <v>1115000</v>
      </c>
      <c r="Y6302" s="220">
        <f>X6302*0.1</f>
        <v>111500</v>
      </c>
      <c r="Z6302" s="220">
        <v>8790</v>
      </c>
      <c r="AA6302" s="220">
        <f>SUM(X6302:Z6302)</f>
        <v>1235290</v>
      </c>
      <c r="AB6302" s="222">
        <v>46083</v>
      </c>
    </row>
    <row r="6303" spans="1:28" ht="17.100000000000001" customHeight="1" thickBot="1">
      <c r="A6303" s="227"/>
      <c r="B6303" s="27" t="s">
        <v>3228</v>
      </c>
      <c r="C6303" s="27">
        <v>2582</v>
      </c>
      <c r="D6303" s="14" t="s">
        <v>17903</v>
      </c>
      <c r="E6303" s="229"/>
      <c r="F6303" s="117" t="s">
        <v>17895</v>
      </c>
      <c r="G6303" s="26">
        <v>23524</v>
      </c>
      <c r="H6303" s="231"/>
      <c r="I6303" s="221"/>
      <c r="J6303" s="221"/>
      <c r="K6303" s="221"/>
      <c r="L6303" s="221"/>
      <c r="M6303" s="221"/>
      <c r="N6303" s="221"/>
      <c r="O6303" s="225"/>
      <c r="P6303" s="118" t="s">
        <v>2404</v>
      </c>
      <c r="Q6303" s="16" t="s">
        <v>20</v>
      </c>
      <c r="R6303" s="17" t="s">
        <v>18270</v>
      </c>
      <c r="S6303" s="121" t="s">
        <v>2236</v>
      </c>
      <c r="T6303" s="122"/>
      <c r="U6303" s="22"/>
      <c r="V6303" s="123" t="s">
        <v>2747</v>
      </c>
      <c r="W6303" s="122">
        <v>5077</v>
      </c>
      <c r="X6303" s="221"/>
      <c r="Y6303" s="221"/>
      <c r="Z6303" s="221"/>
      <c r="AA6303" s="221"/>
      <c r="AB6303" s="223"/>
    </row>
    <row r="6304" spans="1:28" ht="17.100000000000001" customHeight="1" thickTop="1">
      <c r="A6304" s="226" t="s">
        <v>17889</v>
      </c>
      <c r="B6304" s="28">
        <v>46072</v>
      </c>
      <c r="C6304" s="25">
        <v>2146</v>
      </c>
      <c r="D6304" s="13" t="s">
        <v>3773</v>
      </c>
      <c r="E6304" s="228"/>
      <c r="F6304" s="109" t="s">
        <v>17902</v>
      </c>
      <c r="G6304" s="24"/>
      <c r="H6304" s="230">
        <v>4</v>
      </c>
      <c r="I6304" s="220">
        <v>315000</v>
      </c>
      <c r="J6304" s="220">
        <f>I6304*0.1</f>
        <v>31500</v>
      </c>
      <c r="K6304" s="220">
        <v>0</v>
      </c>
      <c r="L6304" s="220">
        <v>9070</v>
      </c>
      <c r="M6304" s="220">
        <v>14300</v>
      </c>
      <c r="N6304" s="220">
        <f>SUM(I6304:M6305)</f>
        <v>369870</v>
      </c>
      <c r="O6304" s="224"/>
      <c r="P6304" s="110" t="s">
        <v>18362</v>
      </c>
      <c r="Q6304" s="15" t="s">
        <v>19</v>
      </c>
      <c r="R6304" s="205"/>
      <c r="S6304" s="189"/>
      <c r="T6304" s="114"/>
      <c r="U6304" s="21"/>
      <c r="V6304" s="115">
        <v>46078</v>
      </c>
      <c r="W6304" s="116">
        <v>1006</v>
      </c>
      <c r="X6304" s="220">
        <v>415000</v>
      </c>
      <c r="Y6304" s="220">
        <f>X6304*0.1</f>
        <v>41500</v>
      </c>
      <c r="Z6304" s="220">
        <v>9070</v>
      </c>
      <c r="AA6304" s="220">
        <f>SUM(X6304:Z6304)</f>
        <v>465570</v>
      </c>
      <c r="AB6304" s="222">
        <v>46083</v>
      </c>
    </row>
    <row r="6305" spans="1:28" ht="17.100000000000001" customHeight="1" thickBot="1">
      <c r="A6305" s="227"/>
      <c r="B6305" s="27" t="s">
        <v>3228</v>
      </c>
      <c r="C6305" s="27">
        <v>35259</v>
      </c>
      <c r="D6305" s="14" t="s">
        <v>3274</v>
      </c>
      <c r="E6305" s="229"/>
      <c r="F6305" s="117" t="s">
        <v>17896</v>
      </c>
      <c r="G6305" s="26">
        <v>57234</v>
      </c>
      <c r="H6305" s="231"/>
      <c r="I6305" s="221"/>
      <c r="J6305" s="221"/>
      <c r="K6305" s="221"/>
      <c r="L6305" s="221"/>
      <c r="M6305" s="221"/>
      <c r="N6305" s="221"/>
      <c r="O6305" s="225"/>
      <c r="P6305" s="118" t="s">
        <v>18363</v>
      </c>
      <c r="Q6305" s="16" t="s">
        <v>20</v>
      </c>
      <c r="R6305" s="17" t="s">
        <v>18270</v>
      </c>
      <c r="S6305" s="121" t="s">
        <v>3566</v>
      </c>
      <c r="T6305" s="122"/>
      <c r="U6305" s="22"/>
      <c r="V6305" s="123" t="s">
        <v>2747</v>
      </c>
      <c r="W6305" s="122">
        <v>5067</v>
      </c>
      <c r="X6305" s="221"/>
      <c r="Y6305" s="221"/>
      <c r="Z6305" s="221"/>
      <c r="AA6305" s="221"/>
      <c r="AB6305" s="223"/>
    </row>
    <row r="6306" spans="1:28" ht="17.100000000000001" customHeight="1" thickTop="1">
      <c r="A6306" s="226" t="s">
        <v>17904</v>
      </c>
      <c r="B6306" s="28">
        <v>46072</v>
      </c>
      <c r="C6306" s="25">
        <v>2015</v>
      </c>
      <c r="D6306" s="13" t="s">
        <v>2167</v>
      </c>
      <c r="E6306" s="228"/>
      <c r="F6306" s="109" t="s">
        <v>17920</v>
      </c>
      <c r="G6306" s="24"/>
      <c r="H6306" s="230">
        <v>4</v>
      </c>
      <c r="I6306" s="220">
        <v>1257000</v>
      </c>
      <c r="J6306" s="220">
        <f>I6306*0.1</f>
        <v>125700</v>
      </c>
      <c r="K6306" s="220">
        <v>0</v>
      </c>
      <c r="L6306" s="220">
        <v>10360</v>
      </c>
      <c r="M6306" s="220">
        <v>22000</v>
      </c>
      <c r="N6306" s="220">
        <f>SUM(I6306:M6307)</f>
        <v>1415060</v>
      </c>
      <c r="O6306" s="224"/>
      <c r="P6306" s="110" t="s">
        <v>18527</v>
      </c>
      <c r="Q6306" s="15" t="s">
        <v>19</v>
      </c>
      <c r="R6306" s="205"/>
      <c r="S6306" s="189" t="s">
        <v>25615</v>
      </c>
      <c r="T6306" s="114"/>
      <c r="U6306" s="21"/>
      <c r="V6306" s="115">
        <v>46165</v>
      </c>
      <c r="W6306" s="116">
        <v>1301</v>
      </c>
      <c r="X6306" s="220">
        <v>1260000</v>
      </c>
      <c r="Y6306" s="220">
        <f>X6306*0.1</f>
        <v>126000</v>
      </c>
      <c r="Z6306" s="220">
        <v>10360</v>
      </c>
      <c r="AA6306" s="220">
        <f>SUM(X6306:Z6306)</f>
        <v>1396360</v>
      </c>
      <c r="AB6306" s="222">
        <v>46168</v>
      </c>
    </row>
    <row r="6307" spans="1:28" ht="17.100000000000001" customHeight="1" thickBot="1">
      <c r="A6307" s="227"/>
      <c r="B6307" s="27" t="s">
        <v>2171</v>
      </c>
      <c r="C6307" s="27">
        <v>30020</v>
      </c>
      <c r="D6307" s="14" t="s">
        <v>2014</v>
      </c>
      <c r="E6307" s="229"/>
      <c r="F6307" s="117" t="s">
        <v>17912</v>
      </c>
      <c r="G6307" s="26">
        <v>40020</v>
      </c>
      <c r="H6307" s="231"/>
      <c r="I6307" s="221"/>
      <c r="J6307" s="221"/>
      <c r="K6307" s="221"/>
      <c r="L6307" s="221"/>
      <c r="M6307" s="221"/>
      <c r="N6307" s="221"/>
      <c r="O6307" s="225"/>
      <c r="P6307" s="118" t="s">
        <v>18528</v>
      </c>
      <c r="Q6307" s="16" t="s">
        <v>20</v>
      </c>
      <c r="R6307" s="17" t="s">
        <v>18270</v>
      </c>
      <c r="S6307" s="121" t="s">
        <v>6802</v>
      </c>
      <c r="T6307" s="122"/>
      <c r="U6307" s="22"/>
      <c r="V6307" s="123" t="s">
        <v>2472</v>
      </c>
      <c r="W6307" s="122">
        <v>55142</v>
      </c>
      <c r="X6307" s="221"/>
      <c r="Y6307" s="221"/>
      <c r="Z6307" s="221"/>
      <c r="AA6307" s="221"/>
      <c r="AB6307" s="223"/>
    </row>
    <row r="6308" spans="1:28" ht="17.100000000000001" customHeight="1" thickTop="1">
      <c r="A6308" s="226" t="s">
        <v>17905</v>
      </c>
      <c r="B6308" s="28">
        <v>46072</v>
      </c>
      <c r="C6308" s="25">
        <v>2015</v>
      </c>
      <c r="D6308" s="13" t="s">
        <v>1883</v>
      </c>
      <c r="E6308" s="228"/>
      <c r="F6308" s="109" t="s">
        <v>8846</v>
      </c>
      <c r="G6308" s="24"/>
      <c r="H6308" s="230">
        <v>4</v>
      </c>
      <c r="I6308" s="220">
        <v>1168000</v>
      </c>
      <c r="J6308" s="220">
        <f>I6308*0.1</f>
        <v>116800</v>
      </c>
      <c r="K6308" s="220">
        <v>0</v>
      </c>
      <c r="L6308" s="220">
        <v>7440</v>
      </c>
      <c r="M6308" s="220">
        <v>22000</v>
      </c>
      <c r="N6308" s="220">
        <f>SUM(I6308:M6309)</f>
        <v>1314240</v>
      </c>
      <c r="O6308" s="224"/>
      <c r="P6308" s="110" t="s">
        <v>18356</v>
      </c>
      <c r="Q6308" s="15" t="s">
        <v>19</v>
      </c>
      <c r="R6308" s="205"/>
      <c r="S6308" s="189" t="s">
        <v>25603</v>
      </c>
      <c r="T6308" s="114"/>
      <c r="U6308" s="21"/>
      <c r="V6308" s="115">
        <v>46078</v>
      </c>
      <c r="W6308" s="116">
        <v>1006</v>
      </c>
      <c r="X6308" s="220">
        <v>1215000</v>
      </c>
      <c r="Y6308" s="220">
        <f>X6308*0.1</f>
        <v>121500</v>
      </c>
      <c r="Z6308" s="220">
        <v>7440</v>
      </c>
      <c r="AA6308" s="220">
        <f>SUM(X6308:Z6308)</f>
        <v>1343940</v>
      </c>
      <c r="AB6308" s="222">
        <v>46083</v>
      </c>
    </row>
    <row r="6309" spans="1:28" ht="17.100000000000001" customHeight="1" thickBot="1">
      <c r="A6309" s="227"/>
      <c r="B6309" s="27" t="s">
        <v>2171</v>
      </c>
      <c r="C6309" s="27">
        <v>30087</v>
      </c>
      <c r="D6309" s="14" t="s">
        <v>1710</v>
      </c>
      <c r="E6309" s="229"/>
      <c r="F6309" s="117" t="s">
        <v>17913</v>
      </c>
      <c r="G6309" s="26">
        <v>50859</v>
      </c>
      <c r="H6309" s="231"/>
      <c r="I6309" s="221"/>
      <c r="J6309" s="221"/>
      <c r="K6309" s="221"/>
      <c r="L6309" s="221"/>
      <c r="M6309" s="221"/>
      <c r="N6309" s="221"/>
      <c r="O6309" s="225"/>
      <c r="P6309" s="118" t="s">
        <v>16015</v>
      </c>
      <c r="Q6309" s="16" t="s">
        <v>20</v>
      </c>
      <c r="R6309" s="17" t="s">
        <v>18270</v>
      </c>
      <c r="S6309" s="121" t="s">
        <v>4530</v>
      </c>
      <c r="T6309" s="122"/>
      <c r="U6309" s="22"/>
      <c r="V6309" s="123" t="s">
        <v>2747</v>
      </c>
      <c r="W6309" s="122">
        <v>5088</v>
      </c>
      <c r="X6309" s="221"/>
      <c r="Y6309" s="221"/>
      <c r="Z6309" s="221"/>
      <c r="AA6309" s="221"/>
      <c r="AB6309" s="223"/>
    </row>
    <row r="6310" spans="1:28" ht="17.100000000000001" customHeight="1" thickTop="1">
      <c r="A6310" s="226" t="s">
        <v>17906</v>
      </c>
      <c r="B6310" s="28">
        <v>46072</v>
      </c>
      <c r="C6310" s="25">
        <v>2015</v>
      </c>
      <c r="D6310" s="13" t="s">
        <v>2195</v>
      </c>
      <c r="E6310" s="228"/>
      <c r="F6310" s="109" t="s">
        <v>17921</v>
      </c>
      <c r="G6310" s="24" t="s">
        <v>2871</v>
      </c>
      <c r="H6310" s="230">
        <v>4.5</v>
      </c>
      <c r="I6310" s="220">
        <v>835000</v>
      </c>
      <c r="J6310" s="220">
        <f>I6310*0.1</f>
        <v>83500</v>
      </c>
      <c r="K6310" s="220">
        <v>0</v>
      </c>
      <c r="L6310" s="220">
        <v>8510</v>
      </c>
      <c r="M6310" s="220">
        <v>22000</v>
      </c>
      <c r="N6310" s="220">
        <f>SUM(I6310:M6311)</f>
        <v>949010</v>
      </c>
      <c r="O6310" s="224"/>
      <c r="P6310" s="110" t="s">
        <v>17922</v>
      </c>
      <c r="Q6310" s="15" t="s">
        <v>19</v>
      </c>
      <c r="R6310" s="205"/>
      <c r="S6310" s="189" t="s">
        <v>1422</v>
      </c>
      <c r="T6310" s="114"/>
      <c r="U6310" s="21"/>
      <c r="V6310" s="115">
        <v>46077</v>
      </c>
      <c r="W6310" s="116">
        <v>1930</v>
      </c>
      <c r="X6310" s="220">
        <v>879000</v>
      </c>
      <c r="Y6310" s="220">
        <f>X6310*0.1</f>
        <v>87900</v>
      </c>
      <c r="Z6310" s="220">
        <v>8510</v>
      </c>
      <c r="AA6310" s="220">
        <f>SUM(X6310:Z6310)</f>
        <v>975410</v>
      </c>
      <c r="AB6310" s="222"/>
    </row>
    <row r="6311" spans="1:28" ht="17.100000000000001" customHeight="1" thickBot="1">
      <c r="A6311" s="227"/>
      <c r="B6311" s="27" t="s">
        <v>2171</v>
      </c>
      <c r="C6311" s="27">
        <v>50093</v>
      </c>
      <c r="D6311" s="14" t="s">
        <v>1548</v>
      </c>
      <c r="E6311" s="229"/>
      <c r="F6311" s="117" t="s">
        <v>17914</v>
      </c>
      <c r="G6311" s="26">
        <v>22865</v>
      </c>
      <c r="H6311" s="231"/>
      <c r="I6311" s="221"/>
      <c r="J6311" s="221"/>
      <c r="K6311" s="221"/>
      <c r="L6311" s="221"/>
      <c r="M6311" s="221"/>
      <c r="N6311" s="221"/>
      <c r="O6311" s="225"/>
      <c r="P6311" s="118" t="s">
        <v>5159</v>
      </c>
      <c r="Q6311" s="16" t="s">
        <v>20</v>
      </c>
      <c r="R6311" s="17" t="s">
        <v>18270</v>
      </c>
      <c r="S6311" s="121" t="s">
        <v>1923</v>
      </c>
      <c r="T6311" s="122"/>
      <c r="U6311" s="22"/>
      <c r="V6311" s="123" t="s">
        <v>2103</v>
      </c>
      <c r="W6311" s="122">
        <v>3361</v>
      </c>
      <c r="X6311" s="221"/>
      <c r="Y6311" s="221"/>
      <c r="Z6311" s="221"/>
      <c r="AA6311" s="221"/>
      <c r="AB6311" s="223"/>
    </row>
    <row r="6312" spans="1:28" ht="17.100000000000001" customHeight="1" thickTop="1">
      <c r="A6312" s="226" t="s">
        <v>17907</v>
      </c>
      <c r="B6312" s="28">
        <v>46072</v>
      </c>
      <c r="C6312" s="25">
        <v>2015</v>
      </c>
      <c r="D6312" s="13" t="s">
        <v>3332</v>
      </c>
      <c r="E6312" s="228"/>
      <c r="F6312" s="109" t="s">
        <v>17923</v>
      </c>
      <c r="G6312" s="24" t="s">
        <v>4025</v>
      </c>
      <c r="H6312" s="230">
        <v>4</v>
      </c>
      <c r="I6312" s="220">
        <v>1049000</v>
      </c>
      <c r="J6312" s="220">
        <f>I6312*0.1</f>
        <v>104900</v>
      </c>
      <c r="K6312" s="220">
        <v>0</v>
      </c>
      <c r="L6312" s="220">
        <v>10330</v>
      </c>
      <c r="M6312" s="220">
        <v>22000</v>
      </c>
      <c r="N6312" s="220">
        <f>SUM(I6312:M6313)</f>
        <v>1186230</v>
      </c>
      <c r="O6312" s="224"/>
      <c r="P6312" s="110" t="s">
        <v>17924</v>
      </c>
      <c r="Q6312" s="15" t="s">
        <v>19</v>
      </c>
      <c r="R6312" s="205"/>
      <c r="S6312" s="189" t="s">
        <v>1271</v>
      </c>
      <c r="T6312" s="114"/>
      <c r="U6312" s="21"/>
      <c r="V6312" s="115">
        <v>46078</v>
      </c>
      <c r="W6312" s="116">
        <v>1006</v>
      </c>
      <c r="X6312" s="220">
        <v>1095000</v>
      </c>
      <c r="Y6312" s="220">
        <f>X6312*0.1</f>
        <v>109500</v>
      </c>
      <c r="Z6312" s="220">
        <v>10330</v>
      </c>
      <c r="AA6312" s="220">
        <f>SUM(X6312:Z6312)</f>
        <v>1214830</v>
      </c>
      <c r="AB6312" s="222">
        <v>46083</v>
      </c>
    </row>
    <row r="6313" spans="1:28" ht="17.100000000000001" customHeight="1" thickBot="1">
      <c r="A6313" s="227"/>
      <c r="B6313" s="27" t="s">
        <v>2171</v>
      </c>
      <c r="C6313" s="27">
        <v>50143</v>
      </c>
      <c r="D6313" s="14" t="s">
        <v>273</v>
      </c>
      <c r="E6313" s="229"/>
      <c r="F6313" s="117" t="s">
        <v>17915</v>
      </c>
      <c r="G6313" s="26">
        <v>23159</v>
      </c>
      <c r="H6313" s="231"/>
      <c r="I6313" s="221"/>
      <c r="J6313" s="221"/>
      <c r="K6313" s="221"/>
      <c r="L6313" s="221"/>
      <c r="M6313" s="221"/>
      <c r="N6313" s="221"/>
      <c r="O6313" s="225"/>
      <c r="P6313" s="118" t="s">
        <v>7595</v>
      </c>
      <c r="Q6313" s="16" t="s">
        <v>20</v>
      </c>
      <c r="R6313" s="17" t="s">
        <v>18270</v>
      </c>
      <c r="S6313" s="121" t="s">
        <v>8555</v>
      </c>
      <c r="T6313" s="122" t="s">
        <v>18179</v>
      </c>
      <c r="U6313" s="22"/>
      <c r="V6313" s="123" t="s">
        <v>2747</v>
      </c>
      <c r="W6313" s="122">
        <v>5080</v>
      </c>
      <c r="X6313" s="221"/>
      <c r="Y6313" s="221"/>
      <c r="Z6313" s="221"/>
      <c r="AA6313" s="221"/>
      <c r="AB6313" s="223"/>
    </row>
    <row r="6314" spans="1:28" ht="17.100000000000001" customHeight="1" thickTop="1">
      <c r="A6314" s="226" t="s">
        <v>17908</v>
      </c>
      <c r="B6314" s="28">
        <v>46072</v>
      </c>
      <c r="C6314" s="25">
        <v>2015</v>
      </c>
      <c r="D6314" s="13" t="s">
        <v>1973</v>
      </c>
      <c r="E6314" s="228"/>
      <c r="F6314" s="109" t="s">
        <v>17925</v>
      </c>
      <c r="G6314" s="24"/>
      <c r="H6314" s="230">
        <v>4</v>
      </c>
      <c r="I6314" s="220">
        <v>963000</v>
      </c>
      <c r="J6314" s="220">
        <f>I6314*0.1</f>
        <v>96300</v>
      </c>
      <c r="K6314" s="220">
        <v>0</v>
      </c>
      <c r="L6314" s="220">
        <v>5990</v>
      </c>
      <c r="M6314" s="220">
        <v>22000</v>
      </c>
      <c r="N6314" s="220">
        <f>SUM(I6314:M6315)</f>
        <v>1087290</v>
      </c>
      <c r="O6314" s="224"/>
      <c r="P6314" s="110" t="s">
        <v>18660</v>
      </c>
      <c r="Q6314" s="15" t="s">
        <v>19</v>
      </c>
      <c r="R6314" s="205"/>
      <c r="S6314" s="189" t="s">
        <v>25451</v>
      </c>
      <c r="T6314" s="114"/>
      <c r="U6314" s="21"/>
      <c r="V6314" s="115">
        <v>46078</v>
      </c>
      <c r="W6314" s="116">
        <v>1006</v>
      </c>
      <c r="X6314" s="220">
        <v>1035000</v>
      </c>
      <c r="Y6314" s="220">
        <f>X6314*0.1</f>
        <v>103500</v>
      </c>
      <c r="Z6314" s="220">
        <v>5990</v>
      </c>
      <c r="AA6314" s="220">
        <f>SUM(X6314:Z6314)</f>
        <v>1144490</v>
      </c>
      <c r="AB6314" s="222">
        <v>46084</v>
      </c>
    </row>
    <row r="6315" spans="1:28" ht="17.100000000000001" customHeight="1" thickBot="1">
      <c r="A6315" s="227"/>
      <c r="B6315" s="27" t="s">
        <v>2171</v>
      </c>
      <c r="C6315" s="27">
        <v>50166</v>
      </c>
      <c r="D6315" s="14" t="s">
        <v>17928</v>
      </c>
      <c r="E6315" s="229"/>
      <c r="F6315" s="117" t="s">
        <v>17916</v>
      </c>
      <c r="G6315" s="26">
        <v>30250</v>
      </c>
      <c r="H6315" s="231"/>
      <c r="I6315" s="221"/>
      <c r="J6315" s="221"/>
      <c r="K6315" s="221"/>
      <c r="L6315" s="221"/>
      <c r="M6315" s="221"/>
      <c r="N6315" s="221"/>
      <c r="O6315" s="225"/>
      <c r="P6315" s="118" t="s">
        <v>16562</v>
      </c>
      <c r="Q6315" s="16" t="s">
        <v>20</v>
      </c>
      <c r="R6315" s="17" t="s">
        <v>1883</v>
      </c>
      <c r="S6315" s="121" t="s">
        <v>4984</v>
      </c>
      <c r="T6315" s="122"/>
      <c r="U6315" s="22"/>
      <c r="V6315" s="123" t="s">
        <v>2747</v>
      </c>
      <c r="W6315" s="122">
        <v>5076</v>
      </c>
      <c r="X6315" s="221"/>
      <c r="Y6315" s="221"/>
      <c r="Z6315" s="221"/>
      <c r="AA6315" s="221"/>
      <c r="AB6315" s="223"/>
    </row>
    <row r="6316" spans="1:28" ht="17.100000000000001" customHeight="1" thickTop="1">
      <c r="A6316" s="226" t="s">
        <v>17909</v>
      </c>
      <c r="B6316" s="28">
        <v>46072</v>
      </c>
      <c r="C6316" s="25">
        <v>2015</v>
      </c>
      <c r="D6316" s="13" t="s">
        <v>1973</v>
      </c>
      <c r="E6316" s="228"/>
      <c r="F6316" s="109" t="s">
        <v>17925</v>
      </c>
      <c r="G6316" s="24"/>
      <c r="H6316" s="230">
        <v>4</v>
      </c>
      <c r="I6316" s="220">
        <v>900000</v>
      </c>
      <c r="J6316" s="220">
        <f>I6316*0.1</f>
        <v>90000</v>
      </c>
      <c r="K6316" s="220">
        <v>0</v>
      </c>
      <c r="L6316" s="220">
        <v>5990</v>
      </c>
      <c r="M6316" s="220">
        <v>22000</v>
      </c>
      <c r="N6316" s="220">
        <f>SUM(I6316:M6317)</f>
        <v>1017990</v>
      </c>
      <c r="O6316" s="224"/>
      <c r="P6316" s="110" t="s">
        <v>18674</v>
      </c>
      <c r="Q6316" s="15" t="s">
        <v>19</v>
      </c>
      <c r="R6316" s="205"/>
      <c r="S6316" s="189" t="s">
        <v>25451</v>
      </c>
      <c r="T6316" s="114"/>
      <c r="U6316" s="21"/>
      <c r="V6316" s="115">
        <v>46106</v>
      </c>
      <c r="W6316" s="116">
        <v>1010</v>
      </c>
      <c r="X6316" s="220">
        <v>920000</v>
      </c>
      <c r="Y6316" s="220">
        <f>X6316*0.1</f>
        <v>92000</v>
      </c>
      <c r="Z6316" s="220">
        <v>5990</v>
      </c>
      <c r="AA6316" s="220">
        <f>SUM(X6316:Z6316)</f>
        <v>1017990</v>
      </c>
      <c r="AB6316" s="222">
        <v>46111</v>
      </c>
    </row>
    <row r="6317" spans="1:28" ht="17.100000000000001" customHeight="1" thickBot="1">
      <c r="A6317" s="227"/>
      <c r="B6317" s="27" t="s">
        <v>2171</v>
      </c>
      <c r="C6317" s="27">
        <v>50169</v>
      </c>
      <c r="D6317" s="14" t="s">
        <v>131</v>
      </c>
      <c r="E6317" s="229"/>
      <c r="F6317" s="117" t="s">
        <v>17917</v>
      </c>
      <c r="G6317" s="26">
        <v>51467</v>
      </c>
      <c r="H6317" s="231"/>
      <c r="I6317" s="221"/>
      <c r="J6317" s="221"/>
      <c r="K6317" s="221"/>
      <c r="L6317" s="221"/>
      <c r="M6317" s="221"/>
      <c r="N6317" s="221"/>
      <c r="O6317" s="225"/>
      <c r="P6317" s="118" t="s">
        <v>16562</v>
      </c>
      <c r="Q6317" s="16" t="s">
        <v>20</v>
      </c>
      <c r="R6317" s="17" t="s">
        <v>1883</v>
      </c>
      <c r="S6317" s="121" t="s">
        <v>4035</v>
      </c>
      <c r="T6317" s="122"/>
      <c r="U6317" s="22"/>
      <c r="V6317" s="123" t="s">
        <v>8877</v>
      </c>
      <c r="W6317" s="122">
        <v>2008</v>
      </c>
      <c r="X6317" s="221"/>
      <c r="Y6317" s="221"/>
      <c r="Z6317" s="221"/>
      <c r="AA6317" s="221"/>
      <c r="AB6317" s="223"/>
    </row>
    <row r="6318" spans="1:28" ht="17.100000000000001" customHeight="1" thickTop="1">
      <c r="A6318" s="226" t="s">
        <v>17910</v>
      </c>
      <c r="B6318" s="28">
        <v>46072</v>
      </c>
      <c r="C6318" s="25">
        <v>2015</v>
      </c>
      <c r="D6318" s="13" t="s">
        <v>1973</v>
      </c>
      <c r="E6318" s="228"/>
      <c r="F6318" s="109" t="s">
        <v>17926</v>
      </c>
      <c r="G6318" s="24"/>
      <c r="H6318" s="230">
        <v>4</v>
      </c>
      <c r="I6318" s="220">
        <v>937000</v>
      </c>
      <c r="J6318" s="220">
        <f>I6318*0.1</f>
        <v>93700</v>
      </c>
      <c r="K6318" s="220">
        <v>0</v>
      </c>
      <c r="L6318" s="220">
        <v>5990</v>
      </c>
      <c r="M6318" s="220">
        <v>22000</v>
      </c>
      <c r="N6318" s="220">
        <f>SUM(I6318:M6319)</f>
        <v>1058690</v>
      </c>
      <c r="O6318" s="224"/>
      <c r="P6318" s="110" t="s">
        <v>18675</v>
      </c>
      <c r="Q6318" s="15" t="s">
        <v>19</v>
      </c>
      <c r="R6318" s="205"/>
      <c r="S6318" s="189" t="s">
        <v>25451</v>
      </c>
      <c r="T6318" s="114"/>
      <c r="U6318" s="21"/>
      <c r="V6318" s="115">
        <v>46113</v>
      </c>
      <c r="W6318" s="116">
        <v>1011</v>
      </c>
      <c r="X6318" s="220">
        <v>975000</v>
      </c>
      <c r="Y6318" s="220">
        <f>X6318*0.1</f>
        <v>97500</v>
      </c>
      <c r="Z6318" s="220">
        <v>5990</v>
      </c>
      <c r="AA6318" s="220">
        <f>SUM(X6318:Z6318)</f>
        <v>1078490</v>
      </c>
      <c r="AB6318" s="222">
        <v>46118</v>
      </c>
    </row>
    <row r="6319" spans="1:28" ht="17.100000000000001" customHeight="1" thickBot="1">
      <c r="A6319" s="227"/>
      <c r="B6319" s="27" t="s">
        <v>2171</v>
      </c>
      <c r="C6319" s="27">
        <v>50173</v>
      </c>
      <c r="D6319" s="14" t="s">
        <v>273</v>
      </c>
      <c r="E6319" s="229"/>
      <c r="F6319" s="117" t="s">
        <v>17918</v>
      </c>
      <c r="G6319" s="26">
        <v>46005</v>
      </c>
      <c r="H6319" s="231"/>
      <c r="I6319" s="221"/>
      <c r="J6319" s="221"/>
      <c r="K6319" s="221"/>
      <c r="L6319" s="221"/>
      <c r="M6319" s="221"/>
      <c r="N6319" s="221"/>
      <c r="O6319" s="225"/>
      <c r="P6319" s="118" t="s">
        <v>17280</v>
      </c>
      <c r="Q6319" s="16" t="s">
        <v>20</v>
      </c>
      <c r="R6319" s="17" t="s">
        <v>1883</v>
      </c>
      <c r="S6319" s="121" t="s">
        <v>1731</v>
      </c>
      <c r="T6319" s="122"/>
      <c r="U6319" s="22"/>
      <c r="V6319" s="123" t="s">
        <v>2747</v>
      </c>
      <c r="W6319" s="122">
        <v>2055</v>
      </c>
      <c r="X6319" s="221"/>
      <c r="Y6319" s="221"/>
      <c r="Z6319" s="221"/>
      <c r="AA6319" s="221"/>
      <c r="AB6319" s="223"/>
    </row>
    <row r="6320" spans="1:28" ht="17.100000000000001" customHeight="1" thickTop="1">
      <c r="A6320" s="226" t="s">
        <v>17911</v>
      </c>
      <c r="B6320" s="28">
        <v>46072</v>
      </c>
      <c r="C6320" s="25">
        <v>2015</v>
      </c>
      <c r="D6320" s="13" t="s">
        <v>2295</v>
      </c>
      <c r="E6320" s="228"/>
      <c r="F6320" s="109" t="s">
        <v>2009</v>
      </c>
      <c r="G6320" s="24" t="s">
        <v>1540</v>
      </c>
      <c r="H6320" s="230">
        <v>4</v>
      </c>
      <c r="I6320" s="220">
        <v>978000</v>
      </c>
      <c r="J6320" s="220">
        <f>I6320*0.1</f>
        <v>97800</v>
      </c>
      <c r="K6320" s="220">
        <v>0</v>
      </c>
      <c r="L6320" s="220">
        <v>8400</v>
      </c>
      <c r="M6320" s="220">
        <v>22000</v>
      </c>
      <c r="N6320" s="220">
        <f>SUM(I6320:M6321)</f>
        <v>1106200</v>
      </c>
      <c r="O6320" s="224"/>
      <c r="P6320" s="110" t="s">
        <v>17927</v>
      </c>
      <c r="Q6320" s="15" t="s">
        <v>19</v>
      </c>
      <c r="R6320" s="205"/>
      <c r="S6320" s="189"/>
      <c r="T6320" s="114"/>
      <c r="U6320" s="21" t="s">
        <v>20464</v>
      </c>
      <c r="V6320" s="115">
        <v>46109</v>
      </c>
      <c r="W6320" s="116"/>
      <c r="X6320" s="220">
        <v>1150000</v>
      </c>
      <c r="Y6320" s="220">
        <f>X6320*0.1</f>
        <v>115000</v>
      </c>
      <c r="Z6320" s="220">
        <v>8400</v>
      </c>
      <c r="AA6320" s="220">
        <f>SUM(X6320:Z6320)</f>
        <v>1273400</v>
      </c>
      <c r="AB6320" s="222"/>
    </row>
    <row r="6321" spans="1:28" ht="17.100000000000001" customHeight="1" thickBot="1">
      <c r="A6321" s="227"/>
      <c r="B6321" s="27" t="s">
        <v>2171</v>
      </c>
      <c r="C6321" s="27">
        <v>50187</v>
      </c>
      <c r="D6321" s="14" t="s">
        <v>2559</v>
      </c>
      <c r="E6321" s="229"/>
      <c r="F6321" s="117" t="s">
        <v>17919</v>
      </c>
      <c r="G6321" s="26">
        <v>64961</v>
      </c>
      <c r="H6321" s="231"/>
      <c r="I6321" s="221"/>
      <c r="J6321" s="221"/>
      <c r="K6321" s="221"/>
      <c r="L6321" s="221"/>
      <c r="M6321" s="221"/>
      <c r="N6321" s="221"/>
      <c r="O6321" s="225"/>
      <c r="P6321" s="118" t="s">
        <v>18520</v>
      </c>
      <c r="Q6321" s="16" t="s">
        <v>20</v>
      </c>
      <c r="R6321" s="17" t="s">
        <v>18270</v>
      </c>
      <c r="S6321" s="121"/>
      <c r="T6321" s="122"/>
      <c r="U6321" s="22"/>
      <c r="V6321" s="123" t="s">
        <v>6682</v>
      </c>
      <c r="W6321" s="122">
        <v>49623</v>
      </c>
      <c r="X6321" s="221"/>
      <c r="Y6321" s="221"/>
      <c r="Z6321" s="221"/>
      <c r="AA6321" s="221"/>
      <c r="AB6321" s="223"/>
    </row>
    <row r="6322" spans="1:28" ht="17.100000000000001" customHeight="1" thickTop="1">
      <c r="A6322" s="226" t="s">
        <v>17937</v>
      </c>
      <c r="B6322" s="28">
        <v>46073</v>
      </c>
      <c r="C6322" s="25">
        <v>1194</v>
      </c>
      <c r="D6322" s="13" t="s">
        <v>812</v>
      </c>
      <c r="E6322" s="228"/>
      <c r="F6322" s="109" t="s">
        <v>17938</v>
      </c>
      <c r="G6322" s="24"/>
      <c r="H6322" s="230">
        <v>4.5</v>
      </c>
      <c r="I6322" s="220">
        <v>1925000</v>
      </c>
      <c r="J6322" s="220">
        <f>I6322*0.1</f>
        <v>192500</v>
      </c>
      <c r="K6322" s="220">
        <v>0</v>
      </c>
      <c r="L6322" s="220">
        <v>19840</v>
      </c>
      <c r="M6322" s="220">
        <v>16500</v>
      </c>
      <c r="N6322" s="220">
        <f>SUM(I6322:M6323)</f>
        <v>2153840</v>
      </c>
      <c r="O6322" s="224"/>
      <c r="P6322" s="110" t="s">
        <v>18478</v>
      </c>
      <c r="Q6322" s="15" t="s">
        <v>19</v>
      </c>
      <c r="R6322" s="205"/>
      <c r="S6322" s="189" t="s">
        <v>25445</v>
      </c>
      <c r="T6322" s="114"/>
      <c r="U6322" s="21"/>
      <c r="V6322" s="115">
        <v>46086</v>
      </c>
      <c r="W6322" s="116">
        <v>1321</v>
      </c>
      <c r="X6322" s="220">
        <v>2050000</v>
      </c>
      <c r="Y6322" s="220">
        <f>X6322*0.1</f>
        <v>205000</v>
      </c>
      <c r="Z6322" s="220">
        <v>19840</v>
      </c>
      <c r="AA6322" s="220">
        <f>SUM(X6322:Z6322)</f>
        <v>2274840</v>
      </c>
      <c r="AB6322" s="222">
        <v>46087</v>
      </c>
    </row>
    <row r="6323" spans="1:28" ht="17.100000000000001" customHeight="1" thickBot="1">
      <c r="A6323" s="227"/>
      <c r="B6323" s="27" t="s">
        <v>1813</v>
      </c>
      <c r="C6323" s="27">
        <v>88039</v>
      </c>
      <c r="D6323" s="14" t="s">
        <v>1584</v>
      </c>
      <c r="E6323" s="229"/>
      <c r="F6323" s="117" t="s">
        <v>17939</v>
      </c>
      <c r="G6323" s="26">
        <v>31433</v>
      </c>
      <c r="H6323" s="231"/>
      <c r="I6323" s="221"/>
      <c r="J6323" s="221"/>
      <c r="K6323" s="221"/>
      <c r="L6323" s="221"/>
      <c r="M6323" s="221"/>
      <c r="N6323" s="221"/>
      <c r="O6323" s="225"/>
      <c r="P6323" s="118" t="s">
        <v>15062</v>
      </c>
      <c r="Q6323" s="16" t="s">
        <v>20</v>
      </c>
      <c r="R6323" s="17" t="s">
        <v>3559</v>
      </c>
      <c r="S6323" s="121" t="s">
        <v>18479</v>
      </c>
      <c r="T6323" s="122"/>
      <c r="U6323" s="22"/>
      <c r="V6323" s="123" t="s">
        <v>18928</v>
      </c>
      <c r="W6323" s="122">
        <v>60</v>
      </c>
      <c r="X6323" s="221"/>
      <c r="Y6323" s="221"/>
      <c r="Z6323" s="221"/>
      <c r="AA6323" s="221"/>
      <c r="AB6323" s="223"/>
    </row>
    <row r="6324" spans="1:28" ht="17.100000000000001" customHeight="1" thickTop="1">
      <c r="A6324" s="226" t="s">
        <v>17941</v>
      </c>
      <c r="B6324" s="28">
        <v>46073</v>
      </c>
      <c r="C6324" s="25">
        <v>2123</v>
      </c>
      <c r="D6324" s="13" t="s">
        <v>1704</v>
      </c>
      <c r="E6324" s="228"/>
      <c r="F6324" s="109" t="s">
        <v>2658</v>
      </c>
      <c r="G6324" s="24"/>
      <c r="H6324" s="230">
        <v>4.5</v>
      </c>
      <c r="I6324" s="220">
        <v>1600000</v>
      </c>
      <c r="J6324" s="220">
        <f>I6324*0.1</f>
        <v>160000</v>
      </c>
      <c r="K6324" s="220">
        <v>0</v>
      </c>
      <c r="L6324" s="220">
        <v>11740</v>
      </c>
      <c r="M6324" s="220">
        <v>27500</v>
      </c>
      <c r="N6324" s="220">
        <f>SUM(I6324:M6325)</f>
        <v>1799240</v>
      </c>
      <c r="O6324" s="224"/>
      <c r="P6324" s="110" t="s">
        <v>18482</v>
      </c>
      <c r="Q6324" s="15" t="s">
        <v>19</v>
      </c>
      <c r="R6324" s="205"/>
      <c r="S6324" s="189" t="s">
        <v>1271</v>
      </c>
      <c r="T6324" s="114"/>
      <c r="U6324" s="21"/>
      <c r="V6324" s="115"/>
      <c r="W6324" s="116"/>
      <c r="X6324" s="220"/>
      <c r="Y6324" s="220">
        <f>X6324*0.1</f>
        <v>0</v>
      </c>
      <c r="Z6324" s="220"/>
      <c r="AA6324" s="220">
        <f>SUM(X6324:Z6324)</f>
        <v>0</v>
      </c>
      <c r="AB6324" s="222"/>
    </row>
    <row r="6325" spans="1:28" ht="17.100000000000001" customHeight="1" thickBot="1">
      <c r="A6325" s="227"/>
      <c r="B6325" s="27" t="s">
        <v>1536</v>
      </c>
      <c r="C6325" s="27">
        <v>20155</v>
      </c>
      <c r="D6325" s="14" t="s">
        <v>273</v>
      </c>
      <c r="E6325" s="229"/>
      <c r="F6325" s="117" t="s">
        <v>17940</v>
      </c>
      <c r="G6325" s="26">
        <v>38165</v>
      </c>
      <c r="H6325" s="231"/>
      <c r="I6325" s="221"/>
      <c r="J6325" s="221"/>
      <c r="K6325" s="221"/>
      <c r="L6325" s="221"/>
      <c r="M6325" s="221"/>
      <c r="N6325" s="221"/>
      <c r="O6325" s="225"/>
      <c r="P6325" s="118" t="s">
        <v>2870</v>
      </c>
      <c r="Q6325" s="16" t="s">
        <v>20</v>
      </c>
      <c r="R6325" s="17" t="s">
        <v>3559</v>
      </c>
      <c r="S6325" s="121" t="s">
        <v>11381</v>
      </c>
      <c r="T6325" s="122"/>
      <c r="U6325" s="22"/>
      <c r="V6325" s="123"/>
      <c r="W6325" s="122"/>
      <c r="X6325" s="221"/>
      <c r="Y6325" s="221"/>
      <c r="Z6325" s="221"/>
      <c r="AA6325" s="221"/>
      <c r="AB6325" s="223"/>
    </row>
    <row r="6326" spans="1:28" ht="17.100000000000001" customHeight="1" thickTop="1">
      <c r="A6326" s="226" t="s">
        <v>17942</v>
      </c>
      <c r="B6326" s="28">
        <v>46073</v>
      </c>
      <c r="C6326" s="25">
        <v>2123</v>
      </c>
      <c r="D6326" s="13" t="s">
        <v>1883</v>
      </c>
      <c r="E6326" s="228"/>
      <c r="F6326" s="109" t="s">
        <v>4483</v>
      </c>
      <c r="G6326" s="24"/>
      <c r="H6326" s="230">
        <v>4</v>
      </c>
      <c r="I6326" s="220">
        <v>1320000</v>
      </c>
      <c r="J6326" s="220">
        <f>I6326*0.1</f>
        <v>132000</v>
      </c>
      <c r="K6326" s="220">
        <v>0</v>
      </c>
      <c r="L6326" s="220">
        <v>17600</v>
      </c>
      <c r="M6326" s="220">
        <v>16500</v>
      </c>
      <c r="N6326" s="220">
        <f>SUM(I6326:M6327)</f>
        <v>1486100</v>
      </c>
      <c r="O6326" s="224"/>
      <c r="P6326" s="110" t="s">
        <v>18459</v>
      </c>
      <c r="Q6326" s="15" t="s">
        <v>19</v>
      </c>
      <c r="R6326" s="205"/>
      <c r="S6326" s="189"/>
      <c r="T6326" s="114"/>
      <c r="U6326" s="21"/>
      <c r="V6326" s="115">
        <v>46079</v>
      </c>
      <c r="W6326" s="116">
        <v>1320</v>
      </c>
      <c r="X6326" s="220">
        <v>1510000</v>
      </c>
      <c r="Y6326" s="220">
        <f>X6326*0.1</f>
        <v>151000</v>
      </c>
      <c r="Z6326" s="220">
        <v>17600</v>
      </c>
      <c r="AA6326" s="220">
        <f>SUM(X6326:Z6326)</f>
        <v>1678600</v>
      </c>
      <c r="AB6326" s="222">
        <v>46080</v>
      </c>
    </row>
    <row r="6327" spans="1:28" ht="17.100000000000001" customHeight="1" thickBot="1">
      <c r="A6327" s="227"/>
      <c r="B6327" s="27" t="s">
        <v>1536</v>
      </c>
      <c r="C6327" s="27">
        <v>58142</v>
      </c>
      <c r="D6327" s="14" t="s">
        <v>1797</v>
      </c>
      <c r="E6327" s="229"/>
      <c r="F6327" s="117" t="s">
        <v>17944</v>
      </c>
      <c r="G6327" s="26">
        <v>39572</v>
      </c>
      <c r="H6327" s="231"/>
      <c r="I6327" s="221"/>
      <c r="J6327" s="221"/>
      <c r="K6327" s="221"/>
      <c r="L6327" s="221"/>
      <c r="M6327" s="221"/>
      <c r="N6327" s="221"/>
      <c r="O6327" s="225"/>
      <c r="P6327" s="118" t="s">
        <v>3355</v>
      </c>
      <c r="Q6327" s="16" t="s">
        <v>20</v>
      </c>
      <c r="R6327" s="17" t="s">
        <v>3559</v>
      </c>
      <c r="S6327" s="121" t="s">
        <v>1731</v>
      </c>
      <c r="T6327" s="122"/>
      <c r="U6327" s="22"/>
      <c r="V6327" s="123" t="s">
        <v>13379</v>
      </c>
      <c r="W6327" s="122">
        <v>50</v>
      </c>
      <c r="X6327" s="221"/>
      <c r="Y6327" s="221"/>
      <c r="Z6327" s="221"/>
      <c r="AA6327" s="221"/>
      <c r="AB6327" s="223"/>
    </row>
    <row r="6328" spans="1:28" ht="17.100000000000001" customHeight="1" thickTop="1">
      <c r="A6328" s="226" t="s">
        <v>17943</v>
      </c>
      <c r="B6328" s="28">
        <v>46073</v>
      </c>
      <c r="C6328" s="25">
        <v>2123</v>
      </c>
      <c r="D6328" s="13" t="s">
        <v>1678</v>
      </c>
      <c r="E6328" s="228"/>
      <c r="F6328" s="109" t="s">
        <v>4483</v>
      </c>
      <c r="G6328" s="24"/>
      <c r="H6328" s="230">
        <v>4.5</v>
      </c>
      <c r="I6328" s="220">
        <v>1450000</v>
      </c>
      <c r="J6328" s="220">
        <f>I6328*0.1</f>
        <v>145000</v>
      </c>
      <c r="K6328" s="220">
        <v>0</v>
      </c>
      <c r="L6328" s="220">
        <v>15750</v>
      </c>
      <c r="M6328" s="220">
        <v>16500</v>
      </c>
      <c r="N6328" s="220">
        <f>SUM(I6328:M6329)</f>
        <v>1627250</v>
      </c>
      <c r="O6328" s="224"/>
      <c r="P6328" s="110" t="s">
        <v>19857</v>
      </c>
      <c r="Q6328" s="15" t="s">
        <v>19</v>
      </c>
      <c r="R6328" s="205"/>
      <c r="S6328" s="189" t="s">
        <v>758</v>
      </c>
      <c r="T6328" s="114"/>
      <c r="U6328" s="21"/>
      <c r="V6328" s="115">
        <v>46079</v>
      </c>
      <c r="W6328" s="116">
        <v>1321</v>
      </c>
      <c r="X6328" s="220">
        <v>1665000</v>
      </c>
      <c r="Y6328" s="220">
        <f>X6328*0.1</f>
        <v>166500</v>
      </c>
      <c r="Z6328" s="220">
        <v>15750</v>
      </c>
      <c r="AA6328" s="220">
        <f>SUM(X6328:Z6328)</f>
        <v>1847250</v>
      </c>
      <c r="AB6328" s="222">
        <v>46080</v>
      </c>
    </row>
    <row r="6329" spans="1:28" ht="17.100000000000001" customHeight="1" thickBot="1">
      <c r="A6329" s="227"/>
      <c r="B6329" s="27" t="s">
        <v>1536</v>
      </c>
      <c r="C6329" s="27">
        <v>58391</v>
      </c>
      <c r="D6329" s="14" t="s">
        <v>1797</v>
      </c>
      <c r="E6329" s="229"/>
      <c r="F6329" s="117" t="s">
        <v>17945</v>
      </c>
      <c r="G6329" s="26">
        <v>51721</v>
      </c>
      <c r="H6329" s="231"/>
      <c r="I6329" s="221"/>
      <c r="J6329" s="221"/>
      <c r="K6329" s="221"/>
      <c r="L6329" s="221"/>
      <c r="M6329" s="221"/>
      <c r="N6329" s="221"/>
      <c r="O6329" s="225"/>
      <c r="P6329" s="118" t="s">
        <v>1972</v>
      </c>
      <c r="Q6329" s="16" t="s">
        <v>20</v>
      </c>
      <c r="R6329" s="17" t="s">
        <v>3913</v>
      </c>
      <c r="S6329" s="121" t="s">
        <v>19858</v>
      </c>
      <c r="T6329" s="122"/>
      <c r="U6329" s="22"/>
      <c r="V6329" s="123" t="s">
        <v>13379</v>
      </c>
      <c r="W6329" s="122">
        <v>504</v>
      </c>
      <c r="X6329" s="221"/>
      <c r="Y6329" s="221"/>
      <c r="Z6329" s="221"/>
      <c r="AA6329" s="221"/>
      <c r="AB6329" s="223"/>
    </row>
    <row r="6330" spans="1:28" ht="17.100000000000001" customHeight="1" thickTop="1">
      <c r="A6330" s="226" t="s">
        <v>17972</v>
      </c>
      <c r="B6330" s="28">
        <v>46073</v>
      </c>
      <c r="C6330" s="25">
        <v>94</v>
      </c>
      <c r="D6330" s="13" t="s">
        <v>2422</v>
      </c>
      <c r="E6330" s="228"/>
      <c r="F6330" s="109" t="s">
        <v>17934</v>
      </c>
      <c r="G6330" s="24" t="s">
        <v>4025</v>
      </c>
      <c r="H6330" s="230">
        <v>4</v>
      </c>
      <c r="I6330" s="220">
        <v>1275000</v>
      </c>
      <c r="J6330" s="220">
        <f>I6330*0.1</f>
        <v>127500</v>
      </c>
      <c r="K6330" s="220">
        <f>3200+320</f>
        <v>3520</v>
      </c>
      <c r="L6330" s="220">
        <v>10120</v>
      </c>
      <c r="M6330" s="220">
        <v>44000</v>
      </c>
      <c r="N6330" s="220">
        <f>SUM(I6330:M6331)</f>
        <v>1460140</v>
      </c>
      <c r="O6330" s="224"/>
      <c r="P6330" s="110" t="s">
        <v>19354</v>
      </c>
      <c r="Q6330" s="15" t="s">
        <v>19</v>
      </c>
      <c r="R6330" s="205"/>
      <c r="S6330" s="189" t="s">
        <v>25805</v>
      </c>
      <c r="T6330" s="114"/>
      <c r="U6330" s="21"/>
      <c r="V6330" s="115">
        <v>46102</v>
      </c>
      <c r="W6330" s="116">
        <v>1293</v>
      </c>
      <c r="X6330" s="220">
        <v>1325000</v>
      </c>
      <c r="Y6330" s="220">
        <f>X6330*0.1</f>
        <v>132500</v>
      </c>
      <c r="Z6330" s="220">
        <v>10120</v>
      </c>
      <c r="AA6330" s="220">
        <f>SUM(X6330:Z6330)</f>
        <v>1467620</v>
      </c>
      <c r="AB6330" s="222">
        <v>46105</v>
      </c>
    </row>
    <row r="6331" spans="1:28" ht="17.100000000000001" customHeight="1" thickBot="1">
      <c r="A6331" s="227"/>
      <c r="B6331" s="27" t="s">
        <v>4468</v>
      </c>
      <c r="C6331" s="27">
        <v>1002</v>
      </c>
      <c r="D6331" s="14" t="s">
        <v>2559</v>
      </c>
      <c r="E6331" s="229"/>
      <c r="F6331" s="117" t="s">
        <v>17931</v>
      </c>
      <c r="G6331" s="26">
        <v>39052</v>
      </c>
      <c r="H6331" s="231"/>
      <c r="I6331" s="221"/>
      <c r="J6331" s="221"/>
      <c r="K6331" s="221"/>
      <c r="L6331" s="221"/>
      <c r="M6331" s="221"/>
      <c r="N6331" s="221"/>
      <c r="O6331" s="225"/>
      <c r="P6331" s="118" t="s">
        <v>19355</v>
      </c>
      <c r="Q6331" s="16" t="s">
        <v>20</v>
      </c>
      <c r="R6331" s="17" t="s">
        <v>1623</v>
      </c>
      <c r="S6331" s="121" t="s">
        <v>10516</v>
      </c>
      <c r="T6331" s="122"/>
      <c r="U6331" s="22"/>
      <c r="V6331" s="123" t="s">
        <v>2472</v>
      </c>
      <c r="W6331" s="122">
        <v>37087</v>
      </c>
      <c r="X6331" s="221"/>
      <c r="Y6331" s="221"/>
      <c r="Z6331" s="221"/>
      <c r="AA6331" s="221"/>
      <c r="AB6331" s="223"/>
    </row>
    <row r="6332" spans="1:28" ht="17.100000000000001" customHeight="1" thickTop="1">
      <c r="A6332" s="226" t="s">
        <v>17973</v>
      </c>
      <c r="B6332" s="28">
        <v>46073</v>
      </c>
      <c r="C6332" s="25">
        <v>94</v>
      </c>
      <c r="D6332" s="13" t="s">
        <v>1553</v>
      </c>
      <c r="E6332" s="228"/>
      <c r="F6332" s="109" t="s">
        <v>17935</v>
      </c>
      <c r="G6332" s="24" t="s">
        <v>3859</v>
      </c>
      <c r="H6332" s="230">
        <v>3.5</v>
      </c>
      <c r="I6332" s="220">
        <v>825000</v>
      </c>
      <c r="J6332" s="220">
        <f>I6332*0.1</f>
        <v>82500</v>
      </c>
      <c r="K6332" s="220">
        <v>39500</v>
      </c>
      <c r="L6332" s="220">
        <v>12500</v>
      </c>
      <c r="M6332" s="220">
        <v>33000</v>
      </c>
      <c r="N6332" s="220">
        <f>SUM(I6332:M6333)</f>
        <v>992500</v>
      </c>
      <c r="O6332" s="224"/>
      <c r="P6332" s="110" t="s">
        <v>20737</v>
      </c>
      <c r="Q6332" s="15" t="s">
        <v>19</v>
      </c>
      <c r="R6332" s="205"/>
      <c r="S6332" s="189" t="s">
        <v>25806</v>
      </c>
      <c r="T6332" s="114"/>
      <c r="U6332" s="21"/>
      <c r="V6332" s="115">
        <v>46113</v>
      </c>
      <c r="W6332" s="116">
        <v>1011</v>
      </c>
      <c r="X6332" s="220">
        <v>950000</v>
      </c>
      <c r="Y6332" s="220">
        <f>X6332*0.1</f>
        <v>95000</v>
      </c>
      <c r="Z6332" s="220">
        <v>12500</v>
      </c>
      <c r="AA6332" s="220">
        <f>SUM(X6332:Z6332)</f>
        <v>1057500</v>
      </c>
      <c r="AB6332" s="222">
        <v>46119</v>
      </c>
    </row>
    <row r="6333" spans="1:28" ht="17.100000000000001" customHeight="1" thickBot="1">
      <c r="A6333" s="227"/>
      <c r="B6333" s="27" t="s">
        <v>4468</v>
      </c>
      <c r="C6333" s="27">
        <v>1012</v>
      </c>
      <c r="D6333" s="14" t="s">
        <v>273</v>
      </c>
      <c r="E6333" s="229"/>
      <c r="F6333" s="117" t="s">
        <v>17932</v>
      </c>
      <c r="G6333" s="26">
        <v>85261</v>
      </c>
      <c r="H6333" s="231"/>
      <c r="I6333" s="221"/>
      <c r="J6333" s="221"/>
      <c r="K6333" s="221"/>
      <c r="L6333" s="221"/>
      <c r="M6333" s="221"/>
      <c r="N6333" s="221"/>
      <c r="O6333" s="225"/>
      <c r="P6333" s="118" t="s">
        <v>20738</v>
      </c>
      <c r="Q6333" s="16" t="s">
        <v>20</v>
      </c>
      <c r="R6333" s="17" t="s">
        <v>20705</v>
      </c>
      <c r="S6333" s="121" t="s">
        <v>21160</v>
      </c>
      <c r="T6333" s="122"/>
      <c r="U6333" s="22"/>
      <c r="V6333" s="123" t="s">
        <v>2747</v>
      </c>
      <c r="W6333" s="122">
        <v>1146</v>
      </c>
      <c r="X6333" s="221"/>
      <c r="Y6333" s="221"/>
      <c r="Z6333" s="221"/>
      <c r="AA6333" s="221"/>
      <c r="AB6333" s="223"/>
    </row>
    <row r="6334" spans="1:28" ht="17.100000000000001" customHeight="1" thickTop="1">
      <c r="A6334" s="226" t="s">
        <v>17974</v>
      </c>
      <c r="B6334" s="28">
        <v>46073</v>
      </c>
      <c r="C6334" s="25">
        <v>94</v>
      </c>
      <c r="D6334" s="13" t="s">
        <v>1578</v>
      </c>
      <c r="E6334" s="228"/>
      <c r="F6334" s="109" t="s">
        <v>17933</v>
      </c>
      <c r="G6334" s="24" t="s">
        <v>2487</v>
      </c>
      <c r="H6334" s="230">
        <v>4</v>
      </c>
      <c r="I6334" s="220">
        <v>760000</v>
      </c>
      <c r="J6334" s="220">
        <f>I6334*0.1</f>
        <v>76000</v>
      </c>
      <c r="K6334" s="220">
        <v>0</v>
      </c>
      <c r="L6334" s="220">
        <v>8400</v>
      </c>
      <c r="M6334" s="220">
        <v>33000</v>
      </c>
      <c r="N6334" s="220">
        <f>SUM(I6334:M6335)</f>
        <v>877400</v>
      </c>
      <c r="O6334" s="224"/>
      <c r="P6334" s="110" t="s">
        <v>20035</v>
      </c>
      <c r="Q6334" s="15" t="s">
        <v>19</v>
      </c>
      <c r="R6334" s="205"/>
      <c r="S6334" s="189" t="s">
        <v>25807</v>
      </c>
      <c r="T6334" s="114"/>
      <c r="U6334" s="21"/>
      <c r="V6334" s="115">
        <v>46116</v>
      </c>
      <c r="W6334" s="116">
        <v>1295</v>
      </c>
      <c r="X6334" s="220">
        <v>855000</v>
      </c>
      <c r="Y6334" s="220">
        <f>X6334*0.1</f>
        <v>85500</v>
      </c>
      <c r="Z6334" s="220">
        <v>8400</v>
      </c>
      <c r="AA6334" s="220">
        <f>SUM(X6334:Z6334)</f>
        <v>948900</v>
      </c>
      <c r="AB6334" s="222">
        <v>46119</v>
      </c>
    </row>
    <row r="6335" spans="1:28" ht="17.100000000000001" customHeight="1" thickBot="1">
      <c r="A6335" s="227"/>
      <c r="B6335" s="27" t="s">
        <v>12929</v>
      </c>
      <c r="C6335" s="27">
        <v>1027</v>
      </c>
      <c r="D6335" s="14" t="s">
        <v>898</v>
      </c>
      <c r="E6335" s="229"/>
      <c r="F6335" s="117" t="s">
        <v>18054</v>
      </c>
      <c r="G6335" s="26">
        <v>51200</v>
      </c>
      <c r="H6335" s="231"/>
      <c r="I6335" s="221"/>
      <c r="J6335" s="221"/>
      <c r="K6335" s="221"/>
      <c r="L6335" s="221"/>
      <c r="M6335" s="221"/>
      <c r="N6335" s="221"/>
      <c r="O6335" s="225"/>
      <c r="P6335" s="118" t="s">
        <v>1647</v>
      </c>
      <c r="Q6335" s="16" t="s">
        <v>20</v>
      </c>
      <c r="R6335" s="17" t="s">
        <v>19992</v>
      </c>
      <c r="S6335" s="121" t="s">
        <v>20036</v>
      </c>
      <c r="T6335" s="122"/>
      <c r="U6335" s="22"/>
      <c r="V6335" s="123" t="s">
        <v>2472</v>
      </c>
      <c r="W6335" s="122">
        <v>31128</v>
      </c>
      <c r="X6335" s="221"/>
      <c r="Y6335" s="221"/>
      <c r="Z6335" s="221"/>
      <c r="AA6335" s="221"/>
      <c r="AB6335" s="223"/>
    </row>
    <row r="6336" spans="1:28" ht="17.100000000000001" customHeight="1" thickTop="1">
      <c r="A6336" s="226" t="s">
        <v>17975</v>
      </c>
      <c r="B6336" s="28">
        <v>46073</v>
      </c>
      <c r="C6336" s="25">
        <v>279</v>
      </c>
      <c r="D6336" s="13" t="s">
        <v>4775</v>
      </c>
      <c r="E6336" s="228"/>
      <c r="F6336" s="109" t="s">
        <v>11951</v>
      </c>
      <c r="G6336" s="24" t="s">
        <v>3453</v>
      </c>
      <c r="H6336" s="230">
        <v>4</v>
      </c>
      <c r="I6336" s="220">
        <v>462000</v>
      </c>
      <c r="J6336" s="220">
        <f>I6336*0.1</f>
        <v>46200</v>
      </c>
      <c r="K6336" s="220">
        <v>0</v>
      </c>
      <c r="L6336" s="220">
        <v>8990</v>
      </c>
      <c r="M6336" s="220">
        <v>22000</v>
      </c>
      <c r="N6336" s="220">
        <f>SUM(I6336:M6337)</f>
        <v>539190</v>
      </c>
      <c r="O6336" s="224"/>
      <c r="P6336" s="110" t="s">
        <v>18043</v>
      </c>
      <c r="Q6336" s="15" t="s">
        <v>19</v>
      </c>
      <c r="R6336" s="205"/>
      <c r="S6336" s="189"/>
      <c r="T6336" s="114"/>
      <c r="U6336" s="21"/>
      <c r="V6336" s="115">
        <v>46078</v>
      </c>
      <c r="W6336" s="116">
        <v>1006</v>
      </c>
      <c r="X6336" s="220">
        <v>535000</v>
      </c>
      <c r="Y6336" s="220">
        <f>X6336*0.1</f>
        <v>53500</v>
      </c>
      <c r="Z6336" s="220">
        <v>8990</v>
      </c>
      <c r="AA6336" s="220">
        <f>SUM(X6336:Z6336)</f>
        <v>597490</v>
      </c>
      <c r="AB6336" s="222">
        <v>46083</v>
      </c>
    </row>
    <row r="6337" spans="1:28" ht="17.100000000000001" customHeight="1" thickBot="1">
      <c r="A6337" s="227"/>
      <c r="B6337" s="27" t="s">
        <v>3890</v>
      </c>
      <c r="C6337" s="27">
        <v>53</v>
      </c>
      <c r="D6337" s="14" t="s">
        <v>1797</v>
      </c>
      <c r="E6337" s="229"/>
      <c r="F6337" s="117" t="s">
        <v>17982</v>
      </c>
      <c r="G6337" s="26">
        <v>122228</v>
      </c>
      <c r="H6337" s="231"/>
      <c r="I6337" s="221"/>
      <c r="J6337" s="221"/>
      <c r="K6337" s="221"/>
      <c r="L6337" s="221"/>
      <c r="M6337" s="221"/>
      <c r="N6337" s="221"/>
      <c r="O6337" s="225"/>
      <c r="P6337" s="118" t="s">
        <v>2287</v>
      </c>
      <c r="Q6337" s="16" t="s">
        <v>20</v>
      </c>
      <c r="R6337" s="17" t="s">
        <v>18270</v>
      </c>
      <c r="S6337" s="121"/>
      <c r="T6337" s="122"/>
      <c r="U6337" s="22"/>
      <c r="V6337" s="123" t="s">
        <v>2747</v>
      </c>
      <c r="W6337" s="122">
        <v>5173</v>
      </c>
      <c r="X6337" s="221"/>
      <c r="Y6337" s="221"/>
      <c r="Z6337" s="221"/>
      <c r="AA6337" s="221"/>
      <c r="AB6337" s="223"/>
    </row>
    <row r="6338" spans="1:28" ht="17.100000000000001" customHeight="1" thickTop="1">
      <c r="A6338" s="226" t="s">
        <v>17976</v>
      </c>
      <c r="B6338" s="28">
        <v>46073</v>
      </c>
      <c r="C6338" s="25">
        <v>279</v>
      </c>
      <c r="D6338" s="13" t="s">
        <v>1935</v>
      </c>
      <c r="E6338" s="228"/>
      <c r="F6338" s="109" t="s">
        <v>8010</v>
      </c>
      <c r="G6338" s="24" t="s">
        <v>2871</v>
      </c>
      <c r="H6338" s="230">
        <v>3.5</v>
      </c>
      <c r="I6338" s="220">
        <v>369000</v>
      </c>
      <c r="J6338" s="220">
        <f>I6338*0.1</f>
        <v>36900</v>
      </c>
      <c r="K6338" s="220">
        <v>0</v>
      </c>
      <c r="L6338" s="220">
        <v>8850</v>
      </c>
      <c r="M6338" s="220">
        <v>22000</v>
      </c>
      <c r="N6338" s="220">
        <f>SUM(I6338:M6339)</f>
        <v>436750</v>
      </c>
      <c r="O6338" s="224"/>
      <c r="P6338" s="110" t="s">
        <v>18044</v>
      </c>
      <c r="Q6338" s="15" t="s">
        <v>19</v>
      </c>
      <c r="R6338" s="205"/>
      <c r="S6338" s="189"/>
      <c r="T6338" s="114"/>
      <c r="U6338" s="21" t="s">
        <v>18974</v>
      </c>
      <c r="V6338" s="115">
        <v>46085</v>
      </c>
      <c r="W6338" s="116">
        <v>1007</v>
      </c>
      <c r="X6338" s="220">
        <v>450000</v>
      </c>
      <c r="Y6338" s="220">
        <f>X6338*0.1</f>
        <v>45000</v>
      </c>
      <c r="Z6338" s="220">
        <v>8850</v>
      </c>
      <c r="AA6338" s="220">
        <f>SUM(X6338:Z6338)</f>
        <v>503850</v>
      </c>
      <c r="AB6338" s="222">
        <v>46090</v>
      </c>
    </row>
    <row r="6339" spans="1:28" ht="17.100000000000001" customHeight="1" thickBot="1">
      <c r="A6339" s="227"/>
      <c r="B6339" s="27" t="s">
        <v>3890</v>
      </c>
      <c r="C6339" s="27">
        <v>89</v>
      </c>
      <c r="D6339" s="14" t="s">
        <v>2788</v>
      </c>
      <c r="E6339" s="229"/>
      <c r="F6339" s="117" t="s">
        <v>17983</v>
      </c>
      <c r="G6339" s="26">
        <v>53118</v>
      </c>
      <c r="H6339" s="231"/>
      <c r="I6339" s="221"/>
      <c r="J6339" s="221"/>
      <c r="K6339" s="221"/>
      <c r="L6339" s="221"/>
      <c r="M6339" s="221"/>
      <c r="N6339" s="221"/>
      <c r="O6339" s="225"/>
      <c r="P6339" s="118" t="s">
        <v>18519</v>
      </c>
      <c r="Q6339" s="16" t="s">
        <v>20</v>
      </c>
      <c r="R6339" s="17" t="s">
        <v>18270</v>
      </c>
      <c r="S6339" s="121" t="s">
        <v>18531</v>
      </c>
      <c r="T6339" s="122"/>
      <c r="U6339" s="22"/>
      <c r="V6339" s="123" t="s">
        <v>2747</v>
      </c>
      <c r="W6339" s="122">
        <v>2085</v>
      </c>
      <c r="X6339" s="221"/>
      <c r="Y6339" s="221"/>
      <c r="Z6339" s="221"/>
      <c r="AA6339" s="221"/>
      <c r="AB6339" s="223"/>
    </row>
    <row r="6340" spans="1:28" ht="17.100000000000001" customHeight="1" thickTop="1">
      <c r="A6340" s="226" t="s">
        <v>17977</v>
      </c>
      <c r="B6340" s="28">
        <v>46073</v>
      </c>
      <c r="C6340" s="25">
        <v>279</v>
      </c>
      <c r="D6340" s="13" t="s">
        <v>4368</v>
      </c>
      <c r="E6340" s="228"/>
      <c r="F6340" s="109" t="s">
        <v>18045</v>
      </c>
      <c r="G6340" s="24" t="s">
        <v>4025</v>
      </c>
      <c r="H6340" s="230">
        <v>4</v>
      </c>
      <c r="I6340" s="220">
        <v>210000</v>
      </c>
      <c r="J6340" s="220">
        <f>I6340*0.1</f>
        <v>21000</v>
      </c>
      <c r="K6340" s="220">
        <v>0</v>
      </c>
      <c r="L6340" s="220">
        <v>8930</v>
      </c>
      <c r="M6340" s="220">
        <v>22000</v>
      </c>
      <c r="N6340" s="220">
        <f>SUM(I6340:M6341)</f>
        <v>261930</v>
      </c>
      <c r="O6340" s="224"/>
      <c r="P6340" s="110" t="s">
        <v>18046</v>
      </c>
      <c r="Q6340" s="15" t="s">
        <v>19</v>
      </c>
      <c r="R6340" s="205"/>
      <c r="S6340" s="189" t="s">
        <v>25808</v>
      </c>
      <c r="T6340" s="114"/>
      <c r="U6340" s="21" t="s">
        <v>18530</v>
      </c>
      <c r="V6340" s="115">
        <v>46078</v>
      </c>
      <c r="W6340" s="116">
        <v>1006</v>
      </c>
      <c r="X6340" s="220">
        <v>280000</v>
      </c>
      <c r="Y6340" s="220">
        <f>X6340*0.1</f>
        <v>28000</v>
      </c>
      <c r="Z6340" s="220">
        <v>8930</v>
      </c>
      <c r="AA6340" s="220">
        <f>SUM(X6340:Z6340)</f>
        <v>316930</v>
      </c>
      <c r="AB6340" s="222">
        <v>46084</v>
      </c>
    </row>
    <row r="6341" spans="1:28" ht="17.100000000000001" customHeight="1" thickBot="1">
      <c r="A6341" s="227"/>
      <c r="B6341" s="27" t="s">
        <v>3890</v>
      </c>
      <c r="C6341" s="27">
        <v>90</v>
      </c>
      <c r="D6341" s="14" t="s">
        <v>898</v>
      </c>
      <c r="E6341" s="229"/>
      <c r="F6341" s="117" t="s">
        <v>17984</v>
      </c>
      <c r="G6341" s="26">
        <v>51511</v>
      </c>
      <c r="H6341" s="231"/>
      <c r="I6341" s="221"/>
      <c r="J6341" s="221"/>
      <c r="K6341" s="221"/>
      <c r="L6341" s="221"/>
      <c r="M6341" s="221"/>
      <c r="N6341" s="221"/>
      <c r="O6341" s="225"/>
      <c r="P6341" s="118" t="s">
        <v>18364</v>
      </c>
      <c r="Q6341" s="16" t="s">
        <v>20</v>
      </c>
      <c r="R6341" s="17" t="s">
        <v>18270</v>
      </c>
      <c r="S6341" s="121" t="s">
        <v>4020</v>
      </c>
      <c r="T6341" s="122"/>
      <c r="U6341" s="22"/>
      <c r="V6341" s="123" t="s">
        <v>2747</v>
      </c>
      <c r="W6341" s="122">
        <v>5149</v>
      </c>
      <c r="X6341" s="221"/>
      <c r="Y6341" s="221"/>
      <c r="Z6341" s="221"/>
      <c r="AA6341" s="221"/>
      <c r="AB6341" s="223"/>
    </row>
    <row r="6342" spans="1:28" ht="17.100000000000001" customHeight="1" thickTop="1">
      <c r="A6342" s="226" t="s">
        <v>17978</v>
      </c>
      <c r="B6342" s="28">
        <v>46073</v>
      </c>
      <c r="C6342" s="25">
        <v>279</v>
      </c>
      <c r="D6342" s="13" t="s">
        <v>1666</v>
      </c>
      <c r="E6342" s="228"/>
      <c r="F6342" s="109" t="s">
        <v>5277</v>
      </c>
      <c r="G6342" s="24"/>
      <c r="H6342" s="230">
        <v>3.5</v>
      </c>
      <c r="I6342" s="220">
        <v>156000</v>
      </c>
      <c r="J6342" s="220">
        <f>I6342*0.1</f>
        <v>15600</v>
      </c>
      <c r="K6342" s="220">
        <v>0</v>
      </c>
      <c r="L6342" s="220">
        <v>9770</v>
      </c>
      <c r="M6342" s="220">
        <v>22000</v>
      </c>
      <c r="N6342" s="220">
        <f>SUM(I6342:M6343)</f>
        <v>203370</v>
      </c>
      <c r="O6342" s="224"/>
      <c r="P6342" s="110" t="s">
        <v>18521</v>
      </c>
      <c r="Q6342" s="15" t="s">
        <v>19</v>
      </c>
      <c r="R6342" s="205"/>
      <c r="S6342" s="189"/>
      <c r="T6342" s="114"/>
      <c r="U6342" s="21"/>
      <c r="V6342" s="115">
        <v>46088</v>
      </c>
      <c r="W6342" s="116">
        <v>1291</v>
      </c>
      <c r="X6342" s="220">
        <v>245000</v>
      </c>
      <c r="Y6342" s="220">
        <f>X6342*0.1</f>
        <v>24500</v>
      </c>
      <c r="Z6342" s="220">
        <v>9770</v>
      </c>
      <c r="AA6342" s="220">
        <f>SUM(X6342:Z6342)</f>
        <v>279270</v>
      </c>
      <c r="AB6342" s="222">
        <v>46091</v>
      </c>
    </row>
    <row r="6343" spans="1:28" ht="17.100000000000001" customHeight="1" thickBot="1">
      <c r="A6343" s="227"/>
      <c r="B6343" s="27" t="s">
        <v>3890</v>
      </c>
      <c r="C6343" s="27">
        <v>119</v>
      </c>
      <c r="D6343" s="14" t="s">
        <v>2753</v>
      </c>
      <c r="E6343" s="229"/>
      <c r="F6343" s="117" t="s">
        <v>17985</v>
      </c>
      <c r="G6343" s="26">
        <v>54816</v>
      </c>
      <c r="H6343" s="231"/>
      <c r="I6343" s="221"/>
      <c r="J6343" s="221"/>
      <c r="K6343" s="221"/>
      <c r="L6343" s="221"/>
      <c r="M6343" s="221"/>
      <c r="N6343" s="221"/>
      <c r="O6343" s="225"/>
      <c r="P6343" s="118" t="s">
        <v>18522</v>
      </c>
      <c r="Q6343" s="16" t="s">
        <v>20</v>
      </c>
      <c r="R6343" s="17" t="s">
        <v>18270</v>
      </c>
      <c r="S6343" s="121"/>
      <c r="T6343" s="122"/>
      <c r="U6343" s="22"/>
      <c r="V6343" s="123" t="s">
        <v>2472</v>
      </c>
      <c r="W6343" s="122">
        <v>60213</v>
      </c>
      <c r="X6343" s="221"/>
      <c r="Y6343" s="221"/>
      <c r="Z6343" s="221"/>
      <c r="AA6343" s="221"/>
      <c r="AB6343" s="223"/>
    </row>
    <row r="6344" spans="1:28" ht="17.100000000000001" customHeight="1" thickTop="1">
      <c r="A6344" s="226" t="s">
        <v>17979</v>
      </c>
      <c r="B6344" s="28">
        <v>46073</v>
      </c>
      <c r="C6344" s="25">
        <v>279</v>
      </c>
      <c r="D6344" s="13" t="s">
        <v>2057</v>
      </c>
      <c r="E6344" s="228"/>
      <c r="F6344" s="109" t="s">
        <v>4145</v>
      </c>
      <c r="G6344" s="24"/>
      <c r="H6344" s="230">
        <v>4.5</v>
      </c>
      <c r="I6344" s="220">
        <v>856000</v>
      </c>
      <c r="J6344" s="220">
        <f>I6344*0.1</f>
        <v>85600</v>
      </c>
      <c r="K6344" s="220">
        <v>0</v>
      </c>
      <c r="L6344" s="220">
        <v>6470</v>
      </c>
      <c r="M6344" s="220">
        <v>22000</v>
      </c>
      <c r="N6344" s="220">
        <f>SUM(I6344:M6345)</f>
        <v>970070</v>
      </c>
      <c r="O6344" s="224"/>
      <c r="P6344" s="110" t="s">
        <v>18462</v>
      </c>
      <c r="Q6344" s="15" t="s">
        <v>19</v>
      </c>
      <c r="R6344" s="205"/>
      <c r="S6344" s="189" t="s">
        <v>25809</v>
      </c>
      <c r="T6344" s="114"/>
      <c r="U6344" s="21"/>
      <c r="V6344" s="115">
        <v>46077</v>
      </c>
      <c r="W6344" s="116">
        <v>1930</v>
      </c>
      <c r="X6344" s="220">
        <v>939000</v>
      </c>
      <c r="Y6344" s="220">
        <f>X6344*0.1</f>
        <v>93900</v>
      </c>
      <c r="Z6344" s="220">
        <v>6470</v>
      </c>
      <c r="AA6344" s="220">
        <f>SUM(X6344:Z6344)</f>
        <v>1039370</v>
      </c>
      <c r="AB6344" s="222"/>
    </row>
    <row r="6345" spans="1:28" ht="17.100000000000001" customHeight="1" thickBot="1">
      <c r="A6345" s="227"/>
      <c r="B6345" s="27" t="s">
        <v>3890</v>
      </c>
      <c r="C6345" s="27">
        <v>143</v>
      </c>
      <c r="D6345" s="14" t="s">
        <v>1584</v>
      </c>
      <c r="E6345" s="229"/>
      <c r="F6345" s="117" t="s">
        <v>17986</v>
      </c>
      <c r="G6345" s="26">
        <v>5631</v>
      </c>
      <c r="H6345" s="231"/>
      <c r="I6345" s="221"/>
      <c r="J6345" s="221"/>
      <c r="K6345" s="221"/>
      <c r="L6345" s="221"/>
      <c r="M6345" s="221"/>
      <c r="N6345" s="221"/>
      <c r="O6345" s="225"/>
      <c r="P6345" s="118" t="s">
        <v>18463</v>
      </c>
      <c r="Q6345" s="16" t="s">
        <v>20</v>
      </c>
      <c r="R6345" s="17" t="s">
        <v>18270</v>
      </c>
      <c r="S6345" s="121"/>
      <c r="T6345" s="122"/>
      <c r="U6345" s="22"/>
      <c r="V6345" s="123" t="s">
        <v>2103</v>
      </c>
      <c r="W6345" s="122">
        <v>3295</v>
      </c>
      <c r="X6345" s="221"/>
      <c r="Y6345" s="221"/>
      <c r="Z6345" s="221"/>
      <c r="AA6345" s="221"/>
      <c r="AB6345" s="223"/>
    </row>
    <row r="6346" spans="1:28" ht="17.100000000000001" customHeight="1" thickTop="1">
      <c r="A6346" s="226" t="s">
        <v>17980</v>
      </c>
      <c r="B6346" s="28">
        <v>46073</v>
      </c>
      <c r="C6346" s="25">
        <v>279</v>
      </c>
      <c r="D6346" s="13" t="s">
        <v>2033</v>
      </c>
      <c r="E6346" s="228"/>
      <c r="F6346" s="109" t="s">
        <v>18047</v>
      </c>
      <c r="G6346" s="24"/>
      <c r="H6346" s="230">
        <v>4</v>
      </c>
      <c r="I6346" s="220">
        <v>435000</v>
      </c>
      <c r="J6346" s="220">
        <f>I6346*0.1</f>
        <v>43500</v>
      </c>
      <c r="K6346" s="220">
        <v>0</v>
      </c>
      <c r="L6346" s="220">
        <v>9290</v>
      </c>
      <c r="M6346" s="220">
        <v>22000</v>
      </c>
      <c r="N6346" s="220">
        <f>SUM(I6346:M6347)</f>
        <v>509790</v>
      </c>
      <c r="O6346" s="224"/>
      <c r="P6346" s="110" t="s">
        <v>18487</v>
      </c>
      <c r="Q6346" s="15" t="s">
        <v>19</v>
      </c>
      <c r="R6346" s="205"/>
      <c r="S6346" s="189"/>
      <c r="T6346" s="114"/>
      <c r="U6346" s="21"/>
      <c r="V6346" s="115">
        <v>46085</v>
      </c>
      <c r="W6346" s="116">
        <v>1007</v>
      </c>
      <c r="X6346" s="220">
        <v>500000</v>
      </c>
      <c r="Y6346" s="220">
        <f>X6346*0.1</f>
        <v>50000</v>
      </c>
      <c r="Z6346" s="220">
        <v>9290</v>
      </c>
      <c r="AA6346" s="220">
        <f>SUM(X6346:Z6346)</f>
        <v>559290</v>
      </c>
      <c r="AB6346" s="222">
        <v>46090</v>
      </c>
    </row>
    <row r="6347" spans="1:28" ht="17.100000000000001" customHeight="1" thickBot="1">
      <c r="A6347" s="227"/>
      <c r="B6347" s="27" t="s">
        <v>3890</v>
      </c>
      <c r="C6347" s="27">
        <v>20033</v>
      </c>
      <c r="D6347" s="14" t="s">
        <v>2014</v>
      </c>
      <c r="E6347" s="229"/>
      <c r="F6347" s="117" t="s">
        <v>17987</v>
      </c>
      <c r="G6347" s="26">
        <v>50630</v>
      </c>
      <c r="H6347" s="231"/>
      <c r="I6347" s="221"/>
      <c r="J6347" s="221"/>
      <c r="K6347" s="221"/>
      <c r="L6347" s="221"/>
      <c r="M6347" s="221"/>
      <c r="N6347" s="221"/>
      <c r="O6347" s="225"/>
      <c r="P6347" s="118" t="s">
        <v>6804</v>
      </c>
      <c r="Q6347" s="16" t="s">
        <v>20</v>
      </c>
      <c r="R6347" s="17" t="s">
        <v>3559</v>
      </c>
      <c r="S6347" s="121"/>
      <c r="T6347" s="122"/>
      <c r="U6347" s="22"/>
      <c r="V6347" s="123" t="s">
        <v>2747</v>
      </c>
      <c r="W6347" s="122">
        <v>2048</v>
      </c>
      <c r="X6347" s="221"/>
      <c r="Y6347" s="221"/>
      <c r="Z6347" s="221"/>
      <c r="AA6347" s="221"/>
      <c r="AB6347" s="223"/>
    </row>
    <row r="6348" spans="1:28" ht="17.100000000000001" customHeight="1" thickTop="1">
      <c r="A6348" s="226" t="s">
        <v>17981</v>
      </c>
      <c r="B6348" s="28">
        <v>46073</v>
      </c>
      <c r="C6348" s="25">
        <v>279</v>
      </c>
      <c r="D6348" s="13" t="s">
        <v>1976</v>
      </c>
      <c r="E6348" s="228"/>
      <c r="F6348" s="109" t="s">
        <v>12059</v>
      </c>
      <c r="G6348" s="24"/>
      <c r="H6348" s="230">
        <v>4.5</v>
      </c>
      <c r="I6348" s="220">
        <v>1025000</v>
      </c>
      <c r="J6348" s="220">
        <f>I6348*0.1</f>
        <v>102500</v>
      </c>
      <c r="K6348" s="220">
        <v>0</v>
      </c>
      <c r="L6348" s="220">
        <v>6880</v>
      </c>
      <c r="M6348" s="220">
        <v>22000</v>
      </c>
      <c r="N6348" s="220">
        <f>SUM(I6348:M6349)</f>
        <v>1156380</v>
      </c>
      <c r="O6348" s="224"/>
      <c r="P6348" s="110" t="s">
        <v>18523</v>
      </c>
      <c r="Q6348" s="15" t="s">
        <v>19</v>
      </c>
      <c r="R6348" s="205"/>
      <c r="S6348" s="189" t="s">
        <v>1341</v>
      </c>
      <c r="T6348" s="114"/>
      <c r="U6348" s="21"/>
      <c r="V6348" s="115">
        <v>46084</v>
      </c>
      <c r="W6348" s="116">
        <v>1931</v>
      </c>
      <c r="X6348" s="220">
        <v>1082000</v>
      </c>
      <c r="Y6348" s="220">
        <f>X6348*0.1</f>
        <v>108200</v>
      </c>
      <c r="Z6348" s="220">
        <v>6880</v>
      </c>
      <c r="AA6348" s="220">
        <f>SUM(X6348:Z6348)</f>
        <v>1197080</v>
      </c>
      <c r="AB6348" s="222">
        <v>46091</v>
      </c>
    </row>
    <row r="6349" spans="1:28" ht="17.100000000000001" customHeight="1" thickBot="1">
      <c r="A6349" s="227"/>
      <c r="B6349" s="27" t="s">
        <v>3890</v>
      </c>
      <c r="C6349" s="27">
        <v>20059</v>
      </c>
      <c r="D6349" s="14" t="s">
        <v>1627</v>
      </c>
      <c r="E6349" s="229"/>
      <c r="F6349" s="117" t="s">
        <v>17988</v>
      </c>
      <c r="G6349" s="26">
        <v>32859</v>
      </c>
      <c r="H6349" s="231"/>
      <c r="I6349" s="221"/>
      <c r="J6349" s="221"/>
      <c r="K6349" s="221"/>
      <c r="L6349" s="221"/>
      <c r="M6349" s="221"/>
      <c r="N6349" s="221"/>
      <c r="O6349" s="225"/>
      <c r="P6349" s="118" t="s">
        <v>18524</v>
      </c>
      <c r="Q6349" s="16" t="s">
        <v>20</v>
      </c>
      <c r="R6349" s="17" t="s">
        <v>18270</v>
      </c>
      <c r="S6349" s="121" t="s">
        <v>2360</v>
      </c>
      <c r="T6349" s="122"/>
      <c r="U6349" s="22"/>
      <c r="V6349" s="123" t="s">
        <v>2103</v>
      </c>
      <c r="W6349" s="122">
        <v>3173</v>
      </c>
      <c r="X6349" s="221"/>
      <c r="Y6349" s="221"/>
      <c r="Z6349" s="221"/>
      <c r="AA6349" s="221"/>
      <c r="AB6349" s="223"/>
    </row>
    <row r="6350" spans="1:28" ht="17.100000000000001" customHeight="1" thickTop="1">
      <c r="A6350" s="233" t="s">
        <v>18017</v>
      </c>
      <c r="B6350" s="28">
        <v>46073</v>
      </c>
      <c r="C6350" s="25">
        <v>1407</v>
      </c>
      <c r="D6350" s="13" t="s">
        <v>2313</v>
      </c>
      <c r="E6350" s="228"/>
      <c r="F6350" s="109" t="s">
        <v>6634</v>
      </c>
      <c r="G6350" s="24"/>
      <c r="H6350" s="230">
        <v>3.5</v>
      </c>
      <c r="I6350" s="220">
        <v>611000</v>
      </c>
      <c r="J6350" s="220">
        <f>I6350*0.1</f>
        <v>61100</v>
      </c>
      <c r="K6350" s="220">
        <v>0</v>
      </c>
      <c r="L6350" s="220">
        <v>5870</v>
      </c>
      <c r="M6350" s="220">
        <v>15400</v>
      </c>
      <c r="N6350" s="220">
        <f>SUM(I6350:M6351)</f>
        <v>693370</v>
      </c>
      <c r="O6350" s="224"/>
      <c r="P6350" s="110"/>
      <c r="Q6350" s="15" t="s">
        <v>19</v>
      </c>
      <c r="R6350" s="205"/>
      <c r="S6350" s="189"/>
      <c r="T6350" s="114" t="s">
        <v>18137</v>
      </c>
      <c r="U6350" s="21"/>
      <c r="V6350" s="115"/>
      <c r="W6350" s="116"/>
      <c r="X6350" s="220"/>
      <c r="Y6350" s="220">
        <f>X6350*0.1</f>
        <v>0</v>
      </c>
      <c r="Z6350" s="220"/>
      <c r="AA6350" s="220">
        <f>SUM(X6350:Z6350)</f>
        <v>0</v>
      </c>
      <c r="AB6350" s="222"/>
    </row>
    <row r="6351" spans="1:28" ht="17.100000000000001" customHeight="1" thickBot="1">
      <c r="A6351" s="234"/>
      <c r="B6351" s="27" t="s">
        <v>2597</v>
      </c>
      <c r="C6351" s="27">
        <v>3008</v>
      </c>
      <c r="D6351" s="14" t="s">
        <v>1710</v>
      </c>
      <c r="E6351" s="229"/>
      <c r="F6351" s="117" t="s">
        <v>17989</v>
      </c>
      <c r="G6351" s="26">
        <v>11937</v>
      </c>
      <c r="H6351" s="231"/>
      <c r="I6351" s="221"/>
      <c r="J6351" s="221"/>
      <c r="K6351" s="221"/>
      <c r="L6351" s="221"/>
      <c r="M6351" s="221"/>
      <c r="N6351" s="221"/>
      <c r="O6351" s="225"/>
      <c r="P6351" s="118"/>
      <c r="Q6351" s="16" t="s">
        <v>20</v>
      </c>
      <c r="R6351" s="17" t="s">
        <v>10331</v>
      </c>
      <c r="S6351" s="121"/>
      <c r="T6351" s="122"/>
      <c r="U6351" s="22"/>
      <c r="V6351" s="123"/>
      <c r="W6351" s="122"/>
      <c r="X6351" s="221"/>
      <c r="Y6351" s="221"/>
      <c r="Z6351" s="221"/>
      <c r="AA6351" s="221"/>
      <c r="AB6351" s="223"/>
    </row>
    <row r="6352" spans="1:28" ht="17.100000000000001" customHeight="1" thickTop="1">
      <c r="A6352" s="226" t="s">
        <v>18018</v>
      </c>
      <c r="B6352" s="28">
        <v>46073</v>
      </c>
      <c r="C6352" s="25">
        <v>1407</v>
      </c>
      <c r="D6352" s="13" t="s">
        <v>2564</v>
      </c>
      <c r="E6352" s="228"/>
      <c r="F6352" s="109" t="s">
        <v>6972</v>
      </c>
      <c r="G6352" s="24" t="s">
        <v>17649</v>
      </c>
      <c r="H6352" s="230">
        <v>4.5</v>
      </c>
      <c r="I6352" s="220">
        <v>1595000</v>
      </c>
      <c r="J6352" s="220">
        <f>I6352*0.1</f>
        <v>159500</v>
      </c>
      <c r="K6352" s="220">
        <v>0</v>
      </c>
      <c r="L6352" s="220">
        <v>8360</v>
      </c>
      <c r="M6352" s="220">
        <v>15400</v>
      </c>
      <c r="N6352" s="220">
        <f>SUM(I6352:M6353)</f>
        <v>1778260</v>
      </c>
      <c r="O6352" s="224"/>
      <c r="P6352" s="110" t="s">
        <v>18493</v>
      </c>
      <c r="Q6352" s="15" t="s">
        <v>19</v>
      </c>
      <c r="R6352" s="205"/>
      <c r="S6352" s="189" t="s">
        <v>25392</v>
      </c>
      <c r="T6352" s="114"/>
      <c r="U6352" s="21"/>
      <c r="V6352" s="115">
        <v>46081</v>
      </c>
      <c r="W6352" s="116">
        <v>1290</v>
      </c>
      <c r="X6352" s="220">
        <v>1670000</v>
      </c>
      <c r="Y6352" s="220">
        <f>X6352*0.1</f>
        <v>167000</v>
      </c>
      <c r="Z6352" s="220">
        <v>8360</v>
      </c>
      <c r="AA6352" s="220">
        <f>SUM(X6352:Z6352)</f>
        <v>1845360</v>
      </c>
      <c r="AB6352" s="222">
        <v>46084</v>
      </c>
    </row>
    <row r="6353" spans="1:28" ht="17.100000000000001" customHeight="1" thickBot="1">
      <c r="A6353" s="227"/>
      <c r="B6353" s="27" t="s">
        <v>2597</v>
      </c>
      <c r="C6353" s="27">
        <v>3010</v>
      </c>
      <c r="D6353" s="14" t="s">
        <v>1797</v>
      </c>
      <c r="E6353" s="229"/>
      <c r="F6353" s="117" t="s">
        <v>17990</v>
      </c>
      <c r="G6353" s="26">
        <v>44075</v>
      </c>
      <c r="H6353" s="231"/>
      <c r="I6353" s="221"/>
      <c r="J6353" s="221"/>
      <c r="K6353" s="221"/>
      <c r="L6353" s="221"/>
      <c r="M6353" s="221"/>
      <c r="N6353" s="221"/>
      <c r="O6353" s="225"/>
      <c r="P6353" s="118" t="s">
        <v>18494</v>
      </c>
      <c r="Q6353" s="16" t="s">
        <v>20</v>
      </c>
      <c r="R6353" s="17" t="s">
        <v>3559</v>
      </c>
      <c r="S6353" s="121" t="s">
        <v>7898</v>
      </c>
      <c r="T6353" s="122"/>
      <c r="U6353" s="22"/>
      <c r="V6353" s="123" t="s">
        <v>2472</v>
      </c>
      <c r="W6353" s="122">
        <v>60224</v>
      </c>
      <c r="X6353" s="221"/>
      <c r="Y6353" s="221"/>
      <c r="Z6353" s="221"/>
      <c r="AA6353" s="221"/>
      <c r="AB6353" s="223"/>
    </row>
    <row r="6354" spans="1:28" ht="17.100000000000001" customHeight="1" thickTop="1">
      <c r="A6354" s="226" t="s">
        <v>18019</v>
      </c>
      <c r="B6354" s="28">
        <v>46073</v>
      </c>
      <c r="C6354" s="25">
        <v>1407</v>
      </c>
      <c r="D6354" s="13" t="s">
        <v>1053</v>
      </c>
      <c r="E6354" s="228"/>
      <c r="F6354" s="109" t="s">
        <v>11139</v>
      </c>
      <c r="G6354" s="24" t="s">
        <v>16863</v>
      </c>
      <c r="H6354" s="230">
        <v>4</v>
      </c>
      <c r="I6354" s="220">
        <v>950000</v>
      </c>
      <c r="J6354" s="220">
        <f>I6354*0.1</f>
        <v>95000</v>
      </c>
      <c r="K6354" s="220">
        <v>0</v>
      </c>
      <c r="L6354" s="220">
        <v>6880</v>
      </c>
      <c r="M6354" s="220">
        <v>15400</v>
      </c>
      <c r="N6354" s="220">
        <f>SUM(I6354:M6355)</f>
        <v>1067280</v>
      </c>
      <c r="O6354" s="224"/>
      <c r="P6354" s="110" t="s">
        <v>18844</v>
      </c>
      <c r="Q6354" s="15" t="s">
        <v>19</v>
      </c>
      <c r="R6354" s="205"/>
      <c r="S6354" s="189" t="s">
        <v>1361</v>
      </c>
      <c r="T6354" s="114"/>
      <c r="U6354" s="21"/>
      <c r="V6354" s="115">
        <v>46078</v>
      </c>
      <c r="W6354" s="116">
        <v>1006</v>
      </c>
      <c r="X6354" s="220">
        <v>1020000</v>
      </c>
      <c r="Y6354" s="220">
        <f>X6354*0.1</f>
        <v>102000</v>
      </c>
      <c r="Z6354" s="220">
        <v>6880</v>
      </c>
      <c r="AA6354" s="220">
        <f>SUM(X6354:Z6354)</f>
        <v>1128880</v>
      </c>
      <c r="AB6354" s="222">
        <v>46086</v>
      </c>
    </row>
    <row r="6355" spans="1:28" ht="17.100000000000001" customHeight="1" thickBot="1">
      <c r="A6355" s="227"/>
      <c r="B6355" s="27" t="s">
        <v>2597</v>
      </c>
      <c r="C6355" s="27">
        <v>3012</v>
      </c>
      <c r="D6355" s="14" t="s">
        <v>1627</v>
      </c>
      <c r="E6355" s="229"/>
      <c r="F6355" s="117" t="s">
        <v>17991</v>
      </c>
      <c r="G6355" s="26">
        <v>39206</v>
      </c>
      <c r="H6355" s="231"/>
      <c r="I6355" s="221"/>
      <c r="J6355" s="221"/>
      <c r="K6355" s="221"/>
      <c r="L6355" s="221"/>
      <c r="M6355" s="221"/>
      <c r="N6355" s="221"/>
      <c r="O6355" s="225"/>
      <c r="P6355" s="118" t="s">
        <v>1664</v>
      </c>
      <c r="Q6355" s="16" t="s">
        <v>20</v>
      </c>
      <c r="R6355" s="17" t="s">
        <v>3913</v>
      </c>
      <c r="S6355" s="121" t="s">
        <v>18845</v>
      </c>
      <c r="T6355" s="122"/>
      <c r="U6355" s="22"/>
      <c r="V6355" s="123" t="s">
        <v>2747</v>
      </c>
      <c r="W6355" s="122">
        <v>5214</v>
      </c>
      <c r="X6355" s="221"/>
      <c r="Y6355" s="221"/>
      <c r="Z6355" s="221"/>
      <c r="AA6355" s="221"/>
      <c r="AB6355" s="223"/>
    </row>
    <row r="6356" spans="1:28" ht="17.100000000000001" customHeight="1" thickTop="1">
      <c r="A6356" s="226" t="s">
        <v>18020</v>
      </c>
      <c r="B6356" s="28">
        <v>46073</v>
      </c>
      <c r="C6356" s="25">
        <v>1407</v>
      </c>
      <c r="D6356" s="13" t="s">
        <v>2953</v>
      </c>
      <c r="E6356" s="228"/>
      <c r="F6356" s="109" t="s">
        <v>17992</v>
      </c>
      <c r="G6356" s="24" t="s">
        <v>18053</v>
      </c>
      <c r="H6356" s="230">
        <v>6</v>
      </c>
      <c r="I6356" s="220">
        <v>1598000</v>
      </c>
      <c r="J6356" s="220">
        <f>I6356*0.1</f>
        <v>159800</v>
      </c>
      <c r="K6356" s="220">
        <v>0</v>
      </c>
      <c r="L6356" s="220">
        <v>8310</v>
      </c>
      <c r="M6356" s="220">
        <v>15400</v>
      </c>
      <c r="N6356" s="220">
        <f>SUM(I6356:M6357)</f>
        <v>1781510</v>
      </c>
      <c r="O6356" s="224"/>
      <c r="P6356" s="110" t="s">
        <v>18491</v>
      </c>
      <c r="Q6356" s="15" t="s">
        <v>19</v>
      </c>
      <c r="R6356" s="205"/>
      <c r="S6356" s="189" t="s">
        <v>25392</v>
      </c>
      <c r="T6356" s="114"/>
      <c r="U6356" s="21" t="s">
        <v>20453</v>
      </c>
      <c r="V6356" s="115">
        <v>46105</v>
      </c>
      <c r="W6356" s="116">
        <v>1934</v>
      </c>
      <c r="X6356" s="220">
        <v>1522000</v>
      </c>
      <c r="Y6356" s="220">
        <f>X6356*0.1</f>
        <v>152200</v>
      </c>
      <c r="Z6356" s="220">
        <v>8310</v>
      </c>
      <c r="AA6356" s="220">
        <f>SUM(X6356:Z6356)</f>
        <v>1682510</v>
      </c>
      <c r="AB6356" s="222"/>
    </row>
    <row r="6357" spans="1:28" ht="17.100000000000001" customHeight="1" thickBot="1">
      <c r="A6357" s="227"/>
      <c r="B6357" s="27" t="s">
        <v>2597</v>
      </c>
      <c r="C6357" s="27">
        <v>3102</v>
      </c>
      <c r="D6357" s="14" t="s">
        <v>273</v>
      </c>
      <c r="E6357" s="229"/>
      <c r="F6357" s="117" t="s">
        <v>17993</v>
      </c>
      <c r="G6357" s="26">
        <v>3844</v>
      </c>
      <c r="H6357" s="231"/>
      <c r="I6357" s="221"/>
      <c r="J6357" s="221"/>
      <c r="K6357" s="221"/>
      <c r="L6357" s="221"/>
      <c r="M6357" s="221"/>
      <c r="N6357" s="221"/>
      <c r="O6357" s="225"/>
      <c r="P6357" s="118" t="s">
        <v>18492</v>
      </c>
      <c r="Q6357" s="16" t="s">
        <v>20</v>
      </c>
      <c r="R6357" s="17" t="s">
        <v>3559</v>
      </c>
      <c r="S6357" s="121" t="s">
        <v>2312</v>
      </c>
      <c r="T6357" s="122"/>
      <c r="U6357" s="22"/>
      <c r="V6357" s="123" t="s">
        <v>2103</v>
      </c>
      <c r="W6357" s="122">
        <v>3125</v>
      </c>
      <c r="X6357" s="221"/>
      <c r="Y6357" s="221"/>
      <c r="Z6357" s="221"/>
      <c r="AA6357" s="221"/>
      <c r="AB6357" s="223"/>
    </row>
    <row r="6358" spans="1:28" ht="17.100000000000001" customHeight="1" thickTop="1">
      <c r="A6358" s="226" t="s">
        <v>18021</v>
      </c>
      <c r="B6358" s="28">
        <v>46073</v>
      </c>
      <c r="C6358" s="25">
        <v>1407</v>
      </c>
      <c r="D6358" s="13" t="s">
        <v>2712</v>
      </c>
      <c r="E6358" s="228"/>
      <c r="F6358" s="109" t="s">
        <v>17994</v>
      </c>
      <c r="G6358" s="24" t="s">
        <v>11933</v>
      </c>
      <c r="H6358" s="230">
        <v>4</v>
      </c>
      <c r="I6358" s="220">
        <v>926000</v>
      </c>
      <c r="J6358" s="220">
        <f>I6358*0.1</f>
        <v>92600</v>
      </c>
      <c r="K6358" s="220">
        <f>2500+250</f>
        <v>2750</v>
      </c>
      <c r="L6358" s="220">
        <v>8950</v>
      </c>
      <c r="M6358" s="220">
        <v>15400</v>
      </c>
      <c r="N6358" s="220">
        <f>SUM(I6358:M6359)</f>
        <v>1045700</v>
      </c>
      <c r="O6358" s="224"/>
      <c r="P6358" s="110" t="s">
        <v>18606</v>
      </c>
      <c r="Q6358" s="15" t="s">
        <v>19</v>
      </c>
      <c r="R6358" s="205"/>
      <c r="S6358" s="189" t="s">
        <v>1361</v>
      </c>
      <c r="T6358" s="114"/>
      <c r="U6358" s="21"/>
      <c r="V6358" s="115">
        <v>46081</v>
      </c>
      <c r="W6358" s="116">
        <v>1290</v>
      </c>
      <c r="X6358" s="220">
        <v>1170000</v>
      </c>
      <c r="Y6358" s="220">
        <f>X6358*0.1</f>
        <v>117000</v>
      </c>
      <c r="Z6358" s="220">
        <v>8950</v>
      </c>
      <c r="AA6358" s="220">
        <f>SUM(X6358:Z6358)</f>
        <v>1295950</v>
      </c>
      <c r="AB6358" s="222">
        <v>46084</v>
      </c>
    </row>
    <row r="6359" spans="1:28" ht="17.100000000000001" customHeight="1" thickBot="1">
      <c r="A6359" s="227"/>
      <c r="B6359" s="27" t="s">
        <v>2597</v>
      </c>
      <c r="C6359" s="27">
        <v>3136</v>
      </c>
      <c r="D6359" s="14" t="s">
        <v>131</v>
      </c>
      <c r="E6359" s="229"/>
      <c r="F6359" s="117" t="s">
        <v>17995</v>
      </c>
      <c r="G6359" s="26">
        <v>39246</v>
      </c>
      <c r="H6359" s="231"/>
      <c r="I6359" s="221"/>
      <c r="J6359" s="221"/>
      <c r="K6359" s="221"/>
      <c r="L6359" s="221"/>
      <c r="M6359" s="221"/>
      <c r="N6359" s="221"/>
      <c r="O6359" s="225"/>
      <c r="P6359" s="118" t="s">
        <v>18607</v>
      </c>
      <c r="Q6359" s="16" t="s">
        <v>20</v>
      </c>
      <c r="R6359" s="17" t="s">
        <v>2318</v>
      </c>
      <c r="S6359" s="121" t="s">
        <v>9675</v>
      </c>
      <c r="T6359" s="122"/>
      <c r="U6359" s="22"/>
      <c r="V6359" s="123" t="s">
        <v>2472</v>
      </c>
      <c r="W6359" s="122">
        <v>72</v>
      </c>
      <c r="X6359" s="221"/>
      <c r="Y6359" s="221"/>
      <c r="Z6359" s="221"/>
      <c r="AA6359" s="221"/>
      <c r="AB6359" s="223"/>
    </row>
    <row r="6360" spans="1:28" ht="17.100000000000001" customHeight="1" thickTop="1">
      <c r="A6360" s="226" t="s">
        <v>18022</v>
      </c>
      <c r="B6360" s="28">
        <v>46073</v>
      </c>
      <c r="C6360" s="25">
        <v>1407</v>
      </c>
      <c r="D6360" s="13" t="s">
        <v>4775</v>
      </c>
      <c r="E6360" s="228"/>
      <c r="F6360" s="109" t="s">
        <v>4508</v>
      </c>
      <c r="G6360" s="24" t="s">
        <v>8092</v>
      </c>
      <c r="H6360" s="232" t="s">
        <v>1705</v>
      </c>
      <c r="I6360" s="220">
        <v>629000</v>
      </c>
      <c r="J6360" s="220">
        <f>I6360*0.1</f>
        <v>62900</v>
      </c>
      <c r="K6360" s="220">
        <v>0</v>
      </c>
      <c r="L6360" s="220">
        <v>9010</v>
      </c>
      <c r="M6360" s="220">
        <v>15400</v>
      </c>
      <c r="N6360" s="220">
        <f>SUM(I6360:M6361)</f>
        <v>716310</v>
      </c>
      <c r="O6360" s="224"/>
      <c r="P6360" s="110" t="s">
        <v>18903</v>
      </c>
      <c r="Q6360" s="15" t="s">
        <v>19</v>
      </c>
      <c r="R6360" s="205"/>
      <c r="S6360" s="189" t="s">
        <v>25367</v>
      </c>
      <c r="T6360" s="114"/>
      <c r="U6360" s="21" t="s">
        <v>19863</v>
      </c>
      <c r="V6360" s="115">
        <v>46095</v>
      </c>
      <c r="W6360" s="116">
        <v>1292</v>
      </c>
      <c r="X6360" s="220">
        <v>695000</v>
      </c>
      <c r="Y6360" s="220">
        <f>X6360*0.1</f>
        <v>69500</v>
      </c>
      <c r="Z6360" s="220">
        <v>9010</v>
      </c>
      <c r="AA6360" s="220">
        <f>SUM(X6360:Z6360)</f>
        <v>773510</v>
      </c>
      <c r="AB6360" s="222">
        <v>46100</v>
      </c>
    </row>
    <row r="6361" spans="1:28" ht="17.100000000000001" customHeight="1" thickBot="1">
      <c r="A6361" s="227"/>
      <c r="B6361" s="27" t="s">
        <v>2597</v>
      </c>
      <c r="C6361" s="27">
        <v>3224</v>
      </c>
      <c r="D6361" s="14" t="s">
        <v>2088</v>
      </c>
      <c r="E6361" s="229"/>
      <c r="F6361" s="117" t="s">
        <v>17996</v>
      </c>
      <c r="G6361" s="26">
        <v>127845</v>
      </c>
      <c r="H6361" s="231"/>
      <c r="I6361" s="221"/>
      <c r="J6361" s="221"/>
      <c r="K6361" s="221"/>
      <c r="L6361" s="221"/>
      <c r="M6361" s="221"/>
      <c r="N6361" s="221"/>
      <c r="O6361" s="225"/>
      <c r="P6361" s="118" t="s">
        <v>18904</v>
      </c>
      <c r="Q6361" s="16" t="s">
        <v>20</v>
      </c>
      <c r="R6361" s="17" t="s">
        <v>853</v>
      </c>
      <c r="S6361" s="121" t="s">
        <v>18905</v>
      </c>
      <c r="T6361" s="122"/>
      <c r="U6361" s="22"/>
      <c r="V6361" s="123" t="s">
        <v>2472</v>
      </c>
      <c r="W6361" s="122">
        <v>60325</v>
      </c>
      <c r="X6361" s="221"/>
      <c r="Y6361" s="221"/>
      <c r="Z6361" s="221"/>
      <c r="AA6361" s="221"/>
      <c r="AB6361" s="223"/>
    </row>
    <row r="6362" spans="1:28" ht="17.100000000000001" customHeight="1" thickTop="1">
      <c r="A6362" s="226" t="s">
        <v>18023</v>
      </c>
      <c r="B6362" s="28">
        <v>46073</v>
      </c>
      <c r="C6362" s="25">
        <v>1407</v>
      </c>
      <c r="D6362" s="13" t="s">
        <v>1578</v>
      </c>
      <c r="E6362" s="228"/>
      <c r="F6362" s="109" t="s">
        <v>17997</v>
      </c>
      <c r="G6362" s="24"/>
      <c r="H6362" s="230">
        <v>4</v>
      </c>
      <c r="I6362" s="220">
        <v>1476000</v>
      </c>
      <c r="J6362" s="220">
        <f>I6362*0.1</f>
        <v>147600</v>
      </c>
      <c r="K6362" s="220">
        <v>0</v>
      </c>
      <c r="L6362" s="220">
        <v>11050</v>
      </c>
      <c r="M6362" s="220">
        <v>15400</v>
      </c>
      <c r="N6362" s="220">
        <f>SUM(I6362:M6363)</f>
        <v>1650050</v>
      </c>
      <c r="O6362" s="224"/>
      <c r="P6362" s="110" t="s">
        <v>18764</v>
      </c>
      <c r="Q6362" s="15" t="s">
        <v>19</v>
      </c>
      <c r="R6362" s="205"/>
      <c r="S6362" s="189"/>
      <c r="T6362" s="114"/>
      <c r="U6362" s="21"/>
      <c r="V6362" s="115">
        <v>46085</v>
      </c>
      <c r="W6362" s="116">
        <v>1007</v>
      </c>
      <c r="X6362" s="220">
        <v>1525000</v>
      </c>
      <c r="Y6362" s="220">
        <f>X6362*0.1</f>
        <v>152500</v>
      </c>
      <c r="Z6362" s="220">
        <v>11050</v>
      </c>
      <c r="AA6362" s="220">
        <f>SUM(X6362:Z6362)</f>
        <v>1688550</v>
      </c>
      <c r="AB6362" s="222">
        <v>46090</v>
      </c>
    </row>
    <row r="6363" spans="1:28" ht="17.100000000000001" customHeight="1" thickBot="1">
      <c r="A6363" s="227"/>
      <c r="B6363" s="27" t="s">
        <v>2597</v>
      </c>
      <c r="C6363" s="27">
        <v>3255</v>
      </c>
      <c r="D6363" s="14" t="s">
        <v>273</v>
      </c>
      <c r="E6363" s="229"/>
      <c r="F6363" s="117" t="s">
        <v>17998</v>
      </c>
      <c r="G6363" s="26">
        <v>22023</v>
      </c>
      <c r="H6363" s="231"/>
      <c r="I6363" s="221"/>
      <c r="J6363" s="221"/>
      <c r="K6363" s="221"/>
      <c r="L6363" s="221"/>
      <c r="M6363" s="221"/>
      <c r="N6363" s="221"/>
      <c r="O6363" s="225"/>
      <c r="P6363" s="118" t="s">
        <v>4161</v>
      </c>
      <c r="Q6363" s="16" t="s">
        <v>20</v>
      </c>
      <c r="R6363" s="17" t="s">
        <v>1704</v>
      </c>
      <c r="S6363" s="121" t="s">
        <v>15422</v>
      </c>
      <c r="T6363" s="122"/>
      <c r="U6363" s="22"/>
      <c r="V6363" s="123" t="s">
        <v>2747</v>
      </c>
      <c r="W6363" s="122">
        <v>6067</v>
      </c>
      <c r="X6363" s="221"/>
      <c r="Y6363" s="221"/>
      <c r="Z6363" s="221"/>
      <c r="AA6363" s="221"/>
      <c r="AB6363" s="223"/>
    </row>
    <row r="6364" spans="1:28" ht="17.100000000000001" customHeight="1" thickTop="1">
      <c r="A6364" s="226" t="s">
        <v>18024</v>
      </c>
      <c r="B6364" s="28">
        <v>46073</v>
      </c>
      <c r="C6364" s="25">
        <v>1407</v>
      </c>
      <c r="D6364" s="13" t="s">
        <v>3422</v>
      </c>
      <c r="E6364" s="228"/>
      <c r="F6364" s="109" t="s">
        <v>8463</v>
      </c>
      <c r="G6364" s="24"/>
      <c r="H6364" s="230">
        <v>4</v>
      </c>
      <c r="I6364" s="220">
        <v>869000</v>
      </c>
      <c r="J6364" s="220">
        <f>I6364*0.1</f>
        <v>86900</v>
      </c>
      <c r="K6364" s="220">
        <v>0</v>
      </c>
      <c r="L6364" s="220">
        <v>8790</v>
      </c>
      <c r="M6364" s="220">
        <v>15400</v>
      </c>
      <c r="N6364" s="220">
        <f>SUM(I6364:M6365)</f>
        <v>980090</v>
      </c>
      <c r="O6364" s="224"/>
      <c r="P6364" s="110" t="s">
        <v>18354</v>
      </c>
      <c r="Q6364" s="15" t="s">
        <v>19</v>
      </c>
      <c r="R6364" s="205"/>
      <c r="S6364" s="189" t="s">
        <v>1361</v>
      </c>
      <c r="T6364" s="114"/>
      <c r="U6364" s="21"/>
      <c r="V6364" s="115">
        <v>46078</v>
      </c>
      <c r="W6364" s="116">
        <v>1006</v>
      </c>
      <c r="X6364" s="220">
        <v>950000</v>
      </c>
      <c r="Y6364" s="220">
        <f>X6364*0.1</f>
        <v>95000</v>
      </c>
      <c r="Z6364" s="220">
        <v>8790</v>
      </c>
      <c r="AA6364" s="220">
        <f>SUM(X6364:Z6364)</f>
        <v>1053790</v>
      </c>
      <c r="AB6364" s="222">
        <v>46083</v>
      </c>
    </row>
    <row r="6365" spans="1:28" ht="17.100000000000001" customHeight="1" thickBot="1">
      <c r="A6365" s="227"/>
      <c r="B6365" s="27" t="s">
        <v>2597</v>
      </c>
      <c r="C6365" s="27">
        <v>7012</v>
      </c>
      <c r="D6365" s="14" t="s">
        <v>2753</v>
      </c>
      <c r="E6365" s="229"/>
      <c r="F6365" s="117" t="s">
        <v>17999</v>
      </c>
      <c r="G6365" s="26">
        <v>46632</v>
      </c>
      <c r="H6365" s="231"/>
      <c r="I6365" s="221"/>
      <c r="J6365" s="221"/>
      <c r="K6365" s="221"/>
      <c r="L6365" s="221"/>
      <c r="M6365" s="221"/>
      <c r="N6365" s="221"/>
      <c r="O6365" s="225"/>
      <c r="P6365" s="118" t="s">
        <v>18355</v>
      </c>
      <c r="Q6365" s="16" t="s">
        <v>20</v>
      </c>
      <c r="R6365" s="17" t="s">
        <v>18270</v>
      </c>
      <c r="S6365" s="121" t="s">
        <v>1731</v>
      </c>
      <c r="T6365" s="122"/>
      <c r="U6365" s="22"/>
      <c r="V6365" s="123" t="s">
        <v>8648</v>
      </c>
      <c r="W6365" s="122">
        <v>5221</v>
      </c>
      <c r="X6365" s="221"/>
      <c r="Y6365" s="221"/>
      <c r="Z6365" s="221"/>
      <c r="AA6365" s="221"/>
      <c r="AB6365" s="223"/>
    </row>
    <row r="6366" spans="1:28" ht="17.100000000000001" customHeight="1" thickTop="1">
      <c r="A6366" s="226" t="s">
        <v>18025</v>
      </c>
      <c r="B6366" s="28">
        <v>46073</v>
      </c>
      <c r="C6366" s="25">
        <v>1407</v>
      </c>
      <c r="D6366" s="13" t="s">
        <v>1983</v>
      </c>
      <c r="E6366" s="228"/>
      <c r="F6366" s="109" t="s">
        <v>18000</v>
      </c>
      <c r="G6366" s="24" t="s">
        <v>18050</v>
      </c>
      <c r="H6366" s="230">
        <v>4</v>
      </c>
      <c r="I6366" s="220">
        <v>1385000</v>
      </c>
      <c r="J6366" s="220">
        <f>I6366*0.1</f>
        <v>138500</v>
      </c>
      <c r="K6366" s="220">
        <f>2500+250</f>
        <v>2750</v>
      </c>
      <c r="L6366" s="220">
        <v>11650</v>
      </c>
      <c r="M6366" s="220">
        <v>15400</v>
      </c>
      <c r="N6366" s="220">
        <f>SUM(I6366:M6367)</f>
        <v>1553300</v>
      </c>
      <c r="O6366" s="224"/>
      <c r="P6366" s="110" t="s">
        <v>18765</v>
      </c>
      <c r="Q6366" s="15" t="s">
        <v>19</v>
      </c>
      <c r="R6366" s="205"/>
      <c r="S6366" s="189" t="s">
        <v>25451</v>
      </c>
      <c r="T6366" s="114"/>
      <c r="U6366" s="21"/>
      <c r="V6366" s="115">
        <v>46092</v>
      </c>
      <c r="W6366" s="116">
        <v>1008</v>
      </c>
      <c r="X6366" s="220">
        <v>1450000</v>
      </c>
      <c r="Y6366" s="220">
        <f>X6366*0.1</f>
        <v>145000</v>
      </c>
      <c r="Z6366" s="220">
        <v>11650</v>
      </c>
      <c r="AA6366" s="220">
        <f>SUM(X6366:Z6366)</f>
        <v>1606650</v>
      </c>
      <c r="AB6366" s="222">
        <v>46100</v>
      </c>
    </row>
    <row r="6367" spans="1:28" ht="17.100000000000001" customHeight="1" thickBot="1">
      <c r="A6367" s="227"/>
      <c r="B6367" s="27" t="s">
        <v>2597</v>
      </c>
      <c r="C6367" s="27">
        <v>7017</v>
      </c>
      <c r="D6367" s="14" t="s">
        <v>273</v>
      </c>
      <c r="E6367" s="229"/>
      <c r="F6367" s="117" t="s">
        <v>18001</v>
      </c>
      <c r="G6367" s="26">
        <v>77389</v>
      </c>
      <c r="H6367" s="231"/>
      <c r="I6367" s="221"/>
      <c r="J6367" s="221"/>
      <c r="K6367" s="221"/>
      <c r="L6367" s="221"/>
      <c r="M6367" s="221"/>
      <c r="N6367" s="221"/>
      <c r="O6367" s="225"/>
      <c r="P6367" s="118" t="s">
        <v>15065</v>
      </c>
      <c r="Q6367" s="16" t="s">
        <v>20</v>
      </c>
      <c r="R6367" s="17" t="s">
        <v>1704</v>
      </c>
      <c r="S6367" s="121" t="s">
        <v>4544</v>
      </c>
      <c r="T6367" s="122"/>
      <c r="U6367" s="22"/>
      <c r="V6367" s="123" t="s">
        <v>7161</v>
      </c>
      <c r="W6367" s="122">
        <v>6131</v>
      </c>
      <c r="X6367" s="221"/>
      <c r="Y6367" s="221"/>
      <c r="Z6367" s="221"/>
      <c r="AA6367" s="221"/>
      <c r="AB6367" s="223"/>
    </row>
    <row r="6368" spans="1:28" ht="17.100000000000001" customHeight="1" thickTop="1">
      <c r="A6368" s="226" t="s">
        <v>18026</v>
      </c>
      <c r="B6368" s="28">
        <v>46073</v>
      </c>
      <c r="C6368" s="25">
        <v>1407</v>
      </c>
      <c r="D6368" s="13" t="s">
        <v>2288</v>
      </c>
      <c r="E6368" s="228"/>
      <c r="F6368" s="109" t="s">
        <v>18002</v>
      </c>
      <c r="G6368" s="24"/>
      <c r="H6368" s="230">
        <v>4</v>
      </c>
      <c r="I6368" s="220">
        <v>608000</v>
      </c>
      <c r="J6368" s="220">
        <f>I6368*0.1</f>
        <v>60800</v>
      </c>
      <c r="K6368" s="220">
        <v>0</v>
      </c>
      <c r="L6368" s="220">
        <v>9670</v>
      </c>
      <c r="M6368" s="220">
        <v>15400</v>
      </c>
      <c r="N6368" s="220">
        <f>SUM(I6368:M6369)</f>
        <v>693870</v>
      </c>
      <c r="O6368" s="224"/>
      <c r="P6368" s="110" t="s">
        <v>18771</v>
      </c>
      <c r="Q6368" s="15" t="s">
        <v>19</v>
      </c>
      <c r="R6368" s="205"/>
      <c r="S6368" s="189"/>
      <c r="T6368" s="114"/>
      <c r="U6368" s="21"/>
      <c r="V6368" s="115">
        <v>46109</v>
      </c>
      <c r="W6368" s="116">
        <v>1294</v>
      </c>
      <c r="X6368" s="220">
        <v>640000</v>
      </c>
      <c r="Y6368" s="220">
        <f>X6368*0.1</f>
        <v>64000</v>
      </c>
      <c r="Z6368" s="220">
        <v>9670</v>
      </c>
      <c r="AA6368" s="220">
        <f>SUM(X6368:Z6368)</f>
        <v>713670</v>
      </c>
      <c r="AB6368" s="222">
        <v>46112</v>
      </c>
    </row>
    <row r="6369" spans="1:28" ht="17.100000000000001" customHeight="1" thickBot="1">
      <c r="A6369" s="227"/>
      <c r="B6369" s="27" t="s">
        <v>2597</v>
      </c>
      <c r="C6369" s="27">
        <v>7034</v>
      </c>
      <c r="D6369" s="14" t="s">
        <v>898</v>
      </c>
      <c r="E6369" s="229"/>
      <c r="F6369" s="117" t="s">
        <v>18003</v>
      </c>
      <c r="G6369" s="26">
        <v>33523</v>
      </c>
      <c r="H6369" s="231"/>
      <c r="I6369" s="221"/>
      <c r="J6369" s="221"/>
      <c r="K6369" s="221"/>
      <c r="L6369" s="221"/>
      <c r="M6369" s="221"/>
      <c r="N6369" s="221"/>
      <c r="O6369" s="225"/>
      <c r="P6369" s="118" t="s">
        <v>7826</v>
      </c>
      <c r="Q6369" s="16" t="s">
        <v>20</v>
      </c>
      <c r="R6369" s="17" t="s">
        <v>18772</v>
      </c>
      <c r="S6369" s="121" t="s">
        <v>18773</v>
      </c>
      <c r="T6369" s="122"/>
      <c r="U6369" s="22"/>
      <c r="V6369" s="123" t="s">
        <v>21250</v>
      </c>
      <c r="W6369" s="122">
        <v>60140</v>
      </c>
      <c r="X6369" s="221"/>
      <c r="Y6369" s="221"/>
      <c r="Z6369" s="221"/>
      <c r="AA6369" s="221"/>
      <c r="AB6369" s="223"/>
    </row>
    <row r="6370" spans="1:28" ht="17.100000000000001" customHeight="1" thickTop="1">
      <c r="A6370" s="226" t="s">
        <v>18027</v>
      </c>
      <c r="B6370" s="28">
        <v>46073</v>
      </c>
      <c r="C6370" s="25">
        <v>1407</v>
      </c>
      <c r="D6370" s="13" t="s">
        <v>18051</v>
      </c>
      <c r="E6370" s="228"/>
      <c r="F6370" s="109" t="s">
        <v>8463</v>
      </c>
      <c r="G6370" s="24"/>
      <c r="H6370" s="230">
        <v>4</v>
      </c>
      <c r="I6370" s="220">
        <v>806000</v>
      </c>
      <c r="J6370" s="220">
        <f>I6370*0.1</f>
        <v>80600</v>
      </c>
      <c r="K6370" s="220">
        <v>0</v>
      </c>
      <c r="L6370" s="220">
        <v>8790</v>
      </c>
      <c r="M6370" s="220">
        <v>15400</v>
      </c>
      <c r="N6370" s="220">
        <f>SUM(I6370:M6371)</f>
        <v>910790</v>
      </c>
      <c r="O6370" s="224"/>
      <c r="P6370" s="110" t="s">
        <v>18509</v>
      </c>
      <c r="Q6370" s="15" t="s">
        <v>19</v>
      </c>
      <c r="R6370" s="205"/>
      <c r="S6370" s="189"/>
      <c r="T6370" s="114"/>
      <c r="U6370" s="21"/>
      <c r="V6370" s="115">
        <v>46092</v>
      </c>
      <c r="W6370" s="116">
        <v>1008</v>
      </c>
      <c r="X6370" s="220">
        <v>820000</v>
      </c>
      <c r="Y6370" s="220">
        <f>X6370*0.1</f>
        <v>82000</v>
      </c>
      <c r="Z6370" s="220">
        <v>8790</v>
      </c>
      <c r="AA6370" s="220">
        <f>SUM(X6370:Z6370)</f>
        <v>910790</v>
      </c>
      <c r="AB6370" s="222">
        <v>46098</v>
      </c>
    </row>
    <row r="6371" spans="1:28" ht="17.100000000000001" customHeight="1" thickBot="1">
      <c r="A6371" s="227"/>
      <c r="B6371" s="27" t="s">
        <v>2597</v>
      </c>
      <c r="C6371" s="27">
        <v>7090</v>
      </c>
      <c r="D6371" s="14" t="s">
        <v>18052</v>
      </c>
      <c r="E6371" s="229"/>
      <c r="F6371" s="117" t="s">
        <v>18004</v>
      </c>
      <c r="G6371" s="26">
        <v>58810</v>
      </c>
      <c r="H6371" s="231"/>
      <c r="I6371" s="221"/>
      <c r="J6371" s="221"/>
      <c r="K6371" s="221"/>
      <c r="L6371" s="221"/>
      <c r="M6371" s="221"/>
      <c r="N6371" s="221"/>
      <c r="O6371" s="225"/>
      <c r="P6371" s="118" t="s">
        <v>4762</v>
      </c>
      <c r="Q6371" s="16" t="s">
        <v>20</v>
      </c>
      <c r="R6371" s="17" t="s">
        <v>18270</v>
      </c>
      <c r="S6371" s="121"/>
      <c r="T6371" s="122"/>
      <c r="U6371" s="22"/>
      <c r="V6371" s="123" t="s">
        <v>19459</v>
      </c>
      <c r="W6371" s="122">
        <v>2027</v>
      </c>
      <c r="X6371" s="221"/>
      <c r="Y6371" s="221"/>
      <c r="Z6371" s="221"/>
      <c r="AA6371" s="221"/>
      <c r="AB6371" s="223"/>
    </row>
    <row r="6372" spans="1:28" ht="17.100000000000001" customHeight="1" thickTop="1">
      <c r="A6372" s="226" t="s">
        <v>18028</v>
      </c>
      <c r="B6372" s="28">
        <v>46073</v>
      </c>
      <c r="C6372" s="25">
        <v>1407</v>
      </c>
      <c r="D6372" s="13" t="s">
        <v>2057</v>
      </c>
      <c r="E6372" s="228"/>
      <c r="F6372" s="109" t="s">
        <v>18005</v>
      </c>
      <c r="G6372" s="24" t="s">
        <v>14259</v>
      </c>
      <c r="H6372" s="230">
        <v>5</v>
      </c>
      <c r="I6372" s="220">
        <v>1404000</v>
      </c>
      <c r="J6372" s="220">
        <f>I6372*0.1</f>
        <v>140400</v>
      </c>
      <c r="K6372" s="220">
        <v>0</v>
      </c>
      <c r="L6372" s="220">
        <v>7230</v>
      </c>
      <c r="M6372" s="220">
        <v>15400</v>
      </c>
      <c r="N6372" s="220">
        <f>SUM(I6372:M6373)</f>
        <v>1567030</v>
      </c>
      <c r="O6372" s="224"/>
      <c r="P6372" s="110" t="s">
        <v>18510</v>
      </c>
      <c r="Q6372" s="15" t="s">
        <v>19</v>
      </c>
      <c r="R6372" s="205"/>
      <c r="S6372" s="189" t="s">
        <v>1361</v>
      </c>
      <c r="T6372" s="114"/>
      <c r="U6372" s="21" t="s">
        <v>20450</v>
      </c>
      <c r="V6372" s="115">
        <v>46098</v>
      </c>
      <c r="W6372" s="116">
        <v>1933</v>
      </c>
      <c r="X6372" s="220">
        <v>1455000</v>
      </c>
      <c r="Y6372" s="220">
        <f>X6372*0.1</f>
        <v>145500</v>
      </c>
      <c r="Z6372" s="220">
        <v>7230</v>
      </c>
      <c r="AA6372" s="220">
        <f>SUM(X6372:Z6372)</f>
        <v>1607730</v>
      </c>
      <c r="AB6372" s="222"/>
    </row>
    <row r="6373" spans="1:28" ht="17.100000000000001" customHeight="1" thickBot="1">
      <c r="A6373" s="227"/>
      <c r="B6373" s="27" t="s">
        <v>2597</v>
      </c>
      <c r="C6373" s="27">
        <v>7501</v>
      </c>
      <c r="D6373" s="14" t="s">
        <v>898</v>
      </c>
      <c r="E6373" s="229"/>
      <c r="F6373" s="117" t="s">
        <v>18006</v>
      </c>
      <c r="G6373" s="26">
        <v>1966</v>
      </c>
      <c r="H6373" s="231"/>
      <c r="I6373" s="221"/>
      <c r="J6373" s="221"/>
      <c r="K6373" s="221"/>
      <c r="L6373" s="221"/>
      <c r="M6373" s="221"/>
      <c r="N6373" s="221"/>
      <c r="O6373" s="225"/>
      <c r="P6373" s="118" t="s">
        <v>4007</v>
      </c>
      <c r="Q6373" s="16" t="s">
        <v>20</v>
      </c>
      <c r="R6373" s="17" t="s">
        <v>18270</v>
      </c>
      <c r="S6373" s="121" t="s">
        <v>2360</v>
      </c>
      <c r="T6373" s="122"/>
      <c r="U6373" s="22"/>
      <c r="V6373" s="123" t="s">
        <v>7507</v>
      </c>
      <c r="W6373" s="122">
        <v>3199</v>
      </c>
      <c r="X6373" s="221"/>
      <c r="Y6373" s="221"/>
      <c r="Z6373" s="221"/>
      <c r="AA6373" s="221"/>
      <c r="AB6373" s="223"/>
    </row>
    <row r="6374" spans="1:28" ht="17.100000000000001" customHeight="1" thickTop="1">
      <c r="A6374" s="226" t="s">
        <v>18029</v>
      </c>
      <c r="B6374" s="28">
        <v>46073</v>
      </c>
      <c r="C6374" s="25">
        <v>1407</v>
      </c>
      <c r="D6374" s="13" t="s">
        <v>2010</v>
      </c>
      <c r="E6374" s="228"/>
      <c r="F6374" s="109" t="s">
        <v>18007</v>
      </c>
      <c r="G6374" s="24"/>
      <c r="H6374" s="230">
        <v>4.5</v>
      </c>
      <c r="I6374" s="220">
        <v>1216000</v>
      </c>
      <c r="J6374" s="220">
        <f>I6374*0.1</f>
        <v>121600</v>
      </c>
      <c r="K6374" s="220">
        <v>0</v>
      </c>
      <c r="L6374" s="220">
        <v>6470</v>
      </c>
      <c r="M6374" s="220">
        <v>15400</v>
      </c>
      <c r="N6374" s="220">
        <f>SUM(I6374:M6375)</f>
        <v>1359470</v>
      </c>
      <c r="O6374" s="224"/>
      <c r="P6374" s="110" t="s">
        <v>18769</v>
      </c>
      <c r="Q6374" s="15" t="s">
        <v>19</v>
      </c>
      <c r="R6374" s="205"/>
      <c r="S6374" s="189" t="s">
        <v>1271</v>
      </c>
      <c r="T6374" s="114"/>
      <c r="U6374" s="21"/>
      <c r="V6374" s="115">
        <v>46091</v>
      </c>
      <c r="W6374" s="116">
        <v>1932</v>
      </c>
      <c r="X6374" s="220">
        <v>1240000</v>
      </c>
      <c r="Y6374" s="220">
        <f>X6374*0.1</f>
        <v>124000</v>
      </c>
      <c r="Z6374" s="220">
        <v>6470</v>
      </c>
      <c r="AA6374" s="220">
        <f>SUM(X6374:Z6374)</f>
        <v>1370470</v>
      </c>
      <c r="AB6374" s="222"/>
    </row>
    <row r="6375" spans="1:28" ht="17.100000000000001" customHeight="1" thickBot="1">
      <c r="A6375" s="227"/>
      <c r="B6375" s="27" t="s">
        <v>2597</v>
      </c>
      <c r="C6375" s="27">
        <v>7502</v>
      </c>
      <c r="D6375" s="14" t="s">
        <v>2559</v>
      </c>
      <c r="E6375" s="229"/>
      <c r="F6375" s="117" t="s">
        <v>18008</v>
      </c>
      <c r="G6375" s="26">
        <v>11360</v>
      </c>
      <c r="H6375" s="231"/>
      <c r="I6375" s="221"/>
      <c r="J6375" s="221"/>
      <c r="K6375" s="221"/>
      <c r="L6375" s="221"/>
      <c r="M6375" s="221"/>
      <c r="N6375" s="221"/>
      <c r="O6375" s="225"/>
      <c r="P6375" s="118" t="s">
        <v>18770</v>
      </c>
      <c r="Q6375" s="16" t="s">
        <v>20</v>
      </c>
      <c r="R6375" s="17" t="s">
        <v>1704</v>
      </c>
      <c r="S6375" s="121" t="s">
        <v>1731</v>
      </c>
      <c r="T6375" s="122"/>
      <c r="U6375" s="22"/>
      <c r="V6375" s="123" t="s">
        <v>2103</v>
      </c>
      <c r="W6375" s="122">
        <v>3431</v>
      </c>
      <c r="X6375" s="221"/>
      <c r="Y6375" s="221"/>
      <c r="Z6375" s="221"/>
      <c r="AA6375" s="221"/>
      <c r="AB6375" s="223"/>
    </row>
    <row r="6376" spans="1:28" ht="17.100000000000001" customHeight="1" thickTop="1">
      <c r="A6376" s="226" t="s">
        <v>18030</v>
      </c>
      <c r="B6376" s="28">
        <v>46073</v>
      </c>
      <c r="C6376" s="25">
        <v>1407</v>
      </c>
      <c r="D6376" s="13" t="s">
        <v>2195</v>
      </c>
      <c r="E6376" s="228"/>
      <c r="F6376" s="109" t="s">
        <v>18009</v>
      </c>
      <c r="G6376" s="24" t="s">
        <v>18048</v>
      </c>
      <c r="H6376" s="230">
        <v>4.5</v>
      </c>
      <c r="I6376" s="220">
        <v>1376000</v>
      </c>
      <c r="J6376" s="220">
        <f>I6376*0.1</f>
        <v>137600</v>
      </c>
      <c r="K6376" s="220">
        <f>2500+250</f>
        <v>2750</v>
      </c>
      <c r="L6376" s="220">
        <v>7530</v>
      </c>
      <c r="M6376" s="220">
        <v>15400</v>
      </c>
      <c r="N6376" s="220">
        <f>SUM(I6376:M6377)</f>
        <v>1539280</v>
      </c>
      <c r="O6376" s="224"/>
      <c r="P6376" s="110" t="s">
        <v>18511</v>
      </c>
      <c r="Q6376" s="15" t="s">
        <v>19</v>
      </c>
      <c r="R6376" s="205"/>
      <c r="S6376" s="189" t="s">
        <v>1361</v>
      </c>
      <c r="T6376" s="114"/>
      <c r="U6376" s="21"/>
      <c r="V6376" s="115">
        <v>46085</v>
      </c>
      <c r="W6376" s="116">
        <v>1007</v>
      </c>
      <c r="X6376" s="220">
        <v>1415000</v>
      </c>
      <c r="Y6376" s="220">
        <f>X6376*0.1</f>
        <v>141500</v>
      </c>
      <c r="Z6376" s="220">
        <v>7530</v>
      </c>
      <c r="AA6376" s="220">
        <f>SUM(X6376:Z6376)</f>
        <v>1564030</v>
      </c>
      <c r="AB6376" s="222">
        <v>46090</v>
      </c>
    </row>
    <row r="6377" spans="1:28" ht="17.100000000000001" customHeight="1" thickBot="1">
      <c r="A6377" s="227"/>
      <c r="B6377" s="27" t="s">
        <v>2597</v>
      </c>
      <c r="C6377" s="27">
        <v>7509</v>
      </c>
      <c r="D6377" s="14" t="s">
        <v>273</v>
      </c>
      <c r="E6377" s="229"/>
      <c r="F6377" s="117" t="s">
        <v>18010</v>
      </c>
      <c r="G6377" s="26">
        <v>39049</v>
      </c>
      <c r="H6377" s="231"/>
      <c r="I6377" s="221"/>
      <c r="J6377" s="221"/>
      <c r="K6377" s="221"/>
      <c r="L6377" s="221"/>
      <c r="M6377" s="221"/>
      <c r="N6377" s="221"/>
      <c r="O6377" s="225"/>
      <c r="P6377" s="118" t="s">
        <v>18512</v>
      </c>
      <c r="Q6377" s="16" t="s">
        <v>20</v>
      </c>
      <c r="R6377" s="17" t="s">
        <v>3559</v>
      </c>
      <c r="S6377" s="121" t="s">
        <v>2360</v>
      </c>
      <c r="T6377" s="122"/>
      <c r="U6377" s="22"/>
      <c r="V6377" s="123" t="s">
        <v>2747</v>
      </c>
      <c r="W6377" s="122">
        <v>6070</v>
      </c>
      <c r="X6377" s="221"/>
      <c r="Y6377" s="221"/>
      <c r="Z6377" s="221"/>
      <c r="AA6377" s="221"/>
      <c r="AB6377" s="223"/>
    </row>
    <row r="6378" spans="1:28" ht="17.100000000000001" customHeight="1" thickTop="1">
      <c r="A6378" s="226" t="s">
        <v>18031</v>
      </c>
      <c r="B6378" s="28">
        <v>46073</v>
      </c>
      <c r="C6378" s="25">
        <v>1407</v>
      </c>
      <c r="D6378" s="13" t="s">
        <v>11049</v>
      </c>
      <c r="E6378" s="228"/>
      <c r="F6378" s="109" t="s">
        <v>18049</v>
      </c>
      <c r="G6378" s="24"/>
      <c r="H6378" s="230">
        <v>4</v>
      </c>
      <c r="I6378" s="220">
        <v>304000</v>
      </c>
      <c r="J6378" s="220">
        <f>I6378*0.1</f>
        <v>30400</v>
      </c>
      <c r="K6378" s="220">
        <v>0</v>
      </c>
      <c r="L6378" s="220">
        <v>10270</v>
      </c>
      <c r="M6378" s="220">
        <v>15400</v>
      </c>
      <c r="N6378" s="220">
        <f>SUM(I6378:M6379)</f>
        <v>360070</v>
      </c>
      <c r="O6378" s="224"/>
      <c r="P6378" s="110" t="s">
        <v>18774</v>
      </c>
      <c r="Q6378" s="15" t="s">
        <v>19</v>
      </c>
      <c r="R6378" s="205"/>
      <c r="S6378" s="189" t="s">
        <v>1361</v>
      </c>
      <c r="T6378" s="114"/>
      <c r="U6378" s="21"/>
      <c r="V6378" s="115">
        <v>46085</v>
      </c>
      <c r="W6378" s="116">
        <v>1007</v>
      </c>
      <c r="X6378" s="220">
        <v>360000</v>
      </c>
      <c r="Y6378" s="220">
        <f>X6378*0.1</f>
        <v>36000</v>
      </c>
      <c r="Z6378" s="220">
        <v>10270</v>
      </c>
      <c r="AA6378" s="220">
        <f>SUM(X6378:Z6378)</f>
        <v>406270</v>
      </c>
      <c r="AB6378" s="222">
        <v>46090</v>
      </c>
    </row>
    <row r="6379" spans="1:28" ht="17.100000000000001" customHeight="1" thickBot="1">
      <c r="A6379" s="227"/>
      <c r="B6379" s="27" t="s">
        <v>2597</v>
      </c>
      <c r="C6379" s="27">
        <v>7528</v>
      </c>
      <c r="D6379" s="14" t="s">
        <v>2559</v>
      </c>
      <c r="E6379" s="229"/>
      <c r="F6379" s="117" t="s">
        <v>18011</v>
      </c>
      <c r="G6379" s="26">
        <v>55040</v>
      </c>
      <c r="H6379" s="231"/>
      <c r="I6379" s="221"/>
      <c r="J6379" s="221"/>
      <c r="K6379" s="221"/>
      <c r="L6379" s="221"/>
      <c r="M6379" s="221"/>
      <c r="N6379" s="221"/>
      <c r="O6379" s="225"/>
      <c r="P6379" s="118" t="s">
        <v>2599</v>
      </c>
      <c r="Q6379" s="16" t="s">
        <v>20</v>
      </c>
      <c r="R6379" s="17" t="s">
        <v>1704</v>
      </c>
      <c r="S6379" s="121" t="s">
        <v>2360</v>
      </c>
      <c r="T6379" s="122"/>
      <c r="U6379" s="22"/>
      <c r="V6379" s="123" t="s">
        <v>8877</v>
      </c>
      <c r="W6379" s="122">
        <v>2049</v>
      </c>
      <c r="X6379" s="221"/>
      <c r="Y6379" s="221"/>
      <c r="Z6379" s="221"/>
      <c r="AA6379" s="221"/>
      <c r="AB6379" s="223"/>
    </row>
    <row r="6380" spans="1:28" ht="17.100000000000001" customHeight="1" thickTop="1">
      <c r="A6380" s="226" t="s">
        <v>18032</v>
      </c>
      <c r="B6380" s="28">
        <v>46073</v>
      </c>
      <c r="C6380" s="25">
        <v>1407</v>
      </c>
      <c r="D6380" s="13" t="s">
        <v>6915</v>
      </c>
      <c r="E6380" s="228"/>
      <c r="F6380" s="109" t="s">
        <v>11362</v>
      </c>
      <c r="G6380" s="24" t="s">
        <v>8090</v>
      </c>
      <c r="H6380" s="230">
        <v>4</v>
      </c>
      <c r="I6380" s="220">
        <v>541000</v>
      </c>
      <c r="J6380" s="220">
        <f>I6380*0.1</f>
        <v>54100</v>
      </c>
      <c r="K6380" s="220">
        <v>0</v>
      </c>
      <c r="L6380" s="220">
        <v>8860</v>
      </c>
      <c r="M6380" s="220">
        <v>15400</v>
      </c>
      <c r="N6380" s="220">
        <f>SUM(I6380:M6381)</f>
        <v>619360</v>
      </c>
      <c r="O6380" s="224"/>
      <c r="P6380" s="110" t="s">
        <v>18507</v>
      </c>
      <c r="Q6380" s="15" t="s">
        <v>19</v>
      </c>
      <c r="R6380" s="205"/>
      <c r="S6380" s="189"/>
      <c r="T6380" s="114"/>
      <c r="U6380" s="21"/>
      <c r="V6380" s="115">
        <v>46078</v>
      </c>
      <c r="W6380" s="116">
        <v>1006</v>
      </c>
      <c r="X6380" s="220">
        <v>720000</v>
      </c>
      <c r="Y6380" s="220">
        <f>X6380*0.1</f>
        <v>72000</v>
      </c>
      <c r="Z6380" s="220">
        <v>8860</v>
      </c>
      <c r="AA6380" s="220">
        <f>SUM(X6380:Z6380)</f>
        <v>800860</v>
      </c>
      <c r="AB6380" s="222">
        <v>46086</v>
      </c>
    </row>
    <row r="6381" spans="1:28" ht="17.100000000000001" customHeight="1" thickBot="1">
      <c r="A6381" s="227"/>
      <c r="B6381" s="27" t="s">
        <v>2597</v>
      </c>
      <c r="C6381" s="27">
        <v>7569</v>
      </c>
      <c r="D6381" s="14" t="s">
        <v>1548</v>
      </c>
      <c r="E6381" s="229"/>
      <c r="F6381" s="117" t="s">
        <v>18012</v>
      </c>
      <c r="G6381" s="26">
        <v>44905</v>
      </c>
      <c r="H6381" s="231"/>
      <c r="I6381" s="221"/>
      <c r="J6381" s="221"/>
      <c r="K6381" s="221"/>
      <c r="L6381" s="221"/>
      <c r="M6381" s="221"/>
      <c r="N6381" s="221"/>
      <c r="O6381" s="225"/>
      <c r="P6381" s="118" t="s">
        <v>18508</v>
      </c>
      <c r="Q6381" s="16" t="s">
        <v>20</v>
      </c>
      <c r="R6381" s="17" t="s">
        <v>18270</v>
      </c>
      <c r="S6381" s="121" t="s">
        <v>4008</v>
      </c>
      <c r="T6381" s="122"/>
      <c r="U6381" s="22"/>
      <c r="V6381" s="123" t="s">
        <v>7161</v>
      </c>
      <c r="W6381" s="122">
        <v>5228</v>
      </c>
      <c r="X6381" s="221"/>
      <c r="Y6381" s="221"/>
      <c r="Z6381" s="221"/>
      <c r="AA6381" s="221"/>
      <c r="AB6381" s="223"/>
    </row>
    <row r="6382" spans="1:28" ht="17.100000000000001" customHeight="1" thickTop="1">
      <c r="A6382" s="226" t="s">
        <v>18033</v>
      </c>
      <c r="B6382" s="28">
        <v>46073</v>
      </c>
      <c r="C6382" s="25">
        <v>1407</v>
      </c>
      <c r="D6382" s="13" t="s">
        <v>2264</v>
      </c>
      <c r="E6382" s="228"/>
      <c r="F6382" s="109" t="s">
        <v>10440</v>
      </c>
      <c r="G6382" s="24"/>
      <c r="H6382" s="230">
        <v>4</v>
      </c>
      <c r="I6382" s="220">
        <v>935000</v>
      </c>
      <c r="J6382" s="220">
        <f>I6382*0.1</f>
        <v>93500</v>
      </c>
      <c r="K6382" s="220">
        <v>0</v>
      </c>
      <c r="L6382" s="220">
        <v>8740</v>
      </c>
      <c r="M6382" s="220">
        <v>15400</v>
      </c>
      <c r="N6382" s="220">
        <f>SUM(I6382:M6383)</f>
        <v>1052640</v>
      </c>
      <c r="O6382" s="224"/>
      <c r="P6382" s="110" t="s">
        <v>18490</v>
      </c>
      <c r="Q6382" s="15" t="s">
        <v>19</v>
      </c>
      <c r="R6382" s="205"/>
      <c r="S6382" s="189"/>
      <c r="T6382" s="114"/>
      <c r="U6382" s="21"/>
      <c r="V6382" s="115">
        <v>46088</v>
      </c>
      <c r="W6382" s="116">
        <v>1291</v>
      </c>
      <c r="X6382" s="220">
        <v>1015000</v>
      </c>
      <c r="Y6382" s="220">
        <f>X6382*0.1</f>
        <v>101500</v>
      </c>
      <c r="Z6382" s="220">
        <v>8740</v>
      </c>
      <c r="AA6382" s="220">
        <f>SUM(X6382:Z6382)</f>
        <v>1125240</v>
      </c>
      <c r="AB6382" s="222">
        <v>46091</v>
      </c>
    </row>
    <row r="6383" spans="1:28" ht="17.100000000000001" customHeight="1" thickBot="1">
      <c r="A6383" s="227"/>
      <c r="B6383" s="27" t="s">
        <v>2597</v>
      </c>
      <c r="C6383" s="27">
        <v>7582</v>
      </c>
      <c r="D6383" s="14" t="s">
        <v>1568</v>
      </c>
      <c r="E6383" s="229"/>
      <c r="F6383" s="117" t="s">
        <v>18013</v>
      </c>
      <c r="G6383" s="26">
        <v>27719</v>
      </c>
      <c r="H6383" s="231"/>
      <c r="I6383" s="221"/>
      <c r="J6383" s="221"/>
      <c r="K6383" s="221"/>
      <c r="L6383" s="221"/>
      <c r="M6383" s="221"/>
      <c r="N6383" s="221"/>
      <c r="O6383" s="225"/>
      <c r="P6383" s="118" t="s">
        <v>8377</v>
      </c>
      <c r="Q6383" s="16" t="s">
        <v>20</v>
      </c>
      <c r="R6383" s="17" t="s">
        <v>3559</v>
      </c>
      <c r="S6383" s="121" t="s">
        <v>169</v>
      </c>
      <c r="T6383" s="122"/>
      <c r="U6383" s="22"/>
      <c r="V6383" s="123" t="s">
        <v>2472</v>
      </c>
      <c r="W6383" s="122">
        <v>60228</v>
      </c>
      <c r="X6383" s="221"/>
      <c r="Y6383" s="221"/>
      <c r="Z6383" s="221"/>
      <c r="AA6383" s="221"/>
      <c r="AB6383" s="223"/>
    </row>
    <row r="6384" spans="1:28" ht="17.100000000000001" customHeight="1" thickTop="1">
      <c r="A6384" s="226" t="s">
        <v>18034</v>
      </c>
      <c r="B6384" s="28">
        <v>46073</v>
      </c>
      <c r="C6384" s="25">
        <v>1407</v>
      </c>
      <c r="D6384" s="13" t="s">
        <v>1839</v>
      </c>
      <c r="E6384" s="228"/>
      <c r="F6384" s="109" t="s">
        <v>9188</v>
      </c>
      <c r="G6384" s="24" t="s">
        <v>12984</v>
      </c>
      <c r="H6384" s="232" t="s">
        <v>1705</v>
      </c>
      <c r="I6384" s="220">
        <v>196000</v>
      </c>
      <c r="J6384" s="220">
        <f>I6384*0.1</f>
        <v>19600</v>
      </c>
      <c r="K6384" s="220">
        <v>0</v>
      </c>
      <c r="L6384" s="220">
        <v>9790</v>
      </c>
      <c r="M6384" s="220">
        <v>15400</v>
      </c>
      <c r="N6384" s="220">
        <f>SUM(I6384:M6385)</f>
        <v>240790</v>
      </c>
      <c r="O6384" s="224"/>
      <c r="P6384" s="110" t="s">
        <v>18766</v>
      </c>
      <c r="Q6384" s="15" t="s">
        <v>19</v>
      </c>
      <c r="R6384" s="205"/>
      <c r="S6384" s="189"/>
      <c r="T6384" s="114"/>
      <c r="U6384" s="21" t="s">
        <v>18977</v>
      </c>
      <c r="V6384" s="115">
        <v>46085</v>
      </c>
      <c r="W6384" s="116">
        <v>1007</v>
      </c>
      <c r="X6384" s="220">
        <v>195000</v>
      </c>
      <c r="Y6384" s="220">
        <f>X6384*0.1</f>
        <v>19500</v>
      </c>
      <c r="Z6384" s="220">
        <v>9790</v>
      </c>
      <c r="AA6384" s="220">
        <f>SUM(X6384:Z6384)</f>
        <v>224290</v>
      </c>
      <c r="AB6384" s="222">
        <v>46090</v>
      </c>
    </row>
    <row r="6385" spans="1:28" ht="17.100000000000001" customHeight="1" thickBot="1">
      <c r="A6385" s="227"/>
      <c r="B6385" s="27" t="s">
        <v>2597</v>
      </c>
      <c r="C6385" s="27">
        <v>9054</v>
      </c>
      <c r="D6385" s="14" t="s">
        <v>2014</v>
      </c>
      <c r="E6385" s="229"/>
      <c r="F6385" s="117" t="s">
        <v>18014</v>
      </c>
      <c r="G6385" s="26">
        <v>137980</v>
      </c>
      <c r="H6385" s="231"/>
      <c r="I6385" s="221"/>
      <c r="J6385" s="221"/>
      <c r="K6385" s="221"/>
      <c r="L6385" s="221"/>
      <c r="M6385" s="221"/>
      <c r="N6385" s="221"/>
      <c r="O6385" s="225"/>
      <c r="P6385" s="118" t="s">
        <v>18767</v>
      </c>
      <c r="Q6385" s="16" t="s">
        <v>20</v>
      </c>
      <c r="R6385" s="17" t="s">
        <v>1704</v>
      </c>
      <c r="S6385" s="121" t="s">
        <v>18768</v>
      </c>
      <c r="T6385" s="122"/>
      <c r="U6385" s="22"/>
      <c r="V6385" s="123" t="s">
        <v>2747</v>
      </c>
      <c r="W6385" s="122">
        <v>2087</v>
      </c>
      <c r="X6385" s="221"/>
      <c r="Y6385" s="221"/>
      <c r="Z6385" s="221"/>
      <c r="AA6385" s="221"/>
      <c r="AB6385" s="223"/>
    </row>
    <row r="6386" spans="1:28" ht="17.100000000000001" customHeight="1" thickTop="1">
      <c r="A6386" s="226" t="s">
        <v>18035</v>
      </c>
      <c r="B6386" s="28">
        <v>46073</v>
      </c>
      <c r="C6386" s="25">
        <v>1407</v>
      </c>
      <c r="D6386" s="13" t="s">
        <v>4151</v>
      </c>
      <c r="E6386" s="228"/>
      <c r="F6386" s="109" t="s">
        <v>18015</v>
      </c>
      <c r="G6386" s="24" t="s">
        <v>5546</v>
      </c>
      <c r="H6386" s="230">
        <v>3.5</v>
      </c>
      <c r="I6386" s="220">
        <v>176000</v>
      </c>
      <c r="J6386" s="220">
        <f>I6386*0.1</f>
        <v>17600</v>
      </c>
      <c r="K6386" s="220">
        <v>0</v>
      </c>
      <c r="L6386" s="220">
        <v>9570</v>
      </c>
      <c r="M6386" s="220">
        <v>15400</v>
      </c>
      <c r="N6386" s="220">
        <f>SUM(I6386:M6387)</f>
        <v>218570</v>
      </c>
      <c r="O6386" s="224"/>
      <c r="P6386" s="110" t="s">
        <v>18513</v>
      </c>
      <c r="Q6386" s="15" t="s">
        <v>19</v>
      </c>
      <c r="R6386" s="205"/>
      <c r="S6386" s="189" t="s">
        <v>1361</v>
      </c>
      <c r="T6386" s="114"/>
      <c r="U6386" s="21"/>
      <c r="V6386" s="115">
        <v>46081</v>
      </c>
      <c r="W6386" s="116">
        <v>1290</v>
      </c>
      <c r="X6386" s="220">
        <v>250000</v>
      </c>
      <c r="Y6386" s="220">
        <f>X6386*0.1</f>
        <v>25000</v>
      </c>
      <c r="Z6386" s="220">
        <v>9570</v>
      </c>
      <c r="AA6386" s="220">
        <f>SUM(X6386:Z6386)</f>
        <v>284570</v>
      </c>
      <c r="AB6386" s="222">
        <v>46084</v>
      </c>
    </row>
    <row r="6387" spans="1:28" ht="17.100000000000001" customHeight="1" thickBot="1">
      <c r="A6387" s="227"/>
      <c r="B6387" s="27" t="s">
        <v>2597</v>
      </c>
      <c r="C6387" s="27">
        <v>9215</v>
      </c>
      <c r="D6387" s="14" t="s">
        <v>131</v>
      </c>
      <c r="E6387" s="229"/>
      <c r="F6387" s="117" t="s">
        <v>18016</v>
      </c>
      <c r="G6387" s="26">
        <v>39650</v>
      </c>
      <c r="H6387" s="231"/>
      <c r="I6387" s="221"/>
      <c r="J6387" s="221"/>
      <c r="K6387" s="221"/>
      <c r="L6387" s="221"/>
      <c r="M6387" s="221"/>
      <c r="N6387" s="221"/>
      <c r="O6387" s="225"/>
      <c r="P6387" s="118" t="s">
        <v>18514</v>
      </c>
      <c r="Q6387" s="16" t="s">
        <v>20</v>
      </c>
      <c r="R6387" s="17" t="s">
        <v>18270</v>
      </c>
      <c r="S6387" s="121" t="s">
        <v>9675</v>
      </c>
      <c r="T6387" s="122"/>
      <c r="U6387" s="22"/>
      <c r="V6387" s="123" t="s">
        <v>2472</v>
      </c>
      <c r="W6387" s="122">
        <v>60218</v>
      </c>
      <c r="X6387" s="221"/>
      <c r="Y6387" s="221"/>
      <c r="Z6387" s="221"/>
      <c r="AA6387" s="221"/>
      <c r="AB6387" s="223"/>
    </row>
    <row r="6388" spans="1:28" ht="17.100000000000001" customHeight="1" thickTop="1">
      <c r="A6388" s="226" t="s">
        <v>18036</v>
      </c>
      <c r="B6388" s="28">
        <v>46070</v>
      </c>
      <c r="C6388" s="25"/>
      <c r="D6388" s="13" t="s">
        <v>1666</v>
      </c>
      <c r="E6388" s="228"/>
      <c r="F6388" s="109" t="s">
        <v>18038</v>
      </c>
      <c r="G6388" s="24" t="s">
        <v>18040</v>
      </c>
      <c r="H6388" s="230"/>
      <c r="I6388" s="220">
        <v>1000000</v>
      </c>
      <c r="J6388" s="220">
        <v>0</v>
      </c>
      <c r="K6388" s="220">
        <v>0</v>
      </c>
      <c r="L6388" s="220">
        <v>0</v>
      </c>
      <c r="M6388" s="220">
        <v>0</v>
      </c>
      <c r="N6388" s="220">
        <f>SUM(I6388:M6389)</f>
        <v>1000000</v>
      </c>
      <c r="O6388" s="224"/>
      <c r="P6388" s="110" t="s">
        <v>18041</v>
      </c>
      <c r="Q6388" s="15" t="s">
        <v>19</v>
      </c>
      <c r="R6388" s="205"/>
      <c r="S6388" s="189"/>
      <c r="T6388" s="114"/>
      <c r="U6388" s="21"/>
      <c r="V6388" s="115">
        <v>46081</v>
      </c>
      <c r="W6388" s="116">
        <v>1290</v>
      </c>
      <c r="X6388" s="220">
        <v>1485000</v>
      </c>
      <c r="Y6388" s="220">
        <f>X6388*0.1</f>
        <v>148500</v>
      </c>
      <c r="Z6388" s="220">
        <v>19100</v>
      </c>
      <c r="AA6388" s="220">
        <f>SUM(X6388:Z6388)</f>
        <v>1652600</v>
      </c>
      <c r="AB6388" s="222">
        <v>46084</v>
      </c>
    </row>
    <row r="6389" spans="1:28" ht="17.100000000000001" customHeight="1" thickBot="1">
      <c r="A6389" s="227"/>
      <c r="B6389" s="27" t="s">
        <v>18037</v>
      </c>
      <c r="C6389" s="27"/>
      <c r="D6389" s="14"/>
      <c r="E6389" s="229"/>
      <c r="F6389" s="117" t="s">
        <v>18039</v>
      </c>
      <c r="G6389" s="26">
        <v>89904</v>
      </c>
      <c r="H6389" s="231"/>
      <c r="I6389" s="221"/>
      <c r="J6389" s="221"/>
      <c r="K6389" s="221"/>
      <c r="L6389" s="221"/>
      <c r="M6389" s="221"/>
      <c r="N6389" s="221"/>
      <c r="O6389" s="225"/>
      <c r="P6389" s="118" t="s">
        <v>18042</v>
      </c>
      <c r="Q6389" s="16" t="s">
        <v>20</v>
      </c>
      <c r="R6389" s="17" t="s">
        <v>17949</v>
      </c>
      <c r="S6389" s="121" t="s">
        <v>169</v>
      </c>
      <c r="T6389" s="122"/>
      <c r="U6389" s="22"/>
      <c r="V6389" s="123" t="s">
        <v>2472</v>
      </c>
      <c r="W6389" s="122">
        <v>82243</v>
      </c>
      <c r="X6389" s="221"/>
      <c r="Y6389" s="221"/>
      <c r="Z6389" s="221"/>
      <c r="AA6389" s="221"/>
      <c r="AB6389" s="223"/>
    </row>
    <row r="6390" spans="1:28" ht="17.100000000000001" customHeight="1" thickTop="1">
      <c r="A6390" s="226" t="s">
        <v>18058</v>
      </c>
      <c r="B6390" s="28">
        <v>46074</v>
      </c>
      <c r="C6390" s="25">
        <v>300</v>
      </c>
      <c r="D6390" s="13" t="s">
        <v>2264</v>
      </c>
      <c r="E6390" s="228"/>
      <c r="F6390" s="109" t="s">
        <v>18062</v>
      </c>
      <c r="G6390" s="24"/>
      <c r="H6390" s="230">
        <v>4.5</v>
      </c>
      <c r="I6390" s="220">
        <v>2823000</v>
      </c>
      <c r="J6390" s="220">
        <f>I6390*0.1</f>
        <v>282300</v>
      </c>
      <c r="K6390" s="220">
        <v>0</v>
      </c>
      <c r="L6390" s="220">
        <v>22060</v>
      </c>
      <c r="M6390" s="220">
        <v>15950</v>
      </c>
      <c r="N6390" s="220">
        <f>SUM(I6390:M6391)</f>
        <v>3143310</v>
      </c>
      <c r="O6390" s="224"/>
      <c r="P6390" s="110" t="s">
        <v>18365</v>
      </c>
      <c r="Q6390" s="15" t="s">
        <v>19</v>
      </c>
      <c r="R6390" s="205"/>
      <c r="S6390" s="189"/>
      <c r="T6390" s="114"/>
      <c r="U6390" s="21"/>
      <c r="V6390" s="115">
        <v>46081</v>
      </c>
      <c r="W6390" s="116">
        <v>1290</v>
      </c>
      <c r="X6390" s="220">
        <v>2985000</v>
      </c>
      <c r="Y6390" s="220">
        <f>X6390*0.1</f>
        <v>298500</v>
      </c>
      <c r="Z6390" s="220">
        <v>22060</v>
      </c>
      <c r="AA6390" s="220">
        <f>SUM(X6390:Z6390)</f>
        <v>3305560</v>
      </c>
      <c r="AB6390" s="222">
        <v>46084</v>
      </c>
    </row>
    <row r="6391" spans="1:28" ht="17.100000000000001" customHeight="1" thickBot="1">
      <c r="A6391" s="227"/>
      <c r="B6391" s="27" t="s">
        <v>3518</v>
      </c>
      <c r="C6391" s="27">
        <v>5010</v>
      </c>
      <c r="D6391" s="14" t="s">
        <v>273</v>
      </c>
      <c r="E6391" s="229"/>
      <c r="F6391" s="117" t="s">
        <v>18063</v>
      </c>
      <c r="G6391" s="26">
        <v>46366</v>
      </c>
      <c r="H6391" s="231"/>
      <c r="I6391" s="221"/>
      <c r="J6391" s="221"/>
      <c r="K6391" s="221"/>
      <c r="L6391" s="221"/>
      <c r="M6391" s="221"/>
      <c r="N6391" s="221"/>
      <c r="O6391" s="225"/>
      <c r="P6391" s="118" t="s">
        <v>18366</v>
      </c>
      <c r="Q6391" s="16" t="s">
        <v>20</v>
      </c>
      <c r="R6391" s="17" t="s">
        <v>18270</v>
      </c>
      <c r="S6391" s="121" t="s">
        <v>18371</v>
      </c>
      <c r="T6391" s="122"/>
      <c r="U6391" s="22"/>
      <c r="V6391" s="123" t="s">
        <v>2472</v>
      </c>
      <c r="W6391" s="122">
        <v>80034</v>
      </c>
      <c r="X6391" s="221"/>
      <c r="Y6391" s="221"/>
      <c r="Z6391" s="221"/>
      <c r="AA6391" s="221"/>
      <c r="AB6391" s="223"/>
    </row>
    <row r="6392" spans="1:28" ht="17.100000000000001" customHeight="1" thickTop="1">
      <c r="A6392" s="226" t="s">
        <v>18059</v>
      </c>
      <c r="B6392" s="28">
        <v>46074</v>
      </c>
      <c r="C6392" s="25">
        <v>1707</v>
      </c>
      <c r="D6392" s="13" t="s">
        <v>4050</v>
      </c>
      <c r="E6392" s="228"/>
      <c r="F6392" s="109" t="s">
        <v>18064</v>
      </c>
      <c r="G6392" s="24" t="s">
        <v>4120</v>
      </c>
      <c r="H6392" s="230">
        <v>4.5</v>
      </c>
      <c r="I6392" s="220">
        <v>2130000</v>
      </c>
      <c r="J6392" s="220">
        <f>I6392*0.1</f>
        <v>213000</v>
      </c>
      <c r="K6392" s="220">
        <v>3520</v>
      </c>
      <c r="L6392" s="220">
        <v>19090</v>
      </c>
      <c r="M6392" s="220">
        <v>16500</v>
      </c>
      <c r="N6392" s="220">
        <f>SUM(I6392:M6393)</f>
        <v>2382110</v>
      </c>
      <c r="O6392" s="224"/>
      <c r="P6392" s="110" t="s">
        <v>18082</v>
      </c>
      <c r="Q6392" s="15" t="s">
        <v>19</v>
      </c>
      <c r="R6392" s="205"/>
      <c r="S6392" s="189" t="s">
        <v>283</v>
      </c>
      <c r="T6392" s="114"/>
      <c r="U6392" s="21"/>
      <c r="V6392" s="115">
        <v>46102</v>
      </c>
      <c r="W6392" s="116">
        <v>1293</v>
      </c>
      <c r="X6392" s="220">
        <v>2390000</v>
      </c>
      <c r="Y6392" s="220">
        <f>X6392*0.1</f>
        <v>239000</v>
      </c>
      <c r="Z6392" s="220">
        <v>19090</v>
      </c>
      <c r="AA6392" s="220">
        <f>SUM(X6392:Z6392)</f>
        <v>2648090</v>
      </c>
      <c r="AB6392" s="222">
        <v>46105</v>
      </c>
    </row>
    <row r="6393" spans="1:28" ht="17.100000000000001" customHeight="1" thickBot="1">
      <c r="A6393" s="227"/>
      <c r="B6393" s="27" t="s">
        <v>1842</v>
      </c>
      <c r="C6393" s="27">
        <v>315</v>
      </c>
      <c r="D6393" s="14" t="s">
        <v>1584</v>
      </c>
      <c r="E6393" s="229"/>
      <c r="F6393" s="117" t="s">
        <v>18065</v>
      </c>
      <c r="G6393" s="26">
        <v>51859</v>
      </c>
      <c r="H6393" s="231"/>
      <c r="I6393" s="221"/>
      <c r="J6393" s="221"/>
      <c r="K6393" s="221"/>
      <c r="L6393" s="221"/>
      <c r="M6393" s="221"/>
      <c r="N6393" s="221"/>
      <c r="O6393" s="225"/>
      <c r="P6393" s="118" t="s">
        <v>18368</v>
      </c>
      <c r="Q6393" s="16" t="s">
        <v>20</v>
      </c>
      <c r="R6393" s="17" t="s">
        <v>18270</v>
      </c>
      <c r="S6393" s="121" t="s">
        <v>1731</v>
      </c>
      <c r="T6393" s="122"/>
      <c r="U6393" s="22"/>
      <c r="V6393" s="123" t="s">
        <v>2472</v>
      </c>
      <c r="W6393" s="122">
        <v>80010</v>
      </c>
      <c r="X6393" s="221"/>
      <c r="Y6393" s="221"/>
      <c r="Z6393" s="221"/>
      <c r="AA6393" s="221"/>
      <c r="AB6393" s="223"/>
    </row>
    <row r="6394" spans="1:28" ht="17.100000000000001" customHeight="1" thickTop="1">
      <c r="A6394" s="226" t="s">
        <v>18060</v>
      </c>
      <c r="B6394" s="28">
        <v>46074</v>
      </c>
      <c r="C6394" s="25">
        <v>1454</v>
      </c>
      <c r="D6394" s="13" t="s">
        <v>2429</v>
      </c>
      <c r="E6394" s="228"/>
      <c r="F6394" s="109" t="s">
        <v>18085</v>
      </c>
      <c r="G6394" s="24" t="s">
        <v>1551</v>
      </c>
      <c r="H6394" s="230">
        <v>4</v>
      </c>
      <c r="I6394" s="220">
        <v>880000</v>
      </c>
      <c r="J6394" s="220">
        <f>I6394*0.1</f>
        <v>88000</v>
      </c>
      <c r="K6394" s="220">
        <v>3520</v>
      </c>
      <c r="L6394" s="220">
        <v>19440</v>
      </c>
      <c r="M6394" s="220">
        <v>16500</v>
      </c>
      <c r="N6394" s="220">
        <f>SUM(I6394:M6395)</f>
        <v>1007460</v>
      </c>
      <c r="O6394" s="224"/>
      <c r="P6394" s="110" t="s">
        <v>18084</v>
      </c>
      <c r="Q6394" s="15" t="s">
        <v>19</v>
      </c>
      <c r="R6394" s="205"/>
      <c r="S6394" s="189" t="s">
        <v>758</v>
      </c>
      <c r="T6394" s="114"/>
      <c r="U6394" s="21"/>
      <c r="V6394" s="115">
        <v>46086</v>
      </c>
      <c r="W6394" s="116">
        <v>1321</v>
      </c>
      <c r="X6394" s="220">
        <v>1110000</v>
      </c>
      <c r="Y6394" s="220">
        <f>X6394*0.1</f>
        <v>111000</v>
      </c>
      <c r="Z6394" s="220">
        <v>19440</v>
      </c>
      <c r="AA6394" s="220">
        <f>SUM(X6394:Z6394)</f>
        <v>1240440</v>
      </c>
      <c r="AB6394" s="222">
        <v>46087</v>
      </c>
    </row>
    <row r="6395" spans="1:28" ht="17.100000000000001" customHeight="1" thickBot="1">
      <c r="A6395" s="227"/>
      <c r="B6395" s="27" t="s">
        <v>1765</v>
      </c>
      <c r="C6395" s="27">
        <v>7322</v>
      </c>
      <c r="D6395" s="14" t="s">
        <v>898</v>
      </c>
      <c r="E6395" s="229"/>
      <c r="F6395" s="117" t="s">
        <v>18083</v>
      </c>
      <c r="G6395" s="26">
        <v>43000</v>
      </c>
      <c r="H6395" s="231"/>
      <c r="I6395" s="221"/>
      <c r="J6395" s="221"/>
      <c r="K6395" s="221"/>
      <c r="L6395" s="221"/>
      <c r="M6395" s="221"/>
      <c r="N6395" s="221"/>
      <c r="O6395" s="225"/>
      <c r="P6395" s="118" t="s">
        <v>18370</v>
      </c>
      <c r="Q6395" s="16" t="s">
        <v>20</v>
      </c>
      <c r="R6395" s="17" t="s">
        <v>18270</v>
      </c>
      <c r="S6395" s="121" t="s">
        <v>1731</v>
      </c>
      <c r="T6395" s="122"/>
      <c r="U6395" s="22"/>
      <c r="V6395" s="123" t="s">
        <v>18928</v>
      </c>
      <c r="W6395" s="122">
        <v>94</v>
      </c>
      <c r="X6395" s="221"/>
      <c r="Y6395" s="221"/>
      <c r="Z6395" s="221"/>
      <c r="AA6395" s="221"/>
      <c r="AB6395" s="223"/>
    </row>
    <row r="6396" spans="1:28" ht="17.100000000000001" customHeight="1" thickTop="1">
      <c r="A6396" s="226" t="s">
        <v>18061</v>
      </c>
      <c r="B6396" s="28">
        <v>46074</v>
      </c>
      <c r="C6396" s="25">
        <v>1532</v>
      </c>
      <c r="D6396" s="13" t="s">
        <v>1564</v>
      </c>
      <c r="E6396" s="228"/>
      <c r="F6396" s="109" t="s">
        <v>18066</v>
      </c>
      <c r="G6396" s="24"/>
      <c r="H6396" s="230">
        <v>4.5</v>
      </c>
      <c r="I6396" s="220">
        <v>1400000</v>
      </c>
      <c r="J6396" s="220">
        <f>I6396*0.1</f>
        <v>140000</v>
      </c>
      <c r="K6396" s="220">
        <v>0</v>
      </c>
      <c r="L6396" s="220">
        <v>12680</v>
      </c>
      <c r="M6396" s="220">
        <v>16500</v>
      </c>
      <c r="N6396" s="220">
        <f>SUM(I6396:M6397)</f>
        <v>1569180</v>
      </c>
      <c r="O6396" s="224"/>
      <c r="P6396" s="110" t="s">
        <v>18600</v>
      </c>
      <c r="Q6396" s="15" t="s">
        <v>19</v>
      </c>
      <c r="R6396" s="205"/>
      <c r="S6396" s="189" t="s">
        <v>25810</v>
      </c>
      <c r="T6396" s="114"/>
      <c r="U6396" s="21"/>
      <c r="V6396" s="115">
        <v>46086</v>
      </c>
      <c r="W6396" s="116">
        <v>1321</v>
      </c>
      <c r="X6396" s="220">
        <v>1590000</v>
      </c>
      <c r="Y6396" s="220">
        <f>X6396*0.1</f>
        <v>159000</v>
      </c>
      <c r="Z6396" s="220">
        <v>12680</v>
      </c>
      <c r="AA6396" s="220">
        <f>SUM(X6396:Z6396)</f>
        <v>1761680</v>
      </c>
      <c r="AB6396" s="222">
        <v>46087</v>
      </c>
    </row>
    <row r="6397" spans="1:28" ht="17.100000000000001" customHeight="1" thickBot="1">
      <c r="A6397" s="227"/>
      <c r="B6397" s="27" t="s">
        <v>1547</v>
      </c>
      <c r="C6397" s="27">
        <v>83282</v>
      </c>
      <c r="D6397" s="14" t="s">
        <v>2059</v>
      </c>
      <c r="E6397" s="229"/>
      <c r="F6397" s="117" t="s">
        <v>18086</v>
      </c>
      <c r="G6397" s="26">
        <v>42653</v>
      </c>
      <c r="H6397" s="231"/>
      <c r="I6397" s="221"/>
      <c r="J6397" s="221"/>
      <c r="K6397" s="221"/>
      <c r="L6397" s="221"/>
      <c r="M6397" s="221"/>
      <c r="N6397" s="221"/>
      <c r="O6397" s="225"/>
      <c r="P6397" s="118" t="s">
        <v>18601</v>
      </c>
      <c r="Q6397" s="16" t="s">
        <v>20</v>
      </c>
      <c r="R6397" s="17" t="s">
        <v>2318</v>
      </c>
      <c r="S6397" s="121" t="s">
        <v>8262</v>
      </c>
      <c r="T6397" s="122"/>
      <c r="U6397" s="22"/>
      <c r="V6397" s="123" t="s">
        <v>18928</v>
      </c>
      <c r="W6397" s="122">
        <v>57</v>
      </c>
      <c r="X6397" s="221"/>
      <c r="Y6397" s="221"/>
      <c r="Z6397" s="221"/>
      <c r="AA6397" s="221"/>
      <c r="AB6397" s="223"/>
    </row>
    <row r="6398" spans="1:28" ht="17.100000000000001" customHeight="1" thickTop="1">
      <c r="A6398" s="226" t="s">
        <v>18067</v>
      </c>
      <c r="B6398" s="28">
        <v>46074</v>
      </c>
      <c r="C6398" s="25">
        <v>1289</v>
      </c>
      <c r="D6398" s="13" t="s">
        <v>1702</v>
      </c>
      <c r="E6398" s="228"/>
      <c r="F6398" s="109" t="s">
        <v>18087</v>
      </c>
      <c r="G6398" s="24"/>
      <c r="H6398" s="230">
        <v>4</v>
      </c>
      <c r="I6398" s="220">
        <v>1005000</v>
      </c>
      <c r="J6398" s="220">
        <f>I6398*0.1</f>
        <v>100500</v>
      </c>
      <c r="K6398" s="220">
        <v>0</v>
      </c>
      <c r="L6398" s="220">
        <v>10360</v>
      </c>
      <c r="M6398" s="220">
        <v>11000</v>
      </c>
      <c r="N6398" s="220">
        <f>SUM(I6398:M6399)</f>
        <v>1126860</v>
      </c>
      <c r="O6398" s="224"/>
      <c r="P6398" s="110" t="s">
        <v>18596</v>
      </c>
      <c r="Q6398" s="15" t="s">
        <v>19</v>
      </c>
      <c r="R6398" s="205"/>
      <c r="S6398" s="189" t="s">
        <v>455</v>
      </c>
      <c r="T6398" s="114"/>
      <c r="U6398" s="21"/>
      <c r="V6398" s="115">
        <v>46078</v>
      </c>
      <c r="W6398" s="116">
        <v>1006</v>
      </c>
      <c r="X6398" s="220">
        <v>1115000</v>
      </c>
      <c r="Y6398" s="220">
        <f>X6398*0.1</f>
        <v>111500</v>
      </c>
      <c r="Z6398" s="220">
        <v>10360</v>
      </c>
      <c r="AA6398" s="220">
        <f>SUM(X6398:Z6398)</f>
        <v>1236860</v>
      </c>
      <c r="AB6398" s="222">
        <v>46084</v>
      </c>
    </row>
    <row r="6399" spans="1:28" ht="17.100000000000001" customHeight="1" thickBot="1">
      <c r="A6399" s="227"/>
      <c r="B6399" s="27" t="s">
        <v>2472</v>
      </c>
      <c r="C6399" s="27">
        <v>2</v>
      </c>
      <c r="D6399" s="14" t="s">
        <v>2559</v>
      </c>
      <c r="E6399" s="229"/>
      <c r="F6399" s="117" t="s">
        <v>18088</v>
      </c>
      <c r="G6399" s="26">
        <v>50418</v>
      </c>
      <c r="H6399" s="231"/>
      <c r="I6399" s="221"/>
      <c r="J6399" s="221"/>
      <c r="K6399" s="221"/>
      <c r="L6399" s="221"/>
      <c r="M6399" s="221"/>
      <c r="N6399" s="221"/>
      <c r="O6399" s="225"/>
      <c r="P6399" s="118" t="s">
        <v>18597</v>
      </c>
      <c r="Q6399" s="16" t="s">
        <v>20</v>
      </c>
      <c r="R6399" s="17" t="s">
        <v>2318</v>
      </c>
      <c r="S6399" s="121" t="s">
        <v>9320</v>
      </c>
      <c r="T6399" s="122"/>
      <c r="U6399" s="22"/>
      <c r="V6399" s="123" t="s">
        <v>2747</v>
      </c>
      <c r="W6399" s="122">
        <v>5115</v>
      </c>
      <c r="X6399" s="221"/>
      <c r="Y6399" s="221"/>
      <c r="Z6399" s="221"/>
      <c r="AA6399" s="221"/>
      <c r="AB6399" s="223"/>
    </row>
    <row r="6400" spans="1:28" ht="17.100000000000001" customHeight="1" thickTop="1">
      <c r="A6400" s="226" t="s">
        <v>18068</v>
      </c>
      <c r="B6400" s="28">
        <v>46074</v>
      </c>
      <c r="C6400" s="25">
        <v>1289</v>
      </c>
      <c r="D6400" s="13" t="s">
        <v>1883</v>
      </c>
      <c r="E6400" s="228"/>
      <c r="F6400" s="109" t="s">
        <v>18089</v>
      </c>
      <c r="G6400" s="24" t="s">
        <v>2124</v>
      </c>
      <c r="H6400" s="230">
        <v>4</v>
      </c>
      <c r="I6400" s="220">
        <v>2195000</v>
      </c>
      <c r="J6400" s="220">
        <f>I6400*0.1</f>
        <v>219500</v>
      </c>
      <c r="K6400" s="220">
        <v>3960</v>
      </c>
      <c r="L6400" s="220">
        <v>15740</v>
      </c>
      <c r="M6400" s="220">
        <v>12100</v>
      </c>
      <c r="N6400" s="220">
        <f>SUM(I6400:M6401)</f>
        <v>2446300</v>
      </c>
      <c r="O6400" s="224"/>
      <c r="P6400" s="110" t="s">
        <v>18091</v>
      </c>
      <c r="Q6400" s="15" t="s">
        <v>19</v>
      </c>
      <c r="R6400" s="205"/>
      <c r="S6400" s="189" t="s">
        <v>25792</v>
      </c>
      <c r="T6400" s="114"/>
      <c r="U6400" s="21"/>
      <c r="V6400" s="115">
        <v>46078</v>
      </c>
      <c r="W6400" s="116">
        <v>1006</v>
      </c>
      <c r="X6400" s="220">
        <v>2650000</v>
      </c>
      <c r="Y6400" s="220">
        <f>X6400*0.1</f>
        <v>265000</v>
      </c>
      <c r="Z6400" s="220">
        <v>15740</v>
      </c>
      <c r="AA6400" s="220">
        <f>SUM(X6400:Z6400)</f>
        <v>2930740</v>
      </c>
      <c r="AB6400" s="222">
        <v>46084</v>
      </c>
    </row>
    <row r="6401" spans="1:28" ht="17.100000000000001" customHeight="1" thickBot="1">
      <c r="A6401" s="227"/>
      <c r="B6401" s="27" t="s">
        <v>2472</v>
      </c>
      <c r="C6401" s="27">
        <v>31012</v>
      </c>
      <c r="D6401" s="14" t="s">
        <v>273</v>
      </c>
      <c r="E6401" s="229"/>
      <c r="F6401" s="117" t="s">
        <v>18090</v>
      </c>
      <c r="G6401" s="26">
        <v>46129</v>
      </c>
      <c r="H6401" s="231"/>
      <c r="I6401" s="221"/>
      <c r="J6401" s="221"/>
      <c r="K6401" s="221"/>
      <c r="L6401" s="221"/>
      <c r="M6401" s="221"/>
      <c r="N6401" s="221"/>
      <c r="O6401" s="225"/>
      <c r="P6401" s="118" t="s">
        <v>18612</v>
      </c>
      <c r="Q6401" s="16" t="s">
        <v>20</v>
      </c>
      <c r="R6401" s="17" t="s">
        <v>2318</v>
      </c>
      <c r="S6401" s="121" t="s">
        <v>17726</v>
      </c>
      <c r="T6401" s="122"/>
      <c r="U6401" s="22"/>
      <c r="V6401" s="123" t="s">
        <v>7161</v>
      </c>
      <c r="W6401" s="122">
        <v>5132</v>
      </c>
      <c r="X6401" s="221"/>
      <c r="Y6401" s="221"/>
      <c r="Z6401" s="221"/>
      <c r="AA6401" s="221"/>
      <c r="AB6401" s="223"/>
    </row>
    <row r="6402" spans="1:28" ht="17.100000000000001" customHeight="1" thickTop="1">
      <c r="A6402" s="226" t="s">
        <v>18069</v>
      </c>
      <c r="B6402" s="28">
        <v>46074</v>
      </c>
      <c r="C6402" s="25">
        <v>1289</v>
      </c>
      <c r="D6402" s="13" t="s">
        <v>1837</v>
      </c>
      <c r="E6402" s="228"/>
      <c r="F6402" s="109" t="s">
        <v>18092</v>
      </c>
      <c r="G6402" s="24" t="s">
        <v>10655</v>
      </c>
      <c r="H6402" s="230">
        <v>4</v>
      </c>
      <c r="I6402" s="220">
        <v>2880000</v>
      </c>
      <c r="J6402" s="220">
        <f>I6402*0.1</f>
        <v>288000</v>
      </c>
      <c r="K6402" s="220">
        <v>3960</v>
      </c>
      <c r="L6402" s="220">
        <v>14900</v>
      </c>
      <c r="M6402" s="220">
        <v>23100</v>
      </c>
      <c r="N6402" s="220">
        <f>SUM(I6402:M6403)</f>
        <v>3209960</v>
      </c>
      <c r="O6402" s="224"/>
      <c r="P6402" s="110" t="s">
        <v>18094</v>
      </c>
      <c r="Q6402" s="15" t="s">
        <v>19</v>
      </c>
      <c r="R6402" s="205"/>
      <c r="S6402" s="189" t="s">
        <v>25811</v>
      </c>
      <c r="T6402" s="114"/>
      <c r="U6402" s="21" t="s">
        <v>19500</v>
      </c>
      <c r="V6402" s="115">
        <v>46113</v>
      </c>
      <c r="W6402" s="116">
        <v>1011</v>
      </c>
      <c r="X6402" s="220">
        <v>3050000</v>
      </c>
      <c r="Y6402" s="220">
        <f>X6402*0.1</f>
        <v>305000</v>
      </c>
      <c r="Z6402" s="220">
        <v>14900</v>
      </c>
      <c r="AA6402" s="220">
        <f>SUM(X6402:Z6402)</f>
        <v>3369900</v>
      </c>
      <c r="AB6402" s="222">
        <v>46119</v>
      </c>
    </row>
    <row r="6403" spans="1:28" ht="17.100000000000001" customHeight="1" thickBot="1">
      <c r="A6403" s="227"/>
      <c r="B6403" s="27" t="s">
        <v>2472</v>
      </c>
      <c r="C6403" s="27">
        <v>31051</v>
      </c>
      <c r="D6403" s="14" t="s">
        <v>2559</v>
      </c>
      <c r="E6403" s="229"/>
      <c r="F6403" s="117" t="s">
        <v>18093</v>
      </c>
      <c r="G6403" s="26">
        <v>44990</v>
      </c>
      <c r="H6403" s="231"/>
      <c r="I6403" s="221"/>
      <c r="J6403" s="221"/>
      <c r="K6403" s="221"/>
      <c r="L6403" s="221"/>
      <c r="M6403" s="221"/>
      <c r="N6403" s="221"/>
      <c r="O6403" s="225"/>
      <c r="P6403" s="118" t="s">
        <v>2870</v>
      </c>
      <c r="Q6403" s="16" t="s">
        <v>20</v>
      </c>
      <c r="R6403" s="17" t="s">
        <v>2318</v>
      </c>
      <c r="S6403" s="121" t="s">
        <v>18613</v>
      </c>
      <c r="T6403" s="122"/>
      <c r="U6403" s="22"/>
      <c r="V6403" s="123" t="s">
        <v>21385</v>
      </c>
      <c r="W6403" s="122">
        <v>6033</v>
      </c>
      <c r="X6403" s="221"/>
      <c r="Y6403" s="221"/>
      <c r="Z6403" s="221"/>
      <c r="AA6403" s="221"/>
      <c r="AB6403" s="223"/>
    </row>
    <row r="6404" spans="1:28" ht="17.100000000000001" customHeight="1" thickTop="1">
      <c r="A6404" s="226" t="s">
        <v>18070</v>
      </c>
      <c r="B6404" s="28">
        <v>46074</v>
      </c>
      <c r="C6404" s="25">
        <v>1289</v>
      </c>
      <c r="D6404" s="13" t="s">
        <v>1829</v>
      </c>
      <c r="E6404" s="228"/>
      <c r="F6404" s="109" t="s">
        <v>18095</v>
      </c>
      <c r="G6404" s="24" t="s">
        <v>4315</v>
      </c>
      <c r="H6404" s="230">
        <v>4.5</v>
      </c>
      <c r="I6404" s="220">
        <v>935000</v>
      </c>
      <c r="J6404" s="220">
        <f>I6404*0.1</f>
        <v>93500</v>
      </c>
      <c r="K6404" s="220">
        <v>0</v>
      </c>
      <c r="L6404" s="220">
        <v>8110</v>
      </c>
      <c r="M6404" s="220">
        <v>13200</v>
      </c>
      <c r="N6404" s="220">
        <f>SUM(I6404:M6405)</f>
        <v>1049810</v>
      </c>
      <c r="O6404" s="224"/>
      <c r="P6404" s="110" t="s">
        <v>18097</v>
      </c>
      <c r="Q6404" s="15" t="s">
        <v>19</v>
      </c>
      <c r="R6404" s="205"/>
      <c r="S6404" s="189" t="s">
        <v>25685</v>
      </c>
      <c r="T6404" s="114"/>
      <c r="U6404" s="21" t="s">
        <v>19377</v>
      </c>
      <c r="V6404" s="115">
        <v>46088</v>
      </c>
      <c r="W6404" s="116">
        <v>1291</v>
      </c>
      <c r="X6404" s="220">
        <v>1000000</v>
      </c>
      <c r="Y6404" s="220">
        <f>X6404*0.1</f>
        <v>100000</v>
      </c>
      <c r="Z6404" s="220">
        <v>8110</v>
      </c>
      <c r="AA6404" s="220">
        <f>SUM(X6404:Z6404)</f>
        <v>1108110</v>
      </c>
      <c r="AB6404" s="222">
        <v>46093</v>
      </c>
    </row>
    <row r="6405" spans="1:28" ht="17.100000000000001" customHeight="1" thickBot="1">
      <c r="A6405" s="227"/>
      <c r="B6405" s="27" t="s">
        <v>2472</v>
      </c>
      <c r="C6405" s="27">
        <v>31420</v>
      </c>
      <c r="D6405" s="14" t="s">
        <v>273</v>
      </c>
      <c r="E6405" s="229"/>
      <c r="F6405" s="117" t="s">
        <v>18096</v>
      </c>
      <c r="G6405" s="26">
        <v>57459</v>
      </c>
      <c r="H6405" s="231"/>
      <c r="I6405" s="221"/>
      <c r="J6405" s="221"/>
      <c r="K6405" s="221"/>
      <c r="L6405" s="221"/>
      <c r="M6405" s="221"/>
      <c r="N6405" s="221"/>
      <c r="O6405" s="225"/>
      <c r="P6405" s="118" t="s">
        <v>2287</v>
      </c>
      <c r="Q6405" s="16" t="s">
        <v>20</v>
      </c>
      <c r="R6405" s="17" t="s">
        <v>2318</v>
      </c>
      <c r="S6405" s="121" t="s">
        <v>1606</v>
      </c>
      <c r="T6405" s="122"/>
      <c r="U6405" s="22"/>
      <c r="V6405" s="123" t="s">
        <v>6641</v>
      </c>
      <c r="W6405" s="122">
        <v>60234</v>
      </c>
      <c r="X6405" s="221"/>
      <c r="Y6405" s="221"/>
      <c r="Z6405" s="221"/>
      <c r="AA6405" s="221"/>
      <c r="AB6405" s="223"/>
    </row>
    <row r="6406" spans="1:28" ht="17.100000000000001" customHeight="1" thickTop="1">
      <c r="A6406" s="226" t="s">
        <v>18071</v>
      </c>
      <c r="B6406" s="28">
        <v>46074</v>
      </c>
      <c r="C6406" s="25">
        <v>1289</v>
      </c>
      <c r="D6406" s="13" t="s">
        <v>4368</v>
      </c>
      <c r="E6406" s="228"/>
      <c r="F6406" s="109" t="s">
        <v>18098</v>
      </c>
      <c r="G6406" s="24" t="s">
        <v>5119</v>
      </c>
      <c r="H6406" s="230">
        <v>4</v>
      </c>
      <c r="I6406" s="220">
        <v>830000</v>
      </c>
      <c r="J6406" s="220">
        <f>I6406*0.1</f>
        <v>83000</v>
      </c>
      <c r="K6406" s="220">
        <v>4070</v>
      </c>
      <c r="L6406" s="220">
        <v>9670</v>
      </c>
      <c r="M6406" s="220">
        <v>12100</v>
      </c>
      <c r="N6406" s="220">
        <f>SUM(I6406:M6407)</f>
        <v>938840</v>
      </c>
      <c r="O6406" s="224"/>
      <c r="P6406" s="110" t="s">
        <v>18100</v>
      </c>
      <c r="Q6406" s="15" t="s">
        <v>19</v>
      </c>
      <c r="R6406" s="205"/>
      <c r="S6406" s="189"/>
      <c r="T6406" s="114"/>
      <c r="U6406" s="21"/>
      <c r="V6406" s="115">
        <v>46081</v>
      </c>
      <c r="W6406" s="116">
        <v>1290</v>
      </c>
      <c r="X6406" s="220">
        <v>875000</v>
      </c>
      <c r="Y6406" s="220">
        <f>X6406*0.1</f>
        <v>87500</v>
      </c>
      <c r="Z6406" s="220">
        <v>9670</v>
      </c>
      <c r="AA6406" s="220">
        <f>SUM(X6406:Z6406)</f>
        <v>972170</v>
      </c>
      <c r="AB6406" s="222">
        <v>46084</v>
      </c>
    </row>
    <row r="6407" spans="1:28" ht="17.100000000000001" customHeight="1" thickBot="1">
      <c r="A6407" s="227"/>
      <c r="B6407" s="27" t="s">
        <v>2472</v>
      </c>
      <c r="C6407" s="27">
        <v>35219</v>
      </c>
      <c r="D6407" s="14" t="s">
        <v>2559</v>
      </c>
      <c r="E6407" s="229"/>
      <c r="F6407" s="117" t="s">
        <v>18099</v>
      </c>
      <c r="G6407" s="26">
        <v>106448</v>
      </c>
      <c r="H6407" s="231"/>
      <c r="I6407" s="221"/>
      <c r="J6407" s="221"/>
      <c r="K6407" s="221"/>
      <c r="L6407" s="221"/>
      <c r="M6407" s="221"/>
      <c r="N6407" s="221"/>
      <c r="O6407" s="225"/>
      <c r="P6407" s="118" t="s">
        <v>1972</v>
      </c>
      <c r="Q6407" s="16" t="s">
        <v>20</v>
      </c>
      <c r="R6407" s="17" t="s">
        <v>2318</v>
      </c>
      <c r="S6407" s="121" t="s">
        <v>18614</v>
      </c>
      <c r="T6407" s="122"/>
      <c r="U6407" s="22"/>
      <c r="V6407" s="123" t="s">
        <v>2472</v>
      </c>
      <c r="W6407" s="122">
        <v>50015</v>
      </c>
      <c r="X6407" s="221"/>
      <c r="Y6407" s="221"/>
      <c r="Z6407" s="221"/>
      <c r="AA6407" s="221"/>
      <c r="AB6407" s="223"/>
    </row>
    <row r="6408" spans="1:28" ht="17.100000000000001" customHeight="1" thickTop="1">
      <c r="A6408" s="226" t="s">
        <v>18072</v>
      </c>
      <c r="B6408" s="28">
        <v>46074</v>
      </c>
      <c r="C6408" s="25">
        <v>1289</v>
      </c>
      <c r="D6408" s="13" t="s">
        <v>1846</v>
      </c>
      <c r="E6408" s="228"/>
      <c r="F6408" s="109" t="s">
        <v>18101</v>
      </c>
      <c r="G6408" s="24" t="s">
        <v>8088</v>
      </c>
      <c r="H6408" s="230">
        <v>4.5</v>
      </c>
      <c r="I6408" s="220">
        <v>995000</v>
      </c>
      <c r="J6408" s="220">
        <f>I6408*0.1</f>
        <v>99500</v>
      </c>
      <c r="K6408" s="220">
        <v>0</v>
      </c>
      <c r="L6408" s="220">
        <v>9810</v>
      </c>
      <c r="M6408" s="220">
        <v>12100</v>
      </c>
      <c r="N6408" s="220">
        <f>SUM(I6408:M6409)</f>
        <v>1116410</v>
      </c>
      <c r="O6408" s="224"/>
      <c r="P6408" s="110" t="s">
        <v>18103</v>
      </c>
      <c r="Q6408" s="15" t="s">
        <v>19</v>
      </c>
      <c r="R6408" s="205"/>
      <c r="S6408" s="189" t="s">
        <v>455</v>
      </c>
      <c r="T6408" s="114"/>
      <c r="U6408" s="21"/>
      <c r="V6408" s="115">
        <v>46092</v>
      </c>
      <c r="W6408" s="116">
        <v>1008</v>
      </c>
      <c r="X6408" s="220">
        <v>1100000</v>
      </c>
      <c r="Y6408" s="220">
        <f>X6408*0.1</f>
        <v>110000</v>
      </c>
      <c r="Z6408" s="220">
        <v>9810</v>
      </c>
      <c r="AA6408" s="220">
        <f>SUM(X6408:Z6408)</f>
        <v>1219810</v>
      </c>
      <c r="AB6408" s="222">
        <v>46098</v>
      </c>
    </row>
    <row r="6409" spans="1:28" ht="17.100000000000001" customHeight="1" thickBot="1">
      <c r="A6409" s="227"/>
      <c r="B6409" s="27" t="s">
        <v>2472</v>
      </c>
      <c r="C6409" s="27">
        <v>35877</v>
      </c>
      <c r="D6409" s="14" t="s">
        <v>54</v>
      </c>
      <c r="E6409" s="229"/>
      <c r="F6409" s="117" t="s">
        <v>18102</v>
      </c>
      <c r="G6409" s="26">
        <v>63210</v>
      </c>
      <c r="H6409" s="231"/>
      <c r="I6409" s="221"/>
      <c r="J6409" s="221"/>
      <c r="K6409" s="221"/>
      <c r="L6409" s="221"/>
      <c r="M6409" s="221"/>
      <c r="N6409" s="221"/>
      <c r="O6409" s="225"/>
      <c r="P6409" s="118" t="s">
        <v>18615</v>
      </c>
      <c r="Q6409" s="16" t="s">
        <v>20</v>
      </c>
      <c r="R6409" s="17" t="s">
        <v>2318</v>
      </c>
      <c r="S6409" s="121" t="s">
        <v>18616</v>
      </c>
      <c r="T6409" s="122"/>
      <c r="U6409" s="22"/>
      <c r="V6409" s="123" t="s">
        <v>19459</v>
      </c>
      <c r="W6409" s="122">
        <v>6035</v>
      </c>
      <c r="X6409" s="221"/>
      <c r="Y6409" s="221"/>
      <c r="Z6409" s="221"/>
      <c r="AA6409" s="221"/>
      <c r="AB6409" s="223"/>
    </row>
    <row r="6410" spans="1:28" ht="17.100000000000001" customHeight="1" thickTop="1">
      <c r="A6410" s="226" t="s">
        <v>18073</v>
      </c>
      <c r="B6410" s="28">
        <v>46074</v>
      </c>
      <c r="C6410" s="25">
        <v>1289</v>
      </c>
      <c r="D6410" s="13" t="s">
        <v>2150</v>
      </c>
      <c r="E6410" s="228"/>
      <c r="F6410" s="109" t="s">
        <v>15614</v>
      </c>
      <c r="G6410" s="24" t="s">
        <v>1540</v>
      </c>
      <c r="H6410" s="230">
        <v>4.5</v>
      </c>
      <c r="I6410" s="220">
        <v>755000</v>
      </c>
      <c r="J6410" s="220">
        <f>I6410*0.1</f>
        <v>75500</v>
      </c>
      <c r="K6410" s="220">
        <v>3080</v>
      </c>
      <c r="L6410" s="220">
        <v>9130</v>
      </c>
      <c r="M6410" s="220">
        <v>12100</v>
      </c>
      <c r="N6410" s="220">
        <f>SUM(I6410:M6411)</f>
        <v>854810</v>
      </c>
      <c r="O6410" s="224"/>
      <c r="P6410" s="110" t="s">
        <v>18602</v>
      </c>
      <c r="Q6410" s="15" t="s">
        <v>19</v>
      </c>
      <c r="R6410" s="205"/>
      <c r="S6410" s="189" t="s">
        <v>25507</v>
      </c>
      <c r="T6410" s="114"/>
      <c r="U6410" s="21" t="s">
        <v>19503</v>
      </c>
      <c r="V6410" s="115">
        <v>46120</v>
      </c>
      <c r="W6410" s="116">
        <v>1012</v>
      </c>
      <c r="X6410" s="220">
        <v>825000</v>
      </c>
      <c r="Y6410" s="220">
        <f>X6410*0.1</f>
        <v>82500</v>
      </c>
      <c r="Z6410" s="220">
        <v>9130</v>
      </c>
      <c r="AA6410" s="220">
        <f>SUM(X6410:Z6410)</f>
        <v>916630</v>
      </c>
      <c r="AB6410" s="222">
        <v>46125</v>
      </c>
    </row>
    <row r="6411" spans="1:28" ht="17.100000000000001" customHeight="1" thickBot="1">
      <c r="A6411" s="227"/>
      <c r="B6411" s="27" t="s">
        <v>2472</v>
      </c>
      <c r="C6411" s="27">
        <v>37811</v>
      </c>
      <c r="D6411" s="14" t="s">
        <v>2559</v>
      </c>
      <c r="E6411" s="229"/>
      <c r="F6411" s="117" t="s">
        <v>18104</v>
      </c>
      <c r="G6411" s="26">
        <v>96658</v>
      </c>
      <c r="H6411" s="231"/>
      <c r="I6411" s="221"/>
      <c r="J6411" s="221"/>
      <c r="K6411" s="221"/>
      <c r="L6411" s="221"/>
      <c r="M6411" s="221"/>
      <c r="N6411" s="221"/>
      <c r="O6411" s="225"/>
      <c r="P6411" s="118" t="s">
        <v>18617</v>
      </c>
      <c r="Q6411" s="16" t="s">
        <v>20</v>
      </c>
      <c r="R6411" s="17" t="s">
        <v>2318</v>
      </c>
      <c r="S6411" s="121" t="s">
        <v>18737</v>
      </c>
      <c r="T6411" s="122"/>
      <c r="U6411" s="22"/>
      <c r="V6411" s="123" t="s">
        <v>2747</v>
      </c>
      <c r="W6411" s="122">
        <v>6097</v>
      </c>
      <c r="X6411" s="221"/>
      <c r="Y6411" s="221"/>
      <c r="Z6411" s="221"/>
      <c r="AA6411" s="221"/>
      <c r="AB6411" s="223"/>
    </row>
    <row r="6412" spans="1:28" ht="17.100000000000001" customHeight="1" thickTop="1">
      <c r="A6412" s="226" t="s">
        <v>18074</v>
      </c>
      <c r="B6412" s="28">
        <v>46074</v>
      </c>
      <c r="C6412" s="25">
        <v>1289</v>
      </c>
      <c r="D6412" s="13" t="s">
        <v>2324</v>
      </c>
      <c r="E6412" s="228"/>
      <c r="F6412" s="109" t="s">
        <v>17162</v>
      </c>
      <c r="G6412" s="24"/>
      <c r="H6412" s="230">
        <v>4.5</v>
      </c>
      <c r="I6412" s="220">
        <v>885000</v>
      </c>
      <c r="J6412" s="220">
        <f>I6412*0.1</f>
        <v>88500</v>
      </c>
      <c r="K6412" s="220">
        <v>0</v>
      </c>
      <c r="L6412" s="220">
        <v>7440</v>
      </c>
      <c r="M6412" s="220">
        <v>13200</v>
      </c>
      <c r="N6412" s="220">
        <f>SUM(I6412:M6413)</f>
        <v>994140</v>
      </c>
      <c r="O6412" s="224"/>
      <c r="P6412" s="110" t="s">
        <v>18618</v>
      </c>
      <c r="Q6412" s="15" t="s">
        <v>19</v>
      </c>
      <c r="R6412" s="205"/>
      <c r="S6412" s="189"/>
      <c r="T6412" s="114"/>
      <c r="U6412" s="21"/>
      <c r="V6412" s="115">
        <v>46088</v>
      </c>
      <c r="W6412" s="116">
        <v>1291</v>
      </c>
      <c r="X6412" s="220">
        <v>1000000</v>
      </c>
      <c r="Y6412" s="220">
        <f>X6412*0.1</f>
        <v>100000</v>
      </c>
      <c r="Z6412" s="220">
        <v>7440</v>
      </c>
      <c r="AA6412" s="220">
        <f>SUM(X6412:Z6412)</f>
        <v>1107440</v>
      </c>
      <c r="AB6412" s="222">
        <v>46098</v>
      </c>
    </row>
    <row r="6413" spans="1:28" ht="17.100000000000001" customHeight="1" thickBot="1">
      <c r="A6413" s="227"/>
      <c r="B6413" s="27" t="s">
        <v>2472</v>
      </c>
      <c r="C6413" s="27">
        <v>40093</v>
      </c>
      <c r="D6413" s="14" t="s">
        <v>1710</v>
      </c>
      <c r="E6413" s="229"/>
      <c r="F6413" s="117" t="s">
        <v>18105</v>
      </c>
      <c r="G6413" s="26">
        <v>47521</v>
      </c>
      <c r="H6413" s="231"/>
      <c r="I6413" s="221"/>
      <c r="J6413" s="221"/>
      <c r="K6413" s="221"/>
      <c r="L6413" s="221"/>
      <c r="M6413" s="221"/>
      <c r="N6413" s="221"/>
      <c r="O6413" s="225"/>
      <c r="P6413" s="118" t="s">
        <v>2870</v>
      </c>
      <c r="Q6413" s="16" t="s">
        <v>20</v>
      </c>
      <c r="R6413" s="17" t="s">
        <v>2318</v>
      </c>
      <c r="S6413" s="121"/>
      <c r="T6413" s="122"/>
      <c r="U6413" s="22"/>
      <c r="V6413" s="123" t="s">
        <v>6641</v>
      </c>
      <c r="W6413" s="122">
        <v>41009</v>
      </c>
      <c r="X6413" s="221"/>
      <c r="Y6413" s="221"/>
      <c r="Z6413" s="221"/>
      <c r="AA6413" s="221"/>
      <c r="AB6413" s="223"/>
    </row>
    <row r="6414" spans="1:28" ht="17.100000000000001" customHeight="1" thickTop="1">
      <c r="A6414" s="226" t="s">
        <v>18075</v>
      </c>
      <c r="B6414" s="28">
        <v>46074</v>
      </c>
      <c r="C6414" s="25">
        <v>1289</v>
      </c>
      <c r="D6414" s="13" t="s">
        <v>1831</v>
      </c>
      <c r="E6414" s="228"/>
      <c r="F6414" s="109" t="s">
        <v>15665</v>
      </c>
      <c r="G6414" s="24" t="s">
        <v>4025</v>
      </c>
      <c r="H6414" s="230">
        <v>4.5</v>
      </c>
      <c r="I6414" s="220">
        <v>1475000</v>
      </c>
      <c r="J6414" s="220">
        <f>I6414*0.1</f>
        <v>147500</v>
      </c>
      <c r="K6414" s="220">
        <v>0</v>
      </c>
      <c r="L6414" s="220">
        <v>7230</v>
      </c>
      <c r="M6414" s="220">
        <v>12100</v>
      </c>
      <c r="N6414" s="220">
        <f>SUM(I6414:M6415)</f>
        <v>1641830</v>
      </c>
      <c r="O6414" s="224"/>
      <c r="P6414" s="110" t="s">
        <v>18107</v>
      </c>
      <c r="Q6414" s="15" t="s">
        <v>19</v>
      </c>
      <c r="R6414" s="205"/>
      <c r="S6414" s="189" t="s">
        <v>25812</v>
      </c>
      <c r="T6414" s="114"/>
      <c r="U6414" s="21" t="s">
        <v>20463</v>
      </c>
      <c r="V6414" s="115">
        <v>46123</v>
      </c>
      <c r="W6414" s="116">
        <v>1296</v>
      </c>
      <c r="X6414" s="220">
        <v>1495000</v>
      </c>
      <c r="Y6414" s="220">
        <f>X6414*0.1</f>
        <v>149500</v>
      </c>
      <c r="Z6414" s="220">
        <v>7230</v>
      </c>
      <c r="AA6414" s="220">
        <f>SUM(X6414:Z6414)</f>
        <v>1651730</v>
      </c>
      <c r="AB6414" s="222">
        <v>46126</v>
      </c>
    </row>
    <row r="6415" spans="1:28" ht="17.100000000000001" customHeight="1" thickBot="1">
      <c r="A6415" s="227"/>
      <c r="B6415" s="27" t="s">
        <v>2472</v>
      </c>
      <c r="C6415" s="27">
        <v>65213</v>
      </c>
      <c r="D6415" s="14" t="s">
        <v>1690</v>
      </c>
      <c r="E6415" s="229"/>
      <c r="F6415" s="117" t="s">
        <v>18106</v>
      </c>
      <c r="G6415" s="26">
        <v>12347</v>
      </c>
      <c r="H6415" s="231"/>
      <c r="I6415" s="221"/>
      <c r="J6415" s="221"/>
      <c r="K6415" s="221"/>
      <c r="L6415" s="221"/>
      <c r="M6415" s="221"/>
      <c r="N6415" s="221"/>
      <c r="O6415" s="225"/>
      <c r="P6415" s="118" t="s">
        <v>18638</v>
      </c>
      <c r="Q6415" s="16" t="s">
        <v>20</v>
      </c>
      <c r="R6415" s="17" t="s">
        <v>2318</v>
      </c>
      <c r="S6415" s="121" t="s">
        <v>2312</v>
      </c>
      <c r="T6415" s="122"/>
      <c r="U6415" s="22"/>
      <c r="V6415" s="123" t="s">
        <v>2472</v>
      </c>
      <c r="W6415" s="122">
        <v>60434</v>
      </c>
      <c r="X6415" s="221"/>
      <c r="Y6415" s="221"/>
      <c r="Z6415" s="221"/>
      <c r="AA6415" s="221"/>
      <c r="AB6415" s="223"/>
    </row>
    <row r="6416" spans="1:28" ht="17.100000000000001" customHeight="1" thickTop="1">
      <c r="A6416" s="226" t="s">
        <v>18076</v>
      </c>
      <c r="B6416" s="28">
        <v>46074</v>
      </c>
      <c r="C6416" s="25">
        <v>1289</v>
      </c>
      <c r="D6416" s="13" t="s">
        <v>1772</v>
      </c>
      <c r="E6416" s="228"/>
      <c r="F6416" s="109" t="s">
        <v>15619</v>
      </c>
      <c r="G6416" s="24"/>
      <c r="H6416" s="230">
        <v>4.5</v>
      </c>
      <c r="I6416" s="220">
        <v>1240000</v>
      </c>
      <c r="J6416" s="220">
        <f>I6416*0.1</f>
        <v>124000</v>
      </c>
      <c r="K6416" s="220">
        <v>0</v>
      </c>
      <c r="L6416" s="220">
        <v>6850</v>
      </c>
      <c r="M6416" s="220">
        <v>12100</v>
      </c>
      <c r="N6416" s="220">
        <f>SUM(I6416:M6417)</f>
        <v>1382950</v>
      </c>
      <c r="O6416" s="224"/>
      <c r="P6416" s="110" t="s">
        <v>18639</v>
      </c>
      <c r="Q6416" s="15" t="s">
        <v>19</v>
      </c>
      <c r="R6416" s="205"/>
      <c r="S6416" s="189" t="s">
        <v>455</v>
      </c>
      <c r="T6416" s="114"/>
      <c r="U6416" s="21"/>
      <c r="V6416" s="115">
        <v>46085</v>
      </c>
      <c r="W6416" s="116">
        <v>1007</v>
      </c>
      <c r="X6416" s="220">
        <v>1320000</v>
      </c>
      <c r="Y6416" s="220">
        <f>X6416*0.1</f>
        <v>132000</v>
      </c>
      <c r="Z6416" s="220">
        <v>6850</v>
      </c>
      <c r="AA6416" s="220">
        <f>SUM(X6416:Z6416)</f>
        <v>1458850</v>
      </c>
      <c r="AB6416" s="222">
        <v>46090</v>
      </c>
    </row>
    <row r="6417" spans="1:28" ht="17.100000000000001" customHeight="1" thickBot="1">
      <c r="A6417" s="227"/>
      <c r="B6417" s="27" t="s">
        <v>2472</v>
      </c>
      <c r="C6417" s="27">
        <v>65531</v>
      </c>
      <c r="D6417" s="14" t="s">
        <v>2559</v>
      </c>
      <c r="E6417" s="229"/>
      <c r="F6417" s="117" t="s">
        <v>18108</v>
      </c>
      <c r="G6417" s="26">
        <v>45485</v>
      </c>
      <c r="H6417" s="231"/>
      <c r="I6417" s="221"/>
      <c r="J6417" s="221"/>
      <c r="K6417" s="221"/>
      <c r="L6417" s="221"/>
      <c r="M6417" s="221"/>
      <c r="N6417" s="221"/>
      <c r="O6417" s="225"/>
      <c r="P6417" s="118" t="s">
        <v>2870</v>
      </c>
      <c r="Q6417" s="16" t="s">
        <v>20</v>
      </c>
      <c r="R6417" s="17" t="s">
        <v>2318</v>
      </c>
      <c r="S6417" s="121" t="s">
        <v>2025</v>
      </c>
      <c r="T6417" s="122"/>
      <c r="U6417" s="22"/>
      <c r="V6417" s="123" t="s">
        <v>2747</v>
      </c>
      <c r="W6417" s="122">
        <v>2024</v>
      </c>
      <c r="X6417" s="221"/>
      <c r="Y6417" s="221"/>
      <c r="Z6417" s="221"/>
      <c r="AA6417" s="221"/>
      <c r="AB6417" s="223"/>
    </row>
    <row r="6418" spans="1:28" ht="17.100000000000001" customHeight="1" thickTop="1">
      <c r="A6418" s="226" t="s">
        <v>18077</v>
      </c>
      <c r="B6418" s="28">
        <v>46074</v>
      </c>
      <c r="C6418" s="25">
        <v>1289</v>
      </c>
      <c r="D6418" s="13" t="s">
        <v>2920</v>
      </c>
      <c r="E6418" s="228"/>
      <c r="F6418" s="109" t="s">
        <v>15673</v>
      </c>
      <c r="G6418" s="24" t="s">
        <v>10433</v>
      </c>
      <c r="H6418" s="230">
        <v>4.5</v>
      </c>
      <c r="I6418" s="220">
        <v>905000</v>
      </c>
      <c r="J6418" s="220">
        <f>I6418*0.1</f>
        <v>90500</v>
      </c>
      <c r="K6418" s="220">
        <v>0</v>
      </c>
      <c r="L6418" s="220">
        <v>8640</v>
      </c>
      <c r="M6418" s="220">
        <v>12100</v>
      </c>
      <c r="N6418" s="220">
        <f>SUM(I6418:M6419)</f>
        <v>1016240</v>
      </c>
      <c r="O6418" s="224"/>
      <c r="P6418" s="110" t="s">
        <v>18110</v>
      </c>
      <c r="Q6418" s="15" t="s">
        <v>19</v>
      </c>
      <c r="R6418" s="205"/>
      <c r="S6418" s="189" t="s">
        <v>25710</v>
      </c>
      <c r="T6418" s="114"/>
      <c r="U6418" s="21"/>
      <c r="V6418" s="115">
        <v>46078</v>
      </c>
      <c r="W6418" s="116">
        <v>1006</v>
      </c>
      <c r="X6418" s="220">
        <v>935000</v>
      </c>
      <c r="Y6418" s="220">
        <f>X6418*0.1</f>
        <v>93500</v>
      </c>
      <c r="Z6418" s="220">
        <v>8640</v>
      </c>
      <c r="AA6418" s="220">
        <f>SUM(X6418:Z6418)</f>
        <v>1037140</v>
      </c>
      <c r="AB6418" s="222">
        <v>46084</v>
      </c>
    </row>
    <row r="6419" spans="1:28" ht="17.100000000000001" customHeight="1" thickBot="1">
      <c r="A6419" s="227"/>
      <c r="B6419" s="27" t="s">
        <v>2472</v>
      </c>
      <c r="C6419" s="27">
        <v>65543</v>
      </c>
      <c r="D6419" s="14" t="s">
        <v>2753</v>
      </c>
      <c r="E6419" s="229"/>
      <c r="F6419" s="117" t="s">
        <v>18109</v>
      </c>
      <c r="G6419" s="26">
        <v>60286</v>
      </c>
      <c r="H6419" s="231"/>
      <c r="I6419" s="221"/>
      <c r="J6419" s="221"/>
      <c r="K6419" s="221"/>
      <c r="L6419" s="221"/>
      <c r="M6419" s="221"/>
      <c r="N6419" s="221"/>
      <c r="O6419" s="225"/>
      <c r="P6419" s="118" t="s">
        <v>18598</v>
      </c>
      <c r="Q6419" s="16" t="s">
        <v>20</v>
      </c>
      <c r="R6419" s="17" t="s">
        <v>2318</v>
      </c>
      <c r="S6419" s="121" t="s">
        <v>18599</v>
      </c>
      <c r="T6419" s="122"/>
      <c r="U6419" s="22"/>
      <c r="V6419" s="123" t="s">
        <v>2747</v>
      </c>
      <c r="W6419" s="122">
        <v>2080</v>
      </c>
      <c r="X6419" s="221"/>
      <c r="Y6419" s="221"/>
      <c r="Z6419" s="221"/>
      <c r="AA6419" s="221"/>
      <c r="AB6419" s="223"/>
    </row>
    <row r="6420" spans="1:28" ht="17.100000000000001" customHeight="1" thickTop="1">
      <c r="A6420" s="226" t="s">
        <v>18078</v>
      </c>
      <c r="B6420" s="28">
        <v>46074</v>
      </c>
      <c r="C6420" s="25">
        <v>1289</v>
      </c>
      <c r="D6420" s="13" t="s">
        <v>812</v>
      </c>
      <c r="E6420" s="228"/>
      <c r="F6420" s="109" t="s">
        <v>15199</v>
      </c>
      <c r="G6420" s="24"/>
      <c r="H6420" s="230">
        <v>4.5</v>
      </c>
      <c r="I6420" s="220">
        <v>915000</v>
      </c>
      <c r="J6420" s="220">
        <f>I6420*0.1</f>
        <v>91500</v>
      </c>
      <c r="K6420" s="220">
        <v>0</v>
      </c>
      <c r="L6420" s="220">
        <v>7150</v>
      </c>
      <c r="M6420" s="220">
        <v>12100</v>
      </c>
      <c r="N6420" s="220">
        <f>SUM(I6420:M6421)</f>
        <v>1025750</v>
      </c>
      <c r="O6420" s="224"/>
      <c r="P6420" s="110" t="s">
        <v>18676</v>
      </c>
      <c r="Q6420" s="15" t="s">
        <v>19</v>
      </c>
      <c r="R6420" s="205"/>
      <c r="S6420" s="189" t="s">
        <v>25636</v>
      </c>
      <c r="T6420" s="114"/>
      <c r="U6420" s="21"/>
      <c r="V6420" s="115">
        <v>46155</v>
      </c>
      <c r="W6420" s="116">
        <v>1016</v>
      </c>
      <c r="X6420" s="220">
        <v>985000</v>
      </c>
      <c r="Y6420" s="220">
        <f>X6420*0.1</f>
        <v>98500</v>
      </c>
      <c r="Z6420" s="220">
        <v>7150</v>
      </c>
      <c r="AA6420" s="220">
        <f>SUM(X6420:Z6420)</f>
        <v>1090650</v>
      </c>
      <c r="AB6420" s="222">
        <v>46160</v>
      </c>
    </row>
    <row r="6421" spans="1:28" ht="17.100000000000001" customHeight="1" thickBot="1">
      <c r="A6421" s="227"/>
      <c r="B6421" s="27" t="s">
        <v>2472</v>
      </c>
      <c r="C6421" s="27">
        <v>65592</v>
      </c>
      <c r="D6421" s="14" t="s">
        <v>273</v>
      </c>
      <c r="E6421" s="229"/>
      <c r="F6421" s="117" t="s">
        <v>18111</v>
      </c>
      <c r="G6421" s="26">
        <v>67940</v>
      </c>
      <c r="H6421" s="231"/>
      <c r="I6421" s="221"/>
      <c r="J6421" s="221"/>
      <c r="K6421" s="221"/>
      <c r="L6421" s="221"/>
      <c r="M6421" s="221"/>
      <c r="N6421" s="221"/>
      <c r="O6421" s="225"/>
      <c r="P6421" s="118" t="s">
        <v>3820</v>
      </c>
      <c r="Q6421" s="16" t="s">
        <v>20</v>
      </c>
      <c r="R6421" s="17" t="s">
        <v>1883</v>
      </c>
      <c r="S6421" s="121" t="s">
        <v>18677</v>
      </c>
      <c r="T6421" s="122"/>
      <c r="U6421" s="22"/>
      <c r="V6421" s="123" t="s">
        <v>2747</v>
      </c>
      <c r="W6421" s="122">
        <v>2011</v>
      </c>
      <c r="X6421" s="221"/>
      <c r="Y6421" s="221"/>
      <c r="Z6421" s="221"/>
      <c r="AA6421" s="221"/>
      <c r="AB6421" s="223"/>
    </row>
    <row r="6422" spans="1:28" ht="17.100000000000001" customHeight="1" thickTop="1">
      <c r="A6422" s="226" t="s">
        <v>18079</v>
      </c>
      <c r="B6422" s="28">
        <v>46074</v>
      </c>
      <c r="C6422" s="25">
        <v>1289</v>
      </c>
      <c r="D6422" s="13" t="s">
        <v>1702</v>
      </c>
      <c r="E6422" s="228"/>
      <c r="F6422" s="109" t="s">
        <v>16312</v>
      </c>
      <c r="G6422" s="24" t="s">
        <v>13224</v>
      </c>
      <c r="H6422" s="230">
        <v>4.5</v>
      </c>
      <c r="I6422" s="220">
        <v>800000</v>
      </c>
      <c r="J6422" s="220">
        <f>I6422*0.1</f>
        <v>80000</v>
      </c>
      <c r="K6422" s="220">
        <v>0</v>
      </c>
      <c r="L6422" s="220">
        <v>9790</v>
      </c>
      <c r="M6422" s="220">
        <v>13200</v>
      </c>
      <c r="N6422" s="220">
        <f>SUM(I6422:M6423)</f>
        <v>902990</v>
      </c>
      <c r="O6422" s="224"/>
      <c r="P6422" s="110" t="s">
        <v>18113</v>
      </c>
      <c r="Q6422" s="15" t="s">
        <v>19</v>
      </c>
      <c r="R6422" s="205"/>
      <c r="S6422" s="189"/>
      <c r="T6422" s="114"/>
      <c r="U6422" s="21"/>
      <c r="V6422" s="115">
        <v>46120</v>
      </c>
      <c r="W6422" s="116">
        <v>1012</v>
      </c>
      <c r="X6422" s="220">
        <v>910000</v>
      </c>
      <c r="Y6422" s="220">
        <f>X6422*0.1</f>
        <v>91000</v>
      </c>
      <c r="Z6422" s="220">
        <v>9790</v>
      </c>
      <c r="AA6422" s="220">
        <f>SUM(X6422:Z6422)</f>
        <v>1010790</v>
      </c>
      <c r="AB6422" s="222">
        <v>46125</v>
      </c>
    </row>
    <row r="6423" spans="1:28" ht="17.100000000000001" customHeight="1" thickBot="1">
      <c r="A6423" s="227"/>
      <c r="B6423" s="27" t="s">
        <v>2472</v>
      </c>
      <c r="C6423" s="27">
        <v>65671</v>
      </c>
      <c r="D6423" s="14" t="s">
        <v>2559</v>
      </c>
      <c r="E6423" s="229"/>
      <c r="F6423" s="117" t="s">
        <v>18112</v>
      </c>
      <c r="G6423" s="26">
        <v>54840</v>
      </c>
      <c r="H6423" s="231"/>
      <c r="I6423" s="221"/>
      <c r="J6423" s="221"/>
      <c r="K6423" s="221"/>
      <c r="L6423" s="221"/>
      <c r="M6423" s="221"/>
      <c r="N6423" s="221"/>
      <c r="O6423" s="225"/>
      <c r="P6423" s="118" t="s">
        <v>18640</v>
      </c>
      <c r="Q6423" s="16" t="s">
        <v>20</v>
      </c>
      <c r="R6423" s="17" t="s">
        <v>2318</v>
      </c>
      <c r="S6423" s="121"/>
      <c r="T6423" s="122"/>
      <c r="U6423" s="22"/>
      <c r="V6423" s="123" t="s">
        <v>2747</v>
      </c>
      <c r="W6423" s="122">
        <v>2031</v>
      </c>
      <c r="X6423" s="221"/>
      <c r="Y6423" s="221"/>
      <c r="Z6423" s="221"/>
      <c r="AA6423" s="221"/>
      <c r="AB6423" s="223"/>
    </row>
    <row r="6424" spans="1:28" ht="17.100000000000001" customHeight="1" thickTop="1">
      <c r="A6424" s="226" t="s">
        <v>18080</v>
      </c>
      <c r="B6424" s="28">
        <v>46074</v>
      </c>
      <c r="C6424" s="25">
        <v>1289</v>
      </c>
      <c r="D6424" s="13" t="s">
        <v>2010</v>
      </c>
      <c r="E6424" s="228"/>
      <c r="F6424" s="109" t="s">
        <v>18114</v>
      </c>
      <c r="G6424" s="24"/>
      <c r="H6424" s="230">
        <v>4</v>
      </c>
      <c r="I6424" s="220">
        <v>1700000</v>
      </c>
      <c r="J6424" s="220">
        <f>I6424*0.1</f>
        <v>170000</v>
      </c>
      <c r="K6424" s="220">
        <v>0</v>
      </c>
      <c r="L6424" s="220">
        <v>11810</v>
      </c>
      <c r="M6424" s="220">
        <v>23100</v>
      </c>
      <c r="N6424" s="220">
        <f>SUM(I6424:M6425)</f>
        <v>1904910</v>
      </c>
      <c r="O6424" s="224"/>
      <c r="P6424" s="110" t="s">
        <v>18603</v>
      </c>
      <c r="Q6424" s="15" t="s">
        <v>19</v>
      </c>
      <c r="R6424" s="205"/>
      <c r="S6424" s="189" t="s">
        <v>25813</v>
      </c>
      <c r="T6424" s="114"/>
      <c r="U6424" s="21"/>
      <c r="V6424" s="115">
        <v>46109</v>
      </c>
      <c r="W6424" s="116">
        <v>1294</v>
      </c>
      <c r="X6424" s="220">
        <v>1950000</v>
      </c>
      <c r="Y6424" s="220">
        <f>X6424*0.1</f>
        <v>195000</v>
      </c>
      <c r="Z6424" s="220">
        <v>11810</v>
      </c>
      <c r="AA6424" s="220">
        <f>SUM(X6424:Z6424)</f>
        <v>2156810</v>
      </c>
      <c r="AB6424" s="222">
        <v>46112</v>
      </c>
    </row>
    <row r="6425" spans="1:28" ht="17.100000000000001" customHeight="1" thickBot="1">
      <c r="A6425" s="227"/>
      <c r="B6425" s="27" t="s">
        <v>2472</v>
      </c>
      <c r="C6425" s="27">
        <v>82038</v>
      </c>
      <c r="D6425" s="14" t="s">
        <v>131</v>
      </c>
      <c r="E6425" s="229"/>
      <c r="F6425" s="117" t="s">
        <v>18115</v>
      </c>
      <c r="G6425" s="26">
        <v>24230</v>
      </c>
      <c r="H6425" s="231"/>
      <c r="I6425" s="221"/>
      <c r="J6425" s="221"/>
      <c r="K6425" s="221"/>
      <c r="L6425" s="221"/>
      <c r="M6425" s="221"/>
      <c r="N6425" s="221"/>
      <c r="O6425" s="225"/>
      <c r="P6425" s="118" t="s">
        <v>18604</v>
      </c>
      <c r="Q6425" s="16" t="s">
        <v>20</v>
      </c>
      <c r="R6425" s="17" t="s">
        <v>2318</v>
      </c>
      <c r="S6425" s="121" t="s">
        <v>18605</v>
      </c>
      <c r="T6425" s="122"/>
      <c r="U6425" s="22"/>
      <c r="V6425" s="123" t="s">
        <v>21250</v>
      </c>
      <c r="W6425" s="122">
        <v>80110</v>
      </c>
      <c r="X6425" s="221"/>
      <c r="Y6425" s="221"/>
      <c r="Z6425" s="221"/>
      <c r="AA6425" s="221"/>
      <c r="AB6425" s="223"/>
    </row>
    <row r="6426" spans="1:28" ht="17.100000000000001" customHeight="1" thickTop="1">
      <c r="A6426" s="226" t="s">
        <v>18081</v>
      </c>
      <c r="B6426" s="28">
        <v>46074</v>
      </c>
      <c r="C6426" s="25">
        <v>1289</v>
      </c>
      <c r="D6426" s="13" t="s">
        <v>18117</v>
      </c>
      <c r="E6426" s="228"/>
      <c r="F6426" s="109" t="s">
        <v>18116</v>
      </c>
      <c r="G6426" s="24"/>
      <c r="H6426" s="230">
        <v>3.5</v>
      </c>
      <c r="I6426" s="220">
        <v>541000</v>
      </c>
      <c r="J6426" s="220">
        <f>I6426*0.1</f>
        <v>54100</v>
      </c>
      <c r="K6426" s="220">
        <v>0</v>
      </c>
      <c r="L6426" s="220">
        <v>9070</v>
      </c>
      <c r="M6426" s="220">
        <v>8800</v>
      </c>
      <c r="N6426" s="220">
        <f>SUM(I6426:M6427)</f>
        <v>612970</v>
      </c>
      <c r="O6426" s="224"/>
      <c r="P6426" s="110" t="s">
        <v>18641</v>
      </c>
      <c r="Q6426" s="15" t="s">
        <v>19</v>
      </c>
      <c r="R6426" s="205"/>
      <c r="S6426" s="189"/>
      <c r="T6426" s="114"/>
      <c r="U6426" s="21"/>
      <c r="V6426" s="115">
        <v>46095</v>
      </c>
      <c r="W6426" s="116">
        <v>1292</v>
      </c>
      <c r="X6426" s="220">
        <v>550000</v>
      </c>
      <c r="Y6426" s="220">
        <f>X6426*0.1</f>
        <v>55000</v>
      </c>
      <c r="Z6426" s="220">
        <v>9070</v>
      </c>
      <c r="AA6426" s="220">
        <f>SUM(X6426:Z6426)</f>
        <v>614070</v>
      </c>
      <c r="AB6426" s="222">
        <v>46098</v>
      </c>
    </row>
    <row r="6427" spans="1:28" ht="16.5" customHeight="1" thickBot="1">
      <c r="A6427" s="227"/>
      <c r="B6427" s="27" t="s">
        <v>2472</v>
      </c>
      <c r="C6427" s="27">
        <v>90002</v>
      </c>
      <c r="D6427" s="14" t="s">
        <v>1584</v>
      </c>
      <c r="E6427" s="229"/>
      <c r="F6427" s="117" t="s">
        <v>18118</v>
      </c>
      <c r="G6427" s="26">
        <v>53965</v>
      </c>
      <c r="H6427" s="231"/>
      <c r="I6427" s="221"/>
      <c r="J6427" s="221"/>
      <c r="K6427" s="221"/>
      <c r="L6427" s="221"/>
      <c r="M6427" s="221"/>
      <c r="N6427" s="221"/>
      <c r="O6427" s="225"/>
      <c r="P6427" s="118" t="s">
        <v>18642</v>
      </c>
      <c r="Q6427" s="16" t="s">
        <v>20</v>
      </c>
      <c r="R6427" s="17" t="s">
        <v>2318</v>
      </c>
      <c r="S6427" s="121"/>
      <c r="T6427" s="122"/>
      <c r="U6427" s="22"/>
      <c r="V6427" s="123" t="s">
        <v>2472</v>
      </c>
      <c r="W6427" s="122">
        <v>60331</v>
      </c>
      <c r="X6427" s="221"/>
      <c r="Y6427" s="221"/>
      <c r="Z6427" s="221"/>
      <c r="AA6427" s="221"/>
      <c r="AB6427" s="223"/>
    </row>
    <row r="6428" spans="1:28" ht="17.100000000000001" customHeight="1" thickTop="1">
      <c r="A6428" s="226" t="s">
        <v>18125</v>
      </c>
      <c r="B6428" s="28">
        <v>46074</v>
      </c>
      <c r="C6428" s="25"/>
      <c r="D6428" s="13" t="s">
        <v>4263</v>
      </c>
      <c r="E6428" s="228"/>
      <c r="F6428" s="109" t="s">
        <v>18120</v>
      </c>
      <c r="G6428" s="24" t="s">
        <v>18122</v>
      </c>
      <c r="H6428" s="230"/>
      <c r="I6428" s="220">
        <v>30000</v>
      </c>
      <c r="J6428" s="220">
        <v>0</v>
      </c>
      <c r="K6428" s="220">
        <v>0</v>
      </c>
      <c r="L6428" s="220">
        <v>0</v>
      </c>
      <c r="M6428" s="220">
        <v>0</v>
      </c>
      <c r="N6428" s="220">
        <f>SUM(I6428:M6429)</f>
        <v>30000</v>
      </c>
      <c r="O6428" s="224"/>
      <c r="P6428" s="110" t="s">
        <v>18123</v>
      </c>
      <c r="Q6428" s="15" t="s">
        <v>19</v>
      </c>
      <c r="R6428" s="205"/>
      <c r="S6428" s="189"/>
      <c r="T6428" s="114"/>
      <c r="U6428" s="21"/>
      <c r="V6428" s="115">
        <v>46092</v>
      </c>
      <c r="W6428" s="116">
        <v>1008</v>
      </c>
      <c r="X6428" s="220">
        <v>70000</v>
      </c>
      <c r="Y6428" s="220">
        <f>X6428*0.1</f>
        <v>7000</v>
      </c>
      <c r="Z6428" s="220">
        <v>11460</v>
      </c>
      <c r="AA6428" s="220">
        <f>SUM(X6428:Z6428)</f>
        <v>88460</v>
      </c>
      <c r="AB6428" s="222">
        <v>46098</v>
      </c>
    </row>
    <row r="6429" spans="1:28" ht="17.100000000000001" customHeight="1" thickBot="1">
      <c r="A6429" s="227"/>
      <c r="B6429" s="27" t="s">
        <v>18119</v>
      </c>
      <c r="C6429" s="27"/>
      <c r="D6429" s="14" t="s">
        <v>131</v>
      </c>
      <c r="E6429" s="229"/>
      <c r="F6429" s="117" t="s">
        <v>18121</v>
      </c>
      <c r="G6429" s="26"/>
      <c r="H6429" s="231"/>
      <c r="I6429" s="221"/>
      <c r="J6429" s="221"/>
      <c r="K6429" s="221"/>
      <c r="L6429" s="221"/>
      <c r="M6429" s="221"/>
      <c r="N6429" s="221"/>
      <c r="O6429" s="225"/>
      <c r="P6429" s="118" t="s">
        <v>18124</v>
      </c>
      <c r="Q6429" s="16" t="s">
        <v>20</v>
      </c>
      <c r="R6429" s="17" t="s">
        <v>17949</v>
      </c>
      <c r="S6429" s="121" t="s">
        <v>4387</v>
      </c>
      <c r="T6429" s="122"/>
      <c r="U6429" s="22"/>
      <c r="V6429" s="123" t="s">
        <v>19459</v>
      </c>
      <c r="W6429" s="122">
        <v>9091</v>
      </c>
      <c r="X6429" s="221"/>
      <c r="Y6429" s="221"/>
      <c r="Z6429" s="221"/>
      <c r="AA6429" s="221"/>
      <c r="AB6429" s="223"/>
    </row>
    <row r="6430" spans="1:28" ht="17.100000000000001" customHeight="1" thickTop="1">
      <c r="A6430" s="226" t="s">
        <v>18126</v>
      </c>
      <c r="B6430" s="28">
        <v>46074</v>
      </c>
      <c r="C6430" s="25"/>
      <c r="D6430" s="13" t="s">
        <v>2239</v>
      </c>
      <c r="E6430" s="228"/>
      <c r="F6430" s="109" t="s">
        <v>18129</v>
      </c>
      <c r="G6430" s="24" t="s">
        <v>3784</v>
      </c>
      <c r="H6430" s="230"/>
      <c r="I6430" s="220">
        <v>7600000</v>
      </c>
      <c r="J6430" s="220">
        <v>0</v>
      </c>
      <c r="K6430" s="220">
        <v>0</v>
      </c>
      <c r="L6430" s="220">
        <v>0</v>
      </c>
      <c r="M6430" s="220">
        <v>0</v>
      </c>
      <c r="N6430" s="220">
        <f>SUM(I6430:M6431)</f>
        <v>7600000</v>
      </c>
      <c r="O6430" s="224"/>
      <c r="P6430" s="110" t="s">
        <v>18131</v>
      </c>
      <c r="Q6430" s="15" t="s">
        <v>19</v>
      </c>
      <c r="R6430" s="205"/>
      <c r="S6430" s="189"/>
      <c r="T6430" s="114"/>
      <c r="U6430" s="21" t="s">
        <v>20469</v>
      </c>
      <c r="V6430" s="115">
        <v>46130</v>
      </c>
      <c r="W6430" s="116">
        <v>1297</v>
      </c>
      <c r="X6430" s="220">
        <v>7440000</v>
      </c>
      <c r="Y6430" s="220">
        <f>X6430*0.1</f>
        <v>744000</v>
      </c>
      <c r="Z6430" s="220">
        <v>15700</v>
      </c>
      <c r="AA6430" s="220">
        <f>SUM(X6430:Z6430)</f>
        <v>8199700</v>
      </c>
      <c r="AB6430" s="222">
        <v>46133</v>
      </c>
    </row>
    <row r="6431" spans="1:28" ht="17.100000000000001" customHeight="1" thickBot="1">
      <c r="A6431" s="227"/>
      <c r="B6431" s="27" t="s">
        <v>18128</v>
      </c>
      <c r="C6431" s="27"/>
      <c r="D6431" s="14" t="s">
        <v>273</v>
      </c>
      <c r="E6431" s="229"/>
      <c r="F6431" s="117" t="s">
        <v>18130</v>
      </c>
      <c r="G6431" s="26">
        <v>7597</v>
      </c>
      <c r="H6431" s="231"/>
      <c r="I6431" s="221"/>
      <c r="J6431" s="221"/>
      <c r="K6431" s="221"/>
      <c r="L6431" s="221"/>
      <c r="M6431" s="221"/>
      <c r="N6431" s="221"/>
      <c r="O6431" s="225"/>
      <c r="P6431" s="118" t="s">
        <v>18132</v>
      </c>
      <c r="Q6431" s="16" t="s">
        <v>20</v>
      </c>
      <c r="R6431" s="17" t="s">
        <v>17949</v>
      </c>
      <c r="S6431" s="121" t="s">
        <v>7305</v>
      </c>
      <c r="T6431" s="122"/>
      <c r="U6431" s="22"/>
      <c r="V6431" s="123" t="s">
        <v>2472</v>
      </c>
      <c r="W6431" s="122">
        <v>37443</v>
      </c>
      <c r="X6431" s="221"/>
      <c r="Y6431" s="221"/>
      <c r="Z6431" s="221"/>
      <c r="AA6431" s="221"/>
      <c r="AB6431" s="223"/>
    </row>
    <row r="6432" spans="1:28" ht="17.100000000000001" customHeight="1" thickTop="1">
      <c r="A6432" s="226" t="s">
        <v>18127</v>
      </c>
      <c r="B6432" s="28">
        <v>46074</v>
      </c>
      <c r="C6432" s="25"/>
      <c r="D6432" s="13" t="s">
        <v>1702</v>
      </c>
      <c r="E6432" s="228"/>
      <c r="F6432" s="109" t="s">
        <v>16708</v>
      </c>
      <c r="G6432" s="24" t="s">
        <v>3582</v>
      </c>
      <c r="H6432" s="230"/>
      <c r="I6432" s="220">
        <v>530000</v>
      </c>
      <c r="J6432" s="220">
        <v>0</v>
      </c>
      <c r="K6432" s="220">
        <v>0</v>
      </c>
      <c r="L6432" s="220">
        <v>0</v>
      </c>
      <c r="M6432" s="220">
        <v>0</v>
      </c>
      <c r="N6432" s="220">
        <f>SUM(I6432:M6433)</f>
        <v>530000</v>
      </c>
      <c r="O6432" s="224"/>
      <c r="P6432" s="110" t="s">
        <v>18135</v>
      </c>
      <c r="Q6432" s="15" t="s">
        <v>19</v>
      </c>
      <c r="R6432" s="205"/>
      <c r="S6432" s="189"/>
      <c r="T6432" s="114"/>
      <c r="U6432" s="21"/>
      <c r="V6432" s="115">
        <v>46081</v>
      </c>
      <c r="W6432" s="116">
        <v>1290</v>
      </c>
      <c r="X6432" s="220">
        <v>730000</v>
      </c>
      <c r="Y6432" s="220">
        <f>X6432*0.1</f>
        <v>73000</v>
      </c>
      <c r="Z6432" s="220">
        <v>9200</v>
      </c>
      <c r="AA6432" s="220">
        <f>SUM(X6432:Z6432)</f>
        <v>812200</v>
      </c>
      <c r="AB6432" s="222">
        <v>46086</v>
      </c>
    </row>
    <row r="6433" spans="1:28" ht="17.100000000000001" customHeight="1" thickBot="1">
      <c r="A6433" s="227"/>
      <c r="B6433" s="27" t="s">
        <v>18133</v>
      </c>
      <c r="C6433" s="27"/>
      <c r="D6433" s="14" t="s">
        <v>1584</v>
      </c>
      <c r="E6433" s="229"/>
      <c r="F6433" s="117" t="s">
        <v>18134</v>
      </c>
      <c r="G6433" s="26"/>
      <c r="H6433" s="231"/>
      <c r="I6433" s="221"/>
      <c r="J6433" s="221"/>
      <c r="K6433" s="221"/>
      <c r="L6433" s="221"/>
      <c r="M6433" s="221"/>
      <c r="N6433" s="221"/>
      <c r="O6433" s="225"/>
      <c r="P6433" s="118" t="s">
        <v>18138</v>
      </c>
      <c r="Q6433" s="16" t="s">
        <v>20</v>
      </c>
      <c r="R6433" s="17" t="s">
        <v>17949</v>
      </c>
      <c r="S6433" s="121" t="s">
        <v>169</v>
      </c>
      <c r="T6433" s="122"/>
      <c r="U6433" s="22"/>
      <c r="V6433" s="123" t="s">
        <v>2472</v>
      </c>
      <c r="W6433" s="122">
        <v>65403</v>
      </c>
      <c r="X6433" s="221"/>
      <c r="Y6433" s="221"/>
      <c r="Z6433" s="221"/>
      <c r="AA6433" s="221"/>
      <c r="AB6433" s="223"/>
    </row>
    <row r="6434" spans="1:28" ht="17.100000000000001" customHeight="1" thickTop="1">
      <c r="A6434" s="226" t="s">
        <v>18183</v>
      </c>
      <c r="B6434" s="28">
        <v>46076</v>
      </c>
      <c r="C6434" s="25"/>
      <c r="D6434" s="13" t="s">
        <v>2564</v>
      </c>
      <c r="E6434" s="228"/>
      <c r="F6434" s="109" t="s">
        <v>18185</v>
      </c>
      <c r="G6434" s="24"/>
      <c r="H6434" s="230">
        <v>4</v>
      </c>
      <c r="I6434" s="220">
        <v>1627000</v>
      </c>
      <c r="J6434" s="220">
        <f>I6434*0.1</f>
        <v>162700</v>
      </c>
      <c r="K6434" s="220">
        <v>0</v>
      </c>
      <c r="L6434" s="220">
        <v>19070</v>
      </c>
      <c r="M6434" s="220">
        <v>15950</v>
      </c>
      <c r="N6434" s="220">
        <f>SUM(I6434:M6435)</f>
        <v>1824720</v>
      </c>
      <c r="O6434" s="224"/>
      <c r="P6434" s="110" t="s">
        <v>18731</v>
      </c>
      <c r="Q6434" s="15" t="s">
        <v>19</v>
      </c>
      <c r="R6434" s="205"/>
      <c r="S6434" s="189"/>
      <c r="T6434" s="114"/>
      <c r="U6434" s="21"/>
      <c r="V6434" s="115">
        <v>46081</v>
      </c>
      <c r="W6434" s="116">
        <v>1290</v>
      </c>
      <c r="X6434" s="220">
        <v>1780000</v>
      </c>
      <c r="Y6434" s="220">
        <f>X6434*0.1</f>
        <v>178000</v>
      </c>
      <c r="Z6434" s="220">
        <v>19070</v>
      </c>
      <c r="AA6434" s="220">
        <f>SUM(X6434:Z6434)</f>
        <v>1977070</v>
      </c>
      <c r="AB6434" s="222">
        <v>46086</v>
      </c>
    </row>
    <row r="6435" spans="1:28" ht="17.100000000000001" customHeight="1" thickBot="1">
      <c r="A6435" s="227"/>
      <c r="B6435" s="27" t="s">
        <v>2727</v>
      </c>
      <c r="C6435" s="27">
        <v>80236</v>
      </c>
      <c r="D6435" s="14" t="s">
        <v>2559</v>
      </c>
      <c r="E6435" s="229"/>
      <c r="F6435" s="117" t="s">
        <v>18730</v>
      </c>
      <c r="G6435" s="26">
        <v>32552</v>
      </c>
      <c r="H6435" s="231"/>
      <c r="I6435" s="221"/>
      <c r="J6435" s="221"/>
      <c r="K6435" s="221"/>
      <c r="L6435" s="221"/>
      <c r="M6435" s="221"/>
      <c r="N6435" s="221"/>
      <c r="O6435" s="225"/>
      <c r="P6435" s="118" t="s">
        <v>2729</v>
      </c>
      <c r="Q6435" s="16" t="s">
        <v>20</v>
      </c>
      <c r="R6435" s="17" t="s">
        <v>1704</v>
      </c>
      <c r="S6435" s="121" t="s">
        <v>7718</v>
      </c>
      <c r="T6435" s="122"/>
      <c r="U6435" s="22"/>
      <c r="V6435" s="123" t="s">
        <v>2472</v>
      </c>
      <c r="W6435" s="122">
        <v>80057</v>
      </c>
      <c r="X6435" s="221"/>
      <c r="Y6435" s="221"/>
      <c r="Z6435" s="221"/>
      <c r="AA6435" s="221"/>
      <c r="AB6435" s="223"/>
    </row>
    <row r="6436" spans="1:28" ht="17.100000000000001" customHeight="1" thickTop="1">
      <c r="A6436" s="226" t="s">
        <v>18184</v>
      </c>
      <c r="B6436" s="28">
        <v>46076</v>
      </c>
      <c r="C6436" s="25"/>
      <c r="D6436" s="13" t="s">
        <v>2573</v>
      </c>
      <c r="E6436" s="228"/>
      <c r="F6436" s="109" t="s">
        <v>18186</v>
      </c>
      <c r="G6436" s="24" t="s">
        <v>3453</v>
      </c>
      <c r="H6436" s="230">
        <v>4.5</v>
      </c>
      <c r="I6436" s="220">
        <v>1504000</v>
      </c>
      <c r="J6436" s="220">
        <f>I6436*0.1</f>
        <v>150400</v>
      </c>
      <c r="K6436" s="220">
        <v>3300</v>
      </c>
      <c r="L6436" s="220">
        <v>13890</v>
      </c>
      <c r="M6436" s="220">
        <v>15950</v>
      </c>
      <c r="N6436" s="220">
        <f>SUM(I6436:M6437)</f>
        <v>1687540</v>
      </c>
      <c r="O6436" s="224"/>
      <c r="P6436" s="110" t="s">
        <v>18187</v>
      </c>
      <c r="Q6436" s="15" t="s">
        <v>19</v>
      </c>
      <c r="R6436" s="205"/>
      <c r="S6436" s="189" t="s">
        <v>758</v>
      </c>
      <c r="T6436" s="114"/>
      <c r="U6436" s="21"/>
      <c r="V6436" s="115">
        <v>46081</v>
      </c>
      <c r="W6436" s="116">
        <v>1290</v>
      </c>
      <c r="X6436" s="220">
        <v>1690000</v>
      </c>
      <c r="Y6436" s="220">
        <f>X6436*0.1</f>
        <v>169000</v>
      </c>
      <c r="Z6436" s="220">
        <v>13890</v>
      </c>
      <c r="AA6436" s="220">
        <f>SUM(X6436:Z6436)</f>
        <v>1872890</v>
      </c>
      <c r="AB6436" s="222">
        <v>46086</v>
      </c>
    </row>
    <row r="6437" spans="1:28" ht="17.100000000000001" customHeight="1" thickBot="1">
      <c r="A6437" s="227"/>
      <c r="B6437" s="27" t="s">
        <v>4777</v>
      </c>
      <c r="C6437" s="27">
        <v>55082</v>
      </c>
      <c r="D6437" s="14" t="s">
        <v>898</v>
      </c>
      <c r="E6437" s="229"/>
      <c r="F6437" s="117" t="s">
        <v>18657</v>
      </c>
      <c r="G6437" s="26">
        <v>39284</v>
      </c>
      <c r="H6437" s="231"/>
      <c r="I6437" s="221"/>
      <c r="J6437" s="221"/>
      <c r="K6437" s="221"/>
      <c r="L6437" s="221"/>
      <c r="M6437" s="221"/>
      <c r="N6437" s="221"/>
      <c r="O6437" s="225"/>
      <c r="P6437" s="118" t="s">
        <v>18658</v>
      </c>
      <c r="Q6437" s="16" t="s">
        <v>20</v>
      </c>
      <c r="R6437" s="17" t="s">
        <v>1883</v>
      </c>
      <c r="S6437" s="121" t="s">
        <v>18659</v>
      </c>
      <c r="T6437" s="122"/>
      <c r="U6437" s="22"/>
      <c r="V6437" s="123" t="s">
        <v>2472</v>
      </c>
      <c r="W6437" s="122">
        <v>80361</v>
      </c>
      <c r="X6437" s="221"/>
      <c r="Y6437" s="221"/>
      <c r="Z6437" s="221"/>
      <c r="AA6437" s="221"/>
      <c r="AB6437" s="223"/>
    </row>
    <row r="6438" spans="1:28" ht="17.100000000000001" customHeight="1" thickTop="1">
      <c r="A6438" s="226" t="s">
        <v>18188</v>
      </c>
      <c r="B6438" s="28">
        <v>46076</v>
      </c>
      <c r="C6438" s="25">
        <v>2082</v>
      </c>
      <c r="D6438" s="13" t="s">
        <v>1607</v>
      </c>
      <c r="E6438" s="228"/>
      <c r="F6438" s="109" t="s">
        <v>18194</v>
      </c>
      <c r="G6438" s="24"/>
      <c r="H6438" s="230">
        <v>4</v>
      </c>
      <c r="I6438" s="220">
        <v>1420000</v>
      </c>
      <c r="J6438" s="220">
        <f>I6438*0.1</f>
        <v>142000</v>
      </c>
      <c r="K6438" s="220">
        <v>0</v>
      </c>
      <c r="L6438" s="220">
        <v>21240</v>
      </c>
      <c r="M6438" s="220">
        <v>11000</v>
      </c>
      <c r="N6438" s="220">
        <f>SUM(I6438:M6439)</f>
        <v>1594240</v>
      </c>
      <c r="O6438" s="224"/>
      <c r="P6438" s="110" t="s">
        <v>18367</v>
      </c>
      <c r="Q6438" s="15" t="s">
        <v>19</v>
      </c>
      <c r="R6438" s="205"/>
      <c r="S6438" s="189" t="s">
        <v>1361</v>
      </c>
      <c r="T6438" s="114"/>
      <c r="U6438" s="21"/>
      <c r="V6438" s="115">
        <v>46116</v>
      </c>
      <c r="W6438" s="116">
        <v>1295</v>
      </c>
      <c r="X6438" s="220">
        <v>1520000</v>
      </c>
      <c r="Y6438" s="220">
        <f>X6438*0.1</f>
        <v>152000</v>
      </c>
      <c r="Z6438" s="220">
        <v>21240</v>
      </c>
      <c r="AA6438" s="220">
        <f>SUM(X6438:Z6438)</f>
        <v>1693240</v>
      </c>
      <c r="AB6438" s="222">
        <v>46119</v>
      </c>
    </row>
    <row r="6439" spans="1:28" ht="17.100000000000001" customHeight="1" thickBot="1">
      <c r="A6439" s="227"/>
      <c r="B6439" s="27" t="s">
        <v>82</v>
      </c>
      <c r="C6439" s="27">
        <v>31002</v>
      </c>
      <c r="D6439" s="14" t="s">
        <v>2059</v>
      </c>
      <c r="E6439" s="229"/>
      <c r="F6439" s="117" t="s">
        <v>18195</v>
      </c>
      <c r="G6439" s="26">
        <v>118393</v>
      </c>
      <c r="H6439" s="231"/>
      <c r="I6439" s="221"/>
      <c r="J6439" s="221"/>
      <c r="K6439" s="221"/>
      <c r="L6439" s="221"/>
      <c r="M6439" s="221"/>
      <c r="N6439" s="221"/>
      <c r="O6439" s="225"/>
      <c r="P6439" s="118" t="s">
        <v>9498</v>
      </c>
      <c r="Q6439" s="16" t="s">
        <v>20</v>
      </c>
      <c r="R6439" s="17" t="s">
        <v>18270</v>
      </c>
      <c r="S6439" s="121" t="s">
        <v>1731</v>
      </c>
      <c r="T6439" s="122"/>
      <c r="U6439" s="22"/>
      <c r="V6439" s="123" t="s">
        <v>2472</v>
      </c>
      <c r="W6439" s="122">
        <v>80069</v>
      </c>
      <c r="X6439" s="221"/>
      <c r="Y6439" s="221"/>
      <c r="Z6439" s="221"/>
      <c r="AA6439" s="221"/>
      <c r="AB6439" s="223"/>
    </row>
    <row r="6440" spans="1:28" ht="17.100000000000001" customHeight="1" thickTop="1">
      <c r="A6440" s="226" t="s">
        <v>18189</v>
      </c>
      <c r="B6440" s="28">
        <v>46076</v>
      </c>
      <c r="C6440" s="25">
        <v>2082</v>
      </c>
      <c r="D6440" s="13" t="s">
        <v>2866</v>
      </c>
      <c r="E6440" s="228"/>
      <c r="F6440" s="109" t="s">
        <v>18196</v>
      </c>
      <c r="G6440" s="24" t="s">
        <v>2038</v>
      </c>
      <c r="H6440" s="230">
        <v>4.5</v>
      </c>
      <c r="I6440" s="220">
        <v>2410000</v>
      </c>
      <c r="J6440" s="220">
        <f>I6440*0.1</f>
        <v>241000</v>
      </c>
      <c r="K6440" s="220">
        <f>3200+320</f>
        <v>3520</v>
      </c>
      <c r="L6440" s="220">
        <v>22420</v>
      </c>
      <c r="M6440" s="220">
        <v>11000</v>
      </c>
      <c r="N6440" s="220">
        <f>SUM(I6440:M6441)</f>
        <v>2687940</v>
      </c>
      <c r="O6440" s="224"/>
      <c r="P6440" s="110" t="s">
        <v>18198</v>
      </c>
      <c r="Q6440" s="15" t="s">
        <v>19</v>
      </c>
      <c r="R6440" s="205"/>
      <c r="S6440" s="189" t="s">
        <v>1361</v>
      </c>
      <c r="T6440" s="114"/>
      <c r="U6440" s="21"/>
      <c r="V6440" s="115"/>
      <c r="W6440" s="116"/>
      <c r="X6440" s="220"/>
      <c r="Y6440" s="220">
        <f>X6440*0.1</f>
        <v>0</v>
      </c>
      <c r="Z6440" s="220"/>
      <c r="AA6440" s="220">
        <f>SUM(X6440:Z6440)</f>
        <v>0</v>
      </c>
      <c r="AB6440" s="222"/>
    </row>
    <row r="6441" spans="1:28" ht="17.100000000000001" customHeight="1" thickBot="1">
      <c r="A6441" s="227"/>
      <c r="B6441" s="27" t="s">
        <v>82</v>
      </c>
      <c r="C6441" s="27">
        <v>33501</v>
      </c>
      <c r="D6441" s="14" t="s">
        <v>273</v>
      </c>
      <c r="E6441" s="229"/>
      <c r="F6441" s="117" t="s">
        <v>18197</v>
      </c>
      <c r="G6441" s="26">
        <v>59755</v>
      </c>
      <c r="H6441" s="231"/>
      <c r="I6441" s="221"/>
      <c r="J6441" s="221"/>
      <c r="K6441" s="221"/>
      <c r="L6441" s="221"/>
      <c r="M6441" s="221"/>
      <c r="N6441" s="221"/>
      <c r="O6441" s="225"/>
      <c r="P6441" s="118" t="s">
        <v>18505</v>
      </c>
      <c r="Q6441" s="16" t="s">
        <v>20</v>
      </c>
      <c r="R6441" s="17" t="s">
        <v>18270</v>
      </c>
      <c r="S6441" s="121" t="s">
        <v>1731</v>
      </c>
      <c r="T6441" s="122"/>
      <c r="U6441" s="22"/>
      <c r="V6441" s="123"/>
      <c r="W6441" s="122"/>
      <c r="X6441" s="221"/>
      <c r="Y6441" s="221"/>
      <c r="Z6441" s="221"/>
      <c r="AA6441" s="221"/>
      <c r="AB6441" s="223"/>
    </row>
    <row r="6442" spans="1:28" ht="17.100000000000001" customHeight="1" thickTop="1">
      <c r="A6442" s="226" t="s">
        <v>18190</v>
      </c>
      <c r="B6442" s="28">
        <v>46076</v>
      </c>
      <c r="C6442" s="25">
        <v>2082</v>
      </c>
      <c r="D6442" s="13" t="s">
        <v>2406</v>
      </c>
      <c r="E6442" s="228"/>
      <c r="F6442" s="109" t="s">
        <v>6618</v>
      </c>
      <c r="G6442" s="24"/>
      <c r="H6442" s="230">
        <v>3.5</v>
      </c>
      <c r="I6442" s="220">
        <v>783000</v>
      </c>
      <c r="J6442" s="220">
        <f>I6442*0.1</f>
        <v>78300</v>
      </c>
      <c r="K6442" s="220">
        <v>0</v>
      </c>
      <c r="L6442" s="220">
        <v>16580</v>
      </c>
      <c r="M6442" s="220">
        <v>11000</v>
      </c>
      <c r="N6442" s="220">
        <f>SUM(I6442:M6443)</f>
        <v>888880</v>
      </c>
      <c r="O6442" s="224"/>
      <c r="P6442" s="110" t="s">
        <v>18506</v>
      </c>
      <c r="Q6442" s="15" t="s">
        <v>19</v>
      </c>
      <c r="R6442" s="205"/>
      <c r="S6442" s="189" t="s">
        <v>1361</v>
      </c>
      <c r="T6442" s="114"/>
      <c r="U6442" s="21"/>
      <c r="V6442" s="115">
        <v>46095</v>
      </c>
      <c r="W6442" s="116">
        <v>1292</v>
      </c>
      <c r="X6442" s="220">
        <v>905000</v>
      </c>
      <c r="Y6442" s="220">
        <f>X6442*0.1</f>
        <v>90500</v>
      </c>
      <c r="Z6442" s="220">
        <v>16580</v>
      </c>
      <c r="AA6442" s="220">
        <f>SUM(X6442:Z6442)</f>
        <v>1012080</v>
      </c>
      <c r="AB6442" s="222">
        <v>46098</v>
      </c>
    </row>
    <row r="6443" spans="1:28" ht="17.100000000000001" customHeight="1" thickBot="1">
      <c r="A6443" s="227"/>
      <c r="B6443" s="27" t="s">
        <v>82</v>
      </c>
      <c r="C6443" s="27">
        <v>34516</v>
      </c>
      <c r="D6443" s="14" t="s">
        <v>1584</v>
      </c>
      <c r="E6443" s="229"/>
      <c r="F6443" s="117" t="s">
        <v>18199</v>
      </c>
      <c r="G6443" s="26">
        <v>50084</v>
      </c>
      <c r="H6443" s="231"/>
      <c r="I6443" s="221"/>
      <c r="J6443" s="221"/>
      <c r="K6443" s="221"/>
      <c r="L6443" s="221"/>
      <c r="M6443" s="221"/>
      <c r="N6443" s="221"/>
      <c r="O6443" s="225"/>
      <c r="P6443" s="118" t="s">
        <v>12439</v>
      </c>
      <c r="Q6443" s="16" t="s">
        <v>20</v>
      </c>
      <c r="R6443" s="17" t="s">
        <v>18270</v>
      </c>
      <c r="S6443" s="121" t="s">
        <v>18984</v>
      </c>
      <c r="T6443" s="122"/>
      <c r="U6443" s="22"/>
      <c r="V6443" s="123" t="s">
        <v>2472</v>
      </c>
      <c r="W6443" s="122">
        <v>80070</v>
      </c>
      <c r="X6443" s="221"/>
      <c r="Y6443" s="221"/>
      <c r="Z6443" s="221"/>
      <c r="AA6443" s="221"/>
      <c r="AB6443" s="223"/>
    </row>
    <row r="6444" spans="1:28" ht="17.100000000000001" customHeight="1" thickTop="1">
      <c r="A6444" s="226" t="s">
        <v>18191</v>
      </c>
      <c r="B6444" s="28">
        <v>46076</v>
      </c>
      <c r="C6444" s="25">
        <v>2082</v>
      </c>
      <c r="D6444" s="13" t="s">
        <v>2422</v>
      </c>
      <c r="E6444" s="228"/>
      <c r="F6444" s="109" t="s">
        <v>18200</v>
      </c>
      <c r="G6444" s="24" t="s">
        <v>4025</v>
      </c>
      <c r="H6444" s="230">
        <v>4.5</v>
      </c>
      <c r="I6444" s="220">
        <v>1240000</v>
      </c>
      <c r="J6444" s="220">
        <f>I6444*0.1</f>
        <v>124000</v>
      </c>
      <c r="K6444" s="220">
        <f>2800+280</f>
        <v>3080</v>
      </c>
      <c r="L6444" s="220">
        <v>19090</v>
      </c>
      <c r="M6444" s="220">
        <v>11000</v>
      </c>
      <c r="N6444" s="220">
        <f>SUM(I6444:M6445)</f>
        <v>1397170</v>
      </c>
      <c r="O6444" s="224"/>
      <c r="P6444" s="110" t="s">
        <v>18202</v>
      </c>
      <c r="Q6444" s="15" t="s">
        <v>19</v>
      </c>
      <c r="R6444" s="205"/>
      <c r="S6444" s="189" t="s">
        <v>1361</v>
      </c>
      <c r="T6444" s="114"/>
      <c r="U6444" s="21"/>
      <c r="V6444" s="115">
        <v>46088</v>
      </c>
      <c r="W6444" s="116">
        <v>1291</v>
      </c>
      <c r="X6444" s="220">
        <v>1475000</v>
      </c>
      <c r="Y6444" s="220">
        <f>X6444*0.1</f>
        <v>147500</v>
      </c>
      <c r="Z6444" s="220">
        <v>19090</v>
      </c>
      <c r="AA6444" s="220">
        <f>SUM(X6444:Z6444)</f>
        <v>1641590</v>
      </c>
      <c r="AB6444" s="222">
        <v>46091</v>
      </c>
    </row>
    <row r="6445" spans="1:28" ht="17.100000000000001" customHeight="1" thickBot="1">
      <c r="A6445" s="227"/>
      <c r="B6445" s="27" t="s">
        <v>82</v>
      </c>
      <c r="C6445" s="27">
        <v>34521</v>
      </c>
      <c r="D6445" s="14" t="s">
        <v>131</v>
      </c>
      <c r="E6445" s="229"/>
      <c r="F6445" s="117" t="s">
        <v>18201</v>
      </c>
      <c r="G6445" s="26">
        <v>31728</v>
      </c>
      <c r="H6445" s="231"/>
      <c r="I6445" s="221"/>
      <c r="J6445" s="221"/>
      <c r="K6445" s="221"/>
      <c r="L6445" s="221"/>
      <c r="M6445" s="221"/>
      <c r="N6445" s="221"/>
      <c r="O6445" s="225"/>
      <c r="P6445" s="118" t="s">
        <v>15433</v>
      </c>
      <c r="Q6445" s="16" t="s">
        <v>20</v>
      </c>
      <c r="R6445" s="17" t="s">
        <v>2318</v>
      </c>
      <c r="S6445" s="121" t="s">
        <v>1731</v>
      </c>
      <c r="T6445" s="122"/>
      <c r="U6445" s="22"/>
      <c r="V6445" s="123" t="s">
        <v>2472</v>
      </c>
      <c r="W6445" s="122">
        <v>80045</v>
      </c>
      <c r="X6445" s="221"/>
      <c r="Y6445" s="221"/>
      <c r="Z6445" s="221"/>
      <c r="AA6445" s="221"/>
      <c r="AB6445" s="223"/>
    </row>
    <row r="6446" spans="1:28" ht="17.100000000000001" customHeight="1" thickTop="1">
      <c r="A6446" s="226" t="s">
        <v>18192</v>
      </c>
      <c r="B6446" s="28">
        <v>46076</v>
      </c>
      <c r="C6446" s="25">
        <v>2082</v>
      </c>
      <c r="D6446" s="13" t="s">
        <v>2288</v>
      </c>
      <c r="E6446" s="228"/>
      <c r="F6446" s="109" t="s">
        <v>3168</v>
      </c>
      <c r="G6446" s="24" t="s">
        <v>3453</v>
      </c>
      <c r="H6446" s="230">
        <v>4.5</v>
      </c>
      <c r="I6446" s="220">
        <v>1090000</v>
      </c>
      <c r="J6446" s="220">
        <f>I6446*0.1</f>
        <v>109000</v>
      </c>
      <c r="K6446" s="220">
        <f>3200+320</f>
        <v>3520</v>
      </c>
      <c r="L6446" s="220">
        <v>19090</v>
      </c>
      <c r="M6446" s="220">
        <v>11000</v>
      </c>
      <c r="N6446" s="220">
        <f>SUM(I6446:M6447)</f>
        <v>1232610</v>
      </c>
      <c r="O6446" s="224"/>
      <c r="P6446" s="110" t="s">
        <v>18205</v>
      </c>
      <c r="Q6446" s="15" t="s">
        <v>19</v>
      </c>
      <c r="R6446" s="205"/>
      <c r="S6446" s="189" t="s">
        <v>1361</v>
      </c>
      <c r="T6446" s="114"/>
      <c r="U6446" s="21"/>
      <c r="V6446" s="115">
        <v>46088</v>
      </c>
      <c r="W6446" s="116">
        <v>1291</v>
      </c>
      <c r="X6446" s="220">
        <v>1245000</v>
      </c>
      <c r="Y6446" s="220">
        <f>X6446*0.1</f>
        <v>124500</v>
      </c>
      <c r="Z6446" s="220">
        <v>19090</v>
      </c>
      <c r="AA6446" s="220">
        <f>SUM(X6446:Z6446)</f>
        <v>1388590</v>
      </c>
      <c r="AB6446" s="222">
        <v>46091</v>
      </c>
    </row>
    <row r="6447" spans="1:28" ht="17.100000000000001" customHeight="1" thickBot="1">
      <c r="A6447" s="227"/>
      <c r="B6447" s="27" t="s">
        <v>82</v>
      </c>
      <c r="C6447" s="27">
        <v>34522</v>
      </c>
      <c r="D6447" s="14" t="s">
        <v>18203</v>
      </c>
      <c r="E6447" s="229"/>
      <c r="F6447" s="117" t="s">
        <v>18204</v>
      </c>
      <c r="G6447" s="26">
        <v>77098</v>
      </c>
      <c r="H6447" s="231"/>
      <c r="I6447" s="221"/>
      <c r="J6447" s="221"/>
      <c r="K6447" s="221"/>
      <c r="L6447" s="221"/>
      <c r="M6447" s="221"/>
      <c r="N6447" s="221"/>
      <c r="O6447" s="225"/>
      <c r="P6447" s="118" t="s">
        <v>15433</v>
      </c>
      <c r="Q6447" s="16" t="s">
        <v>20</v>
      </c>
      <c r="R6447" s="17" t="s">
        <v>2318</v>
      </c>
      <c r="S6447" s="121" t="s">
        <v>1731</v>
      </c>
      <c r="T6447" s="122"/>
      <c r="U6447" s="22"/>
      <c r="V6447" s="123" t="s">
        <v>2472</v>
      </c>
      <c r="W6447" s="122">
        <v>80061</v>
      </c>
      <c r="X6447" s="221"/>
      <c r="Y6447" s="221"/>
      <c r="Z6447" s="221"/>
      <c r="AA6447" s="221"/>
      <c r="AB6447" s="223"/>
    </row>
    <row r="6448" spans="1:28" ht="17.100000000000001" customHeight="1" thickTop="1">
      <c r="A6448" s="226" t="s">
        <v>18193</v>
      </c>
      <c r="B6448" s="28">
        <v>46076</v>
      </c>
      <c r="C6448" s="25">
        <v>2082</v>
      </c>
      <c r="D6448" s="13" t="s">
        <v>7202</v>
      </c>
      <c r="E6448" s="228"/>
      <c r="F6448" s="109" t="s">
        <v>18206</v>
      </c>
      <c r="G6448" s="24"/>
      <c r="H6448" s="230">
        <v>4</v>
      </c>
      <c r="I6448" s="220">
        <v>277000</v>
      </c>
      <c r="J6448" s="220">
        <f>I6448*0.1</f>
        <v>27700</v>
      </c>
      <c r="K6448" s="220">
        <v>0</v>
      </c>
      <c r="L6448" s="220">
        <v>16100</v>
      </c>
      <c r="M6448" s="220">
        <v>11000</v>
      </c>
      <c r="N6448" s="220">
        <f>SUM(I6448:M6449)</f>
        <v>331800</v>
      </c>
      <c r="O6448" s="224"/>
      <c r="P6448" s="110" t="s">
        <v>18504</v>
      </c>
      <c r="Q6448" s="15" t="s">
        <v>19</v>
      </c>
      <c r="R6448" s="205"/>
      <c r="S6448" s="189"/>
      <c r="T6448" s="114"/>
      <c r="U6448" s="21"/>
      <c r="V6448" s="115"/>
      <c r="W6448" s="116"/>
      <c r="X6448" s="220"/>
      <c r="Y6448" s="220">
        <f>X6448*0.1</f>
        <v>0</v>
      </c>
      <c r="Z6448" s="220"/>
      <c r="AA6448" s="220">
        <f>SUM(X6448:Z6448)</f>
        <v>0</v>
      </c>
      <c r="AB6448" s="222"/>
    </row>
    <row r="6449" spans="1:28" ht="17.100000000000001" customHeight="1" thickBot="1">
      <c r="A6449" s="227"/>
      <c r="B6449" s="27" t="s">
        <v>82</v>
      </c>
      <c r="C6449" s="27">
        <v>34531</v>
      </c>
      <c r="D6449" s="14" t="s">
        <v>1710</v>
      </c>
      <c r="E6449" s="229"/>
      <c r="F6449" s="117" t="s">
        <v>18207</v>
      </c>
      <c r="G6449" s="26">
        <v>53044</v>
      </c>
      <c r="H6449" s="231"/>
      <c r="I6449" s="221"/>
      <c r="J6449" s="221"/>
      <c r="K6449" s="221"/>
      <c r="L6449" s="221"/>
      <c r="M6449" s="221"/>
      <c r="N6449" s="221"/>
      <c r="O6449" s="225"/>
      <c r="P6449" s="118" t="s">
        <v>291</v>
      </c>
      <c r="Q6449" s="16" t="s">
        <v>20</v>
      </c>
      <c r="R6449" s="17" t="s">
        <v>18270</v>
      </c>
      <c r="S6449" s="121"/>
      <c r="T6449" s="122"/>
      <c r="U6449" s="22"/>
      <c r="V6449" s="123"/>
      <c r="W6449" s="122"/>
      <c r="X6449" s="221"/>
      <c r="Y6449" s="221"/>
      <c r="Z6449" s="221"/>
      <c r="AA6449" s="221"/>
      <c r="AB6449" s="223"/>
    </row>
    <row r="6450" spans="1:28" ht="17.100000000000001" customHeight="1" thickTop="1">
      <c r="A6450" s="226" t="s">
        <v>18209</v>
      </c>
      <c r="B6450" s="28">
        <v>46077</v>
      </c>
      <c r="C6450" s="25">
        <v>1082</v>
      </c>
      <c r="D6450" s="13" t="s">
        <v>2913</v>
      </c>
      <c r="E6450" s="228"/>
      <c r="F6450" s="109" t="s">
        <v>18221</v>
      </c>
      <c r="G6450" s="24" t="s">
        <v>12357</v>
      </c>
      <c r="H6450" s="230">
        <v>4</v>
      </c>
      <c r="I6450" s="220">
        <v>2295000</v>
      </c>
      <c r="J6450" s="220">
        <f>I6450*0.1</f>
        <v>229500</v>
      </c>
      <c r="K6450" s="220">
        <v>3300</v>
      </c>
      <c r="L6450" s="220">
        <v>18170</v>
      </c>
      <c r="M6450" s="220">
        <v>16500</v>
      </c>
      <c r="N6450" s="220">
        <f>SUM(I6450:M6451)</f>
        <v>2562470</v>
      </c>
      <c r="O6450" s="224"/>
      <c r="P6450" s="110" t="s">
        <v>18224</v>
      </c>
      <c r="Q6450" s="15" t="s">
        <v>19</v>
      </c>
      <c r="R6450" s="205"/>
      <c r="S6450" s="189"/>
      <c r="T6450" s="114"/>
      <c r="U6450" s="21"/>
      <c r="V6450" s="115">
        <v>46081</v>
      </c>
      <c r="W6450" s="116">
        <v>1290</v>
      </c>
      <c r="X6450" s="220">
        <v>2520000</v>
      </c>
      <c r="Y6450" s="220">
        <f>X6450*0.1</f>
        <v>252000</v>
      </c>
      <c r="Z6450" s="220">
        <v>18170</v>
      </c>
      <c r="AA6450" s="220">
        <f>SUM(X6450:Z6450)</f>
        <v>2790170</v>
      </c>
      <c r="AB6450" s="222">
        <v>46084</v>
      </c>
    </row>
    <row r="6451" spans="1:28" ht="17.100000000000001" customHeight="1" thickBot="1">
      <c r="A6451" s="227"/>
      <c r="B6451" s="27" t="s">
        <v>18220</v>
      </c>
      <c r="C6451" s="27">
        <v>82007</v>
      </c>
      <c r="D6451" s="14" t="s">
        <v>1690</v>
      </c>
      <c r="E6451" s="229"/>
      <c r="F6451" s="117" t="s">
        <v>18223</v>
      </c>
      <c r="G6451" s="26">
        <v>24100</v>
      </c>
      <c r="H6451" s="231"/>
      <c r="I6451" s="221"/>
      <c r="J6451" s="221"/>
      <c r="K6451" s="221"/>
      <c r="L6451" s="221"/>
      <c r="M6451" s="221"/>
      <c r="N6451" s="221"/>
      <c r="O6451" s="225"/>
      <c r="P6451" s="118" t="s">
        <v>5190</v>
      </c>
      <c r="Q6451" s="16" t="s">
        <v>20</v>
      </c>
      <c r="R6451" s="17" t="s">
        <v>2318</v>
      </c>
      <c r="S6451" s="121"/>
      <c r="T6451" s="122"/>
      <c r="U6451" s="22"/>
      <c r="V6451" s="123" t="s">
        <v>2472</v>
      </c>
      <c r="W6451" s="122">
        <v>80344</v>
      </c>
      <c r="X6451" s="221"/>
      <c r="Y6451" s="221"/>
      <c r="Z6451" s="221"/>
      <c r="AA6451" s="221"/>
      <c r="AB6451" s="223"/>
    </row>
    <row r="6452" spans="1:28" ht="17.100000000000001" customHeight="1" thickTop="1">
      <c r="A6452" s="226" t="s">
        <v>18210</v>
      </c>
      <c r="B6452" s="28">
        <v>46077</v>
      </c>
      <c r="C6452" s="25">
        <v>1082</v>
      </c>
      <c r="D6452" s="13" t="s">
        <v>2324</v>
      </c>
      <c r="E6452" s="228"/>
      <c r="F6452" s="109" t="s">
        <v>18225</v>
      </c>
      <c r="G6452" s="24"/>
      <c r="H6452" s="230">
        <v>4.5</v>
      </c>
      <c r="I6452" s="220">
        <v>2835000</v>
      </c>
      <c r="J6452" s="220">
        <f>I6452*0.1</f>
        <v>283500</v>
      </c>
      <c r="K6452" s="220">
        <v>0</v>
      </c>
      <c r="L6452" s="220">
        <v>21750</v>
      </c>
      <c r="M6452" s="220">
        <v>16500</v>
      </c>
      <c r="N6452" s="220">
        <f>SUM(I6452:M6453)</f>
        <v>3156750</v>
      </c>
      <c r="O6452" s="224"/>
      <c r="P6452" s="110" t="s">
        <v>18775</v>
      </c>
      <c r="Q6452" s="15" t="s">
        <v>19</v>
      </c>
      <c r="R6452" s="205"/>
      <c r="S6452" s="189" t="s">
        <v>25507</v>
      </c>
      <c r="T6452" s="114"/>
      <c r="U6452" s="21"/>
      <c r="V6452" s="115">
        <v>46081</v>
      </c>
      <c r="W6452" s="116">
        <v>1290</v>
      </c>
      <c r="X6452" s="220">
        <v>3000000</v>
      </c>
      <c r="Y6452" s="220">
        <f>X6452*0.1</f>
        <v>300000</v>
      </c>
      <c r="Z6452" s="220">
        <v>21750</v>
      </c>
      <c r="AA6452" s="220">
        <f>SUM(X6452:Z6452)</f>
        <v>3321750</v>
      </c>
      <c r="AB6452" s="222">
        <v>46086</v>
      </c>
    </row>
    <row r="6453" spans="1:28" ht="17.100000000000001" customHeight="1" thickBot="1">
      <c r="A6453" s="227"/>
      <c r="B6453" s="27" t="s">
        <v>18220</v>
      </c>
      <c r="C6453" s="27">
        <v>82140</v>
      </c>
      <c r="D6453" s="14" t="s">
        <v>1710</v>
      </c>
      <c r="E6453" s="229"/>
      <c r="F6453" s="117" t="s">
        <v>18226</v>
      </c>
      <c r="G6453" s="26">
        <v>64033</v>
      </c>
      <c r="H6453" s="231"/>
      <c r="I6453" s="221"/>
      <c r="J6453" s="221"/>
      <c r="K6453" s="221"/>
      <c r="L6453" s="221"/>
      <c r="M6453" s="221"/>
      <c r="N6453" s="221"/>
      <c r="O6453" s="225"/>
      <c r="P6453" s="118" t="s">
        <v>3457</v>
      </c>
      <c r="Q6453" s="16" t="s">
        <v>20</v>
      </c>
      <c r="R6453" s="17" t="s">
        <v>1704</v>
      </c>
      <c r="S6453" s="121" t="s">
        <v>1606</v>
      </c>
      <c r="T6453" s="122"/>
      <c r="U6453" s="22"/>
      <c r="V6453" s="123" t="s">
        <v>2472</v>
      </c>
      <c r="W6453" s="122">
        <v>80137</v>
      </c>
      <c r="X6453" s="221"/>
      <c r="Y6453" s="221"/>
      <c r="Z6453" s="221"/>
      <c r="AA6453" s="221"/>
      <c r="AB6453" s="223"/>
    </row>
    <row r="6454" spans="1:28" ht="17.100000000000001" customHeight="1" thickTop="1">
      <c r="A6454" s="226" t="s">
        <v>18211</v>
      </c>
      <c r="B6454" s="28">
        <v>46077</v>
      </c>
      <c r="C6454" s="25">
        <v>1082</v>
      </c>
      <c r="D6454" s="13" t="s">
        <v>2811</v>
      </c>
      <c r="E6454" s="228"/>
      <c r="F6454" s="109" t="s">
        <v>18222</v>
      </c>
      <c r="G6454" s="24"/>
      <c r="H6454" s="230">
        <v>4</v>
      </c>
      <c r="I6454" s="220">
        <v>590000</v>
      </c>
      <c r="J6454" s="220">
        <f>I6454*0.1</f>
        <v>59000</v>
      </c>
      <c r="K6454" s="220">
        <v>0</v>
      </c>
      <c r="L6454" s="220">
        <v>19120</v>
      </c>
      <c r="M6454" s="220">
        <v>16500</v>
      </c>
      <c r="N6454" s="220">
        <f>SUM(I6454:M6455)</f>
        <v>684620</v>
      </c>
      <c r="O6454" s="224"/>
      <c r="P6454" s="110" t="s">
        <v>19259</v>
      </c>
      <c r="Q6454" s="15" t="s">
        <v>19</v>
      </c>
      <c r="R6454" s="205"/>
      <c r="S6454" s="189" t="s">
        <v>758</v>
      </c>
      <c r="T6454" s="114"/>
      <c r="U6454" s="21"/>
      <c r="V6454" s="115">
        <v>46088</v>
      </c>
      <c r="W6454" s="116">
        <v>1291</v>
      </c>
      <c r="X6454" s="220">
        <v>700000</v>
      </c>
      <c r="Y6454" s="220">
        <f>X6454*0.1</f>
        <v>70000</v>
      </c>
      <c r="Z6454" s="220">
        <v>19120</v>
      </c>
      <c r="AA6454" s="220">
        <f>SUM(X6454:Z6454)</f>
        <v>789120</v>
      </c>
      <c r="AB6454" s="222">
        <v>46091</v>
      </c>
    </row>
    <row r="6455" spans="1:28" ht="17.100000000000001" customHeight="1" thickBot="1">
      <c r="A6455" s="227"/>
      <c r="B6455" s="27" t="s">
        <v>18220</v>
      </c>
      <c r="C6455" s="27">
        <v>84194</v>
      </c>
      <c r="D6455" s="14" t="s">
        <v>1710</v>
      </c>
      <c r="E6455" s="229"/>
      <c r="F6455" s="117" t="s">
        <v>18227</v>
      </c>
      <c r="G6455" s="26">
        <v>64703</v>
      </c>
      <c r="H6455" s="231"/>
      <c r="I6455" s="221"/>
      <c r="J6455" s="221"/>
      <c r="K6455" s="221"/>
      <c r="L6455" s="221"/>
      <c r="M6455" s="221"/>
      <c r="N6455" s="221"/>
      <c r="O6455" s="225"/>
      <c r="P6455" s="118" t="s">
        <v>19260</v>
      </c>
      <c r="Q6455" s="16" t="s">
        <v>20</v>
      </c>
      <c r="R6455" s="17" t="s">
        <v>2644</v>
      </c>
      <c r="S6455" s="121" t="s">
        <v>19261</v>
      </c>
      <c r="T6455" s="122"/>
      <c r="U6455" s="22"/>
      <c r="V6455" s="123" t="s">
        <v>2472</v>
      </c>
      <c r="W6455" s="122">
        <v>80111</v>
      </c>
      <c r="X6455" s="221"/>
      <c r="Y6455" s="221"/>
      <c r="Z6455" s="221"/>
      <c r="AA6455" s="221"/>
      <c r="AB6455" s="223"/>
    </row>
    <row r="6456" spans="1:28" ht="17.100000000000001" customHeight="1" thickTop="1">
      <c r="A6456" s="226" t="s">
        <v>18212</v>
      </c>
      <c r="B6456" s="28">
        <v>46077</v>
      </c>
      <c r="C6456" s="25">
        <v>1930</v>
      </c>
      <c r="D6456" s="13" t="s">
        <v>1829</v>
      </c>
      <c r="E6456" s="228"/>
      <c r="F6456" s="109" t="s">
        <v>18228</v>
      </c>
      <c r="G6456" s="24" t="s">
        <v>4315</v>
      </c>
      <c r="H6456" s="230">
        <v>4</v>
      </c>
      <c r="I6456" s="220">
        <v>828000</v>
      </c>
      <c r="J6456" s="220">
        <f>I6456*0.1</f>
        <v>82800</v>
      </c>
      <c r="K6456" s="220">
        <v>0</v>
      </c>
      <c r="L6456" s="220">
        <v>8430</v>
      </c>
      <c r="M6456" s="220">
        <v>15950</v>
      </c>
      <c r="N6456" s="220">
        <f>SUM(I6456:M6457)</f>
        <v>935180</v>
      </c>
      <c r="O6456" s="224"/>
      <c r="P6456" s="110" t="s">
        <v>18246</v>
      </c>
      <c r="Q6456" s="15" t="s">
        <v>19</v>
      </c>
      <c r="R6456" s="205"/>
      <c r="S6456" s="189" t="s">
        <v>25814</v>
      </c>
      <c r="T6456" s="114"/>
      <c r="U6456" s="21" t="s">
        <v>20454</v>
      </c>
      <c r="V6456" s="115">
        <v>46113</v>
      </c>
      <c r="W6456" s="116">
        <v>1011</v>
      </c>
      <c r="X6456" s="220">
        <v>945000</v>
      </c>
      <c r="Y6456" s="220">
        <f>X6456*0.1</f>
        <v>94500</v>
      </c>
      <c r="Z6456" s="220">
        <v>8430</v>
      </c>
      <c r="AA6456" s="220">
        <f>SUM(X6456:Z6456)</f>
        <v>1047930</v>
      </c>
      <c r="AB6456" s="222">
        <v>46118</v>
      </c>
    </row>
    <row r="6457" spans="1:28" ht="17.100000000000001" customHeight="1" thickBot="1">
      <c r="A6457" s="227"/>
      <c r="B6457" s="27" t="s">
        <v>2103</v>
      </c>
      <c r="C6457" s="27">
        <v>3269</v>
      </c>
      <c r="D6457" s="14" t="s">
        <v>273</v>
      </c>
      <c r="E6457" s="229"/>
      <c r="F6457" s="117" t="s">
        <v>18229</v>
      </c>
      <c r="G6457" s="26">
        <v>58917</v>
      </c>
      <c r="H6457" s="231"/>
      <c r="I6457" s="221"/>
      <c r="J6457" s="221"/>
      <c r="K6457" s="221"/>
      <c r="L6457" s="221"/>
      <c r="M6457" s="221"/>
      <c r="N6457" s="221"/>
      <c r="O6457" s="225"/>
      <c r="P6457" s="118" t="s">
        <v>18758</v>
      </c>
      <c r="Q6457" s="16" t="s">
        <v>20</v>
      </c>
      <c r="R6457" s="17" t="s">
        <v>1704</v>
      </c>
      <c r="S6457" s="121" t="s">
        <v>18759</v>
      </c>
      <c r="T6457" s="122"/>
      <c r="U6457" s="22"/>
      <c r="V6457" s="123" t="s">
        <v>2747</v>
      </c>
      <c r="W6457" s="122">
        <v>2068</v>
      </c>
      <c r="X6457" s="221"/>
      <c r="Y6457" s="221"/>
      <c r="Z6457" s="221"/>
      <c r="AA6457" s="221"/>
      <c r="AB6457" s="223"/>
    </row>
    <row r="6458" spans="1:28" ht="17.100000000000001" customHeight="1" thickTop="1">
      <c r="A6458" s="226" t="s">
        <v>18213</v>
      </c>
      <c r="B6458" s="28">
        <v>46077</v>
      </c>
      <c r="C6458" s="25">
        <v>1930</v>
      </c>
      <c r="D6458" s="13" t="s">
        <v>1704</v>
      </c>
      <c r="E6458" s="228"/>
      <c r="F6458" s="109" t="s">
        <v>18230</v>
      </c>
      <c r="G6458" s="24"/>
      <c r="H6458" s="230">
        <v>4.5</v>
      </c>
      <c r="I6458" s="220">
        <v>2286000</v>
      </c>
      <c r="J6458" s="220">
        <f>I6458*0.1</f>
        <v>228600</v>
      </c>
      <c r="K6458" s="220">
        <v>0</v>
      </c>
      <c r="L6458" s="220">
        <v>19560</v>
      </c>
      <c r="M6458" s="220">
        <v>19250</v>
      </c>
      <c r="N6458" s="220">
        <f>SUM(I6458:M6459)</f>
        <v>2553410</v>
      </c>
      <c r="O6458" s="224"/>
      <c r="P6458" s="110" t="s">
        <v>18721</v>
      </c>
      <c r="Q6458" s="15" t="s">
        <v>19</v>
      </c>
      <c r="R6458" s="205"/>
      <c r="S6458" s="189" t="s">
        <v>758</v>
      </c>
      <c r="T6458" s="114"/>
      <c r="U6458" s="21"/>
      <c r="V6458" s="115">
        <v>46081</v>
      </c>
      <c r="W6458" s="116">
        <v>1290</v>
      </c>
      <c r="X6458" s="220">
        <v>2330000</v>
      </c>
      <c r="Y6458" s="220">
        <f>X6458*0.1</f>
        <v>233000</v>
      </c>
      <c r="Z6458" s="220">
        <v>19560</v>
      </c>
      <c r="AA6458" s="220">
        <f>SUM(X6458:Z6458)</f>
        <v>2582560</v>
      </c>
      <c r="AB6458" s="222">
        <v>46086</v>
      </c>
    </row>
    <row r="6459" spans="1:28" ht="17.100000000000001" customHeight="1" thickBot="1">
      <c r="A6459" s="227"/>
      <c r="B6459" s="27" t="s">
        <v>2103</v>
      </c>
      <c r="C6459" s="27">
        <v>5006</v>
      </c>
      <c r="D6459" s="14" t="s">
        <v>1568</v>
      </c>
      <c r="E6459" s="229"/>
      <c r="F6459" s="117" t="s">
        <v>18247</v>
      </c>
      <c r="G6459" s="26">
        <v>48919</v>
      </c>
      <c r="H6459" s="231"/>
      <c r="I6459" s="221"/>
      <c r="J6459" s="221"/>
      <c r="K6459" s="221"/>
      <c r="L6459" s="221"/>
      <c r="M6459" s="221"/>
      <c r="N6459" s="221"/>
      <c r="O6459" s="225"/>
      <c r="P6459" s="118" t="s">
        <v>9366</v>
      </c>
      <c r="Q6459" s="16" t="s">
        <v>20</v>
      </c>
      <c r="R6459" s="17" t="s">
        <v>1704</v>
      </c>
      <c r="S6459" s="121" t="s">
        <v>9304</v>
      </c>
      <c r="T6459" s="122"/>
      <c r="U6459" s="22"/>
      <c r="V6459" s="123" t="s">
        <v>2472</v>
      </c>
      <c r="W6459" s="122">
        <v>80140</v>
      </c>
      <c r="X6459" s="221"/>
      <c r="Y6459" s="221"/>
      <c r="Z6459" s="221"/>
      <c r="AA6459" s="221"/>
      <c r="AB6459" s="223"/>
    </row>
    <row r="6460" spans="1:28" ht="17.100000000000001" customHeight="1" thickTop="1">
      <c r="A6460" s="226" t="s">
        <v>18214</v>
      </c>
      <c r="B6460" s="28">
        <v>46077</v>
      </c>
      <c r="C6460" s="25">
        <v>1930</v>
      </c>
      <c r="D6460" s="13" t="s">
        <v>2712</v>
      </c>
      <c r="E6460" s="228"/>
      <c r="F6460" s="109" t="s">
        <v>18231</v>
      </c>
      <c r="G6460" s="24" t="s">
        <v>2536</v>
      </c>
      <c r="H6460" s="230">
        <v>3.5</v>
      </c>
      <c r="I6460" s="220">
        <v>765000</v>
      </c>
      <c r="J6460" s="220">
        <f>I6460*0.1</f>
        <v>76500</v>
      </c>
      <c r="K6460" s="220">
        <v>0</v>
      </c>
      <c r="L6460" s="220">
        <v>8740</v>
      </c>
      <c r="M6460" s="220">
        <v>15950</v>
      </c>
      <c r="N6460" s="220">
        <f>SUM(I6460:M6461)</f>
        <v>866190</v>
      </c>
      <c r="O6460" s="224"/>
      <c r="P6460" s="110" t="s">
        <v>18763</v>
      </c>
      <c r="Q6460" s="15" t="s">
        <v>19</v>
      </c>
      <c r="R6460" s="205"/>
      <c r="S6460" s="189" t="s">
        <v>25432</v>
      </c>
      <c r="T6460" s="114"/>
      <c r="U6460" s="21"/>
      <c r="V6460" s="115">
        <v>46081</v>
      </c>
      <c r="W6460" s="116">
        <v>1290</v>
      </c>
      <c r="X6460" s="220">
        <v>930000</v>
      </c>
      <c r="Y6460" s="220">
        <f>X6460*0.1</f>
        <v>93000</v>
      </c>
      <c r="Z6460" s="220">
        <v>8740</v>
      </c>
      <c r="AA6460" s="220">
        <f>SUM(X6460:Z6460)</f>
        <v>1031740</v>
      </c>
      <c r="AB6460" s="222">
        <v>46091</v>
      </c>
    </row>
    <row r="6461" spans="1:28" ht="17.100000000000001" customHeight="1" thickBot="1">
      <c r="A6461" s="227"/>
      <c r="B6461" s="27" t="s">
        <v>2103</v>
      </c>
      <c r="C6461" s="27">
        <v>5473</v>
      </c>
      <c r="D6461" s="14" t="s">
        <v>2559</v>
      </c>
      <c r="E6461" s="229"/>
      <c r="F6461" s="117" t="s">
        <v>18232</v>
      </c>
      <c r="G6461" s="26">
        <v>51671</v>
      </c>
      <c r="H6461" s="231"/>
      <c r="I6461" s="221"/>
      <c r="J6461" s="221"/>
      <c r="K6461" s="221"/>
      <c r="L6461" s="221"/>
      <c r="M6461" s="221"/>
      <c r="N6461" s="221"/>
      <c r="O6461" s="225"/>
      <c r="P6461" s="118" t="s">
        <v>5159</v>
      </c>
      <c r="Q6461" s="16" t="s">
        <v>20</v>
      </c>
      <c r="R6461" s="17" t="s">
        <v>1704</v>
      </c>
      <c r="S6461" s="121" t="s">
        <v>18762</v>
      </c>
      <c r="T6461" s="122"/>
      <c r="U6461" s="22"/>
      <c r="V6461" s="123" t="s">
        <v>18915</v>
      </c>
      <c r="W6461" s="122">
        <v>60472</v>
      </c>
      <c r="X6461" s="221"/>
      <c r="Y6461" s="221"/>
      <c r="Z6461" s="221"/>
      <c r="AA6461" s="221"/>
      <c r="AB6461" s="223"/>
    </row>
    <row r="6462" spans="1:28" ht="17.100000000000001" customHeight="1" thickTop="1">
      <c r="A6462" s="226" t="s">
        <v>18215</v>
      </c>
      <c r="B6462" s="28">
        <v>46077</v>
      </c>
      <c r="C6462" s="25">
        <v>808</v>
      </c>
      <c r="D6462" s="13" t="s">
        <v>2040</v>
      </c>
      <c r="E6462" s="228"/>
      <c r="F6462" s="109" t="s">
        <v>15917</v>
      </c>
      <c r="G6462" s="24"/>
      <c r="H6462" s="230">
        <v>4</v>
      </c>
      <c r="I6462" s="220">
        <v>738000</v>
      </c>
      <c r="J6462" s="220">
        <f>I6462*0.1</f>
        <v>73800</v>
      </c>
      <c r="K6462" s="220">
        <v>0</v>
      </c>
      <c r="L6462" s="220">
        <v>8510</v>
      </c>
      <c r="M6462" s="220">
        <v>15950</v>
      </c>
      <c r="N6462" s="220">
        <f>SUM(I6462:M6463)</f>
        <v>836260</v>
      </c>
      <c r="O6462" s="224"/>
      <c r="P6462" s="110" t="s">
        <v>18726</v>
      </c>
      <c r="Q6462" s="15" t="s">
        <v>19</v>
      </c>
      <c r="R6462" s="205"/>
      <c r="S6462" s="189" t="s">
        <v>25815</v>
      </c>
      <c r="T6462" s="114"/>
      <c r="U6462" s="21"/>
      <c r="V6462" s="115">
        <v>46081</v>
      </c>
      <c r="W6462" s="116">
        <v>1290</v>
      </c>
      <c r="X6462" s="220">
        <v>815000</v>
      </c>
      <c r="Y6462" s="220">
        <f>X6462*0.1</f>
        <v>81500</v>
      </c>
      <c r="Z6462" s="220">
        <v>8510</v>
      </c>
      <c r="AA6462" s="220">
        <f>SUM(X6462:Z6462)</f>
        <v>905010</v>
      </c>
      <c r="AB6462" s="222">
        <v>46086</v>
      </c>
    </row>
    <row r="6463" spans="1:28" ht="17.100000000000001" customHeight="1" thickBot="1">
      <c r="A6463" s="227"/>
      <c r="B6463" s="27" t="s">
        <v>3314</v>
      </c>
      <c r="C6463" s="27">
        <v>3016</v>
      </c>
      <c r="D6463" s="14" t="s">
        <v>1584</v>
      </c>
      <c r="E6463" s="229"/>
      <c r="F6463" s="117" t="s">
        <v>18233</v>
      </c>
      <c r="G6463" s="26">
        <v>29378</v>
      </c>
      <c r="H6463" s="231"/>
      <c r="I6463" s="221"/>
      <c r="J6463" s="221"/>
      <c r="K6463" s="221"/>
      <c r="L6463" s="221"/>
      <c r="M6463" s="221"/>
      <c r="N6463" s="221"/>
      <c r="O6463" s="225"/>
      <c r="P6463" s="118" t="s">
        <v>7318</v>
      </c>
      <c r="Q6463" s="16" t="s">
        <v>20</v>
      </c>
      <c r="R6463" s="17" t="s">
        <v>1704</v>
      </c>
      <c r="S6463" s="121" t="s">
        <v>1625</v>
      </c>
      <c r="T6463" s="122"/>
      <c r="U6463" s="22"/>
      <c r="V6463" s="123" t="s">
        <v>2472</v>
      </c>
      <c r="W6463" s="122">
        <v>60478</v>
      </c>
      <c r="X6463" s="221"/>
      <c r="Y6463" s="221"/>
      <c r="Z6463" s="221"/>
      <c r="AA6463" s="221"/>
      <c r="AB6463" s="223"/>
    </row>
    <row r="6464" spans="1:28" ht="17.100000000000001" customHeight="1" thickTop="1">
      <c r="A6464" s="226" t="s">
        <v>18216</v>
      </c>
      <c r="B6464" s="28">
        <v>46077</v>
      </c>
      <c r="C6464" s="25">
        <v>808</v>
      </c>
      <c r="D6464" s="13" t="s">
        <v>1754</v>
      </c>
      <c r="E6464" s="228"/>
      <c r="F6464" s="109" t="s">
        <v>18234</v>
      </c>
      <c r="G6464" s="24"/>
      <c r="H6464" s="230">
        <v>4</v>
      </c>
      <c r="I6464" s="220">
        <v>764000</v>
      </c>
      <c r="J6464" s="220">
        <f>I6464*0.1</f>
        <v>76400</v>
      </c>
      <c r="K6464" s="220">
        <v>0</v>
      </c>
      <c r="L6464" s="220">
        <v>9790</v>
      </c>
      <c r="M6464" s="220">
        <v>15950</v>
      </c>
      <c r="N6464" s="220">
        <f>SUM(I6464:M6465)</f>
        <v>866140</v>
      </c>
      <c r="O6464" s="224"/>
      <c r="P6464" s="110" t="s">
        <v>18727</v>
      </c>
      <c r="Q6464" s="15" t="s">
        <v>19</v>
      </c>
      <c r="R6464" s="205"/>
      <c r="S6464" s="189"/>
      <c r="T6464" s="114"/>
      <c r="U6464" s="21"/>
      <c r="V6464" s="115">
        <v>46081</v>
      </c>
      <c r="W6464" s="116">
        <v>1290</v>
      </c>
      <c r="X6464" s="220">
        <v>815000</v>
      </c>
      <c r="Y6464" s="220">
        <f>X6464*0.1</f>
        <v>81500</v>
      </c>
      <c r="Z6464" s="220">
        <v>9790</v>
      </c>
      <c r="AA6464" s="220">
        <f>SUM(X6464:Z6464)</f>
        <v>906290</v>
      </c>
      <c r="AB6464" s="222">
        <v>46086</v>
      </c>
    </row>
    <row r="6465" spans="1:28" ht="17.100000000000001" customHeight="1" thickBot="1">
      <c r="A6465" s="227"/>
      <c r="B6465" s="27" t="s">
        <v>3314</v>
      </c>
      <c r="C6465" s="27">
        <v>3081</v>
      </c>
      <c r="D6465" s="14" t="s">
        <v>273</v>
      </c>
      <c r="E6465" s="229"/>
      <c r="F6465" s="117" t="s">
        <v>18235</v>
      </c>
      <c r="G6465" s="26">
        <v>62152</v>
      </c>
      <c r="H6465" s="231"/>
      <c r="I6465" s="221"/>
      <c r="J6465" s="221"/>
      <c r="K6465" s="221"/>
      <c r="L6465" s="221"/>
      <c r="M6465" s="221"/>
      <c r="N6465" s="221"/>
      <c r="O6465" s="225"/>
      <c r="P6465" s="118" t="s">
        <v>15866</v>
      </c>
      <c r="Q6465" s="16" t="s">
        <v>20</v>
      </c>
      <c r="R6465" s="17" t="s">
        <v>1704</v>
      </c>
      <c r="S6465" s="121" t="s">
        <v>7703</v>
      </c>
      <c r="T6465" s="122"/>
      <c r="U6465" s="22"/>
      <c r="V6465" s="123" t="s">
        <v>2472</v>
      </c>
      <c r="W6465" s="122">
        <v>60485</v>
      </c>
      <c r="X6465" s="221"/>
      <c r="Y6465" s="221"/>
      <c r="Z6465" s="221"/>
      <c r="AA6465" s="221"/>
      <c r="AB6465" s="223"/>
    </row>
    <row r="6466" spans="1:28" ht="17.100000000000001" customHeight="1" thickTop="1">
      <c r="A6466" s="226" t="s">
        <v>18217</v>
      </c>
      <c r="B6466" s="28">
        <v>46077</v>
      </c>
      <c r="C6466" s="25">
        <v>808</v>
      </c>
      <c r="D6466" s="13" t="s">
        <v>1632</v>
      </c>
      <c r="E6466" s="228"/>
      <c r="F6466" s="109" t="s">
        <v>18236</v>
      </c>
      <c r="G6466" s="24"/>
      <c r="H6466" s="230">
        <v>4</v>
      </c>
      <c r="I6466" s="220">
        <v>949000</v>
      </c>
      <c r="J6466" s="220">
        <f>I6466*0.1</f>
        <v>94900</v>
      </c>
      <c r="K6466" s="220">
        <v>0</v>
      </c>
      <c r="L6466" s="220">
        <v>19610</v>
      </c>
      <c r="M6466" s="220">
        <v>15950</v>
      </c>
      <c r="N6466" s="220">
        <f>SUM(I6466:M6467)</f>
        <v>1079460</v>
      </c>
      <c r="O6466" s="224"/>
      <c r="P6466" s="110" t="s">
        <v>18740</v>
      </c>
      <c r="Q6466" s="15" t="s">
        <v>19</v>
      </c>
      <c r="R6466" s="205"/>
      <c r="S6466" s="189"/>
      <c r="T6466" s="114"/>
      <c r="U6466" s="21"/>
      <c r="V6466" s="115">
        <v>46088</v>
      </c>
      <c r="W6466" s="116">
        <v>1291</v>
      </c>
      <c r="X6466" s="220">
        <v>1175000</v>
      </c>
      <c r="Y6466" s="220">
        <f>X6466*0.1</f>
        <v>117500</v>
      </c>
      <c r="Z6466" s="220">
        <v>19610</v>
      </c>
      <c r="AA6466" s="220">
        <f>SUM(X6466:Z6466)</f>
        <v>1312110</v>
      </c>
      <c r="AB6466" s="222">
        <v>46091</v>
      </c>
    </row>
    <row r="6467" spans="1:28" ht="17.100000000000001" customHeight="1" thickBot="1">
      <c r="A6467" s="227"/>
      <c r="B6467" s="27" t="s">
        <v>3314</v>
      </c>
      <c r="C6467" s="27">
        <v>70081</v>
      </c>
      <c r="D6467" s="14" t="s">
        <v>1584</v>
      </c>
      <c r="E6467" s="229"/>
      <c r="F6467" s="117" t="s">
        <v>18248</v>
      </c>
      <c r="G6467" s="26">
        <v>61590</v>
      </c>
      <c r="H6467" s="231"/>
      <c r="I6467" s="221"/>
      <c r="J6467" s="221"/>
      <c r="K6467" s="221"/>
      <c r="L6467" s="221"/>
      <c r="M6467" s="221"/>
      <c r="N6467" s="221"/>
      <c r="O6467" s="225"/>
      <c r="P6467" s="118" t="s">
        <v>13752</v>
      </c>
      <c r="Q6467" s="16" t="s">
        <v>20</v>
      </c>
      <c r="R6467" s="17" t="s">
        <v>1704</v>
      </c>
      <c r="S6467" s="121" t="s">
        <v>2166</v>
      </c>
      <c r="T6467" s="122"/>
      <c r="U6467" s="22"/>
      <c r="V6467" s="123" t="s">
        <v>2472</v>
      </c>
      <c r="W6467" s="122">
        <v>80385</v>
      </c>
      <c r="X6467" s="221"/>
      <c r="Y6467" s="221"/>
      <c r="Z6467" s="221"/>
      <c r="AA6467" s="221"/>
      <c r="AB6467" s="223"/>
    </row>
    <row r="6468" spans="1:28" ht="17.100000000000001" customHeight="1" thickTop="1">
      <c r="A6468" s="226" t="s">
        <v>18218</v>
      </c>
      <c r="B6468" s="28">
        <v>46077</v>
      </c>
      <c r="C6468" s="25">
        <v>928</v>
      </c>
      <c r="D6468" s="13" t="s">
        <v>1853</v>
      </c>
      <c r="E6468" s="228"/>
      <c r="F6468" s="109" t="s">
        <v>18240</v>
      </c>
      <c r="G6468" s="24"/>
      <c r="H6468" s="230">
        <v>4</v>
      </c>
      <c r="I6468" s="220">
        <v>541000</v>
      </c>
      <c r="J6468" s="220">
        <f>I6468*0.1</f>
        <v>54100</v>
      </c>
      <c r="K6468" s="220">
        <v>0</v>
      </c>
      <c r="L6468" s="220">
        <v>9130</v>
      </c>
      <c r="M6468" s="220">
        <v>15950</v>
      </c>
      <c r="N6468" s="220">
        <f>SUM(I6468:M6469)</f>
        <v>620180</v>
      </c>
      <c r="O6468" s="224"/>
      <c r="P6468" s="110" t="s">
        <v>18760</v>
      </c>
      <c r="Q6468" s="15" t="s">
        <v>19</v>
      </c>
      <c r="R6468" s="205"/>
      <c r="S6468" s="189" t="s">
        <v>25470</v>
      </c>
      <c r="T6468" s="114"/>
      <c r="U6468" s="21"/>
      <c r="V6468" s="115">
        <v>46113</v>
      </c>
      <c r="W6468" s="116">
        <v>1011</v>
      </c>
      <c r="X6468" s="220">
        <v>600000</v>
      </c>
      <c r="Y6468" s="220">
        <f>X6468*0.1</f>
        <v>60000</v>
      </c>
      <c r="Z6468" s="220">
        <v>9130</v>
      </c>
      <c r="AA6468" s="220">
        <f>SUM(X6468:Z6468)</f>
        <v>669130</v>
      </c>
      <c r="AB6468" s="222">
        <v>46118</v>
      </c>
    </row>
    <row r="6469" spans="1:28" ht="17.100000000000001" customHeight="1" thickBot="1">
      <c r="A6469" s="227"/>
      <c r="B6469" s="27" t="s">
        <v>2654</v>
      </c>
      <c r="C6469" s="27">
        <v>173</v>
      </c>
      <c r="D6469" s="14" t="s">
        <v>2559</v>
      </c>
      <c r="E6469" s="229"/>
      <c r="F6469" s="117" t="s">
        <v>18241</v>
      </c>
      <c r="G6469" s="26">
        <v>104069</v>
      </c>
      <c r="H6469" s="231"/>
      <c r="I6469" s="221"/>
      <c r="J6469" s="221"/>
      <c r="K6469" s="221"/>
      <c r="L6469" s="221"/>
      <c r="M6469" s="221"/>
      <c r="N6469" s="221"/>
      <c r="O6469" s="225"/>
      <c r="P6469" s="118" t="s">
        <v>18761</v>
      </c>
      <c r="Q6469" s="16" t="s">
        <v>20</v>
      </c>
      <c r="R6469" s="17" t="s">
        <v>1704</v>
      </c>
      <c r="S6469" s="121" t="s">
        <v>4843</v>
      </c>
      <c r="T6469" s="122"/>
      <c r="U6469" s="22"/>
      <c r="V6469" s="123" t="s">
        <v>2747</v>
      </c>
      <c r="W6469" s="122">
        <v>6134</v>
      </c>
      <c r="X6469" s="221"/>
      <c r="Y6469" s="221"/>
      <c r="Z6469" s="221"/>
      <c r="AA6469" s="221"/>
      <c r="AB6469" s="223"/>
    </row>
    <row r="6470" spans="1:28" ht="17.100000000000001" customHeight="1" thickTop="1">
      <c r="A6470" s="226" t="s">
        <v>18219</v>
      </c>
      <c r="B6470" s="28">
        <v>46077</v>
      </c>
      <c r="C6470" s="25">
        <v>928</v>
      </c>
      <c r="D6470" s="13" t="s">
        <v>1578</v>
      </c>
      <c r="E6470" s="228"/>
      <c r="F6470" s="109" t="s">
        <v>15475</v>
      </c>
      <c r="G6470" s="24"/>
      <c r="H6470" s="230">
        <v>4</v>
      </c>
      <c r="I6470" s="220">
        <v>912000</v>
      </c>
      <c r="J6470" s="220">
        <f>I6470*0.1</f>
        <v>91200</v>
      </c>
      <c r="K6470" s="220">
        <v>0</v>
      </c>
      <c r="L6470" s="220">
        <v>9200</v>
      </c>
      <c r="M6470" s="220">
        <v>15950</v>
      </c>
      <c r="N6470" s="220">
        <f>SUM(I6470:M6471)</f>
        <v>1028350</v>
      </c>
      <c r="O6470" s="224"/>
      <c r="P6470" s="110" t="s">
        <v>18722</v>
      </c>
      <c r="Q6470" s="15" t="s">
        <v>19</v>
      </c>
      <c r="R6470" s="205"/>
      <c r="S6470" s="189"/>
      <c r="T6470" s="114"/>
      <c r="U6470" s="21"/>
      <c r="V6470" s="115">
        <v>46081</v>
      </c>
      <c r="W6470" s="116">
        <v>1290</v>
      </c>
      <c r="X6470" s="220">
        <v>990000</v>
      </c>
      <c r="Y6470" s="220">
        <f>X6470*0.1</f>
        <v>99000</v>
      </c>
      <c r="Z6470" s="220">
        <v>9200</v>
      </c>
      <c r="AA6470" s="220">
        <f>SUM(X6470:Z6470)</f>
        <v>1098200</v>
      </c>
      <c r="AB6470" s="222">
        <v>46086</v>
      </c>
    </row>
    <row r="6471" spans="1:28" ht="17.100000000000001" customHeight="1" thickBot="1">
      <c r="A6471" s="227"/>
      <c r="B6471" s="27" t="s">
        <v>2654</v>
      </c>
      <c r="C6471" s="27">
        <v>3140</v>
      </c>
      <c r="D6471" s="14" t="s">
        <v>273</v>
      </c>
      <c r="E6471" s="229"/>
      <c r="F6471" s="117" t="s">
        <v>18242</v>
      </c>
      <c r="G6471" s="26">
        <v>42173</v>
      </c>
      <c r="H6471" s="231"/>
      <c r="I6471" s="221"/>
      <c r="J6471" s="221"/>
      <c r="K6471" s="221"/>
      <c r="L6471" s="221"/>
      <c r="M6471" s="221"/>
      <c r="N6471" s="221"/>
      <c r="O6471" s="225"/>
      <c r="P6471" s="118" t="s">
        <v>12548</v>
      </c>
      <c r="Q6471" s="16" t="s">
        <v>20</v>
      </c>
      <c r="R6471" s="17" t="s">
        <v>1704</v>
      </c>
      <c r="S6471" s="121"/>
      <c r="T6471" s="122"/>
      <c r="U6471" s="22"/>
      <c r="V6471" s="123" t="s">
        <v>2472</v>
      </c>
      <c r="W6471" s="122">
        <v>60444</v>
      </c>
      <c r="X6471" s="221"/>
      <c r="Y6471" s="221"/>
      <c r="Z6471" s="221"/>
      <c r="AA6471" s="221"/>
      <c r="AB6471" s="223"/>
    </row>
    <row r="6472" spans="1:28" ht="17.100000000000001" customHeight="1" thickTop="1">
      <c r="A6472" s="226" t="s">
        <v>18237</v>
      </c>
      <c r="B6472" s="28">
        <v>46077</v>
      </c>
      <c r="C6472" s="25">
        <v>928</v>
      </c>
      <c r="D6472" s="13" t="s">
        <v>1678</v>
      </c>
      <c r="E6472" s="228"/>
      <c r="F6472" s="109" t="s">
        <v>15665</v>
      </c>
      <c r="G6472" s="24"/>
      <c r="H6472" s="230">
        <v>4.5</v>
      </c>
      <c r="I6472" s="220">
        <v>1302000</v>
      </c>
      <c r="J6472" s="220">
        <f>I6472*0.1</f>
        <v>130200</v>
      </c>
      <c r="K6472" s="220">
        <v>0</v>
      </c>
      <c r="L6472" s="220">
        <v>7040</v>
      </c>
      <c r="M6472" s="220">
        <v>15950</v>
      </c>
      <c r="N6472" s="220">
        <f>SUM(I6472:M6473)</f>
        <v>1455190</v>
      </c>
      <c r="O6472" s="224"/>
      <c r="P6472" s="110" t="s">
        <v>18724</v>
      </c>
      <c r="Q6472" s="15" t="s">
        <v>19</v>
      </c>
      <c r="R6472" s="205"/>
      <c r="S6472" s="189" t="s">
        <v>283</v>
      </c>
      <c r="T6472" s="114"/>
      <c r="U6472" s="21"/>
      <c r="V6472" s="115">
        <v>46081</v>
      </c>
      <c r="W6472" s="116">
        <v>1290</v>
      </c>
      <c r="X6472" s="220">
        <v>1400000</v>
      </c>
      <c r="Y6472" s="220">
        <f>X6472*0.1</f>
        <v>140000</v>
      </c>
      <c r="Z6472" s="220">
        <v>7040</v>
      </c>
      <c r="AA6472" s="220">
        <f>SUM(X6472:Z6472)</f>
        <v>1547040</v>
      </c>
      <c r="AB6472" s="222">
        <v>46086</v>
      </c>
    </row>
    <row r="6473" spans="1:28" ht="17.100000000000001" customHeight="1" thickBot="1">
      <c r="A6473" s="227"/>
      <c r="B6473" s="27" t="s">
        <v>2654</v>
      </c>
      <c r="C6473" s="27">
        <v>3150</v>
      </c>
      <c r="D6473" s="14" t="s">
        <v>2559</v>
      </c>
      <c r="E6473" s="229"/>
      <c r="F6473" s="117" t="s">
        <v>18243</v>
      </c>
      <c r="G6473" s="26">
        <v>37309</v>
      </c>
      <c r="H6473" s="231"/>
      <c r="I6473" s="221"/>
      <c r="J6473" s="221"/>
      <c r="K6473" s="221"/>
      <c r="L6473" s="221"/>
      <c r="M6473" s="221"/>
      <c r="N6473" s="221"/>
      <c r="O6473" s="225"/>
      <c r="P6473" s="118" t="s">
        <v>18725</v>
      </c>
      <c r="Q6473" s="16" t="s">
        <v>20</v>
      </c>
      <c r="R6473" s="17" t="s">
        <v>1704</v>
      </c>
      <c r="S6473" s="121" t="s">
        <v>9675</v>
      </c>
      <c r="T6473" s="122"/>
      <c r="U6473" s="22"/>
      <c r="V6473" s="123" t="s">
        <v>2472</v>
      </c>
      <c r="W6473" s="122">
        <v>60484</v>
      </c>
      <c r="X6473" s="221"/>
      <c r="Y6473" s="221"/>
      <c r="Z6473" s="221"/>
      <c r="AA6473" s="221"/>
      <c r="AB6473" s="223"/>
    </row>
    <row r="6474" spans="1:28" ht="17.100000000000001" customHeight="1" thickTop="1">
      <c r="A6474" s="226" t="s">
        <v>18238</v>
      </c>
      <c r="B6474" s="28">
        <v>46077</v>
      </c>
      <c r="C6474" s="25">
        <v>928</v>
      </c>
      <c r="D6474" s="13" t="s">
        <v>2328</v>
      </c>
      <c r="E6474" s="228"/>
      <c r="F6474" s="109" t="s">
        <v>14900</v>
      </c>
      <c r="G6474" s="24" t="s">
        <v>6610</v>
      </c>
      <c r="H6474" s="230">
        <v>5</v>
      </c>
      <c r="I6474" s="220">
        <v>1202000</v>
      </c>
      <c r="J6474" s="220">
        <f>I6474*0.1</f>
        <v>120200</v>
      </c>
      <c r="K6474" s="220">
        <v>0</v>
      </c>
      <c r="L6474" s="220">
        <v>8350</v>
      </c>
      <c r="M6474" s="220">
        <v>15950</v>
      </c>
      <c r="N6474" s="220">
        <f>SUM(I6474:M6475)</f>
        <v>1346500</v>
      </c>
      <c r="O6474" s="224"/>
      <c r="P6474" s="110" t="s">
        <v>18249</v>
      </c>
      <c r="Q6474" s="15" t="s">
        <v>19</v>
      </c>
      <c r="R6474" s="205"/>
      <c r="S6474" s="189" t="s">
        <v>25815</v>
      </c>
      <c r="T6474" s="114"/>
      <c r="U6474" s="21"/>
      <c r="V6474" s="115">
        <v>46081</v>
      </c>
      <c r="W6474" s="116">
        <v>1290</v>
      </c>
      <c r="X6474" s="220">
        <v>1255000</v>
      </c>
      <c r="Y6474" s="220">
        <f>X6474*0.1</f>
        <v>125500</v>
      </c>
      <c r="Z6474" s="220">
        <v>8350</v>
      </c>
      <c r="AA6474" s="220">
        <f>SUM(X6474:Z6474)</f>
        <v>1388850</v>
      </c>
      <c r="AB6474" s="222">
        <v>46086</v>
      </c>
    </row>
    <row r="6475" spans="1:28" ht="17.100000000000001" customHeight="1" thickBot="1">
      <c r="A6475" s="227"/>
      <c r="B6475" s="27" t="s">
        <v>2654</v>
      </c>
      <c r="C6475" s="27">
        <v>3158</v>
      </c>
      <c r="D6475" s="14" t="s">
        <v>2753</v>
      </c>
      <c r="E6475" s="229"/>
      <c r="F6475" s="117" t="s">
        <v>18244</v>
      </c>
      <c r="G6475" s="26">
        <v>4997</v>
      </c>
      <c r="H6475" s="231"/>
      <c r="I6475" s="221"/>
      <c r="J6475" s="221"/>
      <c r="K6475" s="221"/>
      <c r="L6475" s="221"/>
      <c r="M6475" s="221"/>
      <c r="N6475" s="221"/>
      <c r="O6475" s="225"/>
      <c r="P6475" s="118" t="s">
        <v>18723</v>
      </c>
      <c r="Q6475" s="16" t="s">
        <v>20</v>
      </c>
      <c r="R6475" s="17" t="s">
        <v>1704</v>
      </c>
      <c r="S6475" s="121" t="s">
        <v>1731</v>
      </c>
      <c r="T6475" s="122"/>
      <c r="U6475" s="22"/>
      <c r="V6475" s="123" t="s">
        <v>2472</v>
      </c>
      <c r="W6475" s="122">
        <v>60483</v>
      </c>
      <c r="X6475" s="221"/>
      <c r="Y6475" s="221"/>
      <c r="Z6475" s="221"/>
      <c r="AA6475" s="221"/>
      <c r="AB6475" s="223"/>
    </row>
    <row r="6476" spans="1:28" ht="17.100000000000001" customHeight="1" thickTop="1">
      <c r="A6476" s="226" t="s">
        <v>18239</v>
      </c>
      <c r="B6476" s="28">
        <v>46077</v>
      </c>
      <c r="C6476" s="25">
        <v>928</v>
      </c>
      <c r="D6476" s="13" t="s">
        <v>1678</v>
      </c>
      <c r="E6476" s="228"/>
      <c r="F6476" s="109" t="s">
        <v>18245</v>
      </c>
      <c r="G6476" s="24"/>
      <c r="H6476" s="230">
        <v>4.5</v>
      </c>
      <c r="I6476" s="220">
        <v>1948000</v>
      </c>
      <c r="J6476" s="220">
        <f>I6476*0.1</f>
        <v>194800</v>
      </c>
      <c r="K6476" s="220">
        <v>0</v>
      </c>
      <c r="L6476" s="220">
        <v>15130</v>
      </c>
      <c r="M6476" s="220">
        <v>15950</v>
      </c>
      <c r="N6476" s="220">
        <f>SUM(I6476:M6477)</f>
        <v>2173880</v>
      </c>
      <c r="O6476" s="224"/>
      <c r="P6476" s="110" t="s">
        <v>18738</v>
      </c>
      <c r="Q6476" s="15" t="s">
        <v>19</v>
      </c>
      <c r="R6476" s="205"/>
      <c r="S6476" s="189" t="s">
        <v>283</v>
      </c>
      <c r="T6476" s="114"/>
      <c r="U6476" s="21"/>
      <c r="V6476" s="115">
        <v>46088</v>
      </c>
      <c r="W6476" s="116">
        <v>1291</v>
      </c>
      <c r="X6476" s="220">
        <v>2110000</v>
      </c>
      <c r="Y6476" s="220">
        <f>X6476*0.1</f>
        <v>211000</v>
      </c>
      <c r="Z6476" s="220">
        <v>15130</v>
      </c>
      <c r="AA6476" s="220">
        <f>SUM(X6476:Z6476)</f>
        <v>2336130</v>
      </c>
      <c r="AB6476" s="222">
        <v>46091</v>
      </c>
    </row>
    <row r="6477" spans="1:28" ht="17.100000000000001" customHeight="1" thickBot="1">
      <c r="A6477" s="227"/>
      <c r="B6477" s="27" t="s">
        <v>2654</v>
      </c>
      <c r="C6477" s="27">
        <v>5032</v>
      </c>
      <c r="D6477" s="14" t="s">
        <v>2559</v>
      </c>
      <c r="E6477" s="229"/>
      <c r="F6477" s="117" t="s">
        <v>18250</v>
      </c>
      <c r="G6477" s="26">
        <v>38122</v>
      </c>
      <c r="H6477" s="231"/>
      <c r="I6477" s="221"/>
      <c r="J6477" s="221"/>
      <c r="K6477" s="221"/>
      <c r="L6477" s="221"/>
      <c r="M6477" s="221"/>
      <c r="N6477" s="221"/>
      <c r="O6477" s="225"/>
      <c r="P6477" s="118" t="s">
        <v>4411</v>
      </c>
      <c r="Q6477" s="16" t="s">
        <v>20</v>
      </c>
      <c r="R6477" s="17" t="s">
        <v>1704</v>
      </c>
      <c r="S6477" s="121" t="s">
        <v>3552</v>
      </c>
      <c r="T6477" s="122"/>
      <c r="U6477" s="22"/>
      <c r="V6477" s="123" t="s">
        <v>2472</v>
      </c>
      <c r="W6477" s="122">
        <v>80008</v>
      </c>
      <c r="X6477" s="221"/>
      <c r="Y6477" s="221"/>
      <c r="Z6477" s="221"/>
      <c r="AA6477" s="221"/>
      <c r="AB6477" s="223"/>
    </row>
    <row r="6478" spans="1:28" ht="17.100000000000001" customHeight="1" thickTop="1">
      <c r="A6478" s="233" t="s">
        <v>18251</v>
      </c>
      <c r="B6478" s="28">
        <v>46077</v>
      </c>
      <c r="C6478" s="25">
        <v>979</v>
      </c>
      <c r="D6478" s="13" t="s">
        <v>1678</v>
      </c>
      <c r="E6478" s="228"/>
      <c r="F6478" s="109" t="s">
        <v>7638</v>
      </c>
      <c r="G6478" s="24"/>
      <c r="H6478" s="230">
        <v>4</v>
      </c>
      <c r="I6478" s="220">
        <v>528000</v>
      </c>
      <c r="J6478" s="220">
        <f>I6478*0.1</f>
        <v>52800</v>
      </c>
      <c r="K6478" s="220">
        <v>0</v>
      </c>
      <c r="L6478" s="220">
        <v>5690</v>
      </c>
      <c r="M6478" s="220">
        <v>22000</v>
      </c>
      <c r="N6478" s="220">
        <f>SUM(I6478:M6479)</f>
        <v>608490</v>
      </c>
      <c r="O6478" s="224"/>
      <c r="P6478" s="110"/>
      <c r="Q6478" s="15" t="s">
        <v>19</v>
      </c>
      <c r="R6478" s="205"/>
      <c r="S6478" s="189" t="s">
        <v>758</v>
      </c>
      <c r="T6478" s="114" t="s">
        <v>18923</v>
      </c>
      <c r="U6478" s="21"/>
      <c r="V6478" s="115"/>
      <c r="W6478" s="116"/>
      <c r="X6478" s="220"/>
      <c r="Y6478" s="220">
        <f>X6478*0.1</f>
        <v>0</v>
      </c>
      <c r="Z6478" s="220"/>
      <c r="AA6478" s="220">
        <f>SUM(X6478:Z6478)</f>
        <v>0</v>
      </c>
      <c r="AB6478" s="222"/>
    </row>
    <row r="6479" spans="1:28" ht="17.100000000000001" customHeight="1" thickBot="1">
      <c r="A6479" s="234"/>
      <c r="B6479" s="27" t="s">
        <v>17765</v>
      </c>
      <c r="C6479" s="27">
        <v>91</v>
      </c>
      <c r="D6479" s="14" t="s">
        <v>2753</v>
      </c>
      <c r="E6479" s="229"/>
      <c r="F6479" s="117" t="s">
        <v>18255</v>
      </c>
      <c r="G6479" s="26">
        <v>56440</v>
      </c>
      <c r="H6479" s="231"/>
      <c r="I6479" s="221"/>
      <c r="J6479" s="221"/>
      <c r="K6479" s="221"/>
      <c r="L6479" s="221"/>
      <c r="M6479" s="221"/>
      <c r="N6479" s="221"/>
      <c r="O6479" s="225"/>
      <c r="P6479" s="118"/>
      <c r="Q6479" s="16" t="s">
        <v>20</v>
      </c>
      <c r="R6479" s="17" t="s">
        <v>18924</v>
      </c>
      <c r="S6479" s="121"/>
      <c r="T6479" s="122"/>
      <c r="U6479" s="22"/>
      <c r="V6479" s="123"/>
      <c r="W6479" s="122"/>
      <c r="X6479" s="221"/>
      <c r="Y6479" s="221"/>
      <c r="Z6479" s="221"/>
      <c r="AA6479" s="221"/>
      <c r="AB6479" s="223"/>
    </row>
    <row r="6480" spans="1:28" ht="17.100000000000001" customHeight="1" thickTop="1">
      <c r="A6480" s="233" t="s">
        <v>18252</v>
      </c>
      <c r="B6480" s="28">
        <v>46077</v>
      </c>
      <c r="C6480" s="25">
        <v>979</v>
      </c>
      <c r="D6480" s="13" t="s">
        <v>2010</v>
      </c>
      <c r="E6480" s="228"/>
      <c r="F6480" s="109" t="s">
        <v>7638</v>
      </c>
      <c r="G6480" s="24"/>
      <c r="H6480" s="230">
        <v>4</v>
      </c>
      <c r="I6480" s="220">
        <v>578000</v>
      </c>
      <c r="J6480" s="220">
        <f>I6480*0.1</f>
        <v>57800</v>
      </c>
      <c r="K6480" s="220">
        <v>0</v>
      </c>
      <c r="L6480" s="220">
        <v>5690</v>
      </c>
      <c r="M6480" s="220">
        <v>22000</v>
      </c>
      <c r="N6480" s="220">
        <f>SUM(I6480:M6481)</f>
        <v>663490</v>
      </c>
      <c r="O6480" s="224"/>
      <c r="P6480" s="110"/>
      <c r="Q6480" s="15" t="s">
        <v>19</v>
      </c>
      <c r="R6480" s="205"/>
      <c r="S6480" s="189" t="s">
        <v>758</v>
      </c>
      <c r="T6480" s="114" t="s">
        <v>18925</v>
      </c>
      <c r="U6480" s="21"/>
      <c r="V6480" s="115"/>
      <c r="W6480" s="116"/>
      <c r="X6480" s="220"/>
      <c r="Y6480" s="220">
        <f>X6480*0.1</f>
        <v>0</v>
      </c>
      <c r="Z6480" s="220"/>
      <c r="AA6480" s="220">
        <f>SUM(X6480:Z6480)</f>
        <v>0</v>
      </c>
      <c r="AB6480" s="222"/>
    </row>
    <row r="6481" spans="1:28" ht="17.100000000000001" customHeight="1" thickBot="1">
      <c r="A6481" s="234"/>
      <c r="B6481" s="27" t="s">
        <v>17765</v>
      </c>
      <c r="C6481" s="27">
        <v>93</v>
      </c>
      <c r="D6481" s="14" t="s">
        <v>1584</v>
      </c>
      <c r="E6481" s="229"/>
      <c r="F6481" s="117" t="s">
        <v>18256</v>
      </c>
      <c r="G6481" s="26">
        <v>49296</v>
      </c>
      <c r="H6481" s="231"/>
      <c r="I6481" s="221"/>
      <c r="J6481" s="221"/>
      <c r="K6481" s="221"/>
      <c r="L6481" s="221"/>
      <c r="M6481" s="221"/>
      <c r="N6481" s="221"/>
      <c r="O6481" s="225"/>
      <c r="P6481" s="118"/>
      <c r="Q6481" s="16" t="s">
        <v>20</v>
      </c>
      <c r="R6481" s="17" t="s">
        <v>18924</v>
      </c>
      <c r="S6481" s="121"/>
      <c r="T6481" s="122"/>
      <c r="U6481" s="22"/>
      <c r="V6481" s="123"/>
      <c r="W6481" s="122"/>
      <c r="X6481" s="221"/>
      <c r="Y6481" s="221"/>
      <c r="Z6481" s="221"/>
      <c r="AA6481" s="221"/>
      <c r="AB6481" s="223"/>
    </row>
    <row r="6482" spans="1:28" ht="17.100000000000001" customHeight="1" thickTop="1">
      <c r="A6482" s="233" t="s">
        <v>18253</v>
      </c>
      <c r="B6482" s="28">
        <v>46077</v>
      </c>
      <c r="C6482" s="25">
        <v>979</v>
      </c>
      <c r="D6482" s="13" t="s">
        <v>812</v>
      </c>
      <c r="E6482" s="228"/>
      <c r="F6482" s="109" t="s">
        <v>18257</v>
      </c>
      <c r="G6482" s="24"/>
      <c r="H6482" s="230">
        <v>4</v>
      </c>
      <c r="I6482" s="220">
        <v>829000</v>
      </c>
      <c r="J6482" s="220">
        <f>I6482*0.1</f>
        <v>82900</v>
      </c>
      <c r="K6482" s="220">
        <v>0</v>
      </c>
      <c r="L6482" s="220">
        <v>8110</v>
      </c>
      <c r="M6482" s="220">
        <v>22000</v>
      </c>
      <c r="N6482" s="220">
        <f>SUM(I6482:M6483)</f>
        <v>942010</v>
      </c>
      <c r="O6482" s="224"/>
      <c r="P6482" s="110"/>
      <c r="Q6482" s="15" t="s">
        <v>19</v>
      </c>
      <c r="R6482" s="205"/>
      <c r="S6482" s="189" t="s">
        <v>25733</v>
      </c>
      <c r="T6482" s="114" t="s">
        <v>18926</v>
      </c>
      <c r="U6482" s="21"/>
      <c r="V6482" s="115"/>
      <c r="W6482" s="116"/>
      <c r="X6482" s="220"/>
      <c r="Y6482" s="220">
        <f>X6482*0.1</f>
        <v>0</v>
      </c>
      <c r="Z6482" s="220"/>
      <c r="AA6482" s="220">
        <f>SUM(X6482:Z6482)</f>
        <v>0</v>
      </c>
      <c r="AB6482" s="222"/>
    </row>
    <row r="6483" spans="1:28" ht="17.100000000000001" customHeight="1" thickBot="1">
      <c r="A6483" s="234"/>
      <c r="B6483" s="27" t="s">
        <v>17765</v>
      </c>
      <c r="C6483" s="27">
        <v>1047</v>
      </c>
      <c r="D6483" s="14" t="s">
        <v>1710</v>
      </c>
      <c r="E6483" s="229"/>
      <c r="F6483" s="117" t="s">
        <v>18258</v>
      </c>
      <c r="G6483" s="26">
        <v>57531</v>
      </c>
      <c r="H6483" s="231"/>
      <c r="I6483" s="221"/>
      <c r="J6483" s="221"/>
      <c r="K6483" s="221"/>
      <c r="L6483" s="221"/>
      <c r="M6483" s="221"/>
      <c r="N6483" s="221"/>
      <c r="O6483" s="225"/>
      <c r="P6483" s="118"/>
      <c r="Q6483" s="16" t="s">
        <v>20</v>
      </c>
      <c r="R6483" s="17" t="s">
        <v>18924</v>
      </c>
      <c r="S6483" s="121"/>
      <c r="T6483" s="122"/>
      <c r="U6483" s="22"/>
      <c r="V6483" s="123"/>
      <c r="W6483" s="122"/>
      <c r="X6483" s="221"/>
      <c r="Y6483" s="221"/>
      <c r="Z6483" s="221"/>
      <c r="AA6483" s="221"/>
      <c r="AB6483" s="223"/>
    </row>
    <row r="6484" spans="1:28" ht="17.100000000000001" customHeight="1" thickTop="1">
      <c r="A6484" s="233" t="s">
        <v>18254</v>
      </c>
      <c r="B6484" s="28">
        <v>46077</v>
      </c>
      <c r="C6484" s="25">
        <v>979</v>
      </c>
      <c r="D6484" s="13" t="s">
        <v>812</v>
      </c>
      <c r="E6484" s="228"/>
      <c r="F6484" s="109" t="s">
        <v>14962</v>
      </c>
      <c r="G6484" s="24"/>
      <c r="H6484" s="230">
        <v>4</v>
      </c>
      <c r="I6484" s="220">
        <v>1048000</v>
      </c>
      <c r="J6484" s="220">
        <f>I6484*0.1</f>
        <v>104800</v>
      </c>
      <c r="K6484" s="220">
        <v>0</v>
      </c>
      <c r="L6484" s="220">
        <v>9310</v>
      </c>
      <c r="M6484" s="220">
        <v>22000</v>
      </c>
      <c r="N6484" s="220">
        <f>SUM(I6484:M6485)</f>
        <v>1184110</v>
      </c>
      <c r="O6484" s="224"/>
      <c r="P6484" s="110"/>
      <c r="Q6484" s="15" t="s">
        <v>19</v>
      </c>
      <c r="R6484" s="205"/>
      <c r="S6484" s="189" t="s">
        <v>25733</v>
      </c>
      <c r="T6484" s="114" t="s">
        <v>18927</v>
      </c>
      <c r="U6484" s="21"/>
      <c r="V6484" s="115"/>
      <c r="W6484" s="116"/>
      <c r="X6484" s="220"/>
      <c r="Y6484" s="220">
        <f>X6484*0.1</f>
        <v>0</v>
      </c>
      <c r="Z6484" s="220"/>
      <c r="AA6484" s="220">
        <f>SUM(X6484:Z6484)</f>
        <v>0</v>
      </c>
      <c r="AB6484" s="222"/>
    </row>
    <row r="6485" spans="1:28" ht="17.100000000000001" customHeight="1" thickBot="1">
      <c r="A6485" s="234"/>
      <c r="B6485" s="27" t="s">
        <v>17765</v>
      </c>
      <c r="C6485" s="27">
        <v>1048</v>
      </c>
      <c r="D6485" s="14" t="s">
        <v>16908</v>
      </c>
      <c r="E6485" s="229"/>
      <c r="F6485" s="117" t="s">
        <v>18259</v>
      </c>
      <c r="G6485" s="26">
        <v>49885</v>
      </c>
      <c r="H6485" s="231"/>
      <c r="I6485" s="221"/>
      <c r="J6485" s="221"/>
      <c r="K6485" s="221"/>
      <c r="L6485" s="221"/>
      <c r="M6485" s="221"/>
      <c r="N6485" s="221"/>
      <c r="O6485" s="225"/>
      <c r="P6485" s="118"/>
      <c r="Q6485" s="16" t="s">
        <v>20</v>
      </c>
      <c r="R6485" s="17" t="s">
        <v>18924</v>
      </c>
      <c r="S6485" s="121"/>
      <c r="T6485" s="122"/>
      <c r="U6485" s="22"/>
      <c r="V6485" s="123"/>
      <c r="W6485" s="122"/>
      <c r="X6485" s="221"/>
      <c r="Y6485" s="221"/>
      <c r="Z6485" s="221"/>
      <c r="AA6485" s="221"/>
      <c r="AB6485" s="223"/>
    </row>
    <row r="6486" spans="1:28" ht="17.100000000000001" customHeight="1" thickTop="1">
      <c r="A6486" s="226" t="s">
        <v>18260</v>
      </c>
      <c r="B6486" s="28">
        <v>46078</v>
      </c>
      <c r="C6486" s="25">
        <v>1006</v>
      </c>
      <c r="D6486" s="13" t="s">
        <v>3271</v>
      </c>
      <c r="E6486" s="228"/>
      <c r="F6486" s="109" t="s">
        <v>18262</v>
      </c>
      <c r="G6486" s="24" t="s">
        <v>2530</v>
      </c>
      <c r="H6486" s="230">
        <v>4.5</v>
      </c>
      <c r="I6486" s="220">
        <v>2390000</v>
      </c>
      <c r="J6486" s="220">
        <f>I6486*0.1</f>
        <v>239000</v>
      </c>
      <c r="K6486" s="220">
        <v>2750</v>
      </c>
      <c r="L6486" s="220">
        <v>11650</v>
      </c>
      <c r="M6486" s="220">
        <v>12100</v>
      </c>
      <c r="N6486" s="220">
        <f>SUM(I6486:M6487)</f>
        <v>2655500</v>
      </c>
      <c r="O6486" s="224"/>
      <c r="P6486" s="110" t="s">
        <v>18265</v>
      </c>
      <c r="Q6486" s="15" t="s">
        <v>19</v>
      </c>
      <c r="R6486" s="205"/>
      <c r="S6486" s="189" t="s">
        <v>25816</v>
      </c>
      <c r="T6486" s="114"/>
      <c r="U6486" s="21"/>
      <c r="V6486" s="115">
        <v>46081</v>
      </c>
      <c r="W6486" s="116">
        <v>1290</v>
      </c>
      <c r="X6486" s="220">
        <v>2455000</v>
      </c>
      <c r="Y6486" s="220">
        <f>X6486*0.1</f>
        <v>245500</v>
      </c>
      <c r="Z6486" s="220">
        <v>11650</v>
      </c>
      <c r="AA6486" s="220">
        <f>SUM(X6486:Z6486)</f>
        <v>2712150</v>
      </c>
      <c r="AB6486" s="222">
        <v>46086</v>
      </c>
    </row>
    <row r="6487" spans="1:28" ht="17.100000000000001" customHeight="1" thickBot="1">
      <c r="A6487" s="227"/>
      <c r="B6487" s="27" t="s">
        <v>2747</v>
      </c>
      <c r="C6487" s="27">
        <v>1247</v>
      </c>
      <c r="D6487" s="14" t="s">
        <v>273</v>
      </c>
      <c r="E6487" s="229"/>
      <c r="F6487" s="117" t="s">
        <v>18263</v>
      </c>
      <c r="G6487" s="26">
        <v>12347</v>
      </c>
      <c r="H6487" s="231"/>
      <c r="I6487" s="221"/>
      <c r="J6487" s="221"/>
      <c r="K6487" s="221"/>
      <c r="L6487" s="221"/>
      <c r="M6487" s="221"/>
      <c r="N6487" s="221"/>
      <c r="O6487" s="225"/>
      <c r="P6487" s="118" t="s">
        <v>18842</v>
      </c>
      <c r="Q6487" s="16" t="s">
        <v>20</v>
      </c>
      <c r="R6487" s="17" t="s">
        <v>3913</v>
      </c>
      <c r="S6487" s="121" t="s">
        <v>18843</v>
      </c>
      <c r="T6487" s="122"/>
      <c r="U6487" s="22"/>
      <c r="V6487" s="123" t="s">
        <v>2472</v>
      </c>
      <c r="W6487" s="122">
        <v>164</v>
      </c>
      <c r="X6487" s="221"/>
      <c r="Y6487" s="221"/>
      <c r="Z6487" s="221"/>
      <c r="AA6487" s="221"/>
      <c r="AB6487" s="223"/>
    </row>
    <row r="6488" spans="1:28" ht="17.100000000000001" customHeight="1" thickTop="1">
      <c r="A6488" s="226" t="s">
        <v>18261</v>
      </c>
      <c r="B6488" s="28">
        <v>46078</v>
      </c>
      <c r="C6488" s="25">
        <v>1006</v>
      </c>
      <c r="D6488" s="13" t="s">
        <v>3243</v>
      </c>
      <c r="E6488" s="228"/>
      <c r="F6488" s="109" t="s">
        <v>15513</v>
      </c>
      <c r="G6488" s="24" t="s">
        <v>2926</v>
      </c>
      <c r="H6488" s="230">
        <v>3.5</v>
      </c>
      <c r="I6488" s="220">
        <v>505000</v>
      </c>
      <c r="J6488" s="220">
        <f>I6488*0.1</f>
        <v>50500</v>
      </c>
      <c r="K6488" s="220">
        <v>0</v>
      </c>
      <c r="L6488" s="220">
        <v>9080</v>
      </c>
      <c r="M6488" s="220">
        <v>11000</v>
      </c>
      <c r="N6488" s="220">
        <f>SUM(I6488:M6489)</f>
        <v>575580</v>
      </c>
      <c r="O6488" s="224"/>
      <c r="P6488" s="110" t="s">
        <v>18959</v>
      </c>
      <c r="Q6488" s="15" t="s">
        <v>19</v>
      </c>
      <c r="R6488" s="205"/>
      <c r="S6488" s="189" t="s">
        <v>25432</v>
      </c>
      <c r="T6488" s="114"/>
      <c r="U6488" s="21" t="s">
        <v>20462</v>
      </c>
      <c r="V6488" s="115"/>
      <c r="W6488" s="116"/>
      <c r="X6488" s="220"/>
      <c r="Y6488" s="220">
        <f>X6488*0.1</f>
        <v>0</v>
      </c>
      <c r="Z6488" s="220"/>
      <c r="AA6488" s="220">
        <f>SUM(X6488:Z6488)</f>
        <v>0</v>
      </c>
      <c r="AB6488" s="222"/>
    </row>
    <row r="6489" spans="1:28" ht="17.100000000000001" customHeight="1" thickBot="1">
      <c r="A6489" s="227"/>
      <c r="B6489" s="27" t="s">
        <v>2747</v>
      </c>
      <c r="C6489" s="27">
        <v>2069</v>
      </c>
      <c r="D6489" s="14" t="s">
        <v>273</v>
      </c>
      <c r="E6489" s="229"/>
      <c r="F6489" s="117" t="s">
        <v>18264</v>
      </c>
      <c r="G6489" s="26">
        <v>89624</v>
      </c>
      <c r="H6489" s="231"/>
      <c r="I6489" s="221"/>
      <c r="J6489" s="221"/>
      <c r="K6489" s="221"/>
      <c r="L6489" s="221"/>
      <c r="M6489" s="221"/>
      <c r="N6489" s="221"/>
      <c r="O6489" s="225"/>
      <c r="P6489" s="118" t="s">
        <v>18960</v>
      </c>
      <c r="Q6489" s="16" t="s">
        <v>20</v>
      </c>
      <c r="R6489" s="17" t="s">
        <v>18931</v>
      </c>
      <c r="S6489" s="121" t="s">
        <v>18961</v>
      </c>
      <c r="T6489" s="122"/>
      <c r="U6489" s="22"/>
      <c r="V6489" s="123"/>
      <c r="W6489" s="122"/>
      <c r="X6489" s="221"/>
      <c r="Y6489" s="221"/>
      <c r="Z6489" s="221"/>
      <c r="AA6489" s="221"/>
      <c r="AB6489" s="223"/>
    </row>
    <row r="6490" spans="1:28" ht="17.100000000000001" customHeight="1" thickTop="1">
      <c r="A6490" s="226" t="s">
        <v>18276</v>
      </c>
      <c r="B6490" s="28">
        <v>46077</v>
      </c>
      <c r="C6490" s="25">
        <v>1277</v>
      </c>
      <c r="D6490" s="13" t="s">
        <v>1715</v>
      </c>
      <c r="E6490" s="228"/>
      <c r="F6490" s="109" t="s">
        <v>18280</v>
      </c>
      <c r="G6490" s="24"/>
      <c r="H6490" s="230">
        <v>4</v>
      </c>
      <c r="I6490" s="220">
        <v>1613000</v>
      </c>
      <c r="J6490" s="220">
        <f>I6490*0.1</f>
        <v>161300</v>
      </c>
      <c r="K6490" s="220">
        <v>0</v>
      </c>
      <c r="L6490" s="220">
        <v>20410</v>
      </c>
      <c r="M6490" s="220">
        <v>18150</v>
      </c>
      <c r="N6490" s="220">
        <f>SUM(I6490:M6491)</f>
        <v>1812860</v>
      </c>
      <c r="O6490" s="224"/>
      <c r="P6490" s="110" t="s">
        <v>18732</v>
      </c>
      <c r="Q6490" s="15" t="s">
        <v>19</v>
      </c>
      <c r="R6490" s="205"/>
      <c r="S6490" s="189"/>
      <c r="T6490" s="114"/>
      <c r="U6490" s="21"/>
      <c r="V6490" s="115">
        <v>46081</v>
      </c>
      <c r="W6490" s="116">
        <v>1290</v>
      </c>
      <c r="X6490" s="220">
        <v>1770000</v>
      </c>
      <c r="Y6490" s="220">
        <f>X6490*0.1</f>
        <v>177000</v>
      </c>
      <c r="Z6490" s="220">
        <v>20410</v>
      </c>
      <c r="AA6490" s="220">
        <f>SUM(X6490:Z6490)</f>
        <v>1967410</v>
      </c>
      <c r="AB6490" s="222">
        <v>46086</v>
      </c>
    </row>
    <row r="6491" spans="1:28" ht="17.100000000000001" customHeight="1" thickBot="1">
      <c r="A6491" s="227"/>
      <c r="B6491" s="27" t="s">
        <v>18274</v>
      </c>
      <c r="C6491" s="27">
        <v>38025</v>
      </c>
      <c r="D6491" s="14" t="s">
        <v>273</v>
      </c>
      <c r="E6491" s="229"/>
      <c r="F6491" s="117" t="s">
        <v>18275</v>
      </c>
      <c r="G6491" s="26">
        <v>45863</v>
      </c>
      <c r="H6491" s="231"/>
      <c r="I6491" s="221"/>
      <c r="J6491" s="221"/>
      <c r="K6491" s="221"/>
      <c r="L6491" s="221"/>
      <c r="M6491" s="221"/>
      <c r="N6491" s="221"/>
      <c r="O6491" s="225"/>
      <c r="P6491" s="118" t="s">
        <v>1972</v>
      </c>
      <c r="Q6491" s="16" t="s">
        <v>20</v>
      </c>
      <c r="R6491" s="17" t="s">
        <v>1704</v>
      </c>
      <c r="S6491" s="121" t="s">
        <v>12420</v>
      </c>
      <c r="T6491" s="122"/>
      <c r="U6491" s="22"/>
      <c r="V6491" s="123" t="s">
        <v>6641</v>
      </c>
      <c r="W6491" s="122">
        <v>80354</v>
      </c>
      <c r="X6491" s="221"/>
      <c r="Y6491" s="221"/>
      <c r="Z6491" s="221"/>
      <c r="AA6491" s="221"/>
      <c r="AB6491" s="223"/>
    </row>
    <row r="6492" spans="1:28" ht="17.100000000000001" customHeight="1" thickTop="1">
      <c r="A6492" s="226" t="s">
        <v>18277</v>
      </c>
      <c r="B6492" s="28">
        <v>46077</v>
      </c>
      <c r="C6492" s="25">
        <v>979</v>
      </c>
      <c r="D6492" s="13" t="s">
        <v>1678</v>
      </c>
      <c r="E6492" s="228"/>
      <c r="F6492" s="109" t="s">
        <v>7638</v>
      </c>
      <c r="G6492" s="24"/>
      <c r="H6492" s="230">
        <v>4</v>
      </c>
      <c r="I6492" s="220">
        <v>528000</v>
      </c>
      <c r="J6492" s="220">
        <f>I6492*0.1</f>
        <v>52800</v>
      </c>
      <c r="K6492" s="220">
        <v>0</v>
      </c>
      <c r="L6492" s="220">
        <v>5690</v>
      </c>
      <c r="M6492" s="220">
        <v>22000</v>
      </c>
      <c r="N6492" s="220">
        <f>SUM(I6492:M6493)</f>
        <v>608490</v>
      </c>
      <c r="O6492" s="224"/>
      <c r="P6492" s="110" t="s">
        <v>18946</v>
      </c>
      <c r="Q6492" s="15" t="s">
        <v>19</v>
      </c>
      <c r="R6492" s="205"/>
      <c r="S6492" s="189" t="s">
        <v>758</v>
      </c>
      <c r="T6492" s="114"/>
      <c r="U6492" s="21"/>
      <c r="V6492" s="115">
        <v>46091</v>
      </c>
      <c r="W6492" s="116">
        <v>1932</v>
      </c>
      <c r="X6492" s="220">
        <v>601000</v>
      </c>
      <c r="Y6492" s="220">
        <f>X6492*0.1</f>
        <v>60100</v>
      </c>
      <c r="Z6492" s="220">
        <v>5690</v>
      </c>
      <c r="AA6492" s="220">
        <f>SUM(X6492:Z6492)</f>
        <v>666790</v>
      </c>
      <c r="AB6492" s="222"/>
    </row>
    <row r="6493" spans="1:28" ht="17.100000000000001" customHeight="1" thickBot="1">
      <c r="A6493" s="227"/>
      <c r="B6493" s="27" t="s">
        <v>17765</v>
      </c>
      <c r="C6493" s="27">
        <v>91</v>
      </c>
      <c r="D6493" s="14" t="s">
        <v>2753</v>
      </c>
      <c r="E6493" s="229"/>
      <c r="F6493" s="117" t="s">
        <v>18255</v>
      </c>
      <c r="G6493" s="26">
        <v>56440</v>
      </c>
      <c r="H6493" s="231"/>
      <c r="I6493" s="221"/>
      <c r="J6493" s="221"/>
      <c r="K6493" s="221"/>
      <c r="L6493" s="221"/>
      <c r="M6493" s="221"/>
      <c r="N6493" s="221"/>
      <c r="O6493" s="225"/>
      <c r="P6493" s="118" t="s">
        <v>18947</v>
      </c>
      <c r="Q6493" s="16" t="s">
        <v>20</v>
      </c>
      <c r="R6493" s="17" t="s">
        <v>18931</v>
      </c>
      <c r="S6493" s="121" t="s">
        <v>18921</v>
      </c>
      <c r="T6493" s="122"/>
      <c r="U6493" s="22"/>
      <c r="V6493" s="123" t="s">
        <v>2103</v>
      </c>
      <c r="W6493" s="122">
        <v>3119</v>
      </c>
      <c r="X6493" s="221"/>
      <c r="Y6493" s="221"/>
      <c r="Z6493" s="221"/>
      <c r="AA6493" s="221"/>
      <c r="AB6493" s="223"/>
    </row>
    <row r="6494" spans="1:28" ht="17.100000000000001" customHeight="1" thickTop="1">
      <c r="A6494" s="226" t="s">
        <v>18278</v>
      </c>
      <c r="B6494" s="28">
        <v>46077</v>
      </c>
      <c r="C6494" s="25">
        <v>979</v>
      </c>
      <c r="D6494" s="13" t="s">
        <v>2010</v>
      </c>
      <c r="E6494" s="228"/>
      <c r="F6494" s="109" t="s">
        <v>7638</v>
      </c>
      <c r="G6494" s="24"/>
      <c r="H6494" s="230">
        <v>4</v>
      </c>
      <c r="I6494" s="220">
        <v>578000</v>
      </c>
      <c r="J6494" s="220">
        <f>I6494*0.1</f>
        <v>57800</v>
      </c>
      <c r="K6494" s="220">
        <v>0</v>
      </c>
      <c r="L6494" s="220">
        <v>5690</v>
      </c>
      <c r="M6494" s="220">
        <v>22000</v>
      </c>
      <c r="N6494" s="220">
        <f>SUM(I6494:M6495)</f>
        <v>663490</v>
      </c>
      <c r="O6494" s="224"/>
      <c r="P6494" s="110" t="s">
        <v>18948</v>
      </c>
      <c r="Q6494" s="15" t="s">
        <v>19</v>
      </c>
      <c r="R6494" s="205"/>
      <c r="S6494" s="189" t="s">
        <v>758</v>
      </c>
      <c r="T6494" s="114"/>
      <c r="U6494" s="21"/>
      <c r="V6494" s="115">
        <v>46091</v>
      </c>
      <c r="W6494" s="116">
        <v>1932</v>
      </c>
      <c r="X6494" s="220">
        <v>646000</v>
      </c>
      <c r="Y6494" s="220">
        <f>X6494*0.1</f>
        <v>64600</v>
      </c>
      <c r="Z6494" s="220">
        <v>5690</v>
      </c>
      <c r="AA6494" s="220">
        <f>SUM(X6494:Z6494)</f>
        <v>716290</v>
      </c>
      <c r="AB6494" s="222"/>
    </row>
    <row r="6495" spans="1:28" ht="17.100000000000001" customHeight="1" thickBot="1">
      <c r="A6495" s="227"/>
      <c r="B6495" s="27" t="s">
        <v>17765</v>
      </c>
      <c r="C6495" s="27">
        <v>93</v>
      </c>
      <c r="D6495" s="14" t="s">
        <v>1584</v>
      </c>
      <c r="E6495" s="229"/>
      <c r="F6495" s="117" t="s">
        <v>18256</v>
      </c>
      <c r="G6495" s="26">
        <v>49296</v>
      </c>
      <c r="H6495" s="231"/>
      <c r="I6495" s="221"/>
      <c r="J6495" s="221"/>
      <c r="K6495" s="221"/>
      <c r="L6495" s="221"/>
      <c r="M6495" s="221"/>
      <c r="N6495" s="221"/>
      <c r="O6495" s="225"/>
      <c r="P6495" s="118" t="s">
        <v>18947</v>
      </c>
      <c r="Q6495" s="16" t="s">
        <v>20</v>
      </c>
      <c r="R6495" s="17" t="s">
        <v>18931</v>
      </c>
      <c r="S6495" s="121" t="s">
        <v>18921</v>
      </c>
      <c r="T6495" s="122"/>
      <c r="U6495" s="22"/>
      <c r="V6495" s="123" t="s">
        <v>2103</v>
      </c>
      <c r="W6495" s="122">
        <v>3171</v>
      </c>
      <c r="X6495" s="221"/>
      <c r="Y6495" s="221"/>
      <c r="Z6495" s="221"/>
      <c r="AA6495" s="221"/>
      <c r="AB6495" s="223"/>
    </row>
    <row r="6496" spans="1:28" ht="17.100000000000001" customHeight="1" thickTop="1">
      <c r="A6496" s="226" t="s">
        <v>18279</v>
      </c>
      <c r="B6496" s="28">
        <v>46077</v>
      </c>
      <c r="C6496" s="25">
        <v>979</v>
      </c>
      <c r="D6496" s="13" t="s">
        <v>812</v>
      </c>
      <c r="E6496" s="228"/>
      <c r="F6496" s="109" t="s">
        <v>4072</v>
      </c>
      <c r="G6496" s="24"/>
      <c r="H6496" s="230">
        <v>4</v>
      </c>
      <c r="I6496" s="220">
        <v>829000</v>
      </c>
      <c r="J6496" s="220">
        <f>I6496*0.1</f>
        <v>82900</v>
      </c>
      <c r="K6496" s="220">
        <v>0</v>
      </c>
      <c r="L6496" s="220">
        <v>8110</v>
      </c>
      <c r="M6496" s="220">
        <v>22000</v>
      </c>
      <c r="N6496" s="220">
        <f>SUM(I6496:M6497)</f>
        <v>942010</v>
      </c>
      <c r="O6496" s="224"/>
      <c r="P6496" s="110" t="s">
        <v>18949</v>
      </c>
      <c r="Q6496" s="15" t="s">
        <v>19</v>
      </c>
      <c r="R6496" s="205"/>
      <c r="S6496" s="189" t="s">
        <v>25491</v>
      </c>
      <c r="T6496" s="114"/>
      <c r="U6496" s="21"/>
      <c r="V6496" s="115">
        <v>46099</v>
      </c>
      <c r="W6496" s="116">
        <v>1009</v>
      </c>
      <c r="X6496" s="220">
        <v>875000</v>
      </c>
      <c r="Y6496" s="220">
        <f>X6496*0.1</f>
        <v>87500</v>
      </c>
      <c r="Z6496" s="220">
        <v>8110</v>
      </c>
      <c r="AA6496" s="220">
        <f>SUM(X6496:Z6496)</f>
        <v>970610</v>
      </c>
      <c r="AB6496" s="222">
        <v>46105</v>
      </c>
    </row>
    <row r="6497" spans="1:28" ht="17.100000000000001" customHeight="1" thickBot="1">
      <c r="A6497" s="227"/>
      <c r="B6497" s="27" t="s">
        <v>17765</v>
      </c>
      <c r="C6497" s="27">
        <v>1047</v>
      </c>
      <c r="D6497" s="14" t="s">
        <v>1710</v>
      </c>
      <c r="E6497" s="229"/>
      <c r="F6497" s="117" t="s">
        <v>18258</v>
      </c>
      <c r="G6497" s="26">
        <v>57531</v>
      </c>
      <c r="H6497" s="231"/>
      <c r="I6497" s="221"/>
      <c r="J6497" s="221"/>
      <c r="K6497" s="221"/>
      <c r="L6497" s="221"/>
      <c r="M6497" s="221"/>
      <c r="N6497" s="221"/>
      <c r="O6497" s="225"/>
      <c r="P6497" s="118" t="s">
        <v>18950</v>
      </c>
      <c r="Q6497" s="16" t="s">
        <v>20</v>
      </c>
      <c r="R6497" s="17" t="s">
        <v>18931</v>
      </c>
      <c r="S6497" s="121" t="s">
        <v>18922</v>
      </c>
      <c r="T6497" s="122"/>
      <c r="U6497" s="22"/>
      <c r="V6497" s="123" t="s">
        <v>2747</v>
      </c>
      <c r="W6497" s="122">
        <v>5093</v>
      </c>
      <c r="X6497" s="221"/>
      <c r="Y6497" s="221"/>
      <c r="Z6497" s="221"/>
      <c r="AA6497" s="221"/>
      <c r="AB6497" s="223"/>
    </row>
    <row r="6498" spans="1:28" ht="17.100000000000001" customHeight="1" thickTop="1">
      <c r="A6498" s="226" t="s">
        <v>18281</v>
      </c>
      <c r="B6498" s="28">
        <v>46077</v>
      </c>
      <c r="C6498" s="25">
        <v>979</v>
      </c>
      <c r="D6498" s="13" t="s">
        <v>812</v>
      </c>
      <c r="E6498" s="228"/>
      <c r="F6498" s="109" t="s">
        <v>9048</v>
      </c>
      <c r="G6498" s="24"/>
      <c r="H6498" s="230">
        <v>4</v>
      </c>
      <c r="I6498" s="220">
        <v>1048000</v>
      </c>
      <c r="J6498" s="220">
        <f>I6498*0.1</f>
        <v>104800</v>
      </c>
      <c r="K6498" s="220">
        <v>0</v>
      </c>
      <c r="L6498" s="220">
        <v>9310</v>
      </c>
      <c r="M6498" s="220">
        <v>22000</v>
      </c>
      <c r="N6498" s="220">
        <f>SUM(I6498:M6499)</f>
        <v>1184110</v>
      </c>
      <c r="O6498" s="224"/>
      <c r="P6498" s="110" t="s">
        <v>18951</v>
      </c>
      <c r="Q6498" s="15" t="s">
        <v>19</v>
      </c>
      <c r="R6498" s="205"/>
      <c r="S6498" s="189" t="s">
        <v>25491</v>
      </c>
      <c r="T6498" s="114"/>
      <c r="U6498" s="21"/>
      <c r="V6498" s="115">
        <v>46099</v>
      </c>
      <c r="W6498" s="116">
        <v>1009</v>
      </c>
      <c r="X6498" s="220">
        <v>1125000</v>
      </c>
      <c r="Y6498" s="220">
        <f>X6498*0.1</f>
        <v>112500</v>
      </c>
      <c r="Z6498" s="220">
        <v>9310</v>
      </c>
      <c r="AA6498" s="220">
        <f>SUM(X6498:Z6498)</f>
        <v>1246810</v>
      </c>
      <c r="AB6498" s="222">
        <v>46105</v>
      </c>
    </row>
    <row r="6499" spans="1:28" ht="17.100000000000001" customHeight="1" thickBot="1">
      <c r="A6499" s="227"/>
      <c r="B6499" s="27" t="s">
        <v>17765</v>
      </c>
      <c r="C6499" s="27">
        <v>1048</v>
      </c>
      <c r="D6499" s="14" t="s">
        <v>2788</v>
      </c>
      <c r="E6499" s="229"/>
      <c r="F6499" s="117" t="s">
        <v>18259</v>
      </c>
      <c r="G6499" s="26">
        <v>49885</v>
      </c>
      <c r="H6499" s="231"/>
      <c r="I6499" s="221"/>
      <c r="J6499" s="221"/>
      <c r="K6499" s="221"/>
      <c r="L6499" s="221"/>
      <c r="M6499" s="221"/>
      <c r="N6499" s="221"/>
      <c r="O6499" s="225"/>
      <c r="P6499" s="118" t="s">
        <v>18950</v>
      </c>
      <c r="Q6499" s="16" t="s">
        <v>20</v>
      </c>
      <c r="R6499" s="17" t="s">
        <v>18931</v>
      </c>
      <c r="S6499" s="121" t="s">
        <v>18922</v>
      </c>
      <c r="T6499" s="122"/>
      <c r="U6499" s="22"/>
      <c r="V6499" s="123" t="s">
        <v>2747</v>
      </c>
      <c r="W6499" s="122">
        <v>4024</v>
      </c>
      <c r="X6499" s="221"/>
      <c r="Y6499" s="221"/>
      <c r="Z6499" s="221"/>
      <c r="AA6499" s="221"/>
      <c r="AB6499" s="223"/>
    </row>
    <row r="6500" spans="1:28" ht="17.100000000000001" customHeight="1" thickTop="1">
      <c r="A6500" s="226" t="s">
        <v>18282</v>
      </c>
      <c r="B6500" s="28">
        <v>46078</v>
      </c>
      <c r="C6500" s="25">
        <v>1827</v>
      </c>
      <c r="D6500" s="13" t="s">
        <v>1702</v>
      </c>
      <c r="E6500" s="228"/>
      <c r="F6500" s="109" t="s">
        <v>4763</v>
      </c>
      <c r="G6500" s="24"/>
      <c r="H6500" s="230">
        <v>4.5</v>
      </c>
      <c r="I6500" s="220">
        <v>666000</v>
      </c>
      <c r="J6500" s="220">
        <f>I6500*0.1</f>
        <v>66600</v>
      </c>
      <c r="K6500" s="220">
        <v>0</v>
      </c>
      <c r="L6500" s="220">
        <v>9790</v>
      </c>
      <c r="M6500" s="220">
        <v>18150</v>
      </c>
      <c r="N6500" s="220">
        <f>SUM(I6500:M6501)</f>
        <v>760540</v>
      </c>
      <c r="O6500" s="224"/>
      <c r="P6500" s="110" t="s">
        <v>18881</v>
      </c>
      <c r="Q6500" s="15" t="s">
        <v>19</v>
      </c>
      <c r="R6500" s="205"/>
      <c r="S6500" s="189" t="s">
        <v>25817</v>
      </c>
      <c r="T6500" s="114"/>
      <c r="U6500" s="21"/>
      <c r="V6500" s="115">
        <v>46106</v>
      </c>
      <c r="W6500" s="116">
        <v>1010</v>
      </c>
      <c r="X6500" s="220">
        <v>710000</v>
      </c>
      <c r="Y6500" s="220">
        <f>X6500*0.1</f>
        <v>71000</v>
      </c>
      <c r="Z6500" s="220">
        <v>9790</v>
      </c>
      <c r="AA6500" s="220">
        <f>SUM(X6500:Z6500)</f>
        <v>790790</v>
      </c>
      <c r="AB6500" s="222">
        <v>46111</v>
      </c>
    </row>
    <row r="6501" spans="1:28" ht="17.100000000000001" customHeight="1" thickBot="1">
      <c r="A6501" s="227"/>
      <c r="B6501" s="27" t="s">
        <v>2519</v>
      </c>
      <c r="C6501" s="27">
        <v>3102</v>
      </c>
      <c r="D6501" s="14" t="s">
        <v>273</v>
      </c>
      <c r="E6501" s="229"/>
      <c r="F6501" s="117" t="s">
        <v>18289</v>
      </c>
      <c r="G6501" s="26">
        <v>77385</v>
      </c>
      <c r="H6501" s="231"/>
      <c r="I6501" s="221"/>
      <c r="J6501" s="221"/>
      <c r="K6501" s="221"/>
      <c r="L6501" s="221"/>
      <c r="M6501" s="221"/>
      <c r="N6501" s="221"/>
      <c r="O6501" s="225"/>
      <c r="P6501" s="118" t="s">
        <v>18882</v>
      </c>
      <c r="Q6501" s="16" t="s">
        <v>20</v>
      </c>
      <c r="R6501" s="17" t="s">
        <v>853</v>
      </c>
      <c r="S6501" s="121" t="s">
        <v>1731</v>
      </c>
      <c r="T6501" s="122"/>
      <c r="U6501" s="22"/>
      <c r="V6501" s="123" t="s">
        <v>2747</v>
      </c>
      <c r="W6501" s="122">
        <v>2018</v>
      </c>
      <c r="X6501" s="221"/>
      <c r="Y6501" s="221"/>
      <c r="Z6501" s="221"/>
      <c r="AA6501" s="221"/>
      <c r="AB6501" s="223"/>
    </row>
    <row r="6502" spans="1:28" ht="17.100000000000001" customHeight="1" thickTop="1">
      <c r="A6502" s="226" t="s">
        <v>18283</v>
      </c>
      <c r="B6502" s="28">
        <v>46078</v>
      </c>
      <c r="C6502" s="25">
        <v>1827</v>
      </c>
      <c r="D6502" s="13" t="s">
        <v>2371</v>
      </c>
      <c r="E6502" s="228"/>
      <c r="F6502" s="109" t="s">
        <v>10651</v>
      </c>
      <c r="G6502" s="24"/>
      <c r="H6502" s="230">
        <v>4</v>
      </c>
      <c r="I6502" s="220">
        <v>580000</v>
      </c>
      <c r="J6502" s="220">
        <f>I6502*0.1</f>
        <v>58000</v>
      </c>
      <c r="K6502" s="220">
        <v>0</v>
      </c>
      <c r="L6502" s="220">
        <v>14340</v>
      </c>
      <c r="M6502" s="220">
        <v>18150</v>
      </c>
      <c r="N6502" s="220">
        <f>SUM(I6502:M6503)</f>
        <v>670490</v>
      </c>
      <c r="O6502" s="224"/>
      <c r="P6502" s="110" t="s">
        <v>18987</v>
      </c>
      <c r="Q6502" s="15" t="s">
        <v>19</v>
      </c>
      <c r="R6502" s="205"/>
      <c r="S6502" s="189" t="s">
        <v>25818</v>
      </c>
      <c r="T6502" s="114"/>
      <c r="U6502" s="21"/>
      <c r="V6502" s="115"/>
      <c r="W6502" s="116"/>
      <c r="X6502" s="220"/>
      <c r="Y6502" s="220">
        <f>X6502*0.1</f>
        <v>0</v>
      </c>
      <c r="Z6502" s="220"/>
      <c r="AA6502" s="220">
        <f>SUM(X6502:Z6502)</f>
        <v>0</v>
      </c>
      <c r="AB6502" s="222"/>
    </row>
    <row r="6503" spans="1:28" ht="17.100000000000001" customHeight="1" thickBot="1">
      <c r="A6503" s="227"/>
      <c r="B6503" s="27" t="s">
        <v>2519</v>
      </c>
      <c r="C6503" s="27">
        <v>11079</v>
      </c>
      <c r="D6503" s="14" t="s">
        <v>273</v>
      </c>
      <c r="E6503" s="229"/>
      <c r="F6503" s="117" t="s">
        <v>18290</v>
      </c>
      <c r="G6503" s="26">
        <v>106218</v>
      </c>
      <c r="H6503" s="231"/>
      <c r="I6503" s="221"/>
      <c r="J6503" s="221"/>
      <c r="K6503" s="221"/>
      <c r="L6503" s="221"/>
      <c r="M6503" s="221"/>
      <c r="N6503" s="221"/>
      <c r="O6503" s="225"/>
      <c r="P6503" s="118" t="s">
        <v>18988</v>
      </c>
      <c r="Q6503" s="16" t="s">
        <v>20</v>
      </c>
      <c r="R6503" s="17" t="s">
        <v>2637</v>
      </c>
      <c r="S6503" s="121" t="s">
        <v>4991</v>
      </c>
      <c r="T6503" s="122"/>
      <c r="U6503" s="22"/>
      <c r="V6503" s="123"/>
      <c r="W6503" s="122"/>
      <c r="X6503" s="221"/>
      <c r="Y6503" s="221"/>
      <c r="Z6503" s="221"/>
      <c r="AA6503" s="221"/>
      <c r="AB6503" s="223"/>
    </row>
    <row r="6504" spans="1:28" ht="17.100000000000001" customHeight="1" thickTop="1">
      <c r="A6504" s="226" t="s">
        <v>18284</v>
      </c>
      <c r="B6504" s="28">
        <v>46078</v>
      </c>
      <c r="C6504" s="25">
        <v>1827</v>
      </c>
      <c r="D6504" s="13" t="s">
        <v>1542</v>
      </c>
      <c r="E6504" s="228"/>
      <c r="F6504" s="109" t="s">
        <v>18291</v>
      </c>
      <c r="G6504" s="24"/>
      <c r="H6504" s="230">
        <v>4</v>
      </c>
      <c r="I6504" s="220">
        <v>835000</v>
      </c>
      <c r="J6504" s="220">
        <f>I6504*0.1</f>
        <v>83500</v>
      </c>
      <c r="K6504" s="220">
        <v>0</v>
      </c>
      <c r="L6504" s="220">
        <v>12030</v>
      </c>
      <c r="M6504" s="220">
        <v>18150</v>
      </c>
      <c r="N6504" s="220">
        <f>SUM(I6504:M6505)</f>
        <v>948680</v>
      </c>
      <c r="O6504" s="224"/>
      <c r="P6504" s="110" t="s">
        <v>18728</v>
      </c>
      <c r="Q6504" s="15" t="s">
        <v>19</v>
      </c>
      <c r="R6504" s="205"/>
      <c r="S6504" s="189"/>
      <c r="T6504" s="114"/>
      <c r="U6504" s="21"/>
      <c r="V6504" s="115">
        <v>46081</v>
      </c>
      <c r="W6504" s="116">
        <v>1290</v>
      </c>
      <c r="X6504" s="220">
        <v>895000</v>
      </c>
      <c r="Y6504" s="220">
        <f>X6504*0.1</f>
        <v>89500</v>
      </c>
      <c r="Z6504" s="220">
        <v>12030</v>
      </c>
      <c r="AA6504" s="220">
        <f>SUM(X6504:Z6504)</f>
        <v>996530</v>
      </c>
      <c r="AB6504" s="222">
        <v>46086</v>
      </c>
    </row>
    <row r="6505" spans="1:28" ht="17.100000000000001" customHeight="1" thickBot="1">
      <c r="A6505" s="227"/>
      <c r="B6505" s="27" t="s">
        <v>2519</v>
      </c>
      <c r="C6505" s="27">
        <v>30006</v>
      </c>
      <c r="D6505" s="14" t="s">
        <v>273</v>
      </c>
      <c r="E6505" s="229"/>
      <c r="F6505" s="117" t="s">
        <v>18292</v>
      </c>
      <c r="G6505" s="26">
        <v>95564</v>
      </c>
      <c r="H6505" s="231"/>
      <c r="I6505" s="221"/>
      <c r="J6505" s="221"/>
      <c r="K6505" s="221"/>
      <c r="L6505" s="221"/>
      <c r="M6505" s="221"/>
      <c r="N6505" s="221"/>
      <c r="O6505" s="225"/>
      <c r="P6505" s="118" t="s">
        <v>9540</v>
      </c>
      <c r="Q6505" s="16" t="s">
        <v>20</v>
      </c>
      <c r="R6505" s="17" t="s">
        <v>1704</v>
      </c>
      <c r="S6505" s="121" t="s">
        <v>18729</v>
      </c>
      <c r="T6505" s="122"/>
      <c r="U6505" s="22"/>
      <c r="V6505" s="123" t="s">
        <v>2472</v>
      </c>
      <c r="W6505" s="122">
        <v>132</v>
      </c>
      <c r="X6505" s="221"/>
      <c r="Y6505" s="221"/>
      <c r="Z6505" s="221"/>
      <c r="AA6505" s="221"/>
      <c r="AB6505" s="223"/>
    </row>
    <row r="6506" spans="1:28" ht="17.100000000000001" customHeight="1" thickTop="1">
      <c r="A6506" s="226" t="s">
        <v>18285</v>
      </c>
      <c r="B6506" s="28">
        <v>46078</v>
      </c>
      <c r="C6506" s="25">
        <v>1827</v>
      </c>
      <c r="D6506" s="13" t="s">
        <v>5521</v>
      </c>
      <c r="E6506" s="228"/>
      <c r="F6506" s="109" t="s">
        <v>18293</v>
      </c>
      <c r="G6506" s="24" t="s">
        <v>1551</v>
      </c>
      <c r="H6506" s="230">
        <v>4</v>
      </c>
      <c r="I6506" s="220">
        <v>995000</v>
      </c>
      <c r="J6506" s="220">
        <f>I6506*0.1</f>
        <v>99500</v>
      </c>
      <c r="K6506" s="220">
        <f>3700+370</f>
        <v>4070</v>
      </c>
      <c r="L6506" s="220">
        <v>16260</v>
      </c>
      <c r="M6506" s="220">
        <v>18150</v>
      </c>
      <c r="N6506" s="220">
        <f>SUM(I6506:M6507)</f>
        <v>1132980</v>
      </c>
      <c r="O6506" s="224"/>
      <c r="P6506" s="110" t="s">
        <v>18295</v>
      </c>
      <c r="Q6506" s="15" t="s">
        <v>19</v>
      </c>
      <c r="R6506" s="205"/>
      <c r="S6506" s="189"/>
      <c r="T6506" s="114"/>
      <c r="U6506" s="21" t="s">
        <v>19851</v>
      </c>
      <c r="V6506" s="115"/>
      <c r="W6506" s="116"/>
      <c r="X6506" s="220"/>
      <c r="Y6506" s="220">
        <f>X6506*0.1</f>
        <v>0</v>
      </c>
      <c r="Z6506" s="220"/>
      <c r="AA6506" s="220">
        <f>SUM(X6506:Z6506)</f>
        <v>0</v>
      </c>
      <c r="AB6506" s="222"/>
    </row>
    <row r="6507" spans="1:28" ht="17.100000000000001" customHeight="1" thickBot="1">
      <c r="A6507" s="227"/>
      <c r="B6507" s="27" t="s">
        <v>2519</v>
      </c>
      <c r="C6507" s="27">
        <v>30175</v>
      </c>
      <c r="D6507" s="14" t="s">
        <v>2559</v>
      </c>
      <c r="E6507" s="229"/>
      <c r="F6507" s="117" t="s">
        <v>18294</v>
      </c>
      <c r="G6507" s="26">
        <v>95689</v>
      </c>
      <c r="H6507" s="231"/>
      <c r="I6507" s="221"/>
      <c r="J6507" s="221"/>
      <c r="K6507" s="221"/>
      <c r="L6507" s="221"/>
      <c r="M6507" s="221"/>
      <c r="N6507" s="221"/>
      <c r="O6507" s="225"/>
      <c r="P6507" s="118" t="s">
        <v>3400</v>
      </c>
      <c r="Q6507" s="16" t="s">
        <v>20</v>
      </c>
      <c r="R6507" s="17" t="s">
        <v>1883</v>
      </c>
      <c r="S6507" s="121" t="s">
        <v>18711</v>
      </c>
      <c r="T6507" s="122"/>
      <c r="U6507" s="22"/>
      <c r="V6507" s="123"/>
      <c r="W6507" s="122"/>
      <c r="X6507" s="221"/>
      <c r="Y6507" s="221"/>
      <c r="Z6507" s="221"/>
      <c r="AA6507" s="221"/>
      <c r="AB6507" s="223"/>
    </row>
    <row r="6508" spans="1:28" ht="17.100000000000001" customHeight="1" thickTop="1">
      <c r="A6508" s="226" t="s">
        <v>18286</v>
      </c>
      <c r="B6508" s="28">
        <v>46078</v>
      </c>
      <c r="C6508" s="25">
        <v>1827</v>
      </c>
      <c r="D6508" s="13" t="s">
        <v>1899</v>
      </c>
      <c r="E6508" s="228"/>
      <c r="F6508" s="109" t="s">
        <v>18296</v>
      </c>
      <c r="G6508" s="24"/>
      <c r="H6508" s="230">
        <v>4</v>
      </c>
      <c r="I6508" s="220">
        <v>1005000</v>
      </c>
      <c r="J6508" s="220">
        <f>I6508*0.1</f>
        <v>100500</v>
      </c>
      <c r="K6508" s="220">
        <v>0</v>
      </c>
      <c r="L6508" s="220">
        <v>9810</v>
      </c>
      <c r="M6508" s="220">
        <v>18150</v>
      </c>
      <c r="N6508" s="220">
        <f>SUM(I6508:M6509)</f>
        <v>1133460</v>
      </c>
      <c r="O6508" s="224"/>
      <c r="P6508" s="110" t="s">
        <v>18929</v>
      </c>
      <c r="Q6508" s="15" t="s">
        <v>19</v>
      </c>
      <c r="R6508" s="205"/>
      <c r="S6508" s="189" t="s">
        <v>25386</v>
      </c>
      <c r="T6508" s="114"/>
      <c r="U6508" s="21"/>
      <c r="V6508" s="115">
        <v>46081</v>
      </c>
      <c r="W6508" s="116">
        <v>1290</v>
      </c>
      <c r="X6508" s="220">
        <v>1150000</v>
      </c>
      <c r="Y6508" s="220">
        <f>X6508*0.1</f>
        <v>115000</v>
      </c>
      <c r="Z6508" s="220">
        <v>9810</v>
      </c>
      <c r="AA6508" s="220">
        <f>SUM(X6508:Z6508)</f>
        <v>1274810</v>
      </c>
      <c r="AB6508" s="222">
        <v>46091</v>
      </c>
    </row>
    <row r="6509" spans="1:28" ht="17.100000000000001" customHeight="1" thickBot="1">
      <c r="A6509" s="227"/>
      <c r="B6509" s="27" t="s">
        <v>2519</v>
      </c>
      <c r="C6509" s="27">
        <v>36530</v>
      </c>
      <c r="D6509" s="14" t="s">
        <v>273</v>
      </c>
      <c r="E6509" s="229"/>
      <c r="F6509" s="117" t="s">
        <v>18297</v>
      </c>
      <c r="G6509" s="26">
        <v>41307</v>
      </c>
      <c r="H6509" s="231"/>
      <c r="I6509" s="221"/>
      <c r="J6509" s="221"/>
      <c r="K6509" s="221"/>
      <c r="L6509" s="221"/>
      <c r="M6509" s="221"/>
      <c r="N6509" s="221"/>
      <c r="O6509" s="225"/>
      <c r="P6509" s="118" t="s">
        <v>18930</v>
      </c>
      <c r="Q6509" s="16" t="s">
        <v>20</v>
      </c>
      <c r="R6509" s="17" t="s">
        <v>18931</v>
      </c>
      <c r="S6509" s="121" t="s">
        <v>18932</v>
      </c>
      <c r="T6509" s="122"/>
      <c r="U6509" s="22"/>
      <c r="V6509" s="123" t="s">
        <v>6641</v>
      </c>
      <c r="W6509" s="122">
        <v>212</v>
      </c>
      <c r="X6509" s="221"/>
      <c r="Y6509" s="221"/>
      <c r="Z6509" s="221"/>
      <c r="AA6509" s="221"/>
      <c r="AB6509" s="223"/>
    </row>
    <row r="6510" spans="1:28" ht="17.100000000000001" customHeight="1" thickTop="1">
      <c r="A6510" s="233" t="s">
        <v>18287</v>
      </c>
      <c r="B6510" s="28">
        <v>46078</v>
      </c>
      <c r="C6510" s="25">
        <v>1827</v>
      </c>
      <c r="D6510" s="13" t="s">
        <v>3494</v>
      </c>
      <c r="E6510" s="228"/>
      <c r="F6510" s="109" t="s">
        <v>18298</v>
      </c>
      <c r="G6510" s="24"/>
      <c r="H6510" s="230">
        <v>4.5</v>
      </c>
      <c r="I6510" s="220">
        <v>2085000</v>
      </c>
      <c r="J6510" s="220">
        <f>I6510*0.1</f>
        <v>208500</v>
      </c>
      <c r="K6510" s="220">
        <v>0</v>
      </c>
      <c r="L6510" s="220">
        <v>17800</v>
      </c>
      <c r="M6510" s="220">
        <v>18150</v>
      </c>
      <c r="N6510" s="220">
        <f>SUM(I6510:M6511)</f>
        <v>2329450</v>
      </c>
      <c r="O6510" s="224"/>
      <c r="P6510" s="110" t="s">
        <v>18858</v>
      </c>
      <c r="Q6510" s="15" t="s">
        <v>19</v>
      </c>
      <c r="R6510" s="205"/>
      <c r="S6510" s="189"/>
      <c r="T6510" s="114" t="s">
        <v>18908</v>
      </c>
      <c r="U6510" s="21"/>
      <c r="V6510" s="115"/>
      <c r="W6510" s="116"/>
      <c r="X6510" s="220"/>
      <c r="Y6510" s="220">
        <f>X6510*0.1</f>
        <v>0</v>
      </c>
      <c r="Z6510" s="220"/>
      <c r="AA6510" s="220">
        <f>SUM(X6510:Z6510)</f>
        <v>0</v>
      </c>
      <c r="AB6510" s="222"/>
    </row>
    <row r="6511" spans="1:28" ht="17.100000000000001" customHeight="1" thickBot="1">
      <c r="A6511" s="234"/>
      <c r="B6511" s="27" t="s">
        <v>2519</v>
      </c>
      <c r="C6511" s="27">
        <v>38065</v>
      </c>
      <c r="D6511" s="14" t="s">
        <v>273</v>
      </c>
      <c r="E6511" s="229"/>
      <c r="F6511" s="117" t="s">
        <v>18299</v>
      </c>
      <c r="G6511" s="26">
        <v>35112</v>
      </c>
      <c r="H6511" s="231"/>
      <c r="I6511" s="221"/>
      <c r="J6511" s="221"/>
      <c r="K6511" s="221"/>
      <c r="L6511" s="221"/>
      <c r="M6511" s="221"/>
      <c r="N6511" s="221"/>
      <c r="O6511" s="225"/>
      <c r="P6511" s="118" t="s">
        <v>4348</v>
      </c>
      <c r="Q6511" s="16" t="s">
        <v>20</v>
      </c>
      <c r="R6511" s="17" t="s">
        <v>853</v>
      </c>
      <c r="S6511" s="121" t="s">
        <v>169</v>
      </c>
      <c r="T6511" s="122"/>
      <c r="U6511" s="22"/>
      <c r="V6511" s="123"/>
      <c r="W6511" s="122"/>
      <c r="X6511" s="221"/>
      <c r="Y6511" s="221"/>
      <c r="Z6511" s="221"/>
      <c r="AA6511" s="221"/>
      <c r="AB6511" s="223"/>
    </row>
    <row r="6512" spans="1:28" ht="17.100000000000001" customHeight="1" thickTop="1">
      <c r="A6512" s="226" t="s">
        <v>18288</v>
      </c>
      <c r="B6512" s="28">
        <v>46078</v>
      </c>
      <c r="C6512" s="25">
        <v>1827</v>
      </c>
      <c r="D6512" s="13" t="s">
        <v>2150</v>
      </c>
      <c r="E6512" s="228"/>
      <c r="F6512" s="109" t="s">
        <v>1916</v>
      </c>
      <c r="G6512" s="24" t="s">
        <v>2530</v>
      </c>
      <c r="H6512" s="230">
        <v>4.5</v>
      </c>
      <c r="I6512" s="220">
        <v>255000</v>
      </c>
      <c r="J6512" s="220">
        <f>I6512*0.1</f>
        <v>25500</v>
      </c>
      <c r="K6512" s="220">
        <f>2800+280</f>
        <v>3080</v>
      </c>
      <c r="L6512" s="220">
        <v>17700</v>
      </c>
      <c r="M6512" s="220">
        <v>18150</v>
      </c>
      <c r="N6512" s="220">
        <f>SUM(I6512:M6513)</f>
        <v>319430</v>
      </c>
      <c r="O6512" s="224"/>
      <c r="P6512" s="110" t="s">
        <v>18301</v>
      </c>
      <c r="Q6512" s="15" t="s">
        <v>19</v>
      </c>
      <c r="R6512" s="205"/>
      <c r="S6512" s="189" t="s">
        <v>758</v>
      </c>
      <c r="T6512" s="114"/>
      <c r="U6512" s="21"/>
      <c r="V6512" s="115">
        <v>46088</v>
      </c>
      <c r="W6512" s="116">
        <v>1291</v>
      </c>
      <c r="X6512" s="220">
        <v>505000</v>
      </c>
      <c r="Y6512" s="220">
        <f>X6512*0.1</f>
        <v>50500</v>
      </c>
      <c r="Z6512" s="220">
        <v>17700</v>
      </c>
      <c r="AA6512" s="220">
        <f>SUM(X6512:Z6512)</f>
        <v>573200</v>
      </c>
      <c r="AB6512" s="222">
        <v>46091</v>
      </c>
    </row>
    <row r="6513" spans="1:28" ht="17.100000000000001" customHeight="1" thickBot="1">
      <c r="A6513" s="227"/>
      <c r="B6513" s="27" t="s">
        <v>2519</v>
      </c>
      <c r="C6513" s="27">
        <v>38104</v>
      </c>
      <c r="D6513" s="14" t="s">
        <v>1568</v>
      </c>
      <c r="E6513" s="229"/>
      <c r="F6513" s="117" t="s">
        <v>18300</v>
      </c>
      <c r="G6513" s="26">
        <v>76151</v>
      </c>
      <c r="H6513" s="231"/>
      <c r="I6513" s="221"/>
      <c r="J6513" s="221"/>
      <c r="K6513" s="221"/>
      <c r="L6513" s="221"/>
      <c r="M6513" s="221"/>
      <c r="N6513" s="221"/>
      <c r="O6513" s="225"/>
      <c r="P6513" s="118" t="s">
        <v>18666</v>
      </c>
      <c r="Q6513" s="16" t="s">
        <v>20</v>
      </c>
      <c r="R6513" s="17" t="s">
        <v>1883</v>
      </c>
      <c r="S6513" s="121" t="s">
        <v>1731</v>
      </c>
      <c r="T6513" s="122"/>
      <c r="U6513" s="22"/>
      <c r="V6513" s="123" t="s">
        <v>2472</v>
      </c>
      <c r="W6513" s="122">
        <v>80039</v>
      </c>
      <c r="X6513" s="221"/>
      <c r="Y6513" s="221"/>
      <c r="Z6513" s="221"/>
      <c r="AA6513" s="221"/>
      <c r="AB6513" s="223"/>
    </row>
    <row r="6514" spans="1:28" ht="17.100000000000001" customHeight="1" thickTop="1">
      <c r="A6514" s="226" t="s">
        <v>18304</v>
      </c>
      <c r="B6514" s="28">
        <v>46079</v>
      </c>
      <c r="C6514" s="25">
        <v>2016</v>
      </c>
      <c r="D6514" s="13" t="s">
        <v>1589</v>
      </c>
      <c r="E6514" s="228"/>
      <c r="F6514" s="109" t="s">
        <v>18320</v>
      </c>
      <c r="G6514" s="24" t="s">
        <v>2907</v>
      </c>
      <c r="H6514" s="230">
        <v>4</v>
      </c>
      <c r="I6514" s="220">
        <v>1126000</v>
      </c>
      <c r="J6514" s="220">
        <f>I6514*0.1</f>
        <v>112600</v>
      </c>
      <c r="K6514" s="220">
        <f>3200+320</f>
        <v>3520</v>
      </c>
      <c r="L6514" s="220">
        <v>10230</v>
      </c>
      <c r="M6514" s="220">
        <v>22000</v>
      </c>
      <c r="N6514" s="220">
        <f>SUM(I6514:M6515)</f>
        <v>1274350</v>
      </c>
      <c r="O6514" s="224"/>
      <c r="P6514" s="110" t="s">
        <v>18322</v>
      </c>
      <c r="Q6514" s="15" t="s">
        <v>19</v>
      </c>
      <c r="R6514" s="205"/>
      <c r="S6514" s="189" t="s">
        <v>25386</v>
      </c>
      <c r="T6514" s="114"/>
      <c r="U6514" s="21"/>
      <c r="V6514" s="115">
        <v>46092</v>
      </c>
      <c r="W6514" s="116">
        <v>1008</v>
      </c>
      <c r="X6514" s="220">
        <v>1210000</v>
      </c>
      <c r="Y6514" s="220">
        <f>X6514*0.1</f>
        <v>121000</v>
      </c>
      <c r="Z6514" s="220">
        <v>10230</v>
      </c>
      <c r="AA6514" s="220">
        <f>SUM(X6514:Z6514)</f>
        <v>1341230</v>
      </c>
      <c r="AB6514" s="222">
        <v>46098</v>
      </c>
    </row>
    <row r="6515" spans="1:28" ht="17.100000000000001" customHeight="1" thickBot="1">
      <c r="A6515" s="227"/>
      <c r="B6515" s="27" t="s">
        <v>18302</v>
      </c>
      <c r="C6515" s="27">
        <v>30032</v>
      </c>
      <c r="D6515" s="14" t="s">
        <v>2559</v>
      </c>
      <c r="E6515" s="229"/>
      <c r="F6515" s="117" t="s">
        <v>18321</v>
      </c>
      <c r="G6515" s="26">
        <v>147591</v>
      </c>
      <c r="H6515" s="231"/>
      <c r="I6515" s="221"/>
      <c r="J6515" s="221"/>
      <c r="K6515" s="221"/>
      <c r="L6515" s="221"/>
      <c r="M6515" s="221"/>
      <c r="N6515" s="221"/>
      <c r="O6515" s="225"/>
      <c r="P6515" s="118" t="s">
        <v>18898</v>
      </c>
      <c r="Q6515" s="16" t="s">
        <v>20</v>
      </c>
      <c r="R6515" s="17" t="s">
        <v>853</v>
      </c>
      <c r="S6515" s="121" t="s">
        <v>2405</v>
      </c>
      <c r="T6515" s="122"/>
      <c r="U6515" s="22"/>
      <c r="V6515" s="123" t="s">
        <v>19459</v>
      </c>
      <c r="W6515" s="122">
        <v>6127</v>
      </c>
      <c r="X6515" s="221"/>
      <c r="Y6515" s="221"/>
      <c r="Z6515" s="221"/>
      <c r="AA6515" s="221"/>
      <c r="AB6515" s="223"/>
    </row>
    <row r="6516" spans="1:28" ht="17.100000000000001" customHeight="1" thickTop="1">
      <c r="A6516" s="226" t="s">
        <v>18305</v>
      </c>
      <c r="B6516" s="28">
        <v>46079</v>
      </c>
      <c r="C6516" s="25">
        <v>2016</v>
      </c>
      <c r="D6516" s="13" t="s">
        <v>1762</v>
      </c>
      <c r="E6516" s="228"/>
      <c r="F6516" s="109" t="s">
        <v>18401</v>
      </c>
      <c r="G6516" s="24"/>
      <c r="H6516" s="230">
        <v>4</v>
      </c>
      <c r="I6516" s="220">
        <v>1298000</v>
      </c>
      <c r="J6516" s="220">
        <f>I6516*0.1</f>
        <v>129800</v>
      </c>
      <c r="K6516" s="220">
        <v>0</v>
      </c>
      <c r="L6516" s="220">
        <v>12030</v>
      </c>
      <c r="M6516" s="220">
        <v>22000</v>
      </c>
      <c r="N6516" s="220">
        <f>SUM(I6516:M6517)</f>
        <v>1461830</v>
      </c>
      <c r="O6516" s="224"/>
      <c r="P6516" s="110" t="s">
        <v>18943</v>
      </c>
      <c r="Q6516" s="15" t="s">
        <v>19</v>
      </c>
      <c r="R6516" s="205"/>
      <c r="S6516" s="189" t="s">
        <v>25819</v>
      </c>
      <c r="T6516" s="114"/>
      <c r="U6516" s="21"/>
      <c r="V6516" s="115">
        <v>46099</v>
      </c>
      <c r="W6516" s="116">
        <v>1009</v>
      </c>
      <c r="X6516" s="220">
        <v>1325000</v>
      </c>
      <c r="Y6516" s="220">
        <f>X6516*0.1</f>
        <v>132500</v>
      </c>
      <c r="Z6516" s="220">
        <v>12030</v>
      </c>
      <c r="AA6516" s="220">
        <f>SUM(X6516:Z6516)</f>
        <v>1469530</v>
      </c>
      <c r="AB6516" s="222">
        <v>46105</v>
      </c>
    </row>
    <row r="6517" spans="1:28" ht="17.100000000000001" customHeight="1" thickBot="1">
      <c r="A6517" s="227"/>
      <c r="B6517" s="27" t="s">
        <v>18302</v>
      </c>
      <c r="C6517" s="27">
        <v>30054</v>
      </c>
      <c r="D6517" s="14" t="s">
        <v>273</v>
      </c>
      <c r="E6517" s="229"/>
      <c r="F6517" s="117" t="s">
        <v>18395</v>
      </c>
      <c r="G6517" s="26">
        <v>40371</v>
      </c>
      <c r="H6517" s="231"/>
      <c r="I6517" s="221"/>
      <c r="J6517" s="221"/>
      <c r="K6517" s="221"/>
      <c r="L6517" s="221"/>
      <c r="M6517" s="221"/>
      <c r="N6517" s="221"/>
      <c r="O6517" s="225"/>
      <c r="P6517" s="118" t="s">
        <v>18944</v>
      </c>
      <c r="Q6517" s="16" t="s">
        <v>20</v>
      </c>
      <c r="R6517" s="17" t="s">
        <v>18931</v>
      </c>
      <c r="S6517" s="121" t="s">
        <v>18945</v>
      </c>
      <c r="T6517" s="122"/>
      <c r="U6517" s="22"/>
      <c r="V6517" s="123" t="s">
        <v>2747</v>
      </c>
      <c r="W6517" s="122">
        <v>6055</v>
      </c>
      <c r="X6517" s="221"/>
      <c r="Y6517" s="221"/>
      <c r="Z6517" s="221"/>
      <c r="AA6517" s="221"/>
      <c r="AB6517" s="223"/>
    </row>
    <row r="6518" spans="1:28" ht="17.100000000000001" customHeight="1" thickTop="1">
      <c r="A6518" s="226" t="s">
        <v>18306</v>
      </c>
      <c r="B6518" s="28">
        <v>46079</v>
      </c>
      <c r="C6518" s="25">
        <v>2016</v>
      </c>
      <c r="D6518" s="13" t="s">
        <v>1607</v>
      </c>
      <c r="E6518" s="228"/>
      <c r="F6518" s="109" t="s">
        <v>17920</v>
      </c>
      <c r="G6518" s="24" t="s">
        <v>2926</v>
      </c>
      <c r="H6518" s="230">
        <v>4.5</v>
      </c>
      <c r="I6518" s="220">
        <v>1325000</v>
      </c>
      <c r="J6518" s="220">
        <f>I6518*0.1</f>
        <v>132500</v>
      </c>
      <c r="K6518" s="220">
        <f>2800+280</f>
        <v>3080</v>
      </c>
      <c r="L6518" s="220">
        <v>10360</v>
      </c>
      <c r="M6518" s="220">
        <v>22000</v>
      </c>
      <c r="N6518" s="220">
        <f>SUM(I6518:M6519)</f>
        <v>1492940</v>
      </c>
      <c r="O6518" s="224"/>
      <c r="P6518" s="110" t="s">
        <v>18402</v>
      </c>
      <c r="Q6518" s="15" t="s">
        <v>19</v>
      </c>
      <c r="R6518" s="205"/>
      <c r="S6518" s="189" t="s">
        <v>25392</v>
      </c>
      <c r="T6518" s="114"/>
      <c r="U6518" s="21"/>
      <c r="V6518" s="115">
        <v>46092</v>
      </c>
      <c r="W6518" s="116">
        <v>1008</v>
      </c>
      <c r="X6518" s="220">
        <v>1375000</v>
      </c>
      <c r="Y6518" s="220">
        <f>X6518*0.1</f>
        <v>137500</v>
      </c>
      <c r="Z6518" s="220">
        <v>10360</v>
      </c>
      <c r="AA6518" s="220">
        <f>SUM(X6518:Z6518)</f>
        <v>1522860</v>
      </c>
      <c r="AB6518" s="222">
        <v>46098</v>
      </c>
    </row>
    <row r="6519" spans="1:28" ht="17.100000000000001" customHeight="1" thickBot="1">
      <c r="A6519" s="227"/>
      <c r="B6519" s="27" t="s">
        <v>18302</v>
      </c>
      <c r="C6519" s="27">
        <v>30084</v>
      </c>
      <c r="D6519" s="14" t="s">
        <v>2014</v>
      </c>
      <c r="E6519" s="229"/>
      <c r="F6519" s="117" t="s">
        <v>18396</v>
      </c>
      <c r="G6519" s="26">
        <v>18410</v>
      </c>
      <c r="H6519" s="231"/>
      <c r="I6519" s="221"/>
      <c r="J6519" s="221"/>
      <c r="K6519" s="221"/>
      <c r="L6519" s="221"/>
      <c r="M6519" s="221"/>
      <c r="N6519" s="221"/>
      <c r="O6519" s="225"/>
      <c r="P6519" s="118" t="s">
        <v>18897</v>
      </c>
      <c r="Q6519" s="16" t="s">
        <v>20</v>
      </c>
      <c r="R6519" s="17" t="s">
        <v>853</v>
      </c>
      <c r="S6519" s="121" t="s">
        <v>9318</v>
      </c>
      <c r="T6519" s="122"/>
      <c r="U6519" s="22"/>
      <c r="V6519" s="123" t="s">
        <v>19459</v>
      </c>
      <c r="W6519" s="122">
        <v>6133</v>
      </c>
      <c r="X6519" s="221"/>
      <c r="Y6519" s="221"/>
      <c r="Z6519" s="221"/>
      <c r="AA6519" s="221"/>
      <c r="AB6519" s="223"/>
    </row>
    <row r="6520" spans="1:28" ht="17.100000000000001" customHeight="1" thickTop="1">
      <c r="A6520" s="226" t="s">
        <v>18307</v>
      </c>
      <c r="B6520" s="28">
        <v>46079</v>
      </c>
      <c r="C6520" s="25">
        <v>2016</v>
      </c>
      <c r="D6520" s="13" t="s">
        <v>2150</v>
      </c>
      <c r="E6520" s="228"/>
      <c r="F6520" s="109" t="s">
        <v>18403</v>
      </c>
      <c r="G6520" s="24" t="s">
        <v>1540</v>
      </c>
      <c r="H6520" s="230">
        <v>4</v>
      </c>
      <c r="I6520" s="220">
        <v>1049000</v>
      </c>
      <c r="J6520" s="220">
        <f>I6520*0.1</f>
        <v>104900</v>
      </c>
      <c r="K6520" s="220">
        <f>3200+320</f>
        <v>3520</v>
      </c>
      <c r="L6520" s="220">
        <v>12030</v>
      </c>
      <c r="M6520" s="220">
        <v>22000</v>
      </c>
      <c r="N6520" s="220">
        <f>SUM(I6520:M6521)</f>
        <v>1191450</v>
      </c>
      <c r="O6520" s="224"/>
      <c r="P6520" s="110" t="s">
        <v>18404</v>
      </c>
      <c r="Q6520" s="15" t="s">
        <v>19</v>
      </c>
      <c r="R6520" s="205"/>
      <c r="S6520" s="189" t="s">
        <v>1072</v>
      </c>
      <c r="T6520" s="114"/>
      <c r="U6520" s="21"/>
      <c r="V6520" s="115">
        <v>46085</v>
      </c>
      <c r="W6520" s="116">
        <v>1007</v>
      </c>
      <c r="X6520" s="220">
        <v>1140000</v>
      </c>
      <c r="Y6520" s="220">
        <f>X6520*0.1</f>
        <v>114000</v>
      </c>
      <c r="Z6520" s="220">
        <v>12030</v>
      </c>
      <c r="AA6520" s="220">
        <f>SUM(X6520:Z6520)</f>
        <v>1266030</v>
      </c>
      <c r="AB6520" s="222">
        <v>46090</v>
      </c>
    </row>
    <row r="6521" spans="1:28" ht="17.100000000000001" customHeight="1" thickBot="1">
      <c r="A6521" s="227"/>
      <c r="B6521" s="27" t="s">
        <v>18302</v>
      </c>
      <c r="C6521" s="27">
        <v>30120</v>
      </c>
      <c r="D6521" s="14" t="s">
        <v>2559</v>
      </c>
      <c r="E6521" s="229"/>
      <c r="F6521" s="117" t="s">
        <v>18397</v>
      </c>
      <c r="G6521" s="26">
        <v>121400</v>
      </c>
      <c r="H6521" s="231"/>
      <c r="I6521" s="221"/>
      <c r="J6521" s="221"/>
      <c r="K6521" s="221"/>
      <c r="L6521" s="221"/>
      <c r="M6521" s="221"/>
      <c r="N6521" s="221"/>
      <c r="O6521" s="225"/>
      <c r="P6521" s="118" t="s">
        <v>18852</v>
      </c>
      <c r="Q6521" s="16" t="s">
        <v>20</v>
      </c>
      <c r="R6521" s="17" t="s">
        <v>853</v>
      </c>
      <c r="S6521" s="121" t="s">
        <v>2360</v>
      </c>
      <c r="T6521" s="122"/>
      <c r="U6521" s="22"/>
      <c r="V6521" s="123" t="s">
        <v>2747</v>
      </c>
      <c r="W6521" s="122">
        <v>5106</v>
      </c>
      <c r="X6521" s="221"/>
      <c r="Y6521" s="221"/>
      <c r="Z6521" s="221"/>
      <c r="AA6521" s="221"/>
      <c r="AB6521" s="223"/>
    </row>
    <row r="6522" spans="1:28" ht="17.100000000000001" customHeight="1" thickTop="1">
      <c r="A6522" s="226" t="s">
        <v>18308</v>
      </c>
      <c r="B6522" s="28">
        <v>46079</v>
      </c>
      <c r="C6522" s="25">
        <v>2016</v>
      </c>
      <c r="D6522" s="13" t="s">
        <v>11745</v>
      </c>
      <c r="E6522" s="228"/>
      <c r="F6522" s="109" t="s">
        <v>18323</v>
      </c>
      <c r="G6522" s="24" t="s">
        <v>4412</v>
      </c>
      <c r="H6522" s="230">
        <v>4</v>
      </c>
      <c r="I6522" s="220">
        <v>213000</v>
      </c>
      <c r="J6522" s="220">
        <f>I6522*0.1</f>
        <v>21300</v>
      </c>
      <c r="K6522" s="220">
        <v>0</v>
      </c>
      <c r="L6522" s="220">
        <v>8930</v>
      </c>
      <c r="M6522" s="220">
        <v>22000</v>
      </c>
      <c r="N6522" s="220">
        <f>SUM(I6522:M6523)</f>
        <v>265230</v>
      </c>
      <c r="O6522" s="224"/>
      <c r="P6522" s="110" t="s">
        <v>18325</v>
      </c>
      <c r="Q6522" s="15" t="s">
        <v>19</v>
      </c>
      <c r="R6522" s="205"/>
      <c r="S6522" s="189"/>
      <c r="T6522" s="114"/>
      <c r="U6522" s="21" t="s">
        <v>19561</v>
      </c>
      <c r="V6522" s="115">
        <v>46092</v>
      </c>
      <c r="W6522" s="116">
        <v>1008</v>
      </c>
      <c r="X6522" s="220">
        <v>225000</v>
      </c>
      <c r="Y6522" s="220">
        <f>X6522*0.1</f>
        <v>22500</v>
      </c>
      <c r="Z6522" s="220">
        <v>8930</v>
      </c>
      <c r="AA6522" s="220">
        <f>SUM(X6522:Z6522)</f>
        <v>256430</v>
      </c>
      <c r="AB6522" s="222">
        <v>46098</v>
      </c>
    </row>
    <row r="6523" spans="1:28" ht="17.100000000000001" customHeight="1" thickBot="1">
      <c r="A6523" s="227"/>
      <c r="B6523" s="27" t="s">
        <v>18302</v>
      </c>
      <c r="C6523" s="27">
        <v>50012</v>
      </c>
      <c r="D6523" s="14" t="s">
        <v>3792</v>
      </c>
      <c r="E6523" s="229"/>
      <c r="F6523" s="117" t="s">
        <v>18324</v>
      </c>
      <c r="G6523" s="26">
        <v>44100</v>
      </c>
      <c r="H6523" s="231"/>
      <c r="I6523" s="221"/>
      <c r="J6523" s="221"/>
      <c r="K6523" s="221"/>
      <c r="L6523" s="221"/>
      <c r="M6523" s="221"/>
      <c r="N6523" s="221"/>
      <c r="O6523" s="225"/>
      <c r="P6523" s="118" t="s">
        <v>18893</v>
      </c>
      <c r="Q6523" s="16" t="s">
        <v>20</v>
      </c>
      <c r="R6523" s="17" t="s">
        <v>853</v>
      </c>
      <c r="S6523" s="121" t="s">
        <v>18894</v>
      </c>
      <c r="T6523" s="122"/>
      <c r="U6523" s="22"/>
      <c r="V6523" s="123" t="s">
        <v>19459</v>
      </c>
      <c r="W6523" s="122">
        <v>2034</v>
      </c>
      <c r="X6523" s="221"/>
      <c r="Y6523" s="221"/>
      <c r="Z6523" s="221"/>
      <c r="AA6523" s="221"/>
      <c r="AB6523" s="223"/>
    </row>
    <row r="6524" spans="1:28" ht="17.100000000000001" customHeight="1" thickTop="1">
      <c r="A6524" s="226" t="s">
        <v>18309</v>
      </c>
      <c r="B6524" s="28">
        <v>46079</v>
      </c>
      <c r="C6524" s="25">
        <v>2016</v>
      </c>
      <c r="D6524" s="13" t="s">
        <v>1578</v>
      </c>
      <c r="E6524" s="228"/>
      <c r="F6524" s="109" t="s">
        <v>18326</v>
      </c>
      <c r="G6524" s="24"/>
      <c r="H6524" s="230">
        <v>4</v>
      </c>
      <c r="I6524" s="220">
        <v>843000</v>
      </c>
      <c r="J6524" s="220">
        <f>I6524*0.1</f>
        <v>84300</v>
      </c>
      <c r="K6524" s="220">
        <v>0</v>
      </c>
      <c r="L6524" s="220">
        <v>9310</v>
      </c>
      <c r="M6524" s="220">
        <v>22000</v>
      </c>
      <c r="N6524" s="220">
        <f>SUM(I6524:M6525)</f>
        <v>958610</v>
      </c>
      <c r="O6524" s="224"/>
      <c r="P6524" s="110" t="s">
        <v>18891</v>
      </c>
      <c r="Q6524" s="15" t="s">
        <v>19</v>
      </c>
      <c r="R6524" s="205"/>
      <c r="S6524" s="189" t="s">
        <v>25392</v>
      </c>
      <c r="T6524" s="114"/>
      <c r="U6524" s="21"/>
      <c r="V6524" s="115">
        <v>46099</v>
      </c>
      <c r="W6524" s="116">
        <v>1009</v>
      </c>
      <c r="X6524" s="220">
        <v>855000</v>
      </c>
      <c r="Y6524" s="220">
        <f>X6524*0.1</f>
        <v>85500</v>
      </c>
      <c r="Z6524" s="220">
        <v>9310</v>
      </c>
      <c r="AA6524" s="220">
        <f>SUM(X6524:Z6524)</f>
        <v>949810</v>
      </c>
      <c r="AB6524" s="222">
        <v>46105</v>
      </c>
    </row>
    <row r="6525" spans="1:28" ht="17.100000000000001" customHeight="1" thickBot="1">
      <c r="A6525" s="227"/>
      <c r="B6525" s="27" t="s">
        <v>18302</v>
      </c>
      <c r="C6525" s="27">
        <v>50018</v>
      </c>
      <c r="D6525" s="14" t="s">
        <v>273</v>
      </c>
      <c r="E6525" s="229"/>
      <c r="F6525" s="117" t="s">
        <v>18327</v>
      </c>
      <c r="G6525" s="26">
        <v>59091</v>
      </c>
      <c r="H6525" s="231"/>
      <c r="I6525" s="221"/>
      <c r="J6525" s="221"/>
      <c r="K6525" s="221"/>
      <c r="L6525" s="221"/>
      <c r="M6525" s="221"/>
      <c r="N6525" s="221"/>
      <c r="O6525" s="225"/>
      <c r="P6525" s="118" t="s">
        <v>18892</v>
      </c>
      <c r="Q6525" s="16" t="s">
        <v>20</v>
      </c>
      <c r="R6525" s="17" t="s">
        <v>853</v>
      </c>
      <c r="S6525" s="121" t="s">
        <v>1731</v>
      </c>
      <c r="T6525" s="122"/>
      <c r="U6525" s="22"/>
      <c r="V6525" s="123" t="s">
        <v>2747</v>
      </c>
      <c r="W6525" s="122">
        <v>2034</v>
      </c>
      <c r="X6525" s="221"/>
      <c r="Y6525" s="221"/>
      <c r="Z6525" s="221"/>
      <c r="AA6525" s="221"/>
      <c r="AB6525" s="223"/>
    </row>
    <row r="6526" spans="1:28" ht="17.100000000000001" customHeight="1" thickTop="1">
      <c r="A6526" s="226" t="s">
        <v>18310</v>
      </c>
      <c r="B6526" s="28">
        <v>46079</v>
      </c>
      <c r="C6526" s="25">
        <v>2016</v>
      </c>
      <c r="D6526" s="13" t="s">
        <v>2920</v>
      </c>
      <c r="E6526" s="228"/>
      <c r="F6526" s="109" t="s">
        <v>17665</v>
      </c>
      <c r="G6526" s="24" t="s">
        <v>4038</v>
      </c>
      <c r="H6526" s="230">
        <v>4</v>
      </c>
      <c r="I6526" s="220">
        <v>812000</v>
      </c>
      <c r="J6526" s="220">
        <f>I6526*0.1</f>
        <v>81200</v>
      </c>
      <c r="K6526" s="220">
        <v>0</v>
      </c>
      <c r="L6526" s="220">
        <v>8550</v>
      </c>
      <c r="M6526" s="220">
        <v>22000</v>
      </c>
      <c r="N6526" s="220">
        <f>SUM(I6526:M6527)</f>
        <v>923750</v>
      </c>
      <c r="O6526" s="224"/>
      <c r="P6526" s="110" t="s">
        <v>18329</v>
      </c>
      <c r="Q6526" s="15" t="s">
        <v>19</v>
      </c>
      <c r="R6526" s="205"/>
      <c r="S6526" s="189"/>
      <c r="T6526" s="114"/>
      <c r="U6526" s="21"/>
      <c r="V6526" s="115">
        <v>46141</v>
      </c>
      <c r="W6526" s="116">
        <v>1015</v>
      </c>
      <c r="X6526" s="220">
        <v>830000</v>
      </c>
      <c r="Y6526" s="220">
        <f>X6526*0.1</f>
        <v>83000</v>
      </c>
      <c r="Z6526" s="220">
        <v>8550</v>
      </c>
      <c r="AA6526" s="220">
        <f>SUM(X6526:Z6526)</f>
        <v>921550</v>
      </c>
      <c r="AB6526" s="222">
        <v>46153</v>
      </c>
    </row>
    <row r="6527" spans="1:28" ht="17.100000000000001" customHeight="1" thickBot="1">
      <c r="A6527" s="227"/>
      <c r="B6527" s="27" t="s">
        <v>18302</v>
      </c>
      <c r="C6527" s="27">
        <v>50019</v>
      </c>
      <c r="D6527" s="14" t="s">
        <v>17793</v>
      </c>
      <c r="E6527" s="229"/>
      <c r="F6527" s="117" t="s">
        <v>18328</v>
      </c>
      <c r="G6527" s="26">
        <v>58920</v>
      </c>
      <c r="H6527" s="231"/>
      <c r="I6527" s="221"/>
      <c r="J6527" s="221"/>
      <c r="K6527" s="221"/>
      <c r="L6527" s="221"/>
      <c r="M6527" s="221"/>
      <c r="N6527" s="221"/>
      <c r="O6527" s="225"/>
      <c r="P6527" s="118" t="s">
        <v>18955</v>
      </c>
      <c r="Q6527" s="16" t="s">
        <v>20</v>
      </c>
      <c r="R6527" s="17" t="s">
        <v>18931</v>
      </c>
      <c r="S6527" s="121" t="s">
        <v>18956</v>
      </c>
      <c r="T6527" s="122"/>
      <c r="U6527" s="22"/>
      <c r="V6527" s="123" t="s">
        <v>2747</v>
      </c>
      <c r="W6527" s="122">
        <v>2024</v>
      </c>
      <c r="X6527" s="221"/>
      <c r="Y6527" s="221"/>
      <c r="Z6527" s="221"/>
      <c r="AA6527" s="221"/>
      <c r="AB6527" s="223"/>
    </row>
    <row r="6528" spans="1:28" ht="17.100000000000001" customHeight="1" thickTop="1">
      <c r="A6528" s="226" t="s">
        <v>18311</v>
      </c>
      <c r="B6528" s="28">
        <v>46079</v>
      </c>
      <c r="C6528" s="25">
        <v>2016</v>
      </c>
      <c r="D6528" s="13" t="s">
        <v>1607</v>
      </c>
      <c r="E6528" s="228"/>
      <c r="F6528" s="109" t="s">
        <v>18330</v>
      </c>
      <c r="G6528" s="24" t="s">
        <v>4652</v>
      </c>
      <c r="H6528" s="230">
        <v>4</v>
      </c>
      <c r="I6528" s="220">
        <v>737000</v>
      </c>
      <c r="J6528" s="220">
        <f>I6528*0.1</f>
        <v>73700</v>
      </c>
      <c r="K6528" s="220">
        <v>0</v>
      </c>
      <c r="L6528" s="220">
        <v>8230</v>
      </c>
      <c r="M6528" s="220">
        <v>22000</v>
      </c>
      <c r="N6528" s="220">
        <f>SUM(I6528:M6529)</f>
        <v>840930</v>
      </c>
      <c r="O6528" s="224"/>
      <c r="P6528" s="110" t="s">
        <v>18332</v>
      </c>
      <c r="Q6528" s="15" t="s">
        <v>19</v>
      </c>
      <c r="R6528" s="205"/>
      <c r="S6528" s="189"/>
      <c r="T6528" s="114"/>
      <c r="U6528" s="21" t="s">
        <v>18970</v>
      </c>
      <c r="V6528" s="115">
        <v>46085</v>
      </c>
      <c r="W6528" s="116">
        <v>1007</v>
      </c>
      <c r="X6528" s="220">
        <v>790000</v>
      </c>
      <c r="Y6528" s="220">
        <f>X6528*0.1</f>
        <v>79000</v>
      </c>
      <c r="Z6528" s="220">
        <v>8230</v>
      </c>
      <c r="AA6528" s="220">
        <f>SUM(X6528:Z6528)</f>
        <v>877230</v>
      </c>
      <c r="AB6528" s="222">
        <v>46090</v>
      </c>
    </row>
    <row r="6529" spans="1:28" ht="17.100000000000001" customHeight="1" thickBot="1">
      <c r="A6529" s="227"/>
      <c r="B6529" s="27" t="s">
        <v>18302</v>
      </c>
      <c r="C6529" s="27">
        <v>50041</v>
      </c>
      <c r="D6529" s="14" t="s">
        <v>2014</v>
      </c>
      <c r="E6529" s="229"/>
      <c r="F6529" s="117" t="s">
        <v>18331</v>
      </c>
      <c r="G6529" s="26">
        <v>27319</v>
      </c>
      <c r="H6529" s="231"/>
      <c r="I6529" s="221"/>
      <c r="J6529" s="221"/>
      <c r="K6529" s="221"/>
      <c r="L6529" s="221"/>
      <c r="M6529" s="221"/>
      <c r="N6529" s="221"/>
      <c r="O6529" s="225"/>
      <c r="P6529" s="118" t="s">
        <v>18853</v>
      </c>
      <c r="Q6529" s="16" t="s">
        <v>20</v>
      </c>
      <c r="R6529" s="17" t="s">
        <v>853</v>
      </c>
      <c r="S6529" s="121" t="s">
        <v>17303</v>
      </c>
      <c r="T6529" s="122"/>
      <c r="U6529" s="22"/>
      <c r="V6529" s="123" t="s">
        <v>2747</v>
      </c>
      <c r="W6529" s="122">
        <v>5049</v>
      </c>
      <c r="X6529" s="221"/>
      <c r="Y6529" s="221"/>
      <c r="Z6529" s="221"/>
      <c r="AA6529" s="221"/>
      <c r="AB6529" s="223"/>
    </row>
    <row r="6530" spans="1:28" ht="17.100000000000001" customHeight="1" thickTop="1">
      <c r="A6530" s="226" t="s">
        <v>18312</v>
      </c>
      <c r="B6530" s="28">
        <v>46079</v>
      </c>
      <c r="C6530" s="25">
        <v>2016</v>
      </c>
      <c r="D6530" s="13" t="s">
        <v>1887</v>
      </c>
      <c r="E6530" s="228"/>
      <c r="F6530" s="109" t="s">
        <v>13864</v>
      </c>
      <c r="G6530" s="24"/>
      <c r="H6530" s="230">
        <v>4.5</v>
      </c>
      <c r="I6530" s="220">
        <v>1130000</v>
      </c>
      <c r="J6530" s="220">
        <f>I6530*0.1</f>
        <v>113000</v>
      </c>
      <c r="K6530" s="220">
        <v>0</v>
      </c>
      <c r="L6530" s="220">
        <v>8130</v>
      </c>
      <c r="M6530" s="220">
        <v>22000</v>
      </c>
      <c r="N6530" s="220">
        <f>SUM(I6530:M6531)</f>
        <v>1273130</v>
      </c>
      <c r="O6530" s="224"/>
      <c r="P6530" s="110" t="s">
        <v>18847</v>
      </c>
      <c r="Q6530" s="15" t="s">
        <v>19</v>
      </c>
      <c r="R6530" s="205"/>
      <c r="S6530" s="189" t="s">
        <v>758</v>
      </c>
      <c r="T6530" s="114"/>
      <c r="U6530" s="21"/>
      <c r="V6530" s="115">
        <v>46084</v>
      </c>
      <c r="W6530" s="116">
        <v>1931</v>
      </c>
      <c r="X6530" s="220">
        <v>1251000</v>
      </c>
      <c r="Y6530" s="220">
        <f>X6530*0.1</f>
        <v>125100</v>
      </c>
      <c r="Z6530" s="220">
        <v>8130</v>
      </c>
      <c r="AA6530" s="220">
        <f>SUM(X6530:Z6530)</f>
        <v>1384230</v>
      </c>
      <c r="AB6530" s="222">
        <v>46091</v>
      </c>
    </row>
    <row r="6531" spans="1:28" ht="17.100000000000001" customHeight="1" thickBot="1">
      <c r="A6531" s="227"/>
      <c r="B6531" s="27" t="s">
        <v>18302</v>
      </c>
      <c r="C6531" s="27">
        <v>50058</v>
      </c>
      <c r="D6531" s="14" t="s">
        <v>1627</v>
      </c>
      <c r="E6531" s="229"/>
      <c r="F6531" s="117" t="s">
        <v>18333</v>
      </c>
      <c r="G6531" s="26">
        <v>4101</v>
      </c>
      <c r="H6531" s="231"/>
      <c r="I6531" s="221"/>
      <c r="J6531" s="221"/>
      <c r="K6531" s="221"/>
      <c r="L6531" s="221"/>
      <c r="M6531" s="221"/>
      <c r="N6531" s="221"/>
      <c r="O6531" s="225"/>
      <c r="P6531" s="118" t="s">
        <v>11653</v>
      </c>
      <c r="Q6531" s="16" t="s">
        <v>20</v>
      </c>
      <c r="R6531" s="17" t="s">
        <v>853</v>
      </c>
      <c r="S6531" s="121" t="s">
        <v>15413</v>
      </c>
      <c r="T6531" s="122"/>
      <c r="U6531" s="22"/>
      <c r="V6531" s="123" t="s">
        <v>2103</v>
      </c>
      <c r="W6531" s="122">
        <v>3251</v>
      </c>
      <c r="X6531" s="221"/>
      <c r="Y6531" s="221"/>
      <c r="Z6531" s="221"/>
      <c r="AA6531" s="221"/>
      <c r="AB6531" s="223"/>
    </row>
    <row r="6532" spans="1:28" ht="17.100000000000001" customHeight="1" thickTop="1">
      <c r="A6532" s="226" t="s">
        <v>18313</v>
      </c>
      <c r="B6532" s="28">
        <v>46079</v>
      </c>
      <c r="C6532" s="25">
        <v>2016</v>
      </c>
      <c r="D6532" s="13" t="s">
        <v>1053</v>
      </c>
      <c r="E6532" s="228"/>
      <c r="F6532" s="109" t="s">
        <v>12042</v>
      </c>
      <c r="G6532" s="24" t="s">
        <v>4239</v>
      </c>
      <c r="H6532" s="230">
        <v>4</v>
      </c>
      <c r="I6532" s="220">
        <v>1090000</v>
      </c>
      <c r="J6532" s="220">
        <f>I6532*0.1</f>
        <v>109000</v>
      </c>
      <c r="K6532" s="220">
        <v>0</v>
      </c>
      <c r="L6532" s="220">
        <v>7040</v>
      </c>
      <c r="M6532" s="220">
        <v>22000</v>
      </c>
      <c r="N6532" s="220">
        <f>SUM(I6532:M6533)</f>
        <v>1228040</v>
      </c>
      <c r="O6532" s="224"/>
      <c r="P6532" s="110" t="s">
        <v>18335</v>
      </c>
      <c r="Q6532" s="15" t="s">
        <v>19</v>
      </c>
      <c r="R6532" s="205"/>
      <c r="S6532" s="189"/>
      <c r="T6532" s="114"/>
      <c r="U6532" s="21" t="s">
        <v>19567</v>
      </c>
      <c r="V6532" s="115">
        <v>46092</v>
      </c>
      <c r="W6532" s="116">
        <v>1008</v>
      </c>
      <c r="X6532" s="220">
        <v>1090000</v>
      </c>
      <c r="Y6532" s="220">
        <f>X6532*0.1</f>
        <v>109000</v>
      </c>
      <c r="Z6532" s="220">
        <v>7040</v>
      </c>
      <c r="AA6532" s="220">
        <f>SUM(X6532:Z6532)</f>
        <v>1206040</v>
      </c>
      <c r="AB6532" s="222">
        <v>46098</v>
      </c>
    </row>
    <row r="6533" spans="1:28" ht="17.100000000000001" customHeight="1" thickBot="1">
      <c r="A6533" s="227"/>
      <c r="B6533" s="27" t="s">
        <v>18302</v>
      </c>
      <c r="C6533" s="27">
        <v>50093</v>
      </c>
      <c r="D6533" s="14" t="s">
        <v>2788</v>
      </c>
      <c r="E6533" s="229"/>
      <c r="F6533" s="117" t="s">
        <v>18334</v>
      </c>
      <c r="G6533" s="26">
        <v>35779</v>
      </c>
      <c r="H6533" s="231"/>
      <c r="I6533" s="221"/>
      <c r="J6533" s="221"/>
      <c r="K6533" s="221"/>
      <c r="L6533" s="221"/>
      <c r="M6533" s="221"/>
      <c r="N6533" s="221"/>
      <c r="O6533" s="225"/>
      <c r="P6533" s="118" t="s">
        <v>18887</v>
      </c>
      <c r="Q6533" s="16" t="s">
        <v>20</v>
      </c>
      <c r="R6533" s="17" t="s">
        <v>853</v>
      </c>
      <c r="S6533" s="121" t="s">
        <v>1731</v>
      </c>
      <c r="T6533" s="122"/>
      <c r="U6533" s="22"/>
      <c r="V6533" s="123" t="s">
        <v>19459</v>
      </c>
      <c r="W6533" s="122">
        <v>2048</v>
      </c>
      <c r="X6533" s="221"/>
      <c r="Y6533" s="221"/>
      <c r="Z6533" s="221"/>
      <c r="AA6533" s="221"/>
      <c r="AB6533" s="223"/>
    </row>
    <row r="6534" spans="1:28" ht="17.100000000000001" customHeight="1" thickTop="1">
      <c r="A6534" s="226" t="s">
        <v>18314</v>
      </c>
      <c r="B6534" s="28">
        <v>46079</v>
      </c>
      <c r="C6534" s="25">
        <v>2016</v>
      </c>
      <c r="D6534" s="13" t="s">
        <v>1676</v>
      </c>
      <c r="E6534" s="228"/>
      <c r="F6534" s="109" t="s">
        <v>9486</v>
      </c>
      <c r="G6534" s="24" t="s">
        <v>1551</v>
      </c>
      <c r="H6534" s="230">
        <v>4</v>
      </c>
      <c r="I6534" s="220">
        <v>815000</v>
      </c>
      <c r="J6534" s="220">
        <f>I6534*0.1</f>
        <v>81500</v>
      </c>
      <c r="K6534" s="220">
        <v>0</v>
      </c>
      <c r="L6534" s="220">
        <v>9790</v>
      </c>
      <c r="M6534" s="220">
        <v>22000</v>
      </c>
      <c r="N6534" s="220">
        <f>SUM(I6534:M6535)</f>
        <v>928290</v>
      </c>
      <c r="O6534" s="224"/>
      <c r="P6534" s="110" t="s">
        <v>18337</v>
      </c>
      <c r="Q6534" s="15" t="s">
        <v>19</v>
      </c>
      <c r="R6534" s="205"/>
      <c r="S6534" s="189" t="s">
        <v>25559</v>
      </c>
      <c r="T6534" s="114"/>
      <c r="U6534" s="21" t="s">
        <v>19563</v>
      </c>
      <c r="V6534" s="115">
        <v>46092</v>
      </c>
      <c r="W6534" s="116">
        <v>1008</v>
      </c>
      <c r="X6534" s="220">
        <v>820000</v>
      </c>
      <c r="Y6534" s="220">
        <f>X6534*0.1</f>
        <v>82000</v>
      </c>
      <c r="Z6534" s="220">
        <v>9790</v>
      </c>
      <c r="AA6534" s="220">
        <f>SUM(X6534:Z6534)</f>
        <v>911790</v>
      </c>
      <c r="AB6534" s="222">
        <v>46098</v>
      </c>
    </row>
    <row r="6535" spans="1:28" ht="17.100000000000001" customHeight="1" thickBot="1">
      <c r="A6535" s="227"/>
      <c r="B6535" s="27" t="s">
        <v>18302</v>
      </c>
      <c r="C6535" s="27">
        <v>50101</v>
      </c>
      <c r="D6535" s="14" t="s">
        <v>2559</v>
      </c>
      <c r="E6535" s="229"/>
      <c r="F6535" s="117" t="s">
        <v>18336</v>
      </c>
      <c r="G6535" s="26">
        <v>42771</v>
      </c>
      <c r="H6535" s="231"/>
      <c r="I6535" s="221"/>
      <c r="J6535" s="221"/>
      <c r="K6535" s="221"/>
      <c r="L6535" s="221"/>
      <c r="M6535" s="221"/>
      <c r="N6535" s="221"/>
      <c r="O6535" s="225"/>
      <c r="P6535" s="118" t="s">
        <v>18887</v>
      </c>
      <c r="Q6535" s="16" t="s">
        <v>20</v>
      </c>
      <c r="R6535" s="17" t="s">
        <v>853</v>
      </c>
      <c r="S6535" s="121" t="s">
        <v>18895</v>
      </c>
      <c r="T6535" s="122"/>
      <c r="U6535" s="22"/>
      <c r="V6535" s="123" t="s">
        <v>19459</v>
      </c>
      <c r="W6535" s="122">
        <v>2024</v>
      </c>
      <c r="X6535" s="221"/>
      <c r="Y6535" s="221"/>
      <c r="Z6535" s="221"/>
      <c r="AA6535" s="221"/>
      <c r="AB6535" s="223"/>
    </row>
    <row r="6536" spans="1:28" ht="17.100000000000001" customHeight="1" thickTop="1">
      <c r="A6536" s="226" t="s">
        <v>18315</v>
      </c>
      <c r="B6536" s="28">
        <v>46079</v>
      </c>
      <c r="C6536" s="25">
        <v>2016</v>
      </c>
      <c r="D6536" s="13" t="s">
        <v>853</v>
      </c>
      <c r="E6536" s="228"/>
      <c r="F6536" s="109" t="s">
        <v>17665</v>
      </c>
      <c r="G6536" s="24"/>
      <c r="H6536" s="230">
        <v>4.5</v>
      </c>
      <c r="I6536" s="220">
        <v>900000</v>
      </c>
      <c r="J6536" s="220">
        <f>I6536*0.1</f>
        <v>90000</v>
      </c>
      <c r="K6536" s="220">
        <v>0</v>
      </c>
      <c r="L6536" s="220">
        <v>8550</v>
      </c>
      <c r="M6536" s="220">
        <v>22000</v>
      </c>
      <c r="N6536" s="220">
        <f>SUM(I6536:M6537)</f>
        <v>1020550</v>
      </c>
      <c r="O6536" s="224"/>
      <c r="P6536" s="110" t="s">
        <v>18886</v>
      </c>
      <c r="Q6536" s="15" t="s">
        <v>19</v>
      </c>
      <c r="R6536" s="205"/>
      <c r="S6536" s="189"/>
      <c r="T6536" s="114"/>
      <c r="U6536" s="21"/>
      <c r="V6536" s="115">
        <v>46091</v>
      </c>
      <c r="W6536" s="116">
        <v>1932</v>
      </c>
      <c r="X6536" s="220">
        <v>925000</v>
      </c>
      <c r="Y6536" s="220">
        <f>X6536*0.1</f>
        <v>92500</v>
      </c>
      <c r="Z6536" s="220">
        <v>8550</v>
      </c>
      <c r="AA6536" s="220">
        <f>SUM(X6536:Z6536)</f>
        <v>1026050</v>
      </c>
      <c r="AB6536" s="222"/>
    </row>
    <row r="6537" spans="1:28" ht="17.100000000000001" customHeight="1" thickBot="1">
      <c r="A6537" s="227"/>
      <c r="B6537" s="27" t="s">
        <v>18302</v>
      </c>
      <c r="C6537" s="27">
        <v>50121</v>
      </c>
      <c r="D6537" s="14" t="s">
        <v>2559</v>
      </c>
      <c r="E6537" s="229"/>
      <c r="F6537" s="117" t="s">
        <v>18338</v>
      </c>
      <c r="G6537" s="26">
        <v>43528</v>
      </c>
      <c r="H6537" s="231"/>
      <c r="I6537" s="221"/>
      <c r="J6537" s="221"/>
      <c r="K6537" s="221"/>
      <c r="L6537" s="221"/>
      <c r="M6537" s="221"/>
      <c r="N6537" s="221"/>
      <c r="O6537" s="225"/>
      <c r="P6537" s="118" t="s">
        <v>18887</v>
      </c>
      <c r="Q6537" s="16" t="s">
        <v>20</v>
      </c>
      <c r="R6537" s="17" t="s">
        <v>853</v>
      </c>
      <c r="S6537" s="121" t="s">
        <v>5047</v>
      </c>
      <c r="T6537" s="122"/>
      <c r="U6537" s="22"/>
      <c r="V6537" s="123" t="s">
        <v>2103</v>
      </c>
      <c r="W6537" s="122">
        <v>3149</v>
      </c>
      <c r="X6537" s="221"/>
      <c r="Y6537" s="221"/>
      <c r="Z6537" s="221"/>
      <c r="AA6537" s="221"/>
      <c r="AB6537" s="223"/>
    </row>
    <row r="6538" spans="1:28" ht="17.100000000000001" customHeight="1" thickTop="1">
      <c r="A6538" s="226" t="s">
        <v>18316</v>
      </c>
      <c r="B6538" s="28">
        <v>46079</v>
      </c>
      <c r="C6538" s="25">
        <v>2016</v>
      </c>
      <c r="D6538" s="13" t="s">
        <v>2913</v>
      </c>
      <c r="E6538" s="228"/>
      <c r="F6538" s="109" t="s">
        <v>2743</v>
      </c>
      <c r="G6538" s="24" t="s">
        <v>1540</v>
      </c>
      <c r="H6538" s="230">
        <v>4.5</v>
      </c>
      <c r="I6538" s="220">
        <v>1253000</v>
      </c>
      <c r="J6538" s="220">
        <f>I6538*0.1</f>
        <v>125300</v>
      </c>
      <c r="K6538" s="220">
        <v>0</v>
      </c>
      <c r="L6538" s="220">
        <v>8550</v>
      </c>
      <c r="M6538" s="220">
        <v>22000</v>
      </c>
      <c r="N6538" s="220">
        <f>SUM(I6538:M6539)</f>
        <v>1408850</v>
      </c>
      <c r="O6538" s="224"/>
      <c r="P6538" s="110" t="s">
        <v>18340</v>
      </c>
      <c r="Q6538" s="15" t="s">
        <v>19</v>
      </c>
      <c r="R6538" s="205"/>
      <c r="S6538" s="189" t="s">
        <v>25820</v>
      </c>
      <c r="T6538" s="114"/>
      <c r="U6538" s="21" t="s">
        <v>19525</v>
      </c>
      <c r="V6538" s="115">
        <v>46091</v>
      </c>
      <c r="W6538" s="116">
        <v>1932</v>
      </c>
      <c r="X6538" s="220">
        <v>1267000</v>
      </c>
      <c r="Y6538" s="220">
        <f>X6538*0.1</f>
        <v>126700</v>
      </c>
      <c r="Z6538" s="220">
        <v>8550</v>
      </c>
      <c r="AA6538" s="220">
        <f>SUM(X6538:Z6538)</f>
        <v>1402250</v>
      </c>
      <c r="AB6538" s="222"/>
    </row>
    <row r="6539" spans="1:28" ht="17.100000000000001" customHeight="1" thickBot="1">
      <c r="A6539" s="227"/>
      <c r="B6539" s="27" t="s">
        <v>18302</v>
      </c>
      <c r="C6539" s="27">
        <v>50124</v>
      </c>
      <c r="D6539" s="14" t="s">
        <v>2559</v>
      </c>
      <c r="E6539" s="229"/>
      <c r="F6539" s="117" t="s">
        <v>18339</v>
      </c>
      <c r="G6539" s="26">
        <v>22131</v>
      </c>
      <c r="H6539" s="231"/>
      <c r="I6539" s="221"/>
      <c r="J6539" s="221"/>
      <c r="K6539" s="221"/>
      <c r="L6539" s="221"/>
      <c r="M6539" s="221"/>
      <c r="N6539" s="221"/>
      <c r="O6539" s="225"/>
      <c r="P6539" s="118" t="s">
        <v>18887</v>
      </c>
      <c r="Q6539" s="16" t="s">
        <v>20</v>
      </c>
      <c r="R6539" s="17" t="s">
        <v>853</v>
      </c>
      <c r="S6539" s="121" t="s">
        <v>10319</v>
      </c>
      <c r="T6539" s="122"/>
      <c r="U6539" s="22"/>
      <c r="V6539" s="123" t="s">
        <v>2103</v>
      </c>
      <c r="W6539" s="122">
        <v>3143</v>
      </c>
      <c r="X6539" s="221"/>
      <c r="Y6539" s="221"/>
      <c r="Z6539" s="221"/>
      <c r="AA6539" s="221"/>
      <c r="AB6539" s="223"/>
    </row>
    <row r="6540" spans="1:28" ht="17.100000000000001" customHeight="1" thickTop="1">
      <c r="A6540" s="226" t="s">
        <v>18317</v>
      </c>
      <c r="B6540" s="28">
        <v>46079</v>
      </c>
      <c r="C6540" s="25">
        <v>2016</v>
      </c>
      <c r="D6540" s="13" t="s">
        <v>1704</v>
      </c>
      <c r="E6540" s="228"/>
      <c r="F6540" s="109" t="s">
        <v>5097</v>
      </c>
      <c r="G6540" s="24"/>
      <c r="H6540" s="230">
        <v>3.5</v>
      </c>
      <c r="I6540" s="220">
        <v>805000</v>
      </c>
      <c r="J6540" s="220">
        <f>I6540*0.1</f>
        <v>80500</v>
      </c>
      <c r="K6540" s="220">
        <v>0</v>
      </c>
      <c r="L6540" s="220">
        <v>8790</v>
      </c>
      <c r="M6540" s="220">
        <v>22000</v>
      </c>
      <c r="N6540" s="220">
        <f>SUM(I6540:M6541)</f>
        <v>916290</v>
      </c>
      <c r="O6540" s="224"/>
      <c r="P6540" s="110" t="s">
        <v>18917</v>
      </c>
      <c r="Q6540" s="15" t="s">
        <v>19</v>
      </c>
      <c r="R6540" s="205"/>
      <c r="S6540" s="189" t="s">
        <v>25617</v>
      </c>
      <c r="T6540" s="114"/>
      <c r="U6540" s="21"/>
      <c r="V6540" s="115">
        <v>46085</v>
      </c>
      <c r="W6540" s="116">
        <v>1007</v>
      </c>
      <c r="X6540" s="220">
        <v>970000</v>
      </c>
      <c r="Y6540" s="220">
        <f>X6540*0.1</f>
        <v>97000</v>
      </c>
      <c r="Z6540" s="220">
        <v>8790</v>
      </c>
      <c r="AA6540" s="220">
        <f>SUM(X6540:Z6540)</f>
        <v>1075790</v>
      </c>
      <c r="AB6540" s="222">
        <v>46090</v>
      </c>
    </row>
    <row r="6541" spans="1:28" ht="17.100000000000001" customHeight="1" thickBot="1">
      <c r="A6541" s="227"/>
      <c r="B6541" s="27" t="s">
        <v>18302</v>
      </c>
      <c r="C6541" s="27">
        <v>50138</v>
      </c>
      <c r="D6541" s="14" t="s">
        <v>2559</v>
      </c>
      <c r="E6541" s="229"/>
      <c r="F6541" s="117" t="s">
        <v>18341</v>
      </c>
      <c r="G6541" s="26">
        <v>26510</v>
      </c>
      <c r="H6541" s="231"/>
      <c r="I6541" s="221"/>
      <c r="J6541" s="221"/>
      <c r="K6541" s="221"/>
      <c r="L6541" s="221"/>
      <c r="M6541" s="221"/>
      <c r="N6541" s="221"/>
      <c r="O6541" s="225"/>
      <c r="P6541" s="118" t="s">
        <v>18918</v>
      </c>
      <c r="Q6541" s="16" t="s">
        <v>20</v>
      </c>
      <c r="R6541" s="17" t="s">
        <v>18919</v>
      </c>
      <c r="S6541" s="121" t="s">
        <v>18920</v>
      </c>
      <c r="T6541" s="122"/>
      <c r="U6541" s="22"/>
      <c r="V6541" s="123" t="s">
        <v>18916</v>
      </c>
      <c r="W6541" s="122">
        <v>5074</v>
      </c>
      <c r="X6541" s="221"/>
      <c r="Y6541" s="221"/>
      <c r="Z6541" s="221"/>
      <c r="AA6541" s="221"/>
      <c r="AB6541" s="223"/>
    </row>
    <row r="6542" spans="1:28" ht="17.100000000000001" customHeight="1" thickTop="1">
      <c r="A6542" s="226" t="s">
        <v>18318</v>
      </c>
      <c r="B6542" s="28">
        <v>46079</v>
      </c>
      <c r="C6542" s="25">
        <v>2016</v>
      </c>
      <c r="D6542" s="13" t="s">
        <v>1704</v>
      </c>
      <c r="E6542" s="228"/>
      <c r="F6542" s="109" t="s">
        <v>17665</v>
      </c>
      <c r="G6542" s="24"/>
      <c r="H6542" s="230">
        <v>4.5</v>
      </c>
      <c r="I6542" s="220">
        <v>914000</v>
      </c>
      <c r="J6542" s="220">
        <f>I6542*0.1</f>
        <v>91400</v>
      </c>
      <c r="K6542" s="220">
        <v>0</v>
      </c>
      <c r="L6542" s="220">
        <v>8550</v>
      </c>
      <c r="M6542" s="220">
        <v>22000</v>
      </c>
      <c r="N6542" s="220">
        <f>SUM(I6542:M6543)</f>
        <v>1035950</v>
      </c>
      <c r="O6542" s="224"/>
      <c r="P6542" s="110" t="s">
        <v>18888</v>
      </c>
      <c r="Q6542" s="15" t="s">
        <v>19</v>
      </c>
      <c r="R6542" s="205"/>
      <c r="S6542" s="189"/>
      <c r="T6542" s="114"/>
      <c r="U6542" s="21"/>
      <c r="V6542" s="115">
        <v>46098</v>
      </c>
      <c r="W6542" s="116">
        <v>1933</v>
      </c>
      <c r="X6542" s="220">
        <v>973000</v>
      </c>
      <c r="Y6542" s="220">
        <f>X6542*0.1</f>
        <v>97300</v>
      </c>
      <c r="Z6542" s="220">
        <v>8550</v>
      </c>
      <c r="AA6542" s="220">
        <f>SUM(X6542:Z6542)</f>
        <v>1078850</v>
      </c>
      <c r="AB6542" s="222"/>
    </row>
    <row r="6543" spans="1:28" ht="17.100000000000001" customHeight="1" thickBot="1">
      <c r="A6543" s="227"/>
      <c r="B6543" s="27" t="s">
        <v>18302</v>
      </c>
      <c r="C6543" s="27">
        <v>50139</v>
      </c>
      <c r="D6543" s="14" t="s">
        <v>2559</v>
      </c>
      <c r="E6543" s="229"/>
      <c r="F6543" s="117" t="s">
        <v>18342</v>
      </c>
      <c r="G6543" s="26">
        <v>43592</v>
      </c>
      <c r="H6543" s="231"/>
      <c r="I6543" s="221"/>
      <c r="J6543" s="221"/>
      <c r="K6543" s="221"/>
      <c r="L6543" s="221"/>
      <c r="M6543" s="221"/>
      <c r="N6543" s="221"/>
      <c r="O6543" s="225"/>
      <c r="P6543" s="118" t="s">
        <v>18887</v>
      </c>
      <c r="Q6543" s="16" t="s">
        <v>20</v>
      </c>
      <c r="R6543" s="17" t="s">
        <v>853</v>
      </c>
      <c r="S6543" s="121" t="s">
        <v>5047</v>
      </c>
      <c r="T6543" s="122"/>
      <c r="U6543" s="22"/>
      <c r="V6543" s="123" t="s">
        <v>2103</v>
      </c>
      <c r="W6543" s="122">
        <v>3131</v>
      </c>
      <c r="X6543" s="221"/>
      <c r="Y6543" s="221"/>
      <c r="Z6543" s="221"/>
      <c r="AA6543" s="221"/>
      <c r="AB6543" s="223"/>
    </row>
    <row r="6544" spans="1:28" ht="17.100000000000001" customHeight="1" thickTop="1">
      <c r="A6544" s="226" t="s">
        <v>18319</v>
      </c>
      <c r="B6544" s="28">
        <v>46079</v>
      </c>
      <c r="C6544" s="25">
        <v>2016</v>
      </c>
      <c r="D6544" s="13" t="s">
        <v>3332</v>
      </c>
      <c r="E6544" s="228"/>
      <c r="F6544" s="109" t="s">
        <v>4223</v>
      </c>
      <c r="G6544" s="24" t="s">
        <v>4025</v>
      </c>
      <c r="H6544" s="230">
        <v>4.5</v>
      </c>
      <c r="I6544" s="220">
        <v>1262000</v>
      </c>
      <c r="J6544" s="220">
        <f>I6544*0.1</f>
        <v>126200</v>
      </c>
      <c r="K6544" s="220">
        <v>0</v>
      </c>
      <c r="L6544" s="220">
        <v>8550</v>
      </c>
      <c r="M6544" s="220">
        <v>22000</v>
      </c>
      <c r="N6544" s="220">
        <f>SUM(I6544:M6545)</f>
        <v>1418750</v>
      </c>
      <c r="O6544" s="224"/>
      <c r="P6544" s="110" t="s">
        <v>18344</v>
      </c>
      <c r="Q6544" s="15" t="s">
        <v>19</v>
      </c>
      <c r="R6544" s="205"/>
      <c r="S6544" s="189"/>
      <c r="T6544" s="114"/>
      <c r="U6544" s="21" t="s">
        <v>18909</v>
      </c>
      <c r="V6544" s="115">
        <v>46084</v>
      </c>
      <c r="W6544" s="116">
        <v>1931</v>
      </c>
      <c r="X6544" s="220">
        <v>1336000</v>
      </c>
      <c r="Y6544" s="220">
        <f>X6544*0.1</f>
        <v>133600</v>
      </c>
      <c r="Z6544" s="220">
        <v>8550</v>
      </c>
      <c r="AA6544" s="220">
        <f>SUM(X6544:Z6544)</f>
        <v>1478150</v>
      </c>
      <c r="AB6544" s="222">
        <v>46091</v>
      </c>
    </row>
    <row r="6545" spans="1:28" ht="17.100000000000001" customHeight="1" thickBot="1">
      <c r="A6545" s="227"/>
      <c r="B6545" s="27" t="s">
        <v>18302</v>
      </c>
      <c r="C6545" s="27">
        <v>50169</v>
      </c>
      <c r="D6545" s="14" t="s">
        <v>2559</v>
      </c>
      <c r="E6545" s="229"/>
      <c r="F6545" s="117" t="s">
        <v>18343</v>
      </c>
      <c r="G6545" s="26">
        <v>24897</v>
      </c>
      <c r="H6545" s="231"/>
      <c r="I6545" s="221"/>
      <c r="J6545" s="221"/>
      <c r="K6545" s="221"/>
      <c r="L6545" s="221"/>
      <c r="M6545" s="221"/>
      <c r="N6545" s="221"/>
      <c r="O6545" s="225"/>
      <c r="P6545" s="118" t="s">
        <v>2968</v>
      </c>
      <c r="Q6545" s="16" t="s">
        <v>20</v>
      </c>
      <c r="R6545" s="17" t="s">
        <v>853</v>
      </c>
      <c r="S6545" s="121" t="s">
        <v>2025</v>
      </c>
      <c r="T6545" s="122"/>
      <c r="U6545" s="22"/>
      <c r="V6545" s="123" t="s">
        <v>2103</v>
      </c>
      <c r="W6545" s="122">
        <v>3265</v>
      </c>
      <c r="X6545" s="221"/>
      <c r="Y6545" s="221"/>
      <c r="Z6545" s="221"/>
      <c r="AA6545" s="221"/>
      <c r="AB6545" s="223"/>
    </row>
    <row r="6546" spans="1:28" ht="17.100000000000001" customHeight="1" thickTop="1">
      <c r="A6546" s="226" t="s">
        <v>18384</v>
      </c>
      <c r="B6546" s="28">
        <v>46079</v>
      </c>
      <c r="C6546" s="25">
        <v>2016</v>
      </c>
      <c r="D6546" s="13" t="s">
        <v>1676</v>
      </c>
      <c r="E6546" s="228"/>
      <c r="F6546" s="109" t="s">
        <v>18345</v>
      </c>
      <c r="G6546" s="24" t="s">
        <v>1551</v>
      </c>
      <c r="H6546" s="230">
        <v>4</v>
      </c>
      <c r="I6546" s="220">
        <v>562000</v>
      </c>
      <c r="J6546" s="220">
        <f>I6546*0.1</f>
        <v>56200</v>
      </c>
      <c r="K6546" s="220">
        <v>0</v>
      </c>
      <c r="L6546" s="220">
        <v>9670</v>
      </c>
      <c r="M6546" s="220">
        <v>22000</v>
      </c>
      <c r="N6546" s="220">
        <f>SUM(I6546:M6547)</f>
        <v>649870</v>
      </c>
      <c r="O6546" s="224"/>
      <c r="P6546" s="110" t="s">
        <v>18347</v>
      </c>
      <c r="Q6546" s="15" t="s">
        <v>19</v>
      </c>
      <c r="R6546" s="205"/>
      <c r="S6546" s="189" t="s">
        <v>25574</v>
      </c>
      <c r="T6546" s="114"/>
      <c r="U6546" s="21" t="s">
        <v>18972</v>
      </c>
      <c r="V6546" s="115">
        <v>46085</v>
      </c>
      <c r="W6546" s="116">
        <v>1007</v>
      </c>
      <c r="X6546" s="220">
        <v>650000</v>
      </c>
      <c r="Y6546" s="220">
        <f>X6546*0.1</f>
        <v>65000</v>
      </c>
      <c r="Z6546" s="220">
        <v>9670</v>
      </c>
      <c r="AA6546" s="220">
        <f>SUM(X6546:Z6546)</f>
        <v>724670</v>
      </c>
      <c r="AB6546" s="222">
        <v>46090</v>
      </c>
    </row>
    <row r="6547" spans="1:28" ht="17.100000000000001" customHeight="1" thickBot="1">
      <c r="A6547" s="227"/>
      <c r="B6547" s="27" t="s">
        <v>18302</v>
      </c>
      <c r="C6547" s="27">
        <v>50173</v>
      </c>
      <c r="D6547" s="14" t="s">
        <v>1568</v>
      </c>
      <c r="E6547" s="229"/>
      <c r="F6547" s="117" t="s">
        <v>18346</v>
      </c>
      <c r="G6547" s="26">
        <v>43001</v>
      </c>
      <c r="H6547" s="231"/>
      <c r="I6547" s="221"/>
      <c r="J6547" s="221"/>
      <c r="K6547" s="221"/>
      <c r="L6547" s="221"/>
      <c r="M6547" s="221"/>
      <c r="N6547" s="221"/>
      <c r="O6547" s="225"/>
      <c r="P6547" s="118" t="s">
        <v>18856</v>
      </c>
      <c r="Q6547" s="16" t="s">
        <v>20</v>
      </c>
      <c r="R6547" s="17" t="s">
        <v>853</v>
      </c>
      <c r="S6547" s="121" t="s">
        <v>2025</v>
      </c>
      <c r="T6547" s="122"/>
      <c r="U6547" s="22"/>
      <c r="V6547" s="123" t="s">
        <v>2747</v>
      </c>
      <c r="W6547" s="122">
        <v>5051</v>
      </c>
      <c r="X6547" s="221"/>
      <c r="Y6547" s="221"/>
      <c r="Z6547" s="221"/>
      <c r="AA6547" s="221"/>
      <c r="AB6547" s="223"/>
    </row>
    <row r="6548" spans="1:28" ht="17.100000000000001" customHeight="1" thickTop="1">
      <c r="A6548" s="226" t="s">
        <v>18385</v>
      </c>
      <c r="B6548" s="28">
        <v>46079</v>
      </c>
      <c r="C6548" s="25">
        <v>2016</v>
      </c>
      <c r="D6548" s="13" t="s">
        <v>1642</v>
      </c>
      <c r="E6548" s="228"/>
      <c r="F6548" s="109" t="s">
        <v>17665</v>
      </c>
      <c r="G6548" s="24"/>
      <c r="H6548" s="230">
        <v>4.5</v>
      </c>
      <c r="I6548" s="220">
        <v>1047000</v>
      </c>
      <c r="J6548" s="220">
        <f>I6548*0.1</f>
        <v>104700</v>
      </c>
      <c r="K6548" s="220">
        <v>0</v>
      </c>
      <c r="L6548" s="220">
        <v>8550</v>
      </c>
      <c r="M6548" s="220">
        <v>22000</v>
      </c>
      <c r="N6548" s="220">
        <f>SUM(I6548:M6549)</f>
        <v>1182250</v>
      </c>
      <c r="O6548" s="224"/>
      <c r="P6548" s="110" t="s">
        <v>18848</v>
      </c>
      <c r="Q6548" s="15" t="s">
        <v>19</v>
      </c>
      <c r="R6548" s="205"/>
      <c r="S6548" s="189" t="s">
        <v>758</v>
      </c>
      <c r="T6548" s="114"/>
      <c r="U6548" s="21"/>
      <c r="V6548" s="115">
        <v>46084</v>
      </c>
      <c r="W6548" s="116">
        <v>1931</v>
      </c>
      <c r="X6548" s="220">
        <v>1079000</v>
      </c>
      <c r="Y6548" s="220">
        <f>X6548*0.1</f>
        <v>107900</v>
      </c>
      <c r="Z6548" s="220">
        <v>8550</v>
      </c>
      <c r="AA6548" s="220">
        <f>SUM(X6548:Z6548)</f>
        <v>1195450</v>
      </c>
      <c r="AB6548" s="222">
        <v>46091</v>
      </c>
    </row>
    <row r="6549" spans="1:28" ht="17.100000000000001" customHeight="1" thickBot="1">
      <c r="A6549" s="227"/>
      <c r="B6549" s="27" t="s">
        <v>18302</v>
      </c>
      <c r="C6549" s="27">
        <v>50198</v>
      </c>
      <c r="D6549" s="14" t="s">
        <v>273</v>
      </c>
      <c r="E6549" s="229"/>
      <c r="F6549" s="117" t="s">
        <v>18348</v>
      </c>
      <c r="G6549" s="26">
        <v>28780</v>
      </c>
      <c r="H6549" s="231"/>
      <c r="I6549" s="221"/>
      <c r="J6549" s="221"/>
      <c r="K6549" s="221"/>
      <c r="L6549" s="221"/>
      <c r="M6549" s="221"/>
      <c r="N6549" s="221"/>
      <c r="O6549" s="225"/>
      <c r="P6549" s="118" t="s">
        <v>2968</v>
      </c>
      <c r="Q6549" s="16" t="s">
        <v>20</v>
      </c>
      <c r="R6549" s="17" t="s">
        <v>853</v>
      </c>
      <c r="S6549" s="121" t="s">
        <v>2025</v>
      </c>
      <c r="T6549" s="122"/>
      <c r="U6549" s="22"/>
      <c r="V6549" s="123" t="s">
        <v>2103</v>
      </c>
      <c r="W6549" s="122">
        <v>3259</v>
      </c>
      <c r="X6549" s="221"/>
      <c r="Y6549" s="221"/>
      <c r="Z6549" s="221"/>
      <c r="AA6549" s="221"/>
      <c r="AB6549" s="223"/>
    </row>
    <row r="6550" spans="1:28" ht="17.100000000000001" customHeight="1" thickTop="1">
      <c r="A6550" s="226" t="s">
        <v>18386</v>
      </c>
      <c r="B6550" s="28">
        <v>46079</v>
      </c>
      <c r="C6550" s="25">
        <v>2016</v>
      </c>
      <c r="D6550" s="13" t="s">
        <v>3271</v>
      </c>
      <c r="E6550" s="228"/>
      <c r="F6550" s="109" t="s">
        <v>5360</v>
      </c>
      <c r="G6550" s="24" t="s">
        <v>3264</v>
      </c>
      <c r="H6550" s="230">
        <v>5</v>
      </c>
      <c r="I6550" s="220">
        <v>1171000</v>
      </c>
      <c r="J6550" s="220">
        <f>I6550*0.1</f>
        <v>117100</v>
      </c>
      <c r="K6550" s="220">
        <v>0</v>
      </c>
      <c r="L6550" s="220">
        <v>8310</v>
      </c>
      <c r="M6550" s="220">
        <v>22000</v>
      </c>
      <c r="N6550" s="220">
        <f>SUM(I6550:M6551)</f>
        <v>1318410</v>
      </c>
      <c r="O6550" s="224"/>
      <c r="P6550" s="110" t="s">
        <v>18350</v>
      </c>
      <c r="Q6550" s="15" t="s">
        <v>19</v>
      </c>
      <c r="R6550" s="205"/>
      <c r="S6550" s="189"/>
      <c r="T6550" s="114"/>
      <c r="U6550" s="21" t="s">
        <v>18910</v>
      </c>
      <c r="V6550" s="115">
        <v>46084</v>
      </c>
      <c r="W6550" s="116">
        <v>1931</v>
      </c>
      <c r="X6550" s="220">
        <v>1203000</v>
      </c>
      <c r="Y6550" s="220">
        <f>X6550*0.1</f>
        <v>120300</v>
      </c>
      <c r="Z6550" s="220">
        <v>8310</v>
      </c>
      <c r="AA6550" s="220">
        <f>SUM(X6550:Z6550)</f>
        <v>1331610</v>
      </c>
      <c r="AB6550" s="222">
        <v>46091</v>
      </c>
    </row>
    <row r="6551" spans="1:28" ht="17.100000000000001" customHeight="1" thickBot="1">
      <c r="A6551" s="227"/>
      <c r="B6551" s="27" t="s">
        <v>18302</v>
      </c>
      <c r="C6551" s="27">
        <v>50224</v>
      </c>
      <c r="D6551" s="14" t="s">
        <v>2559</v>
      </c>
      <c r="E6551" s="229"/>
      <c r="F6551" s="117" t="s">
        <v>18349</v>
      </c>
      <c r="G6551" s="26">
        <v>4373</v>
      </c>
      <c r="H6551" s="231"/>
      <c r="I6551" s="221"/>
      <c r="J6551" s="221"/>
      <c r="K6551" s="221"/>
      <c r="L6551" s="221"/>
      <c r="M6551" s="221"/>
      <c r="N6551" s="221"/>
      <c r="O6551" s="225"/>
      <c r="P6551" s="118" t="s">
        <v>18846</v>
      </c>
      <c r="Q6551" s="16" t="s">
        <v>20</v>
      </c>
      <c r="R6551" s="17" t="s">
        <v>853</v>
      </c>
      <c r="S6551" s="121" t="s">
        <v>1731</v>
      </c>
      <c r="T6551" s="122"/>
      <c r="U6551" s="22"/>
      <c r="V6551" s="123" t="s">
        <v>2103</v>
      </c>
      <c r="W6551" s="122">
        <v>3267</v>
      </c>
      <c r="X6551" s="221"/>
      <c r="Y6551" s="221"/>
      <c r="Z6551" s="221"/>
      <c r="AA6551" s="221"/>
      <c r="AB6551" s="223"/>
    </row>
    <row r="6552" spans="1:28" ht="17.100000000000001" customHeight="1" thickTop="1">
      <c r="A6552" s="226" t="s">
        <v>18387</v>
      </c>
      <c r="B6552" s="28">
        <v>46079</v>
      </c>
      <c r="C6552" s="25">
        <v>1972</v>
      </c>
      <c r="D6552" s="13" t="s">
        <v>1704</v>
      </c>
      <c r="E6552" s="228"/>
      <c r="F6552" s="109" t="s">
        <v>18372</v>
      </c>
      <c r="G6552" s="24"/>
      <c r="H6552" s="230">
        <v>4.5</v>
      </c>
      <c r="I6552" s="220">
        <v>688000</v>
      </c>
      <c r="J6552" s="220">
        <f>I6552*0.1</f>
        <v>68800</v>
      </c>
      <c r="K6552" s="220">
        <v>0</v>
      </c>
      <c r="L6552" s="220">
        <v>7510</v>
      </c>
      <c r="M6552" s="220">
        <v>17050</v>
      </c>
      <c r="N6552" s="220">
        <f>SUM(I6552:M6553)</f>
        <v>781360</v>
      </c>
      <c r="O6552" s="224"/>
      <c r="P6552" s="110" t="s">
        <v>18594</v>
      </c>
      <c r="Q6552" s="15" t="s">
        <v>19</v>
      </c>
      <c r="R6552" s="205"/>
      <c r="S6552" s="189"/>
      <c r="T6552" s="114"/>
      <c r="U6552" s="21"/>
      <c r="V6552" s="115">
        <v>46088</v>
      </c>
      <c r="W6552" s="116">
        <v>1291</v>
      </c>
      <c r="X6552" s="220">
        <v>780000</v>
      </c>
      <c r="Y6552" s="220">
        <f>X6552*0.1</f>
        <v>78000</v>
      </c>
      <c r="Z6552" s="220">
        <v>7510</v>
      </c>
      <c r="AA6552" s="220">
        <f>SUM(X6552:Z6552)</f>
        <v>865510</v>
      </c>
      <c r="AB6552" s="222">
        <v>46091</v>
      </c>
    </row>
    <row r="6553" spans="1:28" ht="17.100000000000001" customHeight="1" thickBot="1">
      <c r="A6553" s="227"/>
      <c r="B6553" s="27" t="s">
        <v>3730</v>
      </c>
      <c r="C6553" s="27">
        <v>3087</v>
      </c>
      <c r="D6553" s="14" t="s">
        <v>1584</v>
      </c>
      <c r="E6553" s="229"/>
      <c r="F6553" s="117" t="s">
        <v>18373</v>
      </c>
      <c r="G6553" s="26">
        <v>24362</v>
      </c>
      <c r="H6553" s="231"/>
      <c r="I6553" s="221"/>
      <c r="J6553" s="221"/>
      <c r="K6553" s="221"/>
      <c r="L6553" s="221"/>
      <c r="M6553" s="221"/>
      <c r="N6553" s="221"/>
      <c r="O6553" s="225"/>
      <c r="P6553" s="118" t="s">
        <v>8639</v>
      </c>
      <c r="Q6553" s="16" t="s">
        <v>20</v>
      </c>
      <c r="R6553" s="17" t="s">
        <v>2318</v>
      </c>
      <c r="S6553" s="121"/>
      <c r="T6553" s="122"/>
      <c r="U6553" s="22"/>
      <c r="V6553" s="123" t="s">
        <v>2472</v>
      </c>
      <c r="W6553" s="122">
        <v>60064</v>
      </c>
      <c r="X6553" s="221"/>
      <c r="Y6553" s="221"/>
      <c r="Z6553" s="221"/>
      <c r="AA6553" s="221"/>
      <c r="AB6553" s="223"/>
    </row>
    <row r="6554" spans="1:28" ht="17.100000000000001" customHeight="1" thickTop="1">
      <c r="A6554" s="226" t="s">
        <v>18388</v>
      </c>
      <c r="B6554" s="28">
        <v>46079</v>
      </c>
      <c r="C6554" s="25">
        <v>1972</v>
      </c>
      <c r="D6554" s="13" t="s">
        <v>1702</v>
      </c>
      <c r="E6554" s="228"/>
      <c r="F6554" s="109" t="s">
        <v>4508</v>
      </c>
      <c r="G6554" s="24"/>
      <c r="H6554" s="230">
        <v>4</v>
      </c>
      <c r="I6554" s="220">
        <v>1103000</v>
      </c>
      <c r="J6554" s="220">
        <f>I6554*0.1</f>
        <v>110300</v>
      </c>
      <c r="K6554" s="220">
        <v>0</v>
      </c>
      <c r="L6554" s="220">
        <v>9010</v>
      </c>
      <c r="M6554" s="220">
        <v>20900</v>
      </c>
      <c r="N6554" s="220">
        <f>SUM(I6554:M6555)</f>
        <v>1243210</v>
      </c>
      <c r="O6554" s="224"/>
      <c r="P6554" s="110" t="s">
        <v>18678</v>
      </c>
      <c r="Q6554" s="15" t="s">
        <v>19</v>
      </c>
      <c r="R6554" s="205"/>
      <c r="S6554" s="189" t="s">
        <v>25415</v>
      </c>
      <c r="T6554" s="114"/>
      <c r="U6554" s="21"/>
      <c r="V6554" s="115">
        <v>46120</v>
      </c>
      <c r="W6554" s="116">
        <v>1012</v>
      </c>
      <c r="X6554" s="220">
        <v>1160000</v>
      </c>
      <c r="Y6554" s="220">
        <f>X6554*0.1</f>
        <v>116000</v>
      </c>
      <c r="Z6554" s="220">
        <v>9010</v>
      </c>
      <c r="AA6554" s="220">
        <f>SUM(X6554:Z6554)</f>
        <v>1285010</v>
      </c>
      <c r="AB6554" s="222">
        <v>46125</v>
      </c>
    </row>
    <row r="6555" spans="1:28" ht="17.100000000000001" customHeight="1" thickBot="1">
      <c r="A6555" s="227"/>
      <c r="B6555" s="27" t="s">
        <v>3730</v>
      </c>
      <c r="C6555" s="27">
        <v>3558</v>
      </c>
      <c r="D6555" s="14" t="s">
        <v>2520</v>
      </c>
      <c r="E6555" s="229"/>
      <c r="F6555" s="117" t="s">
        <v>18374</v>
      </c>
      <c r="G6555" s="26">
        <v>44046</v>
      </c>
      <c r="H6555" s="231"/>
      <c r="I6555" s="221"/>
      <c r="J6555" s="221"/>
      <c r="K6555" s="221"/>
      <c r="L6555" s="221"/>
      <c r="M6555" s="221"/>
      <c r="N6555" s="221"/>
      <c r="O6555" s="225"/>
      <c r="P6555" s="118" t="s">
        <v>8888</v>
      </c>
      <c r="Q6555" s="16" t="s">
        <v>20</v>
      </c>
      <c r="R6555" s="17" t="s">
        <v>1883</v>
      </c>
      <c r="S6555" s="121" t="s">
        <v>1625</v>
      </c>
      <c r="T6555" s="122"/>
      <c r="U6555" s="22"/>
      <c r="V6555" s="123" t="s">
        <v>2747</v>
      </c>
      <c r="W6555" s="122">
        <v>2016</v>
      </c>
      <c r="X6555" s="221"/>
      <c r="Y6555" s="221"/>
      <c r="Z6555" s="221"/>
      <c r="AA6555" s="221"/>
      <c r="AB6555" s="223"/>
    </row>
    <row r="6556" spans="1:28" ht="17.100000000000001" customHeight="1" thickTop="1">
      <c r="A6556" s="226" t="s">
        <v>18389</v>
      </c>
      <c r="B6556" s="28">
        <v>46079</v>
      </c>
      <c r="C6556" s="25">
        <v>1972</v>
      </c>
      <c r="D6556" s="13" t="s">
        <v>2288</v>
      </c>
      <c r="E6556" s="228"/>
      <c r="F6556" s="109" t="s">
        <v>10244</v>
      </c>
      <c r="G6556" s="24"/>
      <c r="H6556" s="230">
        <v>4</v>
      </c>
      <c r="I6556" s="220">
        <v>1045000</v>
      </c>
      <c r="J6556" s="220">
        <f>I6556*0.1</f>
        <v>104500</v>
      </c>
      <c r="K6556" s="220">
        <v>0</v>
      </c>
      <c r="L6556" s="220">
        <v>22520</v>
      </c>
      <c r="M6556" s="220">
        <v>15950</v>
      </c>
      <c r="N6556" s="220">
        <f>SUM(I6556:M6557)</f>
        <v>1187970</v>
      </c>
      <c r="O6556" s="224"/>
      <c r="P6556" s="110" t="s">
        <v>18862</v>
      </c>
      <c r="Q6556" s="15" t="s">
        <v>19</v>
      </c>
      <c r="R6556" s="205"/>
      <c r="S6556" s="189"/>
      <c r="T6556" s="114"/>
      <c r="U6556" s="21"/>
      <c r="V6556" s="115">
        <v>46088</v>
      </c>
      <c r="W6556" s="116">
        <v>1291</v>
      </c>
      <c r="X6556" s="220">
        <v>1215000</v>
      </c>
      <c r="Y6556" s="220">
        <f>X6556*0.1</f>
        <v>121500</v>
      </c>
      <c r="Z6556" s="220">
        <v>22520</v>
      </c>
      <c r="AA6556" s="220">
        <f>SUM(X6556:Z6556)</f>
        <v>1359020</v>
      </c>
      <c r="AB6556" s="222">
        <v>46091</v>
      </c>
    </row>
    <row r="6557" spans="1:28" ht="17.100000000000001" customHeight="1" thickBot="1">
      <c r="A6557" s="227"/>
      <c r="B6557" s="27" t="s">
        <v>3730</v>
      </c>
      <c r="C6557" s="27">
        <v>5010</v>
      </c>
      <c r="D6557" s="14" t="s">
        <v>273</v>
      </c>
      <c r="E6557" s="229"/>
      <c r="F6557" s="117" t="s">
        <v>18375</v>
      </c>
      <c r="G6557" s="26">
        <v>48375</v>
      </c>
      <c r="H6557" s="231"/>
      <c r="I6557" s="221"/>
      <c r="J6557" s="221"/>
      <c r="K6557" s="221"/>
      <c r="L6557" s="221"/>
      <c r="M6557" s="221"/>
      <c r="N6557" s="221"/>
      <c r="O6557" s="225"/>
      <c r="P6557" s="118" t="s">
        <v>18863</v>
      </c>
      <c r="Q6557" s="16" t="s">
        <v>20</v>
      </c>
      <c r="R6557" s="17" t="s">
        <v>853</v>
      </c>
      <c r="S6557" s="121" t="s">
        <v>2166</v>
      </c>
      <c r="T6557" s="122"/>
      <c r="U6557" s="22"/>
      <c r="V6557" s="123" t="s">
        <v>2472</v>
      </c>
      <c r="W6557" s="122">
        <v>80065</v>
      </c>
      <c r="X6557" s="221"/>
      <c r="Y6557" s="221"/>
      <c r="Z6557" s="221"/>
      <c r="AA6557" s="221"/>
      <c r="AB6557" s="223"/>
    </row>
    <row r="6558" spans="1:28" ht="17.100000000000001" customHeight="1" thickTop="1">
      <c r="A6558" s="226" t="s">
        <v>18390</v>
      </c>
      <c r="B6558" s="28">
        <v>46079</v>
      </c>
      <c r="C6558" s="25">
        <v>1555</v>
      </c>
      <c r="D6558" s="13" t="s">
        <v>1578</v>
      </c>
      <c r="E6558" s="228"/>
      <c r="F6558" s="109" t="s">
        <v>18376</v>
      </c>
      <c r="G6558" s="24"/>
      <c r="H6558" s="230">
        <v>4</v>
      </c>
      <c r="I6558" s="220">
        <v>1860000</v>
      </c>
      <c r="J6558" s="220">
        <f>I6558*0.1</f>
        <v>186000</v>
      </c>
      <c r="K6558" s="220">
        <v>0</v>
      </c>
      <c r="L6558" s="220">
        <v>21580</v>
      </c>
      <c r="M6558" s="220">
        <v>16500</v>
      </c>
      <c r="N6558" s="220">
        <f>SUM(I6558:M6559)</f>
        <v>2084080</v>
      </c>
      <c r="O6558" s="224"/>
      <c r="P6558" s="110" t="s">
        <v>18664</v>
      </c>
      <c r="Q6558" s="15" t="s">
        <v>19</v>
      </c>
      <c r="R6558" s="205"/>
      <c r="S6558" s="189" t="s">
        <v>758</v>
      </c>
      <c r="T6558" s="114"/>
      <c r="U6558" s="21"/>
      <c r="V6558" s="115"/>
      <c r="W6558" s="116"/>
      <c r="X6558" s="220"/>
      <c r="Y6558" s="220">
        <f>X6558*0.1</f>
        <v>0</v>
      </c>
      <c r="Z6558" s="220"/>
      <c r="AA6558" s="220">
        <f>SUM(X6558:Z6558)</f>
        <v>0</v>
      </c>
      <c r="AB6558" s="222"/>
    </row>
    <row r="6559" spans="1:28" ht="17.100000000000001" customHeight="1" thickBot="1">
      <c r="A6559" s="227"/>
      <c r="B6559" s="27" t="s">
        <v>1592</v>
      </c>
      <c r="C6559" s="27">
        <v>75451</v>
      </c>
      <c r="D6559" s="14" t="s">
        <v>1568</v>
      </c>
      <c r="E6559" s="229"/>
      <c r="F6559" s="117" t="s">
        <v>18377</v>
      </c>
      <c r="G6559" s="26">
        <v>33064</v>
      </c>
      <c r="H6559" s="231"/>
      <c r="I6559" s="221"/>
      <c r="J6559" s="221"/>
      <c r="K6559" s="221"/>
      <c r="L6559" s="221"/>
      <c r="M6559" s="221"/>
      <c r="N6559" s="221"/>
      <c r="O6559" s="225"/>
      <c r="P6559" s="118" t="s">
        <v>18665</v>
      </c>
      <c r="Q6559" s="16" t="s">
        <v>20</v>
      </c>
      <c r="R6559" s="17" t="s">
        <v>1883</v>
      </c>
      <c r="S6559" s="121" t="s">
        <v>1923</v>
      </c>
      <c r="T6559" s="122"/>
      <c r="U6559" s="22"/>
      <c r="V6559" s="123"/>
      <c r="W6559" s="122"/>
      <c r="X6559" s="221"/>
      <c r="Y6559" s="221"/>
      <c r="Z6559" s="221"/>
      <c r="AA6559" s="221"/>
      <c r="AB6559" s="223"/>
    </row>
    <row r="6560" spans="1:28" ht="17.100000000000001" customHeight="1" thickTop="1">
      <c r="A6560" s="226" t="s">
        <v>18391</v>
      </c>
      <c r="B6560" s="28">
        <v>46079</v>
      </c>
      <c r="C6560" s="25">
        <v>1555</v>
      </c>
      <c r="D6560" s="13" t="s">
        <v>1704</v>
      </c>
      <c r="E6560" s="228"/>
      <c r="F6560" s="109" t="s">
        <v>18399</v>
      </c>
      <c r="G6560" s="24"/>
      <c r="H6560" s="230">
        <v>4.5</v>
      </c>
      <c r="I6560" s="220">
        <v>2830000</v>
      </c>
      <c r="J6560" s="220">
        <f>I6560*0.1</f>
        <v>283000</v>
      </c>
      <c r="K6560" s="220">
        <v>0</v>
      </c>
      <c r="L6560" s="220">
        <v>21570</v>
      </c>
      <c r="M6560" s="220">
        <v>16500</v>
      </c>
      <c r="N6560" s="220">
        <f>SUM(I6560:M6561)</f>
        <v>3151070</v>
      </c>
      <c r="O6560" s="224"/>
      <c r="P6560" s="110" t="s">
        <v>19262</v>
      </c>
      <c r="Q6560" s="15" t="s">
        <v>19</v>
      </c>
      <c r="R6560" s="205"/>
      <c r="S6560" s="189"/>
      <c r="T6560" s="114"/>
      <c r="U6560" s="21"/>
      <c r="V6560" s="115"/>
      <c r="W6560" s="116"/>
      <c r="X6560" s="220"/>
      <c r="Y6560" s="220">
        <f>X6560*0.1</f>
        <v>0</v>
      </c>
      <c r="Z6560" s="220"/>
      <c r="AA6560" s="220">
        <f>SUM(X6560:Z6560)</f>
        <v>0</v>
      </c>
      <c r="AB6560" s="222"/>
    </row>
    <row r="6561" spans="1:28" ht="17.100000000000001" customHeight="1" thickBot="1">
      <c r="A6561" s="227"/>
      <c r="B6561" s="27" t="s">
        <v>1592</v>
      </c>
      <c r="C6561" s="27">
        <v>76182</v>
      </c>
      <c r="D6561" s="14" t="s">
        <v>1568</v>
      </c>
      <c r="E6561" s="229"/>
      <c r="F6561" s="117" t="s">
        <v>18400</v>
      </c>
      <c r="G6561" s="26">
        <v>58337</v>
      </c>
      <c r="H6561" s="231"/>
      <c r="I6561" s="221"/>
      <c r="J6561" s="221"/>
      <c r="K6561" s="221"/>
      <c r="L6561" s="221"/>
      <c r="M6561" s="221"/>
      <c r="N6561" s="221"/>
      <c r="O6561" s="225"/>
      <c r="P6561" s="118" t="s">
        <v>19263</v>
      </c>
      <c r="Q6561" s="16" t="s">
        <v>20</v>
      </c>
      <c r="R6561" s="17" t="s">
        <v>2644</v>
      </c>
      <c r="S6561" s="121" t="s">
        <v>4008</v>
      </c>
      <c r="T6561" s="122"/>
      <c r="U6561" s="22"/>
      <c r="V6561" s="123"/>
      <c r="W6561" s="122"/>
      <c r="X6561" s="221"/>
      <c r="Y6561" s="221"/>
      <c r="Z6561" s="221"/>
      <c r="AA6561" s="221"/>
      <c r="AB6561" s="223"/>
    </row>
    <row r="6562" spans="1:28" ht="17.100000000000001" customHeight="1" thickTop="1">
      <c r="A6562" s="226" t="s">
        <v>18392</v>
      </c>
      <c r="B6562" s="28">
        <v>46079</v>
      </c>
      <c r="C6562" s="25">
        <v>1320</v>
      </c>
      <c r="D6562" s="13" t="s">
        <v>2920</v>
      </c>
      <c r="E6562" s="228"/>
      <c r="F6562" s="109" t="s">
        <v>18378</v>
      </c>
      <c r="G6562" s="24"/>
      <c r="H6562" s="230">
        <v>4.5</v>
      </c>
      <c r="I6562" s="220">
        <v>3590000</v>
      </c>
      <c r="J6562" s="220">
        <f>I6562*0.1</f>
        <v>359000</v>
      </c>
      <c r="K6562" s="220">
        <v>0</v>
      </c>
      <c r="L6562" s="220">
        <v>17580</v>
      </c>
      <c r="M6562" s="220">
        <v>24200</v>
      </c>
      <c r="N6562" s="220">
        <f>SUM(I6562:M6563)</f>
        <v>3990780</v>
      </c>
      <c r="O6562" s="224"/>
      <c r="P6562" s="110" t="s">
        <v>18736</v>
      </c>
      <c r="Q6562" s="15" t="s">
        <v>19</v>
      </c>
      <c r="R6562" s="205"/>
      <c r="S6562" s="189" t="s">
        <v>1271</v>
      </c>
      <c r="T6562" s="114"/>
      <c r="U6562" s="21"/>
      <c r="V6562" s="115">
        <v>46088</v>
      </c>
      <c r="W6562" s="116">
        <v>1291</v>
      </c>
      <c r="X6562" s="220">
        <v>3760000</v>
      </c>
      <c r="Y6562" s="220">
        <f>X6562*0.1</f>
        <v>376000</v>
      </c>
      <c r="Z6562" s="220">
        <v>17580</v>
      </c>
      <c r="AA6562" s="220">
        <f>SUM(X6562:Z6562)</f>
        <v>4153580</v>
      </c>
      <c r="AB6562" s="222">
        <v>46091</v>
      </c>
    </row>
    <row r="6563" spans="1:28" ht="17.100000000000001" customHeight="1" thickBot="1">
      <c r="A6563" s="227"/>
      <c r="B6563" s="27" t="s">
        <v>13379</v>
      </c>
      <c r="C6563" s="27">
        <v>40</v>
      </c>
      <c r="D6563" s="14" t="s">
        <v>1710</v>
      </c>
      <c r="E6563" s="229"/>
      <c r="F6563" s="117" t="s">
        <v>18379</v>
      </c>
      <c r="G6563" s="26">
        <v>48352</v>
      </c>
      <c r="H6563" s="231"/>
      <c r="I6563" s="221"/>
      <c r="J6563" s="221"/>
      <c r="K6563" s="221"/>
      <c r="L6563" s="221"/>
      <c r="M6563" s="221"/>
      <c r="N6563" s="221"/>
      <c r="O6563" s="225"/>
      <c r="P6563" s="118" t="s">
        <v>1844</v>
      </c>
      <c r="Q6563" s="16" t="s">
        <v>20</v>
      </c>
      <c r="R6563" s="17" t="s">
        <v>1704</v>
      </c>
      <c r="S6563" s="121" t="s">
        <v>1731</v>
      </c>
      <c r="T6563" s="122"/>
      <c r="U6563" s="22"/>
      <c r="V6563" s="123" t="s">
        <v>2472</v>
      </c>
      <c r="W6563" s="122">
        <v>80007</v>
      </c>
      <c r="X6563" s="221"/>
      <c r="Y6563" s="221"/>
      <c r="Z6563" s="221"/>
      <c r="AA6563" s="221"/>
      <c r="AB6563" s="223"/>
    </row>
    <row r="6564" spans="1:28" ht="17.100000000000001" customHeight="1" thickTop="1">
      <c r="A6564" s="226" t="s">
        <v>18393</v>
      </c>
      <c r="B6564" s="28">
        <v>46079</v>
      </c>
      <c r="C6564" s="25">
        <v>1320</v>
      </c>
      <c r="D6564" s="13" t="s">
        <v>3422</v>
      </c>
      <c r="E6564" s="228"/>
      <c r="F6564" s="109" t="s">
        <v>12187</v>
      </c>
      <c r="G6564" s="24"/>
      <c r="H6564" s="230">
        <v>4.5</v>
      </c>
      <c r="I6564" s="220">
        <v>1965000</v>
      </c>
      <c r="J6564" s="220">
        <f>I6564*0.1</f>
        <v>196500</v>
      </c>
      <c r="K6564" s="220">
        <v>0</v>
      </c>
      <c r="L6564" s="220">
        <v>22050</v>
      </c>
      <c r="M6564" s="220">
        <v>16500</v>
      </c>
      <c r="N6564" s="220">
        <f>SUM(I6564:M6565)</f>
        <v>2200050</v>
      </c>
      <c r="O6564" s="224"/>
      <c r="P6564" s="110" t="s">
        <v>18739</v>
      </c>
      <c r="Q6564" s="15" t="s">
        <v>19</v>
      </c>
      <c r="R6564" s="205"/>
      <c r="S6564" s="189" t="s">
        <v>1271</v>
      </c>
      <c r="T6564" s="114"/>
      <c r="U6564" s="21"/>
      <c r="V6564" s="115">
        <v>46088</v>
      </c>
      <c r="W6564" s="116">
        <v>1291</v>
      </c>
      <c r="X6564" s="220">
        <v>2200000</v>
      </c>
      <c r="Y6564" s="220">
        <f>X6564*0.1</f>
        <v>220000</v>
      </c>
      <c r="Z6564" s="220">
        <v>22050</v>
      </c>
      <c r="AA6564" s="220">
        <f>SUM(X6564:Z6564)</f>
        <v>2442050</v>
      </c>
      <c r="AB6564" s="222">
        <v>46091</v>
      </c>
    </row>
    <row r="6565" spans="1:28" ht="17.100000000000001" customHeight="1" thickBot="1">
      <c r="A6565" s="227"/>
      <c r="B6565" s="27" t="s">
        <v>13379</v>
      </c>
      <c r="C6565" s="27">
        <v>44</v>
      </c>
      <c r="D6565" s="14" t="s">
        <v>1568</v>
      </c>
      <c r="E6565" s="229"/>
      <c r="F6565" s="117" t="s">
        <v>18380</v>
      </c>
      <c r="G6565" s="26">
        <v>35580</v>
      </c>
      <c r="H6565" s="231"/>
      <c r="I6565" s="221"/>
      <c r="J6565" s="221"/>
      <c r="K6565" s="221"/>
      <c r="L6565" s="221"/>
      <c r="M6565" s="221"/>
      <c r="N6565" s="221"/>
      <c r="O6565" s="225"/>
      <c r="P6565" s="118" t="s">
        <v>1844</v>
      </c>
      <c r="Q6565" s="16" t="s">
        <v>20</v>
      </c>
      <c r="R6565" s="17" t="s">
        <v>1704</v>
      </c>
      <c r="S6565" s="121" t="s">
        <v>1606</v>
      </c>
      <c r="T6565" s="122"/>
      <c r="U6565" s="22"/>
      <c r="V6565" s="123" t="s">
        <v>2472</v>
      </c>
      <c r="W6565" s="122">
        <v>80020</v>
      </c>
      <c r="X6565" s="221"/>
      <c r="Y6565" s="221"/>
      <c r="Z6565" s="221"/>
      <c r="AA6565" s="221"/>
      <c r="AB6565" s="223"/>
    </row>
    <row r="6566" spans="1:28" ht="17.100000000000001" customHeight="1" thickTop="1">
      <c r="A6566" s="226" t="s">
        <v>18394</v>
      </c>
      <c r="B6566" s="28">
        <v>46079</v>
      </c>
      <c r="C6566" s="25">
        <v>1320</v>
      </c>
      <c r="D6566" s="13" t="s">
        <v>1837</v>
      </c>
      <c r="E6566" s="228"/>
      <c r="F6566" s="109" t="s">
        <v>16050</v>
      </c>
      <c r="G6566" s="24"/>
      <c r="H6566" s="230">
        <v>4.5</v>
      </c>
      <c r="I6566" s="220">
        <v>2910000</v>
      </c>
      <c r="J6566" s="220">
        <f>I6566*0.1</f>
        <v>291000</v>
      </c>
      <c r="K6566" s="220">
        <v>0</v>
      </c>
      <c r="L6566" s="220">
        <v>21570</v>
      </c>
      <c r="M6566" s="220">
        <v>16500</v>
      </c>
      <c r="N6566" s="220">
        <f>SUM(I6566:M6567)</f>
        <v>3239070</v>
      </c>
      <c r="O6566" s="224"/>
      <c r="P6566" s="110" t="s">
        <v>18734</v>
      </c>
      <c r="Q6566" s="15" t="s">
        <v>19</v>
      </c>
      <c r="R6566" s="205"/>
      <c r="S6566" s="189" t="s">
        <v>1271</v>
      </c>
      <c r="T6566" s="114"/>
      <c r="U6566" s="21"/>
      <c r="V6566" s="115">
        <v>46088</v>
      </c>
      <c r="W6566" s="116">
        <v>1291</v>
      </c>
      <c r="X6566" s="220">
        <v>3105000</v>
      </c>
      <c r="Y6566" s="220">
        <f>X6566*0.1</f>
        <v>310500</v>
      </c>
      <c r="Z6566" s="220">
        <v>21570</v>
      </c>
      <c r="AA6566" s="220">
        <f>SUM(X6566:Z6566)</f>
        <v>3437070</v>
      </c>
      <c r="AB6566" s="222">
        <v>46091</v>
      </c>
    </row>
    <row r="6567" spans="1:28" ht="17.100000000000001" customHeight="1" thickBot="1">
      <c r="A6567" s="227"/>
      <c r="B6567" s="27" t="s">
        <v>13379</v>
      </c>
      <c r="C6567" s="27">
        <v>95</v>
      </c>
      <c r="D6567" s="14" t="s">
        <v>2559</v>
      </c>
      <c r="E6567" s="229"/>
      <c r="F6567" s="117" t="s">
        <v>18381</v>
      </c>
      <c r="G6567" s="26">
        <v>49155</v>
      </c>
      <c r="H6567" s="231"/>
      <c r="I6567" s="221"/>
      <c r="J6567" s="221"/>
      <c r="K6567" s="221"/>
      <c r="L6567" s="221"/>
      <c r="M6567" s="221"/>
      <c r="N6567" s="221"/>
      <c r="O6567" s="225"/>
      <c r="P6567" s="118" t="s">
        <v>1844</v>
      </c>
      <c r="Q6567" s="16" t="s">
        <v>20</v>
      </c>
      <c r="R6567" s="17" t="s">
        <v>1704</v>
      </c>
      <c r="S6567" s="121" t="s">
        <v>1731</v>
      </c>
      <c r="T6567" s="122"/>
      <c r="U6567" s="22"/>
      <c r="V6567" s="123" t="s">
        <v>2472</v>
      </c>
      <c r="W6567" s="122">
        <v>80006</v>
      </c>
      <c r="X6567" s="221"/>
      <c r="Y6567" s="221"/>
      <c r="Z6567" s="221"/>
      <c r="AA6567" s="221"/>
      <c r="AB6567" s="223"/>
    </row>
    <row r="6568" spans="1:28" ht="17.100000000000001" customHeight="1" thickTop="1">
      <c r="A6568" s="226" t="s">
        <v>18398</v>
      </c>
      <c r="B6568" s="28">
        <v>46079</v>
      </c>
      <c r="C6568" s="25">
        <v>1320</v>
      </c>
      <c r="D6568" s="13" t="s">
        <v>1578</v>
      </c>
      <c r="E6568" s="228"/>
      <c r="F6568" s="109" t="s">
        <v>18382</v>
      </c>
      <c r="G6568" s="24"/>
      <c r="H6568" s="230">
        <v>4</v>
      </c>
      <c r="I6568" s="220">
        <v>890000</v>
      </c>
      <c r="J6568" s="220">
        <f>I6568*0.1</f>
        <v>89000</v>
      </c>
      <c r="K6568" s="220">
        <v>0</v>
      </c>
      <c r="L6568" s="220">
        <v>18780</v>
      </c>
      <c r="M6568" s="220">
        <v>16500</v>
      </c>
      <c r="N6568" s="220">
        <f>SUM(I6568:M6569)</f>
        <v>1014280</v>
      </c>
      <c r="O6568" s="224"/>
      <c r="P6568" s="110" t="s">
        <v>18735</v>
      </c>
      <c r="Q6568" s="15" t="s">
        <v>19</v>
      </c>
      <c r="R6568" s="205"/>
      <c r="S6568" s="189"/>
      <c r="T6568" s="114"/>
      <c r="U6568" s="21"/>
      <c r="V6568" s="115">
        <v>46084</v>
      </c>
      <c r="W6568" s="116">
        <v>1007</v>
      </c>
      <c r="X6568" s="220">
        <v>990000</v>
      </c>
      <c r="Y6568" s="220">
        <f>X6568*0.1</f>
        <v>99000</v>
      </c>
      <c r="Z6568" s="220">
        <v>18780</v>
      </c>
      <c r="AA6568" s="220">
        <f>SUM(X6568:Z6568)</f>
        <v>1107780</v>
      </c>
      <c r="AB6568" s="222">
        <v>46090</v>
      </c>
    </row>
    <row r="6569" spans="1:28" ht="17.100000000000001" customHeight="1" thickBot="1">
      <c r="A6569" s="227"/>
      <c r="B6569" s="27" t="s">
        <v>13379</v>
      </c>
      <c r="C6569" s="27">
        <v>805</v>
      </c>
      <c r="D6569" s="14" t="s">
        <v>1584</v>
      </c>
      <c r="E6569" s="229"/>
      <c r="F6569" s="117" t="s">
        <v>18383</v>
      </c>
      <c r="G6569" s="26">
        <v>50692</v>
      </c>
      <c r="H6569" s="231"/>
      <c r="I6569" s="221"/>
      <c r="J6569" s="221"/>
      <c r="K6569" s="221"/>
      <c r="L6569" s="221"/>
      <c r="M6569" s="221"/>
      <c r="N6569" s="221"/>
      <c r="O6569" s="225"/>
      <c r="P6569" s="118" t="s">
        <v>1844</v>
      </c>
      <c r="Q6569" s="16" t="s">
        <v>20</v>
      </c>
      <c r="R6569" s="17" t="s">
        <v>1704</v>
      </c>
      <c r="S6569" s="121" t="s">
        <v>2405</v>
      </c>
      <c r="T6569" s="122"/>
      <c r="U6569" s="22"/>
      <c r="V6569" s="123" t="s">
        <v>2747</v>
      </c>
      <c r="W6569" s="122">
        <v>5033</v>
      </c>
      <c r="X6569" s="221"/>
      <c r="Y6569" s="221"/>
      <c r="Z6569" s="221"/>
      <c r="AA6569" s="221"/>
      <c r="AB6569" s="223"/>
    </row>
    <row r="6570" spans="1:28" ht="17.100000000000001" customHeight="1" thickTop="1">
      <c r="A6570" s="226" t="s">
        <v>18419</v>
      </c>
      <c r="B6570" s="28">
        <v>46079</v>
      </c>
      <c r="C6570" s="25">
        <v>2147</v>
      </c>
      <c r="D6570" s="13" t="s">
        <v>1883</v>
      </c>
      <c r="E6570" s="228"/>
      <c r="F6570" s="109" t="s">
        <v>7868</v>
      </c>
      <c r="G6570" s="24" t="s">
        <v>11350</v>
      </c>
      <c r="H6570" s="230">
        <v>4.5</v>
      </c>
      <c r="I6570" s="220">
        <v>1203000</v>
      </c>
      <c r="J6570" s="220">
        <f>I6570*0.1</f>
        <v>120300</v>
      </c>
      <c r="K6570" s="220">
        <v>0</v>
      </c>
      <c r="L6570" s="220">
        <v>8740</v>
      </c>
      <c r="M6570" s="220">
        <v>14300</v>
      </c>
      <c r="N6570" s="220">
        <f>SUM(I6570:M6571)</f>
        <v>1346340</v>
      </c>
      <c r="O6570" s="224"/>
      <c r="P6570" s="110" t="s">
        <v>18441</v>
      </c>
      <c r="Q6570" s="15" t="s">
        <v>19</v>
      </c>
      <c r="R6570" s="205"/>
      <c r="S6570" s="189"/>
      <c r="T6570" s="114"/>
      <c r="U6570" s="21" t="s">
        <v>20461</v>
      </c>
      <c r="V6570" s="115"/>
      <c r="W6570" s="116"/>
      <c r="X6570" s="220"/>
      <c r="Y6570" s="220">
        <f>X6570*0.1</f>
        <v>0</v>
      </c>
      <c r="Z6570" s="220"/>
      <c r="AA6570" s="220">
        <f>SUM(X6570:Z6570)</f>
        <v>0</v>
      </c>
      <c r="AB6570" s="222"/>
    </row>
    <row r="6571" spans="1:28" ht="17.100000000000001" customHeight="1" thickBot="1">
      <c r="A6571" s="227"/>
      <c r="B6571" s="27" t="s">
        <v>3228</v>
      </c>
      <c r="C6571" s="27">
        <v>2017</v>
      </c>
      <c r="D6571" s="14" t="s">
        <v>2559</v>
      </c>
      <c r="E6571" s="229"/>
      <c r="F6571" s="117" t="s">
        <v>18405</v>
      </c>
      <c r="G6571" s="26">
        <v>29341</v>
      </c>
      <c r="H6571" s="231"/>
      <c r="I6571" s="221"/>
      <c r="J6571" s="221"/>
      <c r="K6571" s="221"/>
      <c r="L6571" s="221"/>
      <c r="M6571" s="221"/>
      <c r="N6571" s="221"/>
      <c r="O6571" s="225"/>
      <c r="P6571" s="118" t="s">
        <v>18885</v>
      </c>
      <c r="Q6571" s="16" t="s">
        <v>20</v>
      </c>
      <c r="R6571" s="17" t="s">
        <v>853</v>
      </c>
      <c r="S6571" s="121" t="s">
        <v>169</v>
      </c>
      <c r="T6571" s="122"/>
      <c r="U6571" s="22"/>
      <c r="V6571" s="123"/>
      <c r="W6571" s="122"/>
      <c r="X6571" s="221"/>
      <c r="Y6571" s="221"/>
      <c r="Z6571" s="221"/>
      <c r="AA6571" s="221"/>
      <c r="AB6571" s="223"/>
    </row>
    <row r="6572" spans="1:28" ht="17.100000000000001" customHeight="1" thickTop="1">
      <c r="A6572" s="226" t="s">
        <v>18420</v>
      </c>
      <c r="B6572" s="28">
        <v>46079</v>
      </c>
      <c r="C6572" s="25">
        <v>2147</v>
      </c>
      <c r="D6572" s="13" t="s">
        <v>1704</v>
      </c>
      <c r="E6572" s="228"/>
      <c r="F6572" s="109" t="s">
        <v>18442</v>
      </c>
      <c r="G6572" s="24"/>
      <c r="H6572" s="230">
        <v>4</v>
      </c>
      <c r="I6572" s="220">
        <v>886000</v>
      </c>
      <c r="J6572" s="220">
        <f>I6572*0.1</f>
        <v>88600</v>
      </c>
      <c r="K6572" s="220">
        <v>0</v>
      </c>
      <c r="L6572" s="220">
        <v>8550</v>
      </c>
      <c r="M6572" s="220">
        <v>14300</v>
      </c>
      <c r="N6572" s="220">
        <f>SUM(I6572:M6573)</f>
        <v>997450</v>
      </c>
      <c r="O6572" s="224"/>
      <c r="P6572" s="110" t="s">
        <v>18744</v>
      </c>
      <c r="Q6572" s="15" t="s">
        <v>19</v>
      </c>
      <c r="R6572" s="205"/>
      <c r="S6572" s="189" t="s">
        <v>758</v>
      </c>
      <c r="T6572" s="114"/>
      <c r="U6572" s="21"/>
      <c r="V6572" s="115">
        <v>46084</v>
      </c>
      <c r="W6572" s="116">
        <v>1931</v>
      </c>
      <c r="X6572" s="220">
        <v>936000</v>
      </c>
      <c r="Y6572" s="220">
        <v>93600</v>
      </c>
      <c r="Z6572" s="220">
        <v>8550</v>
      </c>
      <c r="AA6572" s="220">
        <f>SUM(X6572:Z6572)</f>
        <v>1038150</v>
      </c>
      <c r="AB6572" s="222">
        <v>46091</v>
      </c>
    </row>
    <row r="6573" spans="1:28" ht="17.100000000000001" customHeight="1" thickBot="1">
      <c r="A6573" s="227"/>
      <c r="B6573" s="27" t="s">
        <v>3228</v>
      </c>
      <c r="C6573" s="27">
        <v>2053</v>
      </c>
      <c r="D6573" s="14" t="s">
        <v>2559</v>
      </c>
      <c r="E6573" s="229"/>
      <c r="F6573" s="117" t="s">
        <v>18406</v>
      </c>
      <c r="G6573" s="26">
        <v>48647</v>
      </c>
      <c r="H6573" s="231"/>
      <c r="I6573" s="221"/>
      <c r="J6573" s="221"/>
      <c r="K6573" s="221"/>
      <c r="L6573" s="221"/>
      <c r="M6573" s="221"/>
      <c r="N6573" s="221"/>
      <c r="O6573" s="225"/>
      <c r="P6573" s="118" t="s">
        <v>7794</v>
      </c>
      <c r="Q6573" s="16" t="s">
        <v>20</v>
      </c>
      <c r="R6573" s="17" t="s">
        <v>1704</v>
      </c>
      <c r="S6573" s="121" t="s">
        <v>1661</v>
      </c>
      <c r="T6573" s="122"/>
      <c r="U6573" s="22"/>
      <c r="V6573" s="123" t="s">
        <v>2103</v>
      </c>
      <c r="W6573" s="122">
        <v>3415</v>
      </c>
      <c r="X6573" s="221"/>
      <c r="Y6573" s="221"/>
      <c r="Z6573" s="221"/>
      <c r="AA6573" s="221"/>
      <c r="AB6573" s="223"/>
    </row>
    <row r="6574" spans="1:28" ht="17.100000000000001" customHeight="1" thickTop="1">
      <c r="A6574" s="226" t="s">
        <v>18421</v>
      </c>
      <c r="B6574" s="28">
        <v>46079</v>
      </c>
      <c r="C6574" s="25">
        <v>2147</v>
      </c>
      <c r="D6574" s="13" t="s">
        <v>3332</v>
      </c>
      <c r="E6574" s="228"/>
      <c r="F6574" s="109" t="s">
        <v>18443</v>
      </c>
      <c r="G6574" s="24"/>
      <c r="H6574" s="230">
        <v>4.5</v>
      </c>
      <c r="I6574" s="220">
        <v>910000</v>
      </c>
      <c r="J6574" s="220">
        <f>I6574*0.1</f>
        <v>91000</v>
      </c>
      <c r="K6574" s="220">
        <v>0</v>
      </c>
      <c r="L6574" s="220">
        <v>8510</v>
      </c>
      <c r="M6574" s="220">
        <v>14300</v>
      </c>
      <c r="N6574" s="220">
        <f>SUM(I6574:M6575)</f>
        <v>1023810</v>
      </c>
      <c r="O6574" s="224"/>
      <c r="P6574" s="110" t="s">
        <v>18745</v>
      </c>
      <c r="Q6574" s="15" t="s">
        <v>19</v>
      </c>
      <c r="R6574" s="205"/>
      <c r="S6574" s="189" t="s">
        <v>1271</v>
      </c>
      <c r="T6574" s="114"/>
      <c r="U6574" s="21"/>
      <c r="V6574" s="115">
        <v>46141</v>
      </c>
      <c r="W6574" s="116">
        <v>1015</v>
      </c>
      <c r="X6574" s="220">
        <v>875000</v>
      </c>
      <c r="Y6574" s="220">
        <f>X6574*0.1</f>
        <v>87500</v>
      </c>
      <c r="Z6574" s="220">
        <v>8510</v>
      </c>
      <c r="AA6574" s="220">
        <f>SUM(X6574:Z6574)</f>
        <v>971010</v>
      </c>
      <c r="AB6574" s="222">
        <v>46153</v>
      </c>
    </row>
    <row r="6575" spans="1:28" ht="17.100000000000001" customHeight="1" thickBot="1">
      <c r="A6575" s="227"/>
      <c r="B6575" s="27" t="s">
        <v>3228</v>
      </c>
      <c r="C6575" s="27">
        <v>2153</v>
      </c>
      <c r="D6575" s="14" t="s">
        <v>2559</v>
      </c>
      <c r="E6575" s="229"/>
      <c r="F6575" s="117" t="s">
        <v>18407</v>
      </c>
      <c r="G6575" s="26">
        <v>53005</v>
      </c>
      <c r="H6575" s="231"/>
      <c r="I6575" s="221"/>
      <c r="J6575" s="221"/>
      <c r="K6575" s="221"/>
      <c r="L6575" s="221"/>
      <c r="M6575" s="221"/>
      <c r="N6575" s="221"/>
      <c r="O6575" s="225"/>
      <c r="P6575" s="118" t="s">
        <v>18746</v>
      </c>
      <c r="Q6575" s="16" t="s">
        <v>20</v>
      </c>
      <c r="R6575" s="17" t="s">
        <v>1704</v>
      </c>
      <c r="S6575" s="121" t="s">
        <v>1731</v>
      </c>
      <c r="T6575" s="122"/>
      <c r="U6575" s="22"/>
      <c r="V6575" s="123" t="s">
        <v>2747</v>
      </c>
      <c r="W6575" s="122">
        <v>2075</v>
      </c>
      <c r="X6575" s="221"/>
      <c r="Y6575" s="221"/>
      <c r="Z6575" s="221"/>
      <c r="AA6575" s="221"/>
      <c r="AB6575" s="223"/>
    </row>
    <row r="6576" spans="1:28" ht="17.100000000000001" customHeight="1" thickTop="1">
      <c r="A6576" s="226" t="s">
        <v>18422</v>
      </c>
      <c r="B6576" s="28">
        <v>46079</v>
      </c>
      <c r="C6576" s="25">
        <v>2147</v>
      </c>
      <c r="D6576" s="13" t="s">
        <v>4775</v>
      </c>
      <c r="E6576" s="228"/>
      <c r="F6576" s="109" t="s">
        <v>8742</v>
      </c>
      <c r="G6576" s="24" t="s">
        <v>2871</v>
      </c>
      <c r="H6576" s="230">
        <v>4</v>
      </c>
      <c r="I6576" s="220">
        <v>590000</v>
      </c>
      <c r="J6576" s="220">
        <f>I6576*0.1</f>
        <v>59000</v>
      </c>
      <c r="K6576" s="220">
        <v>0</v>
      </c>
      <c r="L6576" s="220">
        <v>7950</v>
      </c>
      <c r="M6576" s="220">
        <v>14300</v>
      </c>
      <c r="N6576" s="220">
        <f>SUM(I6576:M6577)</f>
        <v>671250</v>
      </c>
      <c r="O6576" s="224"/>
      <c r="P6576" s="110" t="s">
        <v>18444</v>
      </c>
      <c r="Q6576" s="15" t="s">
        <v>19</v>
      </c>
      <c r="R6576" s="205"/>
      <c r="S6576" s="189" t="s">
        <v>758</v>
      </c>
      <c r="T6576" s="114"/>
      <c r="U6576" s="21" t="s">
        <v>18973</v>
      </c>
      <c r="V6576" s="115">
        <v>46085</v>
      </c>
      <c r="W6576" s="116">
        <v>1007</v>
      </c>
      <c r="X6576" s="220">
        <v>650000</v>
      </c>
      <c r="Y6576" s="220">
        <f>X6576*0.1</f>
        <v>65000</v>
      </c>
      <c r="Z6576" s="220">
        <v>7950</v>
      </c>
      <c r="AA6576" s="220">
        <f>SUM(X6576:Z6576)</f>
        <v>722950</v>
      </c>
      <c r="AB6576" s="222">
        <v>46090</v>
      </c>
    </row>
    <row r="6577" spans="1:28" ht="17.100000000000001" customHeight="1" thickBot="1">
      <c r="A6577" s="227"/>
      <c r="B6577" s="27" t="s">
        <v>3228</v>
      </c>
      <c r="C6577" s="27">
        <v>2511</v>
      </c>
      <c r="D6577" s="14" t="s">
        <v>3792</v>
      </c>
      <c r="E6577" s="229"/>
      <c r="F6577" s="117" t="s">
        <v>18408</v>
      </c>
      <c r="G6577" s="26">
        <v>51361</v>
      </c>
      <c r="H6577" s="231"/>
      <c r="I6577" s="221"/>
      <c r="J6577" s="221"/>
      <c r="K6577" s="221"/>
      <c r="L6577" s="221"/>
      <c r="M6577" s="221"/>
      <c r="N6577" s="221"/>
      <c r="O6577" s="225"/>
      <c r="P6577" s="118" t="s">
        <v>18747</v>
      </c>
      <c r="Q6577" s="16" t="s">
        <v>20</v>
      </c>
      <c r="R6577" s="17" t="s">
        <v>1704</v>
      </c>
      <c r="S6577" s="121" t="s">
        <v>4062</v>
      </c>
      <c r="T6577" s="122"/>
      <c r="U6577" s="22"/>
      <c r="V6577" s="123" t="s">
        <v>2747</v>
      </c>
      <c r="W6577" s="122">
        <v>5027</v>
      </c>
      <c r="X6577" s="221"/>
      <c r="Y6577" s="221"/>
      <c r="Z6577" s="221"/>
      <c r="AA6577" s="221"/>
      <c r="AB6577" s="223"/>
    </row>
    <row r="6578" spans="1:28" ht="17.100000000000001" customHeight="1" thickTop="1">
      <c r="A6578" s="226" t="s">
        <v>18423</v>
      </c>
      <c r="B6578" s="28">
        <v>46079</v>
      </c>
      <c r="C6578" s="25">
        <v>2147</v>
      </c>
      <c r="D6578" s="13" t="s">
        <v>1915</v>
      </c>
      <c r="E6578" s="228"/>
      <c r="F6578" s="109" t="s">
        <v>10398</v>
      </c>
      <c r="G6578" s="24" t="s">
        <v>12302</v>
      </c>
      <c r="H6578" s="230">
        <v>4</v>
      </c>
      <c r="I6578" s="220">
        <v>725000</v>
      </c>
      <c r="J6578" s="220">
        <f>I6578*0.1</f>
        <v>72500</v>
      </c>
      <c r="K6578" s="220">
        <v>0</v>
      </c>
      <c r="L6578" s="220">
        <v>9790</v>
      </c>
      <c r="M6578" s="220">
        <v>14300</v>
      </c>
      <c r="N6578" s="220">
        <f>SUM(I6578:M6579)</f>
        <v>821590</v>
      </c>
      <c r="O6578" s="224"/>
      <c r="P6578" s="110" t="s">
        <v>18445</v>
      </c>
      <c r="Q6578" s="15" t="s">
        <v>19</v>
      </c>
      <c r="R6578" s="205"/>
      <c r="S6578" s="189" t="s">
        <v>25413</v>
      </c>
      <c r="T6578" s="114"/>
      <c r="U6578" s="21" t="s">
        <v>19562</v>
      </c>
      <c r="V6578" s="115">
        <v>46092</v>
      </c>
      <c r="W6578" s="116">
        <v>1008</v>
      </c>
      <c r="X6578" s="220">
        <v>770000</v>
      </c>
      <c r="Y6578" s="220">
        <f>X6578*0.1</f>
        <v>77000</v>
      </c>
      <c r="Z6578" s="220">
        <v>9790</v>
      </c>
      <c r="AA6578" s="220">
        <f>SUM(X6578:Z6578)</f>
        <v>856790</v>
      </c>
      <c r="AB6578" s="222">
        <v>46098</v>
      </c>
    </row>
    <row r="6579" spans="1:28" ht="17.100000000000001" customHeight="1" thickBot="1">
      <c r="A6579" s="227"/>
      <c r="B6579" s="27" t="s">
        <v>3228</v>
      </c>
      <c r="C6579" s="27">
        <v>2533</v>
      </c>
      <c r="D6579" s="14" t="s">
        <v>2559</v>
      </c>
      <c r="E6579" s="229"/>
      <c r="F6579" s="117" t="s">
        <v>18409</v>
      </c>
      <c r="G6579" s="26">
        <v>44745</v>
      </c>
      <c r="H6579" s="231"/>
      <c r="I6579" s="221"/>
      <c r="J6579" s="221"/>
      <c r="K6579" s="221"/>
      <c r="L6579" s="221"/>
      <c r="M6579" s="221"/>
      <c r="N6579" s="221"/>
      <c r="O6579" s="225"/>
      <c r="P6579" s="118" t="s">
        <v>18741</v>
      </c>
      <c r="Q6579" s="16" t="s">
        <v>20</v>
      </c>
      <c r="R6579" s="17" t="s">
        <v>1704</v>
      </c>
      <c r="S6579" s="121" t="s">
        <v>2405</v>
      </c>
      <c r="T6579" s="122"/>
      <c r="U6579" s="22"/>
      <c r="V6579" s="123" t="s">
        <v>19459</v>
      </c>
      <c r="W6579" s="122">
        <v>2033</v>
      </c>
      <c r="X6579" s="221"/>
      <c r="Y6579" s="221"/>
      <c r="Z6579" s="221"/>
      <c r="AA6579" s="221"/>
      <c r="AB6579" s="223"/>
    </row>
    <row r="6580" spans="1:28" ht="17.100000000000001" customHeight="1" thickTop="1">
      <c r="A6580" s="226" t="s">
        <v>18424</v>
      </c>
      <c r="B6580" s="28">
        <v>46079</v>
      </c>
      <c r="C6580" s="25">
        <v>2147</v>
      </c>
      <c r="D6580" s="13" t="s">
        <v>1578</v>
      </c>
      <c r="E6580" s="228"/>
      <c r="F6580" s="109" t="s">
        <v>4072</v>
      </c>
      <c r="G6580" s="24"/>
      <c r="H6580" s="230">
        <v>4</v>
      </c>
      <c r="I6580" s="220">
        <v>691000</v>
      </c>
      <c r="J6580" s="220">
        <f>I6580*0.1</f>
        <v>69100</v>
      </c>
      <c r="K6580" s="220">
        <v>0</v>
      </c>
      <c r="L6580" s="220">
        <v>8110</v>
      </c>
      <c r="M6580" s="220">
        <v>14300</v>
      </c>
      <c r="N6580" s="220">
        <f>SUM(I6580:M6581)</f>
        <v>782510</v>
      </c>
      <c r="O6580" s="224"/>
      <c r="P6580" s="110" t="s">
        <v>18742</v>
      </c>
      <c r="Q6580" s="15" t="s">
        <v>19</v>
      </c>
      <c r="R6580" s="205"/>
      <c r="S6580" s="189" t="s">
        <v>25413</v>
      </c>
      <c r="T6580" s="114"/>
      <c r="U6580" s="21"/>
      <c r="V6580" s="115">
        <v>46092</v>
      </c>
      <c r="W6580" s="116">
        <v>1008</v>
      </c>
      <c r="X6580" s="220">
        <v>720000</v>
      </c>
      <c r="Y6580" s="220">
        <f>X6580*0.1</f>
        <v>72000</v>
      </c>
      <c r="Z6580" s="220">
        <v>8110</v>
      </c>
      <c r="AA6580" s="220">
        <f>SUM(X6580:Z6580)</f>
        <v>800110</v>
      </c>
      <c r="AB6580" s="222">
        <v>46098</v>
      </c>
    </row>
    <row r="6581" spans="1:28" ht="17.100000000000001" customHeight="1" thickBot="1">
      <c r="A6581" s="227"/>
      <c r="B6581" s="27" t="s">
        <v>3228</v>
      </c>
      <c r="C6581" s="27">
        <v>2544</v>
      </c>
      <c r="D6581" s="14" t="s">
        <v>1710</v>
      </c>
      <c r="E6581" s="229"/>
      <c r="F6581" s="117" t="s">
        <v>18410</v>
      </c>
      <c r="G6581" s="26">
        <v>44198</v>
      </c>
      <c r="H6581" s="231"/>
      <c r="I6581" s="221"/>
      <c r="J6581" s="221"/>
      <c r="K6581" s="221"/>
      <c r="L6581" s="221"/>
      <c r="M6581" s="221"/>
      <c r="N6581" s="221"/>
      <c r="O6581" s="225"/>
      <c r="P6581" s="118" t="s">
        <v>18743</v>
      </c>
      <c r="Q6581" s="16" t="s">
        <v>20</v>
      </c>
      <c r="R6581" s="17" t="s">
        <v>1704</v>
      </c>
      <c r="S6581" s="121" t="s">
        <v>2405</v>
      </c>
      <c r="T6581" s="122"/>
      <c r="U6581" s="22"/>
      <c r="V6581" s="123" t="s">
        <v>19459</v>
      </c>
      <c r="W6581" s="122">
        <v>2041</v>
      </c>
      <c r="X6581" s="221"/>
      <c r="Y6581" s="221"/>
      <c r="Z6581" s="221"/>
      <c r="AA6581" s="221"/>
      <c r="AB6581" s="223"/>
    </row>
    <row r="6582" spans="1:28" ht="17.100000000000001" customHeight="1" thickTop="1">
      <c r="A6582" s="226" t="s">
        <v>18425</v>
      </c>
      <c r="B6582" s="28">
        <v>46079</v>
      </c>
      <c r="C6582" s="25">
        <v>2147</v>
      </c>
      <c r="D6582" s="13" t="s">
        <v>1531</v>
      </c>
      <c r="E6582" s="228"/>
      <c r="F6582" s="109" t="s">
        <v>18446</v>
      </c>
      <c r="G6582" s="24" t="s">
        <v>18447</v>
      </c>
      <c r="H6582" s="230">
        <v>4</v>
      </c>
      <c r="I6582" s="220">
        <v>695000</v>
      </c>
      <c r="J6582" s="220">
        <f>I6582*0.1</f>
        <v>69500</v>
      </c>
      <c r="K6582" s="220">
        <v>0</v>
      </c>
      <c r="L6582" s="220">
        <v>9140</v>
      </c>
      <c r="M6582" s="220">
        <v>14300</v>
      </c>
      <c r="N6582" s="220">
        <f>SUM(I6582:M6583)</f>
        <v>787940</v>
      </c>
      <c r="O6582" s="224"/>
      <c r="P6582" s="110" t="s">
        <v>18448</v>
      </c>
      <c r="Q6582" s="15" t="s">
        <v>19</v>
      </c>
      <c r="R6582" s="205"/>
      <c r="S6582" s="189" t="s">
        <v>1422</v>
      </c>
      <c r="T6582" s="114"/>
      <c r="U6582" s="21"/>
      <c r="V6582" s="115">
        <v>46120</v>
      </c>
      <c r="W6582" s="116">
        <v>1012</v>
      </c>
      <c r="X6582" s="220">
        <v>725000</v>
      </c>
      <c r="Y6582" s="220">
        <f>X6582*0.1</f>
        <v>72500</v>
      </c>
      <c r="Z6582" s="220">
        <v>9140</v>
      </c>
      <c r="AA6582" s="220">
        <f>SUM(X6582:Z6582)</f>
        <v>806640</v>
      </c>
      <c r="AB6582" s="222">
        <v>46125</v>
      </c>
    </row>
    <row r="6583" spans="1:28" ht="17.100000000000001" customHeight="1" thickBot="1">
      <c r="A6583" s="227"/>
      <c r="B6583" s="27" t="s">
        <v>3228</v>
      </c>
      <c r="C6583" s="27">
        <v>2559</v>
      </c>
      <c r="D6583" s="14" t="s">
        <v>273</v>
      </c>
      <c r="E6583" s="229"/>
      <c r="F6583" s="117" t="s">
        <v>18411</v>
      </c>
      <c r="G6583" s="26">
        <v>55341</v>
      </c>
      <c r="H6583" s="231"/>
      <c r="I6583" s="221"/>
      <c r="J6583" s="221"/>
      <c r="K6583" s="221"/>
      <c r="L6583" s="221"/>
      <c r="M6583" s="221"/>
      <c r="N6583" s="221"/>
      <c r="O6583" s="225"/>
      <c r="P6583" s="118" t="s">
        <v>18748</v>
      </c>
      <c r="Q6583" s="16" t="s">
        <v>20</v>
      </c>
      <c r="R6583" s="17" t="s">
        <v>1704</v>
      </c>
      <c r="S6583" s="121" t="s">
        <v>17936</v>
      </c>
      <c r="T6583" s="122"/>
      <c r="U6583" s="22"/>
      <c r="V6583" s="123" t="s">
        <v>2747</v>
      </c>
      <c r="W6583" s="122">
        <v>2037</v>
      </c>
      <c r="X6583" s="221"/>
      <c r="Y6583" s="221"/>
      <c r="Z6583" s="221"/>
      <c r="AA6583" s="221"/>
      <c r="AB6583" s="223"/>
    </row>
    <row r="6584" spans="1:28" ht="17.100000000000001" customHeight="1" thickTop="1">
      <c r="A6584" s="226" t="s">
        <v>18426</v>
      </c>
      <c r="B6584" s="28">
        <v>46079</v>
      </c>
      <c r="C6584" s="25">
        <v>2147</v>
      </c>
      <c r="D6584" s="13" t="s">
        <v>3406</v>
      </c>
      <c r="E6584" s="228"/>
      <c r="F6584" s="109" t="s">
        <v>17665</v>
      </c>
      <c r="G6584" s="24" t="s">
        <v>18449</v>
      </c>
      <c r="H6584" s="230">
        <v>4</v>
      </c>
      <c r="I6584" s="220">
        <v>826000</v>
      </c>
      <c r="J6584" s="220">
        <f>I6584*0.1</f>
        <v>82600</v>
      </c>
      <c r="K6584" s="220">
        <v>0</v>
      </c>
      <c r="L6584" s="220">
        <v>8550</v>
      </c>
      <c r="M6584" s="220">
        <v>14300</v>
      </c>
      <c r="N6584" s="220">
        <f>SUM(I6584:M6585)</f>
        <v>931450</v>
      </c>
      <c r="O6584" s="224"/>
      <c r="P6584" s="110" t="s">
        <v>18884</v>
      </c>
      <c r="Q6584" s="15" t="s">
        <v>19</v>
      </c>
      <c r="R6584" s="205"/>
      <c r="S6584" s="189" t="s">
        <v>25821</v>
      </c>
      <c r="T6584" s="114"/>
      <c r="U6584" s="21" t="s">
        <v>19564</v>
      </c>
      <c r="V6584" s="115">
        <v>46092</v>
      </c>
      <c r="W6584" s="116">
        <v>1008</v>
      </c>
      <c r="X6584" s="220">
        <v>895000</v>
      </c>
      <c r="Y6584" s="220">
        <f>X6584*0.1</f>
        <v>89500</v>
      </c>
      <c r="Z6584" s="220">
        <v>8550</v>
      </c>
      <c r="AA6584" s="220">
        <f>SUM(X6584:Z6584)</f>
        <v>993050</v>
      </c>
      <c r="AB6584" s="222">
        <v>46098</v>
      </c>
    </row>
    <row r="6585" spans="1:28" ht="17.100000000000001" customHeight="1" thickBot="1">
      <c r="A6585" s="227"/>
      <c r="B6585" s="27" t="s">
        <v>3228</v>
      </c>
      <c r="C6585" s="27">
        <v>2571</v>
      </c>
      <c r="D6585" s="14" t="s">
        <v>1710</v>
      </c>
      <c r="E6585" s="229"/>
      <c r="F6585" s="117" t="s">
        <v>18412</v>
      </c>
      <c r="G6585" s="26">
        <v>39216</v>
      </c>
      <c r="H6585" s="231"/>
      <c r="I6585" s="221"/>
      <c r="J6585" s="221"/>
      <c r="K6585" s="221"/>
      <c r="L6585" s="221"/>
      <c r="M6585" s="221"/>
      <c r="N6585" s="221"/>
      <c r="O6585" s="225"/>
      <c r="P6585" s="118" t="s">
        <v>18883</v>
      </c>
      <c r="Q6585" s="16" t="s">
        <v>20</v>
      </c>
      <c r="R6585" s="17" t="s">
        <v>853</v>
      </c>
      <c r="S6585" s="121" t="s">
        <v>169</v>
      </c>
      <c r="T6585" s="122"/>
      <c r="U6585" s="22"/>
      <c r="V6585" s="123" t="s">
        <v>19459</v>
      </c>
      <c r="W6585" s="122">
        <v>2044</v>
      </c>
      <c r="X6585" s="221"/>
      <c r="Y6585" s="221"/>
      <c r="Z6585" s="221"/>
      <c r="AA6585" s="221"/>
      <c r="AB6585" s="223"/>
    </row>
    <row r="6586" spans="1:28" ht="17.100000000000001" customHeight="1" thickTop="1">
      <c r="A6586" s="226" t="s">
        <v>18427</v>
      </c>
      <c r="B6586" s="28">
        <v>46079</v>
      </c>
      <c r="C6586" s="25">
        <v>2147</v>
      </c>
      <c r="D6586" s="13" t="s">
        <v>2320</v>
      </c>
      <c r="E6586" s="228"/>
      <c r="F6586" s="109" t="s">
        <v>4601</v>
      </c>
      <c r="G6586" s="24" t="s">
        <v>14380</v>
      </c>
      <c r="H6586" s="230">
        <v>4</v>
      </c>
      <c r="I6586" s="220">
        <v>1355000</v>
      </c>
      <c r="J6586" s="220">
        <f>I6586*0.1</f>
        <v>135500</v>
      </c>
      <c r="K6586" s="220">
        <v>0</v>
      </c>
      <c r="L6586" s="220">
        <v>8630</v>
      </c>
      <c r="M6586" s="220">
        <v>14300</v>
      </c>
      <c r="N6586" s="220">
        <f>SUM(I6586:M6587)</f>
        <v>1513430</v>
      </c>
      <c r="O6586" s="224"/>
      <c r="P6586" s="110" t="s">
        <v>18451</v>
      </c>
      <c r="Q6586" s="15" t="s">
        <v>19</v>
      </c>
      <c r="R6586" s="205"/>
      <c r="S6586" s="189" t="s">
        <v>1312</v>
      </c>
      <c r="T6586" s="114"/>
      <c r="U6586" s="21" t="s">
        <v>19569</v>
      </c>
      <c r="V6586" s="115">
        <v>46092</v>
      </c>
      <c r="W6586" s="116">
        <v>1008</v>
      </c>
      <c r="X6586" s="220">
        <v>1390000</v>
      </c>
      <c r="Y6586" s="220">
        <f>X6586*0.1</f>
        <v>139000</v>
      </c>
      <c r="Z6586" s="220">
        <v>8630</v>
      </c>
      <c r="AA6586" s="220">
        <f>SUM(X6586:Z6586)</f>
        <v>1537630</v>
      </c>
      <c r="AB6586" s="222">
        <v>46098</v>
      </c>
    </row>
    <row r="6587" spans="1:28" ht="17.100000000000001" customHeight="1" thickBot="1">
      <c r="A6587" s="227"/>
      <c r="B6587" s="27" t="s">
        <v>3228</v>
      </c>
      <c r="C6587" s="27">
        <v>2572</v>
      </c>
      <c r="D6587" s="14" t="s">
        <v>3955</v>
      </c>
      <c r="E6587" s="229"/>
      <c r="F6587" s="117" t="s">
        <v>18413</v>
      </c>
      <c r="G6587" s="26">
        <v>13834</v>
      </c>
      <c r="H6587" s="231"/>
      <c r="I6587" s="221"/>
      <c r="J6587" s="221"/>
      <c r="K6587" s="221"/>
      <c r="L6587" s="221"/>
      <c r="M6587" s="221"/>
      <c r="N6587" s="221"/>
      <c r="O6587" s="225"/>
      <c r="P6587" s="118" t="s">
        <v>18883</v>
      </c>
      <c r="Q6587" s="16" t="s">
        <v>20</v>
      </c>
      <c r="R6587" s="17" t="s">
        <v>853</v>
      </c>
      <c r="S6587" s="121" t="s">
        <v>1731</v>
      </c>
      <c r="T6587" s="122"/>
      <c r="U6587" s="22"/>
      <c r="V6587" s="123" t="s">
        <v>19459</v>
      </c>
      <c r="W6587" s="122">
        <v>2030</v>
      </c>
      <c r="X6587" s="221"/>
      <c r="Y6587" s="221"/>
      <c r="Z6587" s="221"/>
      <c r="AA6587" s="221"/>
      <c r="AB6587" s="223"/>
    </row>
    <row r="6588" spans="1:28" ht="17.100000000000001" customHeight="1" thickTop="1">
      <c r="A6588" s="226" t="s">
        <v>18428</v>
      </c>
      <c r="B6588" s="28">
        <v>46079</v>
      </c>
      <c r="C6588" s="25">
        <v>2147</v>
      </c>
      <c r="D6588" s="13" t="s">
        <v>1901</v>
      </c>
      <c r="E6588" s="228"/>
      <c r="F6588" s="109" t="s">
        <v>13864</v>
      </c>
      <c r="G6588" s="24" t="s">
        <v>18452</v>
      </c>
      <c r="H6588" s="230">
        <v>4</v>
      </c>
      <c r="I6588" s="220">
        <v>1014000</v>
      </c>
      <c r="J6588" s="220">
        <f>I6588*0.1</f>
        <v>101400</v>
      </c>
      <c r="K6588" s="220">
        <v>0</v>
      </c>
      <c r="L6588" s="220">
        <v>8130</v>
      </c>
      <c r="M6588" s="220">
        <v>14300</v>
      </c>
      <c r="N6588" s="220">
        <f>SUM(I6588:M6589)</f>
        <v>1137830</v>
      </c>
      <c r="O6588" s="224"/>
      <c r="P6588" s="110" t="s">
        <v>18453</v>
      </c>
      <c r="Q6588" s="15" t="s">
        <v>19</v>
      </c>
      <c r="R6588" s="205"/>
      <c r="S6588" s="189"/>
      <c r="T6588" s="114"/>
      <c r="U6588" s="21" t="s">
        <v>19568</v>
      </c>
      <c r="V6588" s="115">
        <v>46092</v>
      </c>
      <c r="W6588" s="116">
        <v>1008</v>
      </c>
      <c r="X6588" s="220">
        <v>1060000</v>
      </c>
      <c r="Y6588" s="220">
        <f>X6588*0.1</f>
        <v>106000</v>
      </c>
      <c r="Z6588" s="220">
        <v>8130</v>
      </c>
      <c r="AA6588" s="220">
        <f>SUM(X6588:Z6588)</f>
        <v>1174130</v>
      </c>
      <c r="AB6588" s="222">
        <v>46098</v>
      </c>
    </row>
    <row r="6589" spans="1:28" ht="17.100000000000001" customHeight="1" thickBot="1">
      <c r="A6589" s="227"/>
      <c r="B6589" s="27" t="s">
        <v>3228</v>
      </c>
      <c r="C6589" s="27">
        <v>2573</v>
      </c>
      <c r="D6589" s="14" t="s">
        <v>898</v>
      </c>
      <c r="E6589" s="229"/>
      <c r="F6589" s="117" t="s">
        <v>18414</v>
      </c>
      <c r="G6589" s="26">
        <v>48750</v>
      </c>
      <c r="H6589" s="231"/>
      <c r="I6589" s="221"/>
      <c r="J6589" s="221"/>
      <c r="K6589" s="221"/>
      <c r="L6589" s="221"/>
      <c r="M6589" s="221"/>
      <c r="N6589" s="221"/>
      <c r="O6589" s="225"/>
      <c r="P6589" s="118" t="s">
        <v>4599</v>
      </c>
      <c r="Q6589" s="16" t="s">
        <v>20</v>
      </c>
      <c r="R6589" s="17" t="s">
        <v>2644</v>
      </c>
      <c r="S6589" s="121" t="s">
        <v>4020</v>
      </c>
      <c r="T6589" s="122"/>
      <c r="U6589" s="22"/>
      <c r="V6589" s="123" t="s">
        <v>19459</v>
      </c>
      <c r="W6589" s="122">
        <v>2029</v>
      </c>
      <c r="X6589" s="221"/>
      <c r="Y6589" s="221"/>
      <c r="Z6589" s="221"/>
      <c r="AA6589" s="221"/>
      <c r="AB6589" s="223"/>
    </row>
    <row r="6590" spans="1:28" ht="17.100000000000001" customHeight="1" thickTop="1">
      <c r="A6590" s="226" t="s">
        <v>18429</v>
      </c>
      <c r="B6590" s="28">
        <v>46079</v>
      </c>
      <c r="C6590" s="25">
        <v>2147</v>
      </c>
      <c r="D6590" s="13" t="s">
        <v>1909</v>
      </c>
      <c r="E6590" s="228"/>
      <c r="F6590" s="109" t="s">
        <v>7868</v>
      </c>
      <c r="G6590" s="24"/>
      <c r="H6590" s="230">
        <v>4.5</v>
      </c>
      <c r="I6590" s="220">
        <v>1451000</v>
      </c>
      <c r="J6590" s="220">
        <f>I6590*0.1</f>
        <v>145100</v>
      </c>
      <c r="K6590" s="220">
        <v>0</v>
      </c>
      <c r="L6590" s="220">
        <v>7230</v>
      </c>
      <c r="M6590" s="220">
        <v>14300</v>
      </c>
      <c r="N6590" s="220">
        <f>SUM(I6590:M6591)</f>
        <v>1617630</v>
      </c>
      <c r="O6590" s="224"/>
      <c r="P6590" s="110" t="s">
        <v>18752</v>
      </c>
      <c r="Q6590" s="15" t="s">
        <v>19</v>
      </c>
      <c r="R6590" s="205"/>
      <c r="S6590" s="189"/>
      <c r="T6590" s="114"/>
      <c r="U6590" s="21"/>
      <c r="V6590" s="115">
        <v>46091</v>
      </c>
      <c r="W6590" s="116">
        <v>1932</v>
      </c>
      <c r="X6590" s="220">
        <v>1488000</v>
      </c>
      <c r="Y6590" s="220">
        <f>X6590*0.1</f>
        <v>148800</v>
      </c>
      <c r="Z6590" s="220">
        <v>7230</v>
      </c>
      <c r="AA6590" s="220">
        <f>SUM(X6590:Z6590)</f>
        <v>1644030</v>
      </c>
      <c r="AB6590" s="222"/>
    </row>
    <row r="6591" spans="1:28" ht="17.100000000000001" customHeight="1" thickBot="1">
      <c r="A6591" s="227"/>
      <c r="B6591" s="27" t="s">
        <v>3228</v>
      </c>
      <c r="C6591" s="27">
        <v>2576</v>
      </c>
      <c r="D6591" s="14" t="s">
        <v>131</v>
      </c>
      <c r="E6591" s="229"/>
      <c r="F6591" s="117" t="s">
        <v>18415</v>
      </c>
      <c r="G6591" s="26">
        <v>7723</v>
      </c>
      <c r="H6591" s="231"/>
      <c r="I6591" s="221"/>
      <c r="J6591" s="221"/>
      <c r="K6591" s="221"/>
      <c r="L6591" s="221"/>
      <c r="M6591" s="221"/>
      <c r="N6591" s="221"/>
      <c r="O6591" s="225"/>
      <c r="P6591" s="118" t="s">
        <v>2404</v>
      </c>
      <c r="Q6591" s="16" t="s">
        <v>20</v>
      </c>
      <c r="R6591" s="17" t="s">
        <v>1704</v>
      </c>
      <c r="S6591" s="121"/>
      <c r="T6591" s="122"/>
      <c r="U6591" s="22"/>
      <c r="V6591" s="123" t="s">
        <v>2103</v>
      </c>
      <c r="W6591" s="122">
        <v>3175</v>
      </c>
      <c r="X6591" s="221"/>
      <c r="Y6591" s="221"/>
      <c r="Z6591" s="221"/>
      <c r="AA6591" s="221"/>
      <c r="AB6591" s="223"/>
    </row>
    <row r="6592" spans="1:28" ht="17.100000000000001" customHeight="1" thickTop="1">
      <c r="A6592" s="226" t="s">
        <v>18430</v>
      </c>
      <c r="B6592" s="28">
        <v>46079</v>
      </c>
      <c r="C6592" s="25">
        <v>2147</v>
      </c>
      <c r="D6592" s="13" t="s">
        <v>1831</v>
      </c>
      <c r="E6592" s="228"/>
      <c r="F6592" s="109" t="s">
        <v>18454</v>
      </c>
      <c r="G6592" s="24" t="s">
        <v>18455</v>
      </c>
      <c r="H6592" s="230">
        <v>3.5</v>
      </c>
      <c r="I6592" s="220">
        <v>945000</v>
      </c>
      <c r="J6592" s="220">
        <f>I6592*0.1</f>
        <v>94500</v>
      </c>
      <c r="K6592" s="220">
        <v>0</v>
      </c>
      <c r="L6592" s="220">
        <v>8130</v>
      </c>
      <c r="M6592" s="220">
        <v>14300</v>
      </c>
      <c r="N6592" s="220">
        <f>SUM(I6592:M6593)</f>
        <v>1061930</v>
      </c>
      <c r="O6592" s="224"/>
      <c r="P6592" s="110" t="s">
        <v>18456</v>
      </c>
      <c r="Q6592" s="15" t="s">
        <v>19</v>
      </c>
      <c r="R6592" s="205"/>
      <c r="S6592" s="189" t="s">
        <v>25822</v>
      </c>
      <c r="T6592" s="114"/>
      <c r="U6592" s="21" t="s">
        <v>20455</v>
      </c>
      <c r="V6592" s="115">
        <v>46102</v>
      </c>
      <c r="W6592" s="116">
        <v>1293</v>
      </c>
      <c r="X6592" s="220">
        <v>1110000</v>
      </c>
      <c r="Y6592" s="220">
        <f>X6592*0.1</f>
        <v>111000</v>
      </c>
      <c r="Z6592" s="220">
        <v>8130</v>
      </c>
      <c r="AA6592" s="220">
        <f>SUM(X6592:Z6592)</f>
        <v>1229130</v>
      </c>
      <c r="AB6592" s="222">
        <v>46107</v>
      </c>
    </row>
    <row r="6593" spans="1:28" ht="17.100000000000001" customHeight="1" thickBot="1">
      <c r="A6593" s="227"/>
      <c r="B6593" s="27" t="s">
        <v>3228</v>
      </c>
      <c r="C6593" s="27">
        <v>2577</v>
      </c>
      <c r="D6593" s="14" t="s">
        <v>1797</v>
      </c>
      <c r="E6593" s="229"/>
      <c r="F6593" s="117" t="s">
        <v>18416</v>
      </c>
      <c r="G6593" s="26">
        <v>58554</v>
      </c>
      <c r="H6593" s="231"/>
      <c r="I6593" s="221"/>
      <c r="J6593" s="221"/>
      <c r="K6593" s="221"/>
      <c r="L6593" s="221"/>
      <c r="M6593" s="221"/>
      <c r="N6593" s="221"/>
      <c r="O6593" s="225"/>
      <c r="P6593" s="118" t="s">
        <v>6983</v>
      </c>
      <c r="Q6593" s="16" t="s">
        <v>20</v>
      </c>
      <c r="R6593" s="17" t="s">
        <v>1704</v>
      </c>
      <c r="S6593" s="121" t="s">
        <v>18749</v>
      </c>
      <c r="T6593" s="122"/>
      <c r="U6593" s="22"/>
      <c r="V6593" s="123" t="s">
        <v>2472</v>
      </c>
      <c r="W6593" s="122">
        <v>60270</v>
      </c>
      <c r="X6593" s="221"/>
      <c r="Y6593" s="221"/>
      <c r="Z6593" s="221"/>
      <c r="AA6593" s="221"/>
      <c r="AB6593" s="223"/>
    </row>
    <row r="6594" spans="1:28" ht="17.100000000000001" customHeight="1" thickTop="1">
      <c r="A6594" s="226" t="s">
        <v>18431</v>
      </c>
      <c r="B6594" s="28">
        <v>46079</v>
      </c>
      <c r="C6594" s="25">
        <v>2147</v>
      </c>
      <c r="D6594" s="13" t="s">
        <v>1634</v>
      </c>
      <c r="E6594" s="228"/>
      <c r="F6594" s="109" t="s">
        <v>3958</v>
      </c>
      <c r="G6594" s="24"/>
      <c r="H6594" s="230">
        <v>4</v>
      </c>
      <c r="I6594" s="220">
        <v>944000</v>
      </c>
      <c r="J6594" s="220">
        <f>I6594*0.1</f>
        <v>94400</v>
      </c>
      <c r="K6594" s="220">
        <v>0</v>
      </c>
      <c r="L6594" s="220">
        <v>6830</v>
      </c>
      <c r="M6594" s="220">
        <v>14300</v>
      </c>
      <c r="N6594" s="220">
        <f>SUM(I6594:M6595)</f>
        <v>1059530</v>
      </c>
      <c r="O6594" s="224"/>
      <c r="P6594" s="110" t="s">
        <v>18751</v>
      </c>
      <c r="Q6594" s="15" t="s">
        <v>19</v>
      </c>
      <c r="R6594" s="205"/>
      <c r="S6594" s="189"/>
      <c r="T6594" s="114"/>
      <c r="U6594" s="21"/>
      <c r="V6594" s="115">
        <v>46092</v>
      </c>
      <c r="W6594" s="116">
        <v>1008</v>
      </c>
      <c r="X6594" s="220">
        <v>1010000</v>
      </c>
      <c r="Y6594" s="220">
        <f>X6594*0.1</f>
        <v>101000</v>
      </c>
      <c r="Z6594" s="220">
        <v>6830</v>
      </c>
      <c r="AA6594" s="220">
        <f>SUM(X6594:Z6594)</f>
        <v>1117830</v>
      </c>
      <c r="AB6594" s="222">
        <v>46098</v>
      </c>
    </row>
    <row r="6595" spans="1:28" ht="17.100000000000001" customHeight="1" thickBot="1">
      <c r="A6595" s="227"/>
      <c r="B6595" s="27" t="s">
        <v>3228</v>
      </c>
      <c r="C6595" s="27">
        <v>2578</v>
      </c>
      <c r="D6595" s="14" t="s">
        <v>1548</v>
      </c>
      <c r="E6595" s="229"/>
      <c r="F6595" s="117" t="s">
        <v>18417</v>
      </c>
      <c r="G6595" s="26">
        <v>26586</v>
      </c>
      <c r="H6595" s="231"/>
      <c r="I6595" s="221"/>
      <c r="J6595" s="221"/>
      <c r="K6595" s="221"/>
      <c r="L6595" s="221"/>
      <c r="M6595" s="221"/>
      <c r="N6595" s="221"/>
      <c r="O6595" s="225"/>
      <c r="P6595" s="118" t="s">
        <v>2404</v>
      </c>
      <c r="Q6595" s="16" t="s">
        <v>20</v>
      </c>
      <c r="R6595" s="17" t="s">
        <v>1704</v>
      </c>
      <c r="S6595" s="121"/>
      <c r="T6595" s="122"/>
      <c r="U6595" s="22"/>
      <c r="V6595" s="123" t="s">
        <v>19459</v>
      </c>
      <c r="W6595" s="122">
        <v>2035</v>
      </c>
      <c r="X6595" s="221"/>
      <c r="Y6595" s="221"/>
      <c r="Z6595" s="221"/>
      <c r="AA6595" s="221"/>
      <c r="AB6595" s="223"/>
    </row>
    <row r="6596" spans="1:28" ht="17.100000000000001" customHeight="1" thickTop="1">
      <c r="A6596" s="226" t="s">
        <v>18432</v>
      </c>
      <c r="B6596" s="28">
        <v>46079</v>
      </c>
      <c r="C6596" s="25">
        <v>2147</v>
      </c>
      <c r="D6596" s="13" t="s">
        <v>1883</v>
      </c>
      <c r="E6596" s="228"/>
      <c r="F6596" s="109" t="s">
        <v>18457</v>
      </c>
      <c r="G6596" s="24" t="s">
        <v>6610</v>
      </c>
      <c r="H6596" s="230">
        <v>4.5</v>
      </c>
      <c r="I6596" s="220">
        <v>548000</v>
      </c>
      <c r="J6596" s="220">
        <f>I6596*0.1</f>
        <v>54800</v>
      </c>
      <c r="K6596" s="220">
        <v>0</v>
      </c>
      <c r="L6596" s="220">
        <v>6540</v>
      </c>
      <c r="M6596" s="220">
        <v>14300</v>
      </c>
      <c r="N6596" s="220">
        <f>SUM(I6596:M6597)</f>
        <v>623640</v>
      </c>
      <c r="O6596" s="224"/>
      <c r="P6596" s="110" t="s">
        <v>18458</v>
      </c>
      <c r="Q6596" s="15" t="s">
        <v>19</v>
      </c>
      <c r="R6596" s="205"/>
      <c r="S6596" s="189"/>
      <c r="T6596" s="114"/>
      <c r="U6596" s="21" t="s">
        <v>19566</v>
      </c>
      <c r="V6596" s="115">
        <v>46092</v>
      </c>
      <c r="W6596" s="116">
        <v>1008</v>
      </c>
      <c r="X6596" s="220">
        <v>550000</v>
      </c>
      <c r="Y6596" s="220">
        <f>X6596*0.1</f>
        <v>55000</v>
      </c>
      <c r="Z6596" s="220">
        <v>6540</v>
      </c>
      <c r="AA6596" s="220">
        <f>SUM(X6596:Z6596)</f>
        <v>611540</v>
      </c>
      <c r="AB6596" s="222">
        <v>46098</v>
      </c>
    </row>
    <row r="6597" spans="1:28" ht="17.100000000000001" customHeight="1" thickBot="1">
      <c r="A6597" s="227"/>
      <c r="B6597" s="27" t="s">
        <v>3228</v>
      </c>
      <c r="C6597" s="27">
        <v>2582</v>
      </c>
      <c r="D6597" s="14" t="s">
        <v>1584</v>
      </c>
      <c r="E6597" s="229"/>
      <c r="F6597" s="117" t="s">
        <v>18418</v>
      </c>
      <c r="G6597" s="26">
        <v>52441</v>
      </c>
      <c r="H6597" s="231"/>
      <c r="I6597" s="221"/>
      <c r="J6597" s="221"/>
      <c r="K6597" s="221"/>
      <c r="L6597" s="221"/>
      <c r="M6597" s="221"/>
      <c r="N6597" s="221"/>
      <c r="O6597" s="225"/>
      <c r="P6597" s="118" t="s">
        <v>18750</v>
      </c>
      <c r="Q6597" s="16" t="s">
        <v>20</v>
      </c>
      <c r="R6597" s="17" t="s">
        <v>1704</v>
      </c>
      <c r="S6597" s="121"/>
      <c r="T6597" s="122"/>
      <c r="U6597" s="22"/>
      <c r="V6597" s="123" t="s">
        <v>19459</v>
      </c>
      <c r="W6597" s="122">
        <v>2046</v>
      </c>
      <c r="X6597" s="221"/>
      <c r="Y6597" s="221"/>
      <c r="Z6597" s="221"/>
      <c r="AA6597" s="221"/>
      <c r="AB6597" s="223"/>
    </row>
    <row r="6598" spans="1:28" ht="17.100000000000001" customHeight="1" thickTop="1">
      <c r="A6598" s="226" t="s">
        <v>18533</v>
      </c>
      <c r="B6598" s="28">
        <v>46080</v>
      </c>
      <c r="C6598" s="25">
        <v>280</v>
      </c>
      <c r="D6598" s="13" t="s">
        <v>1578</v>
      </c>
      <c r="E6598" s="228"/>
      <c r="F6598" s="109" t="s">
        <v>9009</v>
      </c>
      <c r="G6598" s="24"/>
      <c r="H6598" s="230">
        <v>4</v>
      </c>
      <c r="I6598" s="220">
        <v>590000</v>
      </c>
      <c r="J6598" s="220">
        <f>I6598*0.1</f>
        <v>59000</v>
      </c>
      <c r="K6598" s="220">
        <v>0</v>
      </c>
      <c r="L6598" s="220">
        <v>9310</v>
      </c>
      <c r="M6598" s="220">
        <v>22000</v>
      </c>
      <c r="N6598" s="220">
        <f>SUM(I6598:M6599)</f>
        <v>680310</v>
      </c>
      <c r="O6598" s="224"/>
      <c r="P6598" s="110" t="s">
        <v>18889</v>
      </c>
      <c r="Q6598" s="15" t="s">
        <v>19</v>
      </c>
      <c r="R6598" s="205"/>
      <c r="S6598" s="189"/>
      <c r="T6598" s="114"/>
      <c r="U6598" s="21"/>
      <c r="V6598" s="115">
        <v>46102</v>
      </c>
      <c r="W6598" s="116">
        <v>1293</v>
      </c>
      <c r="X6598" s="220">
        <v>660000</v>
      </c>
      <c r="Y6598" s="220">
        <f>X6598*0.1</f>
        <v>66000</v>
      </c>
      <c r="Z6598" s="220">
        <v>9310</v>
      </c>
      <c r="AA6598" s="220">
        <f>SUM(X6598:Z6598)</f>
        <v>735310</v>
      </c>
      <c r="AB6598" s="222">
        <v>46111</v>
      </c>
    </row>
    <row r="6599" spans="1:28" ht="17.100000000000001" customHeight="1" thickBot="1">
      <c r="A6599" s="227"/>
      <c r="B6599" s="27" t="s">
        <v>3890</v>
      </c>
      <c r="C6599" s="27">
        <v>5</v>
      </c>
      <c r="D6599" s="14" t="s">
        <v>3792</v>
      </c>
      <c r="E6599" s="229"/>
      <c r="F6599" s="117" t="s">
        <v>18433</v>
      </c>
      <c r="G6599" s="26">
        <v>46261</v>
      </c>
      <c r="H6599" s="231"/>
      <c r="I6599" s="221"/>
      <c r="J6599" s="221"/>
      <c r="K6599" s="221"/>
      <c r="L6599" s="221"/>
      <c r="M6599" s="221"/>
      <c r="N6599" s="221"/>
      <c r="O6599" s="225"/>
      <c r="P6599" s="118" t="s">
        <v>18890</v>
      </c>
      <c r="Q6599" s="16" t="s">
        <v>20</v>
      </c>
      <c r="R6599" s="17" t="s">
        <v>853</v>
      </c>
      <c r="S6599" s="121"/>
      <c r="T6599" s="122"/>
      <c r="U6599" s="22"/>
      <c r="V6599" s="123" t="s">
        <v>6641</v>
      </c>
      <c r="W6599" s="122">
        <v>60076</v>
      </c>
      <c r="X6599" s="221"/>
      <c r="Y6599" s="221"/>
      <c r="Z6599" s="221"/>
      <c r="AA6599" s="221"/>
      <c r="AB6599" s="223"/>
    </row>
    <row r="6600" spans="1:28" ht="17.100000000000001" customHeight="1" thickTop="1">
      <c r="A6600" s="226" t="s">
        <v>18534</v>
      </c>
      <c r="B6600" s="28">
        <v>46080</v>
      </c>
      <c r="C6600" s="25">
        <v>280</v>
      </c>
      <c r="D6600" s="13" t="s">
        <v>2239</v>
      </c>
      <c r="E6600" s="228"/>
      <c r="F6600" s="109" t="s">
        <v>5133</v>
      </c>
      <c r="G6600" s="24" t="s">
        <v>6610</v>
      </c>
      <c r="H6600" s="232" t="s">
        <v>1705</v>
      </c>
      <c r="I6600" s="220">
        <v>648000</v>
      </c>
      <c r="J6600" s="220">
        <f>I6600*0.1</f>
        <v>64800</v>
      </c>
      <c r="K6600" s="220">
        <v>0</v>
      </c>
      <c r="L6600" s="220">
        <v>11100</v>
      </c>
      <c r="M6600" s="220">
        <v>22000</v>
      </c>
      <c r="N6600" s="220">
        <f>SUM(I6600:M6601)</f>
        <v>745900</v>
      </c>
      <c r="O6600" s="224"/>
      <c r="P6600" s="110" t="s">
        <v>18435</v>
      </c>
      <c r="Q6600" s="15" t="s">
        <v>19</v>
      </c>
      <c r="R6600" s="205"/>
      <c r="S6600" s="189"/>
      <c r="T6600" s="114" t="s">
        <v>19806</v>
      </c>
      <c r="U6600" s="21" t="s">
        <v>19565</v>
      </c>
      <c r="V6600" s="115">
        <v>46092</v>
      </c>
      <c r="W6600" s="116">
        <v>1008</v>
      </c>
      <c r="X6600" s="220">
        <v>745000</v>
      </c>
      <c r="Y6600" s="220">
        <f>X6600*0.1</f>
        <v>74500</v>
      </c>
      <c r="Z6600" s="220">
        <v>11100</v>
      </c>
      <c r="AA6600" s="220">
        <f>SUM(X6600:Z6600)</f>
        <v>830600</v>
      </c>
      <c r="AB6600" s="222">
        <v>46098</v>
      </c>
    </row>
    <row r="6601" spans="1:28" ht="17.100000000000001" customHeight="1" thickBot="1">
      <c r="A6601" s="227"/>
      <c r="B6601" s="27" t="s">
        <v>3890</v>
      </c>
      <c r="C6601" s="27">
        <v>49</v>
      </c>
      <c r="D6601" s="14" t="s">
        <v>1710</v>
      </c>
      <c r="E6601" s="229"/>
      <c r="F6601" s="117" t="s">
        <v>18434</v>
      </c>
      <c r="G6601" s="26">
        <v>13167</v>
      </c>
      <c r="H6601" s="231"/>
      <c r="I6601" s="221"/>
      <c r="J6601" s="221"/>
      <c r="K6601" s="221"/>
      <c r="L6601" s="221"/>
      <c r="M6601" s="221"/>
      <c r="N6601" s="221"/>
      <c r="O6601" s="225"/>
      <c r="P6601" s="118" t="s">
        <v>18896</v>
      </c>
      <c r="Q6601" s="16" t="s">
        <v>20</v>
      </c>
      <c r="R6601" s="17" t="s">
        <v>853</v>
      </c>
      <c r="S6601" s="121" t="s">
        <v>169</v>
      </c>
      <c r="T6601" s="122" t="s">
        <v>19807</v>
      </c>
      <c r="U6601" s="22"/>
      <c r="V6601" s="123" t="s">
        <v>19459</v>
      </c>
      <c r="W6601" s="122">
        <v>2040</v>
      </c>
      <c r="X6601" s="221"/>
      <c r="Y6601" s="221"/>
      <c r="Z6601" s="221"/>
      <c r="AA6601" s="221"/>
      <c r="AB6601" s="223"/>
    </row>
    <row r="6602" spans="1:28" ht="17.100000000000001" customHeight="1" thickTop="1">
      <c r="A6602" s="226" t="s">
        <v>18535</v>
      </c>
      <c r="B6602" s="28">
        <v>46080</v>
      </c>
      <c r="C6602" s="25">
        <v>280</v>
      </c>
      <c r="D6602" s="13" t="s">
        <v>2524</v>
      </c>
      <c r="E6602" s="228"/>
      <c r="F6602" s="109" t="s">
        <v>6953</v>
      </c>
      <c r="G6602" s="24"/>
      <c r="H6602" s="230">
        <v>3.5</v>
      </c>
      <c r="I6602" s="220">
        <v>210000</v>
      </c>
      <c r="J6602" s="220">
        <f>I6602*0.1</f>
        <v>21000</v>
      </c>
      <c r="K6602" s="220">
        <v>0</v>
      </c>
      <c r="L6602" s="220">
        <v>8930</v>
      </c>
      <c r="M6602" s="220">
        <v>22000</v>
      </c>
      <c r="N6602" s="220">
        <f>SUM(I6602:M6603)</f>
        <v>261930</v>
      </c>
      <c r="O6602" s="224"/>
      <c r="P6602" s="110" t="s">
        <v>18851</v>
      </c>
      <c r="Q6602" s="15" t="s">
        <v>19</v>
      </c>
      <c r="R6602" s="205"/>
      <c r="S6602" s="189"/>
      <c r="T6602" s="114"/>
      <c r="U6602" s="21"/>
      <c r="V6602" s="115">
        <v>46085</v>
      </c>
      <c r="W6602" s="116">
        <v>1007</v>
      </c>
      <c r="X6602" s="220">
        <v>305000</v>
      </c>
      <c r="Y6602" s="220">
        <f>X6602*0.1</f>
        <v>30500</v>
      </c>
      <c r="Z6602" s="220">
        <v>8930</v>
      </c>
      <c r="AA6602" s="220">
        <f>SUM(X6602:Z6602)</f>
        <v>344430</v>
      </c>
      <c r="AB6602" s="222">
        <v>46090</v>
      </c>
    </row>
    <row r="6603" spans="1:28" ht="17.100000000000001" customHeight="1" thickBot="1">
      <c r="A6603" s="227"/>
      <c r="B6603" s="27" t="s">
        <v>3890</v>
      </c>
      <c r="C6603" s="27">
        <v>50</v>
      </c>
      <c r="D6603" s="14" t="s">
        <v>131</v>
      </c>
      <c r="E6603" s="229"/>
      <c r="F6603" s="117" t="s">
        <v>18437</v>
      </c>
      <c r="G6603" s="26">
        <v>56602</v>
      </c>
      <c r="H6603" s="231"/>
      <c r="I6603" s="221"/>
      <c r="J6603" s="221"/>
      <c r="K6603" s="221"/>
      <c r="L6603" s="221"/>
      <c r="M6603" s="221"/>
      <c r="N6603" s="221"/>
      <c r="O6603" s="225"/>
      <c r="P6603" s="118" t="s">
        <v>4348</v>
      </c>
      <c r="Q6603" s="16" t="s">
        <v>20</v>
      </c>
      <c r="R6603" s="17" t="s">
        <v>853</v>
      </c>
      <c r="S6603" s="121" t="s">
        <v>10484</v>
      </c>
      <c r="T6603" s="122"/>
      <c r="U6603" s="22"/>
      <c r="V6603" s="123" t="s">
        <v>2747</v>
      </c>
      <c r="W6603" s="122">
        <v>5102</v>
      </c>
      <c r="X6603" s="221"/>
      <c r="Y6603" s="221"/>
      <c r="Z6603" s="221"/>
      <c r="AA6603" s="221"/>
      <c r="AB6603" s="223"/>
    </row>
    <row r="6604" spans="1:28" ht="17.100000000000001" customHeight="1" thickTop="1">
      <c r="A6604" s="226" t="s">
        <v>18536</v>
      </c>
      <c r="B6604" s="28">
        <v>46080</v>
      </c>
      <c r="C6604" s="25">
        <v>280</v>
      </c>
      <c r="D6604" s="13" t="s">
        <v>1704</v>
      </c>
      <c r="E6604" s="228"/>
      <c r="F6604" s="109" t="s">
        <v>12042</v>
      </c>
      <c r="G6604" s="24" t="s">
        <v>2487</v>
      </c>
      <c r="H6604" s="230">
        <v>4.5</v>
      </c>
      <c r="I6604" s="220">
        <v>1153000</v>
      </c>
      <c r="J6604" s="220">
        <f>I6604*0.1</f>
        <v>115300</v>
      </c>
      <c r="K6604" s="220">
        <v>0</v>
      </c>
      <c r="L6604" s="220">
        <v>8740</v>
      </c>
      <c r="M6604" s="220">
        <v>22000</v>
      </c>
      <c r="N6604" s="220">
        <f>SUM(I6604:M6605)</f>
        <v>1299040</v>
      </c>
      <c r="O6604" s="224"/>
      <c r="P6604" s="110" t="s">
        <v>18952</v>
      </c>
      <c r="Q6604" s="15" t="s">
        <v>19</v>
      </c>
      <c r="R6604" s="205"/>
      <c r="S6604" s="189"/>
      <c r="T6604" s="114"/>
      <c r="U6604" s="21"/>
      <c r="V6604" s="115">
        <v>46091</v>
      </c>
      <c r="W6604" s="116">
        <v>1932</v>
      </c>
      <c r="X6604" s="220">
        <v>1188000</v>
      </c>
      <c r="Y6604" s="220">
        <f>X6604*0.1</f>
        <v>118800</v>
      </c>
      <c r="Z6604" s="220">
        <v>8740</v>
      </c>
      <c r="AA6604" s="220">
        <f>SUM(X6604:Z6604)</f>
        <v>1315540</v>
      </c>
      <c r="AB6604" s="222"/>
    </row>
    <row r="6605" spans="1:28" ht="17.100000000000001" customHeight="1" thickBot="1">
      <c r="A6605" s="227"/>
      <c r="B6605" s="27" t="s">
        <v>3890</v>
      </c>
      <c r="C6605" s="27">
        <v>52</v>
      </c>
      <c r="D6605" s="14" t="s">
        <v>2788</v>
      </c>
      <c r="E6605" s="229"/>
      <c r="F6605" s="117" t="s">
        <v>18436</v>
      </c>
      <c r="G6605" s="26">
        <v>27893</v>
      </c>
      <c r="H6605" s="231"/>
      <c r="I6605" s="221"/>
      <c r="J6605" s="221"/>
      <c r="K6605" s="221"/>
      <c r="L6605" s="221"/>
      <c r="M6605" s="221"/>
      <c r="N6605" s="221"/>
      <c r="O6605" s="225"/>
      <c r="P6605" s="118" t="s">
        <v>18953</v>
      </c>
      <c r="Q6605" s="16" t="s">
        <v>20</v>
      </c>
      <c r="R6605" s="17" t="s">
        <v>18931</v>
      </c>
      <c r="S6605" s="121" t="s">
        <v>18954</v>
      </c>
      <c r="T6605" s="122"/>
      <c r="U6605" s="22"/>
      <c r="V6605" s="123" t="s">
        <v>2103</v>
      </c>
      <c r="W6605" s="122">
        <v>3185</v>
      </c>
      <c r="X6605" s="221"/>
      <c r="Y6605" s="221"/>
      <c r="Z6605" s="221"/>
      <c r="AA6605" s="221"/>
      <c r="AB6605" s="223"/>
    </row>
    <row r="6606" spans="1:28" ht="17.100000000000001" customHeight="1" thickTop="1">
      <c r="A6606" s="226" t="s">
        <v>18537</v>
      </c>
      <c r="B6606" s="28">
        <v>46080</v>
      </c>
      <c r="C6606" s="25">
        <v>280</v>
      </c>
      <c r="D6606" s="13" t="s">
        <v>2017</v>
      </c>
      <c r="E6606" s="228"/>
      <c r="F6606" s="109" t="s">
        <v>4575</v>
      </c>
      <c r="G6606" s="24" t="s">
        <v>3264</v>
      </c>
      <c r="H6606" s="230">
        <v>4.5</v>
      </c>
      <c r="I6606" s="220">
        <v>1888000</v>
      </c>
      <c r="J6606" s="220">
        <f>I6606*0.1</f>
        <v>188800</v>
      </c>
      <c r="K6606" s="220">
        <v>0</v>
      </c>
      <c r="L6606" s="220">
        <v>6180</v>
      </c>
      <c r="M6606" s="220">
        <v>22000</v>
      </c>
      <c r="N6606" s="220">
        <f>SUM(I6606:M6607)</f>
        <v>2104980</v>
      </c>
      <c r="O6606" s="224"/>
      <c r="P6606" s="110" t="s">
        <v>18439</v>
      </c>
      <c r="Q6606" s="15" t="s">
        <v>19</v>
      </c>
      <c r="R6606" s="205"/>
      <c r="S6606" s="189" t="s">
        <v>25496</v>
      </c>
      <c r="T6606" s="114"/>
      <c r="U6606" s="21" t="s">
        <v>20460</v>
      </c>
      <c r="V6606" s="115">
        <v>46127</v>
      </c>
      <c r="W6606" s="116">
        <v>1013</v>
      </c>
      <c r="X6606" s="220">
        <v>1950000</v>
      </c>
      <c r="Y6606" s="220">
        <f>X6606*0.1</f>
        <v>195000</v>
      </c>
      <c r="Z6606" s="220">
        <v>6180</v>
      </c>
      <c r="AA6606" s="220">
        <f>SUM(X6606:Z6606)</f>
        <v>2151180</v>
      </c>
      <c r="AB6606" s="222">
        <v>46132</v>
      </c>
    </row>
    <row r="6607" spans="1:28" ht="17.100000000000001" customHeight="1" thickBot="1">
      <c r="A6607" s="227"/>
      <c r="B6607" s="27" t="s">
        <v>3890</v>
      </c>
      <c r="C6607" s="27">
        <v>104</v>
      </c>
      <c r="D6607" s="14" t="s">
        <v>1797</v>
      </c>
      <c r="E6607" s="229"/>
      <c r="F6607" s="117" t="s">
        <v>18438</v>
      </c>
      <c r="G6607" s="26">
        <v>3736</v>
      </c>
      <c r="H6607" s="231"/>
      <c r="I6607" s="221"/>
      <c r="J6607" s="221"/>
      <c r="K6607" s="221"/>
      <c r="L6607" s="221"/>
      <c r="M6607" s="221"/>
      <c r="N6607" s="221"/>
      <c r="O6607" s="225"/>
      <c r="P6607" s="118" t="s">
        <v>1683</v>
      </c>
      <c r="Q6607" s="16" t="s">
        <v>20</v>
      </c>
      <c r="R6607" s="17" t="s">
        <v>853</v>
      </c>
      <c r="S6607" s="121" t="s">
        <v>1731</v>
      </c>
      <c r="T6607" s="122"/>
      <c r="U6607" s="22"/>
      <c r="V6607" s="123" t="s">
        <v>22718</v>
      </c>
      <c r="W6607" s="122">
        <v>2096</v>
      </c>
      <c r="X6607" s="221"/>
      <c r="Y6607" s="221"/>
      <c r="Z6607" s="221"/>
      <c r="AA6607" s="221"/>
      <c r="AB6607" s="223"/>
    </row>
    <row r="6608" spans="1:28" ht="17.100000000000001" customHeight="1" thickTop="1">
      <c r="A6608" s="226" t="s">
        <v>18538</v>
      </c>
      <c r="B6608" s="28">
        <v>46080</v>
      </c>
      <c r="C6608" s="25">
        <v>280</v>
      </c>
      <c r="D6608" s="13" t="s">
        <v>2429</v>
      </c>
      <c r="E6608" s="228"/>
      <c r="F6608" s="109" t="s">
        <v>3844</v>
      </c>
      <c r="G6608" s="24"/>
      <c r="H6608" s="230">
        <v>4</v>
      </c>
      <c r="I6608" s="220">
        <v>644000</v>
      </c>
      <c r="J6608" s="220">
        <f>I6608*0.1</f>
        <v>64400</v>
      </c>
      <c r="K6608" s="220">
        <v>0</v>
      </c>
      <c r="L6608" s="220">
        <v>7950</v>
      </c>
      <c r="M6608" s="220">
        <v>22000</v>
      </c>
      <c r="N6608" s="220">
        <f>SUM(I6608:M6609)</f>
        <v>738350</v>
      </c>
      <c r="O6608" s="224"/>
      <c r="P6608" s="110" t="s">
        <v>18999</v>
      </c>
      <c r="Q6608" s="15" t="s">
        <v>19</v>
      </c>
      <c r="R6608" s="205"/>
      <c r="S6608" s="189" t="s">
        <v>25559</v>
      </c>
      <c r="T6608" s="114"/>
      <c r="U6608" s="21"/>
      <c r="V6608" s="115">
        <v>46134</v>
      </c>
      <c r="W6608" s="116">
        <v>1014</v>
      </c>
      <c r="X6608" s="220">
        <v>710000</v>
      </c>
      <c r="Y6608" s="220">
        <f>X6608*0.1</f>
        <v>71000</v>
      </c>
      <c r="Z6608" s="220">
        <v>7950</v>
      </c>
      <c r="AA6608" s="220">
        <f>SUM(X6608:Z6608)</f>
        <v>788950</v>
      </c>
      <c r="AB6608" s="222">
        <v>46139</v>
      </c>
    </row>
    <row r="6609" spans="1:28" ht="17.100000000000001" customHeight="1" thickBot="1">
      <c r="A6609" s="227"/>
      <c r="B6609" s="27" t="s">
        <v>3890</v>
      </c>
      <c r="C6609" s="27">
        <v>80064</v>
      </c>
      <c r="D6609" s="14" t="s">
        <v>17793</v>
      </c>
      <c r="E6609" s="229"/>
      <c r="F6609" s="117" t="s">
        <v>18440</v>
      </c>
      <c r="G6609" s="26">
        <v>20324</v>
      </c>
      <c r="H6609" s="231"/>
      <c r="I6609" s="221"/>
      <c r="J6609" s="221"/>
      <c r="K6609" s="221"/>
      <c r="L6609" s="221"/>
      <c r="M6609" s="221"/>
      <c r="N6609" s="221"/>
      <c r="O6609" s="225"/>
      <c r="P6609" s="118" t="s">
        <v>17313</v>
      </c>
      <c r="Q6609" s="16" t="s">
        <v>20</v>
      </c>
      <c r="R6609" s="17" t="s">
        <v>2637</v>
      </c>
      <c r="S6609" s="121" t="s">
        <v>10350</v>
      </c>
      <c r="T6609" s="122" t="s">
        <v>18705</v>
      </c>
      <c r="U6609" s="22"/>
      <c r="V6609" s="123" t="s">
        <v>23332</v>
      </c>
      <c r="W6609" s="122">
        <v>2012</v>
      </c>
      <c r="X6609" s="221"/>
      <c r="Y6609" s="221"/>
      <c r="Z6609" s="221"/>
      <c r="AA6609" s="221"/>
      <c r="AB6609" s="223"/>
    </row>
    <row r="6610" spans="1:28" ht="17.100000000000001" customHeight="1" thickTop="1">
      <c r="A6610" s="226" t="s">
        <v>18539</v>
      </c>
      <c r="B6610" s="28">
        <v>46080</v>
      </c>
      <c r="C6610" s="25">
        <v>96</v>
      </c>
      <c r="D6610" s="13" t="s">
        <v>3406</v>
      </c>
      <c r="E6610" s="228"/>
      <c r="F6610" s="109" t="s">
        <v>9302</v>
      </c>
      <c r="G6610" s="24" t="s">
        <v>2543</v>
      </c>
      <c r="H6610" s="230">
        <v>4.5</v>
      </c>
      <c r="I6610" s="220">
        <v>1575000</v>
      </c>
      <c r="J6610" s="220">
        <f>I6610*0.1</f>
        <v>157500</v>
      </c>
      <c r="K6610" s="220">
        <v>0</v>
      </c>
      <c r="L6610" s="220">
        <v>7470</v>
      </c>
      <c r="M6610" s="220">
        <v>0</v>
      </c>
      <c r="N6610" s="220">
        <f>SUM(I6610:M6611)</f>
        <v>1739970</v>
      </c>
      <c r="O6610" s="224"/>
      <c r="P6610" s="110" t="s">
        <v>20799</v>
      </c>
      <c r="Q6610" s="15" t="s">
        <v>19</v>
      </c>
      <c r="R6610" s="205"/>
      <c r="S6610" s="189" t="s">
        <v>25807</v>
      </c>
      <c r="T6610" s="114"/>
      <c r="U6610" s="21"/>
      <c r="V6610" s="115">
        <v>46102</v>
      </c>
      <c r="W6610" s="116">
        <v>1293</v>
      </c>
      <c r="X6610" s="220">
        <v>1625000</v>
      </c>
      <c r="Y6610" s="220">
        <f>X6610*0.1</f>
        <v>162500</v>
      </c>
      <c r="Z6610" s="220">
        <v>7470</v>
      </c>
      <c r="AA6610" s="220">
        <f>SUM(X6610:Z6610)</f>
        <v>1794970</v>
      </c>
      <c r="AB6610" s="222">
        <v>46111</v>
      </c>
    </row>
    <row r="6611" spans="1:28" ht="17.100000000000001" customHeight="1" thickBot="1">
      <c r="A6611" s="227"/>
      <c r="B6611" s="27" t="s">
        <v>4468</v>
      </c>
      <c r="C6611" s="27">
        <v>1028</v>
      </c>
      <c r="D6611" s="14" t="s">
        <v>2559</v>
      </c>
      <c r="E6611" s="229"/>
      <c r="F6611" s="117" t="s">
        <v>18495</v>
      </c>
      <c r="G6611" s="26">
        <v>36965</v>
      </c>
      <c r="H6611" s="231"/>
      <c r="I6611" s="221"/>
      <c r="J6611" s="221"/>
      <c r="K6611" s="221"/>
      <c r="L6611" s="221"/>
      <c r="M6611" s="221"/>
      <c r="N6611" s="221"/>
      <c r="O6611" s="225"/>
      <c r="P6611" s="118" t="s">
        <v>20800</v>
      </c>
      <c r="Q6611" s="16" t="s">
        <v>20</v>
      </c>
      <c r="R6611" s="17" t="s">
        <v>20791</v>
      </c>
      <c r="S6611" s="121" t="s">
        <v>20801</v>
      </c>
      <c r="T6611" s="122"/>
      <c r="U6611" s="22"/>
      <c r="V6611" s="123" t="s">
        <v>2472</v>
      </c>
      <c r="W6611" s="122">
        <v>37107</v>
      </c>
      <c r="X6611" s="221"/>
      <c r="Y6611" s="221"/>
      <c r="Z6611" s="221"/>
      <c r="AA6611" s="221"/>
      <c r="AB6611" s="223"/>
    </row>
    <row r="6612" spans="1:28" ht="17.100000000000001" customHeight="1" thickTop="1">
      <c r="A6612" s="226" t="s">
        <v>18540</v>
      </c>
      <c r="B6612" s="28">
        <v>46080</v>
      </c>
      <c r="C6612" s="25">
        <v>1780</v>
      </c>
      <c r="D6612" s="13" t="s">
        <v>1704</v>
      </c>
      <c r="E6612" s="228"/>
      <c r="F6612" s="109" t="s">
        <v>1565</v>
      </c>
      <c r="G6612" s="24"/>
      <c r="H6612" s="230">
        <v>5</v>
      </c>
      <c r="I6612" s="220">
        <v>2397000</v>
      </c>
      <c r="J6612" s="220">
        <f>I6612*0.1</f>
        <v>239700</v>
      </c>
      <c r="K6612" s="220">
        <v>0</v>
      </c>
      <c r="L6612" s="220">
        <v>16160</v>
      </c>
      <c r="M6612" s="220">
        <v>17600</v>
      </c>
      <c r="N6612" s="220">
        <f>SUM(I6612:M6613)</f>
        <v>2670460</v>
      </c>
      <c r="O6612" s="224"/>
      <c r="P6612" s="110" t="s">
        <v>18865</v>
      </c>
      <c r="Q6612" s="15" t="s">
        <v>19</v>
      </c>
      <c r="R6612" s="205"/>
      <c r="S6612" s="189" t="s">
        <v>1271</v>
      </c>
      <c r="T6612" s="114"/>
      <c r="U6612" s="21"/>
      <c r="V6612" s="115"/>
      <c r="W6612" s="116"/>
      <c r="X6612" s="220"/>
      <c r="Y6612" s="220">
        <f>X6612*0.1</f>
        <v>0</v>
      </c>
      <c r="Z6612" s="220" t="s">
        <v>3125</v>
      </c>
      <c r="AA6612" s="220">
        <f>SUM(X6612:Z6612)</f>
        <v>0</v>
      </c>
      <c r="AB6612" s="222"/>
    </row>
    <row r="6613" spans="1:28" ht="17.100000000000001" customHeight="1" thickBot="1">
      <c r="A6613" s="227"/>
      <c r="B6613" s="27" t="s">
        <v>2455</v>
      </c>
      <c r="C6613" s="27">
        <v>5074</v>
      </c>
      <c r="D6613" s="14" t="s">
        <v>1568</v>
      </c>
      <c r="E6613" s="229"/>
      <c r="F6613" s="117" t="s">
        <v>18496</v>
      </c>
      <c r="G6613" s="26">
        <v>19052</v>
      </c>
      <c r="H6613" s="231"/>
      <c r="I6613" s="221"/>
      <c r="J6613" s="221"/>
      <c r="K6613" s="221"/>
      <c r="L6613" s="221"/>
      <c r="M6613" s="221"/>
      <c r="N6613" s="221"/>
      <c r="O6613" s="225"/>
      <c r="P6613" s="118" t="s">
        <v>18866</v>
      </c>
      <c r="Q6613" s="16" t="s">
        <v>20</v>
      </c>
      <c r="R6613" s="17" t="s">
        <v>853</v>
      </c>
      <c r="S6613" s="121" t="s">
        <v>1606</v>
      </c>
      <c r="T6613" s="122"/>
      <c r="U6613" s="22"/>
      <c r="V6613" s="123"/>
      <c r="W6613" s="122"/>
      <c r="X6613" s="221"/>
      <c r="Y6613" s="221"/>
      <c r="Z6613" s="221"/>
      <c r="AA6613" s="221"/>
      <c r="AB6613" s="223"/>
    </row>
    <row r="6614" spans="1:28" ht="17.100000000000001" customHeight="1" thickTop="1">
      <c r="A6614" s="226" t="s">
        <v>18541</v>
      </c>
      <c r="B6614" s="28">
        <v>46080</v>
      </c>
      <c r="C6614" s="25">
        <v>2124</v>
      </c>
      <c r="D6614" s="13" t="s">
        <v>1678</v>
      </c>
      <c r="E6614" s="228"/>
      <c r="F6614" s="109" t="s">
        <v>18497</v>
      </c>
      <c r="G6614" s="24"/>
      <c r="H6614" s="230">
        <v>5</v>
      </c>
      <c r="I6614" s="220">
        <v>2540000</v>
      </c>
      <c r="J6614" s="220">
        <f>I6614*0.1</f>
        <v>254000</v>
      </c>
      <c r="K6614" s="220">
        <v>0</v>
      </c>
      <c r="L6614" s="220">
        <v>19530</v>
      </c>
      <c r="M6614" s="220">
        <v>16500</v>
      </c>
      <c r="N6614" s="220">
        <f>SUM(I6614:M6615)</f>
        <v>2830030</v>
      </c>
      <c r="O6614" s="224"/>
      <c r="P6614" s="110" t="s">
        <v>18859</v>
      </c>
      <c r="Q6614" s="15" t="s">
        <v>19</v>
      </c>
      <c r="R6614" s="205"/>
      <c r="S6614" s="189" t="s">
        <v>1276</v>
      </c>
      <c r="T6614" s="114"/>
      <c r="U6614" s="21"/>
      <c r="V6614" s="115">
        <v>46100</v>
      </c>
      <c r="W6614" s="116">
        <v>1323</v>
      </c>
      <c r="X6614" s="220">
        <v>2685000</v>
      </c>
      <c r="Y6614" s="220">
        <f>X6614*0.1</f>
        <v>268500</v>
      </c>
      <c r="Z6614" s="220">
        <v>19530</v>
      </c>
      <c r="AA6614" s="220">
        <f>SUM(X6614:Z6614)</f>
        <v>2973030</v>
      </c>
      <c r="AB6614" s="222">
        <v>46101</v>
      </c>
    </row>
    <row r="6615" spans="1:28" ht="17.100000000000001" customHeight="1" thickBot="1">
      <c r="A6615" s="227"/>
      <c r="B6615" s="27" t="s">
        <v>1536</v>
      </c>
      <c r="C6615" s="27">
        <v>58838</v>
      </c>
      <c r="D6615" s="14" t="s">
        <v>898</v>
      </c>
      <c r="E6615" s="229"/>
      <c r="F6615" s="117" t="s">
        <v>18498</v>
      </c>
      <c r="G6615" s="26">
        <v>10255</v>
      </c>
      <c r="H6615" s="231"/>
      <c r="I6615" s="221"/>
      <c r="J6615" s="221"/>
      <c r="K6615" s="221"/>
      <c r="L6615" s="221"/>
      <c r="M6615" s="221"/>
      <c r="N6615" s="221"/>
      <c r="O6615" s="225"/>
      <c r="P6615" s="118" t="s">
        <v>1972</v>
      </c>
      <c r="Q6615" s="16" t="s">
        <v>20</v>
      </c>
      <c r="R6615" s="17" t="s">
        <v>853</v>
      </c>
      <c r="S6615" s="121" t="s">
        <v>1606</v>
      </c>
      <c r="T6615" s="122"/>
      <c r="U6615" s="22"/>
      <c r="V6615" s="123" t="s">
        <v>1735</v>
      </c>
      <c r="W6615" s="122">
        <v>314</v>
      </c>
      <c r="X6615" s="221"/>
      <c r="Y6615" s="221"/>
      <c r="Z6615" s="221"/>
      <c r="AA6615" s="221"/>
      <c r="AB6615" s="223"/>
    </row>
    <row r="6616" spans="1:28" ht="17.100000000000001" customHeight="1" thickTop="1">
      <c r="A6616" s="226" t="s">
        <v>18542</v>
      </c>
      <c r="B6616" s="28">
        <v>46080</v>
      </c>
      <c r="C6616" s="25">
        <v>2124</v>
      </c>
      <c r="D6616" s="13" t="s">
        <v>3769</v>
      </c>
      <c r="E6616" s="228"/>
      <c r="F6616" s="109" t="s">
        <v>18499</v>
      </c>
      <c r="G6616" s="24" t="s">
        <v>18501</v>
      </c>
      <c r="H6616" s="230">
        <v>4.5</v>
      </c>
      <c r="I6616" s="220">
        <v>1220000</v>
      </c>
      <c r="J6616" s="220">
        <f>I6616*0.1</f>
        <v>122000</v>
      </c>
      <c r="K6616" s="220">
        <f>2500+250</f>
        <v>2750</v>
      </c>
      <c r="L6616" s="220">
        <v>11810</v>
      </c>
      <c r="M6616" s="220">
        <v>16500</v>
      </c>
      <c r="N6616" s="220">
        <f>SUM(I6616:M6617)</f>
        <v>1373060</v>
      </c>
      <c r="O6616" s="224"/>
      <c r="P6616" s="110" t="s">
        <v>18502</v>
      </c>
      <c r="Q6616" s="15" t="s">
        <v>19</v>
      </c>
      <c r="R6616" s="205"/>
      <c r="S6616" s="189" t="s">
        <v>758</v>
      </c>
      <c r="T6616" s="114"/>
      <c r="U6616" s="21"/>
      <c r="V6616" s="115">
        <v>46093</v>
      </c>
      <c r="W6616" s="116">
        <v>1322</v>
      </c>
      <c r="X6616" s="220">
        <v>1400000</v>
      </c>
      <c r="Y6616" s="220">
        <f>X6616*0.1</f>
        <v>140000</v>
      </c>
      <c r="Z6616" s="220">
        <v>11810</v>
      </c>
      <c r="AA6616" s="220">
        <f>SUM(X6616:Z6616)</f>
        <v>1551810</v>
      </c>
      <c r="AB6616" s="222">
        <v>46094</v>
      </c>
    </row>
    <row r="6617" spans="1:28" ht="17.100000000000001" customHeight="1" thickBot="1">
      <c r="A6617" s="227"/>
      <c r="B6617" s="27" t="s">
        <v>1536</v>
      </c>
      <c r="C6617" s="27">
        <v>58879</v>
      </c>
      <c r="D6617" s="14" t="s">
        <v>898</v>
      </c>
      <c r="E6617" s="229"/>
      <c r="F6617" s="117" t="s">
        <v>18500</v>
      </c>
      <c r="G6617" s="26">
        <v>29050</v>
      </c>
      <c r="H6617" s="231"/>
      <c r="I6617" s="221"/>
      <c r="J6617" s="221"/>
      <c r="K6617" s="221"/>
      <c r="L6617" s="221"/>
      <c r="M6617" s="221"/>
      <c r="N6617" s="221"/>
      <c r="O6617" s="225"/>
      <c r="P6617" s="118" t="s">
        <v>18861</v>
      </c>
      <c r="Q6617" s="16" t="s">
        <v>20</v>
      </c>
      <c r="R6617" s="17" t="s">
        <v>853</v>
      </c>
      <c r="S6617" s="121" t="s">
        <v>18982</v>
      </c>
      <c r="T6617" s="122"/>
      <c r="U6617" s="22"/>
      <c r="V6617" s="123" t="s">
        <v>1735</v>
      </c>
      <c r="W6617" s="122">
        <v>78</v>
      </c>
      <c r="X6617" s="221"/>
      <c r="Y6617" s="221"/>
      <c r="Z6617" s="221"/>
      <c r="AA6617" s="221"/>
      <c r="AB6617" s="223"/>
    </row>
    <row r="6618" spans="1:28" ht="17.100000000000001" customHeight="1" thickTop="1">
      <c r="A6618" s="226" t="s">
        <v>18543</v>
      </c>
      <c r="B6618" s="28">
        <v>46080</v>
      </c>
      <c r="C6618" s="25">
        <v>2124</v>
      </c>
      <c r="D6618" s="13" t="s">
        <v>2158</v>
      </c>
      <c r="E6618" s="228"/>
      <c r="F6618" s="109" t="s">
        <v>7064</v>
      </c>
      <c r="G6618" s="24"/>
      <c r="H6618" s="230">
        <v>4.5</v>
      </c>
      <c r="I6618" s="220">
        <v>1760000</v>
      </c>
      <c r="J6618" s="220">
        <f>I6618*0.1</f>
        <v>176000</v>
      </c>
      <c r="K6618" s="220">
        <v>0</v>
      </c>
      <c r="L6618" s="220">
        <v>17800</v>
      </c>
      <c r="M6618" s="220">
        <v>16500</v>
      </c>
      <c r="N6618" s="220">
        <f>SUM(I6618:M6619)</f>
        <v>1970300</v>
      </c>
      <c r="O6618" s="224"/>
      <c r="P6618" s="110" t="s">
        <v>18860</v>
      </c>
      <c r="Q6618" s="15" t="s">
        <v>19</v>
      </c>
      <c r="R6618" s="205"/>
      <c r="S6618" s="189" t="s">
        <v>25367</v>
      </c>
      <c r="T6618" s="114"/>
      <c r="U6618" s="21"/>
      <c r="V6618" s="115">
        <v>46093</v>
      </c>
      <c r="W6618" s="116">
        <v>1322</v>
      </c>
      <c r="X6618" s="220">
        <v>1940000</v>
      </c>
      <c r="Y6618" s="220">
        <f>X6618*0.1</f>
        <v>194000</v>
      </c>
      <c r="Z6618" s="220">
        <v>17800</v>
      </c>
      <c r="AA6618" s="220">
        <f>SUM(X6618:Z6618)</f>
        <v>2151800</v>
      </c>
      <c r="AB6618" s="222">
        <v>46094</v>
      </c>
    </row>
    <row r="6619" spans="1:28" ht="17.100000000000001" customHeight="1" thickBot="1">
      <c r="A6619" s="227"/>
      <c r="B6619" s="27" t="s">
        <v>1536</v>
      </c>
      <c r="C6619" s="27">
        <v>58902</v>
      </c>
      <c r="D6619" s="14" t="s">
        <v>273</v>
      </c>
      <c r="E6619" s="229"/>
      <c r="F6619" s="117" t="s">
        <v>18532</v>
      </c>
      <c r="G6619" s="26">
        <v>45095</v>
      </c>
      <c r="H6619" s="231"/>
      <c r="I6619" s="221"/>
      <c r="J6619" s="221"/>
      <c r="K6619" s="221"/>
      <c r="L6619" s="221"/>
      <c r="M6619" s="221"/>
      <c r="N6619" s="221"/>
      <c r="O6619" s="225"/>
      <c r="P6619" s="118" t="s">
        <v>2275</v>
      </c>
      <c r="Q6619" s="16" t="s">
        <v>20</v>
      </c>
      <c r="R6619" s="17" t="s">
        <v>853</v>
      </c>
      <c r="S6619" s="121" t="s">
        <v>1731</v>
      </c>
      <c r="T6619" s="122"/>
      <c r="U6619" s="22"/>
      <c r="V6619" s="123" t="s">
        <v>1735</v>
      </c>
      <c r="W6619" s="122">
        <v>94</v>
      </c>
      <c r="X6619" s="221"/>
      <c r="Y6619" s="221"/>
      <c r="Z6619" s="221"/>
      <c r="AA6619" s="221"/>
      <c r="AB6619" s="223"/>
    </row>
    <row r="6620" spans="1:28" ht="17.100000000000001" customHeight="1" thickTop="1">
      <c r="A6620" s="226" t="s">
        <v>18544</v>
      </c>
      <c r="B6620" s="28">
        <v>46080</v>
      </c>
      <c r="C6620" s="25">
        <v>1408</v>
      </c>
      <c r="D6620" s="13" t="s">
        <v>1853</v>
      </c>
      <c r="E6620" s="228"/>
      <c r="F6620" s="109" t="s">
        <v>5018</v>
      </c>
      <c r="G6620" s="24"/>
      <c r="H6620" s="230">
        <v>3.5</v>
      </c>
      <c r="I6620" s="220">
        <v>434000</v>
      </c>
      <c r="J6620" s="220">
        <f>I6620*0.1</f>
        <v>43400</v>
      </c>
      <c r="K6620" s="220">
        <v>0</v>
      </c>
      <c r="L6620" s="220">
        <v>9790</v>
      </c>
      <c r="M6620" s="220">
        <v>15400</v>
      </c>
      <c r="N6620" s="220">
        <f>SUM(I6620:M6621)</f>
        <v>502590</v>
      </c>
      <c r="O6620" s="224"/>
      <c r="P6620" s="110" t="s">
        <v>19348</v>
      </c>
      <c r="Q6620" s="15" t="s">
        <v>19</v>
      </c>
      <c r="R6620" s="205"/>
      <c r="S6620" s="189" t="s">
        <v>25823</v>
      </c>
      <c r="T6620" s="114"/>
      <c r="U6620" s="21"/>
      <c r="V6620" s="115">
        <v>46088</v>
      </c>
      <c r="W6620" s="116">
        <v>1291</v>
      </c>
      <c r="X6620" s="220">
        <v>550000</v>
      </c>
      <c r="Y6620" s="220">
        <f>X6620*0.1</f>
        <v>55000</v>
      </c>
      <c r="Z6620" s="220">
        <v>9790</v>
      </c>
      <c r="AA6620" s="220">
        <f>SUM(X6620:Z6620)</f>
        <v>614790</v>
      </c>
      <c r="AB6620" s="222">
        <v>46098</v>
      </c>
    </row>
    <row r="6621" spans="1:28" ht="17.100000000000001" customHeight="1" thickBot="1">
      <c r="A6621" s="227"/>
      <c r="B6621" s="27" t="s">
        <v>2597</v>
      </c>
      <c r="C6621" s="27">
        <v>1804</v>
      </c>
      <c r="D6621" s="14" t="s">
        <v>3792</v>
      </c>
      <c r="E6621" s="229"/>
      <c r="F6621" s="117" t="s">
        <v>18561</v>
      </c>
      <c r="G6621" s="26">
        <v>19705</v>
      </c>
      <c r="H6621" s="231"/>
      <c r="I6621" s="221"/>
      <c r="J6621" s="221"/>
      <c r="K6621" s="221"/>
      <c r="L6621" s="221"/>
      <c r="M6621" s="221"/>
      <c r="N6621" s="221"/>
      <c r="O6621" s="225"/>
      <c r="P6621" s="118" t="s">
        <v>19349</v>
      </c>
      <c r="Q6621" s="16" t="s">
        <v>20</v>
      </c>
      <c r="R6621" s="17" t="s">
        <v>1623</v>
      </c>
      <c r="S6621" s="121" t="s">
        <v>1661</v>
      </c>
      <c r="T6621" s="122"/>
      <c r="U6621" s="22"/>
      <c r="V6621" s="123" t="s">
        <v>6641</v>
      </c>
      <c r="W6621" s="122">
        <v>60422</v>
      </c>
      <c r="X6621" s="221"/>
      <c r="Y6621" s="221"/>
      <c r="Z6621" s="221"/>
      <c r="AA6621" s="221"/>
      <c r="AB6621" s="223"/>
    </row>
    <row r="6622" spans="1:28" ht="17.100000000000001" customHeight="1" thickTop="1">
      <c r="A6622" s="226" t="s">
        <v>18545</v>
      </c>
      <c r="B6622" s="28">
        <v>46080</v>
      </c>
      <c r="C6622" s="25">
        <v>1408</v>
      </c>
      <c r="D6622" s="13" t="s">
        <v>1578</v>
      </c>
      <c r="E6622" s="228"/>
      <c r="F6622" s="109" t="s">
        <v>9905</v>
      </c>
      <c r="G6622" s="24"/>
      <c r="H6622" s="230">
        <v>3.5</v>
      </c>
      <c r="I6622" s="220">
        <v>411000</v>
      </c>
      <c r="J6622" s="220">
        <f>I6622*0.1</f>
        <v>41100</v>
      </c>
      <c r="K6622" s="220">
        <v>0</v>
      </c>
      <c r="L6622" s="220">
        <v>8430</v>
      </c>
      <c r="M6622" s="220">
        <v>15400</v>
      </c>
      <c r="N6622" s="220">
        <f>SUM(I6622:M6623)</f>
        <v>475930</v>
      </c>
      <c r="O6622" s="224"/>
      <c r="P6622" s="110" t="s">
        <v>18902</v>
      </c>
      <c r="Q6622" s="15" t="s">
        <v>19</v>
      </c>
      <c r="R6622" s="205"/>
      <c r="S6622" s="189"/>
      <c r="T6622" s="114"/>
      <c r="U6622" s="21"/>
      <c r="V6622" s="115">
        <v>46102</v>
      </c>
      <c r="W6622" s="116">
        <v>1293</v>
      </c>
      <c r="X6622" s="220">
        <v>455000</v>
      </c>
      <c r="Y6622" s="220">
        <f>X6622*0.1</f>
        <v>45500</v>
      </c>
      <c r="Z6622" s="220">
        <v>8430</v>
      </c>
      <c r="AA6622" s="220">
        <f>SUM(X6622:Z6622)</f>
        <v>508930</v>
      </c>
      <c r="AB6622" s="222">
        <v>46105</v>
      </c>
    </row>
    <row r="6623" spans="1:28" ht="17.100000000000001" customHeight="1" thickBot="1">
      <c r="A6623" s="227"/>
      <c r="B6623" s="27" t="s">
        <v>2597</v>
      </c>
      <c r="C6623" s="27">
        <v>2171</v>
      </c>
      <c r="D6623" s="14" t="s">
        <v>1710</v>
      </c>
      <c r="E6623" s="229"/>
      <c r="F6623" s="117" t="s">
        <v>18562</v>
      </c>
      <c r="G6623" s="26">
        <v>31393</v>
      </c>
      <c r="H6623" s="231"/>
      <c r="I6623" s="221"/>
      <c r="J6623" s="221"/>
      <c r="K6623" s="221"/>
      <c r="L6623" s="221"/>
      <c r="M6623" s="221"/>
      <c r="N6623" s="221"/>
      <c r="O6623" s="225"/>
      <c r="P6623" s="118" t="s">
        <v>3772</v>
      </c>
      <c r="Q6623" s="16" t="s">
        <v>20</v>
      </c>
      <c r="R6623" s="17" t="s">
        <v>853</v>
      </c>
      <c r="S6623" s="121" t="s">
        <v>169</v>
      </c>
      <c r="T6623" s="122"/>
      <c r="U6623" s="22"/>
      <c r="V6623" s="123" t="s">
        <v>2472</v>
      </c>
      <c r="W6623" s="122">
        <v>60144</v>
      </c>
      <c r="X6623" s="221"/>
      <c r="Y6623" s="221"/>
      <c r="Z6623" s="221"/>
      <c r="AA6623" s="221"/>
      <c r="AB6623" s="223"/>
    </row>
    <row r="6624" spans="1:28" ht="17.100000000000001" customHeight="1" thickTop="1">
      <c r="A6624" s="226" t="s">
        <v>18546</v>
      </c>
      <c r="B6624" s="28">
        <v>46080</v>
      </c>
      <c r="C6624" s="25">
        <v>1408</v>
      </c>
      <c r="D6624" s="13" t="s">
        <v>1632</v>
      </c>
      <c r="E6624" s="228"/>
      <c r="F6624" s="109" t="s">
        <v>18563</v>
      </c>
      <c r="G6624" s="24"/>
      <c r="H6624" s="230">
        <v>4</v>
      </c>
      <c r="I6624" s="220">
        <v>705000</v>
      </c>
      <c r="J6624" s="220">
        <f>I6624*0.1</f>
        <v>70500</v>
      </c>
      <c r="K6624" s="220">
        <v>0</v>
      </c>
      <c r="L6624" s="220">
        <v>9200</v>
      </c>
      <c r="M6624" s="220">
        <v>15400</v>
      </c>
      <c r="N6624" s="220">
        <f>SUM(I6624:M6625)</f>
        <v>800100</v>
      </c>
      <c r="O6624" s="224"/>
      <c r="P6624" s="110" t="s">
        <v>18900</v>
      </c>
      <c r="Q6624" s="15" t="s">
        <v>19</v>
      </c>
      <c r="R6624" s="205"/>
      <c r="S6624" s="189"/>
      <c r="T6624" s="114"/>
      <c r="U6624" s="21"/>
      <c r="V6624" s="115">
        <v>46099</v>
      </c>
      <c r="W6624" s="116">
        <v>1009</v>
      </c>
      <c r="X6624" s="220">
        <v>750000</v>
      </c>
      <c r="Y6624" s="220">
        <f>X6624*0.1</f>
        <v>75000</v>
      </c>
      <c r="Z6624" s="220">
        <v>9200</v>
      </c>
      <c r="AA6624" s="220">
        <f>SUM(X6624:Z6624)</f>
        <v>834200</v>
      </c>
      <c r="AB6624" s="222">
        <v>46105</v>
      </c>
    </row>
    <row r="6625" spans="1:28" ht="17.100000000000001" customHeight="1" thickBot="1">
      <c r="A6625" s="227"/>
      <c r="B6625" s="27" t="s">
        <v>2597</v>
      </c>
      <c r="C6625" s="27">
        <v>2221</v>
      </c>
      <c r="D6625" s="14" t="s">
        <v>3792</v>
      </c>
      <c r="E6625" s="229"/>
      <c r="F6625" s="117" t="s">
        <v>18564</v>
      </c>
      <c r="G6625" s="26">
        <v>42685</v>
      </c>
      <c r="H6625" s="231"/>
      <c r="I6625" s="221"/>
      <c r="J6625" s="221"/>
      <c r="K6625" s="221"/>
      <c r="L6625" s="221"/>
      <c r="M6625" s="221"/>
      <c r="N6625" s="221"/>
      <c r="O6625" s="225"/>
      <c r="P6625" s="118" t="s">
        <v>3772</v>
      </c>
      <c r="Q6625" s="16" t="s">
        <v>20</v>
      </c>
      <c r="R6625" s="17" t="s">
        <v>853</v>
      </c>
      <c r="S6625" s="121" t="s">
        <v>169</v>
      </c>
      <c r="T6625" s="122"/>
      <c r="U6625" s="22"/>
      <c r="V6625" s="123" t="s">
        <v>2747</v>
      </c>
      <c r="W6625" s="122">
        <v>2033</v>
      </c>
      <c r="X6625" s="221"/>
      <c r="Y6625" s="221"/>
      <c r="Z6625" s="221"/>
      <c r="AA6625" s="221"/>
      <c r="AB6625" s="223"/>
    </row>
    <row r="6626" spans="1:28" ht="17.100000000000001" customHeight="1" thickTop="1">
      <c r="A6626" s="226" t="s">
        <v>18547</v>
      </c>
      <c r="B6626" s="28">
        <v>46080</v>
      </c>
      <c r="C6626" s="25">
        <v>1408</v>
      </c>
      <c r="D6626" s="13" t="s">
        <v>1053</v>
      </c>
      <c r="E6626" s="228"/>
      <c r="F6626" s="109" t="s">
        <v>5304</v>
      </c>
      <c r="G6626" s="24" t="s">
        <v>15661</v>
      </c>
      <c r="H6626" s="230">
        <v>4</v>
      </c>
      <c r="I6626" s="220">
        <v>700000</v>
      </c>
      <c r="J6626" s="220">
        <f>I6626*0.1</f>
        <v>70000</v>
      </c>
      <c r="K6626" s="220">
        <v>0</v>
      </c>
      <c r="L6626" s="220">
        <v>5870</v>
      </c>
      <c r="M6626" s="220">
        <v>15400</v>
      </c>
      <c r="N6626" s="220">
        <f>SUM(I6626:M6627)</f>
        <v>791270</v>
      </c>
      <c r="O6626" s="224"/>
      <c r="P6626" s="110" t="s">
        <v>18854</v>
      </c>
      <c r="Q6626" s="15" t="s">
        <v>19</v>
      </c>
      <c r="R6626" s="205"/>
      <c r="S6626" s="189" t="s">
        <v>1361</v>
      </c>
      <c r="T6626" s="114"/>
      <c r="U6626" s="21" t="s">
        <v>18971</v>
      </c>
      <c r="V6626" s="115">
        <v>46085</v>
      </c>
      <c r="W6626" s="116">
        <v>1007</v>
      </c>
      <c r="X6626" s="220">
        <v>760000</v>
      </c>
      <c r="Y6626" s="220">
        <f>X6626*0.1</f>
        <v>76000</v>
      </c>
      <c r="Z6626" s="220">
        <v>5870</v>
      </c>
      <c r="AA6626" s="220">
        <f>SUM(X6626:Z6626)</f>
        <v>841870</v>
      </c>
      <c r="AB6626" s="222">
        <v>46090</v>
      </c>
    </row>
    <row r="6627" spans="1:28" ht="17.100000000000001" customHeight="1" thickBot="1">
      <c r="A6627" s="227"/>
      <c r="B6627" s="27" t="s">
        <v>2597</v>
      </c>
      <c r="C6627" s="27">
        <v>3012</v>
      </c>
      <c r="D6627" s="14" t="s">
        <v>1710</v>
      </c>
      <c r="E6627" s="229"/>
      <c r="F6627" s="117" t="s">
        <v>18565</v>
      </c>
      <c r="G6627" s="26">
        <v>46838</v>
      </c>
      <c r="H6627" s="231"/>
      <c r="I6627" s="221"/>
      <c r="J6627" s="221"/>
      <c r="K6627" s="221"/>
      <c r="L6627" s="221"/>
      <c r="M6627" s="221"/>
      <c r="N6627" s="221"/>
      <c r="O6627" s="225"/>
      <c r="P6627" s="118" t="s">
        <v>18855</v>
      </c>
      <c r="Q6627" s="16" t="s">
        <v>20</v>
      </c>
      <c r="R6627" s="17" t="s">
        <v>853</v>
      </c>
      <c r="S6627" s="121" t="s">
        <v>1625</v>
      </c>
      <c r="T6627" s="122"/>
      <c r="U6627" s="22"/>
      <c r="V6627" s="123" t="s">
        <v>2747</v>
      </c>
      <c r="W6627" s="122">
        <v>5064</v>
      </c>
      <c r="X6627" s="221"/>
      <c r="Y6627" s="221"/>
      <c r="Z6627" s="221"/>
      <c r="AA6627" s="221"/>
      <c r="AB6627" s="223"/>
    </row>
    <row r="6628" spans="1:28" ht="17.100000000000001" customHeight="1" thickTop="1">
      <c r="A6628" s="233" t="s">
        <v>18548</v>
      </c>
      <c r="B6628" s="28">
        <v>46080</v>
      </c>
      <c r="C6628" s="25">
        <v>1408</v>
      </c>
      <c r="D6628" s="13" t="s">
        <v>1715</v>
      </c>
      <c r="E6628" s="228"/>
      <c r="F6628" s="109" t="s">
        <v>18566</v>
      </c>
      <c r="G6628" s="24"/>
      <c r="H6628" s="230">
        <v>4</v>
      </c>
      <c r="I6628" s="220">
        <v>559000</v>
      </c>
      <c r="J6628" s="220">
        <f>I6628*0.1</f>
        <v>55900</v>
      </c>
      <c r="K6628" s="220">
        <v>0</v>
      </c>
      <c r="L6628" s="220">
        <v>8550</v>
      </c>
      <c r="M6628" s="220">
        <v>15400</v>
      </c>
      <c r="N6628" s="220">
        <f>SUM(I6628:M6629)</f>
        <v>638850</v>
      </c>
      <c r="O6628" s="224"/>
      <c r="P6628" s="110" t="s">
        <v>18867</v>
      </c>
      <c r="Q6628" s="15" t="s">
        <v>19</v>
      </c>
      <c r="R6628" s="205"/>
      <c r="S6628" s="189" t="s">
        <v>25824</v>
      </c>
      <c r="T6628" s="114" t="s">
        <v>19590</v>
      </c>
      <c r="U6628" s="21"/>
      <c r="V6628" s="115"/>
      <c r="W6628" s="116"/>
      <c r="X6628" s="220"/>
      <c r="Y6628" s="220">
        <f>X6628*0.1</f>
        <v>0</v>
      </c>
      <c r="Z6628" s="220"/>
      <c r="AA6628" s="220">
        <f>SUM(X6628:Z6628)</f>
        <v>0</v>
      </c>
      <c r="AB6628" s="222"/>
    </row>
    <row r="6629" spans="1:28" ht="17.100000000000001" customHeight="1" thickBot="1">
      <c r="A6629" s="234"/>
      <c r="B6629" s="27" t="s">
        <v>2597</v>
      </c>
      <c r="C6629" s="27">
        <v>3057</v>
      </c>
      <c r="D6629" s="14" t="s">
        <v>1568</v>
      </c>
      <c r="E6629" s="229"/>
      <c r="F6629" s="117" t="s">
        <v>18567</v>
      </c>
      <c r="G6629" s="26">
        <v>46908</v>
      </c>
      <c r="H6629" s="231"/>
      <c r="I6629" s="221"/>
      <c r="J6629" s="221"/>
      <c r="K6629" s="221"/>
      <c r="L6629" s="221"/>
      <c r="M6629" s="221"/>
      <c r="N6629" s="221"/>
      <c r="O6629" s="225"/>
      <c r="P6629" s="118" t="s">
        <v>18868</v>
      </c>
      <c r="Q6629" s="16" t="s">
        <v>20</v>
      </c>
      <c r="R6629" s="17" t="s">
        <v>853</v>
      </c>
      <c r="S6629" s="121" t="s">
        <v>19591</v>
      </c>
      <c r="T6629" s="122"/>
      <c r="U6629" s="22"/>
      <c r="V6629" s="123"/>
      <c r="W6629" s="122"/>
      <c r="X6629" s="221"/>
      <c r="Y6629" s="221"/>
      <c r="Z6629" s="221"/>
      <c r="AA6629" s="221"/>
      <c r="AB6629" s="223"/>
    </row>
    <row r="6630" spans="1:28" ht="17.100000000000001" customHeight="1" thickTop="1">
      <c r="A6630" s="226" t="s">
        <v>18549</v>
      </c>
      <c r="B6630" s="28">
        <v>46080</v>
      </c>
      <c r="C6630" s="25">
        <v>1408</v>
      </c>
      <c r="D6630" s="13" t="s">
        <v>2017</v>
      </c>
      <c r="E6630" s="228"/>
      <c r="F6630" s="109" t="s">
        <v>5122</v>
      </c>
      <c r="G6630" s="24" t="s">
        <v>18583</v>
      </c>
      <c r="H6630" s="230">
        <v>6</v>
      </c>
      <c r="I6630" s="220">
        <v>3252000</v>
      </c>
      <c r="J6630" s="220">
        <f>I6630*0.1</f>
        <v>325200</v>
      </c>
      <c r="K6630" s="220">
        <v>3300</v>
      </c>
      <c r="L6630" s="220">
        <v>12250</v>
      </c>
      <c r="M6630" s="220">
        <v>15400</v>
      </c>
      <c r="N6630" s="220">
        <f>SUM(I6630:M6631)</f>
        <v>3608150</v>
      </c>
      <c r="O6630" s="224"/>
      <c r="P6630" s="110" t="s">
        <v>18849</v>
      </c>
      <c r="Q6630" s="15" t="s">
        <v>19</v>
      </c>
      <c r="R6630" s="205"/>
      <c r="S6630" s="189" t="s">
        <v>25561</v>
      </c>
      <c r="T6630" s="114"/>
      <c r="U6630" s="21"/>
      <c r="V6630" s="115">
        <v>46085</v>
      </c>
      <c r="W6630" s="116">
        <v>1007</v>
      </c>
      <c r="X6630" s="220">
        <v>3360000</v>
      </c>
      <c r="Y6630" s="220">
        <f>X6630*0.1</f>
        <v>336000</v>
      </c>
      <c r="Z6630" s="220">
        <v>12250</v>
      </c>
      <c r="AA6630" s="220">
        <f>SUM(X6630:Z6630)</f>
        <v>3708250</v>
      </c>
      <c r="AB6630" s="222">
        <v>46090</v>
      </c>
    </row>
    <row r="6631" spans="1:28" ht="17.100000000000001" customHeight="1" thickBot="1">
      <c r="A6631" s="227"/>
      <c r="B6631" s="27" t="s">
        <v>2597</v>
      </c>
      <c r="C6631" s="27">
        <v>3060</v>
      </c>
      <c r="D6631" s="14" t="s">
        <v>2559</v>
      </c>
      <c r="E6631" s="229"/>
      <c r="F6631" s="117" t="s">
        <v>18582</v>
      </c>
      <c r="G6631" s="26">
        <v>4811</v>
      </c>
      <c r="H6631" s="231"/>
      <c r="I6631" s="221"/>
      <c r="J6631" s="221"/>
      <c r="K6631" s="221"/>
      <c r="L6631" s="221"/>
      <c r="M6631" s="221"/>
      <c r="N6631" s="221"/>
      <c r="O6631" s="225"/>
      <c r="P6631" s="118" t="s">
        <v>18850</v>
      </c>
      <c r="Q6631" s="16" t="s">
        <v>20</v>
      </c>
      <c r="R6631" s="17" t="s">
        <v>853</v>
      </c>
      <c r="S6631" s="121" t="s">
        <v>3071</v>
      </c>
      <c r="T6631" s="122"/>
      <c r="U6631" s="22"/>
      <c r="V6631" s="123" t="s">
        <v>2747</v>
      </c>
      <c r="W6631" s="122">
        <v>5099</v>
      </c>
      <c r="X6631" s="221"/>
      <c r="Y6631" s="221"/>
      <c r="Z6631" s="221"/>
      <c r="AA6631" s="221"/>
      <c r="AB6631" s="223"/>
    </row>
    <row r="6632" spans="1:28" ht="16.5" customHeight="1" thickTop="1">
      <c r="A6632" s="226" t="s">
        <v>18550</v>
      </c>
      <c r="B6632" s="28">
        <v>46080</v>
      </c>
      <c r="C6632" s="25">
        <v>1408</v>
      </c>
      <c r="D6632" s="13" t="s">
        <v>1961</v>
      </c>
      <c r="E6632" s="228"/>
      <c r="F6632" s="109" t="s">
        <v>10627</v>
      </c>
      <c r="G6632" s="24" t="s">
        <v>12990</v>
      </c>
      <c r="H6632" s="230">
        <v>4.5</v>
      </c>
      <c r="I6632" s="220">
        <v>902000</v>
      </c>
      <c r="J6632" s="220">
        <f>I6632*0.1</f>
        <v>90200</v>
      </c>
      <c r="K6632" s="220">
        <v>2200</v>
      </c>
      <c r="L6632" s="220">
        <v>9150</v>
      </c>
      <c r="M6632" s="220">
        <v>15400</v>
      </c>
      <c r="N6632" s="220">
        <f>SUM(I6632:M6633)</f>
        <v>1018950</v>
      </c>
      <c r="O6632" s="224"/>
      <c r="P6632" s="110" t="s">
        <v>19000</v>
      </c>
      <c r="Q6632" s="15" t="s">
        <v>19</v>
      </c>
      <c r="R6632" s="205"/>
      <c r="S6632" s="189" t="s">
        <v>1271</v>
      </c>
      <c r="T6632" s="114"/>
      <c r="U6632" s="21"/>
      <c r="V6632" s="115">
        <v>46127</v>
      </c>
      <c r="W6632" s="116">
        <v>1013</v>
      </c>
      <c r="X6632" s="220">
        <v>935000</v>
      </c>
      <c r="Y6632" s="220">
        <f>X6632*0.1</f>
        <v>93500</v>
      </c>
      <c r="Z6632" s="220">
        <v>9150</v>
      </c>
      <c r="AA6632" s="220">
        <f>SUM(X6632:Z6632)</f>
        <v>1037650</v>
      </c>
      <c r="AB6632" s="222">
        <v>46132</v>
      </c>
    </row>
    <row r="6633" spans="1:28" ht="17.100000000000001" customHeight="1" thickBot="1">
      <c r="A6633" s="227"/>
      <c r="B6633" s="27" t="s">
        <v>2597</v>
      </c>
      <c r="C6633" s="27">
        <v>3115</v>
      </c>
      <c r="D6633" s="14" t="s">
        <v>273</v>
      </c>
      <c r="E6633" s="229"/>
      <c r="F6633" s="117" t="s">
        <v>18568</v>
      </c>
      <c r="G6633" s="26">
        <v>61829</v>
      </c>
      <c r="H6633" s="231"/>
      <c r="I6633" s="221"/>
      <c r="J6633" s="221"/>
      <c r="K6633" s="221"/>
      <c r="L6633" s="221"/>
      <c r="M6633" s="221"/>
      <c r="N6633" s="221"/>
      <c r="O6633" s="225"/>
      <c r="P6633" s="118" t="s">
        <v>19001</v>
      </c>
      <c r="Q6633" s="16" t="s">
        <v>20</v>
      </c>
      <c r="R6633" s="17" t="s">
        <v>2637</v>
      </c>
      <c r="S6633" s="121" t="s">
        <v>19519</v>
      </c>
      <c r="T6633" s="122"/>
      <c r="U6633" s="22"/>
      <c r="V6633" s="123" t="s">
        <v>2747</v>
      </c>
      <c r="W6633" s="122">
        <v>6097</v>
      </c>
      <c r="X6633" s="221"/>
      <c r="Y6633" s="221"/>
      <c r="Z6633" s="221"/>
      <c r="AA6633" s="221"/>
      <c r="AB6633" s="223"/>
    </row>
    <row r="6634" spans="1:28" ht="17.100000000000001" customHeight="1" thickTop="1">
      <c r="A6634" s="226" t="s">
        <v>18551</v>
      </c>
      <c r="B6634" s="28">
        <v>46080</v>
      </c>
      <c r="C6634" s="25">
        <v>1408</v>
      </c>
      <c r="D6634" s="13" t="s">
        <v>1578</v>
      </c>
      <c r="E6634" s="228"/>
      <c r="F6634" s="109" t="s">
        <v>8456</v>
      </c>
      <c r="G6634" s="24" t="s">
        <v>12338</v>
      </c>
      <c r="H6634" s="230">
        <v>3.5</v>
      </c>
      <c r="I6634" s="220">
        <v>1660000</v>
      </c>
      <c r="J6634" s="220">
        <f>I6634*0.1</f>
        <v>166000</v>
      </c>
      <c r="K6634" s="220">
        <f>3700+370</f>
        <v>4070</v>
      </c>
      <c r="L6634" s="220">
        <v>13480</v>
      </c>
      <c r="M6634" s="220">
        <v>15400</v>
      </c>
      <c r="N6634" s="220">
        <f>SUM(I6634:M6635)</f>
        <v>1858950</v>
      </c>
      <c r="O6634" s="224"/>
      <c r="P6634" s="110" t="s">
        <v>18877</v>
      </c>
      <c r="Q6634" s="15" t="s">
        <v>19</v>
      </c>
      <c r="R6634" s="205"/>
      <c r="S6634" s="189" t="s">
        <v>25825</v>
      </c>
      <c r="T6634" s="114"/>
      <c r="U6634" s="21"/>
      <c r="V6634" s="115">
        <v>46155</v>
      </c>
      <c r="W6634" s="116">
        <v>1016</v>
      </c>
      <c r="X6634" s="220">
        <v>1935000</v>
      </c>
      <c r="Y6634" s="220">
        <f>X6634*0.1</f>
        <v>193500</v>
      </c>
      <c r="Z6634" s="220">
        <v>13480</v>
      </c>
      <c r="AA6634" s="220">
        <f>SUM(X6634:Z6634)</f>
        <v>2141980</v>
      </c>
      <c r="AB6634" s="222">
        <v>46160</v>
      </c>
    </row>
    <row r="6635" spans="1:28" ht="17.100000000000001" customHeight="1" thickBot="1">
      <c r="A6635" s="227"/>
      <c r="B6635" s="27" t="s">
        <v>2597</v>
      </c>
      <c r="C6635" s="27">
        <v>3192</v>
      </c>
      <c r="D6635" s="14" t="s">
        <v>2559</v>
      </c>
      <c r="E6635" s="229"/>
      <c r="F6635" s="117" t="s">
        <v>18569</v>
      </c>
      <c r="G6635" s="26">
        <v>22876</v>
      </c>
      <c r="H6635" s="231"/>
      <c r="I6635" s="221"/>
      <c r="J6635" s="221"/>
      <c r="K6635" s="221"/>
      <c r="L6635" s="221"/>
      <c r="M6635" s="221"/>
      <c r="N6635" s="221"/>
      <c r="O6635" s="225"/>
      <c r="P6635" s="118" t="s">
        <v>18878</v>
      </c>
      <c r="Q6635" s="16" t="s">
        <v>20</v>
      </c>
      <c r="R6635" s="17" t="s">
        <v>853</v>
      </c>
      <c r="S6635" s="121" t="s">
        <v>4530</v>
      </c>
      <c r="T6635" s="122"/>
      <c r="U6635" s="22"/>
      <c r="V6635" s="123" t="s">
        <v>8877</v>
      </c>
      <c r="W6635" s="122">
        <v>5185</v>
      </c>
      <c r="X6635" s="221"/>
      <c r="Y6635" s="221"/>
      <c r="Z6635" s="221"/>
      <c r="AA6635" s="221"/>
      <c r="AB6635" s="223"/>
    </row>
    <row r="6636" spans="1:28" ht="17.100000000000001" customHeight="1" thickTop="1">
      <c r="A6636" s="226" t="s">
        <v>18552</v>
      </c>
      <c r="B6636" s="28">
        <v>46080</v>
      </c>
      <c r="C6636" s="25">
        <v>1408</v>
      </c>
      <c r="D6636" s="13" t="s">
        <v>2892</v>
      </c>
      <c r="E6636" s="228"/>
      <c r="F6636" s="109" t="s">
        <v>18570</v>
      </c>
      <c r="G6636" s="24" t="s">
        <v>4022</v>
      </c>
      <c r="H6636" s="230">
        <v>5</v>
      </c>
      <c r="I6636" s="220">
        <v>884000</v>
      </c>
      <c r="J6636" s="220">
        <f>I6636*0.1</f>
        <v>88400</v>
      </c>
      <c r="K6636" s="220">
        <f>2400+240</f>
        <v>2640</v>
      </c>
      <c r="L6636" s="220">
        <v>8190</v>
      </c>
      <c r="M6636" s="220">
        <v>15400</v>
      </c>
      <c r="N6636" s="220">
        <f>SUM(I6636:M6637)</f>
        <v>998630</v>
      </c>
      <c r="O6636" s="224"/>
      <c r="P6636" s="110" t="s">
        <v>18936</v>
      </c>
      <c r="Q6636" s="15" t="s">
        <v>19</v>
      </c>
      <c r="R6636" s="205"/>
      <c r="S6636" s="189" t="s">
        <v>25825</v>
      </c>
      <c r="T6636" s="114"/>
      <c r="U6636" s="21"/>
      <c r="V6636" s="115">
        <v>46085</v>
      </c>
      <c r="W6636" s="116">
        <v>1007</v>
      </c>
      <c r="X6636" s="220">
        <v>915000</v>
      </c>
      <c r="Y6636" s="220">
        <f>X6636*0.1</f>
        <v>91500</v>
      </c>
      <c r="Z6636" s="220">
        <v>8190</v>
      </c>
      <c r="AA6636" s="220">
        <f>SUM(X6636:Z6636)</f>
        <v>1014690</v>
      </c>
      <c r="AB6636" s="222">
        <v>46090</v>
      </c>
    </row>
    <row r="6637" spans="1:28" ht="17.100000000000001" customHeight="1" thickBot="1">
      <c r="A6637" s="227"/>
      <c r="B6637" s="27" t="s">
        <v>2597</v>
      </c>
      <c r="C6637" s="27">
        <v>3235</v>
      </c>
      <c r="D6637" s="14" t="s">
        <v>1797</v>
      </c>
      <c r="E6637" s="229"/>
      <c r="F6637" s="117" t="s">
        <v>18571</v>
      </c>
      <c r="G6637" s="26">
        <v>7306</v>
      </c>
      <c r="H6637" s="231"/>
      <c r="I6637" s="221"/>
      <c r="J6637" s="221"/>
      <c r="K6637" s="221"/>
      <c r="L6637" s="221"/>
      <c r="M6637" s="221"/>
      <c r="N6637" s="221"/>
      <c r="O6637" s="225"/>
      <c r="P6637" s="118" t="s">
        <v>18937</v>
      </c>
      <c r="Q6637" s="16" t="s">
        <v>20</v>
      </c>
      <c r="R6637" s="17" t="s">
        <v>18931</v>
      </c>
      <c r="S6637" s="121" t="s">
        <v>18938</v>
      </c>
      <c r="T6637" s="122"/>
      <c r="U6637" s="22"/>
      <c r="V6637" s="123" t="s">
        <v>2747</v>
      </c>
      <c r="W6637" s="122">
        <v>5095</v>
      </c>
      <c r="X6637" s="221"/>
      <c r="Y6637" s="221"/>
      <c r="Z6637" s="221"/>
      <c r="AA6637" s="221"/>
      <c r="AB6637" s="223"/>
    </row>
    <row r="6638" spans="1:28" ht="17.100000000000001" customHeight="1" thickTop="1">
      <c r="A6638" s="226" t="s">
        <v>18553</v>
      </c>
      <c r="B6638" s="28">
        <v>46080</v>
      </c>
      <c r="C6638" s="25">
        <v>1408</v>
      </c>
      <c r="D6638" s="13" t="s">
        <v>3422</v>
      </c>
      <c r="E6638" s="228"/>
      <c r="F6638" s="109" t="s">
        <v>7282</v>
      </c>
      <c r="G6638" s="24"/>
      <c r="H6638" s="230">
        <v>4</v>
      </c>
      <c r="I6638" s="220">
        <v>742000</v>
      </c>
      <c r="J6638" s="220">
        <f>I6638*0.1</f>
        <v>74200</v>
      </c>
      <c r="K6638" s="220">
        <v>0</v>
      </c>
      <c r="L6638" s="220">
        <v>8400</v>
      </c>
      <c r="M6638" s="220">
        <v>15400</v>
      </c>
      <c r="N6638" s="220">
        <f>SUM(I6638:M6639)</f>
        <v>840000</v>
      </c>
      <c r="O6638" s="224"/>
      <c r="P6638" s="110" t="s">
        <v>18899</v>
      </c>
      <c r="Q6638" s="15" t="s">
        <v>19</v>
      </c>
      <c r="R6638" s="205"/>
      <c r="S6638" s="189"/>
      <c r="T6638" s="114"/>
      <c r="U6638" s="21"/>
      <c r="V6638" s="115">
        <v>46134</v>
      </c>
      <c r="W6638" s="116">
        <v>1014</v>
      </c>
      <c r="X6638" s="220">
        <v>775000</v>
      </c>
      <c r="Y6638" s="220">
        <v>77500</v>
      </c>
      <c r="Z6638" s="220">
        <v>8400</v>
      </c>
      <c r="AA6638" s="220">
        <f>SUM(X6638:Z6638)</f>
        <v>860900</v>
      </c>
      <c r="AB6638" s="222">
        <v>46139</v>
      </c>
    </row>
    <row r="6639" spans="1:28" ht="17.100000000000001" customHeight="1" thickBot="1">
      <c r="A6639" s="227"/>
      <c r="B6639" s="27" t="s">
        <v>2597</v>
      </c>
      <c r="C6639" s="27">
        <v>3260</v>
      </c>
      <c r="D6639" s="14" t="s">
        <v>2788</v>
      </c>
      <c r="E6639" s="229"/>
      <c r="F6639" s="117" t="s">
        <v>18572</v>
      </c>
      <c r="G6639" s="26">
        <v>44241</v>
      </c>
      <c r="H6639" s="231"/>
      <c r="I6639" s="221"/>
      <c r="J6639" s="221"/>
      <c r="K6639" s="221"/>
      <c r="L6639" s="221"/>
      <c r="M6639" s="221"/>
      <c r="N6639" s="221"/>
      <c r="O6639" s="225"/>
      <c r="P6639" s="118" t="s">
        <v>3772</v>
      </c>
      <c r="Q6639" s="16" t="s">
        <v>20</v>
      </c>
      <c r="R6639" s="17" t="s">
        <v>853</v>
      </c>
      <c r="S6639" s="121"/>
      <c r="T6639" s="122"/>
      <c r="U6639" s="22"/>
      <c r="V6639" s="123" t="s">
        <v>23332</v>
      </c>
      <c r="W6639" s="122">
        <v>2027</v>
      </c>
      <c r="X6639" s="221"/>
      <c r="Y6639" s="221"/>
      <c r="Z6639" s="221"/>
      <c r="AA6639" s="221"/>
      <c r="AB6639" s="223"/>
    </row>
    <row r="6640" spans="1:28" ht="17.100000000000001" customHeight="1" thickTop="1">
      <c r="A6640" s="226" t="s">
        <v>18554</v>
      </c>
      <c r="B6640" s="28">
        <v>46080</v>
      </c>
      <c r="C6640" s="25">
        <v>1408</v>
      </c>
      <c r="D6640" s="13" t="s">
        <v>1810</v>
      </c>
      <c r="E6640" s="228"/>
      <c r="F6640" s="109" t="s">
        <v>17085</v>
      </c>
      <c r="G6640" s="24" t="s">
        <v>18581</v>
      </c>
      <c r="H6640" s="230">
        <v>4</v>
      </c>
      <c r="I6640" s="220">
        <v>1913000</v>
      </c>
      <c r="J6640" s="220">
        <f>I6640*0.1</f>
        <v>191300</v>
      </c>
      <c r="K6640" s="220">
        <v>3300</v>
      </c>
      <c r="L6640" s="220">
        <v>10000</v>
      </c>
      <c r="M6640" s="220">
        <v>15400</v>
      </c>
      <c r="N6640" s="220">
        <f>SUM(I6640:M6641)</f>
        <v>2133000</v>
      </c>
      <c r="O6640" s="224"/>
      <c r="P6640" s="110" t="s">
        <v>18957</v>
      </c>
      <c r="Q6640" s="15" t="s">
        <v>19</v>
      </c>
      <c r="R6640" s="205"/>
      <c r="S6640" s="189" t="s">
        <v>1361</v>
      </c>
      <c r="T6640" s="114"/>
      <c r="U6640" s="21"/>
      <c r="V6640" s="115">
        <v>46092</v>
      </c>
      <c r="W6640" s="116">
        <v>1008</v>
      </c>
      <c r="X6640" s="220">
        <v>1995000</v>
      </c>
      <c r="Y6640" s="220">
        <f>X6640*0.1</f>
        <v>199500</v>
      </c>
      <c r="Z6640" s="220">
        <v>10000</v>
      </c>
      <c r="AA6640" s="220">
        <f>SUM(X6640:Z6640)</f>
        <v>2204500</v>
      </c>
      <c r="AB6640" s="222">
        <v>46098</v>
      </c>
    </row>
    <row r="6641" spans="1:28" ht="17.100000000000001" customHeight="1" thickBot="1">
      <c r="A6641" s="227"/>
      <c r="B6641" s="27" t="s">
        <v>2597</v>
      </c>
      <c r="C6641" s="27">
        <v>3293</v>
      </c>
      <c r="D6641" s="14" t="s">
        <v>2088</v>
      </c>
      <c r="E6641" s="229"/>
      <c r="F6641" s="117" t="s">
        <v>18573</v>
      </c>
      <c r="G6641" s="26">
        <v>23872</v>
      </c>
      <c r="H6641" s="231"/>
      <c r="I6641" s="221"/>
      <c r="J6641" s="221"/>
      <c r="K6641" s="221"/>
      <c r="L6641" s="221"/>
      <c r="M6641" s="221"/>
      <c r="N6641" s="221"/>
      <c r="O6641" s="225"/>
      <c r="P6641" s="118" t="s">
        <v>18958</v>
      </c>
      <c r="Q6641" s="16" t="s">
        <v>20</v>
      </c>
      <c r="R6641" s="17" t="s">
        <v>18931</v>
      </c>
      <c r="S6641" s="121" t="s">
        <v>10350</v>
      </c>
      <c r="T6641" s="122"/>
      <c r="U6641" s="22"/>
      <c r="V6641" s="123" t="s">
        <v>19459</v>
      </c>
      <c r="W6641" s="122">
        <v>6134</v>
      </c>
      <c r="X6641" s="221"/>
      <c r="Y6641" s="221"/>
      <c r="Z6641" s="221"/>
      <c r="AA6641" s="221"/>
      <c r="AB6641" s="223"/>
    </row>
    <row r="6642" spans="1:28" ht="17.100000000000001" customHeight="1" thickTop="1">
      <c r="A6642" s="226" t="s">
        <v>18555</v>
      </c>
      <c r="B6642" s="28">
        <v>46080</v>
      </c>
      <c r="C6642" s="25">
        <v>1408</v>
      </c>
      <c r="D6642" s="13" t="s">
        <v>1578</v>
      </c>
      <c r="E6642" s="228"/>
      <c r="F6642" s="109" t="s">
        <v>18584</v>
      </c>
      <c r="G6642" s="24"/>
      <c r="H6642" s="230">
        <v>4</v>
      </c>
      <c r="I6642" s="220">
        <v>1416000</v>
      </c>
      <c r="J6642" s="220">
        <f>I6642*0.1</f>
        <v>141600</v>
      </c>
      <c r="K6642" s="220">
        <v>0</v>
      </c>
      <c r="L6642" s="220">
        <v>20540</v>
      </c>
      <c r="M6642" s="220">
        <v>15400</v>
      </c>
      <c r="N6642" s="220">
        <f>SUM(I6642:M6643)</f>
        <v>1593540</v>
      </c>
      <c r="O6642" s="224"/>
      <c r="P6642" s="110" t="s">
        <v>18857</v>
      </c>
      <c r="Q6642" s="15" t="s">
        <v>19</v>
      </c>
      <c r="R6642" s="205"/>
      <c r="S6642" s="189" t="s">
        <v>1361</v>
      </c>
      <c r="T6642" s="114"/>
      <c r="U6642" s="21"/>
      <c r="V6642" s="115">
        <v>46086</v>
      </c>
      <c r="W6642" s="116">
        <v>1321</v>
      </c>
      <c r="X6642" s="220">
        <v>1565000</v>
      </c>
      <c r="Y6642" s="220">
        <f>X6642*0.1</f>
        <v>156500</v>
      </c>
      <c r="Z6642" s="220">
        <v>20540</v>
      </c>
      <c r="AA6642" s="220">
        <f>SUM(X6642:Z6642)</f>
        <v>1742040</v>
      </c>
      <c r="AB6642" s="222">
        <v>46087</v>
      </c>
    </row>
    <row r="6643" spans="1:28" ht="17.100000000000001" customHeight="1" thickBot="1">
      <c r="A6643" s="227"/>
      <c r="B6643" s="27" t="s">
        <v>2597</v>
      </c>
      <c r="C6643" s="27">
        <v>7003</v>
      </c>
      <c r="D6643" s="14" t="s">
        <v>273</v>
      </c>
      <c r="E6643" s="229"/>
      <c r="F6643" s="117" t="s">
        <v>18574</v>
      </c>
      <c r="G6643" s="26">
        <v>59745</v>
      </c>
      <c r="H6643" s="231"/>
      <c r="I6643" s="221"/>
      <c r="J6643" s="221"/>
      <c r="K6643" s="221"/>
      <c r="L6643" s="221"/>
      <c r="M6643" s="221"/>
      <c r="N6643" s="221"/>
      <c r="O6643" s="225"/>
      <c r="P6643" s="118" t="s">
        <v>8646</v>
      </c>
      <c r="Q6643" s="16" t="s">
        <v>20</v>
      </c>
      <c r="R6643" s="17" t="s">
        <v>853</v>
      </c>
      <c r="S6643" s="121" t="s">
        <v>1606</v>
      </c>
      <c r="T6643" s="122"/>
      <c r="U6643" s="22"/>
      <c r="V6643" s="123" t="s">
        <v>18928</v>
      </c>
      <c r="W6643" s="122">
        <v>174</v>
      </c>
      <c r="X6643" s="221"/>
      <c r="Y6643" s="221"/>
      <c r="Z6643" s="221"/>
      <c r="AA6643" s="221"/>
      <c r="AB6643" s="223"/>
    </row>
    <row r="6644" spans="1:28" ht="17.100000000000001" customHeight="1" thickTop="1">
      <c r="A6644" s="226" t="s">
        <v>18556</v>
      </c>
      <c r="B6644" s="28">
        <v>46080</v>
      </c>
      <c r="C6644" s="25">
        <v>1408</v>
      </c>
      <c r="D6644" s="13" t="s">
        <v>1542</v>
      </c>
      <c r="E6644" s="228"/>
      <c r="F6644" s="109" t="s">
        <v>10431</v>
      </c>
      <c r="G6644" s="24"/>
      <c r="H6644" s="230">
        <v>3.5</v>
      </c>
      <c r="I6644" s="220">
        <v>403000</v>
      </c>
      <c r="J6644" s="220">
        <f>I6644*0.1</f>
        <v>40300</v>
      </c>
      <c r="K6644" s="220">
        <v>0</v>
      </c>
      <c r="L6644" s="220">
        <v>9130</v>
      </c>
      <c r="M6644" s="220">
        <v>15400</v>
      </c>
      <c r="N6644" s="220">
        <f>SUM(I6644:M6645)</f>
        <v>467830</v>
      </c>
      <c r="O6644" s="224"/>
      <c r="P6644" s="110" t="s">
        <v>18907</v>
      </c>
      <c r="Q6644" s="15" t="s">
        <v>19</v>
      </c>
      <c r="R6644" s="205"/>
      <c r="S6644" s="189"/>
      <c r="T6644" s="114"/>
      <c r="U6644" s="21"/>
      <c r="V6644" s="115">
        <v>46092</v>
      </c>
      <c r="W6644" s="116">
        <v>1008</v>
      </c>
      <c r="X6644" s="220">
        <v>480000</v>
      </c>
      <c r="Y6644" s="220">
        <f>X6644*0.1</f>
        <v>48000</v>
      </c>
      <c r="Z6644" s="220">
        <v>9130</v>
      </c>
      <c r="AA6644" s="220">
        <f>SUM(X6644:Z6644)</f>
        <v>537130</v>
      </c>
      <c r="AB6644" s="222">
        <v>46098</v>
      </c>
    </row>
    <row r="6645" spans="1:28" ht="17.100000000000001" customHeight="1" thickBot="1">
      <c r="A6645" s="227"/>
      <c r="B6645" s="27" t="s">
        <v>2597</v>
      </c>
      <c r="C6645" s="27">
        <v>9009</v>
      </c>
      <c r="D6645" s="14" t="s">
        <v>898</v>
      </c>
      <c r="E6645" s="229"/>
      <c r="F6645" s="117" t="s">
        <v>18575</v>
      </c>
      <c r="G6645" s="26">
        <v>52918</v>
      </c>
      <c r="H6645" s="231"/>
      <c r="I6645" s="221"/>
      <c r="J6645" s="221"/>
      <c r="K6645" s="221"/>
      <c r="L6645" s="221"/>
      <c r="M6645" s="221"/>
      <c r="N6645" s="221"/>
      <c r="O6645" s="225"/>
      <c r="P6645" s="118" t="s">
        <v>3772</v>
      </c>
      <c r="Q6645" s="16" t="s">
        <v>20</v>
      </c>
      <c r="R6645" s="17" t="s">
        <v>853</v>
      </c>
      <c r="S6645" s="121" t="s">
        <v>18978</v>
      </c>
      <c r="T6645" s="122"/>
      <c r="U6645" s="22"/>
      <c r="V6645" s="123" t="s">
        <v>19459</v>
      </c>
      <c r="W6645" s="122">
        <v>6025</v>
      </c>
      <c r="X6645" s="221"/>
      <c r="Y6645" s="221"/>
      <c r="Z6645" s="221"/>
      <c r="AA6645" s="221"/>
      <c r="AB6645" s="223"/>
    </row>
    <row r="6646" spans="1:28" ht="17.100000000000001" customHeight="1" thickTop="1">
      <c r="A6646" s="226" t="s">
        <v>18557</v>
      </c>
      <c r="B6646" s="28">
        <v>46080</v>
      </c>
      <c r="C6646" s="25">
        <v>1408</v>
      </c>
      <c r="D6646" s="13" t="s">
        <v>1853</v>
      </c>
      <c r="E6646" s="228"/>
      <c r="F6646" s="109" t="s">
        <v>16642</v>
      </c>
      <c r="G6646" s="24"/>
      <c r="H6646" s="232" t="s">
        <v>1705</v>
      </c>
      <c r="I6646" s="220">
        <v>448000</v>
      </c>
      <c r="J6646" s="220">
        <v>44800</v>
      </c>
      <c r="K6646" s="220">
        <v>0</v>
      </c>
      <c r="L6646" s="220">
        <v>10830</v>
      </c>
      <c r="M6646" s="220">
        <v>15400</v>
      </c>
      <c r="N6646" s="220">
        <f>SUM(I6646:M6647)</f>
        <v>519030</v>
      </c>
      <c r="O6646" s="224"/>
      <c r="P6646" s="110" t="s">
        <v>18906</v>
      </c>
      <c r="Q6646" s="15" t="s">
        <v>19</v>
      </c>
      <c r="R6646" s="205"/>
      <c r="S6646" s="189"/>
      <c r="T6646" s="114"/>
      <c r="U6646" s="21"/>
      <c r="V6646" s="115"/>
      <c r="W6646" s="116"/>
      <c r="X6646" s="220"/>
      <c r="Y6646" s="220">
        <f>X6646*0.1</f>
        <v>0</v>
      </c>
      <c r="Z6646" s="220"/>
      <c r="AA6646" s="220">
        <f>SUM(X6646:Z6646)</f>
        <v>0</v>
      </c>
      <c r="AB6646" s="222"/>
    </row>
    <row r="6647" spans="1:28" ht="17.100000000000001" customHeight="1" thickBot="1">
      <c r="A6647" s="227"/>
      <c r="B6647" s="27" t="s">
        <v>2597</v>
      </c>
      <c r="C6647" s="27">
        <v>9017</v>
      </c>
      <c r="D6647" s="14" t="s">
        <v>2559</v>
      </c>
      <c r="E6647" s="229"/>
      <c r="F6647" s="117" t="s">
        <v>18576</v>
      </c>
      <c r="G6647" s="26">
        <v>157785</v>
      </c>
      <c r="H6647" s="231"/>
      <c r="I6647" s="221"/>
      <c r="J6647" s="221"/>
      <c r="K6647" s="221"/>
      <c r="L6647" s="221"/>
      <c r="M6647" s="221"/>
      <c r="N6647" s="221"/>
      <c r="O6647" s="225"/>
      <c r="P6647" s="118" t="s">
        <v>3772</v>
      </c>
      <c r="Q6647" s="16" t="s">
        <v>20</v>
      </c>
      <c r="R6647" s="17" t="s">
        <v>853</v>
      </c>
      <c r="S6647" s="121" t="s">
        <v>18979</v>
      </c>
      <c r="T6647" s="122"/>
      <c r="U6647" s="22"/>
      <c r="V6647" s="123"/>
      <c r="W6647" s="122"/>
      <c r="X6647" s="221"/>
      <c r="Y6647" s="221"/>
      <c r="Z6647" s="221"/>
      <c r="AA6647" s="221"/>
      <c r="AB6647" s="223"/>
    </row>
    <row r="6648" spans="1:28" ht="17.100000000000001" customHeight="1" thickTop="1">
      <c r="A6648" s="226" t="s">
        <v>18558</v>
      </c>
      <c r="B6648" s="28">
        <v>46080</v>
      </c>
      <c r="C6648" s="25">
        <v>1408</v>
      </c>
      <c r="D6648" s="13" t="s">
        <v>1715</v>
      </c>
      <c r="E6648" s="228"/>
      <c r="F6648" s="109" t="s">
        <v>18577</v>
      </c>
      <c r="G6648" s="24"/>
      <c r="H6648" s="230">
        <v>4</v>
      </c>
      <c r="I6648" s="220">
        <v>405000</v>
      </c>
      <c r="J6648" s="220">
        <f>I6648*0.1</f>
        <v>40500</v>
      </c>
      <c r="K6648" s="220">
        <v>0</v>
      </c>
      <c r="L6648" s="220">
        <v>9310</v>
      </c>
      <c r="M6648" s="220">
        <v>15400</v>
      </c>
      <c r="N6648" s="220">
        <f>SUM(I6648:M6649)</f>
        <v>470210</v>
      </c>
      <c r="O6648" s="224"/>
      <c r="P6648" s="110" t="s">
        <v>18879</v>
      </c>
      <c r="Q6648" s="15" t="s">
        <v>19</v>
      </c>
      <c r="R6648" s="205"/>
      <c r="S6648" s="189" t="s">
        <v>1361</v>
      </c>
      <c r="T6648" s="114"/>
      <c r="U6648" s="21"/>
      <c r="V6648" s="115">
        <v>46095</v>
      </c>
      <c r="W6648" s="116">
        <v>1292</v>
      </c>
      <c r="X6648" s="220">
        <v>415000</v>
      </c>
      <c r="Y6648" s="220">
        <f>X6648*0.1</f>
        <v>41500</v>
      </c>
      <c r="Z6648" s="220">
        <v>9310</v>
      </c>
      <c r="AA6648" s="220">
        <f>SUM(X6648:Z6648)</f>
        <v>465810</v>
      </c>
      <c r="AB6648" s="222">
        <v>46098</v>
      </c>
    </row>
    <row r="6649" spans="1:28" ht="17.100000000000001" customHeight="1" thickBot="1">
      <c r="A6649" s="227"/>
      <c r="B6649" s="27" t="s">
        <v>2597</v>
      </c>
      <c r="C6649" s="27">
        <v>9018</v>
      </c>
      <c r="D6649" s="14" t="s">
        <v>1797</v>
      </c>
      <c r="E6649" s="229"/>
      <c r="F6649" s="117" t="s">
        <v>18578</v>
      </c>
      <c r="G6649" s="26">
        <v>96836</v>
      </c>
      <c r="H6649" s="231"/>
      <c r="I6649" s="221"/>
      <c r="J6649" s="221"/>
      <c r="K6649" s="221"/>
      <c r="L6649" s="221"/>
      <c r="M6649" s="221"/>
      <c r="N6649" s="221"/>
      <c r="O6649" s="225"/>
      <c r="P6649" s="118" t="s">
        <v>18880</v>
      </c>
      <c r="Q6649" s="16" t="s">
        <v>20</v>
      </c>
      <c r="R6649" s="17" t="s">
        <v>853</v>
      </c>
      <c r="S6649" s="121" t="s">
        <v>169</v>
      </c>
      <c r="T6649" s="122"/>
      <c r="U6649" s="22"/>
      <c r="V6649" s="123" t="s">
        <v>2472</v>
      </c>
      <c r="W6649" s="122">
        <v>60103</v>
      </c>
      <c r="X6649" s="221"/>
      <c r="Y6649" s="221"/>
      <c r="Z6649" s="221"/>
      <c r="AA6649" s="221"/>
      <c r="AB6649" s="223"/>
    </row>
    <row r="6650" spans="1:28" ht="17.100000000000001" customHeight="1" thickTop="1">
      <c r="A6650" s="226" t="s">
        <v>18559</v>
      </c>
      <c r="B6650" s="28">
        <v>46080</v>
      </c>
      <c r="C6650" s="25">
        <v>1408</v>
      </c>
      <c r="D6650" s="13" t="s">
        <v>4368</v>
      </c>
      <c r="E6650" s="228"/>
      <c r="F6650" s="109" t="s">
        <v>18585</v>
      </c>
      <c r="G6650" s="24" t="s">
        <v>10639</v>
      </c>
      <c r="H6650" s="230">
        <v>4</v>
      </c>
      <c r="I6650" s="220">
        <v>551000</v>
      </c>
      <c r="J6650" s="220">
        <v>55100</v>
      </c>
      <c r="K6650" s="220">
        <f>2800+280</f>
        <v>3080</v>
      </c>
      <c r="L6650" s="220">
        <v>10460</v>
      </c>
      <c r="M6650" s="220">
        <v>15400</v>
      </c>
      <c r="N6650" s="220">
        <f>SUM(I6650:M6651)</f>
        <v>635040</v>
      </c>
      <c r="O6650" s="224"/>
      <c r="P6650" s="110" t="s">
        <v>18998</v>
      </c>
      <c r="Q6650" s="15" t="s">
        <v>19</v>
      </c>
      <c r="R6650" s="205"/>
      <c r="S6650" s="189"/>
      <c r="T6650" s="114" t="s">
        <v>21739</v>
      </c>
      <c r="U6650" s="21"/>
      <c r="V6650" s="115">
        <v>46085</v>
      </c>
      <c r="W6650" s="116">
        <v>1007</v>
      </c>
      <c r="X6650" s="220">
        <v>780000</v>
      </c>
      <c r="Y6650" s="220">
        <f>X6650*0.1</f>
        <v>78000</v>
      </c>
      <c r="Z6650" s="220">
        <v>10460</v>
      </c>
      <c r="AA6650" s="220">
        <f>SUM(X6650:Z6650)</f>
        <v>868460</v>
      </c>
      <c r="AB6650" s="222">
        <v>46092</v>
      </c>
    </row>
    <row r="6651" spans="1:28" ht="17.100000000000001" customHeight="1" thickBot="1">
      <c r="A6651" s="227"/>
      <c r="B6651" s="27" t="s">
        <v>2597</v>
      </c>
      <c r="C6651" s="27">
        <v>9059</v>
      </c>
      <c r="D6651" s="14" t="s">
        <v>2559</v>
      </c>
      <c r="E6651" s="229"/>
      <c r="F6651" s="117" t="s">
        <v>18579</v>
      </c>
      <c r="G6651" s="26">
        <v>43059</v>
      </c>
      <c r="H6651" s="231"/>
      <c r="I6651" s="221"/>
      <c r="J6651" s="221"/>
      <c r="K6651" s="221"/>
      <c r="L6651" s="221"/>
      <c r="M6651" s="221"/>
      <c r="N6651" s="221"/>
      <c r="O6651" s="225"/>
      <c r="P6651" s="118" t="s">
        <v>4211</v>
      </c>
      <c r="Q6651" s="16" t="s">
        <v>20</v>
      </c>
      <c r="R6651" s="17" t="s">
        <v>2637</v>
      </c>
      <c r="S6651" s="121"/>
      <c r="T6651" s="122"/>
      <c r="U6651" s="22"/>
      <c r="V6651" s="123" t="s">
        <v>2747</v>
      </c>
      <c r="W6651" s="122">
        <v>5110</v>
      </c>
      <c r="X6651" s="221"/>
      <c r="Y6651" s="221"/>
      <c r="Z6651" s="221"/>
      <c r="AA6651" s="221"/>
      <c r="AB6651" s="223"/>
    </row>
    <row r="6652" spans="1:28" ht="17.100000000000001" customHeight="1" thickTop="1">
      <c r="A6652" s="226" t="s">
        <v>18560</v>
      </c>
      <c r="B6652" s="28">
        <v>46080</v>
      </c>
      <c r="C6652" s="25">
        <v>1408</v>
      </c>
      <c r="D6652" s="13" t="s">
        <v>1666</v>
      </c>
      <c r="E6652" s="228"/>
      <c r="F6652" s="109" t="s">
        <v>4504</v>
      </c>
      <c r="G6652" s="24"/>
      <c r="H6652" s="230">
        <v>3</v>
      </c>
      <c r="I6652" s="220">
        <v>133000</v>
      </c>
      <c r="J6652" s="220">
        <f>I6652*0.1</f>
        <v>13300</v>
      </c>
      <c r="K6652" s="220">
        <v>0</v>
      </c>
      <c r="L6652" s="220">
        <v>9790</v>
      </c>
      <c r="M6652" s="220">
        <v>15400</v>
      </c>
      <c r="N6652" s="220">
        <f>SUM(I6652:M6653)</f>
        <v>171490</v>
      </c>
      <c r="O6652" s="224"/>
      <c r="P6652" s="110" t="s">
        <v>18901</v>
      </c>
      <c r="Q6652" s="15" t="s">
        <v>19</v>
      </c>
      <c r="R6652" s="205"/>
      <c r="S6652" s="189"/>
      <c r="T6652" s="114"/>
      <c r="U6652" s="21"/>
      <c r="V6652" s="115"/>
      <c r="W6652" s="116"/>
      <c r="X6652" s="220"/>
      <c r="Y6652" s="220">
        <f>X6652*0.1</f>
        <v>0</v>
      </c>
      <c r="Z6652" s="220"/>
      <c r="AA6652" s="220">
        <f>SUM(X6652:Z6652)</f>
        <v>0</v>
      </c>
      <c r="AB6652" s="222"/>
    </row>
    <row r="6653" spans="1:28" ht="17.100000000000001" customHeight="1" thickBot="1">
      <c r="A6653" s="227"/>
      <c r="B6653" s="27" t="s">
        <v>2597</v>
      </c>
      <c r="C6653" s="27">
        <v>9067</v>
      </c>
      <c r="D6653" s="14" t="s">
        <v>273</v>
      </c>
      <c r="E6653" s="229"/>
      <c r="F6653" s="117" t="s">
        <v>18580</v>
      </c>
      <c r="G6653" s="26">
        <v>140219</v>
      </c>
      <c r="H6653" s="231"/>
      <c r="I6653" s="221"/>
      <c r="J6653" s="221"/>
      <c r="K6653" s="221"/>
      <c r="L6653" s="221"/>
      <c r="M6653" s="221"/>
      <c r="N6653" s="221"/>
      <c r="O6653" s="225"/>
      <c r="P6653" s="118" t="s">
        <v>3772</v>
      </c>
      <c r="Q6653" s="16" t="s">
        <v>20</v>
      </c>
      <c r="R6653" s="17" t="s">
        <v>853</v>
      </c>
      <c r="S6653" s="121" t="s">
        <v>2405</v>
      </c>
      <c r="T6653" s="122"/>
      <c r="U6653" s="22"/>
      <c r="V6653" s="123"/>
      <c r="W6653" s="122"/>
      <c r="X6653" s="221"/>
      <c r="Y6653" s="221"/>
      <c r="Z6653" s="221"/>
      <c r="AA6653" s="221"/>
      <c r="AB6653" s="223"/>
    </row>
    <row r="6654" spans="1:28" ht="17.100000000000001" customHeight="1" thickTop="1">
      <c r="A6654" s="226" t="s">
        <v>18661</v>
      </c>
      <c r="B6654" s="28">
        <v>46081</v>
      </c>
      <c r="C6654" s="25">
        <v>1708</v>
      </c>
      <c r="D6654" s="13" t="s">
        <v>2324</v>
      </c>
      <c r="E6654" s="228"/>
      <c r="F6654" s="109" t="s">
        <v>16050</v>
      </c>
      <c r="G6654" s="24"/>
      <c r="H6654" s="230">
        <v>4.5</v>
      </c>
      <c r="I6654" s="220">
        <v>2490000</v>
      </c>
      <c r="J6654" s="220">
        <f>I6654*0.1</f>
        <v>249000</v>
      </c>
      <c r="K6654" s="220">
        <v>0</v>
      </c>
      <c r="L6654" s="220">
        <v>21570</v>
      </c>
      <c r="M6654" s="220">
        <v>16500</v>
      </c>
      <c r="N6654" s="220">
        <f>SUM(I6654:M6655)</f>
        <v>2777070</v>
      </c>
      <c r="O6654" s="224"/>
      <c r="P6654" s="110" t="s">
        <v>18965</v>
      </c>
      <c r="Q6654" s="15" t="s">
        <v>19</v>
      </c>
      <c r="R6654" s="205"/>
      <c r="S6654" s="189" t="s">
        <v>1312</v>
      </c>
      <c r="T6654" s="114"/>
      <c r="U6654" s="21"/>
      <c r="V6654" s="115">
        <v>46116</v>
      </c>
      <c r="W6654" s="116">
        <v>1295</v>
      </c>
      <c r="X6654" s="220">
        <v>2620000</v>
      </c>
      <c r="Y6654" s="220">
        <f>X6654*0.1</f>
        <v>262000</v>
      </c>
      <c r="Z6654" s="220">
        <v>21570</v>
      </c>
      <c r="AA6654" s="220">
        <f>SUM(X6654:Z6654)</f>
        <v>2903570</v>
      </c>
      <c r="AB6654" s="222">
        <v>46119</v>
      </c>
    </row>
    <row r="6655" spans="1:28" ht="17.100000000000001" customHeight="1" thickBot="1">
      <c r="A6655" s="227"/>
      <c r="B6655" s="27" t="s">
        <v>1842</v>
      </c>
      <c r="C6655" s="27">
        <v>548</v>
      </c>
      <c r="D6655" s="14" t="s">
        <v>131</v>
      </c>
      <c r="E6655" s="229"/>
      <c r="F6655" s="117" t="s">
        <v>18663</v>
      </c>
      <c r="G6655" s="26">
        <v>64771</v>
      </c>
      <c r="H6655" s="231"/>
      <c r="I6655" s="221"/>
      <c r="J6655" s="221"/>
      <c r="K6655" s="221"/>
      <c r="L6655" s="221"/>
      <c r="M6655" s="221"/>
      <c r="N6655" s="221"/>
      <c r="O6655" s="225"/>
      <c r="P6655" s="118" t="s">
        <v>18966</v>
      </c>
      <c r="Q6655" s="16" t="s">
        <v>20</v>
      </c>
      <c r="R6655" s="17" t="s">
        <v>18931</v>
      </c>
      <c r="S6655" s="121" t="s">
        <v>18964</v>
      </c>
      <c r="T6655" s="122"/>
      <c r="U6655" s="22"/>
      <c r="V6655" s="123" t="s">
        <v>2472</v>
      </c>
      <c r="W6655" s="122">
        <v>80076</v>
      </c>
      <c r="X6655" s="221"/>
      <c r="Y6655" s="221"/>
      <c r="Z6655" s="221"/>
      <c r="AA6655" s="221"/>
      <c r="AB6655" s="223"/>
    </row>
    <row r="6656" spans="1:28" ht="17.100000000000001" customHeight="1" thickTop="1">
      <c r="A6656" s="226" t="s">
        <v>18662</v>
      </c>
      <c r="B6656" s="28">
        <v>46081</v>
      </c>
      <c r="C6656" s="25">
        <v>1533</v>
      </c>
      <c r="D6656" s="13" t="s">
        <v>2324</v>
      </c>
      <c r="E6656" s="228"/>
      <c r="F6656" s="109" t="s">
        <v>1916</v>
      </c>
      <c r="G6656" s="24"/>
      <c r="H6656" s="230">
        <v>4</v>
      </c>
      <c r="I6656" s="220">
        <v>1460000</v>
      </c>
      <c r="J6656" s="220">
        <f>I6656*0.1</f>
        <v>146000</v>
      </c>
      <c r="K6656" s="220">
        <v>0</v>
      </c>
      <c r="L6656" s="220">
        <v>17600</v>
      </c>
      <c r="M6656" s="220">
        <v>16500</v>
      </c>
      <c r="N6656" s="220">
        <f>SUM(I6656:M6657)</f>
        <v>1640100</v>
      </c>
      <c r="O6656" s="224"/>
      <c r="P6656" s="110" t="s">
        <v>19002</v>
      </c>
      <c r="Q6656" s="15" t="s">
        <v>19</v>
      </c>
      <c r="R6656" s="205"/>
      <c r="S6656" s="189" t="s">
        <v>1271</v>
      </c>
      <c r="T6656" s="114"/>
      <c r="U6656" s="21"/>
      <c r="V6656" s="115">
        <v>46100</v>
      </c>
      <c r="W6656" s="116">
        <v>1323</v>
      </c>
      <c r="X6656" s="220">
        <v>1690000</v>
      </c>
      <c r="Y6656" s="220">
        <f>X6656*0.1</f>
        <v>169000</v>
      </c>
      <c r="Z6656" s="220">
        <v>17600</v>
      </c>
      <c r="AA6656" s="220">
        <f>SUM(X6656:Z6656)</f>
        <v>1876600</v>
      </c>
      <c r="AB6656" s="222">
        <v>46101</v>
      </c>
    </row>
    <row r="6657" spans="1:28" ht="17.100000000000001" customHeight="1" thickBot="1">
      <c r="A6657" s="227"/>
      <c r="B6657" s="27" t="s">
        <v>1547</v>
      </c>
      <c r="C6657" s="27">
        <v>83173</v>
      </c>
      <c r="D6657" s="14" t="s">
        <v>1584</v>
      </c>
      <c r="E6657" s="229"/>
      <c r="F6657" s="117" t="s">
        <v>18656</v>
      </c>
      <c r="G6657" s="26">
        <v>44736</v>
      </c>
      <c r="H6657" s="231"/>
      <c r="I6657" s="221"/>
      <c r="J6657" s="221"/>
      <c r="K6657" s="221"/>
      <c r="L6657" s="221"/>
      <c r="M6657" s="221"/>
      <c r="N6657" s="221"/>
      <c r="O6657" s="225"/>
      <c r="P6657" s="118" t="s">
        <v>2870</v>
      </c>
      <c r="Q6657" s="16" t="s">
        <v>20</v>
      </c>
      <c r="R6657" s="17" t="s">
        <v>2637</v>
      </c>
      <c r="S6657" s="121" t="s">
        <v>1731</v>
      </c>
      <c r="T6657" s="122"/>
      <c r="U6657" s="22"/>
      <c r="V6657" s="123" t="s">
        <v>1735</v>
      </c>
      <c r="W6657" s="122">
        <v>972</v>
      </c>
      <c r="X6657" s="221"/>
      <c r="Y6657" s="221"/>
      <c r="Z6657" s="221"/>
      <c r="AA6657" s="221"/>
      <c r="AB6657" s="223"/>
    </row>
    <row r="6658" spans="1:28" ht="17.100000000000001" customHeight="1" thickTop="1">
      <c r="A6658" s="226" t="s">
        <v>18679</v>
      </c>
      <c r="B6658" s="28">
        <v>46081</v>
      </c>
      <c r="C6658" s="25">
        <v>1290</v>
      </c>
      <c r="D6658" s="13" t="s">
        <v>2610</v>
      </c>
      <c r="E6658" s="228"/>
      <c r="F6658" s="109" t="s">
        <v>18619</v>
      </c>
      <c r="G6658" s="24" t="s">
        <v>9195</v>
      </c>
      <c r="H6658" s="230">
        <v>4</v>
      </c>
      <c r="I6658" s="220">
        <v>1010000</v>
      </c>
      <c r="J6658" s="220">
        <f>I6658*0.1</f>
        <v>101000</v>
      </c>
      <c r="K6658" s="220">
        <f>2200</f>
        <v>2200</v>
      </c>
      <c r="L6658" s="220">
        <v>9630</v>
      </c>
      <c r="M6658" s="220">
        <v>12100</v>
      </c>
      <c r="N6658" s="220">
        <f>SUM(I6658:M6659)</f>
        <v>1134930</v>
      </c>
      <c r="O6658" s="224"/>
      <c r="P6658" s="110" t="s">
        <v>18621</v>
      </c>
      <c r="Q6658" s="15" t="s">
        <v>19</v>
      </c>
      <c r="R6658" s="205"/>
      <c r="S6658" s="189" t="s">
        <v>758</v>
      </c>
      <c r="T6658" s="114"/>
      <c r="U6658" s="21" t="s">
        <v>20685</v>
      </c>
      <c r="V6658" s="115">
        <v>46141</v>
      </c>
      <c r="W6658" s="116">
        <v>1015</v>
      </c>
      <c r="X6658" s="220">
        <v>1100000</v>
      </c>
      <c r="Y6658" s="220">
        <f>X6658*0.1</f>
        <v>110000</v>
      </c>
      <c r="Z6658" s="220">
        <v>9630</v>
      </c>
      <c r="AA6658" s="220">
        <f>SUM(X6658:Z6658)</f>
        <v>1219630</v>
      </c>
      <c r="AB6658" s="222">
        <v>46156</v>
      </c>
    </row>
    <row r="6659" spans="1:28" ht="17.100000000000001" customHeight="1" thickBot="1">
      <c r="A6659" s="227"/>
      <c r="B6659" s="27" t="s">
        <v>2472</v>
      </c>
      <c r="C6659" s="27">
        <v>31201</v>
      </c>
      <c r="D6659" s="14" t="s">
        <v>2559</v>
      </c>
      <c r="E6659" s="229"/>
      <c r="F6659" s="117" t="s">
        <v>18620</v>
      </c>
      <c r="G6659" s="26">
        <v>36985</v>
      </c>
      <c r="H6659" s="231"/>
      <c r="I6659" s="221"/>
      <c r="J6659" s="221"/>
      <c r="K6659" s="221"/>
      <c r="L6659" s="221"/>
      <c r="M6659" s="221"/>
      <c r="N6659" s="221"/>
      <c r="O6659" s="225"/>
      <c r="P6659" s="118" t="s">
        <v>2870</v>
      </c>
      <c r="Q6659" s="16" t="s">
        <v>20</v>
      </c>
      <c r="R6659" s="17" t="s">
        <v>2637</v>
      </c>
      <c r="S6659" s="121" t="s">
        <v>2360</v>
      </c>
      <c r="T6659" s="122"/>
      <c r="U6659" s="22"/>
      <c r="V6659" s="123" t="s">
        <v>8648</v>
      </c>
      <c r="W6659" s="122">
        <v>6015</v>
      </c>
      <c r="X6659" s="221"/>
      <c r="Y6659" s="221"/>
      <c r="Z6659" s="221"/>
      <c r="AA6659" s="221"/>
      <c r="AB6659" s="223"/>
    </row>
    <row r="6660" spans="1:28" ht="17.100000000000001" customHeight="1" thickTop="1">
      <c r="A6660" s="226" t="s">
        <v>18680</v>
      </c>
      <c r="B6660" s="28">
        <v>46081</v>
      </c>
      <c r="C6660" s="25">
        <v>1290</v>
      </c>
      <c r="D6660" s="13" t="s">
        <v>3739</v>
      </c>
      <c r="E6660" s="228"/>
      <c r="F6660" s="109" t="s">
        <v>5002</v>
      </c>
      <c r="G6660" s="24" t="s">
        <v>10135</v>
      </c>
      <c r="H6660" s="230">
        <v>4</v>
      </c>
      <c r="I6660" s="220">
        <v>2900000</v>
      </c>
      <c r="J6660" s="220">
        <f>I6660*0.1</f>
        <v>290000</v>
      </c>
      <c r="K6660" s="220">
        <f>3600+360</f>
        <v>3960</v>
      </c>
      <c r="L6660" s="220">
        <v>14900</v>
      </c>
      <c r="M6660" s="220">
        <v>23100</v>
      </c>
      <c r="N6660" s="220">
        <f>SUM(I6660:M6661)</f>
        <v>3231960</v>
      </c>
      <c r="O6660" s="224"/>
      <c r="P6660" s="110" t="s">
        <v>18623</v>
      </c>
      <c r="Q6660" s="15" t="s">
        <v>19</v>
      </c>
      <c r="R6660" s="205"/>
      <c r="S6660" s="189" t="s">
        <v>758</v>
      </c>
      <c r="T6660" s="114"/>
      <c r="U6660" s="21" t="s">
        <v>19498</v>
      </c>
      <c r="V6660" s="115">
        <v>46099</v>
      </c>
      <c r="W6660" s="116">
        <v>1009</v>
      </c>
      <c r="X6660" s="220">
        <v>3100000</v>
      </c>
      <c r="Y6660" s="220">
        <f>X6660*0.1</f>
        <v>310000</v>
      </c>
      <c r="Z6660" s="220">
        <v>14900</v>
      </c>
      <c r="AA6660" s="220">
        <f>SUM(X6660:Z6660)</f>
        <v>3424900</v>
      </c>
      <c r="AB6660" s="222">
        <v>46106</v>
      </c>
    </row>
    <row r="6661" spans="1:28" ht="17.100000000000001" customHeight="1" thickBot="1">
      <c r="A6661" s="227"/>
      <c r="B6661" s="27" t="s">
        <v>2472</v>
      </c>
      <c r="C6661" s="27">
        <v>31269</v>
      </c>
      <c r="D6661" s="14" t="s">
        <v>273</v>
      </c>
      <c r="E6661" s="229"/>
      <c r="F6661" s="117" t="s">
        <v>18622</v>
      </c>
      <c r="G6661" s="26">
        <v>26425</v>
      </c>
      <c r="H6661" s="231"/>
      <c r="I6661" s="221"/>
      <c r="J6661" s="221"/>
      <c r="K6661" s="221"/>
      <c r="L6661" s="221"/>
      <c r="M6661" s="221"/>
      <c r="N6661" s="221"/>
      <c r="O6661" s="225"/>
      <c r="P6661" s="118" t="s">
        <v>19040</v>
      </c>
      <c r="Q6661" s="16" t="s">
        <v>20</v>
      </c>
      <c r="R6661" s="17" t="s">
        <v>2637</v>
      </c>
      <c r="S6661" s="121" t="s">
        <v>2312</v>
      </c>
      <c r="T6661" s="122"/>
      <c r="U6661" s="22"/>
      <c r="V6661" s="123" t="s">
        <v>7161</v>
      </c>
      <c r="W6661" s="122">
        <v>5076</v>
      </c>
      <c r="X6661" s="221"/>
      <c r="Y6661" s="221"/>
      <c r="Z6661" s="221"/>
      <c r="AA6661" s="221"/>
      <c r="AB6661" s="223"/>
    </row>
    <row r="6662" spans="1:28" ht="17.100000000000001" customHeight="1" thickTop="1">
      <c r="A6662" s="226" t="s">
        <v>18681</v>
      </c>
      <c r="B6662" s="28">
        <v>46081</v>
      </c>
      <c r="C6662" s="25">
        <v>1290</v>
      </c>
      <c r="D6662" s="13" t="s">
        <v>1746</v>
      </c>
      <c r="E6662" s="228"/>
      <c r="F6662" s="109" t="s">
        <v>18624</v>
      </c>
      <c r="G6662" s="24" t="s">
        <v>4120</v>
      </c>
      <c r="H6662" s="230">
        <v>4</v>
      </c>
      <c r="I6662" s="220">
        <v>600000</v>
      </c>
      <c r="J6662" s="220">
        <f>I6662*0.1</f>
        <v>60000</v>
      </c>
      <c r="K6662" s="220">
        <f>2800+280</f>
        <v>3080</v>
      </c>
      <c r="L6662" s="220">
        <v>9130</v>
      </c>
      <c r="M6662" s="220">
        <v>12100</v>
      </c>
      <c r="N6662" s="220">
        <f>SUM(I6662:M6663)</f>
        <v>684310</v>
      </c>
      <c r="O6662" s="224"/>
      <c r="P6662" s="110" t="s">
        <v>18626</v>
      </c>
      <c r="Q6662" s="15" t="s">
        <v>19</v>
      </c>
      <c r="R6662" s="205"/>
      <c r="S6662" s="189" t="s">
        <v>25826</v>
      </c>
      <c r="T6662" s="114"/>
      <c r="U6662" s="21"/>
      <c r="V6662" s="115">
        <v>46109</v>
      </c>
      <c r="W6662" s="116">
        <v>1294</v>
      </c>
      <c r="X6662" s="220">
        <v>600000</v>
      </c>
      <c r="Y6662" s="220">
        <f>X6662*0.1</f>
        <v>60000</v>
      </c>
      <c r="Z6662" s="220">
        <v>9130</v>
      </c>
      <c r="AA6662" s="220">
        <f>SUM(X6662:Z6662)</f>
        <v>669130</v>
      </c>
      <c r="AB6662" s="222">
        <v>46112</v>
      </c>
    </row>
    <row r="6663" spans="1:28" ht="17.100000000000001" customHeight="1" thickBot="1">
      <c r="A6663" s="227"/>
      <c r="B6663" s="27" t="s">
        <v>2472</v>
      </c>
      <c r="C6663" s="27">
        <v>35254</v>
      </c>
      <c r="D6663" s="14" t="s">
        <v>2559</v>
      </c>
      <c r="E6663" s="229"/>
      <c r="F6663" s="117" t="s">
        <v>18625</v>
      </c>
      <c r="G6663" s="26">
        <v>104390</v>
      </c>
      <c r="H6663" s="231"/>
      <c r="I6663" s="221"/>
      <c r="J6663" s="221"/>
      <c r="K6663" s="221"/>
      <c r="L6663" s="221"/>
      <c r="M6663" s="221"/>
      <c r="N6663" s="221"/>
      <c r="O6663" s="225"/>
      <c r="P6663" s="118" t="s">
        <v>19041</v>
      </c>
      <c r="Q6663" s="16" t="s">
        <v>20</v>
      </c>
      <c r="R6663" s="17" t="s">
        <v>2637</v>
      </c>
      <c r="S6663" s="121" t="s">
        <v>19042</v>
      </c>
      <c r="T6663" s="122"/>
      <c r="U6663" s="22"/>
      <c r="V6663" s="123" t="s">
        <v>21250</v>
      </c>
      <c r="W6663" s="122">
        <v>55061</v>
      </c>
      <c r="X6663" s="221"/>
      <c r="Y6663" s="221"/>
      <c r="Z6663" s="221"/>
      <c r="AA6663" s="221"/>
      <c r="AB6663" s="223"/>
    </row>
    <row r="6664" spans="1:28" ht="17.100000000000001" customHeight="1" thickTop="1">
      <c r="A6664" s="226" t="s">
        <v>18682</v>
      </c>
      <c r="B6664" s="28">
        <v>46081</v>
      </c>
      <c r="C6664" s="25">
        <v>1290</v>
      </c>
      <c r="D6664" s="13" t="s">
        <v>1961</v>
      </c>
      <c r="E6664" s="228"/>
      <c r="F6664" s="109" t="s">
        <v>18627</v>
      </c>
      <c r="G6664" s="24" t="s">
        <v>18629</v>
      </c>
      <c r="H6664" s="230">
        <v>4</v>
      </c>
      <c r="I6664" s="220">
        <v>585000</v>
      </c>
      <c r="J6664" s="220">
        <f>I6664*0.1</f>
        <v>58500</v>
      </c>
      <c r="K6664" s="220">
        <v>0</v>
      </c>
      <c r="L6664" s="220">
        <v>5870</v>
      </c>
      <c r="M6664" s="220">
        <v>12100</v>
      </c>
      <c r="N6664" s="220">
        <f>SUM(I6664:M6665)</f>
        <v>661470</v>
      </c>
      <c r="O6664" s="224"/>
      <c r="P6664" s="110" t="s">
        <v>18630</v>
      </c>
      <c r="Q6664" s="15" t="s">
        <v>19</v>
      </c>
      <c r="R6664" s="205"/>
      <c r="S6664" s="189"/>
      <c r="T6664" s="114"/>
      <c r="U6664" s="21" t="s">
        <v>19860</v>
      </c>
      <c r="V6664" s="115">
        <v>46092</v>
      </c>
      <c r="W6664" s="116">
        <v>1008</v>
      </c>
      <c r="X6664" s="220">
        <v>650000</v>
      </c>
      <c r="Y6664" s="220">
        <f>X6664*0.1</f>
        <v>65000</v>
      </c>
      <c r="Z6664" s="220">
        <v>5870</v>
      </c>
      <c r="AA6664" s="220">
        <f>SUM(X6664:Z6664)</f>
        <v>720870</v>
      </c>
      <c r="AB6664" s="222">
        <v>46100</v>
      </c>
    </row>
    <row r="6665" spans="1:28" ht="17.100000000000001" customHeight="1" thickBot="1">
      <c r="A6665" s="227"/>
      <c r="B6665" s="27" t="s">
        <v>2472</v>
      </c>
      <c r="C6665" s="27">
        <v>65114</v>
      </c>
      <c r="D6665" s="14" t="s">
        <v>273</v>
      </c>
      <c r="E6665" s="229"/>
      <c r="F6665" s="117" t="s">
        <v>18628</v>
      </c>
      <c r="G6665" s="26">
        <v>31258</v>
      </c>
      <c r="H6665" s="231"/>
      <c r="I6665" s="221"/>
      <c r="J6665" s="221"/>
      <c r="K6665" s="221"/>
      <c r="L6665" s="221"/>
      <c r="M6665" s="221"/>
      <c r="N6665" s="221"/>
      <c r="O6665" s="225"/>
      <c r="P6665" s="118" t="s">
        <v>19043</v>
      </c>
      <c r="Q6665" s="16" t="s">
        <v>20</v>
      </c>
      <c r="R6665" s="17" t="s">
        <v>2637</v>
      </c>
      <c r="S6665" s="121" t="s">
        <v>19044</v>
      </c>
      <c r="T6665" s="122"/>
      <c r="U6665" s="22"/>
      <c r="V6665" s="123" t="s">
        <v>7161</v>
      </c>
      <c r="W6665" s="122">
        <v>2020</v>
      </c>
      <c r="X6665" s="221"/>
      <c r="Y6665" s="221"/>
      <c r="Z6665" s="221"/>
      <c r="AA6665" s="221"/>
      <c r="AB6665" s="223"/>
    </row>
    <row r="6666" spans="1:28" ht="16.5" customHeight="1" thickTop="1">
      <c r="A6666" s="226" t="s">
        <v>18683</v>
      </c>
      <c r="B6666" s="28">
        <v>46081</v>
      </c>
      <c r="C6666" s="25">
        <v>1290</v>
      </c>
      <c r="D6666" s="13" t="s">
        <v>2441</v>
      </c>
      <c r="E6666" s="228"/>
      <c r="F6666" s="109" t="s">
        <v>3958</v>
      </c>
      <c r="G6666" s="24" t="s">
        <v>18644</v>
      </c>
      <c r="H6666" s="230">
        <v>6</v>
      </c>
      <c r="I6666" s="220">
        <v>1265000</v>
      </c>
      <c r="J6666" s="220">
        <f>I6666*0.1</f>
        <v>126500</v>
      </c>
      <c r="K6666" s="220">
        <v>0</v>
      </c>
      <c r="L6666" s="220">
        <v>8350</v>
      </c>
      <c r="M6666" s="220">
        <v>12100</v>
      </c>
      <c r="N6666" s="220">
        <f>SUM(I6666:M6667)</f>
        <v>1411950</v>
      </c>
      <c r="O6666" s="224"/>
      <c r="P6666" s="110" t="s">
        <v>18645</v>
      </c>
      <c r="Q6666" s="15" t="s">
        <v>19</v>
      </c>
      <c r="R6666" s="205"/>
      <c r="S6666" s="189" t="s">
        <v>758</v>
      </c>
      <c r="T6666" s="114"/>
      <c r="U6666" s="21" t="s">
        <v>19524</v>
      </c>
      <c r="V6666" s="115">
        <v>46091</v>
      </c>
      <c r="W6666" s="116">
        <v>1932</v>
      </c>
      <c r="X6666" s="220">
        <v>1285000</v>
      </c>
      <c r="Y6666" s="220">
        <f>X6666*0.1</f>
        <v>128500</v>
      </c>
      <c r="Z6666" s="220">
        <v>8350</v>
      </c>
      <c r="AA6666" s="220">
        <f>SUM(X6666:Z6666)</f>
        <v>1421850</v>
      </c>
      <c r="AB6666" s="222"/>
    </row>
    <row r="6667" spans="1:28" ht="17.100000000000001" customHeight="1" thickBot="1">
      <c r="A6667" s="227"/>
      <c r="B6667" s="27" t="s">
        <v>2472</v>
      </c>
      <c r="C6667" s="27">
        <v>65176</v>
      </c>
      <c r="D6667" s="14" t="s">
        <v>1548</v>
      </c>
      <c r="E6667" s="229"/>
      <c r="F6667" s="117" t="s">
        <v>18643</v>
      </c>
      <c r="G6667" s="26">
        <v>2882</v>
      </c>
      <c r="H6667" s="231"/>
      <c r="I6667" s="221"/>
      <c r="J6667" s="221"/>
      <c r="K6667" s="221"/>
      <c r="L6667" s="221"/>
      <c r="M6667" s="221"/>
      <c r="N6667" s="221"/>
      <c r="O6667" s="225"/>
      <c r="P6667" s="118" t="s">
        <v>8379</v>
      </c>
      <c r="Q6667" s="16" t="s">
        <v>20</v>
      </c>
      <c r="R6667" s="17" t="s">
        <v>2637</v>
      </c>
      <c r="S6667" s="121" t="s">
        <v>2360</v>
      </c>
      <c r="T6667" s="122"/>
      <c r="U6667" s="22"/>
      <c r="V6667" s="123" t="s">
        <v>2103</v>
      </c>
      <c r="W6667" s="122">
        <v>3173</v>
      </c>
      <c r="X6667" s="221"/>
      <c r="Y6667" s="221"/>
      <c r="Z6667" s="221"/>
      <c r="AA6667" s="221"/>
      <c r="AB6667" s="223"/>
    </row>
    <row r="6668" spans="1:28" ht="17.100000000000001" customHeight="1" thickTop="1">
      <c r="A6668" s="226" t="s">
        <v>18684</v>
      </c>
      <c r="B6668" s="28">
        <v>46081</v>
      </c>
      <c r="C6668" s="25">
        <v>1290</v>
      </c>
      <c r="D6668" s="13" t="s">
        <v>2324</v>
      </c>
      <c r="E6668" s="228"/>
      <c r="F6668" s="109" t="s">
        <v>18646</v>
      </c>
      <c r="G6668" s="24"/>
      <c r="H6668" s="230">
        <v>4.5</v>
      </c>
      <c r="I6668" s="220">
        <v>1020000</v>
      </c>
      <c r="J6668" s="220">
        <f>I6668*0.1</f>
        <v>102000</v>
      </c>
      <c r="K6668" s="220">
        <v>0</v>
      </c>
      <c r="L6668" s="220">
        <v>8790</v>
      </c>
      <c r="M6668" s="220">
        <v>12100</v>
      </c>
      <c r="N6668" s="220">
        <f>SUM(I6668:M6669)</f>
        <v>1142890</v>
      </c>
      <c r="O6668" s="224"/>
      <c r="P6668" s="110" t="s">
        <v>19031</v>
      </c>
      <c r="Q6668" s="15" t="s">
        <v>19</v>
      </c>
      <c r="R6668" s="205"/>
      <c r="S6668" s="189" t="s">
        <v>25827</v>
      </c>
      <c r="T6668" s="114"/>
      <c r="U6668" s="21"/>
      <c r="V6668" s="115">
        <v>46084</v>
      </c>
      <c r="W6668" s="116">
        <v>1931</v>
      </c>
      <c r="X6668" s="220">
        <v>1097000</v>
      </c>
      <c r="Y6668" s="220">
        <f>X6668*0.1</f>
        <v>109700</v>
      </c>
      <c r="Z6668" s="220">
        <v>8790</v>
      </c>
      <c r="AA6668" s="220">
        <f>SUM(X6668:Z6668)</f>
        <v>1215490</v>
      </c>
      <c r="AB6668" s="222">
        <v>46091</v>
      </c>
    </row>
    <row r="6669" spans="1:28" ht="17.100000000000001" customHeight="1" thickBot="1">
      <c r="A6669" s="227"/>
      <c r="B6669" s="27" t="s">
        <v>2472</v>
      </c>
      <c r="C6669" s="27">
        <v>65223</v>
      </c>
      <c r="D6669" s="14" t="s">
        <v>2559</v>
      </c>
      <c r="E6669" s="229"/>
      <c r="F6669" s="117" t="s">
        <v>18647</v>
      </c>
      <c r="G6669" s="26">
        <v>52984</v>
      </c>
      <c r="H6669" s="231"/>
      <c r="I6669" s="221"/>
      <c r="J6669" s="221"/>
      <c r="K6669" s="221"/>
      <c r="L6669" s="221"/>
      <c r="M6669" s="221"/>
      <c r="N6669" s="221"/>
      <c r="O6669" s="225"/>
      <c r="P6669" s="118" t="s">
        <v>10518</v>
      </c>
      <c r="Q6669" s="16" t="s">
        <v>20</v>
      </c>
      <c r="R6669" s="17" t="s">
        <v>2637</v>
      </c>
      <c r="S6669" s="121" t="s">
        <v>19032</v>
      </c>
      <c r="T6669" s="122"/>
      <c r="U6669" s="22"/>
      <c r="V6669" s="123" t="s">
        <v>2103</v>
      </c>
      <c r="W6669" s="122">
        <v>3161</v>
      </c>
      <c r="X6669" s="221"/>
      <c r="Y6669" s="221"/>
      <c r="Z6669" s="221"/>
      <c r="AA6669" s="221"/>
      <c r="AB6669" s="223"/>
    </row>
    <row r="6670" spans="1:28" ht="17.100000000000001" customHeight="1" thickTop="1">
      <c r="A6670" s="226" t="s">
        <v>18685</v>
      </c>
      <c r="B6670" s="28">
        <v>46081</v>
      </c>
      <c r="C6670" s="25">
        <v>1290</v>
      </c>
      <c r="D6670" s="13" t="s">
        <v>1531</v>
      </c>
      <c r="E6670" s="228"/>
      <c r="F6670" s="109" t="s">
        <v>5334</v>
      </c>
      <c r="G6670" s="24"/>
      <c r="H6670" s="230">
        <v>4</v>
      </c>
      <c r="I6670" s="220">
        <v>525000</v>
      </c>
      <c r="J6670" s="220">
        <f>I6670*0.1</f>
        <v>52500</v>
      </c>
      <c r="K6670" s="220">
        <v>0</v>
      </c>
      <c r="L6670" s="220">
        <v>7950</v>
      </c>
      <c r="M6670" s="220">
        <v>12100</v>
      </c>
      <c r="N6670" s="220">
        <f>SUM(I6670:M6671)</f>
        <v>597550</v>
      </c>
      <c r="O6670" s="224"/>
      <c r="P6670" s="110" t="s">
        <v>19045</v>
      </c>
      <c r="Q6670" s="15" t="s">
        <v>19</v>
      </c>
      <c r="R6670" s="205"/>
      <c r="S6670" s="189" t="s">
        <v>25617</v>
      </c>
      <c r="T6670" s="114"/>
      <c r="U6670" s="21"/>
      <c r="V6670" s="115">
        <v>46095</v>
      </c>
      <c r="W6670" s="116">
        <v>1292</v>
      </c>
      <c r="X6670" s="220">
        <v>610000</v>
      </c>
      <c r="Y6670" s="220">
        <f>X6670*0.1</f>
        <v>61000</v>
      </c>
      <c r="Z6670" s="220">
        <v>7950</v>
      </c>
      <c r="AA6670" s="220">
        <f>SUM(X6670:Z6670)</f>
        <v>678950</v>
      </c>
      <c r="AB6670" s="222">
        <v>46098</v>
      </c>
    </row>
    <row r="6671" spans="1:28" ht="17.100000000000001" customHeight="1" thickBot="1">
      <c r="A6671" s="227"/>
      <c r="B6671" s="27" t="s">
        <v>2472</v>
      </c>
      <c r="C6671" s="27">
        <v>65225</v>
      </c>
      <c r="D6671" s="14" t="s">
        <v>2559</v>
      </c>
      <c r="E6671" s="229"/>
      <c r="F6671" s="117" t="s">
        <v>18637</v>
      </c>
      <c r="G6671" s="26">
        <v>74372</v>
      </c>
      <c r="H6671" s="231"/>
      <c r="I6671" s="221"/>
      <c r="J6671" s="221"/>
      <c r="K6671" s="221"/>
      <c r="L6671" s="221"/>
      <c r="M6671" s="221"/>
      <c r="N6671" s="221"/>
      <c r="O6671" s="225"/>
      <c r="P6671" s="118" t="s">
        <v>2870</v>
      </c>
      <c r="Q6671" s="16" t="s">
        <v>20</v>
      </c>
      <c r="R6671" s="17" t="s">
        <v>2637</v>
      </c>
      <c r="S6671" s="121" t="s">
        <v>6827</v>
      </c>
      <c r="T6671" s="122"/>
      <c r="U6671" s="22"/>
      <c r="V6671" s="123" t="s">
        <v>2472</v>
      </c>
      <c r="W6671" s="122">
        <v>60143</v>
      </c>
      <c r="X6671" s="221"/>
      <c r="Y6671" s="221"/>
      <c r="Z6671" s="221"/>
      <c r="AA6671" s="221"/>
      <c r="AB6671" s="223"/>
    </row>
    <row r="6672" spans="1:28" ht="17.100000000000001" customHeight="1" thickTop="1">
      <c r="A6672" s="226" t="s">
        <v>18686</v>
      </c>
      <c r="B6672" s="28">
        <v>46081</v>
      </c>
      <c r="C6672" s="25">
        <v>1290</v>
      </c>
      <c r="D6672" s="13" t="s">
        <v>1678</v>
      </c>
      <c r="E6672" s="228"/>
      <c r="F6672" s="109" t="s">
        <v>4526</v>
      </c>
      <c r="G6672" s="24"/>
      <c r="H6672" s="230">
        <v>4.5</v>
      </c>
      <c r="I6672" s="220">
        <v>1020000</v>
      </c>
      <c r="J6672" s="220">
        <f>I6672*0.1</f>
        <v>102000</v>
      </c>
      <c r="K6672" s="220">
        <v>0</v>
      </c>
      <c r="L6672" s="220">
        <v>8200</v>
      </c>
      <c r="M6672" s="220">
        <v>12100</v>
      </c>
      <c r="N6672" s="220">
        <f>SUM(I6672:M6673)</f>
        <v>1142300</v>
      </c>
      <c r="O6672" s="224"/>
      <c r="P6672" s="110" t="s">
        <v>19033</v>
      </c>
      <c r="Q6672" s="15" t="s">
        <v>19</v>
      </c>
      <c r="R6672" s="205"/>
      <c r="S6672" s="189" t="s">
        <v>1271</v>
      </c>
      <c r="T6672" s="114"/>
      <c r="U6672" s="21"/>
      <c r="V6672" s="115">
        <v>46085</v>
      </c>
      <c r="W6672" s="116">
        <v>1007</v>
      </c>
      <c r="X6672" s="220">
        <v>1100000</v>
      </c>
      <c r="Y6672" s="220">
        <f>X6672*0.1</f>
        <v>110000</v>
      </c>
      <c r="Z6672" s="220">
        <v>8200</v>
      </c>
      <c r="AA6672" s="220">
        <f>SUM(X6672:Z6672)</f>
        <v>1218200</v>
      </c>
      <c r="AB6672" s="222">
        <v>46092</v>
      </c>
    </row>
    <row r="6673" spans="1:28" ht="17.100000000000001" customHeight="1" thickBot="1">
      <c r="A6673" s="227"/>
      <c r="B6673" s="27" t="s">
        <v>2472</v>
      </c>
      <c r="C6673" s="27">
        <v>65470</v>
      </c>
      <c r="D6673" s="14" t="s">
        <v>1568</v>
      </c>
      <c r="E6673" s="229"/>
      <c r="F6673" s="117" t="s">
        <v>18648</v>
      </c>
      <c r="G6673" s="26">
        <v>32792</v>
      </c>
      <c r="H6673" s="231"/>
      <c r="I6673" s="221"/>
      <c r="J6673" s="221"/>
      <c r="K6673" s="221"/>
      <c r="L6673" s="221"/>
      <c r="M6673" s="221"/>
      <c r="N6673" s="221"/>
      <c r="O6673" s="225"/>
      <c r="P6673" s="118" t="s">
        <v>19034</v>
      </c>
      <c r="Q6673" s="16" t="s">
        <v>20</v>
      </c>
      <c r="R6673" s="17" t="s">
        <v>2637</v>
      </c>
      <c r="S6673" s="121" t="s">
        <v>19035</v>
      </c>
      <c r="T6673" s="122"/>
      <c r="U6673" s="22"/>
      <c r="V6673" s="123" t="s">
        <v>7161</v>
      </c>
      <c r="W6673" s="122">
        <v>2081</v>
      </c>
      <c r="X6673" s="221"/>
      <c r="Y6673" s="221"/>
      <c r="Z6673" s="221"/>
      <c r="AA6673" s="221"/>
      <c r="AB6673" s="223"/>
    </row>
    <row r="6674" spans="1:28" ht="17.100000000000001" customHeight="1" thickTop="1">
      <c r="A6674" s="226" t="s">
        <v>18687</v>
      </c>
      <c r="B6674" s="28">
        <v>46081</v>
      </c>
      <c r="C6674" s="25">
        <v>1290</v>
      </c>
      <c r="D6674" s="13" t="s">
        <v>2422</v>
      </c>
      <c r="E6674" s="228"/>
      <c r="F6674" s="109" t="s">
        <v>18693</v>
      </c>
      <c r="G6674" s="24" t="s">
        <v>18694</v>
      </c>
      <c r="H6674" s="230">
        <v>4.5</v>
      </c>
      <c r="I6674" s="220">
        <v>2060000</v>
      </c>
      <c r="J6674" s="220">
        <f>I6674*0.1</f>
        <v>206000</v>
      </c>
      <c r="K6674" s="220">
        <f>3200+320</f>
        <v>3520</v>
      </c>
      <c r="L6674" s="220">
        <v>21090</v>
      </c>
      <c r="M6674" s="220">
        <v>16500</v>
      </c>
      <c r="N6674" s="220">
        <f>SUM(I6674:M6675)</f>
        <v>2307110</v>
      </c>
      <c r="O6674" s="224"/>
      <c r="P6674" s="110" t="s">
        <v>18695</v>
      </c>
      <c r="Q6674" s="15" t="s">
        <v>19</v>
      </c>
      <c r="R6674" s="205"/>
      <c r="S6674" s="189" t="s">
        <v>1271</v>
      </c>
      <c r="T6674" s="114"/>
      <c r="U6674" s="21" t="s">
        <v>19852</v>
      </c>
      <c r="V6674" s="115"/>
      <c r="W6674" s="116"/>
      <c r="X6674" s="220"/>
      <c r="Y6674" s="220">
        <f>X6674*0.1</f>
        <v>0</v>
      </c>
      <c r="Z6674" s="220"/>
      <c r="AA6674" s="220">
        <f>SUM(X6674:Z6674)</f>
        <v>0</v>
      </c>
      <c r="AB6674" s="222"/>
    </row>
    <row r="6675" spans="1:28" ht="17.100000000000001" customHeight="1" thickBot="1">
      <c r="A6675" s="227"/>
      <c r="B6675" s="27" t="s">
        <v>2472</v>
      </c>
      <c r="C6675" s="27">
        <v>80299</v>
      </c>
      <c r="D6675" s="14" t="s">
        <v>1710</v>
      </c>
      <c r="E6675" s="229"/>
      <c r="F6675" s="117" t="s">
        <v>22854</v>
      </c>
      <c r="G6675" s="26">
        <v>54643</v>
      </c>
      <c r="H6675" s="231"/>
      <c r="I6675" s="221"/>
      <c r="J6675" s="221"/>
      <c r="K6675" s="221"/>
      <c r="L6675" s="221"/>
      <c r="M6675" s="221"/>
      <c r="N6675" s="221"/>
      <c r="O6675" s="225"/>
      <c r="P6675" s="118" t="s">
        <v>2287</v>
      </c>
      <c r="Q6675" s="16" t="s">
        <v>20</v>
      </c>
      <c r="R6675" s="17" t="s">
        <v>2637</v>
      </c>
      <c r="S6675" s="121" t="s">
        <v>1731</v>
      </c>
      <c r="T6675" s="122"/>
      <c r="U6675" s="22"/>
      <c r="V6675" s="123"/>
      <c r="W6675" s="122"/>
      <c r="X6675" s="221"/>
      <c r="Y6675" s="221"/>
      <c r="Z6675" s="221"/>
      <c r="AA6675" s="221"/>
      <c r="AB6675" s="223"/>
    </row>
    <row r="6676" spans="1:28" ht="17.100000000000001" customHeight="1" thickTop="1">
      <c r="A6676" s="226" t="s">
        <v>18688</v>
      </c>
      <c r="B6676" s="28">
        <v>46081</v>
      </c>
      <c r="C6676" s="25">
        <v>1290</v>
      </c>
      <c r="D6676" s="13" t="s">
        <v>1883</v>
      </c>
      <c r="E6676" s="228"/>
      <c r="F6676" s="109" t="s">
        <v>1854</v>
      </c>
      <c r="G6676" s="24"/>
      <c r="H6676" s="230">
        <v>4</v>
      </c>
      <c r="I6676" s="220">
        <v>1400000</v>
      </c>
      <c r="J6676" s="220">
        <f>I6676*0.1</f>
        <v>140000</v>
      </c>
      <c r="K6676" s="220">
        <v>0</v>
      </c>
      <c r="L6676" s="220">
        <v>17600</v>
      </c>
      <c r="M6676" s="220">
        <v>16500</v>
      </c>
      <c r="N6676" s="220">
        <f>SUM(I6676:M6677)</f>
        <v>1574100</v>
      </c>
      <c r="O6676" s="224"/>
      <c r="P6676" s="110" t="s">
        <v>19038</v>
      </c>
      <c r="Q6676" s="15" t="s">
        <v>19</v>
      </c>
      <c r="R6676" s="205"/>
      <c r="S6676" s="189" t="s">
        <v>1361</v>
      </c>
      <c r="T6676" s="114"/>
      <c r="U6676" s="21"/>
      <c r="V6676" s="115">
        <v>46155</v>
      </c>
      <c r="W6676" s="116">
        <v>1016</v>
      </c>
      <c r="X6676" s="220">
        <v>1560000</v>
      </c>
      <c r="Y6676" s="220">
        <f>X6676*0.1</f>
        <v>156000</v>
      </c>
      <c r="Z6676" s="220">
        <v>17600</v>
      </c>
      <c r="AA6676" s="220">
        <f>SUM(X6676:Z6676)</f>
        <v>1733600</v>
      </c>
      <c r="AB6676" s="222">
        <v>46160</v>
      </c>
    </row>
    <row r="6677" spans="1:28" ht="17.100000000000001" customHeight="1" thickBot="1">
      <c r="A6677" s="227"/>
      <c r="B6677" s="27" t="s">
        <v>2472</v>
      </c>
      <c r="C6677" s="27">
        <v>81042</v>
      </c>
      <c r="D6677" s="14" t="s">
        <v>273</v>
      </c>
      <c r="E6677" s="229"/>
      <c r="F6677" s="117" t="s">
        <v>18631</v>
      </c>
      <c r="G6677" s="26">
        <v>44380</v>
      </c>
      <c r="H6677" s="231"/>
      <c r="I6677" s="221"/>
      <c r="J6677" s="221"/>
      <c r="K6677" s="221"/>
      <c r="L6677" s="221"/>
      <c r="M6677" s="221"/>
      <c r="N6677" s="221"/>
      <c r="O6677" s="225"/>
      <c r="P6677" s="118" t="s">
        <v>1586</v>
      </c>
      <c r="Q6677" s="16" t="s">
        <v>20</v>
      </c>
      <c r="R6677" s="17" t="s">
        <v>2637</v>
      </c>
      <c r="S6677" s="121" t="s">
        <v>4991</v>
      </c>
      <c r="T6677" s="122"/>
      <c r="U6677" s="22"/>
      <c r="V6677" s="123" t="s">
        <v>2747</v>
      </c>
      <c r="W6677" s="122">
        <v>6059</v>
      </c>
      <c r="X6677" s="221"/>
      <c r="Y6677" s="221"/>
      <c r="Z6677" s="221"/>
      <c r="AA6677" s="221"/>
      <c r="AB6677" s="223"/>
    </row>
    <row r="6678" spans="1:28" ht="17.100000000000001" customHeight="1" thickTop="1">
      <c r="A6678" s="226" t="s">
        <v>18689</v>
      </c>
      <c r="B6678" s="28">
        <v>46081</v>
      </c>
      <c r="C6678" s="25">
        <v>1290</v>
      </c>
      <c r="D6678" s="13" t="s">
        <v>2324</v>
      </c>
      <c r="E6678" s="228"/>
      <c r="F6678" s="109" t="s">
        <v>18649</v>
      </c>
      <c r="G6678" s="24"/>
      <c r="H6678" s="230">
        <v>4.5</v>
      </c>
      <c r="I6678" s="220">
        <v>2200000</v>
      </c>
      <c r="J6678" s="220">
        <f>I6678*0.1</f>
        <v>220000</v>
      </c>
      <c r="K6678" s="220">
        <v>0</v>
      </c>
      <c r="L6678" s="220">
        <v>19090</v>
      </c>
      <c r="M6678" s="220">
        <v>23100</v>
      </c>
      <c r="N6678" s="220">
        <f>SUM(I6678:M6679)</f>
        <v>2462190</v>
      </c>
      <c r="O6678" s="224"/>
      <c r="P6678" s="110" t="s">
        <v>19039</v>
      </c>
      <c r="Q6678" s="15" t="s">
        <v>19</v>
      </c>
      <c r="R6678" s="205"/>
      <c r="S6678" s="189" t="s">
        <v>1271</v>
      </c>
      <c r="T6678" s="114"/>
      <c r="U6678" s="21"/>
      <c r="V6678" s="115">
        <v>46088</v>
      </c>
      <c r="W6678" s="116">
        <v>1291</v>
      </c>
      <c r="X6678" s="220">
        <v>2345000</v>
      </c>
      <c r="Y6678" s="220">
        <f>X6678*0.1</f>
        <v>234500</v>
      </c>
      <c r="Z6678" s="220">
        <v>19090</v>
      </c>
      <c r="AA6678" s="220">
        <f>SUM(X6678:Z6678)</f>
        <v>2598590</v>
      </c>
      <c r="AB6678" s="222">
        <v>46091</v>
      </c>
    </row>
    <row r="6679" spans="1:28" ht="17.100000000000001" customHeight="1" thickBot="1">
      <c r="A6679" s="227"/>
      <c r="B6679" s="27" t="s">
        <v>2472</v>
      </c>
      <c r="C6679" s="27">
        <v>81043</v>
      </c>
      <c r="D6679" s="14" t="s">
        <v>1584</v>
      </c>
      <c r="E6679" s="229"/>
      <c r="F6679" s="117" t="s">
        <v>18650</v>
      </c>
      <c r="G6679" s="26">
        <v>60638</v>
      </c>
      <c r="H6679" s="231"/>
      <c r="I6679" s="221"/>
      <c r="J6679" s="221"/>
      <c r="K6679" s="221"/>
      <c r="L6679" s="221"/>
      <c r="M6679" s="221"/>
      <c r="N6679" s="221"/>
      <c r="O6679" s="225"/>
      <c r="P6679" s="118" t="s">
        <v>439</v>
      </c>
      <c r="Q6679" s="16" t="s">
        <v>20</v>
      </c>
      <c r="R6679" s="17" t="s">
        <v>2637</v>
      </c>
      <c r="S6679" s="121" t="s">
        <v>1731</v>
      </c>
      <c r="T6679" s="122"/>
      <c r="U6679" s="22"/>
      <c r="V6679" s="123" t="s">
        <v>2472</v>
      </c>
      <c r="W6679" s="122">
        <v>80060</v>
      </c>
      <c r="X6679" s="221"/>
      <c r="Y6679" s="221"/>
      <c r="Z6679" s="221"/>
      <c r="AA6679" s="221"/>
      <c r="AB6679" s="223"/>
    </row>
    <row r="6680" spans="1:28" ht="17.100000000000001" customHeight="1" thickTop="1">
      <c r="A6680" s="226" t="s">
        <v>18690</v>
      </c>
      <c r="B6680" s="28">
        <v>46081</v>
      </c>
      <c r="C6680" s="25">
        <v>1290</v>
      </c>
      <c r="D6680" s="13" t="s">
        <v>1961</v>
      </c>
      <c r="E6680" s="228"/>
      <c r="F6680" s="109" t="s">
        <v>18632</v>
      </c>
      <c r="G6680" s="24"/>
      <c r="H6680" s="230">
        <v>4.5</v>
      </c>
      <c r="I6680" s="220">
        <v>2215000</v>
      </c>
      <c r="J6680" s="220">
        <f>I6680*0.1</f>
        <v>221500</v>
      </c>
      <c r="K6680" s="220">
        <v>0</v>
      </c>
      <c r="L6680" s="220">
        <v>19180</v>
      </c>
      <c r="M6680" s="220">
        <v>16500</v>
      </c>
      <c r="N6680" s="220">
        <f>SUM(I6680:M6681)</f>
        <v>2472180</v>
      </c>
      <c r="O6680" s="224"/>
      <c r="P6680" s="110" t="s">
        <v>19036</v>
      </c>
      <c r="Q6680" s="15" t="s">
        <v>2945</v>
      </c>
      <c r="R6680" s="205"/>
      <c r="S6680" s="189" t="s">
        <v>1312</v>
      </c>
      <c r="T6680" s="114"/>
      <c r="U6680" s="21"/>
      <c r="V6680" s="115">
        <v>46088</v>
      </c>
      <c r="W6680" s="116">
        <v>1291</v>
      </c>
      <c r="X6680" s="220">
        <v>2330000</v>
      </c>
      <c r="Y6680" s="220">
        <f>X6680*0.1</f>
        <v>233000</v>
      </c>
      <c r="Z6680" s="220">
        <v>19180</v>
      </c>
      <c r="AA6680" s="220">
        <f>SUM(X6680:Z6680)</f>
        <v>2582180</v>
      </c>
      <c r="AB6680" s="222">
        <v>46091</v>
      </c>
    </row>
    <row r="6681" spans="1:28" ht="17.100000000000001" customHeight="1" thickBot="1">
      <c r="A6681" s="227"/>
      <c r="B6681" s="27" t="s">
        <v>2472</v>
      </c>
      <c r="C6681" s="27">
        <v>81084</v>
      </c>
      <c r="D6681" s="14" t="s">
        <v>1584</v>
      </c>
      <c r="E6681" s="229"/>
      <c r="F6681" s="117" t="s">
        <v>18633</v>
      </c>
      <c r="G6681" s="26">
        <v>49115</v>
      </c>
      <c r="H6681" s="231"/>
      <c r="I6681" s="221"/>
      <c r="J6681" s="221"/>
      <c r="K6681" s="221"/>
      <c r="L6681" s="221"/>
      <c r="M6681" s="221"/>
      <c r="N6681" s="221"/>
      <c r="O6681" s="225"/>
      <c r="P6681" s="118" t="s">
        <v>12426</v>
      </c>
      <c r="Q6681" s="16" t="s">
        <v>20</v>
      </c>
      <c r="R6681" s="17" t="s">
        <v>2637</v>
      </c>
      <c r="S6681" s="121" t="s">
        <v>2053</v>
      </c>
      <c r="T6681" s="122"/>
      <c r="U6681" s="22"/>
      <c r="V6681" s="123" t="s">
        <v>2472</v>
      </c>
      <c r="W6681" s="122">
        <v>80064</v>
      </c>
      <c r="X6681" s="221"/>
      <c r="Y6681" s="221"/>
      <c r="Z6681" s="221"/>
      <c r="AA6681" s="221"/>
      <c r="AB6681" s="223"/>
    </row>
    <row r="6682" spans="1:28" ht="17.100000000000001" customHeight="1" thickTop="1">
      <c r="A6682" s="226" t="s">
        <v>18691</v>
      </c>
      <c r="B6682" s="28">
        <v>46081</v>
      </c>
      <c r="C6682" s="25">
        <v>1290</v>
      </c>
      <c r="D6682" s="13" t="s">
        <v>2610</v>
      </c>
      <c r="E6682" s="228"/>
      <c r="F6682" s="109" t="s">
        <v>2678</v>
      </c>
      <c r="G6682" s="24" t="s">
        <v>18635</v>
      </c>
      <c r="H6682" s="230">
        <v>4</v>
      </c>
      <c r="I6682" s="220">
        <v>805000</v>
      </c>
      <c r="J6682" s="220">
        <f>I6682*0.1</f>
        <v>80500</v>
      </c>
      <c r="K6682" s="220">
        <v>3300</v>
      </c>
      <c r="L6682" s="220">
        <v>19090</v>
      </c>
      <c r="M6682" s="220">
        <v>16500</v>
      </c>
      <c r="N6682" s="220">
        <f>SUM(I6682:M6683)</f>
        <v>924390</v>
      </c>
      <c r="O6682" s="224"/>
      <c r="P6682" s="110" t="s">
        <v>18636</v>
      </c>
      <c r="Q6682" s="15" t="s">
        <v>19</v>
      </c>
      <c r="R6682" s="205"/>
      <c r="S6682" s="189" t="s">
        <v>25386</v>
      </c>
      <c r="T6682" s="114"/>
      <c r="U6682" s="21" t="s">
        <v>19298</v>
      </c>
      <c r="V6682" s="115">
        <v>46099</v>
      </c>
      <c r="W6682" s="116">
        <v>1009</v>
      </c>
      <c r="X6682" s="220">
        <v>960000</v>
      </c>
      <c r="Y6682" s="220">
        <f>X6682*0.1</f>
        <v>96000</v>
      </c>
      <c r="Z6682" s="220">
        <v>19090</v>
      </c>
      <c r="AA6682" s="220">
        <f>SUM(X6682:Z6682)</f>
        <v>1075090</v>
      </c>
      <c r="AB6682" s="222">
        <v>46105</v>
      </c>
    </row>
    <row r="6683" spans="1:28" ht="17.100000000000001" customHeight="1" thickBot="1">
      <c r="A6683" s="227"/>
      <c r="B6683" s="27" t="s">
        <v>2472</v>
      </c>
      <c r="C6683" s="27">
        <v>81100</v>
      </c>
      <c r="D6683" s="14" t="s">
        <v>273</v>
      </c>
      <c r="E6683" s="229"/>
      <c r="F6683" s="117" t="s">
        <v>18634</v>
      </c>
      <c r="G6683" s="26">
        <v>99883</v>
      </c>
      <c r="H6683" s="231"/>
      <c r="I6683" s="221"/>
      <c r="J6683" s="221"/>
      <c r="K6683" s="221"/>
      <c r="L6683" s="221"/>
      <c r="M6683" s="221"/>
      <c r="N6683" s="221"/>
      <c r="O6683" s="225"/>
      <c r="P6683" s="118" t="s">
        <v>1586</v>
      </c>
      <c r="Q6683" s="16" t="s">
        <v>20</v>
      </c>
      <c r="R6683" s="17" t="s">
        <v>2637</v>
      </c>
      <c r="S6683" s="121" t="s">
        <v>3311</v>
      </c>
      <c r="T6683" s="122"/>
      <c r="U6683" s="22"/>
      <c r="V6683" s="123" t="s">
        <v>2747</v>
      </c>
      <c r="W6683" s="122">
        <v>6125</v>
      </c>
      <c r="X6683" s="221"/>
      <c r="Y6683" s="221"/>
      <c r="Z6683" s="221"/>
      <c r="AA6683" s="221"/>
      <c r="AB6683" s="223"/>
    </row>
    <row r="6684" spans="1:28" ht="17.100000000000001" customHeight="1" thickTop="1">
      <c r="A6684" s="226" t="s">
        <v>18692</v>
      </c>
      <c r="B6684" s="28">
        <v>46081</v>
      </c>
      <c r="C6684" s="25">
        <v>1290</v>
      </c>
      <c r="D6684" s="13" t="s">
        <v>1715</v>
      </c>
      <c r="E6684" s="228"/>
      <c r="F6684" s="109" t="s">
        <v>18378</v>
      </c>
      <c r="G6684" s="24"/>
      <c r="H6684" s="230">
        <v>4.5</v>
      </c>
      <c r="I6684" s="220">
        <v>1685000</v>
      </c>
      <c r="J6684" s="220">
        <f>I6684*0.1</f>
        <v>168500</v>
      </c>
      <c r="K6684" s="220">
        <v>0</v>
      </c>
      <c r="L6684" s="220">
        <v>17820</v>
      </c>
      <c r="M6684" s="220">
        <v>16500</v>
      </c>
      <c r="N6684" s="220">
        <f>SUM(I6684:M6685)</f>
        <v>1887820</v>
      </c>
      <c r="O6684" s="224"/>
      <c r="P6684" s="110" t="s">
        <v>19037</v>
      </c>
      <c r="Q6684" s="15" t="s">
        <v>19</v>
      </c>
      <c r="R6684" s="205"/>
      <c r="S6684" s="189" t="s">
        <v>1361</v>
      </c>
      <c r="T6684" s="114"/>
      <c r="U6684" s="21"/>
      <c r="V6684" s="115">
        <v>46095</v>
      </c>
      <c r="W6684" s="116"/>
      <c r="X6684" s="220">
        <v>1990000</v>
      </c>
      <c r="Y6684" s="220">
        <f>X6684*0.1</f>
        <v>199000</v>
      </c>
      <c r="Z6684" s="220">
        <v>17820</v>
      </c>
      <c r="AA6684" s="220">
        <f>SUM(X6684:Z6684)</f>
        <v>2206820</v>
      </c>
      <c r="AB6684" s="222"/>
    </row>
    <row r="6685" spans="1:28" ht="17.100000000000001" customHeight="1" thickBot="1">
      <c r="A6685" s="227"/>
      <c r="B6685" s="27" t="s">
        <v>2472</v>
      </c>
      <c r="C6685" s="27">
        <v>82250</v>
      </c>
      <c r="D6685" s="14" t="s">
        <v>54</v>
      </c>
      <c r="E6685" s="229"/>
      <c r="F6685" s="117" t="s">
        <v>18651</v>
      </c>
      <c r="G6685" s="26">
        <v>65568</v>
      </c>
      <c r="H6685" s="231"/>
      <c r="I6685" s="221"/>
      <c r="J6685" s="221"/>
      <c r="K6685" s="221"/>
      <c r="L6685" s="221"/>
      <c r="M6685" s="221"/>
      <c r="N6685" s="221"/>
      <c r="O6685" s="225"/>
      <c r="P6685" s="118" t="s">
        <v>1844</v>
      </c>
      <c r="Q6685" s="16" t="s">
        <v>20</v>
      </c>
      <c r="R6685" s="17" t="s">
        <v>2637</v>
      </c>
      <c r="S6685" s="121" t="s">
        <v>11665</v>
      </c>
      <c r="T6685" s="122"/>
      <c r="U6685" s="22"/>
      <c r="V6685" s="123" t="s">
        <v>6682</v>
      </c>
      <c r="W6685" s="122">
        <v>52525</v>
      </c>
      <c r="X6685" s="221"/>
      <c r="Y6685" s="221"/>
      <c r="Z6685" s="221"/>
      <c r="AA6685" s="221"/>
      <c r="AB6685" s="223"/>
    </row>
    <row r="6686" spans="1:28" ht="17.100000000000001" customHeight="1" thickTop="1">
      <c r="A6686" s="226" t="s">
        <v>18714</v>
      </c>
      <c r="B6686" s="28">
        <v>46083</v>
      </c>
      <c r="C6686" s="25"/>
      <c r="D6686" s="13" t="s">
        <v>1632</v>
      </c>
      <c r="E6686" s="228"/>
      <c r="F6686" s="109" t="s">
        <v>1916</v>
      </c>
      <c r="G6686" s="24"/>
      <c r="H6686" s="230">
        <v>5</v>
      </c>
      <c r="I6686" s="220">
        <v>941000</v>
      </c>
      <c r="J6686" s="220">
        <f>I6686*0.1</f>
        <v>94100</v>
      </c>
      <c r="K6686" s="220">
        <v>0</v>
      </c>
      <c r="L6686" s="220">
        <v>18960</v>
      </c>
      <c r="M6686" s="220">
        <v>14850</v>
      </c>
      <c r="N6686" s="220">
        <f>SUM(I6686:M6687)</f>
        <v>1068910</v>
      </c>
      <c r="O6686" s="224"/>
      <c r="P6686" s="110" t="s">
        <v>18962</v>
      </c>
      <c r="Q6686" s="15" t="s">
        <v>19</v>
      </c>
      <c r="R6686" s="205"/>
      <c r="S6686" s="189" t="s">
        <v>758</v>
      </c>
      <c r="T6686" s="114"/>
      <c r="U6686" s="21"/>
      <c r="V6686" s="115">
        <v>46088</v>
      </c>
      <c r="W6686" s="116">
        <v>1709</v>
      </c>
      <c r="X6686" s="220">
        <v>1115000</v>
      </c>
      <c r="Y6686" s="220">
        <f>X6686*0.1</f>
        <v>111500</v>
      </c>
      <c r="Z6686" s="220">
        <v>18960</v>
      </c>
      <c r="AA6686" s="220">
        <f>SUM(X6686:Z6686)</f>
        <v>1245460</v>
      </c>
      <c r="AB6686" s="222">
        <v>46089</v>
      </c>
    </row>
    <row r="6687" spans="1:28" ht="17.100000000000001" customHeight="1" thickBot="1">
      <c r="A6687" s="227"/>
      <c r="B6687" s="27" t="s">
        <v>9764</v>
      </c>
      <c r="C6687" s="27">
        <v>10027</v>
      </c>
      <c r="D6687" s="14" t="s">
        <v>1568</v>
      </c>
      <c r="E6687" s="229"/>
      <c r="F6687" s="117" t="s">
        <v>18696</v>
      </c>
      <c r="G6687" s="26">
        <v>10965</v>
      </c>
      <c r="H6687" s="231"/>
      <c r="I6687" s="221"/>
      <c r="J6687" s="221"/>
      <c r="K6687" s="221"/>
      <c r="L6687" s="221"/>
      <c r="M6687" s="221"/>
      <c r="N6687" s="221"/>
      <c r="O6687" s="225"/>
      <c r="P6687" s="118" t="s">
        <v>18963</v>
      </c>
      <c r="Q6687" s="16" t="s">
        <v>20</v>
      </c>
      <c r="R6687" s="17" t="s">
        <v>18931</v>
      </c>
      <c r="S6687" s="121" t="s">
        <v>18964</v>
      </c>
      <c r="T6687" s="122"/>
      <c r="U6687" s="22"/>
      <c r="V6687" s="123" t="s">
        <v>1842</v>
      </c>
      <c r="W6687" s="122">
        <v>560</v>
      </c>
      <c r="X6687" s="221"/>
      <c r="Y6687" s="221"/>
      <c r="Z6687" s="221"/>
      <c r="AA6687" s="221"/>
      <c r="AB6687" s="223"/>
    </row>
    <row r="6688" spans="1:28" ht="17.100000000000001" customHeight="1" thickTop="1">
      <c r="A6688" s="226" t="s">
        <v>18715</v>
      </c>
      <c r="B6688" s="28">
        <v>46083</v>
      </c>
      <c r="C6688" s="25"/>
      <c r="D6688" s="13" t="s">
        <v>2295</v>
      </c>
      <c r="E6688" s="228"/>
      <c r="F6688" s="109" t="s">
        <v>18697</v>
      </c>
      <c r="G6688" s="24"/>
      <c r="H6688" s="230">
        <v>4</v>
      </c>
      <c r="I6688" s="220">
        <v>1832000</v>
      </c>
      <c r="J6688" s="220">
        <f>I6688*0.1</f>
        <v>183200</v>
      </c>
      <c r="K6688" s="220">
        <v>0</v>
      </c>
      <c r="L6688" s="220">
        <v>18100</v>
      </c>
      <c r="M6688" s="220">
        <v>14850</v>
      </c>
      <c r="N6688" s="220">
        <f>SUM(I6688:M6689)</f>
        <v>2048150</v>
      </c>
      <c r="O6688" s="224"/>
      <c r="P6688" s="110" t="s">
        <v>18990</v>
      </c>
      <c r="Q6688" s="15" t="s">
        <v>19</v>
      </c>
      <c r="R6688" s="205"/>
      <c r="S6688" s="189"/>
      <c r="T6688" s="114"/>
      <c r="U6688" s="21"/>
      <c r="V6688" s="115">
        <v>46095</v>
      </c>
      <c r="W6688" s="116">
        <v>1292</v>
      </c>
      <c r="X6688" s="220">
        <v>1975000</v>
      </c>
      <c r="Y6688" s="220">
        <f>X6688*0.1</f>
        <v>197500</v>
      </c>
      <c r="Z6688" s="220">
        <v>18100</v>
      </c>
      <c r="AA6688" s="220">
        <f>SUM(X6688:Z6688)</f>
        <v>2190600</v>
      </c>
      <c r="AB6688" s="222">
        <v>46098</v>
      </c>
    </row>
    <row r="6689" spans="1:28" ht="17.100000000000001" customHeight="1" thickBot="1">
      <c r="A6689" s="227"/>
      <c r="B6689" s="27" t="s">
        <v>4777</v>
      </c>
      <c r="C6689" s="27">
        <v>50013</v>
      </c>
      <c r="D6689" s="14" t="s">
        <v>1584</v>
      </c>
      <c r="E6689" s="229"/>
      <c r="F6689" s="117" t="s">
        <v>18989</v>
      </c>
      <c r="G6689" s="26">
        <v>22968</v>
      </c>
      <c r="H6689" s="231"/>
      <c r="I6689" s="221"/>
      <c r="J6689" s="221"/>
      <c r="K6689" s="221"/>
      <c r="L6689" s="221"/>
      <c r="M6689" s="221"/>
      <c r="N6689" s="221"/>
      <c r="O6689" s="225"/>
      <c r="P6689" s="118" t="s">
        <v>18991</v>
      </c>
      <c r="Q6689" s="16" t="s">
        <v>20</v>
      </c>
      <c r="R6689" s="17" t="s">
        <v>2637</v>
      </c>
      <c r="S6689" s="121" t="s">
        <v>7720</v>
      </c>
      <c r="T6689" s="122"/>
      <c r="U6689" s="22"/>
      <c r="V6689" s="123" t="s">
        <v>2472</v>
      </c>
      <c r="W6689" s="122">
        <v>80100</v>
      </c>
      <c r="X6689" s="221"/>
      <c r="Y6689" s="221"/>
      <c r="Z6689" s="221"/>
      <c r="AA6689" s="221"/>
      <c r="AB6689" s="223"/>
    </row>
    <row r="6690" spans="1:28" ht="17.100000000000001" customHeight="1" thickTop="1">
      <c r="A6690" s="226" t="s">
        <v>18716</v>
      </c>
      <c r="B6690" s="28">
        <v>46083</v>
      </c>
      <c r="C6690" s="25"/>
      <c r="D6690" s="13" t="s">
        <v>1829</v>
      </c>
      <c r="E6690" s="228"/>
      <c r="F6690" s="109" t="s">
        <v>18698</v>
      </c>
      <c r="G6690" s="24" t="s">
        <v>4315</v>
      </c>
      <c r="H6690" s="230">
        <v>4</v>
      </c>
      <c r="I6690" s="220">
        <v>1570000</v>
      </c>
      <c r="J6690" s="220">
        <f>I6690*0.1</f>
        <v>157000</v>
      </c>
      <c r="K6690" s="220">
        <v>30500</v>
      </c>
      <c r="L6690" s="220">
        <v>17800</v>
      </c>
      <c r="M6690" s="220">
        <v>14850</v>
      </c>
      <c r="N6690" s="220">
        <f>SUM(I6690:M6691)</f>
        <v>1790150</v>
      </c>
      <c r="O6690" s="224"/>
      <c r="P6690" s="110" t="s">
        <v>18699</v>
      </c>
      <c r="Q6690" s="15" t="s">
        <v>19</v>
      </c>
      <c r="R6690" s="205"/>
      <c r="S6690" s="189" t="s">
        <v>1422</v>
      </c>
      <c r="T6690" s="114"/>
      <c r="U6690" s="21"/>
      <c r="V6690" s="115">
        <v>46113</v>
      </c>
      <c r="W6690" s="116">
        <v>1011</v>
      </c>
      <c r="X6690" s="220">
        <v>1680000</v>
      </c>
      <c r="Y6690" s="220">
        <f>X6690*0.1</f>
        <v>168000</v>
      </c>
      <c r="Z6690" s="220">
        <v>17800</v>
      </c>
      <c r="AA6690" s="220">
        <f>SUM(X6690:Z6690)</f>
        <v>1865800</v>
      </c>
      <c r="AB6690" s="222">
        <v>46119</v>
      </c>
    </row>
    <row r="6691" spans="1:28" ht="17.100000000000001" customHeight="1" thickBot="1">
      <c r="A6691" s="227"/>
      <c r="B6691" s="27" t="s">
        <v>4777</v>
      </c>
      <c r="C6691" s="27">
        <v>50074</v>
      </c>
      <c r="D6691" s="14" t="s">
        <v>1584</v>
      </c>
      <c r="E6691" s="229"/>
      <c r="F6691" s="117" t="s">
        <v>18992</v>
      </c>
      <c r="G6691" s="26">
        <v>27438</v>
      </c>
      <c r="H6691" s="231"/>
      <c r="I6691" s="221"/>
      <c r="J6691" s="221"/>
      <c r="K6691" s="221"/>
      <c r="L6691" s="221"/>
      <c r="M6691" s="221"/>
      <c r="N6691" s="221"/>
      <c r="O6691" s="225"/>
      <c r="P6691" s="118" t="s">
        <v>4094</v>
      </c>
      <c r="Q6691" s="16" t="s">
        <v>20</v>
      </c>
      <c r="R6691" s="17" t="s">
        <v>2637</v>
      </c>
      <c r="S6691" s="121" t="s">
        <v>4503</v>
      </c>
      <c r="T6691" s="122"/>
      <c r="U6691" s="22"/>
      <c r="V6691" s="123" t="s">
        <v>21385</v>
      </c>
      <c r="W6691" s="122">
        <v>6094</v>
      </c>
      <c r="X6691" s="221"/>
      <c r="Y6691" s="221"/>
      <c r="Z6691" s="221"/>
      <c r="AA6691" s="221"/>
      <c r="AB6691" s="223"/>
    </row>
    <row r="6692" spans="1:28" ht="17.100000000000001" customHeight="1" thickTop="1">
      <c r="A6692" s="226" t="s">
        <v>18717</v>
      </c>
      <c r="B6692" s="28">
        <v>46083</v>
      </c>
      <c r="C6692" s="25"/>
      <c r="D6692" s="13" t="s">
        <v>2866</v>
      </c>
      <c r="E6692" s="228"/>
      <c r="F6692" s="109" t="s">
        <v>18712</v>
      </c>
      <c r="G6692" s="24"/>
      <c r="H6692" s="230">
        <v>4</v>
      </c>
      <c r="I6692" s="220">
        <v>1729000</v>
      </c>
      <c r="J6692" s="220">
        <f>I6692*0.1</f>
        <v>172900</v>
      </c>
      <c r="K6692" s="220">
        <v>0</v>
      </c>
      <c r="L6692" s="220">
        <v>19090</v>
      </c>
      <c r="M6692" s="220">
        <v>14850</v>
      </c>
      <c r="N6692" s="220">
        <f>SUM(I6692:M6693)</f>
        <v>1935840</v>
      </c>
      <c r="O6692" s="224"/>
      <c r="P6692" s="110" t="s">
        <v>19267</v>
      </c>
      <c r="Q6692" s="15" t="s">
        <v>19</v>
      </c>
      <c r="R6692" s="205"/>
      <c r="S6692" s="189"/>
      <c r="T6692" s="114"/>
      <c r="U6692" s="21"/>
      <c r="V6692" s="115">
        <v>46095</v>
      </c>
      <c r="W6692" s="116">
        <v>1292</v>
      </c>
      <c r="X6692" s="220">
        <v>1880000</v>
      </c>
      <c r="Y6692" s="220">
        <f>X6692*0.1</f>
        <v>188000</v>
      </c>
      <c r="Z6692" s="220">
        <v>19090</v>
      </c>
      <c r="AA6692" s="220">
        <f>SUM(X6692:Z6692)</f>
        <v>2087090</v>
      </c>
      <c r="AB6692" s="222">
        <v>46100</v>
      </c>
    </row>
    <row r="6693" spans="1:28" ht="17.100000000000001" customHeight="1" thickBot="1">
      <c r="A6693" s="227"/>
      <c r="B6693" s="27" t="s">
        <v>2727</v>
      </c>
      <c r="C6693" s="27">
        <v>80265</v>
      </c>
      <c r="D6693" s="14" t="s">
        <v>11866</v>
      </c>
      <c r="E6693" s="229"/>
      <c r="F6693" s="117" t="s">
        <v>19266</v>
      </c>
      <c r="G6693" s="26">
        <v>44670</v>
      </c>
      <c r="H6693" s="231"/>
      <c r="I6693" s="221"/>
      <c r="J6693" s="221"/>
      <c r="K6693" s="221"/>
      <c r="L6693" s="221"/>
      <c r="M6693" s="221"/>
      <c r="N6693" s="221"/>
      <c r="O6693" s="225"/>
      <c r="P6693" s="118" t="s">
        <v>9716</v>
      </c>
      <c r="Q6693" s="16" t="s">
        <v>20</v>
      </c>
      <c r="R6693" s="17" t="s">
        <v>2964</v>
      </c>
      <c r="S6693" s="121" t="s">
        <v>18981</v>
      </c>
      <c r="T6693" s="122"/>
      <c r="U6693" s="22"/>
      <c r="V6693" s="123" t="s">
        <v>6641</v>
      </c>
      <c r="W6693" s="122">
        <v>80181</v>
      </c>
      <c r="X6693" s="221"/>
      <c r="Y6693" s="221"/>
      <c r="Z6693" s="221"/>
      <c r="AA6693" s="221"/>
      <c r="AB6693" s="223"/>
    </row>
    <row r="6694" spans="1:28" ht="17.100000000000001" customHeight="1" thickTop="1">
      <c r="A6694" s="226" t="s">
        <v>18718</v>
      </c>
      <c r="B6694" s="28">
        <v>46083</v>
      </c>
      <c r="C6694" s="25">
        <v>2083</v>
      </c>
      <c r="D6694" s="13" t="s">
        <v>3739</v>
      </c>
      <c r="E6694" s="228"/>
      <c r="F6694" s="109" t="s">
        <v>18700</v>
      </c>
      <c r="G6694" s="24" t="s">
        <v>3867</v>
      </c>
      <c r="H6694" s="230">
        <v>4.5</v>
      </c>
      <c r="I6694" s="220">
        <v>2445000</v>
      </c>
      <c r="J6694" s="220">
        <f>I6694*0.1</f>
        <v>244500</v>
      </c>
      <c r="K6694" s="220">
        <v>36000</v>
      </c>
      <c r="L6694" s="220">
        <v>19560</v>
      </c>
      <c r="M6694" s="220">
        <v>11000</v>
      </c>
      <c r="N6694" s="220">
        <f>SUM(I6694:M6695)</f>
        <v>2756060</v>
      </c>
      <c r="O6694" s="224"/>
      <c r="P6694" s="110" t="s">
        <v>18702</v>
      </c>
      <c r="Q6694" s="15" t="s">
        <v>19</v>
      </c>
      <c r="R6694" s="205"/>
      <c r="S6694" s="189" t="s">
        <v>1361</v>
      </c>
      <c r="T6694" s="114"/>
      <c r="U6694" s="21"/>
      <c r="V6694" s="115">
        <v>46088</v>
      </c>
      <c r="W6694" s="116">
        <v>1291</v>
      </c>
      <c r="X6694" s="220">
        <v>2590000</v>
      </c>
      <c r="Y6694" s="220">
        <f>X6694*0.1</f>
        <v>259000</v>
      </c>
      <c r="Z6694" s="220">
        <v>19560</v>
      </c>
      <c r="AA6694" s="220">
        <f>SUM(X6694:Z6694)</f>
        <v>2868560</v>
      </c>
      <c r="AB6694" s="222">
        <v>46091</v>
      </c>
    </row>
    <row r="6695" spans="1:28" ht="17.100000000000001" customHeight="1" thickBot="1">
      <c r="A6695" s="227"/>
      <c r="B6695" s="27" t="s">
        <v>82</v>
      </c>
      <c r="C6695" s="27">
        <v>33507</v>
      </c>
      <c r="D6695" s="14" t="s">
        <v>1584</v>
      </c>
      <c r="E6695" s="229"/>
      <c r="F6695" s="117" t="s">
        <v>18701</v>
      </c>
      <c r="G6695" s="26">
        <v>41991</v>
      </c>
      <c r="H6695" s="231"/>
      <c r="I6695" s="221"/>
      <c r="J6695" s="221"/>
      <c r="K6695" s="221"/>
      <c r="L6695" s="221"/>
      <c r="M6695" s="221"/>
      <c r="N6695" s="221"/>
      <c r="O6695" s="225"/>
      <c r="P6695" s="118" t="s">
        <v>18967</v>
      </c>
      <c r="Q6695" s="16" t="s">
        <v>20</v>
      </c>
      <c r="R6695" s="17" t="s">
        <v>18931</v>
      </c>
      <c r="S6695" s="121" t="s">
        <v>18985</v>
      </c>
      <c r="T6695" s="122"/>
      <c r="U6695" s="22"/>
      <c r="V6695" s="123" t="s">
        <v>2472</v>
      </c>
      <c r="W6695" s="122">
        <v>80336</v>
      </c>
      <c r="X6695" s="221"/>
      <c r="Y6695" s="221"/>
      <c r="Z6695" s="221"/>
      <c r="AA6695" s="221"/>
      <c r="AB6695" s="223"/>
    </row>
    <row r="6696" spans="1:28" ht="17.100000000000001" customHeight="1" thickTop="1">
      <c r="A6696" s="226" t="s">
        <v>18719</v>
      </c>
      <c r="B6696" s="28">
        <v>46083</v>
      </c>
      <c r="C6696" s="25">
        <v>2083</v>
      </c>
      <c r="D6696" s="13" t="s">
        <v>2422</v>
      </c>
      <c r="E6696" s="228"/>
      <c r="F6696" s="109" t="s">
        <v>7190</v>
      </c>
      <c r="G6696" s="24" t="s">
        <v>4025</v>
      </c>
      <c r="H6696" s="230">
        <v>4.5</v>
      </c>
      <c r="I6696" s="220">
        <v>530000</v>
      </c>
      <c r="J6696" s="220">
        <f>I6696*0.1</f>
        <v>53000</v>
      </c>
      <c r="K6696" s="220">
        <v>34500</v>
      </c>
      <c r="L6696" s="220">
        <v>17700</v>
      </c>
      <c r="M6696" s="220">
        <v>11000</v>
      </c>
      <c r="N6696" s="220">
        <f>SUM(I6696:M6697)</f>
        <v>646200</v>
      </c>
      <c r="O6696" s="224"/>
      <c r="P6696" s="110" t="s">
        <v>18704</v>
      </c>
      <c r="Q6696" s="15" t="s">
        <v>19</v>
      </c>
      <c r="R6696" s="205"/>
      <c r="S6696" s="189"/>
      <c r="T6696" s="114"/>
      <c r="U6696" s="21"/>
      <c r="V6696" s="115">
        <v>46095</v>
      </c>
      <c r="W6696" s="116">
        <v>1292</v>
      </c>
      <c r="X6696" s="220">
        <v>795000</v>
      </c>
      <c r="Y6696" s="220">
        <f>X6696*0.1</f>
        <v>79500</v>
      </c>
      <c r="Z6696" s="220">
        <v>17700</v>
      </c>
      <c r="AA6696" s="220">
        <f>SUM(X6696:Z6696)</f>
        <v>892200</v>
      </c>
      <c r="AB6696" s="222">
        <v>46098</v>
      </c>
    </row>
    <row r="6697" spans="1:28" ht="17.100000000000001" customHeight="1" thickBot="1">
      <c r="A6697" s="227"/>
      <c r="B6697" s="27" t="s">
        <v>82</v>
      </c>
      <c r="C6697" s="27">
        <v>34516</v>
      </c>
      <c r="D6697" s="14" t="s">
        <v>1548</v>
      </c>
      <c r="E6697" s="229"/>
      <c r="F6697" s="117" t="s">
        <v>18703</v>
      </c>
      <c r="G6697" s="26">
        <v>39356</v>
      </c>
      <c r="H6697" s="231"/>
      <c r="I6697" s="221"/>
      <c r="J6697" s="221"/>
      <c r="K6697" s="221"/>
      <c r="L6697" s="221"/>
      <c r="M6697" s="221"/>
      <c r="N6697" s="221"/>
      <c r="O6697" s="225"/>
      <c r="P6697" s="118" t="s">
        <v>18864</v>
      </c>
      <c r="Q6697" s="16" t="s">
        <v>20</v>
      </c>
      <c r="R6697" s="17" t="s">
        <v>853</v>
      </c>
      <c r="S6697" s="121" t="s">
        <v>1731</v>
      </c>
      <c r="T6697" s="122"/>
      <c r="U6697" s="22"/>
      <c r="V6697" s="123" t="s">
        <v>2472</v>
      </c>
      <c r="W6697" s="122">
        <v>80068</v>
      </c>
      <c r="X6697" s="221"/>
      <c r="Y6697" s="221"/>
      <c r="Z6697" s="221"/>
      <c r="AA6697" s="221"/>
      <c r="AB6697" s="223"/>
    </row>
    <row r="6698" spans="1:28" ht="17.100000000000001" customHeight="1" thickTop="1">
      <c r="A6698" s="226" t="s">
        <v>18776</v>
      </c>
      <c r="B6698" s="28">
        <v>46084</v>
      </c>
      <c r="C6698" s="25">
        <v>2083</v>
      </c>
      <c r="D6698" s="13" t="s">
        <v>4050</v>
      </c>
      <c r="E6698" s="228"/>
      <c r="F6698" s="109" t="s">
        <v>18825</v>
      </c>
      <c r="G6698" s="24" t="s">
        <v>4120</v>
      </c>
      <c r="H6698" s="230">
        <v>4.5</v>
      </c>
      <c r="I6698" s="220">
        <v>2250000</v>
      </c>
      <c r="J6698" s="220">
        <f>I6698*0.1</f>
        <v>225000</v>
      </c>
      <c r="K6698" s="220">
        <v>39500</v>
      </c>
      <c r="L6698" s="220">
        <v>18890</v>
      </c>
      <c r="M6698" s="220">
        <v>17600</v>
      </c>
      <c r="N6698" s="220">
        <f>SUM(I6698:M6699)</f>
        <v>2550990</v>
      </c>
      <c r="O6698" s="224"/>
      <c r="P6698" s="110" t="s">
        <v>18826</v>
      </c>
      <c r="Q6698" s="15" t="s">
        <v>19</v>
      </c>
      <c r="R6698" s="205"/>
      <c r="S6698" s="189" t="s">
        <v>25828</v>
      </c>
      <c r="T6698" s="114"/>
      <c r="U6698" s="21"/>
      <c r="V6698" s="115">
        <v>46137</v>
      </c>
      <c r="W6698" s="116">
        <v>1298</v>
      </c>
      <c r="X6698" s="220">
        <v>2360000</v>
      </c>
      <c r="Y6698" s="220">
        <f>X6698*0.1</f>
        <v>236000</v>
      </c>
      <c r="Z6698" s="220">
        <v>18890</v>
      </c>
      <c r="AA6698" s="220">
        <f>SUM(X6698:Z6698)</f>
        <v>2614890</v>
      </c>
      <c r="AB6698" s="222">
        <v>46154</v>
      </c>
    </row>
    <row r="6699" spans="1:28" ht="17.100000000000001" customHeight="1" thickBot="1">
      <c r="A6699" s="227"/>
      <c r="B6699" s="27" t="s">
        <v>82</v>
      </c>
      <c r="C6699" s="27">
        <v>32019</v>
      </c>
      <c r="D6699" s="14" t="s">
        <v>898</v>
      </c>
      <c r="E6699" s="229"/>
      <c r="F6699" s="117" t="s">
        <v>18968</v>
      </c>
      <c r="G6699" s="26">
        <v>34495</v>
      </c>
      <c r="H6699" s="231"/>
      <c r="I6699" s="221"/>
      <c r="J6699" s="221"/>
      <c r="K6699" s="221"/>
      <c r="L6699" s="221"/>
      <c r="M6699" s="221"/>
      <c r="N6699" s="221"/>
      <c r="O6699" s="225"/>
      <c r="P6699" s="118" t="s">
        <v>18969</v>
      </c>
      <c r="Q6699" s="16" t="s">
        <v>20</v>
      </c>
      <c r="R6699" s="17" t="s">
        <v>18931</v>
      </c>
      <c r="S6699" s="121" t="s">
        <v>18964</v>
      </c>
      <c r="T6699" s="122"/>
      <c r="U6699" s="22"/>
      <c r="V6699" s="123" t="s">
        <v>24162</v>
      </c>
      <c r="W6699" s="122">
        <v>80254</v>
      </c>
      <c r="X6699" s="221"/>
      <c r="Y6699" s="221"/>
      <c r="Z6699" s="221"/>
      <c r="AA6699" s="221"/>
      <c r="AB6699" s="223"/>
    </row>
    <row r="6700" spans="1:28" ht="17.100000000000001" customHeight="1" thickTop="1">
      <c r="A6700" s="226" t="s">
        <v>18777</v>
      </c>
      <c r="B6700" s="28">
        <v>46084</v>
      </c>
      <c r="C6700" s="25">
        <v>1083</v>
      </c>
      <c r="D6700" s="13" t="s">
        <v>2094</v>
      </c>
      <c r="E6700" s="228"/>
      <c r="F6700" s="109" t="s">
        <v>18790</v>
      </c>
      <c r="G6700" s="24" t="s">
        <v>18793</v>
      </c>
      <c r="H6700" s="230">
        <v>5</v>
      </c>
      <c r="I6700" s="220">
        <v>3515000</v>
      </c>
      <c r="J6700" s="220">
        <f>I6700*0.1</f>
        <v>351500</v>
      </c>
      <c r="K6700" s="220">
        <v>30500</v>
      </c>
      <c r="L6700" s="220">
        <v>17120</v>
      </c>
      <c r="M6700" s="220">
        <v>16500</v>
      </c>
      <c r="N6700" s="220">
        <f>SUM(I6700:M6701)</f>
        <v>3930620</v>
      </c>
      <c r="O6700" s="224"/>
      <c r="P6700" s="110" t="s">
        <v>18794</v>
      </c>
      <c r="Q6700" s="15" t="s">
        <v>19</v>
      </c>
      <c r="R6700" s="205"/>
      <c r="S6700" s="189" t="s">
        <v>25800</v>
      </c>
      <c r="T6700" s="114"/>
      <c r="U6700" s="21"/>
      <c r="V6700" s="115">
        <v>46099</v>
      </c>
      <c r="W6700" s="116">
        <v>1009</v>
      </c>
      <c r="X6700" s="220">
        <v>3810000</v>
      </c>
      <c r="Y6700" s="220">
        <f>X6700*0.1</f>
        <v>381000</v>
      </c>
      <c r="Z6700" s="220">
        <v>17120</v>
      </c>
      <c r="AA6700" s="220">
        <f>SUM(X6700:Z6700)</f>
        <v>4208120</v>
      </c>
      <c r="AB6700" s="222">
        <v>46105</v>
      </c>
    </row>
    <row r="6701" spans="1:28" ht="17.100000000000001" customHeight="1" thickBot="1">
      <c r="A6701" s="227"/>
      <c r="B6701" s="27" t="s">
        <v>1583</v>
      </c>
      <c r="C6701" s="27">
        <v>82055</v>
      </c>
      <c r="D6701" s="14" t="s">
        <v>1690</v>
      </c>
      <c r="E6701" s="229"/>
      <c r="F6701" s="117" t="s">
        <v>18792</v>
      </c>
      <c r="G6701" s="26">
        <v>10214</v>
      </c>
      <c r="H6701" s="231"/>
      <c r="I6701" s="221"/>
      <c r="J6701" s="221"/>
      <c r="K6701" s="221"/>
      <c r="L6701" s="221"/>
      <c r="M6701" s="221"/>
      <c r="N6701" s="221"/>
      <c r="O6701" s="225"/>
      <c r="P6701" s="118" t="s">
        <v>1844</v>
      </c>
      <c r="Q6701" s="16" t="s">
        <v>20</v>
      </c>
      <c r="R6701" s="17" t="s">
        <v>2644</v>
      </c>
      <c r="S6701" s="121" t="s">
        <v>1606</v>
      </c>
      <c r="T6701" s="122"/>
      <c r="U6701" s="22"/>
      <c r="V6701" s="123" t="s">
        <v>2747</v>
      </c>
      <c r="W6701" s="122">
        <v>6102</v>
      </c>
      <c r="X6701" s="221"/>
      <c r="Y6701" s="221"/>
      <c r="Z6701" s="221"/>
      <c r="AA6701" s="221"/>
      <c r="AB6701" s="223"/>
    </row>
    <row r="6702" spans="1:28" ht="17.100000000000001" customHeight="1" thickTop="1">
      <c r="A6702" s="233" t="s">
        <v>18778</v>
      </c>
      <c r="B6702" s="28">
        <v>46084</v>
      </c>
      <c r="C6702" s="25">
        <v>1083</v>
      </c>
      <c r="D6702" s="13" t="s">
        <v>4050</v>
      </c>
      <c r="E6702" s="228"/>
      <c r="F6702" s="109" t="s">
        <v>18791</v>
      </c>
      <c r="G6702" s="24" t="s">
        <v>18796</v>
      </c>
      <c r="H6702" s="230">
        <v>4.5</v>
      </c>
      <c r="I6702" s="220">
        <v>3115000</v>
      </c>
      <c r="J6702" s="220">
        <f>I6702*0.1</f>
        <v>311500</v>
      </c>
      <c r="K6702" s="220">
        <v>66500</v>
      </c>
      <c r="L6702" s="220">
        <v>17640</v>
      </c>
      <c r="M6702" s="220">
        <v>16500</v>
      </c>
      <c r="N6702" s="220">
        <f>SUM(I6702:M6703)</f>
        <v>3527140</v>
      </c>
      <c r="O6702" s="224"/>
      <c r="P6702" s="110" t="s">
        <v>18797</v>
      </c>
      <c r="Q6702" s="15" t="s">
        <v>19</v>
      </c>
      <c r="R6702" s="205"/>
      <c r="S6702" s="189" t="s">
        <v>25691</v>
      </c>
      <c r="T6702" s="114" t="s">
        <v>19493</v>
      </c>
      <c r="U6702" s="21"/>
      <c r="V6702" s="115"/>
      <c r="W6702" s="116"/>
      <c r="X6702" s="220"/>
      <c r="Y6702" s="220">
        <f>X6702*0.1</f>
        <v>0</v>
      </c>
      <c r="Z6702" s="220"/>
      <c r="AA6702" s="220">
        <f>SUM(X6702:Z6702)</f>
        <v>0</v>
      </c>
      <c r="AB6702" s="222"/>
    </row>
    <row r="6703" spans="1:28" ht="17.100000000000001" customHeight="1" thickBot="1">
      <c r="A6703" s="234"/>
      <c r="B6703" s="27" t="s">
        <v>1583</v>
      </c>
      <c r="C6703" s="27">
        <v>82091</v>
      </c>
      <c r="D6703" s="14" t="s">
        <v>1690</v>
      </c>
      <c r="E6703" s="229"/>
      <c r="F6703" s="117" t="s">
        <v>18795</v>
      </c>
      <c r="G6703" s="26">
        <v>33886</v>
      </c>
      <c r="H6703" s="231"/>
      <c r="I6703" s="221"/>
      <c r="J6703" s="221"/>
      <c r="K6703" s="221"/>
      <c r="L6703" s="221"/>
      <c r="M6703" s="221"/>
      <c r="N6703" s="221"/>
      <c r="O6703" s="225"/>
      <c r="P6703" s="118" t="s">
        <v>1972</v>
      </c>
      <c r="Q6703" s="16" t="s">
        <v>20</v>
      </c>
      <c r="R6703" s="17" t="s">
        <v>2637</v>
      </c>
      <c r="S6703" s="121" t="s">
        <v>19302</v>
      </c>
      <c r="T6703" s="122"/>
      <c r="U6703" s="22"/>
      <c r="V6703" s="123"/>
      <c r="W6703" s="122"/>
      <c r="X6703" s="221"/>
      <c r="Y6703" s="221"/>
      <c r="Z6703" s="221"/>
      <c r="AA6703" s="221"/>
      <c r="AB6703" s="223"/>
    </row>
    <row r="6704" spans="1:28" ht="17.100000000000001" customHeight="1" thickTop="1">
      <c r="A6704" s="226" t="s">
        <v>18779</v>
      </c>
      <c r="B6704" s="28">
        <v>46084</v>
      </c>
      <c r="C6704" s="25">
        <v>980</v>
      </c>
      <c r="D6704" s="13" t="s">
        <v>1837</v>
      </c>
      <c r="E6704" s="228"/>
      <c r="F6704" s="109" t="s">
        <v>15254</v>
      </c>
      <c r="G6704" s="24"/>
      <c r="H6704" s="230">
        <v>4</v>
      </c>
      <c r="I6704" s="220">
        <v>1146000</v>
      </c>
      <c r="J6704" s="220">
        <f>I6704*0.1</f>
        <v>114600</v>
      </c>
      <c r="K6704" s="220">
        <v>0</v>
      </c>
      <c r="L6704" s="220">
        <v>9810</v>
      </c>
      <c r="M6704" s="220">
        <v>22000</v>
      </c>
      <c r="N6704" s="220">
        <f>SUM(I6704:M6705)</f>
        <v>1292410</v>
      </c>
      <c r="O6704" s="224"/>
      <c r="P6704" s="110" t="s">
        <v>19578</v>
      </c>
      <c r="Q6704" s="15" t="s">
        <v>19</v>
      </c>
      <c r="R6704" s="205"/>
      <c r="S6704" s="189" t="s">
        <v>25387</v>
      </c>
      <c r="T6704" s="114"/>
      <c r="U6704" s="21"/>
      <c r="V6704" s="115">
        <v>46095</v>
      </c>
      <c r="W6704" s="116">
        <v>1292</v>
      </c>
      <c r="X6704" s="220">
        <v>1250000</v>
      </c>
      <c r="Y6704" s="220">
        <f>X6704*0.1</f>
        <v>125000</v>
      </c>
      <c r="Z6704" s="220">
        <v>9810</v>
      </c>
      <c r="AA6704" s="220">
        <f>SUM(X6704:Z6704)</f>
        <v>1384810</v>
      </c>
      <c r="AB6704" s="222">
        <v>46098</v>
      </c>
    </row>
    <row r="6705" spans="1:28" ht="17.100000000000001" customHeight="1" thickBot="1">
      <c r="A6705" s="227"/>
      <c r="B6705" s="27" t="s">
        <v>17765</v>
      </c>
      <c r="C6705" s="27">
        <v>20</v>
      </c>
      <c r="D6705" s="14" t="s">
        <v>1584</v>
      </c>
      <c r="E6705" s="229"/>
      <c r="F6705" s="117" t="s">
        <v>18798</v>
      </c>
      <c r="G6705" s="26">
        <v>51743</v>
      </c>
      <c r="H6705" s="231"/>
      <c r="I6705" s="221"/>
      <c r="J6705" s="221"/>
      <c r="K6705" s="221"/>
      <c r="L6705" s="221"/>
      <c r="M6705" s="221"/>
      <c r="N6705" s="221"/>
      <c r="O6705" s="225"/>
      <c r="P6705" s="118" t="s">
        <v>2446</v>
      </c>
      <c r="Q6705" s="16" t="s">
        <v>20</v>
      </c>
      <c r="R6705" s="17" t="s">
        <v>19572</v>
      </c>
      <c r="S6705" s="121" t="s">
        <v>8372</v>
      </c>
      <c r="T6705" s="122"/>
      <c r="U6705" s="22"/>
      <c r="V6705" s="123" t="s">
        <v>2472</v>
      </c>
      <c r="W6705" s="122">
        <v>30218</v>
      </c>
      <c r="X6705" s="221"/>
      <c r="Y6705" s="221"/>
      <c r="Z6705" s="221"/>
      <c r="AA6705" s="221"/>
      <c r="AB6705" s="223"/>
    </row>
    <row r="6706" spans="1:28" ht="17.100000000000001" customHeight="1" thickTop="1">
      <c r="A6706" s="226" t="s">
        <v>18780</v>
      </c>
      <c r="B6706" s="28">
        <v>46084</v>
      </c>
      <c r="C6706" s="25">
        <v>980</v>
      </c>
      <c r="D6706" s="13" t="s">
        <v>2320</v>
      </c>
      <c r="E6706" s="228"/>
      <c r="F6706" s="109" t="s">
        <v>15607</v>
      </c>
      <c r="G6706" s="24"/>
      <c r="H6706" s="230">
        <v>4</v>
      </c>
      <c r="I6706" s="220">
        <v>736000</v>
      </c>
      <c r="J6706" s="220">
        <f>I6706*0.1</f>
        <v>73600</v>
      </c>
      <c r="K6706" s="220">
        <v>0</v>
      </c>
      <c r="L6706" s="220">
        <v>6550</v>
      </c>
      <c r="M6706" s="220">
        <v>22000</v>
      </c>
      <c r="N6706" s="220">
        <f>SUM(I6706:M6707)</f>
        <v>838150</v>
      </c>
      <c r="O6706" s="224"/>
      <c r="P6706" s="110" t="s">
        <v>19577</v>
      </c>
      <c r="Q6706" s="15" t="s">
        <v>19</v>
      </c>
      <c r="R6706" s="205"/>
      <c r="S6706" s="189" t="s">
        <v>25683</v>
      </c>
      <c r="T6706" s="114"/>
      <c r="U6706" s="21"/>
      <c r="V6706" s="115">
        <v>46106</v>
      </c>
      <c r="W6706" s="116">
        <v>1010</v>
      </c>
      <c r="X6706" s="220">
        <v>775000</v>
      </c>
      <c r="Y6706" s="220">
        <f>X6706*0.1</f>
        <v>77500</v>
      </c>
      <c r="Z6706" s="220">
        <v>6550</v>
      </c>
      <c r="AA6706" s="220">
        <f>SUM(X6706:Z6706)</f>
        <v>859050</v>
      </c>
      <c r="AB6706" s="222">
        <v>46111</v>
      </c>
    </row>
    <row r="6707" spans="1:28" ht="17.100000000000001" customHeight="1" thickBot="1">
      <c r="A6707" s="227"/>
      <c r="B6707" s="27" t="s">
        <v>17765</v>
      </c>
      <c r="C6707" s="27">
        <v>1006</v>
      </c>
      <c r="D6707" s="14" t="s">
        <v>3731</v>
      </c>
      <c r="E6707" s="229"/>
      <c r="F6707" s="117" t="s">
        <v>18799</v>
      </c>
      <c r="G6707" s="26">
        <v>34310</v>
      </c>
      <c r="H6707" s="231"/>
      <c r="I6707" s="221"/>
      <c r="J6707" s="221"/>
      <c r="K6707" s="221"/>
      <c r="L6707" s="221"/>
      <c r="M6707" s="221"/>
      <c r="N6707" s="221"/>
      <c r="O6707" s="225"/>
      <c r="P6707" s="118" t="s">
        <v>2446</v>
      </c>
      <c r="Q6707" s="16" t="s">
        <v>20</v>
      </c>
      <c r="R6707" s="17" t="s">
        <v>19572</v>
      </c>
      <c r="S6707" s="121" t="s">
        <v>20769</v>
      </c>
      <c r="T6707" s="122"/>
      <c r="U6707" s="22"/>
      <c r="V6707" s="123" t="s">
        <v>2747</v>
      </c>
      <c r="W6707" s="122">
        <v>5021</v>
      </c>
      <c r="X6707" s="221"/>
      <c r="Y6707" s="221"/>
      <c r="Z6707" s="221"/>
      <c r="AA6707" s="221"/>
      <c r="AB6707" s="223"/>
    </row>
    <row r="6708" spans="1:28" ht="17.100000000000001" customHeight="1" thickTop="1">
      <c r="A6708" s="226" t="s">
        <v>18781</v>
      </c>
      <c r="B6708" s="28">
        <v>46084</v>
      </c>
      <c r="C6708" s="25">
        <v>1931</v>
      </c>
      <c r="D6708" s="13" t="s">
        <v>1678</v>
      </c>
      <c r="E6708" s="228"/>
      <c r="F6708" s="109" t="s">
        <v>15197</v>
      </c>
      <c r="G6708" s="24"/>
      <c r="H6708" s="230">
        <v>3.5</v>
      </c>
      <c r="I6708" s="220">
        <v>490000</v>
      </c>
      <c r="J6708" s="220">
        <f>I6708*0.1</f>
        <v>49000</v>
      </c>
      <c r="K6708" s="220">
        <v>0</v>
      </c>
      <c r="L6708" s="220">
        <v>6550</v>
      </c>
      <c r="M6708" s="220">
        <v>15950</v>
      </c>
      <c r="N6708" s="220">
        <f>SUM(I6708:M6709)</f>
        <v>561500</v>
      </c>
      <c r="O6708" s="224"/>
      <c r="P6708" s="110" t="s">
        <v>19319</v>
      </c>
      <c r="Q6708" s="15" t="s">
        <v>19</v>
      </c>
      <c r="R6708" s="205"/>
      <c r="S6708" s="189" t="s">
        <v>758</v>
      </c>
      <c r="T6708" s="114"/>
      <c r="U6708" s="21"/>
      <c r="V6708" s="115">
        <v>46088</v>
      </c>
      <c r="W6708" s="116">
        <v>1291</v>
      </c>
      <c r="X6708" s="220">
        <v>600000</v>
      </c>
      <c r="Y6708" s="220">
        <f>X6708*0.1</f>
        <v>60000</v>
      </c>
      <c r="Z6708" s="220">
        <v>6550</v>
      </c>
      <c r="AA6708" s="220">
        <f>SUM(X6708:Z6708)</f>
        <v>666550</v>
      </c>
      <c r="AB6708" s="222">
        <v>46093</v>
      </c>
    </row>
    <row r="6709" spans="1:28" ht="17.100000000000001" customHeight="1" thickBot="1">
      <c r="A6709" s="227"/>
      <c r="B6709" s="27" t="s">
        <v>2103</v>
      </c>
      <c r="C6709" s="27">
        <v>3027</v>
      </c>
      <c r="D6709" s="14" t="s">
        <v>1710</v>
      </c>
      <c r="E6709" s="229"/>
      <c r="F6709" s="117" t="s">
        <v>18800</v>
      </c>
      <c r="G6709" s="26">
        <v>47554</v>
      </c>
      <c r="H6709" s="231"/>
      <c r="I6709" s="221"/>
      <c r="J6709" s="221"/>
      <c r="K6709" s="221"/>
      <c r="L6709" s="221"/>
      <c r="M6709" s="221"/>
      <c r="N6709" s="221"/>
      <c r="O6709" s="225"/>
      <c r="P6709" s="118" t="s">
        <v>7323</v>
      </c>
      <c r="Q6709" s="16" t="s">
        <v>20</v>
      </c>
      <c r="R6709" s="17" t="s">
        <v>1623</v>
      </c>
      <c r="S6709" s="121" t="s">
        <v>11197</v>
      </c>
      <c r="T6709" s="122"/>
      <c r="U6709" s="22"/>
      <c r="V6709" s="123" t="s">
        <v>6641</v>
      </c>
      <c r="W6709" s="122">
        <v>60456</v>
      </c>
      <c r="X6709" s="221"/>
      <c r="Y6709" s="221"/>
      <c r="Z6709" s="221"/>
      <c r="AA6709" s="221"/>
      <c r="AB6709" s="223"/>
    </row>
    <row r="6710" spans="1:28" ht="17.100000000000001" customHeight="1" thickTop="1">
      <c r="A6710" s="226" t="s">
        <v>18782</v>
      </c>
      <c r="B6710" s="28">
        <v>46084</v>
      </c>
      <c r="C6710" s="25">
        <v>1931</v>
      </c>
      <c r="D6710" s="13" t="s">
        <v>2866</v>
      </c>
      <c r="E6710" s="228"/>
      <c r="F6710" s="109" t="s">
        <v>19402</v>
      </c>
      <c r="G6710" s="24"/>
      <c r="H6710" s="230">
        <v>4</v>
      </c>
      <c r="I6710" s="220">
        <v>922000</v>
      </c>
      <c r="J6710" s="220">
        <f>I6710*0.1</f>
        <v>92200</v>
      </c>
      <c r="K6710" s="220">
        <v>0</v>
      </c>
      <c r="L6710" s="220">
        <v>8790</v>
      </c>
      <c r="M6710" s="220">
        <v>15950</v>
      </c>
      <c r="N6710" s="220">
        <f>SUM(I6710:M6711)</f>
        <v>1038940</v>
      </c>
      <c r="O6710" s="224"/>
      <c r="P6710" s="110" t="s">
        <v>19347</v>
      </c>
      <c r="Q6710" s="15" t="s">
        <v>19</v>
      </c>
      <c r="R6710" s="205"/>
      <c r="S6710" s="189" t="s">
        <v>758</v>
      </c>
      <c r="T6710" s="114"/>
      <c r="U6710" s="21"/>
      <c r="V6710" s="115">
        <v>46120</v>
      </c>
      <c r="W6710" s="116">
        <v>1012</v>
      </c>
      <c r="X6710" s="220">
        <v>1000000</v>
      </c>
      <c r="Y6710" s="220">
        <f>X6710*0.1</f>
        <v>100000</v>
      </c>
      <c r="Z6710" s="220">
        <v>8790</v>
      </c>
      <c r="AA6710" s="220">
        <f>SUM(X6710:Z6710)</f>
        <v>1108790</v>
      </c>
      <c r="AB6710" s="222">
        <v>46125</v>
      </c>
    </row>
    <row r="6711" spans="1:28" ht="17.100000000000001" customHeight="1" thickBot="1">
      <c r="A6711" s="227"/>
      <c r="B6711" s="27" t="s">
        <v>2103</v>
      </c>
      <c r="C6711" s="27">
        <v>3224</v>
      </c>
      <c r="D6711" s="14" t="s">
        <v>2559</v>
      </c>
      <c r="E6711" s="229"/>
      <c r="F6711" s="117" t="s">
        <v>18801</v>
      </c>
      <c r="G6711" s="26">
        <v>45078</v>
      </c>
      <c r="H6711" s="231"/>
      <c r="I6711" s="221"/>
      <c r="J6711" s="221"/>
      <c r="K6711" s="221"/>
      <c r="L6711" s="221"/>
      <c r="M6711" s="221"/>
      <c r="N6711" s="221"/>
      <c r="O6711" s="225"/>
      <c r="P6711" s="118" t="s">
        <v>10934</v>
      </c>
      <c r="Q6711" s="16" t="s">
        <v>20</v>
      </c>
      <c r="R6711" s="17" t="s">
        <v>1623</v>
      </c>
      <c r="S6711" s="121" t="s">
        <v>1661</v>
      </c>
      <c r="T6711" s="122"/>
      <c r="U6711" s="22"/>
      <c r="V6711" s="123" t="s">
        <v>7161</v>
      </c>
      <c r="W6711" s="122">
        <v>2051</v>
      </c>
      <c r="X6711" s="221"/>
      <c r="Y6711" s="221"/>
      <c r="Z6711" s="221"/>
      <c r="AA6711" s="221"/>
      <c r="AB6711" s="223"/>
    </row>
    <row r="6712" spans="1:28" ht="17.100000000000001" customHeight="1" thickTop="1">
      <c r="A6712" s="226" t="s">
        <v>18783</v>
      </c>
      <c r="B6712" s="28">
        <v>46084</v>
      </c>
      <c r="C6712" s="25">
        <v>1931</v>
      </c>
      <c r="D6712" s="13" t="s">
        <v>4531</v>
      </c>
      <c r="E6712" s="228"/>
      <c r="F6712" s="109" t="s">
        <v>16259</v>
      </c>
      <c r="G6712" s="24"/>
      <c r="H6712" s="230">
        <v>4</v>
      </c>
      <c r="I6712" s="220">
        <v>217000</v>
      </c>
      <c r="J6712" s="220">
        <f>I6712*0.1</f>
        <v>21700</v>
      </c>
      <c r="K6712" s="220">
        <v>0</v>
      </c>
      <c r="L6712" s="220">
        <v>9200</v>
      </c>
      <c r="M6712" s="220">
        <v>15950</v>
      </c>
      <c r="N6712" s="220">
        <f>SUM(I6712:M6713)</f>
        <v>263850</v>
      </c>
      <c r="O6712" s="224"/>
      <c r="P6712" s="110" t="s">
        <v>19345</v>
      </c>
      <c r="Q6712" s="15" t="s">
        <v>19</v>
      </c>
      <c r="R6712" s="205"/>
      <c r="S6712" s="189"/>
      <c r="T6712" s="114"/>
      <c r="U6712" s="21"/>
      <c r="V6712" s="115">
        <v>46134</v>
      </c>
      <c r="W6712" s="116">
        <v>1014</v>
      </c>
      <c r="X6712" s="220">
        <v>250000</v>
      </c>
      <c r="Y6712" s="220">
        <f>X6712*0.1</f>
        <v>25000</v>
      </c>
      <c r="Z6712" s="220">
        <v>9200</v>
      </c>
      <c r="AA6712" s="220">
        <f>SUM(X6712:Z6712)</f>
        <v>284200</v>
      </c>
      <c r="AB6712" s="222">
        <v>46139</v>
      </c>
    </row>
    <row r="6713" spans="1:28" ht="17.100000000000001" customHeight="1" thickBot="1">
      <c r="A6713" s="227"/>
      <c r="B6713" s="27" t="s">
        <v>2103</v>
      </c>
      <c r="C6713" s="27">
        <v>3247</v>
      </c>
      <c r="D6713" s="14" t="s">
        <v>1584</v>
      </c>
      <c r="E6713" s="229"/>
      <c r="F6713" s="117" t="s">
        <v>18802</v>
      </c>
      <c r="G6713" s="26">
        <v>57008</v>
      </c>
      <c r="H6713" s="231"/>
      <c r="I6713" s="221"/>
      <c r="J6713" s="221"/>
      <c r="K6713" s="221"/>
      <c r="L6713" s="221"/>
      <c r="M6713" s="221"/>
      <c r="N6713" s="221"/>
      <c r="O6713" s="225"/>
      <c r="P6713" s="118" t="s">
        <v>19346</v>
      </c>
      <c r="Q6713" s="16" t="s">
        <v>20</v>
      </c>
      <c r="R6713" s="17" t="s">
        <v>1623</v>
      </c>
      <c r="S6713" s="121"/>
      <c r="T6713" s="122"/>
      <c r="U6713" s="22"/>
      <c r="V6713" s="123" t="s">
        <v>8648</v>
      </c>
      <c r="W6713" s="122">
        <v>2065</v>
      </c>
      <c r="X6713" s="221"/>
      <c r="Y6713" s="221"/>
      <c r="Z6713" s="221"/>
      <c r="AA6713" s="221"/>
      <c r="AB6713" s="223"/>
    </row>
    <row r="6714" spans="1:28" ht="17.100000000000001" customHeight="1" thickTop="1">
      <c r="A6714" s="226" t="s">
        <v>18784</v>
      </c>
      <c r="B6714" s="28">
        <v>46084</v>
      </c>
      <c r="C6714" s="25">
        <v>1931</v>
      </c>
      <c r="D6714" s="13" t="s">
        <v>4997</v>
      </c>
      <c r="E6714" s="228"/>
      <c r="F6714" s="109" t="s">
        <v>18803</v>
      </c>
      <c r="G6714" s="24"/>
      <c r="H6714" s="230">
        <v>4</v>
      </c>
      <c r="I6714" s="220">
        <v>196000</v>
      </c>
      <c r="J6714" s="220">
        <f>I6714*0.1</f>
        <v>19600</v>
      </c>
      <c r="K6714" s="220">
        <v>0</v>
      </c>
      <c r="L6714" s="220">
        <v>8570</v>
      </c>
      <c r="M6714" s="220">
        <v>15950</v>
      </c>
      <c r="N6714" s="220">
        <f>SUM(I6714:M6715)</f>
        <v>240120</v>
      </c>
      <c r="O6714" s="224"/>
      <c r="P6714" s="110" t="s">
        <v>19322</v>
      </c>
      <c r="Q6714" s="15" t="s">
        <v>19</v>
      </c>
      <c r="R6714" s="205"/>
      <c r="S6714" s="189"/>
      <c r="T6714" s="114"/>
      <c r="U6714" s="21"/>
      <c r="V6714" s="115">
        <v>46088</v>
      </c>
      <c r="W6714" s="116">
        <v>1291</v>
      </c>
      <c r="X6714" s="220">
        <v>515000</v>
      </c>
      <c r="Y6714" s="220">
        <f>X6714*0.1</f>
        <v>51500</v>
      </c>
      <c r="Z6714" s="220">
        <v>8570</v>
      </c>
      <c r="AA6714" s="220">
        <f>SUM(X6714:Z6714)</f>
        <v>575070</v>
      </c>
      <c r="AB6714" s="222">
        <v>46093</v>
      </c>
    </row>
    <row r="6715" spans="1:28" ht="17.100000000000001" customHeight="1" thickBot="1">
      <c r="A6715" s="227"/>
      <c r="B6715" s="27" t="s">
        <v>2103</v>
      </c>
      <c r="C6715" s="27">
        <v>3354</v>
      </c>
      <c r="D6715" s="14" t="s">
        <v>3731</v>
      </c>
      <c r="E6715" s="229"/>
      <c r="F6715" s="117" t="s">
        <v>18804</v>
      </c>
      <c r="G6715" s="26">
        <v>8584</v>
      </c>
      <c r="H6715" s="231"/>
      <c r="I6715" s="221"/>
      <c r="J6715" s="221"/>
      <c r="K6715" s="221"/>
      <c r="L6715" s="221"/>
      <c r="M6715" s="221"/>
      <c r="N6715" s="221"/>
      <c r="O6715" s="225"/>
      <c r="P6715" s="118" t="s">
        <v>10210</v>
      </c>
      <c r="Q6715" s="16" t="s">
        <v>20</v>
      </c>
      <c r="R6715" s="17" t="s">
        <v>1623</v>
      </c>
      <c r="S6715" s="121"/>
      <c r="T6715" s="122"/>
      <c r="U6715" s="22"/>
      <c r="V6715" s="123" t="s">
        <v>2472</v>
      </c>
      <c r="W6715" s="122">
        <v>60467</v>
      </c>
      <c r="X6715" s="221"/>
      <c r="Y6715" s="221"/>
      <c r="Z6715" s="221"/>
      <c r="AA6715" s="221"/>
      <c r="AB6715" s="223"/>
    </row>
    <row r="6716" spans="1:28" ht="17.100000000000001" customHeight="1" thickTop="1">
      <c r="A6716" s="226" t="s">
        <v>18785</v>
      </c>
      <c r="B6716" s="28">
        <v>46084</v>
      </c>
      <c r="C6716" s="25">
        <v>1931</v>
      </c>
      <c r="D6716" s="13" t="s">
        <v>1678</v>
      </c>
      <c r="E6716" s="228"/>
      <c r="F6716" s="109" t="s">
        <v>15197</v>
      </c>
      <c r="G6716" s="24"/>
      <c r="H6716" s="230">
        <v>4.5</v>
      </c>
      <c r="I6716" s="220">
        <v>591000</v>
      </c>
      <c r="J6716" s="220">
        <f>I6716*0.1</f>
        <v>59100</v>
      </c>
      <c r="K6716" s="220">
        <v>0</v>
      </c>
      <c r="L6716" s="220">
        <v>6550</v>
      </c>
      <c r="M6716" s="220">
        <v>15950</v>
      </c>
      <c r="N6716" s="220">
        <f>SUM(I6716:M6717)</f>
        <v>672600</v>
      </c>
      <c r="O6716" s="224"/>
      <c r="P6716" s="110" t="s">
        <v>19321</v>
      </c>
      <c r="Q6716" s="15" t="s">
        <v>19</v>
      </c>
      <c r="R6716" s="205"/>
      <c r="S6716" s="189" t="s">
        <v>758</v>
      </c>
      <c r="T6716" s="114"/>
      <c r="U6716" s="21"/>
      <c r="V6716" s="115">
        <v>46088</v>
      </c>
      <c r="W6716" s="116">
        <v>1291</v>
      </c>
      <c r="X6716" s="220">
        <v>660000</v>
      </c>
      <c r="Y6716" s="220">
        <f>X6716*0.1</f>
        <v>66000</v>
      </c>
      <c r="Z6716" s="220">
        <v>6550</v>
      </c>
      <c r="AA6716" s="220">
        <f>SUM(X6716:Z6716)</f>
        <v>732550</v>
      </c>
      <c r="AB6716" s="222">
        <v>46093</v>
      </c>
    </row>
    <row r="6717" spans="1:28" ht="17.100000000000001" customHeight="1" thickBot="1">
      <c r="A6717" s="227"/>
      <c r="B6717" s="27" t="s">
        <v>2103</v>
      </c>
      <c r="C6717" s="27">
        <v>3407</v>
      </c>
      <c r="D6717" s="14" t="s">
        <v>1710</v>
      </c>
      <c r="E6717" s="229"/>
      <c r="F6717" s="117" t="s">
        <v>18805</v>
      </c>
      <c r="G6717" s="26">
        <v>29554</v>
      </c>
      <c r="H6717" s="231"/>
      <c r="I6717" s="221"/>
      <c r="J6717" s="221"/>
      <c r="K6717" s="221"/>
      <c r="L6717" s="221"/>
      <c r="M6717" s="221"/>
      <c r="N6717" s="221"/>
      <c r="O6717" s="225"/>
      <c r="P6717" s="118" t="s">
        <v>7323</v>
      </c>
      <c r="Q6717" s="16" t="s">
        <v>20</v>
      </c>
      <c r="R6717" s="17" t="s">
        <v>1623</v>
      </c>
      <c r="S6717" s="121" t="s">
        <v>11197</v>
      </c>
      <c r="T6717" s="122"/>
      <c r="U6717" s="22"/>
      <c r="V6717" s="123" t="s">
        <v>2472</v>
      </c>
      <c r="W6717" s="122">
        <v>60486</v>
      </c>
      <c r="X6717" s="221"/>
      <c r="Y6717" s="221"/>
      <c r="Z6717" s="221"/>
      <c r="AA6717" s="221"/>
      <c r="AB6717" s="223"/>
    </row>
    <row r="6718" spans="1:28" ht="17.100000000000001" customHeight="1" thickTop="1">
      <c r="A6718" s="226" t="s">
        <v>18786</v>
      </c>
      <c r="B6718" s="28">
        <v>46084</v>
      </c>
      <c r="C6718" s="25">
        <v>1931</v>
      </c>
      <c r="D6718" s="13" t="s">
        <v>2150</v>
      </c>
      <c r="E6718" s="228"/>
      <c r="F6718" s="109" t="s">
        <v>19257</v>
      </c>
      <c r="G6718" s="24"/>
      <c r="H6718" s="230">
        <v>4</v>
      </c>
      <c r="I6718" s="220">
        <v>1273000</v>
      </c>
      <c r="J6718" s="220">
        <f>I6718*0.1</f>
        <v>127300</v>
      </c>
      <c r="K6718" s="220">
        <v>0</v>
      </c>
      <c r="L6718" s="220">
        <v>20860</v>
      </c>
      <c r="M6718" s="220">
        <v>15950</v>
      </c>
      <c r="N6718" s="220">
        <f>SUM(I6718:M6719)</f>
        <v>1437110</v>
      </c>
      <c r="O6718" s="224"/>
      <c r="P6718" s="110" t="s">
        <v>19320</v>
      </c>
      <c r="Q6718" s="15" t="s">
        <v>19</v>
      </c>
      <c r="R6718" s="205"/>
      <c r="S6718" s="189"/>
      <c r="T6718" s="114"/>
      <c r="U6718" s="21"/>
      <c r="V6718" s="115">
        <v>46088</v>
      </c>
      <c r="W6718" s="116">
        <v>1291</v>
      </c>
      <c r="X6718" s="220">
        <v>1385000</v>
      </c>
      <c r="Y6718" s="220">
        <f>X6718*0.1</f>
        <v>138500</v>
      </c>
      <c r="Z6718" s="220">
        <v>20860</v>
      </c>
      <c r="AA6718" s="220">
        <f>SUM(X6718:Z6718)</f>
        <v>1544360</v>
      </c>
      <c r="AB6718" s="222">
        <v>46093</v>
      </c>
    </row>
    <row r="6719" spans="1:28" ht="17.100000000000001" customHeight="1" thickBot="1">
      <c r="A6719" s="227"/>
      <c r="B6719" s="27" t="s">
        <v>2103</v>
      </c>
      <c r="C6719" s="27">
        <v>32041</v>
      </c>
      <c r="D6719" s="14" t="s">
        <v>1584</v>
      </c>
      <c r="E6719" s="229"/>
      <c r="F6719" s="117" t="s">
        <v>19318</v>
      </c>
      <c r="G6719" s="26">
        <v>21384</v>
      </c>
      <c r="H6719" s="231"/>
      <c r="I6719" s="221"/>
      <c r="J6719" s="221"/>
      <c r="K6719" s="221"/>
      <c r="L6719" s="221"/>
      <c r="M6719" s="221"/>
      <c r="N6719" s="221"/>
      <c r="O6719" s="225"/>
      <c r="P6719" s="118" t="s">
        <v>3336</v>
      </c>
      <c r="Q6719" s="16" t="s">
        <v>20</v>
      </c>
      <c r="R6719" s="17" t="s">
        <v>1623</v>
      </c>
      <c r="S6719" s="121"/>
      <c r="T6719" s="122"/>
      <c r="U6719" s="22"/>
      <c r="V6719" s="123" t="s">
        <v>2472</v>
      </c>
      <c r="W6719" s="122">
        <v>80341</v>
      </c>
      <c r="X6719" s="221"/>
      <c r="Y6719" s="221"/>
      <c r="Z6719" s="221"/>
      <c r="AA6719" s="221"/>
      <c r="AB6719" s="223"/>
    </row>
    <row r="6720" spans="1:28" ht="17.100000000000001" customHeight="1" thickTop="1">
      <c r="A6720" s="226" t="s">
        <v>18787</v>
      </c>
      <c r="B6720" s="28">
        <v>46084</v>
      </c>
      <c r="C6720" s="25">
        <v>809</v>
      </c>
      <c r="D6720" s="13" t="s">
        <v>1634</v>
      </c>
      <c r="E6720" s="228"/>
      <c r="F6720" s="109" t="s">
        <v>15511</v>
      </c>
      <c r="G6720" s="24"/>
      <c r="H6720" s="230">
        <v>4</v>
      </c>
      <c r="I6720" s="220">
        <v>706000</v>
      </c>
      <c r="J6720" s="220">
        <f>I6720*0.1</f>
        <v>70600</v>
      </c>
      <c r="K6720" s="220">
        <v>0</v>
      </c>
      <c r="L6720" s="220">
        <v>8430</v>
      </c>
      <c r="M6720" s="220">
        <v>15950</v>
      </c>
      <c r="N6720" s="220">
        <f>SUM(I6720:M6721)</f>
        <v>800980</v>
      </c>
      <c r="O6720" s="224"/>
      <c r="P6720" s="110" t="s">
        <v>19323</v>
      </c>
      <c r="Q6720" s="15" t="s">
        <v>19</v>
      </c>
      <c r="R6720" s="205"/>
      <c r="S6720" s="189" t="s">
        <v>696</v>
      </c>
      <c r="T6720" s="114"/>
      <c r="U6720" s="21"/>
      <c r="V6720" s="115">
        <v>46088</v>
      </c>
      <c r="W6720" s="116">
        <v>1291</v>
      </c>
      <c r="X6720" s="220">
        <v>785000</v>
      </c>
      <c r="Y6720" s="220">
        <f>X6720*0.1</f>
        <v>78500</v>
      </c>
      <c r="Z6720" s="220">
        <v>8430</v>
      </c>
      <c r="AA6720" s="220">
        <f>SUM(X6720:Z6720)</f>
        <v>871930</v>
      </c>
      <c r="AB6720" s="222">
        <v>46093</v>
      </c>
    </row>
    <row r="6721" spans="1:28" ht="17.100000000000001" customHeight="1" thickBot="1">
      <c r="A6721" s="227"/>
      <c r="B6721" s="27" t="s">
        <v>3314</v>
      </c>
      <c r="C6721" s="27">
        <v>3022</v>
      </c>
      <c r="D6721" s="14" t="s">
        <v>1584</v>
      </c>
      <c r="E6721" s="229"/>
      <c r="F6721" s="117" t="s">
        <v>18806</v>
      </c>
      <c r="G6721" s="26">
        <v>25519</v>
      </c>
      <c r="H6721" s="231"/>
      <c r="I6721" s="221"/>
      <c r="J6721" s="221"/>
      <c r="K6721" s="221"/>
      <c r="L6721" s="221"/>
      <c r="M6721" s="221"/>
      <c r="N6721" s="221"/>
      <c r="O6721" s="225"/>
      <c r="P6721" s="118" t="s">
        <v>19324</v>
      </c>
      <c r="Q6721" s="16" t="s">
        <v>20</v>
      </c>
      <c r="R6721" s="17" t="s">
        <v>1623</v>
      </c>
      <c r="S6721" s="121" t="s">
        <v>18986</v>
      </c>
      <c r="T6721" s="122"/>
      <c r="U6721" s="22"/>
      <c r="V6721" s="123" t="s">
        <v>2472</v>
      </c>
      <c r="W6721" s="122">
        <v>60369</v>
      </c>
      <c r="X6721" s="221"/>
      <c r="Y6721" s="221"/>
      <c r="Z6721" s="221"/>
      <c r="AA6721" s="221"/>
      <c r="AB6721" s="223"/>
    </row>
    <row r="6722" spans="1:28" ht="17.100000000000001" customHeight="1" thickTop="1">
      <c r="A6722" s="226" t="s">
        <v>18788</v>
      </c>
      <c r="B6722" s="28">
        <v>46084</v>
      </c>
      <c r="C6722" s="25">
        <v>809</v>
      </c>
      <c r="D6722" s="13" t="s">
        <v>1607</v>
      </c>
      <c r="E6722" s="228"/>
      <c r="F6722" s="109" t="s">
        <v>18807</v>
      </c>
      <c r="G6722" s="24" t="s">
        <v>2926</v>
      </c>
      <c r="H6722" s="230">
        <v>4.5</v>
      </c>
      <c r="I6722" s="220">
        <v>1194000</v>
      </c>
      <c r="J6722" s="220">
        <f>I6722*0.1</f>
        <v>119400</v>
      </c>
      <c r="K6722" s="220">
        <v>39500</v>
      </c>
      <c r="L6722" s="220">
        <v>15280</v>
      </c>
      <c r="M6722" s="220">
        <v>15950</v>
      </c>
      <c r="N6722" s="220">
        <f>SUM(I6722:M6723)</f>
        <v>1384130</v>
      </c>
      <c r="O6722" s="224"/>
      <c r="P6722" s="110" t="s">
        <v>18828</v>
      </c>
      <c r="Q6722" s="15" t="s">
        <v>19</v>
      </c>
      <c r="R6722" s="205"/>
      <c r="S6722" s="189" t="s">
        <v>25805</v>
      </c>
      <c r="T6722" s="114"/>
      <c r="U6722" s="21" t="s">
        <v>19586</v>
      </c>
      <c r="V6722" s="115"/>
      <c r="W6722" s="116"/>
      <c r="X6722" s="220"/>
      <c r="Y6722" s="220">
        <f>X6722*0.1</f>
        <v>0</v>
      </c>
      <c r="Z6722" s="220"/>
      <c r="AA6722" s="220">
        <f>SUM(X6722:Z6722)</f>
        <v>0</v>
      </c>
      <c r="AB6722" s="222"/>
    </row>
    <row r="6723" spans="1:28" ht="17.100000000000001" customHeight="1" thickBot="1">
      <c r="A6723" s="227"/>
      <c r="B6723" s="27" t="s">
        <v>3314</v>
      </c>
      <c r="C6723" s="27">
        <v>5004</v>
      </c>
      <c r="D6723" s="14" t="s">
        <v>898</v>
      </c>
      <c r="E6723" s="229"/>
      <c r="F6723" s="117" t="s">
        <v>18827</v>
      </c>
      <c r="G6723" s="26">
        <v>53085</v>
      </c>
      <c r="H6723" s="231"/>
      <c r="I6723" s="221"/>
      <c r="J6723" s="221"/>
      <c r="K6723" s="221"/>
      <c r="L6723" s="221"/>
      <c r="M6723" s="221"/>
      <c r="N6723" s="221"/>
      <c r="O6723" s="225"/>
      <c r="P6723" s="118" t="s">
        <v>19350</v>
      </c>
      <c r="Q6723" s="16" t="s">
        <v>20</v>
      </c>
      <c r="R6723" s="17" t="s">
        <v>1623</v>
      </c>
      <c r="S6723" s="121" t="s">
        <v>2166</v>
      </c>
      <c r="T6723" s="122"/>
      <c r="U6723" s="22"/>
      <c r="V6723" s="123"/>
      <c r="W6723" s="122"/>
      <c r="X6723" s="221"/>
      <c r="Y6723" s="221"/>
      <c r="Z6723" s="221"/>
      <c r="AA6723" s="221"/>
      <c r="AB6723" s="223"/>
    </row>
    <row r="6724" spans="1:28" ht="17.100000000000001" customHeight="1" thickTop="1">
      <c r="A6724" s="226" t="s">
        <v>18789</v>
      </c>
      <c r="B6724" s="28">
        <v>46084</v>
      </c>
      <c r="C6724" s="25">
        <v>809</v>
      </c>
      <c r="D6724" s="13" t="s">
        <v>3327</v>
      </c>
      <c r="E6724" s="228"/>
      <c r="F6724" s="109" t="s">
        <v>18808</v>
      </c>
      <c r="G6724" s="24"/>
      <c r="H6724" s="230">
        <v>4</v>
      </c>
      <c r="I6724" s="220">
        <v>1079000</v>
      </c>
      <c r="J6724" s="220">
        <f>I6724*0.1</f>
        <v>107900</v>
      </c>
      <c r="K6724" s="220">
        <v>0</v>
      </c>
      <c r="L6724" s="220">
        <v>11480</v>
      </c>
      <c r="M6724" s="220">
        <v>15950</v>
      </c>
      <c r="N6724" s="220">
        <f>SUM(I6724:M6725)</f>
        <v>1214330</v>
      </c>
      <c r="O6724" s="224"/>
      <c r="P6724" s="110" t="s">
        <v>19344</v>
      </c>
      <c r="Q6724" s="15" t="s">
        <v>19</v>
      </c>
      <c r="R6724" s="205"/>
      <c r="S6724" s="189"/>
      <c r="T6724" s="114"/>
      <c r="U6724" s="21"/>
      <c r="V6724" s="115">
        <v>46088</v>
      </c>
      <c r="W6724" s="116">
        <v>1291</v>
      </c>
      <c r="X6724" s="220">
        <v>1200000</v>
      </c>
      <c r="Y6724" s="220">
        <f>X6724*0.1</f>
        <v>120000</v>
      </c>
      <c r="Z6724" s="220">
        <v>11480</v>
      </c>
      <c r="AA6724" s="220">
        <f>SUM(X6724:Z6724)</f>
        <v>1331480</v>
      </c>
      <c r="AB6724" s="222">
        <v>46098</v>
      </c>
    </row>
    <row r="6725" spans="1:28" ht="17.100000000000001" customHeight="1" thickBot="1">
      <c r="A6725" s="227"/>
      <c r="B6725" s="27" t="s">
        <v>3314</v>
      </c>
      <c r="C6725" s="27">
        <v>70040</v>
      </c>
      <c r="D6725" s="14" t="s">
        <v>2559</v>
      </c>
      <c r="E6725" s="229"/>
      <c r="F6725" s="117" t="s">
        <v>18809</v>
      </c>
      <c r="G6725" s="26">
        <v>110615</v>
      </c>
      <c r="H6725" s="231"/>
      <c r="I6725" s="221"/>
      <c r="J6725" s="221"/>
      <c r="K6725" s="221"/>
      <c r="L6725" s="221"/>
      <c r="M6725" s="221"/>
      <c r="N6725" s="221"/>
      <c r="O6725" s="225"/>
      <c r="P6725" s="118" t="s">
        <v>9683</v>
      </c>
      <c r="Q6725" s="16" t="s">
        <v>20</v>
      </c>
      <c r="R6725" s="17" t="s">
        <v>1623</v>
      </c>
      <c r="S6725" s="121" t="s">
        <v>2166</v>
      </c>
      <c r="T6725" s="122"/>
      <c r="U6725" s="22"/>
      <c r="V6725" s="123" t="s">
        <v>6641</v>
      </c>
      <c r="W6725" s="122">
        <v>110</v>
      </c>
      <c r="X6725" s="221"/>
      <c r="Y6725" s="221"/>
      <c r="Z6725" s="221"/>
      <c r="AA6725" s="221"/>
      <c r="AB6725" s="223"/>
    </row>
    <row r="6726" spans="1:28" ht="17.100000000000001" customHeight="1" thickTop="1">
      <c r="A6726" s="226" t="s">
        <v>18810</v>
      </c>
      <c r="B6726" s="28">
        <v>46084</v>
      </c>
      <c r="C6726" s="25">
        <v>929</v>
      </c>
      <c r="D6726" s="13" t="s">
        <v>4739</v>
      </c>
      <c r="E6726" s="228"/>
      <c r="F6726" s="109" t="s">
        <v>18816</v>
      </c>
      <c r="G6726" s="24" t="s">
        <v>4239</v>
      </c>
      <c r="H6726" s="230">
        <v>4</v>
      </c>
      <c r="I6726" s="220">
        <v>580000</v>
      </c>
      <c r="J6726" s="220">
        <f>I6726*0.1</f>
        <v>58000</v>
      </c>
      <c r="K6726" s="220">
        <v>10800</v>
      </c>
      <c r="L6726" s="220">
        <v>9790</v>
      </c>
      <c r="M6726" s="220">
        <v>15950</v>
      </c>
      <c r="N6726" s="220">
        <f>SUM(I6726:M6727)</f>
        <v>674540</v>
      </c>
      <c r="O6726" s="224"/>
      <c r="P6726" s="110" t="s">
        <v>18830</v>
      </c>
      <c r="Q6726" s="15" t="s">
        <v>19</v>
      </c>
      <c r="R6726" s="205"/>
      <c r="S6726" s="189" t="s">
        <v>25805</v>
      </c>
      <c r="T6726" s="114"/>
      <c r="U6726" s="21" t="s">
        <v>20467</v>
      </c>
      <c r="V6726" s="115"/>
      <c r="W6726" s="116"/>
      <c r="X6726" s="220"/>
      <c r="Y6726" s="220">
        <f>X6726*0.1</f>
        <v>0</v>
      </c>
      <c r="Z6726" s="220"/>
      <c r="AA6726" s="220">
        <f>SUM(X6726:Z6726)</f>
        <v>0</v>
      </c>
      <c r="AB6726" s="222"/>
    </row>
    <row r="6727" spans="1:28" ht="17.100000000000001" customHeight="1" thickBot="1">
      <c r="A6727" s="227"/>
      <c r="B6727" s="27" t="s">
        <v>2654</v>
      </c>
      <c r="C6727" s="27">
        <v>3016</v>
      </c>
      <c r="D6727" s="14" t="s">
        <v>18829</v>
      </c>
      <c r="E6727" s="229"/>
      <c r="F6727" s="117" t="s">
        <v>18817</v>
      </c>
      <c r="G6727" s="26">
        <v>43402</v>
      </c>
      <c r="H6727" s="231"/>
      <c r="I6727" s="221"/>
      <c r="J6727" s="221"/>
      <c r="K6727" s="221"/>
      <c r="L6727" s="221"/>
      <c r="M6727" s="221"/>
      <c r="N6727" s="221"/>
      <c r="O6727" s="225"/>
      <c r="P6727" s="118" t="s">
        <v>4007</v>
      </c>
      <c r="Q6727" s="16" t="s">
        <v>20</v>
      </c>
      <c r="R6727" s="17" t="s">
        <v>1623</v>
      </c>
      <c r="S6727" s="121" t="s">
        <v>18983</v>
      </c>
      <c r="T6727" s="122"/>
      <c r="U6727" s="22"/>
      <c r="V6727" s="123"/>
      <c r="W6727" s="122"/>
      <c r="X6727" s="221"/>
      <c r="Y6727" s="221"/>
      <c r="Z6727" s="221"/>
      <c r="AA6727" s="221"/>
      <c r="AB6727" s="223"/>
    </row>
    <row r="6728" spans="1:28" ht="17.100000000000001" customHeight="1" thickTop="1">
      <c r="A6728" s="226" t="s">
        <v>18811</v>
      </c>
      <c r="B6728" s="28">
        <v>46084</v>
      </c>
      <c r="C6728" s="25">
        <v>929</v>
      </c>
      <c r="D6728" s="13" t="s">
        <v>2040</v>
      </c>
      <c r="E6728" s="228"/>
      <c r="F6728" s="109" t="s">
        <v>16460</v>
      </c>
      <c r="G6728" s="24" t="s">
        <v>2530</v>
      </c>
      <c r="H6728" s="230">
        <v>4</v>
      </c>
      <c r="I6728" s="220">
        <v>683000</v>
      </c>
      <c r="J6728" s="220">
        <f>I6728*0.1</f>
        <v>68300</v>
      </c>
      <c r="K6728" s="220">
        <v>10800</v>
      </c>
      <c r="L6728" s="220">
        <v>6470</v>
      </c>
      <c r="M6728" s="220">
        <v>15950</v>
      </c>
      <c r="N6728" s="220">
        <f>SUM(I6728:M6729)</f>
        <v>784520</v>
      </c>
      <c r="O6728" s="224"/>
      <c r="P6728" s="110" t="s">
        <v>18831</v>
      </c>
      <c r="Q6728" s="15" t="s">
        <v>19</v>
      </c>
      <c r="R6728" s="205"/>
      <c r="S6728" s="189" t="s">
        <v>25829</v>
      </c>
      <c r="T6728" s="114"/>
      <c r="U6728" s="21" t="s">
        <v>19523</v>
      </c>
      <c r="V6728" s="115">
        <v>46088</v>
      </c>
      <c r="W6728" s="116">
        <v>1291</v>
      </c>
      <c r="X6728" s="220">
        <v>775000</v>
      </c>
      <c r="Y6728" s="220">
        <f>X6728*0.1</f>
        <v>77500</v>
      </c>
      <c r="Z6728" s="220">
        <v>6470</v>
      </c>
      <c r="AA6728" s="220">
        <f>SUM(X6728:Z6728)</f>
        <v>858970</v>
      </c>
      <c r="AB6728" s="222">
        <v>46098</v>
      </c>
    </row>
    <row r="6729" spans="1:28" ht="17.100000000000001" customHeight="1" thickBot="1">
      <c r="A6729" s="227"/>
      <c r="B6729" s="27" t="s">
        <v>2654</v>
      </c>
      <c r="C6729" s="27">
        <v>3028</v>
      </c>
      <c r="D6729" s="14" t="s">
        <v>1584</v>
      </c>
      <c r="E6729" s="229"/>
      <c r="F6729" s="117" t="s">
        <v>18818</v>
      </c>
      <c r="G6729" s="26">
        <v>56777</v>
      </c>
      <c r="H6729" s="231"/>
      <c r="I6729" s="221"/>
      <c r="J6729" s="221"/>
      <c r="K6729" s="221"/>
      <c r="L6729" s="221"/>
      <c r="M6729" s="221"/>
      <c r="N6729" s="221"/>
      <c r="O6729" s="225"/>
      <c r="P6729" s="118" t="s">
        <v>15065</v>
      </c>
      <c r="Q6729" s="16" t="s">
        <v>20</v>
      </c>
      <c r="R6729" s="17" t="s">
        <v>3332</v>
      </c>
      <c r="S6729" s="121"/>
      <c r="T6729" s="122" t="s">
        <v>19492</v>
      </c>
      <c r="U6729" s="22"/>
      <c r="V6729" s="123" t="s">
        <v>2472</v>
      </c>
      <c r="W6729" s="122">
        <v>60448</v>
      </c>
      <c r="X6729" s="221"/>
      <c r="Y6729" s="221"/>
      <c r="Z6729" s="221"/>
      <c r="AA6729" s="221"/>
      <c r="AB6729" s="223"/>
    </row>
    <row r="6730" spans="1:28" ht="17.100000000000001" customHeight="1" thickTop="1">
      <c r="A6730" s="226" t="s">
        <v>18812</v>
      </c>
      <c r="B6730" s="28">
        <v>46084</v>
      </c>
      <c r="C6730" s="25">
        <v>929</v>
      </c>
      <c r="D6730" s="13" t="s">
        <v>1704</v>
      </c>
      <c r="E6730" s="228"/>
      <c r="F6730" s="109" t="s">
        <v>18819</v>
      </c>
      <c r="G6730" s="24"/>
      <c r="H6730" s="230">
        <v>4</v>
      </c>
      <c r="I6730" s="220">
        <v>2514000</v>
      </c>
      <c r="J6730" s="220">
        <f>I6730*0.1</f>
        <v>251400</v>
      </c>
      <c r="K6730" s="220">
        <v>0</v>
      </c>
      <c r="L6730" s="220">
        <v>17800</v>
      </c>
      <c r="M6730" s="220">
        <v>15950</v>
      </c>
      <c r="N6730" s="220">
        <f>SUM(I6730:M6731)</f>
        <v>2799150</v>
      </c>
      <c r="O6730" s="224"/>
      <c r="P6730" s="110" t="s">
        <v>19352</v>
      </c>
      <c r="Q6730" s="15" t="s">
        <v>19</v>
      </c>
      <c r="R6730" s="205"/>
      <c r="S6730" s="189"/>
      <c r="T6730" s="114"/>
      <c r="U6730" s="21"/>
      <c r="V6730" s="115"/>
      <c r="W6730" s="116"/>
      <c r="X6730" s="220"/>
      <c r="Y6730" s="220">
        <f>X6730*0.1</f>
        <v>0</v>
      </c>
      <c r="Z6730" s="220"/>
      <c r="AA6730" s="220">
        <f>SUM(X6730:Z6730)</f>
        <v>0</v>
      </c>
      <c r="AB6730" s="222"/>
    </row>
    <row r="6731" spans="1:28" ht="17.100000000000001" customHeight="1" thickBot="1">
      <c r="A6731" s="227"/>
      <c r="B6731" s="27" t="s">
        <v>2654</v>
      </c>
      <c r="C6731" s="27">
        <v>5001</v>
      </c>
      <c r="D6731" s="14" t="s">
        <v>1560</v>
      </c>
      <c r="E6731" s="229"/>
      <c r="F6731" s="117" t="s">
        <v>18832</v>
      </c>
      <c r="G6731" s="26">
        <v>35419</v>
      </c>
      <c r="H6731" s="231"/>
      <c r="I6731" s="221"/>
      <c r="J6731" s="221"/>
      <c r="K6731" s="221"/>
      <c r="L6731" s="221"/>
      <c r="M6731" s="221"/>
      <c r="N6731" s="221"/>
      <c r="O6731" s="225"/>
      <c r="P6731" s="118" t="s">
        <v>3506</v>
      </c>
      <c r="Q6731" s="16" t="s">
        <v>20</v>
      </c>
      <c r="R6731" s="17" t="s">
        <v>1623</v>
      </c>
      <c r="S6731" s="121" t="s">
        <v>19353</v>
      </c>
      <c r="T6731" s="122"/>
      <c r="U6731" s="22"/>
      <c r="V6731" s="123"/>
      <c r="W6731" s="122"/>
      <c r="X6731" s="221"/>
      <c r="Y6731" s="221"/>
      <c r="Z6731" s="221"/>
      <c r="AA6731" s="221"/>
      <c r="AB6731" s="223"/>
    </row>
    <row r="6732" spans="1:28" ht="17.100000000000001" customHeight="1" thickTop="1">
      <c r="A6732" s="226" t="s">
        <v>18813</v>
      </c>
      <c r="B6732" s="28">
        <v>46084</v>
      </c>
      <c r="C6732" s="25">
        <v>1230</v>
      </c>
      <c r="D6732" s="13" t="s">
        <v>3422</v>
      </c>
      <c r="E6732" s="228"/>
      <c r="F6732" s="109" t="s">
        <v>5334</v>
      </c>
      <c r="G6732" s="24"/>
      <c r="H6732" s="230">
        <v>4</v>
      </c>
      <c r="I6732" s="220">
        <v>659000</v>
      </c>
      <c r="J6732" s="220">
        <f>I6732*0.1</f>
        <v>65900</v>
      </c>
      <c r="K6732" s="220">
        <v>0</v>
      </c>
      <c r="L6732" s="220">
        <v>7950</v>
      </c>
      <c r="M6732" s="220">
        <v>17050</v>
      </c>
      <c r="N6732" s="220">
        <f>SUM(I6732:M6733)</f>
        <v>749900</v>
      </c>
      <c r="O6732" s="224"/>
      <c r="P6732" s="110" t="s">
        <v>19359</v>
      </c>
      <c r="Q6732" s="15" t="s">
        <v>19</v>
      </c>
      <c r="R6732" s="205"/>
      <c r="S6732" s="189"/>
      <c r="T6732" s="114"/>
      <c r="U6732" s="21"/>
      <c r="V6732" s="115">
        <v>46162</v>
      </c>
      <c r="W6732" s="116">
        <v>1017</v>
      </c>
      <c r="X6732" s="220">
        <v>740000</v>
      </c>
      <c r="Y6732" s="220">
        <f>X6732*0.1</f>
        <v>74000</v>
      </c>
      <c r="Z6732" s="220">
        <v>7950</v>
      </c>
      <c r="AA6732" s="220">
        <f>SUM(X6732:Z6732)</f>
        <v>821950</v>
      </c>
      <c r="AB6732" s="222">
        <v>46167</v>
      </c>
    </row>
    <row r="6733" spans="1:28" ht="17.100000000000001" customHeight="1" thickBot="1">
      <c r="A6733" s="227"/>
      <c r="B6733" s="27" t="s">
        <v>2344</v>
      </c>
      <c r="C6733" s="27">
        <v>3718</v>
      </c>
      <c r="D6733" s="14" t="s">
        <v>1584</v>
      </c>
      <c r="E6733" s="229"/>
      <c r="F6733" s="117" t="s">
        <v>18820</v>
      </c>
      <c r="G6733" s="26">
        <v>50209</v>
      </c>
      <c r="H6733" s="231"/>
      <c r="I6733" s="221"/>
      <c r="J6733" s="221"/>
      <c r="K6733" s="221"/>
      <c r="L6733" s="221"/>
      <c r="M6733" s="221"/>
      <c r="N6733" s="221"/>
      <c r="O6733" s="225"/>
      <c r="P6733" s="118" t="s">
        <v>19360</v>
      </c>
      <c r="Q6733" s="16" t="s">
        <v>20</v>
      </c>
      <c r="R6733" s="17" t="s">
        <v>1623</v>
      </c>
      <c r="S6733" s="121" t="s">
        <v>19584</v>
      </c>
      <c r="T6733" s="122"/>
      <c r="U6733" s="22"/>
      <c r="V6733" s="123" t="s">
        <v>8877</v>
      </c>
      <c r="W6733" s="122">
        <v>2015</v>
      </c>
      <c r="X6733" s="221"/>
      <c r="Y6733" s="221"/>
      <c r="Z6733" s="221"/>
      <c r="AA6733" s="221"/>
      <c r="AB6733" s="223"/>
    </row>
    <row r="6734" spans="1:28" ht="17.100000000000001" customHeight="1" thickTop="1">
      <c r="A6734" s="226" t="s">
        <v>18814</v>
      </c>
      <c r="B6734" s="28">
        <v>46084</v>
      </c>
      <c r="C6734" s="25">
        <v>1230</v>
      </c>
      <c r="D6734" s="13" t="s">
        <v>2811</v>
      </c>
      <c r="E6734" s="228"/>
      <c r="F6734" s="109" t="s">
        <v>18821</v>
      </c>
      <c r="G6734" s="24"/>
      <c r="H6734" s="230">
        <v>3.5</v>
      </c>
      <c r="I6734" s="220">
        <v>1280000</v>
      </c>
      <c r="J6734" s="220">
        <f>I6734*0.1</f>
        <v>128000</v>
      </c>
      <c r="K6734" s="220">
        <v>0</v>
      </c>
      <c r="L6734" s="220">
        <v>15280</v>
      </c>
      <c r="M6734" s="220">
        <v>15950</v>
      </c>
      <c r="N6734" s="220">
        <f>SUM(I6734:M6735)</f>
        <v>1439230</v>
      </c>
      <c r="O6734" s="224"/>
      <c r="P6734" s="110" t="s">
        <v>19361</v>
      </c>
      <c r="Q6734" s="15" t="s">
        <v>19</v>
      </c>
      <c r="R6734" s="205"/>
      <c r="S6734" s="189"/>
      <c r="T6734" s="114"/>
      <c r="U6734" s="21"/>
      <c r="V6734" s="115">
        <v>46130</v>
      </c>
      <c r="W6734" s="116">
        <v>1297</v>
      </c>
      <c r="X6734" s="220">
        <v>1380000</v>
      </c>
      <c r="Y6734" s="220">
        <f>X6734*0.1</f>
        <v>138000</v>
      </c>
      <c r="Z6734" s="220">
        <v>15280</v>
      </c>
      <c r="AA6734" s="220">
        <f>SUM(X6734:Z6734)</f>
        <v>1533280</v>
      </c>
      <c r="AB6734" s="222">
        <v>46139</v>
      </c>
    </row>
    <row r="6735" spans="1:28" ht="17.100000000000001" customHeight="1" thickBot="1">
      <c r="A6735" s="227"/>
      <c r="B6735" s="27" t="s">
        <v>2344</v>
      </c>
      <c r="C6735" s="27">
        <v>5069</v>
      </c>
      <c r="D6735" s="14" t="s">
        <v>898</v>
      </c>
      <c r="E6735" s="229"/>
      <c r="F6735" s="117" t="s">
        <v>18833</v>
      </c>
      <c r="G6735" s="26">
        <v>16285</v>
      </c>
      <c r="H6735" s="231"/>
      <c r="I6735" s="221"/>
      <c r="J6735" s="221"/>
      <c r="K6735" s="221"/>
      <c r="L6735" s="221"/>
      <c r="M6735" s="221"/>
      <c r="N6735" s="221"/>
      <c r="O6735" s="225"/>
      <c r="P6735" s="118" t="s">
        <v>19362</v>
      </c>
      <c r="Q6735" s="16" t="s">
        <v>20</v>
      </c>
      <c r="R6735" s="17" t="s">
        <v>1623</v>
      </c>
      <c r="S6735" s="121" t="s">
        <v>19363</v>
      </c>
      <c r="T6735" s="122"/>
      <c r="U6735" s="22"/>
      <c r="V6735" s="123" t="s">
        <v>23433</v>
      </c>
      <c r="W6735" s="122">
        <v>80198</v>
      </c>
      <c r="X6735" s="221"/>
      <c r="Y6735" s="221"/>
      <c r="Z6735" s="221"/>
      <c r="AA6735" s="221"/>
      <c r="AB6735" s="223"/>
    </row>
    <row r="6736" spans="1:28" ht="17.100000000000001" customHeight="1" thickTop="1">
      <c r="A6736" s="226" t="s">
        <v>18815</v>
      </c>
      <c r="B6736" s="28">
        <v>46084</v>
      </c>
      <c r="C6736" s="25">
        <v>1230</v>
      </c>
      <c r="D6736" s="13" t="s">
        <v>1702</v>
      </c>
      <c r="E6736" s="228"/>
      <c r="F6736" s="109" t="s">
        <v>18822</v>
      </c>
      <c r="G6736" s="24"/>
      <c r="H6736" s="230">
        <v>4</v>
      </c>
      <c r="I6736" s="220">
        <v>737000</v>
      </c>
      <c r="J6736" s="220">
        <f>I6736*0.1</f>
        <v>73700</v>
      </c>
      <c r="K6736" s="220">
        <v>0</v>
      </c>
      <c r="L6736" s="220">
        <v>22520</v>
      </c>
      <c r="M6736" s="220">
        <v>15950</v>
      </c>
      <c r="N6736" s="220">
        <f>SUM(I6736:M6737)</f>
        <v>849170</v>
      </c>
      <c r="O6736" s="224"/>
      <c r="P6736" s="110" t="s">
        <v>19366</v>
      </c>
      <c r="Q6736" s="15" t="s">
        <v>19</v>
      </c>
      <c r="R6736" s="205"/>
      <c r="S6736" s="189"/>
      <c r="T6736" s="114"/>
      <c r="U6736" s="21"/>
      <c r="V6736" s="115"/>
      <c r="W6736" s="116"/>
      <c r="X6736" s="220"/>
      <c r="Y6736" s="220">
        <f>X6736*0.1</f>
        <v>0</v>
      </c>
      <c r="Z6736" s="220"/>
      <c r="AA6736" s="220">
        <f>SUM(X6736:Z6736)</f>
        <v>0</v>
      </c>
      <c r="AB6736" s="222"/>
    </row>
    <row r="6737" spans="1:28" ht="17.100000000000001" customHeight="1" thickBot="1">
      <c r="A6737" s="227"/>
      <c r="B6737" s="27" t="s">
        <v>2344</v>
      </c>
      <c r="C6737" s="27">
        <v>30015</v>
      </c>
      <c r="D6737" s="14" t="s">
        <v>1568</v>
      </c>
      <c r="E6737" s="229"/>
      <c r="F6737" s="117" t="s">
        <v>18834</v>
      </c>
      <c r="G6737" s="26">
        <v>58944</v>
      </c>
      <c r="H6737" s="231"/>
      <c r="I6737" s="221"/>
      <c r="J6737" s="221"/>
      <c r="K6737" s="221"/>
      <c r="L6737" s="221"/>
      <c r="M6737" s="221"/>
      <c r="N6737" s="221"/>
      <c r="O6737" s="225"/>
      <c r="P6737" s="118" t="s">
        <v>16520</v>
      </c>
      <c r="Q6737" s="16" t="s">
        <v>20</v>
      </c>
      <c r="R6737" s="17" t="s">
        <v>1623</v>
      </c>
      <c r="S6737" s="121" t="s">
        <v>2166</v>
      </c>
      <c r="T6737" s="122"/>
      <c r="U6737" s="22"/>
      <c r="V6737" s="123"/>
      <c r="W6737" s="122"/>
      <c r="X6737" s="221"/>
      <c r="Y6737" s="221"/>
      <c r="Z6737" s="221"/>
      <c r="AA6737" s="221"/>
      <c r="AB6737" s="223"/>
    </row>
    <row r="6738" spans="1:28" ht="17.100000000000001" customHeight="1" thickTop="1">
      <c r="A6738" s="226" t="s">
        <v>18824</v>
      </c>
      <c r="B6738" s="28">
        <v>46084</v>
      </c>
      <c r="C6738" s="25">
        <v>1230</v>
      </c>
      <c r="D6738" s="13" t="s">
        <v>2203</v>
      </c>
      <c r="E6738" s="228"/>
      <c r="F6738" s="109" t="s">
        <v>18823</v>
      </c>
      <c r="G6738" s="24"/>
      <c r="H6738" s="230">
        <v>4</v>
      </c>
      <c r="I6738" s="220">
        <v>644000</v>
      </c>
      <c r="J6738" s="220">
        <f>I6738*0.1</f>
        <v>64400</v>
      </c>
      <c r="K6738" s="220">
        <v>0</v>
      </c>
      <c r="L6738" s="220">
        <v>20170</v>
      </c>
      <c r="M6738" s="220">
        <v>15950</v>
      </c>
      <c r="N6738" s="220">
        <f>SUM(I6738:M6739)</f>
        <v>744520</v>
      </c>
      <c r="O6738" s="224"/>
      <c r="P6738" s="110" t="s">
        <v>19365</v>
      </c>
      <c r="Q6738" s="15" t="s">
        <v>19</v>
      </c>
      <c r="R6738" s="205"/>
      <c r="S6738" s="189"/>
      <c r="T6738" s="114"/>
      <c r="U6738" s="21"/>
      <c r="V6738" s="115">
        <v>46095</v>
      </c>
      <c r="W6738" s="116">
        <v>1292</v>
      </c>
      <c r="X6738" s="220">
        <v>760000</v>
      </c>
      <c r="Y6738" s="220">
        <f>X6738*0.1</f>
        <v>76000</v>
      </c>
      <c r="Z6738" s="220">
        <v>20170</v>
      </c>
      <c r="AA6738" s="220">
        <f>SUM(X6738:Z6738)</f>
        <v>856170</v>
      </c>
      <c r="AB6738" s="222">
        <v>46098</v>
      </c>
    </row>
    <row r="6739" spans="1:28" ht="17.100000000000001" customHeight="1" thickBot="1">
      <c r="A6739" s="227"/>
      <c r="B6739" s="27" t="s">
        <v>2344</v>
      </c>
      <c r="C6739" s="27">
        <v>32024</v>
      </c>
      <c r="D6739" s="14" t="s">
        <v>898</v>
      </c>
      <c r="E6739" s="229"/>
      <c r="F6739" s="117" t="s">
        <v>18835</v>
      </c>
      <c r="G6739" s="26">
        <v>66056</v>
      </c>
      <c r="H6739" s="231"/>
      <c r="I6739" s="221"/>
      <c r="J6739" s="221"/>
      <c r="K6739" s="221"/>
      <c r="L6739" s="221"/>
      <c r="M6739" s="221"/>
      <c r="N6739" s="221"/>
      <c r="O6739" s="225"/>
      <c r="P6739" s="118" t="s">
        <v>5186</v>
      </c>
      <c r="Q6739" s="16" t="s">
        <v>20</v>
      </c>
      <c r="R6739" s="17" t="s">
        <v>1623</v>
      </c>
      <c r="S6739" s="121" t="s">
        <v>19364</v>
      </c>
      <c r="T6739" s="122"/>
      <c r="U6739" s="22"/>
      <c r="V6739" s="123" t="s">
        <v>2472</v>
      </c>
      <c r="W6739" s="122">
        <v>80017</v>
      </c>
      <c r="X6739" s="221"/>
      <c r="Y6739" s="221"/>
      <c r="Z6739" s="221"/>
      <c r="AA6739" s="221"/>
      <c r="AB6739" s="223"/>
    </row>
    <row r="6740" spans="1:28" ht="17.100000000000001" customHeight="1" thickTop="1">
      <c r="A6740" s="226" t="s">
        <v>18836</v>
      </c>
      <c r="B6740" s="28">
        <v>46085</v>
      </c>
      <c r="C6740" s="25">
        <v>2345</v>
      </c>
      <c r="D6740" s="13" t="s">
        <v>2913</v>
      </c>
      <c r="E6740" s="228"/>
      <c r="F6740" s="109" t="s">
        <v>4283</v>
      </c>
      <c r="G6740" s="24"/>
      <c r="H6740" s="230">
        <v>4.5</v>
      </c>
      <c r="I6740" s="220">
        <v>705000</v>
      </c>
      <c r="J6740" s="220">
        <f>I6740*0.1</f>
        <v>70500</v>
      </c>
      <c r="K6740" s="220">
        <v>0</v>
      </c>
      <c r="L6740" s="220">
        <v>7510</v>
      </c>
      <c r="M6740" s="220">
        <v>16500</v>
      </c>
      <c r="N6740" s="220">
        <f>SUM(I6740:M6741)</f>
        <v>799510</v>
      </c>
      <c r="O6740" s="224"/>
      <c r="P6740" s="110" t="s">
        <v>19576</v>
      </c>
      <c r="Q6740" s="15" t="s">
        <v>19</v>
      </c>
      <c r="R6740" s="205"/>
      <c r="S6740" s="189" t="s">
        <v>758</v>
      </c>
      <c r="T6740" s="114"/>
      <c r="U6740" s="21"/>
      <c r="V6740" s="115">
        <v>46116</v>
      </c>
      <c r="W6740" s="116">
        <v>1295</v>
      </c>
      <c r="X6740" s="220">
        <v>750000</v>
      </c>
      <c r="Y6740" s="220">
        <f>X6740*0.1</f>
        <v>75000</v>
      </c>
      <c r="Z6740" s="220">
        <v>7510</v>
      </c>
      <c r="AA6740" s="220">
        <f>SUM(X6740:Z6740)</f>
        <v>832510</v>
      </c>
      <c r="AB6740" s="222">
        <v>46126</v>
      </c>
    </row>
    <row r="6741" spans="1:28" ht="17.100000000000001" customHeight="1" thickBot="1">
      <c r="A6741" s="227"/>
      <c r="B6741" s="27" t="s">
        <v>3367</v>
      </c>
      <c r="C6741" s="27">
        <v>20198</v>
      </c>
      <c r="D6741" s="14" t="s">
        <v>1584</v>
      </c>
      <c r="E6741" s="229"/>
      <c r="F6741" s="117" t="s">
        <v>18838</v>
      </c>
      <c r="G6741" s="26">
        <v>50828</v>
      </c>
      <c r="H6741" s="231"/>
      <c r="I6741" s="221"/>
      <c r="J6741" s="221"/>
      <c r="K6741" s="221"/>
      <c r="L6741" s="221"/>
      <c r="M6741" s="221"/>
      <c r="N6741" s="221"/>
      <c r="O6741" s="225"/>
      <c r="P6741" s="118" t="s">
        <v>4314</v>
      </c>
      <c r="Q6741" s="16" t="s">
        <v>20</v>
      </c>
      <c r="R6741" s="17" t="s">
        <v>19572</v>
      </c>
      <c r="S6741" s="121" t="s">
        <v>11197</v>
      </c>
      <c r="T6741" s="122"/>
      <c r="U6741" s="22"/>
      <c r="V6741" s="123" t="s">
        <v>6641</v>
      </c>
      <c r="W6741" s="122">
        <v>60139</v>
      </c>
      <c r="X6741" s="221"/>
      <c r="Y6741" s="221"/>
      <c r="Z6741" s="221"/>
      <c r="AA6741" s="221"/>
      <c r="AB6741" s="223"/>
    </row>
    <row r="6742" spans="1:28" ht="17.100000000000001" customHeight="1" thickTop="1">
      <c r="A6742" s="226" t="s">
        <v>18837</v>
      </c>
      <c r="B6742" s="28">
        <v>46085</v>
      </c>
      <c r="C6742" s="25">
        <v>2345</v>
      </c>
      <c r="D6742" s="13" t="s">
        <v>3327</v>
      </c>
      <c r="E6742" s="228"/>
      <c r="F6742" s="109" t="s">
        <v>18839</v>
      </c>
      <c r="G6742" s="24"/>
      <c r="H6742" s="230">
        <v>4</v>
      </c>
      <c r="I6742" s="220">
        <v>1115000</v>
      </c>
      <c r="J6742" s="220">
        <f>I6742*0.1</f>
        <v>111500</v>
      </c>
      <c r="K6742" s="220">
        <v>0</v>
      </c>
      <c r="L6742" s="220">
        <v>11010</v>
      </c>
      <c r="M6742" s="220">
        <v>16500</v>
      </c>
      <c r="N6742" s="220">
        <f>SUM(I6742:M6743)</f>
        <v>1254010</v>
      </c>
      <c r="O6742" s="224"/>
      <c r="P6742" s="110" t="s">
        <v>19264</v>
      </c>
      <c r="Q6742" s="15" t="s">
        <v>19</v>
      </c>
      <c r="R6742" s="205"/>
      <c r="S6742" s="189" t="s">
        <v>25830</v>
      </c>
      <c r="T6742" s="114"/>
      <c r="U6742" s="21"/>
      <c r="V6742" s="115">
        <v>46099</v>
      </c>
      <c r="W6742" s="116">
        <v>1009</v>
      </c>
      <c r="X6742" s="220">
        <v>1200000</v>
      </c>
      <c r="Y6742" s="220">
        <f>X6742*0.1</f>
        <v>120000</v>
      </c>
      <c r="Z6742" s="220">
        <v>11010</v>
      </c>
      <c r="AA6742" s="220">
        <f>SUM(X6742:Z6742)</f>
        <v>1331010</v>
      </c>
      <c r="AB6742" s="222">
        <v>46106</v>
      </c>
    </row>
    <row r="6743" spans="1:28" ht="17.100000000000001" customHeight="1" thickBot="1">
      <c r="A6743" s="227"/>
      <c r="B6743" s="27" t="s">
        <v>3367</v>
      </c>
      <c r="C6743" s="27">
        <v>60232</v>
      </c>
      <c r="D6743" s="14" t="s">
        <v>2559</v>
      </c>
      <c r="E6743" s="229"/>
      <c r="F6743" s="117" t="s">
        <v>18840</v>
      </c>
      <c r="G6743" s="26">
        <v>38816</v>
      </c>
      <c r="H6743" s="231"/>
      <c r="I6743" s="221"/>
      <c r="J6743" s="221"/>
      <c r="K6743" s="221"/>
      <c r="L6743" s="221"/>
      <c r="M6743" s="221"/>
      <c r="N6743" s="221"/>
      <c r="O6743" s="225"/>
      <c r="P6743" s="118" t="s">
        <v>13107</v>
      </c>
      <c r="Q6743" s="16" t="s">
        <v>20</v>
      </c>
      <c r="R6743" s="17" t="s">
        <v>2644</v>
      </c>
      <c r="S6743" s="121" t="s">
        <v>19265</v>
      </c>
      <c r="T6743" s="122"/>
      <c r="U6743" s="22"/>
      <c r="V6743" s="123" t="s">
        <v>7161</v>
      </c>
      <c r="W6743" s="122">
        <v>5152</v>
      </c>
      <c r="X6743" s="221"/>
      <c r="Y6743" s="221"/>
      <c r="Z6743" s="221"/>
      <c r="AA6743" s="221"/>
      <c r="AB6743" s="223"/>
    </row>
    <row r="6744" spans="1:28" ht="17.100000000000001" customHeight="1" thickTop="1">
      <c r="A6744" s="226" t="s">
        <v>18997</v>
      </c>
      <c r="B6744" s="28">
        <v>46083</v>
      </c>
      <c r="C6744" s="25"/>
      <c r="D6744" s="13" t="s">
        <v>1808</v>
      </c>
      <c r="E6744" s="228"/>
      <c r="F6744" s="109" t="s">
        <v>4272</v>
      </c>
      <c r="G6744" s="24" t="s">
        <v>18995</v>
      </c>
      <c r="H6744" s="230"/>
      <c r="I6744" s="220">
        <v>1700000</v>
      </c>
      <c r="J6744" s="220">
        <v>0</v>
      </c>
      <c r="K6744" s="220">
        <v>0</v>
      </c>
      <c r="L6744" s="220"/>
      <c r="M6744" s="220"/>
      <c r="N6744" s="220">
        <f>SUM(I6744:M6745)</f>
        <v>1700000</v>
      </c>
      <c r="O6744" s="224"/>
      <c r="P6744" s="110" t="s">
        <v>18996</v>
      </c>
      <c r="Q6744" s="15" t="s">
        <v>19</v>
      </c>
      <c r="R6744" s="205"/>
      <c r="S6744" s="189"/>
      <c r="T6744" s="114"/>
      <c r="U6744" s="21" t="s">
        <v>20470</v>
      </c>
      <c r="V6744" s="115"/>
      <c r="W6744" s="116"/>
      <c r="X6744" s="220"/>
      <c r="Y6744" s="220">
        <f>X6744*0.1</f>
        <v>0</v>
      </c>
      <c r="Z6744" s="220"/>
      <c r="AA6744" s="220">
        <f>SUM(X6744:Z6744)</f>
        <v>0</v>
      </c>
      <c r="AB6744" s="222"/>
    </row>
    <row r="6745" spans="1:28" ht="17.100000000000001" customHeight="1" thickBot="1">
      <c r="A6745" s="227"/>
      <c r="B6745" s="27" t="s">
        <v>18993</v>
      </c>
      <c r="C6745" s="27"/>
      <c r="D6745" s="14"/>
      <c r="E6745" s="229"/>
      <c r="F6745" s="117" t="s">
        <v>18994</v>
      </c>
      <c r="G6745" s="26">
        <v>54328</v>
      </c>
      <c r="H6745" s="231"/>
      <c r="I6745" s="221"/>
      <c r="J6745" s="221"/>
      <c r="K6745" s="221"/>
      <c r="L6745" s="221"/>
      <c r="M6745" s="221"/>
      <c r="N6745" s="221"/>
      <c r="O6745" s="225"/>
      <c r="P6745" s="118" t="s">
        <v>3545</v>
      </c>
      <c r="Q6745" s="16" t="s">
        <v>20</v>
      </c>
      <c r="R6745" s="17" t="s">
        <v>2324</v>
      </c>
      <c r="S6745" s="121" t="s">
        <v>169</v>
      </c>
      <c r="T6745" s="122"/>
      <c r="U6745" s="22"/>
      <c r="V6745" s="123"/>
      <c r="W6745" s="122"/>
      <c r="X6745" s="221"/>
      <c r="Y6745" s="221"/>
      <c r="Z6745" s="221"/>
      <c r="AA6745" s="221"/>
      <c r="AB6745" s="223"/>
    </row>
    <row r="6746" spans="1:28" ht="17.100000000000001" customHeight="1" thickTop="1">
      <c r="A6746" s="226" t="s">
        <v>19004</v>
      </c>
      <c r="B6746" s="28">
        <v>46085</v>
      </c>
      <c r="C6746" s="25">
        <v>1828</v>
      </c>
      <c r="D6746" s="13" t="s">
        <v>2392</v>
      </c>
      <c r="E6746" s="228"/>
      <c r="F6746" s="109" t="s">
        <v>19011</v>
      </c>
      <c r="G6746" s="24"/>
      <c r="H6746" s="230">
        <v>4.5</v>
      </c>
      <c r="I6746" s="220">
        <v>796000</v>
      </c>
      <c r="J6746" s="220">
        <f>I6746*0.1</f>
        <v>79600</v>
      </c>
      <c r="K6746" s="220">
        <v>0</v>
      </c>
      <c r="L6746" s="220">
        <v>7860</v>
      </c>
      <c r="M6746" s="220">
        <v>18150</v>
      </c>
      <c r="N6746" s="220">
        <f>SUM(I6746:M6747)</f>
        <v>901610</v>
      </c>
      <c r="O6746" s="224"/>
      <c r="P6746" s="110" t="s">
        <v>19029</v>
      </c>
      <c r="Q6746" s="15" t="s">
        <v>19</v>
      </c>
      <c r="R6746" s="205"/>
      <c r="S6746" s="189" t="s">
        <v>25386</v>
      </c>
      <c r="T6746" s="114"/>
      <c r="U6746" s="21"/>
      <c r="V6746" s="115">
        <v>46095</v>
      </c>
      <c r="W6746" s="116">
        <v>1292</v>
      </c>
      <c r="X6746" s="220">
        <v>865000</v>
      </c>
      <c r="Y6746" s="220">
        <f>X6746*0.1</f>
        <v>86500</v>
      </c>
      <c r="Z6746" s="220">
        <v>7860</v>
      </c>
      <c r="AA6746" s="220">
        <f>SUM(X6746:Z6746)</f>
        <v>959360</v>
      </c>
      <c r="AB6746" s="222">
        <v>46098</v>
      </c>
    </row>
    <row r="6747" spans="1:28" ht="17.100000000000001" customHeight="1" thickBot="1">
      <c r="A6747" s="227"/>
      <c r="B6747" s="27" t="s">
        <v>19003</v>
      </c>
      <c r="C6747" s="27">
        <v>3151</v>
      </c>
      <c r="D6747" s="14" t="s">
        <v>1710</v>
      </c>
      <c r="E6747" s="229"/>
      <c r="F6747" s="117" t="s">
        <v>19012</v>
      </c>
      <c r="G6747" s="26">
        <v>44306</v>
      </c>
      <c r="H6747" s="231"/>
      <c r="I6747" s="221"/>
      <c r="J6747" s="221"/>
      <c r="K6747" s="221"/>
      <c r="L6747" s="221"/>
      <c r="M6747" s="221"/>
      <c r="N6747" s="221"/>
      <c r="O6747" s="225"/>
      <c r="P6747" s="118" t="s">
        <v>9169</v>
      </c>
      <c r="Q6747" s="16" t="s">
        <v>20</v>
      </c>
      <c r="R6747" s="17" t="s">
        <v>2637</v>
      </c>
      <c r="S6747" s="121" t="s">
        <v>19030</v>
      </c>
      <c r="T6747" s="122"/>
      <c r="U6747" s="22"/>
      <c r="V6747" s="123" t="s">
        <v>2472</v>
      </c>
      <c r="W6747" s="122">
        <v>60318</v>
      </c>
      <c r="X6747" s="221"/>
      <c r="Y6747" s="221"/>
      <c r="Z6747" s="221"/>
      <c r="AA6747" s="221"/>
      <c r="AB6747" s="223"/>
    </row>
    <row r="6748" spans="1:28" ht="17.100000000000001" customHeight="1" thickTop="1">
      <c r="A6748" s="226" t="s">
        <v>19005</v>
      </c>
      <c r="B6748" s="28">
        <v>46085</v>
      </c>
      <c r="C6748" s="25">
        <v>1828</v>
      </c>
      <c r="D6748" s="13" t="s">
        <v>2295</v>
      </c>
      <c r="E6748" s="228"/>
      <c r="F6748" s="109" t="s">
        <v>7498</v>
      </c>
      <c r="G6748" s="24" t="s">
        <v>4239</v>
      </c>
      <c r="H6748" s="230">
        <v>4.5</v>
      </c>
      <c r="I6748" s="220">
        <v>1012000</v>
      </c>
      <c r="J6748" s="220">
        <f>I6748*0.1</f>
        <v>101200</v>
      </c>
      <c r="K6748" s="220">
        <v>10800</v>
      </c>
      <c r="L6748" s="220">
        <v>9080</v>
      </c>
      <c r="M6748" s="220">
        <v>18150</v>
      </c>
      <c r="N6748" s="220">
        <f>SUM(I6748:M6749)</f>
        <v>1151230</v>
      </c>
      <c r="O6748" s="224"/>
      <c r="P6748" s="110" t="s">
        <v>19016</v>
      </c>
      <c r="Q6748" s="15" t="s">
        <v>19</v>
      </c>
      <c r="R6748" s="205"/>
      <c r="S6748" s="189"/>
      <c r="T6748" s="114"/>
      <c r="U6748" s="21"/>
      <c r="V6748" s="115">
        <v>46088</v>
      </c>
      <c r="W6748" s="116">
        <v>1291</v>
      </c>
      <c r="X6748" s="220">
        <v>1070000</v>
      </c>
      <c r="Y6748" s="220">
        <f>X6748*0.1</f>
        <v>107000</v>
      </c>
      <c r="Z6748" s="220">
        <v>9080</v>
      </c>
      <c r="AA6748" s="220">
        <f>SUM(X6748:Z6748)</f>
        <v>1186080</v>
      </c>
      <c r="AB6748" s="222">
        <v>46093</v>
      </c>
    </row>
    <row r="6749" spans="1:28" ht="17.100000000000001" customHeight="1" thickBot="1">
      <c r="A6749" s="227"/>
      <c r="B6749" s="27" t="s">
        <v>19003</v>
      </c>
      <c r="C6749" s="27">
        <v>3206</v>
      </c>
      <c r="D6749" s="14" t="s">
        <v>3955</v>
      </c>
      <c r="E6749" s="229"/>
      <c r="F6749" s="117" t="s">
        <v>19015</v>
      </c>
      <c r="G6749" s="26">
        <v>27473</v>
      </c>
      <c r="H6749" s="231"/>
      <c r="I6749" s="221"/>
      <c r="J6749" s="221"/>
      <c r="K6749" s="221"/>
      <c r="L6749" s="221"/>
      <c r="M6749" s="221"/>
      <c r="N6749" s="221"/>
      <c r="O6749" s="225"/>
      <c r="P6749" s="118" t="s">
        <v>4348</v>
      </c>
      <c r="Q6749" s="16" t="s">
        <v>20</v>
      </c>
      <c r="R6749" s="17" t="s">
        <v>1623</v>
      </c>
      <c r="S6749" s="121" t="s">
        <v>169</v>
      </c>
      <c r="T6749" s="122"/>
      <c r="U6749" s="22"/>
      <c r="V6749" s="123" t="s">
        <v>2472</v>
      </c>
      <c r="W6749" s="122">
        <v>60472</v>
      </c>
      <c r="X6749" s="221"/>
      <c r="Y6749" s="221"/>
      <c r="Z6749" s="221"/>
      <c r="AA6749" s="221"/>
      <c r="AB6749" s="223"/>
    </row>
    <row r="6750" spans="1:28" ht="17.100000000000001" customHeight="1" thickTop="1">
      <c r="A6750" s="226" t="s">
        <v>19006</v>
      </c>
      <c r="B6750" s="28">
        <v>46085</v>
      </c>
      <c r="C6750" s="25">
        <v>1828</v>
      </c>
      <c r="D6750" s="13" t="s">
        <v>1839</v>
      </c>
      <c r="E6750" s="228"/>
      <c r="F6750" s="109" t="s">
        <v>19017</v>
      </c>
      <c r="G6750" s="24"/>
      <c r="H6750" s="230">
        <v>4</v>
      </c>
      <c r="I6750" s="220">
        <v>1085000</v>
      </c>
      <c r="J6750" s="220">
        <f>I6750*0.1</f>
        <v>108500</v>
      </c>
      <c r="K6750" s="220">
        <v>0</v>
      </c>
      <c r="L6750" s="220">
        <v>12470</v>
      </c>
      <c r="M6750" s="220">
        <v>18150</v>
      </c>
      <c r="N6750" s="220">
        <f>SUM(I6750:M6751)</f>
        <v>1224120</v>
      </c>
      <c r="O6750" s="224"/>
      <c r="P6750" s="110" t="s">
        <v>19543</v>
      </c>
      <c r="Q6750" s="15" t="s">
        <v>19</v>
      </c>
      <c r="R6750" s="205"/>
      <c r="S6750" s="189"/>
      <c r="T6750" s="114"/>
      <c r="U6750" s="21"/>
      <c r="V6750" s="115">
        <v>46088</v>
      </c>
      <c r="W6750" s="116">
        <v>1291</v>
      </c>
      <c r="X6750" s="220">
        <v>1150000</v>
      </c>
      <c r="Y6750" s="220">
        <f>X6750*0.1</f>
        <v>115000</v>
      </c>
      <c r="Z6750" s="220">
        <v>12470</v>
      </c>
      <c r="AA6750" s="220">
        <f>SUM(X6750:Z6750)</f>
        <v>1277470</v>
      </c>
      <c r="AB6750" s="222">
        <v>46098</v>
      </c>
    </row>
    <row r="6751" spans="1:28" ht="17.100000000000001" customHeight="1" thickBot="1">
      <c r="A6751" s="227"/>
      <c r="B6751" s="27" t="s">
        <v>19003</v>
      </c>
      <c r="C6751" s="27">
        <v>30196</v>
      </c>
      <c r="D6751" s="14" t="s">
        <v>273</v>
      </c>
      <c r="E6751" s="229"/>
      <c r="F6751" s="117" t="s">
        <v>19018</v>
      </c>
      <c r="G6751" s="26">
        <v>96338</v>
      </c>
      <c r="H6751" s="231"/>
      <c r="I6751" s="221"/>
      <c r="J6751" s="221"/>
      <c r="K6751" s="221"/>
      <c r="L6751" s="221"/>
      <c r="M6751" s="221"/>
      <c r="N6751" s="221"/>
      <c r="O6751" s="225"/>
      <c r="P6751" s="118" t="s">
        <v>19544</v>
      </c>
      <c r="Q6751" s="16" t="s">
        <v>20</v>
      </c>
      <c r="R6751" s="17" t="s">
        <v>3332</v>
      </c>
      <c r="S6751" s="121" t="s">
        <v>19545</v>
      </c>
      <c r="T6751" s="122"/>
      <c r="U6751" s="22"/>
      <c r="V6751" s="123" t="s">
        <v>6641</v>
      </c>
      <c r="W6751" s="122">
        <v>142</v>
      </c>
      <c r="X6751" s="221"/>
      <c r="Y6751" s="221"/>
      <c r="Z6751" s="221"/>
      <c r="AA6751" s="221"/>
      <c r="AB6751" s="223"/>
    </row>
    <row r="6752" spans="1:28" ht="17.100000000000001" customHeight="1" thickTop="1">
      <c r="A6752" s="226" t="s">
        <v>19007</v>
      </c>
      <c r="B6752" s="28">
        <v>46085</v>
      </c>
      <c r="C6752" s="25">
        <v>1828</v>
      </c>
      <c r="D6752" s="13" t="s">
        <v>1746</v>
      </c>
      <c r="E6752" s="228"/>
      <c r="F6752" s="109" t="s">
        <v>1916</v>
      </c>
      <c r="G6752" s="24" t="s">
        <v>1551</v>
      </c>
      <c r="H6752" s="230">
        <v>4</v>
      </c>
      <c r="I6752" s="220">
        <v>490000</v>
      </c>
      <c r="J6752" s="220">
        <f>I6752*0.1</f>
        <v>49000</v>
      </c>
      <c r="K6752" s="220">
        <v>34500</v>
      </c>
      <c r="L6752" s="220">
        <v>17700</v>
      </c>
      <c r="M6752" s="220">
        <v>18150</v>
      </c>
      <c r="N6752" s="220">
        <f>SUM(I6752:M6753)</f>
        <v>609350</v>
      </c>
      <c r="O6752" s="224"/>
      <c r="P6752" s="110" t="s">
        <v>19020</v>
      </c>
      <c r="Q6752" s="15" t="s">
        <v>19</v>
      </c>
      <c r="R6752" s="205"/>
      <c r="S6752" s="189"/>
      <c r="T6752" s="114"/>
      <c r="U6752" s="21"/>
      <c r="V6752" s="115">
        <v>46088</v>
      </c>
      <c r="W6752" s="116">
        <v>1291</v>
      </c>
      <c r="X6752" s="220">
        <v>620000</v>
      </c>
      <c r="Y6752" s="220">
        <f>X6752*0.1</f>
        <v>62000</v>
      </c>
      <c r="Z6752" s="220">
        <v>17700</v>
      </c>
      <c r="AA6752" s="220">
        <f>SUM(X6752:Z6752)</f>
        <v>699700</v>
      </c>
      <c r="AB6752" s="222">
        <v>46093</v>
      </c>
    </row>
    <row r="6753" spans="1:28" ht="17.100000000000001" customHeight="1" thickBot="1">
      <c r="A6753" s="227"/>
      <c r="B6753" s="27" t="s">
        <v>19003</v>
      </c>
      <c r="C6753" s="27">
        <v>38044</v>
      </c>
      <c r="D6753" s="14" t="s">
        <v>17470</v>
      </c>
      <c r="E6753" s="229"/>
      <c r="F6753" s="117" t="s">
        <v>19019</v>
      </c>
      <c r="G6753" s="26">
        <v>65858</v>
      </c>
      <c r="H6753" s="231"/>
      <c r="I6753" s="221"/>
      <c r="J6753" s="221"/>
      <c r="K6753" s="221"/>
      <c r="L6753" s="221"/>
      <c r="M6753" s="221"/>
      <c r="N6753" s="221"/>
      <c r="O6753" s="225"/>
      <c r="P6753" s="118" t="s">
        <v>19357</v>
      </c>
      <c r="Q6753" s="16" t="s">
        <v>20</v>
      </c>
      <c r="R6753" s="17" t="s">
        <v>1623</v>
      </c>
      <c r="S6753" s="121" t="s">
        <v>19358</v>
      </c>
      <c r="T6753" s="122"/>
      <c r="U6753" s="22"/>
      <c r="V6753" s="123" t="s">
        <v>6641</v>
      </c>
      <c r="W6753" s="122">
        <v>80349</v>
      </c>
      <c r="X6753" s="221"/>
      <c r="Y6753" s="221"/>
      <c r="Z6753" s="221"/>
      <c r="AA6753" s="221"/>
      <c r="AB6753" s="223"/>
    </row>
    <row r="6754" spans="1:28" ht="17.100000000000001" customHeight="1" thickTop="1">
      <c r="A6754" s="226" t="s">
        <v>19008</v>
      </c>
      <c r="B6754" s="28">
        <v>46085</v>
      </c>
      <c r="C6754" s="25">
        <v>1828</v>
      </c>
      <c r="D6754" s="13" t="s">
        <v>3857</v>
      </c>
      <c r="E6754" s="228"/>
      <c r="F6754" s="109" t="s">
        <v>19021</v>
      </c>
      <c r="G6754" s="24"/>
      <c r="H6754" s="230">
        <v>5</v>
      </c>
      <c r="I6754" s="220">
        <v>1310000</v>
      </c>
      <c r="J6754" s="220">
        <f>I6754*0.1</f>
        <v>131000</v>
      </c>
      <c r="K6754" s="220">
        <v>0</v>
      </c>
      <c r="L6754" s="220">
        <v>18780</v>
      </c>
      <c r="M6754" s="220">
        <v>18150</v>
      </c>
      <c r="N6754" s="220">
        <f>SUM(I6754:M6755)</f>
        <v>1477930</v>
      </c>
      <c r="O6754" s="224"/>
      <c r="P6754" s="110" t="s">
        <v>19367</v>
      </c>
      <c r="Q6754" s="15" t="s">
        <v>19</v>
      </c>
      <c r="R6754" s="205"/>
      <c r="S6754" s="189"/>
      <c r="T6754" s="114"/>
      <c r="U6754" s="21"/>
      <c r="V6754" s="115">
        <v>46095</v>
      </c>
      <c r="W6754" s="116">
        <v>1292</v>
      </c>
      <c r="X6754" s="220">
        <v>1430000</v>
      </c>
      <c r="Y6754" s="220">
        <f>X6754*0.1</f>
        <v>143000</v>
      </c>
      <c r="Z6754" s="220">
        <v>18780</v>
      </c>
      <c r="AA6754" s="220">
        <f>SUM(X6754:Z6754)</f>
        <v>1591780</v>
      </c>
      <c r="AB6754" s="222">
        <v>46098</v>
      </c>
    </row>
    <row r="6755" spans="1:28" ht="17.100000000000001" customHeight="1" thickBot="1">
      <c r="A6755" s="227"/>
      <c r="B6755" s="27" t="s">
        <v>19003</v>
      </c>
      <c r="C6755" s="27">
        <v>38065</v>
      </c>
      <c r="D6755" s="14" t="s">
        <v>2559</v>
      </c>
      <c r="E6755" s="229"/>
      <c r="F6755" s="117" t="s">
        <v>19022</v>
      </c>
      <c r="G6755" s="26">
        <v>22297</v>
      </c>
      <c r="H6755" s="231"/>
      <c r="I6755" s="221"/>
      <c r="J6755" s="221"/>
      <c r="K6755" s="221"/>
      <c r="L6755" s="221"/>
      <c r="M6755" s="221"/>
      <c r="N6755" s="221"/>
      <c r="O6755" s="225"/>
      <c r="P6755" s="118" t="s">
        <v>4348</v>
      </c>
      <c r="Q6755" s="16" t="s">
        <v>20</v>
      </c>
      <c r="R6755" s="17" t="s">
        <v>1623</v>
      </c>
      <c r="S6755" s="121" t="s">
        <v>1731</v>
      </c>
      <c r="T6755" s="122"/>
      <c r="U6755" s="22"/>
      <c r="V6755" s="123" t="s">
        <v>2472</v>
      </c>
      <c r="W6755" s="122">
        <v>80015</v>
      </c>
      <c r="X6755" s="221"/>
      <c r="Y6755" s="221"/>
      <c r="Z6755" s="221"/>
      <c r="AA6755" s="221"/>
      <c r="AB6755" s="223"/>
    </row>
    <row r="6756" spans="1:28" ht="17.100000000000001" customHeight="1" thickTop="1">
      <c r="A6756" s="226" t="s">
        <v>19009</v>
      </c>
      <c r="B6756" s="28">
        <v>46085</v>
      </c>
      <c r="C6756" s="25">
        <v>1828</v>
      </c>
      <c r="D6756" s="13" t="s">
        <v>1983</v>
      </c>
      <c r="E6756" s="228"/>
      <c r="F6756" s="109" t="s">
        <v>19023</v>
      </c>
      <c r="G6756" s="24" t="s">
        <v>2038</v>
      </c>
      <c r="H6756" s="230">
        <v>4.5</v>
      </c>
      <c r="I6756" s="220">
        <v>1760000</v>
      </c>
      <c r="J6756" s="220">
        <f>I6756*0.1</f>
        <v>176000</v>
      </c>
      <c r="K6756" s="220">
        <v>30500</v>
      </c>
      <c r="L6756" s="220">
        <v>18330</v>
      </c>
      <c r="M6756" s="220">
        <v>18150</v>
      </c>
      <c r="N6756" s="220">
        <f>SUM(I6756:M6757)</f>
        <v>2002980</v>
      </c>
      <c r="O6756" s="224"/>
      <c r="P6756" s="110" t="s">
        <v>19025</v>
      </c>
      <c r="Q6756" s="15" t="s">
        <v>19</v>
      </c>
      <c r="R6756" s="205"/>
      <c r="S6756" s="189" t="s">
        <v>25831</v>
      </c>
      <c r="T6756" s="114"/>
      <c r="U6756" s="21"/>
      <c r="V6756" s="115">
        <v>46144</v>
      </c>
      <c r="W6756" s="116">
        <v>1299</v>
      </c>
      <c r="X6756" s="220">
        <v>1880000</v>
      </c>
      <c r="Y6756" s="220">
        <f>X6756*0.1</f>
        <v>188000</v>
      </c>
      <c r="Z6756" s="220">
        <v>18330</v>
      </c>
      <c r="AA6756" s="220">
        <f>SUM(X6756:Z6756)</f>
        <v>2086330</v>
      </c>
      <c r="AB6756" s="222">
        <v>46156</v>
      </c>
    </row>
    <row r="6757" spans="1:28" ht="17.100000000000001" customHeight="1" thickBot="1">
      <c r="A6757" s="227"/>
      <c r="B6757" s="27" t="s">
        <v>19003</v>
      </c>
      <c r="C6757" s="27">
        <v>38109</v>
      </c>
      <c r="D6757" s="14" t="s">
        <v>2753</v>
      </c>
      <c r="E6757" s="229"/>
      <c r="F6757" s="117" t="s">
        <v>19024</v>
      </c>
      <c r="G6757" s="26">
        <v>59253</v>
      </c>
      <c r="H6757" s="231"/>
      <c r="I6757" s="221"/>
      <c r="J6757" s="221"/>
      <c r="K6757" s="221"/>
      <c r="L6757" s="221"/>
      <c r="M6757" s="221"/>
      <c r="N6757" s="221"/>
      <c r="O6757" s="225"/>
      <c r="P6757" s="118" t="s">
        <v>19368</v>
      </c>
      <c r="Q6757" s="16" t="s">
        <v>20</v>
      </c>
      <c r="R6757" s="17" t="s">
        <v>1623</v>
      </c>
      <c r="S6757" s="121" t="s">
        <v>1606</v>
      </c>
      <c r="T6757" s="122"/>
      <c r="U6757" s="22"/>
      <c r="V6757" s="123" t="s">
        <v>6641</v>
      </c>
      <c r="W6757" s="122">
        <v>80037</v>
      </c>
      <c r="X6757" s="221"/>
      <c r="Y6757" s="221"/>
      <c r="Z6757" s="221"/>
      <c r="AA6757" s="221"/>
      <c r="AB6757" s="223"/>
    </row>
    <row r="6758" spans="1:28" ht="17.100000000000001" customHeight="1" thickTop="1">
      <c r="A6758" s="226" t="s">
        <v>19010</v>
      </c>
      <c r="B6758" s="28">
        <v>46085</v>
      </c>
      <c r="C6758" s="25">
        <v>1828</v>
      </c>
      <c r="D6758" s="13" t="s">
        <v>2113</v>
      </c>
      <c r="E6758" s="228"/>
      <c r="F6758" s="109" t="s">
        <v>19017</v>
      </c>
      <c r="G6758" s="24"/>
      <c r="H6758" s="230">
        <v>4</v>
      </c>
      <c r="I6758" s="220">
        <v>1163000</v>
      </c>
      <c r="J6758" s="220">
        <f>I6758*0.1</f>
        <v>116300</v>
      </c>
      <c r="K6758" s="220">
        <v>0</v>
      </c>
      <c r="L6758" s="220">
        <v>12470</v>
      </c>
      <c r="M6758" s="220">
        <v>18150</v>
      </c>
      <c r="N6758" s="220">
        <f>SUM(I6758:M6759)</f>
        <v>1309920</v>
      </c>
      <c r="O6758" s="224"/>
      <c r="P6758" s="110" t="s">
        <v>19356</v>
      </c>
      <c r="Q6758" s="15" t="s">
        <v>19</v>
      </c>
      <c r="R6758" s="205"/>
      <c r="S6758" s="189"/>
      <c r="T6758" s="114"/>
      <c r="U6758" s="21"/>
      <c r="V6758" s="115">
        <v>46088</v>
      </c>
      <c r="W6758" s="116">
        <v>1291</v>
      </c>
      <c r="X6758" s="220">
        <v>1250000</v>
      </c>
      <c r="Y6758" s="220">
        <f>X6758*0.1</f>
        <v>125000</v>
      </c>
      <c r="Z6758" s="220">
        <v>12470</v>
      </c>
      <c r="AA6758" s="220">
        <f>SUM(X6758:Z6758)</f>
        <v>1387470</v>
      </c>
      <c r="AB6758" s="222">
        <v>46093</v>
      </c>
    </row>
    <row r="6759" spans="1:28" ht="17.100000000000001" customHeight="1" thickBot="1">
      <c r="A6759" s="227"/>
      <c r="B6759" s="27" t="s">
        <v>19003</v>
      </c>
      <c r="C6759" s="27">
        <v>90182</v>
      </c>
      <c r="D6759" s="14" t="s">
        <v>2559</v>
      </c>
      <c r="E6759" s="229"/>
      <c r="F6759" s="117" t="s">
        <v>19026</v>
      </c>
      <c r="G6759" s="26">
        <v>87284</v>
      </c>
      <c r="H6759" s="231"/>
      <c r="I6759" s="221"/>
      <c r="J6759" s="221"/>
      <c r="K6759" s="221"/>
      <c r="L6759" s="221"/>
      <c r="M6759" s="221"/>
      <c r="N6759" s="221"/>
      <c r="O6759" s="225"/>
      <c r="P6759" s="118" t="s">
        <v>2755</v>
      </c>
      <c r="Q6759" s="16" t="s">
        <v>20</v>
      </c>
      <c r="R6759" s="17" t="s">
        <v>1623</v>
      </c>
      <c r="S6759" s="121" t="s">
        <v>9616</v>
      </c>
      <c r="T6759" s="122"/>
      <c r="U6759" s="22"/>
      <c r="V6759" s="123" t="s">
        <v>2472</v>
      </c>
      <c r="W6759" s="122">
        <v>151</v>
      </c>
      <c r="X6759" s="221"/>
      <c r="Y6759" s="221"/>
      <c r="Z6759" s="221"/>
      <c r="AA6759" s="221"/>
      <c r="AB6759" s="223"/>
    </row>
    <row r="6760" spans="1:28" ht="17.100000000000001" customHeight="1" thickTop="1">
      <c r="A6760" s="226" t="s">
        <v>19014</v>
      </c>
      <c r="B6760" s="28">
        <v>46086</v>
      </c>
      <c r="C6760" s="25">
        <v>1321</v>
      </c>
      <c r="D6760" s="13" t="s">
        <v>1961</v>
      </c>
      <c r="E6760" s="228"/>
      <c r="F6760" s="109" t="s">
        <v>19028</v>
      </c>
      <c r="G6760" s="24"/>
      <c r="H6760" s="230">
        <v>4.5</v>
      </c>
      <c r="I6760" s="220">
        <v>1965000</v>
      </c>
      <c r="J6760" s="220">
        <f>I6760*0.1</f>
        <v>196500</v>
      </c>
      <c r="K6760" s="220">
        <v>0</v>
      </c>
      <c r="L6760" s="220">
        <v>18170</v>
      </c>
      <c r="M6760" s="220">
        <v>16500</v>
      </c>
      <c r="N6760" s="220">
        <f>SUM(I6760:M6761)</f>
        <v>2196170</v>
      </c>
      <c r="O6760" s="224"/>
      <c r="P6760" s="110" t="s">
        <v>19027</v>
      </c>
      <c r="Q6760" s="15" t="s">
        <v>19</v>
      </c>
      <c r="R6760" s="205"/>
      <c r="S6760" s="189" t="s">
        <v>1312</v>
      </c>
      <c r="T6760" s="114"/>
      <c r="U6760" s="21"/>
      <c r="V6760" s="115"/>
      <c r="W6760" s="116"/>
      <c r="X6760" s="220"/>
      <c r="Y6760" s="220">
        <f>X6760*0.1</f>
        <v>0</v>
      </c>
      <c r="Z6760" s="220"/>
      <c r="AA6760" s="220">
        <f>SUM(X6760:Z6760)</f>
        <v>0</v>
      </c>
      <c r="AB6760" s="222"/>
    </row>
    <row r="6761" spans="1:28" ht="17.100000000000001" customHeight="1" thickBot="1">
      <c r="A6761" s="227"/>
      <c r="B6761" s="27" t="s">
        <v>13379</v>
      </c>
      <c r="C6761" s="27">
        <v>350</v>
      </c>
      <c r="D6761" s="14" t="s">
        <v>1568</v>
      </c>
      <c r="E6761" s="229"/>
      <c r="F6761" s="117" t="s">
        <v>19013</v>
      </c>
      <c r="G6761" s="26">
        <v>62517</v>
      </c>
      <c r="H6761" s="231"/>
      <c r="I6761" s="221"/>
      <c r="J6761" s="221"/>
      <c r="K6761" s="221"/>
      <c r="L6761" s="221"/>
      <c r="M6761" s="221"/>
      <c r="N6761" s="221"/>
      <c r="O6761" s="225"/>
      <c r="P6761" s="118" t="s">
        <v>10534</v>
      </c>
      <c r="Q6761" s="16" t="s">
        <v>20</v>
      </c>
      <c r="R6761" s="17" t="s">
        <v>2637</v>
      </c>
      <c r="S6761" s="121" t="s">
        <v>1606</v>
      </c>
      <c r="T6761" s="122"/>
      <c r="U6761" s="22"/>
      <c r="V6761" s="123"/>
      <c r="W6761" s="122"/>
      <c r="X6761" s="221"/>
      <c r="Y6761" s="221"/>
      <c r="Z6761" s="221"/>
      <c r="AA6761" s="221"/>
      <c r="AB6761" s="223"/>
    </row>
    <row r="6762" spans="1:28" ht="17.100000000000001" customHeight="1" thickTop="1">
      <c r="A6762" s="226" t="s">
        <v>19046</v>
      </c>
      <c r="B6762" s="28">
        <v>46086</v>
      </c>
      <c r="C6762" s="25">
        <v>1556</v>
      </c>
      <c r="D6762" s="13" t="s">
        <v>2573</v>
      </c>
      <c r="E6762" s="228"/>
      <c r="F6762" s="109" t="s">
        <v>19192</v>
      </c>
      <c r="G6762" s="24" t="s">
        <v>3859</v>
      </c>
      <c r="H6762" s="230">
        <v>4.5</v>
      </c>
      <c r="I6762" s="220">
        <v>3090000</v>
      </c>
      <c r="J6762" s="220">
        <f>I6762*0.1</f>
        <v>309000</v>
      </c>
      <c r="K6762" s="220">
        <v>36000</v>
      </c>
      <c r="L6762" s="220">
        <v>17670</v>
      </c>
      <c r="M6762" s="220">
        <v>16500</v>
      </c>
      <c r="N6762" s="220">
        <f>SUM(I6762:M6763)</f>
        <v>3469170</v>
      </c>
      <c r="O6762" s="224"/>
      <c r="P6762" s="110" t="s">
        <v>19194</v>
      </c>
      <c r="Q6762" s="15" t="s">
        <v>19</v>
      </c>
      <c r="R6762" s="205"/>
      <c r="S6762" s="189" t="s">
        <v>758</v>
      </c>
      <c r="T6762" s="114"/>
      <c r="U6762" s="21"/>
      <c r="V6762" s="115"/>
      <c r="W6762" s="116"/>
      <c r="X6762" s="220"/>
      <c r="Y6762" s="220">
        <f>X6762*0.1</f>
        <v>0</v>
      </c>
      <c r="Z6762" s="220"/>
      <c r="AA6762" s="220">
        <f>SUM(X6762:Z6762)</f>
        <v>0</v>
      </c>
      <c r="AB6762" s="222"/>
    </row>
    <row r="6763" spans="1:28" ht="17.100000000000001" customHeight="1" thickBot="1">
      <c r="A6763" s="227"/>
      <c r="B6763" s="27" t="s">
        <v>1592</v>
      </c>
      <c r="C6763" s="27">
        <v>75617</v>
      </c>
      <c r="D6763" s="14" t="s">
        <v>2154</v>
      </c>
      <c r="E6763" s="229"/>
      <c r="F6763" s="117" t="s">
        <v>19193</v>
      </c>
      <c r="G6763" s="26">
        <v>33860</v>
      </c>
      <c r="H6763" s="231"/>
      <c r="I6763" s="221"/>
      <c r="J6763" s="221"/>
      <c r="K6763" s="221"/>
      <c r="L6763" s="221"/>
      <c r="M6763" s="221"/>
      <c r="N6763" s="221"/>
      <c r="O6763" s="225"/>
      <c r="P6763" s="118" t="s">
        <v>19512</v>
      </c>
      <c r="Q6763" s="16" t="s">
        <v>20</v>
      </c>
      <c r="R6763" s="17" t="s">
        <v>3332</v>
      </c>
      <c r="S6763" s="121" t="s">
        <v>3071</v>
      </c>
      <c r="T6763" s="122"/>
      <c r="U6763" s="22"/>
      <c r="V6763" s="123"/>
      <c r="W6763" s="122"/>
      <c r="X6763" s="221"/>
      <c r="Y6763" s="221"/>
      <c r="Z6763" s="221"/>
      <c r="AA6763" s="221"/>
      <c r="AB6763" s="223"/>
    </row>
    <row r="6764" spans="1:28" ht="17.100000000000001" customHeight="1" thickTop="1">
      <c r="A6764" s="226" t="s">
        <v>19047</v>
      </c>
      <c r="B6764" s="28">
        <v>46086</v>
      </c>
      <c r="C6764" s="25">
        <v>2017</v>
      </c>
      <c r="D6764" s="13" t="s">
        <v>1887</v>
      </c>
      <c r="E6764" s="228"/>
      <c r="F6764" s="109" t="s">
        <v>19195</v>
      </c>
      <c r="G6764" s="24" t="s">
        <v>2494</v>
      </c>
      <c r="H6764" s="230">
        <v>4.5</v>
      </c>
      <c r="I6764" s="220">
        <v>2704000</v>
      </c>
      <c r="J6764" s="220">
        <f>I6764*0.1</f>
        <v>270400</v>
      </c>
      <c r="K6764" s="220">
        <v>30500</v>
      </c>
      <c r="L6764" s="220">
        <v>11740</v>
      </c>
      <c r="M6764" s="220">
        <v>22000</v>
      </c>
      <c r="N6764" s="220">
        <f>SUM(I6764:M6765)</f>
        <v>3038640</v>
      </c>
      <c r="O6764" s="224"/>
      <c r="P6764" s="110" t="s">
        <v>19196</v>
      </c>
      <c r="Q6764" s="15" t="s">
        <v>2945</v>
      </c>
      <c r="R6764" s="205"/>
      <c r="S6764" s="189" t="s">
        <v>25760</v>
      </c>
      <c r="T6764" s="114"/>
      <c r="U6764" s="21"/>
      <c r="V6764" s="115">
        <v>46099</v>
      </c>
      <c r="W6764" s="116">
        <v>1009</v>
      </c>
      <c r="X6764" s="220">
        <v>2805000</v>
      </c>
      <c r="Y6764" s="220">
        <f>X6764*0.1</f>
        <v>280500</v>
      </c>
      <c r="Z6764" s="220">
        <v>11740</v>
      </c>
      <c r="AA6764" s="220">
        <f>SUM(X6764:Z6764)</f>
        <v>3097240</v>
      </c>
      <c r="AB6764" s="222">
        <v>46105</v>
      </c>
    </row>
    <row r="6765" spans="1:28" ht="17.100000000000001" customHeight="1" thickBot="1">
      <c r="A6765" s="227"/>
      <c r="B6765" s="27" t="s">
        <v>2680</v>
      </c>
      <c r="C6765" s="27">
        <v>30156</v>
      </c>
      <c r="D6765" s="14" t="s">
        <v>2154</v>
      </c>
      <c r="E6765" s="229"/>
      <c r="F6765" s="117" t="s">
        <v>19071</v>
      </c>
      <c r="G6765" s="26">
        <v>116621</v>
      </c>
      <c r="H6765" s="231"/>
      <c r="I6765" s="221"/>
      <c r="J6765" s="221"/>
      <c r="K6765" s="221"/>
      <c r="L6765" s="221"/>
      <c r="M6765" s="221"/>
      <c r="N6765" s="221"/>
      <c r="O6765" s="225"/>
      <c r="P6765" s="118" t="s">
        <v>19800</v>
      </c>
      <c r="Q6765" s="16" t="s">
        <v>20</v>
      </c>
      <c r="R6765" s="17" t="s">
        <v>2657</v>
      </c>
      <c r="S6765" s="121" t="s">
        <v>1606</v>
      </c>
      <c r="T6765" s="122"/>
      <c r="U6765" s="22"/>
      <c r="V6765" s="123" t="s">
        <v>2747</v>
      </c>
      <c r="W6765" s="122">
        <v>6086</v>
      </c>
      <c r="X6765" s="221"/>
      <c r="Y6765" s="221"/>
      <c r="Z6765" s="221"/>
      <c r="AA6765" s="221"/>
      <c r="AB6765" s="223"/>
    </row>
    <row r="6766" spans="1:28" ht="17.100000000000001" customHeight="1" thickTop="1">
      <c r="A6766" s="226" t="s">
        <v>19048</v>
      </c>
      <c r="B6766" s="28">
        <v>46086</v>
      </c>
      <c r="C6766" s="25">
        <v>2017</v>
      </c>
      <c r="D6766" s="13" t="s">
        <v>2040</v>
      </c>
      <c r="E6766" s="228"/>
      <c r="F6766" s="109" t="s">
        <v>19197</v>
      </c>
      <c r="G6766" s="24"/>
      <c r="H6766" s="230">
        <v>4.5</v>
      </c>
      <c r="I6766" s="220">
        <v>2228000</v>
      </c>
      <c r="J6766" s="220">
        <f>I6766*0.1</f>
        <v>222800</v>
      </c>
      <c r="K6766" s="220">
        <v>0</v>
      </c>
      <c r="L6766" s="220">
        <v>11740</v>
      </c>
      <c r="M6766" s="220">
        <v>22000</v>
      </c>
      <c r="N6766" s="220">
        <f>SUM(I6766:M6767)</f>
        <v>2484540</v>
      </c>
      <c r="O6766" s="224"/>
      <c r="P6766" s="110" t="s">
        <v>19542</v>
      </c>
      <c r="Q6766" s="15" t="s">
        <v>19</v>
      </c>
      <c r="R6766" s="205"/>
      <c r="S6766" s="189" t="s">
        <v>25832</v>
      </c>
      <c r="T6766" s="114"/>
      <c r="U6766" s="21"/>
      <c r="V6766" s="115">
        <v>46106</v>
      </c>
      <c r="W6766" s="116">
        <v>1010</v>
      </c>
      <c r="X6766" s="220">
        <v>2285000</v>
      </c>
      <c r="Y6766" s="220">
        <f>X6766*0.1</f>
        <v>228500</v>
      </c>
      <c r="Z6766" s="220">
        <v>11740</v>
      </c>
      <c r="AA6766" s="220">
        <f>SUM(X6766:Z6766)</f>
        <v>2525240</v>
      </c>
      <c r="AB6766" s="222">
        <v>46111</v>
      </c>
    </row>
    <row r="6767" spans="1:28" ht="17.100000000000001" customHeight="1" thickBot="1">
      <c r="A6767" s="227"/>
      <c r="B6767" s="27" t="s">
        <v>2680</v>
      </c>
      <c r="C6767" s="27">
        <v>30168</v>
      </c>
      <c r="D6767" s="14" t="s">
        <v>2559</v>
      </c>
      <c r="E6767" s="229"/>
      <c r="F6767" s="117" t="s">
        <v>19072</v>
      </c>
      <c r="G6767" s="26">
        <v>31872</v>
      </c>
      <c r="H6767" s="231"/>
      <c r="I6767" s="221"/>
      <c r="J6767" s="221"/>
      <c r="K6767" s="221"/>
      <c r="L6767" s="221"/>
      <c r="M6767" s="221"/>
      <c r="N6767" s="221"/>
      <c r="O6767" s="225"/>
      <c r="P6767" s="118" t="s">
        <v>11653</v>
      </c>
      <c r="Q6767" s="16" t="s">
        <v>20</v>
      </c>
      <c r="R6767" s="17" t="s">
        <v>3332</v>
      </c>
      <c r="S6767" s="121" t="s">
        <v>14316</v>
      </c>
      <c r="T6767" s="122"/>
      <c r="U6767" s="22"/>
      <c r="V6767" s="123" t="s">
        <v>2747</v>
      </c>
      <c r="W6767" s="122">
        <v>6116</v>
      </c>
      <c r="X6767" s="221"/>
      <c r="Y6767" s="221"/>
      <c r="Z6767" s="221"/>
      <c r="AA6767" s="221"/>
      <c r="AB6767" s="223"/>
    </row>
    <row r="6768" spans="1:28" ht="17.100000000000001" customHeight="1" thickTop="1">
      <c r="A6768" s="226" t="s">
        <v>19049</v>
      </c>
      <c r="B6768" s="28">
        <v>46086</v>
      </c>
      <c r="C6768" s="25">
        <v>2017</v>
      </c>
      <c r="D6768" s="13" t="s">
        <v>1642</v>
      </c>
      <c r="E6768" s="228"/>
      <c r="F6768" s="109" t="s">
        <v>19198</v>
      </c>
      <c r="G6768" s="24"/>
      <c r="H6768" s="230">
        <v>4</v>
      </c>
      <c r="I6768" s="220">
        <v>3453000</v>
      </c>
      <c r="J6768" s="220">
        <f>I6768*0.1</f>
        <v>345300</v>
      </c>
      <c r="K6768" s="220">
        <v>0</v>
      </c>
      <c r="L6768" s="220">
        <v>12550</v>
      </c>
      <c r="M6768" s="220">
        <v>22000</v>
      </c>
      <c r="N6768" s="220">
        <f>SUM(I6768:M6769)</f>
        <v>3832850</v>
      </c>
      <c r="O6768" s="224"/>
      <c r="P6768" s="110" t="s">
        <v>19801</v>
      </c>
      <c r="Q6768" s="15" t="s">
        <v>19</v>
      </c>
      <c r="R6768" s="205"/>
      <c r="S6768" s="189" t="s">
        <v>283</v>
      </c>
      <c r="T6768" s="114"/>
      <c r="U6768" s="21"/>
      <c r="V6768" s="115">
        <v>46099</v>
      </c>
      <c r="W6768" s="116">
        <v>1009</v>
      </c>
      <c r="X6768" s="220">
        <v>3900000</v>
      </c>
      <c r="Y6768" s="220">
        <f>X6768*0.1</f>
        <v>390000</v>
      </c>
      <c r="Z6768" s="220">
        <v>12550</v>
      </c>
      <c r="AA6768" s="220">
        <f>SUM(X6768:Z6768)</f>
        <v>4302550</v>
      </c>
      <c r="AB6768" s="222">
        <v>46105</v>
      </c>
    </row>
    <row r="6769" spans="1:28" ht="17.100000000000001" customHeight="1" thickBot="1">
      <c r="A6769" s="227"/>
      <c r="B6769" s="27" t="s">
        <v>2680</v>
      </c>
      <c r="C6769" s="27">
        <v>30185</v>
      </c>
      <c r="D6769" s="14" t="s">
        <v>2559</v>
      </c>
      <c r="E6769" s="229"/>
      <c r="F6769" s="117" t="s">
        <v>19073</v>
      </c>
      <c r="G6769" s="26">
        <v>12292</v>
      </c>
      <c r="H6769" s="231"/>
      <c r="I6769" s="221"/>
      <c r="J6769" s="221"/>
      <c r="K6769" s="221"/>
      <c r="L6769" s="221"/>
      <c r="M6769" s="221"/>
      <c r="N6769" s="221"/>
      <c r="O6769" s="225"/>
      <c r="P6769" s="118" t="s">
        <v>14723</v>
      </c>
      <c r="Q6769" s="16" t="s">
        <v>20</v>
      </c>
      <c r="R6769" s="17" t="s">
        <v>2657</v>
      </c>
      <c r="S6769" s="121" t="s">
        <v>1731</v>
      </c>
      <c r="T6769" s="122"/>
      <c r="U6769" s="22"/>
      <c r="V6769" s="123" t="s">
        <v>2747</v>
      </c>
      <c r="W6769" s="122">
        <v>6098</v>
      </c>
      <c r="X6769" s="221"/>
      <c r="Y6769" s="221"/>
      <c r="Z6769" s="221"/>
      <c r="AA6769" s="221"/>
      <c r="AB6769" s="223"/>
    </row>
    <row r="6770" spans="1:28" ht="17.100000000000001" customHeight="1" thickTop="1">
      <c r="A6770" s="226" t="s">
        <v>19050</v>
      </c>
      <c r="B6770" s="28">
        <v>46086</v>
      </c>
      <c r="C6770" s="25">
        <v>2017</v>
      </c>
      <c r="D6770" s="13" t="s">
        <v>2239</v>
      </c>
      <c r="E6770" s="228"/>
      <c r="F6770" s="109" t="s">
        <v>19199</v>
      </c>
      <c r="G6770" s="24" t="s">
        <v>3859</v>
      </c>
      <c r="H6770" s="230">
        <v>4</v>
      </c>
      <c r="I6770" s="220">
        <v>608000</v>
      </c>
      <c r="J6770" s="220">
        <f>I6770*0.1</f>
        <v>60800</v>
      </c>
      <c r="K6770" s="220">
        <v>0</v>
      </c>
      <c r="L6770" s="220">
        <v>8510</v>
      </c>
      <c r="M6770" s="220">
        <v>22000</v>
      </c>
      <c r="N6770" s="220">
        <f>SUM(I6770:M6771)</f>
        <v>699310</v>
      </c>
      <c r="O6770" s="224"/>
      <c r="P6770" s="110" t="s">
        <v>19510</v>
      </c>
      <c r="Q6770" s="15" t="s">
        <v>19</v>
      </c>
      <c r="R6770" s="205"/>
      <c r="S6770" s="189" t="s">
        <v>25833</v>
      </c>
      <c r="T6770" s="114"/>
      <c r="U6770" s="21"/>
      <c r="V6770" s="115">
        <v>46092</v>
      </c>
      <c r="W6770" s="116">
        <v>1008</v>
      </c>
      <c r="X6770" s="220">
        <v>670000</v>
      </c>
      <c r="Y6770" s="220">
        <f>X6770*0.1</f>
        <v>67000</v>
      </c>
      <c r="Z6770" s="220">
        <v>8510</v>
      </c>
      <c r="AA6770" s="220">
        <f>SUM(X6770:Z6770)</f>
        <v>745510</v>
      </c>
      <c r="AB6770" s="222">
        <v>46098</v>
      </c>
    </row>
    <row r="6771" spans="1:28" ht="17.100000000000001" customHeight="1" thickBot="1">
      <c r="A6771" s="227"/>
      <c r="B6771" s="27" t="s">
        <v>2680</v>
      </c>
      <c r="C6771" s="27">
        <v>50034</v>
      </c>
      <c r="D6771" s="14" t="s">
        <v>1584</v>
      </c>
      <c r="E6771" s="229"/>
      <c r="F6771" s="117" t="s">
        <v>19074</v>
      </c>
      <c r="G6771" s="26">
        <v>67173</v>
      </c>
      <c r="H6771" s="231"/>
      <c r="I6771" s="221"/>
      <c r="J6771" s="221"/>
      <c r="K6771" s="221"/>
      <c r="L6771" s="221"/>
      <c r="M6771" s="221"/>
      <c r="N6771" s="221"/>
      <c r="O6771" s="225"/>
      <c r="P6771" s="118" t="s">
        <v>3919</v>
      </c>
      <c r="Q6771" s="16" t="s">
        <v>20</v>
      </c>
      <c r="R6771" s="17" t="s">
        <v>3332</v>
      </c>
      <c r="S6771" s="121" t="s">
        <v>5420</v>
      </c>
      <c r="T6771" s="122"/>
      <c r="U6771" s="22"/>
      <c r="V6771" s="123" t="s">
        <v>19459</v>
      </c>
      <c r="W6771" s="122">
        <v>5065</v>
      </c>
      <c r="X6771" s="221"/>
      <c r="Y6771" s="221"/>
      <c r="Z6771" s="221"/>
      <c r="AA6771" s="221"/>
      <c r="AB6771" s="223"/>
    </row>
    <row r="6772" spans="1:28" ht="17.100000000000001" customHeight="1" thickTop="1">
      <c r="A6772" s="226" t="s">
        <v>19051</v>
      </c>
      <c r="B6772" s="28">
        <v>46086</v>
      </c>
      <c r="C6772" s="25">
        <v>2017</v>
      </c>
      <c r="D6772" s="13" t="s">
        <v>1715</v>
      </c>
      <c r="E6772" s="228"/>
      <c r="F6772" s="109" t="s">
        <v>19200</v>
      </c>
      <c r="G6772" s="24"/>
      <c r="H6772" s="230">
        <v>4</v>
      </c>
      <c r="I6772" s="220">
        <v>980000</v>
      </c>
      <c r="J6772" s="220">
        <f>I6772*0.1</f>
        <v>98000</v>
      </c>
      <c r="K6772" s="220">
        <v>0</v>
      </c>
      <c r="L6772" s="220">
        <v>8110</v>
      </c>
      <c r="M6772" s="220">
        <v>22000</v>
      </c>
      <c r="N6772" s="220">
        <f>SUM(I6772:M6773)</f>
        <v>1108110</v>
      </c>
      <c r="O6772" s="224"/>
      <c r="P6772" s="110" t="s">
        <v>19537</v>
      </c>
      <c r="Q6772" s="15" t="s">
        <v>19</v>
      </c>
      <c r="R6772" s="205"/>
      <c r="S6772" s="189"/>
      <c r="T6772" s="114"/>
      <c r="U6772" s="21"/>
      <c r="V6772" s="115">
        <v>46130</v>
      </c>
      <c r="W6772" s="116">
        <v>1297</v>
      </c>
      <c r="X6772" s="220">
        <v>1050000</v>
      </c>
      <c r="Y6772" s="220">
        <f>X6772*0.1</f>
        <v>105000</v>
      </c>
      <c r="Z6772" s="220">
        <v>8110</v>
      </c>
      <c r="AA6772" s="220">
        <f>SUM(X6772:Z6772)</f>
        <v>1163110</v>
      </c>
      <c r="AB6772" s="222">
        <v>46135</v>
      </c>
    </row>
    <row r="6773" spans="1:28" ht="17.100000000000001" customHeight="1" thickBot="1">
      <c r="A6773" s="227"/>
      <c r="B6773" s="27" t="s">
        <v>2680</v>
      </c>
      <c r="C6773" s="27">
        <v>50069</v>
      </c>
      <c r="D6773" s="14" t="s">
        <v>2291</v>
      </c>
      <c r="E6773" s="229"/>
      <c r="F6773" s="117" t="s">
        <v>19075</v>
      </c>
      <c r="G6773" s="26">
        <v>40138</v>
      </c>
      <c r="H6773" s="231"/>
      <c r="I6773" s="221"/>
      <c r="J6773" s="221"/>
      <c r="K6773" s="221"/>
      <c r="L6773" s="221"/>
      <c r="M6773" s="221"/>
      <c r="N6773" s="221"/>
      <c r="O6773" s="225"/>
      <c r="P6773" s="118" t="s">
        <v>2968</v>
      </c>
      <c r="Q6773" s="16" t="s">
        <v>20</v>
      </c>
      <c r="R6773" s="17" t="s">
        <v>3332</v>
      </c>
      <c r="S6773" s="121" t="s">
        <v>2405</v>
      </c>
      <c r="T6773" s="122"/>
      <c r="U6773" s="22"/>
      <c r="V6773" s="123" t="s">
        <v>6641</v>
      </c>
      <c r="W6773" s="122">
        <v>60003</v>
      </c>
      <c r="X6773" s="221"/>
      <c r="Y6773" s="221"/>
      <c r="Z6773" s="221"/>
      <c r="AA6773" s="221"/>
      <c r="AB6773" s="223"/>
    </row>
    <row r="6774" spans="1:28" ht="17.100000000000001" customHeight="1" thickTop="1">
      <c r="A6774" s="226" t="s">
        <v>19052</v>
      </c>
      <c r="B6774" s="28">
        <v>46086</v>
      </c>
      <c r="C6774" s="25">
        <v>2017</v>
      </c>
      <c r="D6774" s="13" t="s">
        <v>3345</v>
      </c>
      <c r="E6774" s="228"/>
      <c r="F6774" s="109" t="s">
        <v>19201</v>
      </c>
      <c r="G6774" s="24" t="s">
        <v>6610</v>
      </c>
      <c r="H6774" s="232" t="s">
        <v>4130</v>
      </c>
      <c r="I6774" s="220">
        <v>1201000</v>
      </c>
      <c r="J6774" s="220">
        <f>I6774*0.1</f>
        <v>120100</v>
      </c>
      <c r="K6774" s="220">
        <v>0</v>
      </c>
      <c r="L6774" s="220">
        <v>8200</v>
      </c>
      <c r="M6774" s="220">
        <v>22000</v>
      </c>
      <c r="N6774" s="220">
        <f>SUM(I6774:M6775)</f>
        <v>1351300</v>
      </c>
      <c r="O6774" s="224"/>
      <c r="P6774" s="110" t="s">
        <v>19202</v>
      </c>
      <c r="Q6774" s="15" t="s">
        <v>19</v>
      </c>
      <c r="R6774" s="205"/>
      <c r="S6774" s="189" t="s">
        <v>25508</v>
      </c>
      <c r="T6774" s="114"/>
      <c r="U6774" s="21" t="s">
        <v>21374</v>
      </c>
      <c r="V6774" s="115">
        <v>46113</v>
      </c>
      <c r="W6774" s="116">
        <v>1011</v>
      </c>
      <c r="X6774" s="220">
        <v>1215000</v>
      </c>
      <c r="Y6774" s="220">
        <f>X6774*0.1</f>
        <v>121500</v>
      </c>
      <c r="Z6774" s="220">
        <v>8200</v>
      </c>
      <c r="AA6774" s="220">
        <f>SUM(X6774:Z6774)</f>
        <v>1344700</v>
      </c>
      <c r="AB6774" s="222">
        <v>46119</v>
      </c>
    </row>
    <row r="6775" spans="1:28" ht="17.100000000000001" customHeight="1" thickBot="1">
      <c r="A6775" s="227"/>
      <c r="B6775" s="27" t="s">
        <v>2680</v>
      </c>
      <c r="C6775" s="27">
        <v>50095</v>
      </c>
      <c r="D6775" s="14" t="s">
        <v>1710</v>
      </c>
      <c r="E6775" s="229"/>
      <c r="F6775" s="117" t="s">
        <v>19076</v>
      </c>
      <c r="G6775" s="26">
        <v>90</v>
      </c>
      <c r="H6775" s="231"/>
      <c r="I6775" s="221"/>
      <c r="J6775" s="221"/>
      <c r="K6775" s="221"/>
      <c r="L6775" s="221"/>
      <c r="M6775" s="221"/>
      <c r="N6775" s="221"/>
      <c r="O6775" s="225"/>
      <c r="P6775" s="118" t="s">
        <v>19538</v>
      </c>
      <c r="Q6775" s="16" t="s">
        <v>20</v>
      </c>
      <c r="R6775" s="17" t="s">
        <v>3332</v>
      </c>
      <c r="S6775" s="121" t="s">
        <v>1722</v>
      </c>
      <c r="T6775" s="122"/>
      <c r="U6775" s="22"/>
      <c r="V6775" s="123" t="s">
        <v>2747</v>
      </c>
      <c r="W6775" s="122">
        <v>5036</v>
      </c>
      <c r="X6775" s="221"/>
      <c r="Y6775" s="221"/>
      <c r="Z6775" s="221"/>
      <c r="AA6775" s="221"/>
      <c r="AB6775" s="223"/>
    </row>
    <row r="6776" spans="1:28" ht="17.100000000000001" customHeight="1" thickTop="1">
      <c r="A6776" s="226" t="s">
        <v>19053</v>
      </c>
      <c r="B6776" s="28">
        <v>46086</v>
      </c>
      <c r="C6776" s="25">
        <v>2017</v>
      </c>
      <c r="D6776" s="13" t="s">
        <v>2637</v>
      </c>
      <c r="E6776" s="228"/>
      <c r="F6776" s="109" t="s">
        <v>14899</v>
      </c>
      <c r="G6776" s="24"/>
      <c r="H6776" s="230">
        <v>4</v>
      </c>
      <c r="I6776" s="220">
        <v>1103000</v>
      </c>
      <c r="J6776" s="220">
        <f>I6776*0.1</f>
        <v>110300</v>
      </c>
      <c r="K6776" s="220">
        <v>0</v>
      </c>
      <c r="L6776" s="220">
        <v>8550</v>
      </c>
      <c r="M6776" s="220">
        <v>22000</v>
      </c>
      <c r="N6776" s="220">
        <f>SUM(I6776:M6777)</f>
        <v>1243850</v>
      </c>
      <c r="O6776" s="224"/>
      <c r="P6776" s="110" t="s">
        <v>19541</v>
      </c>
      <c r="Q6776" s="15" t="s">
        <v>19</v>
      </c>
      <c r="R6776" s="205"/>
      <c r="S6776" s="189" t="s">
        <v>25834</v>
      </c>
      <c r="T6776" s="114"/>
      <c r="U6776" s="21"/>
      <c r="V6776" s="115">
        <v>46112</v>
      </c>
      <c r="W6776" s="116"/>
      <c r="X6776" s="220">
        <v>1250000</v>
      </c>
      <c r="Y6776" s="220">
        <f>X6776*0.1</f>
        <v>125000</v>
      </c>
      <c r="Z6776" s="220">
        <v>8550</v>
      </c>
      <c r="AA6776" s="220">
        <f>SUM(X6776:Z6776)</f>
        <v>1383550</v>
      </c>
      <c r="AB6776" s="222"/>
    </row>
    <row r="6777" spans="1:28" ht="17.100000000000001" customHeight="1" thickBot="1">
      <c r="A6777" s="227"/>
      <c r="B6777" s="27" t="s">
        <v>2680</v>
      </c>
      <c r="C6777" s="27">
        <v>50161</v>
      </c>
      <c r="D6777" s="14" t="s">
        <v>273</v>
      </c>
      <c r="E6777" s="229"/>
      <c r="F6777" s="117" t="s">
        <v>19077</v>
      </c>
      <c r="G6777" s="26">
        <v>32430</v>
      </c>
      <c r="H6777" s="231"/>
      <c r="I6777" s="221"/>
      <c r="J6777" s="221"/>
      <c r="K6777" s="221"/>
      <c r="L6777" s="221"/>
      <c r="M6777" s="221"/>
      <c r="N6777" s="221"/>
      <c r="O6777" s="225"/>
      <c r="P6777" s="118" t="s">
        <v>11653</v>
      </c>
      <c r="Q6777" s="16" t="s">
        <v>20</v>
      </c>
      <c r="R6777" s="17" t="s">
        <v>3332</v>
      </c>
      <c r="S6777" s="121" t="s">
        <v>4035</v>
      </c>
      <c r="T6777" s="122"/>
      <c r="U6777" s="22"/>
      <c r="V6777" s="123" t="s">
        <v>6682</v>
      </c>
      <c r="W6777" s="122">
        <v>49651</v>
      </c>
      <c r="X6777" s="221"/>
      <c r="Y6777" s="221"/>
      <c r="Z6777" s="221"/>
      <c r="AA6777" s="221"/>
      <c r="AB6777" s="223"/>
    </row>
    <row r="6778" spans="1:28" ht="17.100000000000001" customHeight="1" thickTop="1">
      <c r="A6778" s="226" t="s">
        <v>19054</v>
      </c>
      <c r="B6778" s="28">
        <v>46086</v>
      </c>
      <c r="C6778" s="25">
        <v>2017</v>
      </c>
      <c r="D6778" s="13" t="s">
        <v>1634</v>
      </c>
      <c r="E6778" s="228"/>
      <c r="F6778" s="109" t="s">
        <v>19203</v>
      </c>
      <c r="G6778" s="24" t="s">
        <v>1551</v>
      </c>
      <c r="H6778" s="230">
        <v>4</v>
      </c>
      <c r="I6778" s="220">
        <v>1064000</v>
      </c>
      <c r="J6778" s="220">
        <f>I6778*0.1</f>
        <v>106400</v>
      </c>
      <c r="K6778" s="220">
        <v>0</v>
      </c>
      <c r="L6778" s="220">
        <v>8510</v>
      </c>
      <c r="M6778" s="220">
        <v>22000</v>
      </c>
      <c r="N6778" s="220">
        <f>SUM(I6778:M6779)</f>
        <v>1200910</v>
      </c>
      <c r="O6778" s="224"/>
      <c r="P6778" s="110" t="s">
        <v>19204</v>
      </c>
      <c r="Q6778" s="15" t="s">
        <v>19</v>
      </c>
      <c r="R6778" s="205"/>
      <c r="S6778" s="189" t="s">
        <v>25721</v>
      </c>
      <c r="T6778" s="114"/>
      <c r="U6778" s="21" t="s">
        <v>20465</v>
      </c>
      <c r="V6778" s="115">
        <v>46102</v>
      </c>
      <c r="W6778" s="116">
        <v>1293</v>
      </c>
      <c r="X6778" s="220">
        <v>1200000</v>
      </c>
      <c r="Y6778" s="220">
        <f>X6778*0.1</f>
        <v>120000</v>
      </c>
      <c r="Z6778" s="220">
        <v>8510</v>
      </c>
      <c r="AA6778" s="220">
        <f>SUM(X6778:Z6778)</f>
        <v>1328510</v>
      </c>
      <c r="AB6778" s="222">
        <v>46107</v>
      </c>
    </row>
    <row r="6779" spans="1:28" ht="17.100000000000001" customHeight="1" thickBot="1">
      <c r="A6779" s="227"/>
      <c r="B6779" s="27" t="s">
        <v>2680</v>
      </c>
      <c r="C6779" s="27">
        <v>50170</v>
      </c>
      <c r="D6779" s="14" t="s">
        <v>273</v>
      </c>
      <c r="E6779" s="229"/>
      <c r="F6779" s="117" t="s">
        <v>19078</v>
      </c>
      <c r="G6779" s="26">
        <v>40229</v>
      </c>
      <c r="H6779" s="231"/>
      <c r="I6779" s="221"/>
      <c r="J6779" s="221"/>
      <c r="K6779" s="221"/>
      <c r="L6779" s="221"/>
      <c r="M6779" s="221"/>
      <c r="N6779" s="221"/>
      <c r="O6779" s="225"/>
      <c r="P6779" s="118" t="s">
        <v>2287</v>
      </c>
      <c r="Q6779" s="16" t="s">
        <v>20</v>
      </c>
      <c r="R6779" s="17" t="s">
        <v>3332</v>
      </c>
      <c r="S6779" s="121" t="s">
        <v>1731</v>
      </c>
      <c r="T6779" s="122"/>
      <c r="U6779" s="22"/>
      <c r="V6779" s="123" t="s">
        <v>6641</v>
      </c>
      <c r="W6779" s="122">
        <v>60111</v>
      </c>
      <c r="X6779" s="221"/>
      <c r="Y6779" s="221"/>
      <c r="Z6779" s="221"/>
      <c r="AA6779" s="221"/>
      <c r="AB6779" s="223"/>
    </row>
    <row r="6780" spans="1:28" ht="17.100000000000001" customHeight="1" thickTop="1">
      <c r="A6780" s="226" t="s">
        <v>19055</v>
      </c>
      <c r="B6780" s="28">
        <v>46086</v>
      </c>
      <c r="C6780" s="25">
        <v>2148</v>
      </c>
      <c r="D6780" s="13" t="s">
        <v>2324</v>
      </c>
      <c r="E6780" s="228"/>
      <c r="F6780" s="109" t="s">
        <v>15607</v>
      </c>
      <c r="G6780" s="24"/>
      <c r="H6780" s="230">
        <v>4</v>
      </c>
      <c r="I6780" s="220">
        <v>314000</v>
      </c>
      <c r="J6780" s="220">
        <f>I6780*0.1</f>
        <v>31400</v>
      </c>
      <c r="K6780" s="220">
        <v>0</v>
      </c>
      <c r="L6780" s="220">
        <v>7140</v>
      </c>
      <c r="M6780" s="220">
        <v>14300</v>
      </c>
      <c r="N6780" s="220">
        <f>SUM(I6780:M6781)</f>
        <v>366840</v>
      </c>
      <c r="O6780" s="224"/>
      <c r="P6780" s="110" t="s">
        <v>19331</v>
      </c>
      <c r="Q6780" s="15" t="s">
        <v>19</v>
      </c>
      <c r="R6780" s="205"/>
      <c r="S6780" s="189" t="s">
        <v>283</v>
      </c>
      <c r="T6780" s="114"/>
      <c r="U6780" s="21"/>
      <c r="V6780" s="115">
        <v>46099</v>
      </c>
      <c r="W6780" s="116">
        <v>1009</v>
      </c>
      <c r="X6780" s="220">
        <v>415000</v>
      </c>
      <c r="Y6780" s="220">
        <f>X6780*0.1</f>
        <v>41500</v>
      </c>
      <c r="Z6780" s="220">
        <v>7140</v>
      </c>
      <c r="AA6780" s="220">
        <f>SUM(X6780:Z6780)</f>
        <v>463640</v>
      </c>
      <c r="AB6780" s="222">
        <v>46105</v>
      </c>
    </row>
    <row r="6781" spans="1:28" ht="17.100000000000001" customHeight="1" thickBot="1">
      <c r="A6781" s="227"/>
      <c r="B6781" s="27" t="s">
        <v>1918</v>
      </c>
      <c r="C6781" s="27">
        <v>2062</v>
      </c>
      <c r="D6781" s="14" t="s">
        <v>1710</v>
      </c>
      <c r="E6781" s="229"/>
      <c r="F6781" s="117" t="s">
        <v>19097</v>
      </c>
      <c r="G6781" s="26">
        <v>53626</v>
      </c>
      <c r="H6781" s="231"/>
      <c r="I6781" s="221"/>
      <c r="J6781" s="221"/>
      <c r="K6781" s="221"/>
      <c r="L6781" s="221"/>
      <c r="M6781" s="221"/>
      <c r="N6781" s="221"/>
      <c r="O6781" s="225"/>
      <c r="P6781" s="118" t="s">
        <v>19332</v>
      </c>
      <c r="Q6781" s="16" t="s">
        <v>20</v>
      </c>
      <c r="R6781" s="17" t="s">
        <v>1623</v>
      </c>
      <c r="S6781" s="121" t="s">
        <v>2360</v>
      </c>
      <c r="T6781" s="122"/>
      <c r="U6781" s="22"/>
      <c r="V6781" s="123" t="s">
        <v>2747</v>
      </c>
      <c r="W6781" s="122">
        <v>2043</v>
      </c>
      <c r="X6781" s="221"/>
      <c r="Y6781" s="221"/>
      <c r="Z6781" s="221"/>
      <c r="AA6781" s="221"/>
      <c r="AB6781" s="223"/>
    </row>
    <row r="6782" spans="1:28" ht="17.100000000000001" customHeight="1" thickTop="1">
      <c r="A6782" s="226" t="s">
        <v>19056</v>
      </c>
      <c r="B6782" s="28">
        <v>46086</v>
      </c>
      <c r="C6782" s="25">
        <v>2148</v>
      </c>
      <c r="D6782" s="13" t="s">
        <v>2324</v>
      </c>
      <c r="E6782" s="228"/>
      <c r="F6782" s="109" t="s">
        <v>19170</v>
      </c>
      <c r="G6782" s="24"/>
      <c r="H6782" s="230">
        <v>4</v>
      </c>
      <c r="I6782" s="220">
        <v>299000</v>
      </c>
      <c r="J6782" s="220">
        <f>I6782*0.1</f>
        <v>29900</v>
      </c>
      <c r="K6782" s="220">
        <v>0</v>
      </c>
      <c r="L6782" s="220">
        <v>7140</v>
      </c>
      <c r="M6782" s="220">
        <v>14300</v>
      </c>
      <c r="N6782" s="220">
        <f>SUM(I6782:M6783)</f>
        <v>350340</v>
      </c>
      <c r="O6782" s="224"/>
      <c r="P6782" s="110" t="s">
        <v>19333</v>
      </c>
      <c r="Q6782" s="15" t="s">
        <v>19</v>
      </c>
      <c r="R6782" s="205"/>
      <c r="S6782" s="189" t="s">
        <v>283</v>
      </c>
      <c r="T6782" s="114"/>
      <c r="U6782" s="21"/>
      <c r="V6782" s="115">
        <v>46092</v>
      </c>
      <c r="W6782" s="116">
        <v>1008</v>
      </c>
      <c r="X6782" s="220">
        <v>450000</v>
      </c>
      <c r="Y6782" s="220">
        <f>X6782*0.1</f>
        <v>45000</v>
      </c>
      <c r="Z6782" s="220">
        <v>7140</v>
      </c>
      <c r="AA6782" s="220">
        <f>SUM(X6782:Z6782)</f>
        <v>502140</v>
      </c>
      <c r="AB6782" s="222">
        <v>46098</v>
      </c>
    </row>
    <row r="6783" spans="1:28" ht="17.100000000000001" customHeight="1" thickBot="1">
      <c r="A6783" s="227"/>
      <c r="B6783" s="27" t="s">
        <v>1918</v>
      </c>
      <c r="C6783" s="27">
        <v>2092</v>
      </c>
      <c r="D6783" s="14" t="s">
        <v>1710</v>
      </c>
      <c r="E6783" s="229"/>
      <c r="F6783" s="117" t="s">
        <v>19098</v>
      </c>
      <c r="G6783" s="26">
        <v>47679</v>
      </c>
      <c r="H6783" s="231"/>
      <c r="I6783" s="221"/>
      <c r="J6783" s="221"/>
      <c r="K6783" s="221"/>
      <c r="L6783" s="221"/>
      <c r="M6783" s="221"/>
      <c r="N6783" s="221"/>
      <c r="O6783" s="225"/>
      <c r="P6783" s="118" t="s">
        <v>19332</v>
      </c>
      <c r="Q6783" s="16" t="s">
        <v>20</v>
      </c>
      <c r="R6783" s="17" t="s">
        <v>1623</v>
      </c>
      <c r="S6783" s="121" t="s">
        <v>169</v>
      </c>
      <c r="T6783" s="122"/>
      <c r="U6783" s="22"/>
      <c r="V6783" s="123" t="s">
        <v>19459</v>
      </c>
      <c r="W6783" s="122">
        <v>5060</v>
      </c>
      <c r="X6783" s="221"/>
      <c r="Y6783" s="221"/>
      <c r="Z6783" s="221"/>
      <c r="AA6783" s="221"/>
      <c r="AB6783" s="223"/>
    </row>
    <row r="6784" spans="1:28" ht="17.100000000000001" customHeight="1" thickTop="1">
      <c r="A6784" s="226" t="s">
        <v>19057</v>
      </c>
      <c r="B6784" s="28">
        <v>46086</v>
      </c>
      <c r="C6784" s="25">
        <v>2148</v>
      </c>
      <c r="D6784" s="13" t="s">
        <v>1553</v>
      </c>
      <c r="E6784" s="228"/>
      <c r="F6784" s="109" t="s">
        <v>16259</v>
      </c>
      <c r="G6784" s="24" t="s">
        <v>5381</v>
      </c>
      <c r="H6784" s="230">
        <v>4</v>
      </c>
      <c r="I6784" s="220">
        <v>304000</v>
      </c>
      <c r="J6784" s="220">
        <f>I6784*0.1</f>
        <v>30400</v>
      </c>
      <c r="K6784" s="220">
        <v>10800</v>
      </c>
      <c r="L6784" s="220">
        <v>9550</v>
      </c>
      <c r="M6784" s="220">
        <v>14300</v>
      </c>
      <c r="N6784" s="220">
        <f>SUM(I6784:M6785)</f>
        <v>369050</v>
      </c>
      <c r="O6784" s="224"/>
      <c r="P6784" s="110" t="s">
        <v>19171</v>
      </c>
      <c r="Q6784" s="15" t="s">
        <v>19</v>
      </c>
      <c r="R6784" s="205"/>
      <c r="S6784" s="189" t="s">
        <v>25835</v>
      </c>
      <c r="T6784" s="114"/>
      <c r="U6784" s="21"/>
      <c r="V6784" s="115">
        <v>46092</v>
      </c>
      <c r="W6784" s="116">
        <v>1008</v>
      </c>
      <c r="X6784" s="220">
        <v>370000</v>
      </c>
      <c r="Y6784" s="220">
        <f>X6784*0.1</f>
        <v>37000</v>
      </c>
      <c r="Z6784" s="220">
        <v>9550</v>
      </c>
      <c r="AA6784" s="220">
        <f>SUM(X6784:Z6784)</f>
        <v>416550</v>
      </c>
      <c r="AB6784" s="222">
        <v>46098</v>
      </c>
    </row>
    <row r="6785" spans="1:28" ht="17.100000000000001" customHeight="1" thickBot="1">
      <c r="A6785" s="227"/>
      <c r="B6785" s="27" t="s">
        <v>1918</v>
      </c>
      <c r="C6785" s="27">
        <v>2150</v>
      </c>
      <c r="D6785" s="14" t="s">
        <v>1710</v>
      </c>
      <c r="E6785" s="229"/>
      <c r="F6785" s="117" t="s">
        <v>19099</v>
      </c>
      <c r="G6785" s="26">
        <v>39120</v>
      </c>
      <c r="H6785" s="231"/>
      <c r="I6785" s="221"/>
      <c r="J6785" s="221"/>
      <c r="K6785" s="221"/>
      <c r="L6785" s="221"/>
      <c r="M6785" s="221"/>
      <c r="N6785" s="221"/>
      <c r="O6785" s="225"/>
      <c r="P6785" s="118" t="s">
        <v>19325</v>
      </c>
      <c r="Q6785" s="16" t="s">
        <v>20</v>
      </c>
      <c r="R6785" s="17" t="s">
        <v>1623</v>
      </c>
      <c r="S6785" s="121" t="s">
        <v>19329</v>
      </c>
      <c r="T6785" s="122" t="s">
        <v>19270</v>
      </c>
      <c r="U6785" s="22"/>
      <c r="V6785" s="123" t="s">
        <v>19459</v>
      </c>
      <c r="W6785" s="122">
        <v>5094</v>
      </c>
      <c r="X6785" s="221"/>
      <c r="Y6785" s="221"/>
      <c r="Z6785" s="221"/>
      <c r="AA6785" s="221"/>
      <c r="AB6785" s="223"/>
    </row>
    <row r="6786" spans="1:28" ht="17.100000000000001" customHeight="1" thickTop="1">
      <c r="A6786" s="226" t="s">
        <v>19058</v>
      </c>
      <c r="B6786" s="28">
        <v>46086</v>
      </c>
      <c r="C6786" s="25">
        <v>2148</v>
      </c>
      <c r="D6786" s="13" t="s">
        <v>2913</v>
      </c>
      <c r="E6786" s="228"/>
      <c r="F6786" s="109" t="s">
        <v>19172</v>
      </c>
      <c r="G6786" s="24" t="s">
        <v>19173</v>
      </c>
      <c r="H6786" s="230">
        <v>4</v>
      </c>
      <c r="I6786" s="220">
        <v>1386000</v>
      </c>
      <c r="J6786" s="220">
        <f>I6786*0.1</f>
        <v>138600</v>
      </c>
      <c r="K6786" s="220">
        <v>10800</v>
      </c>
      <c r="L6786" s="220">
        <v>8550</v>
      </c>
      <c r="M6786" s="220">
        <v>14300</v>
      </c>
      <c r="N6786" s="220">
        <f>SUM(I6786:M6787)</f>
        <v>1558250</v>
      </c>
      <c r="O6786" s="224"/>
      <c r="P6786" s="110" t="s">
        <v>19174</v>
      </c>
      <c r="Q6786" s="15" t="s">
        <v>19</v>
      </c>
      <c r="R6786" s="205"/>
      <c r="S6786" s="189" t="s">
        <v>283</v>
      </c>
      <c r="T6786" s="114"/>
      <c r="U6786" s="21"/>
      <c r="V6786" s="115">
        <v>46099</v>
      </c>
      <c r="W6786" s="116">
        <v>1009</v>
      </c>
      <c r="X6786" s="220">
        <v>1445000</v>
      </c>
      <c r="Y6786" s="220">
        <f>X6786*0.1</f>
        <v>144500</v>
      </c>
      <c r="Z6786" s="220">
        <v>8550</v>
      </c>
      <c r="AA6786" s="220">
        <f>SUM(X6786:Z6786)</f>
        <v>1598050</v>
      </c>
      <c r="AB6786" s="222">
        <v>46105</v>
      </c>
    </row>
    <row r="6787" spans="1:28" ht="17.100000000000001" customHeight="1" thickBot="1">
      <c r="A6787" s="227"/>
      <c r="B6787" s="27" t="s">
        <v>1918</v>
      </c>
      <c r="C6787" s="27">
        <v>2513</v>
      </c>
      <c r="D6787" s="14" t="s">
        <v>2559</v>
      </c>
      <c r="E6787" s="229"/>
      <c r="F6787" s="117" t="s">
        <v>19100</v>
      </c>
      <c r="G6787" s="26">
        <v>17663</v>
      </c>
      <c r="H6787" s="231"/>
      <c r="I6787" s="221"/>
      <c r="J6787" s="221"/>
      <c r="K6787" s="221"/>
      <c r="L6787" s="221"/>
      <c r="M6787" s="221"/>
      <c r="N6787" s="221"/>
      <c r="O6787" s="225"/>
      <c r="P6787" s="118" t="s">
        <v>19334</v>
      </c>
      <c r="Q6787" s="16" t="s">
        <v>20</v>
      </c>
      <c r="R6787" s="17" t="s">
        <v>1623</v>
      </c>
      <c r="S6787" s="121" t="s">
        <v>169</v>
      </c>
      <c r="T6787" s="122"/>
      <c r="U6787" s="22"/>
      <c r="V6787" s="123" t="s">
        <v>2747</v>
      </c>
      <c r="W6787" s="122">
        <v>2050</v>
      </c>
      <c r="X6787" s="221"/>
      <c r="Y6787" s="221"/>
      <c r="Z6787" s="221"/>
      <c r="AA6787" s="221"/>
      <c r="AB6787" s="223"/>
    </row>
    <row r="6788" spans="1:28" ht="17.100000000000001" customHeight="1" thickTop="1">
      <c r="A6788" s="226" t="s">
        <v>19059</v>
      </c>
      <c r="B6788" s="28">
        <v>46086</v>
      </c>
      <c r="C6788" s="25">
        <v>2148</v>
      </c>
      <c r="D6788" s="13" t="s">
        <v>1976</v>
      </c>
      <c r="E6788" s="228"/>
      <c r="F6788" s="109" t="s">
        <v>19175</v>
      </c>
      <c r="G6788" s="24" t="s">
        <v>10638</v>
      </c>
      <c r="H6788" s="230">
        <v>4</v>
      </c>
      <c r="I6788" s="220">
        <v>586000</v>
      </c>
      <c r="J6788" s="220">
        <f>I6788*0.1</f>
        <v>58600</v>
      </c>
      <c r="K6788" s="220">
        <v>5000</v>
      </c>
      <c r="L6788" s="220">
        <v>6320</v>
      </c>
      <c r="M6788" s="220">
        <v>14300</v>
      </c>
      <c r="N6788" s="220">
        <f>SUM(I6788:M6789)</f>
        <v>670220</v>
      </c>
      <c r="O6788" s="224"/>
      <c r="P6788" s="110" t="s">
        <v>19505</v>
      </c>
      <c r="Q6788" s="15" t="s">
        <v>19</v>
      </c>
      <c r="R6788" s="205"/>
      <c r="S6788" s="189" t="s">
        <v>25432</v>
      </c>
      <c r="T6788" s="114"/>
      <c r="U6788" s="21"/>
      <c r="V6788" s="115">
        <v>46092</v>
      </c>
      <c r="W6788" s="116">
        <v>1008</v>
      </c>
      <c r="X6788" s="220">
        <v>675000</v>
      </c>
      <c r="Y6788" s="220">
        <f>X6788*0.1</f>
        <v>67500</v>
      </c>
      <c r="Z6788" s="220">
        <v>6320</v>
      </c>
      <c r="AA6788" s="220">
        <f>SUM(X6788:Z6788)</f>
        <v>748820</v>
      </c>
      <c r="AB6788" s="222">
        <v>46098</v>
      </c>
    </row>
    <row r="6789" spans="1:28" ht="17.100000000000001" customHeight="1" thickBot="1">
      <c r="A6789" s="227"/>
      <c r="B6789" s="27" t="s">
        <v>1918</v>
      </c>
      <c r="C6789" s="27">
        <v>2639</v>
      </c>
      <c r="D6789" s="14" t="s">
        <v>1584</v>
      </c>
      <c r="E6789" s="229"/>
      <c r="F6789" s="117" t="s">
        <v>19101</v>
      </c>
      <c r="G6789" s="26">
        <v>19115</v>
      </c>
      <c r="H6789" s="231"/>
      <c r="I6789" s="221"/>
      <c r="J6789" s="221"/>
      <c r="K6789" s="221"/>
      <c r="L6789" s="221"/>
      <c r="M6789" s="221"/>
      <c r="N6789" s="221"/>
      <c r="O6789" s="225"/>
      <c r="P6789" s="118" t="s">
        <v>2404</v>
      </c>
      <c r="Q6789" s="16" t="s">
        <v>20</v>
      </c>
      <c r="R6789" s="17" t="s">
        <v>3332</v>
      </c>
      <c r="S6789" s="121" t="s">
        <v>19506</v>
      </c>
      <c r="T6789" s="122"/>
      <c r="U6789" s="22"/>
      <c r="V6789" s="123" t="s">
        <v>19459</v>
      </c>
      <c r="W6789" s="122">
        <v>5085</v>
      </c>
      <c r="X6789" s="221"/>
      <c r="Y6789" s="221"/>
      <c r="Z6789" s="221"/>
      <c r="AA6789" s="221"/>
      <c r="AB6789" s="223"/>
    </row>
    <row r="6790" spans="1:28" ht="17.100000000000001" customHeight="1" thickTop="1">
      <c r="A6790" s="226" t="s">
        <v>19060</v>
      </c>
      <c r="B6790" s="28">
        <v>46086</v>
      </c>
      <c r="C6790" s="25">
        <v>2148</v>
      </c>
      <c r="D6790" s="13" t="s">
        <v>2324</v>
      </c>
      <c r="E6790" s="228"/>
      <c r="F6790" s="109" t="s">
        <v>19176</v>
      </c>
      <c r="G6790" s="24" t="s">
        <v>14439</v>
      </c>
      <c r="H6790" s="230">
        <v>4</v>
      </c>
      <c r="I6790" s="220">
        <v>1077000</v>
      </c>
      <c r="J6790" s="220">
        <f>I6790*0.1</f>
        <v>107700</v>
      </c>
      <c r="K6790" s="220">
        <v>10800</v>
      </c>
      <c r="L6790" s="220">
        <v>9140</v>
      </c>
      <c r="M6790" s="220">
        <v>14300</v>
      </c>
      <c r="N6790" s="220">
        <f>SUM(I6790:M6791)</f>
        <v>1218940</v>
      </c>
      <c r="O6790" s="224"/>
      <c r="P6790" s="110" t="s">
        <v>19177</v>
      </c>
      <c r="Q6790" s="15" t="s">
        <v>19</v>
      </c>
      <c r="R6790" s="205"/>
      <c r="S6790" s="189" t="s">
        <v>758</v>
      </c>
      <c r="T6790" s="114"/>
      <c r="U6790" s="21" t="s">
        <v>21698</v>
      </c>
      <c r="V6790" s="115">
        <v>46113</v>
      </c>
      <c r="W6790" s="116">
        <v>1011</v>
      </c>
      <c r="X6790" s="220">
        <v>1150000</v>
      </c>
      <c r="Y6790" s="220">
        <f>X6790*0.1</f>
        <v>115000</v>
      </c>
      <c r="Z6790" s="220">
        <v>9140</v>
      </c>
      <c r="AA6790" s="220">
        <f>SUM(X6790:Z6790)</f>
        <v>1274140</v>
      </c>
      <c r="AB6790" s="222">
        <v>46121</v>
      </c>
    </row>
    <row r="6791" spans="1:28" ht="17.100000000000001" customHeight="1" thickBot="1">
      <c r="A6791" s="227"/>
      <c r="B6791" s="27" t="s">
        <v>1918</v>
      </c>
      <c r="C6791" s="27">
        <v>2648</v>
      </c>
      <c r="D6791" s="14" t="s">
        <v>2291</v>
      </c>
      <c r="E6791" s="229"/>
      <c r="F6791" s="117" t="s">
        <v>19102</v>
      </c>
      <c r="G6791" s="26">
        <v>31042</v>
      </c>
      <c r="H6791" s="231"/>
      <c r="I6791" s="221"/>
      <c r="J6791" s="221"/>
      <c r="K6791" s="221"/>
      <c r="L6791" s="221"/>
      <c r="M6791" s="221"/>
      <c r="N6791" s="221"/>
      <c r="O6791" s="225"/>
      <c r="P6791" s="118" t="s">
        <v>18748</v>
      </c>
      <c r="Q6791" s="16" t="s">
        <v>20</v>
      </c>
      <c r="R6791" s="17" t="s">
        <v>1623</v>
      </c>
      <c r="S6791" s="121" t="s">
        <v>9675</v>
      </c>
      <c r="T6791" s="122"/>
      <c r="U6791" s="22"/>
      <c r="V6791" s="123" t="s">
        <v>8648</v>
      </c>
      <c r="W6791" s="122">
        <v>2133</v>
      </c>
      <c r="X6791" s="221"/>
      <c r="Y6791" s="221"/>
      <c r="Z6791" s="221"/>
      <c r="AA6791" s="221"/>
      <c r="AB6791" s="223"/>
    </row>
    <row r="6792" spans="1:28" ht="17.100000000000001" customHeight="1" thickTop="1">
      <c r="A6792" s="226" t="s">
        <v>19061</v>
      </c>
      <c r="B6792" s="28">
        <v>46086</v>
      </c>
      <c r="C6792" s="25">
        <v>2148</v>
      </c>
      <c r="D6792" s="13" t="s">
        <v>2406</v>
      </c>
      <c r="E6792" s="228"/>
      <c r="F6792" s="109" t="s">
        <v>19178</v>
      </c>
      <c r="G6792" s="24" t="s">
        <v>2543</v>
      </c>
      <c r="H6792" s="230">
        <v>4.5</v>
      </c>
      <c r="I6792" s="220">
        <v>875000</v>
      </c>
      <c r="J6792" s="220">
        <f>I6792*0.1</f>
        <v>87500</v>
      </c>
      <c r="K6792" s="220">
        <v>10800</v>
      </c>
      <c r="L6792" s="220">
        <v>9200</v>
      </c>
      <c r="M6792" s="220">
        <v>14300</v>
      </c>
      <c r="N6792" s="220">
        <f>SUM(I6792:M6793)</f>
        <v>996800</v>
      </c>
      <c r="O6792" s="224"/>
      <c r="P6792" s="110" t="s">
        <v>19179</v>
      </c>
      <c r="Q6792" s="15" t="s">
        <v>19</v>
      </c>
      <c r="R6792" s="205"/>
      <c r="S6792" s="189" t="s">
        <v>758</v>
      </c>
      <c r="T6792" s="114"/>
      <c r="U6792" s="21"/>
      <c r="V6792" s="115">
        <v>46098</v>
      </c>
      <c r="W6792" s="116">
        <v>1933</v>
      </c>
      <c r="X6792" s="220">
        <v>906000</v>
      </c>
      <c r="Y6792" s="220">
        <f>X6792*0.1</f>
        <v>90600</v>
      </c>
      <c r="Z6792" s="220">
        <v>9200</v>
      </c>
      <c r="AA6792" s="220">
        <f>SUM(X6792:Z6792)</f>
        <v>1005800</v>
      </c>
      <c r="AB6792" s="222"/>
    </row>
    <row r="6793" spans="1:28" ht="17.100000000000001" customHeight="1" thickBot="1">
      <c r="A6793" s="227"/>
      <c r="B6793" s="27" t="s">
        <v>1918</v>
      </c>
      <c r="C6793" s="27">
        <v>2677</v>
      </c>
      <c r="D6793" s="14" t="s">
        <v>273</v>
      </c>
      <c r="E6793" s="229"/>
      <c r="F6793" s="117" t="s">
        <v>19103</v>
      </c>
      <c r="G6793" s="26">
        <v>49486</v>
      </c>
      <c r="H6793" s="231"/>
      <c r="I6793" s="221"/>
      <c r="J6793" s="221"/>
      <c r="K6793" s="221"/>
      <c r="L6793" s="221"/>
      <c r="M6793" s="221"/>
      <c r="N6793" s="221"/>
      <c r="O6793" s="225"/>
      <c r="P6793" s="118" t="s">
        <v>19330</v>
      </c>
      <c r="Q6793" s="16" t="s">
        <v>20</v>
      </c>
      <c r="R6793" s="17" t="s">
        <v>1623</v>
      </c>
      <c r="S6793" s="121" t="s">
        <v>1661</v>
      </c>
      <c r="T6793" s="122"/>
      <c r="U6793" s="22"/>
      <c r="V6793" s="123" t="s">
        <v>2103</v>
      </c>
      <c r="W6793" s="122">
        <v>3191</v>
      </c>
      <c r="X6793" s="221"/>
      <c r="Y6793" s="221"/>
      <c r="Z6793" s="221"/>
      <c r="AA6793" s="221"/>
      <c r="AB6793" s="223"/>
    </row>
    <row r="6794" spans="1:28" ht="17.100000000000001" customHeight="1" thickTop="1">
      <c r="A6794" s="226" t="s">
        <v>19062</v>
      </c>
      <c r="B6794" s="28">
        <v>46086</v>
      </c>
      <c r="C6794" s="25">
        <v>2148</v>
      </c>
      <c r="D6794" s="13" t="s">
        <v>2324</v>
      </c>
      <c r="E6794" s="228"/>
      <c r="F6794" s="109" t="s">
        <v>19180</v>
      </c>
      <c r="G6794" s="24"/>
      <c r="H6794" s="230">
        <v>4</v>
      </c>
      <c r="I6794" s="220">
        <v>382000</v>
      </c>
      <c r="J6794" s="220">
        <f>I6794*0.1</f>
        <v>38200</v>
      </c>
      <c r="K6794" s="220">
        <v>0</v>
      </c>
      <c r="L6794" s="220">
        <v>7140</v>
      </c>
      <c r="M6794" s="220">
        <v>14300</v>
      </c>
      <c r="N6794" s="220">
        <f>SUM(I6794:M6795)</f>
        <v>441640</v>
      </c>
      <c r="O6794" s="224"/>
      <c r="P6794" s="110" t="s">
        <v>19326</v>
      </c>
      <c r="Q6794" s="15" t="s">
        <v>19</v>
      </c>
      <c r="R6794" s="205"/>
      <c r="S6794" s="189" t="s">
        <v>283</v>
      </c>
      <c r="T6794" s="114"/>
      <c r="U6794" s="21"/>
      <c r="V6794" s="115">
        <v>46092</v>
      </c>
      <c r="W6794" s="116">
        <v>1008</v>
      </c>
      <c r="X6794" s="220">
        <v>430000</v>
      </c>
      <c r="Y6794" s="220">
        <f>X6794*0.1</f>
        <v>43000</v>
      </c>
      <c r="Z6794" s="220">
        <v>7140</v>
      </c>
      <c r="AA6794" s="220">
        <f>SUM(X6794:Z6794)</f>
        <v>480140</v>
      </c>
      <c r="AB6794" s="222">
        <v>46098</v>
      </c>
    </row>
    <row r="6795" spans="1:28" ht="17.100000000000001" customHeight="1" thickBot="1">
      <c r="A6795" s="227"/>
      <c r="B6795" s="27" t="s">
        <v>1918</v>
      </c>
      <c r="C6795" s="27">
        <v>2678</v>
      </c>
      <c r="D6795" s="14" t="s">
        <v>1710</v>
      </c>
      <c r="E6795" s="229"/>
      <c r="F6795" s="117" t="s">
        <v>19104</v>
      </c>
      <c r="G6795" s="26">
        <v>22591</v>
      </c>
      <c r="H6795" s="231"/>
      <c r="I6795" s="221"/>
      <c r="J6795" s="221"/>
      <c r="K6795" s="221"/>
      <c r="L6795" s="221"/>
      <c r="M6795" s="221"/>
      <c r="N6795" s="221"/>
      <c r="O6795" s="225"/>
      <c r="P6795" s="118" t="s">
        <v>3976</v>
      </c>
      <c r="Q6795" s="16" t="s">
        <v>20</v>
      </c>
      <c r="R6795" s="17" t="s">
        <v>1623</v>
      </c>
      <c r="S6795" s="121" t="s">
        <v>15429</v>
      </c>
      <c r="T6795" s="122"/>
      <c r="U6795" s="22"/>
      <c r="V6795" s="123" t="s">
        <v>19459</v>
      </c>
      <c r="W6795" s="122">
        <v>5086</v>
      </c>
      <c r="X6795" s="221"/>
      <c r="Y6795" s="221"/>
      <c r="Z6795" s="221"/>
      <c r="AA6795" s="221"/>
      <c r="AB6795" s="223"/>
    </row>
    <row r="6796" spans="1:28" ht="17.100000000000001" customHeight="1" thickTop="1">
      <c r="A6796" s="226" t="s">
        <v>19063</v>
      </c>
      <c r="B6796" s="28">
        <v>46086</v>
      </c>
      <c r="C6796" s="25">
        <v>2148</v>
      </c>
      <c r="D6796" s="13" t="s">
        <v>2866</v>
      </c>
      <c r="E6796" s="228"/>
      <c r="F6796" s="109" t="s">
        <v>19181</v>
      </c>
      <c r="G6796" s="24" t="s">
        <v>19182</v>
      </c>
      <c r="H6796" s="230">
        <v>4</v>
      </c>
      <c r="I6796" s="220">
        <v>461000</v>
      </c>
      <c r="J6796" s="220">
        <f>I6796*0.1</f>
        <v>46100</v>
      </c>
      <c r="K6796" s="220">
        <v>10800</v>
      </c>
      <c r="L6796" s="220">
        <v>7140</v>
      </c>
      <c r="M6796" s="220">
        <v>14300</v>
      </c>
      <c r="N6796" s="220">
        <f>SUM(I6796:M6797)</f>
        <v>539340</v>
      </c>
      <c r="O6796" s="224"/>
      <c r="P6796" s="110" t="s">
        <v>19183</v>
      </c>
      <c r="Q6796" s="15" t="s">
        <v>19</v>
      </c>
      <c r="R6796" s="205"/>
      <c r="S6796" s="189" t="s">
        <v>25508</v>
      </c>
      <c r="T6796" s="114"/>
      <c r="U6796" s="21"/>
      <c r="V6796" s="115">
        <v>46092</v>
      </c>
      <c r="W6796" s="116">
        <v>1008</v>
      </c>
      <c r="X6796" s="220">
        <v>510000</v>
      </c>
      <c r="Y6796" s="220">
        <f>X6796*0.1</f>
        <v>51000</v>
      </c>
      <c r="Z6796" s="220">
        <v>7140</v>
      </c>
      <c r="AA6796" s="220">
        <f>SUM(X6796:Z6796)</f>
        <v>568140</v>
      </c>
      <c r="AB6796" s="222">
        <v>46098</v>
      </c>
    </row>
    <row r="6797" spans="1:28" ht="17.100000000000001" customHeight="1" thickBot="1">
      <c r="A6797" s="227"/>
      <c r="B6797" s="27" t="s">
        <v>1918</v>
      </c>
      <c r="C6797" s="27">
        <v>2684</v>
      </c>
      <c r="D6797" s="14" t="s">
        <v>2559</v>
      </c>
      <c r="E6797" s="229"/>
      <c r="F6797" s="117" t="s">
        <v>19105</v>
      </c>
      <c r="G6797" s="26">
        <v>27378</v>
      </c>
      <c r="H6797" s="231"/>
      <c r="I6797" s="221"/>
      <c r="J6797" s="221"/>
      <c r="K6797" s="221"/>
      <c r="L6797" s="221"/>
      <c r="M6797" s="221"/>
      <c r="N6797" s="221"/>
      <c r="O6797" s="225"/>
      <c r="P6797" s="118" t="s">
        <v>19336</v>
      </c>
      <c r="Q6797" s="16" t="s">
        <v>20</v>
      </c>
      <c r="R6797" s="17" t="s">
        <v>1623</v>
      </c>
      <c r="S6797" s="121" t="s">
        <v>19583</v>
      </c>
      <c r="T6797" s="122"/>
      <c r="U6797" s="22"/>
      <c r="V6797" s="123" t="s">
        <v>19459</v>
      </c>
      <c r="W6797" s="122">
        <v>5089</v>
      </c>
      <c r="X6797" s="221"/>
      <c r="Y6797" s="221"/>
      <c r="Z6797" s="221"/>
      <c r="AA6797" s="221"/>
      <c r="AB6797" s="223"/>
    </row>
    <row r="6798" spans="1:28" ht="17.100000000000001" customHeight="1" thickTop="1">
      <c r="A6798" s="226" t="s">
        <v>19064</v>
      </c>
      <c r="B6798" s="28">
        <v>46086</v>
      </c>
      <c r="C6798" s="25">
        <v>2148</v>
      </c>
      <c r="D6798" s="13" t="s">
        <v>2489</v>
      </c>
      <c r="E6798" s="228"/>
      <c r="F6798" s="109" t="s">
        <v>19184</v>
      </c>
      <c r="G6798" s="24" t="s">
        <v>19185</v>
      </c>
      <c r="H6798" s="230">
        <v>4</v>
      </c>
      <c r="I6798" s="220">
        <v>354000</v>
      </c>
      <c r="J6798" s="220">
        <f>I6798*0.1</f>
        <v>35400</v>
      </c>
      <c r="K6798" s="220">
        <v>4000</v>
      </c>
      <c r="L6798" s="220">
        <v>5190</v>
      </c>
      <c r="M6798" s="220">
        <v>14300</v>
      </c>
      <c r="N6798" s="220">
        <f>SUM(I6798:M6799)</f>
        <v>412890</v>
      </c>
      <c r="O6798" s="224"/>
      <c r="P6798" s="110" t="s">
        <v>19186</v>
      </c>
      <c r="Q6798" s="15" t="s">
        <v>19</v>
      </c>
      <c r="R6798" s="205"/>
      <c r="S6798" s="189" t="s">
        <v>25836</v>
      </c>
      <c r="T6798" s="114"/>
      <c r="U6798" s="21" t="s">
        <v>19570</v>
      </c>
      <c r="V6798" s="115">
        <v>46092</v>
      </c>
      <c r="W6798" s="116">
        <v>1008</v>
      </c>
      <c r="X6798" s="220">
        <v>375000</v>
      </c>
      <c r="Y6798" s="220">
        <f>X6798*0.1</f>
        <v>37500</v>
      </c>
      <c r="Z6798" s="220">
        <v>5190</v>
      </c>
      <c r="AA6798" s="220">
        <f>SUM(X6798:Z6798)</f>
        <v>417690</v>
      </c>
      <c r="AB6798" s="222">
        <v>46098</v>
      </c>
    </row>
    <row r="6799" spans="1:28" ht="17.100000000000001" customHeight="1" thickBot="1">
      <c r="A6799" s="227"/>
      <c r="B6799" s="27" t="s">
        <v>1918</v>
      </c>
      <c r="C6799" s="27">
        <v>2685</v>
      </c>
      <c r="D6799" s="14" t="s">
        <v>1584</v>
      </c>
      <c r="E6799" s="229"/>
      <c r="F6799" s="117" t="s">
        <v>19106</v>
      </c>
      <c r="G6799" s="26">
        <v>31378</v>
      </c>
      <c r="H6799" s="231"/>
      <c r="I6799" s="221"/>
      <c r="J6799" s="221"/>
      <c r="K6799" s="221"/>
      <c r="L6799" s="221"/>
      <c r="M6799" s="221"/>
      <c r="N6799" s="221"/>
      <c r="O6799" s="225"/>
      <c r="P6799" s="118" t="s">
        <v>19335</v>
      </c>
      <c r="Q6799" s="16" t="s">
        <v>20</v>
      </c>
      <c r="R6799" s="17" t="s">
        <v>1623</v>
      </c>
      <c r="S6799" s="121" t="s">
        <v>1625</v>
      </c>
      <c r="T6799" s="122"/>
      <c r="U6799" s="22"/>
      <c r="V6799" s="123" t="s">
        <v>19459</v>
      </c>
      <c r="W6799" s="122">
        <v>5043</v>
      </c>
      <c r="X6799" s="221"/>
      <c r="Y6799" s="221"/>
      <c r="Z6799" s="221"/>
      <c r="AA6799" s="221"/>
      <c r="AB6799" s="223"/>
    </row>
    <row r="6800" spans="1:28" ht="17.100000000000001" customHeight="1" thickTop="1">
      <c r="A6800" s="226" t="s">
        <v>19065</v>
      </c>
      <c r="B6800" s="28">
        <v>46086</v>
      </c>
      <c r="C6800" s="25">
        <v>2148</v>
      </c>
      <c r="D6800" s="13" t="s">
        <v>2790</v>
      </c>
      <c r="E6800" s="228"/>
      <c r="F6800" s="109" t="s">
        <v>19187</v>
      </c>
      <c r="G6800" s="24"/>
      <c r="H6800" s="230">
        <v>4</v>
      </c>
      <c r="I6800" s="220">
        <v>926000</v>
      </c>
      <c r="J6800" s="220">
        <f>I6800*0.1</f>
        <v>92600</v>
      </c>
      <c r="K6800" s="220">
        <v>0</v>
      </c>
      <c r="L6800" s="220">
        <v>7230</v>
      </c>
      <c r="M6800" s="220">
        <v>14300</v>
      </c>
      <c r="N6800" s="220">
        <f>SUM(I6800:M6801)</f>
        <v>1040130</v>
      </c>
      <c r="O6800" s="224"/>
      <c r="P6800" s="110" t="s">
        <v>19343</v>
      </c>
      <c r="Q6800" s="15" t="s">
        <v>19</v>
      </c>
      <c r="R6800" s="205"/>
      <c r="S6800" s="189"/>
      <c r="T6800" s="114"/>
      <c r="U6800" s="21"/>
      <c r="V6800" s="115">
        <v>46092</v>
      </c>
      <c r="W6800" s="116">
        <v>1008</v>
      </c>
      <c r="X6800" s="220">
        <v>1150000</v>
      </c>
      <c r="Y6800" s="220">
        <f>X6800*0.1</f>
        <v>115000</v>
      </c>
      <c r="Z6800" s="220">
        <v>7230</v>
      </c>
      <c r="AA6800" s="220">
        <f>SUM(X6800:Z6800)</f>
        <v>1272230</v>
      </c>
      <c r="AB6800" s="222">
        <v>46098</v>
      </c>
    </row>
    <row r="6801" spans="1:28" ht="17.100000000000001" customHeight="1" thickBot="1">
      <c r="A6801" s="227"/>
      <c r="B6801" s="27" t="s">
        <v>1918</v>
      </c>
      <c r="C6801" s="27">
        <v>2692</v>
      </c>
      <c r="D6801" s="14" t="s">
        <v>2753</v>
      </c>
      <c r="E6801" s="229"/>
      <c r="F6801" s="117" t="s">
        <v>19107</v>
      </c>
      <c r="G6801" s="26">
        <v>6291</v>
      </c>
      <c r="H6801" s="231"/>
      <c r="I6801" s="221"/>
      <c r="J6801" s="221"/>
      <c r="K6801" s="221"/>
      <c r="L6801" s="221"/>
      <c r="M6801" s="221"/>
      <c r="N6801" s="221"/>
      <c r="O6801" s="225"/>
      <c r="P6801" s="118" t="s">
        <v>2404</v>
      </c>
      <c r="Q6801" s="16" t="s">
        <v>20</v>
      </c>
      <c r="R6801" s="17" t="s">
        <v>1623</v>
      </c>
      <c r="S6801" s="121" t="s">
        <v>19268</v>
      </c>
      <c r="T6801" s="122"/>
      <c r="U6801" s="22"/>
      <c r="V6801" s="123" t="s">
        <v>7161</v>
      </c>
      <c r="W6801" s="122">
        <v>5072</v>
      </c>
      <c r="X6801" s="221"/>
      <c r="Y6801" s="221"/>
      <c r="Z6801" s="221"/>
      <c r="AA6801" s="221"/>
      <c r="AB6801" s="223"/>
    </row>
    <row r="6802" spans="1:28" ht="17.100000000000001" customHeight="1" thickTop="1">
      <c r="A6802" s="226" t="s">
        <v>19066</v>
      </c>
      <c r="B6802" s="28">
        <v>46086</v>
      </c>
      <c r="C6802" s="25">
        <v>2148</v>
      </c>
      <c r="D6802" s="13" t="s">
        <v>2441</v>
      </c>
      <c r="E6802" s="228"/>
      <c r="F6802" s="109" t="s">
        <v>16310</v>
      </c>
      <c r="G6802" s="24"/>
      <c r="H6802" s="230">
        <v>4.5</v>
      </c>
      <c r="I6802" s="220">
        <v>1679000</v>
      </c>
      <c r="J6802" s="220">
        <f>I6802*0.1</f>
        <v>167900</v>
      </c>
      <c r="K6802" s="220">
        <v>0</v>
      </c>
      <c r="L6802" s="220">
        <v>8910</v>
      </c>
      <c r="M6802" s="220">
        <v>14300</v>
      </c>
      <c r="N6802" s="220">
        <f>SUM(I6802:M6803)</f>
        <v>1870110</v>
      </c>
      <c r="O6802" s="224"/>
      <c r="P6802" s="110" t="s">
        <v>19342</v>
      </c>
      <c r="Q6802" s="15" t="s">
        <v>19</v>
      </c>
      <c r="R6802" s="205"/>
      <c r="S6802" s="189"/>
      <c r="T6802" s="114"/>
      <c r="U6802" s="21"/>
      <c r="V6802" s="115">
        <v>46098</v>
      </c>
      <c r="W6802" s="116">
        <v>1933</v>
      </c>
      <c r="X6802" s="220">
        <v>1775000</v>
      </c>
      <c r="Y6802" s="220">
        <f>X6802*0.1</f>
        <v>177500</v>
      </c>
      <c r="Z6802" s="220">
        <v>8910</v>
      </c>
      <c r="AA6802" s="220">
        <f>SUM(X6802:Z6802)</f>
        <v>1961410</v>
      </c>
      <c r="AB6802" s="222"/>
    </row>
    <row r="6803" spans="1:28" ht="17.100000000000001" customHeight="1" thickBot="1">
      <c r="A6803" s="227"/>
      <c r="B6803" s="27" t="s">
        <v>1918</v>
      </c>
      <c r="C6803" s="27">
        <v>2693</v>
      </c>
      <c r="D6803" s="14" t="s">
        <v>2559</v>
      </c>
      <c r="E6803" s="229"/>
      <c r="F6803" s="117" t="s">
        <v>19108</v>
      </c>
      <c r="G6803" s="26">
        <v>4251</v>
      </c>
      <c r="H6803" s="231"/>
      <c r="I6803" s="221"/>
      <c r="J6803" s="221"/>
      <c r="K6803" s="221"/>
      <c r="L6803" s="221"/>
      <c r="M6803" s="221"/>
      <c r="N6803" s="221"/>
      <c r="O6803" s="225"/>
      <c r="P6803" s="118" t="s">
        <v>2404</v>
      </c>
      <c r="Q6803" s="16" t="s">
        <v>20</v>
      </c>
      <c r="R6803" s="17" t="s">
        <v>1623</v>
      </c>
      <c r="S6803" s="121"/>
      <c r="T6803" s="122"/>
      <c r="U6803" s="22"/>
      <c r="V6803" s="123" t="s">
        <v>2103</v>
      </c>
      <c r="W6803" s="122">
        <v>3189</v>
      </c>
      <c r="X6803" s="221"/>
      <c r="Y6803" s="221"/>
      <c r="Z6803" s="221"/>
      <c r="AA6803" s="221"/>
      <c r="AB6803" s="223"/>
    </row>
    <row r="6804" spans="1:28" ht="17.100000000000001" customHeight="1" thickTop="1">
      <c r="A6804" s="226" t="s">
        <v>19067</v>
      </c>
      <c r="B6804" s="28">
        <v>46086</v>
      </c>
      <c r="C6804" s="25">
        <v>2148</v>
      </c>
      <c r="D6804" s="13" t="s">
        <v>2057</v>
      </c>
      <c r="E6804" s="228"/>
      <c r="F6804" s="109" t="s">
        <v>19401</v>
      </c>
      <c r="G6804" s="24"/>
      <c r="H6804" s="230">
        <v>4.5</v>
      </c>
      <c r="I6804" s="220">
        <v>1159000</v>
      </c>
      <c r="J6804" s="220">
        <f>I6804*0.1</f>
        <v>115900</v>
      </c>
      <c r="K6804" s="220">
        <v>0</v>
      </c>
      <c r="L6804" s="220">
        <v>8130</v>
      </c>
      <c r="M6804" s="220">
        <v>14300</v>
      </c>
      <c r="N6804" s="220">
        <f>SUM(I6804:M6805)</f>
        <v>1297330</v>
      </c>
      <c r="O6804" s="224"/>
      <c r="P6804" s="110" t="s">
        <v>19341</v>
      </c>
      <c r="Q6804" s="15" t="s">
        <v>19</v>
      </c>
      <c r="R6804" s="205"/>
      <c r="S6804" s="189"/>
      <c r="T6804" s="114"/>
      <c r="U6804" s="21"/>
      <c r="V6804" s="115">
        <v>46091</v>
      </c>
      <c r="W6804" s="116">
        <v>1932</v>
      </c>
      <c r="X6804" s="220">
        <v>1206000</v>
      </c>
      <c r="Y6804" s="220">
        <f>X6804*0.1</f>
        <v>120600</v>
      </c>
      <c r="Z6804" s="220">
        <v>8130</v>
      </c>
      <c r="AA6804" s="220">
        <f>SUM(X6804:Z6804)</f>
        <v>1334730</v>
      </c>
      <c r="AB6804" s="222"/>
    </row>
    <row r="6805" spans="1:28" ht="17.100000000000001" customHeight="1" thickBot="1">
      <c r="A6805" s="227"/>
      <c r="B6805" s="27" t="s">
        <v>1918</v>
      </c>
      <c r="C6805" s="27">
        <v>2697</v>
      </c>
      <c r="D6805" s="14" t="s">
        <v>2248</v>
      </c>
      <c r="E6805" s="229"/>
      <c r="F6805" s="117" t="s">
        <v>19109</v>
      </c>
      <c r="G6805" s="26">
        <v>20179</v>
      </c>
      <c r="H6805" s="231"/>
      <c r="I6805" s="221"/>
      <c r="J6805" s="221"/>
      <c r="K6805" s="221"/>
      <c r="L6805" s="221"/>
      <c r="M6805" s="221"/>
      <c r="N6805" s="221"/>
      <c r="O6805" s="225"/>
      <c r="P6805" s="118" t="s">
        <v>2404</v>
      </c>
      <c r="Q6805" s="16" t="s">
        <v>20</v>
      </c>
      <c r="R6805" s="17" t="s">
        <v>1623</v>
      </c>
      <c r="S6805" s="121"/>
      <c r="T6805" s="122"/>
      <c r="U6805" s="22"/>
      <c r="V6805" s="123" t="s">
        <v>2103</v>
      </c>
      <c r="W6805" s="122">
        <v>3553</v>
      </c>
      <c r="X6805" s="221"/>
      <c r="Y6805" s="221"/>
      <c r="Z6805" s="221"/>
      <c r="AA6805" s="221"/>
      <c r="AB6805" s="223"/>
    </row>
    <row r="6806" spans="1:28" ht="17.100000000000001" customHeight="1" thickTop="1">
      <c r="A6806" s="226" t="s">
        <v>19068</v>
      </c>
      <c r="B6806" s="28">
        <v>46086</v>
      </c>
      <c r="C6806" s="25">
        <v>2148</v>
      </c>
      <c r="D6806" s="13" t="s">
        <v>4755</v>
      </c>
      <c r="E6806" s="228"/>
      <c r="F6806" s="109" t="s">
        <v>19188</v>
      </c>
      <c r="G6806" s="24"/>
      <c r="H6806" s="230">
        <v>4</v>
      </c>
      <c r="I6806" s="220">
        <v>258000</v>
      </c>
      <c r="J6806" s="220">
        <f>I6806*0.1</f>
        <v>25800</v>
      </c>
      <c r="K6806" s="220">
        <v>0</v>
      </c>
      <c r="L6806" s="220">
        <v>8140</v>
      </c>
      <c r="M6806" s="220">
        <v>14300</v>
      </c>
      <c r="N6806" s="220">
        <f>SUM(I6806:M6807)</f>
        <v>306240</v>
      </c>
      <c r="O6806" s="224"/>
      <c r="P6806" s="110" t="s">
        <v>19327</v>
      </c>
      <c r="Q6806" s="15" t="s">
        <v>19</v>
      </c>
      <c r="R6806" s="205"/>
      <c r="S6806" s="189" t="s">
        <v>25837</v>
      </c>
      <c r="T6806" s="114"/>
      <c r="U6806" s="21"/>
      <c r="V6806" s="115">
        <v>46092</v>
      </c>
      <c r="W6806" s="116">
        <v>1008</v>
      </c>
      <c r="X6806" s="220">
        <v>355000</v>
      </c>
      <c r="Y6806" s="220">
        <f>X6806*0.1</f>
        <v>35500</v>
      </c>
      <c r="Z6806" s="220">
        <v>8140</v>
      </c>
      <c r="AA6806" s="220">
        <f>SUM(X6806:Z6806)</f>
        <v>398640</v>
      </c>
      <c r="AB6806" s="222">
        <v>46098</v>
      </c>
    </row>
    <row r="6807" spans="1:28" ht="17.100000000000001" customHeight="1" thickBot="1">
      <c r="A6807" s="227"/>
      <c r="B6807" s="27" t="s">
        <v>1918</v>
      </c>
      <c r="C6807" s="27">
        <v>2698</v>
      </c>
      <c r="D6807" s="14" t="s">
        <v>3792</v>
      </c>
      <c r="E6807" s="229"/>
      <c r="F6807" s="117" t="s">
        <v>19110</v>
      </c>
      <c r="G6807" s="26">
        <v>47566</v>
      </c>
      <c r="H6807" s="231"/>
      <c r="I6807" s="221"/>
      <c r="J6807" s="221"/>
      <c r="K6807" s="221"/>
      <c r="L6807" s="221"/>
      <c r="M6807" s="221"/>
      <c r="N6807" s="221"/>
      <c r="O6807" s="225"/>
      <c r="P6807" s="118" t="s">
        <v>19328</v>
      </c>
      <c r="Q6807" s="16" t="s">
        <v>20</v>
      </c>
      <c r="R6807" s="17" t="s">
        <v>1623</v>
      </c>
      <c r="S6807" s="121" t="s">
        <v>6932</v>
      </c>
      <c r="T6807" s="122"/>
      <c r="U6807" s="22"/>
      <c r="V6807" s="123" t="s">
        <v>19459</v>
      </c>
      <c r="W6807" s="122">
        <v>5041</v>
      </c>
      <c r="X6807" s="221"/>
      <c r="Y6807" s="221"/>
      <c r="Z6807" s="221"/>
      <c r="AA6807" s="221"/>
      <c r="AB6807" s="223"/>
    </row>
    <row r="6808" spans="1:28" ht="17.100000000000001" customHeight="1" thickTop="1">
      <c r="A6808" s="226" t="s">
        <v>19069</v>
      </c>
      <c r="B6808" s="28">
        <v>46086</v>
      </c>
      <c r="C6808" s="25">
        <v>2148</v>
      </c>
      <c r="D6808" s="13" t="s">
        <v>1831</v>
      </c>
      <c r="E6808" s="228"/>
      <c r="F6808" s="109" t="s">
        <v>15158</v>
      </c>
      <c r="G6808" s="24"/>
      <c r="H6808" s="230">
        <v>4</v>
      </c>
      <c r="I6808" s="220">
        <v>1321000</v>
      </c>
      <c r="J6808" s="220">
        <f>I6808*0.1</f>
        <v>132100</v>
      </c>
      <c r="K6808" s="220">
        <v>0</v>
      </c>
      <c r="L6808" s="220">
        <v>11100</v>
      </c>
      <c r="M6808" s="220">
        <v>14300</v>
      </c>
      <c r="N6808" s="220">
        <f>SUM(I6808:M6809)</f>
        <v>1478500</v>
      </c>
      <c r="O6808" s="224"/>
      <c r="P6808" s="110" t="s">
        <v>19340</v>
      </c>
      <c r="Q6808" s="15" t="s">
        <v>19</v>
      </c>
      <c r="R6808" s="205"/>
      <c r="S6808" s="189"/>
      <c r="T6808" s="114"/>
      <c r="U6808" s="21"/>
      <c r="V6808" s="115">
        <v>46113</v>
      </c>
      <c r="W6808" s="116">
        <v>1011</v>
      </c>
      <c r="X6808" s="220">
        <v>1360000</v>
      </c>
      <c r="Y6808" s="220">
        <f>X6808*0.1</f>
        <v>136000</v>
      </c>
      <c r="Z6808" s="220">
        <v>11100</v>
      </c>
      <c r="AA6808" s="220">
        <f>SUM(X6808:Z6808)</f>
        <v>1507100</v>
      </c>
      <c r="AB6808" s="222">
        <v>46118</v>
      </c>
    </row>
    <row r="6809" spans="1:28" ht="17.100000000000001" customHeight="1" thickBot="1">
      <c r="A6809" s="227"/>
      <c r="B6809" s="27" t="s">
        <v>1918</v>
      </c>
      <c r="C6809" s="27">
        <v>2699</v>
      </c>
      <c r="D6809" s="14" t="s">
        <v>131</v>
      </c>
      <c r="E6809" s="229"/>
      <c r="F6809" s="117" t="s">
        <v>19111</v>
      </c>
      <c r="G6809" s="26">
        <v>3497</v>
      </c>
      <c r="H6809" s="231"/>
      <c r="I6809" s="221"/>
      <c r="J6809" s="221"/>
      <c r="K6809" s="221"/>
      <c r="L6809" s="221"/>
      <c r="M6809" s="221"/>
      <c r="N6809" s="221"/>
      <c r="O6809" s="225"/>
      <c r="P6809" s="118" t="s">
        <v>2404</v>
      </c>
      <c r="Q6809" s="16" t="s">
        <v>20</v>
      </c>
      <c r="R6809" s="17" t="s">
        <v>1623</v>
      </c>
      <c r="S6809" s="121" t="s">
        <v>2236</v>
      </c>
      <c r="T6809" s="122"/>
      <c r="U6809" s="22"/>
      <c r="V6809" s="123" t="s">
        <v>2747</v>
      </c>
      <c r="W6809" s="122">
        <v>2079</v>
      </c>
      <c r="X6809" s="221"/>
      <c r="Y6809" s="221"/>
      <c r="Z6809" s="221"/>
      <c r="AA6809" s="221"/>
      <c r="AB6809" s="223"/>
    </row>
    <row r="6810" spans="1:28" ht="17.100000000000001" customHeight="1" thickTop="1">
      <c r="A6810" s="226" t="s">
        <v>19070</v>
      </c>
      <c r="B6810" s="28">
        <v>46086</v>
      </c>
      <c r="C6810" s="25">
        <v>2148</v>
      </c>
      <c r="D6810" s="13" t="s">
        <v>1810</v>
      </c>
      <c r="E6810" s="228"/>
      <c r="F6810" s="109" t="s">
        <v>19401</v>
      </c>
      <c r="G6810" s="24"/>
      <c r="H6810" s="230">
        <v>4</v>
      </c>
      <c r="I6810" s="220">
        <v>1108000</v>
      </c>
      <c r="J6810" s="220">
        <f>I6810*0.1</f>
        <v>110800</v>
      </c>
      <c r="K6810" s="220">
        <v>0</v>
      </c>
      <c r="L6810" s="220">
        <v>8130</v>
      </c>
      <c r="M6810" s="220">
        <v>14300</v>
      </c>
      <c r="N6810" s="220">
        <f>SUM(I6810:M6811)</f>
        <v>1241230</v>
      </c>
      <c r="O6810" s="224"/>
      <c r="P6810" s="110" t="s">
        <v>19339</v>
      </c>
      <c r="Q6810" s="15" t="s">
        <v>19</v>
      </c>
      <c r="R6810" s="205"/>
      <c r="S6810" s="189"/>
      <c r="T6810" s="114"/>
      <c r="U6810" s="21"/>
      <c r="V6810" s="115">
        <v>46099</v>
      </c>
      <c r="W6810" s="116">
        <v>1009</v>
      </c>
      <c r="X6810" s="220">
        <v>1165000</v>
      </c>
      <c r="Y6810" s="220">
        <f>X6810*0.1</f>
        <v>116500</v>
      </c>
      <c r="Z6810" s="220">
        <v>8130</v>
      </c>
      <c r="AA6810" s="220">
        <f>SUM(X6810:Z6810)</f>
        <v>1289630</v>
      </c>
      <c r="AB6810" s="222">
        <v>46105</v>
      </c>
    </row>
    <row r="6811" spans="1:28" ht="17.100000000000001" customHeight="1" thickBot="1">
      <c r="A6811" s="227"/>
      <c r="B6811" s="27" t="s">
        <v>1918</v>
      </c>
      <c r="C6811" s="27">
        <v>2702</v>
      </c>
      <c r="D6811" s="14" t="s">
        <v>15244</v>
      </c>
      <c r="E6811" s="229"/>
      <c r="F6811" s="117" t="s">
        <v>19960</v>
      </c>
      <c r="G6811" s="26">
        <v>40486</v>
      </c>
      <c r="H6811" s="231"/>
      <c r="I6811" s="221"/>
      <c r="J6811" s="221"/>
      <c r="K6811" s="221"/>
      <c r="L6811" s="221"/>
      <c r="M6811" s="221"/>
      <c r="N6811" s="221"/>
      <c r="O6811" s="225"/>
      <c r="P6811" s="118" t="s">
        <v>2404</v>
      </c>
      <c r="Q6811" s="16" t="s">
        <v>20</v>
      </c>
      <c r="R6811" s="17" t="s">
        <v>1623</v>
      </c>
      <c r="S6811" s="121" t="s">
        <v>2236</v>
      </c>
      <c r="T6811" s="122"/>
      <c r="U6811" s="22"/>
      <c r="V6811" s="123" t="s">
        <v>2747</v>
      </c>
      <c r="W6811" s="122">
        <v>2020</v>
      </c>
      <c r="X6811" s="221"/>
      <c r="Y6811" s="221"/>
      <c r="Z6811" s="221"/>
      <c r="AA6811" s="221"/>
      <c r="AB6811" s="223"/>
    </row>
    <row r="6812" spans="1:28" ht="17.100000000000001" customHeight="1" thickTop="1">
      <c r="A6812" s="226" t="s">
        <v>19079</v>
      </c>
      <c r="B6812" s="28">
        <v>46086</v>
      </c>
      <c r="C6812" s="25">
        <v>2148</v>
      </c>
      <c r="D6812" s="13" t="s">
        <v>2470</v>
      </c>
      <c r="E6812" s="228"/>
      <c r="F6812" s="109" t="s">
        <v>19401</v>
      </c>
      <c r="G6812" s="24" t="s">
        <v>19190</v>
      </c>
      <c r="H6812" s="230">
        <v>4.5</v>
      </c>
      <c r="I6812" s="220">
        <v>1203000</v>
      </c>
      <c r="J6812" s="220">
        <f>I6812*0.1</f>
        <v>120300</v>
      </c>
      <c r="K6812" s="220">
        <v>10800</v>
      </c>
      <c r="L6812" s="220">
        <v>8130</v>
      </c>
      <c r="M6812" s="220">
        <v>14300</v>
      </c>
      <c r="N6812" s="220">
        <f>SUM(I6812:M6813)</f>
        <v>1356530</v>
      </c>
      <c r="O6812" s="224"/>
      <c r="P6812" s="110" t="s">
        <v>19191</v>
      </c>
      <c r="Q6812" s="15" t="s">
        <v>19</v>
      </c>
      <c r="R6812" s="205"/>
      <c r="S6812" s="189"/>
      <c r="T6812" s="114"/>
      <c r="U6812" s="21"/>
      <c r="V6812" s="115">
        <v>46091</v>
      </c>
      <c r="W6812" s="116">
        <v>1932</v>
      </c>
      <c r="X6812" s="220">
        <v>1264000</v>
      </c>
      <c r="Y6812" s="220">
        <f>X6812*0.1</f>
        <v>126400</v>
      </c>
      <c r="Z6812" s="220">
        <v>8130</v>
      </c>
      <c r="AA6812" s="220">
        <f>SUM(X6812:Z6812)</f>
        <v>1398530</v>
      </c>
      <c r="AB6812" s="222"/>
    </row>
    <row r="6813" spans="1:28" ht="17.100000000000001" customHeight="1" thickBot="1">
      <c r="A6813" s="227"/>
      <c r="B6813" s="27" t="s">
        <v>1918</v>
      </c>
      <c r="C6813" s="27">
        <v>2704</v>
      </c>
      <c r="D6813" s="14" t="s">
        <v>19189</v>
      </c>
      <c r="E6813" s="229"/>
      <c r="F6813" s="117" t="s">
        <v>19112</v>
      </c>
      <c r="G6813" s="26">
        <v>2598</v>
      </c>
      <c r="H6813" s="231"/>
      <c r="I6813" s="221"/>
      <c r="J6813" s="221"/>
      <c r="K6813" s="221"/>
      <c r="L6813" s="221"/>
      <c r="M6813" s="221"/>
      <c r="N6813" s="221"/>
      <c r="O6813" s="225"/>
      <c r="P6813" s="118" t="s">
        <v>19592</v>
      </c>
      <c r="Q6813" s="16" t="s">
        <v>20</v>
      </c>
      <c r="R6813" s="17" t="s">
        <v>3605</v>
      </c>
      <c r="S6813" s="121"/>
      <c r="T6813" s="122"/>
      <c r="U6813" s="22"/>
      <c r="V6813" s="123" t="s">
        <v>2103</v>
      </c>
      <c r="W6813" s="122">
        <v>3551</v>
      </c>
      <c r="X6813" s="221"/>
      <c r="Y6813" s="221"/>
      <c r="Z6813" s="221"/>
      <c r="AA6813" s="221"/>
      <c r="AB6813" s="223"/>
    </row>
    <row r="6814" spans="1:28" ht="17.100000000000001" customHeight="1" thickTop="1">
      <c r="A6814" s="226" t="s">
        <v>19080</v>
      </c>
      <c r="B6814" s="28">
        <v>46086</v>
      </c>
      <c r="C6814" s="25">
        <v>2148</v>
      </c>
      <c r="D6814" s="13" t="s">
        <v>2328</v>
      </c>
      <c r="E6814" s="228"/>
      <c r="F6814" s="109" t="s">
        <v>15158</v>
      </c>
      <c r="G6814" s="24"/>
      <c r="H6814" s="230">
        <v>4</v>
      </c>
      <c r="I6814" s="220">
        <v>1354000</v>
      </c>
      <c r="J6814" s="220">
        <f>I6814*0.1</f>
        <v>135400</v>
      </c>
      <c r="K6814" s="220">
        <v>0</v>
      </c>
      <c r="L6814" s="220">
        <v>14200</v>
      </c>
      <c r="M6814" s="220">
        <v>14300</v>
      </c>
      <c r="N6814" s="220">
        <f>SUM(I6814:M6815)</f>
        <v>1517900</v>
      </c>
      <c r="O6814" s="224"/>
      <c r="P6814" s="110" t="s">
        <v>19338</v>
      </c>
      <c r="Q6814" s="15" t="s">
        <v>19</v>
      </c>
      <c r="R6814" s="205"/>
      <c r="S6814" s="189"/>
      <c r="T6814" s="114"/>
      <c r="U6814" s="21"/>
      <c r="V6814" s="115">
        <v>46155</v>
      </c>
      <c r="W6814" s="116">
        <v>1016</v>
      </c>
      <c r="X6814" s="220">
        <v>1570000</v>
      </c>
      <c r="Y6814" s="220">
        <f>X6814*0.1</f>
        <v>157000</v>
      </c>
      <c r="Z6814" s="220">
        <v>14200</v>
      </c>
      <c r="AA6814" s="220">
        <f>SUM(X6814:Z6814)</f>
        <v>1741200</v>
      </c>
      <c r="AB6814" s="222">
        <v>46160</v>
      </c>
    </row>
    <row r="6815" spans="1:28" ht="17.100000000000001" customHeight="1" thickBot="1">
      <c r="A6815" s="227"/>
      <c r="B6815" s="27" t="s">
        <v>1918</v>
      </c>
      <c r="C6815" s="27">
        <v>2706</v>
      </c>
      <c r="D6815" s="14" t="s">
        <v>131</v>
      </c>
      <c r="E6815" s="229"/>
      <c r="F6815" s="117" t="s">
        <v>19113</v>
      </c>
      <c r="G6815" s="26">
        <v>1403</v>
      </c>
      <c r="H6815" s="231"/>
      <c r="I6815" s="221"/>
      <c r="J6815" s="221"/>
      <c r="K6815" s="221"/>
      <c r="L6815" s="221"/>
      <c r="M6815" s="221"/>
      <c r="N6815" s="221"/>
      <c r="O6815" s="225"/>
      <c r="P6815" s="118" t="s">
        <v>2404</v>
      </c>
      <c r="Q6815" s="16" t="s">
        <v>20</v>
      </c>
      <c r="R6815" s="17" t="s">
        <v>1623</v>
      </c>
      <c r="S6815" s="121" t="s">
        <v>2236</v>
      </c>
      <c r="T6815" s="122"/>
      <c r="U6815" s="22"/>
      <c r="V6815" s="123" t="s">
        <v>8877</v>
      </c>
      <c r="W6815" s="122">
        <v>2015</v>
      </c>
      <c r="X6815" s="221"/>
      <c r="Y6815" s="221"/>
      <c r="Z6815" s="221"/>
      <c r="AA6815" s="221"/>
      <c r="AB6815" s="223"/>
    </row>
    <row r="6816" spans="1:28" ht="17.100000000000001" customHeight="1" thickTop="1">
      <c r="A6816" s="226" t="s">
        <v>19081</v>
      </c>
      <c r="B6816" s="28">
        <v>46086</v>
      </c>
      <c r="C6816" s="25">
        <v>2148</v>
      </c>
      <c r="D6816" s="13" t="s">
        <v>1678</v>
      </c>
      <c r="E6816" s="228"/>
      <c r="F6816" s="109" t="s">
        <v>19187</v>
      </c>
      <c r="G6816" s="24"/>
      <c r="H6816" s="230">
        <v>4.5</v>
      </c>
      <c r="I6816" s="220">
        <v>879000</v>
      </c>
      <c r="J6816" s="220">
        <f>I6816*0.1</f>
        <v>87900</v>
      </c>
      <c r="K6816" s="220">
        <v>0</v>
      </c>
      <c r="L6816" s="220">
        <v>7040</v>
      </c>
      <c r="M6816" s="220">
        <v>14300</v>
      </c>
      <c r="N6816" s="220">
        <f>SUM(I6816:M6817)</f>
        <v>988240</v>
      </c>
      <c r="O6816" s="224"/>
      <c r="P6816" s="110" t="s">
        <v>19337</v>
      </c>
      <c r="Q6816" s="15" t="s">
        <v>19</v>
      </c>
      <c r="R6816" s="205"/>
      <c r="S6816" s="189"/>
      <c r="T6816" s="114"/>
      <c r="U6816" s="21"/>
      <c r="V6816" s="115">
        <v>46092</v>
      </c>
      <c r="W6816" s="116">
        <v>1008</v>
      </c>
      <c r="X6816" s="220">
        <v>955000</v>
      </c>
      <c r="Y6816" s="220">
        <f>X6816*0.1</f>
        <v>95500</v>
      </c>
      <c r="Z6816" s="220">
        <v>7040</v>
      </c>
      <c r="AA6816" s="220">
        <f>SUM(X6816:Z6816)</f>
        <v>1057540</v>
      </c>
      <c r="AB6816" s="222">
        <v>46098</v>
      </c>
    </row>
    <row r="6817" spans="1:28" ht="17.100000000000001" customHeight="1" thickBot="1">
      <c r="A6817" s="227"/>
      <c r="B6817" s="27" t="s">
        <v>1918</v>
      </c>
      <c r="C6817" s="27">
        <v>2713</v>
      </c>
      <c r="D6817" s="14" t="s">
        <v>1690</v>
      </c>
      <c r="E6817" s="229"/>
      <c r="F6817" s="117" t="s">
        <v>19114</v>
      </c>
      <c r="G6817" s="26">
        <v>10452</v>
      </c>
      <c r="H6817" s="231"/>
      <c r="I6817" s="221"/>
      <c r="J6817" s="221"/>
      <c r="K6817" s="221"/>
      <c r="L6817" s="221"/>
      <c r="M6817" s="221"/>
      <c r="N6817" s="221"/>
      <c r="O6817" s="225"/>
      <c r="P6817" s="118" t="s">
        <v>2404</v>
      </c>
      <c r="Q6817" s="16" t="s">
        <v>20</v>
      </c>
      <c r="R6817" s="17" t="s">
        <v>1623</v>
      </c>
      <c r="S6817" s="121" t="s">
        <v>19271</v>
      </c>
      <c r="T6817" s="122"/>
      <c r="U6817" s="22"/>
      <c r="V6817" s="123" t="s">
        <v>19459</v>
      </c>
      <c r="W6817" s="122">
        <v>5051</v>
      </c>
      <c r="X6817" s="221"/>
      <c r="Y6817" s="221"/>
      <c r="Z6817" s="221"/>
      <c r="AA6817" s="221"/>
      <c r="AB6817" s="223"/>
    </row>
    <row r="6818" spans="1:28" ht="17.100000000000001" customHeight="1" thickTop="1">
      <c r="A6818" s="233" t="s">
        <v>19082</v>
      </c>
      <c r="B6818" s="28">
        <v>46087</v>
      </c>
      <c r="C6818" s="25">
        <v>1409</v>
      </c>
      <c r="D6818" s="13" t="s">
        <v>1837</v>
      </c>
      <c r="E6818" s="228"/>
      <c r="F6818" s="109" t="s">
        <v>19115</v>
      </c>
      <c r="G6818" s="24"/>
      <c r="H6818" s="230">
        <v>4</v>
      </c>
      <c r="I6818" s="220">
        <v>1706000</v>
      </c>
      <c r="J6818" s="220">
        <f>I6818*0.1</f>
        <v>170600</v>
      </c>
      <c r="K6818" s="220">
        <v>0</v>
      </c>
      <c r="L6818" s="220">
        <v>18220</v>
      </c>
      <c r="M6818" s="220">
        <v>15400</v>
      </c>
      <c r="N6818" s="220">
        <f>SUM(I6818:M6819)</f>
        <v>1910220</v>
      </c>
      <c r="O6818" s="224"/>
      <c r="P6818" s="110" t="s">
        <v>19526</v>
      </c>
      <c r="Q6818" s="15" t="s">
        <v>19</v>
      </c>
      <c r="R6818" s="205"/>
      <c r="S6818" s="189" t="s">
        <v>25838</v>
      </c>
      <c r="T6818" s="114" t="s">
        <v>19493</v>
      </c>
      <c r="U6818" s="21"/>
      <c r="V6818" s="115"/>
      <c r="W6818" s="116"/>
      <c r="X6818" s="220"/>
      <c r="Y6818" s="220">
        <f>X6818*0.1</f>
        <v>0</v>
      </c>
      <c r="Z6818" s="220"/>
      <c r="AA6818" s="220">
        <f>SUM(X6818:Z6818)</f>
        <v>0</v>
      </c>
      <c r="AB6818" s="222"/>
    </row>
    <row r="6819" spans="1:28" ht="17.100000000000001" customHeight="1" thickBot="1">
      <c r="A6819" s="234"/>
      <c r="B6819" s="27" t="s">
        <v>2597</v>
      </c>
      <c r="C6819" s="27">
        <v>3029</v>
      </c>
      <c r="D6819" s="14" t="s">
        <v>273</v>
      </c>
      <c r="E6819" s="229"/>
      <c r="F6819" s="117" t="s">
        <v>19283</v>
      </c>
      <c r="G6819" s="26">
        <v>35408</v>
      </c>
      <c r="H6819" s="231"/>
      <c r="I6819" s="221"/>
      <c r="J6819" s="221"/>
      <c r="K6819" s="221"/>
      <c r="L6819" s="221"/>
      <c r="M6819" s="221"/>
      <c r="N6819" s="221"/>
      <c r="O6819" s="225"/>
      <c r="P6819" s="118" t="s">
        <v>4161</v>
      </c>
      <c r="Q6819" s="16" t="s">
        <v>20</v>
      </c>
      <c r="R6819" s="17" t="s">
        <v>3332</v>
      </c>
      <c r="S6819" s="121" t="s">
        <v>2703</v>
      </c>
      <c r="T6819" s="122"/>
      <c r="U6819" s="22"/>
      <c r="V6819" s="123"/>
      <c r="W6819" s="122"/>
      <c r="X6819" s="221"/>
      <c r="Y6819" s="221"/>
      <c r="Z6819" s="221"/>
      <c r="AA6819" s="221"/>
      <c r="AB6819" s="223"/>
    </row>
    <row r="6820" spans="1:28" ht="17.100000000000001" customHeight="1" thickTop="1">
      <c r="A6820" s="226" t="s">
        <v>19083</v>
      </c>
      <c r="B6820" s="28">
        <v>46087</v>
      </c>
      <c r="C6820" s="25">
        <v>1409</v>
      </c>
      <c r="D6820" s="13" t="s">
        <v>4775</v>
      </c>
      <c r="E6820" s="228"/>
      <c r="F6820" s="109" t="s">
        <v>15635</v>
      </c>
      <c r="G6820" s="24" t="s">
        <v>3446</v>
      </c>
      <c r="H6820" s="230">
        <v>3.5</v>
      </c>
      <c r="I6820" s="220">
        <v>236000</v>
      </c>
      <c r="J6820" s="220">
        <f>I6820*0.1</f>
        <v>23600</v>
      </c>
      <c r="K6820" s="220">
        <v>10800</v>
      </c>
      <c r="L6820" s="220">
        <v>8460</v>
      </c>
      <c r="M6820" s="220">
        <v>15400</v>
      </c>
      <c r="N6820" s="220">
        <f>SUM(I6820:M6821)</f>
        <v>294260</v>
      </c>
      <c r="O6820" s="224"/>
      <c r="P6820" s="110" t="s">
        <v>19597</v>
      </c>
      <c r="Q6820" s="15" t="s">
        <v>19</v>
      </c>
      <c r="R6820" s="205"/>
      <c r="S6820" s="189" t="s">
        <v>25772</v>
      </c>
      <c r="T6820" s="114"/>
      <c r="U6820" s="21"/>
      <c r="V6820" s="115">
        <v>46102</v>
      </c>
      <c r="W6820" s="116">
        <v>1293</v>
      </c>
      <c r="X6820" s="220">
        <v>350000</v>
      </c>
      <c r="Y6820" s="220">
        <f>X6820*0.1</f>
        <v>35000</v>
      </c>
      <c r="Z6820" s="220">
        <v>8460</v>
      </c>
      <c r="AA6820" s="220">
        <f>SUM(X6820:Z6820)</f>
        <v>393460</v>
      </c>
      <c r="AB6820" s="222">
        <v>46111</v>
      </c>
    </row>
    <row r="6821" spans="1:28" ht="17.100000000000001" customHeight="1" thickBot="1">
      <c r="A6821" s="227"/>
      <c r="B6821" s="27" t="s">
        <v>2597</v>
      </c>
      <c r="C6821" s="27">
        <v>3068</v>
      </c>
      <c r="D6821" s="14" t="s">
        <v>273</v>
      </c>
      <c r="E6821" s="229"/>
      <c r="F6821" s="117" t="s">
        <v>19116</v>
      </c>
      <c r="G6821" s="26">
        <v>82794</v>
      </c>
      <c r="H6821" s="231"/>
      <c r="I6821" s="221"/>
      <c r="J6821" s="221"/>
      <c r="K6821" s="221"/>
      <c r="L6821" s="221"/>
      <c r="M6821" s="221"/>
      <c r="N6821" s="221"/>
      <c r="O6821" s="225"/>
      <c r="P6821" s="118" t="s">
        <v>3281</v>
      </c>
      <c r="Q6821" s="16" t="s">
        <v>20</v>
      </c>
      <c r="R6821" s="17" t="s">
        <v>3605</v>
      </c>
      <c r="S6821" s="121" t="s">
        <v>9359</v>
      </c>
      <c r="T6821" s="122"/>
      <c r="U6821" s="22"/>
      <c r="V6821" s="123" t="s">
        <v>20692</v>
      </c>
      <c r="W6821" s="122">
        <v>60186</v>
      </c>
      <c r="X6821" s="221"/>
      <c r="Y6821" s="221"/>
      <c r="Z6821" s="221"/>
      <c r="AA6821" s="221"/>
      <c r="AB6821" s="223"/>
    </row>
    <row r="6822" spans="1:28" ht="17.100000000000001" customHeight="1" thickTop="1">
      <c r="A6822" s="226" t="s">
        <v>19084</v>
      </c>
      <c r="B6822" s="28">
        <v>46087</v>
      </c>
      <c r="C6822" s="25">
        <v>1409</v>
      </c>
      <c r="D6822" s="13" t="s">
        <v>1810</v>
      </c>
      <c r="E6822" s="228"/>
      <c r="F6822" s="109" t="s">
        <v>19117</v>
      </c>
      <c r="G6822" s="24"/>
      <c r="H6822" s="230">
        <v>4.5</v>
      </c>
      <c r="I6822" s="220">
        <v>1166000</v>
      </c>
      <c r="J6822" s="220">
        <f>I6822*0.1</f>
        <v>116600</v>
      </c>
      <c r="K6822" s="220">
        <v>0</v>
      </c>
      <c r="L6822" s="220">
        <v>8270</v>
      </c>
      <c r="M6822" s="220">
        <v>15400</v>
      </c>
      <c r="N6822" s="220">
        <f>SUM(I6822:M6823)</f>
        <v>1306270</v>
      </c>
      <c r="O6822" s="224"/>
      <c r="P6822" s="110" t="s">
        <v>19527</v>
      </c>
      <c r="Q6822" s="15" t="s">
        <v>19</v>
      </c>
      <c r="R6822" s="205"/>
      <c r="S6822" s="189" t="s">
        <v>25775</v>
      </c>
      <c r="T6822" s="114"/>
      <c r="U6822" s="21"/>
      <c r="V6822" s="115">
        <v>46099</v>
      </c>
      <c r="W6822" s="116">
        <v>1009</v>
      </c>
      <c r="X6822" s="220">
        <v>1210000</v>
      </c>
      <c r="Y6822" s="220">
        <f>X6822*0.1</f>
        <v>121000</v>
      </c>
      <c r="Z6822" s="220">
        <v>8270</v>
      </c>
      <c r="AA6822" s="220">
        <f>SUM(X6822:Z6822)</f>
        <v>1339270</v>
      </c>
      <c r="AB6822" s="222">
        <v>46105</v>
      </c>
    </row>
    <row r="6823" spans="1:28" ht="17.100000000000001" customHeight="1" thickBot="1">
      <c r="A6823" s="227"/>
      <c r="B6823" s="27" t="s">
        <v>2597</v>
      </c>
      <c r="C6823" s="27">
        <v>3083</v>
      </c>
      <c r="D6823" s="14" t="s">
        <v>2753</v>
      </c>
      <c r="E6823" s="229"/>
      <c r="F6823" s="117" t="s">
        <v>19118</v>
      </c>
      <c r="G6823" s="26">
        <v>6980</v>
      </c>
      <c r="H6823" s="231"/>
      <c r="I6823" s="221"/>
      <c r="J6823" s="221"/>
      <c r="K6823" s="221"/>
      <c r="L6823" s="221"/>
      <c r="M6823" s="221"/>
      <c r="N6823" s="221"/>
      <c r="O6823" s="225"/>
      <c r="P6823" s="118" t="s">
        <v>10173</v>
      </c>
      <c r="Q6823" s="16" t="s">
        <v>20</v>
      </c>
      <c r="R6823" s="17" t="s">
        <v>3332</v>
      </c>
      <c r="S6823" s="121" t="s">
        <v>19546</v>
      </c>
      <c r="T6823" s="122"/>
      <c r="U6823" s="22"/>
      <c r="V6823" s="123" t="s">
        <v>2747</v>
      </c>
      <c r="W6823" s="122">
        <v>6088</v>
      </c>
      <c r="X6823" s="221"/>
      <c r="Y6823" s="221"/>
      <c r="Z6823" s="221"/>
      <c r="AA6823" s="221"/>
      <c r="AB6823" s="223"/>
    </row>
    <row r="6824" spans="1:28" ht="17.100000000000001" customHeight="1" thickTop="1">
      <c r="A6824" s="226" t="s">
        <v>19085</v>
      </c>
      <c r="B6824" s="28">
        <v>46087</v>
      </c>
      <c r="C6824" s="25">
        <v>1409</v>
      </c>
      <c r="D6824" s="13" t="s">
        <v>2267</v>
      </c>
      <c r="E6824" s="228"/>
      <c r="F6824" s="109" t="s">
        <v>19400</v>
      </c>
      <c r="G6824" s="24" t="s">
        <v>10428</v>
      </c>
      <c r="H6824" s="230">
        <v>4</v>
      </c>
      <c r="I6824" s="220">
        <v>805000</v>
      </c>
      <c r="J6824" s="220">
        <f>I6824*0.1</f>
        <v>80500</v>
      </c>
      <c r="K6824" s="220">
        <v>10800</v>
      </c>
      <c r="L6824" s="220">
        <v>8790</v>
      </c>
      <c r="M6824" s="220">
        <v>15400</v>
      </c>
      <c r="N6824" s="220">
        <f>SUM(I6824:M6825)</f>
        <v>920490</v>
      </c>
      <c r="O6824" s="224"/>
      <c r="P6824" s="110" t="s">
        <v>19528</v>
      </c>
      <c r="Q6824" s="15" t="s">
        <v>19</v>
      </c>
      <c r="R6824" s="205"/>
      <c r="S6824" s="189" t="s">
        <v>1036</v>
      </c>
      <c r="T6824" s="114"/>
      <c r="U6824" s="21" t="s">
        <v>22472</v>
      </c>
      <c r="V6824" s="115">
        <v>46120</v>
      </c>
      <c r="W6824" s="116">
        <v>1012</v>
      </c>
      <c r="X6824" s="220">
        <v>860000</v>
      </c>
      <c r="Y6824" s="220">
        <f>X6824*0.1</f>
        <v>86000</v>
      </c>
      <c r="Z6824" s="220">
        <v>8790</v>
      </c>
      <c r="AA6824" s="220">
        <f>SUM(X6824:Z6824)</f>
        <v>954790</v>
      </c>
      <c r="AB6824" s="222">
        <v>46128</v>
      </c>
    </row>
    <row r="6825" spans="1:28" ht="17.100000000000001" customHeight="1" thickBot="1">
      <c r="A6825" s="227"/>
      <c r="B6825" s="27" t="s">
        <v>2597</v>
      </c>
      <c r="C6825" s="27">
        <v>3098</v>
      </c>
      <c r="D6825" s="14" t="s">
        <v>1690</v>
      </c>
      <c r="E6825" s="229"/>
      <c r="F6825" s="117" t="s">
        <v>19119</v>
      </c>
      <c r="G6825" s="26">
        <v>36605</v>
      </c>
      <c r="H6825" s="231"/>
      <c r="I6825" s="221"/>
      <c r="J6825" s="221"/>
      <c r="K6825" s="221"/>
      <c r="L6825" s="221"/>
      <c r="M6825" s="221"/>
      <c r="N6825" s="221"/>
      <c r="O6825" s="225"/>
      <c r="P6825" s="118" t="s">
        <v>1972</v>
      </c>
      <c r="Q6825" s="16" t="s">
        <v>20</v>
      </c>
      <c r="R6825" s="17" t="s">
        <v>3332</v>
      </c>
      <c r="S6825" s="121" t="s">
        <v>2405</v>
      </c>
      <c r="T6825" s="122"/>
      <c r="U6825" s="22"/>
      <c r="V6825" s="123" t="s">
        <v>22464</v>
      </c>
      <c r="W6825" s="122">
        <v>2047</v>
      </c>
      <c r="X6825" s="221"/>
      <c r="Y6825" s="221"/>
      <c r="Z6825" s="221"/>
      <c r="AA6825" s="221"/>
      <c r="AB6825" s="223"/>
    </row>
    <row r="6826" spans="1:28" ht="17.100000000000001" customHeight="1" thickTop="1">
      <c r="A6826" s="226" t="s">
        <v>19086</v>
      </c>
      <c r="B6826" s="28">
        <v>46087</v>
      </c>
      <c r="C6826" s="25">
        <v>1409</v>
      </c>
      <c r="D6826" s="13" t="s">
        <v>1634</v>
      </c>
      <c r="E6826" s="228"/>
      <c r="F6826" s="109" t="s">
        <v>15235</v>
      </c>
      <c r="G6826" s="24" t="s">
        <v>11031</v>
      </c>
      <c r="H6826" s="230">
        <v>4</v>
      </c>
      <c r="I6826" s="220">
        <v>603000</v>
      </c>
      <c r="J6826" s="220">
        <f>I6826*0.1</f>
        <v>60300</v>
      </c>
      <c r="K6826" s="220">
        <v>10800</v>
      </c>
      <c r="L6826" s="220">
        <v>6470</v>
      </c>
      <c r="M6826" s="220">
        <v>15400</v>
      </c>
      <c r="N6826" s="220">
        <f>SUM(I6826:M6827)</f>
        <v>695970</v>
      </c>
      <c r="O6826" s="224"/>
      <c r="P6826" s="110" t="s">
        <v>19963</v>
      </c>
      <c r="Q6826" s="15" t="s">
        <v>19</v>
      </c>
      <c r="R6826" s="205"/>
      <c r="S6826" s="189" t="s">
        <v>283</v>
      </c>
      <c r="T6826" s="114"/>
      <c r="U6826" s="21"/>
      <c r="V6826" s="115">
        <v>46092</v>
      </c>
      <c r="W6826" s="116">
        <v>1008</v>
      </c>
      <c r="X6826" s="220">
        <v>650000</v>
      </c>
      <c r="Y6826" s="220">
        <f>X6826*0.1</f>
        <v>65000</v>
      </c>
      <c r="Z6826" s="220">
        <v>6470</v>
      </c>
      <c r="AA6826" s="220">
        <f>SUM(X6826:Z6826)</f>
        <v>721470</v>
      </c>
      <c r="AB6826" s="222">
        <v>46100</v>
      </c>
    </row>
    <row r="6827" spans="1:28" ht="17.100000000000001" customHeight="1" thickBot="1">
      <c r="A6827" s="227"/>
      <c r="B6827" s="27" t="s">
        <v>2597</v>
      </c>
      <c r="C6827" s="27">
        <v>3146</v>
      </c>
      <c r="D6827" s="14" t="s">
        <v>273</v>
      </c>
      <c r="E6827" s="229"/>
      <c r="F6827" s="117" t="s">
        <v>19120</v>
      </c>
      <c r="G6827" s="26">
        <v>34044</v>
      </c>
      <c r="H6827" s="231"/>
      <c r="I6827" s="221"/>
      <c r="J6827" s="221"/>
      <c r="K6827" s="221"/>
      <c r="L6827" s="221"/>
      <c r="M6827" s="221"/>
      <c r="N6827" s="221"/>
      <c r="O6827" s="225"/>
      <c r="P6827" s="118" t="s">
        <v>19964</v>
      </c>
      <c r="Q6827" s="16" t="s">
        <v>20</v>
      </c>
      <c r="R6827" s="17" t="s">
        <v>3913</v>
      </c>
      <c r="S6827" s="121" t="s">
        <v>1625</v>
      </c>
      <c r="T6827" s="122"/>
      <c r="U6827" s="22"/>
      <c r="V6827" s="123" t="s">
        <v>19459</v>
      </c>
      <c r="W6827" s="122">
        <v>5116</v>
      </c>
      <c r="X6827" s="221"/>
      <c r="Y6827" s="221"/>
      <c r="Z6827" s="221"/>
      <c r="AA6827" s="221"/>
      <c r="AB6827" s="223"/>
    </row>
    <row r="6828" spans="1:28" ht="17.100000000000001" customHeight="1" thickTop="1">
      <c r="A6828" s="226" t="s">
        <v>19087</v>
      </c>
      <c r="B6828" s="28">
        <v>46087</v>
      </c>
      <c r="C6828" s="25">
        <v>1409</v>
      </c>
      <c r="D6828" s="13" t="s">
        <v>2712</v>
      </c>
      <c r="E6828" s="228"/>
      <c r="F6828" s="109" t="s">
        <v>17515</v>
      </c>
      <c r="G6828" s="24" t="s">
        <v>5031</v>
      </c>
      <c r="H6828" s="230">
        <v>4</v>
      </c>
      <c r="I6828" s="220">
        <v>969000</v>
      </c>
      <c r="J6828" s="220">
        <f>I6828*0.1</f>
        <v>96900</v>
      </c>
      <c r="K6828" s="220">
        <v>25000</v>
      </c>
      <c r="L6828" s="220">
        <v>9750</v>
      </c>
      <c r="M6828" s="220">
        <v>15400</v>
      </c>
      <c r="N6828" s="220">
        <f>SUM(I6828:M6829)</f>
        <v>1116050</v>
      </c>
      <c r="O6828" s="224"/>
      <c r="P6828" s="110" t="s">
        <v>19595</v>
      </c>
      <c r="Q6828" s="15" t="s">
        <v>19</v>
      </c>
      <c r="R6828" s="205"/>
      <c r="S6828" s="189"/>
      <c r="T6828" s="114"/>
      <c r="U6828" s="21"/>
      <c r="V6828" s="115">
        <v>46099</v>
      </c>
      <c r="W6828" s="116">
        <v>1009</v>
      </c>
      <c r="X6828" s="220">
        <v>1040000</v>
      </c>
      <c r="Y6828" s="220">
        <f>X6828*0.1</f>
        <v>104000</v>
      </c>
      <c r="Z6828" s="220">
        <v>9750</v>
      </c>
      <c r="AA6828" s="220">
        <f>SUM(X6828:Z6828)</f>
        <v>1153750</v>
      </c>
      <c r="AB6828" s="222">
        <v>46106</v>
      </c>
    </row>
    <row r="6829" spans="1:28" ht="17.100000000000001" customHeight="1" thickBot="1">
      <c r="A6829" s="227"/>
      <c r="B6829" s="27" t="s">
        <v>2597</v>
      </c>
      <c r="C6829" s="27">
        <v>3240</v>
      </c>
      <c r="D6829" s="14" t="s">
        <v>2520</v>
      </c>
      <c r="E6829" s="229"/>
      <c r="F6829" s="117" t="s">
        <v>19121</v>
      </c>
      <c r="G6829" s="26">
        <v>60990</v>
      </c>
      <c r="H6829" s="231"/>
      <c r="I6829" s="221"/>
      <c r="J6829" s="221"/>
      <c r="K6829" s="221"/>
      <c r="L6829" s="221"/>
      <c r="M6829" s="221"/>
      <c r="N6829" s="221"/>
      <c r="O6829" s="225"/>
      <c r="P6829" s="118" t="s">
        <v>19596</v>
      </c>
      <c r="Q6829" s="16" t="s">
        <v>20</v>
      </c>
      <c r="R6829" s="17" t="s">
        <v>3605</v>
      </c>
      <c r="S6829" s="121"/>
      <c r="T6829" s="122"/>
      <c r="U6829" s="22"/>
      <c r="V6829" s="123" t="s">
        <v>20442</v>
      </c>
      <c r="W6829" s="122">
        <v>6100</v>
      </c>
      <c r="X6829" s="221"/>
      <c r="Y6829" s="221"/>
      <c r="Z6829" s="221"/>
      <c r="AA6829" s="221"/>
      <c r="AB6829" s="223"/>
    </row>
    <row r="6830" spans="1:28" ht="17.100000000000001" customHeight="1" thickTop="1">
      <c r="A6830" s="226" t="s">
        <v>19088</v>
      </c>
      <c r="B6830" s="28">
        <v>46087</v>
      </c>
      <c r="C6830" s="25">
        <v>1409</v>
      </c>
      <c r="D6830" s="13" t="s">
        <v>2429</v>
      </c>
      <c r="E6830" s="228"/>
      <c r="F6830" s="109" t="s">
        <v>7214</v>
      </c>
      <c r="G6830" s="24"/>
      <c r="H6830" s="230">
        <v>4</v>
      </c>
      <c r="I6830" s="220">
        <v>626000</v>
      </c>
      <c r="J6830" s="220">
        <f>I6830*0.1</f>
        <v>62600</v>
      </c>
      <c r="K6830" s="220">
        <v>0</v>
      </c>
      <c r="L6830" s="220">
        <v>8400</v>
      </c>
      <c r="M6830" s="220">
        <v>15400</v>
      </c>
      <c r="N6830" s="220">
        <f>SUM(I6830:M6831)</f>
        <v>712400</v>
      </c>
      <c r="O6830" s="224"/>
      <c r="P6830" s="110" t="s">
        <v>19962</v>
      </c>
      <c r="Q6830" s="15" t="s">
        <v>19</v>
      </c>
      <c r="R6830" s="205"/>
      <c r="S6830" s="189" t="s">
        <v>283</v>
      </c>
      <c r="T6830" s="114"/>
      <c r="U6830" s="21"/>
      <c r="V6830" s="115">
        <v>46092</v>
      </c>
      <c r="W6830" s="116">
        <v>1008</v>
      </c>
      <c r="X6830" s="220">
        <v>660000</v>
      </c>
      <c r="Y6830" s="220">
        <f>X6830*0.1</f>
        <v>66000</v>
      </c>
      <c r="Z6830" s="220">
        <v>8400</v>
      </c>
      <c r="AA6830" s="220">
        <f>SUM(X6830:Z6830)</f>
        <v>734400</v>
      </c>
      <c r="AB6830" s="222">
        <v>46100</v>
      </c>
    </row>
    <row r="6831" spans="1:28" ht="17.100000000000001" customHeight="1" thickBot="1">
      <c r="A6831" s="227"/>
      <c r="B6831" s="27" t="s">
        <v>2597</v>
      </c>
      <c r="C6831" s="27">
        <v>3257</v>
      </c>
      <c r="D6831" s="14" t="s">
        <v>2248</v>
      </c>
      <c r="E6831" s="229"/>
      <c r="F6831" s="117" t="s">
        <v>19122</v>
      </c>
      <c r="G6831" s="26">
        <v>42107</v>
      </c>
      <c r="H6831" s="231"/>
      <c r="I6831" s="221"/>
      <c r="J6831" s="221"/>
      <c r="K6831" s="221"/>
      <c r="L6831" s="221"/>
      <c r="M6831" s="221"/>
      <c r="N6831" s="221"/>
      <c r="O6831" s="225"/>
      <c r="P6831" s="118" t="s">
        <v>3281</v>
      </c>
      <c r="Q6831" s="16" t="s">
        <v>20</v>
      </c>
      <c r="R6831" s="17" t="s">
        <v>3913</v>
      </c>
      <c r="S6831" s="121" t="s">
        <v>1625</v>
      </c>
      <c r="T6831" s="122"/>
      <c r="U6831" s="22"/>
      <c r="V6831" s="123" t="s">
        <v>19459</v>
      </c>
      <c r="W6831" s="122">
        <v>5121</v>
      </c>
      <c r="X6831" s="221"/>
      <c r="Y6831" s="221"/>
      <c r="Z6831" s="221"/>
      <c r="AA6831" s="221"/>
      <c r="AB6831" s="223"/>
    </row>
    <row r="6832" spans="1:28" ht="17.100000000000001" customHeight="1" thickTop="1">
      <c r="A6832" s="226" t="s">
        <v>19089</v>
      </c>
      <c r="B6832" s="28">
        <v>46087</v>
      </c>
      <c r="C6832" s="25">
        <v>1409</v>
      </c>
      <c r="D6832" s="13" t="s">
        <v>1615</v>
      </c>
      <c r="E6832" s="228"/>
      <c r="F6832" s="109" t="s">
        <v>19123</v>
      </c>
      <c r="G6832" s="24" t="s">
        <v>19209</v>
      </c>
      <c r="H6832" s="230">
        <v>4</v>
      </c>
      <c r="I6832" s="220">
        <v>345000</v>
      </c>
      <c r="J6832" s="220">
        <f>I6832*0.1</f>
        <v>34500</v>
      </c>
      <c r="K6832" s="220">
        <v>7200</v>
      </c>
      <c r="L6832" s="220">
        <v>9550</v>
      </c>
      <c r="M6832" s="220">
        <v>15400</v>
      </c>
      <c r="N6832" s="220">
        <f>SUM(I6832:M6833)</f>
        <v>411650</v>
      </c>
      <c r="O6832" s="224"/>
      <c r="P6832" s="110" t="s">
        <v>19535</v>
      </c>
      <c r="Q6832" s="15" t="s">
        <v>19</v>
      </c>
      <c r="R6832" s="205"/>
      <c r="S6832" s="189" t="s">
        <v>25839</v>
      </c>
      <c r="T6832" s="114"/>
      <c r="U6832" s="21"/>
      <c r="V6832" s="115">
        <v>46095</v>
      </c>
      <c r="W6832" s="116">
        <v>1292</v>
      </c>
      <c r="X6832" s="220">
        <v>450000</v>
      </c>
      <c r="Y6832" s="220">
        <f>X6832*0.1</f>
        <v>45000</v>
      </c>
      <c r="Z6832" s="220">
        <v>9550</v>
      </c>
      <c r="AA6832" s="220">
        <f>SUM(X6832:Z6832)</f>
        <v>504550</v>
      </c>
      <c r="AB6832" s="222">
        <v>46100</v>
      </c>
    </row>
    <row r="6833" spans="1:28" ht="17.100000000000001" customHeight="1" thickBot="1">
      <c r="A6833" s="227"/>
      <c r="B6833" s="27" t="s">
        <v>2597</v>
      </c>
      <c r="C6833" s="27">
        <v>7012</v>
      </c>
      <c r="D6833" s="14" t="s">
        <v>3792</v>
      </c>
      <c r="E6833" s="229"/>
      <c r="F6833" s="117" t="s">
        <v>19124</v>
      </c>
      <c r="G6833" s="26">
        <v>31610</v>
      </c>
      <c r="H6833" s="231"/>
      <c r="I6833" s="221"/>
      <c r="J6833" s="221"/>
      <c r="K6833" s="221"/>
      <c r="L6833" s="221"/>
      <c r="M6833" s="221"/>
      <c r="N6833" s="221"/>
      <c r="O6833" s="225"/>
      <c r="P6833" s="118" t="s">
        <v>10518</v>
      </c>
      <c r="Q6833" s="16" t="s">
        <v>20</v>
      </c>
      <c r="R6833" s="17" t="s">
        <v>3332</v>
      </c>
      <c r="S6833" s="121" t="s">
        <v>19536</v>
      </c>
      <c r="T6833" s="122"/>
      <c r="U6833" s="22"/>
      <c r="V6833" s="123" t="s">
        <v>6641</v>
      </c>
      <c r="W6833" s="122">
        <v>60178</v>
      </c>
      <c r="X6833" s="221"/>
      <c r="Y6833" s="221"/>
      <c r="Z6833" s="221"/>
      <c r="AA6833" s="221"/>
      <c r="AB6833" s="223"/>
    </row>
    <row r="6834" spans="1:28" ht="17.100000000000001" customHeight="1" thickTop="1">
      <c r="A6834" s="226" t="s">
        <v>19090</v>
      </c>
      <c r="B6834" s="28">
        <v>46087</v>
      </c>
      <c r="C6834" s="25">
        <v>1409</v>
      </c>
      <c r="D6834" s="13" t="s">
        <v>2167</v>
      </c>
      <c r="E6834" s="228"/>
      <c r="F6834" s="109" t="s">
        <v>19210</v>
      </c>
      <c r="G6834" s="24" t="s">
        <v>4380</v>
      </c>
      <c r="H6834" s="230">
        <v>4.5</v>
      </c>
      <c r="I6834" s="220">
        <v>744000</v>
      </c>
      <c r="J6834" s="220">
        <f>I6834*0.1</f>
        <v>74400</v>
      </c>
      <c r="K6834" s="220">
        <v>10800</v>
      </c>
      <c r="L6834" s="220">
        <v>8790</v>
      </c>
      <c r="M6834" s="220">
        <v>15400</v>
      </c>
      <c r="N6834" s="220">
        <f>SUM(I6834:M6835)</f>
        <v>853390</v>
      </c>
      <c r="O6834" s="224"/>
      <c r="P6834" s="110" t="s">
        <v>19534</v>
      </c>
      <c r="Q6834" s="15" t="s">
        <v>19</v>
      </c>
      <c r="R6834" s="205"/>
      <c r="S6834" s="189"/>
      <c r="T6834" s="114"/>
      <c r="U6834" s="21" t="s">
        <v>23152</v>
      </c>
      <c r="V6834" s="115"/>
      <c r="W6834" s="116"/>
      <c r="X6834" s="220"/>
      <c r="Y6834" s="220">
        <f>X6834*0.1</f>
        <v>0</v>
      </c>
      <c r="Z6834" s="220"/>
      <c r="AA6834" s="220">
        <f>SUM(X6834:Z6834)</f>
        <v>0</v>
      </c>
      <c r="AB6834" s="222"/>
    </row>
    <row r="6835" spans="1:28" ht="17.100000000000001" customHeight="1" thickBot="1">
      <c r="A6835" s="227"/>
      <c r="B6835" s="27" t="s">
        <v>2597</v>
      </c>
      <c r="C6835" s="27">
        <v>7026</v>
      </c>
      <c r="D6835" s="14" t="s">
        <v>1797</v>
      </c>
      <c r="E6835" s="229"/>
      <c r="F6835" s="117" t="s">
        <v>19125</v>
      </c>
      <c r="G6835" s="26">
        <v>402779</v>
      </c>
      <c r="H6835" s="231"/>
      <c r="I6835" s="221"/>
      <c r="J6835" s="221"/>
      <c r="K6835" s="221"/>
      <c r="L6835" s="221"/>
      <c r="M6835" s="221"/>
      <c r="N6835" s="221"/>
      <c r="O6835" s="225"/>
      <c r="P6835" s="118" t="s">
        <v>10518</v>
      </c>
      <c r="Q6835" s="16" t="s">
        <v>20</v>
      </c>
      <c r="R6835" s="17" t="s">
        <v>3332</v>
      </c>
      <c r="S6835" s="121"/>
      <c r="T6835" s="122"/>
      <c r="U6835" s="22"/>
      <c r="V6835" s="123"/>
      <c r="W6835" s="122"/>
      <c r="X6835" s="221"/>
      <c r="Y6835" s="221"/>
      <c r="Z6835" s="221"/>
      <c r="AA6835" s="221"/>
      <c r="AB6835" s="223"/>
    </row>
    <row r="6836" spans="1:28" ht="17.100000000000001" customHeight="1" thickTop="1">
      <c r="A6836" s="226" t="s">
        <v>19091</v>
      </c>
      <c r="B6836" s="28">
        <v>46087</v>
      </c>
      <c r="C6836" s="25">
        <v>1409</v>
      </c>
      <c r="D6836" s="13" t="s">
        <v>3406</v>
      </c>
      <c r="E6836" s="228"/>
      <c r="F6836" s="109" t="s">
        <v>19126</v>
      </c>
      <c r="G6836" s="24"/>
      <c r="H6836" s="230">
        <v>4</v>
      </c>
      <c r="I6836" s="220">
        <v>2140000</v>
      </c>
      <c r="J6836" s="220">
        <f>I6836*0.1</f>
        <v>214000</v>
      </c>
      <c r="K6836" s="220">
        <v>0</v>
      </c>
      <c r="L6836" s="220">
        <v>11710</v>
      </c>
      <c r="M6836" s="220">
        <v>15400</v>
      </c>
      <c r="N6836" s="220">
        <f>SUM(I6836:M6837)</f>
        <v>2381110</v>
      </c>
      <c r="O6836" s="224"/>
      <c r="P6836" s="110" t="s">
        <v>19571</v>
      </c>
      <c r="Q6836" s="15" t="s">
        <v>19</v>
      </c>
      <c r="R6836" s="205"/>
      <c r="S6836" s="189"/>
      <c r="T6836" s="114"/>
      <c r="U6836" s="21"/>
      <c r="V6836" s="115">
        <v>46092</v>
      </c>
      <c r="W6836" s="116">
        <v>1008</v>
      </c>
      <c r="X6836" s="220">
        <v>2230000</v>
      </c>
      <c r="Y6836" s="220">
        <f>X6836*0.1</f>
        <v>223000</v>
      </c>
      <c r="Z6836" s="220">
        <v>11710</v>
      </c>
      <c r="AA6836" s="220">
        <f>SUM(X6836:Z6836)</f>
        <v>2464710</v>
      </c>
      <c r="AB6836" s="222">
        <v>46098</v>
      </c>
    </row>
    <row r="6837" spans="1:28" ht="17.100000000000001" customHeight="1" thickBot="1">
      <c r="A6837" s="227"/>
      <c r="B6837" s="27" t="s">
        <v>2597</v>
      </c>
      <c r="C6837" s="27">
        <v>7104</v>
      </c>
      <c r="D6837" s="14" t="s">
        <v>273</v>
      </c>
      <c r="E6837" s="229"/>
      <c r="F6837" s="117" t="s">
        <v>19127</v>
      </c>
      <c r="G6837" s="26">
        <v>41318</v>
      </c>
      <c r="H6837" s="231"/>
      <c r="I6837" s="221"/>
      <c r="J6837" s="221"/>
      <c r="K6837" s="221"/>
      <c r="L6837" s="221"/>
      <c r="M6837" s="221"/>
      <c r="N6837" s="221"/>
      <c r="O6837" s="225"/>
      <c r="P6837" s="118" t="s">
        <v>18155</v>
      </c>
      <c r="Q6837" s="16" t="s">
        <v>20</v>
      </c>
      <c r="R6837" s="17" t="s">
        <v>19572</v>
      </c>
      <c r="S6837" s="121" t="s">
        <v>6727</v>
      </c>
      <c r="T6837" s="122"/>
      <c r="U6837" s="22"/>
      <c r="V6837" s="123" t="s">
        <v>19459</v>
      </c>
      <c r="W6837" s="122">
        <v>5114</v>
      </c>
      <c r="X6837" s="221"/>
      <c r="Y6837" s="221"/>
      <c r="Z6837" s="221"/>
      <c r="AA6837" s="221"/>
      <c r="AB6837" s="223"/>
    </row>
    <row r="6838" spans="1:28" ht="17.100000000000001" customHeight="1" thickTop="1">
      <c r="A6838" s="226" t="s">
        <v>19092</v>
      </c>
      <c r="B6838" s="28">
        <v>46087</v>
      </c>
      <c r="C6838" s="25">
        <v>1409</v>
      </c>
      <c r="D6838" s="13" t="s">
        <v>1772</v>
      </c>
      <c r="E6838" s="228"/>
      <c r="F6838" s="109" t="s">
        <v>19128</v>
      </c>
      <c r="G6838" s="24" t="s">
        <v>19211</v>
      </c>
      <c r="H6838" s="230">
        <v>4.5</v>
      </c>
      <c r="I6838" s="220">
        <v>1373000</v>
      </c>
      <c r="J6838" s="220">
        <f>I6838*0.1</f>
        <v>137300</v>
      </c>
      <c r="K6838" s="220">
        <v>10800</v>
      </c>
      <c r="L6838" s="220">
        <v>7530</v>
      </c>
      <c r="M6838" s="220">
        <v>15400</v>
      </c>
      <c r="N6838" s="220">
        <f>SUM(I6838:M6839)</f>
        <v>1544030</v>
      </c>
      <c r="O6838" s="224"/>
      <c r="P6838" s="110" t="s">
        <v>19507</v>
      </c>
      <c r="Q6838" s="15" t="s">
        <v>19</v>
      </c>
      <c r="R6838" s="205"/>
      <c r="S6838" s="189" t="s">
        <v>25833</v>
      </c>
      <c r="T6838" s="114"/>
      <c r="U6838" s="21"/>
      <c r="V6838" s="115">
        <v>46092</v>
      </c>
      <c r="W6838" s="116">
        <v>1008</v>
      </c>
      <c r="X6838" s="220">
        <v>1405000</v>
      </c>
      <c r="Y6838" s="220">
        <f>X6838*0.1</f>
        <v>140500</v>
      </c>
      <c r="Z6838" s="220">
        <v>7530</v>
      </c>
      <c r="AA6838" s="220">
        <f>SUM(X6838:Z6838)</f>
        <v>1553030</v>
      </c>
      <c r="AB6838" s="222">
        <v>46098</v>
      </c>
    </row>
    <row r="6839" spans="1:28" ht="17.100000000000001" customHeight="1" thickBot="1">
      <c r="A6839" s="227"/>
      <c r="B6839" s="27" t="s">
        <v>2597</v>
      </c>
      <c r="C6839" s="27">
        <v>7137</v>
      </c>
      <c r="D6839" s="14" t="s">
        <v>2248</v>
      </c>
      <c r="E6839" s="229"/>
      <c r="F6839" s="117" t="s">
        <v>19129</v>
      </c>
      <c r="G6839" s="26">
        <v>35611</v>
      </c>
      <c r="H6839" s="231"/>
      <c r="I6839" s="221"/>
      <c r="J6839" s="221"/>
      <c r="K6839" s="221"/>
      <c r="L6839" s="221"/>
      <c r="M6839" s="221"/>
      <c r="N6839" s="221"/>
      <c r="O6839" s="225"/>
      <c r="P6839" s="118" t="s">
        <v>6773</v>
      </c>
      <c r="Q6839" s="16" t="s">
        <v>20</v>
      </c>
      <c r="R6839" s="17" t="s">
        <v>3332</v>
      </c>
      <c r="S6839" s="121" t="s">
        <v>5420</v>
      </c>
      <c r="T6839" s="122"/>
      <c r="U6839" s="22"/>
      <c r="V6839" s="123" t="s">
        <v>19459</v>
      </c>
      <c r="W6839" s="122">
        <v>5079</v>
      </c>
      <c r="X6839" s="221"/>
      <c r="Y6839" s="221"/>
      <c r="Z6839" s="221"/>
      <c r="AA6839" s="221"/>
      <c r="AB6839" s="223"/>
    </row>
    <row r="6840" spans="1:28" ht="17.100000000000001" customHeight="1" thickTop="1">
      <c r="A6840" s="226" t="s">
        <v>19093</v>
      </c>
      <c r="B6840" s="28">
        <v>46087</v>
      </c>
      <c r="C6840" s="25">
        <v>1409</v>
      </c>
      <c r="D6840" s="13" t="s">
        <v>3271</v>
      </c>
      <c r="E6840" s="228"/>
      <c r="F6840" s="109" t="s">
        <v>19130</v>
      </c>
      <c r="G6840" s="24" t="s">
        <v>19212</v>
      </c>
      <c r="H6840" s="230">
        <v>4</v>
      </c>
      <c r="I6840" s="220">
        <v>1003000</v>
      </c>
      <c r="J6840" s="220">
        <f>I6840*0.1</f>
        <v>100300</v>
      </c>
      <c r="K6840" s="220">
        <v>10800</v>
      </c>
      <c r="L6840" s="220">
        <v>8310</v>
      </c>
      <c r="M6840" s="220">
        <v>15400</v>
      </c>
      <c r="N6840" s="220">
        <f>SUM(I6840:M6841)</f>
        <v>1137810</v>
      </c>
      <c r="O6840" s="224"/>
      <c r="P6840" s="110" t="s">
        <v>19529</v>
      </c>
      <c r="Q6840" s="15" t="s">
        <v>19</v>
      </c>
      <c r="R6840" s="205"/>
      <c r="S6840" s="189" t="s">
        <v>25805</v>
      </c>
      <c r="T6840" s="114"/>
      <c r="U6840" s="21" t="s">
        <v>20052</v>
      </c>
      <c r="V6840" s="115">
        <v>46099</v>
      </c>
      <c r="W6840" s="116">
        <v>1009</v>
      </c>
      <c r="X6840" s="220">
        <v>1035000</v>
      </c>
      <c r="Y6840" s="220">
        <f>X6840*0.1</f>
        <v>103500</v>
      </c>
      <c r="Z6840" s="220">
        <v>8310</v>
      </c>
      <c r="AA6840" s="220">
        <f>SUM(X6840:Z6840)</f>
        <v>1146810</v>
      </c>
      <c r="AB6840" s="222">
        <v>46105</v>
      </c>
    </row>
    <row r="6841" spans="1:28" ht="17.100000000000001" customHeight="1" thickBot="1">
      <c r="A6841" s="227"/>
      <c r="B6841" s="27" t="s">
        <v>2597</v>
      </c>
      <c r="C6841" s="27">
        <v>9001</v>
      </c>
      <c r="D6841" s="14" t="s">
        <v>1690</v>
      </c>
      <c r="E6841" s="229"/>
      <c r="F6841" s="117" t="s">
        <v>19131</v>
      </c>
      <c r="G6841" s="26">
        <v>2513</v>
      </c>
      <c r="H6841" s="231"/>
      <c r="I6841" s="221"/>
      <c r="J6841" s="221"/>
      <c r="K6841" s="221"/>
      <c r="L6841" s="221"/>
      <c r="M6841" s="221"/>
      <c r="N6841" s="221"/>
      <c r="O6841" s="225"/>
      <c r="P6841" s="118" t="s">
        <v>19530</v>
      </c>
      <c r="Q6841" s="16" t="s">
        <v>20</v>
      </c>
      <c r="R6841" s="17" t="s">
        <v>3332</v>
      </c>
      <c r="S6841" s="121" t="s">
        <v>2236</v>
      </c>
      <c r="T6841" s="122"/>
      <c r="U6841" s="22"/>
      <c r="V6841" s="123" t="s">
        <v>2747</v>
      </c>
      <c r="W6841" s="122">
        <v>2045</v>
      </c>
      <c r="X6841" s="221"/>
      <c r="Y6841" s="221"/>
      <c r="Z6841" s="221"/>
      <c r="AA6841" s="221"/>
      <c r="AB6841" s="223"/>
    </row>
    <row r="6842" spans="1:28" ht="17.100000000000001" customHeight="1" thickTop="1">
      <c r="A6842" s="226" t="s">
        <v>19094</v>
      </c>
      <c r="B6842" s="28">
        <v>46087</v>
      </c>
      <c r="C6842" s="25">
        <v>1409</v>
      </c>
      <c r="D6842" s="13" t="s">
        <v>1871</v>
      </c>
      <c r="E6842" s="228"/>
      <c r="F6842" s="109" t="s">
        <v>19132</v>
      </c>
      <c r="G6842" s="24" t="s">
        <v>19511</v>
      </c>
      <c r="H6842" s="230">
        <v>4</v>
      </c>
      <c r="I6842" s="220">
        <v>835000</v>
      </c>
      <c r="J6842" s="220">
        <f>I6842*0.1</f>
        <v>83500</v>
      </c>
      <c r="K6842" s="220">
        <v>10800</v>
      </c>
      <c r="L6842" s="220">
        <v>8790</v>
      </c>
      <c r="M6842" s="220">
        <v>15400</v>
      </c>
      <c r="N6842" s="220">
        <f>SUM(I6842:M6843)</f>
        <v>953490</v>
      </c>
      <c r="O6842" s="224"/>
      <c r="P6842" s="110" t="s">
        <v>19508</v>
      </c>
      <c r="Q6842" s="15" t="s">
        <v>19</v>
      </c>
      <c r="R6842" s="205"/>
      <c r="S6842" s="189"/>
      <c r="T6842" s="114"/>
      <c r="U6842" s="21"/>
      <c r="V6842" s="115">
        <v>46092</v>
      </c>
      <c r="W6842" s="116">
        <v>1008</v>
      </c>
      <c r="X6842" s="220">
        <v>935000</v>
      </c>
      <c r="Y6842" s="220">
        <f>X6842*0.1</f>
        <v>93500</v>
      </c>
      <c r="Z6842" s="220">
        <v>8790</v>
      </c>
      <c r="AA6842" s="220">
        <f>SUM(X6842:Z6842)</f>
        <v>1037290</v>
      </c>
      <c r="AB6842" s="222">
        <v>46098</v>
      </c>
    </row>
    <row r="6843" spans="1:28" ht="17.100000000000001" customHeight="1" thickBot="1">
      <c r="A6843" s="227"/>
      <c r="B6843" s="27" t="s">
        <v>2597</v>
      </c>
      <c r="C6843" s="27">
        <v>9010</v>
      </c>
      <c r="D6843" s="14" t="s">
        <v>19213</v>
      </c>
      <c r="E6843" s="229"/>
      <c r="F6843" s="117" t="s">
        <v>19133</v>
      </c>
      <c r="G6843" s="26">
        <v>56111</v>
      </c>
      <c r="H6843" s="231"/>
      <c r="I6843" s="221"/>
      <c r="J6843" s="221"/>
      <c r="K6843" s="221"/>
      <c r="L6843" s="221"/>
      <c r="M6843" s="221"/>
      <c r="N6843" s="221"/>
      <c r="O6843" s="225"/>
      <c r="P6843" s="118" t="s">
        <v>1972</v>
      </c>
      <c r="Q6843" s="16" t="s">
        <v>20</v>
      </c>
      <c r="R6843" s="17" t="s">
        <v>3332</v>
      </c>
      <c r="S6843" s="121" t="s">
        <v>19509</v>
      </c>
      <c r="T6843" s="122"/>
      <c r="U6843" s="22"/>
      <c r="V6843" s="123" t="s">
        <v>19459</v>
      </c>
      <c r="W6843" s="122">
        <v>5098</v>
      </c>
      <c r="X6843" s="221"/>
      <c r="Y6843" s="221"/>
      <c r="Z6843" s="221"/>
      <c r="AA6843" s="221"/>
      <c r="AB6843" s="223"/>
    </row>
    <row r="6844" spans="1:28" ht="17.100000000000001" customHeight="1" thickTop="1">
      <c r="A6844" s="226" t="s">
        <v>19095</v>
      </c>
      <c r="B6844" s="28">
        <v>46087</v>
      </c>
      <c r="C6844" s="25">
        <v>1409</v>
      </c>
      <c r="D6844" s="13" t="s">
        <v>5521</v>
      </c>
      <c r="E6844" s="228"/>
      <c r="F6844" s="109" t="s">
        <v>19134</v>
      </c>
      <c r="G6844" s="24"/>
      <c r="H6844" s="230">
        <v>4</v>
      </c>
      <c r="I6844" s="220">
        <v>346000</v>
      </c>
      <c r="J6844" s="220">
        <f>I6844*0.1</f>
        <v>34600</v>
      </c>
      <c r="K6844" s="220">
        <v>0</v>
      </c>
      <c r="L6844" s="220">
        <v>5190</v>
      </c>
      <c r="M6844" s="220">
        <v>15400</v>
      </c>
      <c r="N6844" s="220">
        <f>SUM(I6844:M6845)</f>
        <v>401190</v>
      </c>
      <c r="O6844" s="224"/>
      <c r="P6844" s="110" t="s">
        <v>19531</v>
      </c>
      <c r="Q6844" s="15" t="s">
        <v>19</v>
      </c>
      <c r="R6844" s="205"/>
      <c r="S6844" s="189"/>
      <c r="T6844" s="114"/>
      <c r="U6844" s="21"/>
      <c r="V6844" s="115">
        <v>46116</v>
      </c>
      <c r="W6844" s="116">
        <v>1295</v>
      </c>
      <c r="X6844" s="220">
        <v>410000</v>
      </c>
      <c r="Y6844" s="220">
        <f>X6844*0.1</f>
        <v>41000</v>
      </c>
      <c r="Z6844" s="220">
        <v>5190</v>
      </c>
      <c r="AA6844" s="220">
        <f>SUM(X6844:Z6844)</f>
        <v>456190</v>
      </c>
      <c r="AB6844" s="222">
        <v>46126</v>
      </c>
    </row>
    <row r="6845" spans="1:28" ht="17.100000000000001" customHeight="1" thickBot="1">
      <c r="A6845" s="227"/>
      <c r="B6845" s="27" t="s">
        <v>2597</v>
      </c>
      <c r="C6845" s="27">
        <v>9016</v>
      </c>
      <c r="D6845" s="14" t="s">
        <v>1710</v>
      </c>
      <c r="E6845" s="229"/>
      <c r="F6845" s="117" t="s">
        <v>19135</v>
      </c>
      <c r="G6845" s="26">
        <v>18952</v>
      </c>
      <c r="H6845" s="231"/>
      <c r="I6845" s="221"/>
      <c r="J6845" s="221"/>
      <c r="K6845" s="221"/>
      <c r="L6845" s="221"/>
      <c r="M6845" s="221"/>
      <c r="N6845" s="221"/>
      <c r="O6845" s="225"/>
      <c r="P6845" s="118" t="s">
        <v>1972</v>
      </c>
      <c r="Q6845" s="16" t="s">
        <v>20</v>
      </c>
      <c r="R6845" s="17" t="s">
        <v>3332</v>
      </c>
      <c r="S6845" s="121"/>
      <c r="T6845" s="122"/>
      <c r="U6845" s="22"/>
      <c r="V6845" s="123" t="s">
        <v>6641</v>
      </c>
      <c r="W6845" s="122">
        <v>60172</v>
      </c>
      <c r="X6845" s="221"/>
      <c r="Y6845" s="221"/>
      <c r="Z6845" s="221"/>
      <c r="AA6845" s="221"/>
      <c r="AB6845" s="223"/>
    </row>
    <row r="6846" spans="1:28" ht="17.100000000000001" customHeight="1" thickTop="1">
      <c r="A6846" s="226" t="s">
        <v>19096</v>
      </c>
      <c r="B6846" s="28">
        <v>46087</v>
      </c>
      <c r="C6846" s="25">
        <v>1409</v>
      </c>
      <c r="D6846" s="13" t="s">
        <v>4403</v>
      </c>
      <c r="E6846" s="228"/>
      <c r="F6846" s="109" t="s">
        <v>19136</v>
      </c>
      <c r="G6846" s="24"/>
      <c r="H6846" s="232" t="s">
        <v>1705</v>
      </c>
      <c r="I6846" s="220">
        <v>1180000</v>
      </c>
      <c r="J6846" s="220">
        <f>I6846*0.1</f>
        <v>118000</v>
      </c>
      <c r="K6846" s="220">
        <v>0</v>
      </c>
      <c r="L6846" s="220">
        <v>13020</v>
      </c>
      <c r="M6846" s="220">
        <v>15400</v>
      </c>
      <c r="N6846" s="220">
        <f>SUM(I6846:M6847)</f>
        <v>1326420</v>
      </c>
      <c r="O6846" s="224"/>
      <c r="P6846" s="110" t="s">
        <v>19532</v>
      </c>
      <c r="Q6846" s="15" t="s">
        <v>19</v>
      </c>
      <c r="R6846" s="205"/>
      <c r="S6846" s="189"/>
      <c r="T6846" s="114"/>
      <c r="U6846" s="21"/>
      <c r="V6846" s="115">
        <v>46095</v>
      </c>
      <c r="W6846" s="116">
        <v>1292</v>
      </c>
      <c r="X6846" s="220">
        <v>1250000</v>
      </c>
      <c r="Y6846" s="220">
        <f>X6846*0.1</f>
        <v>125000</v>
      </c>
      <c r="Z6846" s="220">
        <v>13020</v>
      </c>
      <c r="AA6846" s="220">
        <f>SUM(X6846:Z6846)</f>
        <v>1388020</v>
      </c>
      <c r="AB6846" s="222">
        <v>46098</v>
      </c>
    </row>
    <row r="6847" spans="1:28" ht="17.100000000000001" customHeight="1" thickBot="1">
      <c r="A6847" s="227"/>
      <c r="B6847" s="27" t="s">
        <v>2597</v>
      </c>
      <c r="C6847" s="27">
        <v>9060</v>
      </c>
      <c r="D6847" s="14" t="s">
        <v>1710</v>
      </c>
      <c r="E6847" s="229"/>
      <c r="F6847" s="117" t="s">
        <v>19137</v>
      </c>
      <c r="G6847" s="26">
        <v>150216</v>
      </c>
      <c r="H6847" s="231"/>
      <c r="I6847" s="221"/>
      <c r="J6847" s="221"/>
      <c r="K6847" s="221"/>
      <c r="L6847" s="221"/>
      <c r="M6847" s="221"/>
      <c r="N6847" s="221"/>
      <c r="O6847" s="225"/>
      <c r="P6847" s="118" t="s">
        <v>19533</v>
      </c>
      <c r="Q6847" s="16" t="s">
        <v>20</v>
      </c>
      <c r="R6847" s="17" t="s">
        <v>3332</v>
      </c>
      <c r="S6847" s="121" t="s">
        <v>2236</v>
      </c>
      <c r="T6847" s="122"/>
      <c r="U6847" s="22"/>
      <c r="V6847" s="123" t="s">
        <v>2472</v>
      </c>
      <c r="W6847" s="122">
        <v>50031</v>
      </c>
      <c r="X6847" s="221"/>
      <c r="Y6847" s="221"/>
      <c r="Z6847" s="221"/>
      <c r="AA6847" s="221"/>
      <c r="AB6847" s="223"/>
    </row>
    <row r="6848" spans="1:28" ht="17.100000000000001" customHeight="1" thickTop="1">
      <c r="A6848" s="226" t="s">
        <v>19138</v>
      </c>
      <c r="B6848" s="28">
        <v>46087</v>
      </c>
      <c r="C6848" s="25">
        <v>281</v>
      </c>
      <c r="D6848" s="13" t="s">
        <v>1973</v>
      </c>
      <c r="E6848" s="228"/>
      <c r="F6848" s="109" t="s">
        <v>19214</v>
      </c>
      <c r="G6848" s="24" t="s">
        <v>6610</v>
      </c>
      <c r="H6848" s="230">
        <v>4.5</v>
      </c>
      <c r="I6848" s="220">
        <v>1076000</v>
      </c>
      <c r="J6848" s="220">
        <f>I6848*0.1</f>
        <v>107600</v>
      </c>
      <c r="K6848" s="220">
        <v>0</v>
      </c>
      <c r="L6848" s="220">
        <v>8200</v>
      </c>
      <c r="M6848" s="220">
        <v>22000</v>
      </c>
      <c r="N6848" s="220">
        <f>SUM(I6848:M6849)</f>
        <v>1213800</v>
      </c>
      <c r="O6848" s="224"/>
      <c r="P6848" s="110" t="s">
        <v>19215</v>
      </c>
      <c r="Q6848" s="15" t="s">
        <v>19</v>
      </c>
      <c r="R6848" s="205"/>
      <c r="S6848" s="189"/>
      <c r="T6848" s="114"/>
      <c r="U6848" s="21"/>
      <c r="V6848" s="115">
        <v>46091</v>
      </c>
      <c r="W6848" s="116">
        <v>1932</v>
      </c>
      <c r="X6848" s="220">
        <v>1233000</v>
      </c>
      <c r="Y6848" s="220">
        <f>X6848*0.1</f>
        <v>123300</v>
      </c>
      <c r="Z6848" s="220">
        <v>8200</v>
      </c>
      <c r="AA6848" s="220">
        <f>SUM(X6848:Z6848)</f>
        <v>1364500</v>
      </c>
      <c r="AB6848" s="222"/>
    </row>
    <row r="6849" spans="1:28" ht="17.100000000000001" customHeight="1" thickBot="1">
      <c r="A6849" s="227"/>
      <c r="B6849" s="27" t="s">
        <v>15537</v>
      </c>
      <c r="C6849" s="27">
        <v>60</v>
      </c>
      <c r="D6849" s="14" t="s">
        <v>273</v>
      </c>
      <c r="E6849" s="229"/>
      <c r="F6849" s="117" t="s">
        <v>19150</v>
      </c>
      <c r="G6849" s="26">
        <v>9390</v>
      </c>
      <c r="H6849" s="231"/>
      <c r="I6849" s="221"/>
      <c r="J6849" s="221"/>
      <c r="K6849" s="221"/>
      <c r="L6849" s="221"/>
      <c r="M6849" s="221"/>
      <c r="N6849" s="221"/>
      <c r="O6849" s="225"/>
      <c r="P6849" s="118" t="s">
        <v>19504</v>
      </c>
      <c r="Q6849" s="16" t="s">
        <v>20</v>
      </c>
      <c r="R6849" s="17" t="s">
        <v>3332</v>
      </c>
      <c r="S6849" s="121" t="s">
        <v>1661</v>
      </c>
      <c r="T6849" s="122"/>
      <c r="U6849" s="22"/>
      <c r="V6849" s="123" t="s">
        <v>2103</v>
      </c>
      <c r="W6849" s="122">
        <v>3669</v>
      </c>
      <c r="X6849" s="221"/>
      <c r="Y6849" s="221"/>
      <c r="Z6849" s="221"/>
      <c r="AA6849" s="221"/>
      <c r="AB6849" s="223"/>
    </row>
    <row r="6850" spans="1:28" ht="17.100000000000001" customHeight="1" thickTop="1">
      <c r="A6850" s="226" t="s">
        <v>19139</v>
      </c>
      <c r="B6850" s="28">
        <v>46087</v>
      </c>
      <c r="C6850" s="25">
        <v>281</v>
      </c>
      <c r="D6850" s="13" t="s">
        <v>11049</v>
      </c>
      <c r="E6850" s="228"/>
      <c r="F6850" s="109" t="s">
        <v>14952</v>
      </c>
      <c r="G6850" s="24"/>
      <c r="H6850" s="230">
        <v>4</v>
      </c>
      <c r="I6850" s="220">
        <v>395000</v>
      </c>
      <c r="J6850" s="220">
        <f>I6850*0.1</f>
        <v>39500</v>
      </c>
      <c r="K6850" s="220">
        <v>0</v>
      </c>
      <c r="L6850" s="220">
        <v>9170</v>
      </c>
      <c r="M6850" s="220">
        <v>22000</v>
      </c>
      <c r="N6850" s="220">
        <f>SUM(I6850:M6851)</f>
        <v>465670</v>
      </c>
      <c r="O6850" s="224"/>
      <c r="P6850" s="110" t="s">
        <v>19539</v>
      </c>
      <c r="Q6850" s="15" t="s">
        <v>19</v>
      </c>
      <c r="R6850" s="205"/>
      <c r="S6850" s="189"/>
      <c r="T6850" s="114"/>
      <c r="U6850" s="21"/>
      <c r="V6850" s="115">
        <v>46092</v>
      </c>
      <c r="W6850" s="116">
        <v>1008</v>
      </c>
      <c r="X6850" s="220">
        <v>500000</v>
      </c>
      <c r="Y6850" s="220">
        <f>X6850*0.1</f>
        <v>50000</v>
      </c>
      <c r="Z6850" s="220">
        <v>9170</v>
      </c>
      <c r="AA6850" s="220">
        <f>SUM(X6850:Z6850)</f>
        <v>559170</v>
      </c>
      <c r="AB6850" s="222">
        <v>46100</v>
      </c>
    </row>
    <row r="6851" spans="1:28" ht="17.100000000000001" customHeight="1" thickBot="1">
      <c r="A6851" s="227"/>
      <c r="B6851" s="27" t="s">
        <v>15537</v>
      </c>
      <c r="C6851" s="27">
        <v>101</v>
      </c>
      <c r="D6851" s="14" t="s">
        <v>898</v>
      </c>
      <c r="E6851" s="229"/>
      <c r="F6851" s="117" t="s">
        <v>19151</v>
      </c>
      <c r="G6851" s="26">
        <v>83305</v>
      </c>
      <c r="H6851" s="231"/>
      <c r="I6851" s="221"/>
      <c r="J6851" s="221"/>
      <c r="K6851" s="221"/>
      <c r="L6851" s="221"/>
      <c r="M6851" s="221"/>
      <c r="N6851" s="221"/>
      <c r="O6851" s="225"/>
      <c r="P6851" s="118" t="s">
        <v>19540</v>
      </c>
      <c r="Q6851" s="16" t="s">
        <v>20</v>
      </c>
      <c r="R6851" s="17" t="s">
        <v>3332</v>
      </c>
      <c r="S6851" s="121" t="s">
        <v>13779</v>
      </c>
      <c r="T6851" s="122"/>
      <c r="U6851" s="22"/>
      <c r="V6851" s="123" t="s">
        <v>7161</v>
      </c>
      <c r="W6851" s="122">
        <v>5092</v>
      </c>
      <c r="X6851" s="221"/>
      <c r="Y6851" s="221"/>
      <c r="Z6851" s="221"/>
      <c r="AA6851" s="221"/>
      <c r="AB6851" s="223"/>
    </row>
    <row r="6852" spans="1:28" ht="17.100000000000001" customHeight="1" thickTop="1">
      <c r="A6852" s="226" t="s">
        <v>19140</v>
      </c>
      <c r="B6852" s="28">
        <v>46087</v>
      </c>
      <c r="C6852" s="25">
        <v>1196</v>
      </c>
      <c r="D6852" s="13" t="s">
        <v>2040</v>
      </c>
      <c r="E6852" s="228"/>
      <c r="F6852" s="109" t="s">
        <v>15619</v>
      </c>
      <c r="G6852" s="24" t="s">
        <v>5556</v>
      </c>
      <c r="H6852" s="230">
        <v>4.5</v>
      </c>
      <c r="I6852" s="220">
        <v>1250000</v>
      </c>
      <c r="J6852" s="220">
        <f>I6852*0.1</f>
        <v>125000</v>
      </c>
      <c r="K6852" s="220">
        <v>10800</v>
      </c>
      <c r="L6852" s="220">
        <v>6850</v>
      </c>
      <c r="M6852" s="220">
        <v>23100</v>
      </c>
      <c r="N6852" s="220">
        <f>SUM(I6852:M6853)</f>
        <v>1415750</v>
      </c>
      <c r="O6852" s="224"/>
      <c r="P6852" s="110" t="s">
        <v>19216</v>
      </c>
      <c r="Q6852" s="15" t="s">
        <v>19</v>
      </c>
      <c r="R6852" s="205"/>
      <c r="S6852" s="189" t="s">
        <v>25840</v>
      </c>
      <c r="T6852" s="114"/>
      <c r="U6852" s="21"/>
      <c r="V6852" s="115">
        <v>46113</v>
      </c>
      <c r="W6852" s="116">
        <v>1011</v>
      </c>
      <c r="X6852" s="220">
        <v>1360000</v>
      </c>
      <c r="Y6852" s="220">
        <f>X6852*0.1</f>
        <v>136000</v>
      </c>
      <c r="Z6852" s="220">
        <v>6850</v>
      </c>
      <c r="AA6852" s="220">
        <f>SUM(X6852:Z6852)</f>
        <v>1502850</v>
      </c>
      <c r="AB6852" s="222">
        <v>46118</v>
      </c>
    </row>
    <row r="6853" spans="1:28" ht="17.100000000000001" customHeight="1" thickBot="1">
      <c r="A6853" s="227"/>
      <c r="B6853" s="27" t="s">
        <v>1813</v>
      </c>
      <c r="C6853" s="27">
        <v>7258</v>
      </c>
      <c r="D6853" s="14" t="s">
        <v>2559</v>
      </c>
      <c r="E6853" s="229"/>
      <c r="F6853" s="117" t="s">
        <v>19152</v>
      </c>
      <c r="G6853" s="26">
        <v>50873</v>
      </c>
      <c r="H6853" s="231"/>
      <c r="I6853" s="221"/>
      <c r="J6853" s="221"/>
      <c r="K6853" s="221"/>
      <c r="L6853" s="221"/>
      <c r="M6853" s="221"/>
      <c r="N6853" s="221"/>
      <c r="O6853" s="225"/>
      <c r="P6853" s="118" t="s">
        <v>3545</v>
      </c>
      <c r="Q6853" s="16" t="s">
        <v>20</v>
      </c>
      <c r="R6853" s="17" t="s">
        <v>19572</v>
      </c>
      <c r="S6853" s="121" t="s">
        <v>1923</v>
      </c>
      <c r="T6853" s="122"/>
      <c r="U6853" s="22"/>
      <c r="V6853" s="123" t="s">
        <v>2747</v>
      </c>
      <c r="W6853" s="122">
        <v>2019</v>
      </c>
      <c r="X6853" s="221"/>
      <c r="Y6853" s="221"/>
      <c r="Z6853" s="221"/>
      <c r="AA6853" s="221"/>
      <c r="AB6853" s="223"/>
    </row>
    <row r="6854" spans="1:28" ht="17.100000000000001" customHeight="1" thickTop="1">
      <c r="A6854" s="226" t="s">
        <v>19141</v>
      </c>
      <c r="B6854" s="28">
        <v>46087</v>
      </c>
      <c r="C6854" s="25">
        <v>1196</v>
      </c>
      <c r="D6854" s="13" t="s">
        <v>1598</v>
      </c>
      <c r="E6854" s="228"/>
      <c r="F6854" s="109" t="s">
        <v>15546</v>
      </c>
      <c r="G6854" s="24" t="s">
        <v>19218</v>
      </c>
      <c r="H6854" s="230">
        <v>4</v>
      </c>
      <c r="I6854" s="220">
        <v>700000</v>
      </c>
      <c r="J6854" s="220">
        <f>I6854*0.1</f>
        <v>70000</v>
      </c>
      <c r="K6854" s="220">
        <v>39500</v>
      </c>
      <c r="L6854" s="220">
        <v>19440</v>
      </c>
      <c r="M6854" s="220">
        <v>16500</v>
      </c>
      <c r="N6854" s="220">
        <f>SUM(I6854:M6855)</f>
        <v>845440</v>
      </c>
      <c r="O6854" s="224"/>
      <c r="P6854" s="110" t="s">
        <v>19219</v>
      </c>
      <c r="Q6854" s="15" t="s">
        <v>19</v>
      </c>
      <c r="R6854" s="205"/>
      <c r="S6854" s="189" t="s">
        <v>455</v>
      </c>
      <c r="T6854" s="114"/>
      <c r="U6854" s="21"/>
      <c r="V6854" s="115">
        <v>46093</v>
      </c>
      <c r="W6854" s="116">
        <v>1322</v>
      </c>
      <c r="X6854" s="220">
        <v>900000</v>
      </c>
      <c r="Y6854" s="220">
        <f>X6854*0.1</f>
        <v>90000</v>
      </c>
      <c r="Z6854" s="220">
        <v>19440</v>
      </c>
      <c r="AA6854" s="220">
        <f>SUM(X6854:Z6854)</f>
        <v>1009440</v>
      </c>
      <c r="AB6854" s="222">
        <v>46094</v>
      </c>
    </row>
    <row r="6855" spans="1:28" ht="17.100000000000001" customHeight="1" thickBot="1">
      <c r="A6855" s="227"/>
      <c r="B6855" s="27" t="s">
        <v>1813</v>
      </c>
      <c r="C6855" s="27">
        <v>88129</v>
      </c>
      <c r="D6855" s="14" t="s">
        <v>1584</v>
      </c>
      <c r="E6855" s="229"/>
      <c r="F6855" s="117" t="s">
        <v>19217</v>
      </c>
      <c r="G6855" s="26">
        <v>68625</v>
      </c>
      <c r="H6855" s="231"/>
      <c r="I6855" s="221"/>
      <c r="J6855" s="221"/>
      <c r="K6855" s="221"/>
      <c r="L6855" s="221"/>
      <c r="M6855" s="221"/>
      <c r="N6855" s="221"/>
      <c r="O6855" s="225"/>
      <c r="P6855" s="118" t="s">
        <v>19351</v>
      </c>
      <c r="Q6855" s="16" t="s">
        <v>20</v>
      </c>
      <c r="R6855" s="17" t="s">
        <v>1623</v>
      </c>
      <c r="S6855" s="121" t="s">
        <v>19582</v>
      </c>
      <c r="T6855" s="122"/>
      <c r="U6855" s="22"/>
      <c r="V6855" s="123" t="s">
        <v>1735</v>
      </c>
      <c r="W6855" s="122">
        <v>71</v>
      </c>
      <c r="X6855" s="221"/>
      <c r="Y6855" s="221"/>
      <c r="Z6855" s="221"/>
      <c r="AA6855" s="221"/>
      <c r="AB6855" s="223"/>
    </row>
    <row r="6856" spans="1:28" ht="17.100000000000001" customHeight="1" thickTop="1">
      <c r="A6856" s="226" t="s">
        <v>19142</v>
      </c>
      <c r="B6856" s="28">
        <v>46087</v>
      </c>
      <c r="C6856" s="25">
        <v>2125</v>
      </c>
      <c r="D6856" s="13" t="s">
        <v>2010</v>
      </c>
      <c r="E6856" s="228"/>
      <c r="F6856" s="109" t="s">
        <v>419</v>
      </c>
      <c r="G6856" s="24"/>
      <c r="H6856" s="230">
        <v>5</v>
      </c>
      <c r="I6856" s="220">
        <v>2444000</v>
      </c>
      <c r="J6856" s="220">
        <f>I6856*0.1</f>
        <v>244400</v>
      </c>
      <c r="K6856" s="220">
        <v>0</v>
      </c>
      <c r="L6856" s="220">
        <v>16240</v>
      </c>
      <c r="M6856" s="220">
        <v>16500</v>
      </c>
      <c r="N6856" s="220">
        <f>SUM(I6856:M6857)</f>
        <v>2721140</v>
      </c>
      <c r="O6856" s="224"/>
      <c r="P6856" s="110" t="s">
        <v>19514</v>
      </c>
      <c r="Q6856" s="15" t="s">
        <v>19</v>
      </c>
      <c r="R6856" s="205"/>
      <c r="S6856" s="189" t="s">
        <v>758</v>
      </c>
      <c r="T6856" s="114"/>
      <c r="U6856" s="21"/>
      <c r="V6856" s="115">
        <v>46093</v>
      </c>
      <c r="W6856" s="116">
        <v>1322</v>
      </c>
      <c r="X6856" s="220">
        <v>2675000</v>
      </c>
      <c r="Y6856" s="220">
        <f>X6856*0.1</f>
        <v>267500</v>
      </c>
      <c r="Z6856" s="220">
        <v>16240</v>
      </c>
      <c r="AA6856" s="220">
        <f>SUM(X6856:Z6856)</f>
        <v>2958740</v>
      </c>
      <c r="AB6856" s="222">
        <v>46094</v>
      </c>
    </row>
    <row r="6857" spans="1:28" ht="17.100000000000001" customHeight="1" thickBot="1">
      <c r="A6857" s="227"/>
      <c r="B6857" s="27" t="s">
        <v>1536</v>
      </c>
      <c r="C6857" s="27">
        <v>58187</v>
      </c>
      <c r="D6857" s="14" t="s">
        <v>1797</v>
      </c>
      <c r="E6857" s="229"/>
      <c r="F6857" s="117" t="s">
        <v>19220</v>
      </c>
      <c r="G6857" s="26">
        <v>27390</v>
      </c>
      <c r="H6857" s="231"/>
      <c r="I6857" s="221"/>
      <c r="J6857" s="221"/>
      <c r="K6857" s="221"/>
      <c r="L6857" s="221"/>
      <c r="M6857" s="221"/>
      <c r="N6857" s="221"/>
      <c r="O6857" s="225"/>
      <c r="P6857" s="118" t="s">
        <v>4461</v>
      </c>
      <c r="Q6857" s="16" t="s">
        <v>20</v>
      </c>
      <c r="R6857" s="17" t="s">
        <v>3332</v>
      </c>
      <c r="S6857" s="121" t="s">
        <v>19515</v>
      </c>
      <c r="T6857" s="122"/>
      <c r="U6857" s="22"/>
      <c r="V6857" s="123" t="s">
        <v>1735</v>
      </c>
      <c r="W6857" s="122">
        <v>63</v>
      </c>
      <c r="X6857" s="221"/>
      <c r="Y6857" s="221"/>
      <c r="Z6857" s="221"/>
      <c r="AA6857" s="221"/>
      <c r="AB6857" s="223"/>
    </row>
    <row r="6858" spans="1:28" ht="17.100000000000001" customHeight="1" thickTop="1">
      <c r="A6858" s="226" t="s">
        <v>19143</v>
      </c>
      <c r="B6858" s="28">
        <v>46087</v>
      </c>
      <c r="C6858" s="25">
        <v>2125</v>
      </c>
      <c r="D6858" s="13" t="s">
        <v>2324</v>
      </c>
      <c r="E6858" s="228"/>
      <c r="F6858" s="109" t="s">
        <v>15242</v>
      </c>
      <c r="G6858" s="24"/>
      <c r="H6858" s="230">
        <v>4.5</v>
      </c>
      <c r="I6858" s="220">
        <v>2740000</v>
      </c>
      <c r="J6858" s="220">
        <f>I6858*0.1</f>
        <v>274000</v>
      </c>
      <c r="K6858" s="220">
        <v>0</v>
      </c>
      <c r="L6858" s="220">
        <v>21570</v>
      </c>
      <c r="M6858" s="220">
        <v>16500</v>
      </c>
      <c r="N6858" s="220">
        <f>SUM(I6858:M6859)</f>
        <v>3052070</v>
      </c>
      <c r="O6858" s="224"/>
      <c r="P6858" s="110" t="s">
        <v>19579</v>
      </c>
      <c r="Q6858" s="15" t="s">
        <v>19</v>
      </c>
      <c r="R6858" s="205"/>
      <c r="S6858" s="189" t="s">
        <v>25841</v>
      </c>
      <c r="T6858" s="114"/>
      <c r="U6858" s="21"/>
      <c r="V6858" s="115">
        <v>46100</v>
      </c>
      <c r="W6858" s="116">
        <v>1323</v>
      </c>
      <c r="X6858" s="220">
        <v>2980000</v>
      </c>
      <c r="Y6858" s="220">
        <f>X6858*0.1</f>
        <v>298000</v>
      </c>
      <c r="Z6858" s="220">
        <v>21570</v>
      </c>
      <c r="AA6858" s="220">
        <f>SUM(X6858:Z6858)</f>
        <v>3299570</v>
      </c>
      <c r="AB6858" s="222">
        <v>46101</v>
      </c>
    </row>
    <row r="6859" spans="1:28" ht="17.100000000000001" customHeight="1" thickBot="1">
      <c r="A6859" s="227"/>
      <c r="B6859" s="27" t="s">
        <v>1536</v>
      </c>
      <c r="C6859" s="27">
        <v>58344</v>
      </c>
      <c r="D6859" s="14" t="s">
        <v>1584</v>
      </c>
      <c r="E6859" s="229"/>
      <c r="F6859" s="117" t="s">
        <v>19221</v>
      </c>
      <c r="G6859" s="26">
        <v>58019</v>
      </c>
      <c r="H6859" s="231"/>
      <c r="I6859" s="221"/>
      <c r="J6859" s="221"/>
      <c r="K6859" s="221"/>
      <c r="L6859" s="221"/>
      <c r="M6859" s="221"/>
      <c r="N6859" s="221"/>
      <c r="O6859" s="225"/>
      <c r="P6859" s="118" t="s">
        <v>3355</v>
      </c>
      <c r="Q6859" s="16" t="s">
        <v>20</v>
      </c>
      <c r="R6859" s="17" t="s">
        <v>19572</v>
      </c>
      <c r="S6859" s="121" t="s">
        <v>19580</v>
      </c>
      <c r="T6859" s="122"/>
      <c r="U6859" s="22"/>
      <c r="V6859" s="123" t="s">
        <v>8954</v>
      </c>
      <c r="W6859" s="122">
        <v>971</v>
      </c>
      <c r="X6859" s="221"/>
      <c r="Y6859" s="221"/>
      <c r="Z6859" s="221"/>
      <c r="AA6859" s="221"/>
      <c r="AB6859" s="223"/>
    </row>
    <row r="6860" spans="1:28" ht="17.100000000000001" customHeight="1" thickTop="1">
      <c r="A6860" s="226" t="s">
        <v>19144</v>
      </c>
      <c r="B6860" s="28">
        <v>46087</v>
      </c>
      <c r="C6860" s="25"/>
      <c r="D6860" s="13" t="s">
        <v>2182</v>
      </c>
      <c r="E6860" s="228"/>
      <c r="F6860" s="109" t="s">
        <v>19205</v>
      </c>
      <c r="G6860" s="24" t="s">
        <v>7557</v>
      </c>
      <c r="H6860" s="230">
        <v>4.5</v>
      </c>
      <c r="I6860" s="220">
        <v>5310000</v>
      </c>
      <c r="J6860" s="220">
        <f>I6860*0.1</f>
        <v>531000</v>
      </c>
      <c r="K6860" s="220">
        <v>0</v>
      </c>
      <c r="L6860" s="220">
        <v>18950</v>
      </c>
      <c r="M6860" s="220">
        <v>0</v>
      </c>
      <c r="N6860" s="220">
        <f>SUM(I6860:M6861)</f>
        <v>5859950</v>
      </c>
      <c r="O6860" s="224"/>
      <c r="P6860" s="110" t="s">
        <v>20776</v>
      </c>
      <c r="Q6860" s="15" t="s">
        <v>19</v>
      </c>
      <c r="R6860" s="205"/>
      <c r="S6860" s="189" t="s">
        <v>529</v>
      </c>
      <c r="T6860" s="114"/>
      <c r="U6860" s="21"/>
      <c r="V6860" s="115">
        <v>46106</v>
      </c>
      <c r="W6860" s="116">
        <v>1010</v>
      </c>
      <c r="X6860" s="220">
        <v>5450000</v>
      </c>
      <c r="Y6860" s="220">
        <f>X6860*0.1</f>
        <v>545000</v>
      </c>
      <c r="Z6860" s="220">
        <v>18950</v>
      </c>
      <c r="AA6860" s="220">
        <f>SUM(X6860:Z6860)</f>
        <v>6013950</v>
      </c>
      <c r="AB6860" s="222">
        <v>46111</v>
      </c>
    </row>
    <row r="6861" spans="1:28" ht="17.100000000000001" customHeight="1" thickBot="1">
      <c r="A6861" s="227"/>
      <c r="B6861" s="27" t="s">
        <v>1708</v>
      </c>
      <c r="C6861" s="27" t="s">
        <v>19153</v>
      </c>
      <c r="D6861" s="14" t="s">
        <v>2559</v>
      </c>
      <c r="E6861" s="229"/>
      <c r="F6861" s="117" t="s">
        <v>19154</v>
      </c>
      <c r="G6861" s="26">
        <v>29978</v>
      </c>
      <c r="H6861" s="231"/>
      <c r="I6861" s="221"/>
      <c r="J6861" s="221"/>
      <c r="K6861" s="221"/>
      <c r="L6861" s="221"/>
      <c r="M6861" s="221"/>
      <c r="N6861" s="221"/>
      <c r="O6861" s="225"/>
      <c r="P6861" s="118" t="s">
        <v>20777</v>
      </c>
      <c r="Q6861" s="16" t="s">
        <v>20</v>
      </c>
      <c r="R6861" s="17" t="s">
        <v>20778</v>
      </c>
      <c r="S6861" s="121" t="s">
        <v>20779</v>
      </c>
      <c r="T6861" s="122"/>
      <c r="U6861" s="22"/>
      <c r="V6861" s="123" t="s">
        <v>2747</v>
      </c>
      <c r="W6861" s="122">
        <v>1050</v>
      </c>
      <c r="X6861" s="221"/>
      <c r="Y6861" s="221"/>
      <c r="Z6861" s="221"/>
      <c r="AA6861" s="221"/>
      <c r="AB6861" s="223"/>
    </row>
    <row r="6862" spans="1:28" ht="17.100000000000001" customHeight="1" thickTop="1">
      <c r="A6862" s="226" t="s">
        <v>19145</v>
      </c>
      <c r="B6862" s="28">
        <v>46087</v>
      </c>
      <c r="C6862" s="25"/>
      <c r="D6862" s="13" t="s">
        <v>3327</v>
      </c>
      <c r="E6862" s="228"/>
      <c r="F6862" s="109" t="s">
        <v>19207</v>
      </c>
      <c r="G6862" s="24" t="s">
        <v>19208</v>
      </c>
      <c r="H6862" s="230">
        <v>4.5</v>
      </c>
      <c r="I6862" s="220">
        <v>585000</v>
      </c>
      <c r="J6862" s="220">
        <f>I6862*0.1</f>
        <v>58500</v>
      </c>
      <c r="K6862" s="220">
        <v>0</v>
      </c>
      <c r="L6862" s="220">
        <v>8140</v>
      </c>
      <c r="M6862" s="220">
        <v>0</v>
      </c>
      <c r="N6862" s="220">
        <f>SUM(I6862:M6863)</f>
        <v>651640</v>
      </c>
      <c r="O6862" s="224"/>
      <c r="P6862" s="110" t="s">
        <v>20760</v>
      </c>
      <c r="Q6862" s="15" t="s">
        <v>19</v>
      </c>
      <c r="R6862" s="205"/>
      <c r="S6862" s="189" t="s">
        <v>529</v>
      </c>
      <c r="T6862" s="114"/>
      <c r="U6862" s="21"/>
      <c r="V6862" s="115">
        <v>46130</v>
      </c>
      <c r="W6862" s="116">
        <v>1297</v>
      </c>
      <c r="X6862" s="220">
        <v>605000</v>
      </c>
      <c r="Y6862" s="220">
        <f>X6862*0.1</f>
        <v>60500</v>
      </c>
      <c r="Z6862" s="220">
        <v>8140</v>
      </c>
      <c r="AA6862" s="220">
        <f>SUM(X6862:Z6862)</f>
        <v>673640</v>
      </c>
      <c r="AB6862" s="222">
        <v>46133</v>
      </c>
    </row>
    <row r="6863" spans="1:28" ht="17.100000000000001" customHeight="1" thickBot="1">
      <c r="A6863" s="227"/>
      <c r="B6863" s="27" t="s">
        <v>1708</v>
      </c>
      <c r="C6863" s="27" t="s">
        <v>19155</v>
      </c>
      <c r="D6863" s="14" t="s">
        <v>17470</v>
      </c>
      <c r="E6863" s="229"/>
      <c r="F6863" s="117" t="s">
        <v>20759</v>
      </c>
      <c r="G6863" s="26">
        <v>39993</v>
      </c>
      <c r="H6863" s="231"/>
      <c r="I6863" s="221"/>
      <c r="J6863" s="221"/>
      <c r="K6863" s="221"/>
      <c r="L6863" s="221"/>
      <c r="M6863" s="221"/>
      <c r="N6863" s="221"/>
      <c r="O6863" s="225"/>
      <c r="P6863" s="118" t="s">
        <v>20761</v>
      </c>
      <c r="Q6863" s="16" t="s">
        <v>20</v>
      </c>
      <c r="R6863" s="17" t="s">
        <v>20724</v>
      </c>
      <c r="S6863" s="121" t="s">
        <v>6932</v>
      </c>
      <c r="T6863" s="122"/>
      <c r="U6863" s="22"/>
      <c r="V6863" s="123" t="s">
        <v>2472</v>
      </c>
      <c r="W6863" s="122">
        <v>31205</v>
      </c>
      <c r="X6863" s="221"/>
      <c r="Y6863" s="221"/>
      <c r="Z6863" s="221"/>
      <c r="AA6863" s="221"/>
      <c r="AB6863" s="223"/>
    </row>
    <row r="6864" spans="1:28" ht="17.100000000000001" customHeight="1" thickTop="1">
      <c r="A6864" s="226" t="s">
        <v>19146</v>
      </c>
      <c r="B6864" s="28">
        <v>46087</v>
      </c>
      <c r="C6864" s="25"/>
      <c r="D6864" s="13" t="s">
        <v>2295</v>
      </c>
      <c r="E6864" s="228"/>
      <c r="F6864" s="109" t="s">
        <v>4214</v>
      </c>
      <c r="G6864" s="24" t="s">
        <v>19206</v>
      </c>
      <c r="H6864" s="230">
        <v>4</v>
      </c>
      <c r="I6864" s="220">
        <v>995000</v>
      </c>
      <c r="J6864" s="220">
        <f>I6864*0.1</f>
        <v>99500</v>
      </c>
      <c r="K6864" s="220">
        <v>0</v>
      </c>
      <c r="L6864" s="220">
        <v>7150</v>
      </c>
      <c r="M6864" s="220">
        <v>0</v>
      </c>
      <c r="N6864" s="220">
        <f>SUM(I6864:M6865)</f>
        <v>1101650</v>
      </c>
      <c r="O6864" s="224"/>
      <c r="P6864" s="110" t="s">
        <v>22012</v>
      </c>
      <c r="Q6864" s="15" t="s">
        <v>19</v>
      </c>
      <c r="R6864" s="205"/>
      <c r="S6864" s="189" t="s">
        <v>283</v>
      </c>
      <c r="T6864" s="114"/>
      <c r="U6864" s="21"/>
      <c r="V6864" s="115">
        <v>46130</v>
      </c>
      <c r="W6864" s="116">
        <v>1297</v>
      </c>
      <c r="X6864" s="220">
        <v>910000</v>
      </c>
      <c r="Y6864" s="220">
        <f>X6864*0.1</f>
        <v>91000</v>
      </c>
      <c r="Z6864" s="220">
        <v>7150</v>
      </c>
      <c r="AA6864" s="220">
        <f>SUM(X6864:Z6864)</f>
        <v>1008150</v>
      </c>
      <c r="AB6864" s="222">
        <v>46133</v>
      </c>
    </row>
    <row r="6865" spans="1:28" ht="17.100000000000001" customHeight="1" thickBot="1">
      <c r="A6865" s="227"/>
      <c r="B6865" s="27" t="s">
        <v>1708</v>
      </c>
      <c r="C6865" s="27" t="s">
        <v>19156</v>
      </c>
      <c r="D6865" s="14" t="s">
        <v>2559</v>
      </c>
      <c r="E6865" s="229"/>
      <c r="F6865" s="117" t="s">
        <v>19157</v>
      </c>
      <c r="G6865" s="26">
        <v>38576</v>
      </c>
      <c r="H6865" s="231"/>
      <c r="I6865" s="221"/>
      <c r="J6865" s="221"/>
      <c r="K6865" s="221"/>
      <c r="L6865" s="221"/>
      <c r="M6865" s="221"/>
      <c r="N6865" s="221"/>
      <c r="O6865" s="225"/>
      <c r="P6865" s="118" t="s">
        <v>22013</v>
      </c>
      <c r="Q6865" s="16" t="s">
        <v>20</v>
      </c>
      <c r="R6865" s="17" t="s">
        <v>21969</v>
      </c>
      <c r="S6865" s="121" t="s">
        <v>22014</v>
      </c>
      <c r="T6865" s="122"/>
      <c r="U6865" s="22"/>
      <c r="V6865" s="123" t="s">
        <v>2472</v>
      </c>
      <c r="W6865" s="122">
        <v>31215</v>
      </c>
      <c r="X6865" s="221"/>
      <c r="Y6865" s="221"/>
      <c r="Z6865" s="221"/>
      <c r="AA6865" s="221"/>
      <c r="AB6865" s="223"/>
    </row>
    <row r="6866" spans="1:28" ht="17.100000000000001" customHeight="1" thickTop="1">
      <c r="A6866" s="226" t="s">
        <v>19147</v>
      </c>
      <c r="B6866" s="28">
        <v>46087</v>
      </c>
      <c r="C6866" s="25">
        <v>98</v>
      </c>
      <c r="D6866" s="13" t="s">
        <v>2913</v>
      </c>
      <c r="E6866" s="228"/>
      <c r="F6866" s="109" t="s">
        <v>19197</v>
      </c>
      <c r="G6866" s="24" t="s">
        <v>1551</v>
      </c>
      <c r="H6866" s="230">
        <v>4.5</v>
      </c>
      <c r="I6866" s="220">
        <v>2575000</v>
      </c>
      <c r="J6866" s="220">
        <f>I6866*0.1</f>
        <v>257500</v>
      </c>
      <c r="K6866" s="220">
        <v>30500</v>
      </c>
      <c r="L6866" s="220">
        <v>11740</v>
      </c>
      <c r="M6866" s="220">
        <v>66000</v>
      </c>
      <c r="N6866" s="220">
        <f>SUM(I6866:M6867)</f>
        <v>2940740</v>
      </c>
      <c r="O6866" s="224"/>
      <c r="P6866" s="110" t="s">
        <v>22712</v>
      </c>
      <c r="Q6866" s="15" t="s">
        <v>19</v>
      </c>
      <c r="R6866" s="205"/>
      <c r="S6866" s="189" t="s">
        <v>25806</v>
      </c>
      <c r="T6866" s="114"/>
      <c r="U6866" s="21" t="s">
        <v>23194</v>
      </c>
      <c r="V6866" s="115">
        <v>46155</v>
      </c>
      <c r="W6866" s="116">
        <v>1016</v>
      </c>
      <c r="X6866" s="220">
        <v>2845000</v>
      </c>
      <c r="Y6866" s="220">
        <f>X6866*0.1</f>
        <v>284500</v>
      </c>
      <c r="Z6866" s="220">
        <v>11740</v>
      </c>
      <c r="AA6866" s="220">
        <f>SUM(X6866:Z6866)</f>
        <v>3141240</v>
      </c>
      <c r="AB6866" s="222">
        <v>46160</v>
      </c>
    </row>
    <row r="6867" spans="1:28" ht="17.100000000000001" customHeight="1" thickBot="1">
      <c r="A6867" s="227"/>
      <c r="B6867" s="27" t="s">
        <v>4468</v>
      </c>
      <c r="C6867" s="27">
        <v>1002</v>
      </c>
      <c r="D6867" s="14" t="s">
        <v>2559</v>
      </c>
      <c r="E6867" s="229"/>
      <c r="F6867" s="117" t="s">
        <v>19158</v>
      </c>
      <c r="G6867" s="26">
        <v>60058</v>
      </c>
      <c r="H6867" s="231"/>
      <c r="I6867" s="221"/>
      <c r="J6867" s="221"/>
      <c r="K6867" s="221"/>
      <c r="L6867" s="221"/>
      <c r="M6867" s="221"/>
      <c r="N6867" s="221"/>
      <c r="O6867" s="225"/>
      <c r="P6867" s="118" t="s">
        <v>22713</v>
      </c>
      <c r="Q6867" s="16" t="s">
        <v>20</v>
      </c>
      <c r="R6867" s="17" t="s">
        <v>22705</v>
      </c>
      <c r="S6867" s="121" t="s">
        <v>10516</v>
      </c>
      <c r="T6867" s="122"/>
      <c r="U6867" s="22"/>
      <c r="V6867" s="123" t="s">
        <v>2747</v>
      </c>
      <c r="W6867" s="122">
        <v>1079</v>
      </c>
      <c r="X6867" s="221"/>
      <c r="Y6867" s="221"/>
      <c r="Z6867" s="221"/>
      <c r="AA6867" s="221"/>
      <c r="AB6867" s="223"/>
    </row>
    <row r="6868" spans="1:28" ht="17.100000000000001" customHeight="1" thickTop="1">
      <c r="A6868" s="235" t="s">
        <v>19148</v>
      </c>
      <c r="B6868" s="28">
        <v>46087</v>
      </c>
      <c r="C6868" s="25">
        <v>98</v>
      </c>
      <c r="D6868" s="13" t="s">
        <v>2167</v>
      </c>
      <c r="E6868" s="228"/>
      <c r="F6868" s="109" t="s">
        <v>19222</v>
      </c>
      <c r="G6868" s="24" t="s">
        <v>4315</v>
      </c>
      <c r="H6868" s="230">
        <v>4.5</v>
      </c>
      <c r="I6868" s="220">
        <v>2035000</v>
      </c>
      <c r="J6868" s="220">
        <f>I6868*0.1</f>
        <v>203500</v>
      </c>
      <c r="K6868" s="220">
        <v>39500</v>
      </c>
      <c r="L6868" s="220">
        <v>12470</v>
      </c>
      <c r="M6868" s="220">
        <v>66000</v>
      </c>
      <c r="N6868" s="220">
        <f>SUM(I6868:M6869)</f>
        <v>2356470</v>
      </c>
      <c r="O6868" s="224"/>
      <c r="P6868" s="110" t="s">
        <v>20114</v>
      </c>
      <c r="Q6868" s="15" t="s">
        <v>19</v>
      </c>
      <c r="R6868" s="205"/>
      <c r="S6868" s="189" t="s">
        <v>25806</v>
      </c>
      <c r="T6868" s="114"/>
      <c r="U6868" s="21" t="s">
        <v>21855</v>
      </c>
      <c r="V6868" s="115">
        <v>46130</v>
      </c>
      <c r="W6868" s="116">
        <v>1297</v>
      </c>
      <c r="X6868" s="220">
        <v>1890000</v>
      </c>
      <c r="Y6868" s="220">
        <f>X6868*0.1</f>
        <v>189000</v>
      </c>
      <c r="Z6868" s="220">
        <v>12470</v>
      </c>
      <c r="AA6868" s="220">
        <f>SUM(X6868:Z6868)</f>
        <v>2091470</v>
      </c>
      <c r="AB6868" s="222">
        <v>46133</v>
      </c>
    </row>
    <row r="6869" spans="1:28" ht="17.100000000000001" customHeight="1" thickBot="1">
      <c r="A6869" s="236"/>
      <c r="B6869" s="27" t="s">
        <v>4468</v>
      </c>
      <c r="C6869" s="27">
        <v>1018</v>
      </c>
      <c r="D6869" s="14" t="s">
        <v>273</v>
      </c>
      <c r="E6869" s="229"/>
      <c r="F6869" s="117" t="s">
        <v>19159</v>
      </c>
      <c r="G6869" s="26">
        <v>37381</v>
      </c>
      <c r="H6869" s="231"/>
      <c r="I6869" s="221"/>
      <c r="J6869" s="221"/>
      <c r="K6869" s="221"/>
      <c r="L6869" s="221"/>
      <c r="M6869" s="221"/>
      <c r="N6869" s="221"/>
      <c r="O6869" s="225"/>
      <c r="P6869" s="118" t="s">
        <v>20115</v>
      </c>
      <c r="Q6869" s="16" t="s">
        <v>20</v>
      </c>
      <c r="R6869" s="17" t="s">
        <v>2347</v>
      </c>
      <c r="S6869" s="121" t="s">
        <v>1606</v>
      </c>
      <c r="T6869" s="122"/>
      <c r="U6869" s="22"/>
      <c r="V6869" s="123" t="s">
        <v>2472</v>
      </c>
      <c r="W6869" s="122">
        <v>37171</v>
      </c>
      <c r="X6869" s="221"/>
      <c r="Y6869" s="221"/>
      <c r="Z6869" s="221"/>
      <c r="AA6869" s="221"/>
      <c r="AB6869" s="223"/>
    </row>
    <row r="6870" spans="1:28" ht="17.100000000000001" customHeight="1" thickTop="1">
      <c r="A6870" s="226" t="s">
        <v>19149</v>
      </c>
      <c r="B6870" s="28">
        <v>46087</v>
      </c>
      <c r="C6870" s="25">
        <v>98</v>
      </c>
      <c r="D6870" s="13" t="s">
        <v>1754</v>
      </c>
      <c r="E6870" s="228"/>
      <c r="F6870" s="109" t="s">
        <v>19223</v>
      </c>
      <c r="G6870" s="24" t="s">
        <v>4412</v>
      </c>
      <c r="H6870" s="230">
        <v>4</v>
      </c>
      <c r="I6870" s="220">
        <v>660000</v>
      </c>
      <c r="J6870" s="220">
        <f>I6870*0.1</f>
        <v>66000</v>
      </c>
      <c r="K6870" s="220">
        <v>10800</v>
      </c>
      <c r="L6870" s="220">
        <v>9790</v>
      </c>
      <c r="M6870" s="220">
        <v>33000</v>
      </c>
      <c r="N6870" s="220">
        <f>SUM(I6870:M6871)</f>
        <v>779590</v>
      </c>
      <c r="O6870" s="224"/>
      <c r="P6870" s="110" t="s">
        <v>20802</v>
      </c>
      <c r="Q6870" s="15" t="s">
        <v>19</v>
      </c>
      <c r="R6870" s="205"/>
      <c r="S6870" s="189" t="s">
        <v>25842</v>
      </c>
      <c r="T6870" s="114" t="s">
        <v>21701</v>
      </c>
      <c r="U6870" s="21" t="s">
        <v>21117</v>
      </c>
      <c r="V6870" s="115">
        <v>46113</v>
      </c>
      <c r="W6870" s="116">
        <v>1011</v>
      </c>
      <c r="X6870" s="220">
        <v>780000</v>
      </c>
      <c r="Y6870" s="220">
        <f>X6870*0.1</f>
        <v>78000</v>
      </c>
      <c r="Z6870" s="220">
        <v>9790</v>
      </c>
      <c r="AA6870" s="220">
        <f>SUM(X6870:Z6870)</f>
        <v>867790</v>
      </c>
      <c r="AB6870" s="222">
        <v>46121</v>
      </c>
    </row>
    <row r="6871" spans="1:28" ht="17.100000000000001" customHeight="1" thickBot="1">
      <c r="A6871" s="227"/>
      <c r="B6871" s="27" t="s">
        <v>4468</v>
      </c>
      <c r="C6871" s="27">
        <v>1025</v>
      </c>
      <c r="D6871" s="14" t="s">
        <v>273</v>
      </c>
      <c r="E6871" s="229"/>
      <c r="F6871" s="117" t="s">
        <v>19160</v>
      </c>
      <c r="G6871" s="26">
        <v>67771</v>
      </c>
      <c r="H6871" s="231"/>
      <c r="I6871" s="221"/>
      <c r="J6871" s="221"/>
      <c r="K6871" s="221"/>
      <c r="L6871" s="221"/>
      <c r="M6871" s="221"/>
      <c r="N6871" s="221"/>
      <c r="O6871" s="225"/>
      <c r="P6871" s="118" t="s">
        <v>20803</v>
      </c>
      <c r="Q6871" s="16" t="s">
        <v>20</v>
      </c>
      <c r="R6871" s="17" t="s">
        <v>20791</v>
      </c>
      <c r="S6871" s="121" t="s">
        <v>20804</v>
      </c>
      <c r="T6871" s="122"/>
      <c r="U6871" s="22"/>
      <c r="V6871" s="123" t="s">
        <v>7161</v>
      </c>
      <c r="W6871" s="122">
        <v>4018</v>
      </c>
      <c r="X6871" s="221"/>
      <c r="Y6871" s="221"/>
      <c r="Z6871" s="221"/>
      <c r="AA6871" s="221"/>
      <c r="AB6871" s="223"/>
    </row>
    <row r="6872" spans="1:28" ht="17.100000000000001" customHeight="1" thickTop="1">
      <c r="A6872" s="226" t="s">
        <v>19161</v>
      </c>
      <c r="B6872" s="28">
        <v>46088</v>
      </c>
      <c r="C6872" s="25">
        <v>1534</v>
      </c>
      <c r="D6872" s="13" t="s">
        <v>2920</v>
      </c>
      <c r="E6872" s="228"/>
      <c r="F6872" s="109" t="s">
        <v>19224</v>
      </c>
      <c r="G6872" s="24" t="s">
        <v>4868</v>
      </c>
      <c r="H6872" s="230">
        <v>5</v>
      </c>
      <c r="I6872" s="220">
        <v>1790000</v>
      </c>
      <c r="J6872" s="220">
        <f>I6872*0.1</f>
        <v>179000</v>
      </c>
      <c r="K6872" s="220">
        <v>30500</v>
      </c>
      <c r="L6872" s="220">
        <v>12370</v>
      </c>
      <c r="M6872" s="220">
        <v>27500</v>
      </c>
      <c r="N6872" s="220">
        <f>SUM(I6872:M6873)</f>
        <v>2039370</v>
      </c>
      <c r="O6872" s="224"/>
      <c r="P6872" s="110" t="s">
        <v>19241</v>
      </c>
      <c r="Q6872" s="15" t="s">
        <v>19</v>
      </c>
      <c r="R6872" s="205"/>
      <c r="S6872" s="189" t="s">
        <v>283</v>
      </c>
      <c r="T6872" s="114"/>
      <c r="U6872" s="21"/>
      <c r="V6872" s="115"/>
      <c r="W6872" s="116"/>
      <c r="X6872" s="220"/>
      <c r="Y6872" s="220">
        <f>X6872*0.1</f>
        <v>0</v>
      </c>
      <c r="Z6872" s="220"/>
      <c r="AA6872" s="220">
        <f>SUM(X6872:Z6872)</f>
        <v>0</v>
      </c>
      <c r="AB6872" s="222"/>
    </row>
    <row r="6873" spans="1:28" ht="17.100000000000001" customHeight="1" thickBot="1">
      <c r="A6873" s="227"/>
      <c r="B6873" s="27" t="s">
        <v>1547</v>
      </c>
      <c r="C6873" s="27">
        <v>83260</v>
      </c>
      <c r="D6873" s="14" t="s">
        <v>273</v>
      </c>
      <c r="E6873" s="229"/>
      <c r="F6873" s="117" t="s">
        <v>19240</v>
      </c>
      <c r="G6873" s="26">
        <v>32899</v>
      </c>
      <c r="H6873" s="231"/>
      <c r="I6873" s="221"/>
      <c r="J6873" s="221"/>
      <c r="K6873" s="221"/>
      <c r="L6873" s="221"/>
      <c r="M6873" s="221"/>
      <c r="N6873" s="221"/>
      <c r="O6873" s="225"/>
      <c r="P6873" s="118" t="s">
        <v>19593</v>
      </c>
      <c r="Q6873" s="16" t="s">
        <v>20</v>
      </c>
      <c r="R6873" s="17" t="s">
        <v>3605</v>
      </c>
      <c r="S6873" s="121" t="s">
        <v>7300</v>
      </c>
      <c r="T6873" s="122"/>
      <c r="U6873" s="22"/>
      <c r="V6873" s="123"/>
      <c r="W6873" s="122"/>
      <c r="X6873" s="221"/>
      <c r="Y6873" s="221"/>
      <c r="Z6873" s="221"/>
      <c r="AA6873" s="221"/>
      <c r="AB6873" s="223"/>
    </row>
    <row r="6874" spans="1:28" ht="17.100000000000001" customHeight="1" thickTop="1">
      <c r="A6874" s="226" t="s">
        <v>19162</v>
      </c>
      <c r="B6874" s="28">
        <v>46088</v>
      </c>
      <c r="C6874" s="25">
        <v>1291</v>
      </c>
      <c r="D6874" s="13" t="s">
        <v>1632</v>
      </c>
      <c r="E6874" s="228"/>
      <c r="F6874" s="109" t="s">
        <v>19228</v>
      </c>
      <c r="G6874" s="24" t="s">
        <v>19242</v>
      </c>
      <c r="H6874" s="230">
        <v>4.5</v>
      </c>
      <c r="I6874" s="220">
        <v>1055000</v>
      </c>
      <c r="J6874" s="220">
        <f>I6874*0.1</f>
        <v>105500</v>
      </c>
      <c r="K6874" s="220">
        <v>34500</v>
      </c>
      <c r="L6874" s="220">
        <v>11010</v>
      </c>
      <c r="M6874" s="220">
        <v>12100</v>
      </c>
      <c r="N6874" s="220">
        <f>SUM(I6874:M6875)</f>
        <v>1218110</v>
      </c>
      <c r="O6874" s="224"/>
      <c r="P6874" s="110" t="s">
        <v>19243</v>
      </c>
      <c r="Q6874" s="15" t="s">
        <v>19</v>
      </c>
      <c r="R6874" s="205"/>
      <c r="S6874" s="189" t="s">
        <v>25843</v>
      </c>
      <c r="T6874" s="114" t="s">
        <v>20394</v>
      </c>
      <c r="U6874" s="21" t="s">
        <v>20468</v>
      </c>
      <c r="V6874" s="115">
        <v>46120</v>
      </c>
      <c r="W6874" s="116">
        <v>1012</v>
      </c>
      <c r="X6874" s="220">
        <v>1150000</v>
      </c>
      <c r="Y6874" s="220">
        <f>X6874*0.1</f>
        <v>115000</v>
      </c>
      <c r="Z6874" s="220">
        <v>11010</v>
      </c>
      <c r="AA6874" s="220">
        <f>SUM(X6874:Z6874)</f>
        <v>1276010</v>
      </c>
      <c r="AB6874" s="222">
        <v>46126</v>
      </c>
    </row>
    <row r="6875" spans="1:28" ht="17.100000000000001" customHeight="1" thickBot="1">
      <c r="A6875" s="227"/>
      <c r="B6875" s="27" t="s">
        <v>2472</v>
      </c>
      <c r="C6875" s="27">
        <v>30155</v>
      </c>
      <c r="D6875" s="14" t="s">
        <v>2559</v>
      </c>
      <c r="E6875" s="229"/>
      <c r="F6875" s="117" t="s">
        <v>19229</v>
      </c>
      <c r="G6875" s="26">
        <v>48393</v>
      </c>
      <c r="H6875" s="231"/>
      <c r="I6875" s="221"/>
      <c r="J6875" s="221"/>
      <c r="K6875" s="221"/>
      <c r="L6875" s="221"/>
      <c r="M6875" s="221"/>
      <c r="N6875" s="221"/>
      <c r="O6875" s="225"/>
      <c r="P6875" s="118" t="s">
        <v>19692</v>
      </c>
      <c r="Q6875" s="16" t="s">
        <v>20</v>
      </c>
      <c r="R6875" s="17" t="s">
        <v>3605</v>
      </c>
      <c r="S6875" s="121" t="s">
        <v>20393</v>
      </c>
      <c r="T6875" s="122"/>
      <c r="U6875" s="22"/>
      <c r="V6875" s="123" t="s">
        <v>21996</v>
      </c>
      <c r="W6875" s="122">
        <v>6035</v>
      </c>
      <c r="X6875" s="221"/>
      <c r="Y6875" s="221"/>
      <c r="Z6875" s="221"/>
      <c r="AA6875" s="221"/>
      <c r="AB6875" s="223"/>
    </row>
    <row r="6876" spans="1:28" ht="17.100000000000001" customHeight="1" thickTop="1">
      <c r="A6876" s="226" t="s">
        <v>19163</v>
      </c>
      <c r="B6876" s="28">
        <v>46088</v>
      </c>
      <c r="C6876" s="25">
        <v>1291</v>
      </c>
      <c r="D6876" s="13" t="s">
        <v>1578</v>
      </c>
      <c r="E6876" s="228"/>
      <c r="F6876" s="109" t="s">
        <v>14928</v>
      </c>
      <c r="G6876" s="24"/>
      <c r="H6876" s="230">
        <v>4.5</v>
      </c>
      <c r="I6876" s="220">
        <v>1070000</v>
      </c>
      <c r="J6876" s="220">
        <f>I6876*0.1</f>
        <v>107000</v>
      </c>
      <c r="K6876" s="220">
        <v>0</v>
      </c>
      <c r="L6876" s="220">
        <v>10190</v>
      </c>
      <c r="M6876" s="220">
        <v>13200</v>
      </c>
      <c r="N6876" s="220">
        <f>SUM(I6876:M6877)</f>
        <v>1200390</v>
      </c>
      <c r="O6876" s="224"/>
      <c r="P6876" s="110" t="s">
        <v>19697</v>
      </c>
      <c r="Q6876" s="15" t="s">
        <v>19</v>
      </c>
      <c r="R6876" s="205"/>
      <c r="S6876" s="189" t="s">
        <v>283</v>
      </c>
      <c r="T6876" s="114"/>
      <c r="U6876" s="21"/>
      <c r="V6876" s="115">
        <v>46092</v>
      </c>
      <c r="W6876" s="116">
        <v>1008</v>
      </c>
      <c r="X6876" s="220">
        <v>1170000</v>
      </c>
      <c r="Y6876" s="220">
        <f>X6876*0.1</f>
        <v>117000</v>
      </c>
      <c r="Z6876" s="220">
        <v>10190</v>
      </c>
      <c r="AA6876" s="220">
        <f>SUM(X6876:Z6876)</f>
        <v>1297190</v>
      </c>
      <c r="AB6876" s="222">
        <v>46098</v>
      </c>
    </row>
    <row r="6877" spans="1:28" ht="17.100000000000001" customHeight="1" thickBot="1">
      <c r="A6877" s="227"/>
      <c r="B6877" s="27" t="s">
        <v>2472</v>
      </c>
      <c r="C6877" s="27">
        <v>35738</v>
      </c>
      <c r="D6877" s="14" t="s">
        <v>2559</v>
      </c>
      <c r="E6877" s="229"/>
      <c r="F6877" s="117" t="s">
        <v>19230</v>
      </c>
      <c r="G6877" s="26">
        <v>78988</v>
      </c>
      <c r="H6877" s="231"/>
      <c r="I6877" s="221"/>
      <c r="J6877" s="221"/>
      <c r="K6877" s="221"/>
      <c r="L6877" s="221"/>
      <c r="M6877" s="221"/>
      <c r="N6877" s="221"/>
      <c r="O6877" s="225"/>
      <c r="P6877" s="118" t="s">
        <v>19698</v>
      </c>
      <c r="Q6877" s="16" t="s">
        <v>20</v>
      </c>
      <c r="R6877" s="17" t="s">
        <v>3605</v>
      </c>
      <c r="S6877" s="121" t="s">
        <v>19699</v>
      </c>
      <c r="T6877" s="122"/>
      <c r="U6877" s="22"/>
      <c r="V6877" s="123" t="s">
        <v>19459</v>
      </c>
      <c r="W6877" s="122">
        <v>5117</v>
      </c>
      <c r="X6877" s="221"/>
      <c r="Y6877" s="221"/>
      <c r="Z6877" s="221"/>
      <c r="AA6877" s="221"/>
      <c r="AB6877" s="223"/>
    </row>
    <row r="6878" spans="1:28" ht="17.100000000000001" customHeight="1" thickTop="1">
      <c r="A6878" s="226" t="s">
        <v>19164</v>
      </c>
      <c r="B6878" s="28">
        <v>46088</v>
      </c>
      <c r="C6878" s="25">
        <v>1291</v>
      </c>
      <c r="D6878" s="13" t="s">
        <v>2712</v>
      </c>
      <c r="E6878" s="228"/>
      <c r="F6878" s="109" t="s">
        <v>15513</v>
      </c>
      <c r="G6878" s="24" t="s">
        <v>16881</v>
      </c>
      <c r="H6878" s="230">
        <v>4.5</v>
      </c>
      <c r="I6878" s="220">
        <v>990000</v>
      </c>
      <c r="J6878" s="220">
        <f>I6878*0.1</f>
        <v>99000</v>
      </c>
      <c r="K6878" s="220">
        <v>10800</v>
      </c>
      <c r="L6878" s="220">
        <v>8390</v>
      </c>
      <c r="M6878" s="220">
        <v>12100</v>
      </c>
      <c r="N6878" s="220">
        <f>SUM(I6878:M6879)</f>
        <v>1120290</v>
      </c>
      <c r="O6878" s="224"/>
      <c r="P6878" s="110" t="s">
        <v>19244</v>
      </c>
      <c r="Q6878" s="15" t="s">
        <v>19</v>
      </c>
      <c r="R6878" s="205"/>
      <c r="S6878" s="189" t="s">
        <v>758</v>
      </c>
      <c r="T6878" s="114"/>
      <c r="U6878" s="21"/>
      <c r="V6878" s="115">
        <v>46095</v>
      </c>
      <c r="W6878" s="116">
        <v>1292</v>
      </c>
      <c r="X6878" s="220">
        <v>1035000</v>
      </c>
      <c r="Y6878" s="220">
        <f>X6878*0.1</f>
        <v>103500</v>
      </c>
      <c r="Z6878" s="220">
        <v>8390</v>
      </c>
      <c r="AA6878" s="220">
        <f>SUM(X6878:Z6878)</f>
        <v>1146890</v>
      </c>
      <c r="AB6878" s="222">
        <v>46098</v>
      </c>
    </row>
    <row r="6879" spans="1:28" ht="17.100000000000001" customHeight="1" thickBot="1">
      <c r="A6879" s="227"/>
      <c r="B6879" s="27" t="s">
        <v>2472</v>
      </c>
      <c r="C6879" s="27">
        <v>65557</v>
      </c>
      <c r="D6879" s="14" t="s">
        <v>1584</v>
      </c>
      <c r="E6879" s="229"/>
      <c r="F6879" s="117" t="s">
        <v>19231</v>
      </c>
      <c r="G6879" s="26">
        <v>37167</v>
      </c>
      <c r="H6879" s="231"/>
      <c r="I6879" s="221"/>
      <c r="J6879" s="221"/>
      <c r="K6879" s="221"/>
      <c r="L6879" s="221"/>
      <c r="M6879" s="221"/>
      <c r="N6879" s="221"/>
      <c r="O6879" s="225"/>
      <c r="P6879" s="118" t="s">
        <v>12429</v>
      </c>
      <c r="Q6879" s="16" t="s">
        <v>20</v>
      </c>
      <c r="R6879" s="17" t="s">
        <v>3605</v>
      </c>
      <c r="S6879" s="121" t="s">
        <v>19693</v>
      </c>
      <c r="T6879" s="122" t="s">
        <v>19269</v>
      </c>
      <c r="U6879" s="22"/>
      <c r="V6879" s="123" t="s">
        <v>2472</v>
      </c>
      <c r="W6879" s="122">
        <v>60003</v>
      </c>
      <c r="X6879" s="221"/>
      <c r="Y6879" s="221"/>
      <c r="Z6879" s="221"/>
      <c r="AA6879" s="221"/>
      <c r="AB6879" s="223"/>
    </row>
    <row r="6880" spans="1:28" ht="17.100000000000001" customHeight="1" thickTop="1">
      <c r="A6880" s="226" t="s">
        <v>19165</v>
      </c>
      <c r="B6880" s="28">
        <v>46088</v>
      </c>
      <c r="C6880" s="25">
        <v>1291</v>
      </c>
      <c r="D6880" s="13" t="s">
        <v>1634</v>
      </c>
      <c r="E6880" s="228"/>
      <c r="F6880" s="109" t="s">
        <v>19232</v>
      </c>
      <c r="G6880" s="24" t="s">
        <v>15723</v>
      </c>
      <c r="H6880" s="230">
        <v>4.5</v>
      </c>
      <c r="I6880" s="220">
        <v>965000</v>
      </c>
      <c r="J6880" s="220">
        <f>I6880*0.1</f>
        <v>96500</v>
      </c>
      <c r="K6880" s="220">
        <v>10800</v>
      </c>
      <c r="L6880" s="220">
        <v>8640</v>
      </c>
      <c r="M6880" s="220">
        <v>12100</v>
      </c>
      <c r="N6880" s="220">
        <f>SUM(I6880:M6881)</f>
        <v>1093040</v>
      </c>
      <c r="O6880" s="224"/>
      <c r="P6880" s="110" t="s">
        <v>19245</v>
      </c>
      <c r="Q6880" s="15" t="s">
        <v>19</v>
      </c>
      <c r="R6880" s="205"/>
      <c r="S6880" s="189" t="s">
        <v>25844</v>
      </c>
      <c r="T6880" s="114"/>
      <c r="U6880" s="21"/>
      <c r="V6880" s="115">
        <v>46092</v>
      </c>
      <c r="W6880" s="116">
        <v>1008</v>
      </c>
      <c r="X6880" s="220">
        <v>1055000</v>
      </c>
      <c r="Y6880" s="220">
        <f>X6880*0.1</f>
        <v>105500</v>
      </c>
      <c r="Z6880" s="220">
        <v>8640</v>
      </c>
      <c r="AA6880" s="220">
        <f>SUM(X6880:Z6880)</f>
        <v>1169140</v>
      </c>
      <c r="AB6880" s="222">
        <v>46098</v>
      </c>
    </row>
    <row r="6881" spans="1:28" ht="17.100000000000001" customHeight="1" thickBot="1">
      <c r="A6881" s="227"/>
      <c r="B6881" s="27" t="s">
        <v>2472</v>
      </c>
      <c r="C6881" s="27">
        <v>65595</v>
      </c>
      <c r="D6881" s="14" t="s">
        <v>2753</v>
      </c>
      <c r="E6881" s="229"/>
      <c r="F6881" s="117" t="s">
        <v>19233</v>
      </c>
      <c r="G6881" s="26">
        <v>47690</v>
      </c>
      <c r="H6881" s="231"/>
      <c r="I6881" s="221"/>
      <c r="J6881" s="221"/>
      <c r="K6881" s="221"/>
      <c r="L6881" s="221"/>
      <c r="M6881" s="221"/>
      <c r="N6881" s="221"/>
      <c r="O6881" s="225"/>
      <c r="P6881" s="118" t="s">
        <v>1647</v>
      </c>
      <c r="Q6881" s="16" t="s">
        <v>20</v>
      </c>
      <c r="R6881" s="17" t="s">
        <v>3605</v>
      </c>
      <c r="S6881" s="121" t="s">
        <v>19696</v>
      </c>
      <c r="T6881" s="122"/>
      <c r="U6881" s="22"/>
      <c r="V6881" s="123" t="s">
        <v>19459</v>
      </c>
      <c r="W6881" s="122">
        <v>2076</v>
      </c>
      <c r="X6881" s="221"/>
      <c r="Y6881" s="221"/>
      <c r="Z6881" s="221"/>
      <c r="AA6881" s="221"/>
      <c r="AB6881" s="223"/>
    </row>
    <row r="6882" spans="1:28" ht="17.100000000000001" customHeight="1" thickTop="1">
      <c r="A6882" s="226" t="s">
        <v>19166</v>
      </c>
      <c r="B6882" s="28">
        <v>46088</v>
      </c>
      <c r="C6882" s="25">
        <v>1291</v>
      </c>
      <c r="D6882" s="13" t="s">
        <v>2150</v>
      </c>
      <c r="E6882" s="228"/>
      <c r="F6882" s="109" t="s">
        <v>19234</v>
      </c>
      <c r="G6882" s="24"/>
      <c r="H6882" s="230">
        <v>4.5</v>
      </c>
      <c r="I6882" s="220">
        <v>800000</v>
      </c>
      <c r="J6882" s="220">
        <f>I6882*0.1</f>
        <v>80000</v>
      </c>
      <c r="K6882" s="220">
        <v>0</v>
      </c>
      <c r="L6882" s="220">
        <v>19440</v>
      </c>
      <c r="M6882" s="220">
        <v>16500</v>
      </c>
      <c r="N6882" s="220">
        <f>SUM(I6882:M6883)</f>
        <v>915940</v>
      </c>
      <c r="O6882" s="224"/>
      <c r="P6882" s="110" t="s">
        <v>19703</v>
      </c>
      <c r="Q6882" s="15" t="s">
        <v>19</v>
      </c>
      <c r="R6882" s="205"/>
      <c r="S6882" s="189"/>
      <c r="T6882" s="114"/>
      <c r="U6882" s="21"/>
      <c r="V6882" s="115">
        <v>46102</v>
      </c>
      <c r="W6882" s="116">
        <v>1293</v>
      </c>
      <c r="X6882" s="220">
        <v>900000</v>
      </c>
      <c r="Y6882" s="220">
        <f>X6882*0.1</f>
        <v>90000</v>
      </c>
      <c r="Z6882" s="220">
        <v>19440</v>
      </c>
      <c r="AA6882" s="220">
        <f>SUM(X6882:Z6882)</f>
        <v>1009440</v>
      </c>
      <c r="AB6882" s="222">
        <v>46105</v>
      </c>
    </row>
    <row r="6883" spans="1:28" ht="17.100000000000001" customHeight="1" thickBot="1">
      <c r="A6883" s="227"/>
      <c r="B6883" s="27" t="s">
        <v>2472</v>
      </c>
      <c r="C6883" s="27">
        <v>72018</v>
      </c>
      <c r="D6883" s="14" t="s">
        <v>2291</v>
      </c>
      <c r="E6883" s="229"/>
      <c r="F6883" s="117" t="s">
        <v>19246</v>
      </c>
      <c r="G6883" s="26">
        <v>36928</v>
      </c>
      <c r="H6883" s="231"/>
      <c r="I6883" s="221"/>
      <c r="J6883" s="221"/>
      <c r="K6883" s="221"/>
      <c r="L6883" s="221"/>
      <c r="M6883" s="221"/>
      <c r="N6883" s="221"/>
      <c r="O6883" s="225"/>
      <c r="P6883" s="118" t="s">
        <v>19704</v>
      </c>
      <c r="Q6883" s="16" t="s">
        <v>20</v>
      </c>
      <c r="R6883" s="17" t="s">
        <v>3605</v>
      </c>
      <c r="S6883" s="121" t="s">
        <v>19822</v>
      </c>
      <c r="T6883" s="122"/>
      <c r="U6883" s="22"/>
      <c r="V6883" s="123" t="s">
        <v>2472</v>
      </c>
      <c r="W6883" s="122">
        <v>80073</v>
      </c>
      <c r="X6883" s="221"/>
      <c r="Y6883" s="221"/>
      <c r="Z6883" s="221"/>
      <c r="AA6883" s="221"/>
      <c r="AB6883" s="223"/>
    </row>
    <row r="6884" spans="1:28" ht="17.100000000000001" customHeight="1" thickTop="1">
      <c r="A6884" s="226" t="s">
        <v>19167</v>
      </c>
      <c r="B6884" s="28">
        <v>46088</v>
      </c>
      <c r="C6884" s="25">
        <v>1291</v>
      </c>
      <c r="D6884" s="13" t="s">
        <v>1555</v>
      </c>
      <c r="E6884" s="228"/>
      <c r="F6884" s="109" t="s">
        <v>19235</v>
      </c>
      <c r="G6884" s="24" t="s">
        <v>2038</v>
      </c>
      <c r="H6884" s="230">
        <v>4</v>
      </c>
      <c r="I6884" s="220">
        <v>1645000</v>
      </c>
      <c r="J6884" s="220">
        <f>I6884*0.1</f>
        <v>164500</v>
      </c>
      <c r="K6884" s="220">
        <v>30500</v>
      </c>
      <c r="L6884" s="220">
        <v>17600</v>
      </c>
      <c r="M6884" s="220">
        <v>16500</v>
      </c>
      <c r="N6884" s="220">
        <f>SUM(I6884:M6885)</f>
        <v>1874100</v>
      </c>
      <c r="O6884" s="224"/>
      <c r="P6884" s="110" t="s">
        <v>19248</v>
      </c>
      <c r="Q6884" s="15" t="s">
        <v>19</v>
      </c>
      <c r="R6884" s="205"/>
      <c r="S6884" s="189" t="s">
        <v>25845</v>
      </c>
      <c r="T6884" s="114" t="s">
        <v>11847</v>
      </c>
      <c r="U6884" s="21"/>
      <c r="V6884" s="115">
        <v>46093</v>
      </c>
      <c r="W6884" s="116">
        <v>1322</v>
      </c>
      <c r="X6884" s="220">
        <v>2010000</v>
      </c>
      <c r="Y6884" s="220">
        <f>X6884*0.1</f>
        <v>201000</v>
      </c>
      <c r="Z6884" s="220">
        <v>17890</v>
      </c>
      <c r="AA6884" s="220">
        <f>SUM(X6884:Z6884)</f>
        <v>2228890</v>
      </c>
      <c r="AB6884" s="222">
        <v>46094</v>
      </c>
    </row>
    <row r="6885" spans="1:28" ht="17.100000000000001" customHeight="1" thickBot="1">
      <c r="A6885" s="227"/>
      <c r="B6885" s="27" t="s">
        <v>2472</v>
      </c>
      <c r="C6885" s="27">
        <v>82037</v>
      </c>
      <c r="D6885" s="14" t="s">
        <v>273</v>
      </c>
      <c r="E6885" s="229"/>
      <c r="F6885" s="117" t="s">
        <v>19247</v>
      </c>
      <c r="G6885" s="26">
        <v>26441</v>
      </c>
      <c r="H6885" s="231"/>
      <c r="I6885" s="221"/>
      <c r="J6885" s="221"/>
      <c r="K6885" s="221"/>
      <c r="L6885" s="221"/>
      <c r="M6885" s="221"/>
      <c r="N6885" s="221"/>
      <c r="O6885" s="225"/>
      <c r="P6885" s="118" t="s">
        <v>19689</v>
      </c>
      <c r="Q6885" s="16" t="s">
        <v>20</v>
      </c>
      <c r="R6885" s="17" t="s">
        <v>3605</v>
      </c>
      <c r="S6885" s="121" t="s">
        <v>19793</v>
      </c>
      <c r="T6885" s="127" t="s">
        <v>20003</v>
      </c>
      <c r="U6885" s="22"/>
      <c r="V6885" s="123" t="s">
        <v>1735</v>
      </c>
      <c r="W6885" s="122">
        <v>87</v>
      </c>
      <c r="X6885" s="221"/>
      <c r="Y6885" s="221"/>
      <c r="Z6885" s="221"/>
      <c r="AA6885" s="221"/>
      <c r="AB6885" s="223"/>
    </row>
    <row r="6886" spans="1:28" ht="17.100000000000001" customHeight="1" thickTop="1">
      <c r="A6886" s="226" t="s">
        <v>19168</v>
      </c>
      <c r="B6886" s="28">
        <v>46088</v>
      </c>
      <c r="C6886" s="25">
        <v>1291</v>
      </c>
      <c r="D6886" s="13" t="s">
        <v>1632</v>
      </c>
      <c r="E6886" s="228"/>
      <c r="F6886" s="109" t="s">
        <v>19236</v>
      </c>
      <c r="G6886" s="24"/>
      <c r="H6886" s="230">
        <v>4</v>
      </c>
      <c r="I6886" s="220">
        <v>460000</v>
      </c>
      <c r="J6886" s="220">
        <f>I6886*0.1</f>
        <v>46000</v>
      </c>
      <c r="K6886" s="220">
        <v>0</v>
      </c>
      <c r="L6886" s="220">
        <v>16260</v>
      </c>
      <c r="M6886" s="220">
        <v>16500</v>
      </c>
      <c r="N6886" s="220">
        <f>SUM(I6886:M6887)</f>
        <v>538760</v>
      </c>
      <c r="O6886" s="224"/>
      <c r="P6886" s="110" t="s">
        <v>19694</v>
      </c>
      <c r="Q6886" s="15" t="s">
        <v>19</v>
      </c>
      <c r="R6886" s="205"/>
      <c r="S6886" s="189" t="s">
        <v>283</v>
      </c>
      <c r="T6886" s="114"/>
      <c r="U6886" s="21"/>
      <c r="V6886" s="115">
        <v>46093</v>
      </c>
      <c r="W6886" s="116">
        <v>1322</v>
      </c>
      <c r="X6886" s="220">
        <v>615000</v>
      </c>
      <c r="Y6886" s="220">
        <f>X6886*0.1</f>
        <v>61500</v>
      </c>
      <c r="Z6886" s="220">
        <v>16260</v>
      </c>
      <c r="AA6886" s="220">
        <f>SUM(X6886:Z6886)</f>
        <v>692760</v>
      </c>
      <c r="AB6886" s="222">
        <v>46093</v>
      </c>
    </row>
    <row r="6887" spans="1:28" ht="17.100000000000001" customHeight="1" thickBot="1">
      <c r="A6887" s="227"/>
      <c r="B6887" s="27" t="s">
        <v>2472</v>
      </c>
      <c r="C6887" s="27">
        <v>82093</v>
      </c>
      <c r="D6887" s="14" t="s">
        <v>898</v>
      </c>
      <c r="E6887" s="229"/>
      <c r="F6887" s="117" t="s">
        <v>19249</v>
      </c>
      <c r="G6887" s="26">
        <v>48128</v>
      </c>
      <c r="H6887" s="231"/>
      <c r="I6887" s="221"/>
      <c r="J6887" s="221"/>
      <c r="K6887" s="221"/>
      <c r="L6887" s="221"/>
      <c r="M6887" s="221"/>
      <c r="N6887" s="221"/>
      <c r="O6887" s="225"/>
      <c r="P6887" s="118" t="s">
        <v>19695</v>
      </c>
      <c r="Q6887" s="16" t="s">
        <v>20</v>
      </c>
      <c r="R6887" s="17" t="s">
        <v>3605</v>
      </c>
      <c r="S6887" s="121" t="s">
        <v>169</v>
      </c>
      <c r="T6887" s="122"/>
      <c r="U6887" s="22"/>
      <c r="V6887" s="123" t="s">
        <v>1735</v>
      </c>
      <c r="W6887" s="122">
        <v>39</v>
      </c>
      <c r="X6887" s="221"/>
      <c r="Y6887" s="221"/>
      <c r="Z6887" s="221"/>
      <c r="AA6887" s="221"/>
      <c r="AB6887" s="223"/>
    </row>
    <row r="6888" spans="1:28" ht="17.100000000000001" customHeight="1" thickTop="1">
      <c r="A6888" s="226" t="s">
        <v>19169</v>
      </c>
      <c r="B6888" s="28">
        <v>46088</v>
      </c>
      <c r="C6888" s="25">
        <v>1291</v>
      </c>
      <c r="D6888" s="13" t="s">
        <v>1704</v>
      </c>
      <c r="E6888" s="228"/>
      <c r="F6888" s="109" t="s">
        <v>19237</v>
      </c>
      <c r="G6888" s="24"/>
      <c r="H6888" s="230">
        <v>4.5</v>
      </c>
      <c r="I6888" s="220">
        <v>2275000</v>
      </c>
      <c r="J6888" s="220">
        <f>I6888*0.1</f>
        <v>227500</v>
      </c>
      <c r="K6888" s="220">
        <v>0</v>
      </c>
      <c r="L6888" s="220">
        <v>19180</v>
      </c>
      <c r="M6888" s="220">
        <v>16500</v>
      </c>
      <c r="N6888" s="220">
        <f>SUM(I6888:M6889)</f>
        <v>2538180</v>
      </c>
      <c r="O6888" s="224"/>
      <c r="P6888" s="110" t="s">
        <v>19690</v>
      </c>
      <c r="Q6888" s="15" t="s">
        <v>19</v>
      </c>
      <c r="R6888" s="205"/>
      <c r="S6888" s="189" t="s">
        <v>758</v>
      </c>
      <c r="T6888" s="114"/>
      <c r="U6888" s="21"/>
      <c r="V6888" s="115">
        <v>46116</v>
      </c>
      <c r="W6888" s="116">
        <v>1295</v>
      </c>
      <c r="X6888" s="220">
        <v>2360000</v>
      </c>
      <c r="Y6888" s="220">
        <f>X6888*0.1</f>
        <v>236000</v>
      </c>
      <c r="Z6888" s="220">
        <v>19180</v>
      </c>
      <c r="AA6888" s="220">
        <f>SUM(X6888:Z6888)</f>
        <v>2615180</v>
      </c>
      <c r="AB6888" s="222">
        <v>46119</v>
      </c>
    </row>
    <row r="6889" spans="1:28" ht="17.100000000000001" customHeight="1" thickBot="1">
      <c r="A6889" s="227"/>
      <c r="B6889" s="27" t="s">
        <v>2472</v>
      </c>
      <c r="C6889" s="27">
        <v>82175</v>
      </c>
      <c r="D6889" s="14" t="s">
        <v>1690</v>
      </c>
      <c r="E6889" s="229"/>
      <c r="F6889" s="117" t="s">
        <v>19250</v>
      </c>
      <c r="G6889" s="26">
        <v>42208</v>
      </c>
      <c r="H6889" s="231"/>
      <c r="I6889" s="221"/>
      <c r="J6889" s="221"/>
      <c r="K6889" s="221"/>
      <c r="L6889" s="221"/>
      <c r="M6889" s="221"/>
      <c r="N6889" s="221"/>
      <c r="O6889" s="225"/>
      <c r="P6889" s="118" t="s">
        <v>19691</v>
      </c>
      <c r="Q6889" s="16" t="s">
        <v>20</v>
      </c>
      <c r="R6889" s="17" t="s">
        <v>3605</v>
      </c>
      <c r="S6889" s="121" t="s">
        <v>1731</v>
      </c>
      <c r="T6889" s="122"/>
      <c r="U6889" s="22"/>
      <c r="V6889" s="123" t="s">
        <v>2472</v>
      </c>
      <c r="W6889" s="122">
        <v>80067</v>
      </c>
      <c r="X6889" s="221"/>
      <c r="Y6889" s="221"/>
      <c r="Z6889" s="221"/>
      <c r="AA6889" s="221"/>
      <c r="AB6889" s="223"/>
    </row>
    <row r="6890" spans="1:28" ht="17.100000000000001" customHeight="1" thickTop="1">
      <c r="A6890" s="226" t="s">
        <v>19225</v>
      </c>
      <c r="B6890" s="28">
        <v>46088</v>
      </c>
      <c r="C6890" s="25">
        <v>1291</v>
      </c>
      <c r="D6890" s="13" t="s">
        <v>2920</v>
      </c>
      <c r="E6890" s="228"/>
      <c r="F6890" s="109" t="s">
        <v>19238</v>
      </c>
      <c r="G6890" s="24"/>
      <c r="H6890" s="230">
        <v>4.5</v>
      </c>
      <c r="I6890" s="220">
        <v>1085000</v>
      </c>
      <c r="J6890" s="220">
        <f>I6890*0.1</f>
        <v>108500</v>
      </c>
      <c r="K6890" s="220">
        <v>0</v>
      </c>
      <c r="L6890" s="220">
        <v>11810</v>
      </c>
      <c r="M6890" s="220">
        <v>16500</v>
      </c>
      <c r="N6890" s="220">
        <f>SUM(I6890:M6891)</f>
        <v>1221810</v>
      </c>
      <c r="O6890" s="224"/>
      <c r="P6890" s="110" t="s">
        <v>19701</v>
      </c>
      <c r="Q6890" s="15" t="s">
        <v>19</v>
      </c>
      <c r="R6890" s="205"/>
      <c r="S6890" s="189" t="s">
        <v>283</v>
      </c>
      <c r="T6890" s="114"/>
      <c r="U6890" s="21"/>
      <c r="V6890" s="115">
        <v>46137</v>
      </c>
      <c r="W6890" s="116">
        <v>1298</v>
      </c>
      <c r="X6890" s="220">
        <v>1200000</v>
      </c>
      <c r="Y6890" s="220">
        <f>X6890*0.1</f>
        <v>120000</v>
      </c>
      <c r="Z6890" s="220">
        <v>11810</v>
      </c>
      <c r="AA6890" s="220">
        <f>SUM(X6890:Z6890)</f>
        <v>1331810</v>
      </c>
      <c r="AB6890" s="222">
        <v>46140</v>
      </c>
    </row>
    <row r="6891" spans="1:28" ht="17.100000000000001" customHeight="1" thickBot="1">
      <c r="A6891" s="227"/>
      <c r="B6891" s="27" t="s">
        <v>2472</v>
      </c>
      <c r="C6891" s="27">
        <v>82244</v>
      </c>
      <c r="D6891" s="14" t="s">
        <v>131</v>
      </c>
      <c r="E6891" s="229"/>
      <c r="F6891" s="117" t="s">
        <v>19251</v>
      </c>
      <c r="G6891" s="26">
        <v>40238</v>
      </c>
      <c r="H6891" s="231"/>
      <c r="I6891" s="221"/>
      <c r="J6891" s="221"/>
      <c r="K6891" s="221"/>
      <c r="L6891" s="221"/>
      <c r="M6891" s="221"/>
      <c r="N6891" s="221"/>
      <c r="O6891" s="225"/>
      <c r="P6891" s="118" t="s">
        <v>19702</v>
      </c>
      <c r="Q6891" s="16" t="s">
        <v>20</v>
      </c>
      <c r="R6891" s="17" t="s">
        <v>3605</v>
      </c>
      <c r="S6891" s="121" t="s">
        <v>1625</v>
      </c>
      <c r="T6891" s="122"/>
      <c r="U6891" s="22"/>
      <c r="V6891" s="123" t="s">
        <v>2472</v>
      </c>
      <c r="W6891" s="122">
        <v>80239</v>
      </c>
      <c r="X6891" s="221"/>
      <c r="Y6891" s="221"/>
      <c r="Z6891" s="221"/>
      <c r="AA6891" s="221"/>
      <c r="AB6891" s="223"/>
    </row>
    <row r="6892" spans="1:28" ht="17.100000000000001" customHeight="1" thickTop="1">
      <c r="A6892" s="226" t="s">
        <v>19226</v>
      </c>
      <c r="B6892" s="28">
        <v>46088</v>
      </c>
      <c r="C6892" s="25">
        <v>1291</v>
      </c>
      <c r="D6892" s="13" t="s">
        <v>853</v>
      </c>
      <c r="E6892" s="228"/>
      <c r="F6892" s="109" t="s">
        <v>4483</v>
      </c>
      <c r="G6892" s="24" t="s">
        <v>3859</v>
      </c>
      <c r="H6892" s="230">
        <v>4.5</v>
      </c>
      <c r="I6892" s="220">
        <v>1255000</v>
      </c>
      <c r="J6892" s="220">
        <f>I6892*0.1</f>
        <v>125500</v>
      </c>
      <c r="K6892" s="220">
        <v>30500</v>
      </c>
      <c r="L6892" s="220">
        <v>16240</v>
      </c>
      <c r="M6892" s="220">
        <v>16500</v>
      </c>
      <c r="N6892" s="220">
        <f>SUM(I6892:M6893)</f>
        <v>1443740</v>
      </c>
      <c r="O6892" s="224"/>
      <c r="P6892" s="110" t="s">
        <v>19253</v>
      </c>
      <c r="Q6892" s="15" t="s">
        <v>19</v>
      </c>
      <c r="R6892" s="205"/>
      <c r="S6892" s="189" t="s">
        <v>455</v>
      </c>
      <c r="T6892" s="114"/>
      <c r="U6892" s="21"/>
      <c r="V6892" s="115">
        <v>46109</v>
      </c>
      <c r="W6892" s="116">
        <v>1294</v>
      </c>
      <c r="X6892" s="220">
        <v>1330000</v>
      </c>
      <c r="Y6892" s="220">
        <f>X6892*0.1</f>
        <v>133000</v>
      </c>
      <c r="Z6892" s="220">
        <v>16240</v>
      </c>
      <c r="AA6892" s="220">
        <f>SUM(X6892:Z6892)</f>
        <v>1479240</v>
      </c>
      <c r="AB6892" s="222">
        <v>46112</v>
      </c>
    </row>
    <row r="6893" spans="1:28" ht="17.100000000000001" customHeight="1" thickBot="1">
      <c r="A6893" s="227"/>
      <c r="B6893" s="27" t="s">
        <v>2472</v>
      </c>
      <c r="C6893" s="27">
        <v>82369</v>
      </c>
      <c r="D6893" s="14" t="s">
        <v>898</v>
      </c>
      <c r="E6893" s="229"/>
      <c r="F6893" s="117" t="s">
        <v>19252</v>
      </c>
      <c r="G6893" s="26">
        <v>40298</v>
      </c>
      <c r="H6893" s="231"/>
      <c r="I6893" s="221"/>
      <c r="J6893" s="221"/>
      <c r="K6893" s="221"/>
      <c r="L6893" s="221"/>
      <c r="M6893" s="221"/>
      <c r="N6893" s="221"/>
      <c r="O6893" s="225"/>
      <c r="P6893" s="118" t="s">
        <v>2839</v>
      </c>
      <c r="Q6893" s="16" t="s">
        <v>20</v>
      </c>
      <c r="R6893" s="17" t="s">
        <v>3605</v>
      </c>
      <c r="S6893" s="121" t="s">
        <v>19700</v>
      </c>
      <c r="T6893" s="122"/>
      <c r="U6893" s="22"/>
      <c r="V6893" s="123" t="s">
        <v>21250</v>
      </c>
      <c r="W6893" s="122">
        <v>80107</v>
      </c>
      <c r="X6893" s="221"/>
      <c r="Y6893" s="221"/>
      <c r="Z6893" s="221"/>
      <c r="AA6893" s="221"/>
      <c r="AB6893" s="223"/>
    </row>
    <row r="6894" spans="1:28" ht="17.100000000000001" customHeight="1" thickTop="1">
      <c r="A6894" s="226" t="s">
        <v>19227</v>
      </c>
      <c r="B6894" s="28">
        <v>46088</v>
      </c>
      <c r="C6894" s="25">
        <v>1291</v>
      </c>
      <c r="D6894" s="13" t="s">
        <v>2564</v>
      </c>
      <c r="E6894" s="228"/>
      <c r="F6894" s="109" t="s">
        <v>19239</v>
      </c>
      <c r="G6894" s="24" t="s">
        <v>4025</v>
      </c>
      <c r="H6894" s="230">
        <v>4.5</v>
      </c>
      <c r="I6894" s="220">
        <v>1700000</v>
      </c>
      <c r="J6894" s="220">
        <f>I6894*0.1</f>
        <v>170000</v>
      </c>
      <c r="K6894" s="220">
        <v>30500</v>
      </c>
      <c r="L6894" s="220">
        <v>16160</v>
      </c>
      <c r="M6894" s="220">
        <v>23100</v>
      </c>
      <c r="N6894" s="220">
        <f>SUM(I6894:M6895)</f>
        <v>1939760</v>
      </c>
      <c r="O6894" s="224"/>
      <c r="P6894" s="110" t="s">
        <v>19256</v>
      </c>
      <c r="Q6894" s="15" t="s">
        <v>19</v>
      </c>
      <c r="R6894" s="205"/>
      <c r="S6894" s="189" t="s">
        <v>25429</v>
      </c>
      <c r="T6894" s="114"/>
      <c r="U6894" s="21" t="s">
        <v>21851</v>
      </c>
      <c r="V6894" s="115"/>
      <c r="W6894" s="116"/>
      <c r="X6894" s="220"/>
      <c r="Y6894" s="220">
        <f>X6894*0.1</f>
        <v>0</v>
      </c>
      <c r="Z6894" s="220"/>
      <c r="AA6894" s="220">
        <f>SUM(X6894:Z6894)</f>
        <v>0</v>
      </c>
      <c r="AB6894" s="222"/>
    </row>
    <row r="6895" spans="1:28" ht="17.100000000000001" customHeight="1" thickBot="1">
      <c r="A6895" s="227"/>
      <c r="B6895" s="27" t="s">
        <v>2472</v>
      </c>
      <c r="C6895" s="27">
        <v>82475</v>
      </c>
      <c r="D6895" s="14" t="s">
        <v>19254</v>
      </c>
      <c r="E6895" s="229"/>
      <c r="F6895" s="117" t="s">
        <v>19255</v>
      </c>
      <c r="G6895" s="26">
        <v>30451</v>
      </c>
      <c r="H6895" s="231"/>
      <c r="I6895" s="221"/>
      <c r="J6895" s="221"/>
      <c r="K6895" s="221"/>
      <c r="L6895" s="221"/>
      <c r="M6895" s="221"/>
      <c r="N6895" s="221"/>
      <c r="O6895" s="225"/>
      <c r="P6895" s="118" t="s">
        <v>12426</v>
      </c>
      <c r="Q6895" s="16" t="s">
        <v>20</v>
      </c>
      <c r="R6895" s="17" t="s">
        <v>3605</v>
      </c>
      <c r="S6895" s="121" t="s">
        <v>3071</v>
      </c>
      <c r="T6895" s="122"/>
      <c r="U6895" s="22"/>
      <c r="V6895" s="123"/>
      <c r="W6895" s="122"/>
      <c r="X6895" s="221"/>
      <c r="Y6895" s="221"/>
      <c r="Z6895" s="221"/>
      <c r="AA6895" s="221"/>
      <c r="AB6895" s="223"/>
    </row>
    <row r="6896" spans="1:28" ht="17.100000000000001" customHeight="1" thickTop="1">
      <c r="A6896" s="233" t="s">
        <v>19303</v>
      </c>
      <c r="B6896" s="28">
        <v>46090</v>
      </c>
      <c r="C6896" s="25">
        <v>2084</v>
      </c>
      <c r="D6896" s="13" t="s">
        <v>1901</v>
      </c>
      <c r="E6896" s="228"/>
      <c r="F6896" s="109" t="s">
        <v>19272</v>
      </c>
      <c r="G6896" s="24" t="s">
        <v>2530</v>
      </c>
      <c r="H6896" s="230">
        <v>4.5</v>
      </c>
      <c r="I6896" s="220">
        <v>2035000</v>
      </c>
      <c r="J6896" s="220">
        <f>I6896*0.1</f>
        <v>203500</v>
      </c>
      <c r="K6896" s="220">
        <v>25000</v>
      </c>
      <c r="L6896" s="220">
        <v>14000</v>
      </c>
      <c r="M6896" s="220">
        <v>11000</v>
      </c>
      <c r="N6896" s="220">
        <f>SUM(I6896:M6897)</f>
        <v>2288500</v>
      </c>
      <c r="O6896" s="224"/>
      <c r="P6896" s="110" t="s">
        <v>19274</v>
      </c>
      <c r="Q6896" s="15" t="s">
        <v>19</v>
      </c>
      <c r="R6896" s="205"/>
      <c r="S6896" s="189" t="s">
        <v>25846</v>
      </c>
      <c r="T6896" s="114" t="s">
        <v>7899</v>
      </c>
      <c r="U6896" s="21"/>
      <c r="V6896" s="115"/>
      <c r="W6896" s="116"/>
      <c r="X6896" s="220"/>
      <c r="Y6896" s="220">
        <f>X6896*0.1</f>
        <v>0</v>
      </c>
      <c r="Z6896" s="220"/>
      <c r="AA6896" s="220">
        <f>SUM(X6896:Z6896)</f>
        <v>0</v>
      </c>
      <c r="AB6896" s="222"/>
    </row>
    <row r="6897" spans="1:28" ht="17.100000000000001" customHeight="1" thickBot="1">
      <c r="A6897" s="234"/>
      <c r="B6897" s="27" t="s">
        <v>82</v>
      </c>
      <c r="C6897" s="27">
        <v>33515</v>
      </c>
      <c r="D6897" s="14" t="s">
        <v>273</v>
      </c>
      <c r="E6897" s="229"/>
      <c r="F6897" s="117" t="s">
        <v>19273</v>
      </c>
      <c r="G6897" s="26">
        <v>24232</v>
      </c>
      <c r="H6897" s="231"/>
      <c r="I6897" s="221"/>
      <c r="J6897" s="221"/>
      <c r="K6897" s="221"/>
      <c r="L6897" s="221"/>
      <c r="M6897" s="221"/>
      <c r="N6897" s="221"/>
      <c r="O6897" s="225"/>
      <c r="P6897" s="118"/>
      <c r="Q6897" s="16" t="s">
        <v>20</v>
      </c>
      <c r="R6897" s="17" t="s">
        <v>10331</v>
      </c>
      <c r="S6897" s="121" t="s">
        <v>19581</v>
      </c>
      <c r="T6897" s="122"/>
      <c r="U6897" s="22"/>
      <c r="V6897" s="123"/>
      <c r="W6897" s="122"/>
      <c r="X6897" s="221"/>
      <c r="Y6897" s="221"/>
      <c r="Z6897" s="221"/>
      <c r="AA6897" s="221"/>
      <c r="AB6897" s="223"/>
    </row>
    <row r="6898" spans="1:28" ht="17.100000000000001" customHeight="1" thickTop="1">
      <c r="A6898" s="226" t="s">
        <v>19304</v>
      </c>
      <c r="B6898" s="28">
        <v>46090</v>
      </c>
      <c r="C6898" s="25">
        <v>2084</v>
      </c>
      <c r="D6898" s="13" t="s">
        <v>1831</v>
      </c>
      <c r="E6898" s="228"/>
      <c r="F6898" s="109" t="s">
        <v>1141</v>
      </c>
      <c r="G6898" s="24" t="s">
        <v>4025</v>
      </c>
      <c r="H6898" s="230">
        <v>4</v>
      </c>
      <c r="I6898" s="220">
        <v>2195000</v>
      </c>
      <c r="J6898" s="220">
        <f>I6898*0.1</f>
        <v>219500</v>
      </c>
      <c r="K6898" s="220">
        <v>36000</v>
      </c>
      <c r="L6898" s="220">
        <v>15750</v>
      </c>
      <c r="M6898" s="220">
        <v>11000</v>
      </c>
      <c r="N6898" s="220">
        <f>SUM(I6898:M6899)</f>
        <v>2477250</v>
      </c>
      <c r="O6898" s="224"/>
      <c r="P6898" s="110" t="s">
        <v>19594</v>
      </c>
      <c r="Q6898" s="15" t="s">
        <v>19</v>
      </c>
      <c r="R6898" s="205"/>
      <c r="S6898" s="189" t="s">
        <v>1271</v>
      </c>
      <c r="T6898" s="114"/>
      <c r="U6898" s="21"/>
      <c r="V6898" s="115"/>
      <c r="W6898" s="116"/>
      <c r="X6898" s="220"/>
      <c r="Y6898" s="220">
        <f>X6898*0.1</f>
        <v>0</v>
      </c>
      <c r="Z6898" s="220"/>
      <c r="AA6898" s="220">
        <f>SUM(X6898:Z6898)</f>
        <v>0</v>
      </c>
      <c r="AB6898" s="222"/>
    </row>
    <row r="6899" spans="1:28" ht="17.100000000000001" customHeight="1" thickBot="1">
      <c r="A6899" s="227"/>
      <c r="B6899" s="27" t="s">
        <v>82</v>
      </c>
      <c r="C6899" s="27">
        <v>34501</v>
      </c>
      <c r="D6899" s="14" t="s">
        <v>273</v>
      </c>
      <c r="E6899" s="229"/>
      <c r="F6899" s="117" t="s">
        <v>19275</v>
      </c>
      <c r="G6899" s="26">
        <v>44175</v>
      </c>
      <c r="H6899" s="231"/>
      <c r="I6899" s="221"/>
      <c r="J6899" s="221"/>
      <c r="K6899" s="221"/>
      <c r="L6899" s="221"/>
      <c r="M6899" s="221"/>
      <c r="N6899" s="221"/>
      <c r="O6899" s="225"/>
      <c r="P6899" s="118" t="s">
        <v>8247</v>
      </c>
      <c r="Q6899" s="16" t="s">
        <v>20</v>
      </c>
      <c r="R6899" s="17" t="s">
        <v>3605</v>
      </c>
      <c r="S6899" s="121" t="s">
        <v>1731</v>
      </c>
      <c r="T6899" s="122"/>
      <c r="U6899" s="22"/>
      <c r="V6899" s="123"/>
      <c r="W6899" s="122"/>
      <c r="X6899" s="221"/>
      <c r="Y6899" s="221"/>
      <c r="Z6899" s="221"/>
      <c r="AA6899" s="221"/>
      <c r="AB6899" s="223"/>
    </row>
    <row r="6900" spans="1:28" ht="17.100000000000001" customHeight="1" thickTop="1">
      <c r="A6900" s="226" t="s">
        <v>19305</v>
      </c>
      <c r="B6900" s="28">
        <v>46090</v>
      </c>
      <c r="C6900" s="25">
        <v>2084</v>
      </c>
      <c r="D6900" s="13" t="s">
        <v>1853</v>
      </c>
      <c r="E6900" s="228"/>
      <c r="F6900" s="109" t="s">
        <v>19276</v>
      </c>
      <c r="G6900" s="24" t="s">
        <v>4038</v>
      </c>
      <c r="H6900" s="230">
        <v>4</v>
      </c>
      <c r="I6900" s="220">
        <v>703000</v>
      </c>
      <c r="J6900" s="220">
        <f>I6900*0.1</f>
        <v>70300</v>
      </c>
      <c r="K6900" s="220">
        <v>39500</v>
      </c>
      <c r="L6900" s="220">
        <v>23940</v>
      </c>
      <c r="M6900" s="220">
        <v>11000</v>
      </c>
      <c r="N6900" s="220">
        <f>SUM(I6900:M6901)</f>
        <v>847740</v>
      </c>
      <c r="O6900" s="224"/>
      <c r="P6900" s="110" t="s">
        <v>19278</v>
      </c>
      <c r="Q6900" s="15" t="s">
        <v>19</v>
      </c>
      <c r="R6900" s="205"/>
      <c r="S6900" s="189" t="s">
        <v>25372</v>
      </c>
      <c r="T6900" s="114"/>
      <c r="U6900" s="21"/>
      <c r="V6900" s="115">
        <v>46095</v>
      </c>
      <c r="W6900" s="116">
        <v>1292</v>
      </c>
      <c r="X6900" s="220">
        <v>895000</v>
      </c>
      <c r="Y6900" s="220">
        <f>X6900*0.1</f>
        <v>89500</v>
      </c>
      <c r="Z6900" s="220">
        <v>23940</v>
      </c>
      <c r="AA6900" s="220">
        <f>SUM(X6900:Z6900)</f>
        <v>1008440</v>
      </c>
      <c r="AB6900" s="222">
        <v>46098</v>
      </c>
    </row>
    <row r="6901" spans="1:28" ht="17.100000000000001" customHeight="1" thickBot="1">
      <c r="A6901" s="227"/>
      <c r="B6901" s="27" t="s">
        <v>82</v>
      </c>
      <c r="C6901" s="27">
        <v>34504</v>
      </c>
      <c r="D6901" s="14" t="s">
        <v>1584</v>
      </c>
      <c r="E6901" s="229"/>
      <c r="F6901" s="117" t="s">
        <v>19277</v>
      </c>
      <c r="G6901" s="26">
        <v>75000</v>
      </c>
      <c r="H6901" s="231"/>
      <c r="I6901" s="221"/>
      <c r="J6901" s="221"/>
      <c r="K6901" s="221"/>
      <c r="L6901" s="221"/>
      <c r="M6901" s="221"/>
      <c r="N6901" s="221"/>
      <c r="O6901" s="225"/>
      <c r="P6901" s="118" t="s">
        <v>291</v>
      </c>
      <c r="Q6901" s="16" t="s">
        <v>20</v>
      </c>
      <c r="R6901" s="17" t="s">
        <v>3332</v>
      </c>
      <c r="S6901" s="121" t="s">
        <v>5180</v>
      </c>
      <c r="T6901" s="122"/>
      <c r="U6901" s="22"/>
      <c r="V6901" s="123" t="s">
        <v>2472</v>
      </c>
      <c r="W6901" s="122">
        <v>80222</v>
      </c>
      <c r="X6901" s="221"/>
      <c r="Y6901" s="221"/>
      <c r="Z6901" s="221"/>
      <c r="AA6901" s="221"/>
      <c r="AB6901" s="223"/>
    </row>
    <row r="6902" spans="1:28" ht="17.100000000000001" customHeight="1" thickTop="1">
      <c r="A6902" s="226" t="s">
        <v>19306</v>
      </c>
      <c r="B6902" s="28">
        <v>46090</v>
      </c>
      <c r="C6902" s="25">
        <v>2084</v>
      </c>
      <c r="D6902" s="13" t="s">
        <v>2150</v>
      </c>
      <c r="E6902" s="228"/>
      <c r="F6902" s="109" t="s">
        <v>19279</v>
      </c>
      <c r="G6902" s="24" t="s">
        <v>1540</v>
      </c>
      <c r="H6902" s="230">
        <v>4</v>
      </c>
      <c r="I6902" s="220">
        <v>625000</v>
      </c>
      <c r="J6902" s="220">
        <f>I6902*0.1</f>
        <v>62500</v>
      </c>
      <c r="K6902" s="220">
        <v>39500</v>
      </c>
      <c r="L6902" s="220">
        <v>19330</v>
      </c>
      <c r="M6902" s="220">
        <v>11000</v>
      </c>
      <c r="N6902" s="220">
        <f>SUM(I6902:M6903)</f>
        <v>757330</v>
      </c>
      <c r="O6902" s="224"/>
      <c r="P6902" s="110" t="s">
        <v>19281</v>
      </c>
      <c r="Q6902" s="15" t="s">
        <v>19</v>
      </c>
      <c r="R6902" s="205"/>
      <c r="S6902" s="189" t="s">
        <v>1361</v>
      </c>
      <c r="T6902" s="114"/>
      <c r="U6902" s="21"/>
      <c r="V6902" s="115">
        <v>46095</v>
      </c>
      <c r="W6902" s="116">
        <v>1292</v>
      </c>
      <c r="X6902" s="220">
        <v>780000</v>
      </c>
      <c r="Y6902" s="220">
        <f>X6902*0.1</f>
        <v>78000</v>
      </c>
      <c r="Z6902" s="220">
        <v>19330</v>
      </c>
      <c r="AA6902" s="220">
        <f>SUM(X6902:Z6902)</f>
        <v>877330</v>
      </c>
      <c r="AB6902" s="222">
        <v>46098</v>
      </c>
    </row>
    <row r="6903" spans="1:28" ht="17.100000000000001" customHeight="1" thickBot="1">
      <c r="A6903" s="227"/>
      <c r="B6903" s="27" t="s">
        <v>82</v>
      </c>
      <c r="C6903" s="27">
        <v>34505</v>
      </c>
      <c r="D6903" s="14" t="s">
        <v>1584</v>
      </c>
      <c r="E6903" s="229"/>
      <c r="F6903" s="117" t="s">
        <v>19280</v>
      </c>
      <c r="G6903" s="26">
        <v>68980</v>
      </c>
      <c r="H6903" s="231"/>
      <c r="I6903" s="221"/>
      <c r="J6903" s="221"/>
      <c r="K6903" s="221"/>
      <c r="L6903" s="221"/>
      <c r="M6903" s="221"/>
      <c r="N6903" s="221"/>
      <c r="O6903" s="225"/>
      <c r="P6903" s="118" t="s">
        <v>291</v>
      </c>
      <c r="Q6903" s="16" t="s">
        <v>20</v>
      </c>
      <c r="R6903" s="17" t="s">
        <v>3332</v>
      </c>
      <c r="S6903" s="121" t="s">
        <v>1923</v>
      </c>
      <c r="T6903" s="122"/>
      <c r="U6903" s="22"/>
      <c r="V6903" s="123" t="s">
        <v>2472</v>
      </c>
      <c r="W6903" s="122">
        <v>80221</v>
      </c>
      <c r="X6903" s="221"/>
      <c r="Y6903" s="221"/>
      <c r="Z6903" s="221"/>
      <c r="AA6903" s="221"/>
      <c r="AB6903" s="223"/>
    </row>
    <row r="6904" spans="1:28" ht="17.100000000000001" customHeight="1" thickTop="1">
      <c r="A6904" s="226" t="s">
        <v>19307</v>
      </c>
      <c r="B6904" s="28">
        <v>46090</v>
      </c>
      <c r="C6904" s="25">
        <v>2084</v>
      </c>
      <c r="D6904" s="13" t="s">
        <v>1589</v>
      </c>
      <c r="E6904" s="228"/>
      <c r="F6904" s="109" t="s">
        <v>7385</v>
      </c>
      <c r="G6904" s="24"/>
      <c r="H6904" s="230">
        <v>4.5</v>
      </c>
      <c r="I6904" s="220">
        <v>725000</v>
      </c>
      <c r="J6904" s="220">
        <f>I6904*0.1</f>
        <v>72500</v>
      </c>
      <c r="K6904" s="220">
        <v>0</v>
      </c>
      <c r="L6904" s="220">
        <v>16580</v>
      </c>
      <c r="M6904" s="220">
        <v>11000</v>
      </c>
      <c r="N6904" s="220">
        <f>SUM(I6904:M6905)</f>
        <v>825080</v>
      </c>
      <c r="O6904" s="224"/>
      <c r="P6904" s="110" t="s">
        <v>19513</v>
      </c>
      <c r="Q6904" s="15" t="s">
        <v>19</v>
      </c>
      <c r="R6904" s="205"/>
      <c r="S6904" s="189" t="s">
        <v>1361</v>
      </c>
      <c r="T6904" s="114"/>
      <c r="U6904" s="21"/>
      <c r="V6904" s="115">
        <v>46102</v>
      </c>
      <c r="W6904" s="116">
        <v>1293</v>
      </c>
      <c r="X6904" s="220">
        <v>875000</v>
      </c>
      <c r="Y6904" s="220">
        <f>X6904*0.1</f>
        <v>87500</v>
      </c>
      <c r="Z6904" s="220">
        <v>16580</v>
      </c>
      <c r="AA6904" s="220">
        <f>SUM(X6904:Z6904)</f>
        <v>979080</v>
      </c>
      <c r="AB6904" s="222">
        <v>46105</v>
      </c>
    </row>
    <row r="6905" spans="1:28" ht="17.100000000000001" customHeight="1" thickBot="1">
      <c r="A6905" s="227"/>
      <c r="B6905" s="27" t="s">
        <v>82</v>
      </c>
      <c r="C6905" s="27">
        <v>34515</v>
      </c>
      <c r="D6905" s="14" t="s">
        <v>1548</v>
      </c>
      <c r="E6905" s="229"/>
      <c r="F6905" s="117" t="s">
        <v>19282</v>
      </c>
      <c r="G6905" s="26">
        <v>33085</v>
      </c>
      <c r="H6905" s="231"/>
      <c r="I6905" s="221"/>
      <c r="J6905" s="221"/>
      <c r="K6905" s="221"/>
      <c r="L6905" s="221"/>
      <c r="M6905" s="221"/>
      <c r="N6905" s="221"/>
      <c r="O6905" s="225"/>
      <c r="P6905" s="118" t="s">
        <v>3989</v>
      </c>
      <c r="Q6905" s="16" t="s">
        <v>20</v>
      </c>
      <c r="R6905" s="17" t="s">
        <v>3332</v>
      </c>
      <c r="S6905" s="121" t="s">
        <v>19805</v>
      </c>
      <c r="T6905" s="122"/>
      <c r="U6905" s="22"/>
      <c r="V6905" s="123" t="s">
        <v>2472</v>
      </c>
      <c r="W6905" s="122">
        <v>80077</v>
      </c>
      <c r="X6905" s="221"/>
      <c r="Y6905" s="221"/>
      <c r="Z6905" s="221"/>
      <c r="AA6905" s="221"/>
      <c r="AB6905" s="223"/>
    </row>
    <row r="6906" spans="1:28" ht="17.100000000000001" customHeight="1" thickTop="1">
      <c r="A6906" s="226" t="s">
        <v>19308</v>
      </c>
      <c r="B6906" s="28">
        <v>46090</v>
      </c>
      <c r="C6906" s="25"/>
      <c r="D6906" s="13" t="s">
        <v>2406</v>
      </c>
      <c r="E6906" s="228"/>
      <c r="F6906" s="109" t="s">
        <v>5430</v>
      </c>
      <c r="G6906" s="24" t="s">
        <v>2543</v>
      </c>
      <c r="H6906" s="230">
        <v>4</v>
      </c>
      <c r="I6906" s="220">
        <v>1592000</v>
      </c>
      <c r="J6906" s="220">
        <f>I6906*0.1</f>
        <v>159200</v>
      </c>
      <c r="K6906" s="220">
        <v>34500</v>
      </c>
      <c r="L6906" s="220">
        <v>16240</v>
      </c>
      <c r="M6906" s="220">
        <v>14850</v>
      </c>
      <c r="N6906" s="220">
        <f>SUM(I6906:M6907)</f>
        <v>1816790</v>
      </c>
      <c r="O6906" s="224"/>
      <c r="P6906" s="110" t="s">
        <v>19284</v>
      </c>
      <c r="Q6906" s="15" t="s">
        <v>19</v>
      </c>
      <c r="R6906" s="205"/>
      <c r="S6906" s="189"/>
      <c r="T6906" s="114"/>
      <c r="U6906" s="21"/>
      <c r="V6906" s="115">
        <v>46095</v>
      </c>
      <c r="W6906" s="116">
        <v>1292</v>
      </c>
      <c r="X6906" s="220">
        <v>1705000</v>
      </c>
      <c r="Y6906" s="220">
        <f>X6906*0.1</f>
        <v>170500</v>
      </c>
      <c r="Z6906" s="220">
        <v>16240</v>
      </c>
      <c r="AA6906" s="220">
        <f>SUM(X6906:Z6906)</f>
        <v>1891740</v>
      </c>
      <c r="AB6906" s="222">
        <v>46100</v>
      </c>
    </row>
    <row r="6907" spans="1:28" ht="17.100000000000001" customHeight="1" thickBot="1">
      <c r="A6907" s="227"/>
      <c r="B6907" s="27" t="s">
        <v>2727</v>
      </c>
      <c r="C6907" s="27">
        <v>80257</v>
      </c>
      <c r="D6907" s="14" t="s">
        <v>11866</v>
      </c>
      <c r="E6907" s="229"/>
      <c r="F6907" s="117" t="s">
        <v>19803</v>
      </c>
      <c r="G6907" s="26">
        <v>52914</v>
      </c>
      <c r="H6907" s="231"/>
      <c r="I6907" s="221"/>
      <c r="J6907" s="221"/>
      <c r="K6907" s="221"/>
      <c r="L6907" s="221"/>
      <c r="M6907" s="221"/>
      <c r="N6907" s="221"/>
      <c r="O6907" s="225"/>
      <c r="P6907" s="118" t="s">
        <v>19804</v>
      </c>
      <c r="Q6907" s="16" t="s">
        <v>20</v>
      </c>
      <c r="R6907" s="17" t="s">
        <v>2657</v>
      </c>
      <c r="S6907" s="121"/>
      <c r="T6907" s="122"/>
      <c r="U6907" s="22"/>
      <c r="V6907" s="123" t="s">
        <v>2472</v>
      </c>
      <c r="W6907" s="122">
        <v>80073</v>
      </c>
      <c r="X6907" s="221"/>
      <c r="Y6907" s="221"/>
      <c r="Z6907" s="221"/>
      <c r="AA6907" s="221"/>
      <c r="AB6907" s="223"/>
    </row>
    <row r="6908" spans="1:28" ht="17.100000000000001" customHeight="1" thickTop="1">
      <c r="A6908" s="226" t="s">
        <v>19309</v>
      </c>
      <c r="B6908" s="28">
        <v>46090</v>
      </c>
      <c r="C6908" s="25"/>
      <c r="D6908" s="13" t="s">
        <v>2033</v>
      </c>
      <c r="E6908" s="228"/>
      <c r="F6908" s="109" t="s">
        <v>19285</v>
      </c>
      <c r="G6908" s="24" t="s">
        <v>4025</v>
      </c>
      <c r="H6908" s="230">
        <v>4</v>
      </c>
      <c r="I6908" s="220">
        <v>415000</v>
      </c>
      <c r="J6908" s="220">
        <f>I6908*0.1</f>
        <v>41500</v>
      </c>
      <c r="K6908" s="220">
        <v>39500</v>
      </c>
      <c r="L6908" s="220">
        <v>20420</v>
      </c>
      <c r="M6908" s="220">
        <v>14850</v>
      </c>
      <c r="N6908" s="220">
        <f>SUM(I6908:M6909)</f>
        <v>531270</v>
      </c>
      <c r="O6908" s="224"/>
      <c r="P6908" s="110" t="s">
        <v>19286</v>
      </c>
      <c r="Q6908" s="15" t="s">
        <v>19</v>
      </c>
      <c r="R6908" s="205"/>
      <c r="S6908" s="189" t="s">
        <v>25847</v>
      </c>
      <c r="T6908" s="114"/>
      <c r="U6908" s="21"/>
      <c r="V6908" s="115">
        <v>46095</v>
      </c>
      <c r="W6908" s="116">
        <v>1292</v>
      </c>
      <c r="X6908" s="220">
        <v>550000</v>
      </c>
      <c r="Y6908" s="220">
        <f>X6908*0.1</f>
        <v>55000</v>
      </c>
      <c r="Z6908" s="220">
        <v>20420</v>
      </c>
      <c r="AA6908" s="220">
        <f>SUM(X6908:Z6908)</f>
        <v>625420</v>
      </c>
      <c r="AB6908" s="222">
        <v>46100</v>
      </c>
    </row>
    <row r="6909" spans="1:28" ht="17.100000000000001" customHeight="1" thickBot="1">
      <c r="A6909" s="227"/>
      <c r="B6909" s="27" t="s">
        <v>2727</v>
      </c>
      <c r="C6909" s="27">
        <v>80260</v>
      </c>
      <c r="D6909" s="14" t="s">
        <v>898</v>
      </c>
      <c r="E6909" s="229"/>
      <c r="F6909" s="117" t="s">
        <v>19802</v>
      </c>
      <c r="G6909" s="26">
        <v>46750</v>
      </c>
      <c r="H6909" s="231"/>
      <c r="I6909" s="221"/>
      <c r="J6909" s="221"/>
      <c r="K6909" s="221"/>
      <c r="L6909" s="221"/>
      <c r="M6909" s="221"/>
      <c r="N6909" s="221"/>
      <c r="O6909" s="225"/>
      <c r="P6909" s="118" t="s">
        <v>3247</v>
      </c>
      <c r="Q6909" s="16" t="s">
        <v>20</v>
      </c>
      <c r="R6909" s="17" t="s">
        <v>2657</v>
      </c>
      <c r="S6909" s="121" t="s">
        <v>9265</v>
      </c>
      <c r="T6909" s="122"/>
      <c r="U6909" s="22"/>
      <c r="V6909" s="123" t="s">
        <v>2472</v>
      </c>
      <c r="W6909" s="122">
        <v>80072</v>
      </c>
      <c r="X6909" s="221"/>
      <c r="Y6909" s="221"/>
      <c r="Z6909" s="221"/>
      <c r="AA6909" s="221"/>
      <c r="AB6909" s="223"/>
    </row>
    <row r="6910" spans="1:28" ht="17.100000000000001" customHeight="1" thickTop="1">
      <c r="A6910" s="226" t="s">
        <v>19310</v>
      </c>
      <c r="B6910" s="28">
        <v>46090</v>
      </c>
      <c r="C6910" s="25"/>
      <c r="D6910" s="13" t="s">
        <v>1935</v>
      </c>
      <c r="E6910" s="228"/>
      <c r="F6910" s="109" t="s">
        <v>19295</v>
      </c>
      <c r="G6910" s="24" t="s">
        <v>19206</v>
      </c>
      <c r="H6910" s="230">
        <v>4</v>
      </c>
      <c r="I6910" s="220">
        <f>550000/1.1</f>
        <v>499999.99999999994</v>
      </c>
      <c r="J6910" s="220">
        <f>I6910*0.1</f>
        <v>50000</v>
      </c>
      <c r="K6910" s="220">
        <v>0</v>
      </c>
      <c r="L6910" s="220">
        <v>8600</v>
      </c>
      <c r="M6910" s="220">
        <v>0</v>
      </c>
      <c r="N6910" s="220">
        <f>SUM(I6910:M6911)</f>
        <v>558600</v>
      </c>
      <c r="O6910" s="224"/>
      <c r="P6910" s="110" t="s">
        <v>20413</v>
      </c>
      <c r="Q6910" s="15" t="s">
        <v>19</v>
      </c>
      <c r="R6910" s="205"/>
      <c r="S6910" s="189" t="s">
        <v>25431</v>
      </c>
      <c r="T6910" s="114"/>
      <c r="U6910" s="21"/>
      <c r="V6910" s="115">
        <v>46113</v>
      </c>
      <c r="W6910" s="116">
        <v>1011</v>
      </c>
      <c r="X6910" s="220">
        <v>615000</v>
      </c>
      <c r="Y6910" s="220">
        <f>X6910*0.1</f>
        <v>61500</v>
      </c>
      <c r="Z6910" s="220">
        <v>8600</v>
      </c>
      <c r="AA6910" s="220">
        <f>SUM(X6910:Z6910)</f>
        <v>685100</v>
      </c>
      <c r="AB6910" s="222">
        <v>46118</v>
      </c>
    </row>
    <row r="6911" spans="1:28" ht="17.100000000000001" customHeight="1" thickBot="1">
      <c r="A6911" s="227"/>
      <c r="B6911" s="27" t="s">
        <v>1708</v>
      </c>
      <c r="C6911" s="27" t="s">
        <v>19287</v>
      </c>
      <c r="D6911" s="14" t="s">
        <v>1584</v>
      </c>
      <c r="E6911" s="229"/>
      <c r="F6911" s="117" t="s">
        <v>19288</v>
      </c>
      <c r="G6911" s="26">
        <v>55553</v>
      </c>
      <c r="H6911" s="231"/>
      <c r="I6911" s="221"/>
      <c r="J6911" s="221"/>
      <c r="K6911" s="221"/>
      <c r="L6911" s="221"/>
      <c r="M6911" s="221"/>
      <c r="N6911" s="221"/>
      <c r="O6911" s="225"/>
      <c r="P6911" s="118" t="s">
        <v>20414</v>
      </c>
      <c r="Q6911" s="16" t="s">
        <v>20</v>
      </c>
      <c r="R6911" s="17" t="s">
        <v>20397</v>
      </c>
      <c r="S6911" s="121" t="s">
        <v>20415</v>
      </c>
      <c r="T6911" s="122"/>
      <c r="U6911" s="22"/>
      <c r="V6911" s="123" t="s">
        <v>2747</v>
      </c>
      <c r="W6911" s="122">
        <v>1149</v>
      </c>
      <c r="X6911" s="221"/>
      <c r="Y6911" s="221"/>
      <c r="Z6911" s="221"/>
      <c r="AA6911" s="221"/>
      <c r="AB6911" s="223"/>
    </row>
    <row r="6912" spans="1:28" ht="17.100000000000001" customHeight="1" thickTop="1">
      <c r="A6912" s="226" t="s">
        <v>19311</v>
      </c>
      <c r="B6912" s="28">
        <v>46090</v>
      </c>
      <c r="C6912" s="25"/>
      <c r="D6912" s="13" t="s">
        <v>3384</v>
      </c>
      <c r="E6912" s="228"/>
      <c r="F6912" s="109" t="s">
        <v>19290</v>
      </c>
      <c r="G6912" s="24" t="s">
        <v>3907</v>
      </c>
      <c r="H6912" s="230">
        <v>3</v>
      </c>
      <c r="I6912" s="220">
        <f>372900/1.1</f>
        <v>339000</v>
      </c>
      <c r="J6912" s="220">
        <f>I6912*0.1</f>
        <v>33900</v>
      </c>
      <c r="K6912" s="220">
        <v>0</v>
      </c>
      <c r="L6912" s="220">
        <v>16520</v>
      </c>
      <c r="M6912" s="220">
        <v>0</v>
      </c>
      <c r="N6912" s="220">
        <f>SUM(I6912:M6913)</f>
        <v>389420</v>
      </c>
      <c r="O6912" s="224"/>
      <c r="P6912" s="110" t="s">
        <v>20793</v>
      </c>
      <c r="Q6912" s="15" t="s">
        <v>19</v>
      </c>
      <c r="R6912" s="205"/>
      <c r="S6912" s="189" t="s">
        <v>1113</v>
      </c>
      <c r="T6912" s="114"/>
      <c r="U6912" s="21"/>
      <c r="V6912" s="115">
        <v>46113</v>
      </c>
      <c r="W6912" s="116">
        <v>1011</v>
      </c>
      <c r="X6912" s="220">
        <v>1160000</v>
      </c>
      <c r="Y6912" s="220">
        <f>X6912*0.1</f>
        <v>116000</v>
      </c>
      <c r="Z6912" s="220">
        <v>16520</v>
      </c>
      <c r="AA6912" s="220">
        <f>SUM(X6912:Z6912)</f>
        <v>1292520</v>
      </c>
      <c r="AB6912" s="222">
        <v>46118</v>
      </c>
    </row>
    <row r="6913" spans="1:28" ht="17.100000000000001" customHeight="1" thickBot="1">
      <c r="A6913" s="227"/>
      <c r="B6913" s="27" t="s">
        <v>1708</v>
      </c>
      <c r="C6913" s="27" t="s">
        <v>19289</v>
      </c>
      <c r="D6913" s="14" t="s">
        <v>273</v>
      </c>
      <c r="E6913" s="229"/>
      <c r="F6913" s="117" t="s">
        <v>19291</v>
      </c>
      <c r="G6913" s="26">
        <v>151177</v>
      </c>
      <c r="H6913" s="231"/>
      <c r="I6913" s="221"/>
      <c r="J6913" s="221"/>
      <c r="K6913" s="221"/>
      <c r="L6913" s="221"/>
      <c r="M6913" s="221"/>
      <c r="N6913" s="221"/>
      <c r="O6913" s="225"/>
      <c r="P6913" s="118" t="s">
        <v>20794</v>
      </c>
      <c r="Q6913" s="16" t="s">
        <v>20</v>
      </c>
      <c r="R6913" s="17" t="s">
        <v>20791</v>
      </c>
      <c r="S6913" s="121" t="s">
        <v>20795</v>
      </c>
      <c r="T6913" s="122"/>
      <c r="U6913" s="22"/>
      <c r="V6913" s="123" t="s">
        <v>2747</v>
      </c>
      <c r="W6913" s="122">
        <v>1084</v>
      </c>
      <c r="X6913" s="221"/>
      <c r="Y6913" s="221"/>
      <c r="Z6913" s="221"/>
      <c r="AA6913" s="221"/>
      <c r="AB6913" s="223"/>
    </row>
    <row r="6914" spans="1:28" ht="17.100000000000001" customHeight="1" thickTop="1">
      <c r="A6914" s="226" t="s">
        <v>19312</v>
      </c>
      <c r="B6914" s="28">
        <v>46090</v>
      </c>
      <c r="C6914" s="25"/>
      <c r="D6914" s="13" t="s">
        <v>2470</v>
      </c>
      <c r="E6914" s="228"/>
      <c r="F6914" s="109" t="s">
        <v>8072</v>
      </c>
      <c r="G6914" s="24" t="s">
        <v>19294</v>
      </c>
      <c r="H6914" s="230">
        <v>5</v>
      </c>
      <c r="I6914" s="220">
        <f>5731000/1.1</f>
        <v>5210000</v>
      </c>
      <c r="J6914" s="220">
        <f>I6914*0.1</f>
        <v>521000</v>
      </c>
      <c r="K6914" s="220">
        <v>0</v>
      </c>
      <c r="L6914" s="220">
        <v>14230</v>
      </c>
      <c r="M6914" s="220">
        <v>0</v>
      </c>
      <c r="N6914" s="220">
        <f>SUM(I6914:M6915)</f>
        <v>5745230</v>
      </c>
      <c r="O6914" s="224"/>
      <c r="P6914" s="110" t="s">
        <v>22700</v>
      </c>
      <c r="Q6914" s="15" t="s">
        <v>19</v>
      </c>
      <c r="R6914" s="205"/>
      <c r="S6914" s="189" t="s">
        <v>1422</v>
      </c>
      <c r="T6914" s="114"/>
      <c r="U6914" s="21"/>
      <c r="V6914" s="115">
        <v>46123</v>
      </c>
      <c r="W6914" s="116">
        <v>1296</v>
      </c>
      <c r="X6914" s="220">
        <v>5330000</v>
      </c>
      <c r="Y6914" s="220">
        <f>X6914*0.1</f>
        <v>533000</v>
      </c>
      <c r="Z6914" s="220">
        <v>14230</v>
      </c>
      <c r="AA6914" s="220">
        <f>SUM(X6914:Z6914)</f>
        <v>5877230</v>
      </c>
      <c r="AB6914" s="222">
        <v>46133</v>
      </c>
    </row>
    <row r="6915" spans="1:28" ht="17.100000000000001" customHeight="1" thickBot="1">
      <c r="A6915" s="227"/>
      <c r="B6915" s="27" t="s">
        <v>1708</v>
      </c>
      <c r="C6915" s="27" t="s">
        <v>19292</v>
      </c>
      <c r="D6915" s="14" t="s">
        <v>273</v>
      </c>
      <c r="E6915" s="229"/>
      <c r="F6915" s="117" t="s">
        <v>19293</v>
      </c>
      <c r="G6915" s="26">
        <v>4775</v>
      </c>
      <c r="H6915" s="231"/>
      <c r="I6915" s="221"/>
      <c r="J6915" s="221"/>
      <c r="K6915" s="221"/>
      <c r="L6915" s="221"/>
      <c r="M6915" s="221"/>
      <c r="N6915" s="221"/>
      <c r="O6915" s="225"/>
      <c r="P6915" s="118" t="s">
        <v>12132</v>
      </c>
      <c r="Q6915" s="16" t="s">
        <v>20</v>
      </c>
      <c r="R6915" s="17" t="s">
        <v>22701</v>
      </c>
      <c r="S6915" s="121" t="s">
        <v>22702</v>
      </c>
      <c r="T6915" s="122"/>
      <c r="U6915" s="22"/>
      <c r="V6915" s="123" t="s">
        <v>2472</v>
      </c>
      <c r="W6915" s="122">
        <v>37759</v>
      </c>
      <c r="X6915" s="221"/>
      <c r="Y6915" s="221"/>
      <c r="Z6915" s="221"/>
      <c r="AA6915" s="221"/>
      <c r="AB6915" s="223"/>
    </row>
    <row r="6916" spans="1:28" ht="17.100000000000001" customHeight="1" thickTop="1">
      <c r="A6916" s="226" t="s">
        <v>19313</v>
      </c>
      <c r="B6916" s="28">
        <v>46090</v>
      </c>
      <c r="C6916" s="25"/>
      <c r="D6916" s="13" t="s">
        <v>2470</v>
      </c>
      <c r="E6916" s="228"/>
      <c r="F6916" s="109" t="s">
        <v>8072</v>
      </c>
      <c r="G6916" s="24" t="s">
        <v>19301</v>
      </c>
      <c r="H6916" s="230">
        <v>5</v>
      </c>
      <c r="I6916" s="220">
        <f>5775000/1.1</f>
        <v>5250000</v>
      </c>
      <c r="J6916" s="220">
        <f>I6916*0.1</f>
        <v>525000</v>
      </c>
      <c r="K6916" s="220">
        <v>0</v>
      </c>
      <c r="L6916" s="220">
        <v>14230</v>
      </c>
      <c r="M6916" s="220">
        <v>0</v>
      </c>
      <c r="N6916" s="220">
        <f>SUM(I6916:M6917)</f>
        <v>5789230</v>
      </c>
      <c r="O6916" s="224"/>
      <c r="P6916" s="110" t="s">
        <v>20097</v>
      </c>
      <c r="Q6916" s="15" t="s">
        <v>19</v>
      </c>
      <c r="R6916" s="205"/>
      <c r="S6916" s="189" t="s">
        <v>1312</v>
      </c>
      <c r="T6916" s="114"/>
      <c r="U6916" s="21"/>
      <c r="V6916" s="115">
        <v>46116</v>
      </c>
      <c r="W6916" s="116">
        <v>1295</v>
      </c>
      <c r="X6916" s="220">
        <v>5345000</v>
      </c>
      <c r="Y6916" s="220">
        <f>X6916*0.1</f>
        <v>534500</v>
      </c>
      <c r="Z6916" s="220">
        <v>14230</v>
      </c>
      <c r="AA6916" s="220">
        <f>SUM(X6916:Z6916)</f>
        <v>5893730</v>
      </c>
      <c r="AB6916" s="222">
        <v>46119</v>
      </c>
    </row>
    <row r="6917" spans="1:28" ht="17.100000000000001" customHeight="1" thickBot="1">
      <c r="A6917" s="227"/>
      <c r="B6917" s="27" t="s">
        <v>1708</v>
      </c>
      <c r="C6917" s="27" t="s">
        <v>19299</v>
      </c>
      <c r="D6917" s="14" t="s">
        <v>2559</v>
      </c>
      <c r="E6917" s="229"/>
      <c r="F6917" s="117" t="s">
        <v>19300</v>
      </c>
      <c r="G6917" s="26">
        <v>4399</v>
      </c>
      <c r="H6917" s="231"/>
      <c r="I6917" s="221"/>
      <c r="J6917" s="221"/>
      <c r="K6917" s="221"/>
      <c r="L6917" s="221"/>
      <c r="M6917" s="221"/>
      <c r="N6917" s="221"/>
      <c r="O6917" s="225"/>
      <c r="P6917" s="118" t="s">
        <v>20098</v>
      </c>
      <c r="Q6917" s="16" t="s">
        <v>20</v>
      </c>
      <c r="R6917" s="17" t="s">
        <v>2347</v>
      </c>
      <c r="S6917" s="121" t="s">
        <v>20099</v>
      </c>
      <c r="T6917" s="122"/>
      <c r="U6917" s="22"/>
      <c r="V6917" s="123" t="s">
        <v>2472</v>
      </c>
      <c r="W6917" s="122">
        <v>37558</v>
      </c>
      <c r="X6917" s="221"/>
      <c r="Y6917" s="221"/>
      <c r="Z6917" s="221"/>
      <c r="AA6917" s="221"/>
      <c r="AB6917" s="223"/>
    </row>
    <row r="6918" spans="1:28" ht="17.100000000000001" customHeight="1" thickTop="1">
      <c r="A6918" s="226" t="s">
        <v>19314</v>
      </c>
      <c r="B6918" s="28">
        <v>46090</v>
      </c>
      <c r="C6918" s="25"/>
      <c r="D6918" s="13" t="s">
        <v>1947</v>
      </c>
      <c r="E6918" s="228"/>
      <c r="F6918" s="109" t="s">
        <v>19317</v>
      </c>
      <c r="G6918" s="24" t="s">
        <v>3446</v>
      </c>
      <c r="H6918" s="230">
        <v>4.5</v>
      </c>
      <c r="I6918" s="220">
        <f>2150500/1.1</f>
        <v>1954999.9999999998</v>
      </c>
      <c r="J6918" s="220">
        <f>I6918*0.1</f>
        <v>195500</v>
      </c>
      <c r="K6918" s="220">
        <v>0</v>
      </c>
      <c r="L6918" s="220">
        <v>6180</v>
      </c>
      <c r="M6918" s="220">
        <v>0</v>
      </c>
      <c r="N6918" s="220">
        <f>SUM(I6918:M6919)</f>
        <v>2156680</v>
      </c>
      <c r="O6918" s="224"/>
      <c r="P6918" s="110" t="s">
        <v>20439</v>
      </c>
      <c r="Q6918" s="15" t="s">
        <v>19</v>
      </c>
      <c r="R6918" s="205"/>
      <c r="S6918" s="189" t="s">
        <v>1276</v>
      </c>
      <c r="T6918" s="114"/>
      <c r="U6918" s="21"/>
      <c r="V6918" s="115"/>
      <c r="W6918" s="116"/>
      <c r="X6918" s="220"/>
      <c r="Y6918" s="220">
        <f>X6918*0.1</f>
        <v>0</v>
      </c>
      <c r="Z6918" s="220"/>
      <c r="AA6918" s="220">
        <f>SUM(X6918:Z6918)</f>
        <v>0</v>
      </c>
      <c r="AB6918" s="222"/>
    </row>
    <row r="6919" spans="1:28" ht="17.100000000000001" customHeight="1" thickBot="1">
      <c r="A6919" s="227"/>
      <c r="B6919" s="27" t="s">
        <v>1708</v>
      </c>
      <c r="C6919" s="27" t="s">
        <v>19315</v>
      </c>
      <c r="D6919" s="14" t="s">
        <v>1584</v>
      </c>
      <c r="E6919" s="229"/>
      <c r="F6919" s="117" t="s">
        <v>19316</v>
      </c>
      <c r="G6919" s="26">
        <v>21951</v>
      </c>
      <c r="H6919" s="231"/>
      <c r="I6919" s="221"/>
      <c r="J6919" s="221"/>
      <c r="K6919" s="221"/>
      <c r="L6919" s="221"/>
      <c r="M6919" s="221"/>
      <c r="N6919" s="221"/>
      <c r="O6919" s="225"/>
      <c r="P6919" s="118" t="s">
        <v>20440</v>
      </c>
      <c r="Q6919" s="16" t="s">
        <v>20</v>
      </c>
      <c r="R6919" s="17" t="s">
        <v>20432</v>
      </c>
      <c r="S6919" s="121" t="s">
        <v>20425</v>
      </c>
      <c r="T6919" s="122"/>
      <c r="U6919" s="22"/>
      <c r="V6919" s="123"/>
      <c r="W6919" s="122"/>
      <c r="X6919" s="221"/>
      <c r="Y6919" s="221"/>
      <c r="Z6919" s="221"/>
      <c r="AA6919" s="221"/>
      <c r="AB6919" s="223"/>
    </row>
    <row r="6920" spans="1:28" ht="17.100000000000001" customHeight="1" thickTop="1">
      <c r="A6920" s="226" t="s">
        <v>19370</v>
      </c>
      <c r="B6920" s="28">
        <v>46091</v>
      </c>
      <c r="C6920" s="25"/>
      <c r="D6920" s="13" t="s">
        <v>19371</v>
      </c>
      <c r="E6920" s="228"/>
      <c r="F6920" s="109" t="s">
        <v>19372</v>
      </c>
      <c r="G6920" s="24" t="s">
        <v>19374</v>
      </c>
      <c r="H6920" s="230"/>
      <c r="I6920" s="220">
        <v>250000</v>
      </c>
      <c r="J6920" s="220">
        <v>0</v>
      </c>
      <c r="K6920" s="220">
        <v>0</v>
      </c>
      <c r="L6920" s="220">
        <v>0</v>
      </c>
      <c r="M6920" s="220">
        <v>0</v>
      </c>
      <c r="N6920" s="220">
        <f>SUM(I6920:M6921)</f>
        <v>250000</v>
      </c>
      <c r="O6920" s="224"/>
      <c r="P6920" s="110" t="s">
        <v>19375</v>
      </c>
      <c r="Q6920" s="15" t="s">
        <v>19</v>
      </c>
      <c r="R6920" s="205"/>
      <c r="S6920" s="189"/>
      <c r="T6920" s="114"/>
      <c r="U6920" s="21"/>
      <c r="V6920" s="115">
        <v>46102</v>
      </c>
      <c r="W6920" s="116">
        <v>1293</v>
      </c>
      <c r="X6920" s="220">
        <v>270000</v>
      </c>
      <c r="Y6920" s="220">
        <f>X6920*0.1</f>
        <v>27000</v>
      </c>
      <c r="Z6920" s="220">
        <v>12770</v>
      </c>
      <c r="AA6920" s="220">
        <f>SUM(X6920:Z6920)</f>
        <v>309770</v>
      </c>
      <c r="AB6920" s="222">
        <v>46105</v>
      </c>
    </row>
    <row r="6921" spans="1:28" ht="17.100000000000001" customHeight="1" thickBot="1">
      <c r="A6921" s="227"/>
      <c r="B6921" s="27" t="s">
        <v>19369</v>
      </c>
      <c r="C6921" s="27"/>
      <c r="D6921" s="14"/>
      <c r="E6921" s="229"/>
      <c r="F6921" s="117" t="s">
        <v>19373</v>
      </c>
      <c r="G6921" s="26"/>
      <c r="H6921" s="231"/>
      <c r="I6921" s="221"/>
      <c r="J6921" s="221"/>
      <c r="K6921" s="221"/>
      <c r="L6921" s="221"/>
      <c r="M6921" s="221"/>
      <c r="N6921" s="221"/>
      <c r="O6921" s="225"/>
      <c r="P6921" s="118" t="s">
        <v>19376</v>
      </c>
      <c r="Q6921" s="16" t="s">
        <v>20</v>
      </c>
      <c r="R6921" s="17" t="s">
        <v>1623</v>
      </c>
      <c r="S6921" s="121" t="s">
        <v>169</v>
      </c>
      <c r="T6921" s="122"/>
      <c r="U6921" s="22"/>
      <c r="V6921" s="123" t="s">
        <v>2472</v>
      </c>
      <c r="W6921" s="122">
        <v>37105</v>
      </c>
      <c r="X6921" s="221"/>
      <c r="Y6921" s="221"/>
      <c r="Z6921" s="221"/>
      <c r="AA6921" s="221"/>
      <c r="AB6921" s="223"/>
    </row>
    <row r="6922" spans="1:28" ht="17.100000000000001" customHeight="1" thickTop="1">
      <c r="A6922" s="226" t="s">
        <v>19382</v>
      </c>
      <c r="B6922" s="28">
        <v>46091</v>
      </c>
      <c r="C6922" s="25">
        <v>981</v>
      </c>
      <c r="D6922" s="13" t="s">
        <v>1831</v>
      </c>
      <c r="E6922" s="228"/>
      <c r="F6922" s="109" t="s">
        <v>17469</v>
      </c>
      <c r="G6922" s="24"/>
      <c r="H6922" s="230">
        <v>4</v>
      </c>
      <c r="I6922" s="220">
        <v>1506000</v>
      </c>
      <c r="J6922" s="220">
        <f>I6922*0.1</f>
        <v>150600</v>
      </c>
      <c r="K6922" s="220">
        <v>0</v>
      </c>
      <c r="L6922" s="220">
        <v>11100</v>
      </c>
      <c r="M6922" s="220">
        <v>22000</v>
      </c>
      <c r="N6922" s="220">
        <f>SUM(I6922:M6923)</f>
        <v>1689700</v>
      </c>
      <c r="O6922" s="224"/>
      <c r="P6922" s="110" t="s">
        <v>20040</v>
      </c>
      <c r="Q6922" s="15" t="s">
        <v>19</v>
      </c>
      <c r="R6922" s="205"/>
      <c r="S6922" s="189" t="s">
        <v>758</v>
      </c>
      <c r="T6922" s="114"/>
      <c r="U6922" s="21"/>
      <c r="V6922" s="115">
        <v>46102</v>
      </c>
      <c r="W6922" s="116">
        <v>1293</v>
      </c>
      <c r="X6922" s="220">
        <v>1590000</v>
      </c>
      <c r="Y6922" s="220">
        <f>X6922*0.1</f>
        <v>159000</v>
      </c>
      <c r="Z6922" s="220">
        <v>11100</v>
      </c>
      <c r="AA6922" s="220">
        <f>SUM(X6922:Z6922)</f>
        <v>1760100</v>
      </c>
      <c r="AB6922" s="222">
        <v>46111</v>
      </c>
    </row>
    <row r="6923" spans="1:28" ht="17.100000000000001" customHeight="1" thickBot="1">
      <c r="A6923" s="227"/>
      <c r="B6923" s="27" t="s">
        <v>17765</v>
      </c>
      <c r="C6923" s="27">
        <v>103</v>
      </c>
      <c r="D6923" s="14" t="s">
        <v>2559</v>
      </c>
      <c r="E6923" s="229"/>
      <c r="F6923" s="117" t="s">
        <v>19393</v>
      </c>
      <c r="G6923" s="26">
        <v>11727</v>
      </c>
      <c r="H6923" s="231"/>
      <c r="I6923" s="221"/>
      <c r="J6923" s="221"/>
      <c r="K6923" s="221"/>
      <c r="L6923" s="221"/>
      <c r="M6923" s="221"/>
      <c r="N6923" s="221"/>
      <c r="O6923" s="225"/>
      <c r="P6923" s="118" t="s">
        <v>2446</v>
      </c>
      <c r="Q6923" s="16" t="s">
        <v>20</v>
      </c>
      <c r="R6923" s="17" t="s">
        <v>19992</v>
      </c>
      <c r="S6923" s="121" t="s">
        <v>8880</v>
      </c>
      <c r="T6923" s="122"/>
      <c r="U6923" s="22"/>
      <c r="V6923" s="123" t="s">
        <v>20692</v>
      </c>
      <c r="W6923" s="122">
        <v>62022</v>
      </c>
      <c r="X6923" s="221"/>
      <c r="Y6923" s="221"/>
      <c r="Z6923" s="221"/>
      <c r="AA6923" s="221"/>
      <c r="AB6923" s="223"/>
    </row>
    <row r="6924" spans="1:28" ht="17.100000000000001" customHeight="1" thickTop="1">
      <c r="A6924" s="226" t="s">
        <v>19383</v>
      </c>
      <c r="B6924" s="28">
        <v>46091</v>
      </c>
      <c r="C6924" s="25">
        <v>981</v>
      </c>
      <c r="D6924" s="13" t="s">
        <v>1578</v>
      </c>
      <c r="E6924" s="228"/>
      <c r="F6924" s="109" t="s">
        <v>19391</v>
      </c>
      <c r="G6924" s="24"/>
      <c r="H6924" s="230">
        <v>3.5</v>
      </c>
      <c r="I6924" s="220">
        <v>876000</v>
      </c>
      <c r="J6924" s="220">
        <f>I6924*0.1</f>
        <v>87600</v>
      </c>
      <c r="K6924" s="220">
        <v>0</v>
      </c>
      <c r="L6924" s="220">
        <v>8110</v>
      </c>
      <c r="M6924" s="220">
        <v>22000</v>
      </c>
      <c r="N6924" s="220">
        <f>SUM(I6924:M6925)</f>
        <v>993710</v>
      </c>
      <c r="O6924" s="224"/>
      <c r="P6924" s="110" t="s">
        <v>20039</v>
      </c>
      <c r="Q6924" s="15" t="s">
        <v>19</v>
      </c>
      <c r="R6924" s="205"/>
      <c r="S6924" s="189" t="s">
        <v>25387</v>
      </c>
      <c r="T6924" s="114"/>
      <c r="U6924" s="21"/>
      <c r="V6924" s="115">
        <v>46109</v>
      </c>
      <c r="W6924" s="116">
        <v>1294</v>
      </c>
      <c r="X6924" s="220">
        <v>1035000</v>
      </c>
      <c r="Y6924" s="220">
        <f>X6924*0.1</f>
        <v>103500</v>
      </c>
      <c r="Z6924" s="220">
        <v>8110</v>
      </c>
      <c r="AA6924" s="220">
        <f>SUM(X6924:Z6924)</f>
        <v>1146610</v>
      </c>
      <c r="AB6924" s="222">
        <v>46112</v>
      </c>
    </row>
    <row r="6925" spans="1:28" ht="17.100000000000001" customHeight="1" thickBot="1">
      <c r="A6925" s="227"/>
      <c r="B6925" s="27" t="s">
        <v>17765</v>
      </c>
      <c r="C6925" s="27">
        <v>113</v>
      </c>
      <c r="D6925" s="14" t="s">
        <v>273</v>
      </c>
      <c r="E6925" s="229"/>
      <c r="F6925" s="117" t="s">
        <v>19392</v>
      </c>
      <c r="G6925" s="26">
        <v>21893</v>
      </c>
      <c r="H6925" s="231"/>
      <c r="I6925" s="221"/>
      <c r="J6925" s="221"/>
      <c r="K6925" s="221"/>
      <c r="L6925" s="221"/>
      <c r="M6925" s="221"/>
      <c r="N6925" s="221"/>
      <c r="O6925" s="225"/>
      <c r="P6925" s="118" t="s">
        <v>2446</v>
      </c>
      <c r="Q6925" s="16" t="s">
        <v>20</v>
      </c>
      <c r="R6925" s="17" t="s">
        <v>19992</v>
      </c>
      <c r="S6925" s="121" t="s">
        <v>7920</v>
      </c>
      <c r="T6925" s="122"/>
      <c r="U6925" s="22"/>
      <c r="V6925" s="123" t="s">
        <v>21250</v>
      </c>
      <c r="W6925" s="122">
        <v>62029</v>
      </c>
      <c r="X6925" s="221"/>
      <c r="Y6925" s="221"/>
      <c r="Z6925" s="221"/>
      <c r="AA6925" s="221"/>
      <c r="AB6925" s="223"/>
    </row>
    <row r="6926" spans="1:28" ht="17.100000000000001" customHeight="1" thickTop="1">
      <c r="A6926" s="226" t="s">
        <v>19384</v>
      </c>
      <c r="B6926" s="28">
        <v>46091</v>
      </c>
      <c r="C6926" s="25">
        <v>1932</v>
      </c>
      <c r="D6926" s="13" t="s">
        <v>2573</v>
      </c>
      <c r="E6926" s="228"/>
      <c r="F6926" s="109" t="s">
        <v>19201</v>
      </c>
      <c r="G6926" s="24" t="s">
        <v>4412</v>
      </c>
      <c r="H6926" s="230">
        <v>3.5</v>
      </c>
      <c r="I6926" s="220">
        <v>477000</v>
      </c>
      <c r="J6926" s="220">
        <f>I6926*0.1</f>
        <v>47700</v>
      </c>
      <c r="K6926" s="220">
        <v>5000</v>
      </c>
      <c r="L6926" s="220">
        <v>8400</v>
      </c>
      <c r="M6926" s="220">
        <v>15950</v>
      </c>
      <c r="N6926" s="220">
        <f>SUM(I6926:M6927)</f>
        <v>554050</v>
      </c>
      <c r="O6926" s="224"/>
      <c r="P6926" s="110" t="s">
        <v>19440</v>
      </c>
      <c r="Q6926" s="15" t="s">
        <v>19</v>
      </c>
      <c r="R6926" s="205"/>
      <c r="S6926" s="189" t="s">
        <v>25848</v>
      </c>
      <c r="T6926" s="114"/>
      <c r="U6926" s="21" t="s">
        <v>20457</v>
      </c>
      <c r="V6926" s="115">
        <v>46102</v>
      </c>
      <c r="W6926" s="116">
        <v>1293</v>
      </c>
      <c r="X6926" s="220">
        <v>525000</v>
      </c>
      <c r="Y6926" s="220">
        <f>X6926*0.1</f>
        <v>52500</v>
      </c>
      <c r="Z6926" s="220">
        <v>8400</v>
      </c>
      <c r="AA6926" s="220">
        <f>SUM(X6926:Z6926)</f>
        <v>585900</v>
      </c>
      <c r="AB6926" s="222">
        <v>46107</v>
      </c>
    </row>
    <row r="6927" spans="1:28" ht="17.100000000000001" customHeight="1" thickBot="1">
      <c r="A6927" s="227"/>
      <c r="B6927" s="27" t="s">
        <v>2103</v>
      </c>
      <c r="C6927" s="27">
        <v>3003</v>
      </c>
      <c r="D6927" s="14" t="s">
        <v>1584</v>
      </c>
      <c r="E6927" s="229"/>
      <c r="F6927" s="117" t="s">
        <v>19394</v>
      </c>
      <c r="G6927" s="26">
        <v>56069</v>
      </c>
      <c r="H6927" s="231"/>
      <c r="I6927" s="221"/>
      <c r="J6927" s="221"/>
      <c r="K6927" s="221"/>
      <c r="L6927" s="221"/>
      <c r="M6927" s="221"/>
      <c r="N6927" s="221"/>
      <c r="O6927" s="225"/>
      <c r="P6927" s="118" t="s">
        <v>20081</v>
      </c>
      <c r="Q6927" s="16" t="s">
        <v>20</v>
      </c>
      <c r="R6927" s="17" t="s">
        <v>20054</v>
      </c>
      <c r="S6927" s="121" t="s">
        <v>3429</v>
      </c>
      <c r="T6927" s="122"/>
      <c r="U6927" s="22"/>
      <c r="V6927" s="123" t="s">
        <v>2472</v>
      </c>
      <c r="W6927" s="122">
        <v>60038</v>
      </c>
      <c r="X6927" s="221"/>
      <c r="Y6927" s="221"/>
      <c r="Z6927" s="221"/>
      <c r="AA6927" s="221"/>
      <c r="AB6927" s="223"/>
    </row>
    <row r="6928" spans="1:28" ht="17.100000000000001" customHeight="1" thickTop="1">
      <c r="A6928" s="226" t="s">
        <v>19385</v>
      </c>
      <c r="B6928" s="28">
        <v>46091</v>
      </c>
      <c r="C6928" s="25">
        <v>1932</v>
      </c>
      <c r="D6928" s="13" t="s">
        <v>1553</v>
      </c>
      <c r="E6928" s="228"/>
      <c r="F6928" s="109" t="s">
        <v>5607</v>
      </c>
      <c r="G6928" s="24"/>
      <c r="H6928" s="230">
        <v>4</v>
      </c>
      <c r="I6928" s="220">
        <v>487000</v>
      </c>
      <c r="J6928" s="220">
        <f>I6928*0.1</f>
        <v>48700</v>
      </c>
      <c r="K6928" s="220">
        <v>0</v>
      </c>
      <c r="L6928" s="220">
        <v>8860</v>
      </c>
      <c r="M6928" s="220">
        <v>15950</v>
      </c>
      <c r="N6928" s="220">
        <f>SUM(I6928:M6929)</f>
        <v>560510</v>
      </c>
      <c r="O6928" s="224"/>
      <c r="P6928" s="110" t="s">
        <v>20079</v>
      </c>
      <c r="Q6928" s="15" t="s">
        <v>19</v>
      </c>
      <c r="R6928" s="205"/>
      <c r="S6928" s="189"/>
      <c r="T6928" s="114"/>
      <c r="U6928" s="21"/>
      <c r="V6928" s="115">
        <v>46120</v>
      </c>
      <c r="W6928" s="116">
        <v>1012</v>
      </c>
      <c r="X6928" s="220">
        <v>560000</v>
      </c>
      <c r="Y6928" s="220">
        <f>X6928*0.1</f>
        <v>56000</v>
      </c>
      <c r="Z6928" s="220">
        <v>8860</v>
      </c>
      <c r="AA6928" s="220">
        <f>SUM(X6928:Z6928)</f>
        <v>624860</v>
      </c>
      <c r="AB6928" s="222">
        <v>46126</v>
      </c>
    </row>
    <row r="6929" spans="1:28" ht="17.100000000000001" customHeight="1" thickBot="1">
      <c r="A6929" s="227"/>
      <c r="B6929" s="27" t="s">
        <v>2103</v>
      </c>
      <c r="C6929" s="27">
        <v>3275</v>
      </c>
      <c r="D6929" s="14" t="s">
        <v>1736</v>
      </c>
      <c r="E6929" s="229"/>
      <c r="F6929" s="117" t="s">
        <v>19395</v>
      </c>
      <c r="G6929" s="26">
        <v>52647</v>
      </c>
      <c r="H6929" s="231"/>
      <c r="I6929" s="221"/>
      <c r="J6929" s="221"/>
      <c r="K6929" s="221"/>
      <c r="L6929" s="221"/>
      <c r="M6929" s="221"/>
      <c r="N6929" s="221"/>
      <c r="O6929" s="225"/>
      <c r="P6929" s="118" t="s">
        <v>20080</v>
      </c>
      <c r="Q6929" s="16" t="s">
        <v>20</v>
      </c>
      <c r="R6929" s="17" t="s">
        <v>20054</v>
      </c>
      <c r="S6929" s="121" t="s">
        <v>19821</v>
      </c>
      <c r="T6929" s="122"/>
      <c r="U6929" s="22"/>
      <c r="V6929" s="123" t="s">
        <v>21996</v>
      </c>
      <c r="W6929" s="122">
        <v>2040</v>
      </c>
      <c r="X6929" s="221"/>
      <c r="Y6929" s="221"/>
      <c r="Z6929" s="221"/>
      <c r="AA6929" s="221"/>
      <c r="AB6929" s="223"/>
    </row>
    <row r="6930" spans="1:28" ht="17.100000000000001" customHeight="1" thickTop="1">
      <c r="A6930" s="226" t="s">
        <v>19386</v>
      </c>
      <c r="B6930" s="28">
        <v>46091</v>
      </c>
      <c r="C6930" s="25">
        <v>1932</v>
      </c>
      <c r="D6930" s="13" t="s">
        <v>1846</v>
      </c>
      <c r="E6930" s="228"/>
      <c r="F6930" s="109" t="s">
        <v>19396</v>
      </c>
      <c r="G6930" s="24"/>
      <c r="H6930" s="230">
        <v>3.5</v>
      </c>
      <c r="I6930" s="220">
        <v>794000</v>
      </c>
      <c r="J6930" s="220">
        <f>I6930*0.1</f>
        <v>79400</v>
      </c>
      <c r="K6930" s="220">
        <v>0</v>
      </c>
      <c r="L6930" s="220">
        <v>9200</v>
      </c>
      <c r="M6930" s="220">
        <v>15950</v>
      </c>
      <c r="N6930" s="220">
        <f>SUM(I6930:M6931)</f>
        <v>898550</v>
      </c>
      <c r="O6930" s="224"/>
      <c r="P6930" s="110" t="s">
        <v>20082</v>
      </c>
      <c r="Q6930" s="15" t="s">
        <v>19</v>
      </c>
      <c r="R6930" s="205"/>
      <c r="S6930" s="189" t="s">
        <v>25757</v>
      </c>
      <c r="T6930" s="114"/>
      <c r="U6930" s="21"/>
      <c r="V6930" s="115"/>
      <c r="W6930" s="116"/>
      <c r="X6930" s="220"/>
      <c r="Y6930" s="220">
        <f>X6930*0.1</f>
        <v>0</v>
      </c>
      <c r="Z6930" s="220"/>
      <c r="AA6930" s="220">
        <f>SUM(X6930:Z6930)</f>
        <v>0</v>
      </c>
      <c r="AB6930" s="222"/>
    </row>
    <row r="6931" spans="1:28" ht="17.100000000000001" customHeight="1" thickBot="1">
      <c r="A6931" s="227"/>
      <c r="B6931" s="27" t="s">
        <v>2103</v>
      </c>
      <c r="C6931" s="27">
        <v>3504</v>
      </c>
      <c r="D6931" s="14" t="s">
        <v>273</v>
      </c>
      <c r="E6931" s="229"/>
      <c r="F6931" s="117" t="s">
        <v>19397</v>
      </c>
      <c r="G6931" s="26">
        <v>56901</v>
      </c>
      <c r="H6931" s="231"/>
      <c r="I6931" s="221"/>
      <c r="J6931" s="221"/>
      <c r="K6931" s="221"/>
      <c r="L6931" s="221"/>
      <c r="M6931" s="221"/>
      <c r="N6931" s="221"/>
      <c r="O6931" s="225"/>
      <c r="P6931" s="118" t="s">
        <v>20083</v>
      </c>
      <c r="Q6931" s="16" t="s">
        <v>20</v>
      </c>
      <c r="R6931" s="17" t="s">
        <v>20054</v>
      </c>
      <c r="S6931" s="121" t="s">
        <v>1606</v>
      </c>
      <c r="T6931" s="122"/>
      <c r="U6931" s="22"/>
      <c r="V6931" s="123"/>
      <c r="W6931" s="122"/>
      <c r="X6931" s="221"/>
      <c r="Y6931" s="221"/>
      <c r="Z6931" s="221"/>
      <c r="AA6931" s="221"/>
      <c r="AB6931" s="223"/>
    </row>
    <row r="6932" spans="1:28" ht="17.100000000000001" customHeight="1" thickTop="1">
      <c r="A6932" s="226" t="s">
        <v>19387</v>
      </c>
      <c r="B6932" s="28">
        <v>46091</v>
      </c>
      <c r="C6932" s="25">
        <v>1932</v>
      </c>
      <c r="D6932" s="13" t="s">
        <v>1871</v>
      </c>
      <c r="E6932" s="228"/>
      <c r="F6932" s="109" t="s">
        <v>19398</v>
      </c>
      <c r="G6932" s="24"/>
      <c r="H6932" s="230">
        <v>4</v>
      </c>
      <c r="I6932" s="220">
        <v>614000</v>
      </c>
      <c r="J6932" s="220">
        <f>I6932*0.1</f>
        <v>61400</v>
      </c>
      <c r="K6932" s="220">
        <v>0</v>
      </c>
      <c r="L6932" s="220">
        <v>17250</v>
      </c>
      <c r="M6932" s="220">
        <v>15950</v>
      </c>
      <c r="N6932" s="220">
        <f>SUM(I6932:M6933)</f>
        <v>708600</v>
      </c>
      <c r="O6932" s="224"/>
      <c r="P6932" s="110" t="s">
        <v>20064</v>
      </c>
      <c r="Q6932" s="15" t="s">
        <v>19</v>
      </c>
      <c r="R6932" s="205"/>
      <c r="S6932" s="189"/>
      <c r="T6932" s="114"/>
      <c r="U6932" s="21"/>
      <c r="V6932" s="115">
        <v>46109</v>
      </c>
      <c r="W6932" s="116">
        <v>1294</v>
      </c>
      <c r="X6932" s="220">
        <v>710000</v>
      </c>
      <c r="Y6932" s="220">
        <f>X6932*0.1</f>
        <v>71000</v>
      </c>
      <c r="Z6932" s="220">
        <v>17250</v>
      </c>
      <c r="AA6932" s="220">
        <f>SUM(X6932:Z6932)</f>
        <v>798250</v>
      </c>
      <c r="AB6932" s="222">
        <v>46112</v>
      </c>
    </row>
    <row r="6933" spans="1:28" ht="17.100000000000001" customHeight="1" thickBot="1">
      <c r="A6933" s="227"/>
      <c r="B6933" s="27" t="s">
        <v>2103</v>
      </c>
      <c r="C6933" s="27">
        <v>5027</v>
      </c>
      <c r="D6933" s="14" t="s">
        <v>19441</v>
      </c>
      <c r="E6933" s="229"/>
      <c r="F6933" s="117" t="s">
        <v>19442</v>
      </c>
      <c r="G6933" s="26">
        <v>34540</v>
      </c>
      <c r="H6933" s="231"/>
      <c r="I6933" s="221"/>
      <c r="J6933" s="221"/>
      <c r="K6933" s="221"/>
      <c r="L6933" s="221"/>
      <c r="M6933" s="221"/>
      <c r="N6933" s="221"/>
      <c r="O6933" s="225"/>
      <c r="P6933" s="118" t="s">
        <v>5155</v>
      </c>
      <c r="Q6933" s="16" t="s">
        <v>20</v>
      </c>
      <c r="R6933" s="17" t="s">
        <v>20054</v>
      </c>
      <c r="S6933" s="121" t="s">
        <v>19585</v>
      </c>
      <c r="T6933" s="122"/>
      <c r="U6933" s="22"/>
      <c r="V6933" s="123" t="s">
        <v>21250</v>
      </c>
      <c r="W6933" s="122">
        <v>80129</v>
      </c>
      <c r="X6933" s="221"/>
      <c r="Y6933" s="221"/>
      <c r="Z6933" s="221"/>
      <c r="AA6933" s="221"/>
      <c r="AB6933" s="223"/>
    </row>
    <row r="6934" spans="1:28" ht="17.100000000000001" customHeight="1" thickTop="1">
      <c r="A6934" s="226" t="s">
        <v>19388</v>
      </c>
      <c r="B6934" s="28">
        <v>46091</v>
      </c>
      <c r="C6934" s="25">
        <v>1932</v>
      </c>
      <c r="D6934" s="13" t="s">
        <v>1953</v>
      </c>
      <c r="E6934" s="228"/>
      <c r="F6934" s="109" t="s">
        <v>19399</v>
      </c>
      <c r="G6934" s="24"/>
      <c r="H6934" s="230">
        <v>4</v>
      </c>
      <c r="I6934" s="220">
        <v>881000</v>
      </c>
      <c r="J6934" s="220">
        <f>I6934*0.1</f>
        <v>88100</v>
      </c>
      <c r="K6934" s="220">
        <v>0</v>
      </c>
      <c r="L6934" s="220">
        <v>8790</v>
      </c>
      <c r="M6934" s="220">
        <v>15950</v>
      </c>
      <c r="N6934" s="220">
        <f>SUM(I6934:M6935)</f>
        <v>993840</v>
      </c>
      <c r="O6934" s="224"/>
      <c r="P6934" s="110" t="s">
        <v>20077</v>
      </c>
      <c r="Q6934" s="15" t="s">
        <v>19</v>
      </c>
      <c r="R6934" s="205"/>
      <c r="S6934" s="189"/>
      <c r="T6934" s="114"/>
      <c r="U6934" s="21"/>
      <c r="V6934" s="115">
        <v>46113</v>
      </c>
      <c r="W6934" s="116">
        <v>1011</v>
      </c>
      <c r="X6934" s="220">
        <v>890000</v>
      </c>
      <c r="Y6934" s="220">
        <f>X6934*0.1</f>
        <v>89000</v>
      </c>
      <c r="Z6934" s="220">
        <v>8790</v>
      </c>
      <c r="AA6934" s="220">
        <f>SUM(X6934:Z6934)</f>
        <v>987790</v>
      </c>
      <c r="AB6934" s="222">
        <v>46118</v>
      </c>
    </row>
    <row r="6935" spans="1:28" ht="17.100000000000001" customHeight="1" thickBot="1">
      <c r="A6935" s="227"/>
      <c r="B6935" s="27" t="s">
        <v>2103</v>
      </c>
      <c r="C6935" s="27">
        <v>5449</v>
      </c>
      <c r="D6935" s="14" t="s">
        <v>2753</v>
      </c>
      <c r="E6935" s="229"/>
      <c r="F6935" s="117" t="s">
        <v>19404</v>
      </c>
      <c r="G6935" s="26">
        <v>47897</v>
      </c>
      <c r="H6935" s="231"/>
      <c r="I6935" s="221"/>
      <c r="J6935" s="221"/>
      <c r="K6935" s="221"/>
      <c r="L6935" s="221"/>
      <c r="M6935" s="221"/>
      <c r="N6935" s="221"/>
      <c r="O6935" s="225"/>
      <c r="P6935" s="118" t="s">
        <v>20078</v>
      </c>
      <c r="Q6935" s="16" t="s">
        <v>20</v>
      </c>
      <c r="R6935" s="17" t="s">
        <v>20054</v>
      </c>
      <c r="S6935" s="121" t="s">
        <v>19588</v>
      </c>
      <c r="T6935" s="122"/>
      <c r="U6935" s="22"/>
      <c r="V6935" s="123" t="s">
        <v>2747</v>
      </c>
      <c r="W6935" s="122">
        <v>2072</v>
      </c>
      <c r="X6935" s="221"/>
      <c r="Y6935" s="221"/>
      <c r="Z6935" s="221"/>
      <c r="AA6935" s="221"/>
      <c r="AB6935" s="223"/>
    </row>
    <row r="6936" spans="1:28" ht="17.100000000000001" customHeight="1" thickTop="1">
      <c r="A6936" s="226" t="s">
        <v>19389</v>
      </c>
      <c r="B6936" s="28">
        <v>46091</v>
      </c>
      <c r="C6936" s="25">
        <v>1932</v>
      </c>
      <c r="D6936" s="13" t="s">
        <v>2010</v>
      </c>
      <c r="E6936" s="228"/>
      <c r="F6936" s="109" t="s">
        <v>15197</v>
      </c>
      <c r="G6936" s="24"/>
      <c r="H6936" s="230">
        <v>4</v>
      </c>
      <c r="I6936" s="220">
        <v>373000</v>
      </c>
      <c r="J6936" s="220">
        <f>I6936*0.1</f>
        <v>37300</v>
      </c>
      <c r="K6936" s="220">
        <v>0</v>
      </c>
      <c r="L6936" s="220">
        <v>6550</v>
      </c>
      <c r="M6936" s="220">
        <v>15950</v>
      </c>
      <c r="N6936" s="220">
        <f>SUM(I6936:M6937)</f>
        <v>432800</v>
      </c>
      <c r="O6936" s="224"/>
      <c r="P6936" s="110" t="s">
        <v>20059</v>
      </c>
      <c r="Q6936" s="15" t="s">
        <v>19</v>
      </c>
      <c r="R6936" s="205"/>
      <c r="S6936" s="189" t="s">
        <v>758</v>
      </c>
      <c r="T6936" s="114"/>
      <c r="U6936" s="21"/>
      <c r="V6936" s="115">
        <v>46095</v>
      </c>
      <c r="W6936" s="116">
        <v>1292</v>
      </c>
      <c r="X6936" s="220">
        <v>605000</v>
      </c>
      <c r="Y6936" s="220">
        <f>X6936*0.1</f>
        <v>60500</v>
      </c>
      <c r="Z6936" s="220">
        <v>6550</v>
      </c>
      <c r="AA6936" s="220">
        <f>SUM(X6936:Z6936)</f>
        <v>672050</v>
      </c>
      <c r="AB6936" s="222">
        <v>46105</v>
      </c>
    </row>
    <row r="6937" spans="1:28" ht="17.100000000000001" customHeight="1" thickBot="1">
      <c r="A6937" s="227"/>
      <c r="B6937" s="27" t="s">
        <v>2103</v>
      </c>
      <c r="C6937" s="27">
        <v>76036</v>
      </c>
      <c r="D6937" s="14" t="s">
        <v>1710</v>
      </c>
      <c r="E6937" s="229"/>
      <c r="F6937" s="117" t="s">
        <v>19405</v>
      </c>
      <c r="G6937" s="26">
        <v>29862</v>
      </c>
      <c r="H6937" s="231"/>
      <c r="I6937" s="221"/>
      <c r="J6937" s="221"/>
      <c r="K6937" s="221"/>
      <c r="L6937" s="221"/>
      <c r="M6937" s="221"/>
      <c r="N6937" s="221"/>
      <c r="O6937" s="225"/>
      <c r="P6937" s="118" t="s">
        <v>7323</v>
      </c>
      <c r="Q6937" s="16" t="s">
        <v>20</v>
      </c>
      <c r="R6937" s="17" t="s">
        <v>20054</v>
      </c>
      <c r="S6937" s="121" t="s">
        <v>11197</v>
      </c>
      <c r="T6937" s="122"/>
      <c r="U6937" s="22"/>
      <c r="V6937" s="123" t="s">
        <v>2472</v>
      </c>
      <c r="W6937" s="122">
        <v>60545</v>
      </c>
      <c r="X6937" s="221"/>
      <c r="Y6937" s="221"/>
      <c r="Z6937" s="221"/>
      <c r="AA6937" s="221"/>
      <c r="AB6937" s="223"/>
    </row>
    <row r="6938" spans="1:28" ht="17.100000000000001" customHeight="1" thickTop="1">
      <c r="A6938" s="226" t="s">
        <v>19390</v>
      </c>
      <c r="B6938" s="28">
        <v>46091</v>
      </c>
      <c r="C6938" s="25">
        <v>810</v>
      </c>
      <c r="D6938" s="13" t="s">
        <v>1702</v>
      </c>
      <c r="E6938" s="228"/>
      <c r="F6938" s="109" t="s">
        <v>18240</v>
      </c>
      <c r="G6938" s="24"/>
      <c r="H6938" s="230">
        <v>4</v>
      </c>
      <c r="I6938" s="220">
        <v>903000</v>
      </c>
      <c r="J6938" s="220">
        <f>I6938*0.1</f>
        <v>90300</v>
      </c>
      <c r="K6938" s="220">
        <v>0</v>
      </c>
      <c r="L6938" s="220">
        <v>9130</v>
      </c>
      <c r="M6938" s="220">
        <v>17050</v>
      </c>
      <c r="N6938" s="220">
        <f>SUM(I6938:M6939)</f>
        <v>1019480</v>
      </c>
      <c r="O6938" s="224"/>
      <c r="P6938" s="110" t="s">
        <v>20090</v>
      </c>
      <c r="Q6938" s="15" t="s">
        <v>19</v>
      </c>
      <c r="R6938" s="205"/>
      <c r="S6938" s="189"/>
      <c r="T6938" s="114"/>
      <c r="U6938" s="21"/>
      <c r="V6938" s="115">
        <v>46106</v>
      </c>
      <c r="W6938" s="116">
        <v>1010</v>
      </c>
      <c r="X6938" s="220">
        <v>1000000</v>
      </c>
      <c r="Y6938" s="220">
        <f>X6938*0.1</f>
        <v>100000</v>
      </c>
      <c r="Z6938" s="220">
        <v>9130</v>
      </c>
      <c r="AA6938" s="220">
        <f>SUM(X6938:Z6938)</f>
        <v>1109130</v>
      </c>
      <c r="AB6938" s="222">
        <v>46114</v>
      </c>
    </row>
    <row r="6939" spans="1:28" ht="17.100000000000001" customHeight="1" thickBot="1">
      <c r="A6939" s="227"/>
      <c r="B6939" s="27" t="s">
        <v>3314</v>
      </c>
      <c r="C6939" s="27">
        <v>2019</v>
      </c>
      <c r="D6939" s="14" t="s">
        <v>273</v>
      </c>
      <c r="E6939" s="229"/>
      <c r="F6939" s="117" t="s">
        <v>19406</v>
      </c>
      <c r="G6939" s="26">
        <v>70557</v>
      </c>
      <c r="H6939" s="231"/>
      <c r="I6939" s="221"/>
      <c r="J6939" s="221"/>
      <c r="K6939" s="221"/>
      <c r="L6939" s="221"/>
      <c r="M6939" s="221"/>
      <c r="N6939" s="221"/>
      <c r="O6939" s="225"/>
      <c r="P6939" s="118" t="s">
        <v>20091</v>
      </c>
      <c r="Q6939" s="16" t="s">
        <v>20</v>
      </c>
      <c r="R6939" s="17" t="s">
        <v>20054</v>
      </c>
      <c r="S6939" s="121"/>
      <c r="T6939" s="122"/>
      <c r="U6939" s="22"/>
      <c r="V6939" s="123" t="s">
        <v>7161</v>
      </c>
      <c r="W6939" s="122">
        <v>6142</v>
      </c>
      <c r="X6939" s="221"/>
      <c r="Y6939" s="221"/>
      <c r="Z6939" s="221"/>
      <c r="AA6939" s="221"/>
      <c r="AB6939" s="223"/>
    </row>
    <row r="6940" spans="1:28" ht="17.100000000000001" customHeight="1" thickTop="1">
      <c r="A6940" s="226" t="s">
        <v>19407</v>
      </c>
      <c r="B6940" s="28">
        <v>46091</v>
      </c>
      <c r="C6940" s="25">
        <v>930</v>
      </c>
      <c r="D6940" s="13" t="s">
        <v>2324</v>
      </c>
      <c r="E6940" s="228"/>
      <c r="F6940" s="109" t="s">
        <v>19416</v>
      </c>
      <c r="G6940" s="24"/>
      <c r="H6940" s="230">
        <v>4.5</v>
      </c>
      <c r="I6940" s="220">
        <v>955000</v>
      </c>
      <c r="J6940" s="220">
        <f>I6940*0.1</f>
        <v>95500</v>
      </c>
      <c r="K6940" s="220">
        <v>0</v>
      </c>
      <c r="L6940" s="220">
        <v>8790</v>
      </c>
      <c r="M6940" s="220">
        <v>15950</v>
      </c>
      <c r="N6940" s="220">
        <f>SUM(I6940:M6941)</f>
        <v>1075240</v>
      </c>
      <c r="O6940" s="224"/>
      <c r="P6940" s="110" t="s">
        <v>20073</v>
      </c>
      <c r="Q6940" s="15" t="s">
        <v>19</v>
      </c>
      <c r="R6940" s="205"/>
      <c r="S6940" s="189" t="s">
        <v>25757</v>
      </c>
      <c r="T6940" s="114"/>
      <c r="U6940" s="21"/>
      <c r="V6940" s="115"/>
      <c r="W6940" s="116"/>
      <c r="X6940" s="220"/>
      <c r="Y6940" s="220">
        <f>X6940*0.1</f>
        <v>0</v>
      </c>
      <c r="Z6940" s="220"/>
      <c r="AA6940" s="220">
        <f>SUM(X6940:Z6940)</f>
        <v>0</v>
      </c>
      <c r="AB6940" s="222"/>
    </row>
    <row r="6941" spans="1:28" ht="17.100000000000001" customHeight="1" thickBot="1">
      <c r="A6941" s="227"/>
      <c r="B6941" s="27" t="s">
        <v>2654</v>
      </c>
      <c r="C6941" s="27">
        <v>3005</v>
      </c>
      <c r="D6941" s="14" t="s">
        <v>898</v>
      </c>
      <c r="E6941" s="229"/>
      <c r="F6941" s="117" t="s">
        <v>19417</v>
      </c>
      <c r="G6941" s="26">
        <v>53771</v>
      </c>
      <c r="H6941" s="231"/>
      <c r="I6941" s="221"/>
      <c r="J6941" s="221"/>
      <c r="K6941" s="221"/>
      <c r="L6941" s="221"/>
      <c r="M6941" s="221"/>
      <c r="N6941" s="221"/>
      <c r="O6941" s="225"/>
      <c r="P6941" s="118" t="s">
        <v>20074</v>
      </c>
      <c r="Q6941" s="16" t="s">
        <v>20</v>
      </c>
      <c r="R6941" s="17" t="s">
        <v>20054</v>
      </c>
      <c r="S6941" s="121" t="s">
        <v>7710</v>
      </c>
      <c r="T6941" s="122"/>
      <c r="U6941" s="22"/>
      <c r="V6941" s="123"/>
      <c r="W6941" s="122"/>
      <c r="X6941" s="221"/>
      <c r="Y6941" s="221"/>
      <c r="Z6941" s="221"/>
      <c r="AA6941" s="221"/>
      <c r="AB6941" s="223"/>
    </row>
    <row r="6942" spans="1:28" ht="17.100000000000001" customHeight="1" thickTop="1">
      <c r="A6942" s="226" t="s">
        <v>19408</v>
      </c>
      <c r="B6942" s="28">
        <v>46091</v>
      </c>
      <c r="C6942" s="25">
        <v>930</v>
      </c>
      <c r="D6942" s="13" t="s">
        <v>2790</v>
      </c>
      <c r="E6942" s="228"/>
      <c r="F6942" s="109" t="s">
        <v>15917</v>
      </c>
      <c r="G6942" s="24" t="s">
        <v>2084</v>
      </c>
      <c r="H6942" s="230">
        <v>5</v>
      </c>
      <c r="I6942" s="220">
        <v>948000</v>
      </c>
      <c r="J6942" s="220">
        <f>I6942*0.1</f>
        <v>94800</v>
      </c>
      <c r="K6942" s="220">
        <v>5000</v>
      </c>
      <c r="L6942" s="220">
        <v>8510</v>
      </c>
      <c r="M6942" s="220">
        <v>15950</v>
      </c>
      <c r="N6942" s="220">
        <f>SUM(I6942:M6943)</f>
        <v>1072260</v>
      </c>
      <c r="O6942" s="224"/>
      <c r="P6942" s="110" t="s">
        <v>19443</v>
      </c>
      <c r="Q6942" s="15" t="s">
        <v>19</v>
      </c>
      <c r="R6942" s="205"/>
      <c r="S6942" s="189" t="s">
        <v>283</v>
      </c>
      <c r="T6942" s="114"/>
      <c r="U6942" s="21"/>
      <c r="V6942" s="115">
        <v>46095</v>
      </c>
      <c r="W6942" s="116">
        <v>1292</v>
      </c>
      <c r="X6942" s="220">
        <v>1045000</v>
      </c>
      <c r="Y6942" s="220">
        <f>X6942*0.1</f>
        <v>104500</v>
      </c>
      <c r="Z6942" s="220">
        <v>8510</v>
      </c>
      <c r="AA6942" s="220">
        <f>SUM(X6942:Z6942)</f>
        <v>1158010</v>
      </c>
      <c r="AB6942" s="222">
        <v>46105</v>
      </c>
    </row>
    <row r="6943" spans="1:28" ht="17.100000000000001" customHeight="1" thickBot="1">
      <c r="A6943" s="227"/>
      <c r="B6943" s="27" t="s">
        <v>2654</v>
      </c>
      <c r="C6943" s="27">
        <v>3087</v>
      </c>
      <c r="D6943" s="14" t="s">
        <v>1584</v>
      </c>
      <c r="E6943" s="229"/>
      <c r="F6943" s="117" t="s">
        <v>19418</v>
      </c>
      <c r="G6943" s="26">
        <v>4183</v>
      </c>
      <c r="H6943" s="231"/>
      <c r="I6943" s="221"/>
      <c r="J6943" s="221"/>
      <c r="K6943" s="221"/>
      <c r="L6943" s="221"/>
      <c r="M6943" s="221"/>
      <c r="N6943" s="221"/>
      <c r="O6943" s="225"/>
      <c r="P6943" s="118" t="s">
        <v>20057</v>
      </c>
      <c r="Q6943" s="16" t="s">
        <v>20</v>
      </c>
      <c r="R6943" s="17" t="s">
        <v>20054</v>
      </c>
      <c r="S6943" s="121" t="s">
        <v>7300</v>
      </c>
      <c r="T6943" s="122"/>
      <c r="U6943" s="22"/>
      <c r="V6943" s="123" t="s">
        <v>2472</v>
      </c>
      <c r="W6943" s="122">
        <v>60237</v>
      </c>
      <c r="X6943" s="221"/>
      <c r="Y6943" s="221"/>
      <c r="Z6943" s="221"/>
      <c r="AA6943" s="221"/>
      <c r="AB6943" s="223"/>
    </row>
    <row r="6944" spans="1:28" ht="17.100000000000001" customHeight="1" thickTop="1">
      <c r="A6944" s="226" t="s">
        <v>19409</v>
      </c>
      <c r="B6944" s="28">
        <v>46091</v>
      </c>
      <c r="C6944" s="25">
        <v>930</v>
      </c>
      <c r="D6944" s="13" t="s">
        <v>2637</v>
      </c>
      <c r="E6944" s="228"/>
      <c r="F6944" s="109" t="s">
        <v>19419</v>
      </c>
      <c r="G6944" s="24" t="s">
        <v>2038</v>
      </c>
      <c r="H6944" s="230">
        <v>4</v>
      </c>
      <c r="I6944" s="220">
        <v>960000</v>
      </c>
      <c r="J6944" s="220">
        <f>I6944*0.1</f>
        <v>96000</v>
      </c>
      <c r="K6944" s="220">
        <v>10800</v>
      </c>
      <c r="L6944" s="220">
        <v>7150</v>
      </c>
      <c r="M6944" s="220">
        <v>15950</v>
      </c>
      <c r="N6944" s="220">
        <f>SUM(I6944:M6945)</f>
        <v>1089900</v>
      </c>
      <c r="O6944" s="224"/>
      <c r="P6944" s="110" t="s">
        <v>19444</v>
      </c>
      <c r="Q6944" s="15" t="s">
        <v>19</v>
      </c>
      <c r="R6944" s="205"/>
      <c r="S6944" s="189" t="s">
        <v>25721</v>
      </c>
      <c r="T6944" s="114"/>
      <c r="U6944" s="21"/>
      <c r="V6944" s="115">
        <v>46116</v>
      </c>
      <c r="W6944" s="116">
        <v>1295</v>
      </c>
      <c r="X6944" s="220">
        <v>1040000</v>
      </c>
      <c r="Y6944" s="220">
        <f>X6944*0.1</f>
        <v>104000</v>
      </c>
      <c r="Z6944" s="220">
        <v>7150</v>
      </c>
      <c r="AA6944" s="220">
        <f>SUM(X6944:Z6944)</f>
        <v>1151150</v>
      </c>
      <c r="AB6944" s="222">
        <v>46119</v>
      </c>
    </row>
    <row r="6945" spans="1:28" ht="17.100000000000001" customHeight="1" thickBot="1">
      <c r="A6945" s="227"/>
      <c r="B6945" s="27" t="s">
        <v>2654</v>
      </c>
      <c r="C6945" s="27">
        <v>3123</v>
      </c>
      <c r="D6945" s="14" t="s">
        <v>273</v>
      </c>
      <c r="E6945" s="229"/>
      <c r="F6945" s="117" t="s">
        <v>19420</v>
      </c>
      <c r="G6945" s="26">
        <v>24749</v>
      </c>
      <c r="H6945" s="231"/>
      <c r="I6945" s="221"/>
      <c r="J6945" s="221"/>
      <c r="K6945" s="221"/>
      <c r="L6945" s="221"/>
      <c r="M6945" s="221"/>
      <c r="N6945" s="221"/>
      <c r="O6945" s="225"/>
      <c r="P6945" s="118" t="s">
        <v>14069</v>
      </c>
      <c r="Q6945" s="16" t="s">
        <v>20</v>
      </c>
      <c r="R6945" s="17" t="s">
        <v>20054</v>
      </c>
      <c r="S6945" s="121" t="s">
        <v>169</v>
      </c>
      <c r="T6945" s="122"/>
      <c r="U6945" s="22"/>
      <c r="V6945" s="123" t="s">
        <v>2472</v>
      </c>
      <c r="W6945" s="122">
        <v>60067</v>
      </c>
      <c r="X6945" s="221"/>
      <c r="Y6945" s="221"/>
      <c r="Z6945" s="221"/>
      <c r="AA6945" s="221"/>
      <c r="AB6945" s="223"/>
    </row>
    <row r="6946" spans="1:28" ht="17.100000000000001" customHeight="1" thickTop="1">
      <c r="A6946" s="226" t="s">
        <v>19410</v>
      </c>
      <c r="B6946" s="28">
        <v>46091</v>
      </c>
      <c r="C6946" s="25">
        <v>930</v>
      </c>
      <c r="D6946" s="13" t="s">
        <v>2790</v>
      </c>
      <c r="E6946" s="228"/>
      <c r="F6946" s="109" t="s">
        <v>15341</v>
      </c>
      <c r="G6946" s="24" t="s">
        <v>3672</v>
      </c>
      <c r="H6946" s="230">
        <v>4</v>
      </c>
      <c r="I6946" s="220">
        <v>903000</v>
      </c>
      <c r="J6946" s="220">
        <f>I6946*0.1</f>
        <v>90300</v>
      </c>
      <c r="K6946" s="220">
        <v>10800</v>
      </c>
      <c r="L6946" s="220">
        <v>8130</v>
      </c>
      <c r="M6946" s="220">
        <v>15950</v>
      </c>
      <c r="N6946" s="220">
        <f>SUM(I6946:M6947)</f>
        <v>1028180</v>
      </c>
      <c r="O6946" s="224"/>
      <c r="P6946" s="110" t="s">
        <v>19445</v>
      </c>
      <c r="Q6946" s="15" t="s">
        <v>19</v>
      </c>
      <c r="R6946" s="205"/>
      <c r="S6946" s="189" t="s">
        <v>25721</v>
      </c>
      <c r="T6946" s="114"/>
      <c r="U6946" s="21" t="s">
        <v>20456</v>
      </c>
      <c r="V6946" s="115">
        <v>46101</v>
      </c>
      <c r="W6946" s="116"/>
      <c r="X6946" s="220">
        <v>1200000</v>
      </c>
      <c r="Y6946" s="220">
        <f>X6946*0.1</f>
        <v>120000</v>
      </c>
      <c r="Z6946" s="220">
        <v>8130</v>
      </c>
      <c r="AA6946" s="220">
        <f>SUM(X6946:Z6946)</f>
        <v>1328130</v>
      </c>
      <c r="AB6946" s="222"/>
    </row>
    <row r="6947" spans="1:28" ht="17.100000000000001" customHeight="1" thickBot="1">
      <c r="A6947" s="227"/>
      <c r="B6947" s="27" t="s">
        <v>2654</v>
      </c>
      <c r="C6947" s="27">
        <v>3171</v>
      </c>
      <c r="D6947" s="14" t="s">
        <v>54</v>
      </c>
      <c r="E6947" s="229"/>
      <c r="F6947" s="117" t="s">
        <v>19428</v>
      </c>
      <c r="G6947" s="26">
        <v>1694</v>
      </c>
      <c r="H6947" s="231"/>
      <c r="I6947" s="221"/>
      <c r="J6947" s="221"/>
      <c r="K6947" s="221"/>
      <c r="L6947" s="221"/>
      <c r="M6947" s="221"/>
      <c r="N6947" s="221"/>
      <c r="O6947" s="225"/>
      <c r="P6947" s="118" t="s">
        <v>12897</v>
      </c>
      <c r="Q6947" s="16" t="s">
        <v>20</v>
      </c>
      <c r="R6947" s="17" t="s">
        <v>20054</v>
      </c>
      <c r="S6947" s="121" t="s">
        <v>169</v>
      </c>
      <c r="T6947" s="122"/>
      <c r="U6947" s="22"/>
      <c r="V6947" s="123" t="s">
        <v>6682</v>
      </c>
      <c r="W6947" s="122">
        <v>51444</v>
      </c>
      <c r="X6947" s="221"/>
      <c r="Y6947" s="221"/>
      <c r="Z6947" s="221"/>
      <c r="AA6947" s="221"/>
      <c r="AB6947" s="223"/>
    </row>
    <row r="6948" spans="1:28" ht="17.100000000000001" customHeight="1" thickTop="1">
      <c r="A6948" s="226" t="s">
        <v>19411</v>
      </c>
      <c r="B6948" s="28">
        <v>46091</v>
      </c>
      <c r="C6948" s="25">
        <v>930</v>
      </c>
      <c r="D6948" s="13" t="s">
        <v>2644</v>
      </c>
      <c r="E6948" s="228"/>
      <c r="F6948" s="109" t="s">
        <v>19429</v>
      </c>
      <c r="G6948" s="24"/>
      <c r="H6948" s="230">
        <v>4</v>
      </c>
      <c r="I6948" s="220">
        <v>654000</v>
      </c>
      <c r="J6948" s="220">
        <f>I6948*0.1</f>
        <v>65400</v>
      </c>
      <c r="K6948" s="220">
        <v>0</v>
      </c>
      <c r="L6948" s="220">
        <v>7510</v>
      </c>
      <c r="M6948" s="220">
        <v>15950</v>
      </c>
      <c r="N6948" s="220">
        <f>SUM(I6948:M6949)</f>
        <v>742860</v>
      </c>
      <c r="O6948" s="224"/>
      <c r="P6948" s="110" t="s">
        <v>20071</v>
      </c>
      <c r="Q6948" s="15" t="s">
        <v>19</v>
      </c>
      <c r="R6948" s="205"/>
      <c r="S6948" s="189"/>
      <c r="T6948" s="114"/>
      <c r="U6948" s="21"/>
      <c r="V6948" s="115">
        <v>46102</v>
      </c>
      <c r="W6948" s="116">
        <v>1293</v>
      </c>
      <c r="X6948" s="220">
        <v>750000</v>
      </c>
      <c r="Y6948" s="220">
        <f>X6948*0.1</f>
        <v>75000</v>
      </c>
      <c r="Z6948" s="220">
        <v>7510</v>
      </c>
      <c r="AA6948" s="220">
        <f>SUM(X6948:Z6948)</f>
        <v>832510</v>
      </c>
      <c r="AB6948" s="222">
        <v>46105</v>
      </c>
    </row>
    <row r="6949" spans="1:28" ht="17.100000000000001" customHeight="1" thickBot="1">
      <c r="A6949" s="227"/>
      <c r="B6949" s="27" t="s">
        <v>2654</v>
      </c>
      <c r="C6949" s="27">
        <v>3201</v>
      </c>
      <c r="D6949" s="14" t="s">
        <v>1584</v>
      </c>
      <c r="E6949" s="229"/>
      <c r="F6949" s="117" t="s">
        <v>19430</v>
      </c>
      <c r="G6949" s="26">
        <v>47519</v>
      </c>
      <c r="H6949" s="231"/>
      <c r="I6949" s="221"/>
      <c r="J6949" s="221"/>
      <c r="K6949" s="221"/>
      <c r="L6949" s="221"/>
      <c r="M6949" s="221"/>
      <c r="N6949" s="221"/>
      <c r="O6949" s="225"/>
      <c r="P6949" s="118" t="s">
        <v>20072</v>
      </c>
      <c r="Q6949" s="16" t="s">
        <v>20</v>
      </c>
      <c r="R6949" s="17" t="s">
        <v>20054</v>
      </c>
      <c r="S6949" s="121" t="s">
        <v>2236</v>
      </c>
      <c r="T6949" s="122"/>
      <c r="U6949" s="22"/>
      <c r="V6949" s="123" t="s">
        <v>2472</v>
      </c>
      <c r="W6949" s="122">
        <v>60045</v>
      </c>
      <c r="X6949" s="221"/>
      <c r="Y6949" s="221"/>
      <c r="Z6949" s="221"/>
      <c r="AA6949" s="221"/>
      <c r="AB6949" s="223"/>
    </row>
    <row r="6950" spans="1:28" ht="17.100000000000001" customHeight="1" thickTop="1">
      <c r="A6950" s="226" t="s">
        <v>19412</v>
      </c>
      <c r="B6950" s="28">
        <v>46091</v>
      </c>
      <c r="C6950" s="25">
        <v>930</v>
      </c>
      <c r="D6950" s="13" t="s">
        <v>3769</v>
      </c>
      <c r="E6950" s="228"/>
      <c r="F6950" s="109" t="s">
        <v>15525</v>
      </c>
      <c r="G6950" s="24"/>
      <c r="H6950" s="230">
        <v>4.5</v>
      </c>
      <c r="I6950" s="220">
        <v>940000</v>
      </c>
      <c r="J6950" s="220">
        <f>I6950*0.1</f>
        <v>94000</v>
      </c>
      <c r="K6950" s="220">
        <v>0</v>
      </c>
      <c r="L6950" s="220">
        <v>8010</v>
      </c>
      <c r="M6950" s="220">
        <v>15950</v>
      </c>
      <c r="N6950" s="220">
        <f>SUM(I6950:M6951)</f>
        <v>1057960</v>
      </c>
      <c r="O6950" s="224"/>
      <c r="P6950" s="110" t="s">
        <v>20075</v>
      </c>
      <c r="Q6950" s="15" t="s">
        <v>19</v>
      </c>
      <c r="R6950" s="205"/>
      <c r="S6950" s="189"/>
      <c r="T6950" s="114"/>
      <c r="U6950" s="21"/>
      <c r="V6950" s="115">
        <v>46102</v>
      </c>
      <c r="W6950" s="116">
        <v>1293</v>
      </c>
      <c r="X6950" s="220">
        <v>1030000</v>
      </c>
      <c r="Y6950" s="220">
        <f>X6950*0.1</f>
        <v>103000</v>
      </c>
      <c r="Z6950" s="220">
        <v>8010</v>
      </c>
      <c r="AA6950" s="220">
        <f>SUM(X6950:Z6950)</f>
        <v>1141010</v>
      </c>
      <c r="AB6950" s="222">
        <v>46105</v>
      </c>
    </row>
    <row r="6951" spans="1:28" ht="17.100000000000001" customHeight="1" thickBot="1">
      <c r="A6951" s="227"/>
      <c r="B6951" s="27" t="s">
        <v>2654</v>
      </c>
      <c r="C6951" s="27">
        <v>3210</v>
      </c>
      <c r="D6951" s="14" t="s">
        <v>1710</v>
      </c>
      <c r="E6951" s="229"/>
      <c r="F6951" s="117" t="s">
        <v>19431</v>
      </c>
      <c r="G6951" s="26">
        <v>54127</v>
      </c>
      <c r="H6951" s="231"/>
      <c r="I6951" s="221"/>
      <c r="J6951" s="221"/>
      <c r="K6951" s="221"/>
      <c r="L6951" s="221"/>
      <c r="M6951" s="221"/>
      <c r="N6951" s="221"/>
      <c r="O6951" s="225"/>
      <c r="P6951" s="118" t="s">
        <v>20076</v>
      </c>
      <c r="Q6951" s="16" t="s">
        <v>20</v>
      </c>
      <c r="R6951" s="17" t="s">
        <v>20054</v>
      </c>
      <c r="S6951" s="121" t="s">
        <v>7702</v>
      </c>
      <c r="T6951" s="122"/>
      <c r="U6951" s="22"/>
      <c r="V6951" s="123" t="s">
        <v>2472</v>
      </c>
      <c r="W6951" s="122">
        <v>60423</v>
      </c>
      <c r="X6951" s="221"/>
      <c r="Y6951" s="221"/>
      <c r="Z6951" s="221"/>
      <c r="AA6951" s="221"/>
      <c r="AB6951" s="223"/>
    </row>
    <row r="6952" spans="1:28" ht="17.100000000000001" customHeight="1" thickTop="1">
      <c r="A6952" s="226" t="s">
        <v>19413</v>
      </c>
      <c r="B6952" s="28">
        <v>46091</v>
      </c>
      <c r="C6952" s="25">
        <v>930</v>
      </c>
      <c r="D6952" s="13" t="s">
        <v>1678</v>
      </c>
      <c r="E6952" s="228"/>
      <c r="F6952" s="109" t="s">
        <v>19432</v>
      </c>
      <c r="G6952" s="24"/>
      <c r="H6952" s="230">
        <v>4.5</v>
      </c>
      <c r="I6952" s="220">
        <v>2102000</v>
      </c>
      <c r="J6952" s="220">
        <f>I6952*0.1</f>
        <v>210200</v>
      </c>
      <c r="K6952" s="220">
        <v>0</v>
      </c>
      <c r="L6952" s="220">
        <v>15910</v>
      </c>
      <c r="M6952" s="220">
        <v>15950</v>
      </c>
      <c r="N6952" s="220">
        <f>SUM(I6952:M6953)</f>
        <v>2344060</v>
      </c>
      <c r="O6952" s="224"/>
      <c r="P6952" s="110" t="s">
        <v>20058</v>
      </c>
      <c r="Q6952" s="15" t="s">
        <v>19</v>
      </c>
      <c r="R6952" s="205"/>
      <c r="S6952" s="189" t="s">
        <v>758</v>
      </c>
      <c r="T6952" s="114"/>
      <c r="U6952" s="21"/>
      <c r="V6952" s="115">
        <v>46095</v>
      </c>
      <c r="W6952" s="116">
        <v>1292</v>
      </c>
      <c r="X6952" s="220">
        <v>2320000</v>
      </c>
      <c r="Y6952" s="220">
        <f>X6952*0.1</f>
        <v>232000</v>
      </c>
      <c r="Z6952" s="220">
        <v>15910</v>
      </c>
      <c r="AA6952" s="220">
        <f>SUM(X6952:Z6952)</f>
        <v>2567910</v>
      </c>
      <c r="AB6952" s="222">
        <v>46105</v>
      </c>
    </row>
    <row r="6953" spans="1:28" ht="17.100000000000001" customHeight="1" thickBot="1">
      <c r="A6953" s="227"/>
      <c r="B6953" s="27" t="s">
        <v>2654</v>
      </c>
      <c r="C6953" s="27">
        <v>5008</v>
      </c>
      <c r="D6953" s="14" t="s">
        <v>2753</v>
      </c>
      <c r="E6953" s="229"/>
      <c r="F6953" s="117" t="s">
        <v>19446</v>
      </c>
      <c r="G6953" s="26">
        <v>22615</v>
      </c>
      <c r="H6953" s="231"/>
      <c r="I6953" s="221"/>
      <c r="J6953" s="221"/>
      <c r="K6953" s="221"/>
      <c r="L6953" s="221"/>
      <c r="M6953" s="221"/>
      <c r="N6953" s="221"/>
      <c r="O6953" s="225"/>
      <c r="P6953" s="118" t="s">
        <v>2957</v>
      </c>
      <c r="Q6953" s="16" t="s">
        <v>20</v>
      </c>
      <c r="R6953" s="17" t="s">
        <v>20054</v>
      </c>
      <c r="S6953" s="121" t="s">
        <v>16020</v>
      </c>
      <c r="T6953" s="122"/>
      <c r="U6953" s="22"/>
      <c r="V6953" s="123" t="s">
        <v>6641</v>
      </c>
      <c r="W6953" s="122">
        <v>80371</v>
      </c>
      <c r="X6953" s="221"/>
      <c r="Y6953" s="221"/>
      <c r="Z6953" s="221"/>
      <c r="AA6953" s="221"/>
      <c r="AB6953" s="223"/>
    </row>
    <row r="6954" spans="1:28" ht="17.100000000000001" customHeight="1" thickTop="1">
      <c r="A6954" s="226" t="s">
        <v>19414</v>
      </c>
      <c r="B6954" s="28">
        <v>46091</v>
      </c>
      <c r="C6954" s="25">
        <v>930</v>
      </c>
      <c r="D6954" s="13" t="s">
        <v>1810</v>
      </c>
      <c r="E6954" s="228"/>
      <c r="F6954" s="109" t="s">
        <v>19433</v>
      </c>
      <c r="G6954" s="24"/>
      <c r="H6954" s="230">
        <v>4</v>
      </c>
      <c r="I6954" s="220">
        <v>2023000</v>
      </c>
      <c r="J6954" s="220">
        <f>I6954*0.1</f>
        <v>202300</v>
      </c>
      <c r="K6954" s="220">
        <v>0</v>
      </c>
      <c r="L6954" s="220">
        <v>15180</v>
      </c>
      <c r="M6954" s="220">
        <v>20900</v>
      </c>
      <c r="N6954" s="220">
        <f>SUM(I6954:M6955)</f>
        <v>2261380</v>
      </c>
      <c r="O6954" s="224"/>
      <c r="P6954" s="110" t="s">
        <v>20062</v>
      </c>
      <c r="Q6954" s="15" t="s">
        <v>19</v>
      </c>
      <c r="R6954" s="205"/>
      <c r="S6954" s="189"/>
      <c r="T6954" s="114"/>
      <c r="U6954" s="21"/>
      <c r="V6954" s="115"/>
      <c r="W6954" s="116"/>
      <c r="X6954" s="220"/>
      <c r="Y6954" s="220">
        <f>X6954*0.1</f>
        <v>0</v>
      </c>
      <c r="Z6954" s="220"/>
      <c r="AA6954" s="220">
        <f>SUM(X6954:Z6954)</f>
        <v>0</v>
      </c>
      <c r="AB6954" s="222"/>
    </row>
    <row r="6955" spans="1:28" ht="17.100000000000001" customHeight="1" thickBot="1">
      <c r="A6955" s="227"/>
      <c r="B6955" s="27" t="s">
        <v>2654</v>
      </c>
      <c r="C6955" s="27">
        <v>5022</v>
      </c>
      <c r="D6955" s="14" t="s">
        <v>273</v>
      </c>
      <c r="E6955" s="229"/>
      <c r="F6955" s="117" t="s">
        <v>19447</v>
      </c>
      <c r="G6955" s="26">
        <v>21092</v>
      </c>
      <c r="H6955" s="231"/>
      <c r="I6955" s="221"/>
      <c r="J6955" s="221"/>
      <c r="K6955" s="221"/>
      <c r="L6955" s="221"/>
      <c r="M6955" s="221"/>
      <c r="N6955" s="221"/>
      <c r="O6955" s="225"/>
      <c r="P6955" s="118" t="s">
        <v>15845</v>
      </c>
      <c r="Q6955" s="16" t="s">
        <v>20</v>
      </c>
      <c r="R6955" s="17" t="s">
        <v>20054</v>
      </c>
      <c r="S6955" s="121" t="s">
        <v>20771</v>
      </c>
      <c r="T6955" s="122"/>
      <c r="U6955" s="22"/>
      <c r="V6955" s="123"/>
      <c r="W6955" s="122"/>
      <c r="X6955" s="221"/>
      <c r="Y6955" s="221"/>
      <c r="Z6955" s="221"/>
      <c r="AA6955" s="221"/>
      <c r="AB6955" s="223"/>
    </row>
    <row r="6956" spans="1:28" ht="17.100000000000001" customHeight="1" thickTop="1">
      <c r="A6956" s="226" t="s">
        <v>19415</v>
      </c>
      <c r="B6956" s="28">
        <v>46091</v>
      </c>
      <c r="C6956" s="25">
        <v>930</v>
      </c>
      <c r="D6956" s="13" t="s">
        <v>1598</v>
      </c>
      <c r="E6956" s="228"/>
      <c r="F6956" s="109" t="s">
        <v>2678</v>
      </c>
      <c r="G6956" s="24"/>
      <c r="H6956" s="230">
        <v>4.5</v>
      </c>
      <c r="I6956" s="220">
        <v>622000</v>
      </c>
      <c r="J6956" s="220">
        <f>I6956*0.1</f>
        <v>62200</v>
      </c>
      <c r="K6956" s="220">
        <v>0</v>
      </c>
      <c r="L6956" s="220">
        <v>17700</v>
      </c>
      <c r="M6956" s="220">
        <v>15950</v>
      </c>
      <c r="N6956" s="220">
        <f>SUM(I6956:M6957)</f>
        <v>717850</v>
      </c>
      <c r="O6956" s="224"/>
      <c r="P6956" s="110" t="s">
        <v>20063</v>
      </c>
      <c r="Q6956" s="15" t="s">
        <v>19</v>
      </c>
      <c r="R6956" s="205"/>
      <c r="S6956" s="189"/>
      <c r="T6956" s="114"/>
      <c r="U6956" s="21"/>
      <c r="V6956" s="115"/>
      <c r="W6956" s="116"/>
      <c r="X6956" s="220"/>
      <c r="Y6956" s="220">
        <f>X6956*0.1</f>
        <v>0</v>
      </c>
      <c r="Z6956" s="220"/>
      <c r="AA6956" s="220">
        <f>SUM(X6956:Z6956)</f>
        <v>0</v>
      </c>
      <c r="AB6956" s="222"/>
    </row>
    <row r="6957" spans="1:28" ht="17.100000000000001" customHeight="1" thickBot="1">
      <c r="A6957" s="227"/>
      <c r="B6957" s="27" t="s">
        <v>2654</v>
      </c>
      <c r="C6957" s="27">
        <v>5023</v>
      </c>
      <c r="D6957" s="14" t="s">
        <v>2753</v>
      </c>
      <c r="E6957" s="229"/>
      <c r="F6957" s="117" t="s">
        <v>19448</v>
      </c>
      <c r="G6957" s="26">
        <v>71316</v>
      </c>
      <c r="H6957" s="231"/>
      <c r="I6957" s="221"/>
      <c r="J6957" s="221"/>
      <c r="K6957" s="221"/>
      <c r="L6957" s="221"/>
      <c r="M6957" s="221"/>
      <c r="N6957" s="221"/>
      <c r="O6957" s="225"/>
      <c r="P6957" s="118" t="s">
        <v>15845</v>
      </c>
      <c r="Q6957" s="16" t="s">
        <v>20</v>
      </c>
      <c r="R6957" s="17" t="s">
        <v>20054</v>
      </c>
      <c r="S6957" s="121"/>
      <c r="T6957" s="122"/>
      <c r="U6957" s="22"/>
      <c r="V6957" s="123"/>
      <c r="W6957" s="122"/>
      <c r="X6957" s="221"/>
      <c r="Y6957" s="221"/>
      <c r="Z6957" s="221"/>
      <c r="AA6957" s="221"/>
      <c r="AB6957" s="223"/>
    </row>
    <row r="6958" spans="1:28" ht="17.100000000000001" customHeight="1" thickTop="1">
      <c r="A6958" s="226" t="s">
        <v>19421</v>
      </c>
      <c r="B6958" s="28">
        <v>46091</v>
      </c>
      <c r="C6958" s="25">
        <v>930</v>
      </c>
      <c r="D6958" s="13" t="s">
        <v>19449</v>
      </c>
      <c r="E6958" s="228"/>
      <c r="F6958" s="109" t="s">
        <v>19180</v>
      </c>
      <c r="G6958" s="24"/>
      <c r="H6958" s="230">
        <v>4</v>
      </c>
      <c r="I6958" s="220">
        <v>328000</v>
      </c>
      <c r="J6958" s="220">
        <f>I6958*0.1</f>
        <v>32800</v>
      </c>
      <c r="K6958" s="220">
        <v>0</v>
      </c>
      <c r="L6958" s="220">
        <v>7140</v>
      </c>
      <c r="M6958" s="220">
        <v>15950</v>
      </c>
      <c r="N6958" s="220">
        <f>SUM(I6958:M6959)</f>
        <v>383890</v>
      </c>
      <c r="O6958" s="224"/>
      <c r="P6958" s="110" t="s">
        <v>20060</v>
      </c>
      <c r="Q6958" s="15" t="s">
        <v>19</v>
      </c>
      <c r="R6958" s="205"/>
      <c r="S6958" s="189"/>
      <c r="T6958" s="114"/>
      <c r="U6958" s="21"/>
      <c r="V6958" s="115">
        <v>46095</v>
      </c>
      <c r="W6958" s="116">
        <v>1292</v>
      </c>
      <c r="X6958" s="220">
        <v>440000</v>
      </c>
      <c r="Y6958" s="220">
        <f>X6958*0.1</f>
        <v>44000</v>
      </c>
      <c r="Z6958" s="220">
        <v>7140</v>
      </c>
      <c r="AA6958" s="220">
        <f>SUM(X6958:Z6958)</f>
        <v>491140</v>
      </c>
      <c r="AB6958" s="222">
        <v>46105</v>
      </c>
    </row>
    <row r="6959" spans="1:28" ht="17.100000000000001" customHeight="1" thickBot="1">
      <c r="A6959" s="227"/>
      <c r="B6959" s="27" t="s">
        <v>2654</v>
      </c>
      <c r="C6959" s="27">
        <v>7184</v>
      </c>
      <c r="D6959" s="14" t="s">
        <v>19450</v>
      </c>
      <c r="E6959" s="229"/>
      <c r="F6959" s="117" t="s">
        <v>19434</v>
      </c>
      <c r="G6959" s="26">
        <v>30703</v>
      </c>
      <c r="H6959" s="231"/>
      <c r="I6959" s="221"/>
      <c r="J6959" s="221"/>
      <c r="K6959" s="221"/>
      <c r="L6959" s="221"/>
      <c r="M6959" s="221"/>
      <c r="N6959" s="221"/>
      <c r="O6959" s="225"/>
      <c r="P6959" s="118" t="s">
        <v>20061</v>
      </c>
      <c r="Q6959" s="16" t="s">
        <v>20</v>
      </c>
      <c r="R6959" s="17" t="s">
        <v>20054</v>
      </c>
      <c r="S6959" s="121"/>
      <c r="T6959" s="122"/>
      <c r="U6959" s="22"/>
      <c r="V6959" s="123" t="s">
        <v>2472</v>
      </c>
      <c r="W6959" s="122">
        <v>60501</v>
      </c>
      <c r="X6959" s="221"/>
      <c r="Y6959" s="221"/>
      <c r="Z6959" s="221"/>
      <c r="AA6959" s="221"/>
      <c r="AB6959" s="223"/>
    </row>
    <row r="6960" spans="1:28" ht="17.100000000000001" customHeight="1" thickTop="1">
      <c r="A6960" s="226" t="s">
        <v>19422</v>
      </c>
      <c r="B6960" s="28">
        <v>46091</v>
      </c>
      <c r="C6960" s="25">
        <v>930</v>
      </c>
      <c r="D6960" s="13" t="s">
        <v>1883</v>
      </c>
      <c r="E6960" s="228"/>
      <c r="F6960" s="109" t="s">
        <v>17162</v>
      </c>
      <c r="G6960" s="24"/>
      <c r="H6960" s="230">
        <v>4.5</v>
      </c>
      <c r="I6960" s="220">
        <v>707000</v>
      </c>
      <c r="J6960" s="220">
        <f>I6960*0.1</f>
        <v>70700</v>
      </c>
      <c r="K6960" s="220">
        <v>0</v>
      </c>
      <c r="L6960" s="220">
        <v>7440</v>
      </c>
      <c r="M6960" s="220">
        <v>15950</v>
      </c>
      <c r="N6960" s="220">
        <f>SUM(I6960:M6961)</f>
        <v>801090</v>
      </c>
      <c r="O6960" s="224"/>
      <c r="P6960" s="110" t="s">
        <v>20092</v>
      </c>
      <c r="Q6960" s="15" t="s">
        <v>19</v>
      </c>
      <c r="R6960" s="205"/>
      <c r="S6960" s="189"/>
      <c r="T6960" s="114"/>
      <c r="U6960" s="21"/>
      <c r="V6960" s="115">
        <v>46106</v>
      </c>
      <c r="W6960" s="116">
        <v>1010</v>
      </c>
      <c r="X6960" s="220">
        <v>845000</v>
      </c>
      <c r="Y6960" s="220">
        <f>X6960*0.1</f>
        <v>84500</v>
      </c>
      <c r="Z6960" s="220">
        <v>7440</v>
      </c>
      <c r="AA6960" s="220">
        <f>SUM(X6960:Z6960)</f>
        <v>936940</v>
      </c>
      <c r="AB6960" s="222">
        <v>46111</v>
      </c>
    </row>
    <row r="6961" spans="1:28" ht="17.100000000000001" customHeight="1" thickBot="1">
      <c r="A6961" s="227"/>
      <c r="B6961" s="27" t="s">
        <v>2654</v>
      </c>
      <c r="C6961" s="27">
        <v>62041</v>
      </c>
      <c r="D6961" s="14" t="s">
        <v>1710</v>
      </c>
      <c r="E6961" s="229"/>
      <c r="F6961" s="117" t="s">
        <v>19435</v>
      </c>
      <c r="G6961" s="26">
        <v>48709</v>
      </c>
      <c r="H6961" s="231"/>
      <c r="I6961" s="221"/>
      <c r="J6961" s="221"/>
      <c r="K6961" s="221"/>
      <c r="L6961" s="221"/>
      <c r="M6961" s="221"/>
      <c r="N6961" s="221"/>
      <c r="O6961" s="225"/>
      <c r="P6961" s="118" t="s">
        <v>8552</v>
      </c>
      <c r="Q6961" s="16" t="s">
        <v>20</v>
      </c>
      <c r="R6961" s="17" t="s">
        <v>20054</v>
      </c>
      <c r="S6961" s="121" t="s">
        <v>10120</v>
      </c>
      <c r="T6961" s="122"/>
      <c r="U6961" s="22"/>
      <c r="V6961" s="123" t="s">
        <v>2747</v>
      </c>
      <c r="W6961" s="122">
        <v>80088</v>
      </c>
      <c r="X6961" s="221"/>
      <c r="Y6961" s="221"/>
      <c r="Z6961" s="221"/>
      <c r="AA6961" s="221"/>
      <c r="AB6961" s="223"/>
    </row>
    <row r="6962" spans="1:28" ht="17.100000000000001" customHeight="1" thickTop="1">
      <c r="A6962" s="226" t="s">
        <v>19423</v>
      </c>
      <c r="B6962" s="28">
        <v>46091</v>
      </c>
      <c r="C6962" s="25">
        <v>1231</v>
      </c>
      <c r="D6962" s="13" t="s">
        <v>1704</v>
      </c>
      <c r="E6962" s="228"/>
      <c r="F6962" s="109" t="s">
        <v>19436</v>
      </c>
      <c r="G6962" s="24"/>
      <c r="H6962" s="230">
        <v>4</v>
      </c>
      <c r="I6962" s="220">
        <v>1000000</v>
      </c>
      <c r="J6962" s="220">
        <f>I6962*0.1</f>
        <v>100000</v>
      </c>
      <c r="K6962" s="220">
        <v>0</v>
      </c>
      <c r="L6962" s="220">
        <v>12270</v>
      </c>
      <c r="M6962" s="220">
        <v>20900</v>
      </c>
      <c r="N6962" s="220">
        <f>SUM(I6962:M6963)</f>
        <v>1133170</v>
      </c>
      <c r="O6962" s="224"/>
      <c r="P6962" s="110" t="s">
        <v>20065</v>
      </c>
      <c r="Q6962" s="15" t="s">
        <v>19</v>
      </c>
      <c r="R6962" s="205"/>
      <c r="S6962" s="189" t="s">
        <v>25757</v>
      </c>
      <c r="T6962" s="114"/>
      <c r="U6962" s="21"/>
      <c r="V6962" s="115">
        <v>46130</v>
      </c>
      <c r="W6962" s="116">
        <v>1297</v>
      </c>
      <c r="X6962" s="220">
        <v>1090000</v>
      </c>
      <c r="Y6962" s="220">
        <f>X6962*0.1</f>
        <v>109000</v>
      </c>
      <c r="Z6962" s="220">
        <v>12270</v>
      </c>
      <c r="AA6962" s="220">
        <f>SUM(X6962:Z6962)</f>
        <v>1211270</v>
      </c>
      <c r="AB6962" s="222">
        <v>46133</v>
      </c>
    </row>
    <row r="6963" spans="1:28" ht="17.100000000000001" customHeight="1" thickBot="1">
      <c r="A6963" s="227"/>
      <c r="B6963" s="27" t="s">
        <v>2344</v>
      </c>
      <c r="C6963" s="27">
        <v>5048</v>
      </c>
      <c r="D6963" s="14" t="s">
        <v>1548</v>
      </c>
      <c r="E6963" s="229"/>
      <c r="F6963" s="117" t="s">
        <v>19451</v>
      </c>
      <c r="G6963" s="26">
        <v>9073</v>
      </c>
      <c r="H6963" s="231"/>
      <c r="I6963" s="221"/>
      <c r="J6963" s="221"/>
      <c r="K6963" s="221"/>
      <c r="L6963" s="221"/>
      <c r="M6963" s="221"/>
      <c r="N6963" s="221"/>
      <c r="O6963" s="225"/>
      <c r="P6963" s="118" t="s">
        <v>20066</v>
      </c>
      <c r="Q6963" s="16" t="s">
        <v>20</v>
      </c>
      <c r="R6963" s="17" t="s">
        <v>20054</v>
      </c>
      <c r="S6963" s="121" t="s">
        <v>19700</v>
      </c>
      <c r="T6963" s="122"/>
      <c r="U6963" s="22"/>
      <c r="V6963" s="123" t="s">
        <v>2472</v>
      </c>
      <c r="W6963" s="122">
        <v>80202</v>
      </c>
      <c r="X6963" s="221"/>
      <c r="Y6963" s="221"/>
      <c r="Z6963" s="221"/>
      <c r="AA6963" s="221"/>
      <c r="AB6963" s="223"/>
    </row>
    <row r="6964" spans="1:28" ht="17.100000000000001" customHeight="1" thickTop="1">
      <c r="A6964" s="226" t="s">
        <v>19424</v>
      </c>
      <c r="B6964" s="28">
        <v>46091</v>
      </c>
      <c r="C6964" s="25">
        <v>1231</v>
      </c>
      <c r="D6964" s="13" t="s">
        <v>2264</v>
      </c>
      <c r="E6964" s="228"/>
      <c r="F6964" s="109" t="s">
        <v>19453</v>
      </c>
      <c r="G6964" s="24"/>
      <c r="H6964" s="230">
        <v>4.5</v>
      </c>
      <c r="I6964" s="220">
        <v>966000</v>
      </c>
      <c r="J6964" s="220">
        <v>0</v>
      </c>
      <c r="K6964" s="220">
        <v>0</v>
      </c>
      <c r="L6964" s="220">
        <v>8510</v>
      </c>
      <c r="M6964" s="220">
        <v>15950</v>
      </c>
      <c r="N6964" s="220">
        <f>SUM(I6964:M6965)</f>
        <v>990460</v>
      </c>
      <c r="O6964" s="224"/>
      <c r="P6964" s="110" t="s">
        <v>20084</v>
      </c>
      <c r="Q6964" s="15" t="s">
        <v>19</v>
      </c>
      <c r="R6964" s="205"/>
      <c r="S6964" s="189"/>
      <c r="T6964" s="114" t="s">
        <v>26308</v>
      </c>
      <c r="U6964" s="21"/>
      <c r="V6964" s="115">
        <v>46165</v>
      </c>
      <c r="W6964" s="116">
        <v>1301</v>
      </c>
      <c r="X6964" s="220">
        <v>1075000</v>
      </c>
      <c r="Y6964" s="220">
        <f>X6964*0.1</f>
        <v>107500</v>
      </c>
      <c r="Z6964" s="220">
        <v>8510</v>
      </c>
      <c r="AA6964" s="220">
        <f>SUM(X6964:Z6964)</f>
        <v>1191010</v>
      </c>
      <c r="AB6964" s="222">
        <v>46168</v>
      </c>
    </row>
    <row r="6965" spans="1:28" ht="17.100000000000001" customHeight="1" thickBot="1">
      <c r="A6965" s="227"/>
      <c r="B6965" s="27" t="s">
        <v>2344</v>
      </c>
      <c r="C6965" s="27">
        <v>8003</v>
      </c>
      <c r="D6965" s="14" t="s">
        <v>2559</v>
      </c>
      <c r="E6965" s="229"/>
      <c r="F6965" s="117" t="s">
        <v>19452</v>
      </c>
      <c r="G6965" s="26">
        <v>56802</v>
      </c>
      <c r="H6965" s="231"/>
      <c r="I6965" s="221"/>
      <c r="J6965" s="221"/>
      <c r="K6965" s="221"/>
      <c r="L6965" s="221"/>
      <c r="M6965" s="221"/>
      <c r="N6965" s="221"/>
      <c r="O6965" s="225"/>
      <c r="P6965" s="118" t="s">
        <v>9169</v>
      </c>
      <c r="Q6965" s="16" t="s">
        <v>20</v>
      </c>
      <c r="R6965" s="17" t="s">
        <v>20054</v>
      </c>
      <c r="S6965" s="121" t="s">
        <v>20449</v>
      </c>
      <c r="T6965" s="122"/>
      <c r="U6965" s="22"/>
      <c r="V6965" s="123" t="s">
        <v>2472</v>
      </c>
      <c r="W6965" s="122">
        <v>60130</v>
      </c>
      <c r="X6965" s="221"/>
      <c r="Y6965" s="221"/>
      <c r="Z6965" s="221"/>
      <c r="AA6965" s="221"/>
      <c r="AB6965" s="223"/>
    </row>
    <row r="6966" spans="1:28" ht="17.100000000000001" customHeight="1" thickTop="1">
      <c r="A6966" s="226" t="s">
        <v>19425</v>
      </c>
      <c r="B6966" s="28">
        <v>46091</v>
      </c>
      <c r="C6966" s="25">
        <v>1231</v>
      </c>
      <c r="D6966" s="13" t="s">
        <v>2313</v>
      </c>
      <c r="E6966" s="228"/>
      <c r="F6966" s="109" t="s">
        <v>19437</v>
      </c>
      <c r="G6966" s="24" t="s">
        <v>3867</v>
      </c>
      <c r="H6966" s="230">
        <v>4</v>
      </c>
      <c r="I6966" s="220">
        <v>1897000</v>
      </c>
      <c r="J6966" s="220">
        <f>I6966*0.1</f>
        <v>189700</v>
      </c>
      <c r="K6966" s="220">
        <v>39500</v>
      </c>
      <c r="L6966" s="220">
        <v>22280</v>
      </c>
      <c r="M6966" s="220">
        <v>15950</v>
      </c>
      <c r="N6966" s="220">
        <f>SUM(I6966:M6967)</f>
        <v>2164430</v>
      </c>
      <c r="O6966" s="224"/>
      <c r="P6966" s="110" t="s">
        <v>19455</v>
      </c>
      <c r="Q6966" s="15" t="s">
        <v>19</v>
      </c>
      <c r="R6966" s="205"/>
      <c r="S6966" s="189"/>
      <c r="T6966" s="114"/>
      <c r="U6966" s="21"/>
      <c r="V6966" s="115">
        <v>46102</v>
      </c>
      <c r="W6966" s="116">
        <v>1293</v>
      </c>
      <c r="X6966" s="220">
        <v>2050000</v>
      </c>
      <c r="Y6966" s="220">
        <f>X6966*0.1</f>
        <v>205000</v>
      </c>
      <c r="Z6966" s="220">
        <v>29423</v>
      </c>
      <c r="AA6966" s="220">
        <f>SUM(X6966:Z6966)</f>
        <v>2284423</v>
      </c>
      <c r="AB6966" s="222">
        <v>46107</v>
      </c>
    </row>
    <row r="6967" spans="1:28" ht="17.100000000000001" customHeight="1" thickBot="1">
      <c r="A6967" s="227"/>
      <c r="B6967" s="27" t="s">
        <v>2344</v>
      </c>
      <c r="C6967" s="27">
        <v>32018</v>
      </c>
      <c r="D6967" s="14" t="s">
        <v>1584</v>
      </c>
      <c r="E6967" s="229"/>
      <c r="F6967" s="117" t="s">
        <v>19454</v>
      </c>
      <c r="G6967" s="26">
        <v>29423</v>
      </c>
      <c r="H6967" s="231"/>
      <c r="I6967" s="221"/>
      <c r="J6967" s="221"/>
      <c r="K6967" s="221"/>
      <c r="L6967" s="221"/>
      <c r="M6967" s="221"/>
      <c r="N6967" s="221"/>
      <c r="O6967" s="225"/>
      <c r="P6967" s="118" t="s">
        <v>5186</v>
      </c>
      <c r="Q6967" s="16" t="s">
        <v>20</v>
      </c>
      <c r="R6967" s="17" t="s">
        <v>20054</v>
      </c>
      <c r="S6967" s="121" t="s">
        <v>3311</v>
      </c>
      <c r="T6967" s="122"/>
      <c r="U6967" s="22"/>
      <c r="V6967" s="123" t="s">
        <v>20441</v>
      </c>
      <c r="W6967" s="122">
        <v>80015</v>
      </c>
      <c r="X6967" s="221"/>
      <c r="Y6967" s="221"/>
      <c r="Z6967" s="221"/>
      <c r="AA6967" s="221"/>
      <c r="AB6967" s="223"/>
    </row>
    <row r="6968" spans="1:28" ht="17.100000000000001" customHeight="1" thickTop="1">
      <c r="A6968" s="226" t="s">
        <v>19426</v>
      </c>
      <c r="B6968" s="28">
        <v>46091</v>
      </c>
      <c r="C6968" s="25">
        <v>1231</v>
      </c>
      <c r="D6968" s="13" t="s">
        <v>1831</v>
      </c>
      <c r="E6968" s="228"/>
      <c r="F6968" s="109" t="s">
        <v>19438</v>
      </c>
      <c r="G6968" s="24"/>
      <c r="H6968" s="230">
        <v>4.5</v>
      </c>
      <c r="I6968" s="220">
        <v>1261000</v>
      </c>
      <c r="J6968" s="220">
        <f>I6968*0.1</f>
        <v>126100</v>
      </c>
      <c r="K6968" s="220">
        <v>0</v>
      </c>
      <c r="L6968" s="220">
        <v>8990</v>
      </c>
      <c r="M6968" s="220">
        <v>15950</v>
      </c>
      <c r="N6968" s="220">
        <f>SUM(I6968:M6969)</f>
        <v>1412040</v>
      </c>
      <c r="O6968" s="224"/>
      <c r="P6968" s="110" t="s">
        <v>20055</v>
      </c>
      <c r="Q6968" s="15" t="s">
        <v>19</v>
      </c>
      <c r="R6968" s="205"/>
      <c r="S6968" s="189" t="s">
        <v>758</v>
      </c>
      <c r="T6968" s="114"/>
      <c r="U6968" s="21"/>
      <c r="V6968" s="115">
        <v>46095</v>
      </c>
      <c r="W6968" s="116">
        <v>1292</v>
      </c>
      <c r="X6968" s="220">
        <v>1390000</v>
      </c>
      <c r="Y6968" s="220">
        <f>X6968*0.1</f>
        <v>139000</v>
      </c>
      <c r="Z6968" s="220">
        <v>8990</v>
      </c>
      <c r="AA6968" s="220">
        <f>SUM(X6968:Z6968)</f>
        <v>1537990</v>
      </c>
      <c r="AB6968" s="222">
        <v>46105</v>
      </c>
    </row>
    <row r="6969" spans="1:28" ht="17.100000000000001" customHeight="1" thickBot="1">
      <c r="A6969" s="227"/>
      <c r="B6969" s="27" t="s">
        <v>2344</v>
      </c>
      <c r="C6969" s="27">
        <v>62021</v>
      </c>
      <c r="D6969" s="14" t="s">
        <v>1710</v>
      </c>
      <c r="E6969" s="229"/>
      <c r="F6969" s="117" t="s">
        <v>19439</v>
      </c>
      <c r="G6969" s="26">
        <v>11647</v>
      </c>
      <c r="H6969" s="231"/>
      <c r="I6969" s="221"/>
      <c r="J6969" s="221"/>
      <c r="K6969" s="221"/>
      <c r="L6969" s="221"/>
      <c r="M6969" s="221"/>
      <c r="N6969" s="221"/>
      <c r="O6969" s="225"/>
      <c r="P6969" s="118" t="s">
        <v>20056</v>
      </c>
      <c r="Q6969" s="16" t="s">
        <v>20</v>
      </c>
      <c r="R6969" s="17" t="s">
        <v>20054</v>
      </c>
      <c r="S6969" s="121" t="s">
        <v>11870</v>
      </c>
      <c r="T6969" s="122"/>
      <c r="U6969" s="22"/>
      <c r="V6969" s="123" t="s">
        <v>2472</v>
      </c>
      <c r="W6969" s="122">
        <v>41057</v>
      </c>
      <c r="X6969" s="221"/>
      <c r="Y6969" s="221"/>
      <c r="Z6969" s="221"/>
      <c r="AA6969" s="221"/>
      <c r="AB6969" s="223"/>
    </row>
    <row r="6970" spans="1:28" ht="17.100000000000001" customHeight="1" thickTop="1">
      <c r="A6970" s="226" t="s">
        <v>19427</v>
      </c>
      <c r="B6970" s="28">
        <v>46092</v>
      </c>
      <c r="C6970" s="25">
        <v>1008</v>
      </c>
      <c r="D6970" s="13" t="s">
        <v>19466</v>
      </c>
      <c r="E6970" s="228"/>
      <c r="F6970" s="109" t="s">
        <v>19460</v>
      </c>
      <c r="G6970" s="24" t="s">
        <v>19467</v>
      </c>
      <c r="H6970" s="230">
        <v>4.5</v>
      </c>
      <c r="I6970" s="220">
        <v>1215000</v>
      </c>
      <c r="J6970" s="220">
        <f>I6970*0.1</f>
        <v>121500</v>
      </c>
      <c r="K6970" s="220">
        <v>10800</v>
      </c>
      <c r="L6970" s="220">
        <v>8640</v>
      </c>
      <c r="M6970" s="220">
        <v>12100</v>
      </c>
      <c r="N6970" s="220">
        <f>SUM(I6970:M6971)</f>
        <v>1368040</v>
      </c>
      <c r="O6970" s="224"/>
      <c r="P6970" s="110" t="s">
        <v>19468</v>
      </c>
      <c r="Q6970" s="15" t="s">
        <v>19</v>
      </c>
      <c r="R6970" s="205"/>
      <c r="S6970" s="189" t="s">
        <v>25760</v>
      </c>
      <c r="T6970" s="114"/>
      <c r="U6970" s="21"/>
      <c r="V6970" s="115">
        <v>46098</v>
      </c>
      <c r="W6970" s="116">
        <v>1933</v>
      </c>
      <c r="X6970" s="220">
        <v>1252000</v>
      </c>
      <c r="Y6970" s="220">
        <f>X6970*0.1</f>
        <v>125200</v>
      </c>
      <c r="Z6970" s="220">
        <v>8640</v>
      </c>
      <c r="AA6970" s="220">
        <f>SUM(X6970:Z6970)</f>
        <v>1385840</v>
      </c>
      <c r="AB6970" s="222"/>
    </row>
    <row r="6971" spans="1:28" ht="17.100000000000001" customHeight="1" thickBot="1">
      <c r="A6971" s="227"/>
      <c r="B6971" s="27" t="s">
        <v>19459</v>
      </c>
      <c r="C6971" s="27">
        <v>1063</v>
      </c>
      <c r="D6971" s="14" t="s">
        <v>1690</v>
      </c>
      <c r="E6971" s="229"/>
      <c r="F6971" s="117" t="s">
        <v>19461</v>
      </c>
      <c r="G6971" s="26">
        <v>28226</v>
      </c>
      <c r="H6971" s="231"/>
      <c r="I6971" s="221"/>
      <c r="J6971" s="221"/>
      <c r="K6971" s="221"/>
      <c r="L6971" s="221"/>
      <c r="M6971" s="221"/>
      <c r="N6971" s="221"/>
      <c r="O6971" s="225"/>
      <c r="P6971" s="118" t="s">
        <v>19999</v>
      </c>
      <c r="Q6971" s="16" t="s">
        <v>20</v>
      </c>
      <c r="R6971" s="17" t="s">
        <v>19992</v>
      </c>
      <c r="S6971" s="121" t="s">
        <v>2325</v>
      </c>
      <c r="T6971" s="122"/>
      <c r="U6971" s="22"/>
      <c r="V6971" s="123" t="s">
        <v>2103</v>
      </c>
      <c r="W6971" s="122">
        <v>3257</v>
      </c>
      <c r="X6971" s="221"/>
      <c r="Y6971" s="221"/>
      <c r="Z6971" s="221"/>
      <c r="AA6971" s="221"/>
      <c r="AB6971" s="223"/>
    </row>
    <row r="6972" spans="1:28" ht="17.100000000000001" customHeight="1" thickTop="1">
      <c r="A6972" s="226" t="s">
        <v>19457</v>
      </c>
      <c r="B6972" s="28">
        <v>46092</v>
      </c>
      <c r="C6972" s="25">
        <v>1008</v>
      </c>
      <c r="D6972" s="13" t="s">
        <v>19469</v>
      </c>
      <c r="E6972" s="228"/>
      <c r="F6972" s="109" t="s">
        <v>19462</v>
      </c>
      <c r="G6972" s="24" t="s">
        <v>19470</v>
      </c>
      <c r="H6972" s="230">
        <v>6</v>
      </c>
      <c r="I6972" s="220">
        <v>1405000</v>
      </c>
      <c r="J6972" s="220">
        <f>I6972*0.1</f>
        <v>140500</v>
      </c>
      <c r="K6972" s="220">
        <v>10800</v>
      </c>
      <c r="L6972" s="220">
        <v>11100</v>
      </c>
      <c r="M6972" s="220">
        <v>12100</v>
      </c>
      <c r="N6972" s="220">
        <f>SUM(I6972:M6973)</f>
        <v>1579500</v>
      </c>
      <c r="O6972" s="224"/>
      <c r="P6972" s="110" t="s">
        <v>19471</v>
      </c>
      <c r="Q6972" s="15" t="s">
        <v>19</v>
      </c>
      <c r="R6972" s="205"/>
      <c r="S6972" s="189" t="s">
        <v>455</v>
      </c>
      <c r="T6972" s="114"/>
      <c r="U6972" s="21"/>
      <c r="V6972" s="115">
        <v>46098</v>
      </c>
      <c r="W6972" s="116">
        <v>1933</v>
      </c>
      <c r="X6972" s="220">
        <v>1431000</v>
      </c>
      <c r="Y6972" s="220">
        <f>X6972*0.1</f>
        <v>143100</v>
      </c>
      <c r="Z6972" s="220">
        <v>11100</v>
      </c>
      <c r="AA6972" s="220">
        <f>SUM(X6972:Z6972)</f>
        <v>1585200</v>
      </c>
      <c r="AB6972" s="222"/>
    </row>
    <row r="6973" spans="1:28" ht="17.100000000000001" customHeight="1" thickBot="1">
      <c r="A6973" s="227"/>
      <c r="B6973" s="27" t="s">
        <v>19459</v>
      </c>
      <c r="C6973" s="27">
        <v>1085</v>
      </c>
      <c r="D6973" s="14" t="s">
        <v>2559</v>
      </c>
      <c r="E6973" s="229"/>
      <c r="F6973" s="117" t="s">
        <v>19463</v>
      </c>
      <c r="G6973" s="26">
        <v>1855</v>
      </c>
      <c r="H6973" s="231"/>
      <c r="I6973" s="221"/>
      <c r="J6973" s="221"/>
      <c r="K6973" s="221"/>
      <c r="L6973" s="221"/>
      <c r="M6973" s="221"/>
      <c r="N6973" s="221"/>
      <c r="O6973" s="225"/>
      <c r="P6973" s="118" t="s">
        <v>19999</v>
      </c>
      <c r="Q6973" s="16" t="s">
        <v>20</v>
      </c>
      <c r="R6973" s="17" t="s">
        <v>19992</v>
      </c>
      <c r="S6973" s="121" t="s">
        <v>1731</v>
      </c>
      <c r="T6973" s="122"/>
      <c r="U6973" s="22"/>
      <c r="V6973" s="123" t="s">
        <v>2103</v>
      </c>
      <c r="W6973" s="122">
        <v>3263</v>
      </c>
      <c r="X6973" s="221"/>
      <c r="Y6973" s="221"/>
      <c r="Z6973" s="221"/>
      <c r="AA6973" s="221"/>
      <c r="AB6973" s="223"/>
    </row>
    <row r="6974" spans="1:28" ht="17.100000000000001" customHeight="1" thickTop="1">
      <c r="A6974" s="226" t="s">
        <v>19458</v>
      </c>
      <c r="B6974" s="28">
        <v>46092</v>
      </c>
      <c r="C6974" s="25">
        <v>1008</v>
      </c>
      <c r="D6974" s="13" t="s">
        <v>19472</v>
      </c>
      <c r="E6974" s="228"/>
      <c r="F6974" s="109" t="s">
        <v>19464</v>
      </c>
      <c r="G6974" s="24"/>
      <c r="H6974" s="230">
        <v>4.5</v>
      </c>
      <c r="I6974" s="220">
        <v>2755000</v>
      </c>
      <c r="J6974" s="220">
        <f>I6974*0.1</f>
        <v>275500</v>
      </c>
      <c r="K6974" s="220">
        <v>0</v>
      </c>
      <c r="L6974" s="220">
        <v>10510</v>
      </c>
      <c r="M6974" s="220">
        <v>12100</v>
      </c>
      <c r="N6974" s="220">
        <f>SUM(I6974:M6975)</f>
        <v>3053110</v>
      </c>
      <c r="O6974" s="224"/>
      <c r="P6974" s="110" t="s">
        <v>19998</v>
      </c>
      <c r="Q6974" s="15" t="s">
        <v>19</v>
      </c>
      <c r="R6974" s="205"/>
      <c r="S6974" s="189" t="s">
        <v>455</v>
      </c>
      <c r="T6974" s="114"/>
      <c r="U6974" s="21"/>
      <c r="V6974" s="115">
        <v>46095</v>
      </c>
      <c r="W6974" s="116">
        <v>1292</v>
      </c>
      <c r="X6974" s="220">
        <v>2910000</v>
      </c>
      <c r="Y6974" s="220">
        <f>X6974*0.1</f>
        <v>291000</v>
      </c>
      <c r="Z6974" s="220">
        <v>10510</v>
      </c>
      <c r="AA6974" s="220">
        <f>SUM(X6974:Z6974)</f>
        <v>3211510</v>
      </c>
      <c r="AB6974" s="222">
        <v>46105</v>
      </c>
    </row>
    <row r="6975" spans="1:28" ht="17.100000000000001" customHeight="1" thickBot="1">
      <c r="A6975" s="227"/>
      <c r="B6975" s="27" t="s">
        <v>19459</v>
      </c>
      <c r="C6975" s="27">
        <v>1148</v>
      </c>
      <c r="D6975" s="14" t="s">
        <v>19473</v>
      </c>
      <c r="E6975" s="229"/>
      <c r="F6975" s="117" t="s">
        <v>19465</v>
      </c>
      <c r="G6975" s="26">
        <v>37770</v>
      </c>
      <c r="H6975" s="231"/>
      <c r="I6975" s="221"/>
      <c r="J6975" s="221"/>
      <c r="K6975" s="221"/>
      <c r="L6975" s="221"/>
      <c r="M6975" s="221"/>
      <c r="N6975" s="221"/>
      <c r="O6975" s="225"/>
      <c r="P6975" s="118" t="s">
        <v>2870</v>
      </c>
      <c r="Q6975" s="16" t="s">
        <v>20</v>
      </c>
      <c r="R6975" s="17" t="s">
        <v>19992</v>
      </c>
      <c r="S6975" s="121" t="s">
        <v>1731</v>
      </c>
      <c r="T6975" s="122"/>
      <c r="U6975" s="22"/>
      <c r="V6975" s="123" t="s">
        <v>6641</v>
      </c>
      <c r="W6975" s="122">
        <v>164</v>
      </c>
      <c r="X6975" s="221"/>
      <c r="Y6975" s="221"/>
      <c r="Z6975" s="221"/>
      <c r="AA6975" s="221"/>
      <c r="AB6975" s="223"/>
    </row>
    <row r="6976" spans="1:28" ht="17.100000000000001" customHeight="1" thickTop="1">
      <c r="A6976" s="226" t="s">
        <v>19476</v>
      </c>
      <c r="B6976" s="28">
        <v>46092</v>
      </c>
      <c r="C6976" s="25">
        <v>2346</v>
      </c>
      <c r="D6976" s="13" t="s">
        <v>1666</v>
      </c>
      <c r="E6976" s="228"/>
      <c r="F6976" s="109" t="s">
        <v>19474</v>
      </c>
      <c r="G6976" s="24"/>
      <c r="H6976" s="230">
        <v>4</v>
      </c>
      <c r="I6976" s="220">
        <v>1095000</v>
      </c>
      <c r="J6976" s="220">
        <f>I6976*0.1</f>
        <v>109500</v>
      </c>
      <c r="K6976" s="220">
        <v>0</v>
      </c>
      <c r="L6976" s="220">
        <v>12030</v>
      </c>
      <c r="M6976" s="220">
        <v>16500</v>
      </c>
      <c r="N6976" s="220">
        <f>SUM(I6976:M6977)</f>
        <v>1233030</v>
      </c>
      <c r="O6976" s="224"/>
      <c r="P6976" s="110" t="s">
        <v>19573</v>
      </c>
      <c r="Q6976" s="15" t="s">
        <v>19</v>
      </c>
      <c r="R6976" s="205"/>
      <c r="S6976" s="189" t="s">
        <v>25622</v>
      </c>
      <c r="T6976" s="114"/>
      <c r="U6976" s="21"/>
      <c r="V6976" s="115">
        <v>46095</v>
      </c>
      <c r="W6976" s="116">
        <v>1292</v>
      </c>
      <c r="X6976" s="220">
        <v>1220000</v>
      </c>
      <c r="Y6976" s="220">
        <f>X6976*0.1</f>
        <v>122000</v>
      </c>
      <c r="Z6976" s="220">
        <v>12030</v>
      </c>
      <c r="AA6976" s="220">
        <f>SUM(X6976:Z6976)</f>
        <v>1354030</v>
      </c>
      <c r="AB6976" s="222">
        <v>46098</v>
      </c>
    </row>
    <row r="6977" spans="1:28" ht="17.100000000000001" customHeight="1" thickBot="1">
      <c r="A6977" s="227"/>
      <c r="B6977" s="27" t="s">
        <v>3367</v>
      </c>
      <c r="C6977" s="27">
        <v>60278</v>
      </c>
      <c r="D6977" s="14" t="s">
        <v>2559</v>
      </c>
      <c r="E6977" s="229"/>
      <c r="F6977" s="117" t="s">
        <v>19475</v>
      </c>
      <c r="G6977" s="26">
        <v>54190</v>
      </c>
      <c r="H6977" s="231"/>
      <c r="I6977" s="221"/>
      <c r="J6977" s="221"/>
      <c r="K6977" s="221"/>
      <c r="L6977" s="221"/>
      <c r="M6977" s="221"/>
      <c r="N6977" s="221"/>
      <c r="O6977" s="225"/>
      <c r="P6977" s="118" t="s">
        <v>19574</v>
      </c>
      <c r="Q6977" s="16" t="s">
        <v>20</v>
      </c>
      <c r="R6977" s="17" t="s">
        <v>19572</v>
      </c>
      <c r="S6977" s="121" t="s">
        <v>19575</v>
      </c>
      <c r="T6977" s="122"/>
      <c r="U6977" s="22"/>
      <c r="V6977" s="123" t="s">
        <v>2472</v>
      </c>
      <c r="W6977" s="122">
        <v>114</v>
      </c>
      <c r="X6977" s="221"/>
      <c r="Y6977" s="221"/>
      <c r="Z6977" s="221"/>
      <c r="AA6977" s="221"/>
      <c r="AB6977" s="223"/>
    </row>
    <row r="6978" spans="1:28" ht="17.100000000000001" customHeight="1" thickTop="1">
      <c r="A6978" s="226" t="s">
        <v>19478</v>
      </c>
      <c r="B6978" s="28">
        <v>46092</v>
      </c>
      <c r="C6978" s="25">
        <v>1322</v>
      </c>
      <c r="D6978" s="13" t="s">
        <v>2167</v>
      </c>
      <c r="E6978" s="228"/>
      <c r="F6978" s="109" t="s">
        <v>1916</v>
      </c>
      <c r="G6978" s="24" t="s">
        <v>12306</v>
      </c>
      <c r="H6978" s="230">
        <v>4</v>
      </c>
      <c r="I6978" s="220">
        <v>764000</v>
      </c>
      <c r="J6978" s="220">
        <f>I6978*0.1</f>
        <v>76400</v>
      </c>
      <c r="K6978" s="220">
        <f>34500</f>
        <v>34500</v>
      </c>
      <c r="L6978" s="220">
        <v>17600</v>
      </c>
      <c r="M6978" s="220">
        <v>15400</v>
      </c>
      <c r="N6978" s="220">
        <f>SUM(I6978:M6979)</f>
        <v>907900</v>
      </c>
      <c r="O6978" s="224"/>
      <c r="P6978" s="110" t="s">
        <v>20101</v>
      </c>
      <c r="Q6978" s="15" t="s">
        <v>19</v>
      </c>
      <c r="R6978" s="205"/>
      <c r="S6978" s="189"/>
      <c r="T6978" s="114"/>
      <c r="U6978" s="21"/>
      <c r="V6978" s="115">
        <v>46102</v>
      </c>
      <c r="W6978" s="116">
        <v>1293</v>
      </c>
      <c r="X6978" s="220">
        <v>945000</v>
      </c>
      <c r="Y6978" s="220">
        <f>X6978*0.1</f>
        <v>94500</v>
      </c>
      <c r="Z6978" s="220">
        <v>17600</v>
      </c>
      <c r="AA6978" s="220">
        <f>SUM(X6978:Z6978)</f>
        <v>1057100</v>
      </c>
      <c r="AB6978" s="222">
        <v>46105</v>
      </c>
    </row>
    <row r="6979" spans="1:28" ht="17.100000000000001" customHeight="1" thickBot="1">
      <c r="A6979" s="227"/>
      <c r="B6979" s="27" t="s">
        <v>5197</v>
      </c>
      <c r="C6979" s="27">
        <v>3083</v>
      </c>
      <c r="D6979" s="14" t="s">
        <v>1568</v>
      </c>
      <c r="E6979" s="229"/>
      <c r="F6979" s="117" t="s">
        <v>19477</v>
      </c>
      <c r="G6979" s="26">
        <v>54260</v>
      </c>
      <c r="H6979" s="231"/>
      <c r="I6979" s="221"/>
      <c r="J6979" s="221"/>
      <c r="K6979" s="221"/>
      <c r="L6979" s="221"/>
      <c r="M6979" s="221"/>
      <c r="N6979" s="221"/>
      <c r="O6979" s="225"/>
      <c r="P6979" s="118" t="s">
        <v>20102</v>
      </c>
      <c r="Q6979" s="16" t="s">
        <v>20</v>
      </c>
      <c r="R6979" s="17" t="s">
        <v>2347</v>
      </c>
      <c r="S6979" s="121" t="s">
        <v>12420</v>
      </c>
      <c r="T6979" s="122"/>
      <c r="U6979" s="22"/>
      <c r="V6979" s="123" t="s">
        <v>2472</v>
      </c>
      <c r="W6979" s="122">
        <v>80067</v>
      </c>
      <c r="X6979" s="221"/>
      <c r="Y6979" s="221"/>
      <c r="Z6979" s="221"/>
      <c r="AA6979" s="221"/>
      <c r="AB6979" s="223"/>
    </row>
    <row r="6980" spans="1:28" ht="17.100000000000001" customHeight="1" thickTop="1">
      <c r="A6980" s="226" t="s">
        <v>19479</v>
      </c>
      <c r="B6980" s="28">
        <v>46092</v>
      </c>
      <c r="C6980" s="25">
        <v>1829</v>
      </c>
      <c r="D6980" s="13" t="s">
        <v>1053</v>
      </c>
      <c r="E6980" s="228"/>
      <c r="F6980" s="109" t="s">
        <v>7551</v>
      </c>
      <c r="G6980" s="24"/>
      <c r="H6980" s="230">
        <v>4.5</v>
      </c>
      <c r="I6980" s="220">
        <v>908000</v>
      </c>
      <c r="J6980" s="220">
        <f>I6980*0.1</f>
        <v>90800</v>
      </c>
      <c r="K6980" s="220">
        <v>0</v>
      </c>
      <c r="L6980" s="220">
        <v>8010</v>
      </c>
      <c r="M6980" s="220">
        <v>18150</v>
      </c>
      <c r="N6980" s="220">
        <f>SUM(I6980:M6981)</f>
        <v>1024960</v>
      </c>
      <c r="O6980" s="224"/>
      <c r="P6980" s="110" t="s">
        <v>19870</v>
      </c>
      <c r="Q6980" s="15" t="s">
        <v>19</v>
      </c>
      <c r="R6980" s="205"/>
      <c r="S6980" s="189" t="s">
        <v>25470</v>
      </c>
      <c r="T6980" s="114"/>
      <c r="U6980" s="21"/>
      <c r="V6980" s="115">
        <v>46102</v>
      </c>
      <c r="W6980" s="116">
        <v>1293</v>
      </c>
      <c r="X6980" s="220">
        <v>1000000</v>
      </c>
      <c r="Y6980" s="220">
        <f>X6980*0.1</f>
        <v>100000</v>
      </c>
      <c r="Z6980" s="220">
        <v>8010</v>
      </c>
      <c r="AA6980" s="220">
        <f>SUM(X6980:Z6980)</f>
        <v>1108010</v>
      </c>
      <c r="AB6980" s="222">
        <v>46107</v>
      </c>
    </row>
    <row r="6981" spans="1:28" ht="17.100000000000001" customHeight="1" thickBot="1">
      <c r="A6981" s="227"/>
      <c r="B6981" s="27" t="s">
        <v>2519</v>
      </c>
      <c r="C6981" s="27">
        <v>3297</v>
      </c>
      <c r="D6981" s="14" t="s">
        <v>19483</v>
      </c>
      <c r="E6981" s="229"/>
      <c r="F6981" s="117" t="s">
        <v>19484</v>
      </c>
      <c r="G6981" s="26">
        <v>29827</v>
      </c>
      <c r="H6981" s="231"/>
      <c r="I6981" s="221"/>
      <c r="J6981" s="221"/>
      <c r="K6981" s="221"/>
      <c r="L6981" s="221"/>
      <c r="M6981" s="221"/>
      <c r="N6981" s="221"/>
      <c r="O6981" s="225"/>
      <c r="P6981" s="118" t="s">
        <v>1972</v>
      </c>
      <c r="Q6981" s="16" t="s">
        <v>20</v>
      </c>
      <c r="R6981" s="17" t="s">
        <v>2341</v>
      </c>
      <c r="S6981" s="121" t="s">
        <v>169</v>
      </c>
      <c r="T6981" s="122"/>
      <c r="U6981" s="22"/>
      <c r="V6981" s="123" t="s">
        <v>6641</v>
      </c>
      <c r="W6981" s="122">
        <v>60183</v>
      </c>
      <c r="X6981" s="221"/>
      <c r="Y6981" s="221"/>
      <c r="Z6981" s="221"/>
      <c r="AA6981" s="221"/>
      <c r="AB6981" s="223"/>
    </row>
    <row r="6982" spans="1:28" ht="17.100000000000001" customHeight="1" thickTop="1">
      <c r="A6982" s="226" t="s">
        <v>19480</v>
      </c>
      <c r="B6982" s="28">
        <v>46092</v>
      </c>
      <c r="C6982" s="25">
        <v>1829</v>
      </c>
      <c r="D6982" s="13" t="s">
        <v>1702</v>
      </c>
      <c r="E6982" s="228"/>
      <c r="F6982" s="109" t="s">
        <v>19485</v>
      </c>
      <c r="G6982" s="24"/>
      <c r="H6982" s="230">
        <v>4.5</v>
      </c>
      <c r="I6982" s="220">
        <v>942000</v>
      </c>
      <c r="J6982" s="220">
        <f>I6982*0.1</f>
        <v>94200</v>
      </c>
      <c r="K6982" s="220">
        <v>0</v>
      </c>
      <c r="L6982" s="220">
        <v>9010</v>
      </c>
      <c r="M6982" s="220">
        <v>18150</v>
      </c>
      <c r="N6982" s="220">
        <f>SUM(I6982:M6983)</f>
        <v>1063360</v>
      </c>
      <c r="O6982" s="224"/>
      <c r="P6982" s="110" t="s">
        <v>19869</v>
      </c>
      <c r="Q6982" s="15" t="s">
        <v>19</v>
      </c>
      <c r="R6982" s="205"/>
      <c r="S6982" s="189"/>
      <c r="T6982" s="114"/>
      <c r="U6982" s="21"/>
      <c r="V6982" s="115">
        <v>46155</v>
      </c>
      <c r="W6982" s="116">
        <v>1016</v>
      </c>
      <c r="X6982" s="220">
        <v>1065000</v>
      </c>
      <c r="Y6982" s="220">
        <f>X6982*0.1</f>
        <v>106500</v>
      </c>
      <c r="Z6982" s="220">
        <v>9010</v>
      </c>
      <c r="AA6982" s="220">
        <f>SUM(X6982:Z6982)</f>
        <v>1180510</v>
      </c>
      <c r="AB6982" s="222">
        <v>46160</v>
      </c>
    </row>
    <row r="6983" spans="1:28" ht="17.100000000000001" customHeight="1" thickBot="1">
      <c r="A6983" s="227"/>
      <c r="B6983" s="27" t="s">
        <v>2519</v>
      </c>
      <c r="C6983" s="27">
        <v>3422</v>
      </c>
      <c r="D6983" s="14" t="s">
        <v>1627</v>
      </c>
      <c r="E6983" s="229"/>
      <c r="F6983" s="117" t="s">
        <v>19486</v>
      </c>
      <c r="G6983" s="26">
        <v>42007</v>
      </c>
      <c r="H6983" s="231"/>
      <c r="I6983" s="221"/>
      <c r="J6983" s="221"/>
      <c r="K6983" s="221"/>
      <c r="L6983" s="221"/>
      <c r="M6983" s="221"/>
      <c r="N6983" s="221"/>
      <c r="O6983" s="225"/>
      <c r="P6983" s="118" t="s">
        <v>1972</v>
      </c>
      <c r="Q6983" s="16" t="s">
        <v>20</v>
      </c>
      <c r="R6983" s="17" t="s">
        <v>2341</v>
      </c>
      <c r="S6983" s="121"/>
      <c r="T6983" s="122"/>
      <c r="U6983" s="22"/>
      <c r="V6983" s="123" t="s">
        <v>2747</v>
      </c>
      <c r="W6983" s="122">
        <v>2044</v>
      </c>
      <c r="X6983" s="221"/>
      <c r="Y6983" s="221"/>
      <c r="Z6983" s="221"/>
      <c r="AA6983" s="221"/>
      <c r="AB6983" s="223"/>
    </row>
    <row r="6984" spans="1:28" ht="17.100000000000001" customHeight="1" thickTop="1">
      <c r="A6984" s="226" t="s">
        <v>19481</v>
      </c>
      <c r="B6984" s="28">
        <v>46092</v>
      </c>
      <c r="C6984" s="25">
        <v>1829</v>
      </c>
      <c r="D6984" s="13" t="s">
        <v>19487</v>
      </c>
      <c r="E6984" s="228"/>
      <c r="F6984" s="109" t="s">
        <v>4200</v>
      </c>
      <c r="G6984" s="24"/>
      <c r="H6984" s="230">
        <v>4</v>
      </c>
      <c r="I6984" s="220">
        <v>525000</v>
      </c>
      <c r="J6984" s="220">
        <f>I6984*0.1</f>
        <v>52500</v>
      </c>
      <c r="K6984" s="220">
        <v>0</v>
      </c>
      <c r="L6984" s="220">
        <v>8670</v>
      </c>
      <c r="M6984" s="220">
        <v>18150</v>
      </c>
      <c r="N6984" s="220">
        <f>SUM(I6984:M6985)</f>
        <v>604320</v>
      </c>
      <c r="O6984" s="224"/>
      <c r="P6984" s="110" t="s">
        <v>20027</v>
      </c>
      <c r="Q6984" s="15" t="s">
        <v>19</v>
      </c>
      <c r="R6984" s="205"/>
      <c r="S6984" s="189" t="s">
        <v>758</v>
      </c>
      <c r="T6984" s="114"/>
      <c r="U6984" s="21"/>
      <c r="V6984" s="115">
        <v>46130</v>
      </c>
      <c r="W6984" s="116">
        <v>1297</v>
      </c>
      <c r="X6984" s="220">
        <v>600000</v>
      </c>
      <c r="Y6984" s="220">
        <f>X6984*0.1</f>
        <v>60000</v>
      </c>
      <c r="Z6984" s="220">
        <v>8670</v>
      </c>
      <c r="AA6984" s="220">
        <f>SUM(X6984:Z6984)</f>
        <v>668670</v>
      </c>
      <c r="AB6984" s="222">
        <v>46139</v>
      </c>
    </row>
    <row r="6985" spans="1:28" ht="17.100000000000001" customHeight="1" thickBot="1">
      <c r="A6985" s="227"/>
      <c r="B6985" s="27" t="s">
        <v>2519</v>
      </c>
      <c r="C6985" s="27">
        <v>13081</v>
      </c>
      <c r="D6985" s="14" t="s">
        <v>1568</v>
      </c>
      <c r="E6985" s="229"/>
      <c r="F6985" s="117" t="s">
        <v>19488</v>
      </c>
      <c r="G6985" s="26">
        <v>42049</v>
      </c>
      <c r="H6985" s="231"/>
      <c r="I6985" s="221"/>
      <c r="J6985" s="221"/>
      <c r="K6985" s="221"/>
      <c r="L6985" s="221"/>
      <c r="M6985" s="221"/>
      <c r="N6985" s="221"/>
      <c r="O6985" s="225"/>
      <c r="P6985" s="118" t="s">
        <v>4348</v>
      </c>
      <c r="Q6985" s="16" t="s">
        <v>20</v>
      </c>
      <c r="R6985" s="17" t="s">
        <v>19992</v>
      </c>
      <c r="S6985" s="121" t="s">
        <v>169</v>
      </c>
      <c r="T6985" s="122"/>
      <c r="U6985" s="22"/>
      <c r="V6985" s="123" t="s">
        <v>23518</v>
      </c>
      <c r="W6985" s="122">
        <v>60042</v>
      </c>
      <c r="X6985" s="221"/>
      <c r="Y6985" s="221"/>
      <c r="Z6985" s="221"/>
      <c r="AA6985" s="221"/>
      <c r="AB6985" s="223"/>
    </row>
    <row r="6986" spans="1:28" ht="17.100000000000001" customHeight="1" thickTop="1">
      <c r="A6986" s="226" t="s">
        <v>19482</v>
      </c>
      <c r="B6986" s="28">
        <v>46092</v>
      </c>
      <c r="C6986" s="25">
        <v>1829</v>
      </c>
      <c r="D6986" s="13" t="s">
        <v>1607</v>
      </c>
      <c r="E6986" s="228"/>
      <c r="F6986" s="109" t="s">
        <v>19489</v>
      </c>
      <c r="G6986" s="24" t="s">
        <v>2926</v>
      </c>
      <c r="H6986" s="230">
        <v>4</v>
      </c>
      <c r="I6986" s="220">
        <v>1040000</v>
      </c>
      <c r="J6986" s="220">
        <f>I6986*0.1</f>
        <v>104000</v>
      </c>
      <c r="K6986" s="220">
        <v>34500</v>
      </c>
      <c r="L6986" s="220">
        <v>18570</v>
      </c>
      <c r="M6986" s="220">
        <v>18150</v>
      </c>
      <c r="N6986" s="220">
        <f>SUM(I6986:M6987)</f>
        <v>1215220</v>
      </c>
      <c r="O6986" s="224"/>
      <c r="P6986" s="110" t="s">
        <v>19491</v>
      </c>
      <c r="Q6986" s="15" t="s">
        <v>19</v>
      </c>
      <c r="R6986" s="205"/>
      <c r="S6986" s="189"/>
      <c r="T6986" s="114"/>
      <c r="U6986" s="21"/>
      <c r="V6986" s="115">
        <v>46095</v>
      </c>
      <c r="W6986" s="116">
        <v>1292</v>
      </c>
      <c r="X6986" s="220">
        <v>1140000</v>
      </c>
      <c r="Y6986" s="220">
        <f>X6986*0.1</f>
        <v>114000</v>
      </c>
      <c r="Z6986" s="220">
        <v>18570</v>
      </c>
      <c r="AA6986" s="220">
        <f>SUM(X6986:Z6986)</f>
        <v>1272570</v>
      </c>
      <c r="AB6986" s="222">
        <v>46100</v>
      </c>
    </row>
    <row r="6987" spans="1:28" ht="17.100000000000001" customHeight="1" thickBot="1">
      <c r="A6987" s="227"/>
      <c r="B6987" s="27" t="s">
        <v>2519</v>
      </c>
      <c r="C6987" s="27">
        <v>38012</v>
      </c>
      <c r="D6987" s="14" t="s">
        <v>898</v>
      </c>
      <c r="E6987" s="229"/>
      <c r="F6987" s="117" t="s">
        <v>19490</v>
      </c>
      <c r="G6987" s="26">
        <v>48966</v>
      </c>
      <c r="H6987" s="231"/>
      <c r="I6987" s="221"/>
      <c r="J6987" s="221"/>
      <c r="K6987" s="221"/>
      <c r="L6987" s="221"/>
      <c r="M6987" s="221"/>
      <c r="N6987" s="221"/>
      <c r="O6987" s="225"/>
      <c r="P6987" s="118" t="s">
        <v>19868</v>
      </c>
      <c r="Q6987" s="16" t="s">
        <v>20</v>
      </c>
      <c r="R6987" s="17" t="s">
        <v>2341</v>
      </c>
      <c r="S6987" s="121"/>
      <c r="T6987" s="122"/>
      <c r="U6987" s="22"/>
      <c r="V6987" s="123" t="s">
        <v>20428</v>
      </c>
      <c r="W6987" s="122">
        <v>80325</v>
      </c>
      <c r="X6987" s="221"/>
      <c r="Y6987" s="221"/>
      <c r="Z6987" s="221"/>
      <c r="AA6987" s="221"/>
      <c r="AB6987" s="223"/>
    </row>
    <row r="6988" spans="1:28" ht="17.100000000000001" customHeight="1" thickTop="1">
      <c r="A6988" s="226" t="s">
        <v>19547</v>
      </c>
      <c r="B6988" s="28">
        <v>46093</v>
      </c>
      <c r="C6988" s="25">
        <v>1322</v>
      </c>
      <c r="D6988" s="13" t="s">
        <v>3474</v>
      </c>
      <c r="E6988" s="228"/>
      <c r="F6988" s="109" t="s">
        <v>19550</v>
      </c>
      <c r="G6988" s="24"/>
      <c r="H6988" s="230">
        <v>4</v>
      </c>
      <c r="I6988" s="220">
        <v>1690000</v>
      </c>
      <c r="J6988" s="220">
        <f>I6988*0.1</f>
        <v>169000</v>
      </c>
      <c r="K6988" s="220">
        <v>0</v>
      </c>
      <c r="L6988" s="220">
        <v>20730</v>
      </c>
      <c r="M6988" s="220">
        <v>16500</v>
      </c>
      <c r="N6988" s="220">
        <f>SUM(I6988:M6989)</f>
        <v>1896230</v>
      </c>
      <c r="O6988" s="224"/>
      <c r="P6988" s="110" t="s">
        <v>19876</v>
      </c>
      <c r="Q6988" s="15" t="s">
        <v>19</v>
      </c>
      <c r="R6988" s="205"/>
      <c r="S6988" s="189" t="s">
        <v>25367</v>
      </c>
      <c r="T6988" s="114"/>
      <c r="U6988" s="21"/>
      <c r="V6988" s="115"/>
      <c r="W6988" s="116"/>
      <c r="X6988" s="220"/>
      <c r="Y6988" s="220">
        <f>X6988*0.1</f>
        <v>0</v>
      </c>
      <c r="Z6988" s="220"/>
      <c r="AA6988" s="220">
        <f>SUM(X6988:Z6988)</f>
        <v>0</v>
      </c>
      <c r="AB6988" s="222"/>
    </row>
    <row r="6989" spans="1:28" ht="17.100000000000001" customHeight="1" thickBot="1">
      <c r="A6989" s="227"/>
      <c r="B6989" s="27" t="s">
        <v>1735</v>
      </c>
      <c r="C6989" s="27">
        <v>171</v>
      </c>
      <c r="D6989" s="14" t="s">
        <v>898</v>
      </c>
      <c r="E6989" s="229"/>
      <c r="F6989" s="117" t="s">
        <v>19551</v>
      </c>
      <c r="G6989" s="26">
        <v>46741</v>
      </c>
      <c r="H6989" s="231"/>
      <c r="I6989" s="221"/>
      <c r="J6989" s="221"/>
      <c r="K6989" s="221"/>
      <c r="L6989" s="221"/>
      <c r="M6989" s="221"/>
      <c r="N6989" s="221"/>
      <c r="O6989" s="225"/>
      <c r="P6989" s="118" t="s">
        <v>3479</v>
      </c>
      <c r="Q6989" s="16" t="s">
        <v>20</v>
      </c>
      <c r="R6989" s="17" t="s">
        <v>2341</v>
      </c>
      <c r="S6989" s="121" t="s">
        <v>1606</v>
      </c>
      <c r="T6989" s="122"/>
      <c r="U6989" s="22"/>
      <c r="V6989" s="123"/>
      <c r="W6989" s="122"/>
      <c r="X6989" s="221"/>
      <c r="Y6989" s="221"/>
      <c r="Z6989" s="221"/>
      <c r="AA6989" s="221"/>
      <c r="AB6989" s="223"/>
    </row>
    <row r="6990" spans="1:28" ht="17.100000000000001" customHeight="1" thickTop="1">
      <c r="A6990" s="226" t="s">
        <v>19548</v>
      </c>
      <c r="B6990" s="28">
        <v>46093</v>
      </c>
      <c r="C6990" s="25">
        <v>1322</v>
      </c>
      <c r="D6990" s="13" t="s">
        <v>1704</v>
      </c>
      <c r="E6990" s="228"/>
      <c r="F6990" s="109" t="s">
        <v>19552</v>
      </c>
      <c r="G6990" s="24"/>
      <c r="H6990" s="230">
        <v>4.5</v>
      </c>
      <c r="I6990" s="220">
        <v>2550000</v>
      </c>
      <c r="J6990" s="220">
        <f>I6990*0.1</f>
        <v>255000</v>
      </c>
      <c r="K6990" s="220">
        <v>0</v>
      </c>
      <c r="L6990" s="220">
        <v>18170</v>
      </c>
      <c r="M6990" s="220">
        <v>24200</v>
      </c>
      <c r="N6990" s="220">
        <f>SUM(I6990:M6991)</f>
        <v>2847370</v>
      </c>
      <c r="O6990" s="224"/>
      <c r="P6990" s="110" t="s">
        <v>19877</v>
      </c>
      <c r="Q6990" s="15" t="s">
        <v>19</v>
      </c>
      <c r="R6990" s="205"/>
      <c r="S6990" s="189" t="s">
        <v>1312</v>
      </c>
      <c r="T6990" s="114"/>
      <c r="U6990" s="21"/>
      <c r="V6990" s="115">
        <v>46109</v>
      </c>
      <c r="W6990" s="116">
        <v>1294</v>
      </c>
      <c r="X6990" s="220">
        <v>2700000</v>
      </c>
      <c r="Y6990" s="220">
        <f>X6990*0.1</f>
        <v>270000</v>
      </c>
      <c r="Z6990" s="220">
        <v>18170</v>
      </c>
      <c r="AA6990" s="220">
        <f>SUM(X6990:Z6990)</f>
        <v>2988170</v>
      </c>
      <c r="AB6990" s="222">
        <v>46112</v>
      </c>
    </row>
    <row r="6991" spans="1:28" ht="17.100000000000001" customHeight="1" thickBot="1">
      <c r="A6991" s="227"/>
      <c r="B6991" s="27" t="s">
        <v>1735</v>
      </c>
      <c r="C6991" s="27">
        <v>339</v>
      </c>
      <c r="D6991" s="14" t="s">
        <v>131</v>
      </c>
      <c r="E6991" s="229"/>
      <c r="F6991" s="117" t="s">
        <v>19553</v>
      </c>
      <c r="G6991" s="26">
        <v>30906</v>
      </c>
      <c r="H6991" s="231"/>
      <c r="I6991" s="221"/>
      <c r="J6991" s="221"/>
      <c r="K6991" s="221"/>
      <c r="L6991" s="221"/>
      <c r="M6991" s="221"/>
      <c r="N6991" s="221"/>
      <c r="O6991" s="225"/>
      <c r="P6991" s="118" t="s">
        <v>10534</v>
      </c>
      <c r="Q6991" s="16" t="s">
        <v>20</v>
      </c>
      <c r="R6991" s="17" t="s">
        <v>2341</v>
      </c>
      <c r="S6991" s="121" t="s">
        <v>1606</v>
      </c>
      <c r="T6991" s="122"/>
      <c r="U6991" s="22"/>
      <c r="V6991" s="123" t="s">
        <v>21250</v>
      </c>
      <c r="W6991" s="122">
        <v>80069</v>
      </c>
      <c r="X6991" s="221"/>
      <c r="Y6991" s="221"/>
      <c r="Z6991" s="221"/>
      <c r="AA6991" s="221"/>
      <c r="AB6991" s="223"/>
    </row>
    <row r="6992" spans="1:28" ht="17.100000000000001" customHeight="1" thickTop="1">
      <c r="A6992" s="233" t="s">
        <v>19549</v>
      </c>
      <c r="B6992" s="28">
        <v>46093</v>
      </c>
      <c r="C6992" s="25">
        <v>1322</v>
      </c>
      <c r="D6992" s="13" t="s">
        <v>2094</v>
      </c>
      <c r="E6992" s="228"/>
      <c r="F6992" s="109" t="s">
        <v>19554</v>
      </c>
      <c r="G6992" s="24" t="s">
        <v>4315</v>
      </c>
      <c r="H6992" s="230">
        <v>4</v>
      </c>
      <c r="I6992" s="220">
        <v>2695000</v>
      </c>
      <c r="J6992" s="220">
        <f>I6992*0.1</f>
        <v>269500</v>
      </c>
      <c r="K6992" s="220">
        <v>36000</v>
      </c>
      <c r="L6992" s="220">
        <v>18550</v>
      </c>
      <c r="M6992" s="220">
        <v>16500</v>
      </c>
      <c r="N6992" s="220">
        <f>SUM(I6992:M6993)</f>
        <v>3035550</v>
      </c>
      <c r="O6992" s="224"/>
      <c r="P6992" s="110" t="s">
        <v>19556</v>
      </c>
      <c r="Q6992" s="15" t="s">
        <v>19</v>
      </c>
      <c r="R6992" s="205"/>
      <c r="S6992" s="189" t="s">
        <v>1271</v>
      </c>
      <c r="T6992" s="114" t="s">
        <v>19965</v>
      </c>
      <c r="U6992" s="21"/>
      <c r="V6992" s="115"/>
      <c r="W6992" s="116"/>
      <c r="X6992" s="220"/>
      <c r="Y6992" s="220">
        <f>X6992*0.1</f>
        <v>0</v>
      </c>
      <c r="Z6992" s="220"/>
      <c r="AA6992" s="220">
        <f>SUM(X6992:Z6992)</f>
        <v>0</v>
      </c>
      <c r="AB6992" s="222"/>
    </row>
    <row r="6993" spans="1:28" ht="17.100000000000001" customHeight="1" thickBot="1">
      <c r="A6993" s="234"/>
      <c r="B6993" s="27" t="s">
        <v>1735</v>
      </c>
      <c r="C6993" s="27">
        <v>551</v>
      </c>
      <c r="D6993" s="14" t="s">
        <v>898</v>
      </c>
      <c r="E6993" s="229"/>
      <c r="F6993" s="117" t="s">
        <v>19555</v>
      </c>
      <c r="G6993" s="26">
        <v>2414</v>
      </c>
      <c r="H6993" s="231"/>
      <c r="I6993" s="221"/>
      <c r="J6993" s="221"/>
      <c r="K6993" s="221"/>
      <c r="L6993" s="221"/>
      <c r="M6993" s="221"/>
      <c r="N6993" s="221"/>
      <c r="O6993" s="225"/>
      <c r="P6993" s="118" t="s">
        <v>19875</v>
      </c>
      <c r="Q6993" s="16" t="s">
        <v>20</v>
      </c>
      <c r="R6993" s="17" t="s">
        <v>2341</v>
      </c>
      <c r="S6993" s="121" t="s">
        <v>1731</v>
      </c>
      <c r="T6993" s="122"/>
      <c r="U6993" s="22"/>
      <c r="V6993" s="123"/>
      <c r="W6993" s="122"/>
      <c r="X6993" s="221"/>
      <c r="Y6993" s="221"/>
      <c r="Z6993" s="221"/>
      <c r="AA6993" s="221"/>
      <c r="AB6993" s="223"/>
    </row>
    <row r="6994" spans="1:28" ht="17.100000000000001" customHeight="1" thickTop="1">
      <c r="A6994" s="226" t="s">
        <v>19557</v>
      </c>
      <c r="B6994" s="28">
        <v>46093</v>
      </c>
      <c r="C6994" s="25">
        <v>1557</v>
      </c>
      <c r="D6994" s="13" t="s">
        <v>1976</v>
      </c>
      <c r="E6994" s="228"/>
      <c r="F6994" s="109" t="s">
        <v>19558</v>
      </c>
      <c r="G6994" s="24"/>
      <c r="H6994" s="230">
        <v>5</v>
      </c>
      <c r="I6994" s="220">
        <v>3210000</v>
      </c>
      <c r="J6994" s="220">
        <f>I6994*0.1</f>
        <v>321000</v>
      </c>
      <c r="K6994" s="220">
        <v>0</v>
      </c>
      <c r="L6994" s="220">
        <v>21190</v>
      </c>
      <c r="M6994" s="220">
        <v>16500</v>
      </c>
      <c r="N6994" s="220">
        <f>SUM(I6994:M6995)</f>
        <v>3568690</v>
      </c>
      <c r="O6994" s="224"/>
      <c r="P6994" s="110" t="s">
        <v>20013</v>
      </c>
      <c r="Q6994" s="15" t="s">
        <v>19</v>
      </c>
      <c r="R6994" s="205"/>
      <c r="S6994" s="189" t="s">
        <v>758</v>
      </c>
      <c r="T6994" s="114"/>
      <c r="U6994" s="21"/>
      <c r="V6994" s="115"/>
      <c r="W6994" s="116"/>
      <c r="X6994" s="220"/>
      <c r="Y6994" s="220">
        <f>X6994*0.1</f>
        <v>0</v>
      </c>
      <c r="Z6994" s="220"/>
      <c r="AA6994" s="220">
        <f>SUM(X6994:Z6994)</f>
        <v>0</v>
      </c>
      <c r="AB6994" s="222"/>
    </row>
    <row r="6995" spans="1:28" ht="17.100000000000001" customHeight="1" thickBot="1">
      <c r="A6995" s="227"/>
      <c r="B6995" s="27" t="s">
        <v>1592</v>
      </c>
      <c r="C6995" s="27">
        <v>76121</v>
      </c>
      <c r="D6995" s="14" t="s">
        <v>273</v>
      </c>
      <c r="E6995" s="229"/>
      <c r="F6995" s="117" t="s">
        <v>19559</v>
      </c>
      <c r="G6995" s="26">
        <v>14116</v>
      </c>
      <c r="H6995" s="231"/>
      <c r="I6995" s="221"/>
      <c r="J6995" s="221"/>
      <c r="K6995" s="221"/>
      <c r="L6995" s="221"/>
      <c r="M6995" s="221"/>
      <c r="N6995" s="221"/>
      <c r="O6995" s="225"/>
      <c r="P6995" s="118" t="s">
        <v>20014</v>
      </c>
      <c r="Q6995" s="16" t="s">
        <v>20</v>
      </c>
      <c r="R6995" s="17" t="s">
        <v>19992</v>
      </c>
      <c r="S6995" s="121" t="s">
        <v>1606</v>
      </c>
      <c r="T6995" s="122"/>
      <c r="U6995" s="22"/>
      <c r="V6995" s="123"/>
      <c r="W6995" s="122"/>
      <c r="X6995" s="221"/>
      <c r="Y6995" s="221"/>
      <c r="Z6995" s="221"/>
      <c r="AA6995" s="221"/>
      <c r="AB6995" s="223"/>
    </row>
    <row r="6996" spans="1:28" ht="17.100000000000001" customHeight="1" thickTop="1">
      <c r="A6996" s="226" t="s">
        <v>19598</v>
      </c>
      <c r="B6996" s="28">
        <v>46093</v>
      </c>
      <c r="C6996" s="25">
        <v>2149</v>
      </c>
      <c r="D6996" s="13" t="s">
        <v>1607</v>
      </c>
      <c r="E6996" s="228"/>
      <c r="F6996" s="109" t="s">
        <v>19607</v>
      </c>
      <c r="G6996" s="24" t="s">
        <v>14033</v>
      </c>
      <c r="H6996" s="230">
        <v>4.5</v>
      </c>
      <c r="I6996" s="220">
        <v>811000</v>
      </c>
      <c r="J6996" s="220">
        <f>I6996*0.1</f>
        <v>81100</v>
      </c>
      <c r="K6996" s="220">
        <v>10800</v>
      </c>
      <c r="L6996" s="220">
        <v>8790</v>
      </c>
      <c r="M6996" s="220">
        <v>14300</v>
      </c>
      <c r="N6996" s="220">
        <f>SUM(I6996:M6997)</f>
        <v>925990</v>
      </c>
      <c r="O6996" s="224"/>
      <c r="P6996" s="110" t="s">
        <v>20022</v>
      </c>
      <c r="Q6996" s="15" t="s">
        <v>19</v>
      </c>
      <c r="R6996" s="205"/>
      <c r="S6996" s="189" t="s">
        <v>25489</v>
      </c>
      <c r="T6996" s="114"/>
      <c r="U6996" s="21" t="s">
        <v>23153</v>
      </c>
      <c r="V6996" s="115">
        <v>46165</v>
      </c>
      <c r="W6996" s="116">
        <v>1301</v>
      </c>
      <c r="X6996" s="220">
        <v>820000</v>
      </c>
      <c r="Y6996" s="220">
        <f>X6996*0.1</f>
        <v>82000</v>
      </c>
      <c r="Z6996" s="220">
        <v>8790</v>
      </c>
      <c r="AA6996" s="220">
        <f>SUM(X6996:Z6996)</f>
        <v>910790</v>
      </c>
      <c r="AB6996" s="222">
        <v>46168</v>
      </c>
    </row>
    <row r="6997" spans="1:28" ht="17.100000000000001" customHeight="1" thickBot="1">
      <c r="A6997" s="227"/>
      <c r="B6997" s="27" t="s">
        <v>3228</v>
      </c>
      <c r="C6997" s="27">
        <v>2063</v>
      </c>
      <c r="D6997" s="14" t="s">
        <v>3731</v>
      </c>
      <c r="E6997" s="229"/>
      <c r="F6997" s="117" t="s">
        <v>19603</v>
      </c>
      <c r="G6997" s="26">
        <v>52370</v>
      </c>
      <c r="H6997" s="231"/>
      <c r="I6997" s="221"/>
      <c r="J6997" s="221"/>
      <c r="K6997" s="221"/>
      <c r="L6997" s="221"/>
      <c r="M6997" s="221"/>
      <c r="N6997" s="221"/>
      <c r="O6997" s="225"/>
      <c r="P6997" s="118" t="s">
        <v>20023</v>
      </c>
      <c r="Q6997" s="16" t="s">
        <v>20</v>
      </c>
      <c r="R6997" s="17" t="s">
        <v>19992</v>
      </c>
      <c r="S6997" s="121" t="s">
        <v>4539</v>
      </c>
      <c r="T6997" s="122"/>
      <c r="U6997" s="22"/>
      <c r="V6997" s="123" t="s">
        <v>2472</v>
      </c>
      <c r="W6997" s="122">
        <v>60049</v>
      </c>
      <c r="X6997" s="221"/>
      <c r="Y6997" s="221"/>
      <c r="Z6997" s="221"/>
      <c r="AA6997" s="221"/>
      <c r="AB6997" s="223"/>
    </row>
    <row r="6998" spans="1:28" ht="17.100000000000001" customHeight="1" thickTop="1">
      <c r="A6998" s="226" t="s">
        <v>19599</v>
      </c>
      <c r="B6998" s="28">
        <v>46093</v>
      </c>
      <c r="C6998" s="25">
        <v>2149</v>
      </c>
      <c r="D6998" s="13" t="s">
        <v>1837</v>
      </c>
      <c r="E6998" s="228"/>
      <c r="F6998" s="109" t="s">
        <v>19608</v>
      </c>
      <c r="G6998" s="24"/>
      <c r="H6998" s="230">
        <v>4.5</v>
      </c>
      <c r="I6998" s="220">
        <v>1050000</v>
      </c>
      <c r="J6998" s="220">
        <f>I6998*0.1</f>
        <v>105000</v>
      </c>
      <c r="K6998" s="220">
        <v>0</v>
      </c>
      <c r="L6998" s="220">
        <v>8790</v>
      </c>
      <c r="M6998" s="220">
        <v>14300</v>
      </c>
      <c r="N6998" s="220">
        <f>SUM(I6998:M6999)</f>
        <v>1178090</v>
      </c>
      <c r="O6998" s="224"/>
      <c r="P6998" s="110" t="s">
        <v>19994</v>
      </c>
      <c r="Q6998" s="15" t="s">
        <v>19</v>
      </c>
      <c r="R6998" s="205"/>
      <c r="S6998" s="189"/>
      <c r="T6998" s="114"/>
      <c r="U6998" s="21"/>
      <c r="V6998" s="115">
        <v>46098</v>
      </c>
      <c r="W6998" s="116">
        <v>1933</v>
      </c>
      <c r="X6998" s="220">
        <v>1082000</v>
      </c>
      <c r="Y6998" s="220">
        <f>X6998*0.1</f>
        <v>108200</v>
      </c>
      <c r="Z6998" s="220">
        <v>8790</v>
      </c>
      <c r="AA6998" s="220">
        <f>SUM(X6998:Z6998)</f>
        <v>1198990</v>
      </c>
      <c r="AB6998" s="222"/>
    </row>
    <row r="6999" spans="1:28" ht="17.100000000000001" customHeight="1" thickBot="1">
      <c r="A6999" s="227"/>
      <c r="B6999" s="27" t="s">
        <v>3228</v>
      </c>
      <c r="C6999" s="27">
        <v>2584</v>
      </c>
      <c r="D6999" s="14" t="s">
        <v>2753</v>
      </c>
      <c r="E6999" s="229"/>
      <c r="F6999" s="117" t="s">
        <v>19604</v>
      </c>
      <c r="G6999" s="26">
        <v>40573</v>
      </c>
      <c r="H6999" s="231"/>
      <c r="I6999" s="221"/>
      <c r="J6999" s="221"/>
      <c r="K6999" s="221"/>
      <c r="L6999" s="221"/>
      <c r="M6999" s="221"/>
      <c r="N6999" s="221"/>
      <c r="O6999" s="225"/>
      <c r="P6999" s="118" t="s">
        <v>2942</v>
      </c>
      <c r="Q6999" s="16" t="s">
        <v>20</v>
      </c>
      <c r="R6999" s="17" t="s">
        <v>19992</v>
      </c>
      <c r="S6999" s="121"/>
      <c r="T6999" s="122"/>
      <c r="U6999" s="22"/>
      <c r="V6999" s="123" t="s">
        <v>2103</v>
      </c>
      <c r="W6999" s="122">
        <v>3267</v>
      </c>
      <c r="X6999" s="221"/>
      <c r="Y6999" s="221"/>
      <c r="Z6999" s="221"/>
      <c r="AA6999" s="221"/>
      <c r="AB6999" s="223"/>
    </row>
    <row r="7000" spans="1:28" ht="17.100000000000001" customHeight="1" thickTop="1">
      <c r="A7000" s="226" t="s">
        <v>19600</v>
      </c>
      <c r="B7000" s="28">
        <v>46093</v>
      </c>
      <c r="C7000" s="25">
        <v>2149</v>
      </c>
      <c r="D7000" s="13" t="s">
        <v>1748</v>
      </c>
      <c r="E7000" s="228"/>
      <c r="F7000" s="109" t="s">
        <v>19609</v>
      </c>
      <c r="G7000" s="24"/>
      <c r="H7000" s="230">
        <v>4.5</v>
      </c>
      <c r="I7000" s="220">
        <v>1160000</v>
      </c>
      <c r="J7000" s="220">
        <f>I7000*0.1</f>
        <v>116000</v>
      </c>
      <c r="K7000" s="220">
        <v>0</v>
      </c>
      <c r="L7000" s="220">
        <v>7150</v>
      </c>
      <c r="M7000" s="220">
        <v>14300</v>
      </c>
      <c r="N7000" s="220">
        <f>SUM(I7000:M7001)</f>
        <v>1297450</v>
      </c>
      <c r="O7000" s="224"/>
      <c r="P7000" s="110" t="s">
        <v>19995</v>
      </c>
      <c r="Q7000" s="15" t="s">
        <v>19</v>
      </c>
      <c r="R7000" s="205"/>
      <c r="S7000" s="189" t="s">
        <v>25849</v>
      </c>
      <c r="T7000" s="114"/>
      <c r="U7000" s="21"/>
      <c r="V7000" s="115">
        <v>46098</v>
      </c>
      <c r="W7000" s="116">
        <v>1933</v>
      </c>
      <c r="X7000" s="220">
        <v>1191000</v>
      </c>
      <c r="Y7000" s="220">
        <f>X7000*0.1</f>
        <v>119100</v>
      </c>
      <c r="Z7000" s="220">
        <v>7150</v>
      </c>
      <c r="AA7000" s="220">
        <f>SUM(X7000:Z7000)</f>
        <v>1317250</v>
      </c>
      <c r="AB7000" s="222"/>
    </row>
    <row r="7001" spans="1:28" ht="17.100000000000001" customHeight="1" thickBot="1">
      <c r="A7001" s="227"/>
      <c r="B7001" s="27" t="s">
        <v>3228</v>
      </c>
      <c r="C7001" s="27">
        <v>2586</v>
      </c>
      <c r="D7001" s="14" t="s">
        <v>273</v>
      </c>
      <c r="E7001" s="229"/>
      <c r="F7001" s="117" t="s">
        <v>19605</v>
      </c>
      <c r="G7001" s="26">
        <v>22857</v>
      </c>
      <c r="H7001" s="231"/>
      <c r="I7001" s="221"/>
      <c r="J7001" s="221"/>
      <c r="K7001" s="221"/>
      <c r="L7001" s="221"/>
      <c r="M7001" s="221"/>
      <c r="N7001" s="221"/>
      <c r="O7001" s="225"/>
      <c r="P7001" s="118" t="s">
        <v>2942</v>
      </c>
      <c r="Q7001" s="16" t="s">
        <v>20</v>
      </c>
      <c r="R7001" s="17" t="s">
        <v>19992</v>
      </c>
      <c r="S7001" s="121" t="s">
        <v>169</v>
      </c>
      <c r="T7001" s="122"/>
      <c r="U7001" s="22"/>
      <c r="V7001" s="123" t="s">
        <v>2103</v>
      </c>
      <c r="W7001" s="122">
        <v>3171</v>
      </c>
      <c r="X7001" s="221"/>
      <c r="Y7001" s="221"/>
      <c r="Z7001" s="221"/>
      <c r="AA7001" s="221"/>
      <c r="AB7001" s="223"/>
    </row>
    <row r="7002" spans="1:28" ht="17.100000000000001" customHeight="1" thickTop="1">
      <c r="A7002" s="226" t="s">
        <v>19601</v>
      </c>
      <c r="B7002" s="28">
        <v>46093</v>
      </c>
      <c r="C7002" s="25">
        <v>2149</v>
      </c>
      <c r="D7002" s="13" t="s">
        <v>2644</v>
      </c>
      <c r="E7002" s="228"/>
      <c r="F7002" s="109" t="s">
        <v>5271</v>
      </c>
      <c r="G7002" s="24" t="s">
        <v>5556</v>
      </c>
      <c r="H7002" s="230">
        <v>4</v>
      </c>
      <c r="I7002" s="220">
        <v>651000</v>
      </c>
      <c r="J7002" s="220">
        <f>I7002*0.1</f>
        <v>65100</v>
      </c>
      <c r="K7002" s="220">
        <v>10800</v>
      </c>
      <c r="L7002" s="220">
        <v>6470</v>
      </c>
      <c r="M7002" s="220">
        <v>14300</v>
      </c>
      <c r="N7002" s="220">
        <f>SUM(I7002:M7003)</f>
        <v>747670</v>
      </c>
      <c r="O7002" s="224"/>
      <c r="P7002" s="110" t="s">
        <v>19610</v>
      </c>
      <c r="Q7002" s="15" t="s">
        <v>19</v>
      </c>
      <c r="R7002" s="205"/>
      <c r="S7002" s="189" t="s">
        <v>1276</v>
      </c>
      <c r="T7002" s="114"/>
      <c r="U7002" s="21" t="s">
        <v>23156</v>
      </c>
      <c r="V7002" s="115">
        <v>46141</v>
      </c>
      <c r="W7002" s="116">
        <v>1015</v>
      </c>
      <c r="X7002" s="220">
        <v>700000</v>
      </c>
      <c r="Y7002" s="220">
        <f>X7002*0.1</f>
        <v>70000</v>
      </c>
      <c r="Z7002" s="220">
        <v>6470</v>
      </c>
      <c r="AA7002" s="220">
        <f>SUM(X7002:Z7002)</f>
        <v>776470</v>
      </c>
      <c r="AB7002" s="222">
        <v>46156</v>
      </c>
    </row>
    <row r="7003" spans="1:28" ht="17.100000000000001" customHeight="1" thickBot="1">
      <c r="A7003" s="227"/>
      <c r="B7003" s="27" t="s">
        <v>3228</v>
      </c>
      <c r="C7003" s="27">
        <v>2592</v>
      </c>
      <c r="D7003" s="14" t="s">
        <v>1710</v>
      </c>
      <c r="E7003" s="229"/>
      <c r="F7003" s="117" t="s">
        <v>20004</v>
      </c>
      <c r="G7003" s="26">
        <v>40481</v>
      </c>
      <c r="H7003" s="231"/>
      <c r="I7003" s="221"/>
      <c r="J7003" s="221"/>
      <c r="K7003" s="221"/>
      <c r="L7003" s="221"/>
      <c r="M7003" s="221"/>
      <c r="N7003" s="221"/>
      <c r="O7003" s="225"/>
      <c r="P7003" s="118" t="s">
        <v>11822</v>
      </c>
      <c r="Q7003" s="16" t="s">
        <v>20</v>
      </c>
      <c r="R7003" s="17" t="s">
        <v>19992</v>
      </c>
      <c r="S7003" s="121" t="s">
        <v>169</v>
      </c>
      <c r="T7003" s="122"/>
      <c r="U7003" s="22"/>
      <c r="V7003" s="123" t="s">
        <v>24607</v>
      </c>
      <c r="W7003" s="122">
        <v>2057</v>
      </c>
      <c r="X7003" s="221"/>
      <c r="Y7003" s="221"/>
      <c r="Z7003" s="221"/>
      <c r="AA7003" s="221"/>
      <c r="AB7003" s="223"/>
    </row>
    <row r="7004" spans="1:28" ht="17.100000000000001" customHeight="1" thickTop="1">
      <c r="A7004" s="226" t="s">
        <v>19602</v>
      </c>
      <c r="B7004" s="28">
        <v>46093</v>
      </c>
      <c r="C7004" s="25">
        <v>2149</v>
      </c>
      <c r="D7004" s="13" t="s">
        <v>2239</v>
      </c>
      <c r="E7004" s="228"/>
      <c r="F7004" s="109" t="s">
        <v>9821</v>
      </c>
      <c r="G7004" s="24"/>
      <c r="H7004" s="230">
        <v>4.5</v>
      </c>
      <c r="I7004" s="220">
        <v>1450000</v>
      </c>
      <c r="J7004" s="220">
        <f>I7004*0.1</f>
        <v>145000</v>
      </c>
      <c r="K7004" s="220">
        <v>0</v>
      </c>
      <c r="L7004" s="220">
        <v>7230</v>
      </c>
      <c r="M7004" s="220">
        <v>14300</v>
      </c>
      <c r="N7004" s="220">
        <f>SUM(I7004:M7005)</f>
        <v>1616530</v>
      </c>
      <c r="O7004" s="224"/>
      <c r="P7004" s="110" t="s">
        <v>19993</v>
      </c>
      <c r="Q7004" s="15" t="s">
        <v>19</v>
      </c>
      <c r="R7004" s="205"/>
      <c r="S7004" s="189"/>
      <c r="T7004" s="114"/>
      <c r="U7004" s="21"/>
      <c r="V7004" s="115">
        <v>46098</v>
      </c>
      <c r="W7004" s="116">
        <v>1933</v>
      </c>
      <c r="X7004" s="220">
        <v>1500000</v>
      </c>
      <c r="Y7004" s="220">
        <f>X7004*0.1</f>
        <v>150000</v>
      </c>
      <c r="Z7004" s="220">
        <v>7230</v>
      </c>
      <c r="AA7004" s="220">
        <f>SUM(X7004:Z7004)</f>
        <v>1657230</v>
      </c>
      <c r="AB7004" s="222"/>
    </row>
    <row r="7005" spans="1:28" ht="17.100000000000001" customHeight="1" thickBot="1">
      <c r="A7005" s="227"/>
      <c r="B7005" s="27" t="s">
        <v>3228</v>
      </c>
      <c r="C7005" s="27">
        <v>2605</v>
      </c>
      <c r="D7005" s="14" t="s">
        <v>2559</v>
      </c>
      <c r="E7005" s="229"/>
      <c r="F7005" s="117" t="s">
        <v>19606</v>
      </c>
      <c r="G7005" s="26">
        <v>9090</v>
      </c>
      <c r="H7005" s="231"/>
      <c r="I7005" s="221"/>
      <c r="J7005" s="221"/>
      <c r="K7005" s="221"/>
      <c r="L7005" s="221"/>
      <c r="M7005" s="221"/>
      <c r="N7005" s="221"/>
      <c r="O7005" s="225"/>
      <c r="P7005" s="118" t="s">
        <v>2404</v>
      </c>
      <c r="Q7005" s="16" t="s">
        <v>20</v>
      </c>
      <c r="R7005" s="17" t="s">
        <v>19992</v>
      </c>
      <c r="S7005" s="121"/>
      <c r="T7005" s="122"/>
      <c r="U7005" s="22"/>
      <c r="V7005" s="123" t="s">
        <v>2103</v>
      </c>
      <c r="W7005" s="122">
        <v>3247</v>
      </c>
      <c r="X7005" s="221"/>
      <c r="Y7005" s="221"/>
      <c r="Z7005" s="221"/>
      <c r="AA7005" s="221"/>
      <c r="AB7005" s="223"/>
    </row>
    <row r="7006" spans="1:28" ht="17.100000000000001" customHeight="1" thickTop="1">
      <c r="A7006" s="226" t="s">
        <v>19611</v>
      </c>
      <c r="B7006" s="28">
        <v>46093</v>
      </c>
      <c r="C7006" s="25">
        <v>2018</v>
      </c>
      <c r="D7006" s="13" t="s">
        <v>1810</v>
      </c>
      <c r="E7006" s="228"/>
      <c r="F7006" s="109" t="s">
        <v>19638</v>
      </c>
      <c r="G7006" s="24"/>
      <c r="H7006" s="230">
        <v>4.5</v>
      </c>
      <c r="I7006" s="220">
        <v>3980000</v>
      </c>
      <c r="J7006" s="220">
        <f>I7006*0.1</f>
        <v>398000</v>
      </c>
      <c r="K7006" s="220">
        <v>0</v>
      </c>
      <c r="L7006" s="220">
        <v>15540</v>
      </c>
      <c r="M7006" s="220">
        <v>22000</v>
      </c>
      <c r="N7006" s="220">
        <f>SUM(I7006:M7007)</f>
        <v>4415540</v>
      </c>
      <c r="O7006" s="224"/>
      <c r="P7006" s="110" t="s">
        <v>20088</v>
      </c>
      <c r="Q7006" s="15" t="s">
        <v>19</v>
      </c>
      <c r="R7006" s="205"/>
      <c r="S7006" s="189" t="s">
        <v>1312</v>
      </c>
      <c r="T7006" s="114"/>
      <c r="U7006" s="21"/>
      <c r="V7006" s="115">
        <v>46113</v>
      </c>
      <c r="W7006" s="116">
        <v>1011</v>
      </c>
      <c r="X7006" s="220">
        <v>4075000</v>
      </c>
      <c r="Y7006" s="220">
        <f>X7006*0.1</f>
        <v>407500</v>
      </c>
      <c r="Z7006" s="220">
        <v>15540</v>
      </c>
      <c r="AA7006" s="220">
        <f>SUM(X7006:Z7006)</f>
        <v>4498040</v>
      </c>
      <c r="AB7006" s="222">
        <v>46118</v>
      </c>
    </row>
    <row r="7007" spans="1:28" ht="17.100000000000001" customHeight="1" thickBot="1">
      <c r="A7007" s="227"/>
      <c r="B7007" s="27" t="s">
        <v>18302</v>
      </c>
      <c r="C7007" s="27">
        <v>30053</v>
      </c>
      <c r="D7007" s="14" t="s">
        <v>273</v>
      </c>
      <c r="E7007" s="229"/>
      <c r="F7007" s="117" t="s">
        <v>19622</v>
      </c>
      <c r="G7007" s="26">
        <v>16497</v>
      </c>
      <c r="H7007" s="231"/>
      <c r="I7007" s="221"/>
      <c r="J7007" s="221"/>
      <c r="K7007" s="221"/>
      <c r="L7007" s="221"/>
      <c r="M7007" s="221"/>
      <c r="N7007" s="221"/>
      <c r="O7007" s="225"/>
      <c r="P7007" s="118" t="s">
        <v>16559</v>
      </c>
      <c r="Q7007" s="16" t="s">
        <v>20</v>
      </c>
      <c r="R7007" s="17" t="s">
        <v>20054</v>
      </c>
      <c r="S7007" s="121" t="s">
        <v>20089</v>
      </c>
      <c r="T7007" s="122"/>
      <c r="U7007" s="22"/>
      <c r="V7007" s="123" t="s">
        <v>2747</v>
      </c>
      <c r="W7007" s="122">
        <v>6095</v>
      </c>
      <c r="X7007" s="221"/>
      <c r="Y7007" s="221"/>
      <c r="Z7007" s="221"/>
      <c r="AA7007" s="221"/>
      <c r="AB7007" s="223"/>
    </row>
    <row r="7008" spans="1:28" ht="17.100000000000001" customHeight="1" thickTop="1">
      <c r="A7008" s="226" t="s">
        <v>19612</v>
      </c>
      <c r="B7008" s="28">
        <v>46093</v>
      </c>
      <c r="C7008" s="25">
        <v>2018</v>
      </c>
      <c r="D7008" s="13" t="s">
        <v>1837</v>
      </c>
      <c r="E7008" s="228"/>
      <c r="F7008" s="109" t="s">
        <v>19636</v>
      </c>
      <c r="G7008" s="24" t="s">
        <v>4412</v>
      </c>
      <c r="H7008" s="230">
        <v>4</v>
      </c>
      <c r="I7008" s="220">
        <v>2638000</v>
      </c>
      <c r="J7008" s="220">
        <f>I7008*0.1</f>
        <v>263800</v>
      </c>
      <c r="K7008" s="220">
        <v>43500</v>
      </c>
      <c r="L7008" s="220">
        <v>14900</v>
      </c>
      <c r="M7008" s="220">
        <v>22000</v>
      </c>
      <c r="N7008" s="220">
        <f>SUM(I7008:M7009)</f>
        <v>2982200</v>
      </c>
      <c r="O7008" s="224"/>
      <c r="P7008" s="110" t="s">
        <v>19637</v>
      </c>
      <c r="Q7008" s="15" t="s">
        <v>19</v>
      </c>
      <c r="R7008" s="205"/>
      <c r="S7008" s="189" t="s">
        <v>25850</v>
      </c>
      <c r="T7008" s="114"/>
      <c r="U7008" s="21" t="s">
        <v>20686</v>
      </c>
      <c r="V7008" s="115">
        <v>46116</v>
      </c>
      <c r="W7008" s="116">
        <v>1295</v>
      </c>
      <c r="X7008" s="220">
        <v>2710000</v>
      </c>
      <c r="Y7008" s="220">
        <f>X7008*0.1</f>
        <v>271000</v>
      </c>
      <c r="Z7008" s="220">
        <v>14900</v>
      </c>
      <c r="AA7008" s="220">
        <f>SUM(X7008:Z7008)</f>
        <v>2995900</v>
      </c>
      <c r="AB7008" s="222">
        <v>46119</v>
      </c>
    </row>
    <row r="7009" spans="1:28" ht="17.100000000000001" customHeight="1" thickBot="1">
      <c r="A7009" s="227"/>
      <c r="B7009" s="27" t="s">
        <v>18302</v>
      </c>
      <c r="C7009" s="27">
        <v>30078</v>
      </c>
      <c r="D7009" s="14" t="s">
        <v>2559</v>
      </c>
      <c r="E7009" s="229"/>
      <c r="F7009" s="117" t="s">
        <v>19623</v>
      </c>
      <c r="G7009" s="26">
        <v>65261</v>
      </c>
      <c r="H7009" s="231"/>
      <c r="I7009" s="221"/>
      <c r="J7009" s="221"/>
      <c r="K7009" s="221"/>
      <c r="L7009" s="221"/>
      <c r="M7009" s="221"/>
      <c r="N7009" s="221"/>
      <c r="O7009" s="225"/>
      <c r="P7009" s="118" t="s">
        <v>4077</v>
      </c>
      <c r="Q7009" s="16" t="s">
        <v>20</v>
      </c>
      <c r="R7009" s="17" t="s">
        <v>20054</v>
      </c>
      <c r="S7009" s="121" t="s">
        <v>20086</v>
      </c>
      <c r="T7009" s="122"/>
      <c r="U7009" s="22"/>
      <c r="V7009" s="123" t="s">
        <v>2472</v>
      </c>
      <c r="W7009" s="122">
        <v>13298</v>
      </c>
      <c r="X7009" s="221"/>
      <c r="Y7009" s="221"/>
      <c r="Z7009" s="221"/>
      <c r="AA7009" s="221"/>
      <c r="AB7009" s="223"/>
    </row>
    <row r="7010" spans="1:28" ht="17.100000000000001" customHeight="1" thickTop="1">
      <c r="A7010" s="226" t="s">
        <v>19613</v>
      </c>
      <c r="B7010" s="28">
        <v>46093</v>
      </c>
      <c r="C7010" s="25">
        <v>2018</v>
      </c>
      <c r="D7010" s="13" t="s">
        <v>1931</v>
      </c>
      <c r="E7010" s="228"/>
      <c r="F7010" s="109" t="s">
        <v>13498</v>
      </c>
      <c r="G7010" s="24" t="s">
        <v>3859</v>
      </c>
      <c r="H7010" s="230">
        <v>4</v>
      </c>
      <c r="I7010" s="220">
        <v>2410000</v>
      </c>
      <c r="J7010" s="220">
        <f>I7010*0.1</f>
        <v>241000</v>
      </c>
      <c r="K7010" s="220">
        <v>45000</v>
      </c>
      <c r="L7010" s="220">
        <v>16550</v>
      </c>
      <c r="M7010" s="220">
        <v>22000</v>
      </c>
      <c r="N7010" s="220">
        <f>SUM(I7010:M7011)</f>
        <v>2734550</v>
      </c>
      <c r="O7010" s="224"/>
      <c r="P7010" s="110" t="s">
        <v>19635</v>
      </c>
      <c r="Q7010" s="15" t="s">
        <v>19</v>
      </c>
      <c r="R7010" s="205"/>
      <c r="S7010" s="189" t="s">
        <v>25819</v>
      </c>
      <c r="T7010" s="114"/>
      <c r="U7010" s="21"/>
      <c r="V7010" s="115">
        <v>46106</v>
      </c>
      <c r="W7010" s="116">
        <v>1010</v>
      </c>
      <c r="X7010" s="220">
        <v>2495000</v>
      </c>
      <c r="Y7010" s="220">
        <f>X7010*0.1</f>
        <v>249500</v>
      </c>
      <c r="Z7010" s="220">
        <v>16550</v>
      </c>
      <c r="AA7010" s="220">
        <f>SUM(X7010:Z7010)</f>
        <v>2761050</v>
      </c>
      <c r="AB7010" s="222">
        <v>46111</v>
      </c>
    </row>
    <row r="7011" spans="1:28" ht="17.100000000000001" customHeight="1" thickBot="1">
      <c r="A7011" s="227"/>
      <c r="B7011" s="27" t="s">
        <v>18302</v>
      </c>
      <c r="C7011" s="27">
        <v>30103</v>
      </c>
      <c r="D7011" s="14" t="s">
        <v>2559</v>
      </c>
      <c r="E7011" s="229"/>
      <c r="F7011" s="117" t="s">
        <v>19624</v>
      </c>
      <c r="G7011" s="26">
        <v>44762</v>
      </c>
      <c r="H7011" s="231"/>
      <c r="I7011" s="221"/>
      <c r="J7011" s="221"/>
      <c r="K7011" s="221"/>
      <c r="L7011" s="221"/>
      <c r="M7011" s="221"/>
      <c r="N7011" s="221"/>
      <c r="O7011" s="225"/>
      <c r="P7011" s="118" t="s">
        <v>16015</v>
      </c>
      <c r="Q7011" s="16" t="s">
        <v>20</v>
      </c>
      <c r="R7011" s="17" t="s">
        <v>20054</v>
      </c>
      <c r="S7011" s="121" t="s">
        <v>20087</v>
      </c>
      <c r="T7011" s="122"/>
      <c r="U7011" s="22"/>
      <c r="V7011" s="123" t="s">
        <v>2747</v>
      </c>
      <c r="W7011" s="122">
        <v>6059</v>
      </c>
      <c r="X7011" s="221"/>
      <c r="Y7011" s="221"/>
      <c r="Z7011" s="221"/>
      <c r="AA7011" s="221"/>
      <c r="AB7011" s="223"/>
    </row>
    <row r="7012" spans="1:28" ht="17.100000000000001" customHeight="1" thickTop="1">
      <c r="A7012" s="226" t="s">
        <v>19614</v>
      </c>
      <c r="B7012" s="28">
        <v>46093</v>
      </c>
      <c r="C7012" s="25">
        <v>2018</v>
      </c>
      <c r="D7012" s="13" t="s">
        <v>1988</v>
      </c>
      <c r="E7012" s="228"/>
      <c r="F7012" s="109" t="s">
        <v>14515</v>
      </c>
      <c r="G7012" s="24" t="s">
        <v>2907</v>
      </c>
      <c r="H7012" s="230">
        <v>4.5</v>
      </c>
      <c r="I7012" s="220">
        <v>2030000</v>
      </c>
      <c r="J7012" s="220">
        <f>I7012*0.1</f>
        <v>203000</v>
      </c>
      <c r="K7012" s="220">
        <v>30500</v>
      </c>
      <c r="L7012" s="220">
        <v>11650</v>
      </c>
      <c r="M7012" s="220">
        <v>22000</v>
      </c>
      <c r="N7012" s="220">
        <f>SUM(I7012:M7013)</f>
        <v>2297150</v>
      </c>
      <c r="O7012" s="224"/>
      <c r="P7012" s="110" t="s">
        <v>19634</v>
      </c>
      <c r="Q7012" s="15" t="s">
        <v>19</v>
      </c>
      <c r="R7012" s="205"/>
      <c r="S7012" s="189" t="s">
        <v>25746</v>
      </c>
      <c r="T7012" s="114"/>
      <c r="U7012" s="21"/>
      <c r="V7012" s="115">
        <v>46102</v>
      </c>
      <c r="W7012" s="116">
        <v>1293</v>
      </c>
      <c r="X7012" s="220">
        <v>2150000</v>
      </c>
      <c r="Y7012" s="220">
        <f>X7012*0.1</f>
        <v>215000</v>
      </c>
      <c r="Z7012" s="220">
        <v>11650</v>
      </c>
      <c r="AA7012" s="220">
        <f>SUM(X7012:Z7012)</f>
        <v>2376650</v>
      </c>
      <c r="AB7012" s="222">
        <v>46107</v>
      </c>
    </row>
    <row r="7013" spans="1:28" ht="17.100000000000001" customHeight="1" thickBot="1">
      <c r="A7013" s="227"/>
      <c r="B7013" s="27" t="s">
        <v>18302</v>
      </c>
      <c r="C7013" s="27">
        <v>30201</v>
      </c>
      <c r="D7013" s="14" t="s">
        <v>2559</v>
      </c>
      <c r="E7013" s="229"/>
      <c r="F7013" s="117" t="s">
        <v>19625</v>
      </c>
      <c r="G7013" s="26">
        <v>18659</v>
      </c>
      <c r="H7013" s="231"/>
      <c r="I7013" s="221"/>
      <c r="J7013" s="221"/>
      <c r="K7013" s="221"/>
      <c r="L7013" s="221"/>
      <c r="M7013" s="221"/>
      <c r="N7013" s="221"/>
      <c r="O7013" s="225"/>
      <c r="P7013" s="118" t="s">
        <v>2287</v>
      </c>
      <c r="Q7013" s="16" t="s">
        <v>20</v>
      </c>
      <c r="R7013" s="17" t="s">
        <v>19992</v>
      </c>
      <c r="S7013" s="121" t="s">
        <v>20031</v>
      </c>
      <c r="T7013" s="122"/>
      <c r="U7013" s="22"/>
      <c r="V7013" s="123" t="s">
        <v>2472</v>
      </c>
      <c r="W7013" s="122">
        <v>55081</v>
      </c>
      <c r="X7013" s="221"/>
      <c r="Y7013" s="221"/>
      <c r="Z7013" s="221"/>
      <c r="AA7013" s="221"/>
      <c r="AB7013" s="223"/>
    </row>
    <row r="7014" spans="1:28" ht="17.100000000000001" customHeight="1" thickTop="1">
      <c r="A7014" s="226" t="s">
        <v>19615</v>
      </c>
      <c r="B7014" s="28">
        <v>46093</v>
      </c>
      <c r="C7014" s="25">
        <v>2018</v>
      </c>
      <c r="D7014" s="13" t="s">
        <v>1887</v>
      </c>
      <c r="E7014" s="228"/>
      <c r="F7014" s="109" t="s">
        <v>19633</v>
      </c>
      <c r="G7014" s="24"/>
      <c r="H7014" s="230">
        <v>4.5</v>
      </c>
      <c r="I7014" s="220">
        <v>1572000</v>
      </c>
      <c r="J7014" s="220">
        <f>I7014*0.1</f>
        <v>157200</v>
      </c>
      <c r="K7014" s="220">
        <v>0</v>
      </c>
      <c r="L7014" s="220">
        <v>8600</v>
      </c>
      <c r="M7014" s="220">
        <v>22000</v>
      </c>
      <c r="N7014" s="220">
        <f>SUM(I7014:M7015)</f>
        <v>1759800</v>
      </c>
      <c r="O7014" s="224"/>
      <c r="P7014" s="110" t="s">
        <v>20033</v>
      </c>
      <c r="Q7014" s="15" t="s">
        <v>19</v>
      </c>
      <c r="R7014" s="205"/>
      <c r="S7014" s="189" t="s">
        <v>1406</v>
      </c>
      <c r="T7014" s="114"/>
      <c r="U7014" s="21"/>
      <c r="V7014" s="115">
        <v>46108</v>
      </c>
      <c r="W7014" s="116"/>
      <c r="X7014" s="220">
        <v>1720000</v>
      </c>
      <c r="Y7014" s="220">
        <f>X7014*0.1</f>
        <v>172000</v>
      </c>
      <c r="Z7014" s="220">
        <v>8600</v>
      </c>
      <c r="AA7014" s="220">
        <f>SUM(X7014:Z7014)</f>
        <v>1900600</v>
      </c>
      <c r="AB7014" s="222"/>
    </row>
    <row r="7015" spans="1:28" ht="17.100000000000001" customHeight="1" thickBot="1">
      <c r="A7015" s="227"/>
      <c r="B7015" s="27" t="s">
        <v>18302</v>
      </c>
      <c r="C7015" s="27">
        <v>30220</v>
      </c>
      <c r="D7015" s="14" t="s">
        <v>2014</v>
      </c>
      <c r="E7015" s="229"/>
      <c r="F7015" s="117" t="s">
        <v>19626</v>
      </c>
      <c r="G7015" s="26">
        <v>19342</v>
      </c>
      <c r="H7015" s="231"/>
      <c r="I7015" s="221"/>
      <c r="J7015" s="221"/>
      <c r="K7015" s="221"/>
      <c r="L7015" s="221"/>
      <c r="M7015" s="221"/>
      <c r="N7015" s="221"/>
      <c r="O7015" s="225"/>
      <c r="P7015" s="118" t="s">
        <v>12896</v>
      </c>
      <c r="Q7015" s="16" t="s">
        <v>20</v>
      </c>
      <c r="R7015" s="17" t="s">
        <v>19992</v>
      </c>
      <c r="S7015" s="121" t="s">
        <v>20034</v>
      </c>
      <c r="T7015" s="122"/>
      <c r="U7015" s="22"/>
      <c r="V7015" s="123" t="s">
        <v>6682</v>
      </c>
      <c r="W7015" s="122">
        <v>49684</v>
      </c>
      <c r="X7015" s="221"/>
      <c r="Y7015" s="221"/>
      <c r="Z7015" s="221"/>
      <c r="AA7015" s="221"/>
      <c r="AB7015" s="223"/>
    </row>
    <row r="7016" spans="1:28" ht="17.100000000000001" customHeight="1" thickTop="1">
      <c r="A7016" s="226" t="s">
        <v>19616</v>
      </c>
      <c r="B7016" s="28">
        <v>46093</v>
      </c>
      <c r="C7016" s="25">
        <v>2018</v>
      </c>
      <c r="D7016" s="13" t="s">
        <v>2328</v>
      </c>
      <c r="E7016" s="228"/>
      <c r="F7016" s="109" t="s">
        <v>11968</v>
      </c>
      <c r="G7016" s="24" t="s">
        <v>1551</v>
      </c>
      <c r="H7016" s="230">
        <v>6</v>
      </c>
      <c r="I7016" s="220">
        <v>1113000</v>
      </c>
      <c r="J7016" s="220">
        <f>I7016*0.1</f>
        <v>111300</v>
      </c>
      <c r="K7016" s="220">
        <v>0</v>
      </c>
      <c r="L7016" s="220">
        <v>9150</v>
      </c>
      <c r="M7016" s="220">
        <v>22000</v>
      </c>
      <c r="N7016" s="220">
        <f>SUM(I7016:M7017)</f>
        <v>1255450</v>
      </c>
      <c r="O7016" s="224"/>
      <c r="P7016" s="110" t="s">
        <v>19641</v>
      </c>
      <c r="Q7016" s="15" t="s">
        <v>19</v>
      </c>
      <c r="R7016" s="205"/>
      <c r="S7016" s="189" t="s">
        <v>25603</v>
      </c>
      <c r="T7016" s="114"/>
      <c r="U7016" s="21"/>
      <c r="V7016" s="115">
        <v>46098</v>
      </c>
      <c r="W7016" s="116">
        <v>1933</v>
      </c>
      <c r="X7016" s="220">
        <v>1215000</v>
      </c>
      <c r="Y7016" s="220">
        <f>X7016*0.1</f>
        <v>121500</v>
      </c>
      <c r="Z7016" s="220">
        <v>9150</v>
      </c>
      <c r="AA7016" s="220">
        <f>SUM(X7016:Z7016)</f>
        <v>1345650</v>
      </c>
      <c r="AB7016" s="222">
        <v>46104</v>
      </c>
    </row>
    <row r="7017" spans="1:28" ht="17.100000000000001" customHeight="1" thickBot="1">
      <c r="A7017" s="227"/>
      <c r="B7017" s="27" t="s">
        <v>18302</v>
      </c>
      <c r="C7017" s="27">
        <v>50028</v>
      </c>
      <c r="D7017" s="14" t="s">
        <v>273</v>
      </c>
      <c r="E7017" s="229"/>
      <c r="F7017" s="117" t="s">
        <v>19627</v>
      </c>
      <c r="G7017" s="26">
        <v>1286</v>
      </c>
      <c r="H7017" s="231"/>
      <c r="I7017" s="221"/>
      <c r="J7017" s="221"/>
      <c r="K7017" s="221"/>
      <c r="L7017" s="221"/>
      <c r="M7017" s="221"/>
      <c r="N7017" s="221"/>
      <c r="O7017" s="225"/>
      <c r="P7017" s="118" t="s">
        <v>20000</v>
      </c>
      <c r="Q7017" s="16" t="s">
        <v>20</v>
      </c>
      <c r="R7017" s="17" t="s">
        <v>19992</v>
      </c>
      <c r="S7017" s="121" t="s">
        <v>10319</v>
      </c>
      <c r="T7017" s="122"/>
      <c r="U7017" s="22"/>
      <c r="V7017" s="123" t="s">
        <v>7507</v>
      </c>
      <c r="W7017" s="122">
        <v>3173</v>
      </c>
      <c r="X7017" s="221"/>
      <c r="Y7017" s="221"/>
      <c r="Z7017" s="221"/>
      <c r="AA7017" s="221"/>
      <c r="AB7017" s="223"/>
    </row>
    <row r="7018" spans="1:28" ht="17.100000000000001" customHeight="1" thickTop="1">
      <c r="A7018" s="226" t="s">
        <v>19617</v>
      </c>
      <c r="B7018" s="28">
        <v>46093</v>
      </c>
      <c r="C7018" s="25">
        <v>2018</v>
      </c>
      <c r="D7018" s="13" t="s">
        <v>4050</v>
      </c>
      <c r="E7018" s="228"/>
      <c r="F7018" s="109" t="s">
        <v>19640</v>
      </c>
      <c r="G7018" s="24"/>
      <c r="H7018" s="230">
        <v>4</v>
      </c>
      <c r="I7018" s="220">
        <v>798000</v>
      </c>
      <c r="J7018" s="220">
        <f>I7018*0.1</f>
        <v>79800</v>
      </c>
      <c r="K7018" s="220">
        <v>0</v>
      </c>
      <c r="L7018" s="220">
        <v>9310</v>
      </c>
      <c r="M7018" s="220">
        <v>22000</v>
      </c>
      <c r="N7018" s="220">
        <f>SUM(I7018:M7019)</f>
        <v>909110</v>
      </c>
      <c r="O7018" s="224"/>
      <c r="P7018" s="110" t="s">
        <v>20032</v>
      </c>
      <c r="Q7018" s="15" t="s">
        <v>19</v>
      </c>
      <c r="R7018" s="205"/>
      <c r="S7018" s="189" t="s">
        <v>25851</v>
      </c>
      <c r="T7018" s="114"/>
      <c r="U7018" s="21"/>
      <c r="V7018" s="115"/>
      <c r="W7018" s="116"/>
      <c r="X7018" s="220"/>
      <c r="Y7018" s="220">
        <f>X7018*0.1</f>
        <v>0</v>
      </c>
      <c r="Z7018" s="220"/>
      <c r="AA7018" s="220">
        <f>SUM(X7018:Z7018)</f>
        <v>0</v>
      </c>
      <c r="AB7018" s="222"/>
    </row>
    <row r="7019" spans="1:28" ht="17.100000000000001" customHeight="1" thickBot="1">
      <c r="A7019" s="227"/>
      <c r="B7019" s="27" t="s">
        <v>18302</v>
      </c>
      <c r="C7019" s="27">
        <v>50119</v>
      </c>
      <c r="D7019" s="14" t="s">
        <v>3792</v>
      </c>
      <c r="E7019" s="229"/>
      <c r="F7019" s="117" t="s">
        <v>19628</v>
      </c>
      <c r="G7019" s="26">
        <v>55794</v>
      </c>
      <c r="H7019" s="231"/>
      <c r="I7019" s="221"/>
      <c r="J7019" s="221"/>
      <c r="K7019" s="221"/>
      <c r="L7019" s="221"/>
      <c r="M7019" s="221"/>
      <c r="N7019" s="221"/>
      <c r="O7019" s="225"/>
      <c r="P7019" s="118" t="s">
        <v>2870</v>
      </c>
      <c r="Q7019" s="16" t="s">
        <v>20</v>
      </c>
      <c r="R7019" s="17" t="s">
        <v>19992</v>
      </c>
      <c r="S7019" s="121" t="s">
        <v>4530</v>
      </c>
      <c r="T7019" s="122"/>
      <c r="U7019" s="22"/>
      <c r="V7019" s="123"/>
      <c r="W7019" s="122"/>
      <c r="X7019" s="221"/>
      <c r="Y7019" s="221"/>
      <c r="Z7019" s="221"/>
      <c r="AA7019" s="221"/>
      <c r="AB7019" s="223"/>
    </row>
    <row r="7020" spans="1:28" ht="17.100000000000001" customHeight="1" thickTop="1">
      <c r="A7020" s="226" t="s">
        <v>19618</v>
      </c>
      <c r="B7020" s="28">
        <v>46093</v>
      </c>
      <c r="C7020" s="25">
        <v>2018</v>
      </c>
      <c r="D7020" s="13" t="s">
        <v>1996</v>
      </c>
      <c r="E7020" s="228"/>
      <c r="F7020" s="109" t="s">
        <v>4072</v>
      </c>
      <c r="G7020" s="24"/>
      <c r="H7020" s="230">
        <v>4.5</v>
      </c>
      <c r="I7020" s="220">
        <v>647000</v>
      </c>
      <c r="J7020" s="220">
        <f>I7020*0.1</f>
        <v>64700</v>
      </c>
      <c r="K7020" s="220">
        <v>0</v>
      </c>
      <c r="L7020" s="220">
        <v>8110</v>
      </c>
      <c r="M7020" s="220">
        <v>22000</v>
      </c>
      <c r="N7020" s="220">
        <f>SUM(I7020:M7021)</f>
        <v>741810</v>
      </c>
      <c r="O7020" s="224"/>
      <c r="P7020" s="110" t="s">
        <v>20030</v>
      </c>
      <c r="Q7020" s="15" t="s">
        <v>19</v>
      </c>
      <c r="R7020" s="205"/>
      <c r="S7020" s="189" t="s">
        <v>1312</v>
      </c>
      <c r="T7020" s="114"/>
      <c r="U7020" s="21"/>
      <c r="V7020" s="115">
        <v>46106</v>
      </c>
      <c r="W7020" s="116">
        <v>1010</v>
      </c>
      <c r="X7020" s="220">
        <v>695000</v>
      </c>
      <c r="Y7020" s="220">
        <f>X7020*0.1</f>
        <v>69500</v>
      </c>
      <c r="Z7020" s="220">
        <v>8110</v>
      </c>
      <c r="AA7020" s="220">
        <f>SUM(X7020:Z7020)</f>
        <v>772610</v>
      </c>
      <c r="AB7020" s="222">
        <v>46111</v>
      </c>
    </row>
    <row r="7021" spans="1:28" ht="17.100000000000001" customHeight="1" thickBot="1">
      <c r="A7021" s="227"/>
      <c r="B7021" s="27" t="s">
        <v>18302</v>
      </c>
      <c r="C7021" s="27">
        <v>50122</v>
      </c>
      <c r="D7021" s="14" t="s">
        <v>2788</v>
      </c>
      <c r="E7021" s="229"/>
      <c r="F7021" s="117" t="s">
        <v>19629</v>
      </c>
      <c r="G7021" s="26">
        <v>57751</v>
      </c>
      <c r="H7021" s="231"/>
      <c r="I7021" s="221"/>
      <c r="J7021" s="221"/>
      <c r="K7021" s="221"/>
      <c r="L7021" s="221"/>
      <c r="M7021" s="221"/>
      <c r="N7021" s="221"/>
      <c r="O7021" s="225"/>
      <c r="P7021" s="118" t="s">
        <v>6795</v>
      </c>
      <c r="Q7021" s="16" t="s">
        <v>20</v>
      </c>
      <c r="R7021" s="17" t="s">
        <v>19992</v>
      </c>
      <c r="S7021" s="121" t="s">
        <v>20031</v>
      </c>
      <c r="T7021" s="122"/>
      <c r="U7021" s="22"/>
      <c r="V7021" s="123" t="s">
        <v>2747</v>
      </c>
      <c r="W7021" s="122">
        <v>2064</v>
      </c>
      <c r="X7021" s="221"/>
      <c r="Y7021" s="221"/>
      <c r="Z7021" s="221"/>
      <c r="AA7021" s="221"/>
      <c r="AB7021" s="223"/>
    </row>
    <row r="7022" spans="1:28" ht="17.100000000000001" customHeight="1" thickTop="1">
      <c r="A7022" s="226" t="s">
        <v>19619</v>
      </c>
      <c r="B7022" s="28">
        <v>46093</v>
      </c>
      <c r="C7022" s="25">
        <v>2018</v>
      </c>
      <c r="D7022" s="13" t="s">
        <v>2428</v>
      </c>
      <c r="E7022" s="228"/>
      <c r="F7022" s="109" t="s">
        <v>11968</v>
      </c>
      <c r="G7022" s="24"/>
      <c r="H7022" s="230">
        <v>4.5</v>
      </c>
      <c r="I7022" s="220">
        <v>1104000</v>
      </c>
      <c r="J7022" s="220">
        <f>I7022*0.1</f>
        <v>110400</v>
      </c>
      <c r="K7022" s="220">
        <v>0</v>
      </c>
      <c r="L7022" s="220">
        <v>9150</v>
      </c>
      <c r="M7022" s="220">
        <v>22000</v>
      </c>
      <c r="N7022" s="220">
        <f>SUM(I7022:M7023)</f>
        <v>1245550</v>
      </c>
      <c r="O7022" s="224"/>
      <c r="P7022" s="110" t="s">
        <v>20053</v>
      </c>
      <c r="Q7022" s="15" t="s">
        <v>19</v>
      </c>
      <c r="R7022" s="205"/>
      <c r="S7022" s="189" t="s">
        <v>758</v>
      </c>
      <c r="T7022" s="114"/>
      <c r="U7022" s="21"/>
      <c r="V7022" s="115">
        <v>46099</v>
      </c>
      <c r="W7022" s="116">
        <v>1009</v>
      </c>
      <c r="X7022" s="220">
        <v>1150000</v>
      </c>
      <c r="Y7022" s="220">
        <f>X7022*0.1</f>
        <v>115000</v>
      </c>
      <c r="Z7022" s="220">
        <v>9150</v>
      </c>
      <c r="AA7022" s="220">
        <f>SUM(X7022:Z7022)</f>
        <v>1274150</v>
      </c>
      <c r="AB7022" s="222">
        <v>46105</v>
      </c>
    </row>
    <row r="7023" spans="1:28" ht="17.100000000000001" customHeight="1" thickBot="1">
      <c r="A7023" s="227"/>
      <c r="B7023" s="27" t="s">
        <v>18302</v>
      </c>
      <c r="C7023" s="27">
        <v>50138</v>
      </c>
      <c r="D7023" s="14" t="s">
        <v>273</v>
      </c>
      <c r="E7023" s="229"/>
      <c r="F7023" s="117" t="s">
        <v>19630</v>
      </c>
      <c r="G7023" s="26">
        <v>7909</v>
      </c>
      <c r="H7023" s="231"/>
      <c r="I7023" s="221"/>
      <c r="J7023" s="221"/>
      <c r="K7023" s="221"/>
      <c r="L7023" s="221"/>
      <c r="M7023" s="221"/>
      <c r="N7023" s="221"/>
      <c r="O7023" s="225"/>
      <c r="P7023" s="118" t="s">
        <v>6983</v>
      </c>
      <c r="Q7023" s="16" t="s">
        <v>20</v>
      </c>
      <c r="R7023" s="17" t="s">
        <v>20054</v>
      </c>
      <c r="S7023" s="121" t="s">
        <v>1625</v>
      </c>
      <c r="T7023" s="122"/>
      <c r="U7023" s="22"/>
      <c r="V7023" s="123" t="s">
        <v>2747</v>
      </c>
      <c r="W7023" s="122">
        <v>5107</v>
      </c>
      <c r="X7023" s="221"/>
      <c r="Y7023" s="221"/>
      <c r="Z7023" s="221"/>
      <c r="AA7023" s="221"/>
      <c r="AB7023" s="223"/>
    </row>
    <row r="7024" spans="1:28" ht="17.100000000000001" customHeight="1" thickTop="1">
      <c r="A7024" s="226" t="s">
        <v>19620</v>
      </c>
      <c r="B7024" s="28">
        <v>46093</v>
      </c>
      <c r="C7024" s="25">
        <v>2018</v>
      </c>
      <c r="D7024" s="13" t="s">
        <v>1837</v>
      </c>
      <c r="E7024" s="228"/>
      <c r="F7024" s="109" t="s">
        <v>4072</v>
      </c>
      <c r="G7024" s="24"/>
      <c r="H7024" s="230">
        <v>4</v>
      </c>
      <c r="I7024" s="220">
        <v>688000</v>
      </c>
      <c r="J7024" s="220">
        <f>I7024*0.1</f>
        <v>68800</v>
      </c>
      <c r="K7024" s="220">
        <v>0</v>
      </c>
      <c r="L7024" s="220">
        <v>8110</v>
      </c>
      <c r="M7024" s="220">
        <v>22000</v>
      </c>
      <c r="N7024" s="220">
        <f>SUM(I7024:M7025)</f>
        <v>786910</v>
      </c>
      <c r="O7024" s="224"/>
      <c r="P7024" s="110" t="s">
        <v>20028</v>
      </c>
      <c r="Q7024" s="15" t="s">
        <v>19</v>
      </c>
      <c r="R7024" s="205"/>
      <c r="S7024" s="189" t="s">
        <v>25367</v>
      </c>
      <c r="T7024" s="114"/>
      <c r="U7024" s="21"/>
      <c r="V7024" s="115">
        <v>46113</v>
      </c>
      <c r="W7024" s="116">
        <v>1011</v>
      </c>
      <c r="X7024" s="220">
        <v>720000</v>
      </c>
      <c r="Y7024" s="220">
        <f>X7024*0.1</f>
        <v>72000</v>
      </c>
      <c r="Z7024" s="220">
        <v>8110</v>
      </c>
      <c r="AA7024" s="220">
        <f>SUM(X7024:Z7024)</f>
        <v>800110</v>
      </c>
      <c r="AB7024" s="222">
        <v>46118</v>
      </c>
    </row>
    <row r="7025" spans="1:28" ht="17.100000000000001" customHeight="1" thickBot="1">
      <c r="A7025" s="227"/>
      <c r="B7025" s="27" t="s">
        <v>18302</v>
      </c>
      <c r="C7025" s="27">
        <v>50140</v>
      </c>
      <c r="D7025" s="14" t="s">
        <v>1710</v>
      </c>
      <c r="E7025" s="229"/>
      <c r="F7025" s="117" t="s">
        <v>19631</v>
      </c>
      <c r="G7025" s="26">
        <v>43024</v>
      </c>
      <c r="H7025" s="231"/>
      <c r="I7025" s="221"/>
      <c r="J7025" s="221"/>
      <c r="K7025" s="221"/>
      <c r="L7025" s="221"/>
      <c r="M7025" s="221"/>
      <c r="N7025" s="221"/>
      <c r="O7025" s="225"/>
      <c r="P7025" s="118" t="s">
        <v>3919</v>
      </c>
      <c r="Q7025" s="16" t="s">
        <v>20</v>
      </c>
      <c r="R7025" s="17" t="s">
        <v>19992</v>
      </c>
      <c r="S7025" s="121" t="s">
        <v>20029</v>
      </c>
      <c r="T7025" s="122"/>
      <c r="U7025" s="22"/>
      <c r="V7025" s="123" t="s">
        <v>2747</v>
      </c>
      <c r="W7025" s="122">
        <v>2052</v>
      </c>
      <c r="X7025" s="221"/>
      <c r="Y7025" s="221"/>
      <c r="Z7025" s="221"/>
      <c r="AA7025" s="221"/>
      <c r="AB7025" s="223"/>
    </row>
    <row r="7026" spans="1:28" ht="17.100000000000001" customHeight="1" thickTop="1">
      <c r="A7026" s="226" t="s">
        <v>19621</v>
      </c>
      <c r="B7026" s="28">
        <v>46093</v>
      </c>
      <c r="C7026" s="25">
        <v>2018</v>
      </c>
      <c r="D7026" s="13" t="s">
        <v>2195</v>
      </c>
      <c r="E7026" s="228"/>
      <c r="F7026" s="109" t="s">
        <v>6887</v>
      </c>
      <c r="G7026" s="24" t="s">
        <v>2907</v>
      </c>
      <c r="H7026" s="230">
        <v>4</v>
      </c>
      <c r="I7026" s="220">
        <v>1414000</v>
      </c>
      <c r="J7026" s="220">
        <f>I7026*0.1</f>
        <v>141400</v>
      </c>
      <c r="K7026" s="220">
        <v>0</v>
      </c>
      <c r="L7026" s="220">
        <v>11100</v>
      </c>
      <c r="M7026" s="220">
        <v>22000</v>
      </c>
      <c r="N7026" s="220">
        <f>SUM(I7026:M7027)</f>
        <v>1588500</v>
      </c>
      <c r="O7026" s="224"/>
      <c r="P7026" s="110" t="s">
        <v>19639</v>
      </c>
      <c r="Q7026" s="15" t="s">
        <v>19</v>
      </c>
      <c r="R7026" s="205"/>
      <c r="S7026" s="189" t="s">
        <v>25746</v>
      </c>
      <c r="T7026" s="114"/>
      <c r="U7026" s="21" t="s">
        <v>20051</v>
      </c>
      <c r="V7026" s="115">
        <v>46099</v>
      </c>
      <c r="W7026" s="116">
        <v>1009</v>
      </c>
      <c r="X7026" s="220">
        <v>1515000</v>
      </c>
      <c r="Y7026" s="220">
        <f>X7026*0.1</f>
        <v>151500</v>
      </c>
      <c r="Z7026" s="220">
        <v>11100</v>
      </c>
      <c r="AA7026" s="220">
        <f>SUM(X7026:Z7026)</f>
        <v>1677600</v>
      </c>
      <c r="AB7026" s="222">
        <v>46105</v>
      </c>
    </row>
    <row r="7027" spans="1:28" ht="17.100000000000001" customHeight="1" thickBot="1">
      <c r="A7027" s="227"/>
      <c r="B7027" s="27" t="s">
        <v>18302</v>
      </c>
      <c r="C7027" s="27">
        <v>50176</v>
      </c>
      <c r="D7027" s="14" t="s">
        <v>273</v>
      </c>
      <c r="E7027" s="229"/>
      <c r="F7027" s="117" t="s">
        <v>19632</v>
      </c>
      <c r="G7027" s="26">
        <v>11867</v>
      </c>
      <c r="H7027" s="231"/>
      <c r="I7027" s="221"/>
      <c r="J7027" s="221"/>
      <c r="K7027" s="221"/>
      <c r="L7027" s="221"/>
      <c r="M7027" s="221"/>
      <c r="N7027" s="221"/>
      <c r="O7027" s="225"/>
      <c r="P7027" s="118" t="s">
        <v>2287</v>
      </c>
      <c r="Q7027" s="16" t="s">
        <v>20</v>
      </c>
      <c r="R7027" s="17" t="s">
        <v>19992</v>
      </c>
      <c r="S7027" s="121" t="s">
        <v>12420</v>
      </c>
      <c r="T7027" s="122"/>
      <c r="U7027" s="22"/>
      <c r="V7027" s="123" t="s">
        <v>2747</v>
      </c>
      <c r="W7027" s="122">
        <v>5100</v>
      </c>
      <c r="X7027" s="221"/>
      <c r="Y7027" s="221"/>
      <c r="Z7027" s="221"/>
      <c r="AA7027" s="221"/>
      <c r="AB7027" s="223"/>
    </row>
    <row r="7028" spans="1:28" ht="17.100000000000001" customHeight="1" thickTop="1">
      <c r="A7028" s="226" t="s">
        <v>19644</v>
      </c>
      <c r="B7028" s="28">
        <v>46094</v>
      </c>
      <c r="C7028" s="25">
        <v>1782</v>
      </c>
      <c r="D7028" s="13" t="s">
        <v>1780</v>
      </c>
      <c r="E7028" s="228"/>
      <c r="F7028" s="109" t="s">
        <v>19642</v>
      </c>
      <c r="G7028" s="24"/>
      <c r="H7028" s="230">
        <v>4.5</v>
      </c>
      <c r="I7028" s="220">
        <v>4140000</v>
      </c>
      <c r="J7028" s="220">
        <f>I7028*0.1</f>
        <v>414000</v>
      </c>
      <c r="K7028" s="220">
        <v>0</v>
      </c>
      <c r="L7028" s="220">
        <v>17640</v>
      </c>
      <c r="M7028" s="220">
        <v>17600</v>
      </c>
      <c r="N7028" s="220">
        <f>SUM(I7028:M7029)</f>
        <v>4589240</v>
      </c>
      <c r="O7028" s="224"/>
      <c r="P7028" s="110" t="s">
        <v>20010</v>
      </c>
      <c r="Q7028" s="15" t="s">
        <v>19</v>
      </c>
      <c r="R7028" s="205"/>
      <c r="S7028" s="189" t="s">
        <v>1271</v>
      </c>
      <c r="T7028" s="114"/>
      <c r="U7028" s="21"/>
      <c r="V7028" s="115">
        <v>46134</v>
      </c>
      <c r="W7028" s="116">
        <v>1014</v>
      </c>
      <c r="X7028" s="220">
        <v>4275000</v>
      </c>
      <c r="Y7028" s="220">
        <f>X7028*0.1</f>
        <v>427500</v>
      </c>
      <c r="Z7028" s="220">
        <v>17640</v>
      </c>
      <c r="AA7028" s="220">
        <f>SUM(X7028:Z7028)</f>
        <v>4720140</v>
      </c>
      <c r="AB7028" s="222">
        <v>46139</v>
      </c>
    </row>
    <row r="7029" spans="1:28" ht="17.100000000000001" customHeight="1" thickBot="1">
      <c r="A7029" s="227"/>
      <c r="B7029" s="27" t="s">
        <v>2455</v>
      </c>
      <c r="C7029" s="27">
        <v>5042</v>
      </c>
      <c r="D7029" s="14" t="s">
        <v>1584</v>
      </c>
      <c r="E7029" s="229"/>
      <c r="F7029" s="117" t="s">
        <v>19643</v>
      </c>
      <c r="G7029" s="26">
        <v>30293</v>
      </c>
      <c r="H7029" s="231"/>
      <c r="I7029" s="221"/>
      <c r="J7029" s="221"/>
      <c r="K7029" s="221"/>
      <c r="L7029" s="221"/>
      <c r="M7029" s="221"/>
      <c r="N7029" s="221"/>
      <c r="O7029" s="225"/>
      <c r="P7029" s="118" t="s">
        <v>20011</v>
      </c>
      <c r="Q7029" s="16" t="s">
        <v>20</v>
      </c>
      <c r="R7029" s="17" t="s">
        <v>19992</v>
      </c>
      <c r="S7029" s="121" t="s">
        <v>1731</v>
      </c>
      <c r="T7029" s="122"/>
      <c r="U7029" s="22"/>
      <c r="V7029" s="123" t="s">
        <v>8877</v>
      </c>
      <c r="W7029" s="122">
        <v>6028</v>
      </c>
      <c r="X7029" s="221"/>
      <c r="Y7029" s="221"/>
      <c r="Z7029" s="221"/>
      <c r="AA7029" s="221"/>
      <c r="AB7029" s="223"/>
    </row>
    <row r="7030" spans="1:28" ht="17.100000000000001" customHeight="1" thickTop="1">
      <c r="A7030" s="226" t="s">
        <v>19645</v>
      </c>
      <c r="B7030" s="28">
        <v>46094</v>
      </c>
      <c r="C7030" s="25">
        <v>1197</v>
      </c>
      <c r="D7030" s="13" t="s">
        <v>1704</v>
      </c>
      <c r="E7030" s="228"/>
      <c r="F7030" s="109" t="s">
        <v>19652</v>
      </c>
      <c r="G7030" s="24"/>
      <c r="H7030" s="230">
        <v>4.5</v>
      </c>
      <c r="I7030" s="220">
        <v>1995000</v>
      </c>
      <c r="J7030" s="220">
        <f>I7030*0.1</f>
        <v>199500</v>
      </c>
      <c r="K7030" s="220">
        <v>0</v>
      </c>
      <c r="L7030" s="220">
        <v>21720</v>
      </c>
      <c r="M7030" s="220">
        <v>16500</v>
      </c>
      <c r="N7030" s="220">
        <f>SUM(I7030:M7031)</f>
        <v>2232720</v>
      </c>
      <c r="O7030" s="224"/>
      <c r="P7030" s="110" t="s">
        <v>20067</v>
      </c>
      <c r="Q7030" s="15" t="s">
        <v>19</v>
      </c>
      <c r="R7030" s="205"/>
      <c r="S7030" s="189" t="s">
        <v>25371</v>
      </c>
      <c r="T7030" s="114"/>
      <c r="U7030" s="21"/>
      <c r="V7030" s="115"/>
      <c r="W7030" s="116"/>
      <c r="X7030" s="220"/>
      <c r="Y7030" s="220">
        <f>X7030*0.1</f>
        <v>0</v>
      </c>
      <c r="Z7030" s="220"/>
      <c r="AA7030" s="220">
        <f>SUM(X7030:Z7030)</f>
        <v>0</v>
      </c>
      <c r="AB7030" s="222"/>
    </row>
    <row r="7031" spans="1:28" ht="17.100000000000001" customHeight="1" thickBot="1">
      <c r="A7031" s="227"/>
      <c r="B7031" s="27" t="s">
        <v>1813</v>
      </c>
      <c r="C7031" s="27">
        <v>88067</v>
      </c>
      <c r="D7031" s="14" t="s">
        <v>273</v>
      </c>
      <c r="E7031" s="229"/>
      <c r="F7031" s="117" t="s">
        <v>19653</v>
      </c>
      <c r="G7031" s="26">
        <v>67790</v>
      </c>
      <c r="H7031" s="231"/>
      <c r="I7031" s="221"/>
      <c r="J7031" s="221"/>
      <c r="K7031" s="221"/>
      <c r="L7031" s="221"/>
      <c r="M7031" s="221"/>
      <c r="N7031" s="221"/>
      <c r="O7031" s="225"/>
      <c r="P7031" s="118" t="s">
        <v>4711</v>
      </c>
      <c r="Q7031" s="16" t="s">
        <v>20</v>
      </c>
      <c r="R7031" s="17" t="s">
        <v>20054</v>
      </c>
      <c r="S7031" s="121" t="s">
        <v>20068</v>
      </c>
      <c r="T7031" s="122"/>
      <c r="U7031" s="22"/>
      <c r="V7031" s="123"/>
      <c r="W7031" s="122"/>
      <c r="X7031" s="221"/>
      <c r="Y7031" s="221"/>
      <c r="Z7031" s="221"/>
      <c r="AA7031" s="221"/>
      <c r="AB7031" s="223"/>
    </row>
    <row r="7032" spans="1:28" ht="17.100000000000001" customHeight="1" thickTop="1">
      <c r="A7032" s="226" t="s">
        <v>19646</v>
      </c>
      <c r="B7032" s="28">
        <v>46094</v>
      </c>
      <c r="C7032" s="25">
        <v>1197</v>
      </c>
      <c r="D7032" s="13" t="s">
        <v>1772</v>
      </c>
      <c r="E7032" s="228"/>
      <c r="F7032" s="109" t="s">
        <v>7385</v>
      </c>
      <c r="G7032" s="24"/>
      <c r="H7032" s="230">
        <v>4.5</v>
      </c>
      <c r="I7032" s="220">
        <v>1770000</v>
      </c>
      <c r="J7032" s="220">
        <f>I7032*0.1</f>
        <v>177000</v>
      </c>
      <c r="K7032" s="220">
        <v>0</v>
      </c>
      <c r="L7032" s="220">
        <v>16580</v>
      </c>
      <c r="M7032" s="220">
        <v>16500</v>
      </c>
      <c r="N7032" s="220">
        <f>SUM(I7032:M7033)</f>
        <v>1980080</v>
      </c>
      <c r="O7032" s="224"/>
      <c r="P7032" s="110" t="s">
        <v>20069</v>
      </c>
      <c r="Q7032" s="15" t="s">
        <v>19</v>
      </c>
      <c r="R7032" s="205"/>
      <c r="S7032" s="189" t="s">
        <v>758</v>
      </c>
      <c r="T7032" s="114"/>
      <c r="U7032" s="21"/>
      <c r="V7032" s="115">
        <v>46106</v>
      </c>
      <c r="W7032" s="116">
        <v>1010</v>
      </c>
      <c r="X7032" s="220">
        <v>1860000</v>
      </c>
      <c r="Y7032" s="220">
        <f>X7032*0.1</f>
        <v>186000</v>
      </c>
      <c r="Z7032" s="220">
        <v>16580</v>
      </c>
      <c r="AA7032" s="220">
        <f>SUM(X7032:Z7032)</f>
        <v>2062580</v>
      </c>
      <c r="AB7032" s="222">
        <v>46111</v>
      </c>
    </row>
    <row r="7033" spans="1:28" ht="17.100000000000001" customHeight="1" thickBot="1">
      <c r="A7033" s="227"/>
      <c r="B7033" s="27" t="s">
        <v>1813</v>
      </c>
      <c r="C7033" s="27">
        <v>88125</v>
      </c>
      <c r="D7033" s="14" t="s">
        <v>2753</v>
      </c>
      <c r="E7033" s="229"/>
      <c r="F7033" s="117" t="s">
        <v>19651</v>
      </c>
      <c r="G7033" s="26">
        <v>20402</v>
      </c>
      <c r="H7033" s="231"/>
      <c r="I7033" s="221"/>
      <c r="J7033" s="221"/>
      <c r="K7033" s="221"/>
      <c r="L7033" s="221"/>
      <c r="M7033" s="221"/>
      <c r="N7033" s="221"/>
      <c r="O7033" s="225"/>
      <c r="P7033" s="118" t="s">
        <v>20070</v>
      </c>
      <c r="Q7033" s="16" t="s">
        <v>20</v>
      </c>
      <c r="R7033" s="17" t="s">
        <v>20054</v>
      </c>
      <c r="S7033" s="121" t="s">
        <v>1731</v>
      </c>
      <c r="T7033" s="122"/>
      <c r="U7033" s="22"/>
      <c r="V7033" s="123" t="s">
        <v>2747</v>
      </c>
      <c r="W7033" s="122">
        <v>5057</v>
      </c>
      <c r="X7033" s="221"/>
      <c r="Y7033" s="221"/>
      <c r="Z7033" s="221"/>
      <c r="AA7033" s="221"/>
      <c r="AB7033" s="223"/>
    </row>
    <row r="7034" spans="1:28" ht="17.100000000000001" customHeight="1" thickTop="1">
      <c r="A7034" s="226" t="s">
        <v>19647</v>
      </c>
      <c r="B7034" s="28">
        <v>46094</v>
      </c>
      <c r="C7034" s="25">
        <v>2126</v>
      </c>
      <c r="D7034" s="13" t="s">
        <v>2167</v>
      </c>
      <c r="E7034" s="228"/>
      <c r="F7034" s="109" t="s">
        <v>2658</v>
      </c>
      <c r="G7034" s="24" t="s">
        <v>10634</v>
      </c>
      <c r="H7034" s="230">
        <v>4.5</v>
      </c>
      <c r="I7034" s="220">
        <v>1520000</v>
      </c>
      <c r="J7034" s="220">
        <f>I7034*0.1</f>
        <v>152000</v>
      </c>
      <c r="K7034" s="220">
        <v>34500</v>
      </c>
      <c r="L7034" s="220">
        <v>11740</v>
      </c>
      <c r="M7034" s="220">
        <v>27500</v>
      </c>
      <c r="N7034" s="220">
        <f>SUM(I7034:M7035)</f>
        <v>1745740</v>
      </c>
      <c r="O7034" s="224"/>
      <c r="P7034" s="110" t="s">
        <v>20005</v>
      </c>
      <c r="Q7034" s="15" t="s">
        <v>19</v>
      </c>
      <c r="R7034" s="205"/>
      <c r="S7034" s="189"/>
      <c r="T7034" s="114"/>
      <c r="U7034" s="21"/>
      <c r="V7034" s="115">
        <v>46107</v>
      </c>
      <c r="W7034" s="116">
        <v>1324</v>
      </c>
      <c r="X7034" s="220">
        <v>1550000</v>
      </c>
      <c r="Y7034" s="220">
        <f>X7034*0.1</f>
        <v>155000</v>
      </c>
      <c r="Z7034" s="220">
        <v>11740</v>
      </c>
      <c r="AA7034" s="220">
        <f>SUM(X7034:Z7034)</f>
        <v>1716740</v>
      </c>
      <c r="AB7034" s="222">
        <v>46108</v>
      </c>
    </row>
    <row r="7035" spans="1:28" ht="17.100000000000001" customHeight="1" thickBot="1">
      <c r="A7035" s="227"/>
      <c r="B7035" s="27" t="s">
        <v>1536</v>
      </c>
      <c r="C7035" s="27">
        <v>20311</v>
      </c>
      <c r="D7035" s="14" t="s">
        <v>131</v>
      </c>
      <c r="E7035" s="229"/>
      <c r="F7035" s="117" t="s">
        <v>19657</v>
      </c>
      <c r="G7035" s="26">
        <v>42106</v>
      </c>
      <c r="H7035" s="231"/>
      <c r="I7035" s="221"/>
      <c r="J7035" s="221"/>
      <c r="K7035" s="221"/>
      <c r="L7035" s="221"/>
      <c r="M7035" s="221"/>
      <c r="N7035" s="221"/>
      <c r="O7035" s="225"/>
      <c r="P7035" s="118" t="s">
        <v>20006</v>
      </c>
      <c r="Q7035" s="16" t="s">
        <v>20</v>
      </c>
      <c r="R7035" s="17" t="s">
        <v>19992</v>
      </c>
      <c r="S7035" s="121" t="s">
        <v>20448</v>
      </c>
      <c r="T7035" s="122"/>
      <c r="U7035" s="22"/>
      <c r="V7035" s="123" t="s">
        <v>20690</v>
      </c>
      <c r="W7035" s="122">
        <v>1</v>
      </c>
      <c r="X7035" s="221"/>
      <c r="Y7035" s="221"/>
      <c r="Z7035" s="221"/>
      <c r="AA7035" s="221"/>
      <c r="AB7035" s="223"/>
    </row>
    <row r="7036" spans="1:28" ht="17.100000000000001" customHeight="1" thickTop="1">
      <c r="A7036" s="226" t="s">
        <v>19648</v>
      </c>
      <c r="B7036" s="28">
        <v>46094</v>
      </c>
      <c r="C7036" s="25">
        <v>2126</v>
      </c>
      <c r="D7036" s="13" t="s">
        <v>1961</v>
      </c>
      <c r="E7036" s="228"/>
      <c r="F7036" s="109" t="s">
        <v>4483</v>
      </c>
      <c r="G7036" s="24"/>
      <c r="H7036" s="230">
        <v>4.5</v>
      </c>
      <c r="I7036" s="220">
        <v>1020000</v>
      </c>
      <c r="J7036" s="220">
        <f>I7036*0.1</f>
        <v>102000</v>
      </c>
      <c r="K7036" s="220">
        <v>0</v>
      </c>
      <c r="L7036" s="220">
        <v>16240</v>
      </c>
      <c r="M7036" s="220">
        <v>16500</v>
      </c>
      <c r="N7036" s="220">
        <f>SUM(I7036:M7037)</f>
        <v>1154740</v>
      </c>
      <c r="O7036" s="224"/>
      <c r="P7036" s="110" t="s">
        <v>20012</v>
      </c>
      <c r="Q7036" s="15" t="s">
        <v>19</v>
      </c>
      <c r="R7036" s="205"/>
      <c r="S7036" s="189" t="s">
        <v>1276</v>
      </c>
      <c r="T7036" s="114"/>
      <c r="U7036" s="21"/>
      <c r="V7036" s="115">
        <v>46107</v>
      </c>
      <c r="W7036" s="116">
        <v>1324</v>
      </c>
      <c r="X7036" s="220">
        <v>1320000</v>
      </c>
      <c r="Y7036" s="220">
        <f>X7036*0.1</f>
        <v>132000</v>
      </c>
      <c r="Z7036" s="220">
        <v>16240</v>
      </c>
      <c r="AA7036" s="220">
        <f>SUM(X7036:Z7036)</f>
        <v>1468240</v>
      </c>
      <c r="AB7036" s="222">
        <v>46108</v>
      </c>
    </row>
    <row r="7037" spans="1:28" ht="17.100000000000001" customHeight="1" thickBot="1">
      <c r="A7037" s="227"/>
      <c r="B7037" s="27" t="s">
        <v>1536</v>
      </c>
      <c r="C7037" s="27">
        <v>58110</v>
      </c>
      <c r="D7037" s="14" t="s">
        <v>1584</v>
      </c>
      <c r="E7037" s="229"/>
      <c r="F7037" s="117" t="s">
        <v>19656</v>
      </c>
      <c r="G7037" s="26">
        <v>50051</v>
      </c>
      <c r="H7037" s="231"/>
      <c r="I7037" s="221"/>
      <c r="J7037" s="221"/>
      <c r="K7037" s="221"/>
      <c r="L7037" s="221"/>
      <c r="M7037" s="221"/>
      <c r="N7037" s="221"/>
      <c r="O7037" s="225"/>
      <c r="P7037" s="118" t="s">
        <v>1586</v>
      </c>
      <c r="Q7037" s="16" t="s">
        <v>20</v>
      </c>
      <c r="R7037" s="17" t="s">
        <v>19992</v>
      </c>
      <c r="S7037" s="121" t="s">
        <v>1606</v>
      </c>
      <c r="T7037" s="122"/>
      <c r="U7037" s="22"/>
      <c r="V7037" s="123" t="s">
        <v>20691</v>
      </c>
      <c r="W7037" s="122">
        <v>973</v>
      </c>
      <c r="X7037" s="221"/>
      <c r="Y7037" s="221"/>
      <c r="Z7037" s="221"/>
      <c r="AA7037" s="221"/>
      <c r="AB7037" s="223"/>
    </row>
    <row r="7038" spans="1:28" ht="17.100000000000001" customHeight="1" thickTop="1">
      <c r="A7038" s="226" t="s">
        <v>19649</v>
      </c>
      <c r="B7038" s="28">
        <v>46094</v>
      </c>
      <c r="C7038" s="25">
        <v>2126</v>
      </c>
      <c r="D7038" s="13" t="s">
        <v>1961</v>
      </c>
      <c r="E7038" s="228"/>
      <c r="F7038" s="109" t="s">
        <v>19654</v>
      </c>
      <c r="G7038" s="24"/>
      <c r="H7038" s="230">
        <v>5</v>
      </c>
      <c r="I7038" s="220">
        <v>1320000</v>
      </c>
      <c r="J7038" s="220">
        <f>I7038*0.1</f>
        <v>132000</v>
      </c>
      <c r="K7038" s="220">
        <v>0</v>
      </c>
      <c r="L7038" s="220">
        <v>15100</v>
      </c>
      <c r="M7038" s="220">
        <v>16500</v>
      </c>
      <c r="N7038" s="220">
        <f>SUM(I7038:M7039)</f>
        <v>1483600</v>
      </c>
      <c r="O7038" s="224"/>
      <c r="P7038" s="110" t="s">
        <v>20009</v>
      </c>
      <c r="Q7038" s="15" t="s">
        <v>19</v>
      </c>
      <c r="R7038" s="205"/>
      <c r="S7038" s="189" t="s">
        <v>1271</v>
      </c>
      <c r="T7038" s="114"/>
      <c r="U7038" s="21"/>
      <c r="V7038" s="115">
        <v>46114</v>
      </c>
      <c r="W7038" s="116">
        <v>1325</v>
      </c>
      <c r="X7038" s="220">
        <v>1430000</v>
      </c>
      <c r="Y7038" s="220">
        <f>X7038*0.1</f>
        <v>143000</v>
      </c>
      <c r="Z7038" s="220">
        <v>15100</v>
      </c>
      <c r="AA7038" s="220">
        <f>SUM(X7038:Z7038)</f>
        <v>1588100</v>
      </c>
      <c r="AB7038" s="222">
        <v>46115</v>
      </c>
    </row>
    <row r="7039" spans="1:28" ht="17.100000000000001" customHeight="1" thickBot="1">
      <c r="A7039" s="227"/>
      <c r="B7039" s="27" t="s">
        <v>1536</v>
      </c>
      <c r="C7039" s="27">
        <v>58356</v>
      </c>
      <c r="D7039" s="14" t="s">
        <v>898</v>
      </c>
      <c r="E7039" s="229"/>
      <c r="F7039" s="117" t="s">
        <v>19655</v>
      </c>
      <c r="G7039" s="26">
        <v>13994</v>
      </c>
      <c r="H7039" s="231"/>
      <c r="I7039" s="221"/>
      <c r="J7039" s="221"/>
      <c r="K7039" s="221"/>
      <c r="L7039" s="221"/>
      <c r="M7039" s="221"/>
      <c r="N7039" s="221"/>
      <c r="O7039" s="225"/>
      <c r="P7039" s="118" t="s">
        <v>13558</v>
      </c>
      <c r="Q7039" s="16" t="s">
        <v>20</v>
      </c>
      <c r="R7039" s="17" t="s">
        <v>19992</v>
      </c>
      <c r="S7039" s="121" t="s">
        <v>1731</v>
      </c>
      <c r="T7039" s="122"/>
      <c r="U7039" s="22"/>
      <c r="V7039" s="123" t="s">
        <v>14285</v>
      </c>
      <c r="W7039" s="122">
        <v>973</v>
      </c>
      <c r="X7039" s="221"/>
      <c r="Y7039" s="221"/>
      <c r="Z7039" s="221"/>
      <c r="AA7039" s="221"/>
      <c r="AB7039" s="223"/>
    </row>
    <row r="7040" spans="1:28" ht="17.100000000000001" customHeight="1" thickTop="1">
      <c r="A7040" s="226" t="s">
        <v>19650</v>
      </c>
      <c r="B7040" s="28">
        <v>46094</v>
      </c>
      <c r="C7040" s="25"/>
      <c r="D7040" s="13" t="s">
        <v>19671</v>
      </c>
      <c r="E7040" s="228"/>
      <c r="F7040" s="109" t="s">
        <v>4200</v>
      </c>
      <c r="G7040" s="24" t="s">
        <v>10135</v>
      </c>
      <c r="H7040" s="232" t="s">
        <v>1705</v>
      </c>
      <c r="I7040" s="220">
        <f>415800/1.1</f>
        <v>377999.99999999994</v>
      </c>
      <c r="J7040" s="220">
        <f>I7040*0.1</f>
        <v>37799.999999999993</v>
      </c>
      <c r="K7040" s="220">
        <v>0</v>
      </c>
      <c r="L7040" s="220">
        <v>8670</v>
      </c>
      <c r="M7040" s="220">
        <v>0</v>
      </c>
      <c r="N7040" s="220">
        <f>SUM(I7040:M7041)</f>
        <v>424469.99999999994</v>
      </c>
      <c r="O7040" s="224"/>
      <c r="P7040" s="110" t="s">
        <v>20416</v>
      </c>
      <c r="Q7040" s="15" t="s">
        <v>19</v>
      </c>
      <c r="R7040" s="205"/>
      <c r="S7040" s="189"/>
      <c r="T7040" s="114"/>
      <c r="U7040" s="85" t="s">
        <v>20416</v>
      </c>
      <c r="V7040" s="115">
        <v>46123</v>
      </c>
      <c r="W7040" s="116">
        <v>1296</v>
      </c>
      <c r="X7040" s="220">
        <v>385000</v>
      </c>
      <c r="Y7040" s="220">
        <f>X7040*0.1</f>
        <v>38500</v>
      </c>
      <c r="Z7040" s="220">
        <v>8670</v>
      </c>
      <c r="AA7040" s="220">
        <f>SUM(X7040:Z7040)</f>
        <v>432170</v>
      </c>
      <c r="AB7040" s="222">
        <v>46126</v>
      </c>
    </row>
    <row r="7041" spans="1:28" ht="17.100000000000001" customHeight="1" thickBot="1">
      <c r="A7041" s="227"/>
      <c r="B7041" s="27" t="s">
        <v>1708</v>
      </c>
      <c r="C7041" s="27" t="s">
        <v>19661</v>
      </c>
      <c r="D7041" s="14" t="s">
        <v>1568</v>
      </c>
      <c r="E7041" s="229"/>
      <c r="F7041" s="117" t="s">
        <v>19662</v>
      </c>
      <c r="G7041" s="26">
        <v>152000</v>
      </c>
      <c r="H7041" s="231"/>
      <c r="I7041" s="221"/>
      <c r="J7041" s="221"/>
      <c r="K7041" s="221"/>
      <c r="L7041" s="221"/>
      <c r="M7041" s="221"/>
      <c r="N7041" s="221"/>
      <c r="O7041" s="225"/>
      <c r="P7041" s="118" t="s">
        <v>20417</v>
      </c>
      <c r="Q7041" s="16" t="s">
        <v>20</v>
      </c>
      <c r="R7041" s="17" t="s">
        <v>20397</v>
      </c>
      <c r="S7041" s="121" t="s">
        <v>20404</v>
      </c>
      <c r="T7041" s="122"/>
      <c r="U7041" s="22"/>
      <c r="V7041" s="123" t="s">
        <v>2472</v>
      </c>
      <c r="W7041" s="122">
        <v>62018</v>
      </c>
      <c r="X7041" s="221"/>
      <c r="Y7041" s="221"/>
      <c r="Z7041" s="221"/>
      <c r="AA7041" s="221"/>
      <c r="AB7041" s="223"/>
    </row>
    <row r="7042" spans="1:28" ht="17.100000000000001" customHeight="1" thickTop="1">
      <c r="A7042" s="233" t="s">
        <v>19658</v>
      </c>
      <c r="B7042" s="28">
        <v>46094</v>
      </c>
      <c r="C7042" s="25"/>
      <c r="D7042" s="13" t="s">
        <v>1702</v>
      </c>
      <c r="E7042" s="228"/>
      <c r="F7042" s="109" t="s">
        <v>19669</v>
      </c>
      <c r="G7042" s="24" t="s">
        <v>3482</v>
      </c>
      <c r="H7042" s="230">
        <v>4.5</v>
      </c>
      <c r="I7042" s="220">
        <v>635000</v>
      </c>
      <c r="J7042" s="220">
        <v>63500</v>
      </c>
      <c r="K7042" s="220">
        <v>0</v>
      </c>
      <c r="L7042" s="220">
        <v>9290</v>
      </c>
      <c r="M7042" s="220">
        <v>0</v>
      </c>
      <c r="N7042" s="220">
        <f>SUM(I7042:M7043)</f>
        <v>707790</v>
      </c>
      <c r="O7042" s="224"/>
      <c r="P7042" s="110"/>
      <c r="Q7042" s="15" t="s">
        <v>19</v>
      </c>
      <c r="R7042" s="205"/>
      <c r="S7042" s="189" t="s">
        <v>1361</v>
      </c>
      <c r="T7042" s="114" t="s">
        <v>7899</v>
      </c>
      <c r="U7042" s="21"/>
      <c r="V7042" s="115"/>
      <c r="W7042" s="116"/>
      <c r="X7042" s="220"/>
      <c r="Y7042" s="220">
        <f>X7042*0.1</f>
        <v>0</v>
      </c>
      <c r="Z7042" s="220"/>
      <c r="AA7042" s="220">
        <f>SUM(X7042:Z7042)</f>
        <v>0</v>
      </c>
      <c r="AB7042" s="222"/>
    </row>
    <row r="7043" spans="1:28" ht="17.100000000000001" customHeight="1" thickBot="1">
      <c r="A7043" s="234"/>
      <c r="B7043" s="27" t="s">
        <v>1708</v>
      </c>
      <c r="C7043" s="27" t="s">
        <v>19663</v>
      </c>
      <c r="D7043" s="14" t="s">
        <v>1710</v>
      </c>
      <c r="E7043" s="229"/>
      <c r="F7043" s="117" t="s">
        <v>19664</v>
      </c>
      <c r="G7043" s="26">
        <v>22742</v>
      </c>
      <c r="H7043" s="231"/>
      <c r="I7043" s="221"/>
      <c r="J7043" s="221"/>
      <c r="K7043" s="221"/>
      <c r="L7043" s="221"/>
      <c r="M7043" s="221"/>
      <c r="N7043" s="221"/>
      <c r="O7043" s="225"/>
      <c r="P7043" s="118"/>
      <c r="Q7043" s="16" t="s">
        <v>20</v>
      </c>
      <c r="R7043" s="17" t="s">
        <v>10331</v>
      </c>
      <c r="S7043" s="121"/>
      <c r="T7043" s="122"/>
      <c r="U7043" s="22"/>
      <c r="V7043" s="123"/>
      <c r="W7043" s="122"/>
      <c r="X7043" s="221"/>
      <c r="Y7043" s="221"/>
      <c r="Z7043" s="221"/>
      <c r="AA7043" s="221"/>
      <c r="AB7043" s="223"/>
    </row>
    <row r="7044" spans="1:28" ht="17.100000000000001" customHeight="1" thickTop="1">
      <c r="A7044" s="226" t="s">
        <v>19659</v>
      </c>
      <c r="B7044" s="28">
        <v>46094</v>
      </c>
      <c r="C7044" s="25"/>
      <c r="D7044" s="13" t="s">
        <v>1685</v>
      </c>
      <c r="E7044" s="228"/>
      <c r="F7044" s="109" t="s">
        <v>8077</v>
      </c>
      <c r="G7044" s="24" t="s">
        <v>19670</v>
      </c>
      <c r="H7044" s="230">
        <v>4</v>
      </c>
      <c r="I7044" s="220">
        <f>561000/1.1</f>
        <v>509999.99999999994</v>
      </c>
      <c r="J7044" s="220">
        <f>I7044*0.1</f>
        <v>51000</v>
      </c>
      <c r="K7044" s="220">
        <v>0</v>
      </c>
      <c r="L7044" s="220">
        <v>9790</v>
      </c>
      <c r="M7044" s="220">
        <v>0</v>
      </c>
      <c r="N7044" s="220">
        <f>SUM(I7044:M7045)</f>
        <v>570790</v>
      </c>
      <c r="O7044" s="224"/>
      <c r="P7044" s="110" t="s">
        <v>20128</v>
      </c>
      <c r="Q7044" s="15" t="s">
        <v>19</v>
      </c>
      <c r="R7044" s="205"/>
      <c r="S7044" s="189" t="s">
        <v>1361</v>
      </c>
      <c r="T7044" s="114"/>
      <c r="U7044" s="21" t="s">
        <v>23160</v>
      </c>
      <c r="V7044" s="115">
        <v>46137</v>
      </c>
      <c r="W7044" s="116">
        <v>1298</v>
      </c>
      <c r="X7044" s="220">
        <v>600000</v>
      </c>
      <c r="Y7044" s="220">
        <f>X7044*0.1</f>
        <v>60000</v>
      </c>
      <c r="Z7044" s="220">
        <v>9790</v>
      </c>
      <c r="AA7044" s="220">
        <f>SUM(X7044:Z7044)</f>
        <v>669790</v>
      </c>
      <c r="AB7044" s="222">
        <v>46140</v>
      </c>
    </row>
    <row r="7045" spans="1:28" ht="17.100000000000001" customHeight="1" thickBot="1">
      <c r="A7045" s="227"/>
      <c r="B7045" s="27" t="s">
        <v>1708</v>
      </c>
      <c r="C7045" s="27" t="s">
        <v>19665</v>
      </c>
      <c r="D7045" s="14" t="s">
        <v>2014</v>
      </c>
      <c r="E7045" s="229"/>
      <c r="F7045" s="117" t="s">
        <v>19666</v>
      </c>
      <c r="G7045" s="26">
        <v>77729</v>
      </c>
      <c r="H7045" s="231"/>
      <c r="I7045" s="221"/>
      <c r="J7045" s="221"/>
      <c r="K7045" s="221"/>
      <c r="L7045" s="221"/>
      <c r="M7045" s="221"/>
      <c r="N7045" s="221"/>
      <c r="O7045" s="225"/>
      <c r="P7045" s="118" t="s">
        <v>20129</v>
      </c>
      <c r="Q7045" s="16" t="s">
        <v>20</v>
      </c>
      <c r="R7045" s="17" t="s">
        <v>2347</v>
      </c>
      <c r="S7045" s="121" t="s">
        <v>1731</v>
      </c>
      <c r="T7045" s="122"/>
      <c r="U7045" s="22"/>
      <c r="V7045" s="123" t="s">
        <v>2472</v>
      </c>
      <c r="W7045" s="122">
        <v>60029</v>
      </c>
      <c r="X7045" s="221"/>
      <c r="Y7045" s="221"/>
      <c r="Z7045" s="221"/>
      <c r="AA7045" s="221"/>
      <c r="AB7045" s="223"/>
    </row>
    <row r="7046" spans="1:28" ht="17.100000000000001" customHeight="1" thickTop="1">
      <c r="A7046" s="226" t="s">
        <v>19660</v>
      </c>
      <c r="B7046" s="28">
        <v>46094</v>
      </c>
      <c r="C7046" s="25"/>
      <c r="D7046" s="13" t="s">
        <v>2920</v>
      </c>
      <c r="E7046" s="228"/>
      <c r="F7046" s="109" t="s">
        <v>4223</v>
      </c>
      <c r="G7046" s="24" t="s">
        <v>4860</v>
      </c>
      <c r="H7046" s="230">
        <v>4.5</v>
      </c>
      <c r="I7046" s="220">
        <f>1215500/1.1</f>
        <v>1105000</v>
      </c>
      <c r="J7046" s="220">
        <f>I7046*0.1</f>
        <v>110500</v>
      </c>
      <c r="K7046" s="220">
        <v>0</v>
      </c>
      <c r="L7046" s="220">
        <v>8550</v>
      </c>
      <c r="M7046" s="220">
        <v>0</v>
      </c>
      <c r="N7046" s="220">
        <f>SUM(I7046:M7047)</f>
        <v>1224050</v>
      </c>
      <c r="O7046" s="224"/>
      <c r="P7046" s="110"/>
      <c r="Q7046" s="15" t="s">
        <v>19</v>
      </c>
      <c r="R7046" s="205"/>
      <c r="S7046" s="189" t="s">
        <v>1422</v>
      </c>
      <c r="T7046" s="114"/>
      <c r="U7046" s="21"/>
      <c r="V7046" s="115"/>
      <c r="W7046" s="116"/>
      <c r="X7046" s="220"/>
      <c r="Y7046" s="220">
        <f>X7046*0.1</f>
        <v>0</v>
      </c>
      <c r="Z7046" s="220"/>
      <c r="AA7046" s="220">
        <f>SUM(X7046:Z7046)</f>
        <v>0</v>
      </c>
      <c r="AB7046" s="222"/>
    </row>
    <row r="7047" spans="1:28" ht="17.100000000000001" customHeight="1" thickBot="1">
      <c r="A7047" s="227"/>
      <c r="B7047" s="27" t="s">
        <v>1708</v>
      </c>
      <c r="C7047" s="27" t="s">
        <v>19667</v>
      </c>
      <c r="D7047" s="14" t="s">
        <v>2559</v>
      </c>
      <c r="E7047" s="229"/>
      <c r="F7047" s="117" t="s">
        <v>19668</v>
      </c>
      <c r="G7047" s="26">
        <v>54168</v>
      </c>
      <c r="H7047" s="231"/>
      <c r="I7047" s="221"/>
      <c r="J7047" s="221"/>
      <c r="K7047" s="221"/>
      <c r="L7047" s="221"/>
      <c r="M7047" s="221"/>
      <c r="N7047" s="221"/>
      <c r="O7047" s="225"/>
      <c r="P7047" s="118"/>
      <c r="Q7047" s="16" t="s">
        <v>20</v>
      </c>
      <c r="R7047" s="17"/>
      <c r="S7047" s="121"/>
      <c r="T7047" s="122"/>
      <c r="U7047" s="22"/>
      <c r="V7047" s="123"/>
      <c r="W7047" s="122"/>
      <c r="X7047" s="221"/>
      <c r="Y7047" s="221"/>
      <c r="Z7047" s="221"/>
      <c r="AA7047" s="221"/>
      <c r="AB7047" s="223"/>
    </row>
    <row r="7048" spans="1:28" ht="16.5" customHeight="1" thickTop="1">
      <c r="A7048" s="226" t="s">
        <v>19673</v>
      </c>
      <c r="B7048" s="28">
        <v>46094</v>
      </c>
      <c r="C7048" s="25">
        <v>282</v>
      </c>
      <c r="D7048" s="13" t="s">
        <v>4213</v>
      </c>
      <c r="E7048" s="228"/>
      <c r="F7048" s="109" t="s">
        <v>19640</v>
      </c>
      <c r="G7048" s="24" t="s">
        <v>4120</v>
      </c>
      <c r="H7048" s="230">
        <v>4.5</v>
      </c>
      <c r="I7048" s="220">
        <v>1117000</v>
      </c>
      <c r="J7048" s="220">
        <f>I7048*0.1</f>
        <v>111700</v>
      </c>
      <c r="K7048" s="220">
        <v>0</v>
      </c>
      <c r="L7048" s="220">
        <v>7040</v>
      </c>
      <c r="M7048" s="220">
        <v>22000</v>
      </c>
      <c r="N7048" s="220">
        <f>SUM(I7048:M7049)</f>
        <v>1257740</v>
      </c>
      <c r="O7048" s="224"/>
      <c r="P7048" s="110" t="s">
        <v>19871</v>
      </c>
      <c r="Q7048" s="15" t="s">
        <v>19</v>
      </c>
      <c r="R7048" s="205"/>
      <c r="S7048" s="189" t="s">
        <v>25476</v>
      </c>
      <c r="T7048" s="114"/>
      <c r="U7048" s="21"/>
      <c r="V7048" s="115">
        <v>46098</v>
      </c>
      <c r="W7048" s="116">
        <v>1933</v>
      </c>
      <c r="X7048" s="220">
        <v>1173000</v>
      </c>
      <c r="Y7048" s="220">
        <f>X7048*0.1</f>
        <v>117300</v>
      </c>
      <c r="Z7048" s="220">
        <v>7040</v>
      </c>
      <c r="AA7048" s="220">
        <f>SUM(X7048:Z7048)</f>
        <v>1297340</v>
      </c>
      <c r="AB7048" s="222"/>
    </row>
    <row r="7049" spans="1:28" ht="17.100000000000001" customHeight="1" thickBot="1">
      <c r="A7049" s="227"/>
      <c r="B7049" s="27" t="s">
        <v>19672</v>
      </c>
      <c r="C7049" s="27">
        <v>11</v>
      </c>
      <c r="D7049" s="14" t="s">
        <v>2559</v>
      </c>
      <c r="E7049" s="229"/>
      <c r="F7049" s="117" t="s">
        <v>19679</v>
      </c>
      <c r="G7049" s="26">
        <v>27140</v>
      </c>
      <c r="H7049" s="231"/>
      <c r="I7049" s="221"/>
      <c r="J7049" s="221"/>
      <c r="K7049" s="221"/>
      <c r="L7049" s="221"/>
      <c r="M7049" s="221"/>
      <c r="N7049" s="221"/>
      <c r="O7049" s="225"/>
      <c r="P7049" s="118" t="s">
        <v>19872</v>
      </c>
      <c r="Q7049" s="16" t="s">
        <v>20</v>
      </c>
      <c r="R7049" s="17" t="s">
        <v>2341</v>
      </c>
      <c r="S7049" s="121" t="s">
        <v>9359</v>
      </c>
      <c r="T7049" s="122"/>
      <c r="U7049" s="22"/>
      <c r="V7049" s="123" t="s">
        <v>2103</v>
      </c>
      <c r="W7049" s="122">
        <v>3467</v>
      </c>
      <c r="X7049" s="221"/>
      <c r="Y7049" s="221"/>
      <c r="Z7049" s="221"/>
      <c r="AA7049" s="221"/>
      <c r="AB7049" s="223"/>
    </row>
    <row r="7050" spans="1:28" ht="17.100000000000001" customHeight="1" thickTop="1">
      <c r="A7050" s="226" t="s">
        <v>19674</v>
      </c>
      <c r="B7050" s="28">
        <v>46094</v>
      </c>
      <c r="C7050" s="25">
        <v>282</v>
      </c>
      <c r="D7050" s="13" t="s">
        <v>1853</v>
      </c>
      <c r="E7050" s="228"/>
      <c r="F7050" s="109" t="s">
        <v>19688</v>
      </c>
      <c r="G7050" s="24"/>
      <c r="H7050" s="230">
        <v>4</v>
      </c>
      <c r="I7050" s="220">
        <v>213000</v>
      </c>
      <c r="J7050" s="220">
        <f>I7050*0.1</f>
        <v>21300</v>
      </c>
      <c r="K7050" s="220">
        <v>0</v>
      </c>
      <c r="L7050" s="220">
        <v>7320</v>
      </c>
      <c r="M7050" s="220">
        <v>22000</v>
      </c>
      <c r="N7050" s="220">
        <f>SUM(I7050:M7051)</f>
        <v>263620</v>
      </c>
      <c r="O7050" s="224"/>
      <c r="P7050" s="110" t="s">
        <v>19874</v>
      </c>
      <c r="Q7050" s="15" t="s">
        <v>19</v>
      </c>
      <c r="R7050" s="205"/>
      <c r="S7050" s="189"/>
      <c r="T7050" s="114"/>
      <c r="U7050" s="21"/>
      <c r="V7050" s="115">
        <v>46120</v>
      </c>
      <c r="W7050" s="116">
        <v>1012</v>
      </c>
      <c r="X7050" s="220">
        <v>250000</v>
      </c>
      <c r="Y7050" s="220">
        <f>X7050*0.1</f>
        <v>25000</v>
      </c>
      <c r="Z7050" s="220">
        <v>7320</v>
      </c>
      <c r="AA7050" s="220">
        <f>SUM(X7050:Z7050)</f>
        <v>282320</v>
      </c>
      <c r="AB7050" s="222">
        <v>46125</v>
      </c>
    </row>
    <row r="7051" spans="1:28" ht="17.100000000000001" customHeight="1" thickBot="1">
      <c r="A7051" s="227"/>
      <c r="B7051" s="27" t="s">
        <v>19672</v>
      </c>
      <c r="C7051" s="27">
        <v>38</v>
      </c>
      <c r="D7051" s="14" t="s">
        <v>2788</v>
      </c>
      <c r="E7051" s="229"/>
      <c r="F7051" s="117" t="s">
        <v>19680</v>
      </c>
      <c r="G7051" s="26">
        <v>31032</v>
      </c>
      <c r="H7051" s="231"/>
      <c r="I7051" s="221"/>
      <c r="J7051" s="221"/>
      <c r="K7051" s="221"/>
      <c r="L7051" s="221"/>
      <c r="M7051" s="221"/>
      <c r="N7051" s="221"/>
      <c r="O7051" s="225"/>
      <c r="P7051" s="118" t="s">
        <v>2615</v>
      </c>
      <c r="Q7051" s="16" t="s">
        <v>20</v>
      </c>
      <c r="R7051" s="17" t="s">
        <v>2341</v>
      </c>
      <c r="S7051" s="121" t="s">
        <v>4413</v>
      </c>
      <c r="T7051" s="122"/>
      <c r="U7051" s="22"/>
      <c r="V7051" s="123" t="s">
        <v>2747</v>
      </c>
      <c r="W7051" s="122">
        <v>2066</v>
      </c>
      <c r="X7051" s="221"/>
      <c r="Y7051" s="221"/>
      <c r="Z7051" s="221"/>
      <c r="AA7051" s="221"/>
      <c r="AB7051" s="223"/>
    </row>
    <row r="7052" spans="1:28" ht="17.100000000000001" customHeight="1" thickTop="1">
      <c r="A7052" s="226" t="s">
        <v>19675</v>
      </c>
      <c r="B7052" s="28">
        <v>46094</v>
      </c>
      <c r="C7052" s="25">
        <v>282</v>
      </c>
      <c r="D7052" s="13" t="s">
        <v>1704</v>
      </c>
      <c r="E7052" s="228"/>
      <c r="F7052" s="109" t="s">
        <v>19687</v>
      </c>
      <c r="G7052" s="24"/>
      <c r="H7052" s="230">
        <v>4</v>
      </c>
      <c r="I7052" s="220">
        <v>565000</v>
      </c>
      <c r="J7052" s="220">
        <f>I7052*0.1</f>
        <v>56500</v>
      </c>
      <c r="K7052" s="220">
        <v>0</v>
      </c>
      <c r="L7052" s="220">
        <v>8740</v>
      </c>
      <c r="M7052" s="220">
        <v>22000</v>
      </c>
      <c r="N7052" s="220">
        <f>SUM(I7052:M7053)</f>
        <v>652240</v>
      </c>
      <c r="O7052" s="224"/>
      <c r="P7052" s="110" t="s">
        <v>20042</v>
      </c>
      <c r="Q7052" s="15" t="s">
        <v>19</v>
      </c>
      <c r="R7052" s="205"/>
      <c r="S7052" s="189" t="s">
        <v>25559</v>
      </c>
      <c r="T7052" s="114"/>
      <c r="U7052" s="21"/>
      <c r="V7052" s="115">
        <v>46099</v>
      </c>
      <c r="W7052" s="116">
        <v>1009</v>
      </c>
      <c r="X7052" s="220">
        <v>670000</v>
      </c>
      <c r="Y7052" s="220">
        <f>X7052*0.1</f>
        <v>67000</v>
      </c>
      <c r="Z7052" s="220">
        <v>8740</v>
      </c>
      <c r="AA7052" s="220">
        <f>SUM(X7052:Z7052)</f>
        <v>745740</v>
      </c>
      <c r="AB7052" s="222">
        <v>46105</v>
      </c>
    </row>
    <row r="7053" spans="1:28" ht="17.100000000000001" customHeight="1" thickBot="1">
      <c r="A7053" s="227"/>
      <c r="B7053" s="27" t="s">
        <v>19672</v>
      </c>
      <c r="C7053" s="27">
        <v>91</v>
      </c>
      <c r="D7053" s="14" t="s">
        <v>1568</v>
      </c>
      <c r="E7053" s="229"/>
      <c r="F7053" s="117" t="s">
        <v>19681</v>
      </c>
      <c r="G7053" s="26">
        <v>60811</v>
      </c>
      <c r="H7053" s="231"/>
      <c r="I7053" s="221"/>
      <c r="J7053" s="221"/>
      <c r="K7053" s="221"/>
      <c r="L7053" s="221"/>
      <c r="M7053" s="221"/>
      <c r="N7053" s="221"/>
      <c r="O7053" s="225"/>
      <c r="P7053" s="118" t="s">
        <v>12896</v>
      </c>
      <c r="Q7053" s="16" t="s">
        <v>20</v>
      </c>
      <c r="R7053" s="17" t="s">
        <v>19992</v>
      </c>
      <c r="S7053" s="121" t="s">
        <v>9008</v>
      </c>
      <c r="T7053" s="122"/>
      <c r="U7053" s="22"/>
      <c r="V7053" s="123" t="s">
        <v>20442</v>
      </c>
      <c r="W7053" s="122">
        <v>5127</v>
      </c>
      <c r="X7053" s="221"/>
      <c r="Y7053" s="221"/>
      <c r="Z7053" s="221"/>
      <c r="AA7053" s="221"/>
      <c r="AB7053" s="223"/>
    </row>
    <row r="7054" spans="1:28" ht="17.100000000000001" customHeight="1" thickTop="1">
      <c r="A7054" s="226" t="s">
        <v>19676</v>
      </c>
      <c r="B7054" s="28">
        <v>46094</v>
      </c>
      <c r="C7054" s="25">
        <v>282</v>
      </c>
      <c r="D7054" s="13" t="s">
        <v>1607</v>
      </c>
      <c r="E7054" s="228"/>
      <c r="F7054" s="109" t="s">
        <v>4508</v>
      </c>
      <c r="G7054" s="24"/>
      <c r="H7054" s="230">
        <v>4</v>
      </c>
      <c r="I7054" s="220">
        <v>695000</v>
      </c>
      <c r="J7054" s="220">
        <f>I7054*0.1</f>
        <v>69500</v>
      </c>
      <c r="K7054" s="220">
        <v>0</v>
      </c>
      <c r="L7054" s="220">
        <v>9010</v>
      </c>
      <c r="M7054" s="220">
        <v>22000</v>
      </c>
      <c r="N7054" s="220">
        <f>SUM(I7054:M7055)</f>
        <v>795510</v>
      </c>
      <c r="O7054" s="224"/>
      <c r="P7054" s="110" t="s">
        <v>20001</v>
      </c>
      <c r="Q7054" s="15" t="s">
        <v>19</v>
      </c>
      <c r="R7054" s="205"/>
      <c r="S7054" s="189" t="s">
        <v>696</v>
      </c>
      <c r="T7054" s="114"/>
      <c r="U7054" s="21"/>
      <c r="V7054" s="115">
        <v>46098</v>
      </c>
      <c r="W7054" s="116"/>
      <c r="X7054" s="220">
        <v>850000</v>
      </c>
      <c r="Y7054" s="220">
        <f>X7054*0.1</f>
        <v>85000</v>
      </c>
      <c r="Z7054" s="220">
        <v>9010</v>
      </c>
      <c r="AA7054" s="220">
        <f>SUM(X7054:Z7054)</f>
        <v>944010</v>
      </c>
      <c r="AB7054" s="222"/>
    </row>
    <row r="7055" spans="1:28" ht="17.100000000000001" customHeight="1" thickBot="1">
      <c r="A7055" s="227"/>
      <c r="B7055" s="27" t="s">
        <v>19672</v>
      </c>
      <c r="C7055" s="27">
        <v>98</v>
      </c>
      <c r="D7055" s="14" t="s">
        <v>2559</v>
      </c>
      <c r="E7055" s="229"/>
      <c r="F7055" s="117" t="s">
        <v>19682</v>
      </c>
      <c r="G7055" s="26">
        <v>115900</v>
      </c>
      <c r="H7055" s="231"/>
      <c r="I7055" s="221"/>
      <c r="J7055" s="221"/>
      <c r="K7055" s="221"/>
      <c r="L7055" s="221"/>
      <c r="M7055" s="221"/>
      <c r="N7055" s="221"/>
      <c r="O7055" s="225"/>
      <c r="P7055" s="118" t="s">
        <v>20002</v>
      </c>
      <c r="Q7055" s="16" t="s">
        <v>20</v>
      </c>
      <c r="R7055" s="17" t="s">
        <v>19992</v>
      </c>
      <c r="S7055" s="121" t="s">
        <v>2236</v>
      </c>
      <c r="T7055" s="122"/>
      <c r="U7055" s="22"/>
      <c r="V7055" s="123" t="s">
        <v>6682</v>
      </c>
      <c r="W7055" s="122">
        <v>87165</v>
      </c>
      <c r="X7055" s="221"/>
      <c r="Y7055" s="221"/>
      <c r="Z7055" s="221"/>
      <c r="AA7055" s="221"/>
      <c r="AB7055" s="223"/>
    </row>
    <row r="7056" spans="1:28" ht="17.100000000000001" customHeight="1" thickTop="1">
      <c r="A7056" s="226" t="s">
        <v>19677</v>
      </c>
      <c r="B7056" s="28">
        <v>46094</v>
      </c>
      <c r="C7056" s="25">
        <v>282</v>
      </c>
      <c r="D7056" s="13" t="s">
        <v>1754</v>
      </c>
      <c r="E7056" s="228"/>
      <c r="F7056" s="109" t="s">
        <v>19686</v>
      </c>
      <c r="G7056" s="24" t="s">
        <v>2124</v>
      </c>
      <c r="H7056" s="230">
        <v>4.5</v>
      </c>
      <c r="I7056" s="220">
        <v>216000</v>
      </c>
      <c r="J7056" s="220">
        <f>I7056*0.1</f>
        <v>21600</v>
      </c>
      <c r="K7056" s="220">
        <v>0</v>
      </c>
      <c r="L7056" s="220">
        <v>7320</v>
      </c>
      <c r="M7056" s="220">
        <v>22000</v>
      </c>
      <c r="N7056" s="220">
        <f>SUM(I7056:M7057)</f>
        <v>266920</v>
      </c>
      <c r="O7056" s="224"/>
      <c r="P7056" s="110" t="s">
        <v>20041</v>
      </c>
      <c r="Q7056" s="15" t="s">
        <v>19</v>
      </c>
      <c r="R7056" s="205"/>
      <c r="S7056" s="189" t="s">
        <v>25432</v>
      </c>
      <c r="T7056" s="114"/>
      <c r="U7056" s="21"/>
      <c r="V7056" s="115">
        <v>46106</v>
      </c>
      <c r="W7056" s="116">
        <v>1010</v>
      </c>
      <c r="X7056" s="220">
        <v>265000</v>
      </c>
      <c r="Y7056" s="220">
        <f>X7056*0.1</f>
        <v>26500</v>
      </c>
      <c r="Z7056" s="220">
        <v>7320</v>
      </c>
      <c r="AA7056" s="220">
        <f>SUM(X7056:Z7056)</f>
        <v>298820</v>
      </c>
      <c r="AB7056" s="222">
        <v>46111</v>
      </c>
    </row>
    <row r="7057" spans="1:28" ht="17.100000000000001" customHeight="1" thickBot="1">
      <c r="A7057" s="227"/>
      <c r="B7057" s="27" t="s">
        <v>19672</v>
      </c>
      <c r="C7057" s="27">
        <v>99</v>
      </c>
      <c r="D7057" s="14" t="s">
        <v>1584</v>
      </c>
      <c r="E7057" s="229"/>
      <c r="F7057" s="117" t="s">
        <v>19683</v>
      </c>
      <c r="G7057" s="26">
        <v>49935</v>
      </c>
      <c r="H7057" s="231"/>
      <c r="I7057" s="221"/>
      <c r="J7057" s="221"/>
      <c r="K7057" s="221"/>
      <c r="L7057" s="221"/>
      <c r="M7057" s="221"/>
      <c r="N7057" s="221"/>
      <c r="O7057" s="225"/>
      <c r="P7057" s="118" t="s">
        <v>2615</v>
      </c>
      <c r="Q7057" s="16" t="s">
        <v>20</v>
      </c>
      <c r="R7057" s="17" t="s">
        <v>19992</v>
      </c>
      <c r="S7057" s="121" t="s">
        <v>3832</v>
      </c>
      <c r="T7057" s="122"/>
      <c r="U7057" s="22"/>
      <c r="V7057" s="123" t="s">
        <v>2747</v>
      </c>
      <c r="W7057" s="122">
        <v>5093</v>
      </c>
      <c r="X7057" s="221"/>
      <c r="Y7057" s="221"/>
      <c r="Z7057" s="221"/>
      <c r="AA7057" s="221"/>
      <c r="AB7057" s="223"/>
    </row>
    <row r="7058" spans="1:28" ht="17.100000000000001" customHeight="1" thickTop="1">
      <c r="A7058" s="226" t="s">
        <v>19678</v>
      </c>
      <c r="B7058" s="28">
        <v>46094</v>
      </c>
      <c r="C7058" s="25">
        <v>282</v>
      </c>
      <c r="D7058" s="13" t="s">
        <v>2866</v>
      </c>
      <c r="E7058" s="228"/>
      <c r="F7058" s="109" t="s">
        <v>19685</v>
      </c>
      <c r="G7058" s="24"/>
      <c r="H7058" s="230">
        <v>4</v>
      </c>
      <c r="I7058" s="220">
        <v>994000</v>
      </c>
      <c r="J7058" s="220">
        <f>I7058*0.1</f>
        <v>99400</v>
      </c>
      <c r="K7058" s="220">
        <v>0</v>
      </c>
      <c r="L7058" s="220">
        <v>8400</v>
      </c>
      <c r="M7058" s="220">
        <v>22000</v>
      </c>
      <c r="N7058" s="220">
        <f>SUM(I7058:M7059)</f>
        <v>1123800</v>
      </c>
      <c r="O7058" s="224"/>
      <c r="P7058" s="110" t="s">
        <v>19873</v>
      </c>
      <c r="Q7058" s="15" t="s">
        <v>19</v>
      </c>
      <c r="R7058" s="205"/>
      <c r="S7058" s="189" t="s">
        <v>25559</v>
      </c>
      <c r="T7058" s="114"/>
      <c r="U7058" s="21"/>
      <c r="V7058" s="115">
        <v>46099</v>
      </c>
      <c r="W7058" s="116">
        <v>1009</v>
      </c>
      <c r="X7058" s="220">
        <v>1060000</v>
      </c>
      <c r="Y7058" s="220">
        <f>X7058*0.1</f>
        <v>106000</v>
      </c>
      <c r="Z7058" s="220">
        <v>8400</v>
      </c>
      <c r="AA7058" s="220">
        <f>SUM(X7058:Z7058)</f>
        <v>1174400</v>
      </c>
      <c r="AB7058" s="222">
        <v>46105</v>
      </c>
    </row>
    <row r="7059" spans="1:28" ht="17.100000000000001" customHeight="1" thickBot="1">
      <c r="A7059" s="227"/>
      <c r="B7059" s="27" t="s">
        <v>19672</v>
      </c>
      <c r="C7059" s="27">
        <v>20010</v>
      </c>
      <c r="D7059" s="14" t="s">
        <v>1584</v>
      </c>
      <c r="E7059" s="229"/>
      <c r="F7059" s="117" t="s">
        <v>19684</v>
      </c>
      <c r="G7059" s="26">
        <v>23759</v>
      </c>
      <c r="H7059" s="231"/>
      <c r="I7059" s="221"/>
      <c r="J7059" s="221"/>
      <c r="K7059" s="221"/>
      <c r="L7059" s="221"/>
      <c r="M7059" s="221"/>
      <c r="N7059" s="221"/>
      <c r="O7059" s="225"/>
      <c r="P7059" s="118" t="s">
        <v>8639</v>
      </c>
      <c r="Q7059" s="16" t="s">
        <v>20</v>
      </c>
      <c r="R7059" s="17" t="s">
        <v>2341</v>
      </c>
      <c r="S7059" s="121" t="s">
        <v>9008</v>
      </c>
      <c r="T7059" s="122"/>
      <c r="U7059" s="22"/>
      <c r="V7059" s="123" t="s">
        <v>2747</v>
      </c>
      <c r="W7059" s="122">
        <v>5161</v>
      </c>
      <c r="X7059" s="221"/>
      <c r="Y7059" s="221"/>
      <c r="Z7059" s="221"/>
      <c r="AA7059" s="221"/>
      <c r="AB7059" s="223"/>
    </row>
    <row r="7060" spans="1:28" ht="17.100000000000001" customHeight="1" thickTop="1">
      <c r="A7060" s="226" t="s">
        <v>19705</v>
      </c>
      <c r="B7060" s="28">
        <v>46094</v>
      </c>
      <c r="C7060" s="25">
        <v>1410</v>
      </c>
      <c r="D7060" s="13" t="s">
        <v>1531</v>
      </c>
      <c r="E7060" s="228"/>
      <c r="F7060" s="109" t="s">
        <v>16787</v>
      </c>
      <c r="G7060" s="24"/>
      <c r="H7060" s="230">
        <v>4.5</v>
      </c>
      <c r="I7060" s="220">
        <v>1359000</v>
      </c>
      <c r="J7060" s="220">
        <f>I7060*0.1</f>
        <v>135900</v>
      </c>
      <c r="K7060" s="220">
        <v>0</v>
      </c>
      <c r="L7060" s="220">
        <v>7790</v>
      </c>
      <c r="M7060" s="220">
        <v>15400</v>
      </c>
      <c r="N7060" s="220">
        <f>SUM(I7060:M7061)</f>
        <v>1518090</v>
      </c>
      <c r="O7060" s="224"/>
      <c r="P7060" s="110" t="s">
        <v>20044</v>
      </c>
      <c r="Q7060" s="15" t="s">
        <v>19</v>
      </c>
      <c r="R7060" s="205"/>
      <c r="S7060" s="189"/>
      <c r="T7060" s="114"/>
      <c r="U7060" s="21"/>
      <c r="V7060" s="115">
        <v>46106</v>
      </c>
      <c r="W7060" s="116">
        <v>1010</v>
      </c>
      <c r="X7060" s="220">
        <v>1370000</v>
      </c>
      <c r="Y7060" s="220">
        <f>X7060*0.1</f>
        <v>137000</v>
      </c>
      <c r="Z7060" s="220">
        <v>7790</v>
      </c>
      <c r="AA7060" s="220">
        <f>SUM(X7060:Z7060)</f>
        <v>1514790</v>
      </c>
      <c r="AB7060" s="222">
        <v>46111</v>
      </c>
    </row>
    <row r="7061" spans="1:28" ht="17.100000000000001" customHeight="1" thickBot="1">
      <c r="A7061" s="227"/>
      <c r="B7061" s="27" t="s">
        <v>2597</v>
      </c>
      <c r="C7061" s="27">
        <v>3031</v>
      </c>
      <c r="D7061" s="14" t="s">
        <v>2559</v>
      </c>
      <c r="E7061" s="229"/>
      <c r="F7061" s="117" t="s">
        <v>19720</v>
      </c>
      <c r="G7061" s="26">
        <v>36370</v>
      </c>
      <c r="H7061" s="231"/>
      <c r="I7061" s="221"/>
      <c r="J7061" s="221"/>
      <c r="K7061" s="221"/>
      <c r="L7061" s="221"/>
      <c r="M7061" s="221"/>
      <c r="N7061" s="221"/>
      <c r="O7061" s="225"/>
      <c r="P7061" s="118" t="s">
        <v>20045</v>
      </c>
      <c r="Q7061" s="16" t="s">
        <v>20</v>
      </c>
      <c r="R7061" s="17" t="s">
        <v>19992</v>
      </c>
      <c r="S7061" s="121" t="s">
        <v>20046</v>
      </c>
      <c r="T7061" s="122"/>
      <c r="U7061" s="22"/>
      <c r="V7061" s="123" t="s">
        <v>2747</v>
      </c>
      <c r="W7061" s="122">
        <v>2070</v>
      </c>
      <c r="X7061" s="221"/>
      <c r="Y7061" s="221"/>
      <c r="Z7061" s="221"/>
      <c r="AA7061" s="221"/>
      <c r="AB7061" s="223"/>
    </row>
    <row r="7062" spans="1:28" ht="17.100000000000001" customHeight="1" thickTop="1">
      <c r="A7062" s="226" t="s">
        <v>19706</v>
      </c>
      <c r="B7062" s="28">
        <v>46094</v>
      </c>
      <c r="C7062" s="25">
        <v>1410</v>
      </c>
      <c r="D7062" s="13" t="s">
        <v>1704</v>
      </c>
      <c r="E7062" s="228"/>
      <c r="F7062" s="109" t="s">
        <v>17777</v>
      </c>
      <c r="G7062" s="24"/>
      <c r="H7062" s="230">
        <v>4.5</v>
      </c>
      <c r="I7062" s="220">
        <v>1091000</v>
      </c>
      <c r="J7062" s="220">
        <f>I7062*0.1</f>
        <v>109100</v>
      </c>
      <c r="K7062" s="220">
        <v>0</v>
      </c>
      <c r="L7062" s="220">
        <v>9140</v>
      </c>
      <c r="M7062" s="220">
        <v>15400</v>
      </c>
      <c r="N7062" s="220">
        <f>SUM(I7062:M7063)</f>
        <v>1224640</v>
      </c>
      <c r="O7062" s="224"/>
      <c r="P7062" s="110" t="s">
        <v>20085</v>
      </c>
      <c r="Q7062" s="15" t="s">
        <v>19</v>
      </c>
      <c r="R7062" s="205"/>
      <c r="S7062" s="189" t="s">
        <v>25852</v>
      </c>
      <c r="T7062" s="114"/>
      <c r="U7062" s="21"/>
      <c r="V7062" s="115"/>
      <c r="W7062" s="116"/>
      <c r="X7062" s="220"/>
      <c r="Y7062" s="220">
        <f>X7062*0.1</f>
        <v>0</v>
      </c>
      <c r="Z7062" s="220"/>
      <c r="AA7062" s="220">
        <f>SUM(X7062:Z7062)</f>
        <v>0</v>
      </c>
      <c r="AB7062" s="222"/>
    </row>
    <row r="7063" spans="1:28" ht="17.100000000000001" customHeight="1" thickBot="1">
      <c r="A7063" s="227"/>
      <c r="B7063" s="27" t="s">
        <v>2597</v>
      </c>
      <c r="C7063" s="27">
        <v>3071</v>
      </c>
      <c r="D7063" s="14" t="s">
        <v>273</v>
      </c>
      <c r="E7063" s="229"/>
      <c r="F7063" s="117" t="s">
        <v>19721</v>
      </c>
      <c r="G7063" s="26">
        <v>48405</v>
      </c>
      <c r="H7063" s="231"/>
      <c r="I7063" s="221"/>
      <c r="J7063" s="221"/>
      <c r="K7063" s="221"/>
      <c r="L7063" s="221"/>
      <c r="M7063" s="221"/>
      <c r="N7063" s="221"/>
      <c r="O7063" s="225"/>
      <c r="P7063" s="118" t="s">
        <v>3281</v>
      </c>
      <c r="Q7063" s="16" t="s">
        <v>20</v>
      </c>
      <c r="R7063" s="17" t="s">
        <v>20054</v>
      </c>
      <c r="S7063" s="121" t="s">
        <v>17936</v>
      </c>
      <c r="T7063" s="122"/>
      <c r="U7063" s="22"/>
      <c r="V7063" s="123"/>
      <c r="W7063" s="122"/>
      <c r="X7063" s="221"/>
      <c r="Y7063" s="221"/>
      <c r="Z7063" s="221"/>
      <c r="AA7063" s="221"/>
      <c r="AB7063" s="223"/>
    </row>
    <row r="7064" spans="1:28" ht="17.100000000000001" customHeight="1" thickTop="1">
      <c r="A7064" s="226" t="s">
        <v>19707</v>
      </c>
      <c r="B7064" s="28">
        <v>46094</v>
      </c>
      <c r="C7064" s="25">
        <v>1410</v>
      </c>
      <c r="D7064" s="13" t="s">
        <v>2113</v>
      </c>
      <c r="E7064" s="228"/>
      <c r="F7064" s="109" t="s">
        <v>19722</v>
      </c>
      <c r="G7064" s="24"/>
      <c r="H7064" s="230">
        <v>4</v>
      </c>
      <c r="I7064" s="220">
        <v>825000</v>
      </c>
      <c r="J7064" s="220">
        <f>I7064*0.1</f>
        <v>82500</v>
      </c>
      <c r="K7064" s="220">
        <v>0</v>
      </c>
      <c r="L7064" s="220">
        <v>12030</v>
      </c>
      <c r="M7064" s="220">
        <v>15400</v>
      </c>
      <c r="N7064" s="220">
        <f>SUM(I7064:M7065)</f>
        <v>934930</v>
      </c>
      <c r="O7064" s="224"/>
      <c r="P7064" s="110" t="s">
        <v>19997</v>
      </c>
      <c r="Q7064" s="15" t="s">
        <v>19</v>
      </c>
      <c r="R7064" s="205"/>
      <c r="S7064" s="189"/>
      <c r="T7064" s="114"/>
      <c r="U7064" s="21"/>
      <c r="V7064" s="115">
        <v>46099</v>
      </c>
      <c r="W7064" s="116">
        <v>1009</v>
      </c>
      <c r="X7064" s="220">
        <v>980000</v>
      </c>
      <c r="Y7064" s="220">
        <f>X7064*0.1</f>
        <v>98000</v>
      </c>
      <c r="Z7064" s="220">
        <v>12030</v>
      </c>
      <c r="AA7064" s="220">
        <f>SUM(X7064:Z7064)</f>
        <v>1090030</v>
      </c>
      <c r="AB7064" s="222">
        <v>46105</v>
      </c>
    </row>
    <row r="7065" spans="1:28" ht="17.100000000000001" customHeight="1" thickBot="1">
      <c r="A7065" s="227"/>
      <c r="B7065" s="27" t="s">
        <v>2597</v>
      </c>
      <c r="C7065" s="27">
        <v>3172</v>
      </c>
      <c r="D7065" s="14" t="s">
        <v>2559</v>
      </c>
      <c r="E7065" s="229"/>
      <c r="F7065" s="117" t="s">
        <v>19723</v>
      </c>
      <c r="G7065" s="26">
        <v>105000</v>
      </c>
      <c r="H7065" s="231"/>
      <c r="I7065" s="221"/>
      <c r="J7065" s="221"/>
      <c r="K7065" s="221"/>
      <c r="L7065" s="221"/>
      <c r="M7065" s="221"/>
      <c r="N7065" s="221"/>
      <c r="O7065" s="225"/>
      <c r="P7065" s="118" t="s">
        <v>1972</v>
      </c>
      <c r="Q7065" s="16" t="s">
        <v>20</v>
      </c>
      <c r="R7065" s="17" t="s">
        <v>19992</v>
      </c>
      <c r="S7065" s="121" t="s">
        <v>14749</v>
      </c>
      <c r="T7065" s="122"/>
      <c r="U7065" s="22"/>
      <c r="V7065" s="123" t="s">
        <v>2747</v>
      </c>
      <c r="W7065" s="122">
        <v>5121</v>
      </c>
      <c r="X7065" s="221"/>
      <c r="Y7065" s="221"/>
      <c r="Z7065" s="221"/>
      <c r="AA7065" s="221"/>
      <c r="AB7065" s="223"/>
    </row>
    <row r="7066" spans="1:28" ht="17.100000000000001" customHeight="1" thickTop="1">
      <c r="A7066" s="226" t="s">
        <v>19708</v>
      </c>
      <c r="B7066" s="28">
        <v>46094</v>
      </c>
      <c r="C7066" s="25">
        <v>1410</v>
      </c>
      <c r="D7066" s="13" t="s">
        <v>4213</v>
      </c>
      <c r="E7066" s="228"/>
      <c r="F7066" s="109" t="s">
        <v>7495</v>
      </c>
      <c r="G7066" s="24" t="s">
        <v>12998</v>
      </c>
      <c r="H7066" s="230">
        <v>5</v>
      </c>
      <c r="I7066" s="220">
        <v>1100000</v>
      </c>
      <c r="J7066" s="220">
        <f>I7066*0.1</f>
        <v>110000</v>
      </c>
      <c r="K7066" s="220">
        <v>10800</v>
      </c>
      <c r="L7066" s="220">
        <v>5670</v>
      </c>
      <c r="M7066" s="220">
        <v>15400</v>
      </c>
      <c r="N7066" s="220">
        <f>SUM(I7066:M7067)</f>
        <v>1241870</v>
      </c>
      <c r="O7066" s="224"/>
      <c r="P7066" s="110" t="s">
        <v>20047</v>
      </c>
      <c r="Q7066" s="15" t="s">
        <v>19</v>
      </c>
      <c r="R7066" s="205"/>
      <c r="S7066" s="189" t="s">
        <v>25505</v>
      </c>
      <c r="T7066" s="114"/>
      <c r="U7066" s="21"/>
      <c r="V7066" s="115">
        <v>46106</v>
      </c>
      <c r="W7066" s="116">
        <v>1010</v>
      </c>
      <c r="X7066" s="220">
        <v>1180000</v>
      </c>
      <c r="Y7066" s="220">
        <f>X7066*0.1</f>
        <v>118000</v>
      </c>
      <c r="Z7066" s="220">
        <v>5670</v>
      </c>
      <c r="AA7066" s="220">
        <f>SUM(X7066:Z7066)</f>
        <v>1303670</v>
      </c>
      <c r="AB7066" s="222">
        <v>46111</v>
      </c>
    </row>
    <row r="7067" spans="1:28" ht="17.100000000000001" customHeight="1" thickBot="1">
      <c r="A7067" s="227"/>
      <c r="B7067" s="27" t="s">
        <v>2597</v>
      </c>
      <c r="C7067" s="27">
        <v>7015</v>
      </c>
      <c r="D7067" s="14" t="s">
        <v>1584</v>
      </c>
      <c r="E7067" s="229"/>
      <c r="F7067" s="117" t="s">
        <v>19724</v>
      </c>
      <c r="G7067" s="26">
        <v>11958</v>
      </c>
      <c r="H7067" s="231"/>
      <c r="I7067" s="221"/>
      <c r="J7067" s="221"/>
      <c r="K7067" s="221"/>
      <c r="L7067" s="221"/>
      <c r="M7067" s="221"/>
      <c r="N7067" s="221"/>
      <c r="O7067" s="225"/>
      <c r="P7067" s="118" t="s">
        <v>20048</v>
      </c>
      <c r="Q7067" s="16" t="s">
        <v>20</v>
      </c>
      <c r="R7067" s="17" t="s">
        <v>19992</v>
      </c>
      <c r="S7067" s="121" t="s">
        <v>169</v>
      </c>
      <c r="T7067" s="122"/>
      <c r="U7067" s="22"/>
      <c r="V7067" s="123" t="s">
        <v>2747</v>
      </c>
      <c r="W7067" s="122">
        <v>5144</v>
      </c>
      <c r="X7067" s="221"/>
      <c r="Y7067" s="221"/>
      <c r="Z7067" s="221"/>
      <c r="AA7067" s="221"/>
      <c r="AB7067" s="223"/>
    </row>
    <row r="7068" spans="1:28" ht="17.100000000000001" customHeight="1" thickTop="1">
      <c r="A7068" s="226" t="s">
        <v>19709</v>
      </c>
      <c r="B7068" s="28">
        <v>46094</v>
      </c>
      <c r="C7068" s="25">
        <v>1410</v>
      </c>
      <c r="D7068" s="13" t="s">
        <v>2195</v>
      </c>
      <c r="E7068" s="228"/>
      <c r="F7068" s="109" t="s">
        <v>15525</v>
      </c>
      <c r="G7068" s="24" t="s">
        <v>4462</v>
      </c>
      <c r="H7068" s="230">
        <v>5</v>
      </c>
      <c r="I7068" s="220">
        <v>1167000</v>
      </c>
      <c r="J7068" s="220">
        <f>I7068*0.1</f>
        <v>116700</v>
      </c>
      <c r="K7068" s="220">
        <v>5000</v>
      </c>
      <c r="L7068" s="220">
        <v>8200</v>
      </c>
      <c r="M7068" s="220">
        <v>15400</v>
      </c>
      <c r="N7068" s="220">
        <f>SUM(I7068:M7069)</f>
        <v>1312300</v>
      </c>
      <c r="O7068" s="224"/>
      <c r="P7068" s="110" t="s">
        <v>19996</v>
      </c>
      <c r="Q7068" s="15" t="s">
        <v>19</v>
      </c>
      <c r="R7068" s="205"/>
      <c r="S7068" s="189" t="s">
        <v>283</v>
      </c>
      <c r="T7068" s="114"/>
      <c r="U7068" s="21"/>
      <c r="V7068" s="115">
        <v>46099</v>
      </c>
      <c r="W7068" s="116">
        <v>1009</v>
      </c>
      <c r="X7068" s="220">
        <v>1240000</v>
      </c>
      <c r="Y7068" s="220">
        <f>X7068*0.1</f>
        <v>124000</v>
      </c>
      <c r="Z7068" s="220">
        <v>8200</v>
      </c>
      <c r="AA7068" s="220">
        <f>SUM(X7068:Z7068)</f>
        <v>1372200</v>
      </c>
      <c r="AB7068" s="222">
        <v>46105</v>
      </c>
    </row>
    <row r="7069" spans="1:28" ht="17.100000000000001" customHeight="1" thickBot="1">
      <c r="A7069" s="227"/>
      <c r="B7069" s="27" t="s">
        <v>2597</v>
      </c>
      <c r="C7069" s="27">
        <v>7509</v>
      </c>
      <c r="D7069" s="14" t="s">
        <v>273</v>
      </c>
      <c r="E7069" s="229"/>
      <c r="F7069" s="117" t="s">
        <v>19725</v>
      </c>
      <c r="G7069" s="26">
        <v>7379</v>
      </c>
      <c r="H7069" s="231"/>
      <c r="I7069" s="221"/>
      <c r="J7069" s="221"/>
      <c r="K7069" s="221"/>
      <c r="L7069" s="221"/>
      <c r="M7069" s="221"/>
      <c r="N7069" s="221"/>
      <c r="O7069" s="225"/>
      <c r="P7069" s="118" t="s">
        <v>4007</v>
      </c>
      <c r="Q7069" s="16" t="s">
        <v>20</v>
      </c>
      <c r="R7069" s="17" t="s">
        <v>19992</v>
      </c>
      <c r="S7069" s="121" t="s">
        <v>169</v>
      </c>
      <c r="T7069" s="122"/>
      <c r="U7069" s="22"/>
      <c r="V7069" s="123" t="s">
        <v>2747</v>
      </c>
      <c r="W7069" s="122">
        <v>5138</v>
      </c>
      <c r="X7069" s="221"/>
      <c r="Y7069" s="221"/>
      <c r="Z7069" s="221"/>
      <c r="AA7069" s="221"/>
      <c r="AB7069" s="223"/>
    </row>
    <row r="7070" spans="1:28" ht="17.100000000000001" customHeight="1" thickTop="1">
      <c r="A7070" s="226" t="s">
        <v>19710</v>
      </c>
      <c r="B7070" s="28">
        <v>46094</v>
      </c>
      <c r="C7070" s="25">
        <v>1410</v>
      </c>
      <c r="D7070" s="13" t="s">
        <v>1607</v>
      </c>
      <c r="E7070" s="228"/>
      <c r="F7070" s="109" t="s">
        <v>17515</v>
      </c>
      <c r="G7070" s="24"/>
      <c r="H7070" s="230">
        <v>4.5</v>
      </c>
      <c r="I7070" s="220">
        <v>1102000</v>
      </c>
      <c r="J7070" s="220">
        <f>I7070*0.1</f>
        <v>110200</v>
      </c>
      <c r="K7070" s="220">
        <v>0</v>
      </c>
      <c r="L7070" s="220">
        <v>9750</v>
      </c>
      <c r="M7070" s="220">
        <v>15400</v>
      </c>
      <c r="N7070" s="220">
        <f>SUM(I7070:M7071)</f>
        <v>1237350</v>
      </c>
      <c r="O7070" s="224"/>
      <c r="P7070" s="110" t="s">
        <v>20096</v>
      </c>
      <c r="Q7070" s="15" t="s">
        <v>19</v>
      </c>
      <c r="R7070" s="205"/>
      <c r="S7070" s="189"/>
      <c r="T7070" s="114"/>
      <c r="U7070" s="21"/>
      <c r="V7070" s="115">
        <v>46099</v>
      </c>
      <c r="W7070" s="116">
        <v>1009</v>
      </c>
      <c r="X7070" s="220">
        <v>1215000</v>
      </c>
      <c r="Y7070" s="220">
        <f>X7070*0.1</f>
        <v>121500</v>
      </c>
      <c r="Z7070" s="220">
        <v>9750</v>
      </c>
      <c r="AA7070" s="220">
        <f>SUM(X7070:Z7070)</f>
        <v>1346250</v>
      </c>
      <c r="AB7070" s="222">
        <v>46105</v>
      </c>
    </row>
    <row r="7071" spans="1:28" ht="17.100000000000001" customHeight="1" thickBot="1">
      <c r="A7071" s="227"/>
      <c r="B7071" s="27" t="s">
        <v>2597</v>
      </c>
      <c r="C7071" s="27">
        <v>7510</v>
      </c>
      <c r="D7071" s="14" t="s">
        <v>1560</v>
      </c>
      <c r="E7071" s="229"/>
      <c r="F7071" s="117" t="s">
        <v>19726</v>
      </c>
      <c r="G7071" s="26">
        <v>39369</v>
      </c>
      <c r="H7071" s="231"/>
      <c r="I7071" s="221"/>
      <c r="J7071" s="221"/>
      <c r="K7071" s="221"/>
      <c r="L7071" s="221"/>
      <c r="M7071" s="221"/>
      <c r="N7071" s="221"/>
      <c r="O7071" s="225"/>
      <c r="P7071" s="118" t="s">
        <v>20093</v>
      </c>
      <c r="Q7071" s="16" t="s">
        <v>20</v>
      </c>
      <c r="R7071" s="17" t="s">
        <v>2347</v>
      </c>
      <c r="S7071" s="121" t="s">
        <v>7721</v>
      </c>
      <c r="T7071" s="122"/>
      <c r="U7071" s="22"/>
      <c r="V7071" s="123" t="s">
        <v>2747</v>
      </c>
      <c r="W7071" s="122">
        <v>5122</v>
      </c>
      <c r="X7071" s="221"/>
      <c r="Y7071" s="221"/>
      <c r="Z7071" s="221"/>
      <c r="AA7071" s="221"/>
      <c r="AB7071" s="223"/>
    </row>
    <row r="7072" spans="1:28" ht="17.100000000000001" customHeight="1" thickTop="1">
      <c r="A7072" s="226" t="s">
        <v>19711</v>
      </c>
      <c r="B7072" s="28">
        <v>46094</v>
      </c>
      <c r="C7072" s="25">
        <v>1410</v>
      </c>
      <c r="D7072" s="13" t="s">
        <v>1640</v>
      </c>
      <c r="E7072" s="228"/>
      <c r="F7072" s="109" t="s">
        <v>19727</v>
      </c>
      <c r="G7072" s="24"/>
      <c r="H7072" s="230">
        <v>4</v>
      </c>
      <c r="I7072" s="220">
        <v>212000</v>
      </c>
      <c r="J7072" s="220">
        <f>I7072*0.1</f>
        <v>21200</v>
      </c>
      <c r="K7072" s="220">
        <v>0</v>
      </c>
      <c r="L7072" s="220">
        <v>8460</v>
      </c>
      <c r="M7072" s="220">
        <v>15400</v>
      </c>
      <c r="N7072" s="220">
        <f>SUM(I7072:M7073)</f>
        <v>257060</v>
      </c>
      <c r="O7072" s="224"/>
      <c r="P7072" s="110" t="s">
        <v>20095</v>
      </c>
      <c r="Q7072" s="15" t="s">
        <v>19</v>
      </c>
      <c r="R7072" s="205"/>
      <c r="S7072" s="189"/>
      <c r="T7072" s="114"/>
      <c r="U7072" s="21"/>
      <c r="V7072" s="115">
        <v>46099</v>
      </c>
      <c r="W7072" s="116">
        <v>1009</v>
      </c>
      <c r="X7072" s="220">
        <v>320000</v>
      </c>
      <c r="Y7072" s="220">
        <f>X7072*0.1</f>
        <v>32000</v>
      </c>
      <c r="Z7072" s="220">
        <v>8460</v>
      </c>
      <c r="AA7072" s="220">
        <f>SUM(X7072:Z7072)</f>
        <v>360460</v>
      </c>
      <c r="AB7072" s="222">
        <v>46105</v>
      </c>
    </row>
    <row r="7073" spans="1:28" ht="17.100000000000001" customHeight="1" thickBot="1">
      <c r="A7073" s="227"/>
      <c r="B7073" s="27" t="s">
        <v>2597</v>
      </c>
      <c r="C7073" s="27">
        <v>7524</v>
      </c>
      <c r="D7073" s="14" t="s">
        <v>1710</v>
      </c>
      <c r="E7073" s="229"/>
      <c r="F7073" s="117" t="s">
        <v>19728</v>
      </c>
      <c r="G7073" s="26">
        <v>44254</v>
      </c>
      <c r="H7073" s="231"/>
      <c r="I7073" s="221"/>
      <c r="J7073" s="221"/>
      <c r="K7073" s="221"/>
      <c r="L7073" s="221"/>
      <c r="M7073" s="221"/>
      <c r="N7073" s="221"/>
      <c r="O7073" s="225"/>
      <c r="P7073" s="118" t="s">
        <v>20093</v>
      </c>
      <c r="Q7073" s="16" t="s">
        <v>20</v>
      </c>
      <c r="R7073" s="17" t="s">
        <v>2347</v>
      </c>
      <c r="S7073" s="121"/>
      <c r="T7073" s="122"/>
      <c r="U7073" s="22"/>
      <c r="V7073" s="123" t="s">
        <v>2747</v>
      </c>
      <c r="W7073" s="122">
        <v>5117</v>
      </c>
      <c r="X7073" s="221"/>
      <c r="Y7073" s="221"/>
      <c r="Z7073" s="221"/>
      <c r="AA7073" s="221"/>
      <c r="AB7073" s="223"/>
    </row>
    <row r="7074" spans="1:28" ht="17.100000000000001" customHeight="1" thickTop="1">
      <c r="A7074" s="226" t="s">
        <v>19712</v>
      </c>
      <c r="B7074" s="28">
        <v>46094</v>
      </c>
      <c r="C7074" s="25">
        <v>1410</v>
      </c>
      <c r="D7074" s="13" t="s">
        <v>2858</v>
      </c>
      <c r="E7074" s="228"/>
      <c r="F7074" s="109" t="s">
        <v>4145</v>
      </c>
      <c r="G7074" s="24"/>
      <c r="H7074" s="230">
        <v>4</v>
      </c>
      <c r="I7074" s="220">
        <v>216000</v>
      </c>
      <c r="J7074" s="220">
        <f>I7074*0.1</f>
        <v>21600</v>
      </c>
      <c r="K7074" s="220">
        <v>0</v>
      </c>
      <c r="L7074" s="220">
        <v>9780</v>
      </c>
      <c r="M7074" s="220">
        <v>15400</v>
      </c>
      <c r="N7074" s="220">
        <f>SUM(I7074:M7075)</f>
        <v>262780</v>
      </c>
      <c r="O7074" s="224"/>
      <c r="P7074" s="110" t="s">
        <v>20094</v>
      </c>
      <c r="Q7074" s="15" t="s">
        <v>19</v>
      </c>
      <c r="R7074" s="205"/>
      <c r="S7074" s="189"/>
      <c r="T7074" s="114"/>
      <c r="U7074" s="21"/>
      <c r="V7074" s="115">
        <v>46099</v>
      </c>
      <c r="W7074" s="116">
        <v>1009</v>
      </c>
      <c r="X7074" s="220">
        <v>285000</v>
      </c>
      <c r="Y7074" s="220">
        <f>X7074*0.1</f>
        <v>28500</v>
      </c>
      <c r="Z7074" s="220">
        <v>9780</v>
      </c>
      <c r="AA7074" s="220">
        <f>SUM(X7074:Z7074)</f>
        <v>323280</v>
      </c>
      <c r="AB7074" s="222">
        <v>46105</v>
      </c>
    </row>
    <row r="7075" spans="1:28" ht="17.100000000000001" customHeight="1" thickBot="1">
      <c r="A7075" s="227"/>
      <c r="B7075" s="27" t="s">
        <v>2597</v>
      </c>
      <c r="C7075" s="27">
        <v>7530</v>
      </c>
      <c r="D7075" s="14" t="s">
        <v>1710</v>
      </c>
      <c r="E7075" s="229"/>
      <c r="F7075" s="117" t="s">
        <v>19961</v>
      </c>
      <c r="G7075" s="26">
        <v>50742</v>
      </c>
      <c r="H7075" s="231"/>
      <c r="I7075" s="221"/>
      <c r="J7075" s="221"/>
      <c r="K7075" s="221"/>
      <c r="L7075" s="221"/>
      <c r="M7075" s="221"/>
      <c r="N7075" s="221"/>
      <c r="O7075" s="225"/>
      <c r="P7075" s="118" t="s">
        <v>20093</v>
      </c>
      <c r="Q7075" s="16" t="s">
        <v>20</v>
      </c>
      <c r="R7075" s="17" t="s">
        <v>2347</v>
      </c>
      <c r="S7075" s="121" t="s">
        <v>2236</v>
      </c>
      <c r="T7075" s="122"/>
      <c r="U7075" s="22"/>
      <c r="V7075" s="123" t="s">
        <v>2747</v>
      </c>
      <c r="W7075" s="122">
        <v>5146</v>
      </c>
      <c r="X7075" s="221"/>
      <c r="Y7075" s="221"/>
      <c r="Z7075" s="221"/>
      <c r="AA7075" s="221"/>
      <c r="AB7075" s="223"/>
    </row>
    <row r="7076" spans="1:28" ht="17.100000000000001" customHeight="1" thickTop="1">
      <c r="A7076" s="226" t="s">
        <v>19713</v>
      </c>
      <c r="B7076" s="28">
        <v>46094</v>
      </c>
      <c r="C7076" s="25">
        <v>1410</v>
      </c>
      <c r="D7076" s="13" t="s">
        <v>2094</v>
      </c>
      <c r="E7076" s="228"/>
      <c r="F7076" s="109" t="s">
        <v>7657</v>
      </c>
      <c r="G7076" s="24" t="s">
        <v>2494</v>
      </c>
      <c r="H7076" s="230">
        <v>4.5</v>
      </c>
      <c r="I7076" s="220">
        <v>1098000</v>
      </c>
      <c r="J7076" s="220">
        <f>I7076*0.1</f>
        <v>109800</v>
      </c>
      <c r="K7076" s="220">
        <v>5000</v>
      </c>
      <c r="L7076" s="220">
        <v>8200</v>
      </c>
      <c r="M7076" s="220">
        <v>15400</v>
      </c>
      <c r="N7076" s="220">
        <f>SUM(I7076:M7077)</f>
        <v>1236400</v>
      </c>
      <c r="O7076" s="224"/>
      <c r="P7076" s="110" t="s">
        <v>20521</v>
      </c>
      <c r="Q7076" s="15" t="s">
        <v>19</v>
      </c>
      <c r="R7076" s="205"/>
      <c r="S7076" s="189" t="s">
        <v>25784</v>
      </c>
      <c r="T7076" s="114"/>
      <c r="U7076" s="21"/>
      <c r="V7076" s="115">
        <v>46099</v>
      </c>
      <c r="W7076" s="116">
        <v>1009</v>
      </c>
      <c r="X7076" s="220">
        <v>1160000</v>
      </c>
      <c r="Y7076" s="220">
        <f>X7076*0.1</f>
        <v>116000</v>
      </c>
      <c r="Z7076" s="220">
        <v>8200</v>
      </c>
      <c r="AA7076" s="220">
        <f>SUM(X7076:Z7076)</f>
        <v>1284200</v>
      </c>
      <c r="AB7076" s="222">
        <v>46106</v>
      </c>
    </row>
    <row r="7077" spans="1:28" ht="17.100000000000001" customHeight="1" thickBot="1">
      <c r="A7077" s="227"/>
      <c r="B7077" s="27" t="s">
        <v>2597</v>
      </c>
      <c r="C7077" s="27">
        <v>7533</v>
      </c>
      <c r="D7077" s="14" t="s">
        <v>1710</v>
      </c>
      <c r="E7077" s="229"/>
      <c r="F7077" s="117" t="s">
        <v>19729</v>
      </c>
      <c r="G7077" s="26">
        <v>5959</v>
      </c>
      <c r="H7077" s="231"/>
      <c r="I7077" s="221"/>
      <c r="J7077" s="221"/>
      <c r="K7077" s="221"/>
      <c r="L7077" s="221"/>
      <c r="M7077" s="221"/>
      <c r="N7077" s="221"/>
      <c r="O7077" s="225"/>
      <c r="P7077" s="118" t="s">
        <v>20522</v>
      </c>
      <c r="Q7077" s="16" t="s">
        <v>20</v>
      </c>
      <c r="R7077" s="17" t="s">
        <v>20385</v>
      </c>
      <c r="S7077" s="121" t="s">
        <v>4539</v>
      </c>
      <c r="T7077" s="122"/>
      <c r="U7077" s="22"/>
      <c r="V7077" s="123" t="s">
        <v>2747</v>
      </c>
      <c r="W7077" s="122">
        <v>5134</v>
      </c>
      <c r="X7077" s="221"/>
      <c r="Y7077" s="221"/>
      <c r="Z7077" s="221"/>
      <c r="AA7077" s="221"/>
      <c r="AB7077" s="223"/>
    </row>
    <row r="7078" spans="1:28" ht="17.100000000000001" customHeight="1" thickTop="1">
      <c r="A7078" s="226" t="s">
        <v>19714</v>
      </c>
      <c r="B7078" s="28">
        <v>46094</v>
      </c>
      <c r="C7078" s="25">
        <v>1410</v>
      </c>
      <c r="D7078" s="13" t="s">
        <v>2324</v>
      </c>
      <c r="E7078" s="228"/>
      <c r="F7078" s="109" t="s">
        <v>19730</v>
      </c>
      <c r="G7078" s="24"/>
      <c r="H7078" s="230">
        <v>4.5</v>
      </c>
      <c r="I7078" s="220">
        <v>1207000</v>
      </c>
      <c r="J7078" s="220">
        <f>I7078*0.1</f>
        <v>120700</v>
      </c>
      <c r="K7078" s="220">
        <v>0</v>
      </c>
      <c r="L7078" s="220">
        <v>6830</v>
      </c>
      <c r="M7078" s="220">
        <v>15400</v>
      </c>
      <c r="N7078" s="220">
        <f>SUM(I7078:M7079)</f>
        <v>1349930</v>
      </c>
      <c r="O7078" s="224"/>
      <c r="P7078" s="110" t="s">
        <v>20518</v>
      </c>
      <c r="Q7078" s="15" t="s">
        <v>19</v>
      </c>
      <c r="R7078" s="205"/>
      <c r="S7078" s="189" t="s">
        <v>25505</v>
      </c>
      <c r="T7078" s="114"/>
      <c r="U7078" s="21"/>
      <c r="V7078" s="115">
        <v>46099</v>
      </c>
      <c r="W7078" s="116">
        <v>1009</v>
      </c>
      <c r="X7078" s="220">
        <v>1250000</v>
      </c>
      <c r="Y7078" s="220">
        <f>X7078*0.1</f>
        <v>125000</v>
      </c>
      <c r="Z7078" s="220">
        <v>6830</v>
      </c>
      <c r="AA7078" s="220">
        <f>SUM(X7078:Z7078)</f>
        <v>1381830</v>
      </c>
      <c r="AB7078" s="222">
        <v>46106</v>
      </c>
    </row>
    <row r="7079" spans="1:28" ht="17.100000000000001" customHeight="1" thickBot="1">
      <c r="A7079" s="227"/>
      <c r="B7079" s="27" t="s">
        <v>2597</v>
      </c>
      <c r="C7079" s="27">
        <v>7539</v>
      </c>
      <c r="D7079" s="14" t="s">
        <v>1602</v>
      </c>
      <c r="E7079" s="229"/>
      <c r="F7079" s="117" t="s">
        <v>19731</v>
      </c>
      <c r="G7079" s="26">
        <v>26230</v>
      </c>
      <c r="H7079" s="231"/>
      <c r="I7079" s="221"/>
      <c r="J7079" s="221"/>
      <c r="K7079" s="221"/>
      <c r="L7079" s="221"/>
      <c r="M7079" s="221"/>
      <c r="N7079" s="221"/>
      <c r="O7079" s="225"/>
      <c r="P7079" s="118" t="s">
        <v>20519</v>
      </c>
      <c r="Q7079" s="16" t="s">
        <v>20</v>
      </c>
      <c r="R7079" s="17" t="s">
        <v>20385</v>
      </c>
      <c r="S7079" s="121" t="s">
        <v>20520</v>
      </c>
      <c r="T7079" s="122"/>
      <c r="U7079" s="22"/>
      <c r="V7079" s="123" t="s">
        <v>2747</v>
      </c>
      <c r="W7079" s="122">
        <v>5133</v>
      </c>
      <c r="X7079" s="221"/>
      <c r="Y7079" s="221"/>
      <c r="Z7079" s="221"/>
      <c r="AA7079" s="221"/>
      <c r="AB7079" s="223"/>
    </row>
    <row r="7080" spans="1:28" ht="17.100000000000001" customHeight="1" thickTop="1">
      <c r="A7080" s="226" t="s">
        <v>19715</v>
      </c>
      <c r="B7080" s="28">
        <v>46094</v>
      </c>
      <c r="C7080" s="25">
        <v>1410</v>
      </c>
      <c r="D7080" s="13" t="s">
        <v>1853</v>
      </c>
      <c r="E7080" s="228"/>
      <c r="F7080" s="109" t="s">
        <v>7214</v>
      </c>
      <c r="G7080" s="24"/>
      <c r="H7080" s="230">
        <v>4</v>
      </c>
      <c r="I7080" s="220">
        <v>568000</v>
      </c>
      <c r="J7080" s="220">
        <f>I7080*0.1</f>
        <v>56800</v>
      </c>
      <c r="K7080" s="220">
        <v>0</v>
      </c>
      <c r="L7080" s="220">
        <v>8400</v>
      </c>
      <c r="M7080" s="220">
        <v>15400</v>
      </c>
      <c r="N7080" s="220">
        <f>SUM(I7080:M7081)</f>
        <v>648600</v>
      </c>
      <c r="O7080" s="224"/>
      <c r="P7080" s="110" t="s">
        <v>20125</v>
      </c>
      <c r="Q7080" s="15" t="s">
        <v>19</v>
      </c>
      <c r="R7080" s="205"/>
      <c r="S7080" s="189"/>
      <c r="T7080" s="114"/>
      <c r="U7080" s="21"/>
      <c r="V7080" s="115">
        <v>46113</v>
      </c>
      <c r="W7080" s="116">
        <v>1011</v>
      </c>
      <c r="X7080" s="220">
        <v>650000</v>
      </c>
      <c r="Y7080" s="220">
        <f>X7080*0.1</f>
        <v>65000</v>
      </c>
      <c r="Z7080" s="220">
        <v>8400</v>
      </c>
      <c r="AA7080" s="220">
        <f>SUM(X7080:Z7080)</f>
        <v>723400</v>
      </c>
      <c r="AB7080" s="222">
        <v>46121</v>
      </c>
    </row>
    <row r="7081" spans="1:28" ht="17.100000000000001" customHeight="1" thickBot="1">
      <c r="A7081" s="227"/>
      <c r="B7081" s="27" t="s">
        <v>2597</v>
      </c>
      <c r="C7081" s="27">
        <v>7552</v>
      </c>
      <c r="D7081" s="14" t="s">
        <v>3792</v>
      </c>
      <c r="E7081" s="229"/>
      <c r="F7081" s="117" t="s">
        <v>19732</v>
      </c>
      <c r="G7081" s="26">
        <v>33842</v>
      </c>
      <c r="H7081" s="231"/>
      <c r="I7081" s="221"/>
      <c r="J7081" s="221"/>
      <c r="K7081" s="221"/>
      <c r="L7081" s="221"/>
      <c r="M7081" s="221"/>
      <c r="N7081" s="221"/>
      <c r="O7081" s="225"/>
      <c r="P7081" s="118" t="s">
        <v>20093</v>
      </c>
      <c r="Q7081" s="16" t="s">
        <v>20</v>
      </c>
      <c r="R7081" s="17" t="s">
        <v>2347</v>
      </c>
      <c r="S7081" s="121"/>
      <c r="T7081" s="122"/>
      <c r="U7081" s="22"/>
      <c r="V7081" s="123" t="s">
        <v>8648</v>
      </c>
      <c r="W7081" s="122">
        <v>2067</v>
      </c>
      <c r="X7081" s="221"/>
      <c r="Y7081" s="221"/>
      <c r="Z7081" s="221"/>
      <c r="AA7081" s="221"/>
      <c r="AB7081" s="223"/>
    </row>
    <row r="7082" spans="1:28" ht="17.100000000000001" customHeight="1" thickTop="1">
      <c r="A7082" s="226" t="s">
        <v>19716</v>
      </c>
      <c r="B7082" s="28">
        <v>46094</v>
      </c>
      <c r="C7082" s="25">
        <v>1410</v>
      </c>
      <c r="D7082" s="13" t="s">
        <v>2610</v>
      </c>
      <c r="E7082" s="228"/>
      <c r="F7082" s="109" t="s">
        <v>14891</v>
      </c>
      <c r="G7082" s="24" t="s">
        <v>7402</v>
      </c>
      <c r="H7082" s="230">
        <v>4.5</v>
      </c>
      <c r="I7082" s="220">
        <v>701000</v>
      </c>
      <c r="J7082" s="220">
        <f>I7082*0.1</f>
        <v>70100</v>
      </c>
      <c r="K7082" s="220">
        <v>10800</v>
      </c>
      <c r="L7082" s="220">
        <v>7950</v>
      </c>
      <c r="M7082" s="220">
        <v>15400</v>
      </c>
      <c r="N7082" s="220">
        <f>SUM(I7082:M7083)</f>
        <v>805250</v>
      </c>
      <c r="O7082" s="224"/>
      <c r="P7082" s="110" t="s">
        <v>20523</v>
      </c>
      <c r="Q7082" s="15" t="s">
        <v>19</v>
      </c>
      <c r="R7082" s="205"/>
      <c r="S7082" s="189"/>
      <c r="T7082" s="114"/>
      <c r="U7082" s="21"/>
      <c r="V7082" s="115">
        <v>46099</v>
      </c>
      <c r="W7082" s="116">
        <v>1009</v>
      </c>
      <c r="X7082" s="220">
        <v>755000</v>
      </c>
      <c r="Y7082" s="220">
        <f>X7082*0.1</f>
        <v>75500</v>
      </c>
      <c r="Z7082" s="220">
        <v>7950</v>
      </c>
      <c r="AA7082" s="220">
        <f>SUM(X7082:Z7082)</f>
        <v>838450</v>
      </c>
      <c r="AB7082" s="222">
        <v>46106</v>
      </c>
    </row>
    <row r="7083" spans="1:28" ht="17.100000000000001" customHeight="1" thickBot="1">
      <c r="A7083" s="227"/>
      <c r="B7083" s="27" t="s">
        <v>2597</v>
      </c>
      <c r="C7083" s="27">
        <v>7553</v>
      </c>
      <c r="D7083" s="14" t="s">
        <v>1690</v>
      </c>
      <c r="E7083" s="229"/>
      <c r="F7083" s="117" t="s">
        <v>19733</v>
      </c>
      <c r="G7083" s="26">
        <v>40187</v>
      </c>
      <c r="H7083" s="231"/>
      <c r="I7083" s="221"/>
      <c r="J7083" s="221"/>
      <c r="K7083" s="221"/>
      <c r="L7083" s="221"/>
      <c r="M7083" s="221"/>
      <c r="N7083" s="221"/>
      <c r="O7083" s="225"/>
      <c r="P7083" s="118" t="s">
        <v>4477</v>
      </c>
      <c r="Q7083" s="16" t="s">
        <v>20</v>
      </c>
      <c r="R7083" s="17" t="s">
        <v>20385</v>
      </c>
      <c r="S7083" s="121" t="s">
        <v>4413</v>
      </c>
      <c r="T7083" s="122"/>
      <c r="U7083" s="22"/>
      <c r="V7083" s="123" t="s">
        <v>2747</v>
      </c>
      <c r="W7083" s="122">
        <v>5118</v>
      </c>
      <c r="X7083" s="221"/>
      <c r="Y7083" s="221"/>
      <c r="Z7083" s="221"/>
      <c r="AA7083" s="221"/>
      <c r="AB7083" s="223"/>
    </row>
    <row r="7084" spans="1:28" ht="17.100000000000001" customHeight="1" thickTop="1">
      <c r="A7084" s="226" t="s">
        <v>19717</v>
      </c>
      <c r="B7084" s="28">
        <v>46094</v>
      </c>
      <c r="C7084" s="25">
        <v>1410</v>
      </c>
      <c r="D7084" s="13" t="s">
        <v>19774</v>
      </c>
      <c r="E7084" s="228"/>
      <c r="F7084" s="109" t="s">
        <v>14891</v>
      </c>
      <c r="G7084" s="24"/>
      <c r="H7084" s="230">
        <v>3.5</v>
      </c>
      <c r="I7084" s="220">
        <v>390000</v>
      </c>
      <c r="J7084" s="220">
        <f>I7084*0.1</f>
        <v>39000</v>
      </c>
      <c r="K7084" s="220">
        <v>0</v>
      </c>
      <c r="L7084" s="220">
        <v>7950</v>
      </c>
      <c r="M7084" s="220">
        <v>15400</v>
      </c>
      <c r="N7084" s="220">
        <f>SUM(I7084:M7085)</f>
        <v>452350</v>
      </c>
      <c r="O7084" s="224"/>
      <c r="P7084" s="110" t="s">
        <v>20049</v>
      </c>
      <c r="Q7084" s="15" t="s">
        <v>19</v>
      </c>
      <c r="R7084" s="205"/>
      <c r="S7084" s="189"/>
      <c r="T7084" s="114"/>
      <c r="U7084" s="21"/>
      <c r="V7084" s="115">
        <v>46105</v>
      </c>
      <c r="W7084" s="116"/>
      <c r="X7084" s="220">
        <v>600000</v>
      </c>
      <c r="Y7084" s="220">
        <f>X7084*0.1</f>
        <v>60000</v>
      </c>
      <c r="Z7084" s="220">
        <v>7950</v>
      </c>
      <c r="AA7084" s="220">
        <f>SUM(X7084:Z7084)</f>
        <v>667950</v>
      </c>
      <c r="AB7084" s="222"/>
    </row>
    <row r="7085" spans="1:28" ht="17.100000000000001" customHeight="1" thickBot="1">
      <c r="A7085" s="227"/>
      <c r="B7085" s="27" t="s">
        <v>2597</v>
      </c>
      <c r="C7085" s="27">
        <v>7557</v>
      </c>
      <c r="D7085" s="14" t="s">
        <v>2559</v>
      </c>
      <c r="E7085" s="229"/>
      <c r="F7085" s="117" t="s">
        <v>19734</v>
      </c>
      <c r="G7085" s="26">
        <v>78066</v>
      </c>
      <c r="H7085" s="231"/>
      <c r="I7085" s="221"/>
      <c r="J7085" s="221"/>
      <c r="K7085" s="221"/>
      <c r="L7085" s="221"/>
      <c r="M7085" s="221"/>
      <c r="N7085" s="221"/>
      <c r="O7085" s="225"/>
      <c r="P7085" s="118" t="s">
        <v>20050</v>
      </c>
      <c r="Q7085" s="16" t="s">
        <v>20</v>
      </c>
      <c r="R7085" s="17" t="s">
        <v>19992</v>
      </c>
      <c r="S7085" s="121" t="s">
        <v>13870</v>
      </c>
      <c r="T7085" s="122"/>
      <c r="U7085" s="22"/>
      <c r="V7085" s="123" t="s">
        <v>6682</v>
      </c>
      <c r="W7085" s="122">
        <v>51484</v>
      </c>
      <c r="X7085" s="221"/>
      <c r="Y7085" s="221"/>
      <c r="Z7085" s="221"/>
      <c r="AA7085" s="221"/>
      <c r="AB7085" s="223"/>
    </row>
    <row r="7086" spans="1:28" ht="17.100000000000001" customHeight="1" thickTop="1">
      <c r="A7086" s="226" t="s">
        <v>19718</v>
      </c>
      <c r="B7086" s="28">
        <v>46094</v>
      </c>
      <c r="C7086" s="25">
        <v>1410</v>
      </c>
      <c r="D7086" s="13" t="s">
        <v>2195</v>
      </c>
      <c r="E7086" s="228"/>
      <c r="F7086" s="109" t="s">
        <v>19735</v>
      </c>
      <c r="G7086" s="24" t="s">
        <v>3416</v>
      </c>
      <c r="H7086" s="230">
        <v>5</v>
      </c>
      <c r="I7086" s="220">
        <v>1303000</v>
      </c>
      <c r="J7086" s="220">
        <f>I7086*0.1</f>
        <v>130300</v>
      </c>
      <c r="K7086" s="220">
        <v>5000</v>
      </c>
      <c r="L7086" s="220">
        <v>8200</v>
      </c>
      <c r="M7086" s="220">
        <v>15400</v>
      </c>
      <c r="N7086" s="220">
        <f>SUM(I7086:M7087)</f>
        <v>1461900</v>
      </c>
      <c r="O7086" s="224"/>
      <c r="P7086" s="110" t="s">
        <v>20043</v>
      </c>
      <c r="Q7086" s="15" t="s">
        <v>19</v>
      </c>
      <c r="R7086" s="205"/>
      <c r="S7086" s="189" t="s">
        <v>25505</v>
      </c>
      <c r="T7086" s="114"/>
      <c r="U7086" s="21"/>
      <c r="V7086" s="115">
        <v>46106</v>
      </c>
      <c r="W7086" s="116">
        <v>1010</v>
      </c>
      <c r="X7086" s="220">
        <v>1355000</v>
      </c>
      <c r="Y7086" s="220">
        <f>X7086*0.1</f>
        <v>135500</v>
      </c>
      <c r="Z7086" s="220">
        <v>8200</v>
      </c>
      <c r="AA7086" s="220">
        <f>SUM(X7086:Z7086)</f>
        <v>1498700</v>
      </c>
      <c r="AB7086" s="222">
        <v>46111</v>
      </c>
    </row>
    <row r="7087" spans="1:28" ht="17.100000000000001" customHeight="1" thickBot="1">
      <c r="A7087" s="227"/>
      <c r="B7087" s="27" t="s">
        <v>2597</v>
      </c>
      <c r="C7087" s="27">
        <v>7561</v>
      </c>
      <c r="D7087" s="14" t="s">
        <v>2559</v>
      </c>
      <c r="E7087" s="229"/>
      <c r="F7087" s="117" t="s">
        <v>19736</v>
      </c>
      <c r="G7087" s="26">
        <v>2306</v>
      </c>
      <c r="H7087" s="231"/>
      <c r="I7087" s="221"/>
      <c r="J7087" s="221"/>
      <c r="K7087" s="221"/>
      <c r="L7087" s="221"/>
      <c r="M7087" s="221"/>
      <c r="N7087" s="221"/>
      <c r="O7087" s="225"/>
      <c r="P7087" s="118" t="s">
        <v>18508</v>
      </c>
      <c r="Q7087" s="16" t="s">
        <v>20</v>
      </c>
      <c r="R7087" s="17" t="s">
        <v>19992</v>
      </c>
      <c r="S7087" s="121" t="s">
        <v>169</v>
      </c>
      <c r="T7087" s="122"/>
      <c r="U7087" s="22"/>
      <c r="V7087" s="123" t="s">
        <v>2747</v>
      </c>
      <c r="W7087" s="122">
        <v>2082</v>
      </c>
      <c r="X7087" s="221"/>
      <c r="Y7087" s="221"/>
      <c r="Z7087" s="221"/>
      <c r="AA7087" s="221"/>
      <c r="AB7087" s="223"/>
    </row>
    <row r="7088" spans="1:28" ht="17.100000000000001" customHeight="1" thickTop="1">
      <c r="A7088" s="226" t="s">
        <v>19719</v>
      </c>
      <c r="B7088" s="28">
        <v>46094</v>
      </c>
      <c r="C7088" s="25">
        <v>1410</v>
      </c>
      <c r="D7088" s="13" t="s">
        <v>2892</v>
      </c>
      <c r="E7088" s="228"/>
      <c r="F7088" s="109" t="s">
        <v>15195</v>
      </c>
      <c r="G7088" s="24"/>
      <c r="H7088" s="230">
        <v>3.5</v>
      </c>
      <c r="I7088" s="220">
        <v>453000</v>
      </c>
      <c r="J7088" s="220">
        <f>I7088*0.1</f>
        <v>45300</v>
      </c>
      <c r="K7088" s="220">
        <v>0</v>
      </c>
      <c r="L7088" s="220">
        <v>8850</v>
      </c>
      <c r="M7088" s="220">
        <v>15400</v>
      </c>
      <c r="N7088" s="220">
        <f>SUM(I7088:M7089)</f>
        <v>522550</v>
      </c>
      <c r="O7088" s="224"/>
      <c r="P7088" s="110" t="s">
        <v>20124</v>
      </c>
      <c r="Q7088" s="15" t="s">
        <v>19</v>
      </c>
      <c r="R7088" s="205"/>
      <c r="S7088" s="189" t="s">
        <v>25371</v>
      </c>
      <c r="T7088" s="114"/>
      <c r="U7088" s="21"/>
      <c r="V7088" s="115">
        <v>46106</v>
      </c>
      <c r="W7088" s="116">
        <v>1010</v>
      </c>
      <c r="X7088" s="220">
        <v>550000</v>
      </c>
      <c r="Y7088" s="220">
        <f>X7088*0.1</f>
        <v>55000</v>
      </c>
      <c r="Z7088" s="220">
        <v>8850</v>
      </c>
      <c r="AA7088" s="220">
        <f>SUM(X7088:Z7088)</f>
        <v>613850</v>
      </c>
      <c r="AB7088" s="222">
        <v>46112</v>
      </c>
    </row>
    <row r="7089" spans="1:28" ht="17.100000000000001" customHeight="1" thickBot="1">
      <c r="A7089" s="227"/>
      <c r="B7089" s="27" t="s">
        <v>2597</v>
      </c>
      <c r="C7089" s="27">
        <v>7574</v>
      </c>
      <c r="D7089" s="14" t="s">
        <v>2559</v>
      </c>
      <c r="E7089" s="229"/>
      <c r="F7089" s="117" t="s">
        <v>19737</v>
      </c>
      <c r="G7089" s="26">
        <v>53292</v>
      </c>
      <c r="H7089" s="231"/>
      <c r="I7089" s="221"/>
      <c r="J7089" s="221"/>
      <c r="K7089" s="221"/>
      <c r="L7089" s="221"/>
      <c r="M7089" s="221"/>
      <c r="N7089" s="221"/>
      <c r="O7089" s="225"/>
      <c r="P7089" s="118" t="s">
        <v>4541</v>
      </c>
      <c r="Q7089" s="16" t="s">
        <v>20</v>
      </c>
      <c r="R7089" s="17" t="s">
        <v>2347</v>
      </c>
      <c r="S7089" s="121" t="s">
        <v>4020</v>
      </c>
      <c r="T7089" s="122"/>
      <c r="U7089" s="22"/>
      <c r="V7089" s="123" t="s">
        <v>8648</v>
      </c>
      <c r="W7089" s="122">
        <v>5102</v>
      </c>
      <c r="X7089" s="221"/>
      <c r="Y7089" s="221"/>
      <c r="Z7089" s="221"/>
      <c r="AA7089" s="221"/>
      <c r="AB7089" s="223"/>
    </row>
    <row r="7090" spans="1:28" ht="17.100000000000001" customHeight="1" thickTop="1">
      <c r="A7090" s="226" t="s">
        <v>19739</v>
      </c>
      <c r="B7090" s="28">
        <v>46094</v>
      </c>
      <c r="C7090" s="25">
        <v>1410</v>
      </c>
      <c r="D7090" s="13" t="s">
        <v>1931</v>
      </c>
      <c r="E7090" s="228"/>
      <c r="F7090" s="109" t="s">
        <v>15525</v>
      </c>
      <c r="G7090" s="24" t="s">
        <v>15174</v>
      </c>
      <c r="H7090" s="230">
        <v>3.5</v>
      </c>
      <c r="I7090" s="220">
        <v>683000</v>
      </c>
      <c r="J7090" s="220">
        <f>I7090*0.1</f>
        <v>68300</v>
      </c>
      <c r="K7090" s="220">
        <v>5000</v>
      </c>
      <c r="L7090" s="220">
        <v>8400</v>
      </c>
      <c r="M7090" s="220">
        <v>15400</v>
      </c>
      <c r="N7090" s="220">
        <f>SUM(I7090:M7091)</f>
        <v>780100</v>
      </c>
      <c r="O7090" s="224"/>
      <c r="P7090" s="110" t="s">
        <v>20126</v>
      </c>
      <c r="Q7090" s="15" t="s">
        <v>19</v>
      </c>
      <c r="R7090" s="205"/>
      <c r="S7090" s="189"/>
      <c r="T7090" s="114"/>
      <c r="U7090" s="21"/>
      <c r="V7090" s="115">
        <v>46099</v>
      </c>
      <c r="W7090" s="116">
        <v>1009</v>
      </c>
      <c r="X7090" s="220">
        <v>780000</v>
      </c>
      <c r="Y7090" s="220">
        <f>X7090*0.1</f>
        <v>78000</v>
      </c>
      <c r="Z7090" s="220">
        <v>8400</v>
      </c>
      <c r="AA7090" s="220">
        <f>SUM(X7090:Z7090)</f>
        <v>866400</v>
      </c>
      <c r="AB7090" s="222">
        <v>46106</v>
      </c>
    </row>
    <row r="7091" spans="1:28" ht="17.100000000000001" customHeight="1" thickBot="1">
      <c r="A7091" s="227"/>
      <c r="B7091" s="27" t="s">
        <v>2597</v>
      </c>
      <c r="C7091" s="27">
        <v>7576</v>
      </c>
      <c r="D7091" s="14" t="s">
        <v>1710</v>
      </c>
      <c r="E7091" s="229"/>
      <c r="F7091" s="117" t="s">
        <v>19738</v>
      </c>
      <c r="G7091" s="26">
        <v>25174</v>
      </c>
      <c r="H7091" s="231"/>
      <c r="I7091" s="221"/>
      <c r="J7091" s="221"/>
      <c r="K7091" s="221"/>
      <c r="L7091" s="221"/>
      <c r="M7091" s="221"/>
      <c r="N7091" s="221"/>
      <c r="O7091" s="225"/>
      <c r="P7091" s="118" t="s">
        <v>20093</v>
      </c>
      <c r="Q7091" s="16" t="s">
        <v>20</v>
      </c>
      <c r="R7091" s="17" t="s">
        <v>2347</v>
      </c>
      <c r="S7091" s="121"/>
      <c r="T7091" s="122"/>
      <c r="U7091" s="22"/>
      <c r="V7091" s="123" t="s">
        <v>20442</v>
      </c>
      <c r="W7091" s="122">
        <v>5144</v>
      </c>
      <c r="X7091" s="221"/>
      <c r="Y7091" s="221"/>
      <c r="Z7091" s="221"/>
      <c r="AA7091" s="221"/>
      <c r="AB7091" s="223"/>
    </row>
    <row r="7092" spans="1:28" ht="17.100000000000001" customHeight="1" thickTop="1">
      <c r="A7092" s="226" t="s">
        <v>19740</v>
      </c>
      <c r="B7092" s="28">
        <v>46095</v>
      </c>
      <c r="C7092" s="25">
        <v>1457</v>
      </c>
      <c r="D7092" s="13" t="s">
        <v>1702</v>
      </c>
      <c r="E7092" s="228"/>
      <c r="F7092" s="109" t="s">
        <v>2678</v>
      </c>
      <c r="G7092" s="24"/>
      <c r="H7092" s="230">
        <v>4</v>
      </c>
      <c r="I7092" s="220">
        <v>1070000</v>
      </c>
      <c r="J7092" s="220">
        <f>I7092*0.1</f>
        <v>107000</v>
      </c>
      <c r="K7092" s="220">
        <v>0</v>
      </c>
      <c r="L7092" s="220">
        <v>19090</v>
      </c>
      <c r="M7092" s="220">
        <v>16500</v>
      </c>
      <c r="N7092" s="220">
        <f>SUM(I7092:M7093)</f>
        <v>1212590</v>
      </c>
      <c r="O7092" s="224"/>
      <c r="P7092" s="110" t="s">
        <v>20007</v>
      </c>
      <c r="Q7092" s="15" t="s">
        <v>19</v>
      </c>
      <c r="R7092" s="205"/>
      <c r="S7092" s="189"/>
      <c r="T7092" s="114"/>
      <c r="U7092" s="21"/>
      <c r="V7092" s="115">
        <v>46137</v>
      </c>
      <c r="W7092" s="116">
        <v>1298</v>
      </c>
      <c r="X7092" s="220">
        <v>1200000</v>
      </c>
      <c r="Y7092" s="220">
        <f>X7092*0.1</f>
        <v>120000</v>
      </c>
      <c r="Z7092" s="220">
        <v>19090</v>
      </c>
      <c r="AA7092" s="220">
        <f>SUM(X7092:Z7092)</f>
        <v>1339090</v>
      </c>
      <c r="AB7092" s="222">
        <v>46140</v>
      </c>
    </row>
    <row r="7093" spans="1:28" ht="17.100000000000001" customHeight="1" thickBot="1">
      <c r="A7093" s="227"/>
      <c r="B7093" s="27" t="s">
        <v>1765</v>
      </c>
      <c r="C7093" s="27">
        <v>5006</v>
      </c>
      <c r="D7093" s="14" t="s">
        <v>2559</v>
      </c>
      <c r="E7093" s="229"/>
      <c r="F7093" s="117" t="s">
        <v>19775</v>
      </c>
      <c r="G7093" s="26">
        <v>76719</v>
      </c>
      <c r="H7093" s="231"/>
      <c r="I7093" s="221"/>
      <c r="J7093" s="221"/>
      <c r="K7093" s="221"/>
      <c r="L7093" s="221"/>
      <c r="M7093" s="221"/>
      <c r="N7093" s="221"/>
      <c r="O7093" s="225"/>
      <c r="P7093" s="118" t="s">
        <v>10478</v>
      </c>
      <c r="Q7093" s="16" t="s">
        <v>20</v>
      </c>
      <c r="R7093" s="17" t="s">
        <v>19992</v>
      </c>
      <c r="S7093" s="121" t="s">
        <v>1731</v>
      </c>
      <c r="T7093" s="122"/>
      <c r="U7093" s="22"/>
      <c r="V7093" s="123" t="s">
        <v>2472</v>
      </c>
      <c r="W7093" s="122">
        <v>80184</v>
      </c>
      <c r="X7093" s="221"/>
      <c r="Y7093" s="221"/>
      <c r="Z7093" s="221"/>
      <c r="AA7093" s="221"/>
      <c r="AB7093" s="223"/>
    </row>
    <row r="7094" spans="1:28" ht="17.100000000000001" customHeight="1" thickTop="1">
      <c r="A7094" s="226" t="s">
        <v>19741</v>
      </c>
      <c r="B7094" s="28">
        <v>46095</v>
      </c>
      <c r="C7094" s="25">
        <v>1535</v>
      </c>
      <c r="D7094" s="13" t="s">
        <v>1578</v>
      </c>
      <c r="E7094" s="228"/>
      <c r="F7094" s="109" t="s">
        <v>19748</v>
      </c>
      <c r="G7094" s="24"/>
      <c r="H7094" s="230">
        <v>4.5</v>
      </c>
      <c r="I7094" s="220">
        <v>1280000</v>
      </c>
      <c r="J7094" s="220">
        <f>I7094*0.1</f>
        <v>128000</v>
      </c>
      <c r="K7094" s="220">
        <v>0</v>
      </c>
      <c r="L7094" s="220">
        <v>20860</v>
      </c>
      <c r="M7094" s="220">
        <v>16500</v>
      </c>
      <c r="N7094" s="220">
        <f>SUM(I7094:M7095)</f>
        <v>1445360</v>
      </c>
      <c r="O7094" s="224"/>
      <c r="P7094" s="110" t="s">
        <v>20015</v>
      </c>
      <c r="Q7094" s="15" t="s">
        <v>19</v>
      </c>
      <c r="R7094" s="205"/>
      <c r="S7094" s="189" t="s">
        <v>25853</v>
      </c>
      <c r="T7094" s="114"/>
      <c r="U7094" s="21"/>
      <c r="V7094" s="115"/>
      <c r="W7094" s="116"/>
      <c r="X7094" s="220"/>
      <c r="Y7094" s="220">
        <f>X7094*0.1</f>
        <v>0</v>
      </c>
      <c r="Z7094" s="220"/>
      <c r="AA7094" s="220">
        <f>SUM(X7094:Z7094)</f>
        <v>0</v>
      </c>
      <c r="AB7094" s="222"/>
    </row>
    <row r="7095" spans="1:28" ht="17.100000000000001" customHeight="1" thickBot="1">
      <c r="A7095" s="227"/>
      <c r="B7095" s="27" t="s">
        <v>1547</v>
      </c>
      <c r="C7095" s="27">
        <v>83098</v>
      </c>
      <c r="D7095" s="14" t="s">
        <v>1710</v>
      </c>
      <c r="E7095" s="229"/>
      <c r="F7095" s="117" t="s">
        <v>19776</v>
      </c>
      <c r="G7095" s="26">
        <v>50700</v>
      </c>
      <c r="H7095" s="231"/>
      <c r="I7095" s="221"/>
      <c r="J7095" s="221"/>
      <c r="K7095" s="221"/>
      <c r="L7095" s="221"/>
      <c r="M7095" s="221"/>
      <c r="N7095" s="221"/>
      <c r="O7095" s="225"/>
      <c r="P7095" s="118" t="s">
        <v>20016</v>
      </c>
      <c r="Q7095" s="16" t="s">
        <v>20</v>
      </c>
      <c r="R7095" s="17" t="s">
        <v>19992</v>
      </c>
      <c r="S7095" s="121" t="s">
        <v>20641</v>
      </c>
      <c r="T7095" s="122"/>
      <c r="U7095" s="22"/>
      <c r="V7095" s="123"/>
      <c r="W7095" s="122"/>
      <c r="X7095" s="221"/>
      <c r="Y7095" s="221"/>
      <c r="Z7095" s="221"/>
      <c r="AA7095" s="221"/>
      <c r="AB7095" s="223"/>
    </row>
    <row r="7096" spans="1:28" ht="17.100000000000001" customHeight="1" thickTop="1">
      <c r="A7096" s="233" t="s">
        <v>19742</v>
      </c>
      <c r="B7096" s="28">
        <v>46095</v>
      </c>
      <c r="C7096" s="25">
        <v>1535</v>
      </c>
      <c r="D7096" s="13" t="s">
        <v>2295</v>
      </c>
      <c r="E7096" s="228"/>
      <c r="F7096" s="109" t="s">
        <v>17751</v>
      </c>
      <c r="G7096" s="24"/>
      <c r="H7096" s="230">
        <v>4.5</v>
      </c>
      <c r="I7096" s="220">
        <v>820000</v>
      </c>
      <c r="J7096" s="220">
        <f>I7096*0.1</f>
        <v>82000</v>
      </c>
      <c r="K7096" s="220">
        <v>0</v>
      </c>
      <c r="L7096" s="220">
        <v>12470</v>
      </c>
      <c r="M7096" s="220">
        <v>16500</v>
      </c>
      <c r="N7096" s="220">
        <f>SUM(I7096:M7097)</f>
        <v>930970</v>
      </c>
      <c r="O7096" s="224"/>
      <c r="P7096" s="110" t="s">
        <v>20017</v>
      </c>
      <c r="Q7096" s="15" t="s">
        <v>19</v>
      </c>
      <c r="R7096" s="205"/>
      <c r="S7096" s="189"/>
      <c r="T7096" s="114" t="s">
        <v>20621</v>
      </c>
      <c r="U7096" s="21"/>
      <c r="V7096" s="115"/>
      <c r="W7096" s="116"/>
      <c r="X7096" s="220"/>
      <c r="Y7096" s="220">
        <f>X7096*0.1</f>
        <v>0</v>
      </c>
      <c r="Z7096" s="220"/>
      <c r="AA7096" s="220">
        <f>SUM(X7096:Z7096)</f>
        <v>0</v>
      </c>
      <c r="AB7096" s="222"/>
    </row>
    <row r="7097" spans="1:28" ht="17.100000000000001" customHeight="1" thickBot="1">
      <c r="A7097" s="234"/>
      <c r="B7097" s="27" t="s">
        <v>1547</v>
      </c>
      <c r="C7097" s="27">
        <v>83217</v>
      </c>
      <c r="D7097" s="14" t="s">
        <v>3731</v>
      </c>
      <c r="E7097" s="229"/>
      <c r="F7097" s="117" t="s">
        <v>19777</v>
      </c>
      <c r="G7097" s="26">
        <v>31160</v>
      </c>
      <c r="H7097" s="231"/>
      <c r="I7097" s="221"/>
      <c r="J7097" s="221"/>
      <c r="K7097" s="221"/>
      <c r="L7097" s="221"/>
      <c r="M7097" s="221"/>
      <c r="N7097" s="221"/>
      <c r="O7097" s="225"/>
      <c r="P7097" s="118" t="s">
        <v>4222</v>
      </c>
      <c r="Q7097" s="16" t="s">
        <v>20</v>
      </c>
      <c r="R7097" s="17" t="s">
        <v>19992</v>
      </c>
      <c r="S7097" s="121"/>
      <c r="T7097" s="122"/>
      <c r="U7097" s="22"/>
      <c r="V7097" s="123"/>
      <c r="W7097" s="122"/>
      <c r="X7097" s="221"/>
      <c r="Y7097" s="221"/>
      <c r="Z7097" s="221"/>
      <c r="AA7097" s="221"/>
      <c r="AB7097" s="223"/>
    </row>
    <row r="7098" spans="1:28" ht="17.100000000000001" customHeight="1" thickTop="1">
      <c r="A7098" s="226" t="s">
        <v>19743</v>
      </c>
      <c r="B7098" s="28">
        <v>46095</v>
      </c>
      <c r="C7098" s="25">
        <v>1535</v>
      </c>
      <c r="D7098" s="13" t="s">
        <v>1702</v>
      </c>
      <c r="E7098" s="228"/>
      <c r="F7098" s="109" t="s">
        <v>14966</v>
      </c>
      <c r="G7098" s="24"/>
      <c r="H7098" s="230">
        <v>4.5</v>
      </c>
      <c r="I7098" s="220">
        <v>780000</v>
      </c>
      <c r="J7098" s="220">
        <f>I7098*0.1</f>
        <v>78000</v>
      </c>
      <c r="K7098" s="220">
        <v>0</v>
      </c>
      <c r="L7098" s="220">
        <v>18960</v>
      </c>
      <c r="M7098" s="220">
        <v>16500</v>
      </c>
      <c r="N7098" s="220">
        <f>SUM(I7098:M7099)</f>
        <v>893460</v>
      </c>
      <c r="O7098" s="224"/>
      <c r="P7098" s="110" t="s">
        <v>20130</v>
      </c>
      <c r="Q7098" s="15" t="s">
        <v>19</v>
      </c>
      <c r="R7098" s="205"/>
      <c r="S7098" s="189" t="s">
        <v>758</v>
      </c>
      <c r="T7098" s="114"/>
      <c r="U7098" s="21"/>
      <c r="V7098" s="115">
        <v>46116</v>
      </c>
      <c r="W7098" s="116">
        <v>1295</v>
      </c>
      <c r="X7098" s="220">
        <v>920000</v>
      </c>
      <c r="Y7098" s="220">
        <f>X7098*0.1</f>
        <v>92000</v>
      </c>
      <c r="Z7098" s="220">
        <v>18960</v>
      </c>
      <c r="AA7098" s="220">
        <f>SUM(X7098:Z7098)</f>
        <v>1030960</v>
      </c>
      <c r="AB7098" s="222">
        <v>46119</v>
      </c>
    </row>
    <row r="7099" spans="1:28" ht="17.100000000000001" customHeight="1" thickBot="1">
      <c r="A7099" s="227"/>
      <c r="B7099" s="27" t="s">
        <v>1547</v>
      </c>
      <c r="C7099" s="27">
        <v>83229</v>
      </c>
      <c r="D7099" s="14" t="s">
        <v>1690</v>
      </c>
      <c r="E7099" s="229"/>
      <c r="F7099" s="117" t="s">
        <v>19778</v>
      </c>
      <c r="G7099" s="26">
        <v>48883</v>
      </c>
      <c r="H7099" s="231"/>
      <c r="I7099" s="221"/>
      <c r="J7099" s="221"/>
      <c r="K7099" s="221"/>
      <c r="L7099" s="221"/>
      <c r="M7099" s="221"/>
      <c r="N7099" s="221"/>
      <c r="O7099" s="225"/>
      <c r="P7099" s="118" t="s">
        <v>3355</v>
      </c>
      <c r="Q7099" s="16" t="s">
        <v>20</v>
      </c>
      <c r="R7099" s="17" t="s">
        <v>2347</v>
      </c>
      <c r="S7099" s="121" t="s">
        <v>18985</v>
      </c>
      <c r="T7099" s="122"/>
      <c r="U7099" s="22"/>
      <c r="V7099" s="123" t="s">
        <v>2472</v>
      </c>
      <c r="W7099" s="122">
        <v>80039</v>
      </c>
      <c r="X7099" s="221"/>
      <c r="Y7099" s="221"/>
      <c r="Z7099" s="221"/>
      <c r="AA7099" s="221"/>
      <c r="AB7099" s="223"/>
    </row>
    <row r="7100" spans="1:28" ht="17.100000000000001" customHeight="1" thickTop="1">
      <c r="A7100" s="226" t="s">
        <v>19744</v>
      </c>
      <c r="B7100" s="28">
        <v>46095</v>
      </c>
      <c r="C7100" s="25">
        <v>1292</v>
      </c>
      <c r="D7100" s="13" t="s">
        <v>1908</v>
      </c>
      <c r="E7100" s="228"/>
      <c r="F7100" s="109" t="s">
        <v>19756</v>
      </c>
      <c r="G7100" s="24"/>
      <c r="H7100" s="230">
        <v>4</v>
      </c>
      <c r="I7100" s="220">
        <v>850000</v>
      </c>
      <c r="J7100" s="220">
        <f>I7100*0.1</f>
        <v>85000</v>
      </c>
      <c r="K7100" s="220">
        <v>0</v>
      </c>
      <c r="L7100" s="220">
        <v>12030</v>
      </c>
      <c r="M7100" s="220">
        <v>12100</v>
      </c>
      <c r="N7100" s="220">
        <f>SUM(I7100:M7101)</f>
        <v>959130</v>
      </c>
      <c r="O7100" s="224"/>
      <c r="P7100" s="110" t="s">
        <v>20400</v>
      </c>
      <c r="Q7100" s="15" t="s">
        <v>19</v>
      </c>
      <c r="R7100" s="205"/>
      <c r="S7100" s="189"/>
      <c r="T7100" s="114"/>
      <c r="U7100" s="21"/>
      <c r="V7100" s="115">
        <v>46099</v>
      </c>
      <c r="W7100" s="116">
        <v>1009</v>
      </c>
      <c r="X7100" s="220">
        <v>955000</v>
      </c>
      <c r="Y7100" s="220">
        <f>X7100*0.1</f>
        <v>95500</v>
      </c>
      <c r="Z7100" s="220">
        <v>12030</v>
      </c>
      <c r="AA7100" s="220">
        <f>SUM(X7100:Z7100)</f>
        <v>1062530</v>
      </c>
      <c r="AB7100" s="222">
        <v>46105</v>
      </c>
    </row>
    <row r="7101" spans="1:28" ht="17.100000000000001" customHeight="1" thickBot="1">
      <c r="A7101" s="227"/>
      <c r="B7101" s="27" t="s">
        <v>2472</v>
      </c>
      <c r="C7101" s="27">
        <v>30081</v>
      </c>
      <c r="D7101" s="14" t="s">
        <v>2559</v>
      </c>
      <c r="E7101" s="229"/>
      <c r="F7101" s="117" t="s">
        <v>19757</v>
      </c>
      <c r="G7101" s="26">
        <v>105075</v>
      </c>
      <c r="H7101" s="231"/>
      <c r="I7101" s="221"/>
      <c r="J7101" s="221"/>
      <c r="K7101" s="221"/>
      <c r="L7101" s="221"/>
      <c r="M7101" s="221"/>
      <c r="N7101" s="221"/>
      <c r="O7101" s="225"/>
      <c r="P7101" s="118" t="s">
        <v>20401</v>
      </c>
      <c r="Q7101" s="16" t="s">
        <v>20</v>
      </c>
      <c r="R7101" s="17" t="s">
        <v>20397</v>
      </c>
      <c r="S7101" s="121" t="s">
        <v>20402</v>
      </c>
      <c r="T7101" s="122"/>
      <c r="U7101" s="22"/>
      <c r="V7101" s="123" t="s">
        <v>2747</v>
      </c>
      <c r="W7101" s="122">
        <v>5156</v>
      </c>
      <c r="X7101" s="221"/>
      <c r="Y7101" s="221"/>
      <c r="Z7101" s="221"/>
      <c r="AA7101" s="221"/>
      <c r="AB7101" s="223"/>
    </row>
    <row r="7102" spans="1:28" ht="17.100000000000001" customHeight="1" thickTop="1">
      <c r="A7102" s="226" t="s">
        <v>19745</v>
      </c>
      <c r="B7102" s="28">
        <v>46095</v>
      </c>
      <c r="C7102" s="25">
        <v>1292</v>
      </c>
      <c r="D7102" s="13" t="s">
        <v>5521</v>
      </c>
      <c r="E7102" s="228"/>
      <c r="F7102" s="109" t="s">
        <v>19758</v>
      </c>
      <c r="G7102" s="24" t="s">
        <v>1551</v>
      </c>
      <c r="H7102" s="230">
        <v>4</v>
      </c>
      <c r="I7102" s="220">
        <v>660000</v>
      </c>
      <c r="J7102" s="220">
        <f>I7102*0.1</f>
        <v>66000</v>
      </c>
      <c r="K7102" s="220">
        <v>39500</v>
      </c>
      <c r="L7102" s="220">
        <v>11820</v>
      </c>
      <c r="M7102" s="220">
        <v>12100</v>
      </c>
      <c r="N7102" s="220">
        <f>SUM(I7102:M7103)</f>
        <v>789420</v>
      </c>
      <c r="O7102" s="224"/>
      <c r="P7102" s="110" t="s">
        <v>19779</v>
      </c>
      <c r="Q7102" s="15" t="s">
        <v>19</v>
      </c>
      <c r="R7102" s="205"/>
      <c r="S7102" s="189" t="s">
        <v>25750</v>
      </c>
      <c r="T7102" s="114"/>
      <c r="U7102" s="21"/>
      <c r="V7102" s="115">
        <v>46113</v>
      </c>
      <c r="W7102" s="116">
        <v>1011</v>
      </c>
      <c r="X7102" s="220">
        <v>785000</v>
      </c>
      <c r="Y7102" s="220">
        <f>X7102*0.1</f>
        <v>78500</v>
      </c>
      <c r="Z7102" s="220">
        <v>11820</v>
      </c>
      <c r="AA7102" s="220">
        <f>SUM(X7102:Z7102)</f>
        <v>875320</v>
      </c>
      <c r="AB7102" s="222">
        <v>46118</v>
      </c>
    </row>
    <row r="7103" spans="1:28" ht="17.100000000000001" customHeight="1" thickBot="1">
      <c r="A7103" s="227"/>
      <c r="B7103" s="27" t="s">
        <v>2472</v>
      </c>
      <c r="C7103" s="27">
        <v>30145</v>
      </c>
      <c r="D7103" s="14" t="s">
        <v>2559</v>
      </c>
      <c r="E7103" s="229"/>
      <c r="F7103" s="117" t="s">
        <v>19759</v>
      </c>
      <c r="G7103" s="26">
        <v>92446</v>
      </c>
      <c r="H7103" s="231"/>
      <c r="I7103" s="221"/>
      <c r="J7103" s="221"/>
      <c r="K7103" s="221"/>
      <c r="L7103" s="221"/>
      <c r="M7103" s="221"/>
      <c r="N7103" s="221"/>
      <c r="O7103" s="225"/>
      <c r="P7103" s="118" t="s">
        <v>20426</v>
      </c>
      <c r="Q7103" s="16" t="s">
        <v>20</v>
      </c>
      <c r="R7103" s="17" t="s">
        <v>20397</v>
      </c>
      <c r="S7103" s="121" t="s">
        <v>20427</v>
      </c>
      <c r="T7103" s="122"/>
      <c r="U7103" s="22"/>
      <c r="V7103" s="123" t="s">
        <v>8877</v>
      </c>
      <c r="W7103" s="122">
        <v>6092</v>
      </c>
      <c r="X7103" s="221"/>
      <c r="Y7103" s="221"/>
      <c r="Z7103" s="221"/>
      <c r="AA7103" s="221"/>
      <c r="AB7103" s="223"/>
    </row>
    <row r="7104" spans="1:28" ht="17.100000000000001" customHeight="1" thickTop="1">
      <c r="A7104" s="226" t="s">
        <v>19746</v>
      </c>
      <c r="B7104" s="28">
        <v>46095</v>
      </c>
      <c r="C7104" s="25">
        <v>1292</v>
      </c>
      <c r="D7104" s="13" t="s">
        <v>1642</v>
      </c>
      <c r="E7104" s="228"/>
      <c r="F7104" s="109" t="s">
        <v>19760</v>
      </c>
      <c r="G7104" s="24"/>
      <c r="H7104" s="230">
        <v>4.5</v>
      </c>
      <c r="I7104" s="220">
        <v>2165000</v>
      </c>
      <c r="J7104" s="220">
        <f>I7104*0.1</f>
        <v>216500</v>
      </c>
      <c r="K7104" s="220">
        <v>0</v>
      </c>
      <c r="L7104" s="220">
        <v>14650</v>
      </c>
      <c r="M7104" s="220">
        <v>12100</v>
      </c>
      <c r="N7104" s="220">
        <f>SUM(I7104:M7105)</f>
        <v>2408250</v>
      </c>
      <c r="O7104" s="224"/>
      <c r="P7104" s="110" t="s">
        <v>20423</v>
      </c>
      <c r="Q7104" s="15" t="s">
        <v>19</v>
      </c>
      <c r="R7104" s="205"/>
      <c r="S7104" s="189" t="s">
        <v>25507</v>
      </c>
      <c r="T7104" s="114"/>
      <c r="U7104" s="21"/>
      <c r="V7104" s="115">
        <v>46106</v>
      </c>
      <c r="W7104" s="116">
        <v>1010</v>
      </c>
      <c r="X7104" s="220">
        <v>2220000</v>
      </c>
      <c r="Y7104" s="220">
        <f>X7104*0.1</f>
        <v>222000</v>
      </c>
      <c r="Z7104" s="220">
        <v>14650</v>
      </c>
      <c r="AA7104" s="220">
        <f>SUM(X7104:Z7104)</f>
        <v>2456650</v>
      </c>
      <c r="AB7104" s="222">
        <v>46111</v>
      </c>
    </row>
    <row r="7105" spans="1:28" ht="17.100000000000001" customHeight="1" thickBot="1">
      <c r="A7105" s="227"/>
      <c r="B7105" s="27" t="s">
        <v>2472</v>
      </c>
      <c r="C7105" s="27">
        <v>31314</v>
      </c>
      <c r="D7105" s="14" t="s">
        <v>2559</v>
      </c>
      <c r="E7105" s="229"/>
      <c r="F7105" s="117" t="s">
        <v>19761</v>
      </c>
      <c r="G7105" s="26">
        <v>47423</v>
      </c>
      <c r="H7105" s="231"/>
      <c r="I7105" s="221"/>
      <c r="J7105" s="221"/>
      <c r="K7105" s="221"/>
      <c r="L7105" s="221"/>
      <c r="M7105" s="221"/>
      <c r="N7105" s="221"/>
      <c r="O7105" s="225"/>
      <c r="P7105" s="118" t="s">
        <v>20424</v>
      </c>
      <c r="Q7105" s="16" t="s">
        <v>20</v>
      </c>
      <c r="R7105" s="17" t="s">
        <v>20397</v>
      </c>
      <c r="S7105" s="121" t="s">
        <v>20425</v>
      </c>
      <c r="T7105" s="122"/>
      <c r="U7105" s="22"/>
      <c r="V7105" s="123" t="s">
        <v>2747</v>
      </c>
      <c r="W7105" s="122">
        <v>6101</v>
      </c>
      <c r="X7105" s="221"/>
      <c r="Y7105" s="221"/>
      <c r="Z7105" s="221"/>
      <c r="AA7105" s="221"/>
      <c r="AB7105" s="223"/>
    </row>
    <row r="7106" spans="1:28" ht="17.100000000000001" customHeight="1" thickTop="1">
      <c r="A7106" s="226" t="s">
        <v>19747</v>
      </c>
      <c r="B7106" s="28">
        <v>46095</v>
      </c>
      <c r="C7106" s="25">
        <v>1292</v>
      </c>
      <c r="D7106" s="13" t="s">
        <v>1676</v>
      </c>
      <c r="E7106" s="228"/>
      <c r="F7106" s="109" t="s">
        <v>15469</v>
      </c>
      <c r="G7106" s="24" t="s">
        <v>11031</v>
      </c>
      <c r="H7106" s="230">
        <v>4</v>
      </c>
      <c r="I7106" s="220">
        <v>1200000</v>
      </c>
      <c r="J7106" s="220">
        <f>I7106*0.1</f>
        <v>120000</v>
      </c>
      <c r="K7106" s="220">
        <v>38500</v>
      </c>
      <c r="L7106" s="220">
        <v>11480</v>
      </c>
      <c r="M7106" s="220">
        <v>12100</v>
      </c>
      <c r="N7106" s="220">
        <f>SUM(I7106:M7107)</f>
        <v>1382080</v>
      </c>
      <c r="O7106" s="224"/>
      <c r="P7106" s="110" t="s">
        <v>19780</v>
      </c>
      <c r="Q7106" s="15" t="s">
        <v>19</v>
      </c>
      <c r="R7106" s="205"/>
      <c r="S7106" s="189" t="s">
        <v>283</v>
      </c>
      <c r="T7106" s="114"/>
      <c r="U7106" s="21"/>
      <c r="V7106" s="115">
        <v>46099</v>
      </c>
      <c r="W7106" s="116">
        <v>1009</v>
      </c>
      <c r="X7106" s="220">
        <v>1470000</v>
      </c>
      <c r="Y7106" s="220">
        <f>X7106*0.1</f>
        <v>147000</v>
      </c>
      <c r="Z7106" s="220">
        <v>11480</v>
      </c>
      <c r="AA7106" s="220">
        <f>SUM(X7106:Z7106)</f>
        <v>1628480</v>
      </c>
      <c r="AB7106" s="222">
        <v>46105</v>
      </c>
    </row>
    <row r="7107" spans="1:28" ht="17.100000000000001" customHeight="1" thickBot="1">
      <c r="A7107" s="227"/>
      <c r="B7107" s="27" t="s">
        <v>2472</v>
      </c>
      <c r="C7107" s="27">
        <v>35208</v>
      </c>
      <c r="D7107" s="14" t="s">
        <v>2559</v>
      </c>
      <c r="E7107" s="229"/>
      <c r="F7107" s="117" t="s">
        <v>19762</v>
      </c>
      <c r="G7107" s="26">
        <v>106608</v>
      </c>
      <c r="H7107" s="231"/>
      <c r="I7107" s="221"/>
      <c r="J7107" s="221"/>
      <c r="K7107" s="221"/>
      <c r="L7107" s="221"/>
      <c r="M7107" s="221"/>
      <c r="N7107" s="221"/>
      <c r="O7107" s="225"/>
      <c r="P7107" s="118" t="s">
        <v>20398</v>
      </c>
      <c r="Q7107" s="16" t="s">
        <v>20</v>
      </c>
      <c r="R7107" s="17" t="s">
        <v>20397</v>
      </c>
      <c r="S7107" s="121" t="s">
        <v>20399</v>
      </c>
      <c r="T7107" s="122" t="s">
        <v>14146</v>
      </c>
      <c r="U7107" s="22"/>
      <c r="V7107" s="123" t="s">
        <v>2747</v>
      </c>
      <c r="W7107" s="122">
        <v>5171</v>
      </c>
      <c r="X7107" s="221"/>
      <c r="Y7107" s="221"/>
      <c r="Z7107" s="221"/>
      <c r="AA7107" s="221"/>
      <c r="AB7107" s="223"/>
    </row>
    <row r="7108" spans="1:28" ht="17.100000000000001" customHeight="1" thickTop="1">
      <c r="A7108" s="226" t="s">
        <v>19749</v>
      </c>
      <c r="B7108" s="28">
        <v>46095</v>
      </c>
      <c r="C7108" s="25">
        <v>1292</v>
      </c>
      <c r="D7108" s="13" t="s">
        <v>1702</v>
      </c>
      <c r="E7108" s="228"/>
      <c r="F7108" s="109" t="s">
        <v>7495</v>
      </c>
      <c r="G7108" s="24"/>
      <c r="H7108" s="230">
        <v>4</v>
      </c>
      <c r="I7108" s="220">
        <v>620000</v>
      </c>
      <c r="J7108" s="220">
        <f>I7108*0.1</f>
        <v>62000</v>
      </c>
      <c r="K7108" s="220">
        <v>0</v>
      </c>
      <c r="L7108" s="220">
        <v>7950</v>
      </c>
      <c r="M7108" s="220">
        <v>12100</v>
      </c>
      <c r="N7108" s="220">
        <f>SUM(I7108:M7109)</f>
        <v>702050</v>
      </c>
      <c r="O7108" s="224"/>
      <c r="P7108" s="110" t="s">
        <v>20420</v>
      </c>
      <c r="Q7108" s="15" t="s">
        <v>19</v>
      </c>
      <c r="R7108" s="205"/>
      <c r="S7108" s="189" t="s">
        <v>25770</v>
      </c>
      <c r="T7108" s="114"/>
      <c r="U7108" s="21"/>
      <c r="V7108" s="115">
        <v>46106</v>
      </c>
      <c r="W7108" s="116">
        <v>1010</v>
      </c>
      <c r="X7108" s="220">
        <v>740000</v>
      </c>
      <c r="Y7108" s="220">
        <f>X7108*0.1</f>
        <v>74000</v>
      </c>
      <c r="Z7108" s="220">
        <v>7950</v>
      </c>
      <c r="AA7108" s="220">
        <f>SUM(X7108:Z7108)</f>
        <v>821950</v>
      </c>
      <c r="AB7108" s="222">
        <v>46111</v>
      </c>
    </row>
    <row r="7109" spans="1:28" ht="17.100000000000001" customHeight="1" thickBot="1">
      <c r="A7109" s="227"/>
      <c r="B7109" s="27" t="s">
        <v>2472</v>
      </c>
      <c r="C7109" s="27">
        <v>65455</v>
      </c>
      <c r="D7109" s="14" t="s">
        <v>3792</v>
      </c>
      <c r="E7109" s="229"/>
      <c r="F7109" s="117" t="s">
        <v>19763</v>
      </c>
      <c r="G7109" s="26">
        <v>44714</v>
      </c>
      <c r="H7109" s="231"/>
      <c r="I7109" s="221"/>
      <c r="J7109" s="221"/>
      <c r="K7109" s="221"/>
      <c r="L7109" s="221"/>
      <c r="M7109" s="221"/>
      <c r="N7109" s="221"/>
      <c r="O7109" s="225"/>
      <c r="P7109" s="118" t="s">
        <v>20421</v>
      </c>
      <c r="Q7109" s="16" t="s">
        <v>20</v>
      </c>
      <c r="R7109" s="17" t="s">
        <v>20397</v>
      </c>
      <c r="S7109" s="121" t="s">
        <v>20422</v>
      </c>
      <c r="T7109" s="122"/>
      <c r="U7109" s="22"/>
      <c r="V7109" s="123" t="s">
        <v>2747</v>
      </c>
      <c r="W7109" s="122">
        <v>2013</v>
      </c>
      <c r="X7109" s="221"/>
      <c r="Y7109" s="221"/>
      <c r="Z7109" s="221"/>
      <c r="AA7109" s="221"/>
      <c r="AB7109" s="223"/>
    </row>
    <row r="7110" spans="1:28" ht="17.100000000000001" customHeight="1" thickTop="1">
      <c r="A7110" s="226" t="s">
        <v>19750</v>
      </c>
      <c r="B7110" s="28">
        <v>46095</v>
      </c>
      <c r="C7110" s="25">
        <v>1292</v>
      </c>
      <c r="D7110" s="13" t="s">
        <v>4213</v>
      </c>
      <c r="E7110" s="228"/>
      <c r="F7110" s="109" t="s">
        <v>19764</v>
      </c>
      <c r="G7110" s="24" t="s">
        <v>2907</v>
      </c>
      <c r="H7110" s="230">
        <v>4.5</v>
      </c>
      <c r="I7110" s="220">
        <v>845000</v>
      </c>
      <c r="J7110" s="220">
        <f>I7110*0.1</f>
        <v>84500</v>
      </c>
      <c r="K7110" s="220">
        <v>5000</v>
      </c>
      <c r="L7110" s="220">
        <v>8510</v>
      </c>
      <c r="M7110" s="220">
        <v>12100</v>
      </c>
      <c r="N7110" s="220">
        <f>SUM(I7110:M7111)</f>
        <v>955110</v>
      </c>
      <c r="O7110" s="224"/>
      <c r="P7110" s="110" t="s">
        <v>19781</v>
      </c>
      <c r="Q7110" s="15" t="s">
        <v>19</v>
      </c>
      <c r="R7110" s="205"/>
      <c r="S7110" s="189" t="s">
        <v>758</v>
      </c>
      <c r="T7110" s="114"/>
      <c r="U7110" s="21"/>
      <c r="V7110" s="115">
        <v>46102</v>
      </c>
      <c r="W7110" s="116">
        <v>1293</v>
      </c>
      <c r="X7110" s="220">
        <v>915000</v>
      </c>
      <c r="Y7110" s="220">
        <f>X7110*0.1</f>
        <v>91500</v>
      </c>
      <c r="Z7110" s="220">
        <v>8510</v>
      </c>
      <c r="AA7110" s="220">
        <f>SUM(X7110:Z7110)</f>
        <v>1015010</v>
      </c>
      <c r="AB7110" s="222">
        <v>46105</v>
      </c>
    </row>
    <row r="7111" spans="1:28" ht="17.100000000000001" customHeight="1" thickBot="1">
      <c r="A7111" s="227"/>
      <c r="B7111" s="27" t="s">
        <v>2472</v>
      </c>
      <c r="C7111" s="27">
        <v>65561</v>
      </c>
      <c r="D7111" s="14" t="s">
        <v>1710</v>
      </c>
      <c r="E7111" s="229"/>
      <c r="F7111" s="117" t="s">
        <v>19765</v>
      </c>
      <c r="G7111" s="26">
        <v>54998</v>
      </c>
      <c r="H7111" s="231"/>
      <c r="I7111" s="221"/>
      <c r="J7111" s="221"/>
      <c r="K7111" s="221"/>
      <c r="L7111" s="221"/>
      <c r="M7111" s="221"/>
      <c r="N7111" s="221"/>
      <c r="O7111" s="225"/>
      <c r="P7111" s="118" t="s">
        <v>20403</v>
      </c>
      <c r="Q7111" s="16" t="s">
        <v>20</v>
      </c>
      <c r="R7111" s="17" t="s">
        <v>20397</v>
      </c>
      <c r="S7111" s="121" t="s">
        <v>20404</v>
      </c>
      <c r="T7111" s="122"/>
      <c r="U7111" s="22"/>
      <c r="V7111" s="123" t="s">
        <v>2472</v>
      </c>
      <c r="W7111" s="122">
        <v>60300</v>
      </c>
      <c r="X7111" s="221"/>
      <c r="Y7111" s="221"/>
      <c r="Z7111" s="221"/>
      <c r="AA7111" s="221"/>
      <c r="AB7111" s="223"/>
    </row>
    <row r="7112" spans="1:28" ht="17.100000000000001" customHeight="1" thickTop="1">
      <c r="A7112" s="226" t="s">
        <v>19751</v>
      </c>
      <c r="B7112" s="28">
        <v>46095</v>
      </c>
      <c r="C7112" s="25">
        <v>1292</v>
      </c>
      <c r="D7112" s="13" t="s">
        <v>2324</v>
      </c>
      <c r="E7112" s="228"/>
      <c r="F7112" s="109" t="s">
        <v>19766</v>
      </c>
      <c r="G7112" s="24" t="s">
        <v>12539</v>
      </c>
      <c r="H7112" s="230">
        <v>4.5</v>
      </c>
      <c r="I7112" s="220">
        <v>4000000</v>
      </c>
      <c r="J7112" s="220">
        <f>I7112*0.1</f>
        <v>400000</v>
      </c>
      <c r="K7112" s="220">
        <v>36000</v>
      </c>
      <c r="L7112" s="220">
        <v>24520</v>
      </c>
      <c r="M7112" s="220">
        <v>23100</v>
      </c>
      <c r="N7112" s="220">
        <f>SUM(I7112:M7113)</f>
        <v>4483620</v>
      </c>
      <c r="O7112" s="224"/>
      <c r="P7112" s="110" t="s">
        <v>19783</v>
      </c>
      <c r="Q7112" s="15" t="s">
        <v>19</v>
      </c>
      <c r="R7112" s="205"/>
      <c r="S7112" s="189" t="s">
        <v>25854</v>
      </c>
      <c r="T7112" s="114"/>
      <c r="U7112" s="21"/>
      <c r="V7112" s="115">
        <v>46107</v>
      </c>
      <c r="W7112" s="116">
        <v>1324</v>
      </c>
      <c r="X7112" s="220">
        <v>4330000</v>
      </c>
      <c r="Y7112" s="220">
        <f>X7112*0.1</f>
        <v>433000</v>
      </c>
      <c r="Z7112" s="220">
        <v>24520</v>
      </c>
      <c r="AA7112" s="220">
        <f>SUM(X7112:Z7112)</f>
        <v>4787520</v>
      </c>
      <c r="AB7112" s="222">
        <v>46108</v>
      </c>
    </row>
    <row r="7113" spans="1:28" ht="17.100000000000001" customHeight="1" thickBot="1">
      <c r="A7113" s="227"/>
      <c r="B7113" s="27" t="s">
        <v>2472</v>
      </c>
      <c r="C7113" s="27">
        <v>72036</v>
      </c>
      <c r="D7113" s="14" t="s">
        <v>1584</v>
      </c>
      <c r="E7113" s="229"/>
      <c r="F7113" s="117" t="s">
        <v>19782</v>
      </c>
      <c r="G7113" s="26">
        <v>50537</v>
      </c>
      <c r="H7113" s="231"/>
      <c r="I7113" s="221"/>
      <c r="J7113" s="221"/>
      <c r="K7113" s="221"/>
      <c r="L7113" s="221"/>
      <c r="M7113" s="221"/>
      <c r="N7113" s="221"/>
      <c r="O7113" s="225"/>
      <c r="P7113" s="118" t="s">
        <v>20396</v>
      </c>
      <c r="Q7113" s="16" t="s">
        <v>20</v>
      </c>
      <c r="R7113" s="17" t="s">
        <v>20397</v>
      </c>
      <c r="S7113" s="121" t="s">
        <v>1557</v>
      </c>
      <c r="T7113" s="122"/>
      <c r="U7113" s="22"/>
      <c r="V7113" s="123" t="s">
        <v>20691</v>
      </c>
      <c r="W7113" s="122">
        <v>971</v>
      </c>
      <c r="X7113" s="221"/>
      <c r="Y7113" s="221"/>
      <c r="Z7113" s="221"/>
      <c r="AA7113" s="221"/>
      <c r="AB7113" s="223"/>
    </row>
    <row r="7114" spans="1:28" ht="17.100000000000001" customHeight="1" thickTop="1">
      <c r="A7114" s="226" t="s">
        <v>19752</v>
      </c>
      <c r="B7114" s="28">
        <v>46095</v>
      </c>
      <c r="C7114" s="25">
        <v>1292</v>
      </c>
      <c r="D7114" s="13" t="s">
        <v>2564</v>
      </c>
      <c r="E7114" s="228"/>
      <c r="F7114" s="109" t="s">
        <v>15707</v>
      </c>
      <c r="G7114" s="24"/>
      <c r="H7114" s="230">
        <v>4.5</v>
      </c>
      <c r="I7114" s="220">
        <v>1760000</v>
      </c>
      <c r="J7114" s="220">
        <f>I7114*0.1</f>
        <v>176000</v>
      </c>
      <c r="K7114" s="220">
        <v>0</v>
      </c>
      <c r="L7114" s="220">
        <v>16240</v>
      </c>
      <c r="M7114" s="220">
        <v>16500</v>
      </c>
      <c r="N7114" s="220">
        <f>SUM(I7114:M7115)</f>
        <v>1968740</v>
      </c>
      <c r="O7114" s="224"/>
      <c r="P7114" s="110" t="s">
        <v>20409</v>
      </c>
      <c r="Q7114" s="15" t="s">
        <v>19</v>
      </c>
      <c r="R7114" s="205"/>
      <c r="S7114" s="189"/>
      <c r="T7114" s="114"/>
      <c r="U7114" s="21"/>
      <c r="V7114" s="115">
        <v>46127</v>
      </c>
      <c r="W7114" s="116">
        <v>1013</v>
      </c>
      <c r="X7114" s="220">
        <v>1855000</v>
      </c>
      <c r="Y7114" s="220">
        <f>X7114*0.1</f>
        <v>185500</v>
      </c>
      <c r="Z7114" s="220">
        <v>16240</v>
      </c>
      <c r="AA7114" s="220">
        <f>SUM(X7114:Z7114)</f>
        <v>2056740</v>
      </c>
      <c r="AB7114" s="222">
        <v>46132</v>
      </c>
    </row>
    <row r="7115" spans="1:28" ht="17.100000000000001" customHeight="1" thickBot="1">
      <c r="A7115" s="227"/>
      <c r="B7115" s="27" t="s">
        <v>2472</v>
      </c>
      <c r="C7115" s="27">
        <v>80271</v>
      </c>
      <c r="D7115" s="14" t="s">
        <v>1602</v>
      </c>
      <c r="E7115" s="229"/>
      <c r="F7115" s="117" t="s">
        <v>19784</v>
      </c>
      <c r="G7115" s="26">
        <v>38738</v>
      </c>
      <c r="H7115" s="231"/>
      <c r="I7115" s="221"/>
      <c r="J7115" s="221"/>
      <c r="K7115" s="221"/>
      <c r="L7115" s="221"/>
      <c r="M7115" s="221"/>
      <c r="N7115" s="221"/>
      <c r="O7115" s="225"/>
      <c r="P7115" s="118" t="s">
        <v>20410</v>
      </c>
      <c r="Q7115" s="16" t="s">
        <v>20</v>
      </c>
      <c r="R7115" s="17" t="s">
        <v>20397</v>
      </c>
      <c r="S7115" s="121" t="s">
        <v>2166</v>
      </c>
      <c r="T7115" s="122"/>
      <c r="U7115" s="22"/>
      <c r="V7115" s="123" t="s">
        <v>2747</v>
      </c>
      <c r="W7115" s="122">
        <v>5059</v>
      </c>
      <c r="X7115" s="221"/>
      <c r="Y7115" s="221"/>
      <c r="Z7115" s="221"/>
      <c r="AA7115" s="221"/>
      <c r="AB7115" s="223"/>
    </row>
    <row r="7116" spans="1:28" ht="17.100000000000001" customHeight="1" thickTop="1">
      <c r="A7116" s="226" t="s">
        <v>19753</v>
      </c>
      <c r="B7116" s="28">
        <v>46095</v>
      </c>
      <c r="C7116" s="25">
        <v>1292</v>
      </c>
      <c r="D7116" s="13" t="s">
        <v>1780</v>
      </c>
      <c r="E7116" s="228"/>
      <c r="F7116" s="109" t="s">
        <v>19767</v>
      </c>
      <c r="G7116" s="24" t="s">
        <v>19218</v>
      </c>
      <c r="H7116" s="230">
        <v>4.5</v>
      </c>
      <c r="I7116" s="220">
        <v>2910000</v>
      </c>
      <c r="J7116" s="220">
        <f>I7116*0.1</f>
        <v>291000</v>
      </c>
      <c r="K7116" s="220">
        <v>36000</v>
      </c>
      <c r="L7116" s="220">
        <v>22030</v>
      </c>
      <c r="M7116" s="220">
        <v>23100</v>
      </c>
      <c r="N7116" s="220">
        <f>SUM(I7116:M7117)</f>
        <v>3282130</v>
      </c>
      <c r="O7116" s="224"/>
      <c r="P7116" s="110" t="s">
        <v>19786</v>
      </c>
      <c r="Q7116" s="15" t="s">
        <v>19</v>
      </c>
      <c r="R7116" s="205"/>
      <c r="S7116" s="189" t="s">
        <v>455</v>
      </c>
      <c r="T7116" s="114"/>
      <c r="U7116" s="21"/>
      <c r="V7116" s="115">
        <v>46107</v>
      </c>
      <c r="W7116" s="116">
        <v>1324</v>
      </c>
      <c r="X7116" s="220">
        <v>3120000</v>
      </c>
      <c r="Y7116" s="220">
        <f>X7116*0.1</f>
        <v>312000</v>
      </c>
      <c r="Z7116" s="220">
        <v>22030</v>
      </c>
      <c r="AA7116" s="220">
        <f>SUM(X7116:Z7116)</f>
        <v>3454030</v>
      </c>
      <c r="AB7116" s="222">
        <v>46108</v>
      </c>
    </row>
    <row r="7117" spans="1:28" ht="17.100000000000001" customHeight="1" thickBot="1">
      <c r="A7117" s="227"/>
      <c r="B7117" s="27" t="s">
        <v>2472</v>
      </c>
      <c r="C7117" s="27">
        <v>81036</v>
      </c>
      <c r="D7117" s="14" t="s">
        <v>1710</v>
      </c>
      <c r="E7117" s="229"/>
      <c r="F7117" s="117" t="s">
        <v>19785</v>
      </c>
      <c r="G7117" s="26">
        <v>49472</v>
      </c>
      <c r="H7117" s="231"/>
      <c r="I7117" s="221"/>
      <c r="J7117" s="221"/>
      <c r="K7117" s="221"/>
      <c r="L7117" s="221"/>
      <c r="M7117" s="221"/>
      <c r="N7117" s="221"/>
      <c r="O7117" s="225"/>
      <c r="P7117" s="118" t="s">
        <v>20398</v>
      </c>
      <c r="Q7117" s="16" t="s">
        <v>20</v>
      </c>
      <c r="R7117" s="17" t="s">
        <v>20397</v>
      </c>
      <c r="S7117" s="121" t="s">
        <v>20408</v>
      </c>
      <c r="T7117" s="122"/>
      <c r="U7117" s="22"/>
      <c r="V7117" s="123" t="s">
        <v>20690</v>
      </c>
      <c r="W7117" s="122">
        <v>536</v>
      </c>
      <c r="X7117" s="221"/>
      <c r="Y7117" s="221"/>
      <c r="Z7117" s="221"/>
      <c r="AA7117" s="221"/>
      <c r="AB7117" s="223"/>
    </row>
    <row r="7118" spans="1:28" ht="17.100000000000001" customHeight="1" thickTop="1">
      <c r="A7118" s="226" t="s">
        <v>19754</v>
      </c>
      <c r="B7118" s="28">
        <v>46095</v>
      </c>
      <c r="C7118" s="25">
        <v>1292</v>
      </c>
      <c r="D7118" s="13" t="s">
        <v>1871</v>
      </c>
      <c r="E7118" s="228"/>
      <c r="F7118" s="109" t="s">
        <v>19787</v>
      </c>
      <c r="G7118" s="24"/>
      <c r="H7118" s="230">
        <v>4.5</v>
      </c>
      <c r="I7118" s="220">
        <v>1905000</v>
      </c>
      <c r="J7118" s="220">
        <f>I7118*0.1</f>
        <v>190500</v>
      </c>
      <c r="K7118" s="220">
        <v>0</v>
      </c>
      <c r="L7118" s="220">
        <v>19860</v>
      </c>
      <c r="M7118" s="220">
        <v>16500</v>
      </c>
      <c r="N7118" s="220">
        <f>SUM(I7118:M7119)</f>
        <v>2131860</v>
      </c>
      <c r="O7118" s="224"/>
      <c r="P7118" s="110" t="s">
        <v>20406</v>
      </c>
      <c r="Q7118" s="15" t="s">
        <v>19</v>
      </c>
      <c r="R7118" s="205"/>
      <c r="S7118" s="189" t="s">
        <v>283</v>
      </c>
      <c r="T7118" s="114"/>
      <c r="U7118" s="21"/>
      <c r="V7118" s="115"/>
      <c r="W7118" s="116"/>
      <c r="X7118" s="220"/>
      <c r="Y7118" s="220">
        <f>X7118*0.1</f>
        <v>0</v>
      </c>
      <c r="Z7118" s="220"/>
      <c r="AA7118" s="220">
        <f>SUM(X7118:Z7118)</f>
        <v>0</v>
      </c>
      <c r="AB7118" s="222"/>
    </row>
    <row r="7119" spans="1:28" ht="17.100000000000001" customHeight="1" thickBot="1">
      <c r="A7119" s="227"/>
      <c r="B7119" s="27" t="s">
        <v>2472</v>
      </c>
      <c r="C7119" s="27">
        <v>82113</v>
      </c>
      <c r="D7119" s="14" t="s">
        <v>2559</v>
      </c>
      <c r="E7119" s="229"/>
      <c r="F7119" s="117" t="s">
        <v>19788</v>
      </c>
      <c r="G7119" s="26">
        <v>47895</v>
      </c>
      <c r="H7119" s="231"/>
      <c r="I7119" s="221"/>
      <c r="J7119" s="221"/>
      <c r="K7119" s="221"/>
      <c r="L7119" s="221"/>
      <c r="M7119" s="221"/>
      <c r="N7119" s="221"/>
      <c r="O7119" s="225"/>
      <c r="P7119" s="118" t="s">
        <v>20407</v>
      </c>
      <c r="Q7119" s="16" t="s">
        <v>20</v>
      </c>
      <c r="R7119" s="17" t="s">
        <v>20397</v>
      </c>
      <c r="S7119" s="121" t="s">
        <v>20404</v>
      </c>
      <c r="T7119" s="122"/>
      <c r="U7119" s="22"/>
      <c r="V7119" s="123"/>
      <c r="W7119" s="122"/>
      <c r="X7119" s="221"/>
      <c r="Y7119" s="221"/>
      <c r="Z7119" s="221"/>
      <c r="AA7119" s="221"/>
      <c r="AB7119" s="223"/>
    </row>
    <row r="7120" spans="1:28" ht="17.100000000000001" customHeight="1" thickTop="1">
      <c r="A7120" s="226" t="s">
        <v>19755</v>
      </c>
      <c r="B7120" s="28">
        <v>46095</v>
      </c>
      <c r="C7120" s="25">
        <v>1292</v>
      </c>
      <c r="D7120" s="13" t="s">
        <v>3857</v>
      </c>
      <c r="E7120" s="228"/>
      <c r="F7120" s="109" t="s">
        <v>2678</v>
      </c>
      <c r="G7120" s="24"/>
      <c r="H7120" s="230">
        <v>4.5</v>
      </c>
      <c r="I7120" s="220">
        <v>1650000</v>
      </c>
      <c r="J7120" s="220">
        <f>I7120*0.1</f>
        <v>165000</v>
      </c>
      <c r="K7120" s="220">
        <v>0</v>
      </c>
      <c r="L7120" s="220">
        <v>19440</v>
      </c>
      <c r="M7120" s="220">
        <v>23100</v>
      </c>
      <c r="N7120" s="220">
        <f>SUM(I7120:M7121)</f>
        <v>1857540</v>
      </c>
      <c r="O7120" s="224"/>
      <c r="P7120" s="110" t="s">
        <v>20411</v>
      </c>
      <c r="Q7120" s="15" t="s">
        <v>19</v>
      </c>
      <c r="R7120" s="205"/>
      <c r="S7120" s="189"/>
      <c r="T7120" s="114"/>
      <c r="U7120" s="21"/>
      <c r="V7120" s="115">
        <v>46109</v>
      </c>
      <c r="W7120" s="116">
        <v>1294</v>
      </c>
      <c r="X7120" s="220">
        <v>1780000</v>
      </c>
      <c r="Y7120" s="220">
        <f>X7120*0.1</f>
        <v>178000</v>
      </c>
      <c r="Z7120" s="220">
        <v>19440</v>
      </c>
      <c r="AA7120" s="220">
        <f>SUM(X7120:Z7120)</f>
        <v>1977440</v>
      </c>
      <c r="AB7120" s="222">
        <v>46112</v>
      </c>
    </row>
    <row r="7121" spans="1:28" ht="17.100000000000001" customHeight="1" thickBot="1">
      <c r="A7121" s="227"/>
      <c r="B7121" s="27" t="s">
        <v>2472</v>
      </c>
      <c r="C7121" s="27">
        <v>82769</v>
      </c>
      <c r="D7121" s="14" t="s">
        <v>1584</v>
      </c>
      <c r="E7121" s="229"/>
      <c r="F7121" s="117" t="s">
        <v>19789</v>
      </c>
      <c r="G7121" s="26">
        <v>18050</v>
      </c>
      <c r="H7121" s="231"/>
      <c r="I7121" s="221"/>
      <c r="J7121" s="221"/>
      <c r="K7121" s="221"/>
      <c r="L7121" s="221"/>
      <c r="M7121" s="221"/>
      <c r="N7121" s="221"/>
      <c r="O7121" s="225"/>
      <c r="P7121" s="118" t="s">
        <v>20412</v>
      </c>
      <c r="Q7121" s="16" t="s">
        <v>20</v>
      </c>
      <c r="R7121" s="17" t="s">
        <v>20397</v>
      </c>
      <c r="S7121" s="121"/>
      <c r="T7121" s="122"/>
      <c r="U7121" s="22"/>
      <c r="V7121" s="123" t="s">
        <v>21250</v>
      </c>
      <c r="W7121" s="122">
        <v>80116</v>
      </c>
      <c r="X7121" s="221"/>
      <c r="Y7121" s="221"/>
      <c r="Z7121" s="221"/>
      <c r="AA7121" s="221"/>
      <c r="AB7121" s="223"/>
    </row>
    <row r="7122" spans="1:28" ht="17.100000000000001" customHeight="1" thickTop="1">
      <c r="A7122" s="226" t="s">
        <v>19768</v>
      </c>
      <c r="B7122" s="28">
        <v>46095</v>
      </c>
      <c r="C7122" s="25">
        <v>303</v>
      </c>
      <c r="D7122" s="13" t="s">
        <v>4775</v>
      </c>
      <c r="E7122" s="228"/>
      <c r="F7122" s="109" t="s">
        <v>19222</v>
      </c>
      <c r="G7122" s="24"/>
      <c r="H7122" s="230">
        <v>4</v>
      </c>
      <c r="I7122" s="220">
        <v>1064000</v>
      </c>
      <c r="J7122" s="220">
        <f>I7122*0.1</f>
        <v>106400</v>
      </c>
      <c r="K7122" s="220">
        <v>0</v>
      </c>
      <c r="L7122" s="220">
        <v>12470</v>
      </c>
      <c r="M7122" s="220">
        <v>15950</v>
      </c>
      <c r="N7122" s="220">
        <f>SUM(I7122:M7123)</f>
        <v>1198820</v>
      </c>
      <c r="O7122" s="224"/>
      <c r="P7122" s="110" t="s">
        <v>20037</v>
      </c>
      <c r="Q7122" s="15" t="s">
        <v>19</v>
      </c>
      <c r="R7122" s="205"/>
      <c r="S7122" s="189"/>
      <c r="T7122" s="114"/>
      <c r="U7122" s="21"/>
      <c r="V7122" s="115">
        <v>46127</v>
      </c>
      <c r="W7122" s="116">
        <v>1013</v>
      </c>
      <c r="X7122" s="220">
        <v>1100000</v>
      </c>
      <c r="Y7122" s="220">
        <f>X7122*0.1</f>
        <v>110000</v>
      </c>
      <c r="Z7122" s="220">
        <v>12470</v>
      </c>
      <c r="AA7122" s="220">
        <f>SUM(X7122:Z7122)</f>
        <v>1222470</v>
      </c>
      <c r="AB7122" s="222">
        <v>46133</v>
      </c>
    </row>
    <row r="7123" spans="1:28" ht="17.100000000000001" customHeight="1" thickBot="1">
      <c r="A7123" s="227"/>
      <c r="B7123" s="27" t="s">
        <v>3518</v>
      </c>
      <c r="C7123" s="27">
        <v>98</v>
      </c>
      <c r="D7123" s="14" t="s">
        <v>273</v>
      </c>
      <c r="E7123" s="229"/>
      <c r="F7123" s="117" t="s">
        <v>19771</v>
      </c>
      <c r="G7123" s="26">
        <v>90454</v>
      </c>
      <c r="H7123" s="231"/>
      <c r="I7123" s="221"/>
      <c r="J7123" s="221"/>
      <c r="K7123" s="221"/>
      <c r="L7123" s="221"/>
      <c r="M7123" s="221"/>
      <c r="N7123" s="221"/>
      <c r="O7123" s="225"/>
      <c r="P7123" s="118" t="s">
        <v>20038</v>
      </c>
      <c r="Q7123" s="16" t="s">
        <v>20</v>
      </c>
      <c r="R7123" s="17" t="s">
        <v>19992</v>
      </c>
      <c r="S7123" s="121" t="s">
        <v>20127</v>
      </c>
      <c r="T7123" s="122"/>
      <c r="U7123" s="22"/>
      <c r="V7123" s="123" t="s">
        <v>7161</v>
      </c>
      <c r="W7123" s="122">
        <v>6036</v>
      </c>
      <c r="X7123" s="221"/>
      <c r="Y7123" s="221"/>
      <c r="Z7123" s="221"/>
      <c r="AA7123" s="221"/>
      <c r="AB7123" s="223"/>
    </row>
    <row r="7124" spans="1:28" ht="17.100000000000001" customHeight="1" thickTop="1">
      <c r="A7124" s="226" t="s">
        <v>19769</v>
      </c>
      <c r="B7124" s="28">
        <v>46095</v>
      </c>
      <c r="C7124" s="25">
        <v>1014</v>
      </c>
      <c r="D7124" s="13" t="s">
        <v>2712</v>
      </c>
      <c r="E7124" s="228"/>
      <c r="F7124" s="109" t="s">
        <v>19772</v>
      </c>
      <c r="G7124" s="24" t="s">
        <v>2536</v>
      </c>
      <c r="H7124" s="230">
        <v>4.5</v>
      </c>
      <c r="I7124" s="220">
        <v>2436000</v>
      </c>
      <c r="J7124" s="220">
        <f>I7124*0.1</f>
        <v>243600</v>
      </c>
      <c r="K7124" s="220">
        <v>36000</v>
      </c>
      <c r="L7124" s="220">
        <v>19180</v>
      </c>
      <c r="M7124" s="220">
        <v>15950</v>
      </c>
      <c r="N7124" s="220">
        <f>SUM(I7124:M7125)</f>
        <v>2750730</v>
      </c>
      <c r="O7124" s="224"/>
      <c r="P7124" s="110" t="s">
        <v>19791</v>
      </c>
      <c r="Q7124" s="15" t="s">
        <v>19</v>
      </c>
      <c r="R7124" s="205"/>
      <c r="S7124" s="189" t="s">
        <v>758</v>
      </c>
      <c r="T7124" s="114"/>
      <c r="U7124" s="21" t="s">
        <v>22347</v>
      </c>
      <c r="V7124" s="115">
        <v>46128</v>
      </c>
      <c r="W7124" s="116">
        <v>1327</v>
      </c>
      <c r="X7124" s="220">
        <v>2615000</v>
      </c>
      <c r="Y7124" s="220">
        <f>X7124*0.1</f>
        <v>261500</v>
      </c>
      <c r="Z7124" s="220">
        <v>19180</v>
      </c>
      <c r="AA7124" s="220">
        <f>SUM(X7124:Z7124)</f>
        <v>2895680</v>
      </c>
      <c r="AB7124" s="222">
        <v>46129</v>
      </c>
    </row>
    <row r="7125" spans="1:28" ht="17.100000000000001" customHeight="1" thickBot="1">
      <c r="A7125" s="227"/>
      <c r="B7125" s="27" t="s">
        <v>1697</v>
      </c>
      <c r="C7125" s="27">
        <v>5062</v>
      </c>
      <c r="D7125" s="14" t="s">
        <v>273</v>
      </c>
      <c r="E7125" s="229"/>
      <c r="F7125" s="117" t="s">
        <v>19790</v>
      </c>
      <c r="G7125" s="26">
        <v>22401</v>
      </c>
      <c r="H7125" s="231"/>
      <c r="I7125" s="221"/>
      <c r="J7125" s="221"/>
      <c r="K7125" s="221"/>
      <c r="L7125" s="221"/>
      <c r="M7125" s="221"/>
      <c r="N7125" s="221"/>
      <c r="O7125" s="225"/>
      <c r="P7125" s="118" t="s">
        <v>4281</v>
      </c>
      <c r="Q7125" s="16" t="s">
        <v>20</v>
      </c>
      <c r="R7125" s="17" t="s">
        <v>19992</v>
      </c>
      <c r="S7125" s="121" t="s">
        <v>1649</v>
      </c>
      <c r="T7125" s="122"/>
      <c r="U7125" s="22"/>
      <c r="V7125" s="123" t="s">
        <v>22671</v>
      </c>
      <c r="W7125" s="122">
        <v>156</v>
      </c>
      <c r="X7125" s="221"/>
      <c r="Y7125" s="221"/>
      <c r="Z7125" s="221"/>
      <c r="AA7125" s="221"/>
      <c r="AB7125" s="223"/>
    </row>
    <row r="7126" spans="1:28" ht="17.100000000000001" customHeight="1" thickTop="1">
      <c r="A7126" s="226" t="s">
        <v>19770</v>
      </c>
      <c r="B7126" s="28">
        <v>46095</v>
      </c>
      <c r="C7126" s="25">
        <v>1014</v>
      </c>
      <c r="D7126" s="13" t="s">
        <v>4050</v>
      </c>
      <c r="E7126" s="228"/>
      <c r="F7126" s="109" t="s">
        <v>19773</v>
      </c>
      <c r="G7126" s="24"/>
      <c r="H7126" s="230">
        <v>4.5</v>
      </c>
      <c r="I7126" s="220">
        <v>1478000</v>
      </c>
      <c r="J7126" s="220">
        <f>I7126*0.1</f>
        <v>147800</v>
      </c>
      <c r="K7126" s="220">
        <v>0</v>
      </c>
      <c r="L7126" s="220">
        <v>17800</v>
      </c>
      <c r="M7126" s="220">
        <v>15950</v>
      </c>
      <c r="N7126" s="220">
        <f>SUM(I7126:M7127)</f>
        <v>1659550</v>
      </c>
      <c r="O7126" s="224"/>
      <c r="P7126" s="110" t="s">
        <v>20008</v>
      </c>
      <c r="Q7126" s="15" t="s">
        <v>19</v>
      </c>
      <c r="R7126" s="205"/>
      <c r="S7126" s="189" t="s">
        <v>758</v>
      </c>
      <c r="T7126" s="114"/>
      <c r="U7126" s="21"/>
      <c r="V7126" s="115">
        <v>46100</v>
      </c>
      <c r="W7126" s="116">
        <v>1323</v>
      </c>
      <c r="X7126" s="220">
        <v>1695000</v>
      </c>
      <c r="Y7126" s="220">
        <f>X7126*0.1</f>
        <v>169500</v>
      </c>
      <c r="Z7126" s="220">
        <v>17800</v>
      </c>
      <c r="AA7126" s="220">
        <f>SUM(X7126:Z7126)</f>
        <v>1882300</v>
      </c>
      <c r="AB7126" s="222">
        <v>46101</v>
      </c>
    </row>
    <row r="7127" spans="1:28" ht="17.100000000000001" customHeight="1" thickBot="1">
      <c r="A7127" s="227"/>
      <c r="B7127" s="27" t="s">
        <v>1697</v>
      </c>
      <c r="C7127" s="27">
        <v>5080</v>
      </c>
      <c r="D7127" s="14" t="s">
        <v>1627</v>
      </c>
      <c r="E7127" s="229"/>
      <c r="F7127" s="117" t="s">
        <v>19792</v>
      </c>
      <c r="G7127" s="26">
        <v>50017</v>
      </c>
      <c r="H7127" s="231"/>
      <c r="I7127" s="221"/>
      <c r="J7127" s="221"/>
      <c r="K7127" s="221"/>
      <c r="L7127" s="221"/>
      <c r="M7127" s="221"/>
      <c r="N7127" s="221"/>
      <c r="O7127" s="225"/>
      <c r="P7127" s="118" t="s">
        <v>4281</v>
      </c>
      <c r="Q7127" s="16" t="s">
        <v>20</v>
      </c>
      <c r="R7127" s="17" t="s">
        <v>19992</v>
      </c>
      <c r="S7127" s="121" t="s">
        <v>1731</v>
      </c>
      <c r="T7127" s="122"/>
      <c r="U7127" s="22"/>
      <c r="V7127" s="123" t="s">
        <v>1735</v>
      </c>
      <c r="W7127" s="122">
        <v>176</v>
      </c>
      <c r="X7127" s="221"/>
      <c r="Y7127" s="221"/>
      <c r="Z7127" s="221"/>
      <c r="AA7127" s="221"/>
      <c r="AB7127" s="223"/>
    </row>
    <row r="7128" spans="1:28" ht="17.100000000000001" customHeight="1" thickTop="1">
      <c r="A7128" s="226" t="s">
        <v>19809</v>
      </c>
      <c r="B7128" s="28">
        <v>46096</v>
      </c>
      <c r="C7128" s="25"/>
      <c r="D7128" s="13" t="s">
        <v>3422</v>
      </c>
      <c r="E7128" s="228"/>
      <c r="F7128" s="109" t="s">
        <v>19811</v>
      </c>
      <c r="G7128" s="24" t="s">
        <v>14920</v>
      </c>
      <c r="H7128" s="230"/>
      <c r="I7128" s="220">
        <v>1600000</v>
      </c>
      <c r="J7128" s="220">
        <v>0</v>
      </c>
      <c r="K7128" s="220">
        <v>0</v>
      </c>
      <c r="L7128" s="220">
        <v>0</v>
      </c>
      <c r="M7128" s="220">
        <v>0</v>
      </c>
      <c r="N7128" s="220">
        <f>SUM(I7128:M7129)</f>
        <v>1600000</v>
      </c>
      <c r="O7128" s="224"/>
      <c r="P7128" s="110" t="s">
        <v>19813</v>
      </c>
      <c r="Q7128" s="15" t="s">
        <v>19</v>
      </c>
      <c r="R7128" s="205"/>
      <c r="S7128" s="189"/>
      <c r="T7128" s="114"/>
      <c r="U7128" s="21" t="s">
        <v>20471</v>
      </c>
      <c r="V7128" s="115">
        <v>46109</v>
      </c>
      <c r="W7128" s="116">
        <v>1294</v>
      </c>
      <c r="X7128" s="220">
        <v>1610000</v>
      </c>
      <c r="Y7128" s="220">
        <f>X7128*0.1</f>
        <v>161000</v>
      </c>
      <c r="Z7128" s="220">
        <v>19090</v>
      </c>
      <c r="AA7128" s="220">
        <f>SUM(X7128:Z7128)</f>
        <v>1790090</v>
      </c>
      <c r="AB7128" s="222">
        <v>46112</v>
      </c>
    </row>
    <row r="7129" spans="1:28" ht="17.100000000000001" customHeight="1" thickBot="1">
      <c r="A7129" s="227"/>
      <c r="B7129" s="27" t="s">
        <v>19808</v>
      </c>
      <c r="C7129" s="27"/>
      <c r="D7129" s="14"/>
      <c r="E7129" s="229"/>
      <c r="F7129" s="117" t="s">
        <v>19812</v>
      </c>
      <c r="G7129" s="26">
        <v>61772</v>
      </c>
      <c r="H7129" s="231"/>
      <c r="I7129" s="221"/>
      <c r="J7129" s="221"/>
      <c r="K7129" s="221"/>
      <c r="L7129" s="221"/>
      <c r="M7129" s="221"/>
      <c r="N7129" s="221"/>
      <c r="O7129" s="225"/>
      <c r="P7129" s="118" t="s">
        <v>19818</v>
      </c>
      <c r="Q7129" s="16" t="s">
        <v>20</v>
      </c>
      <c r="R7129" s="17" t="s">
        <v>3592</v>
      </c>
      <c r="S7129" s="121" t="s">
        <v>1731</v>
      </c>
      <c r="T7129" s="122"/>
      <c r="U7129" s="22"/>
      <c r="V7129" s="123" t="s">
        <v>21250</v>
      </c>
      <c r="W7129" s="122">
        <v>82228</v>
      </c>
      <c r="X7129" s="221"/>
      <c r="Y7129" s="221"/>
      <c r="Z7129" s="221"/>
      <c r="AA7129" s="221"/>
      <c r="AB7129" s="223"/>
    </row>
    <row r="7130" spans="1:28" ht="17.100000000000001" customHeight="1" thickTop="1">
      <c r="A7130" s="226" t="s">
        <v>19810</v>
      </c>
      <c r="B7130" s="28">
        <v>46096</v>
      </c>
      <c r="C7130" s="25"/>
      <c r="D7130" s="13" t="s">
        <v>2306</v>
      </c>
      <c r="E7130" s="228"/>
      <c r="F7130" s="109" t="s">
        <v>19815</v>
      </c>
      <c r="G7130" s="24" t="s">
        <v>19817</v>
      </c>
      <c r="H7130" s="230"/>
      <c r="I7130" s="220">
        <v>500000</v>
      </c>
      <c r="J7130" s="220">
        <v>0</v>
      </c>
      <c r="K7130" s="220">
        <v>0</v>
      </c>
      <c r="L7130" s="220">
        <v>0</v>
      </c>
      <c r="M7130" s="220">
        <v>0</v>
      </c>
      <c r="N7130" s="220">
        <f>SUM(I7130:M7131)</f>
        <v>500000</v>
      </c>
      <c r="O7130" s="224"/>
      <c r="P7130" s="110" t="s">
        <v>19819</v>
      </c>
      <c r="Q7130" s="15" t="s">
        <v>19</v>
      </c>
      <c r="R7130" s="205"/>
      <c r="S7130" s="189"/>
      <c r="T7130" s="114"/>
      <c r="U7130" s="21"/>
      <c r="V7130" s="115">
        <v>46102</v>
      </c>
      <c r="W7130" s="116">
        <v>1293</v>
      </c>
      <c r="X7130" s="220">
        <v>495000</v>
      </c>
      <c r="Y7130" s="220">
        <f>X7130*0.1</f>
        <v>49500</v>
      </c>
      <c r="Z7130" s="220">
        <v>14040</v>
      </c>
      <c r="AA7130" s="220">
        <f>SUM(X7130:Z7130)</f>
        <v>558540</v>
      </c>
      <c r="AB7130" s="222">
        <v>46107</v>
      </c>
    </row>
    <row r="7131" spans="1:28" ht="17.100000000000001" customHeight="1" thickBot="1">
      <c r="A7131" s="227"/>
      <c r="B7131" s="27" t="s">
        <v>19814</v>
      </c>
      <c r="C7131" s="27"/>
      <c r="D7131" s="14" t="s">
        <v>273</v>
      </c>
      <c r="E7131" s="229"/>
      <c r="F7131" s="117" t="s">
        <v>19816</v>
      </c>
      <c r="G7131" s="26"/>
      <c r="H7131" s="231"/>
      <c r="I7131" s="221"/>
      <c r="J7131" s="221"/>
      <c r="K7131" s="221"/>
      <c r="L7131" s="221"/>
      <c r="M7131" s="221"/>
      <c r="N7131" s="221"/>
      <c r="O7131" s="225"/>
      <c r="P7131" s="118" t="s">
        <v>19820</v>
      </c>
      <c r="Q7131" s="16" t="s">
        <v>20</v>
      </c>
      <c r="R7131" s="17" t="s">
        <v>3592</v>
      </c>
      <c r="S7131" s="121"/>
      <c r="T7131" s="122"/>
      <c r="U7131" s="22"/>
      <c r="V7131" s="123" t="s">
        <v>2472</v>
      </c>
      <c r="W7131" s="122">
        <v>37316</v>
      </c>
      <c r="X7131" s="221"/>
      <c r="Y7131" s="221"/>
      <c r="Z7131" s="221"/>
      <c r="AA7131" s="221"/>
      <c r="AB7131" s="223"/>
    </row>
    <row r="7132" spans="1:28" ht="17.100000000000001" customHeight="1" thickTop="1">
      <c r="A7132" s="226" t="s">
        <v>19823</v>
      </c>
      <c r="B7132" s="28">
        <v>46097</v>
      </c>
      <c r="C7132" s="25">
        <v>2085</v>
      </c>
      <c r="D7132" s="13" t="s">
        <v>2264</v>
      </c>
      <c r="E7132" s="228"/>
      <c r="F7132" s="109" t="s">
        <v>19828</v>
      </c>
      <c r="G7132" s="24" t="s">
        <v>2543</v>
      </c>
      <c r="H7132" s="230">
        <v>4.5</v>
      </c>
      <c r="I7132" s="220">
        <v>1630000</v>
      </c>
      <c r="J7132" s="220">
        <f>I7132*0.1</f>
        <v>163000</v>
      </c>
      <c r="K7132" s="220">
        <v>30500</v>
      </c>
      <c r="L7132" s="220">
        <v>19130</v>
      </c>
      <c r="M7132" s="220">
        <v>11000</v>
      </c>
      <c r="N7132" s="220">
        <f>SUM(I7132:M7133)</f>
        <v>1853630</v>
      </c>
      <c r="O7132" s="224"/>
      <c r="P7132" s="110" t="s">
        <v>19830</v>
      </c>
      <c r="Q7132" s="15" t="s">
        <v>19</v>
      </c>
      <c r="R7132" s="205"/>
      <c r="S7132" s="189" t="s">
        <v>25855</v>
      </c>
      <c r="T7132" s="114"/>
      <c r="U7132" s="21"/>
      <c r="V7132" s="115">
        <v>46114</v>
      </c>
      <c r="W7132" s="116">
        <v>1325</v>
      </c>
      <c r="X7132" s="220">
        <v>1885000</v>
      </c>
      <c r="Y7132" s="220">
        <f>X7132*0.1</f>
        <v>188500</v>
      </c>
      <c r="Z7132" s="220">
        <v>19130</v>
      </c>
      <c r="AA7132" s="220">
        <f>SUM(X7132:Z7132)</f>
        <v>2092630</v>
      </c>
      <c r="AB7132" s="222">
        <v>46115</v>
      </c>
    </row>
    <row r="7133" spans="1:28" ht="17.100000000000001" customHeight="1" thickBot="1">
      <c r="A7133" s="227"/>
      <c r="B7133" s="27" t="s">
        <v>82</v>
      </c>
      <c r="C7133" s="27">
        <v>32028</v>
      </c>
      <c r="D7133" s="14" t="s">
        <v>2559</v>
      </c>
      <c r="E7133" s="229"/>
      <c r="F7133" s="117" t="s">
        <v>19829</v>
      </c>
      <c r="G7133" s="26">
        <v>46403</v>
      </c>
      <c r="H7133" s="231"/>
      <c r="I7133" s="221"/>
      <c r="J7133" s="221"/>
      <c r="K7133" s="221"/>
      <c r="L7133" s="221"/>
      <c r="M7133" s="221"/>
      <c r="N7133" s="221"/>
      <c r="O7133" s="225"/>
      <c r="P7133" s="118" t="s">
        <v>1647</v>
      </c>
      <c r="Q7133" s="16" t="s">
        <v>20</v>
      </c>
      <c r="R7133" s="17" t="s">
        <v>20054</v>
      </c>
      <c r="S7133" s="121" t="s">
        <v>1731</v>
      </c>
      <c r="T7133" s="122"/>
      <c r="U7133" s="22"/>
      <c r="V7133" s="123" t="s">
        <v>13379</v>
      </c>
      <c r="W7133" s="122">
        <v>24</v>
      </c>
      <c r="X7133" s="221"/>
      <c r="Y7133" s="221"/>
      <c r="Z7133" s="221"/>
      <c r="AA7133" s="221"/>
      <c r="AB7133" s="223"/>
    </row>
    <row r="7134" spans="1:28" ht="17.100000000000001" customHeight="1" thickTop="1">
      <c r="A7134" s="226" t="s">
        <v>19824</v>
      </c>
      <c r="B7134" s="28">
        <v>46097</v>
      </c>
      <c r="C7134" s="25">
        <v>2085</v>
      </c>
      <c r="D7134" s="13" t="s">
        <v>2429</v>
      </c>
      <c r="E7134" s="228"/>
      <c r="F7134" s="109" t="s">
        <v>19831</v>
      </c>
      <c r="G7134" s="24" t="s">
        <v>4038</v>
      </c>
      <c r="H7134" s="230">
        <v>4</v>
      </c>
      <c r="I7134" s="220">
        <v>740000</v>
      </c>
      <c r="J7134" s="220">
        <f>I7134*0.1</f>
        <v>74000</v>
      </c>
      <c r="K7134" s="220">
        <v>39500</v>
      </c>
      <c r="L7134" s="220">
        <v>19440</v>
      </c>
      <c r="M7134" s="220">
        <v>11000</v>
      </c>
      <c r="N7134" s="220">
        <f>SUM(I7134:M7135)</f>
        <v>883940</v>
      </c>
      <c r="O7134" s="224"/>
      <c r="P7134" s="110" t="s">
        <v>19833</v>
      </c>
      <c r="Q7134" s="15" t="s">
        <v>19</v>
      </c>
      <c r="R7134" s="205"/>
      <c r="S7134" s="189" t="s">
        <v>25856</v>
      </c>
      <c r="T7134" s="114"/>
      <c r="U7134" s="21"/>
      <c r="V7134" s="115">
        <v>46106</v>
      </c>
      <c r="W7134" s="116">
        <v>1010</v>
      </c>
      <c r="X7134" s="220">
        <v>880000</v>
      </c>
      <c r="Y7134" s="220">
        <f>X7134*0.1</f>
        <v>88000</v>
      </c>
      <c r="Z7134" s="220">
        <v>19440</v>
      </c>
      <c r="AA7134" s="220">
        <f>SUM(X7134:Z7134)</f>
        <v>987440</v>
      </c>
      <c r="AB7134" s="222">
        <v>46112</v>
      </c>
    </row>
    <row r="7135" spans="1:28" ht="17.100000000000001" customHeight="1" thickBot="1">
      <c r="A7135" s="227"/>
      <c r="B7135" s="27" t="s">
        <v>82</v>
      </c>
      <c r="C7135" s="27">
        <v>34551</v>
      </c>
      <c r="D7135" s="14" t="s">
        <v>54</v>
      </c>
      <c r="E7135" s="229"/>
      <c r="F7135" s="117" t="s">
        <v>19832</v>
      </c>
      <c r="G7135" s="26">
        <v>48906</v>
      </c>
      <c r="H7135" s="231"/>
      <c r="I7135" s="221"/>
      <c r="J7135" s="221"/>
      <c r="K7135" s="221"/>
      <c r="L7135" s="221"/>
      <c r="M7135" s="221"/>
      <c r="N7135" s="221"/>
      <c r="O7135" s="225"/>
      <c r="P7135" s="118" t="s">
        <v>14061</v>
      </c>
      <c r="Q7135" s="16" t="s">
        <v>20</v>
      </c>
      <c r="R7135" s="17" t="s">
        <v>20054</v>
      </c>
      <c r="S7135" s="121" t="s">
        <v>2166</v>
      </c>
      <c r="T7135" s="122"/>
      <c r="U7135" s="22"/>
      <c r="V7135" s="123" t="s">
        <v>20798</v>
      </c>
      <c r="W7135" s="122">
        <v>5262</v>
      </c>
      <c r="X7135" s="221"/>
      <c r="Y7135" s="221"/>
      <c r="Z7135" s="221"/>
      <c r="AA7135" s="221"/>
      <c r="AB7135" s="223"/>
    </row>
    <row r="7136" spans="1:28" ht="17.100000000000001" customHeight="1" thickTop="1">
      <c r="A7136" s="226" t="s">
        <v>19825</v>
      </c>
      <c r="B7136" s="28">
        <v>46097</v>
      </c>
      <c r="C7136" s="25">
        <v>2085</v>
      </c>
      <c r="D7136" s="13" t="s">
        <v>2107</v>
      </c>
      <c r="E7136" s="228"/>
      <c r="F7136" s="109" t="s">
        <v>19834</v>
      </c>
      <c r="G7136" s="24" t="s">
        <v>4120</v>
      </c>
      <c r="H7136" s="230">
        <v>4</v>
      </c>
      <c r="I7136" s="220">
        <v>945000</v>
      </c>
      <c r="J7136" s="220">
        <f>I7136*0.1</f>
        <v>94500</v>
      </c>
      <c r="K7136" s="220">
        <v>34500</v>
      </c>
      <c r="L7136" s="220">
        <v>19090</v>
      </c>
      <c r="M7136" s="220">
        <v>11000</v>
      </c>
      <c r="N7136" s="220">
        <f>SUM(I7136:M7137)</f>
        <v>1104090</v>
      </c>
      <c r="O7136" s="224"/>
      <c r="P7136" s="110" t="s">
        <v>19836</v>
      </c>
      <c r="Q7136" s="15" t="s">
        <v>19</v>
      </c>
      <c r="R7136" s="205"/>
      <c r="S7136" s="189" t="s">
        <v>25857</v>
      </c>
      <c r="T7136" s="114"/>
      <c r="U7136" s="21"/>
      <c r="V7136" s="115"/>
      <c r="W7136" s="116"/>
      <c r="X7136" s="220"/>
      <c r="Y7136" s="220">
        <f>X7136*0.1</f>
        <v>0</v>
      </c>
      <c r="Z7136" s="220"/>
      <c r="AA7136" s="220">
        <f>SUM(X7136:Z7136)</f>
        <v>0</v>
      </c>
      <c r="AB7136" s="222"/>
    </row>
    <row r="7137" spans="1:28" ht="17.100000000000001" customHeight="1" thickBot="1">
      <c r="A7137" s="227"/>
      <c r="B7137" s="27" t="s">
        <v>82</v>
      </c>
      <c r="C7137" s="27">
        <v>34575</v>
      </c>
      <c r="D7137" s="14" t="s">
        <v>1627</v>
      </c>
      <c r="E7137" s="229"/>
      <c r="F7137" s="117" t="s">
        <v>19835</v>
      </c>
      <c r="G7137" s="26">
        <v>89098</v>
      </c>
      <c r="H7137" s="231"/>
      <c r="I7137" s="221"/>
      <c r="J7137" s="221"/>
      <c r="K7137" s="221"/>
      <c r="L7137" s="221"/>
      <c r="M7137" s="221"/>
      <c r="N7137" s="221"/>
      <c r="O7137" s="225"/>
      <c r="P7137" s="118" t="s">
        <v>3989</v>
      </c>
      <c r="Q7137" s="16" t="s">
        <v>13552</v>
      </c>
      <c r="R7137" s="17" t="s">
        <v>20054</v>
      </c>
      <c r="S7137" s="121" t="s">
        <v>20535</v>
      </c>
      <c r="T7137" s="122"/>
      <c r="U7137" s="22"/>
      <c r="V7137" s="123"/>
      <c r="W7137" s="122"/>
      <c r="X7137" s="221"/>
      <c r="Y7137" s="221"/>
      <c r="Z7137" s="221"/>
      <c r="AA7137" s="221"/>
      <c r="AB7137" s="223"/>
    </row>
    <row r="7138" spans="1:28" ht="17.100000000000001" customHeight="1" thickTop="1">
      <c r="A7138" s="226" t="s">
        <v>19826</v>
      </c>
      <c r="B7138" s="28">
        <v>46097</v>
      </c>
      <c r="C7138" s="25"/>
      <c r="D7138" s="13" t="s">
        <v>1632</v>
      </c>
      <c r="E7138" s="228"/>
      <c r="F7138" s="109" t="s">
        <v>19837</v>
      </c>
      <c r="G7138" s="24"/>
      <c r="H7138" s="230">
        <v>4.5</v>
      </c>
      <c r="I7138" s="220">
        <v>720000</v>
      </c>
      <c r="J7138" s="220">
        <f>I7138*0.1</f>
        <v>72000</v>
      </c>
      <c r="K7138" s="220">
        <v>0</v>
      </c>
      <c r="L7138" s="220">
        <v>19440</v>
      </c>
      <c r="M7138" s="220">
        <v>14850</v>
      </c>
      <c r="N7138" s="220">
        <f>SUM(I7138:M7139)</f>
        <v>826290</v>
      </c>
      <c r="O7138" s="224"/>
      <c r="P7138" s="110" t="s">
        <v>20112</v>
      </c>
      <c r="Q7138" s="15" t="s">
        <v>19</v>
      </c>
      <c r="R7138" s="205"/>
      <c r="S7138" s="189" t="s">
        <v>758</v>
      </c>
      <c r="T7138" s="114"/>
      <c r="U7138" s="21"/>
      <c r="V7138" s="115">
        <v>46109</v>
      </c>
      <c r="W7138" s="116">
        <v>1294</v>
      </c>
      <c r="X7138" s="220">
        <v>880000</v>
      </c>
      <c r="Y7138" s="220">
        <f>X7138*0.1</f>
        <v>88000</v>
      </c>
      <c r="Z7138" s="220">
        <v>19440</v>
      </c>
      <c r="AA7138" s="220">
        <f>SUM(X7138:Z7138)</f>
        <v>987440</v>
      </c>
      <c r="AB7138" s="222">
        <v>46112</v>
      </c>
    </row>
    <row r="7139" spans="1:28" ht="17.100000000000001" customHeight="1" thickBot="1">
      <c r="A7139" s="227"/>
      <c r="B7139" s="27" t="s">
        <v>4777</v>
      </c>
      <c r="C7139" s="27">
        <v>55183</v>
      </c>
      <c r="D7139" s="14" t="s">
        <v>1602</v>
      </c>
      <c r="E7139" s="229"/>
      <c r="F7139" s="117" t="s">
        <v>19838</v>
      </c>
      <c r="G7139" s="26">
        <v>47655</v>
      </c>
      <c r="H7139" s="231"/>
      <c r="I7139" s="221"/>
      <c r="J7139" s="221"/>
      <c r="K7139" s="221"/>
      <c r="L7139" s="221"/>
      <c r="M7139" s="221"/>
      <c r="N7139" s="221"/>
      <c r="O7139" s="225"/>
      <c r="P7139" s="118" t="s">
        <v>20113</v>
      </c>
      <c r="Q7139" s="16" t="s">
        <v>20</v>
      </c>
      <c r="R7139" s="17" t="s">
        <v>2347</v>
      </c>
      <c r="S7139" s="121" t="s">
        <v>20445</v>
      </c>
      <c r="T7139" s="122"/>
      <c r="U7139" s="22"/>
      <c r="V7139" s="123" t="s">
        <v>21250</v>
      </c>
      <c r="W7139" s="122">
        <v>80035</v>
      </c>
      <c r="X7139" s="221"/>
      <c r="Y7139" s="221"/>
      <c r="Z7139" s="221"/>
      <c r="AA7139" s="221"/>
      <c r="AB7139" s="223"/>
    </row>
    <row r="7140" spans="1:28" ht="17.100000000000001" customHeight="1" thickTop="1">
      <c r="A7140" s="226" t="s">
        <v>19827</v>
      </c>
      <c r="B7140" s="28">
        <v>46097</v>
      </c>
      <c r="C7140" s="25"/>
      <c r="D7140" s="13" t="s">
        <v>1578</v>
      </c>
      <c r="E7140" s="228"/>
      <c r="F7140" s="109" t="s">
        <v>4483</v>
      </c>
      <c r="G7140" s="24"/>
      <c r="H7140" s="230">
        <v>4</v>
      </c>
      <c r="I7140" s="220">
        <v>800000</v>
      </c>
      <c r="J7140" s="220">
        <f>I7140*0.1</f>
        <v>80000</v>
      </c>
      <c r="K7140" s="220">
        <v>0</v>
      </c>
      <c r="L7140" s="220">
        <v>17600</v>
      </c>
      <c r="M7140" s="220">
        <v>25850</v>
      </c>
      <c r="N7140" s="220">
        <f>SUM(I7140:M7141)</f>
        <v>923450</v>
      </c>
      <c r="O7140" s="224"/>
      <c r="P7140" s="110" t="s">
        <v>20430</v>
      </c>
      <c r="Q7140" s="15" t="s">
        <v>19</v>
      </c>
      <c r="R7140" s="205"/>
      <c r="S7140" s="189"/>
      <c r="T7140" s="114"/>
      <c r="U7140" s="21"/>
      <c r="V7140" s="115">
        <v>46116</v>
      </c>
      <c r="W7140" s="116">
        <v>1295</v>
      </c>
      <c r="X7140" s="220">
        <v>930000</v>
      </c>
      <c r="Y7140" s="220">
        <f>X7140*0.1</f>
        <v>93000</v>
      </c>
      <c r="Z7140" s="220">
        <v>17600</v>
      </c>
      <c r="AA7140" s="220">
        <f>SUM(X7140:Z7140)</f>
        <v>1040600</v>
      </c>
      <c r="AB7140" s="222">
        <v>46119</v>
      </c>
    </row>
    <row r="7141" spans="1:28" ht="17.100000000000001" customHeight="1" thickBot="1">
      <c r="A7141" s="227"/>
      <c r="B7141" s="27" t="s">
        <v>2727</v>
      </c>
      <c r="C7141" s="27">
        <v>80138</v>
      </c>
      <c r="D7141" s="14" t="s">
        <v>1548</v>
      </c>
      <c r="E7141" s="229"/>
      <c r="F7141" s="117" t="s">
        <v>20429</v>
      </c>
      <c r="G7141" s="26">
        <v>66120</v>
      </c>
      <c r="H7141" s="231"/>
      <c r="I7141" s="221"/>
      <c r="J7141" s="221"/>
      <c r="K7141" s="221"/>
      <c r="L7141" s="221"/>
      <c r="M7141" s="221"/>
      <c r="N7141" s="221"/>
      <c r="O7141" s="225"/>
      <c r="P7141" s="118" t="s">
        <v>20431</v>
      </c>
      <c r="Q7141" s="16" t="s">
        <v>20</v>
      </c>
      <c r="R7141" s="17" t="s">
        <v>20432</v>
      </c>
      <c r="S7141" s="121" t="s">
        <v>5222</v>
      </c>
      <c r="T7141" s="122"/>
      <c r="U7141" s="22"/>
      <c r="V7141" s="123" t="s">
        <v>2472</v>
      </c>
      <c r="W7141" s="122">
        <v>80041</v>
      </c>
      <c r="X7141" s="221"/>
      <c r="Y7141" s="221"/>
      <c r="Z7141" s="221"/>
      <c r="AA7141" s="221"/>
      <c r="AB7141" s="223"/>
    </row>
    <row r="7142" spans="1:28" ht="17.100000000000001" customHeight="1" thickTop="1">
      <c r="A7142" s="226" t="s">
        <v>19839</v>
      </c>
      <c r="B7142" s="28">
        <v>46097</v>
      </c>
      <c r="C7142" s="25"/>
      <c r="D7142" s="13" t="s">
        <v>2920</v>
      </c>
      <c r="E7142" s="228"/>
      <c r="F7142" s="109" t="s">
        <v>19841</v>
      </c>
      <c r="G7142" s="24"/>
      <c r="H7142" s="230">
        <v>4.5</v>
      </c>
      <c r="I7142" s="220">
        <v>1751000</v>
      </c>
      <c r="J7142" s="220">
        <f>I7142*0.1</f>
        <v>175100</v>
      </c>
      <c r="K7142" s="220">
        <v>0</v>
      </c>
      <c r="L7142" s="220">
        <v>18980</v>
      </c>
      <c r="M7142" s="220">
        <v>14850</v>
      </c>
      <c r="N7142" s="220">
        <f>SUM(I7142:M7143)</f>
        <v>1959930</v>
      </c>
      <c r="O7142" s="224"/>
      <c r="P7142" s="110" t="s">
        <v>20437</v>
      </c>
      <c r="Q7142" s="15" t="s">
        <v>19</v>
      </c>
      <c r="R7142" s="205"/>
      <c r="S7142" s="189" t="s">
        <v>758</v>
      </c>
      <c r="T7142" s="114"/>
      <c r="U7142" s="21"/>
      <c r="V7142" s="115">
        <v>46109</v>
      </c>
      <c r="W7142" s="116">
        <v>1294</v>
      </c>
      <c r="X7142" s="220">
        <v>1840000</v>
      </c>
      <c r="Y7142" s="220">
        <f>X7142*0.1</f>
        <v>184000</v>
      </c>
      <c r="Z7142" s="220">
        <v>18980</v>
      </c>
      <c r="AA7142" s="220">
        <f>SUM(X7142:Z7142)</f>
        <v>2042980</v>
      </c>
      <c r="AB7142" s="222">
        <v>46112</v>
      </c>
    </row>
    <row r="7143" spans="1:28" ht="17.100000000000001" customHeight="1" thickBot="1">
      <c r="A7143" s="227"/>
      <c r="B7143" s="27" t="s">
        <v>2727</v>
      </c>
      <c r="C7143" s="27">
        <v>80511</v>
      </c>
      <c r="D7143" s="14" t="s">
        <v>1584</v>
      </c>
      <c r="E7143" s="229"/>
      <c r="F7143" s="117" t="s">
        <v>20436</v>
      </c>
      <c r="G7143" s="26">
        <v>52813</v>
      </c>
      <c r="H7143" s="231"/>
      <c r="I7143" s="221"/>
      <c r="J7143" s="221"/>
      <c r="K7143" s="221"/>
      <c r="L7143" s="221"/>
      <c r="M7143" s="221"/>
      <c r="N7143" s="221"/>
      <c r="O7143" s="225"/>
      <c r="P7143" s="118" t="s">
        <v>20438</v>
      </c>
      <c r="Q7143" s="16" t="s">
        <v>20</v>
      </c>
      <c r="R7143" s="17" t="s">
        <v>20432</v>
      </c>
      <c r="S7143" s="121" t="s">
        <v>20408</v>
      </c>
      <c r="T7143" s="122"/>
      <c r="U7143" s="22"/>
      <c r="V7143" s="123" t="s">
        <v>21250</v>
      </c>
      <c r="W7143" s="122">
        <v>80177</v>
      </c>
      <c r="X7143" s="221"/>
      <c r="Y7143" s="221"/>
      <c r="Z7143" s="221"/>
      <c r="AA7143" s="221"/>
      <c r="AB7143" s="223"/>
    </row>
    <row r="7144" spans="1:28" ht="17.100000000000001" customHeight="1" thickTop="1">
      <c r="A7144" s="226" t="s">
        <v>19840</v>
      </c>
      <c r="B7144" s="28">
        <v>46097</v>
      </c>
      <c r="C7144" s="25"/>
      <c r="D7144" s="13" t="s">
        <v>2267</v>
      </c>
      <c r="E7144" s="228"/>
      <c r="F7144" s="109" t="s">
        <v>1916</v>
      </c>
      <c r="G7144" s="24" t="s">
        <v>2530</v>
      </c>
      <c r="H7144" s="230">
        <v>4</v>
      </c>
      <c r="I7144" s="220">
        <v>801000</v>
      </c>
      <c r="J7144" s="220">
        <f>I7144*0.1</f>
        <v>80100</v>
      </c>
      <c r="K7144" s="220">
        <v>34500</v>
      </c>
      <c r="L7144" s="220">
        <v>17600</v>
      </c>
      <c r="M7144" s="220">
        <v>14850</v>
      </c>
      <c r="N7144" s="220">
        <f>SUM(I7144:M7145)</f>
        <v>948050</v>
      </c>
      <c r="O7144" s="224"/>
      <c r="P7144" s="110" t="s">
        <v>19842</v>
      </c>
      <c r="Q7144" s="15" t="s">
        <v>19</v>
      </c>
      <c r="R7144" s="205"/>
      <c r="S7144" s="189"/>
      <c r="T7144" s="114"/>
      <c r="U7144" s="21" t="s">
        <v>21676</v>
      </c>
      <c r="V7144" s="115">
        <v>46123</v>
      </c>
      <c r="W7144" s="116">
        <v>1296</v>
      </c>
      <c r="X7144" s="220">
        <v>865000</v>
      </c>
      <c r="Y7144" s="220">
        <f>X7144*0.1</f>
        <v>86500</v>
      </c>
      <c r="Z7144" s="220">
        <v>17600</v>
      </c>
      <c r="AA7144" s="220">
        <f>SUM(X7144:Z7144)</f>
        <v>969100</v>
      </c>
      <c r="AB7144" s="222">
        <v>46126</v>
      </c>
    </row>
    <row r="7145" spans="1:28" ht="17.100000000000001" customHeight="1" thickBot="1">
      <c r="A7145" s="227"/>
      <c r="B7145" s="27" t="s">
        <v>2727</v>
      </c>
      <c r="C7145" s="27">
        <v>80519</v>
      </c>
      <c r="D7145" s="14" t="s">
        <v>131</v>
      </c>
      <c r="E7145" s="229"/>
      <c r="F7145" s="117" t="s">
        <v>20433</v>
      </c>
      <c r="G7145" s="26">
        <v>79415</v>
      </c>
      <c r="H7145" s="231"/>
      <c r="I7145" s="221"/>
      <c r="J7145" s="221"/>
      <c r="K7145" s="221"/>
      <c r="L7145" s="221"/>
      <c r="M7145" s="221"/>
      <c r="N7145" s="221"/>
      <c r="O7145" s="225"/>
      <c r="P7145" s="118" t="s">
        <v>20434</v>
      </c>
      <c r="Q7145" s="16" t="s">
        <v>20</v>
      </c>
      <c r="R7145" s="17" t="s">
        <v>20432</v>
      </c>
      <c r="S7145" s="121" t="s">
        <v>20435</v>
      </c>
      <c r="T7145" s="122"/>
      <c r="U7145" s="22"/>
      <c r="V7145" s="123" t="s">
        <v>2472</v>
      </c>
      <c r="W7145" s="122">
        <v>80267</v>
      </c>
      <c r="X7145" s="221"/>
      <c r="Y7145" s="221"/>
      <c r="Z7145" s="221"/>
      <c r="AA7145" s="221"/>
      <c r="AB7145" s="223"/>
    </row>
    <row r="7146" spans="1:28" ht="17.100000000000001" customHeight="1" thickTop="1">
      <c r="A7146" s="226" t="s">
        <v>19866</v>
      </c>
      <c r="B7146" s="28">
        <v>46097</v>
      </c>
      <c r="C7146" s="25"/>
      <c r="D7146" s="13" t="s">
        <v>1853</v>
      </c>
      <c r="E7146" s="228"/>
      <c r="F7146" s="109" t="s">
        <v>5345</v>
      </c>
      <c r="G7146" s="24" t="s">
        <v>19848</v>
      </c>
      <c r="H7146" s="230">
        <v>4.5</v>
      </c>
      <c r="I7146" s="220">
        <f>671000/1.1</f>
        <v>610000</v>
      </c>
      <c r="J7146" s="220">
        <f>I7146*0.1</f>
        <v>61000</v>
      </c>
      <c r="K7146" s="220">
        <v>0</v>
      </c>
      <c r="L7146" s="220">
        <v>8400</v>
      </c>
      <c r="M7146" s="220">
        <v>0</v>
      </c>
      <c r="N7146" s="220">
        <f>SUM(I7146:M7147)</f>
        <v>679400</v>
      </c>
      <c r="O7146" s="224"/>
      <c r="P7146" s="110" t="s">
        <v>20796</v>
      </c>
      <c r="Q7146" s="15" t="s">
        <v>19</v>
      </c>
      <c r="R7146" s="205"/>
      <c r="S7146" s="189" t="s">
        <v>1271</v>
      </c>
      <c r="T7146" s="114"/>
      <c r="U7146" s="21"/>
      <c r="V7146" s="115">
        <v>46116</v>
      </c>
      <c r="W7146" s="116">
        <v>1295</v>
      </c>
      <c r="X7146" s="220">
        <v>930000</v>
      </c>
      <c r="Y7146" s="220">
        <f>X7146*0.1</f>
        <v>93000</v>
      </c>
      <c r="Z7146" s="220">
        <v>8400</v>
      </c>
      <c r="AA7146" s="220">
        <f>SUM(X7146:Z7146)</f>
        <v>1031400</v>
      </c>
      <c r="AB7146" s="222">
        <v>46119</v>
      </c>
    </row>
    <row r="7147" spans="1:28" ht="17.100000000000001" customHeight="1" thickBot="1">
      <c r="A7147" s="227"/>
      <c r="B7147" s="27" t="s">
        <v>1708</v>
      </c>
      <c r="C7147" s="27" t="s">
        <v>19844</v>
      </c>
      <c r="D7147" s="14" t="s">
        <v>2559</v>
      </c>
      <c r="E7147" s="229"/>
      <c r="F7147" s="117" t="s">
        <v>19845</v>
      </c>
      <c r="G7147" s="26">
        <v>57880</v>
      </c>
      <c r="H7147" s="231"/>
      <c r="I7147" s="221"/>
      <c r="J7147" s="221"/>
      <c r="K7147" s="221"/>
      <c r="L7147" s="221"/>
      <c r="M7147" s="221"/>
      <c r="N7147" s="221"/>
      <c r="O7147" s="225"/>
      <c r="P7147" s="118" t="s">
        <v>20797</v>
      </c>
      <c r="Q7147" s="16" t="s">
        <v>20</v>
      </c>
      <c r="R7147" s="17" t="s">
        <v>20791</v>
      </c>
      <c r="S7147" s="121" t="s">
        <v>16620</v>
      </c>
      <c r="T7147" s="122"/>
      <c r="U7147" s="22"/>
      <c r="V7147" s="123" t="s">
        <v>2472</v>
      </c>
      <c r="W7147" s="122">
        <v>65063</v>
      </c>
      <c r="X7147" s="221"/>
      <c r="Y7147" s="221"/>
      <c r="Z7147" s="221"/>
      <c r="AA7147" s="221"/>
      <c r="AB7147" s="223"/>
    </row>
    <row r="7148" spans="1:28" ht="17.100000000000001" customHeight="1" thickTop="1">
      <c r="A7148" s="233" t="s">
        <v>19867</v>
      </c>
      <c r="B7148" s="28">
        <v>46097</v>
      </c>
      <c r="C7148" s="25"/>
      <c r="D7148" s="13" t="s">
        <v>1935</v>
      </c>
      <c r="E7148" s="228"/>
      <c r="F7148" s="109" t="s">
        <v>19849</v>
      </c>
      <c r="G7148" s="24" t="s">
        <v>4139</v>
      </c>
      <c r="H7148" s="230">
        <v>4.5</v>
      </c>
      <c r="I7148" s="220">
        <f>731500/1.1</f>
        <v>665000</v>
      </c>
      <c r="J7148" s="220">
        <f>I7148*0.1</f>
        <v>66500</v>
      </c>
      <c r="K7148" s="220">
        <v>0</v>
      </c>
      <c r="L7148" s="220">
        <v>8430</v>
      </c>
      <c r="M7148" s="220">
        <v>0</v>
      </c>
      <c r="N7148" s="220">
        <f>SUM(I7148:M7149)</f>
        <v>739930</v>
      </c>
      <c r="O7148" s="224"/>
      <c r="P7148" s="110" t="s">
        <v>20662</v>
      </c>
      <c r="Q7148" s="15" t="s">
        <v>19</v>
      </c>
      <c r="R7148" s="205"/>
      <c r="S7148" s="189" t="s">
        <v>1072</v>
      </c>
      <c r="T7148" s="114" t="s">
        <v>21281</v>
      </c>
      <c r="U7148" s="21"/>
      <c r="V7148" s="115"/>
      <c r="W7148" s="116"/>
      <c r="X7148" s="220"/>
      <c r="Y7148" s="220">
        <f>X7148*0.1</f>
        <v>0</v>
      </c>
      <c r="Z7148" s="220"/>
      <c r="AA7148" s="220">
        <f>SUM(X7148:Z7148)</f>
        <v>0</v>
      </c>
      <c r="AB7148" s="222"/>
    </row>
    <row r="7149" spans="1:28" ht="17.100000000000001" customHeight="1" thickBot="1">
      <c r="A7149" s="234"/>
      <c r="B7149" s="27" t="s">
        <v>1708</v>
      </c>
      <c r="C7149" s="27" t="s">
        <v>19846</v>
      </c>
      <c r="D7149" s="14" t="s">
        <v>7144</v>
      </c>
      <c r="E7149" s="229"/>
      <c r="F7149" s="117" t="s">
        <v>19847</v>
      </c>
      <c r="G7149" s="26">
        <v>56910</v>
      </c>
      <c r="H7149" s="231"/>
      <c r="I7149" s="221"/>
      <c r="J7149" s="221"/>
      <c r="K7149" s="221"/>
      <c r="L7149" s="221"/>
      <c r="M7149" s="221"/>
      <c r="N7149" s="221"/>
      <c r="O7149" s="225"/>
      <c r="P7149" s="118" t="s">
        <v>20663</v>
      </c>
      <c r="Q7149" s="16" t="s">
        <v>20</v>
      </c>
      <c r="R7149" s="17" t="s">
        <v>2353</v>
      </c>
      <c r="S7149" s="121" t="s">
        <v>1731</v>
      </c>
      <c r="T7149" s="122"/>
      <c r="U7149" s="22"/>
      <c r="V7149" s="123"/>
      <c r="W7149" s="122"/>
      <c r="X7149" s="221"/>
      <c r="Y7149" s="221"/>
      <c r="Z7149" s="221"/>
      <c r="AA7149" s="221"/>
      <c r="AB7149" s="223"/>
    </row>
    <row r="7150" spans="1:28" ht="17.100000000000001" customHeight="1" thickTop="1">
      <c r="A7150" s="226" t="s">
        <v>19879</v>
      </c>
      <c r="B7150" s="28">
        <v>46098</v>
      </c>
      <c r="C7150" s="25">
        <v>1085</v>
      </c>
      <c r="D7150" s="13" t="s">
        <v>812</v>
      </c>
      <c r="E7150" s="228"/>
      <c r="F7150" s="109" t="s">
        <v>19894</v>
      </c>
      <c r="G7150" s="24" t="s">
        <v>19896</v>
      </c>
      <c r="H7150" s="230">
        <v>4.5</v>
      </c>
      <c r="I7150" s="220">
        <v>1300000</v>
      </c>
      <c r="J7150" s="220">
        <f>I7150*0.1</f>
        <v>130000</v>
      </c>
      <c r="K7150" s="220">
        <v>30500</v>
      </c>
      <c r="L7150" s="220">
        <v>19090</v>
      </c>
      <c r="M7150" s="220">
        <v>27500</v>
      </c>
      <c r="N7150" s="220">
        <f>SUM(I7150:M7151)</f>
        <v>1507090</v>
      </c>
      <c r="O7150" s="224"/>
      <c r="P7150" s="110" t="s">
        <v>19897</v>
      </c>
      <c r="Q7150" s="15" t="s">
        <v>19</v>
      </c>
      <c r="R7150" s="205"/>
      <c r="S7150" s="189" t="s">
        <v>25429</v>
      </c>
      <c r="T7150" s="114"/>
      <c r="U7150" s="21" t="s">
        <v>21677</v>
      </c>
      <c r="V7150" s="115">
        <v>46137</v>
      </c>
      <c r="W7150" s="116">
        <v>1298</v>
      </c>
      <c r="X7150" s="220">
        <v>1395000</v>
      </c>
      <c r="Y7150" s="220">
        <f>X7150*0.1</f>
        <v>139500</v>
      </c>
      <c r="Z7150" s="220">
        <v>19090</v>
      </c>
      <c r="AA7150" s="220">
        <f>SUM(X7150:Z7150)</f>
        <v>1553590</v>
      </c>
      <c r="AB7150" s="222">
        <v>46140</v>
      </c>
    </row>
    <row r="7151" spans="1:28" ht="17.100000000000001" customHeight="1" thickBot="1">
      <c r="A7151" s="227"/>
      <c r="B7151" s="27" t="s">
        <v>1583</v>
      </c>
      <c r="C7151" s="27">
        <v>84052</v>
      </c>
      <c r="D7151" s="14" t="s">
        <v>1584</v>
      </c>
      <c r="E7151" s="229"/>
      <c r="F7151" s="117" t="s">
        <v>19895</v>
      </c>
      <c r="G7151" s="26">
        <v>35875</v>
      </c>
      <c r="H7151" s="231"/>
      <c r="I7151" s="221"/>
      <c r="J7151" s="221"/>
      <c r="K7151" s="221"/>
      <c r="L7151" s="221"/>
      <c r="M7151" s="221"/>
      <c r="N7151" s="221"/>
      <c r="O7151" s="225"/>
      <c r="P7151" s="118" t="s">
        <v>20103</v>
      </c>
      <c r="Q7151" s="16" t="s">
        <v>20</v>
      </c>
      <c r="R7151" s="17" t="s">
        <v>2347</v>
      </c>
      <c r="S7151" s="121" t="s">
        <v>20104</v>
      </c>
      <c r="T7151" s="122"/>
      <c r="U7151" s="22"/>
      <c r="V7151" s="123" t="s">
        <v>2472</v>
      </c>
      <c r="W7151" s="122">
        <v>80245</v>
      </c>
      <c r="X7151" s="221"/>
      <c r="Y7151" s="221"/>
      <c r="Z7151" s="221"/>
      <c r="AA7151" s="221"/>
      <c r="AB7151" s="223"/>
    </row>
    <row r="7152" spans="1:28" ht="17.100000000000001" customHeight="1" thickTop="1">
      <c r="A7152" s="226" t="s">
        <v>19880</v>
      </c>
      <c r="B7152" s="28">
        <v>46098</v>
      </c>
      <c r="C7152" s="25">
        <v>1085</v>
      </c>
      <c r="D7152" s="13" t="s">
        <v>1961</v>
      </c>
      <c r="E7152" s="228"/>
      <c r="F7152" s="109" t="s">
        <v>419</v>
      </c>
      <c r="G7152" s="24"/>
      <c r="H7152" s="230">
        <v>4.5</v>
      </c>
      <c r="I7152" s="220">
        <v>1630000</v>
      </c>
      <c r="J7152" s="220">
        <f>I7152*0.1</f>
        <v>163000</v>
      </c>
      <c r="K7152" s="220">
        <v>0</v>
      </c>
      <c r="L7152" s="220">
        <v>17600</v>
      </c>
      <c r="M7152" s="220">
        <v>27500</v>
      </c>
      <c r="N7152" s="220">
        <f>SUM(I7152:M7153)</f>
        <v>1838100</v>
      </c>
      <c r="O7152" s="224"/>
      <c r="P7152" s="110" t="s">
        <v>20108</v>
      </c>
      <c r="Q7152" s="15" t="s">
        <v>19</v>
      </c>
      <c r="R7152" s="205"/>
      <c r="S7152" s="189" t="s">
        <v>25858</v>
      </c>
      <c r="T7152" s="114"/>
      <c r="U7152" s="21"/>
      <c r="V7152" s="115">
        <v>46109</v>
      </c>
      <c r="W7152" s="116">
        <v>1294</v>
      </c>
      <c r="X7152" s="220">
        <v>1780000</v>
      </c>
      <c r="Y7152" s="220">
        <f>X7152*0.1</f>
        <v>178000</v>
      </c>
      <c r="Z7152" s="220">
        <v>17600</v>
      </c>
      <c r="AA7152" s="220">
        <f>SUM(X7152:Z7152)</f>
        <v>1975600</v>
      </c>
      <c r="AB7152" s="222">
        <v>46112</v>
      </c>
    </row>
    <row r="7153" spans="1:28" ht="17.100000000000001" customHeight="1" thickBot="1">
      <c r="A7153" s="227"/>
      <c r="B7153" s="27" t="s">
        <v>1583</v>
      </c>
      <c r="C7153" s="27">
        <v>84368</v>
      </c>
      <c r="D7153" s="14" t="s">
        <v>1584</v>
      </c>
      <c r="E7153" s="229"/>
      <c r="F7153" s="117" t="s">
        <v>19898</v>
      </c>
      <c r="G7153" s="26">
        <v>46151</v>
      </c>
      <c r="H7153" s="231"/>
      <c r="I7153" s="221"/>
      <c r="J7153" s="221"/>
      <c r="K7153" s="221"/>
      <c r="L7153" s="221"/>
      <c r="M7153" s="221"/>
      <c r="N7153" s="221"/>
      <c r="O7153" s="225"/>
      <c r="P7153" s="118" t="s">
        <v>20109</v>
      </c>
      <c r="Q7153" s="16" t="s">
        <v>20</v>
      </c>
      <c r="R7153" s="17" t="s">
        <v>2347</v>
      </c>
      <c r="S7153" s="121" t="s">
        <v>1731</v>
      </c>
      <c r="T7153" s="122"/>
      <c r="U7153" s="22"/>
      <c r="V7153" s="123" t="s">
        <v>21250</v>
      </c>
      <c r="W7153" s="122">
        <v>80029</v>
      </c>
      <c r="X7153" s="221"/>
      <c r="Y7153" s="221"/>
      <c r="Z7153" s="221"/>
      <c r="AA7153" s="221"/>
      <c r="AB7153" s="223"/>
    </row>
    <row r="7154" spans="1:28" ht="17.100000000000001" customHeight="1" thickTop="1">
      <c r="A7154" s="226" t="s">
        <v>19881</v>
      </c>
      <c r="B7154" s="28">
        <v>46098</v>
      </c>
      <c r="C7154" s="25">
        <v>982</v>
      </c>
      <c r="D7154" s="13" t="s">
        <v>2324</v>
      </c>
      <c r="E7154" s="228"/>
      <c r="F7154" s="109" t="s">
        <v>19899</v>
      </c>
      <c r="G7154" s="24"/>
      <c r="H7154" s="230">
        <v>3.5</v>
      </c>
      <c r="I7154" s="220">
        <v>326000</v>
      </c>
      <c r="J7154" s="220">
        <f>I7154*0.1</f>
        <v>32600</v>
      </c>
      <c r="K7154" s="220">
        <v>0</v>
      </c>
      <c r="L7154" s="220">
        <v>6960</v>
      </c>
      <c r="M7154" s="220">
        <v>22000</v>
      </c>
      <c r="N7154" s="220">
        <f>SUM(I7154:M7155)</f>
        <v>387560</v>
      </c>
      <c r="O7154" s="224"/>
      <c r="P7154" s="110" t="s">
        <v>20830</v>
      </c>
      <c r="Q7154" s="15" t="s">
        <v>19</v>
      </c>
      <c r="R7154" s="205"/>
      <c r="S7154" s="189" t="s">
        <v>25387</v>
      </c>
      <c r="T7154" s="114"/>
      <c r="U7154" s="21"/>
      <c r="V7154" s="115">
        <v>46112</v>
      </c>
      <c r="W7154" s="116">
        <v>1935</v>
      </c>
      <c r="X7154" s="220">
        <v>405000</v>
      </c>
      <c r="Y7154" s="220">
        <f>X7154*0.1</f>
        <v>40500</v>
      </c>
      <c r="Z7154" s="220">
        <v>6960</v>
      </c>
      <c r="AA7154" s="220">
        <f>SUM(X7154:Z7154)</f>
        <v>452460</v>
      </c>
      <c r="AB7154" s="222">
        <v>46118</v>
      </c>
    </row>
    <row r="7155" spans="1:28" ht="17.100000000000001" customHeight="1" thickBot="1">
      <c r="A7155" s="227"/>
      <c r="B7155" s="27" t="s">
        <v>17765</v>
      </c>
      <c r="C7155" s="27">
        <v>91</v>
      </c>
      <c r="D7155" s="14" t="s">
        <v>1584</v>
      </c>
      <c r="E7155" s="229"/>
      <c r="F7155" s="117" t="s">
        <v>19900</v>
      </c>
      <c r="G7155" s="26">
        <v>18198</v>
      </c>
      <c r="H7155" s="231"/>
      <c r="I7155" s="221"/>
      <c r="J7155" s="221"/>
      <c r="K7155" s="221"/>
      <c r="L7155" s="221"/>
      <c r="M7155" s="221"/>
      <c r="N7155" s="221"/>
      <c r="O7155" s="225"/>
      <c r="P7155" s="118" t="s">
        <v>20831</v>
      </c>
      <c r="Q7155" s="16" t="s">
        <v>20</v>
      </c>
      <c r="R7155" s="17" t="s">
        <v>20791</v>
      </c>
      <c r="S7155" s="121" t="s">
        <v>1661</v>
      </c>
      <c r="T7155" s="122"/>
      <c r="U7155" s="22"/>
      <c r="V7155" s="123" t="s">
        <v>2103</v>
      </c>
      <c r="W7155" s="122">
        <v>3391</v>
      </c>
      <c r="X7155" s="221"/>
      <c r="Y7155" s="221"/>
      <c r="Z7155" s="221"/>
      <c r="AA7155" s="221"/>
      <c r="AB7155" s="223"/>
    </row>
    <row r="7156" spans="1:28" ht="17.100000000000001" customHeight="1" thickTop="1">
      <c r="A7156" s="226" t="s">
        <v>19882</v>
      </c>
      <c r="B7156" s="28">
        <v>46098</v>
      </c>
      <c r="C7156" s="25">
        <v>982</v>
      </c>
      <c r="D7156" s="13" t="s">
        <v>2295</v>
      </c>
      <c r="E7156" s="228"/>
      <c r="F7156" s="109" t="s">
        <v>14962</v>
      </c>
      <c r="G7156" s="24"/>
      <c r="H7156" s="230">
        <v>4</v>
      </c>
      <c r="I7156" s="220">
        <v>926000</v>
      </c>
      <c r="J7156" s="220">
        <f>I7156*0.1</f>
        <v>92600</v>
      </c>
      <c r="K7156" s="220">
        <v>0</v>
      </c>
      <c r="L7156" s="220">
        <v>9310</v>
      </c>
      <c r="M7156" s="220">
        <v>22000</v>
      </c>
      <c r="N7156" s="220">
        <f>SUM(I7156:M7157)</f>
        <v>1049910</v>
      </c>
      <c r="O7156" s="224"/>
      <c r="P7156" s="110" t="s">
        <v>20810</v>
      </c>
      <c r="Q7156" s="15" t="s">
        <v>19</v>
      </c>
      <c r="R7156" s="205"/>
      <c r="S7156" s="189" t="s">
        <v>25801</v>
      </c>
      <c r="T7156" s="114"/>
      <c r="U7156" s="21"/>
      <c r="V7156" s="115">
        <v>46105</v>
      </c>
      <c r="W7156" s="116">
        <v>1934</v>
      </c>
      <c r="X7156" s="220">
        <v>1024000</v>
      </c>
      <c r="Y7156" s="220">
        <f>X7156*0.1</f>
        <v>102400</v>
      </c>
      <c r="Z7156" s="220">
        <v>9310</v>
      </c>
      <c r="AA7156" s="220">
        <f>SUM(X7156:Z7156)</f>
        <v>1135710</v>
      </c>
      <c r="AB7156" s="222"/>
    </row>
    <row r="7157" spans="1:28" ht="17.100000000000001" customHeight="1" thickBot="1">
      <c r="A7157" s="227"/>
      <c r="B7157" s="27" t="s">
        <v>17765</v>
      </c>
      <c r="C7157" s="27">
        <v>1029</v>
      </c>
      <c r="D7157" s="14" t="s">
        <v>2559</v>
      </c>
      <c r="E7157" s="229"/>
      <c r="F7157" s="117" t="s">
        <v>19901</v>
      </c>
      <c r="G7157" s="26">
        <v>54038</v>
      </c>
      <c r="H7157" s="231"/>
      <c r="I7157" s="221"/>
      <c r="J7157" s="221"/>
      <c r="K7157" s="221"/>
      <c r="L7157" s="221"/>
      <c r="M7157" s="221"/>
      <c r="N7157" s="221"/>
      <c r="O7157" s="225"/>
      <c r="P7157" s="118" t="s">
        <v>20811</v>
      </c>
      <c r="Q7157" s="16" t="s">
        <v>20</v>
      </c>
      <c r="R7157" s="17" t="s">
        <v>20791</v>
      </c>
      <c r="S7157" s="121" t="s">
        <v>9586</v>
      </c>
      <c r="T7157" s="122"/>
      <c r="U7157" s="22"/>
      <c r="V7157" s="123" t="s">
        <v>2103</v>
      </c>
      <c r="W7157" s="122">
        <v>3417</v>
      </c>
      <c r="X7157" s="221"/>
      <c r="Y7157" s="221"/>
      <c r="Z7157" s="221"/>
      <c r="AA7157" s="221"/>
      <c r="AB7157" s="223"/>
    </row>
    <row r="7158" spans="1:28" ht="17.100000000000001" customHeight="1" thickTop="1">
      <c r="A7158" s="226" t="s">
        <v>19883</v>
      </c>
      <c r="B7158" s="28">
        <v>46098</v>
      </c>
      <c r="C7158" s="25">
        <v>982</v>
      </c>
      <c r="D7158" s="13" t="s">
        <v>2610</v>
      </c>
      <c r="E7158" s="228"/>
      <c r="F7158" s="109" t="s">
        <v>7638</v>
      </c>
      <c r="G7158" s="24"/>
      <c r="H7158" s="230">
        <v>4</v>
      </c>
      <c r="I7158" s="220">
        <v>326000</v>
      </c>
      <c r="J7158" s="220">
        <f>I7158*0.1</f>
        <v>32600</v>
      </c>
      <c r="K7158" s="220">
        <v>0</v>
      </c>
      <c r="L7158" s="220">
        <v>7500</v>
      </c>
      <c r="M7158" s="220">
        <v>22000</v>
      </c>
      <c r="N7158" s="220">
        <f>SUM(I7158:M7159)</f>
        <v>388100</v>
      </c>
      <c r="O7158" s="224"/>
      <c r="P7158" s="110" t="s">
        <v>20828</v>
      </c>
      <c r="Q7158" s="15" t="s">
        <v>19</v>
      </c>
      <c r="R7158" s="205"/>
      <c r="S7158" s="189" t="s">
        <v>25387</v>
      </c>
      <c r="T7158" s="114"/>
      <c r="U7158" s="21"/>
      <c r="V7158" s="115">
        <v>46109</v>
      </c>
      <c r="W7158" s="116">
        <v>1294</v>
      </c>
      <c r="X7158" s="220">
        <v>440000</v>
      </c>
      <c r="Y7158" s="220">
        <f>X7158*0.1</f>
        <v>44000</v>
      </c>
      <c r="Z7158" s="220">
        <v>7500</v>
      </c>
      <c r="AA7158" s="220">
        <f>SUM(X7158:Z7158)</f>
        <v>491500</v>
      </c>
      <c r="AB7158" s="222">
        <v>46112</v>
      </c>
    </row>
    <row r="7159" spans="1:28" ht="17.100000000000001" customHeight="1" thickBot="1">
      <c r="A7159" s="227"/>
      <c r="B7159" s="27" t="s">
        <v>17765</v>
      </c>
      <c r="C7159" s="27">
        <v>1050</v>
      </c>
      <c r="D7159" s="14" t="s">
        <v>1584</v>
      </c>
      <c r="E7159" s="229"/>
      <c r="F7159" s="117" t="s">
        <v>19902</v>
      </c>
      <c r="G7159" s="26">
        <v>30459</v>
      </c>
      <c r="H7159" s="231"/>
      <c r="I7159" s="221"/>
      <c r="J7159" s="221"/>
      <c r="K7159" s="221"/>
      <c r="L7159" s="221"/>
      <c r="M7159" s="221"/>
      <c r="N7159" s="221"/>
      <c r="O7159" s="225"/>
      <c r="P7159" s="118" t="s">
        <v>20829</v>
      </c>
      <c r="Q7159" s="16" t="s">
        <v>20</v>
      </c>
      <c r="R7159" s="17" t="s">
        <v>20791</v>
      </c>
      <c r="S7159" s="121" t="s">
        <v>169</v>
      </c>
      <c r="T7159" s="122"/>
      <c r="U7159" s="22"/>
      <c r="V7159" s="123" t="s">
        <v>21250</v>
      </c>
      <c r="W7159" s="122">
        <v>62003</v>
      </c>
      <c r="X7159" s="221"/>
      <c r="Y7159" s="221"/>
      <c r="Z7159" s="221"/>
      <c r="AA7159" s="221"/>
      <c r="AB7159" s="223"/>
    </row>
    <row r="7160" spans="1:28" ht="17.100000000000001" customHeight="1" thickTop="1">
      <c r="A7160" s="226" t="s">
        <v>19884</v>
      </c>
      <c r="B7160" s="28">
        <v>46098</v>
      </c>
      <c r="C7160" s="25">
        <v>1933</v>
      </c>
      <c r="D7160" s="13" t="s">
        <v>19930</v>
      </c>
      <c r="E7160" s="228"/>
      <c r="F7160" s="109" t="s">
        <v>19911</v>
      </c>
      <c r="G7160" s="24" t="s">
        <v>1551</v>
      </c>
      <c r="H7160" s="230">
        <v>4</v>
      </c>
      <c r="I7160" s="220">
        <v>1059000</v>
      </c>
      <c r="J7160" s="220">
        <f>I7160*0.1</f>
        <v>105900</v>
      </c>
      <c r="K7160" s="220">
        <v>39500</v>
      </c>
      <c r="L7160" s="220">
        <v>12470</v>
      </c>
      <c r="M7160" s="220">
        <v>15950</v>
      </c>
      <c r="N7160" s="220">
        <f>SUM(I7160:M7161)</f>
        <v>1232820</v>
      </c>
      <c r="O7160" s="224"/>
      <c r="P7160" s="110" t="s">
        <v>19931</v>
      </c>
      <c r="Q7160" s="15" t="s">
        <v>19</v>
      </c>
      <c r="R7160" s="205"/>
      <c r="S7160" s="189" t="s">
        <v>25756</v>
      </c>
      <c r="T7160" s="114"/>
      <c r="U7160" s="21"/>
      <c r="V7160" s="115">
        <v>46113</v>
      </c>
      <c r="W7160" s="116">
        <v>1011</v>
      </c>
      <c r="X7160" s="220">
        <v>1150000</v>
      </c>
      <c r="Y7160" s="220">
        <f>X7160*0.1</f>
        <v>115000</v>
      </c>
      <c r="Z7160" s="220">
        <v>12470</v>
      </c>
      <c r="AA7160" s="220">
        <f>SUM(X7160:Z7160)</f>
        <v>1277470</v>
      </c>
      <c r="AB7160" s="222">
        <v>46118</v>
      </c>
    </row>
    <row r="7161" spans="1:28" ht="17.100000000000001" customHeight="1" thickBot="1">
      <c r="A7161" s="227"/>
      <c r="B7161" s="27" t="s">
        <v>2103</v>
      </c>
      <c r="C7161" s="27">
        <v>409</v>
      </c>
      <c r="D7161" s="14" t="s">
        <v>273</v>
      </c>
      <c r="E7161" s="229"/>
      <c r="F7161" s="117" t="s">
        <v>19912</v>
      </c>
      <c r="G7161" s="26">
        <v>110162</v>
      </c>
      <c r="H7161" s="231"/>
      <c r="I7161" s="221"/>
      <c r="J7161" s="221"/>
      <c r="K7161" s="221"/>
      <c r="L7161" s="221"/>
      <c r="M7161" s="221"/>
      <c r="N7161" s="221"/>
      <c r="O7161" s="225"/>
      <c r="P7161" s="118" t="s">
        <v>8111</v>
      </c>
      <c r="Q7161" s="16" t="s">
        <v>20</v>
      </c>
      <c r="R7161" s="17" t="s">
        <v>20516</v>
      </c>
      <c r="S7161" s="121" t="s">
        <v>20526</v>
      </c>
      <c r="T7161" s="122"/>
      <c r="U7161" s="22"/>
      <c r="V7161" s="123" t="s">
        <v>2747</v>
      </c>
      <c r="W7161" s="122">
        <v>5126</v>
      </c>
      <c r="X7161" s="221"/>
      <c r="Y7161" s="221"/>
      <c r="Z7161" s="221"/>
      <c r="AA7161" s="221"/>
      <c r="AB7161" s="223"/>
    </row>
    <row r="7162" spans="1:28" ht="17.100000000000001" customHeight="1" thickTop="1">
      <c r="A7162" s="226" t="s">
        <v>19885</v>
      </c>
      <c r="B7162" s="28">
        <v>46098</v>
      </c>
      <c r="C7162" s="25">
        <v>1933</v>
      </c>
      <c r="D7162" s="13" t="s">
        <v>2150</v>
      </c>
      <c r="E7162" s="228"/>
      <c r="F7162" s="109" t="s">
        <v>19756</v>
      </c>
      <c r="G7162" s="24"/>
      <c r="H7162" s="230">
        <v>4</v>
      </c>
      <c r="I7162" s="220">
        <v>1310000</v>
      </c>
      <c r="J7162" s="220">
        <f>I7162*0.1</f>
        <v>131000</v>
      </c>
      <c r="K7162" s="220">
        <v>0</v>
      </c>
      <c r="L7162" s="220">
        <v>12030</v>
      </c>
      <c r="M7162" s="220">
        <v>17050</v>
      </c>
      <c r="N7162" s="220">
        <f>SUM(I7162:M7163)</f>
        <v>1470080</v>
      </c>
      <c r="O7162" s="224"/>
      <c r="P7162" s="110" t="s">
        <v>20524</v>
      </c>
      <c r="Q7162" s="15" t="s">
        <v>19</v>
      </c>
      <c r="R7162" s="205"/>
      <c r="S7162" s="189"/>
      <c r="T7162" s="114"/>
      <c r="U7162" s="21"/>
      <c r="V7162" s="115">
        <v>46113</v>
      </c>
      <c r="W7162" s="116">
        <v>1011</v>
      </c>
      <c r="X7162" s="220">
        <v>1390000</v>
      </c>
      <c r="Y7162" s="220">
        <f>X7162*0.1</f>
        <v>139000</v>
      </c>
      <c r="Z7162" s="220">
        <v>12030</v>
      </c>
      <c r="AA7162" s="220">
        <f>SUM(X7162:Z7162)</f>
        <v>1541030</v>
      </c>
      <c r="AB7162" s="222">
        <v>46118</v>
      </c>
    </row>
    <row r="7163" spans="1:28" ht="17.100000000000001" customHeight="1" thickBot="1">
      <c r="A7163" s="227"/>
      <c r="B7163" s="27" t="s">
        <v>2103</v>
      </c>
      <c r="C7163" s="27">
        <v>2260</v>
      </c>
      <c r="D7163" s="14" t="s">
        <v>2559</v>
      </c>
      <c r="E7163" s="229"/>
      <c r="F7163" s="117" t="s">
        <v>19913</v>
      </c>
      <c r="G7163" s="26">
        <v>36442</v>
      </c>
      <c r="H7163" s="231"/>
      <c r="I7163" s="221"/>
      <c r="J7163" s="221"/>
      <c r="K7163" s="221"/>
      <c r="L7163" s="221"/>
      <c r="M7163" s="221"/>
      <c r="N7163" s="221"/>
      <c r="O7163" s="225"/>
      <c r="P7163" s="118" t="s">
        <v>20525</v>
      </c>
      <c r="Q7163" s="16" t="s">
        <v>20</v>
      </c>
      <c r="R7163" s="17" t="s">
        <v>20516</v>
      </c>
      <c r="S7163" s="121" t="s">
        <v>20444</v>
      </c>
      <c r="T7163" s="122"/>
      <c r="U7163" s="22"/>
      <c r="V7163" s="123" t="s">
        <v>2747</v>
      </c>
      <c r="W7163" s="122">
        <v>5120</v>
      </c>
      <c r="X7163" s="221"/>
      <c r="Y7163" s="221"/>
      <c r="Z7163" s="221"/>
      <c r="AA7163" s="221"/>
      <c r="AB7163" s="223"/>
    </row>
    <row r="7164" spans="1:28" ht="17.100000000000001" customHeight="1" thickTop="1" thickBot="1">
      <c r="A7164" s="226" t="s">
        <v>19886</v>
      </c>
      <c r="B7164" s="28">
        <v>46098</v>
      </c>
      <c r="C7164" s="25">
        <v>1933</v>
      </c>
      <c r="D7164" s="13" t="s">
        <v>1901</v>
      </c>
      <c r="E7164" s="228"/>
      <c r="F7164" s="109" t="s">
        <v>15511</v>
      </c>
      <c r="G7164" s="24" t="s">
        <v>2038</v>
      </c>
      <c r="H7164" s="230">
        <v>4.5</v>
      </c>
      <c r="I7164" s="220">
        <v>725000</v>
      </c>
      <c r="J7164" s="220">
        <f>I7164*0.1</f>
        <v>72500</v>
      </c>
      <c r="K7164" s="220">
        <v>10800</v>
      </c>
      <c r="L7164" s="220">
        <v>8430</v>
      </c>
      <c r="M7164" s="220">
        <v>15950</v>
      </c>
      <c r="N7164" s="220">
        <f>SUM(I7164:M7165)</f>
        <v>832680</v>
      </c>
      <c r="O7164" s="224"/>
      <c r="P7164" s="118" t="s">
        <v>19932</v>
      </c>
      <c r="Q7164" s="15" t="s">
        <v>19</v>
      </c>
      <c r="R7164" s="205"/>
      <c r="S7164" s="189" t="s">
        <v>25859</v>
      </c>
      <c r="T7164" s="114"/>
      <c r="U7164" s="21"/>
      <c r="V7164" s="115">
        <v>46109</v>
      </c>
      <c r="W7164" s="116">
        <v>1294</v>
      </c>
      <c r="X7164" s="220">
        <v>775000</v>
      </c>
      <c r="Y7164" s="220">
        <f>X7164*0.1</f>
        <v>77500</v>
      </c>
      <c r="Z7164" s="220">
        <v>8430</v>
      </c>
      <c r="AA7164" s="220">
        <f>SUM(X7164:Z7164)</f>
        <v>860930</v>
      </c>
      <c r="AB7164" s="222">
        <v>46114</v>
      </c>
    </row>
    <row r="7165" spans="1:28" ht="17.100000000000001" customHeight="1" thickBot="1">
      <c r="A7165" s="227"/>
      <c r="B7165" s="27" t="s">
        <v>2103</v>
      </c>
      <c r="C7165" s="27">
        <v>3049</v>
      </c>
      <c r="D7165" s="14" t="s">
        <v>2559</v>
      </c>
      <c r="E7165" s="229"/>
      <c r="F7165" s="117" t="s">
        <v>19914</v>
      </c>
      <c r="G7165" s="26">
        <v>33465</v>
      </c>
      <c r="H7165" s="231"/>
      <c r="I7165" s="221"/>
      <c r="J7165" s="221"/>
      <c r="K7165" s="221"/>
      <c r="L7165" s="221"/>
      <c r="M7165" s="221"/>
      <c r="N7165" s="221"/>
      <c r="O7165" s="225"/>
      <c r="P7165" s="118" t="s">
        <v>10976</v>
      </c>
      <c r="Q7165" s="16" t="s">
        <v>20</v>
      </c>
      <c r="R7165" s="17" t="s">
        <v>2347</v>
      </c>
      <c r="S7165" s="121" t="s">
        <v>20121</v>
      </c>
      <c r="T7165" s="122"/>
      <c r="U7165" s="22"/>
      <c r="V7165" s="123" t="s">
        <v>21250</v>
      </c>
      <c r="W7165" s="122">
        <v>60200</v>
      </c>
      <c r="X7165" s="221"/>
      <c r="Y7165" s="221"/>
      <c r="Z7165" s="221"/>
      <c r="AA7165" s="221"/>
      <c r="AB7165" s="223"/>
    </row>
    <row r="7166" spans="1:28" ht="17.100000000000001" customHeight="1" thickTop="1">
      <c r="A7166" s="226" t="s">
        <v>19887</v>
      </c>
      <c r="B7166" s="28">
        <v>46098</v>
      </c>
      <c r="C7166" s="25">
        <v>1933</v>
      </c>
      <c r="D7166" s="13" t="s">
        <v>3474</v>
      </c>
      <c r="E7166" s="228"/>
      <c r="F7166" s="109" t="s">
        <v>7495</v>
      </c>
      <c r="G7166" s="24" t="s">
        <v>2084</v>
      </c>
      <c r="H7166" s="230">
        <v>4</v>
      </c>
      <c r="I7166" s="220">
        <v>832000</v>
      </c>
      <c r="J7166" s="220">
        <f>I7166*0.1</f>
        <v>83200</v>
      </c>
      <c r="K7166" s="220">
        <v>10800</v>
      </c>
      <c r="L7166" s="220">
        <v>7950</v>
      </c>
      <c r="M7166" s="220">
        <v>20900</v>
      </c>
      <c r="N7166" s="220">
        <f>SUM(I7166:M7167)</f>
        <v>954850</v>
      </c>
      <c r="O7166" s="224"/>
      <c r="P7166" s="110" t="s">
        <v>19933</v>
      </c>
      <c r="Q7166" s="15" t="s">
        <v>19</v>
      </c>
      <c r="R7166" s="205"/>
      <c r="S7166" s="189"/>
      <c r="T7166" s="114"/>
      <c r="U7166" s="21" t="s">
        <v>21695</v>
      </c>
      <c r="V7166" s="115">
        <v>46116</v>
      </c>
      <c r="W7166" s="116">
        <v>1295</v>
      </c>
      <c r="X7166" s="220">
        <v>870000</v>
      </c>
      <c r="Y7166" s="220">
        <f>X7166*0.1</f>
        <v>87000</v>
      </c>
      <c r="Z7166" s="220">
        <v>7950</v>
      </c>
      <c r="AA7166" s="220">
        <f>SUM(X7166:Z7166)</f>
        <v>964950</v>
      </c>
      <c r="AB7166" s="222">
        <v>46121</v>
      </c>
    </row>
    <row r="7167" spans="1:28" ht="17.100000000000001" customHeight="1" thickBot="1">
      <c r="A7167" s="227"/>
      <c r="B7167" s="27" t="s">
        <v>2103</v>
      </c>
      <c r="C7167" s="27">
        <v>3372</v>
      </c>
      <c r="D7167" s="14" t="s">
        <v>2753</v>
      </c>
      <c r="E7167" s="229"/>
      <c r="F7167" s="117" t="s">
        <v>19915</v>
      </c>
      <c r="G7167" s="26">
        <v>48017</v>
      </c>
      <c r="H7167" s="231"/>
      <c r="I7167" s="221"/>
      <c r="J7167" s="221"/>
      <c r="K7167" s="221"/>
      <c r="L7167" s="221"/>
      <c r="M7167" s="221"/>
      <c r="N7167" s="221"/>
      <c r="O7167" s="225"/>
      <c r="P7167" s="118" t="s">
        <v>20666</v>
      </c>
      <c r="Q7167" s="16" t="s">
        <v>20</v>
      </c>
      <c r="R7167" s="17" t="s">
        <v>2353</v>
      </c>
      <c r="S7167" s="121" t="s">
        <v>20447</v>
      </c>
      <c r="T7167" s="122"/>
      <c r="U7167" s="22"/>
      <c r="V7167" s="123" t="s">
        <v>2472</v>
      </c>
      <c r="W7167" s="122">
        <v>60189</v>
      </c>
      <c r="X7167" s="221"/>
      <c r="Y7167" s="221"/>
      <c r="Z7167" s="221"/>
      <c r="AA7167" s="221"/>
      <c r="AB7167" s="223"/>
    </row>
    <row r="7168" spans="1:28" ht="17.100000000000001" customHeight="1" thickTop="1">
      <c r="A7168" s="226" t="s">
        <v>19888</v>
      </c>
      <c r="B7168" s="28">
        <v>46098</v>
      </c>
      <c r="C7168" s="25">
        <v>1933</v>
      </c>
      <c r="D7168" s="13" t="s">
        <v>2470</v>
      </c>
      <c r="E7168" s="228"/>
      <c r="F7168" s="109" t="s">
        <v>7657</v>
      </c>
      <c r="G7168" s="24" t="s">
        <v>1540</v>
      </c>
      <c r="H7168" s="230">
        <v>4.5</v>
      </c>
      <c r="I7168" s="220">
        <v>1056000</v>
      </c>
      <c r="J7168" s="220">
        <f>I7168*0.1</f>
        <v>105600</v>
      </c>
      <c r="K7168" s="220">
        <v>5000</v>
      </c>
      <c r="L7168" s="220">
        <v>8200</v>
      </c>
      <c r="M7168" s="220">
        <v>15950</v>
      </c>
      <c r="N7168" s="220">
        <f>SUM(I7168:M7169)</f>
        <v>1190750</v>
      </c>
      <c r="O7168" s="224"/>
      <c r="P7168" s="110" t="s">
        <v>19934</v>
      </c>
      <c r="Q7168" s="15" t="s">
        <v>19</v>
      </c>
      <c r="R7168" s="205"/>
      <c r="S7168" s="189"/>
      <c r="T7168" s="114"/>
      <c r="U7168" s="21"/>
      <c r="V7168" s="115">
        <v>46102</v>
      </c>
      <c r="W7168" s="116">
        <v>1293</v>
      </c>
      <c r="X7168" s="220">
        <v>1110000</v>
      </c>
      <c r="Y7168" s="220">
        <f>X7168*0.1</f>
        <v>111000</v>
      </c>
      <c r="Z7168" s="220">
        <v>8200</v>
      </c>
      <c r="AA7168" s="220">
        <f>SUM(X7168:Z7168)</f>
        <v>1229200</v>
      </c>
      <c r="AB7168" s="222">
        <v>46105</v>
      </c>
    </row>
    <row r="7169" spans="1:28" ht="17.100000000000001" customHeight="1" thickBot="1">
      <c r="A7169" s="227"/>
      <c r="B7169" s="27" t="s">
        <v>2103</v>
      </c>
      <c r="C7169" s="27">
        <v>3417</v>
      </c>
      <c r="D7169" s="14" t="s">
        <v>1797</v>
      </c>
      <c r="E7169" s="229"/>
      <c r="F7169" s="117" t="s">
        <v>19916</v>
      </c>
      <c r="G7169" s="26">
        <v>3943</v>
      </c>
      <c r="H7169" s="231"/>
      <c r="I7169" s="221"/>
      <c r="J7169" s="221"/>
      <c r="K7169" s="221"/>
      <c r="L7169" s="221"/>
      <c r="M7169" s="221"/>
      <c r="N7169" s="221"/>
      <c r="O7169" s="225"/>
      <c r="P7169" s="118" t="s">
        <v>20120</v>
      </c>
      <c r="Q7169" s="16" t="s">
        <v>20</v>
      </c>
      <c r="R7169" s="17" t="s">
        <v>2347</v>
      </c>
      <c r="S7169" s="121" t="s">
        <v>169</v>
      </c>
      <c r="T7169" s="122"/>
      <c r="U7169" s="22"/>
      <c r="V7169" s="123" t="s">
        <v>2472</v>
      </c>
      <c r="W7169" s="122">
        <v>60339</v>
      </c>
      <c r="X7169" s="221"/>
      <c r="Y7169" s="221"/>
      <c r="Z7169" s="221"/>
      <c r="AA7169" s="221"/>
      <c r="AB7169" s="223"/>
    </row>
    <row r="7170" spans="1:28" ht="17.100000000000001" customHeight="1" thickTop="1">
      <c r="A7170" s="226" t="s">
        <v>19889</v>
      </c>
      <c r="B7170" s="28">
        <v>46098</v>
      </c>
      <c r="C7170" s="25">
        <v>1933</v>
      </c>
      <c r="D7170" s="13" t="s">
        <v>3769</v>
      </c>
      <c r="E7170" s="228"/>
      <c r="F7170" s="109" t="s">
        <v>15511</v>
      </c>
      <c r="G7170" s="24"/>
      <c r="H7170" s="230">
        <v>4</v>
      </c>
      <c r="I7170" s="220">
        <v>701000</v>
      </c>
      <c r="J7170" s="220">
        <f>I7170*0.1</f>
        <v>70100</v>
      </c>
      <c r="K7170" s="220">
        <v>0</v>
      </c>
      <c r="L7170" s="220">
        <v>8430</v>
      </c>
      <c r="M7170" s="220">
        <v>15950</v>
      </c>
      <c r="N7170" s="220">
        <f>SUM(I7170:M7171)</f>
        <v>795480</v>
      </c>
      <c r="O7170" s="224"/>
      <c r="P7170" s="110" t="s">
        <v>20122</v>
      </c>
      <c r="Q7170" s="15" t="s">
        <v>19</v>
      </c>
      <c r="R7170" s="205"/>
      <c r="S7170" s="189" t="s">
        <v>25859</v>
      </c>
      <c r="T7170" s="114"/>
      <c r="U7170" s="21"/>
      <c r="V7170" s="115">
        <v>46109</v>
      </c>
      <c r="W7170" s="116">
        <v>1294</v>
      </c>
      <c r="X7170" s="220">
        <v>795000</v>
      </c>
      <c r="Y7170" s="220">
        <f>X7170*0.1</f>
        <v>79500</v>
      </c>
      <c r="Z7170" s="220">
        <v>8430</v>
      </c>
      <c r="AA7170" s="220">
        <f>SUM(X7170:Z7170)</f>
        <v>882930</v>
      </c>
      <c r="AB7170" s="222">
        <v>46112</v>
      </c>
    </row>
    <row r="7171" spans="1:28" ht="17.100000000000001" customHeight="1" thickBot="1">
      <c r="A7171" s="227"/>
      <c r="B7171" s="27" t="s">
        <v>2103</v>
      </c>
      <c r="C7171" s="27">
        <v>3437</v>
      </c>
      <c r="D7171" s="14" t="s">
        <v>2559</v>
      </c>
      <c r="E7171" s="229"/>
      <c r="F7171" s="117" t="s">
        <v>19917</v>
      </c>
      <c r="G7171" s="26">
        <v>28256</v>
      </c>
      <c r="H7171" s="231"/>
      <c r="I7171" s="221"/>
      <c r="J7171" s="221"/>
      <c r="K7171" s="221"/>
      <c r="L7171" s="221"/>
      <c r="M7171" s="221"/>
      <c r="N7171" s="221"/>
      <c r="O7171" s="225"/>
      <c r="P7171" s="118" t="s">
        <v>10976</v>
      </c>
      <c r="Q7171" s="16" t="s">
        <v>20</v>
      </c>
      <c r="R7171" s="17" t="s">
        <v>2347</v>
      </c>
      <c r="S7171" s="121" t="s">
        <v>20123</v>
      </c>
      <c r="T7171" s="122"/>
      <c r="U7171" s="22"/>
      <c r="V7171" s="123" t="s">
        <v>21250</v>
      </c>
      <c r="W7171" s="122">
        <v>60202</v>
      </c>
      <c r="X7171" s="221"/>
      <c r="Y7171" s="221"/>
      <c r="Z7171" s="221"/>
      <c r="AA7171" s="221"/>
      <c r="AB7171" s="223"/>
    </row>
    <row r="7172" spans="1:28" ht="17.100000000000001" customHeight="1" thickTop="1">
      <c r="A7172" s="226" t="s">
        <v>19890</v>
      </c>
      <c r="B7172" s="28">
        <v>46098</v>
      </c>
      <c r="C7172" s="25">
        <v>1933</v>
      </c>
      <c r="D7172" s="13" t="s">
        <v>1772</v>
      </c>
      <c r="E7172" s="228"/>
      <c r="F7172" s="109" t="s">
        <v>19918</v>
      </c>
      <c r="G7172" s="24" t="s">
        <v>3867</v>
      </c>
      <c r="H7172" s="230">
        <v>4</v>
      </c>
      <c r="I7172" s="220">
        <v>622000</v>
      </c>
      <c r="J7172" s="220">
        <f>I7172*0.1</f>
        <v>62200</v>
      </c>
      <c r="K7172" s="220">
        <v>10800</v>
      </c>
      <c r="L7172" s="220">
        <v>8550</v>
      </c>
      <c r="M7172" s="220">
        <v>15950</v>
      </c>
      <c r="N7172" s="220">
        <f>SUM(I7172:M7173)</f>
        <v>719500</v>
      </c>
      <c r="O7172" s="224"/>
      <c r="P7172" s="110" t="s">
        <v>20119</v>
      </c>
      <c r="Q7172" s="15" t="s">
        <v>19</v>
      </c>
      <c r="R7172" s="205"/>
      <c r="S7172" s="189" t="s">
        <v>25860</v>
      </c>
      <c r="T7172" s="114" t="s">
        <v>24909</v>
      </c>
      <c r="U7172" s="21" t="s">
        <v>23154</v>
      </c>
      <c r="V7172" s="115">
        <v>46144</v>
      </c>
      <c r="W7172" s="116">
        <v>1299</v>
      </c>
      <c r="X7172" s="220">
        <v>675000</v>
      </c>
      <c r="Y7172" s="220">
        <f>X7172*0.1</f>
        <v>67500</v>
      </c>
      <c r="Z7172" s="220">
        <v>8550</v>
      </c>
      <c r="AA7172" s="220">
        <f>SUM(X7172:Z7172)</f>
        <v>751050</v>
      </c>
      <c r="AB7172" s="222">
        <v>46154</v>
      </c>
    </row>
    <row r="7173" spans="1:28" ht="16.5" customHeight="1" thickBot="1">
      <c r="A7173" s="227"/>
      <c r="B7173" s="27" t="s">
        <v>2103</v>
      </c>
      <c r="C7173" s="27">
        <v>3479</v>
      </c>
      <c r="D7173" s="14" t="s">
        <v>2291</v>
      </c>
      <c r="E7173" s="229"/>
      <c r="F7173" s="117" t="s">
        <v>19919</v>
      </c>
      <c r="G7173" s="26">
        <v>40136</v>
      </c>
      <c r="H7173" s="231"/>
      <c r="I7173" s="221"/>
      <c r="J7173" s="221"/>
      <c r="K7173" s="221"/>
      <c r="L7173" s="221"/>
      <c r="M7173" s="221"/>
      <c r="N7173" s="221"/>
      <c r="O7173" s="225"/>
      <c r="P7173" s="118" t="s">
        <v>8237</v>
      </c>
      <c r="Q7173" s="16" t="s">
        <v>20</v>
      </c>
      <c r="R7173" s="17" t="s">
        <v>2347</v>
      </c>
      <c r="S7173" s="121" t="s">
        <v>24579</v>
      </c>
      <c r="T7173" s="122"/>
      <c r="U7173" s="22"/>
      <c r="V7173" s="123" t="s">
        <v>24346</v>
      </c>
      <c r="W7173" s="122">
        <v>60127</v>
      </c>
      <c r="X7173" s="221"/>
      <c r="Y7173" s="221"/>
      <c r="Z7173" s="221"/>
      <c r="AA7173" s="221"/>
      <c r="AB7173" s="223"/>
    </row>
    <row r="7174" spans="1:28" ht="17.100000000000001" customHeight="1" thickTop="1">
      <c r="A7174" s="226" t="s">
        <v>19891</v>
      </c>
      <c r="B7174" s="28">
        <v>46098</v>
      </c>
      <c r="C7174" s="25">
        <v>1933</v>
      </c>
      <c r="D7174" s="13" t="s">
        <v>1685</v>
      </c>
      <c r="E7174" s="228"/>
      <c r="F7174" s="109" t="s">
        <v>17156</v>
      </c>
      <c r="G7174" s="24"/>
      <c r="H7174" s="230">
        <v>4</v>
      </c>
      <c r="I7174" s="220">
        <v>425000</v>
      </c>
      <c r="J7174" s="220">
        <f>I7174*0.1</f>
        <v>42500</v>
      </c>
      <c r="K7174" s="220">
        <v>0</v>
      </c>
      <c r="L7174" s="220">
        <v>17940</v>
      </c>
      <c r="M7174" s="220">
        <v>15950</v>
      </c>
      <c r="N7174" s="220">
        <f>SUM(I7174:M7175)</f>
        <v>501390</v>
      </c>
      <c r="O7174" s="224"/>
      <c r="P7174" s="110" t="s">
        <v>20110</v>
      </c>
      <c r="Q7174" s="15" t="s">
        <v>19</v>
      </c>
      <c r="R7174" s="205"/>
      <c r="S7174" s="189"/>
      <c r="T7174" s="114"/>
      <c r="U7174" s="21"/>
      <c r="V7174" s="115">
        <v>46102</v>
      </c>
      <c r="W7174" s="116">
        <v>1293</v>
      </c>
      <c r="X7174" s="220">
        <v>550000</v>
      </c>
      <c r="Y7174" s="220">
        <f>X7174*0.1</f>
        <v>55000</v>
      </c>
      <c r="Z7174" s="220">
        <v>17940</v>
      </c>
      <c r="AA7174" s="220">
        <f>SUM(X7174:Z7174)</f>
        <v>622940</v>
      </c>
      <c r="AB7174" s="222">
        <v>46105</v>
      </c>
    </row>
    <row r="7175" spans="1:28" ht="17.100000000000001" customHeight="1" thickBot="1">
      <c r="A7175" s="227"/>
      <c r="B7175" s="27" t="s">
        <v>2103</v>
      </c>
      <c r="C7175" s="27">
        <v>5003</v>
      </c>
      <c r="D7175" s="14" t="s">
        <v>1584</v>
      </c>
      <c r="E7175" s="229"/>
      <c r="F7175" s="117" t="s">
        <v>19935</v>
      </c>
      <c r="G7175" s="26">
        <v>58809</v>
      </c>
      <c r="H7175" s="231"/>
      <c r="I7175" s="221"/>
      <c r="J7175" s="221"/>
      <c r="K7175" s="221"/>
      <c r="L7175" s="221"/>
      <c r="M7175" s="221"/>
      <c r="N7175" s="221"/>
      <c r="O7175" s="225"/>
      <c r="P7175" s="118" t="s">
        <v>16412</v>
      </c>
      <c r="Q7175" s="16" t="s">
        <v>20</v>
      </c>
      <c r="R7175" s="17" t="s">
        <v>2347</v>
      </c>
      <c r="S7175" s="121" t="s">
        <v>1731</v>
      </c>
      <c r="T7175" s="122"/>
      <c r="U7175" s="22"/>
      <c r="V7175" s="123" t="s">
        <v>2472</v>
      </c>
      <c r="W7175" s="122">
        <v>80292</v>
      </c>
      <c r="X7175" s="221"/>
      <c r="Y7175" s="221"/>
      <c r="Z7175" s="221"/>
      <c r="AA7175" s="221"/>
      <c r="AB7175" s="223"/>
    </row>
    <row r="7176" spans="1:28" ht="16.5" customHeight="1" thickTop="1">
      <c r="A7176" s="226" t="s">
        <v>19892</v>
      </c>
      <c r="B7176" s="28">
        <v>46098</v>
      </c>
      <c r="C7176" s="25">
        <v>1933</v>
      </c>
      <c r="D7176" s="13" t="s">
        <v>1839</v>
      </c>
      <c r="E7176" s="228"/>
      <c r="F7176" s="109" t="s">
        <v>15647</v>
      </c>
      <c r="G7176" s="24"/>
      <c r="H7176" s="230">
        <v>3.5</v>
      </c>
      <c r="I7176" s="220">
        <v>313000</v>
      </c>
      <c r="J7176" s="220">
        <f>I7176*0.1</f>
        <v>31300</v>
      </c>
      <c r="K7176" s="220">
        <v>0</v>
      </c>
      <c r="L7176" s="220">
        <v>8780</v>
      </c>
      <c r="M7176" s="220">
        <v>15950</v>
      </c>
      <c r="N7176" s="220">
        <f>SUM(I7176:M7177)</f>
        <v>369030</v>
      </c>
      <c r="O7176" s="224"/>
      <c r="P7176" s="110" t="s">
        <v>20527</v>
      </c>
      <c r="Q7176" s="15" t="s">
        <v>19</v>
      </c>
      <c r="R7176" s="205"/>
      <c r="S7176" s="189" t="s">
        <v>758</v>
      </c>
      <c r="T7176" s="114"/>
      <c r="U7176" s="21"/>
      <c r="V7176" s="115">
        <v>46116</v>
      </c>
      <c r="W7176" s="116">
        <v>1295</v>
      </c>
      <c r="X7176" s="220">
        <v>370000</v>
      </c>
      <c r="Y7176" s="220">
        <f>X7176*0.1</f>
        <v>37000</v>
      </c>
      <c r="Z7176" s="220">
        <v>8780</v>
      </c>
      <c r="AA7176" s="220">
        <f>SUM(X7176:Z7176)</f>
        <v>415780</v>
      </c>
      <c r="AB7176" s="222">
        <v>46119</v>
      </c>
    </row>
    <row r="7177" spans="1:28" ht="17.100000000000001" customHeight="1" thickBot="1">
      <c r="A7177" s="227"/>
      <c r="B7177" s="27" t="s">
        <v>2103</v>
      </c>
      <c r="C7177" s="27">
        <v>5431</v>
      </c>
      <c r="D7177" s="14" t="s">
        <v>131</v>
      </c>
      <c r="E7177" s="229"/>
      <c r="F7177" s="117" t="s">
        <v>19920</v>
      </c>
      <c r="G7177" s="26">
        <v>58485</v>
      </c>
      <c r="H7177" s="231"/>
      <c r="I7177" s="221"/>
      <c r="J7177" s="221"/>
      <c r="K7177" s="221"/>
      <c r="L7177" s="221"/>
      <c r="M7177" s="221"/>
      <c r="N7177" s="221"/>
      <c r="O7177" s="225"/>
      <c r="P7177" s="118" t="s">
        <v>20528</v>
      </c>
      <c r="Q7177" s="16" t="s">
        <v>20</v>
      </c>
      <c r="R7177" s="17" t="s">
        <v>20516</v>
      </c>
      <c r="S7177" s="121" t="s">
        <v>13887</v>
      </c>
      <c r="T7177" s="122"/>
      <c r="U7177" s="22"/>
      <c r="V7177" s="123" t="s">
        <v>2472</v>
      </c>
      <c r="W7177" s="122">
        <v>60193</v>
      </c>
      <c r="X7177" s="221"/>
      <c r="Y7177" s="221"/>
      <c r="Z7177" s="221"/>
      <c r="AA7177" s="221"/>
      <c r="AB7177" s="223"/>
    </row>
    <row r="7178" spans="1:28" ht="17.100000000000001" customHeight="1" thickTop="1">
      <c r="A7178" s="233" t="s">
        <v>19893</v>
      </c>
      <c r="B7178" s="28">
        <v>46098</v>
      </c>
      <c r="C7178" s="25">
        <v>931</v>
      </c>
      <c r="D7178" s="13" t="s">
        <v>1578</v>
      </c>
      <c r="E7178" s="228"/>
      <c r="F7178" s="109" t="s">
        <v>15619</v>
      </c>
      <c r="G7178" s="24"/>
      <c r="H7178" s="230">
        <v>4</v>
      </c>
      <c r="I7178" s="220">
        <v>808000</v>
      </c>
      <c r="J7178" s="220">
        <f>I7178*0.1</f>
        <v>80800</v>
      </c>
      <c r="K7178" s="220">
        <v>0</v>
      </c>
      <c r="L7178" s="220">
        <v>9080</v>
      </c>
      <c r="M7178" s="220">
        <v>15950</v>
      </c>
      <c r="N7178" s="220">
        <f>SUM(I7178:M7179)</f>
        <v>913830</v>
      </c>
      <c r="O7178" s="224"/>
      <c r="P7178" s="110" t="s">
        <v>20116</v>
      </c>
      <c r="Q7178" s="15" t="s">
        <v>19</v>
      </c>
      <c r="R7178" s="205"/>
      <c r="S7178" s="189" t="s">
        <v>25861</v>
      </c>
      <c r="T7178" s="114" t="s">
        <v>21372</v>
      </c>
      <c r="U7178" s="21"/>
      <c r="V7178" s="115"/>
      <c r="W7178" s="116"/>
      <c r="X7178" s="220"/>
      <c r="Y7178" s="220">
        <f>X7178*0.1</f>
        <v>0</v>
      </c>
      <c r="Z7178" s="220"/>
      <c r="AA7178" s="220">
        <f>SUM(X7178:Z7178)</f>
        <v>0</v>
      </c>
      <c r="AB7178" s="222"/>
    </row>
    <row r="7179" spans="1:28" ht="17.100000000000001" customHeight="1" thickBot="1">
      <c r="A7179" s="234"/>
      <c r="B7179" s="27" t="s">
        <v>2654</v>
      </c>
      <c r="C7179" s="27">
        <v>3032</v>
      </c>
      <c r="D7179" s="14" t="s">
        <v>273</v>
      </c>
      <c r="E7179" s="229"/>
      <c r="F7179" s="117" t="s">
        <v>19921</v>
      </c>
      <c r="G7179" s="26">
        <v>70946</v>
      </c>
      <c r="H7179" s="231"/>
      <c r="I7179" s="221"/>
      <c r="J7179" s="221"/>
      <c r="K7179" s="221"/>
      <c r="L7179" s="221"/>
      <c r="M7179" s="221"/>
      <c r="N7179" s="221"/>
      <c r="O7179" s="225"/>
      <c r="P7179" s="118" t="s">
        <v>20117</v>
      </c>
      <c r="Q7179" s="16" t="s">
        <v>20</v>
      </c>
      <c r="R7179" s="17" t="s">
        <v>2347</v>
      </c>
      <c r="S7179" s="121" t="s">
        <v>10878</v>
      </c>
      <c r="T7179" s="122"/>
      <c r="U7179" s="22"/>
      <c r="V7179" s="123"/>
      <c r="W7179" s="122"/>
      <c r="X7179" s="221"/>
      <c r="Y7179" s="221"/>
      <c r="Z7179" s="221"/>
      <c r="AA7179" s="221"/>
      <c r="AB7179" s="223"/>
    </row>
    <row r="7180" spans="1:28" ht="17.100000000000001" customHeight="1" thickTop="1">
      <c r="A7180" s="226" t="s">
        <v>19903</v>
      </c>
      <c r="B7180" s="28">
        <v>46098</v>
      </c>
      <c r="C7180" s="25">
        <v>931</v>
      </c>
      <c r="D7180" s="13" t="s">
        <v>2637</v>
      </c>
      <c r="E7180" s="228"/>
      <c r="F7180" s="109" t="s">
        <v>19922</v>
      </c>
      <c r="G7180" s="24" t="s">
        <v>2038</v>
      </c>
      <c r="H7180" s="230">
        <v>4.5</v>
      </c>
      <c r="I7180" s="220">
        <v>1165000</v>
      </c>
      <c r="J7180" s="220">
        <f>I7180*0.1</f>
        <v>116500</v>
      </c>
      <c r="K7180" s="220">
        <v>10800</v>
      </c>
      <c r="L7180" s="220">
        <v>8740</v>
      </c>
      <c r="M7180" s="220">
        <v>15950</v>
      </c>
      <c r="N7180" s="220">
        <f>SUM(I7180:M7181)</f>
        <v>1316990</v>
      </c>
      <c r="O7180" s="224"/>
      <c r="P7180" s="110" t="s">
        <v>19936</v>
      </c>
      <c r="Q7180" s="15" t="s">
        <v>19</v>
      </c>
      <c r="R7180" s="205"/>
      <c r="S7180" s="189" t="s">
        <v>283</v>
      </c>
      <c r="T7180" s="114"/>
      <c r="U7180" s="21"/>
      <c r="V7180" s="115">
        <v>46116</v>
      </c>
      <c r="W7180" s="116">
        <v>1295</v>
      </c>
      <c r="X7180" s="220">
        <v>1215000</v>
      </c>
      <c r="Y7180" s="220">
        <f>X7180*0.1</f>
        <v>121500</v>
      </c>
      <c r="Z7180" s="220">
        <v>8470</v>
      </c>
      <c r="AA7180" s="220">
        <f>SUM(X7180:Z7180)</f>
        <v>1344970</v>
      </c>
      <c r="AB7180" s="222">
        <v>46119</v>
      </c>
    </row>
    <row r="7181" spans="1:28" ht="17.100000000000001" customHeight="1" thickBot="1">
      <c r="A7181" s="227"/>
      <c r="B7181" s="27" t="s">
        <v>2654</v>
      </c>
      <c r="C7181" s="27">
        <v>3050</v>
      </c>
      <c r="D7181" s="14" t="s">
        <v>2559</v>
      </c>
      <c r="E7181" s="229"/>
      <c r="F7181" s="117" t="s">
        <v>19923</v>
      </c>
      <c r="G7181" s="26">
        <v>50924</v>
      </c>
      <c r="H7181" s="231"/>
      <c r="I7181" s="221"/>
      <c r="J7181" s="221"/>
      <c r="K7181" s="221"/>
      <c r="L7181" s="221"/>
      <c r="M7181" s="221"/>
      <c r="N7181" s="221"/>
      <c r="O7181" s="225"/>
      <c r="P7181" s="118" t="s">
        <v>14059</v>
      </c>
      <c r="Q7181" s="16" t="s">
        <v>20</v>
      </c>
      <c r="R7181" s="17" t="s">
        <v>2347</v>
      </c>
      <c r="S7181" s="121" t="s">
        <v>169</v>
      </c>
      <c r="T7181" s="122"/>
      <c r="U7181" s="22"/>
      <c r="V7181" s="123" t="s">
        <v>2472</v>
      </c>
      <c r="W7181" s="122">
        <v>60269</v>
      </c>
      <c r="X7181" s="221"/>
      <c r="Y7181" s="221"/>
      <c r="Z7181" s="221"/>
      <c r="AA7181" s="221"/>
      <c r="AB7181" s="223"/>
    </row>
    <row r="7182" spans="1:28" ht="17.100000000000001" customHeight="1" thickTop="1">
      <c r="A7182" s="226" t="s">
        <v>19904</v>
      </c>
      <c r="B7182" s="28">
        <v>46098</v>
      </c>
      <c r="C7182" s="25">
        <v>931</v>
      </c>
      <c r="D7182" s="13" t="s">
        <v>1976</v>
      </c>
      <c r="E7182" s="228"/>
      <c r="F7182" s="109" t="s">
        <v>14960</v>
      </c>
      <c r="G7182" s="24" t="s">
        <v>4239</v>
      </c>
      <c r="H7182" s="230">
        <v>4</v>
      </c>
      <c r="I7182" s="220">
        <v>1087000</v>
      </c>
      <c r="J7182" s="220">
        <f>I7182*0.1</f>
        <v>108700</v>
      </c>
      <c r="K7182" s="220">
        <v>5000</v>
      </c>
      <c r="L7182" s="220">
        <v>6860</v>
      </c>
      <c r="M7182" s="220">
        <v>15950</v>
      </c>
      <c r="N7182" s="220">
        <f>SUM(I7182:M7183)</f>
        <v>1223510</v>
      </c>
      <c r="O7182" s="224"/>
      <c r="P7182" s="110" t="s">
        <v>19937</v>
      </c>
      <c r="Q7182" s="15" t="s">
        <v>19</v>
      </c>
      <c r="R7182" s="205"/>
      <c r="S7182" s="189" t="s">
        <v>25862</v>
      </c>
      <c r="T7182" s="114"/>
      <c r="U7182" s="21"/>
      <c r="V7182" s="115">
        <v>46109</v>
      </c>
      <c r="W7182" s="116">
        <v>1294</v>
      </c>
      <c r="X7182" s="220">
        <v>1165000</v>
      </c>
      <c r="Y7182" s="220">
        <f>X7182*0.1</f>
        <v>116500</v>
      </c>
      <c r="Z7182" s="220">
        <v>6860</v>
      </c>
      <c r="AA7182" s="220">
        <f>SUM(X7182:Z7182)</f>
        <v>1288360</v>
      </c>
      <c r="AB7182" s="222">
        <v>46112</v>
      </c>
    </row>
    <row r="7183" spans="1:28" ht="17.100000000000001" customHeight="1" thickBot="1">
      <c r="A7183" s="227"/>
      <c r="B7183" s="27" t="s">
        <v>2654</v>
      </c>
      <c r="C7183" s="27">
        <v>3055</v>
      </c>
      <c r="D7183" s="14" t="s">
        <v>898</v>
      </c>
      <c r="E7183" s="229"/>
      <c r="F7183" s="117" t="s">
        <v>19924</v>
      </c>
      <c r="G7183" s="26">
        <v>23273</v>
      </c>
      <c r="H7183" s="231"/>
      <c r="I7183" s="221"/>
      <c r="J7183" s="221"/>
      <c r="K7183" s="221"/>
      <c r="L7183" s="221"/>
      <c r="M7183" s="221"/>
      <c r="N7183" s="221"/>
      <c r="O7183" s="225"/>
      <c r="P7183" s="118" t="s">
        <v>4842</v>
      </c>
      <c r="Q7183" s="16" t="s">
        <v>20</v>
      </c>
      <c r="R7183" s="17" t="s">
        <v>2347</v>
      </c>
      <c r="S7183" s="121" t="s">
        <v>13370</v>
      </c>
      <c r="T7183" s="122"/>
      <c r="U7183" s="22"/>
      <c r="V7183" s="123" t="s">
        <v>21250</v>
      </c>
      <c r="W7183" s="122">
        <v>60216</v>
      </c>
      <c r="X7183" s="221"/>
      <c r="Y7183" s="221"/>
      <c r="Z7183" s="221"/>
      <c r="AA7183" s="221"/>
      <c r="AB7183" s="223"/>
    </row>
    <row r="7184" spans="1:28" ht="17.100000000000001" customHeight="1" thickTop="1">
      <c r="A7184" s="226" t="s">
        <v>19905</v>
      </c>
      <c r="B7184" s="28">
        <v>46098</v>
      </c>
      <c r="C7184" s="25">
        <v>931</v>
      </c>
      <c r="D7184" s="13" t="s">
        <v>3937</v>
      </c>
      <c r="E7184" s="228"/>
      <c r="F7184" s="109" t="s">
        <v>19925</v>
      </c>
      <c r="G7184" s="24"/>
      <c r="H7184" s="230">
        <v>4</v>
      </c>
      <c r="I7184" s="220">
        <v>754000</v>
      </c>
      <c r="J7184" s="220">
        <f>I7184*0.1</f>
        <v>75400</v>
      </c>
      <c r="K7184" s="220">
        <v>0</v>
      </c>
      <c r="L7184" s="220">
        <v>9790</v>
      </c>
      <c r="M7184" s="220">
        <v>15950</v>
      </c>
      <c r="N7184" s="220">
        <f>SUM(I7184:M7185)</f>
        <v>855140</v>
      </c>
      <c r="O7184" s="224"/>
      <c r="P7184" s="110" t="s">
        <v>20118</v>
      </c>
      <c r="Q7184" s="15" t="s">
        <v>19</v>
      </c>
      <c r="R7184" s="205"/>
      <c r="S7184" s="189"/>
      <c r="T7184" s="114"/>
      <c r="U7184" s="21"/>
      <c r="V7184" s="115"/>
      <c r="W7184" s="116"/>
      <c r="X7184" s="220"/>
      <c r="Y7184" s="220">
        <f>X7184*0.1</f>
        <v>0</v>
      </c>
      <c r="Z7184" s="220"/>
      <c r="AA7184" s="220">
        <f>SUM(X7184:Z7184)</f>
        <v>0</v>
      </c>
      <c r="AB7184" s="222"/>
    </row>
    <row r="7185" spans="1:28" ht="17.100000000000001" customHeight="1" thickBot="1">
      <c r="A7185" s="227"/>
      <c r="B7185" s="27" t="s">
        <v>2654</v>
      </c>
      <c r="C7185" s="27">
        <v>3110</v>
      </c>
      <c r="D7185" s="14" t="s">
        <v>2559</v>
      </c>
      <c r="E7185" s="229"/>
      <c r="F7185" s="117" t="s">
        <v>19926</v>
      </c>
      <c r="G7185" s="26">
        <v>50062</v>
      </c>
      <c r="H7185" s="231"/>
      <c r="I7185" s="221"/>
      <c r="J7185" s="221"/>
      <c r="K7185" s="221"/>
      <c r="L7185" s="221"/>
      <c r="M7185" s="221"/>
      <c r="N7185" s="221"/>
      <c r="O7185" s="225"/>
      <c r="P7185" s="118" t="s">
        <v>20117</v>
      </c>
      <c r="Q7185" s="16" t="s">
        <v>20</v>
      </c>
      <c r="R7185" s="17" t="s">
        <v>2347</v>
      </c>
      <c r="S7185" s="121" t="s">
        <v>20765</v>
      </c>
      <c r="T7185" s="122"/>
      <c r="U7185" s="22"/>
      <c r="V7185" s="123"/>
      <c r="W7185" s="122"/>
      <c r="X7185" s="221"/>
      <c r="Y7185" s="221"/>
      <c r="Z7185" s="221"/>
      <c r="AA7185" s="221"/>
      <c r="AB7185" s="223"/>
    </row>
    <row r="7186" spans="1:28" ht="17.100000000000001" customHeight="1" thickTop="1">
      <c r="A7186" s="226" t="s">
        <v>19906</v>
      </c>
      <c r="B7186" s="28">
        <v>46098</v>
      </c>
      <c r="C7186" s="25">
        <v>931</v>
      </c>
      <c r="D7186" s="13" t="s">
        <v>1953</v>
      </c>
      <c r="E7186" s="228"/>
      <c r="F7186" s="109" t="s">
        <v>4665</v>
      </c>
      <c r="G7186" s="24" t="s">
        <v>4038</v>
      </c>
      <c r="H7186" s="230">
        <v>3</v>
      </c>
      <c r="I7186" s="220">
        <v>387000</v>
      </c>
      <c r="J7186" s="220">
        <f>I7186*0.1</f>
        <v>38700</v>
      </c>
      <c r="K7186" s="220">
        <v>10800</v>
      </c>
      <c r="L7186" s="220">
        <v>8400</v>
      </c>
      <c r="M7186" s="220">
        <v>15950</v>
      </c>
      <c r="N7186" s="220">
        <f>SUM(I7186:M7187)</f>
        <v>460850</v>
      </c>
      <c r="O7186" s="224"/>
      <c r="P7186" s="110" t="s">
        <v>19938</v>
      </c>
      <c r="Q7186" s="15" t="s">
        <v>19</v>
      </c>
      <c r="R7186" s="205"/>
      <c r="S7186" s="189"/>
      <c r="T7186" s="114"/>
      <c r="U7186" s="21"/>
      <c r="V7186" s="115">
        <v>46102</v>
      </c>
      <c r="W7186" s="116">
        <v>1293</v>
      </c>
      <c r="X7186" s="220">
        <v>660000</v>
      </c>
      <c r="Y7186" s="220">
        <f>X7186*0.1</f>
        <v>66000</v>
      </c>
      <c r="Z7186" s="220">
        <v>8400</v>
      </c>
      <c r="AA7186" s="220">
        <f>SUM(X7186:Z7186)</f>
        <v>734400</v>
      </c>
      <c r="AB7186" s="222">
        <v>46105</v>
      </c>
    </row>
    <row r="7187" spans="1:28" ht="17.100000000000001" customHeight="1" thickBot="1">
      <c r="A7187" s="227"/>
      <c r="B7187" s="27" t="s">
        <v>2654</v>
      </c>
      <c r="C7187" s="27">
        <v>3139</v>
      </c>
      <c r="D7187" s="14" t="s">
        <v>1710</v>
      </c>
      <c r="E7187" s="229"/>
      <c r="F7187" s="117" t="s">
        <v>19927</v>
      </c>
      <c r="G7187" s="26">
        <v>31090</v>
      </c>
      <c r="H7187" s="231"/>
      <c r="I7187" s="221"/>
      <c r="J7187" s="221"/>
      <c r="K7187" s="221"/>
      <c r="L7187" s="221"/>
      <c r="M7187" s="221"/>
      <c r="N7187" s="221"/>
      <c r="O7187" s="225"/>
      <c r="P7187" s="118" t="s">
        <v>20405</v>
      </c>
      <c r="Q7187" s="16" t="s">
        <v>20</v>
      </c>
      <c r="R7187" s="17" t="s">
        <v>20397</v>
      </c>
      <c r="S7187" s="121"/>
      <c r="T7187" s="122"/>
      <c r="U7187" s="22"/>
      <c r="V7187" s="123" t="s">
        <v>2472</v>
      </c>
      <c r="W7187" s="122">
        <v>60511</v>
      </c>
      <c r="X7187" s="221"/>
      <c r="Y7187" s="221"/>
      <c r="Z7187" s="221"/>
      <c r="AA7187" s="221"/>
      <c r="AB7187" s="223"/>
    </row>
    <row r="7188" spans="1:28" ht="17.100000000000001" customHeight="1" thickTop="1">
      <c r="A7188" s="226" t="s">
        <v>19907</v>
      </c>
      <c r="B7188" s="28">
        <v>46098</v>
      </c>
      <c r="C7188" s="25">
        <v>931</v>
      </c>
      <c r="D7188" s="13" t="s">
        <v>1704</v>
      </c>
      <c r="E7188" s="228"/>
      <c r="F7188" s="109" t="s">
        <v>19928</v>
      </c>
      <c r="G7188" s="24"/>
      <c r="H7188" s="230">
        <v>4.5</v>
      </c>
      <c r="I7188" s="220">
        <v>3109000</v>
      </c>
      <c r="J7188" s="220">
        <f>I7188*0.1</f>
        <v>310900</v>
      </c>
      <c r="K7188" s="220">
        <v>0</v>
      </c>
      <c r="L7188" s="220">
        <v>21020</v>
      </c>
      <c r="M7188" s="220">
        <v>15950</v>
      </c>
      <c r="N7188" s="220">
        <f>SUM(I7188:M7189)</f>
        <v>3456870</v>
      </c>
      <c r="O7188" s="224"/>
      <c r="P7188" s="110" t="s">
        <v>20105</v>
      </c>
      <c r="Q7188" s="15" t="s">
        <v>19</v>
      </c>
      <c r="R7188" s="205"/>
      <c r="S7188" s="189"/>
      <c r="T7188" s="114"/>
      <c r="U7188" s="21"/>
      <c r="V7188" s="115">
        <v>46114</v>
      </c>
      <c r="W7188" s="116">
        <v>1325</v>
      </c>
      <c r="X7188" s="220">
        <v>3330000</v>
      </c>
      <c r="Y7188" s="220">
        <f>X7188*0.1</f>
        <v>333000</v>
      </c>
      <c r="Z7188" s="220">
        <v>21020</v>
      </c>
      <c r="AA7188" s="220">
        <f>SUM(X7188:Z7188)</f>
        <v>3684020</v>
      </c>
      <c r="AB7188" s="222">
        <v>46115</v>
      </c>
    </row>
    <row r="7189" spans="1:28" ht="17.100000000000001" customHeight="1" thickBot="1">
      <c r="A7189" s="227"/>
      <c r="B7189" s="27" t="s">
        <v>2654</v>
      </c>
      <c r="C7189" s="27">
        <v>5012</v>
      </c>
      <c r="D7189" s="14" t="s">
        <v>273</v>
      </c>
      <c r="E7189" s="229"/>
      <c r="F7189" s="117" t="s">
        <v>19939</v>
      </c>
      <c r="G7189" s="26">
        <v>54689</v>
      </c>
      <c r="H7189" s="231"/>
      <c r="I7189" s="221"/>
      <c r="J7189" s="221"/>
      <c r="K7189" s="221"/>
      <c r="L7189" s="221"/>
      <c r="M7189" s="221"/>
      <c r="N7189" s="221"/>
      <c r="O7189" s="225"/>
      <c r="P7189" s="118" t="s">
        <v>3506</v>
      </c>
      <c r="Q7189" s="16" t="s">
        <v>20</v>
      </c>
      <c r="R7189" s="17" t="s">
        <v>2347</v>
      </c>
      <c r="S7189" s="121" t="s">
        <v>20771</v>
      </c>
      <c r="T7189" s="122"/>
      <c r="U7189" s="22"/>
      <c r="V7189" s="123" t="s">
        <v>14285</v>
      </c>
      <c r="W7189" s="122">
        <v>975</v>
      </c>
      <c r="X7189" s="221"/>
      <c r="Y7189" s="221"/>
      <c r="Z7189" s="221"/>
      <c r="AA7189" s="221"/>
      <c r="AB7189" s="223"/>
    </row>
    <row r="7190" spans="1:28" ht="17.100000000000001" customHeight="1" thickTop="1">
      <c r="A7190" s="226" t="s">
        <v>19908</v>
      </c>
      <c r="B7190" s="28">
        <v>46098</v>
      </c>
      <c r="C7190" s="25">
        <v>931</v>
      </c>
      <c r="D7190" s="13" t="s">
        <v>2573</v>
      </c>
      <c r="E7190" s="228"/>
      <c r="F7190" s="109" t="s">
        <v>2678</v>
      </c>
      <c r="G7190" s="24"/>
      <c r="H7190" s="230">
        <v>4</v>
      </c>
      <c r="I7190" s="220">
        <v>1390000</v>
      </c>
      <c r="J7190" s="220">
        <f>I7190*0.1</f>
        <v>139000</v>
      </c>
      <c r="K7190" s="220">
        <v>0</v>
      </c>
      <c r="L7190" s="220">
        <v>17800</v>
      </c>
      <c r="M7190" s="220">
        <v>15950</v>
      </c>
      <c r="N7190" s="220">
        <f>SUM(I7190:M7191)</f>
        <v>1562750</v>
      </c>
      <c r="O7190" s="224"/>
      <c r="P7190" s="110" t="s">
        <v>20106</v>
      </c>
      <c r="Q7190" s="15" t="s">
        <v>19</v>
      </c>
      <c r="R7190" s="205"/>
      <c r="S7190" s="189"/>
      <c r="T7190" s="114"/>
      <c r="U7190" s="21"/>
      <c r="V7190" s="115">
        <v>46130</v>
      </c>
      <c r="W7190" s="116">
        <v>1297</v>
      </c>
      <c r="X7190" s="220">
        <v>1520000</v>
      </c>
      <c r="Y7190" s="220">
        <f>X7190*0.1</f>
        <v>152000</v>
      </c>
      <c r="Z7190" s="220">
        <v>17800</v>
      </c>
      <c r="AA7190" s="220">
        <f>SUM(X7190:Z7190)</f>
        <v>1689800</v>
      </c>
      <c r="AB7190" s="222">
        <v>46139</v>
      </c>
    </row>
    <row r="7191" spans="1:28" ht="17.100000000000001" customHeight="1" thickBot="1">
      <c r="A7191" s="227"/>
      <c r="B7191" s="27" t="s">
        <v>2654</v>
      </c>
      <c r="C7191" s="27">
        <v>30040</v>
      </c>
      <c r="D7191" s="14" t="s">
        <v>1627</v>
      </c>
      <c r="E7191" s="229"/>
      <c r="F7191" s="117" t="s">
        <v>19940</v>
      </c>
      <c r="G7191" s="26">
        <v>55620</v>
      </c>
      <c r="H7191" s="231"/>
      <c r="I7191" s="221"/>
      <c r="J7191" s="221"/>
      <c r="K7191" s="221"/>
      <c r="L7191" s="221"/>
      <c r="M7191" s="221"/>
      <c r="N7191" s="221"/>
      <c r="O7191" s="225"/>
      <c r="P7191" s="118" t="s">
        <v>20107</v>
      </c>
      <c r="Q7191" s="16" t="s">
        <v>20</v>
      </c>
      <c r="R7191" s="17" t="s">
        <v>2347</v>
      </c>
      <c r="S7191" s="121" t="s">
        <v>7722</v>
      </c>
      <c r="T7191" s="122"/>
      <c r="U7191" s="22"/>
      <c r="V7191" s="123" t="s">
        <v>23432</v>
      </c>
      <c r="W7191" s="122">
        <v>80253</v>
      </c>
      <c r="X7191" s="221"/>
      <c r="Y7191" s="221"/>
      <c r="Z7191" s="221"/>
      <c r="AA7191" s="221"/>
      <c r="AB7191" s="223"/>
    </row>
    <row r="7192" spans="1:28" ht="17.100000000000001" customHeight="1" thickTop="1">
      <c r="A7192" s="226" t="s">
        <v>19909</v>
      </c>
      <c r="B7192" s="28">
        <v>3</v>
      </c>
      <c r="C7192" s="25">
        <v>1232</v>
      </c>
      <c r="D7192" s="13" t="s">
        <v>2010</v>
      </c>
      <c r="E7192" s="228"/>
      <c r="F7192" s="109" t="s">
        <v>19929</v>
      </c>
      <c r="G7192" s="24"/>
      <c r="H7192" s="230">
        <v>4</v>
      </c>
      <c r="I7192" s="220">
        <v>2419000</v>
      </c>
      <c r="J7192" s="220">
        <f>I7192*0.1</f>
        <v>241900</v>
      </c>
      <c r="K7192" s="220">
        <v>0</v>
      </c>
      <c r="L7192" s="220">
        <v>15190</v>
      </c>
      <c r="M7192" s="220">
        <v>15950</v>
      </c>
      <c r="N7192" s="220">
        <f>SUM(I7192:M7193)</f>
        <v>2692040</v>
      </c>
      <c r="O7192" s="224"/>
      <c r="P7192" s="110" t="s">
        <v>20541</v>
      </c>
      <c r="Q7192" s="15" t="s">
        <v>19</v>
      </c>
      <c r="R7192" s="205"/>
      <c r="S7192" s="189" t="s">
        <v>25863</v>
      </c>
      <c r="T7192" s="114"/>
      <c r="U7192" s="21"/>
      <c r="V7192" s="115">
        <v>46116</v>
      </c>
      <c r="W7192" s="116">
        <v>1295</v>
      </c>
      <c r="X7192" s="220">
        <v>2635000</v>
      </c>
      <c r="Y7192" s="220">
        <f>X7192*0.1</f>
        <v>263500</v>
      </c>
      <c r="Z7192" s="220">
        <v>15190</v>
      </c>
      <c r="AA7192" s="220">
        <f>SUM(X7192:Z7192)</f>
        <v>2913690</v>
      </c>
      <c r="AB7192" s="222">
        <v>46119</v>
      </c>
    </row>
    <row r="7193" spans="1:28" ht="17.100000000000001" customHeight="1" thickBot="1">
      <c r="A7193" s="227"/>
      <c r="B7193" s="27" t="s">
        <v>2344</v>
      </c>
      <c r="C7193" s="27">
        <v>5058</v>
      </c>
      <c r="D7193" s="14" t="s">
        <v>273</v>
      </c>
      <c r="E7193" s="229"/>
      <c r="F7193" s="117" t="s">
        <v>19941</v>
      </c>
      <c r="G7193" s="26">
        <v>17588</v>
      </c>
      <c r="H7193" s="231"/>
      <c r="I7193" s="221"/>
      <c r="J7193" s="221"/>
      <c r="K7193" s="221"/>
      <c r="L7193" s="221"/>
      <c r="M7193" s="221"/>
      <c r="N7193" s="221"/>
      <c r="O7193" s="225"/>
      <c r="P7193" s="118" t="s">
        <v>15294</v>
      </c>
      <c r="Q7193" s="16" t="s">
        <v>20</v>
      </c>
      <c r="R7193" s="17" t="s">
        <v>20516</v>
      </c>
      <c r="S7193" s="121" t="s">
        <v>4544</v>
      </c>
      <c r="T7193" s="122"/>
      <c r="U7193" s="22"/>
      <c r="V7193" s="123" t="s">
        <v>2472</v>
      </c>
      <c r="W7193" s="122">
        <v>80054</v>
      </c>
      <c r="X7193" s="221"/>
      <c r="Y7193" s="221"/>
      <c r="Z7193" s="221"/>
      <c r="AA7193" s="221"/>
      <c r="AB7193" s="223"/>
    </row>
    <row r="7194" spans="1:28" ht="17.100000000000001" customHeight="1" thickTop="1">
      <c r="A7194" s="226" t="s">
        <v>19910</v>
      </c>
      <c r="B7194" s="28">
        <v>46098</v>
      </c>
      <c r="C7194" s="25">
        <v>1232</v>
      </c>
      <c r="D7194" s="13" t="s">
        <v>1715</v>
      </c>
      <c r="E7194" s="228"/>
      <c r="F7194" s="109" t="s">
        <v>10238</v>
      </c>
      <c r="G7194" s="24"/>
      <c r="H7194" s="230">
        <v>4</v>
      </c>
      <c r="I7194" s="220">
        <v>461000</v>
      </c>
      <c r="J7194" s="220">
        <f>I7194*0.1</f>
        <v>46100</v>
      </c>
      <c r="K7194" s="220">
        <v>0</v>
      </c>
      <c r="L7194" s="220">
        <v>12470</v>
      </c>
      <c r="M7194" s="220">
        <v>15950</v>
      </c>
      <c r="N7194" s="220">
        <f>SUM(I7194:M7195)</f>
        <v>535520</v>
      </c>
      <c r="O7194" s="224"/>
      <c r="P7194" s="110" t="s">
        <v>20111</v>
      </c>
      <c r="Q7194" s="15" t="s">
        <v>19</v>
      </c>
      <c r="R7194" s="205"/>
      <c r="S7194" s="189"/>
      <c r="T7194" s="114"/>
      <c r="U7194" s="21"/>
      <c r="V7194" s="115">
        <v>46116</v>
      </c>
      <c r="W7194" s="116">
        <v>1295</v>
      </c>
      <c r="X7194" s="220">
        <v>690000</v>
      </c>
      <c r="Y7194" s="220">
        <f>X7194*0.1</f>
        <v>69000</v>
      </c>
      <c r="Z7194" s="220">
        <v>12470</v>
      </c>
      <c r="AA7194" s="220">
        <f>SUM(X7194:Z7194)</f>
        <v>771470</v>
      </c>
      <c r="AB7194" s="222">
        <v>46119</v>
      </c>
    </row>
    <row r="7195" spans="1:28" ht="17.100000000000001" customHeight="1" thickBot="1">
      <c r="A7195" s="227"/>
      <c r="B7195" s="27" t="s">
        <v>2344</v>
      </c>
      <c r="C7195" s="27">
        <v>30087</v>
      </c>
      <c r="D7195" s="14" t="s">
        <v>1584</v>
      </c>
      <c r="E7195" s="229"/>
      <c r="F7195" s="117" t="s">
        <v>19942</v>
      </c>
      <c r="G7195" s="26">
        <v>36584</v>
      </c>
      <c r="H7195" s="231"/>
      <c r="I7195" s="221"/>
      <c r="J7195" s="221"/>
      <c r="K7195" s="221"/>
      <c r="L7195" s="221"/>
      <c r="M7195" s="221"/>
      <c r="N7195" s="221"/>
      <c r="O7195" s="225"/>
      <c r="P7195" s="118" t="s">
        <v>16520</v>
      </c>
      <c r="Q7195" s="16" t="s">
        <v>20</v>
      </c>
      <c r="R7195" s="17" t="s">
        <v>2347</v>
      </c>
      <c r="S7195" s="121" t="s">
        <v>20770</v>
      </c>
      <c r="T7195" s="122"/>
      <c r="U7195" s="22"/>
      <c r="V7195" s="123" t="s">
        <v>2472</v>
      </c>
      <c r="W7195" s="122">
        <v>80047</v>
      </c>
      <c r="X7195" s="221"/>
      <c r="Y7195" s="221"/>
      <c r="Z7195" s="221"/>
      <c r="AA7195" s="221"/>
      <c r="AB7195" s="223"/>
    </row>
    <row r="7196" spans="1:28" ht="17.100000000000001" customHeight="1" thickTop="1">
      <c r="A7196" s="226" t="s">
        <v>19943</v>
      </c>
      <c r="B7196" s="28">
        <v>46098</v>
      </c>
      <c r="C7196" s="25">
        <v>1280</v>
      </c>
      <c r="D7196" s="13" t="s">
        <v>4739</v>
      </c>
      <c r="E7196" s="228"/>
      <c r="F7196" s="109" t="s">
        <v>7385</v>
      </c>
      <c r="G7196" s="24"/>
      <c r="H7196" s="230">
        <v>4</v>
      </c>
      <c r="I7196" s="220">
        <v>411000</v>
      </c>
      <c r="J7196" s="220">
        <f>I7196*0.1</f>
        <v>41100</v>
      </c>
      <c r="K7196" s="220">
        <v>0</v>
      </c>
      <c r="L7196" s="220">
        <v>17940</v>
      </c>
      <c r="M7196" s="220">
        <v>18150</v>
      </c>
      <c r="N7196" s="220">
        <f>SUM(I7196:M7197)</f>
        <v>488190</v>
      </c>
      <c r="O7196" s="224"/>
      <c r="P7196" s="110" t="s">
        <v>20100</v>
      </c>
      <c r="Q7196" s="15" t="s">
        <v>19</v>
      </c>
      <c r="R7196" s="205"/>
      <c r="S7196" s="189" t="s">
        <v>1361</v>
      </c>
      <c r="T7196" s="114"/>
      <c r="U7196" s="21"/>
      <c r="V7196" s="115">
        <v>46130</v>
      </c>
      <c r="W7196" s="116">
        <v>1297</v>
      </c>
      <c r="X7196" s="220">
        <v>510000</v>
      </c>
      <c r="Y7196" s="220">
        <f>X7196*0.1</f>
        <v>51000</v>
      </c>
      <c r="Z7196" s="220">
        <v>17940</v>
      </c>
      <c r="AA7196" s="220">
        <f>SUM(X7196:Z7196)</f>
        <v>578940</v>
      </c>
      <c r="AB7196" s="222">
        <v>46133</v>
      </c>
    </row>
    <row r="7197" spans="1:28" ht="17.100000000000001" customHeight="1" thickBot="1">
      <c r="A7197" s="227"/>
      <c r="B7197" s="27" t="s">
        <v>7351</v>
      </c>
      <c r="C7197" s="27">
        <v>38128</v>
      </c>
      <c r="D7197" s="14" t="s">
        <v>1797</v>
      </c>
      <c r="E7197" s="229"/>
      <c r="F7197" s="117" t="s">
        <v>19968</v>
      </c>
      <c r="G7197" s="26">
        <v>57935</v>
      </c>
      <c r="H7197" s="231"/>
      <c r="I7197" s="221"/>
      <c r="J7197" s="221"/>
      <c r="K7197" s="221"/>
      <c r="L7197" s="221"/>
      <c r="M7197" s="221"/>
      <c r="N7197" s="221"/>
      <c r="O7197" s="225"/>
      <c r="P7197" s="118" t="s">
        <v>6795</v>
      </c>
      <c r="Q7197" s="16" t="s">
        <v>20</v>
      </c>
      <c r="R7197" s="17" t="s">
        <v>2347</v>
      </c>
      <c r="S7197" s="126" t="s">
        <v>1731</v>
      </c>
      <c r="T7197" s="122"/>
      <c r="U7197" s="22"/>
      <c r="V7197" s="123" t="s">
        <v>2472</v>
      </c>
      <c r="W7197" s="122">
        <v>80150</v>
      </c>
      <c r="X7197" s="221"/>
      <c r="Y7197" s="221"/>
      <c r="Z7197" s="221"/>
      <c r="AA7197" s="221"/>
      <c r="AB7197" s="223"/>
    </row>
    <row r="7198" spans="1:28" ht="17.100000000000001" customHeight="1" thickTop="1">
      <c r="A7198" s="226" t="s">
        <v>19944</v>
      </c>
      <c r="B7198" s="28">
        <v>46098</v>
      </c>
      <c r="C7198" s="25">
        <v>1280</v>
      </c>
      <c r="D7198" s="13" t="s">
        <v>1632</v>
      </c>
      <c r="E7198" s="228"/>
      <c r="F7198" s="109" t="s">
        <v>1916</v>
      </c>
      <c r="G7198" s="24" t="s">
        <v>6610</v>
      </c>
      <c r="H7198" s="230">
        <v>4.5</v>
      </c>
      <c r="I7198" s="220">
        <v>510000</v>
      </c>
      <c r="J7198" s="220">
        <f>I7198*0.1</f>
        <v>51000</v>
      </c>
      <c r="K7198" s="220">
        <v>34500</v>
      </c>
      <c r="L7198" s="220">
        <v>17700</v>
      </c>
      <c r="M7198" s="220">
        <v>18150</v>
      </c>
      <c r="N7198" s="220">
        <f>SUM(I7198:M7199)</f>
        <v>631350</v>
      </c>
      <c r="O7198" s="224"/>
      <c r="P7198" s="110" t="s">
        <v>21702</v>
      </c>
      <c r="Q7198" s="15" t="s">
        <v>19</v>
      </c>
      <c r="R7198" s="205"/>
      <c r="S7198" s="189"/>
      <c r="T7198" s="114"/>
      <c r="U7198" s="21"/>
      <c r="V7198" s="115">
        <v>46102</v>
      </c>
      <c r="W7198" s="116">
        <v>1293</v>
      </c>
      <c r="X7198" s="220">
        <v>700000</v>
      </c>
      <c r="Y7198" s="220">
        <f>X7198*0.1</f>
        <v>70000</v>
      </c>
      <c r="Z7198" s="220">
        <v>17700</v>
      </c>
      <c r="AA7198" s="220">
        <f>SUM(X7198:Z7198)</f>
        <v>787700</v>
      </c>
      <c r="AB7198" s="222">
        <v>46120</v>
      </c>
    </row>
    <row r="7199" spans="1:28" ht="17.100000000000001" customHeight="1" thickBot="1">
      <c r="A7199" s="227"/>
      <c r="B7199" s="27" t="s">
        <v>7351</v>
      </c>
      <c r="C7199" s="27">
        <v>38190</v>
      </c>
      <c r="D7199" s="14" t="s">
        <v>1584</v>
      </c>
      <c r="E7199" s="229"/>
      <c r="F7199" s="117" t="s">
        <v>19969</v>
      </c>
      <c r="G7199" s="26">
        <v>49710</v>
      </c>
      <c r="H7199" s="231"/>
      <c r="I7199" s="221"/>
      <c r="J7199" s="221"/>
      <c r="K7199" s="221"/>
      <c r="L7199" s="221"/>
      <c r="M7199" s="221"/>
      <c r="N7199" s="221"/>
      <c r="O7199" s="225"/>
      <c r="P7199" s="118" t="s">
        <v>21703</v>
      </c>
      <c r="Q7199" s="16" t="s">
        <v>20</v>
      </c>
      <c r="R7199" s="17" t="s">
        <v>3913</v>
      </c>
      <c r="S7199" s="121" t="s">
        <v>169</v>
      </c>
      <c r="T7199" s="122"/>
      <c r="U7199" s="22"/>
      <c r="V7199" s="123" t="s">
        <v>20692</v>
      </c>
      <c r="W7199" s="122">
        <v>80375</v>
      </c>
      <c r="X7199" s="221"/>
      <c r="Y7199" s="221"/>
      <c r="Z7199" s="221"/>
      <c r="AA7199" s="221"/>
      <c r="AB7199" s="223"/>
    </row>
    <row r="7200" spans="1:28" ht="17.100000000000001" customHeight="1" thickTop="1">
      <c r="A7200" s="226" t="s">
        <v>19945</v>
      </c>
      <c r="B7200" s="28">
        <v>46099</v>
      </c>
      <c r="C7200" s="25">
        <v>1009</v>
      </c>
      <c r="D7200" s="13" t="s">
        <v>2920</v>
      </c>
      <c r="E7200" s="228"/>
      <c r="F7200" s="109" t="s">
        <v>19949</v>
      </c>
      <c r="G7200" s="24"/>
      <c r="H7200" s="230">
        <v>4</v>
      </c>
      <c r="I7200" s="220">
        <v>1165000</v>
      </c>
      <c r="J7200" s="220">
        <f>I7200*0.1</f>
        <v>116500</v>
      </c>
      <c r="K7200" s="220">
        <v>0</v>
      </c>
      <c r="L7200" s="220">
        <v>6830</v>
      </c>
      <c r="M7200" s="220">
        <v>12100</v>
      </c>
      <c r="N7200" s="220">
        <f>SUM(I7200:M7201)</f>
        <v>1300430</v>
      </c>
      <c r="O7200" s="224"/>
      <c r="P7200" s="110" t="s">
        <v>20639</v>
      </c>
      <c r="Q7200" s="15" t="s">
        <v>19</v>
      </c>
      <c r="R7200" s="205"/>
      <c r="S7200" s="189" t="s">
        <v>283</v>
      </c>
      <c r="T7200" s="114"/>
      <c r="U7200" s="21"/>
      <c r="V7200" s="115">
        <v>46102</v>
      </c>
      <c r="W7200" s="116">
        <v>1293</v>
      </c>
      <c r="X7200" s="220">
        <v>1290000</v>
      </c>
      <c r="Y7200" s="220">
        <f>X7200*0.1</f>
        <v>129000</v>
      </c>
      <c r="Z7200" s="220">
        <v>6830</v>
      </c>
      <c r="AA7200" s="220">
        <f>SUM(X7200:Z7200)</f>
        <v>1425830</v>
      </c>
      <c r="AB7200" s="222">
        <v>46111</v>
      </c>
    </row>
    <row r="7201" spans="1:28" ht="17.100000000000001" customHeight="1" thickBot="1">
      <c r="A7201" s="227"/>
      <c r="B7201" s="27" t="s">
        <v>2747</v>
      </c>
      <c r="C7201" s="27">
        <v>1039</v>
      </c>
      <c r="D7201" s="14" t="s">
        <v>273</v>
      </c>
      <c r="E7201" s="229"/>
      <c r="F7201" s="117" t="s">
        <v>19950</v>
      </c>
      <c r="G7201" s="26">
        <v>46319</v>
      </c>
      <c r="H7201" s="231"/>
      <c r="I7201" s="221"/>
      <c r="J7201" s="221"/>
      <c r="K7201" s="221"/>
      <c r="L7201" s="221"/>
      <c r="M7201" s="221"/>
      <c r="N7201" s="221"/>
      <c r="O7201" s="225"/>
      <c r="P7201" s="118" t="s">
        <v>5163</v>
      </c>
      <c r="Q7201" s="16" t="s">
        <v>20</v>
      </c>
      <c r="R7201" s="17" t="s">
        <v>2353</v>
      </c>
      <c r="S7201" s="121" t="s">
        <v>169</v>
      </c>
      <c r="T7201" s="122"/>
      <c r="U7201" s="22"/>
      <c r="V7201" s="123" t="s">
        <v>2472</v>
      </c>
      <c r="W7201" s="122">
        <v>60497</v>
      </c>
      <c r="X7201" s="221"/>
      <c r="Y7201" s="221"/>
      <c r="Z7201" s="221"/>
      <c r="AA7201" s="221"/>
      <c r="AB7201" s="223"/>
    </row>
    <row r="7202" spans="1:28" ht="17.100000000000001" customHeight="1" thickTop="1">
      <c r="A7202" s="226" t="s">
        <v>19946</v>
      </c>
      <c r="B7202" s="28">
        <v>46099</v>
      </c>
      <c r="C7202" s="25">
        <v>1009</v>
      </c>
      <c r="D7202" s="13" t="s">
        <v>2267</v>
      </c>
      <c r="E7202" s="228"/>
      <c r="F7202" s="109" t="s">
        <v>15607</v>
      </c>
      <c r="G7202" s="24" t="s">
        <v>2530</v>
      </c>
      <c r="H7202" s="230">
        <v>4</v>
      </c>
      <c r="I7202" s="220">
        <v>295000</v>
      </c>
      <c r="J7202" s="220">
        <f>I7202*0.1</f>
        <v>29500</v>
      </c>
      <c r="K7202" s="220">
        <v>10800</v>
      </c>
      <c r="L7202" s="220">
        <v>7140</v>
      </c>
      <c r="M7202" s="220">
        <v>12100</v>
      </c>
      <c r="N7202" s="220">
        <f>SUM(I7202:M7203)</f>
        <v>354540</v>
      </c>
      <c r="O7202" s="224"/>
      <c r="P7202" s="110" t="s">
        <v>19957</v>
      </c>
      <c r="Q7202" s="15" t="s">
        <v>19</v>
      </c>
      <c r="R7202" s="205"/>
      <c r="S7202" s="189" t="s">
        <v>25864</v>
      </c>
      <c r="T7202" s="114"/>
      <c r="U7202" s="21"/>
      <c r="V7202" s="115">
        <v>46102</v>
      </c>
      <c r="W7202" s="116">
        <v>1293</v>
      </c>
      <c r="X7202" s="220">
        <v>435000</v>
      </c>
      <c r="Y7202" s="220">
        <f>X7202*0.1</f>
        <v>43500</v>
      </c>
      <c r="Z7202" s="220">
        <v>7140</v>
      </c>
      <c r="AA7202" s="220">
        <f>SUM(X7202:Z7202)</f>
        <v>485640</v>
      </c>
      <c r="AB7202" s="222">
        <v>46111</v>
      </c>
    </row>
    <row r="7203" spans="1:28" ht="17.100000000000001" customHeight="1" thickBot="1">
      <c r="A7203" s="227"/>
      <c r="B7203" s="27" t="s">
        <v>2747</v>
      </c>
      <c r="C7203" s="27">
        <v>1235</v>
      </c>
      <c r="D7203" s="14" t="s">
        <v>5509</v>
      </c>
      <c r="E7203" s="229"/>
      <c r="F7203" s="117" t="s">
        <v>19951</v>
      </c>
      <c r="G7203" s="26">
        <v>10134</v>
      </c>
      <c r="H7203" s="231"/>
      <c r="I7203" s="221"/>
      <c r="J7203" s="221"/>
      <c r="K7203" s="221"/>
      <c r="L7203" s="221"/>
      <c r="M7203" s="221"/>
      <c r="N7203" s="221"/>
      <c r="O7203" s="225"/>
      <c r="P7203" s="118" t="s">
        <v>20640</v>
      </c>
      <c r="Q7203" s="16" t="s">
        <v>20</v>
      </c>
      <c r="R7203" s="17" t="s">
        <v>2353</v>
      </c>
      <c r="S7203" s="121" t="s">
        <v>1625</v>
      </c>
      <c r="T7203" s="122"/>
      <c r="U7203" s="22"/>
      <c r="V7203" s="123" t="s">
        <v>2472</v>
      </c>
      <c r="W7203" s="122">
        <v>60508</v>
      </c>
      <c r="X7203" s="221"/>
      <c r="Y7203" s="221"/>
      <c r="Z7203" s="221"/>
      <c r="AA7203" s="221"/>
      <c r="AB7203" s="223"/>
    </row>
    <row r="7204" spans="1:28" ht="17.100000000000001" customHeight="1" thickTop="1">
      <c r="A7204" s="226" t="s">
        <v>19947</v>
      </c>
      <c r="B7204" s="28">
        <v>46099</v>
      </c>
      <c r="C7204" s="25">
        <v>1009</v>
      </c>
      <c r="D7204" s="13" t="s">
        <v>2324</v>
      </c>
      <c r="E7204" s="228"/>
      <c r="F7204" s="109" t="s">
        <v>14900</v>
      </c>
      <c r="G7204" s="24" t="s">
        <v>6610</v>
      </c>
      <c r="H7204" s="230">
        <v>4.5</v>
      </c>
      <c r="I7204" s="220">
        <v>890000</v>
      </c>
      <c r="J7204" s="220">
        <f>I7204*0.1</f>
        <v>89000</v>
      </c>
      <c r="K7204" s="220">
        <v>10800</v>
      </c>
      <c r="L7204" s="220">
        <v>6830</v>
      </c>
      <c r="M7204" s="220">
        <v>12100</v>
      </c>
      <c r="N7204" s="220">
        <f>SUM(I7204:M7205)</f>
        <v>1008730</v>
      </c>
      <c r="O7204" s="224"/>
      <c r="P7204" s="110" t="s">
        <v>19958</v>
      </c>
      <c r="Q7204" s="15" t="s">
        <v>19</v>
      </c>
      <c r="R7204" s="205"/>
      <c r="S7204" s="189" t="s">
        <v>25865</v>
      </c>
      <c r="T7204" s="114"/>
      <c r="U7204" s="21"/>
      <c r="V7204" s="115">
        <v>46102</v>
      </c>
      <c r="W7204" s="116">
        <v>1293</v>
      </c>
      <c r="X7204" s="220">
        <v>1020000</v>
      </c>
      <c r="Y7204" s="220">
        <f>X7204*0.1</f>
        <v>102000</v>
      </c>
      <c r="Z7204" s="220">
        <v>6830</v>
      </c>
      <c r="AA7204" s="220">
        <f>SUM(X7204:Z7204)</f>
        <v>1128830</v>
      </c>
      <c r="AB7204" s="222">
        <v>46111</v>
      </c>
    </row>
    <row r="7205" spans="1:28" ht="17.100000000000001" customHeight="1" thickBot="1">
      <c r="A7205" s="227"/>
      <c r="B7205" s="27" t="s">
        <v>2747</v>
      </c>
      <c r="C7205" s="27">
        <v>1292</v>
      </c>
      <c r="D7205" s="14" t="s">
        <v>2753</v>
      </c>
      <c r="E7205" s="229"/>
      <c r="F7205" s="117" t="s">
        <v>19952</v>
      </c>
      <c r="G7205" s="26">
        <v>49143</v>
      </c>
      <c r="H7205" s="231"/>
      <c r="I7205" s="221"/>
      <c r="J7205" s="221"/>
      <c r="K7205" s="221"/>
      <c r="L7205" s="221"/>
      <c r="M7205" s="221"/>
      <c r="N7205" s="221"/>
      <c r="O7205" s="225"/>
      <c r="P7205" s="118" t="s">
        <v>18842</v>
      </c>
      <c r="Q7205" s="16" t="s">
        <v>20</v>
      </c>
      <c r="R7205" s="17" t="s">
        <v>2353</v>
      </c>
      <c r="S7205" s="121" t="s">
        <v>11742</v>
      </c>
      <c r="T7205" s="122"/>
      <c r="U7205" s="22"/>
      <c r="V7205" s="123" t="s">
        <v>20692</v>
      </c>
      <c r="W7205" s="122">
        <v>60510</v>
      </c>
      <c r="X7205" s="221"/>
      <c r="Y7205" s="221"/>
      <c r="Z7205" s="221"/>
      <c r="AA7205" s="221"/>
      <c r="AB7205" s="223"/>
    </row>
    <row r="7206" spans="1:28" ht="17.100000000000001" customHeight="1" thickTop="1">
      <c r="A7206" s="226" t="s">
        <v>19948</v>
      </c>
      <c r="B7206" s="28">
        <v>46099</v>
      </c>
      <c r="C7206" s="25">
        <v>1009</v>
      </c>
      <c r="D7206" s="13" t="s">
        <v>1578</v>
      </c>
      <c r="E7206" s="228"/>
      <c r="F7206" s="109" t="s">
        <v>19953</v>
      </c>
      <c r="G7206" s="24"/>
      <c r="H7206" s="230">
        <v>4</v>
      </c>
      <c r="I7206" s="220">
        <v>515000</v>
      </c>
      <c r="J7206" s="220">
        <f>I7206*0.1</f>
        <v>51500</v>
      </c>
      <c r="K7206" s="220">
        <v>0</v>
      </c>
      <c r="L7206" s="220">
        <v>8790</v>
      </c>
      <c r="M7206" s="220">
        <v>12100</v>
      </c>
      <c r="N7206" s="220">
        <f>SUM(I7206:M7207)</f>
        <v>587390</v>
      </c>
      <c r="O7206" s="224"/>
      <c r="P7206" s="110" t="s">
        <v>20739</v>
      </c>
      <c r="Q7206" s="15" t="s">
        <v>19</v>
      </c>
      <c r="R7206" s="205"/>
      <c r="S7206" s="189" t="s">
        <v>25866</v>
      </c>
      <c r="T7206" s="114"/>
      <c r="U7206" s="21"/>
      <c r="V7206" s="115">
        <v>46109</v>
      </c>
      <c r="W7206" s="116">
        <v>1294</v>
      </c>
      <c r="X7206" s="220">
        <v>620000</v>
      </c>
      <c r="Y7206" s="220">
        <f>X7206*0.1</f>
        <v>62000</v>
      </c>
      <c r="Z7206" s="220">
        <v>8790</v>
      </c>
      <c r="AA7206" s="220">
        <f>SUM(X7206:Z7206)</f>
        <v>690790</v>
      </c>
      <c r="AB7206" s="222">
        <v>46112</v>
      </c>
    </row>
    <row r="7207" spans="1:28" ht="17.100000000000001" customHeight="1" thickBot="1">
      <c r="A7207" s="227"/>
      <c r="B7207" s="27" t="s">
        <v>2747</v>
      </c>
      <c r="C7207" s="27">
        <v>1317</v>
      </c>
      <c r="D7207" s="14" t="s">
        <v>1560</v>
      </c>
      <c r="E7207" s="229"/>
      <c r="F7207" s="117" t="s">
        <v>19954</v>
      </c>
      <c r="G7207" s="26">
        <v>103181</v>
      </c>
      <c r="H7207" s="231"/>
      <c r="I7207" s="221"/>
      <c r="J7207" s="221"/>
      <c r="K7207" s="221"/>
      <c r="L7207" s="221"/>
      <c r="M7207" s="221"/>
      <c r="N7207" s="221"/>
      <c r="O7207" s="225"/>
      <c r="P7207" s="118" t="s">
        <v>20740</v>
      </c>
      <c r="Q7207" s="16" t="s">
        <v>20</v>
      </c>
      <c r="R7207" s="17" t="s">
        <v>20705</v>
      </c>
      <c r="S7207" s="121" t="s">
        <v>10516</v>
      </c>
      <c r="T7207" s="122"/>
      <c r="U7207" s="22"/>
      <c r="V7207" s="123" t="s">
        <v>21250</v>
      </c>
      <c r="W7207" s="122">
        <v>60193</v>
      </c>
      <c r="X7207" s="221"/>
      <c r="Y7207" s="221"/>
      <c r="Z7207" s="221"/>
      <c r="AA7207" s="221"/>
      <c r="AB7207" s="223"/>
    </row>
    <row r="7208" spans="1:28" ht="17.100000000000001" customHeight="1" thickTop="1">
      <c r="A7208" s="226" t="s">
        <v>19966</v>
      </c>
      <c r="B7208" s="28">
        <v>46099</v>
      </c>
      <c r="C7208" s="25">
        <v>1009</v>
      </c>
      <c r="D7208" s="13" t="s">
        <v>1883</v>
      </c>
      <c r="E7208" s="228"/>
      <c r="F7208" s="109" t="s">
        <v>15643</v>
      </c>
      <c r="G7208" s="24"/>
      <c r="H7208" s="230">
        <v>4.5</v>
      </c>
      <c r="I7208" s="220">
        <v>1000000</v>
      </c>
      <c r="J7208" s="220">
        <f>I7208*0.1</f>
        <v>100000</v>
      </c>
      <c r="K7208" s="220">
        <v>0</v>
      </c>
      <c r="L7208" s="220">
        <v>6830</v>
      </c>
      <c r="M7208" s="220">
        <v>23100</v>
      </c>
      <c r="N7208" s="220">
        <f>SUM(I7208:M7209)</f>
        <v>1129930</v>
      </c>
      <c r="O7208" s="224"/>
      <c r="P7208" s="110" t="s">
        <v>20638</v>
      </c>
      <c r="Q7208" s="15" t="s">
        <v>19</v>
      </c>
      <c r="R7208" s="205"/>
      <c r="S7208" s="189" t="s">
        <v>758</v>
      </c>
      <c r="T7208" s="114"/>
      <c r="U7208" s="21"/>
      <c r="V7208" s="115">
        <v>46102</v>
      </c>
      <c r="W7208" s="116">
        <v>1293</v>
      </c>
      <c r="X7208" s="220">
        <v>1095000</v>
      </c>
      <c r="Y7208" s="220">
        <f>X7208*0.1</f>
        <v>109500</v>
      </c>
      <c r="Z7208" s="220">
        <v>6830</v>
      </c>
      <c r="AA7208" s="220">
        <f>SUM(X7208:Z7208)</f>
        <v>1211330</v>
      </c>
      <c r="AB7208" s="222"/>
    </row>
    <row r="7209" spans="1:28" ht="17.100000000000001" customHeight="1" thickBot="1">
      <c r="A7209" s="227"/>
      <c r="B7209" s="27" t="s">
        <v>2747</v>
      </c>
      <c r="C7209" s="27">
        <v>1353</v>
      </c>
      <c r="D7209" s="14" t="s">
        <v>898</v>
      </c>
      <c r="E7209" s="229"/>
      <c r="F7209" s="117" t="s">
        <v>19955</v>
      </c>
      <c r="G7209" s="26">
        <v>33660</v>
      </c>
      <c r="H7209" s="231"/>
      <c r="I7209" s="221"/>
      <c r="J7209" s="221"/>
      <c r="K7209" s="221"/>
      <c r="L7209" s="221"/>
      <c r="M7209" s="221"/>
      <c r="N7209" s="221"/>
      <c r="O7209" s="225"/>
      <c r="P7209" s="118" t="s">
        <v>3355</v>
      </c>
      <c r="Q7209" s="16" t="s">
        <v>20</v>
      </c>
      <c r="R7209" s="17" t="s">
        <v>2353</v>
      </c>
      <c r="S7209" s="121" t="s">
        <v>2360</v>
      </c>
      <c r="T7209" s="122"/>
      <c r="U7209" s="22"/>
      <c r="V7209" s="123" t="s">
        <v>2472</v>
      </c>
      <c r="W7209" s="122">
        <v>60498</v>
      </c>
      <c r="X7209" s="221"/>
      <c r="Y7209" s="221"/>
      <c r="Z7209" s="221"/>
      <c r="AA7209" s="221"/>
      <c r="AB7209" s="223"/>
    </row>
    <row r="7210" spans="1:28" ht="17.100000000000001" customHeight="1" thickTop="1">
      <c r="A7210" s="226" t="s">
        <v>19967</v>
      </c>
      <c r="B7210" s="28">
        <v>46099</v>
      </c>
      <c r="C7210" s="25">
        <v>1009</v>
      </c>
      <c r="D7210" s="13" t="s">
        <v>3345</v>
      </c>
      <c r="E7210" s="228"/>
      <c r="F7210" s="109" t="s">
        <v>7657</v>
      </c>
      <c r="G7210" s="24" t="s">
        <v>6610</v>
      </c>
      <c r="H7210" s="232" t="s">
        <v>4130</v>
      </c>
      <c r="I7210" s="220">
        <v>1095000</v>
      </c>
      <c r="J7210" s="220">
        <f>I7210*0.1</f>
        <v>109500</v>
      </c>
      <c r="K7210" s="220">
        <v>5000</v>
      </c>
      <c r="L7210" s="220">
        <v>8200</v>
      </c>
      <c r="M7210" s="220">
        <v>11000</v>
      </c>
      <c r="N7210" s="220">
        <f>SUM(I7210:M7211)</f>
        <v>1228700</v>
      </c>
      <c r="O7210" s="224"/>
      <c r="P7210" s="110" t="s">
        <v>19959</v>
      </c>
      <c r="Q7210" s="15" t="s">
        <v>19</v>
      </c>
      <c r="R7210" s="205"/>
      <c r="S7210" s="189" t="s">
        <v>758</v>
      </c>
      <c r="T7210" s="114"/>
      <c r="U7210" s="21" t="s">
        <v>21696</v>
      </c>
      <c r="V7210" s="115">
        <v>46116</v>
      </c>
      <c r="W7210" s="116">
        <v>1295</v>
      </c>
      <c r="X7210" s="220">
        <v>1120000</v>
      </c>
      <c r="Y7210" s="220">
        <f>X7210*0.1</f>
        <v>112000</v>
      </c>
      <c r="Z7210" s="220">
        <v>8200</v>
      </c>
      <c r="AA7210" s="220">
        <f>SUM(X7210:Z7210)</f>
        <v>1240200</v>
      </c>
      <c r="AB7210" s="222">
        <v>46121</v>
      </c>
    </row>
    <row r="7211" spans="1:28" ht="17.100000000000001" customHeight="1" thickBot="1">
      <c r="A7211" s="227"/>
      <c r="B7211" s="27" t="s">
        <v>2747</v>
      </c>
      <c r="C7211" s="27">
        <v>2075</v>
      </c>
      <c r="D7211" s="14" t="s">
        <v>273</v>
      </c>
      <c r="E7211" s="229"/>
      <c r="F7211" s="117" t="s">
        <v>19956</v>
      </c>
      <c r="G7211" s="26">
        <v>10</v>
      </c>
      <c r="H7211" s="231"/>
      <c r="I7211" s="221"/>
      <c r="J7211" s="221"/>
      <c r="K7211" s="221"/>
      <c r="L7211" s="221"/>
      <c r="M7211" s="221"/>
      <c r="N7211" s="221"/>
      <c r="O7211" s="225"/>
      <c r="P7211" s="118" t="s">
        <v>20661</v>
      </c>
      <c r="Q7211" s="16" t="s">
        <v>20</v>
      </c>
      <c r="R7211" s="17" t="s">
        <v>2353</v>
      </c>
      <c r="S7211" s="121" t="s">
        <v>1923</v>
      </c>
      <c r="T7211" s="122"/>
      <c r="U7211" s="22"/>
      <c r="V7211" s="123" t="s">
        <v>2472</v>
      </c>
      <c r="W7211" s="122">
        <v>60207</v>
      </c>
      <c r="X7211" s="221"/>
      <c r="Y7211" s="221"/>
      <c r="Z7211" s="221"/>
      <c r="AA7211" s="221"/>
      <c r="AB7211" s="223"/>
    </row>
    <row r="7212" spans="1:28" ht="17.100000000000001" customHeight="1" thickTop="1">
      <c r="A7212" s="226" t="s">
        <v>19970</v>
      </c>
      <c r="B7212" s="28">
        <v>46099</v>
      </c>
      <c r="C7212" s="25">
        <v>1830</v>
      </c>
      <c r="D7212" s="13" t="s">
        <v>2913</v>
      </c>
      <c r="E7212" s="228"/>
      <c r="F7212" s="109" t="s">
        <v>19977</v>
      </c>
      <c r="G7212" s="24" t="s">
        <v>1540</v>
      </c>
      <c r="H7212" s="230">
        <v>5</v>
      </c>
      <c r="I7212" s="220">
        <v>1191000</v>
      </c>
      <c r="J7212" s="220">
        <f>I7212*0.1</f>
        <v>119100</v>
      </c>
      <c r="K7212" s="220">
        <v>10800</v>
      </c>
      <c r="L7212" s="220">
        <v>5340</v>
      </c>
      <c r="M7212" s="220">
        <v>18150</v>
      </c>
      <c r="N7212" s="220">
        <f>SUM(I7212:M7213)</f>
        <v>1344390</v>
      </c>
      <c r="O7212" s="224"/>
      <c r="P7212" s="110" t="s">
        <v>19979</v>
      </c>
      <c r="Q7212" s="15" t="s">
        <v>19</v>
      </c>
      <c r="R7212" s="205"/>
      <c r="S7212" s="189" t="s">
        <v>25474</v>
      </c>
      <c r="T7212" s="114"/>
      <c r="U7212" s="21" t="s">
        <v>23157</v>
      </c>
      <c r="V7212" s="115">
        <v>46155</v>
      </c>
      <c r="W7212" s="116">
        <v>1016</v>
      </c>
      <c r="X7212" s="220">
        <v>1205000</v>
      </c>
      <c r="Y7212" s="220">
        <f>X7212*0.1</f>
        <v>120500</v>
      </c>
      <c r="Z7212" s="220">
        <v>5340</v>
      </c>
      <c r="AA7212" s="220">
        <f>SUM(X7212:Z7212)</f>
        <v>1330840</v>
      </c>
      <c r="AB7212" s="222">
        <v>46160</v>
      </c>
    </row>
    <row r="7213" spans="1:28" ht="17.100000000000001" customHeight="1" thickBot="1">
      <c r="A7213" s="227"/>
      <c r="B7213" s="27" t="s">
        <v>2519</v>
      </c>
      <c r="C7213" s="27">
        <v>3032</v>
      </c>
      <c r="D7213" s="14" t="s">
        <v>273</v>
      </c>
      <c r="E7213" s="229"/>
      <c r="F7213" s="117" t="s">
        <v>19978</v>
      </c>
      <c r="G7213" s="26">
        <v>19502</v>
      </c>
      <c r="H7213" s="231"/>
      <c r="I7213" s="221"/>
      <c r="J7213" s="221"/>
      <c r="K7213" s="221"/>
      <c r="L7213" s="221"/>
      <c r="M7213" s="221"/>
      <c r="N7213" s="221"/>
      <c r="O7213" s="225"/>
      <c r="P7213" s="118" t="s">
        <v>20539</v>
      </c>
      <c r="Q7213" s="16" t="s">
        <v>20</v>
      </c>
      <c r="R7213" s="17" t="s">
        <v>20516</v>
      </c>
      <c r="S7213" s="121" t="s">
        <v>20540</v>
      </c>
      <c r="T7213" s="122"/>
      <c r="U7213" s="22"/>
      <c r="V7213" s="123" t="s">
        <v>2747</v>
      </c>
      <c r="W7213" s="122">
        <v>2031</v>
      </c>
      <c r="X7213" s="221"/>
      <c r="Y7213" s="221"/>
      <c r="Z7213" s="221"/>
      <c r="AA7213" s="221"/>
      <c r="AB7213" s="223"/>
    </row>
    <row r="7214" spans="1:28" ht="17.100000000000001" customHeight="1" thickTop="1">
      <c r="A7214" s="226" t="s">
        <v>19971</v>
      </c>
      <c r="B7214" s="28">
        <v>46099</v>
      </c>
      <c r="C7214" s="25">
        <v>1830</v>
      </c>
      <c r="D7214" s="13" t="s">
        <v>2150</v>
      </c>
      <c r="E7214" s="228"/>
      <c r="F7214" s="109" t="s">
        <v>19980</v>
      </c>
      <c r="G7214" s="24" t="s">
        <v>1540</v>
      </c>
      <c r="H7214" s="230">
        <v>4.5</v>
      </c>
      <c r="I7214" s="220">
        <v>684000</v>
      </c>
      <c r="J7214" s="220">
        <f>I7214*0.1</f>
        <v>68400</v>
      </c>
      <c r="K7214" s="220">
        <v>10800</v>
      </c>
      <c r="L7214" s="220">
        <v>8140</v>
      </c>
      <c r="M7214" s="220">
        <v>18150</v>
      </c>
      <c r="N7214" s="220">
        <f>SUM(I7214:M7215)</f>
        <v>789490</v>
      </c>
      <c r="O7214" s="224"/>
      <c r="P7214" s="110" t="s">
        <v>19982</v>
      </c>
      <c r="Q7214" s="15" t="s">
        <v>19</v>
      </c>
      <c r="R7214" s="205"/>
      <c r="S7214" s="189" t="s">
        <v>1361</v>
      </c>
      <c r="T7214" s="114"/>
      <c r="U7214" s="21" t="s">
        <v>21742</v>
      </c>
      <c r="V7214" s="115">
        <v>46113</v>
      </c>
      <c r="W7214" s="116">
        <v>1011</v>
      </c>
      <c r="X7214" s="220">
        <v>750000</v>
      </c>
      <c r="Y7214" s="220">
        <f>X7214*0.1</f>
        <v>75000</v>
      </c>
      <c r="Z7214" s="220">
        <v>8140</v>
      </c>
      <c r="AA7214" s="220">
        <f>SUM(X7214:Z7214)</f>
        <v>833140</v>
      </c>
      <c r="AB7214" s="222">
        <v>46121</v>
      </c>
    </row>
    <row r="7215" spans="1:28" ht="17.100000000000001" customHeight="1" thickBot="1">
      <c r="A7215" s="227"/>
      <c r="B7215" s="27" t="s">
        <v>2519</v>
      </c>
      <c r="C7215" s="27">
        <v>3043</v>
      </c>
      <c r="D7215" s="14" t="s">
        <v>2753</v>
      </c>
      <c r="E7215" s="229"/>
      <c r="F7215" s="117" t="s">
        <v>19981</v>
      </c>
      <c r="G7215" s="26">
        <v>53486</v>
      </c>
      <c r="H7215" s="231"/>
      <c r="I7215" s="221"/>
      <c r="J7215" s="221"/>
      <c r="K7215" s="221"/>
      <c r="L7215" s="221"/>
      <c r="M7215" s="221"/>
      <c r="N7215" s="221"/>
      <c r="O7215" s="225"/>
      <c r="P7215" s="118" t="s">
        <v>13934</v>
      </c>
      <c r="Q7215" s="16" t="s">
        <v>20</v>
      </c>
      <c r="R7215" s="17" t="s">
        <v>20516</v>
      </c>
      <c r="S7215" s="121" t="s">
        <v>169</v>
      </c>
      <c r="T7215" s="122"/>
      <c r="U7215" s="22"/>
      <c r="V7215" s="123" t="s">
        <v>21716</v>
      </c>
      <c r="W7215" s="122">
        <v>2114</v>
      </c>
      <c r="X7215" s="221"/>
      <c r="Y7215" s="221"/>
      <c r="Z7215" s="221"/>
      <c r="AA7215" s="221"/>
      <c r="AB7215" s="223"/>
    </row>
    <row r="7216" spans="1:28" ht="17.100000000000001" customHeight="1" thickTop="1">
      <c r="A7216" s="226" t="s">
        <v>19972</v>
      </c>
      <c r="B7216" s="28">
        <v>46099</v>
      </c>
      <c r="C7216" s="25">
        <v>1830</v>
      </c>
      <c r="D7216" s="13" t="s">
        <v>2355</v>
      </c>
      <c r="E7216" s="228"/>
      <c r="F7216" s="109" t="s">
        <v>10651</v>
      </c>
      <c r="G7216" s="24" t="s">
        <v>3453</v>
      </c>
      <c r="H7216" s="230">
        <v>4.5</v>
      </c>
      <c r="I7216" s="220">
        <v>935000</v>
      </c>
      <c r="J7216" s="220">
        <f>I7216*0.1</f>
        <v>93500</v>
      </c>
      <c r="K7216" s="220">
        <v>14340</v>
      </c>
      <c r="L7216" s="220">
        <v>45000</v>
      </c>
      <c r="M7216" s="220">
        <v>18150</v>
      </c>
      <c r="N7216" s="220">
        <f>SUM(I7216:M7217)</f>
        <v>1105990</v>
      </c>
      <c r="O7216" s="224"/>
      <c r="P7216" s="110" t="s">
        <v>19984</v>
      </c>
      <c r="Q7216" s="15" t="s">
        <v>19</v>
      </c>
      <c r="R7216" s="205"/>
      <c r="S7216" s="189" t="s">
        <v>1276</v>
      </c>
      <c r="T7216" s="114"/>
      <c r="U7216" s="21"/>
      <c r="V7216" s="115">
        <v>46162</v>
      </c>
      <c r="W7216" s="116">
        <v>1017</v>
      </c>
      <c r="X7216" s="220">
        <v>980000</v>
      </c>
      <c r="Y7216" s="220">
        <f>X7216*0.1</f>
        <v>98000</v>
      </c>
      <c r="Z7216" s="220">
        <v>14340</v>
      </c>
      <c r="AA7216" s="220">
        <f>SUM(X7216:Z7216)</f>
        <v>1092340</v>
      </c>
      <c r="AB7216" s="222">
        <v>46167</v>
      </c>
    </row>
    <row r="7217" spans="1:28" ht="17.100000000000001" customHeight="1" thickBot="1">
      <c r="A7217" s="227"/>
      <c r="B7217" s="27" t="s">
        <v>2519</v>
      </c>
      <c r="C7217" s="27">
        <v>30552</v>
      </c>
      <c r="D7217" s="14" t="s">
        <v>2559</v>
      </c>
      <c r="E7217" s="229"/>
      <c r="F7217" s="117" t="s">
        <v>19983</v>
      </c>
      <c r="G7217" s="26">
        <v>76666</v>
      </c>
      <c r="H7217" s="231"/>
      <c r="I7217" s="221"/>
      <c r="J7217" s="221"/>
      <c r="K7217" s="221"/>
      <c r="L7217" s="221"/>
      <c r="M7217" s="221"/>
      <c r="N7217" s="221"/>
      <c r="O7217" s="225"/>
      <c r="P7217" s="118" t="s">
        <v>20675</v>
      </c>
      <c r="Q7217" s="16" t="s">
        <v>20</v>
      </c>
      <c r="R7217" s="17" t="s">
        <v>2353</v>
      </c>
      <c r="S7217" s="121" t="s">
        <v>26091</v>
      </c>
      <c r="T7217" s="122"/>
      <c r="U7217" s="22"/>
      <c r="V7217" s="123" t="s">
        <v>2747</v>
      </c>
      <c r="W7217" s="122">
        <v>6054</v>
      </c>
      <c r="X7217" s="221"/>
      <c r="Y7217" s="221"/>
      <c r="Z7217" s="221"/>
      <c r="AA7217" s="221"/>
      <c r="AB7217" s="223"/>
    </row>
    <row r="7218" spans="1:28" ht="17.100000000000001" customHeight="1" thickTop="1">
      <c r="A7218" s="226" t="s">
        <v>19973</v>
      </c>
      <c r="B7218" s="28">
        <v>46099</v>
      </c>
      <c r="C7218" s="25">
        <v>1830</v>
      </c>
      <c r="D7218" s="13" t="s">
        <v>2913</v>
      </c>
      <c r="E7218" s="228"/>
      <c r="F7218" s="109" t="s">
        <v>3606</v>
      </c>
      <c r="G7218" s="24" t="s">
        <v>1540</v>
      </c>
      <c r="H7218" s="230">
        <v>4.5</v>
      </c>
      <c r="I7218" s="220">
        <v>1275000</v>
      </c>
      <c r="J7218" s="220">
        <f>I7218*0.1</f>
        <v>127500</v>
      </c>
      <c r="K7218" s="220">
        <v>25000</v>
      </c>
      <c r="L7218" s="220">
        <v>9150</v>
      </c>
      <c r="M7218" s="220">
        <v>18150</v>
      </c>
      <c r="N7218" s="220">
        <f>SUM(I7218:M7219)</f>
        <v>1454800</v>
      </c>
      <c r="O7218" s="224"/>
      <c r="P7218" s="110" t="s">
        <v>19986</v>
      </c>
      <c r="Q7218" s="15" t="s">
        <v>19</v>
      </c>
      <c r="R7218" s="205"/>
      <c r="S7218" s="189" t="s">
        <v>25475</v>
      </c>
      <c r="T7218" s="114"/>
      <c r="U7218" s="21"/>
      <c r="V7218" s="115">
        <v>46109</v>
      </c>
      <c r="W7218" s="116">
        <v>1294</v>
      </c>
      <c r="X7218" s="220">
        <v>1390000</v>
      </c>
      <c r="Y7218" s="220">
        <f>X7218*0.1</f>
        <v>139000</v>
      </c>
      <c r="Z7218" s="220">
        <v>9150</v>
      </c>
      <c r="AA7218" s="220">
        <f>SUM(X7218:Z7218)</f>
        <v>1538150</v>
      </c>
      <c r="AB7218" s="222">
        <v>46112</v>
      </c>
    </row>
    <row r="7219" spans="1:28" ht="17.100000000000001" customHeight="1" thickBot="1">
      <c r="A7219" s="227"/>
      <c r="B7219" s="27" t="s">
        <v>2519</v>
      </c>
      <c r="C7219" s="27">
        <v>36454</v>
      </c>
      <c r="D7219" s="14" t="s">
        <v>2753</v>
      </c>
      <c r="E7219" s="229"/>
      <c r="F7219" s="117" t="s">
        <v>19985</v>
      </c>
      <c r="G7219" s="26">
        <v>51563</v>
      </c>
      <c r="H7219" s="231"/>
      <c r="I7219" s="221"/>
      <c r="J7219" s="221"/>
      <c r="K7219" s="221"/>
      <c r="L7219" s="221"/>
      <c r="M7219" s="221"/>
      <c r="N7219" s="221"/>
      <c r="O7219" s="225"/>
      <c r="P7219" s="118" t="s">
        <v>20672</v>
      </c>
      <c r="Q7219" s="16" t="s">
        <v>20</v>
      </c>
      <c r="R7219" s="17" t="s">
        <v>2353</v>
      </c>
      <c r="S7219" s="121" t="s">
        <v>20673</v>
      </c>
      <c r="T7219" s="122"/>
      <c r="U7219" s="22"/>
      <c r="V7219" s="123" t="s">
        <v>21250</v>
      </c>
      <c r="W7219" s="122">
        <v>55109</v>
      </c>
      <c r="X7219" s="221"/>
      <c r="Y7219" s="221"/>
      <c r="Z7219" s="221"/>
      <c r="AA7219" s="221"/>
      <c r="AB7219" s="223"/>
    </row>
    <row r="7220" spans="1:28" ht="17.100000000000001" customHeight="1" thickTop="1">
      <c r="A7220" s="226" t="s">
        <v>19974</v>
      </c>
      <c r="B7220" s="28">
        <v>46099</v>
      </c>
      <c r="C7220" s="25">
        <v>1830</v>
      </c>
      <c r="D7220" s="13" t="s">
        <v>1908</v>
      </c>
      <c r="E7220" s="228"/>
      <c r="F7220" s="109" t="s">
        <v>15229</v>
      </c>
      <c r="G7220" s="24"/>
      <c r="H7220" s="230">
        <v>4</v>
      </c>
      <c r="I7220" s="220">
        <v>1115000</v>
      </c>
      <c r="J7220" s="220">
        <f>I7220*0.1</f>
        <v>111500</v>
      </c>
      <c r="K7220" s="220">
        <v>0</v>
      </c>
      <c r="L7220" s="220">
        <v>12030</v>
      </c>
      <c r="M7220" s="220">
        <v>18150</v>
      </c>
      <c r="N7220" s="220">
        <f>SUM(I7220:M7221)</f>
        <v>1256680</v>
      </c>
      <c r="O7220" s="224"/>
      <c r="P7220" s="110" t="s">
        <v>20637</v>
      </c>
      <c r="Q7220" s="15" t="s">
        <v>19</v>
      </c>
      <c r="R7220" s="205"/>
      <c r="S7220" s="189" t="s">
        <v>758</v>
      </c>
      <c r="T7220" s="114"/>
      <c r="U7220" s="21"/>
      <c r="V7220" s="115">
        <v>46102</v>
      </c>
      <c r="W7220" s="116">
        <v>1293</v>
      </c>
      <c r="X7220" s="220">
        <v>1220000</v>
      </c>
      <c r="Y7220" s="220">
        <f>X7220*0.1</f>
        <v>122000</v>
      </c>
      <c r="Z7220" s="220">
        <v>12030</v>
      </c>
      <c r="AA7220" s="220">
        <f>SUM(X7220:Z7220)</f>
        <v>1354030</v>
      </c>
      <c r="AB7220" s="222">
        <v>46111</v>
      </c>
    </row>
    <row r="7221" spans="1:28" ht="17.100000000000001" customHeight="1" thickBot="1">
      <c r="A7221" s="227"/>
      <c r="B7221" s="27" t="s">
        <v>2519</v>
      </c>
      <c r="C7221" s="27">
        <v>36557</v>
      </c>
      <c r="D7221" s="14" t="s">
        <v>273</v>
      </c>
      <c r="E7221" s="229"/>
      <c r="F7221" s="117" t="s">
        <v>19987</v>
      </c>
      <c r="G7221" s="26">
        <v>50719</v>
      </c>
      <c r="H7221" s="231"/>
      <c r="I7221" s="221"/>
      <c r="J7221" s="221"/>
      <c r="K7221" s="221"/>
      <c r="L7221" s="221"/>
      <c r="M7221" s="221"/>
      <c r="N7221" s="221"/>
      <c r="O7221" s="225"/>
      <c r="P7221" s="118" t="s">
        <v>1972</v>
      </c>
      <c r="Q7221" s="16" t="s">
        <v>20</v>
      </c>
      <c r="R7221" s="17" t="s">
        <v>2353</v>
      </c>
      <c r="S7221" s="121" t="s">
        <v>169</v>
      </c>
      <c r="T7221" s="122"/>
      <c r="U7221" s="22"/>
      <c r="V7221" s="123" t="s">
        <v>2472</v>
      </c>
      <c r="W7221" s="122">
        <v>131</v>
      </c>
      <c r="X7221" s="221"/>
      <c r="Y7221" s="221"/>
      <c r="Z7221" s="221"/>
      <c r="AA7221" s="221"/>
      <c r="AB7221" s="223"/>
    </row>
    <row r="7222" spans="1:28" ht="17.100000000000001" customHeight="1" thickTop="1">
      <c r="A7222" s="226" t="s">
        <v>19975</v>
      </c>
      <c r="B7222" s="28">
        <v>46099</v>
      </c>
      <c r="C7222" s="25">
        <v>1830</v>
      </c>
      <c r="D7222" s="13" t="s">
        <v>2892</v>
      </c>
      <c r="E7222" s="228"/>
      <c r="F7222" s="109" t="s">
        <v>19988</v>
      </c>
      <c r="G7222" s="24"/>
      <c r="H7222" s="230">
        <v>5</v>
      </c>
      <c r="I7222" s="220">
        <v>1295000</v>
      </c>
      <c r="J7222" s="220">
        <f>I7222*0.1</f>
        <v>129500</v>
      </c>
      <c r="K7222" s="220">
        <v>0</v>
      </c>
      <c r="L7222" s="220">
        <v>17600</v>
      </c>
      <c r="M7222" s="220">
        <v>18150</v>
      </c>
      <c r="N7222" s="220">
        <f>SUM(I7222:M7223)</f>
        <v>1460250</v>
      </c>
      <c r="O7222" s="224"/>
      <c r="P7222" s="110" t="s">
        <v>20652</v>
      </c>
      <c r="Q7222" s="15" t="s">
        <v>19</v>
      </c>
      <c r="R7222" s="205"/>
      <c r="S7222" s="189"/>
      <c r="T7222" s="114"/>
      <c r="U7222" s="21"/>
      <c r="V7222" s="115">
        <v>46102</v>
      </c>
      <c r="W7222" s="116">
        <v>1293</v>
      </c>
      <c r="X7222" s="220">
        <v>1420000</v>
      </c>
      <c r="Y7222" s="220">
        <f>X7222*0.1</f>
        <v>142000</v>
      </c>
      <c r="Z7222" s="220">
        <v>17800</v>
      </c>
      <c r="AA7222" s="220">
        <f>SUM(X7222:Z7222)</f>
        <v>1579800</v>
      </c>
      <c r="AB7222" s="222">
        <v>46111</v>
      </c>
    </row>
    <row r="7223" spans="1:28" ht="17.100000000000001" customHeight="1" thickBot="1">
      <c r="A7223" s="227"/>
      <c r="B7223" s="27" t="s">
        <v>2519</v>
      </c>
      <c r="C7223" s="27">
        <v>38006</v>
      </c>
      <c r="D7223" s="14" t="s">
        <v>898</v>
      </c>
      <c r="E7223" s="229"/>
      <c r="F7223" s="117" t="s">
        <v>19989</v>
      </c>
      <c r="G7223" s="26">
        <v>38636</v>
      </c>
      <c r="H7223" s="231"/>
      <c r="I7223" s="221"/>
      <c r="J7223" s="221"/>
      <c r="K7223" s="221"/>
      <c r="L7223" s="221"/>
      <c r="M7223" s="221"/>
      <c r="N7223" s="221"/>
      <c r="O7223" s="225"/>
      <c r="P7223" s="118" t="s">
        <v>3794</v>
      </c>
      <c r="Q7223" s="16" t="s">
        <v>20</v>
      </c>
      <c r="R7223" s="17" t="s">
        <v>2353</v>
      </c>
      <c r="S7223" s="121" t="s">
        <v>20443</v>
      </c>
      <c r="T7223" s="122"/>
      <c r="U7223" s="22"/>
      <c r="V7223" s="123" t="s">
        <v>20692</v>
      </c>
      <c r="W7223" s="122">
        <v>80374</v>
      </c>
      <c r="X7223" s="221"/>
      <c r="Y7223" s="221"/>
      <c r="Z7223" s="221"/>
      <c r="AA7223" s="221"/>
      <c r="AB7223" s="223"/>
    </row>
    <row r="7224" spans="1:28" ht="17.100000000000001" customHeight="1" thickTop="1">
      <c r="A7224" s="226" t="s">
        <v>19976</v>
      </c>
      <c r="B7224" s="28">
        <v>46099</v>
      </c>
      <c r="C7224" s="25">
        <v>1830</v>
      </c>
      <c r="D7224" s="13" t="s">
        <v>2573</v>
      </c>
      <c r="E7224" s="228"/>
      <c r="F7224" s="109" t="s">
        <v>4483</v>
      </c>
      <c r="G7224" s="24"/>
      <c r="H7224" s="230">
        <v>4.5</v>
      </c>
      <c r="I7224" s="220">
        <v>895000</v>
      </c>
      <c r="J7224" s="220">
        <f>I7224*0.1</f>
        <v>89500</v>
      </c>
      <c r="K7224" s="220">
        <v>0</v>
      </c>
      <c r="L7224" s="220">
        <v>17600</v>
      </c>
      <c r="M7224" s="220">
        <v>18150</v>
      </c>
      <c r="N7224" s="220">
        <f>SUM(I7224:M7225)</f>
        <v>1020250</v>
      </c>
      <c r="O7224" s="224"/>
      <c r="P7224" s="110" t="s">
        <v>20717</v>
      </c>
      <c r="Q7224" s="15" t="s">
        <v>19</v>
      </c>
      <c r="R7224" s="205"/>
      <c r="S7224" s="189"/>
      <c r="T7224" s="114"/>
      <c r="U7224" s="21"/>
      <c r="V7224" s="115">
        <v>46106</v>
      </c>
      <c r="W7224" s="116">
        <v>1010</v>
      </c>
      <c r="X7224" s="220">
        <v>1200000</v>
      </c>
      <c r="Y7224" s="220">
        <f>X7224*0.1</f>
        <v>120000</v>
      </c>
      <c r="Z7224" s="220">
        <v>17600</v>
      </c>
      <c r="AA7224" s="220">
        <f>SUM(X7224:Z7224)</f>
        <v>1337600</v>
      </c>
      <c r="AB7224" s="222">
        <v>46112</v>
      </c>
    </row>
    <row r="7225" spans="1:28" ht="17.100000000000001" customHeight="1" thickBot="1">
      <c r="A7225" s="227"/>
      <c r="B7225" s="27" t="s">
        <v>2519</v>
      </c>
      <c r="C7225" s="27">
        <v>38197</v>
      </c>
      <c r="D7225" s="14" t="s">
        <v>1627</v>
      </c>
      <c r="E7225" s="229"/>
      <c r="F7225" s="117" t="s">
        <v>19990</v>
      </c>
      <c r="G7225" s="26">
        <v>57404</v>
      </c>
      <c r="H7225" s="231"/>
      <c r="I7225" s="221"/>
      <c r="J7225" s="221"/>
      <c r="K7225" s="221"/>
      <c r="L7225" s="221"/>
      <c r="M7225" s="221"/>
      <c r="N7225" s="221"/>
      <c r="O7225" s="225"/>
      <c r="P7225" s="118" t="s">
        <v>20718</v>
      </c>
      <c r="Q7225" s="16" t="s">
        <v>20</v>
      </c>
      <c r="R7225" s="17" t="s">
        <v>20705</v>
      </c>
      <c r="S7225" s="121" t="s">
        <v>20446</v>
      </c>
      <c r="T7225" s="122"/>
      <c r="U7225" s="22"/>
      <c r="V7225" s="123" t="s">
        <v>8648</v>
      </c>
      <c r="W7225" s="122">
        <v>5267</v>
      </c>
      <c r="X7225" s="221"/>
      <c r="Y7225" s="221"/>
      <c r="Z7225" s="221"/>
      <c r="AA7225" s="221"/>
      <c r="AB7225" s="223"/>
    </row>
    <row r="7226" spans="1:28" ht="17.100000000000001" customHeight="1" thickTop="1">
      <c r="A7226" s="226" t="s">
        <v>20131</v>
      </c>
      <c r="B7226" s="28">
        <v>46100</v>
      </c>
      <c r="C7226" s="25">
        <v>1323</v>
      </c>
      <c r="D7226" s="13" t="s">
        <v>2288</v>
      </c>
      <c r="E7226" s="228"/>
      <c r="F7226" s="109" t="s">
        <v>20146</v>
      </c>
      <c r="G7226" s="24"/>
      <c r="H7226" s="230">
        <v>4.5</v>
      </c>
      <c r="I7226" s="220">
        <v>1105000</v>
      </c>
      <c r="J7226" s="220">
        <f>I7226*0.1</f>
        <v>110500</v>
      </c>
      <c r="K7226" s="220">
        <v>0</v>
      </c>
      <c r="L7226" s="220">
        <v>19090</v>
      </c>
      <c r="M7226" s="220">
        <v>16500</v>
      </c>
      <c r="N7226" s="220">
        <f>SUM(I7226:M7227)</f>
        <v>1251090</v>
      </c>
      <c r="O7226" s="224"/>
      <c r="P7226" s="110" t="s">
        <v>20636</v>
      </c>
      <c r="Q7226" s="15" t="s">
        <v>19</v>
      </c>
      <c r="R7226" s="205"/>
      <c r="S7226" s="189" t="s">
        <v>25429</v>
      </c>
      <c r="T7226" s="114"/>
      <c r="U7226" s="21"/>
      <c r="V7226" s="115">
        <v>46102</v>
      </c>
      <c r="W7226" s="116">
        <v>1293</v>
      </c>
      <c r="X7226" s="220">
        <v>1255000</v>
      </c>
      <c r="Y7226" s="220">
        <f>X7226*0.1</f>
        <v>125500</v>
      </c>
      <c r="Z7226" s="220">
        <v>19090</v>
      </c>
      <c r="AA7226" s="220">
        <f>SUM(X7226:Z7226)</f>
        <v>1399590</v>
      </c>
      <c r="AB7226" s="222">
        <v>46111</v>
      </c>
    </row>
    <row r="7227" spans="1:28" ht="17.100000000000001" customHeight="1" thickBot="1">
      <c r="A7227" s="227"/>
      <c r="B7227" s="27" t="s">
        <v>1735</v>
      </c>
      <c r="C7227" s="27">
        <v>156</v>
      </c>
      <c r="D7227" s="14" t="s">
        <v>1584</v>
      </c>
      <c r="E7227" s="229"/>
      <c r="F7227" s="117" t="s">
        <v>20147</v>
      </c>
      <c r="G7227" s="26">
        <v>41717</v>
      </c>
      <c r="H7227" s="231"/>
      <c r="I7227" s="221"/>
      <c r="J7227" s="221"/>
      <c r="K7227" s="221"/>
      <c r="L7227" s="221"/>
      <c r="M7227" s="221"/>
      <c r="N7227" s="221"/>
      <c r="O7227" s="225"/>
      <c r="P7227" s="118" t="s">
        <v>15845</v>
      </c>
      <c r="Q7227" s="16" t="s">
        <v>20</v>
      </c>
      <c r="R7227" s="17" t="s">
        <v>2353</v>
      </c>
      <c r="S7227" s="121" t="s">
        <v>1731</v>
      </c>
      <c r="T7227" s="122"/>
      <c r="U7227" s="22"/>
      <c r="V7227" s="123" t="s">
        <v>2472</v>
      </c>
      <c r="W7227" s="122">
        <v>80358</v>
      </c>
      <c r="X7227" s="221"/>
      <c r="Y7227" s="221"/>
      <c r="Z7227" s="221"/>
      <c r="AA7227" s="221"/>
      <c r="AB7227" s="223"/>
    </row>
    <row r="7228" spans="1:28" ht="17.100000000000001" customHeight="1" thickTop="1">
      <c r="A7228" s="226" t="s">
        <v>20132</v>
      </c>
      <c r="B7228" s="28">
        <v>46100</v>
      </c>
      <c r="C7228" s="25">
        <v>1323</v>
      </c>
      <c r="D7228" s="13" t="s">
        <v>2264</v>
      </c>
      <c r="E7228" s="228"/>
      <c r="F7228" s="109" t="s">
        <v>20294</v>
      </c>
      <c r="G7228" s="24"/>
      <c r="H7228" s="230">
        <v>4.5</v>
      </c>
      <c r="I7228" s="220">
        <v>2905000</v>
      </c>
      <c r="J7228" s="220">
        <f>I7228*0.1</f>
        <v>290500</v>
      </c>
      <c r="K7228" s="220">
        <v>0</v>
      </c>
      <c r="L7228" s="220">
        <v>21360</v>
      </c>
      <c r="M7228" s="220">
        <v>16500</v>
      </c>
      <c r="N7228" s="220">
        <f>SUM(I7228:M7229)</f>
        <v>3233360</v>
      </c>
      <c r="O7228" s="224"/>
      <c r="P7228" s="110" t="s">
        <v>20753</v>
      </c>
      <c r="Q7228" s="15" t="s">
        <v>19</v>
      </c>
      <c r="R7228" s="205"/>
      <c r="S7228" s="189" t="s">
        <v>455</v>
      </c>
      <c r="T7228" s="114"/>
      <c r="U7228" s="21"/>
      <c r="V7228" s="115"/>
      <c r="W7228" s="116"/>
      <c r="X7228" s="220"/>
      <c r="Y7228" s="220">
        <f>X7228*0.1</f>
        <v>0</v>
      </c>
      <c r="Z7228" s="220"/>
      <c r="AA7228" s="220">
        <f>SUM(X7228:Z7228)</f>
        <v>0</v>
      </c>
      <c r="AB7228" s="222"/>
    </row>
    <row r="7229" spans="1:28" ht="17.100000000000001" customHeight="1" thickBot="1">
      <c r="A7229" s="227"/>
      <c r="B7229" s="27" t="s">
        <v>1735</v>
      </c>
      <c r="C7229" s="27">
        <v>502</v>
      </c>
      <c r="D7229" s="14" t="s">
        <v>1584</v>
      </c>
      <c r="E7229" s="229"/>
      <c r="F7229" s="117" t="s">
        <v>20148</v>
      </c>
      <c r="G7229" s="26">
        <v>33765</v>
      </c>
      <c r="H7229" s="231"/>
      <c r="I7229" s="221"/>
      <c r="J7229" s="221"/>
      <c r="K7229" s="221"/>
      <c r="L7229" s="221"/>
      <c r="M7229" s="221"/>
      <c r="N7229" s="221"/>
      <c r="O7229" s="225"/>
      <c r="P7229" s="118" t="s">
        <v>20742</v>
      </c>
      <c r="Q7229" s="16" t="s">
        <v>20</v>
      </c>
      <c r="R7229" s="17" t="s">
        <v>20724</v>
      </c>
      <c r="S7229" s="121" t="s">
        <v>20706</v>
      </c>
      <c r="T7229" s="122"/>
      <c r="U7229" s="22"/>
      <c r="V7229" s="123"/>
      <c r="W7229" s="122"/>
      <c r="X7229" s="221"/>
      <c r="Y7229" s="221"/>
      <c r="Z7229" s="221"/>
      <c r="AA7229" s="221"/>
      <c r="AB7229" s="223"/>
    </row>
    <row r="7230" spans="1:28" ht="17.100000000000001" customHeight="1" thickTop="1">
      <c r="A7230" s="226" t="s">
        <v>20133</v>
      </c>
      <c r="B7230" s="28">
        <v>46100</v>
      </c>
      <c r="C7230" s="25">
        <v>1323</v>
      </c>
      <c r="D7230" s="13" t="s">
        <v>1704</v>
      </c>
      <c r="E7230" s="228"/>
      <c r="F7230" s="109" t="s">
        <v>20149</v>
      </c>
      <c r="G7230" s="24"/>
      <c r="H7230" s="230">
        <v>4.5</v>
      </c>
      <c r="I7230" s="220">
        <v>2935000</v>
      </c>
      <c r="J7230" s="220">
        <f>I7230*0.1</f>
        <v>293500</v>
      </c>
      <c r="K7230" s="220">
        <v>0</v>
      </c>
      <c r="L7230" s="220">
        <v>21140</v>
      </c>
      <c r="M7230" s="220">
        <v>16500</v>
      </c>
      <c r="N7230" s="220">
        <f>SUM(I7230:M7231)</f>
        <v>3266140</v>
      </c>
      <c r="O7230" s="224"/>
      <c r="P7230" s="110" t="s">
        <v>20538</v>
      </c>
      <c r="Q7230" s="15" t="s">
        <v>19</v>
      </c>
      <c r="R7230" s="205"/>
      <c r="S7230" s="189" t="s">
        <v>25429</v>
      </c>
      <c r="T7230" s="114"/>
      <c r="U7230" s="21"/>
      <c r="V7230" s="115">
        <v>46137</v>
      </c>
      <c r="W7230" s="116">
        <v>1298</v>
      </c>
      <c r="X7230" s="220">
        <v>3100000</v>
      </c>
      <c r="Y7230" s="220">
        <f>X7230*0.1</f>
        <v>310000</v>
      </c>
      <c r="Z7230" s="220">
        <v>21140</v>
      </c>
      <c r="AA7230" s="220">
        <f>SUM(X7230:Z7230)</f>
        <v>3431140</v>
      </c>
      <c r="AB7230" s="222">
        <v>46140</v>
      </c>
    </row>
    <row r="7231" spans="1:28" ht="17.100000000000001" customHeight="1" thickBot="1">
      <c r="A7231" s="227"/>
      <c r="B7231" s="27" t="s">
        <v>1735</v>
      </c>
      <c r="C7231" s="27">
        <v>566</v>
      </c>
      <c r="D7231" s="14" t="s">
        <v>1584</v>
      </c>
      <c r="E7231" s="229"/>
      <c r="F7231" s="117" t="s">
        <v>20150</v>
      </c>
      <c r="G7231" s="26">
        <v>39341</v>
      </c>
      <c r="H7231" s="231"/>
      <c r="I7231" s="221"/>
      <c r="J7231" s="221"/>
      <c r="K7231" s="221"/>
      <c r="L7231" s="221"/>
      <c r="M7231" s="221"/>
      <c r="N7231" s="221"/>
      <c r="O7231" s="225"/>
      <c r="P7231" s="118" t="s">
        <v>11562</v>
      </c>
      <c r="Q7231" s="16" t="s">
        <v>20</v>
      </c>
      <c r="R7231" s="17" t="s">
        <v>20516</v>
      </c>
      <c r="S7231" s="121" t="s">
        <v>1731</v>
      </c>
      <c r="T7231" s="122"/>
      <c r="U7231" s="22"/>
      <c r="V7231" s="123" t="s">
        <v>2472</v>
      </c>
      <c r="W7231" s="122">
        <v>80237</v>
      </c>
      <c r="X7231" s="221"/>
      <c r="Y7231" s="221"/>
      <c r="Z7231" s="221"/>
      <c r="AA7231" s="221"/>
      <c r="AB7231" s="223"/>
    </row>
    <row r="7232" spans="1:28" ht="17.100000000000001" customHeight="1" thickTop="1">
      <c r="A7232" s="226" t="s">
        <v>20134</v>
      </c>
      <c r="B7232" s="28">
        <v>46100</v>
      </c>
      <c r="C7232" s="25">
        <v>1323</v>
      </c>
      <c r="D7232" s="13" t="s">
        <v>2964</v>
      </c>
      <c r="E7232" s="228"/>
      <c r="F7232" s="109" t="s">
        <v>20151</v>
      </c>
      <c r="G7232" s="24" t="s">
        <v>4120</v>
      </c>
      <c r="H7232" s="230">
        <v>4.5</v>
      </c>
      <c r="I7232" s="220">
        <v>1440000</v>
      </c>
      <c r="J7232" s="220">
        <f>I7232*0.1</f>
        <v>144000</v>
      </c>
      <c r="K7232" s="220">
        <v>36000</v>
      </c>
      <c r="L7232" s="220">
        <v>20630</v>
      </c>
      <c r="M7232" s="220">
        <v>16500</v>
      </c>
      <c r="N7232" s="220">
        <f>SUM(I7232:M7233)</f>
        <v>1657130</v>
      </c>
      <c r="O7232" s="224"/>
      <c r="P7232" s="110" t="s">
        <v>20295</v>
      </c>
      <c r="Q7232" s="15" t="s">
        <v>19</v>
      </c>
      <c r="R7232" s="205"/>
      <c r="S7232" s="189" t="s">
        <v>25507</v>
      </c>
      <c r="T7232" s="114"/>
      <c r="U7232" s="21"/>
      <c r="V7232" s="115">
        <v>46123</v>
      </c>
      <c r="W7232" s="116">
        <v>1296</v>
      </c>
      <c r="X7232" s="220">
        <v>1550000</v>
      </c>
      <c r="Y7232" s="220">
        <f>X7232*0.1</f>
        <v>155000</v>
      </c>
      <c r="Z7232" s="220">
        <v>20630</v>
      </c>
      <c r="AA7232" s="220">
        <f>SUM(X7232:Z7232)</f>
        <v>1725630</v>
      </c>
      <c r="AB7232" s="222">
        <v>46126</v>
      </c>
    </row>
    <row r="7233" spans="1:28" ht="17.100000000000001" customHeight="1" thickBot="1">
      <c r="A7233" s="227"/>
      <c r="B7233" s="27" t="s">
        <v>1735</v>
      </c>
      <c r="C7233" s="27">
        <v>602</v>
      </c>
      <c r="D7233" s="14" t="s">
        <v>273</v>
      </c>
      <c r="E7233" s="229"/>
      <c r="F7233" s="117" t="s">
        <v>20152</v>
      </c>
      <c r="G7233" s="26">
        <v>80794</v>
      </c>
      <c r="H7233" s="231"/>
      <c r="I7233" s="221"/>
      <c r="J7233" s="221"/>
      <c r="K7233" s="221"/>
      <c r="L7233" s="221"/>
      <c r="M7233" s="221"/>
      <c r="N7233" s="221"/>
      <c r="O7233" s="225"/>
      <c r="P7233" s="118" t="s">
        <v>1844</v>
      </c>
      <c r="Q7233" s="16" t="s">
        <v>20</v>
      </c>
      <c r="R7233" s="17" t="s">
        <v>20516</v>
      </c>
      <c r="S7233" s="121" t="s">
        <v>1606</v>
      </c>
      <c r="T7233" s="122"/>
      <c r="U7233" s="22"/>
      <c r="V7233" s="123" t="s">
        <v>22424</v>
      </c>
      <c r="W7233" s="122">
        <v>80353</v>
      </c>
      <c r="X7233" s="221"/>
      <c r="Y7233" s="221"/>
      <c r="Z7233" s="221"/>
      <c r="AA7233" s="221"/>
      <c r="AB7233" s="223"/>
    </row>
    <row r="7234" spans="1:28" ht="17.100000000000001" customHeight="1" thickTop="1">
      <c r="A7234" s="226" t="s">
        <v>20135</v>
      </c>
      <c r="B7234" s="28">
        <v>46100</v>
      </c>
      <c r="C7234" s="25">
        <v>1323</v>
      </c>
      <c r="D7234" s="13" t="s">
        <v>1947</v>
      </c>
      <c r="E7234" s="228"/>
      <c r="F7234" s="109" t="s">
        <v>15199</v>
      </c>
      <c r="G7234" s="24" t="s">
        <v>2871</v>
      </c>
      <c r="H7234" s="230">
        <v>4.5</v>
      </c>
      <c r="I7234" s="220">
        <v>1285000</v>
      </c>
      <c r="J7234" s="220">
        <f>I7234*0.1</f>
        <v>128500</v>
      </c>
      <c r="K7234" s="220">
        <v>10000</v>
      </c>
      <c r="L7234" s="220">
        <v>8630</v>
      </c>
      <c r="M7234" s="220">
        <v>18700</v>
      </c>
      <c r="N7234" s="220">
        <f>SUM(I7234:M7235)</f>
        <v>1450830</v>
      </c>
      <c r="O7234" s="224"/>
      <c r="P7234" s="110" t="s">
        <v>20297</v>
      </c>
      <c r="Q7234" s="15" t="s">
        <v>19</v>
      </c>
      <c r="R7234" s="205"/>
      <c r="S7234" s="189" t="s">
        <v>25429</v>
      </c>
      <c r="T7234" s="114"/>
      <c r="U7234" s="21"/>
      <c r="V7234" s="115">
        <v>46106</v>
      </c>
      <c r="W7234" s="116">
        <v>1010</v>
      </c>
      <c r="X7234" s="220">
        <v>1360000</v>
      </c>
      <c r="Y7234" s="220">
        <f>X7234*0.1</f>
        <v>136000</v>
      </c>
      <c r="Z7234" s="220">
        <v>8630</v>
      </c>
      <c r="AA7234" s="220">
        <f>SUM(X7234:Z7234)</f>
        <v>1504630</v>
      </c>
      <c r="AB7234" s="222">
        <v>46111</v>
      </c>
    </row>
    <row r="7235" spans="1:28" ht="17.100000000000001" customHeight="1" thickBot="1">
      <c r="A7235" s="227"/>
      <c r="B7235" s="27" t="s">
        <v>1735</v>
      </c>
      <c r="C7235" s="27">
        <v>613</v>
      </c>
      <c r="D7235" s="14" t="s">
        <v>1584</v>
      </c>
      <c r="E7235" s="229"/>
      <c r="F7235" s="117" t="s">
        <v>20296</v>
      </c>
      <c r="G7235" s="26">
        <v>18234</v>
      </c>
      <c r="H7235" s="231"/>
      <c r="I7235" s="221"/>
      <c r="J7235" s="221"/>
      <c r="K7235" s="221"/>
      <c r="L7235" s="221"/>
      <c r="M7235" s="221"/>
      <c r="N7235" s="221"/>
      <c r="O7235" s="225"/>
      <c r="P7235" s="118" t="s">
        <v>9263</v>
      </c>
      <c r="Q7235" s="16" t="s">
        <v>20</v>
      </c>
      <c r="R7235" s="17" t="s">
        <v>20516</v>
      </c>
      <c r="S7235" s="121" t="s">
        <v>1731</v>
      </c>
      <c r="T7235" s="122"/>
      <c r="U7235" s="22"/>
      <c r="V7235" s="123" t="s">
        <v>20798</v>
      </c>
      <c r="W7235" s="122">
        <v>5083</v>
      </c>
      <c r="X7235" s="221"/>
      <c r="Y7235" s="221"/>
      <c r="Z7235" s="221"/>
      <c r="AA7235" s="221"/>
      <c r="AB7235" s="223"/>
    </row>
    <row r="7236" spans="1:28" ht="17.100000000000001" customHeight="1" thickTop="1">
      <c r="A7236" s="226" t="s">
        <v>20136</v>
      </c>
      <c r="B7236" s="28">
        <v>46100</v>
      </c>
      <c r="C7236" s="25">
        <v>1323</v>
      </c>
      <c r="D7236" s="13" t="s">
        <v>2264</v>
      </c>
      <c r="E7236" s="228"/>
      <c r="F7236" s="109" t="s">
        <v>20153</v>
      </c>
      <c r="G7236" s="24"/>
      <c r="H7236" s="230">
        <v>4.5</v>
      </c>
      <c r="I7236" s="220">
        <v>3205000</v>
      </c>
      <c r="J7236" s="220">
        <f>I7236*0.1</f>
        <v>320500</v>
      </c>
      <c r="K7236" s="220">
        <v>0</v>
      </c>
      <c r="L7236" s="220">
        <v>21020</v>
      </c>
      <c r="M7236" s="220">
        <v>16500</v>
      </c>
      <c r="N7236" s="220">
        <f>SUM(I7236:M7237)</f>
        <v>3563020</v>
      </c>
      <c r="O7236" s="224"/>
      <c r="P7236" s="110" t="s">
        <v>20741</v>
      </c>
      <c r="Q7236" s="15" t="s">
        <v>19</v>
      </c>
      <c r="R7236" s="205"/>
      <c r="S7236" s="189" t="s">
        <v>25867</v>
      </c>
      <c r="T7236" s="114" t="s">
        <v>20743</v>
      </c>
      <c r="U7236" s="21"/>
      <c r="V7236" s="115">
        <v>46102</v>
      </c>
      <c r="W7236" s="116">
        <v>1293</v>
      </c>
      <c r="X7236" s="220">
        <v>3400000</v>
      </c>
      <c r="Y7236" s="220">
        <f>X7236*0.1</f>
        <v>340000</v>
      </c>
      <c r="Z7236" s="220">
        <v>21020</v>
      </c>
      <c r="AA7236" s="220">
        <f>SUM(X7236:Z7236)</f>
        <v>3761020</v>
      </c>
      <c r="AB7236" s="222">
        <v>46111</v>
      </c>
    </row>
    <row r="7237" spans="1:28" ht="17.100000000000001" customHeight="1" thickBot="1">
      <c r="A7237" s="227"/>
      <c r="B7237" s="27" t="s">
        <v>1735</v>
      </c>
      <c r="C7237" s="27">
        <v>618</v>
      </c>
      <c r="D7237" s="14" t="s">
        <v>273</v>
      </c>
      <c r="E7237" s="229"/>
      <c r="F7237" s="117" t="s">
        <v>20154</v>
      </c>
      <c r="G7237" s="26" t="s">
        <v>20298</v>
      </c>
      <c r="H7237" s="231"/>
      <c r="I7237" s="221"/>
      <c r="J7237" s="221"/>
      <c r="K7237" s="221"/>
      <c r="L7237" s="221"/>
      <c r="M7237" s="221"/>
      <c r="N7237" s="221"/>
      <c r="O7237" s="225"/>
      <c r="P7237" s="118" t="s">
        <v>20742</v>
      </c>
      <c r="Q7237" s="16" t="s">
        <v>20</v>
      </c>
      <c r="R7237" s="17" t="s">
        <v>20724</v>
      </c>
      <c r="S7237" s="121" t="s">
        <v>20734</v>
      </c>
      <c r="T7237" s="122"/>
      <c r="U7237" s="22"/>
      <c r="V7237" s="123" t="s">
        <v>2472</v>
      </c>
      <c r="W7237" s="122">
        <v>80357</v>
      </c>
      <c r="X7237" s="221"/>
      <c r="Y7237" s="221"/>
      <c r="Z7237" s="221"/>
      <c r="AA7237" s="221"/>
      <c r="AB7237" s="223"/>
    </row>
    <row r="7238" spans="1:28" ht="17.100000000000001" customHeight="1" thickTop="1">
      <c r="A7238" s="226" t="s">
        <v>20137</v>
      </c>
      <c r="B7238" s="28">
        <v>46100</v>
      </c>
      <c r="C7238" s="25">
        <v>2150</v>
      </c>
      <c r="D7238" s="13" t="s">
        <v>1810</v>
      </c>
      <c r="E7238" s="228"/>
      <c r="F7238" s="109" t="s">
        <v>20283</v>
      </c>
      <c r="G7238" s="24"/>
      <c r="H7238" s="230">
        <v>4.5</v>
      </c>
      <c r="I7238" s="220">
        <v>638000</v>
      </c>
      <c r="J7238" s="220">
        <f>I7238*0.1</f>
        <v>63800</v>
      </c>
      <c r="K7238" s="220">
        <v>0</v>
      </c>
      <c r="L7238" s="220">
        <v>6550</v>
      </c>
      <c r="M7238" s="220">
        <v>14300</v>
      </c>
      <c r="N7238" s="220">
        <f>SUM(I7238:M7239)</f>
        <v>722650</v>
      </c>
      <c r="O7238" s="224"/>
      <c r="P7238" s="110" t="s">
        <v>20682</v>
      </c>
      <c r="Q7238" s="15" t="s">
        <v>19</v>
      </c>
      <c r="R7238" s="205"/>
      <c r="S7238" s="189" t="s">
        <v>758</v>
      </c>
      <c r="T7238" s="114"/>
      <c r="U7238" s="21"/>
      <c r="V7238" s="115">
        <v>46120</v>
      </c>
      <c r="W7238" s="116">
        <v>1012</v>
      </c>
      <c r="X7238" s="220">
        <v>660000</v>
      </c>
      <c r="Y7238" s="220">
        <f>X7238*0.1</f>
        <v>66000</v>
      </c>
      <c r="Z7238" s="220">
        <v>6550</v>
      </c>
      <c r="AA7238" s="220">
        <f>SUM(X7238:Z7238)</f>
        <v>732550</v>
      </c>
      <c r="AB7238" s="222">
        <v>46125</v>
      </c>
    </row>
    <row r="7239" spans="1:28" ht="17.100000000000001" customHeight="1" thickBot="1">
      <c r="A7239" s="227"/>
      <c r="B7239" s="27" t="s">
        <v>1918</v>
      </c>
      <c r="C7239" s="27">
        <v>2125</v>
      </c>
      <c r="D7239" s="14" t="s">
        <v>1710</v>
      </c>
      <c r="E7239" s="229"/>
      <c r="F7239" s="117" t="s">
        <v>20193</v>
      </c>
      <c r="G7239" s="26">
        <v>13336</v>
      </c>
      <c r="H7239" s="231"/>
      <c r="I7239" s="221"/>
      <c r="J7239" s="221"/>
      <c r="K7239" s="221"/>
      <c r="L7239" s="221"/>
      <c r="M7239" s="221"/>
      <c r="N7239" s="221"/>
      <c r="O7239" s="225"/>
      <c r="P7239" s="118" t="s">
        <v>20683</v>
      </c>
      <c r="Q7239" s="16" t="s">
        <v>20</v>
      </c>
      <c r="R7239" s="17" t="s">
        <v>2353</v>
      </c>
      <c r="S7239" s="121" t="s">
        <v>1661</v>
      </c>
      <c r="T7239" s="122"/>
      <c r="U7239" s="22"/>
      <c r="V7239" s="123" t="s">
        <v>8877</v>
      </c>
      <c r="W7239" s="122">
        <v>2050</v>
      </c>
      <c r="X7239" s="221"/>
      <c r="Y7239" s="221"/>
      <c r="Z7239" s="221"/>
      <c r="AA7239" s="221"/>
      <c r="AB7239" s="223"/>
    </row>
    <row r="7240" spans="1:28" ht="17.100000000000001" customHeight="1" thickTop="1">
      <c r="A7240" s="226" t="s">
        <v>20138</v>
      </c>
      <c r="B7240" s="28">
        <v>46100</v>
      </c>
      <c r="C7240" s="25">
        <v>2150</v>
      </c>
      <c r="D7240" s="13" t="s">
        <v>2320</v>
      </c>
      <c r="E7240" s="228"/>
      <c r="F7240" s="109" t="s">
        <v>15607</v>
      </c>
      <c r="G7240" s="24" t="s">
        <v>20284</v>
      </c>
      <c r="H7240" s="230">
        <v>5</v>
      </c>
      <c r="I7240" s="220">
        <v>848000</v>
      </c>
      <c r="J7240" s="220">
        <f>I7240*0.1</f>
        <v>84800</v>
      </c>
      <c r="K7240" s="220">
        <v>10800</v>
      </c>
      <c r="L7240" s="220">
        <v>0</v>
      </c>
      <c r="M7240" s="220">
        <v>14300</v>
      </c>
      <c r="N7240" s="220">
        <f>SUM(I7240:M7241)</f>
        <v>957900</v>
      </c>
      <c r="O7240" s="224"/>
      <c r="P7240" s="110" t="s">
        <v>20285</v>
      </c>
      <c r="Q7240" s="15" t="s">
        <v>19</v>
      </c>
      <c r="R7240" s="205"/>
      <c r="S7240" s="189"/>
      <c r="T7240" s="114"/>
      <c r="U7240" s="21"/>
      <c r="V7240" s="115">
        <v>46105</v>
      </c>
      <c r="W7240" s="116">
        <v>1934</v>
      </c>
      <c r="X7240" s="220">
        <v>891000</v>
      </c>
      <c r="Y7240" s="220">
        <f>X7240*0.1</f>
        <v>89100</v>
      </c>
      <c r="Z7240" s="220">
        <v>6550</v>
      </c>
      <c r="AA7240" s="220">
        <f>SUM(X7240:Z7240)</f>
        <v>986650</v>
      </c>
      <c r="AB7240" s="222"/>
    </row>
    <row r="7241" spans="1:28" ht="17.100000000000001" customHeight="1" thickBot="1">
      <c r="A7241" s="227"/>
      <c r="B7241" s="27" t="s">
        <v>1918</v>
      </c>
      <c r="C7241" s="27">
        <v>2134</v>
      </c>
      <c r="D7241" s="14" t="s">
        <v>1710</v>
      </c>
      <c r="E7241" s="229"/>
      <c r="F7241" s="117" t="s">
        <v>20194</v>
      </c>
      <c r="G7241" s="26">
        <v>5456</v>
      </c>
      <c r="H7241" s="231"/>
      <c r="I7241" s="221"/>
      <c r="J7241" s="221"/>
      <c r="K7241" s="221"/>
      <c r="L7241" s="221"/>
      <c r="M7241" s="221"/>
      <c r="N7241" s="221"/>
      <c r="O7241" s="225"/>
      <c r="P7241" s="118" t="s">
        <v>20635</v>
      </c>
      <c r="Q7241" s="16" t="s">
        <v>20</v>
      </c>
      <c r="R7241" s="17" t="s">
        <v>2353</v>
      </c>
      <c r="S7241" s="121" t="s">
        <v>6731</v>
      </c>
      <c r="T7241" s="122"/>
      <c r="U7241" s="22"/>
      <c r="V7241" s="123" t="s">
        <v>2103</v>
      </c>
      <c r="W7241" s="122">
        <v>3439</v>
      </c>
      <c r="X7241" s="221"/>
      <c r="Y7241" s="221"/>
      <c r="Z7241" s="221"/>
      <c r="AA7241" s="221"/>
      <c r="AB7241" s="223"/>
    </row>
    <row r="7242" spans="1:28" ht="17.100000000000001" customHeight="1" thickTop="1">
      <c r="A7242" s="226" t="s">
        <v>20139</v>
      </c>
      <c r="B7242" s="28">
        <v>46100</v>
      </c>
      <c r="C7242" s="25">
        <v>2150</v>
      </c>
      <c r="D7242" s="13" t="s">
        <v>2158</v>
      </c>
      <c r="E7242" s="228"/>
      <c r="F7242" s="109" t="s">
        <v>18095</v>
      </c>
      <c r="G7242" s="24" t="s">
        <v>14359</v>
      </c>
      <c r="H7242" s="230">
        <v>4</v>
      </c>
      <c r="I7242" s="220">
        <v>866000</v>
      </c>
      <c r="J7242" s="220">
        <f>I7242*0.1</f>
        <v>86600</v>
      </c>
      <c r="K7242" s="220">
        <v>10800</v>
      </c>
      <c r="L7242" s="220">
        <v>8110</v>
      </c>
      <c r="M7242" s="220">
        <v>14300</v>
      </c>
      <c r="N7242" s="220">
        <f>SUM(I7242:M7243)</f>
        <v>985810</v>
      </c>
      <c r="O7242" s="224"/>
      <c r="P7242" s="110" t="s">
        <v>20286</v>
      </c>
      <c r="Q7242" s="15" t="s">
        <v>19</v>
      </c>
      <c r="R7242" s="205"/>
      <c r="S7242" s="189" t="s">
        <v>283</v>
      </c>
      <c r="T7242" s="114"/>
      <c r="U7242" s="21"/>
      <c r="V7242" s="115">
        <v>46106</v>
      </c>
      <c r="W7242" s="116">
        <v>1010</v>
      </c>
      <c r="X7242" s="220">
        <v>940000</v>
      </c>
      <c r="Y7242" s="220">
        <f>X7242*0.1</f>
        <v>94000</v>
      </c>
      <c r="Z7242" s="220">
        <v>8110</v>
      </c>
      <c r="AA7242" s="220">
        <f>SUM(X7242:Z7242)</f>
        <v>1042110</v>
      </c>
      <c r="AB7242" s="222">
        <v>46111</v>
      </c>
    </row>
    <row r="7243" spans="1:28" ht="17.100000000000001" customHeight="1" thickBot="1">
      <c r="A7243" s="227"/>
      <c r="B7243" s="27" t="s">
        <v>1918</v>
      </c>
      <c r="C7243" s="27">
        <v>2523</v>
      </c>
      <c r="D7243" s="14" t="s">
        <v>273</v>
      </c>
      <c r="E7243" s="229"/>
      <c r="F7243" s="117" t="s">
        <v>20195</v>
      </c>
      <c r="G7243" s="26">
        <v>53881</v>
      </c>
      <c r="H7243" s="231"/>
      <c r="I7243" s="221"/>
      <c r="J7243" s="221"/>
      <c r="K7243" s="221"/>
      <c r="L7243" s="221"/>
      <c r="M7243" s="221"/>
      <c r="N7243" s="221"/>
      <c r="O7243" s="225"/>
      <c r="P7243" s="118" t="s">
        <v>17266</v>
      </c>
      <c r="Q7243" s="16" t="s">
        <v>20</v>
      </c>
      <c r="R7243" s="17" t="s">
        <v>2353</v>
      </c>
      <c r="S7243" s="121" t="s">
        <v>4413</v>
      </c>
      <c r="T7243" s="122"/>
      <c r="U7243" s="22"/>
      <c r="V7243" s="123" t="s">
        <v>2747</v>
      </c>
      <c r="W7243" s="122">
        <v>5119</v>
      </c>
      <c r="X7243" s="221"/>
      <c r="Y7243" s="221"/>
      <c r="Z7243" s="221"/>
      <c r="AA7243" s="221"/>
      <c r="AB7243" s="223"/>
    </row>
    <row r="7244" spans="1:28" ht="17.100000000000001" customHeight="1" thickTop="1">
      <c r="A7244" s="226" t="s">
        <v>20140</v>
      </c>
      <c r="B7244" s="28">
        <v>46100</v>
      </c>
      <c r="C7244" s="25">
        <v>2150</v>
      </c>
      <c r="D7244" s="13" t="s">
        <v>1021</v>
      </c>
      <c r="E7244" s="228"/>
      <c r="F7244" s="109" t="s">
        <v>7454</v>
      </c>
      <c r="G7244" s="24"/>
      <c r="H7244" s="230">
        <v>4</v>
      </c>
      <c r="I7244" s="220">
        <v>307000</v>
      </c>
      <c r="J7244" s="220">
        <f>I7244*0.1</f>
        <v>30700</v>
      </c>
      <c r="K7244" s="220">
        <v>0</v>
      </c>
      <c r="L7244" s="220">
        <v>9770</v>
      </c>
      <c r="M7244" s="220">
        <v>14300</v>
      </c>
      <c r="N7244" s="220">
        <f>SUM(I7244:M7245)</f>
        <v>361770</v>
      </c>
      <c r="O7244" s="224"/>
      <c r="P7244" s="110" t="s">
        <v>21074</v>
      </c>
      <c r="Q7244" s="15" t="s">
        <v>19</v>
      </c>
      <c r="R7244" s="205"/>
      <c r="S7244" s="189"/>
      <c r="T7244" s="114"/>
      <c r="U7244" s="21"/>
      <c r="V7244" s="115">
        <v>46106</v>
      </c>
      <c r="W7244" s="116">
        <v>1010</v>
      </c>
      <c r="X7244" s="220">
        <v>370000</v>
      </c>
      <c r="Y7244" s="220">
        <f>X7244*0.1</f>
        <v>37000</v>
      </c>
      <c r="Z7244" s="220">
        <v>9770</v>
      </c>
      <c r="AA7244" s="220">
        <f>SUM(X7244:Z7244)</f>
        <v>416770</v>
      </c>
      <c r="AB7244" s="222">
        <v>46112</v>
      </c>
    </row>
    <row r="7245" spans="1:28" ht="17.100000000000001" customHeight="1" thickBot="1">
      <c r="A7245" s="227"/>
      <c r="B7245" s="27" t="s">
        <v>1918</v>
      </c>
      <c r="C7245" s="27">
        <v>2579</v>
      </c>
      <c r="D7245" s="14" t="s">
        <v>16848</v>
      </c>
      <c r="E7245" s="229"/>
      <c r="F7245" s="117" t="s">
        <v>20196</v>
      </c>
      <c r="G7245" s="26">
        <v>28724</v>
      </c>
      <c r="H7245" s="231"/>
      <c r="I7245" s="221"/>
      <c r="J7245" s="221"/>
      <c r="K7245" s="221"/>
      <c r="L7245" s="221"/>
      <c r="M7245" s="221"/>
      <c r="N7245" s="221"/>
      <c r="O7245" s="225"/>
      <c r="P7245" s="118" t="s">
        <v>21075</v>
      </c>
      <c r="Q7245" s="16" t="s">
        <v>20</v>
      </c>
      <c r="R7245" s="17" t="s">
        <v>2662</v>
      </c>
      <c r="S7245" s="121"/>
      <c r="T7245" s="122"/>
      <c r="U7245" s="22"/>
      <c r="V7245" s="123" t="s">
        <v>2747</v>
      </c>
      <c r="W7245" s="122">
        <v>5099</v>
      </c>
      <c r="X7245" s="221"/>
      <c r="Y7245" s="221"/>
      <c r="Z7245" s="221"/>
      <c r="AA7245" s="221"/>
      <c r="AB7245" s="223"/>
    </row>
    <row r="7246" spans="1:28" ht="17.100000000000001" customHeight="1" thickTop="1">
      <c r="A7246" s="226" t="s">
        <v>20141</v>
      </c>
      <c r="B7246" s="28">
        <v>46100</v>
      </c>
      <c r="C7246" s="25">
        <v>2150</v>
      </c>
      <c r="D7246" s="13" t="s">
        <v>1846</v>
      </c>
      <c r="E7246" s="228"/>
      <c r="F7246" s="109" t="s">
        <v>20287</v>
      </c>
      <c r="G7246" s="24" t="s">
        <v>7080</v>
      </c>
      <c r="H7246" s="230">
        <v>4.5</v>
      </c>
      <c r="I7246" s="220">
        <v>758000</v>
      </c>
      <c r="J7246" s="220">
        <f>I7246*0.1</f>
        <v>75800</v>
      </c>
      <c r="K7246" s="220">
        <v>0</v>
      </c>
      <c r="L7246" s="220">
        <v>9200</v>
      </c>
      <c r="M7246" s="220">
        <v>14300</v>
      </c>
      <c r="N7246" s="220">
        <f>SUM(I7246:M7247)</f>
        <v>857300</v>
      </c>
      <c r="O7246" s="224"/>
      <c r="P7246" s="110" t="s">
        <v>21072</v>
      </c>
      <c r="Q7246" s="15" t="s">
        <v>19</v>
      </c>
      <c r="R7246" s="205"/>
      <c r="S7246" s="189" t="s">
        <v>25868</v>
      </c>
      <c r="T7246" s="114"/>
      <c r="U7246" s="21"/>
      <c r="V7246" s="115">
        <v>46106</v>
      </c>
      <c r="W7246" s="116">
        <v>1010</v>
      </c>
      <c r="X7246" s="220">
        <v>870000</v>
      </c>
      <c r="Y7246" s="220">
        <f>X7246*0.1</f>
        <v>87000</v>
      </c>
      <c r="Z7246" s="220">
        <v>9200</v>
      </c>
      <c r="AA7246" s="220">
        <f>SUM(X7246:Z7246)</f>
        <v>966200</v>
      </c>
      <c r="AB7246" s="222">
        <v>46112</v>
      </c>
    </row>
    <row r="7247" spans="1:28" ht="17.100000000000001" customHeight="1" thickBot="1">
      <c r="A7247" s="227"/>
      <c r="B7247" s="27" t="s">
        <v>1918</v>
      </c>
      <c r="C7247" s="27">
        <v>2591</v>
      </c>
      <c r="D7247" s="14" t="s">
        <v>1710</v>
      </c>
      <c r="E7247" s="229"/>
      <c r="F7247" s="117" t="s">
        <v>20197</v>
      </c>
      <c r="G7247" s="26">
        <v>18500</v>
      </c>
      <c r="H7247" s="231"/>
      <c r="I7247" s="221"/>
      <c r="J7247" s="221"/>
      <c r="K7247" s="221"/>
      <c r="L7247" s="221"/>
      <c r="M7247" s="221"/>
      <c r="N7247" s="221"/>
      <c r="O7247" s="225"/>
      <c r="P7247" s="118" t="s">
        <v>21073</v>
      </c>
      <c r="Q7247" s="16" t="s">
        <v>20</v>
      </c>
      <c r="R7247" s="17" t="s">
        <v>2662</v>
      </c>
      <c r="S7247" s="121" t="s">
        <v>20837</v>
      </c>
      <c r="T7247" s="122"/>
      <c r="U7247" s="22"/>
      <c r="V7247" s="123" t="s">
        <v>7161</v>
      </c>
      <c r="W7247" s="122">
        <v>5087</v>
      </c>
      <c r="X7247" s="221"/>
      <c r="Y7247" s="221"/>
      <c r="Z7247" s="221"/>
      <c r="AA7247" s="221"/>
      <c r="AB7247" s="223"/>
    </row>
    <row r="7248" spans="1:28" ht="17.100000000000001" customHeight="1" thickTop="1">
      <c r="A7248" s="226" t="s">
        <v>20142</v>
      </c>
      <c r="B7248" s="28">
        <v>46100</v>
      </c>
      <c r="C7248" s="25">
        <v>2150</v>
      </c>
      <c r="D7248" s="13" t="s">
        <v>4739</v>
      </c>
      <c r="E7248" s="228"/>
      <c r="F7248" s="109" t="s">
        <v>16861</v>
      </c>
      <c r="G7248" s="24" t="s">
        <v>16152</v>
      </c>
      <c r="H7248" s="230">
        <v>4</v>
      </c>
      <c r="I7248" s="220">
        <v>688000</v>
      </c>
      <c r="J7248" s="220">
        <f>I7248*0.1</f>
        <v>68800</v>
      </c>
      <c r="K7248" s="220">
        <v>10800</v>
      </c>
      <c r="L7248" s="220">
        <v>9790</v>
      </c>
      <c r="M7248" s="220">
        <v>14300</v>
      </c>
      <c r="N7248" s="220">
        <f>SUM(I7248:M7249)</f>
        <v>791690</v>
      </c>
      <c r="O7248" s="224"/>
      <c r="P7248" s="110" t="s">
        <v>20288</v>
      </c>
      <c r="Q7248" s="15" t="s">
        <v>19</v>
      </c>
      <c r="R7248" s="205"/>
      <c r="S7248" s="189"/>
      <c r="T7248" s="114"/>
      <c r="U7248" s="21"/>
      <c r="V7248" s="115">
        <v>46106</v>
      </c>
      <c r="W7248" s="116">
        <v>1010</v>
      </c>
      <c r="X7248" s="220">
        <v>700000</v>
      </c>
      <c r="Y7248" s="220">
        <f>X7248*0.1</f>
        <v>70000</v>
      </c>
      <c r="Z7248" s="220">
        <v>9790</v>
      </c>
      <c r="AA7248" s="220">
        <f>SUM(X7248:Z7248)</f>
        <v>779790</v>
      </c>
      <c r="AB7248" s="222">
        <v>46111</v>
      </c>
    </row>
    <row r="7249" spans="1:28" ht="17.100000000000001" customHeight="1" thickBot="1">
      <c r="A7249" s="227"/>
      <c r="B7249" s="27" t="s">
        <v>1918</v>
      </c>
      <c r="C7249" s="27">
        <v>2620</v>
      </c>
      <c r="D7249" s="14" t="s">
        <v>2559</v>
      </c>
      <c r="E7249" s="229"/>
      <c r="F7249" s="117" t="s">
        <v>20198</v>
      </c>
      <c r="G7249" s="26">
        <v>58661</v>
      </c>
      <c r="H7249" s="231"/>
      <c r="I7249" s="221"/>
      <c r="J7249" s="221"/>
      <c r="K7249" s="221"/>
      <c r="L7249" s="221"/>
      <c r="M7249" s="221"/>
      <c r="N7249" s="221"/>
      <c r="O7249" s="225"/>
      <c r="P7249" s="118" t="s">
        <v>20723</v>
      </c>
      <c r="Q7249" s="16" t="s">
        <v>20</v>
      </c>
      <c r="R7249" s="17" t="s">
        <v>20724</v>
      </c>
      <c r="S7249" s="121" t="s">
        <v>11876</v>
      </c>
      <c r="T7249" s="122"/>
      <c r="U7249" s="22"/>
      <c r="V7249" s="123" t="s">
        <v>2747</v>
      </c>
      <c r="W7249" s="122">
        <v>5112</v>
      </c>
      <c r="X7249" s="221"/>
      <c r="Y7249" s="221"/>
      <c r="Z7249" s="221"/>
      <c r="AA7249" s="221"/>
      <c r="AB7249" s="223"/>
    </row>
    <row r="7250" spans="1:28" ht="17.100000000000001" customHeight="1" thickTop="1">
      <c r="A7250" s="226" t="s">
        <v>20143</v>
      </c>
      <c r="B7250" s="28">
        <v>46100</v>
      </c>
      <c r="C7250" s="25">
        <v>2150</v>
      </c>
      <c r="D7250" s="13" t="s">
        <v>1553</v>
      </c>
      <c r="E7250" s="228"/>
      <c r="F7250" s="109" t="s">
        <v>20289</v>
      </c>
      <c r="G7250" s="24" t="s">
        <v>3907</v>
      </c>
      <c r="H7250" s="230">
        <v>4.5</v>
      </c>
      <c r="I7250" s="220">
        <v>685000</v>
      </c>
      <c r="J7250" s="220">
        <f>I7250*0.1</f>
        <v>68500</v>
      </c>
      <c r="K7250" s="220">
        <v>10800</v>
      </c>
      <c r="L7250" s="220">
        <v>9790</v>
      </c>
      <c r="M7250" s="220">
        <v>14300</v>
      </c>
      <c r="N7250" s="220">
        <f>SUM(I7250:M7251)</f>
        <v>788390</v>
      </c>
      <c r="O7250" s="224"/>
      <c r="P7250" s="110" t="s">
        <v>20290</v>
      </c>
      <c r="Q7250" s="15" t="s">
        <v>19</v>
      </c>
      <c r="R7250" s="205"/>
      <c r="S7250" s="189" t="s">
        <v>25429</v>
      </c>
      <c r="T7250" s="114"/>
      <c r="U7250" s="21"/>
      <c r="V7250" s="115">
        <v>46105</v>
      </c>
      <c r="W7250" s="116">
        <v>1934</v>
      </c>
      <c r="X7250" s="220">
        <v>716000</v>
      </c>
      <c r="Y7250" s="220">
        <f>X7250*0.1</f>
        <v>71600</v>
      </c>
      <c r="Z7250" s="220">
        <v>9790</v>
      </c>
      <c r="AA7250" s="220">
        <f>SUM(X7250:Z7250)</f>
        <v>797390</v>
      </c>
      <c r="AB7250" s="222"/>
    </row>
    <row r="7251" spans="1:28" ht="17.100000000000001" customHeight="1" thickBot="1">
      <c r="A7251" s="227"/>
      <c r="B7251" s="27" t="s">
        <v>1918</v>
      </c>
      <c r="C7251" s="27">
        <v>2636</v>
      </c>
      <c r="D7251" s="14" t="s">
        <v>14913</v>
      </c>
      <c r="E7251" s="229"/>
      <c r="F7251" s="117" t="s">
        <v>20199</v>
      </c>
      <c r="G7251" s="26">
        <v>47170</v>
      </c>
      <c r="H7251" s="231"/>
      <c r="I7251" s="221"/>
      <c r="J7251" s="221"/>
      <c r="K7251" s="221"/>
      <c r="L7251" s="221"/>
      <c r="M7251" s="221"/>
      <c r="N7251" s="221"/>
      <c r="O7251" s="225"/>
      <c r="P7251" s="118" t="s">
        <v>20725</v>
      </c>
      <c r="Q7251" s="16" t="s">
        <v>20</v>
      </c>
      <c r="R7251" s="17" t="s">
        <v>20724</v>
      </c>
      <c r="S7251" s="121" t="s">
        <v>20726</v>
      </c>
      <c r="T7251" s="122"/>
      <c r="U7251" s="22"/>
      <c r="V7251" s="123" t="s">
        <v>2103</v>
      </c>
      <c r="W7251" s="122">
        <v>3435</v>
      </c>
      <c r="X7251" s="221"/>
      <c r="Y7251" s="221"/>
      <c r="Z7251" s="221"/>
      <c r="AA7251" s="221"/>
      <c r="AB7251" s="223"/>
    </row>
    <row r="7252" spans="1:28" ht="17.100000000000001" customHeight="1" thickTop="1">
      <c r="A7252" s="226" t="s">
        <v>20144</v>
      </c>
      <c r="B7252" s="28">
        <v>46100</v>
      </c>
      <c r="C7252" s="25">
        <v>2150</v>
      </c>
      <c r="D7252" s="13" t="s">
        <v>1748</v>
      </c>
      <c r="E7252" s="228"/>
      <c r="F7252" s="109" t="s">
        <v>20291</v>
      </c>
      <c r="G7252" s="24" t="s">
        <v>20292</v>
      </c>
      <c r="H7252" s="230">
        <v>4</v>
      </c>
      <c r="I7252" s="220">
        <v>1243000</v>
      </c>
      <c r="J7252" s="220">
        <f>I7252*0.1</f>
        <v>124300</v>
      </c>
      <c r="K7252" s="220">
        <v>10800</v>
      </c>
      <c r="L7252" s="220">
        <v>8550</v>
      </c>
      <c r="M7252" s="220">
        <v>14300</v>
      </c>
      <c r="N7252" s="220">
        <f>SUM(I7252:M7253)</f>
        <v>1400950</v>
      </c>
      <c r="O7252" s="224"/>
      <c r="P7252" s="110" t="s">
        <v>20293</v>
      </c>
      <c r="Q7252" s="15" t="s">
        <v>19</v>
      </c>
      <c r="R7252" s="205"/>
      <c r="S7252" s="189" t="s">
        <v>25869</v>
      </c>
      <c r="T7252" s="114"/>
      <c r="U7252" s="21" t="s">
        <v>21868</v>
      </c>
      <c r="V7252" s="115">
        <v>46120</v>
      </c>
      <c r="W7252" s="116">
        <v>1012</v>
      </c>
      <c r="X7252" s="220">
        <v>1290000</v>
      </c>
      <c r="Y7252" s="220">
        <f>X7252*0.1</f>
        <v>129000</v>
      </c>
      <c r="Z7252" s="220">
        <v>8550</v>
      </c>
      <c r="AA7252" s="220">
        <f>SUM(X7252:Z7252)</f>
        <v>1427550</v>
      </c>
      <c r="AB7252" s="222">
        <v>46125</v>
      </c>
    </row>
    <row r="7253" spans="1:28" ht="17.100000000000001" customHeight="1" thickBot="1">
      <c r="A7253" s="227"/>
      <c r="B7253" s="27" t="s">
        <v>1918</v>
      </c>
      <c r="C7253" s="27">
        <v>2644</v>
      </c>
      <c r="D7253" s="14" t="s">
        <v>1584</v>
      </c>
      <c r="E7253" s="229"/>
      <c r="F7253" s="117" t="s">
        <v>20200</v>
      </c>
      <c r="G7253" s="26">
        <v>46642</v>
      </c>
      <c r="H7253" s="231"/>
      <c r="I7253" s="221"/>
      <c r="J7253" s="221"/>
      <c r="K7253" s="221"/>
      <c r="L7253" s="221"/>
      <c r="M7253" s="221"/>
      <c r="N7253" s="221"/>
      <c r="O7253" s="225"/>
      <c r="P7253" s="118" t="s">
        <v>20681</v>
      </c>
      <c r="Q7253" s="16" t="s">
        <v>20</v>
      </c>
      <c r="R7253" s="17" t="s">
        <v>2353</v>
      </c>
      <c r="S7253" s="121" t="s">
        <v>1601</v>
      </c>
      <c r="T7253" s="122"/>
      <c r="U7253" s="22"/>
      <c r="V7253" s="123" t="s">
        <v>2747</v>
      </c>
      <c r="W7253" s="122">
        <v>2022</v>
      </c>
      <c r="X7253" s="221"/>
      <c r="Y7253" s="221"/>
      <c r="Z7253" s="221"/>
      <c r="AA7253" s="221"/>
      <c r="AB7253" s="223"/>
    </row>
    <row r="7254" spans="1:28" ht="17.100000000000001" customHeight="1" thickTop="1">
      <c r="A7254" s="226" t="s">
        <v>20145</v>
      </c>
      <c r="B7254" s="28">
        <v>46100</v>
      </c>
      <c r="C7254" s="25">
        <v>1558</v>
      </c>
      <c r="D7254" s="13" t="s">
        <v>3857</v>
      </c>
      <c r="E7254" s="228"/>
      <c r="F7254" s="109" t="s">
        <v>15705</v>
      </c>
      <c r="G7254" s="24" t="s">
        <v>20300</v>
      </c>
      <c r="H7254" s="230">
        <v>4</v>
      </c>
      <c r="I7254" s="220">
        <v>1410000</v>
      </c>
      <c r="J7254" s="220">
        <f>I7254*0.1</f>
        <v>141000</v>
      </c>
      <c r="K7254" s="220">
        <v>39500</v>
      </c>
      <c r="L7254" s="220">
        <v>19090</v>
      </c>
      <c r="M7254" s="220">
        <v>16500</v>
      </c>
      <c r="N7254" s="220">
        <f>SUM(I7254:M7255)</f>
        <v>1626090</v>
      </c>
      <c r="O7254" s="224"/>
      <c r="P7254" s="110" t="s">
        <v>20301</v>
      </c>
      <c r="Q7254" s="15" t="s">
        <v>19</v>
      </c>
      <c r="R7254" s="205"/>
      <c r="S7254" s="189" t="s">
        <v>25433</v>
      </c>
      <c r="T7254" s="114"/>
      <c r="U7254" s="21"/>
      <c r="V7254" s="115">
        <v>46121</v>
      </c>
      <c r="W7254" s="116">
        <v>1326</v>
      </c>
      <c r="X7254" s="220">
        <v>1560000</v>
      </c>
      <c r="Y7254" s="220">
        <f>X7254*0.1</f>
        <v>156000</v>
      </c>
      <c r="Z7254" s="220">
        <v>19090</v>
      </c>
      <c r="AA7254" s="220">
        <f>SUM(X7254:Z7254)</f>
        <v>1735090</v>
      </c>
      <c r="AB7254" s="222">
        <v>46122</v>
      </c>
    </row>
    <row r="7255" spans="1:28" ht="17.100000000000001" customHeight="1" thickBot="1">
      <c r="A7255" s="227"/>
      <c r="B7255" s="27" t="s">
        <v>1592</v>
      </c>
      <c r="C7255" s="27">
        <v>78046</v>
      </c>
      <c r="D7255" s="14" t="s">
        <v>273</v>
      </c>
      <c r="E7255" s="229"/>
      <c r="F7255" s="117" t="s">
        <v>20299</v>
      </c>
      <c r="G7255" s="26">
        <v>63868</v>
      </c>
      <c r="H7255" s="231"/>
      <c r="I7255" s="221"/>
      <c r="J7255" s="221"/>
      <c r="K7255" s="221"/>
      <c r="L7255" s="221"/>
      <c r="M7255" s="221"/>
      <c r="N7255" s="221"/>
      <c r="O7255" s="225"/>
      <c r="P7255" s="118" t="s">
        <v>20774</v>
      </c>
      <c r="Q7255" s="16" t="s">
        <v>20</v>
      </c>
      <c r="R7255" s="17" t="s">
        <v>20775</v>
      </c>
      <c r="S7255" s="121" t="s">
        <v>16672</v>
      </c>
      <c r="T7255" s="122"/>
      <c r="U7255" s="22"/>
      <c r="V7255" s="123" t="s">
        <v>13379</v>
      </c>
      <c r="W7255" s="122">
        <v>85</v>
      </c>
      <c r="X7255" s="221"/>
      <c r="Y7255" s="221"/>
      <c r="Z7255" s="221"/>
      <c r="AA7255" s="221"/>
      <c r="AB7255" s="223"/>
    </row>
    <row r="7256" spans="1:28" ht="17.100000000000001" customHeight="1" thickTop="1">
      <c r="A7256" s="226" t="s">
        <v>20155</v>
      </c>
      <c r="B7256" s="28">
        <v>46100</v>
      </c>
      <c r="C7256" s="25">
        <v>1975</v>
      </c>
      <c r="D7256" s="13" t="s">
        <v>2429</v>
      </c>
      <c r="E7256" s="228"/>
      <c r="F7256" s="109" t="s">
        <v>15469</v>
      </c>
      <c r="G7256" s="24"/>
      <c r="H7256" s="230">
        <v>3.5</v>
      </c>
      <c r="I7256" s="220">
        <v>1184000</v>
      </c>
      <c r="J7256" s="220">
        <f>I7256*0.1</f>
        <v>118400</v>
      </c>
      <c r="K7256" s="220">
        <v>0</v>
      </c>
      <c r="L7256" s="220">
        <v>11480</v>
      </c>
      <c r="M7256" s="220">
        <v>15950</v>
      </c>
      <c r="N7256" s="220">
        <f>SUM(I7256:M7257)</f>
        <v>1329830</v>
      </c>
      <c r="O7256" s="224"/>
      <c r="P7256" s="110" t="s">
        <v>20730</v>
      </c>
      <c r="Q7256" s="15" t="s">
        <v>19</v>
      </c>
      <c r="R7256" s="205"/>
      <c r="S7256" s="189"/>
      <c r="T7256" s="114"/>
      <c r="U7256" s="21"/>
      <c r="V7256" s="115"/>
      <c r="W7256" s="116"/>
      <c r="X7256" s="220"/>
      <c r="Y7256" s="220">
        <f>X7256*0.1</f>
        <v>0</v>
      </c>
      <c r="Z7256" s="220"/>
      <c r="AA7256" s="220">
        <f>SUM(X7256:Z7256)</f>
        <v>0</v>
      </c>
      <c r="AB7256" s="222"/>
    </row>
    <row r="7257" spans="1:28" ht="17.100000000000001" customHeight="1" thickBot="1">
      <c r="A7257" s="227"/>
      <c r="B7257" s="27" t="s">
        <v>3730</v>
      </c>
      <c r="C7257" s="27">
        <v>28</v>
      </c>
      <c r="D7257" s="14" t="s">
        <v>273</v>
      </c>
      <c r="E7257" s="229"/>
      <c r="F7257" s="117" t="s">
        <v>20201</v>
      </c>
      <c r="G7257" s="26">
        <v>104119</v>
      </c>
      <c r="H7257" s="231"/>
      <c r="I7257" s="221"/>
      <c r="J7257" s="221"/>
      <c r="K7257" s="221"/>
      <c r="L7257" s="221"/>
      <c r="M7257" s="221"/>
      <c r="N7257" s="221"/>
      <c r="O7257" s="225"/>
      <c r="P7257" s="118" t="s">
        <v>20731</v>
      </c>
      <c r="Q7257" s="16" t="s">
        <v>20</v>
      </c>
      <c r="R7257" s="17" t="s">
        <v>20724</v>
      </c>
      <c r="S7257" s="121" t="s">
        <v>20768</v>
      </c>
      <c r="T7257" s="122"/>
      <c r="U7257" s="22"/>
      <c r="V7257" s="123"/>
      <c r="W7257" s="122"/>
      <c r="X7257" s="221"/>
      <c r="Y7257" s="221"/>
      <c r="Z7257" s="221"/>
      <c r="AA7257" s="221"/>
      <c r="AB7257" s="223"/>
    </row>
    <row r="7258" spans="1:28" ht="17.100000000000001" customHeight="1" thickTop="1">
      <c r="A7258" s="226" t="s">
        <v>20156</v>
      </c>
      <c r="B7258" s="28">
        <v>46100</v>
      </c>
      <c r="C7258" s="25">
        <v>1975</v>
      </c>
      <c r="D7258" s="13" t="s">
        <v>1598</v>
      </c>
      <c r="E7258" s="228"/>
      <c r="F7258" s="109" t="s">
        <v>16312</v>
      </c>
      <c r="G7258" s="24" t="s">
        <v>2536</v>
      </c>
      <c r="H7258" s="230">
        <v>4</v>
      </c>
      <c r="I7258" s="220">
        <v>694000</v>
      </c>
      <c r="J7258" s="220">
        <f>I7258*0.1</f>
        <v>69400</v>
      </c>
      <c r="K7258" s="220">
        <v>10800</v>
      </c>
      <c r="L7258" s="220">
        <v>9790</v>
      </c>
      <c r="M7258" s="220">
        <v>17050</v>
      </c>
      <c r="N7258" s="220">
        <f>SUM(I7258:M7259)</f>
        <v>801040</v>
      </c>
      <c r="O7258" s="224"/>
      <c r="P7258" s="110" t="s">
        <v>20684</v>
      </c>
      <c r="Q7258" s="15" t="s">
        <v>19</v>
      </c>
      <c r="R7258" s="205"/>
      <c r="S7258" s="189" t="s">
        <v>25432</v>
      </c>
      <c r="T7258" s="114"/>
      <c r="U7258" s="21" t="s">
        <v>23159</v>
      </c>
      <c r="V7258" s="115">
        <v>46141</v>
      </c>
      <c r="W7258" s="116">
        <v>1015</v>
      </c>
      <c r="X7258" s="220">
        <v>780000</v>
      </c>
      <c r="Y7258" s="220">
        <f>X7258*0.1</f>
        <v>78000</v>
      </c>
      <c r="Z7258" s="220">
        <v>9790</v>
      </c>
      <c r="AA7258" s="220">
        <f>SUM(X7258:Z7258)</f>
        <v>867790</v>
      </c>
      <c r="AB7258" s="222">
        <v>46153</v>
      </c>
    </row>
    <row r="7259" spans="1:28" ht="17.100000000000001" customHeight="1" thickBot="1">
      <c r="A7259" s="227"/>
      <c r="B7259" s="27" t="s">
        <v>3730</v>
      </c>
      <c r="C7259" s="27">
        <v>3029</v>
      </c>
      <c r="D7259" s="14" t="s">
        <v>273</v>
      </c>
      <c r="E7259" s="229"/>
      <c r="F7259" s="117" t="s">
        <v>20202</v>
      </c>
      <c r="G7259" s="26">
        <v>57528</v>
      </c>
      <c r="H7259" s="231"/>
      <c r="I7259" s="221"/>
      <c r="J7259" s="221"/>
      <c r="K7259" s="221"/>
      <c r="L7259" s="221"/>
      <c r="M7259" s="221"/>
      <c r="N7259" s="221"/>
      <c r="O7259" s="225"/>
      <c r="P7259" s="118" t="s">
        <v>4962</v>
      </c>
      <c r="Q7259" s="16" t="s">
        <v>20</v>
      </c>
      <c r="R7259" s="17" t="s">
        <v>2353</v>
      </c>
      <c r="S7259" s="121" t="s">
        <v>20772</v>
      </c>
      <c r="T7259" s="122"/>
      <c r="U7259" s="22"/>
      <c r="V7259" s="123" t="s">
        <v>2747</v>
      </c>
      <c r="W7259" s="122">
        <v>2019</v>
      </c>
      <c r="X7259" s="221"/>
      <c r="Y7259" s="221"/>
      <c r="Z7259" s="221"/>
      <c r="AA7259" s="221"/>
      <c r="AB7259" s="223"/>
    </row>
    <row r="7260" spans="1:28" ht="17.100000000000001" customHeight="1" thickTop="1">
      <c r="A7260" s="226" t="s">
        <v>20157</v>
      </c>
      <c r="B7260" s="28">
        <v>46100</v>
      </c>
      <c r="C7260" s="25">
        <v>2019</v>
      </c>
      <c r="D7260" s="13" t="s">
        <v>1704</v>
      </c>
      <c r="E7260" s="228"/>
      <c r="F7260" s="109" t="s">
        <v>20203</v>
      </c>
      <c r="G7260" s="24"/>
      <c r="H7260" s="230">
        <v>4</v>
      </c>
      <c r="I7260" s="220">
        <v>1106000</v>
      </c>
      <c r="J7260" s="220">
        <f>I7260*0.1</f>
        <v>110600</v>
      </c>
      <c r="K7260" s="220">
        <v>0</v>
      </c>
      <c r="L7260" s="220">
        <v>8170</v>
      </c>
      <c r="M7260" s="220">
        <v>22000</v>
      </c>
      <c r="N7260" s="220">
        <f>SUM(I7260:M7261)</f>
        <v>1246770</v>
      </c>
      <c r="O7260" s="224"/>
      <c r="P7260" s="110" t="s">
        <v>20644</v>
      </c>
      <c r="Q7260" s="15" t="s">
        <v>19</v>
      </c>
      <c r="R7260" s="205"/>
      <c r="S7260" s="189" t="s">
        <v>25507</v>
      </c>
      <c r="T7260" s="114"/>
      <c r="U7260" s="21"/>
      <c r="V7260" s="115">
        <v>46106</v>
      </c>
      <c r="W7260" s="116">
        <v>1010</v>
      </c>
      <c r="X7260" s="220">
        <v>1185000</v>
      </c>
      <c r="Y7260" s="220">
        <f>X7260*0.1</f>
        <v>118500</v>
      </c>
      <c r="Z7260" s="220">
        <v>8170</v>
      </c>
      <c r="AA7260" s="220">
        <f>SUM(X7260:Z7260)</f>
        <v>1311670</v>
      </c>
      <c r="AB7260" s="222">
        <v>46111</v>
      </c>
    </row>
    <row r="7261" spans="1:28" ht="17.100000000000001" customHeight="1" thickBot="1">
      <c r="A7261" s="227"/>
      <c r="B7261" s="27" t="s">
        <v>2680</v>
      </c>
      <c r="C7261" s="27">
        <v>30010</v>
      </c>
      <c r="D7261" s="14" t="s">
        <v>2559</v>
      </c>
      <c r="E7261" s="229"/>
      <c r="F7261" s="117" t="s">
        <v>20204</v>
      </c>
      <c r="G7261" s="26">
        <v>43260</v>
      </c>
      <c r="H7261" s="231"/>
      <c r="I7261" s="221"/>
      <c r="J7261" s="221"/>
      <c r="K7261" s="221"/>
      <c r="L7261" s="221"/>
      <c r="M7261" s="221"/>
      <c r="N7261" s="221"/>
      <c r="O7261" s="225"/>
      <c r="P7261" s="118" t="s">
        <v>20645</v>
      </c>
      <c r="Q7261" s="16" t="s">
        <v>20</v>
      </c>
      <c r="R7261" s="17" t="s">
        <v>2353</v>
      </c>
      <c r="S7261" s="121" t="s">
        <v>2312</v>
      </c>
      <c r="T7261" s="122"/>
      <c r="U7261" s="22"/>
      <c r="V7261" s="123" t="s">
        <v>2747</v>
      </c>
      <c r="W7261" s="122">
        <v>5078</v>
      </c>
      <c r="X7261" s="221"/>
      <c r="Y7261" s="221"/>
      <c r="Z7261" s="221"/>
      <c r="AA7261" s="221"/>
      <c r="AB7261" s="223"/>
    </row>
    <row r="7262" spans="1:28" ht="17.100000000000001" customHeight="1" thickTop="1">
      <c r="A7262" s="226" t="s">
        <v>20158</v>
      </c>
      <c r="B7262" s="28">
        <v>46100</v>
      </c>
      <c r="C7262" s="25">
        <v>2019</v>
      </c>
      <c r="D7262" s="13" t="s">
        <v>1837</v>
      </c>
      <c r="E7262" s="228"/>
      <c r="F7262" s="109" t="s">
        <v>20303</v>
      </c>
      <c r="G7262" s="24" t="s">
        <v>1540</v>
      </c>
      <c r="H7262" s="230">
        <v>4.5</v>
      </c>
      <c r="I7262" s="220">
        <v>1560000</v>
      </c>
      <c r="J7262" s="220">
        <f>I7262*0.1</f>
        <v>156000</v>
      </c>
      <c r="K7262" s="220">
        <v>36000</v>
      </c>
      <c r="L7262" s="220">
        <v>9490</v>
      </c>
      <c r="M7262" s="220">
        <v>22000</v>
      </c>
      <c r="N7262" s="220">
        <f>SUM(I7262:M7263)</f>
        <v>1783490</v>
      </c>
      <c r="O7262" s="224"/>
      <c r="P7262" s="110" t="s">
        <v>20302</v>
      </c>
      <c r="Q7262" s="15" t="s">
        <v>19</v>
      </c>
      <c r="R7262" s="205"/>
      <c r="S7262" s="189" t="s">
        <v>25559</v>
      </c>
      <c r="T7262" s="114"/>
      <c r="U7262" s="21"/>
      <c r="V7262" s="115">
        <v>46113</v>
      </c>
      <c r="W7262" s="116">
        <v>1011</v>
      </c>
      <c r="X7262" s="220">
        <v>1640000</v>
      </c>
      <c r="Y7262" s="220">
        <f>X7262*0.1</f>
        <v>164000</v>
      </c>
      <c r="Z7262" s="220">
        <v>9490</v>
      </c>
      <c r="AA7262" s="220">
        <f>SUM(X7262:Z7262)</f>
        <v>1813490</v>
      </c>
      <c r="AB7262" s="222">
        <v>46118</v>
      </c>
    </row>
    <row r="7263" spans="1:28" ht="17.100000000000001" customHeight="1" thickBot="1">
      <c r="A7263" s="227"/>
      <c r="B7263" s="27" t="s">
        <v>2680</v>
      </c>
      <c r="C7263" s="27">
        <v>30085</v>
      </c>
      <c r="D7263" s="14" t="s">
        <v>131</v>
      </c>
      <c r="E7263" s="229"/>
      <c r="F7263" s="117" t="s">
        <v>20205</v>
      </c>
      <c r="G7263" s="26">
        <v>39389</v>
      </c>
      <c r="H7263" s="231"/>
      <c r="I7263" s="221"/>
      <c r="J7263" s="221"/>
      <c r="K7263" s="221"/>
      <c r="L7263" s="221"/>
      <c r="M7263" s="221"/>
      <c r="N7263" s="221"/>
      <c r="O7263" s="225"/>
      <c r="P7263" s="118" t="s">
        <v>20679</v>
      </c>
      <c r="Q7263" s="16" t="s">
        <v>20</v>
      </c>
      <c r="R7263" s="17" t="s">
        <v>2353</v>
      </c>
      <c r="S7263" s="121" t="s">
        <v>20764</v>
      </c>
      <c r="T7263" s="122"/>
      <c r="U7263" s="22"/>
      <c r="V7263" s="123" t="s">
        <v>2747</v>
      </c>
      <c r="W7263" s="122">
        <v>6015</v>
      </c>
      <c r="X7263" s="221"/>
      <c r="Y7263" s="221"/>
      <c r="Z7263" s="221"/>
      <c r="AA7263" s="221"/>
      <c r="AB7263" s="223"/>
    </row>
    <row r="7264" spans="1:28" ht="17.100000000000001" customHeight="1" thickTop="1">
      <c r="A7264" s="226" t="s">
        <v>20159</v>
      </c>
      <c r="B7264" s="28">
        <v>46100</v>
      </c>
      <c r="C7264" s="25">
        <v>2019</v>
      </c>
      <c r="D7264" s="13" t="s">
        <v>2150</v>
      </c>
      <c r="E7264" s="228"/>
      <c r="F7264" s="109" t="s">
        <v>20304</v>
      </c>
      <c r="G7264" s="24" t="s">
        <v>2487</v>
      </c>
      <c r="H7264" s="230">
        <v>4</v>
      </c>
      <c r="I7264" s="220">
        <v>2341000</v>
      </c>
      <c r="J7264" s="220">
        <f>I7264*0.1</f>
        <v>234100</v>
      </c>
      <c r="K7264" s="220">
        <v>16000</v>
      </c>
      <c r="L7264" s="220">
        <v>9550</v>
      </c>
      <c r="M7264" s="220">
        <v>22000</v>
      </c>
      <c r="N7264" s="220">
        <f>SUM(I7264:M7265)</f>
        <v>2622650</v>
      </c>
      <c r="O7264" s="224"/>
      <c r="P7264" s="110" t="s">
        <v>20305</v>
      </c>
      <c r="Q7264" s="15" t="s">
        <v>19</v>
      </c>
      <c r="R7264" s="205"/>
      <c r="S7264" s="189" t="s">
        <v>283</v>
      </c>
      <c r="T7264" s="114"/>
      <c r="U7264" s="21"/>
      <c r="V7264" s="115">
        <v>46106</v>
      </c>
      <c r="W7264" s="116">
        <v>1010</v>
      </c>
      <c r="X7264" s="220">
        <v>2415000</v>
      </c>
      <c r="Y7264" s="220">
        <f>X7264*0.1</f>
        <v>241500</v>
      </c>
      <c r="Z7264" s="220">
        <v>9550</v>
      </c>
      <c r="AA7264" s="220">
        <f>SUM(X7264:Z7264)</f>
        <v>2666050</v>
      </c>
      <c r="AB7264" s="222">
        <v>46111</v>
      </c>
    </row>
    <row r="7265" spans="1:28" ht="17.100000000000001" customHeight="1" thickBot="1">
      <c r="A7265" s="227"/>
      <c r="B7265" s="27" t="s">
        <v>2680</v>
      </c>
      <c r="C7265" s="27">
        <v>30121</v>
      </c>
      <c r="D7265" s="14" t="s">
        <v>2559</v>
      </c>
      <c r="E7265" s="229"/>
      <c r="F7265" s="117" t="s">
        <v>20206</v>
      </c>
      <c r="G7265" s="26">
        <v>29450</v>
      </c>
      <c r="H7265" s="231"/>
      <c r="I7265" s="221"/>
      <c r="J7265" s="221"/>
      <c r="K7265" s="221"/>
      <c r="L7265" s="221"/>
      <c r="M7265" s="221"/>
      <c r="N7265" s="221"/>
      <c r="O7265" s="225"/>
      <c r="P7265" s="118" t="s">
        <v>20633</v>
      </c>
      <c r="Q7265" s="16" t="s">
        <v>20</v>
      </c>
      <c r="R7265" s="17" t="s">
        <v>2353</v>
      </c>
      <c r="S7265" s="121" t="s">
        <v>20634</v>
      </c>
      <c r="T7265" s="122"/>
      <c r="U7265" s="22"/>
      <c r="V7265" s="123" t="s">
        <v>2747</v>
      </c>
      <c r="W7265" s="122">
        <v>5095</v>
      </c>
      <c r="X7265" s="221"/>
      <c r="Y7265" s="221"/>
      <c r="Z7265" s="221"/>
      <c r="AA7265" s="221"/>
      <c r="AB7265" s="223"/>
    </row>
    <row r="7266" spans="1:28" ht="17.100000000000001" customHeight="1" thickTop="1">
      <c r="A7266" s="226" t="s">
        <v>20160</v>
      </c>
      <c r="B7266" s="28">
        <v>46100</v>
      </c>
      <c r="C7266" s="25">
        <v>2019</v>
      </c>
      <c r="D7266" s="13" t="s">
        <v>1908</v>
      </c>
      <c r="E7266" s="228"/>
      <c r="F7266" s="109" t="s">
        <v>20306</v>
      </c>
      <c r="G7266" s="24"/>
      <c r="H7266" s="230">
        <v>4</v>
      </c>
      <c r="I7266" s="220">
        <v>896000</v>
      </c>
      <c r="J7266" s="220">
        <f>I7266*0.1</f>
        <v>89600</v>
      </c>
      <c r="K7266" s="220">
        <v>0</v>
      </c>
      <c r="L7266" s="220">
        <v>12500</v>
      </c>
      <c r="M7266" s="220">
        <v>22000</v>
      </c>
      <c r="N7266" s="220">
        <f>SUM(I7266:M7267)</f>
        <v>1020100</v>
      </c>
      <c r="O7266" s="224"/>
      <c r="P7266" s="110" t="s">
        <v>20648</v>
      </c>
      <c r="Q7266" s="15" t="s">
        <v>19</v>
      </c>
      <c r="R7266" s="205"/>
      <c r="S7266" s="189" t="s">
        <v>25870</v>
      </c>
      <c r="T7266" s="114"/>
      <c r="U7266" s="21"/>
      <c r="V7266" s="115">
        <v>46106</v>
      </c>
      <c r="W7266" s="116">
        <v>1010</v>
      </c>
      <c r="X7266" s="220">
        <v>940000</v>
      </c>
      <c r="Y7266" s="220">
        <f>X7266*0.1</f>
        <v>94000</v>
      </c>
      <c r="Z7266" s="220">
        <v>12500</v>
      </c>
      <c r="AA7266" s="220">
        <f>SUM(X7266:Z7266)</f>
        <v>1046500</v>
      </c>
      <c r="AB7266" s="222">
        <v>46111</v>
      </c>
    </row>
    <row r="7267" spans="1:28" ht="17.100000000000001" customHeight="1" thickBot="1">
      <c r="A7267" s="227"/>
      <c r="B7267" s="27" t="s">
        <v>2680</v>
      </c>
      <c r="C7267" s="27">
        <v>30140</v>
      </c>
      <c r="D7267" s="14" t="s">
        <v>1710</v>
      </c>
      <c r="E7267" s="229"/>
      <c r="F7267" s="117" t="s">
        <v>20207</v>
      </c>
      <c r="G7267" s="26">
        <v>42314</v>
      </c>
      <c r="H7267" s="231"/>
      <c r="I7267" s="221"/>
      <c r="J7267" s="221"/>
      <c r="K7267" s="221"/>
      <c r="L7267" s="221"/>
      <c r="M7267" s="221"/>
      <c r="N7267" s="221"/>
      <c r="O7267" s="225"/>
      <c r="P7267" s="118" t="s">
        <v>20649</v>
      </c>
      <c r="Q7267" s="16" t="s">
        <v>20</v>
      </c>
      <c r="R7267" s="17" t="s">
        <v>2353</v>
      </c>
      <c r="S7267" s="121" t="s">
        <v>10350</v>
      </c>
      <c r="T7267" s="122"/>
      <c r="U7267" s="22"/>
      <c r="V7267" s="123" t="s">
        <v>2747</v>
      </c>
      <c r="W7267" s="122">
        <v>5092</v>
      </c>
      <c r="X7267" s="221"/>
      <c r="Y7267" s="221"/>
      <c r="Z7267" s="221"/>
      <c r="AA7267" s="221"/>
      <c r="AB7267" s="223"/>
    </row>
    <row r="7268" spans="1:28" ht="17.100000000000001" customHeight="1" thickTop="1">
      <c r="A7268" s="226" t="s">
        <v>20161</v>
      </c>
      <c r="B7268" s="28">
        <v>46100</v>
      </c>
      <c r="C7268" s="25">
        <v>2019</v>
      </c>
      <c r="D7268" s="13" t="s">
        <v>3474</v>
      </c>
      <c r="E7268" s="228"/>
      <c r="F7268" s="109" t="s">
        <v>16310</v>
      </c>
      <c r="G7268" s="24" t="s">
        <v>2084</v>
      </c>
      <c r="H7268" s="230">
        <v>4.5</v>
      </c>
      <c r="I7268" s="220">
        <v>1412000</v>
      </c>
      <c r="J7268" s="220">
        <f>I7268*0.1</f>
        <v>141200</v>
      </c>
      <c r="K7268" s="220">
        <v>0</v>
      </c>
      <c r="L7268" s="220">
        <v>8640</v>
      </c>
      <c r="M7268" s="220">
        <v>22000</v>
      </c>
      <c r="N7268" s="220">
        <f>SUM(I7268:M7269)</f>
        <v>1583840</v>
      </c>
      <c r="O7268" s="224"/>
      <c r="P7268" s="110" t="s">
        <v>20307</v>
      </c>
      <c r="Q7268" s="15" t="s">
        <v>19</v>
      </c>
      <c r="R7268" s="205"/>
      <c r="S7268" s="189" t="s">
        <v>25871</v>
      </c>
      <c r="T7268" s="114"/>
      <c r="U7268" s="21" t="s">
        <v>21373</v>
      </c>
      <c r="V7268" s="115">
        <v>46113</v>
      </c>
      <c r="W7268" s="116">
        <v>1011</v>
      </c>
      <c r="X7268" s="220">
        <v>1450000</v>
      </c>
      <c r="Y7268" s="220">
        <f>X7268*0.1</f>
        <v>145000</v>
      </c>
      <c r="Z7268" s="220">
        <v>8640</v>
      </c>
      <c r="AA7268" s="220">
        <f>SUM(X7268:Z7268)</f>
        <v>1603640</v>
      </c>
      <c r="AB7268" s="222">
        <v>46119</v>
      </c>
    </row>
    <row r="7269" spans="1:28" ht="17.100000000000001" customHeight="1" thickBot="1">
      <c r="A7269" s="227"/>
      <c r="B7269" s="27" t="s">
        <v>2680</v>
      </c>
      <c r="C7269" s="27">
        <v>50089</v>
      </c>
      <c r="D7269" s="14" t="s">
        <v>898</v>
      </c>
      <c r="E7269" s="229"/>
      <c r="F7269" s="117" t="s">
        <v>20208</v>
      </c>
      <c r="G7269" s="26">
        <v>34634</v>
      </c>
      <c r="H7269" s="231"/>
      <c r="I7269" s="221"/>
      <c r="J7269" s="221"/>
      <c r="K7269" s="221"/>
      <c r="L7269" s="221"/>
      <c r="M7269" s="221"/>
      <c r="N7269" s="221"/>
      <c r="O7269" s="225"/>
      <c r="P7269" s="118" t="s">
        <v>6784</v>
      </c>
      <c r="Q7269" s="16" t="s">
        <v>20</v>
      </c>
      <c r="R7269" s="17" t="s">
        <v>2353</v>
      </c>
      <c r="S7269" s="121" t="s">
        <v>12796</v>
      </c>
      <c r="T7269" s="122"/>
      <c r="U7269" s="22"/>
      <c r="V7269" s="123" t="s">
        <v>2747</v>
      </c>
      <c r="W7269" s="122">
        <v>5042</v>
      </c>
      <c r="X7269" s="221"/>
      <c r="Y7269" s="221"/>
      <c r="Z7269" s="221"/>
      <c r="AA7269" s="221"/>
      <c r="AB7269" s="223"/>
    </row>
    <row r="7270" spans="1:28" ht="17.100000000000001" customHeight="1" thickTop="1">
      <c r="A7270" s="226" t="s">
        <v>20162</v>
      </c>
      <c r="B7270" s="28">
        <v>46100</v>
      </c>
      <c r="C7270" s="25">
        <v>2019</v>
      </c>
      <c r="D7270" s="13" t="s">
        <v>2457</v>
      </c>
      <c r="E7270" s="228"/>
      <c r="F7270" s="109" t="s">
        <v>20308</v>
      </c>
      <c r="G7270" s="24" t="s">
        <v>2907</v>
      </c>
      <c r="H7270" s="232" t="s">
        <v>4130</v>
      </c>
      <c r="I7270" s="220">
        <v>1299000</v>
      </c>
      <c r="J7270" s="220">
        <f>I7270*0.1</f>
        <v>129900</v>
      </c>
      <c r="K7270" s="220">
        <v>0</v>
      </c>
      <c r="L7270" s="220">
        <v>8450</v>
      </c>
      <c r="M7270" s="220">
        <v>22000</v>
      </c>
      <c r="N7270" s="220">
        <f>SUM(I7270:M7271)</f>
        <v>1459350</v>
      </c>
      <c r="O7270" s="224"/>
      <c r="P7270" s="110" t="s">
        <v>20309</v>
      </c>
      <c r="Q7270" s="15" t="s">
        <v>19</v>
      </c>
      <c r="R7270" s="205"/>
      <c r="S7270" s="189" t="s">
        <v>283</v>
      </c>
      <c r="T7270" s="114"/>
      <c r="U7270" s="21" t="s">
        <v>22740</v>
      </c>
      <c r="V7270" s="115">
        <v>46127</v>
      </c>
      <c r="W7270" s="116">
        <v>1013</v>
      </c>
      <c r="X7270" s="220">
        <v>1295000</v>
      </c>
      <c r="Y7270" s="220">
        <f>X7270*0.1</f>
        <v>129500</v>
      </c>
      <c r="Z7270" s="220">
        <v>8450</v>
      </c>
      <c r="AA7270" s="220">
        <f>SUM(X7270:Z7270)</f>
        <v>1432950</v>
      </c>
      <c r="AB7270" s="222">
        <v>46133</v>
      </c>
    </row>
    <row r="7271" spans="1:28" ht="17.100000000000001" customHeight="1" thickBot="1">
      <c r="A7271" s="227"/>
      <c r="B7271" s="27" t="s">
        <v>2680</v>
      </c>
      <c r="C7271" s="27">
        <v>50111</v>
      </c>
      <c r="D7271" s="14" t="s">
        <v>1584</v>
      </c>
      <c r="E7271" s="229"/>
      <c r="F7271" s="117" t="s">
        <v>20209</v>
      </c>
      <c r="G7271" s="26">
        <v>6</v>
      </c>
      <c r="H7271" s="231"/>
      <c r="I7271" s="221"/>
      <c r="J7271" s="221"/>
      <c r="K7271" s="221"/>
      <c r="L7271" s="221"/>
      <c r="M7271" s="221"/>
      <c r="N7271" s="221"/>
      <c r="O7271" s="225"/>
      <c r="P7271" s="118" t="s">
        <v>13536</v>
      </c>
      <c r="Q7271" s="16" t="s">
        <v>20</v>
      </c>
      <c r="R7271" s="17" t="s">
        <v>2353</v>
      </c>
      <c r="S7271" s="121" t="s">
        <v>169</v>
      </c>
      <c r="T7271" s="122"/>
      <c r="U7271" s="22"/>
      <c r="V7271" s="123" t="s">
        <v>2747</v>
      </c>
      <c r="W7271" s="122">
        <v>5091</v>
      </c>
      <c r="X7271" s="221"/>
      <c r="Y7271" s="221"/>
      <c r="Z7271" s="221"/>
      <c r="AA7271" s="221"/>
      <c r="AB7271" s="223"/>
    </row>
    <row r="7272" spans="1:28" ht="17.100000000000001" customHeight="1" thickTop="1">
      <c r="A7272" s="226" t="s">
        <v>20163</v>
      </c>
      <c r="B7272" s="28">
        <v>46100</v>
      </c>
      <c r="C7272" s="25">
        <v>2019</v>
      </c>
      <c r="D7272" s="13" t="s">
        <v>2429</v>
      </c>
      <c r="E7272" s="228"/>
      <c r="F7272" s="109" t="s">
        <v>20310</v>
      </c>
      <c r="G7272" s="24"/>
      <c r="H7272" s="230">
        <v>4</v>
      </c>
      <c r="I7272" s="220">
        <v>512000</v>
      </c>
      <c r="J7272" s="220">
        <f>I7272*0.1</f>
        <v>51200</v>
      </c>
      <c r="K7272" s="220">
        <v>0</v>
      </c>
      <c r="L7272" s="220">
        <v>9290</v>
      </c>
      <c r="M7272" s="220">
        <v>22000</v>
      </c>
      <c r="N7272" s="220">
        <f>SUM(I7272:M7273)</f>
        <v>594490</v>
      </c>
      <c r="O7272" s="224"/>
      <c r="P7272" s="110" t="s">
        <v>20676</v>
      </c>
      <c r="Q7272" s="15" t="s">
        <v>19</v>
      </c>
      <c r="R7272" s="205"/>
      <c r="S7272" s="189" t="s">
        <v>455</v>
      </c>
      <c r="T7272" s="114"/>
      <c r="U7272" s="21"/>
      <c r="V7272" s="115">
        <v>46113</v>
      </c>
      <c r="W7272" s="116">
        <v>1011</v>
      </c>
      <c r="X7272" s="220">
        <v>590000</v>
      </c>
      <c r="Y7272" s="220">
        <f>X7272*0.1</f>
        <v>59000</v>
      </c>
      <c r="Z7272" s="220">
        <v>9290</v>
      </c>
      <c r="AA7272" s="220">
        <f>SUM(X7272:Z7272)</f>
        <v>658290</v>
      </c>
      <c r="AB7272" s="222">
        <v>46120</v>
      </c>
    </row>
    <row r="7273" spans="1:28" ht="17.100000000000001" customHeight="1" thickBot="1">
      <c r="A7273" s="227"/>
      <c r="B7273" s="27" t="s">
        <v>2680</v>
      </c>
      <c r="C7273" s="27">
        <v>50119</v>
      </c>
      <c r="D7273" s="14" t="s">
        <v>2291</v>
      </c>
      <c r="E7273" s="229"/>
      <c r="F7273" s="117" t="s">
        <v>20210</v>
      </c>
      <c r="G7273" s="26">
        <v>49951</v>
      </c>
      <c r="H7273" s="231"/>
      <c r="I7273" s="221"/>
      <c r="J7273" s="221"/>
      <c r="K7273" s="221"/>
      <c r="L7273" s="221"/>
      <c r="M7273" s="221"/>
      <c r="N7273" s="221"/>
      <c r="O7273" s="225"/>
      <c r="P7273" s="118" t="s">
        <v>6795</v>
      </c>
      <c r="Q7273" s="16" t="s">
        <v>20</v>
      </c>
      <c r="R7273" s="17" t="s">
        <v>2353</v>
      </c>
      <c r="S7273" s="121" t="s">
        <v>1601</v>
      </c>
      <c r="T7273" s="122"/>
      <c r="U7273" s="22"/>
      <c r="V7273" s="123" t="s">
        <v>8648</v>
      </c>
      <c r="W7273" s="122">
        <v>2027</v>
      </c>
      <c r="X7273" s="221"/>
      <c r="Y7273" s="221"/>
      <c r="Z7273" s="221"/>
      <c r="AA7273" s="221"/>
      <c r="AB7273" s="223"/>
    </row>
    <row r="7274" spans="1:28" ht="17.100000000000001" customHeight="1" thickTop="1">
      <c r="A7274" s="226" t="s">
        <v>20164</v>
      </c>
      <c r="B7274" s="28">
        <v>46100</v>
      </c>
      <c r="C7274" s="25">
        <v>2019</v>
      </c>
      <c r="D7274" s="13" t="s">
        <v>2920</v>
      </c>
      <c r="E7274" s="228"/>
      <c r="F7274" s="109" t="s">
        <v>19132</v>
      </c>
      <c r="G7274" s="24"/>
      <c r="H7274" s="230">
        <v>4</v>
      </c>
      <c r="I7274" s="220">
        <v>1006000</v>
      </c>
      <c r="J7274" s="220">
        <f>I7274*0.1</f>
        <v>100600</v>
      </c>
      <c r="K7274" s="220">
        <v>0</v>
      </c>
      <c r="L7274" s="220">
        <v>8790</v>
      </c>
      <c r="M7274" s="220">
        <v>22000</v>
      </c>
      <c r="N7274" s="220">
        <f>SUM(I7274:M7275)</f>
        <v>1137390</v>
      </c>
      <c r="O7274" s="224"/>
      <c r="P7274" s="110" t="s">
        <v>20646</v>
      </c>
      <c r="Q7274" s="15" t="s">
        <v>19</v>
      </c>
      <c r="R7274" s="205"/>
      <c r="S7274" s="189" t="s">
        <v>25872</v>
      </c>
      <c r="T7274" s="114"/>
      <c r="U7274" s="21"/>
      <c r="V7274" s="115">
        <v>46106</v>
      </c>
      <c r="W7274" s="116">
        <v>1010</v>
      </c>
      <c r="X7274" s="220">
        <v>1115000</v>
      </c>
      <c r="Y7274" s="220">
        <f>X7274*0.1</f>
        <v>111500</v>
      </c>
      <c r="Z7274" s="220">
        <v>8790</v>
      </c>
      <c r="AA7274" s="220">
        <f>SUM(X7274:Z7274)</f>
        <v>1235290</v>
      </c>
      <c r="AB7274" s="222">
        <v>46111</v>
      </c>
    </row>
    <row r="7275" spans="1:28" ht="17.100000000000001" customHeight="1" thickBot="1">
      <c r="A7275" s="227"/>
      <c r="B7275" s="27" t="s">
        <v>2680</v>
      </c>
      <c r="C7275" s="27">
        <v>50129</v>
      </c>
      <c r="D7275" s="14" t="s">
        <v>2753</v>
      </c>
      <c r="E7275" s="229"/>
      <c r="F7275" s="117" t="s">
        <v>20211</v>
      </c>
      <c r="G7275" s="26">
        <v>36282</v>
      </c>
      <c r="H7275" s="231"/>
      <c r="I7275" s="221"/>
      <c r="J7275" s="221"/>
      <c r="K7275" s="221"/>
      <c r="L7275" s="221"/>
      <c r="M7275" s="221"/>
      <c r="N7275" s="221"/>
      <c r="O7275" s="225"/>
      <c r="P7275" s="118" t="s">
        <v>6795</v>
      </c>
      <c r="Q7275" s="16" t="s">
        <v>20</v>
      </c>
      <c r="R7275" s="17" t="s">
        <v>2353</v>
      </c>
      <c r="S7275" s="121" t="s">
        <v>20647</v>
      </c>
      <c r="T7275" s="122"/>
      <c r="U7275" s="22"/>
      <c r="V7275" s="123" t="s">
        <v>2747</v>
      </c>
      <c r="W7275" s="122">
        <v>5084</v>
      </c>
      <c r="X7275" s="221"/>
      <c r="Y7275" s="221"/>
      <c r="Z7275" s="221"/>
      <c r="AA7275" s="221"/>
      <c r="AB7275" s="223"/>
    </row>
    <row r="7276" spans="1:28" ht="17.100000000000001" customHeight="1" thickTop="1">
      <c r="A7276" s="226" t="s">
        <v>20165</v>
      </c>
      <c r="B7276" s="28">
        <v>46100</v>
      </c>
      <c r="C7276" s="25">
        <v>2019</v>
      </c>
      <c r="D7276" s="13" t="s">
        <v>2065</v>
      </c>
      <c r="E7276" s="228"/>
      <c r="F7276" s="109" t="s">
        <v>14906</v>
      </c>
      <c r="G7276" s="24"/>
      <c r="H7276" s="230">
        <v>4</v>
      </c>
      <c r="I7276" s="220">
        <v>1406000</v>
      </c>
      <c r="J7276" s="220">
        <f>I7276*0.1</f>
        <v>140600</v>
      </c>
      <c r="K7276" s="220">
        <v>0</v>
      </c>
      <c r="L7276" s="220">
        <v>8630</v>
      </c>
      <c r="M7276" s="220">
        <v>22000</v>
      </c>
      <c r="N7276" s="220">
        <f>SUM(I7276:M7277)</f>
        <v>1577230</v>
      </c>
      <c r="O7276" s="224"/>
      <c r="P7276" s="110" t="s">
        <v>20677</v>
      </c>
      <c r="Q7276" s="15" t="s">
        <v>19</v>
      </c>
      <c r="R7276" s="205"/>
      <c r="S7276" s="189" t="s">
        <v>25688</v>
      </c>
      <c r="T7276" s="114"/>
      <c r="U7276" s="21"/>
      <c r="V7276" s="115">
        <v>46127</v>
      </c>
      <c r="W7276" s="116">
        <v>1013</v>
      </c>
      <c r="X7276" s="220">
        <v>1480000</v>
      </c>
      <c r="Y7276" s="220">
        <f>X7276*0.1</f>
        <v>148000</v>
      </c>
      <c r="Z7276" s="220">
        <v>8630</v>
      </c>
      <c r="AA7276" s="220">
        <f>SUM(X7276:Z7276)</f>
        <v>1636630</v>
      </c>
      <c r="AB7276" s="222">
        <v>46132</v>
      </c>
    </row>
    <row r="7277" spans="1:28" ht="17.100000000000001" customHeight="1" thickBot="1">
      <c r="A7277" s="227"/>
      <c r="B7277" s="27" t="s">
        <v>2680</v>
      </c>
      <c r="C7277" s="27">
        <v>50153</v>
      </c>
      <c r="D7277" s="14" t="s">
        <v>2753</v>
      </c>
      <c r="E7277" s="229"/>
      <c r="F7277" s="117" t="s">
        <v>20212</v>
      </c>
      <c r="G7277" s="26">
        <v>8565</v>
      </c>
      <c r="H7277" s="231"/>
      <c r="I7277" s="221"/>
      <c r="J7277" s="221"/>
      <c r="K7277" s="221"/>
      <c r="L7277" s="221"/>
      <c r="M7277" s="221"/>
      <c r="N7277" s="221"/>
      <c r="O7277" s="225"/>
      <c r="P7277" s="118" t="s">
        <v>20678</v>
      </c>
      <c r="Q7277" s="16" t="s">
        <v>20</v>
      </c>
      <c r="R7277" s="17" t="s">
        <v>2353</v>
      </c>
      <c r="S7277" s="121" t="s">
        <v>1601</v>
      </c>
      <c r="T7277" s="122"/>
      <c r="U7277" s="22"/>
      <c r="V7277" s="123" t="s">
        <v>2747</v>
      </c>
      <c r="W7277" s="122">
        <v>2034</v>
      </c>
      <c r="X7277" s="221"/>
      <c r="Y7277" s="221"/>
      <c r="Z7277" s="221"/>
      <c r="AA7277" s="221"/>
      <c r="AB7277" s="223"/>
    </row>
    <row r="7278" spans="1:28" ht="17.100000000000001" customHeight="1" thickTop="1">
      <c r="A7278" s="226" t="s">
        <v>20166</v>
      </c>
      <c r="B7278" s="28">
        <v>46100</v>
      </c>
      <c r="C7278" s="25">
        <v>2019</v>
      </c>
      <c r="D7278" s="13" t="s">
        <v>1983</v>
      </c>
      <c r="E7278" s="228"/>
      <c r="F7278" s="109" t="s">
        <v>20311</v>
      </c>
      <c r="G7278" s="24"/>
      <c r="H7278" s="230">
        <v>4</v>
      </c>
      <c r="I7278" s="220">
        <v>1384000</v>
      </c>
      <c r="J7278" s="220">
        <f>I7278*0.1</f>
        <v>138400</v>
      </c>
      <c r="K7278" s="220">
        <v>0</v>
      </c>
      <c r="L7278" s="220">
        <v>8630</v>
      </c>
      <c r="M7278" s="220">
        <v>22000</v>
      </c>
      <c r="N7278" s="220">
        <f>SUM(I7278:M7279)</f>
        <v>1553030</v>
      </c>
      <c r="O7278" s="224"/>
      <c r="P7278" s="110" t="s">
        <v>20756</v>
      </c>
      <c r="Q7278" s="15" t="s">
        <v>19</v>
      </c>
      <c r="R7278" s="205"/>
      <c r="S7278" s="189" t="s">
        <v>758</v>
      </c>
      <c r="T7278" s="114"/>
      <c r="U7278" s="21"/>
      <c r="V7278" s="115">
        <v>46127</v>
      </c>
      <c r="W7278" s="116">
        <v>1013</v>
      </c>
      <c r="X7278" s="220">
        <v>1375000</v>
      </c>
      <c r="Y7278" s="220">
        <f>X7278*0.1</f>
        <v>137500</v>
      </c>
      <c r="Z7278" s="220">
        <v>8630</v>
      </c>
      <c r="AA7278" s="220">
        <f>SUM(X7278:Z7278)</f>
        <v>1521130</v>
      </c>
      <c r="AB7278" s="222">
        <v>46132</v>
      </c>
    </row>
    <row r="7279" spans="1:28" ht="17.100000000000001" customHeight="1" thickBot="1">
      <c r="A7279" s="227"/>
      <c r="B7279" s="27" t="s">
        <v>2680</v>
      </c>
      <c r="C7279" s="27">
        <v>50182</v>
      </c>
      <c r="D7279" s="14" t="s">
        <v>2559</v>
      </c>
      <c r="E7279" s="229"/>
      <c r="F7279" s="117" t="s">
        <v>20213</v>
      </c>
      <c r="G7279" s="26">
        <v>25854</v>
      </c>
      <c r="H7279" s="231"/>
      <c r="I7279" s="221"/>
      <c r="J7279" s="221"/>
      <c r="K7279" s="221"/>
      <c r="L7279" s="221"/>
      <c r="M7279" s="221"/>
      <c r="N7279" s="221"/>
      <c r="O7279" s="225"/>
      <c r="P7279" s="118" t="s">
        <v>20757</v>
      </c>
      <c r="Q7279" s="16" t="s">
        <v>20</v>
      </c>
      <c r="R7279" s="17" t="s">
        <v>20724</v>
      </c>
      <c r="S7279" s="121" t="s">
        <v>20758</v>
      </c>
      <c r="T7279" s="122"/>
      <c r="U7279" s="22"/>
      <c r="V7279" s="123" t="s">
        <v>2747</v>
      </c>
      <c r="W7279" s="122">
        <v>2021</v>
      </c>
      <c r="X7279" s="221"/>
      <c r="Y7279" s="221"/>
      <c r="Z7279" s="221"/>
      <c r="AA7279" s="221"/>
      <c r="AB7279" s="223"/>
    </row>
    <row r="7280" spans="1:28" ht="17.100000000000001" customHeight="1" thickTop="1">
      <c r="A7280" s="226" t="s">
        <v>20167</v>
      </c>
      <c r="B7280" s="28">
        <v>46101</v>
      </c>
      <c r="C7280" s="25">
        <v>102</v>
      </c>
      <c r="D7280" s="13" t="s">
        <v>1976</v>
      </c>
      <c r="E7280" s="228"/>
      <c r="F7280" s="109" t="s">
        <v>7450</v>
      </c>
      <c r="G7280" s="24" t="s">
        <v>2124</v>
      </c>
      <c r="H7280" s="230">
        <v>4</v>
      </c>
      <c r="I7280" s="220">
        <v>755000</v>
      </c>
      <c r="J7280" s="220">
        <f>I7280*0.1</f>
        <v>75500</v>
      </c>
      <c r="K7280" s="220">
        <v>0</v>
      </c>
      <c r="L7280" s="220">
        <v>6470</v>
      </c>
      <c r="M7280" s="220">
        <v>33000</v>
      </c>
      <c r="N7280" s="220">
        <f>SUM(I7280:M7281)</f>
        <v>869970</v>
      </c>
      <c r="O7280" s="224"/>
      <c r="P7280" s="110" t="s">
        <v>21329</v>
      </c>
      <c r="Q7280" s="15" t="s">
        <v>19</v>
      </c>
      <c r="R7280" s="205"/>
      <c r="S7280" s="189" t="s">
        <v>25873</v>
      </c>
      <c r="T7280" s="114"/>
      <c r="U7280" s="21" t="s">
        <v>22383</v>
      </c>
      <c r="V7280" s="115">
        <v>46123</v>
      </c>
      <c r="W7280" s="116">
        <v>1296</v>
      </c>
      <c r="X7280" s="220">
        <v>840000</v>
      </c>
      <c r="Y7280" s="220">
        <f>X7280*0.1</f>
        <v>84000</v>
      </c>
      <c r="Z7280" s="220">
        <v>6470</v>
      </c>
      <c r="AA7280" s="220">
        <f>SUM(X7280:Z7280)</f>
        <v>930470</v>
      </c>
      <c r="AB7280" s="222">
        <v>46128</v>
      </c>
    </row>
    <row r="7281" spans="1:28" ht="17.100000000000001" customHeight="1" thickBot="1">
      <c r="A7281" s="227"/>
      <c r="B7281" s="27" t="s">
        <v>4468</v>
      </c>
      <c r="C7281" s="27">
        <v>1016</v>
      </c>
      <c r="D7281" s="14" t="s">
        <v>2291</v>
      </c>
      <c r="E7281" s="229"/>
      <c r="F7281" s="117" t="s">
        <v>20214</v>
      </c>
      <c r="G7281" s="26">
        <v>14888</v>
      </c>
      <c r="H7281" s="231"/>
      <c r="I7281" s="221"/>
      <c r="J7281" s="221"/>
      <c r="K7281" s="221"/>
      <c r="L7281" s="221"/>
      <c r="M7281" s="221"/>
      <c r="N7281" s="221"/>
      <c r="O7281" s="225"/>
      <c r="P7281" s="118" t="s">
        <v>21330</v>
      </c>
      <c r="Q7281" s="16" t="s">
        <v>20</v>
      </c>
      <c r="R7281" s="17" t="s">
        <v>1634</v>
      </c>
      <c r="S7281" s="121" t="s">
        <v>1731</v>
      </c>
      <c r="T7281" s="122"/>
      <c r="U7281" s="22"/>
      <c r="V7281" s="123" t="s">
        <v>2472</v>
      </c>
      <c r="W7281" s="122">
        <v>31119</v>
      </c>
      <c r="X7281" s="221"/>
      <c r="Y7281" s="221"/>
      <c r="Z7281" s="221"/>
      <c r="AA7281" s="221"/>
      <c r="AB7281" s="223"/>
    </row>
    <row r="7282" spans="1:28" ht="17.100000000000001" customHeight="1" thickTop="1">
      <c r="A7282" s="226" t="s">
        <v>20168</v>
      </c>
      <c r="B7282" s="28">
        <v>46101</v>
      </c>
      <c r="C7282" s="25">
        <v>283</v>
      </c>
      <c r="D7282" s="13" t="s">
        <v>1853</v>
      </c>
      <c r="E7282" s="228"/>
      <c r="F7282" s="109" t="s">
        <v>20312</v>
      </c>
      <c r="G7282" s="24"/>
      <c r="H7282" s="230">
        <v>4.5</v>
      </c>
      <c r="I7282" s="220">
        <v>841000</v>
      </c>
      <c r="J7282" s="220">
        <f>I7282*0.1</f>
        <v>84100</v>
      </c>
      <c r="K7282" s="220">
        <v>0</v>
      </c>
      <c r="L7282" s="220">
        <v>8990</v>
      </c>
      <c r="M7282" s="220">
        <v>22000</v>
      </c>
      <c r="N7282" s="220">
        <f>SUM(I7282:M7283)</f>
        <v>956090</v>
      </c>
      <c r="O7282" s="224"/>
      <c r="P7282" s="110" t="s">
        <v>20680</v>
      </c>
      <c r="Q7282" s="15" t="s">
        <v>19</v>
      </c>
      <c r="R7282" s="205"/>
      <c r="S7282" s="189" t="s">
        <v>758</v>
      </c>
      <c r="T7282" s="114"/>
      <c r="U7282" s="21"/>
      <c r="V7282" s="115">
        <v>46113</v>
      </c>
      <c r="W7282" s="116">
        <v>1011</v>
      </c>
      <c r="X7282" s="220">
        <v>890000</v>
      </c>
      <c r="Y7282" s="220">
        <f>X7282*0.1</f>
        <v>89000</v>
      </c>
      <c r="Z7282" s="220">
        <v>8990</v>
      </c>
      <c r="AA7282" s="220">
        <f>SUM(X7282:Z7282)</f>
        <v>987990</v>
      </c>
      <c r="AB7282" s="222">
        <v>46118</v>
      </c>
    </row>
    <row r="7283" spans="1:28" ht="17.100000000000001" customHeight="1" thickBot="1">
      <c r="A7283" s="227"/>
      <c r="B7283" s="27" t="s">
        <v>15537</v>
      </c>
      <c r="C7283" s="27">
        <v>78</v>
      </c>
      <c r="D7283" s="14" t="s">
        <v>16908</v>
      </c>
      <c r="E7283" s="229"/>
      <c r="F7283" s="117" t="s">
        <v>20215</v>
      </c>
      <c r="G7283" s="26">
        <v>66586</v>
      </c>
      <c r="H7283" s="231"/>
      <c r="I7283" s="221"/>
      <c r="J7283" s="221"/>
      <c r="K7283" s="221"/>
      <c r="L7283" s="221"/>
      <c r="M7283" s="221"/>
      <c r="N7283" s="221"/>
      <c r="O7283" s="225"/>
      <c r="P7283" s="118" t="s">
        <v>4077</v>
      </c>
      <c r="Q7283" s="16" t="s">
        <v>20</v>
      </c>
      <c r="R7283" s="17" t="s">
        <v>2353</v>
      </c>
      <c r="S7283" s="121" t="s">
        <v>4413</v>
      </c>
      <c r="T7283" s="122"/>
      <c r="U7283" s="22"/>
      <c r="V7283" s="123" t="s">
        <v>2747</v>
      </c>
      <c r="W7283" s="122">
        <v>2084</v>
      </c>
      <c r="X7283" s="221"/>
      <c r="Y7283" s="221"/>
      <c r="Z7283" s="221"/>
      <c r="AA7283" s="221"/>
      <c r="AB7283" s="223"/>
    </row>
    <row r="7284" spans="1:28" ht="16.5" customHeight="1" thickTop="1">
      <c r="A7284" s="226" t="s">
        <v>20169</v>
      </c>
      <c r="B7284" s="28">
        <v>46101</v>
      </c>
      <c r="C7284" s="25">
        <v>283</v>
      </c>
      <c r="D7284" s="13" t="s">
        <v>1908</v>
      </c>
      <c r="E7284" s="228"/>
      <c r="F7284" s="109" t="s">
        <v>20313</v>
      </c>
      <c r="G7284" s="24"/>
      <c r="H7284" s="230">
        <v>3.5</v>
      </c>
      <c r="I7284" s="220">
        <v>768000</v>
      </c>
      <c r="J7284" s="220">
        <f>I7284*0.1</f>
        <v>76800</v>
      </c>
      <c r="K7284" s="220">
        <v>0</v>
      </c>
      <c r="L7284" s="220">
        <v>12030</v>
      </c>
      <c r="M7284" s="220">
        <v>22000</v>
      </c>
      <c r="N7284" s="220">
        <f>SUM(I7284:M7285)</f>
        <v>878830</v>
      </c>
      <c r="O7284" s="224"/>
      <c r="P7284" s="110" t="s">
        <v>20536</v>
      </c>
      <c r="Q7284" s="15" t="s">
        <v>19</v>
      </c>
      <c r="R7284" s="205"/>
      <c r="S7284" s="189" t="s">
        <v>25874</v>
      </c>
      <c r="T7284" s="114"/>
      <c r="U7284" s="21"/>
      <c r="V7284" s="115">
        <v>46106</v>
      </c>
      <c r="W7284" s="116">
        <v>1010</v>
      </c>
      <c r="X7284" s="220">
        <v>895000</v>
      </c>
      <c r="Y7284" s="220">
        <f>X7284*0.1</f>
        <v>89500</v>
      </c>
      <c r="Z7284" s="220">
        <v>12030</v>
      </c>
      <c r="AA7284" s="220">
        <f>SUM(X7284:Z7284)</f>
        <v>996530</v>
      </c>
      <c r="AB7284" s="222">
        <v>46111</v>
      </c>
    </row>
    <row r="7285" spans="1:28" ht="17.100000000000001" customHeight="1" thickBot="1">
      <c r="A7285" s="227"/>
      <c r="B7285" s="27" t="s">
        <v>15537</v>
      </c>
      <c r="C7285" s="27">
        <v>20075</v>
      </c>
      <c r="D7285" s="14" t="s">
        <v>1710</v>
      </c>
      <c r="E7285" s="229"/>
      <c r="F7285" s="117" t="s">
        <v>20216</v>
      </c>
      <c r="G7285" s="26">
        <v>69215</v>
      </c>
      <c r="H7285" s="231"/>
      <c r="I7285" s="221"/>
      <c r="J7285" s="221"/>
      <c r="K7285" s="221"/>
      <c r="L7285" s="221"/>
      <c r="M7285" s="221"/>
      <c r="N7285" s="221"/>
      <c r="O7285" s="225"/>
      <c r="P7285" s="118" t="s">
        <v>20537</v>
      </c>
      <c r="Q7285" s="16" t="s">
        <v>20</v>
      </c>
      <c r="R7285" s="17" t="s">
        <v>20516</v>
      </c>
      <c r="S7285" s="121" t="s">
        <v>8555</v>
      </c>
      <c r="T7285" s="122"/>
      <c r="U7285" s="22"/>
      <c r="V7285" s="123" t="s">
        <v>2747</v>
      </c>
      <c r="W7285" s="122">
        <v>5173</v>
      </c>
      <c r="X7285" s="221"/>
      <c r="Y7285" s="221"/>
      <c r="Z7285" s="221"/>
      <c r="AA7285" s="221"/>
      <c r="AB7285" s="223"/>
    </row>
    <row r="7286" spans="1:28" ht="17.100000000000001" customHeight="1" thickTop="1">
      <c r="A7286" s="226" t="s">
        <v>20170</v>
      </c>
      <c r="B7286" s="28">
        <v>46101</v>
      </c>
      <c r="C7286" s="25">
        <v>2127</v>
      </c>
      <c r="D7286" s="13" t="s">
        <v>1883</v>
      </c>
      <c r="E7286" s="228"/>
      <c r="F7286" s="109" t="s">
        <v>20217</v>
      </c>
      <c r="G7286" s="24"/>
      <c r="H7286" s="230">
        <v>4.5</v>
      </c>
      <c r="I7286" s="220">
        <v>2550000</v>
      </c>
      <c r="J7286" s="220">
        <f>I7286*0.1</f>
        <v>255000</v>
      </c>
      <c r="K7286" s="220">
        <v>0</v>
      </c>
      <c r="L7286" s="220">
        <v>17670</v>
      </c>
      <c r="M7286" s="220">
        <v>27500</v>
      </c>
      <c r="N7286" s="220">
        <f>SUM(I7286:M7287)</f>
        <v>2850170</v>
      </c>
      <c r="O7286" s="224"/>
      <c r="P7286" s="110" t="s">
        <v>20821</v>
      </c>
      <c r="Q7286" s="15" t="s">
        <v>19</v>
      </c>
      <c r="R7286" s="205"/>
      <c r="S7286" s="189" t="s">
        <v>283</v>
      </c>
      <c r="T7286" s="114"/>
      <c r="U7286" s="21"/>
      <c r="V7286" s="115">
        <v>46123</v>
      </c>
      <c r="W7286" s="116">
        <v>1296</v>
      </c>
      <c r="X7286" s="220">
        <v>2825000</v>
      </c>
      <c r="Y7286" s="220">
        <f>X7286*0.1</f>
        <v>282500</v>
      </c>
      <c r="Z7286" s="220">
        <v>17670</v>
      </c>
      <c r="AA7286" s="220">
        <f>SUM(X7286:Z7286)</f>
        <v>3125170</v>
      </c>
      <c r="AB7286" s="222">
        <v>46126</v>
      </c>
    </row>
    <row r="7287" spans="1:28" ht="17.100000000000001" customHeight="1" thickBot="1">
      <c r="A7287" s="227"/>
      <c r="B7287" s="27" t="s">
        <v>1536</v>
      </c>
      <c r="C7287" s="27">
        <v>13014</v>
      </c>
      <c r="D7287" s="14" t="s">
        <v>898</v>
      </c>
      <c r="E7287" s="229"/>
      <c r="F7287" s="117" t="s">
        <v>20314</v>
      </c>
      <c r="G7287" s="26">
        <v>33241</v>
      </c>
      <c r="H7287" s="231"/>
      <c r="I7287" s="221"/>
      <c r="J7287" s="221"/>
      <c r="K7287" s="221"/>
      <c r="L7287" s="221"/>
      <c r="M7287" s="221"/>
      <c r="N7287" s="221"/>
      <c r="O7287" s="225"/>
      <c r="P7287" s="118" t="s">
        <v>20822</v>
      </c>
      <c r="Q7287" s="16" t="s">
        <v>20</v>
      </c>
      <c r="R7287" s="17" t="s">
        <v>20791</v>
      </c>
      <c r="S7287" s="121" t="s">
        <v>20787</v>
      </c>
      <c r="T7287" s="122"/>
      <c r="U7287" s="22"/>
      <c r="V7287" s="123" t="s">
        <v>22424</v>
      </c>
      <c r="W7287" s="122">
        <v>80394</v>
      </c>
      <c r="X7287" s="221"/>
      <c r="Y7287" s="221"/>
      <c r="Z7287" s="221"/>
      <c r="AA7287" s="221"/>
      <c r="AB7287" s="223"/>
    </row>
    <row r="7288" spans="1:28" ht="17.100000000000001" customHeight="1" thickTop="1">
      <c r="A7288" s="226" t="s">
        <v>20171</v>
      </c>
      <c r="B7288" s="28">
        <v>46101</v>
      </c>
      <c r="C7288" s="25">
        <v>2127</v>
      </c>
      <c r="D7288" s="13" t="s">
        <v>1642</v>
      </c>
      <c r="E7288" s="228"/>
      <c r="F7288" s="109" t="s">
        <v>20218</v>
      </c>
      <c r="G7288" s="24"/>
      <c r="H7288" s="230">
        <v>4.5</v>
      </c>
      <c r="I7288" s="220">
        <v>2405000</v>
      </c>
      <c r="J7288" s="220">
        <f>I7288*0.1</f>
        <v>240500</v>
      </c>
      <c r="K7288" s="220">
        <v>0</v>
      </c>
      <c r="L7288" s="220">
        <v>17850</v>
      </c>
      <c r="M7288" s="220">
        <v>16500</v>
      </c>
      <c r="N7288" s="220">
        <f>SUM(I7288:M7289)</f>
        <v>2679850</v>
      </c>
      <c r="O7288" s="224"/>
      <c r="P7288" s="110" t="s">
        <v>20703</v>
      </c>
      <c r="Q7288" s="15" t="s">
        <v>19</v>
      </c>
      <c r="R7288" s="205"/>
      <c r="S7288" s="189" t="s">
        <v>25875</v>
      </c>
      <c r="T7288" s="114"/>
      <c r="U7288" s="21"/>
      <c r="V7288" s="115">
        <v>46114</v>
      </c>
      <c r="W7288" s="116">
        <v>1325</v>
      </c>
      <c r="X7288" s="220">
        <v>2525000</v>
      </c>
      <c r="Y7288" s="220">
        <f>X7288*0.1</f>
        <v>252500</v>
      </c>
      <c r="Z7288" s="220">
        <v>17850</v>
      </c>
      <c r="AA7288" s="220">
        <f>SUM(X7288:Z7288)</f>
        <v>2795350</v>
      </c>
      <c r="AB7288" s="222">
        <v>46115</v>
      </c>
    </row>
    <row r="7289" spans="1:28" ht="17.100000000000001" customHeight="1" thickBot="1">
      <c r="A7289" s="227"/>
      <c r="B7289" s="27" t="s">
        <v>1536</v>
      </c>
      <c r="C7289" s="27">
        <v>13028</v>
      </c>
      <c r="D7289" s="14" t="s">
        <v>1627</v>
      </c>
      <c r="E7289" s="229"/>
      <c r="F7289" s="117" t="s">
        <v>20315</v>
      </c>
      <c r="G7289" s="26">
        <v>11226</v>
      </c>
      <c r="H7289" s="231"/>
      <c r="I7289" s="221"/>
      <c r="J7289" s="221"/>
      <c r="K7289" s="221"/>
      <c r="L7289" s="221"/>
      <c r="M7289" s="221"/>
      <c r="N7289" s="221"/>
      <c r="O7289" s="225"/>
      <c r="P7289" s="118" t="s">
        <v>20704</v>
      </c>
      <c r="Q7289" s="16" t="s">
        <v>20</v>
      </c>
      <c r="R7289" s="17" t="s">
        <v>20705</v>
      </c>
      <c r="S7289" s="121" t="s">
        <v>13035</v>
      </c>
      <c r="T7289" s="122"/>
      <c r="U7289" s="22"/>
      <c r="V7289" s="123" t="s">
        <v>13379</v>
      </c>
      <c r="W7289" s="122">
        <v>337</v>
      </c>
      <c r="X7289" s="221"/>
      <c r="Y7289" s="221"/>
      <c r="Z7289" s="221"/>
      <c r="AA7289" s="221"/>
      <c r="AB7289" s="223"/>
    </row>
    <row r="7290" spans="1:28" ht="17.100000000000001" customHeight="1" thickTop="1">
      <c r="A7290" s="226" t="s">
        <v>20172</v>
      </c>
      <c r="B7290" s="28">
        <v>46101</v>
      </c>
      <c r="C7290" s="25">
        <v>2127</v>
      </c>
      <c r="D7290" s="13" t="s">
        <v>3769</v>
      </c>
      <c r="E7290" s="228"/>
      <c r="F7290" s="109" t="s">
        <v>20219</v>
      </c>
      <c r="G7290" s="24" t="s">
        <v>20317</v>
      </c>
      <c r="H7290" s="230">
        <v>4</v>
      </c>
      <c r="I7290" s="220">
        <v>1100000</v>
      </c>
      <c r="J7290" s="220">
        <f>I7290*0.1</f>
        <v>110000</v>
      </c>
      <c r="K7290" s="220">
        <v>30500</v>
      </c>
      <c r="L7290" s="220">
        <v>11810</v>
      </c>
      <c r="M7290" s="220">
        <v>16500</v>
      </c>
      <c r="N7290" s="220">
        <f>SUM(I7290:M7291)</f>
        <v>1268810</v>
      </c>
      <c r="O7290" s="224"/>
      <c r="P7290" s="110" t="s">
        <v>20318</v>
      </c>
      <c r="Q7290" s="15" t="s">
        <v>19</v>
      </c>
      <c r="R7290" s="205"/>
      <c r="S7290" s="189" t="s">
        <v>25876</v>
      </c>
      <c r="T7290" s="114"/>
      <c r="U7290" s="21" t="s">
        <v>22349</v>
      </c>
      <c r="V7290" s="115">
        <v>46128</v>
      </c>
      <c r="W7290" s="116">
        <v>1327</v>
      </c>
      <c r="X7290" s="220">
        <v>1165000</v>
      </c>
      <c r="Y7290" s="220">
        <f>X7290*0.1</f>
        <v>116500</v>
      </c>
      <c r="Z7290" s="220">
        <v>11810</v>
      </c>
      <c r="AA7290" s="220">
        <f>SUM(X7290:Z7290)</f>
        <v>1293310</v>
      </c>
      <c r="AB7290" s="222">
        <v>46129</v>
      </c>
    </row>
    <row r="7291" spans="1:28" ht="17.100000000000001" customHeight="1" thickBot="1">
      <c r="A7291" s="227"/>
      <c r="B7291" s="27" t="s">
        <v>1536</v>
      </c>
      <c r="C7291" s="27">
        <v>13226</v>
      </c>
      <c r="D7291" s="14" t="s">
        <v>898</v>
      </c>
      <c r="E7291" s="229"/>
      <c r="F7291" s="117" t="s">
        <v>20316</v>
      </c>
      <c r="G7291" s="26">
        <v>16396</v>
      </c>
      <c r="H7291" s="231"/>
      <c r="I7291" s="221"/>
      <c r="J7291" s="221"/>
      <c r="K7291" s="221"/>
      <c r="L7291" s="221"/>
      <c r="M7291" s="221"/>
      <c r="N7291" s="221"/>
      <c r="O7291" s="225"/>
      <c r="P7291" s="118" t="s">
        <v>20751</v>
      </c>
      <c r="Q7291" s="16" t="s">
        <v>20</v>
      </c>
      <c r="R7291" s="17" t="s">
        <v>20724</v>
      </c>
      <c r="S7291" s="121" t="s">
        <v>20752</v>
      </c>
      <c r="T7291" s="122"/>
      <c r="U7291" s="22"/>
      <c r="V7291" s="123" t="s">
        <v>22671</v>
      </c>
      <c r="W7291" s="122">
        <v>340</v>
      </c>
      <c r="X7291" s="221"/>
      <c r="Y7291" s="221"/>
      <c r="Z7291" s="221"/>
      <c r="AA7291" s="221"/>
      <c r="AB7291" s="223"/>
    </row>
    <row r="7292" spans="1:28" ht="17.100000000000001" customHeight="1" thickTop="1">
      <c r="A7292" s="226" t="s">
        <v>20173</v>
      </c>
      <c r="B7292" s="28">
        <v>46101</v>
      </c>
      <c r="C7292" s="25">
        <v>2127</v>
      </c>
      <c r="D7292" s="13" t="s">
        <v>2324</v>
      </c>
      <c r="E7292" s="228"/>
      <c r="F7292" s="109" t="s">
        <v>419</v>
      </c>
      <c r="G7292" s="24" t="s">
        <v>3748</v>
      </c>
      <c r="H7292" s="230">
        <v>4.5</v>
      </c>
      <c r="I7292" s="220">
        <v>1120000</v>
      </c>
      <c r="J7292" s="220">
        <f>I7292*0.1</f>
        <v>112000</v>
      </c>
      <c r="K7292" s="220">
        <v>36000</v>
      </c>
      <c r="L7292" s="220">
        <v>17600</v>
      </c>
      <c r="M7292" s="220">
        <v>16500</v>
      </c>
      <c r="N7292" s="220">
        <f>SUM(I7292:M7293)</f>
        <v>1302100</v>
      </c>
      <c r="O7292" s="224"/>
      <c r="P7292" s="110" t="s">
        <v>20320</v>
      </c>
      <c r="Q7292" s="15" t="s">
        <v>19</v>
      </c>
      <c r="R7292" s="205"/>
      <c r="S7292" s="189" t="s">
        <v>455</v>
      </c>
      <c r="T7292" s="114"/>
      <c r="U7292" s="21" t="s">
        <v>22351</v>
      </c>
      <c r="V7292" s="115">
        <v>46165</v>
      </c>
      <c r="W7292" s="116">
        <v>1301</v>
      </c>
      <c r="X7292" s="220">
        <v>1230000</v>
      </c>
      <c r="Y7292" s="220">
        <f>X7292*0.1</f>
        <v>123000</v>
      </c>
      <c r="Z7292" s="220">
        <v>17600</v>
      </c>
      <c r="AA7292" s="220">
        <f>SUM(X7292:Z7292)</f>
        <v>1370600</v>
      </c>
      <c r="AB7292" s="222"/>
    </row>
    <row r="7293" spans="1:28" ht="17.100000000000001" customHeight="1" thickBot="1">
      <c r="A7293" s="227"/>
      <c r="B7293" s="27" t="s">
        <v>1536</v>
      </c>
      <c r="C7293" s="27">
        <v>13304</v>
      </c>
      <c r="D7293" s="14" t="s">
        <v>273</v>
      </c>
      <c r="E7293" s="229"/>
      <c r="F7293" s="117" t="s">
        <v>20319</v>
      </c>
      <c r="G7293" s="26">
        <v>74488</v>
      </c>
      <c r="H7293" s="231"/>
      <c r="I7293" s="221"/>
      <c r="J7293" s="221"/>
      <c r="K7293" s="221"/>
      <c r="L7293" s="221"/>
      <c r="M7293" s="221"/>
      <c r="N7293" s="221"/>
      <c r="O7293" s="225"/>
      <c r="P7293" s="118" t="s">
        <v>20704</v>
      </c>
      <c r="Q7293" s="16" t="s">
        <v>20</v>
      </c>
      <c r="R7293" s="17" t="s">
        <v>20705</v>
      </c>
      <c r="S7293" s="121" t="s">
        <v>20706</v>
      </c>
      <c r="T7293" s="122"/>
      <c r="U7293" s="22"/>
      <c r="V7293" s="123" t="s">
        <v>6641</v>
      </c>
      <c r="W7293" s="122">
        <v>80077</v>
      </c>
      <c r="X7293" s="221"/>
      <c r="Y7293" s="221"/>
      <c r="Z7293" s="221"/>
      <c r="AA7293" s="221"/>
      <c r="AB7293" s="223"/>
    </row>
    <row r="7294" spans="1:28" ht="17.100000000000001" customHeight="1" thickTop="1">
      <c r="A7294" s="226" t="s">
        <v>20174</v>
      </c>
      <c r="B7294" s="28">
        <v>46101</v>
      </c>
      <c r="C7294" s="25">
        <v>2127</v>
      </c>
      <c r="D7294" s="13" t="s">
        <v>1871</v>
      </c>
      <c r="E7294" s="228"/>
      <c r="F7294" s="109" t="s">
        <v>20220</v>
      </c>
      <c r="G7294" s="24"/>
      <c r="H7294" s="230">
        <v>4.5</v>
      </c>
      <c r="I7294" s="220">
        <v>3725000</v>
      </c>
      <c r="J7294" s="220">
        <f>I7294*0.1</f>
        <v>372500</v>
      </c>
      <c r="K7294" s="220">
        <v>0</v>
      </c>
      <c r="L7294" s="220">
        <v>24380</v>
      </c>
      <c r="M7294" s="220">
        <v>16500</v>
      </c>
      <c r="N7294" s="220">
        <f>SUM(I7294:M7295)</f>
        <v>4138380</v>
      </c>
      <c r="O7294" s="224"/>
      <c r="P7294" s="110" t="s">
        <v>20707</v>
      </c>
      <c r="Q7294" s="15" t="s">
        <v>19</v>
      </c>
      <c r="R7294" s="205"/>
      <c r="S7294" s="189" t="s">
        <v>455</v>
      </c>
      <c r="T7294" s="114"/>
      <c r="U7294" s="21"/>
      <c r="V7294" s="115"/>
      <c r="W7294" s="116"/>
      <c r="X7294" s="220"/>
      <c r="Y7294" s="220">
        <f>X7294*0.1</f>
        <v>0</v>
      </c>
      <c r="Z7294" s="220"/>
      <c r="AA7294" s="220">
        <f>SUM(X7294:Z7294)</f>
        <v>0</v>
      </c>
      <c r="AB7294" s="222"/>
    </row>
    <row r="7295" spans="1:28" ht="17.100000000000001" customHeight="1" thickBot="1">
      <c r="A7295" s="227"/>
      <c r="B7295" s="27" t="s">
        <v>1536</v>
      </c>
      <c r="C7295" s="27">
        <v>35010</v>
      </c>
      <c r="D7295" s="14" t="s">
        <v>273</v>
      </c>
      <c r="E7295" s="229"/>
      <c r="F7295" s="117" t="s">
        <v>20321</v>
      </c>
      <c r="G7295" s="26">
        <v>45527</v>
      </c>
      <c r="H7295" s="231"/>
      <c r="I7295" s="221"/>
      <c r="J7295" s="221"/>
      <c r="K7295" s="221"/>
      <c r="L7295" s="221"/>
      <c r="M7295" s="221"/>
      <c r="N7295" s="221"/>
      <c r="O7295" s="225"/>
      <c r="P7295" s="118" t="s">
        <v>20708</v>
      </c>
      <c r="Q7295" s="16" t="s">
        <v>20</v>
      </c>
      <c r="R7295" s="17" t="s">
        <v>20705</v>
      </c>
      <c r="S7295" s="121" t="s">
        <v>20706</v>
      </c>
      <c r="T7295" s="122"/>
      <c r="U7295" s="22"/>
      <c r="V7295" s="123"/>
      <c r="W7295" s="122"/>
      <c r="X7295" s="221"/>
      <c r="Y7295" s="221"/>
      <c r="Z7295" s="221"/>
      <c r="AA7295" s="221"/>
      <c r="AB7295" s="223"/>
    </row>
    <row r="7296" spans="1:28" ht="17.100000000000001" customHeight="1" thickTop="1">
      <c r="A7296" s="226" t="s">
        <v>20175</v>
      </c>
      <c r="B7296" s="28">
        <v>46101</v>
      </c>
      <c r="C7296" s="25">
        <v>1411</v>
      </c>
      <c r="D7296" s="13" t="s">
        <v>3857</v>
      </c>
      <c r="E7296" s="228"/>
      <c r="F7296" s="109" t="s">
        <v>7495</v>
      </c>
      <c r="G7296" s="24" t="s">
        <v>4120</v>
      </c>
      <c r="H7296" s="230">
        <v>4</v>
      </c>
      <c r="I7296" s="220">
        <v>757000</v>
      </c>
      <c r="J7296" s="220">
        <f>I7296*0.1</f>
        <v>75700</v>
      </c>
      <c r="K7296" s="220">
        <v>10800</v>
      </c>
      <c r="L7296" s="220">
        <v>7950</v>
      </c>
      <c r="M7296" s="220">
        <v>15400</v>
      </c>
      <c r="N7296" s="220">
        <f>SUM(I7296:M7297)</f>
        <v>866850</v>
      </c>
      <c r="O7296" s="224"/>
      <c r="P7296" s="110" t="s">
        <v>20671</v>
      </c>
      <c r="Q7296" s="15" t="s">
        <v>19</v>
      </c>
      <c r="R7296" s="205"/>
      <c r="S7296" s="189"/>
      <c r="T7296" s="114"/>
      <c r="U7296" s="21" t="s">
        <v>21744</v>
      </c>
      <c r="V7296" s="115">
        <v>46116</v>
      </c>
      <c r="W7296" s="116">
        <v>1295</v>
      </c>
      <c r="X7296" s="220">
        <v>830000</v>
      </c>
      <c r="Y7296" s="220">
        <f>X7296*0.1</f>
        <v>83000</v>
      </c>
      <c r="Z7296" s="220">
        <v>7950</v>
      </c>
      <c r="AA7296" s="220">
        <f>SUM(X7296:Z7296)</f>
        <v>920950</v>
      </c>
      <c r="AB7296" s="222">
        <v>46121</v>
      </c>
    </row>
    <row r="7297" spans="1:28" ht="17.100000000000001" customHeight="1" thickBot="1">
      <c r="A7297" s="227"/>
      <c r="B7297" s="27" t="s">
        <v>2597</v>
      </c>
      <c r="C7297" s="27">
        <v>1443</v>
      </c>
      <c r="D7297" s="14" t="s">
        <v>2753</v>
      </c>
      <c r="E7297" s="229"/>
      <c r="F7297" s="117" t="s">
        <v>20236</v>
      </c>
      <c r="G7297" s="26">
        <v>50987</v>
      </c>
      <c r="H7297" s="231"/>
      <c r="I7297" s="221"/>
      <c r="J7297" s="221"/>
      <c r="K7297" s="221"/>
      <c r="L7297" s="221"/>
      <c r="M7297" s="221"/>
      <c r="N7297" s="221"/>
      <c r="O7297" s="225"/>
      <c r="P7297" s="118" t="s">
        <v>4007</v>
      </c>
      <c r="Q7297" s="16" t="s">
        <v>20</v>
      </c>
      <c r="R7297" s="17" t="s">
        <v>2353</v>
      </c>
      <c r="S7297" s="121" t="s">
        <v>20773</v>
      </c>
      <c r="T7297" s="122"/>
      <c r="U7297" s="22"/>
      <c r="V7297" s="123" t="s">
        <v>6641</v>
      </c>
      <c r="W7297" s="122">
        <v>60220</v>
      </c>
      <c r="X7297" s="221"/>
      <c r="Y7297" s="221"/>
      <c r="Z7297" s="221"/>
      <c r="AA7297" s="221"/>
      <c r="AB7297" s="223"/>
    </row>
    <row r="7298" spans="1:28" ht="17.100000000000001" customHeight="1" thickTop="1">
      <c r="A7298" s="226" t="s">
        <v>20176</v>
      </c>
      <c r="B7298" s="28">
        <v>46101</v>
      </c>
      <c r="C7298" s="25">
        <v>1411</v>
      </c>
      <c r="D7298" s="13" t="s">
        <v>1883</v>
      </c>
      <c r="E7298" s="228"/>
      <c r="F7298" s="109" t="s">
        <v>20237</v>
      </c>
      <c r="G7298" s="24" t="s">
        <v>20322</v>
      </c>
      <c r="H7298" s="230">
        <v>4</v>
      </c>
      <c r="I7298" s="220">
        <v>513000</v>
      </c>
      <c r="J7298" s="220">
        <f>I7298*0.1</f>
        <v>51300</v>
      </c>
      <c r="K7298" s="220">
        <v>5000</v>
      </c>
      <c r="L7298" s="220">
        <v>8810</v>
      </c>
      <c r="M7298" s="220">
        <v>15400</v>
      </c>
      <c r="N7298" s="220">
        <f>SUM(I7298:M7299)</f>
        <v>593510</v>
      </c>
      <c r="O7298" s="224"/>
      <c r="P7298" s="110" t="s">
        <v>20812</v>
      </c>
      <c r="Q7298" s="15" t="s">
        <v>19</v>
      </c>
      <c r="R7298" s="205"/>
      <c r="S7298" s="189"/>
      <c r="T7298" s="114"/>
      <c r="U7298" s="21"/>
      <c r="V7298" s="115">
        <v>46106</v>
      </c>
      <c r="W7298" s="116">
        <v>1010</v>
      </c>
      <c r="X7298" s="220">
        <v>560000</v>
      </c>
      <c r="Y7298" s="220">
        <f>X7298*0.1</f>
        <v>56000</v>
      </c>
      <c r="Z7298" s="220">
        <v>8810</v>
      </c>
      <c r="AA7298" s="220">
        <f>SUM(X7298:Z7298)</f>
        <v>624810</v>
      </c>
      <c r="AB7298" s="222">
        <v>46112</v>
      </c>
    </row>
    <row r="7299" spans="1:28" ht="17.100000000000001" customHeight="1" thickBot="1">
      <c r="A7299" s="227"/>
      <c r="B7299" s="27" t="s">
        <v>2597</v>
      </c>
      <c r="C7299" s="27">
        <v>2002</v>
      </c>
      <c r="D7299" s="14" t="s">
        <v>1710</v>
      </c>
      <c r="E7299" s="229"/>
      <c r="F7299" s="117" t="s">
        <v>20238</v>
      </c>
      <c r="G7299" s="26">
        <v>67309</v>
      </c>
      <c r="H7299" s="231"/>
      <c r="I7299" s="221"/>
      <c r="J7299" s="221"/>
      <c r="K7299" s="221"/>
      <c r="L7299" s="221"/>
      <c r="M7299" s="221"/>
      <c r="N7299" s="221"/>
      <c r="O7299" s="225"/>
      <c r="P7299" s="118" t="s">
        <v>20813</v>
      </c>
      <c r="Q7299" s="16" t="s">
        <v>20</v>
      </c>
      <c r="R7299" s="17" t="s">
        <v>20791</v>
      </c>
      <c r="S7299" s="121" t="s">
        <v>20787</v>
      </c>
      <c r="T7299" s="122"/>
      <c r="U7299" s="22"/>
      <c r="V7299" s="123" t="s">
        <v>2747</v>
      </c>
      <c r="W7299" s="122">
        <v>5155</v>
      </c>
      <c r="X7299" s="221"/>
      <c r="Y7299" s="221"/>
      <c r="Z7299" s="221"/>
      <c r="AA7299" s="221"/>
      <c r="AB7299" s="223"/>
    </row>
    <row r="7300" spans="1:28" ht="17.100000000000001" customHeight="1" thickTop="1">
      <c r="A7300" s="226" t="s">
        <v>20177</v>
      </c>
      <c r="B7300" s="28">
        <v>46101</v>
      </c>
      <c r="C7300" s="25">
        <v>1411</v>
      </c>
      <c r="D7300" s="13" t="s">
        <v>2355</v>
      </c>
      <c r="E7300" s="228"/>
      <c r="F7300" s="109" t="s">
        <v>15625</v>
      </c>
      <c r="G7300" s="24"/>
      <c r="H7300" s="230">
        <v>4</v>
      </c>
      <c r="I7300" s="220">
        <v>372000</v>
      </c>
      <c r="J7300" s="220">
        <f>I7300*0.1</f>
        <v>37200</v>
      </c>
      <c r="K7300" s="220">
        <v>0</v>
      </c>
      <c r="L7300" s="220">
        <v>11820</v>
      </c>
      <c r="M7300" s="220">
        <v>15400</v>
      </c>
      <c r="N7300" s="220">
        <f>SUM(I7300:M7301)</f>
        <v>436420</v>
      </c>
      <c r="O7300" s="224"/>
      <c r="P7300" s="110" t="s">
        <v>20750</v>
      </c>
      <c r="Q7300" s="15" t="s">
        <v>19</v>
      </c>
      <c r="R7300" s="205"/>
      <c r="S7300" s="189"/>
      <c r="T7300" s="114"/>
      <c r="U7300" s="21"/>
      <c r="V7300" s="115">
        <v>46106</v>
      </c>
      <c r="W7300" s="116">
        <v>1010</v>
      </c>
      <c r="X7300" s="220">
        <v>410000</v>
      </c>
      <c r="Y7300" s="220">
        <f>X7300*0.1</f>
        <v>41000</v>
      </c>
      <c r="Z7300" s="220">
        <v>11820</v>
      </c>
      <c r="AA7300" s="220">
        <f>SUM(X7300:Z7300)</f>
        <v>462820</v>
      </c>
      <c r="AB7300" s="222">
        <v>46111</v>
      </c>
    </row>
    <row r="7301" spans="1:28" ht="17.100000000000001" customHeight="1" thickBot="1">
      <c r="A7301" s="227"/>
      <c r="B7301" s="27" t="s">
        <v>2597</v>
      </c>
      <c r="C7301" s="27">
        <v>2275</v>
      </c>
      <c r="D7301" s="14" t="s">
        <v>1710</v>
      </c>
      <c r="E7301" s="229"/>
      <c r="F7301" s="117" t="s">
        <v>20239</v>
      </c>
      <c r="G7301" s="26">
        <v>79065</v>
      </c>
      <c r="H7301" s="231"/>
      <c r="I7301" s="221"/>
      <c r="J7301" s="221"/>
      <c r="K7301" s="221"/>
      <c r="L7301" s="221"/>
      <c r="M7301" s="221"/>
      <c r="N7301" s="221"/>
      <c r="O7301" s="225"/>
      <c r="P7301" s="118" t="s">
        <v>20704</v>
      </c>
      <c r="Q7301" s="16" t="s">
        <v>20</v>
      </c>
      <c r="R7301" s="17" t="s">
        <v>20724</v>
      </c>
      <c r="S7301" s="121" t="s">
        <v>20767</v>
      </c>
      <c r="T7301" s="122"/>
      <c r="U7301" s="22"/>
      <c r="V7301" s="123" t="s">
        <v>2747</v>
      </c>
      <c r="W7301" s="122">
        <v>5241</v>
      </c>
      <c r="X7301" s="221"/>
      <c r="Y7301" s="221"/>
      <c r="Z7301" s="221"/>
      <c r="AA7301" s="221"/>
      <c r="AB7301" s="223"/>
    </row>
    <row r="7302" spans="1:28" ht="17.100000000000001" customHeight="1" thickTop="1">
      <c r="A7302" s="226" t="s">
        <v>20178</v>
      </c>
      <c r="B7302" s="28">
        <v>46101</v>
      </c>
      <c r="C7302" s="25">
        <v>1411</v>
      </c>
      <c r="D7302" s="13" t="s">
        <v>1632</v>
      </c>
      <c r="E7302" s="228"/>
      <c r="F7302" s="109" t="s">
        <v>15469</v>
      </c>
      <c r="G7302" s="24"/>
      <c r="H7302" s="230">
        <v>4</v>
      </c>
      <c r="I7302" s="220">
        <v>1269000</v>
      </c>
      <c r="J7302" s="220">
        <f>I7302*0.1</f>
        <v>126900</v>
      </c>
      <c r="K7302" s="220">
        <v>0</v>
      </c>
      <c r="L7302" s="220">
        <v>11480</v>
      </c>
      <c r="M7302" s="220">
        <v>15400</v>
      </c>
      <c r="N7302" s="220">
        <f>SUM(I7302:M7303)</f>
        <v>1422780</v>
      </c>
      <c r="O7302" s="224"/>
      <c r="P7302" s="110" t="s">
        <v>20814</v>
      </c>
      <c r="Q7302" s="15" t="s">
        <v>19</v>
      </c>
      <c r="R7302" s="205"/>
      <c r="S7302" s="189"/>
      <c r="T7302" s="114"/>
      <c r="U7302" s="21"/>
      <c r="V7302" s="115">
        <v>46106</v>
      </c>
      <c r="W7302" s="116">
        <v>1010</v>
      </c>
      <c r="X7302" s="220">
        <v>1320000</v>
      </c>
      <c r="Y7302" s="220">
        <f>X7302*0.1</f>
        <v>132000</v>
      </c>
      <c r="Z7302" s="220">
        <v>11480</v>
      </c>
      <c r="AA7302" s="220">
        <f>SUM(X7302:Z7302)</f>
        <v>1463480</v>
      </c>
      <c r="AB7302" s="222">
        <v>46112</v>
      </c>
    </row>
    <row r="7303" spans="1:28" ht="17.100000000000001" customHeight="1" thickBot="1">
      <c r="A7303" s="227"/>
      <c r="B7303" s="27" t="s">
        <v>2597</v>
      </c>
      <c r="C7303" s="27">
        <v>3028</v>
      </c>
      <c r="D7303" s="14" t="s">
        <v>273</v>
      </c>
      <c r="E7303" s="229"/>
      <c r="F7303" s="117" t="s">
        <v>20240</v>
      </c>
      <c r="G7303" s="26">
        <v>93292</v>
      </c>
      <c r="H7303" s="231"/>
      <c r="I7303" s="221"/>
      <c r="J7303" s="221"/>
      <c r="K7303" s="221"/>
      <c r="L7303" s="221"/>
      <c r="M7303" s="221"/>
      <c r="N7303" s="221"/>
      <c r="O7303" s="225"/>
      <c r="P7303" s="118" t="s">
        <v>20815</v>
      </c>
      <c r="Q7303" s="16" t="s">
        <v>20</v>
      </c>
      <c r="R7303" s="17" t="s">
        <v>20791</v>
      </c>
      <c r="S7303" s="121" t="s">
        <v>20444</v>
      </c>
      <c r="T7303" s="122"/>
      <c r="U7303" s="22"/>
      <c r="V7303" s="123" t="s">
        <v>2747</v>
      </c>
      <c r="W7303" s="122">
        <v>5161</v>
      </c>
      <c r="X7303" s="221"/>
      <c r="Y7303" s="221"/>
      <c r="Z7303" s="221"/>
      <c r="AA7303" s="221"/>
      <c r="AB7303" s="223"/>
    </row>
    <row r="7304" spans="1:28" ht="17.100000000000001" customHeight="1" thickTop="1">
      <c r="A7304" s="226" t="s">
        <v>20179</v>
      </c>
      <c r="B7304" s="28">
        <v>46101</v>
      </c>
      <c r="C7304" s="25">
        <v>1411</v>
      </c>
      <c r="D7304" s="13" t="s">
        <v>1931</v>
      </c>
      <c r="E7304" s="228"/>
      <c r="F7304" s="109" t="s">
        <v>3606</v>
      </c>
      <c r="G7304" s="24"/>
      <c r="H7304" s="230">
        <v>4</v>
      </c>
      <c r="I7304" s="220">
        <v>948000</v>
      </c>
      <c r="J7304" s="220">
        <f>I7304*0.1</f>
        <v>94800</v>
      </c>
      <c r="K7304" s="220">
        <v>0</v>
      </c>
      <c r="L7304" s="220">
        <v>9750</v>
      </c>
      <c r="M7304" s="220">
        <v>15400</v>
      </c>
      <c r="N7304" s="220">
        <f>SUM(I7304:M7305)</f>
        <v>1067950</v>
      </c>
      <c r="O7304" s="224"/>
      <c r="P7304" s="110" t="s">
        <v>20835</v>
      </c>
      <c r="Q7304" s="15" t="s">
        <v>19</v>
      </c>
      <c r="R7304" s="205"/>
      <c r="S7304" s="189" t="s">
        <v>455</v>
      </c>
      <c r="T7304" s="114"/>
      <c r="U7304" s="21"/>
      <c r="V7304" s="115">
        <v>46113</v>
      </c>
      <c r="W7304" s="116">
        <v>1011</v>
      </c>
      <c r="X7304" s="220">
        <v>935000</v>
      </c>
      <c r="Y7304" s="220">
        <f>X7304*0.1</f>
        <v>93500</v>
      </c>
      <c r="Z7304" s="220">
        <v>9750</v>
      </c>
      <c r="AA7304" s="220">
        <f>SUM(X7304:Z7304)</f>
        <v>1038250</v>
      </c>
      <c r="AB7304" s="222">
        <v>46118</v>
      </c>
    </row>
    <row r="7305" spans="1:28" ht="17.100000000000001" customHeight="1" thickBot="1">
      <c r="A7305" s="227"/>
      <c r="B7305" s="27" t="s">
        <v>2597</v>
      </c>
      <c r="C7305" s="27">
        <v>3054</v>
      </c>
      <c r="D7305" s="14" t="s">
        <v>273</v>
      </c>
      <c r="E7305" s="229"/>
      <c r="F7305" s="117" t="s">
        <v>20241</v>
      </c>
      <c r="G7305" s="26">
        <v>64973</v>
      </c>
      <c r="H7305" s="231"/>
      <c r="I7305" s="221"/>
      <c r="J7305" s="221"/>
      <c r="K7305" s="221"/>
      <c r="L7305" s="221"/>
      <c r="M7305" s="221"/>
      <c r="N7305" s="221"/>
      <c r="O7305" s="225"/>
      <c r="P7305" s="118" t="s">
        <v>20836</v>
      </c>
      <c r="Q7305" s="16" t="s">
        <v>20</v>
      </c>
      <c r="R7305" s="17" t="s">
        <v>20791</v>
      </c>
      <c r="S7305" s="121" t="s">
        <v>20837</v>
      </c>
      <c r="T7305" s="122"/>
      <c r="U7305" s="22"/>
      <c r="V7305" s="123" t="s">
        <v>2747</v>
      </c>
      <c r="W7305" s="122">
        <v>6141</v>
      </c>
      <c r="X7305" s="221"/>
      <c r="Y7305" s="221"/>
      <c r="Z7305" s="221"/>
      <c r="AA7305" s="221"/>
      <c r="AB7305" s="223"/>
    </row>
    <row r="7306" spans="1:28" ht="17.100000000000001" customHeight="1" thickTop="1">
      <c r="A7306" s="226" t="s">
        <v>20180</v>
      </c>
      <c r="B7306" s="28">
        <v>46101</v>
      </c>
      <c r="C7306" s="25">
        <v>1411</v>
      </c>
      <c r="D7306" s="13" t="s">
        <v>2113</v>
      </c>
      <c r="E7306" s="228"/>
      <c r="F7306" s="109" t="s">
        <v>7139</v>
      </c>
      <c r="G7306" s="24" t="s">
        <v>9137</v>
      </c>
      <c r="H7306" s="230">
        <v>4</v>
      </c>
      <c r="I7306" s="220">
        <v>649000</v>
      </c>
      <c r="J7306" s="220">
        <f>I7306*0.1</f>
        <v>64900</v>
      </c>
      <c r="K7306" s="220">
        <v>34500</v>
      </c>
      <c r="L7306" s="220">
        <v>10360</v>
      </c>
      <c r="M7306" s="220">
        <v>15400</v>
      </c>
      <c r="N7306" s="220">
        <f>SUM(I7306:M7307)</f>
        <v>774160</v>
      </c>
      <c r="O7306" s="224"/>
      <c r="P7306" s="110" t="s">
        <v>20744</v>
      </c>
      <c r="Q7306" s="15" t="s">
        <v>19</v>
      </c>
      <c r="R7306" s="205"/>
      <c r="S7306" s="189" t="s">
        <v>25877</v>
      </c>
      <c r="T7306" s="114"/>
      <c r="U7306" s="21"/>
      <c r="V7306" s="115">
        <v>46106</v>
      </c>
      <c r="W7306" s="116">
        <v>1010</v>
      </c>
      <c r="X7306" s="220">
        <v>720000</v>
      </c>
      <c r="Y7306" s="220">
        <f>X7306*0.1</f>
        <v>72000</v>
      </c>
      <c r="Z7306" s="220">
        <v>10360</v>
      </c>
      <c r="AA7306" s="220">
        <f>SUM(X7306:Z7306)</f>
        <v>802360</v>
      </c>
      <c r="AB7306" s="222">
        <v>46111</v>
      </c>
    </row>
    <row r="7307" spans="1:28" ht="17.100000000000001" customHeight="1" thickBot="1">
      <c r="A7307" s="227"/>
      <c r="B7307" s="27" t="s">
        <v>2597</v>
      </c>
      <c r="C7307" s="27">
        <v>3058</v>
      </c>
      <c r="D7307" s="14" t="s">
        <v>1797</v>
      </c>
      <c r="E7307" s="229"/>
      <c r="F7307" s="117" t="s">
        <v>20242</v>
      </c>
      <c r="G7307" s="26">
        <v>55601</v>
      </c>
      <c r="H7307" s="231"/>
      <c r="I7307" s="221"/>
      <c r="J7307" s="221"/>
      <c r="K7307" s="221"/>
      <c r="L7307" s="221"/>
      <c r="M7307" s="221"/>
      <c r="N7307" s="221"/>
      <c r="O7307" s="225"/>
      <c r="P7307" s="118" t="s">
        <v>20745</v>
      </c>
      <c r="Q7307" s="16" t="s">
        <v>20</v>
      </c>
      <c r="R7307" s="17" t="s">
        <v>20724</v>
      </c>
      <c r="S7307" s="121" t="s">
        <v>20746</v>
      </c>
      <c r="T7307" s="122"/>
      <c r="U7307" s="22"/>
      <c r="V7307" s="123" t="s">
        <v>2747</v>
      </c>
      <c r="W7307" s="122">
        <v>5160</v>
      </c>
      <c r="X7307" s="221"/>
      <c r="Y7307" s="221"/>
      <c r="Z7307" s="221"/>
      <c r="AA7307" s="221"/>
      <c r="AB7307" s="223"/>
    </row>
    <row r="7308" spans="1:28" ht="17.100000000000001" customHeight="1" thickTop="1">
      <c r="A7308" s="226" t="s">
        <v>20181</v>
      </c>
      <c r="B7308" s="28">
        <v>46101</v>
      </c>
      <c r="C7308" s="25">
        <v>1411</v>
      </c>
      <c r="D7308" s="13" t="s">
        <v>1704</v>
      </c>
      <c r="E7308" s="228"/>
      <c r="F7308" s="109" t="s">
        <v>15625</v>
      </c>
      <c r="G7308" s="24" t="s">
        <v>20323</v>
      </c>
      <c r="H7308" s="230">
        <v>4.5</v>
      </c>
      <c r="I7308" s="220">
        <v>1767000</v>
      </c>
      <c r="J7308" s="220">
        <f>I7308*0.1</f>
        <v>176700</v>
      </c>
      <c r="K7308" s="220">
        <v>36000</v>
      </c>
      <c r="L7308" s="220">
        <v>11480</v>
      </c>
      <c r="M7308" s="220">
        <v>15400</v>
      </c>
      <c r="N7308" s="220">
        <f>SUM(I7308:M7309)</f>
        <v>2006580</v>
      </c>
      <c r="O7308" s="224"/>
      <c r="P7308" s="110" t="s">
        <v>21311</v>
      </c>
      <c r="Q7308" s="15" t="s">
        <v>19</v>
      </c>
      <c r="R7308" s="205"/>
      <c r="S7308" s="189" t="s">
        <v>25878</v>
      </c>
      <c r="T7308" s="114"/>
      <c r="U7308" s="21"/>
      <c r="V7308" s="115">
        <v>46113</v>
      </c>
      <c r="W7308" s="116">
        <v>1011</v>
      </c>
      <c r="X7308" s="220">
        <v>1835000</v>
      </c>
      <c r="Y7308" s="220">
        <f>X7308*0.1</f>
        <v>183500</v>
      </c>
      <c r="Z7308" s="220">
        <v>11480</v>
      </c>
      <c r="AA7308" s="220">
        <f>SUM(X7308:Z7308)</f>
        <v>2029980</v>
      </c>
      <c r="AB7308" s="222">
        <v>46119</v>
      </c>
    </row>
    <row r="7309" spans="1:28" ht="17.100000000000001" customHeight="1" thickBot="1">
      <c r="A7309" s="227"/>
      <c r="B7309" s="27" t="s">
        <v>2597</v>
      </c>
      <c r="C7309" s="27">
        <v>3152</v>
      </c>
      <c r="D7309" s="14" t="s">
        <v>2559</v>
      </c>
      <c r="E7309" s="229"/>
      <c r="F7309" s="117" t="s">
        <v>20243</v>
      </c>
      <c r="G7309" s="26">
        <v>79044</v>
      </c>
      <c r="H7309" s="231"/>
      <c r="I7309" s="221"/>
      <c r="J7309" s="221"/>
      <c r="K7309" s="221"/>
      <c r="L7309" s="221"/>
      <c r="M7309" s="221"/>
      <c r="N7309" s="221"/>
      <c r="O7309" s="225"/>
      <c r="P7309" s="118" t="s">
        <v>21312</v>
      </c>
      <c r="Q7309" s="16" t="s">
        <v>20</v>
      </c>
      <c r="R7309" s="17" t="s">
        <v>1634</v>
      </c>
      <c r="S7309" s="121" t="s">
        <v>21417</v>
      </c>
      <c r="T7309" s="122"/>
      <c r="U7309" s="22"/>
      <c r="V7309" s="123" t="s">
        <v>2747</v>
      </c>
      <c r="W7309" s="122">
        <v>6117</v>
      </c>
      <c r="X7309" s="221"/>
      <c r="Y7309" s="221"/>
      <c r="Z7309" s="221"/>
      <c r="AA7309" s="221"/>
      <c r="AB7309" s="223"/>
    </row>
    <row r="7310" spans="1:28" ht="17.100000000000001" customHeight="1" thickTop="1">
      <c r="A7310" s="226" t="s">
        <v>20182</v>
      </c>
      <c r="B7310" s="28">
        <v>46101</v>
      </c>
      <c r="C7310" s="25">
        <v>1411</v>
      </c>
      <c r="D7310" s="13" t="s">
        <v>1808</v>
      </c>
      <c r="E7310" s="228"/>
      <c r="F7310" s="109" t="s">
        <v>20244</v>
      </c>
      <c r="G7310" s="24" t="s">
        <v>12998</v>
      </c>
      <c r="H7310" s="230">
        <v>4</v>
      </c>
      <c r="I7310" s="220">
        <v>159000</v>
      </c>
      <c r="J7310" s="220">
        <f>I7310*0.1</f>
        <v>15900</v>
      </c>
      <c r="K7310" s="220">
        <v>7200</v>
      </c>
      <c r="L7310" s="220">
        <v>8140</v>
      </c>
      <c r="M7310" s="220">
        <v>15400</v>
      </c>
      <c r="N7310" s="220">
        <f>SUM(I7310:M7311)</f>
        <v>205640</v>
      </c>
      <c r="O7310" s="224"/>
      <c r="P7310" s="110" t="s">
        <v>20747</v>
      </c>
      <c r="Q7310" s="15" t="s">
        <v>19</v>
      </c>
      <c r="R7310" s="205"/>
      <c r="S7310" s="189" t="s">
        <v>283</v>
      </c>
      <c r="T7310" s="114"/>
      <c r="U7310" s="21"/>
      <c r="V7310" s="115">
        <v>46106</v>
      </c>
      <c r="W7310" s="116">
        <v>1010</v>
      </c>
      <c r="X7310" s="220">
        <v>225000</v>
      </c>
      <c r="Y7310" s="220">
        <f>X7310*0.1</f>
        <v>22500</v>
      </c>
      <c r="Z7310" s="220">
        <v>8140</v>
      </c>
      <c r="AA7310" s="220">
        <f>SUM(X7310:Z7310)</f>
        <v>255640</v>
      </c>
      <c r="AB7310" s="222">
        <v>46111</v>
      </c>
    </row>
    <row r="7311" spans="1:28" ht="17.100000000000001" customHeight="1" thickBot="1">
      <c r="A7311" s="227"/>
      <c r="B7311" s="27" t="s">
        <v>2597</v>
      </c>
      <c r="C7311" s="27">
        <v>3255</v>
      </c>
      <c r="D7311" s="14" t="s">
        <v>19450</v>
      </c>
      <c r="E7311" s="229"/>
      <c r="F7311" s="117" t="s">
        <v>20245</v>
      </c>
      <c r="G7311" s="26">
        <v>60241</v>
      </c>
      <c r="H7311" s="231"/>
      <c r="I7311" s="221"/>
      <c r="J7311" s="221"/>
      <c r="K7311" s="221"/>
      <c r="L7311" s="221"/>
      <c r="M7311" s="221"/>
      <c r="N7311" s="221"/>
      <c r="O7311" s="225"/>
      <c r="P7311" s="118" t="s">
        <v>20748</v>
      </c>
      <c r="Q7311" s="16" t="s">
        <v>20</v>
      </c>
      <c r="R7311" s="17" t="s">
        <v>20724</v>
      </c>
      <c r="S7311" s="121" t="s">
        <v>20749</v>
      </c>
      <c r="T7311" s="122"/>
      <c r="U7311" s="22"/>
      <c r="V7311" s="123" t="s">
        <v>2747</v>
      </c>
      <c r="W7311" s="122">
        <v>2099</v>
      </c>
      <c r="X7311" s="221"/>
      <c r="Y7311" s="221"/>
      <c r="Z7311" s="221"/>
      <c r="AA7311" s="221"/>
      <c r="AB7311" s="223"/>
    </row>
    <row r="7312" spans="1:28" ht="17.100000000000001" customHeight="1" thickTop="1">
      <c r="A7312" s="226" t="s">
        <v>20183</v>
      </c>
      <c r="B7312" s="28">
        <v>46101</v>
      </c>
      <c r="C7312" s="25">
        <v>1411</v>
      </c>
      <c r="D7312" s="13" t="s">
        <v>3327</v>
      </c>
      <c r="E7312" s="228"/>
      <c r="F7312" s="109" t="s">
        <v>16880</v>
      </c>
      <c r="G7312" s="24" t="s">
        <v>18644</v>
      </c>
      <c r="H7312" s="230">
        <v>4.5</v>
      </c>
      <c r="I7312" s="220">
        <v>911000</v>
      </c>
      <c r="J7312" s="220">
        <f>I7312*0.1</f>
        <v>91100</v>
      </c>
      <c r="K7312" s="220">
        <v>10800</v>
      </c>
      <c r="L7312" s="220">
        <v>9010</v>
      </c>
      <c r="M7312" s="220">
        <v>15400</v>
      </c>
      <c r="N7312" s="220">
        <f>SUM(I7312:M7313)</f>
        <v>1037310</v>
      </c>
      <c r="O7312" s="224"/>
      <c r="P7312" s="110" t="s">
        <v>20832</v>
      </c>
      <c r="Q7312" s="15" t="s">
        <v>19</v>
      </c>
      <c r="R7312" s="205"/>
      <c r="S7312" s="189" t="s">
        <v>283</v>
      </c>
      <c r="T7312" s="114"/>
      <c r="U7312" s="21" t="s">
        <v>22741</v>
      </c>
      <c r="V7312" s="115">
        <v>46127</v>
      </c>
      <c r="W7312" s="116">
        <v>1013</v>
      </c>
      <c r="X7312" s="220">
        <v>960000</v>
      </c>
      <c r="Y7312" s="220">
        <f>X7312*0.1</f>
        <v>96000</v>
      </c>
      <c r="Z7312" s="220">
        <v>9010</v>
      </c>
      <c r="AA7312" s="220">
        <f>SUM(X7312:Z7312)</f>
        <v>1065010</v>
      </c>
      <c r="AB7312" s="222">
        <v>46133</v>
      </c>
    </row>
    <row r="7313" spans="1:28" ht="17.100000000000001" customHeight="1" thickBot="1">
      <c r="A7313" s="227"/>
      <c r="B7313" s="27" t="s">
        <v>2597</v>
      </c>
      <c r="C7313" s="27">
        <v>3279</v>
      </c>
      <c r="D7313" s="14" t="s">
        <v>1584</v>
      </c>
      <c r="E7313" s="229"/>
      <c r="F7313" s="117" t="s">
        <v>20246</v>
      </c>
      <c r="G7313" s="26">
        <v>40597</v>
      </c>
      <c r="H7313" s="231"/>
      <c r="I7313" s="221"/>
      <c r="J7313" s="221"/>
      <c r="K7313" s="221"/>
      <c r="L7313" s="221"/>
      <c r="M7313" s="221"/>
      <c r="N7313" s="221"/>
      <c r="O7313" s="225"/>
      <c r="P7313" s="118" t="s">
        <v>20833</v>
      </c>
      <c r="Q7313" s="16" t="s">
        <v>20</v>
      </c>
      <c r="R7313" s="17" t="s">
        <v>20791</v>
      </c>
      <c r="S7313" s="121" t="s">
        <v>20834</v>
      </c>
      <c r="T7313" s="122"/>
      <c r="U7313" s="22"/>
      <c r="V7313" s="123" t="s">
        <v>8877</v>
      </c>
      <c r="W7313" s="122">
        <v>2019</v>
      </c>
      <c r="X7313" s="221"/>
      <c r="Y7313" s="221"/>
      <c r="Z7313" s="221"/>
      <c r="AA7313" s="221"/>
      <c r="AB7313" s="223"/>
    </row>
    <row r="7314" spans="1:28" ht="17.100000000000001" customHeight="1" thickTop="1">
      <c r="A7314" s="226" t="s">
        <v>20184</v>
      </c>
      <c r="B7314" s="28">
        <v>46101</v>
      </c>
      <c r="C7314" s="25">
        <v>1411</v>
      </c>
      <c r="D7314" s="13" t="s">
        <v>2644</v>
      </c>
      <c r="E7314" s="228"/>
      <c r="F7314" s="109" t="s">
        <v>20247</v>
      </c>
      <c r="G7314" s="24" t="s">
        <v>2959</v>
      </c>
      <c r="H7314" s="230">
        <v>4.5</v>
      </c>
      <c r="I7314" s="220">
        <v>2219000</v>
      </c>
      <c r="J7314" s="220">
        <f>I7314*0.1</f>
        <v>221900</v>
      </c>
      <c r="K7314" s="220">
        <v>30500</v>
      </c>
      <c r="L7314" s="220">
        <v>9620</v>
      </c>
      <c r="M7314" s="220">
        <v>15400</v>
      </c>
      <c r="N7314" s="220">
        <f>SUM(I7314:M7315)</f>
        <v>2496420</v>
      </c>
      <c r="O7314" s="224"/>
      <c r="P7314" s="110" t="s">
        <v>21260</v>
      </c>
      <c r="Q7314" s="15" t="s">
        <v>19</v>
      </c>
      <c r="R7314" s="205"/>
      <c r="S7314" s="189" t="s">
        <v>455</v>
      </c>
      <c r="T7314" s="114"/>
      <c r="U7314" s="21"/>
      <c r="V7314" s="115">
        <v>46106</v>
      </c>
      <c r="W7314" s="116">
        <v>1010</v>
      </c>
      <c r="X7314" s="220">
        <v>2315000</v>
      </c>
      <c r="Y7314" s="220">
        <f>X7314*0.1</f>
        <v>231500</v>
      </c>
      <c r="Z7314" s="220">
        <v>9620</v>
      </c>
      <c r="AA7314" s="220">
        <f>SUM(X7314:Z7314)</f>
        <v>2556120</v>
      </c>
      <c r="AB7314" s="222">
        <v>46114</v>
      </c>
    </row>
    <row r="7315" spans="1:28" ht="17.100000000000001" customHeight="1" thickBot="1">
      <c r="A7315" s="227"/>
      <c r="B7315" s="27" t="s">
        <v>2597</v>
      </c>
      <c r="C7315" s="27">
        <v>3291</v>
      </c>
      <c r="D7315" s="14" t="s">
        <v>2559</v>
      </c>
      <c r="E7315" s="229"/>
      <c r="F7315" s="117" t="s">
        <v>20248</v>
      </c>
      <c r="G7315" s="26">
        <v>41558</v>
      </c>
      <c r="H7315" s="231"/>
      <c r="I7315" s="221"/>
      <c r="J7315" s="221"/>
      <c r="K7315" s="221"/>
      <c r="L7315" s="221"/>
      <c r="M7315" s="221"/>
      <c r="N7315" s="221"/>
      <c r="O7315" s="225"/>
      <c r="P7315" s="118" t="s">
        <v>21261</v>
      </c>
      <c r="Q7315" s="16" t="s">
        <v>20</v>
      </c>
      <c r="R7315" s="17" t="s">
        <v>3913</v>
      </c>
      <c r="S7315" s="121" t="s">
        <v>21263</v>
      </c>
      <c r="T7315" s="122"/>
      <c r="U7315" s="22"/>
      <c r="V7315" s="123" t="s">
        <v>2747</v>
      </c>
      <c r="W7315" s="122">
        <v>5152</v>
      </c>
      <c r="X7315" s="221"/>
      <c r="Y7315" s="221"/>
      <c r="Z7315" s="221"/>
      <c r="AA7315" s="221"/>
      <c r="AB7315" s="223"/>
    </row>
    <row r="7316" spans="1:28" ht="17.100000000000001" customHeight="1" thickTop="1">
      <c r="A7316" s="226" t="s">
        <v>20185</v>
      </c>
      <c r="B7316" s="28">
        <v>46101</v>
      </c>
      <c r="C7316" s="25">
        <v>1411</v>
      </c>
      <c r="D7316" s="13" t="s">
        <v>1704</v>
      </c>
      <c r="E7316" s="228"/>
      <c r="F7316" s="109" t="s">
        <v>20249</v>
      </c>
      <c r="G7316" s="24" t="s">
        <v>8493</v>
      </c>
      <c r="H7316" s="230">
        <v>4</v>
      </c>
      <c r="I7316" s="220">
        <v>821000</v>
      </c>
      <c r="J7316" s="220">
        <f>I7316*0.1</f>
        <v>82100</v>
      </c>
      <c r="K7316" s="220">
        <v>10800</v>
      </c>
      <c r="L7316" s="220">
        <v>8550</v>
      </c>
      <c r="M7316" s="220">
        <v>15400</v>
      </c>
      <c r="N7316" s="220">
        <f>SUM(I7316:M7317)</f>
        <v>937850</v>
      </c>
      <c r="O7316" s="224"/>
      <c r="P7316" s="110" t="s">
        <v>20732</v>
      </c>
      <c r="Q7316" s="15" t="s">
        <v>19</v>
      </c>
      <c r="R7316" s="205"/>
      <c r="S7316" s="189" t="s">
        <v>25863</v>
      </c>
      <c r="T7316" s="114"/>
      <c r="U7316" s="21" t="s">
        <v>22381</v>
      </c>
      <c r="V7316" s="115">
        <v>46120</v>
      </c>
      <c r="W7316" s="116">
        <v>1012</v>
      </c>
      <c r="X7316" s="220">
        <v>900000</v>
      </c>
      <c r="Y7316" s="220">
        <f>X7316*0.1</f>
        <v>90000</v>
      </c>
      <c r="Z7316" s="220">
        <v>8550</v>
      </c>
      <c r="AA7316" s="220">
        <f>SUM(X7316:Z7316)</f>
        <v>998550</v>
      </c>
      <c r="AB7316" s="222">
        <v>46128</v>
      </c>
    </row>
    <row r="7317" spans="1:28" ht="17.100000000000001" customHeight="1" thickBot="1">
      <c r="A7317" s="227"/>
      <c r="B7317" s="27" t="s">
        <v>2597</v>
      </c>
      <c r="C7317" s="27">
        <v>7005</v>
      </c>
      <c r="D7317" s="14" t="s">
        <v>2559</v>
      </c>
      <c r="E7317" s="229"/>
      <c r="F7317" s="117" t="s">
        <v>20250</v>
      </c>
      <c r="G7317" s="26">
        <v>56999</v>
      </c>
      <c r="H7317" s="231"/>
      <c r="I7317" s="221"/>
      <c r="J7317" s="221"/>
      <c r="K7317" s="221"/>
      <c r="L7317" s="221"/>
      <c r="M7317" s="221"/>
      <c r="N7317" s="221"/>
      <c r="O7317" s="225"/>
      <c r="P7317" s="118" t="s">
        <v>20733</v>
      </c>
      <c r="Q7317" s="16" t="s">
        <v>20</v>
      </c>
      <c r="R7317" s="17" t="s">
        <v>20705</v>
      </c>
      <c r="S7317" s="121" t="s">
        <v>20734</v>
      </c>
      <c r="T7317" s="122"/>
      <c r="U7317" s="22"/>
      <c r="V7317" s="123" t="s">
        <v>8648</v>
      </c>
      <c r="W7317" s="122">
        <v>2006</v>
      </c>
      <c r="X7317" s="221"/>
      <c r="Y7317" s="221"/>
      <c r="Z7317" s="221"/>
      <c r="AA7317" s="221"/>
      <c r="AB7317" s="223"/>
    </row>
    <row r="7318" spans="1:28" ht="17.100000000000001" customHeight="1" thickTop="1">
      <c r="A7318" s="226" t="s">
        <v>20186</v>
      </c>
      <c r="B7318" s="28">
        <v>46101</v>
      </c>
      <c r="C7318" s="25">
        <v>1411</v>
      </c>
      <c r="D7318" s="13" t="s">
        <v>2320</v>
      </c>
      <c r="E7318" s="228"/>
      <c r="F7318" s="109" t="s">
        <v>20251</v>
      </c>
      <c r="G7318" s="24" t="s">
        <v>20324</v>
      </c>
      <c r="H7318" s="230">
        <v>4.5</v>
      </c>
      <c r="I7318" s="220">
        <v>799000</v>
      </c>
      <c r="J7318" s="220">
        <f>I7318*0.1</f>
        <v>79900</v>
      </c>
      <c r="K7318" s="220">
        <v>10800</v>
      </c>
      <c r="L7318" s="220">
        <v>6880</v>
      </c>
      <c r="M7318" s="220">
        <v>15400</v>
      </c>
      <c r="N7318" s="220">
        <f>SUM(I7318:M7319)</f>
        <v>911980</v>
      </c>
      <c r="O7318" s="224"/>
      <c r="P7318" s="110" t="s">
        <v>20667</v>
      </c>
      <c r="Q7318" s="15" t="s">
        <v>19</v>
      </c>
      <c r="R7318" s="205"/>
      <c r="S7318" s="189" t="s">
        <v>25784</v>
      </c>
      <c r="T7318" s="114"/>
      <c r="U7318" s="21" t="s">
        <v>22384</v>
      </c>
      <c r="V7318" s="115">
        <v>46123</v>
      </c>
      <c r="W7318" s="116">
        <v>1296</v>
      </c>
      <c r="X7318" s="220">
        <v>810000</v>
      </c>
      <c r="Y7318" s="220">
        <f>X7318*0.1</f>
        <v>81000</v>
      </c>
      <c r="Z7318" s="220">
        <v>6880</v>
      </c>
      <c r="AA7318" s="220">
        <f>SUM(X7318:Z7318)</f>
        <v>897880</v>
      </c>
      <c r="AB7318" s="222">
        <v>46128</v>
      </c>
    </row>
    <row r="7319" spans="1:28" ht="17.100000000000001" customHeight="1" thickBot="1">
      <c r="A7319" s="227"/>
      <c r="B7319" s="27" t="s">
        <v>2597</v>
      </c>
      <c r="C7319" s="27">
        <v>7082</v>
      </c>
      <c r="D7319" s="14" t="s">
        <v>5509</v>
      </c>
      <c r="E7319" s="229"/>
      <c r="F7319" s="117" t="s">
        <v>20252</v>
      </c>
      <c r="G7319" s="26">
        <v>17656</v>
      </c>
      <c r="H7319" s="231"/>
      <c r="I7319" s="221"/>
      <c r="J7319" s="221"/>
      <c r="K7319" s="221"/>
      <c r="L7319" s="221"/>
      <c r="M7319" s="221"/>
      <c r="N7319" s="221"/>
      <c r="O7319" s="225"/>
      <c r="P7319" s="118" t="s">
        <v>4161</v>
      </c>
      <c r="Q7319" s="16" t="s">
        <v>20</v>
      </c>
      <c r="R7319" s="17" t="s">
        <v>2353</v>
      </c>
      <c r="S7319" s="121" t="s">
        <v>4539</v>
      </c>
      <c r="T7319" s="122"/>
      <c r="U7319" s="22"/>
      <c r="V7319" s="123" t="s">
        <v>2472</v>
      </c>
      <c r="W7319" s="122">
        <v>60077</v>
      </c>
      <c r="X7319" s="221"/>
      <c r="Y7319" s="221"/>
      <c r="Z7319" s="221"/>
      <c r="AA7319" s="221"/>
      <c r="AB7319" s="223"/>
    </row>
    <row r="7320" spans="1:28" ht="17.100000000000001" customHeight="1" thickTop="1">
      <c r="A7320" s="226" t="s">
        <v>20187</v>
      </c>
      <c r="B7320" s="28">
        <v>46101</v>
      </c>
      <c r="C7320" s="25">
        <v>1411</v>
      </c>
      <c r="D7320" s="13" t="s">
        <v>1704</v>
      </c>
      <c r="E7320" s="228"/>
      <c r="F7320" s="109" t="s">
        <v>20253</v>
      </c>
      <c r="G7320" s="24"/>
      <c r="H7320" s="230">
        <v>4</v>
      </c>
      <c r="I7320" s="220">
        <v>836000</v>
      </c>
      <c r="J7320" s="220">
        <f>I7320*0.1</f>
        <v>83600</v>
      </c>
      <c r="K7320" s="220">
        <v>0</v>
      </c>
      <c r="L7320" s="220">
        <v>8950</v>
      </c>
      <c r="M7320" s="220">
        <v>15400</v>
      </c>
      <c r="N7320" s="220">
        <f>SUM(I7320:M7321)</f>
        <v>943950</v>
      </c>
      <c r="O7320" s="224"/>
      <c r="P7320" s="110" t="s">
        <v>20689</v>
      </c>
      <c r="Q7320" s="15" t="s">
        <v>19</v>
      </c>
      <c r="R7320" s="205"/>
      <c r="S7320" s="189" t="s">
        <v>25879</v>
      </c>
      <c r="T7320" s="114"/>
      <c r="U7320" s="21"/>
      <c r="V7320" s="115">
        <v>46109</v>
      </c>
      <c r="W7320" s="116">
        <v>1294</v>
      </c>
      <c r="X7320" s="220">
        <v>920000</v>
      </c>
      <c r="Y7320" s="220">
        <f>X7320*0.1</f>
        <v>92000</v>
      </c>
      <c r="Z7320" s="220">
        <v>8950</v>
      </c>
      <c r="AA7320" s="220">
        <f>SUM(X7320:Z7320)</f>
        <v>1020950</v>
      </c>
      <c r="AB7320" s="222">
        <v>46112</v>
      </c>
    </row>
    <row r="7321" spans="1:28" ht="17.100000000000001" customHeight="1" thickBot="1">
      <c r="A7321" s="227"/>
      <c r="B7321" s="27" t="s">
        <v>2597</v>
      </c>
      <c r="C7321" s="27">
        <v>7091</v>
      </c>
      <c r="D7321" s="14" t="s">
        <v>1710</v>
      </c>
      <c r="E7321" s="229"/>
      <c r="F7321" s="117" t="s">
        <v>20254</v>
      </c>
      <c r="G7321" s="26">
        <v>54193</v>
      </c>
      <c r="H7321" s="231"/>
      <c r="I7321" s="221"/>
      <c r="J7321" s="221"/>
      <c r="K7321" s="221"/>
      <c r="L7321" s="221"/>
      <c r="M7321" s="221"/>
      <c r="N7321" s="221"/>
      <c r="O7321" s="225"/>
      <c r="P7321" s="118" t="s">
        <v>8646</v>
      </c>
      <c r="Q7321" s="16" t="s">
        <v>20</v>
      </c>
      <c r="R7321" s="17" t="s">
        <v>2353</v>
      </c>
      <c r="S7321" s="121" t="s">
        <v>3581</v>
      </c>
      <c r="T7321" s="122"/>
      <c r="U7321" s="22"/>
      <c r="V7321" s="123" t="s">
        <v>21250</v>
      </c>
      <c r="W7321" s="122">
        <v>40</v>
      </c>
      <c r="X7321" s="221"/>
      <c r="Y7321" s="221"/>
      <c r="Z7321" s="221"/>
      <c r="AA7321" s="221"/>
      <c r="AB7321" s="223"/>
    </row>
    <row r="7322" spans="1:28" ht="17.100000000000001" customHeight="1" thickTop="1">
      <c r="A7322" s="226" t="s">
        <v>20188</v>
      </c>
      <c r="B7322" s="28">
        <v>46101</v>
      </c>
      <c r="C7322" s="25">
        <v>1411</v>
      </c>
      <c r="D7322" s="13" t="s">
        <v>4271</v>
      </c>
      <c r="E7322" s="228"/>
      <c r="F7322" s="109" t="s">
        <v>20255</v>
      </c>
      <c r="G7322" s="24"/>
      <c r="H7322" s="230">
        <v>3.5</v>
      </c>
      <c r="I7322" s="220">
        <v>978000</v>
      </c>
      <c r="J7322" s="220">
        <f>I7322*0.1</f>
        <v>97800</v>
      </c>
      <c r="K7322" s="220">
        <v>0</v>
      </c>
      <c r="L7322" s="220">
        <v>12500</v>
      </c>
      <c r="M7322" s="220">
        <v>15400</v>
      </c>
      <c r="N7322" s="220">
        <f>SUM(I7322:M7323)</f>
        <v>1103700</v>
      </c>
      <c r="O7322" s="224"/>
      <c r="P7322" s="110" t="s">
        <v>20670</v>
      </c>
      <c r="Q7322" s="15" t="s">
        <v>19</v>
      </c>
      <c r="R7322" s="205"/>
      <c r="S7322" s="189"/>
      <c r="T7322" s="114"/>
      <c r="U7322" s="21"/>
      <c r="V7322" s="115">
        <v>46116</v>
      </c>
      <c r="W7322" s="116">
        <v>1295</v>
      </c>
      <c r="X7322" s="220">
        <v>1200000</v>
      </c>
      <c r="Y7322" s="220">
        <f>X7322*0.1</f>
        <v>120000</v>
      </c>
      <c r="Z7322" s="220">
        <v>12500</v>
      </c>
      <c r="AA7322" s="220">
        <f>SUM(X7322:Z7322)</f>
        <v>1332500</v>
      </c>
      <c r="AB7322" s="222">
        <v>46119</v>
      </c>
    </row>
    <row r="7323" spans="1:28" ht="17.100000000000001" customHeight="1" thickBot="1">
      <c r="A7323" s="227"/>
      <c r="B7323" s="27" t="s">
        <v>2597</v>
      </c>
      <c r="C7323" s="27">
        <v>7095</v>
      </c>
      <c r="D7323" s="14" t="s">
        <v>2014</v>
      </c>
      <c r="E7323" s="229"/>
      <c r="F7323" s="117" t="s">
        <v>20256</v>
      </c>
      <c r="G7323" s="26">
        <v>56869</v>
      </c>
      <c r="H7323" s="231"/>
      <c r="I7323" s="221"/>
      <c r="J7323" s="221"/>
      <c r="K7323" s="221"/>
      <c r="L7323" s="221"/>
      <c r="M7323" s="221"/>
      <c r="N7323" s="221"/>
      <c r="O7323" s="225"/>
      <c r="P7323" s="118" t="s">
        <v>18155</v>
      </c>
      <c r="Q7323" s="16" t="s">
        <v>20</v>
      </c>
      <c r="R7323" s="17" t="s">
        <v>2353</v>
      </c>
      <c r="S7323" s="121" t="s">
        <v>20841</v>
      </c>
      <c r="T7323" s="122"/>
      <c r="U7323" s="22"/>
      <c r="V7323" s="123" t="s">
        <v>2472</v>
      </c>
      <c r="W7323" s="122">
        <v>50017</v>
      </c>
      <c r="X7323" s="221"/>
      <c r="Y7323" s="221"/>
      <c r="Z7323" s="221"/>
      <c r="AA7323" s="221"/>
      <c r="AB7323" s="223"/>
    </row>
    <row r="7324" spans="1:28" ht="17.100000000000001" customHeight="1" thickTop="1">
      <c r="A7324" s="226" t="s">
        <v>20189</v>
      </c>
      <c r="B7324" s="28">
        <v>46101</v>
      </c>
      <c r="C7324" s="25">
        <v>1411</v>
      </c>
      <c r="D7324" s="13" t="s">
        <v>3593</v>
      </c>
      <c r="E7324" s="228"/>
      <c r="F7324" s="109" t="s">
        <v>20257</v>
      </c>
      <c r="G7324" s="24"/>
      <c r="H7324" s="230">
        <v>4</v>
      </c>
      <c r="I7324" s="220">
        <v>1076000</v>
      </c>
      <c r="J7324" s="220">
        <f>I7324*0.1</f>
        <v>107600</v>
      </c>
      <c r="K7324" s="220">
        <v>0</v>
      </c>
      <c r="L7324" s="220">
        <v>14930</v>
      </c>
      <c r="M7324" s="220">
        <v>15400</v>
      </c>
      <c r="N7324" s="220">
        <f>SUM(I7324:M7325)</f>
        <v>1213930</v>
      </c>
      <c r="O7324" s="224"/>
      <c r="P7324" s="110" t="s">
        <v>20669</v>
      </c>
      <c r="Q7324" s="15" t="s">
        <v>19</v>
      </c>
      <c r="R7324" s="205"/>
      <c r="S7324" s="189"/>
      <c r="T7324" s="114"/>
      <c r="U7324" s="21"/>
      <c r="V7324" s="115">
        <v>46120</v>
      </c>
      <c r="W7324" s="116">
        <v>1012</v>
      </c>
      <c r="X7324" s="220">
        <v>1120000</v>
      </c>
      <c r="Y7324" s="220">
        <f>X7324*0.1</f>
        <v>112000</v>
      </c>
      <c r="Z7324" s="220">
        <v>14920</v>
      </c>
      <c r="AA7324" s="220">
        <f>SUM(X7324:Z7324)</f>
        <v>1246920</v>
      </c>
      <c r="AB7324" s="222">
        <v>46125</v>
      </c>
    </row>
    <row r="7325" spans="1:28" ht="17.100000000000001" customHeight="1" thickBot="1">
      <c r="A7325" s="227"/>
      <c r="B7325" s="27" t="s">
        <v>2597</v>
      </c>
      <c r="C7325" s="27">
        <v>7135</v>
      </c>
      <c r="D7325" s="14" t="s">
        <v>2559</v>
      </c>
      <c r="E7325" s="229"/>
      <c r="F7325" s="117" t="s">
        <v>20258</v>
      </c>
      <c r="G7325" s="26">
        <v>88500</v>
      </c>
      <c r="H7325" s="231"/>
      <c r="I7325" s="221"/>
      <c r="J7325" s="221"/>
      <c r="K7325" s="221"/>
      <c r="L7325" s="221"/>
      <c r="M7325" s="221"/>
      <c r="N7325" s="221"/>
      <c r="O7325" s="225"/>
      <c r="P7325" s="118" t="s">
        <v>18155</v>
      </c>
      <c r="Q7325" s="16" t="s">
        <v>20</v>
      </c>
      <c r="R7325" s="17" t="s">
        <v>2353</v>
      </c>
      <c r="S7325" s="121" t="s">
        <v>20766</v>
      </c>
      <c r="T7325" s="122"/>
      <c r="U7325" s="22"/>
      <c r="V7325" s="123" t="s">
        <v>2747</v>
      </c>
      <c r="W7325" s="122">
        <v>6122</v>
      </c>
      <c r="X7325" s="221"/>
      <c r="Y7325" s="221"/>
      <c r="Z7325" s="221"/>
      <c r="AA7325" s="221"/>
      <c r="AB7325" s="223"/>
    </row>
    <row r="7326" spans="1:28" ht="17.100000000000001" customHeight="1" thickTop="1">
      <c r="A7326" s="226" t="s">
        <v>20190</v>
      </c>
      <c r="B7326" s="28">
        <v>46101</v>
      </c>
      <c r="C7326" s="25">
        <v>1411</v>
      </c>
      <c r="D7326" s="13" t="s">
        <v>1676</v>
      </c>
      <c r="E7326" s="228"/>
      <c r="F7326" s="109" t="s">
        <v>16861</v>
      </c>
      <c r="G7326" s="24"/>
      <c r="H7326" s="230">
        <v>4</v>
      </c>
      <c r="I7326" s="220">
        <v>543000</v>
      </c>
      <c r="J7326" s="220">
        <f>I7326*0.1</f>
        <v>54300</v>
      </c>
      <c r="K7326" s="220">
        <v>0</v>
      </c>
      <c r="L7326" s="220">
        <v>9790</v>
      </c>
      <c r="M7326" s="220">
        <v>15400</v>
      </c>
      <c r="N7326" s="220">
        <f>SUM(I7326:M7327)</f>
        <v>622490</v>
      </c>
      <c r="O7326" s="224"/>
      <c r="P7326" s="110" t="s">
        <v>20668</v>
      </c>
      <c r="Q7326" s="15" t="s">
        <v>19</v>
      </c>
      <c r="R7326" s="205"/>
      <c r="S7326" s="189"/>
      <c r="T7326" s="114"/>
      <c r="U7326" s="21"/>
      <c r="V7326" s="115">
        <v>46120</v>
      </c>
      <c r="W7326" s="116">
        <v>1012</v>
      </c>
      <c r="X7326" s="220">
        <v>615000</v>
      </c>
      <c r="Y7326" s="220">
        <f>X7326*0.1</f>
        <v>61500</v>
      </c>
      <c r="Z7326" s="220">
        <v>9790</v>
      </c>
      <c r="AA7326" s="220">
        <f>SUM(X7326:Z7326)</f>
        <v>686290</v>
      </c>
      <c r="AB7326" s="222">
        <v>46125</v>
      </c>
    </row>
    <row r="7327" spans="1:28" ht="17.100000000000001" customHeight="1" thickBot="1">
      <c r="A7327" s="227"/>
      <c r="B7327" s="27" t="s">
        <v>2597</v>
      </c>
      <c r="C7327" s="27">
        <v>9003</v>
      </c>
      <c r="D7327" s="14" t="s">
        <v>273</v>
      </c>
      <c r="E7327" s="229"/>
      <c r="F7327" s="117" t="s">
        <v>20259</v>
      </c>
      <c r="G7327" s="26">
        <v>78616</v>
      </c>
      <c r="H7327" s="231"/>
      <c r="I7327" s="221"/>
      <c r="J7327" s="221"/>
      <c r="K7327" s="221"/>
      <c r="L7327" s="221"/>
      <c r="M7327" s="221"/>
      <c r="N7327" s="221"/>
      <c r="O7327" s="225"/>
      <c r="P7327" s="118" t="s">
        <v>1972</v>
      </c>
      <c r="Q7327" s="16" t="s">
        <v>20</v>
      </c>
      <c r="R7327" s="17" t="s">
        <v>2353</v>
      </c>
      <c r="S7327" s="121"/>
      <c r="T7327" s="122"/>
      <c r="U7327" s="22"/>
      <c r="V7327" s="123" t="s">
        <v>2747</v>
      </c>
      <c r="W7327" s="122">
        <v>2045</v>
      </c>
      <c r="X7327" s="221"/>
      <c r="Y7327" s="221"/>
      <c r="Z7327" s="221"/>
      <c r="AA7327" s="221"/>
      <c r="AB7327" s="223"/>
    </row>
    <row r="7328" spans="1:28" ht="17.100000000000001" customHeight="1" thickTop="1">
      <c r="A7328" s="226" t="s">
        <v>20191</v>
      </c>
      <c r="B7328" s="28">
        <v>46101</v>
      </c>
      <c r="C7328" s="25">
        <v>1411</v>
      </c>
      <c r="D7328" s="13" t="s">
        <v>3769</v>
      </c>
      <c r="E7328" s="228"/>
      <c r="F7328" s="109" t="s">
        <v>20260</v>
      </c>
      <c r="G7328" s="24" t="s">
        <v>10065</v>
      </c>
      <c r="H7328" s="232" t="s">
        <v>1705</v>
      </c>
      <c r="I7328" s="220">
        <v>451000</v>
      </c>
      <c r="J7328" s="220">
        <f>I7328*0.1</f>
        <v>45100</v>
      </c>
      <c r="K7328" s="220">
        <v>0</v>
      </c>
      <c r="L7328" s="220">
        <v>6230</v>
      </c>
      <c r="M7328" s="220">
        <v>15400</v>
      </c>
      <c r="N7328" s="220">
        <f>SUM(I7328:M7329)</f>
        <v>517730</v>
      </c>
      <c r="O7328" s="224"/>
      <c r="P7328" s="110" t="s">
        <v>20642</v>
      </c>
      <c r="Q7328" s="15" t="s">
        <v>19</v>
      </c>
      <c r="R7328" s="205"/>
      <c r="S7328" s="189"/>
      <c r="T7328" s="114"/>
      <c r="U7328" s="21"/>
      <c r="V7328" s="115">
        <v>46106</v>
      </c>
      <c r="W7328" s="116">
        <v>1010</v>
      </c>
      <c r="X7328" s="220">
        <v>530000</v>
      </c>
      <c r="Y7328" s="220">
        <f>X7328*0.1</f>
        <v>53000</v>
      </c>
      <c r="Z7328" s="220">
        <v>6230</v>
      </c>
      <c r="AA7328" s="220">
        <f>SUM(X7328:Z7328)</f>
        <v>589230</v>
      </c>
      <c r="AB7328" s="222">
        <v>46111</v>
      </c>
    </row>
    <row r="7329" spans="1:28" ht="17.100000000000001" customHeight="1" thickBot="1">
      <c r="A7329" s="227"/>
      <c r="B7329" s="27" t="s">
        <v>2597</v>
      </c>
      <c r="C7329" s="27">
        <v>9008</v>
      </c>
      <c r="D7329" s="14" t="s">
        <v>1584</v>
      </c>
      <c r="E7329" s="229"/>
      <c r="F7329" s="117" t="s">
        <v>20261</v>
      </c>
      <c r="G7329" s="26">
        <v>27985</v>
      </c>
      <c r="H7329" s="231"/>
      <c r="I7329" s="221"/>
      <c r="J7329" s="221"/>
      <c r="K7329" s="221"/>
      <c r="L7329" s="221"/>
      <c r="M7329" s="221"/>
      <c r="N7329" s="221"/>
      <c r="O7329" s="225"/>
      <c r="P7329" s="118" t="s">
        <v>20643</v>
      </c>
      <c r="Q7329" s="16" t="s">
        <v>20</v>
      </c>
      <c r="R7329" s="17" t="s">
        <v>2353</v>
      </c>
      <c r="S7329" s="121" t="s">
        <v>2236</v>
      </c>
      <c r="T7329" s="122"/>
      <c r="U7329" s="22"/>
      <c r="V7329" s="123" t="s">
        <v>2747</v>
      </c>
      <c r="W7329" s="122">
        <v>5233</v>
      </c>
      <c r="X7329" s="221"/>
      <c r="Y7329" s="221"/>
      <c r="Z7329" s="221"/>
      <c r="AA7329" s="221"/>
      <c r="AB7329" s="223"/>
    </row>
    <row r="7330" spans="1:28" ht="17.100000000000001" customHeight="1" thickTop="1">
      <c r="A7330" s="226" t="s">
        <v>20192</v>
      </c>
      <c r="B7330" s="28">
        <v>46101</v>
      </c>
      <c r="C7330" s="25">
        <v>1411</v>
      </c>
      <c r="D7330" s="13" t="s">
        <v>2129</v>
      </c>
      <c r="E7330" s="228"/>
      <c r="F7330" s="109" t="s">
        <v>20262</v>
      </c>
      <c r="G7330" s="24" t="s">
        <v>19206</v>
      </c>
      <c r="H7330" s="230">
        <v>4</v>
      </c>
      <c r="I7330" s="220">
        <v>274000</v>
      </c>
      <c r="J7330" s="220">
        <f>I7330*0.1</f>
        <v>27400</v>
      </c>
      <c r="K7330" s="220">
        <v>7200</v>
      </c>
      <c r="L7330" s="220">
        <v>8140</v>
      </c>
      <c r="M7330" s="220">
        <v>15400</v>
      </c>
      <c r="N7330" s="220">
        <f>SUM(I7330:M7331)</f>
        <v>332140</v>
      </c>
      <c r="O7330" s="224"/>
      <c r="P7330" s="110" t="s">
        <v>21292</v>
      </c>
      <c r="Q7330" s="15" t="s">
        <v>19</v>
      </c>
      <c r="R7330" s="205"/>
      <c r="S7330" s="189" t="s">
        <v>25432</v>
      </c>
      <c r="T7330" s="114"/>
      <c r="U7330" s="21"/>
      <c r="V7330" s="115">
        <v>46109</v>
      </c>
      <c r="W7330" s="116">
        <v>1294</v>
      </c>
      <c r="X7330" s="220">
        <v>440000</v>
      </c>
      <c r="Y7330" s="220">
        <f>X7330*0.1</f>
        <v>44000</v>
      </c>
      <c r="Z7330" s="220">
        <v>8140</v>
      </c>
      <c r="AA7330" s="220">
        <f>SUM(X7330:Z7330)</f>
        <v>492140</v>
      </c>
      <c r="AB7330" s="222">
        <v>46118</v>
      </c>
    </row>
    <row r="7331" spans="1:28" ht="17.100000000000001" customHeight="1" thickBot="1">
      <c r="A7331" s="227"/>
      <c r="B7331" s="27" t="s">
        <v>2597</v>
      </c>
      <c r="C7331" s="27">
        <v>9106</v>
      </c>
      <c r="D7331" s="14" t="s">
        <v>3746</v>
      </c>
      <c r="E7331" s="229"/>
      <c r="F7331" s="117" t="s">
        <v>20263</v>
      </c>
      <c r="G7331" s="26">
        <v>36879</v>
      </c>
      <c r="H7331" s="231"/>
      <c r="I7331" s="221"/>
      <c r="J7331" s="221"/>
      <c r="K7331" s="221"/>
      <c r="L7331" s="221"/>
      <c r="M7331" s="221"/>
      <c r="N7331" s="221"/>
      <c r="O7331" s="225"/>
      <c r="P7331" s="118" t="s">
        <v>8735</v>
      </c>
      <c r="Q7331" s="16" t="s">
        <v>20</v>
      </c>
      <c r="R7331" s="17" t="s">
        <v>1634</v>
      </c>
      <c r="S7331" s="121" t="s">
        <v>18762</v>
      </c>
      <c r="T7331" s="122"/>
      <c r="U7331" s="22"/>
      <c r="V7331" s="123" t="s">
        <v>6641</v>
      </c>
      <c r="W7331" s="122">
        <v>60517</v>
      </c>
      <c r="X7331" s="221"/>
      <c r="Y7331" s="221"/>
      <c r="Z7331" s="221"/>
      <c r="AA7331" s="221"/>
      <c r="AB7331" s="223"/>
    </row>
    <row r="7332" spans="1:28" ht="17.100000000000001" customHeight="1" thickTop="1">
      <c r="A7332" s="226" t="s">
        <v>20221</v>
      </c>
      <c r="B7332" s="28">
        <v>46101</v>
      </c>
      <c r="C7332" s="25">
        <v>1411</v>
      </c>
      <c r="D7332" s="13" t="s">
        <v>2920</v>
      </c>
      <c r="E7332" s="228"/>
      <c r="F7332" s="109" t="s">
        <v>14891</v>
      </c>
      <c r="G7332" s="24"/>
      <c r="H7332" s="232" t="s">
        <v>1705</v>
      </c>
      <c r="I7332" s="220">
        <v>325000</v>
      </c>
      <c r="J7332" s="220">
        <f>I7332*0.1</f>
        <v>32500</v>
      </c>
      <c r="K7332" s="220">
        <v>0</v>
      </c>
      <c r="L7332" s="220">
        <v>5340</v>
      </c>
      <c r="M7332" s="220">
        <v>15400</v>
      </c>
      <c r="N7332" s="220">
        <f>SUM(I7332:M7333)</f>
        <v>378240</v>
      </c>
      <c r="O7332" s="224"/>
      <c r="P7332" s="110" t="s">
        <v>21291</v>
      </c>
      <c r="Q7332" s="15" t="s">
        <v>19</v>
      </c>
      <c r="R7332" s="205"/>
      <c r="S7332" s="189"/>
      <c r="T7332" s="114"/>
      <c r="U7332" s="21"/>
      <c r="V7332" s="115">
        <v>46109</v>
      </c>
      <c r="W7332" s="116">
        <v>1294</v>
      </c>
      <c r="X7332" s="220">
        <v>455000</v>
      </c>
      <c r="Y7332" s="220">
        <f>X7332*0.1</f>
        <v>45500</v>
      </c>
      <c r="Z7332" s="220">
        <v>5340</v>
      </c>
      <c r="AA7332" s="220">
        <f>SUM(X7332:Z7332)</f>
        <v>505840</v>
      </c>
      <c r="AB7332" s="222">
        <v>46118</v>
      </c>
    </row>
    <row r="7333" spans="1:28" ht="17.100000000000001" customHeight="1" thickBot="1">
      <c r="A7333" s="227"/>
      <c r="B7333" s="27" t="s">
        <v>2597</v>
      </c>
      <c r="C7333" s="27">
        <v>9130</v>
      </c>
      <c r="D7333" s="14" t="s">
        <v>2753</v>
      </c>
      <c r="E7333" s="229"/>
      <c r="F7333" s="117" t="s">
        <v>20264</v>
      </c>
      <c r="G7333" s="26">
        <v>50116</v>
      </c>
      <c r="H7333" s="231"/>
      <c r="I7333" s="221"/>
      <c r="J7333" s="221"/>
      <c r="K7333" s="221"/>
      <c r="L7333" s="221"/>
      <c r="M7333" s="221"/>
      <c r="N7333" s="221"/>
      <c r="O7333" s="225"/>
      <c r="P7333" s="118" t="s">
        <v>1972</v>
      </c>
      <c r="Q7333" s="16" t="s">
        <v>20</v>
      </c>
      <c r="R7333" s="17" t="s">
        <v>1634</v>
      </c>
      <c r="S7333" s="121"/>
      <c r="T7333" s="122"/>
      <c r="U7333" s="22"/>
      <c r="V7333" s="123" t="s">
        <v>21250</v>
      </c>
      <c r="W7333" s="122">
        <v>60522</v>
      </c>
      <c r="X7333" s="221"/>
      <c r="Y7333" s="221"/>
      <c r="Z7333" s="221"/>
      <c r="AA7333" s="221"/>
      <c r="AB7333" s="223"/>
    </row>
    <row r="7334" spans="1:28" ht="17.100000000000001" customHeight="1" thickTop="1">
      <c r="A7334" s="226" t="s">
        <v>20222</v>
      </c>
      <c r="B7334" s="28">
        <v>46101</v>
      </c>
      <c r="C7334" s="25">
        <v>1411</v>
      </c>
      <c r="D7334" s="13" t="s">
        <v>2129</v>
      </c>
      <c r="E7334" s="228"/>
      <c r="F7334" s="109" t="s">
        <v>14856</v>
      </c>
      <c r="G7334" s="24" t="s">
        <v>5054</v>
      </c>
      <c r="H7334" s="230">
        <v>3.5</v>
      </c>
      <c r="I7334" s="220">
        <v>268000</v>
      </c>
      <c r="J7334" s="220">
        <f>I7334*0.1</f>
        <v>26800</v>
      </c>
      <c r="K7334" s="220">
        <v>45000</v>
      </c>
      <c r="L7334" s="220">
        <v>15740</v>
      </c>
      <c r="M7334" s="220">
        <v>15400</v>
      </c>
      <c r="N7334" s="220">
        <f>SUM(I7334:M7335)</f>
        <v>370940</v>
      </c>
      <c r="O7334" s="224"/>
      <c r="P7334" s="110" t="s">
        <v>20674</v>
      </c>
      <c r="Q7334" s="15" t="s">
        <v>19</v>
      </c>
      <c r="R7334" s="205"/>
      <c r="S7334" s="189"/>
      <c r="T7334" s="114"/>
      <c r="U7334" s="21" t="s">
        <v>22353</v>
      </c>
      <c r="V7334" s="115">
        <v>46130</v>
      </c>
      <c r="W7334" s="116">
        <v>1297</v>
      </c>
      <c r="X7334" s="220">
        <v>345000</v>
      </c>
      <c r="Y7334" s="220">
        <f>X7334*0.1</f>
        <v>34500</v>
      </c>
      <c r="Z7334" s="220">
        <v>15740</v>
      </c>
      <c r="AA7334" s="220">
        <f>SUM(X7334:Z7334)</f>
        <v>395240</v>
      </c>
      <c r="AB7334" s="222">
        <v>46133</v>
      </c>
    </row>
    <row r="7335" spans="1:28" ht="17.100000000000001" customHeight="1" thickBot="1">
      <c r="A7335" s="227"/>
      <c r="B7335" s="27" t="s">
        <v>2597</v>
      </c>
      <c r="C7335" s="27">
        <v>9140</v>
      </c>
      <c r="D7335" s="14" t="s">
        <v>273</v>
      </c>
      <c r="E7335" s="229"/>
      <c r="F7335" s="117" t="s">
        <v>20265</v>
      </c>
      <c r="G7335" s="26">
        <v>142737</v>
      </c>
      <c r="H7335" s="231"/>
      <c r="I7335" s="221"/>
      <c r="J7335" s="221"/>
      <c r="K7335" s="221"/>
      <c r="L7335" s="221"/>
      <c r="M7335" s="221"/>
      <c r="N7335" s="221"/>
      <c r="O7335" s="225"/>
      <c r="P7335" s="118" t="s">
        <v>2287</v>
      </c>
      <c r="Q7335" s="16" t="s">
        <v>20</v>
      </c>
      <c r="R7335" s="17" t="s">
        <v>2353</v>
      </c>
      <c r="S7335" s="121" t="s">
        <v>20839</v>
      </c>
      <c r="T7335" s="122"/>
      <c r="U7335" s="22"/>
      <c r="V7335" s="123" t="s">
        <v>2472</v>
      </c>
      <c r="W7335" s="122">
        <v>50280</v>
      </c>
      <c r="X7335" s="221"/>
      <c r="Y7335" s="221"/>
      <c r="Z7335" s="221"/>
      <c r="AA7335" s="221"/>
      <c r="AB7335" s="223"/>
    </row>
    <row r="7336" spans="1:28" ht="17.100000000000001" customHeight="1" thickTop="1">
      <c r="A7336" s="226" t="s">
        <v>20223</v>
      </c>
      <c r="B7336" s="28">
        <v>46101</v>
      </c>
      <c r="C7336" s="25">
        <v>1411</v>
      </c>
      <c r="D7336" s="13" t="s">
        <v>1615</v>
      </c>
      <c r="E7336" s="228"/>
      <c r="F7336" s="109" t="s">
        <v>20266</v>
      </c>
      <c r="G7336" s="24" t="s">
        <v>4052</v>
      </c>
      <c r="H7336" s="230">
        <v>3.5</v>
      </c>
      <c r="I7336" s="220">
        <v>148000</v>
      </c>
      <c r="J7336" s="220">
        <f>I7336*0.1</f>
        <v>14800</v>
      </c>
      <c r="K7336" s="220">
        <v>7200</v>
      </c>
      <c r="L7336" s="220">
        <v>8490</v>
      </c>
      <c r="M7336" s="220">
        <v>15400</v>
      </c>
      <c r="N7336" s="220">
        <f>SUM(I7336:M7337)</f>
        <v>193890</v>
      </c>
      <c r="O7336" s="224"/>
      <c r="P7336" s="110" t="s">
        <v>20735</v>
      </c>
      <c r="Q7336" s="15" t="s">
        <v>19</v>
      </c>
      <c r="R7336" s="205"/>
      <c r="S7336" s="189"/>
      <c r="T7336" s="114"/>
      <c r="U7336" s="21" t="s">
        <v>21697</v>
      </c>
      <c r="V7336" s="115">
        <v>46116</v>
      </c>
      <c r="W7336" s="116">
        <v>1295</v>
      </c>
      <c r="X7336" s="220">
        <v>220000</v>
      </c>
      <c r="Y7336" s="220">
        <f>X7336*0.1</f>
        <v>22000</v>
      </c>
      <c r="Z7336" s="220">
        <v>8490</v>
      </c>
      <c r="AA7336" s="220">
        <f>SUM(X7336:Z7336)</f>
        <v>250490</v>
      </c>
      <c r="AB7336" s="222">
        <v>46121</v>
      </c>
    </row>
    <row r="7337" spans="1:28" ht="17.100000000000001" customHeight="1" thickBot="1">
      <c r="A7337" s="227"/>
      <c r="B7337" s="27" t="s">
        <v>2597</v>
      </c>
      <c r="C7337" s="27">
        <v>9379</v>
      </c>
      <c r="D7337" s="14" t="s">
        <v>1627</v>
      </c>
      <c r="E7337" s="229"/>
      <c r="F7337" s="117" t="s">
        <v>20267</v>
      </c>
      <c r="G7337" s="26">
        <v>55694</v>
      </c>
      <c r="H7337" s="231"/>
      <c r="I7337" s="221"/>
      <c r="J7337" s="221"/>
      <c r="K7337" s="221"/>
      <c r="L7337" s="221"/>
      <c r="M7337" s="221"/>
      <c r="N7337" s="221"/>
      <c r="O7337" s="225"/>
      <c r="P7337" s="118" t="s">
        <v>20736</v>
      </c>
      <c r="Q7337" s="16" t="s">
        <v>20</v>
      </c>
      <c r="R7337" s="17" t="s">
        <v>20705</v>
      </c>
      <c r="S7337" s="121" t="s">
        <v>4722</v>
      </c>
      <c r="T7337" s="122"/>
      <c r="U7337" s="22"/>
      <c r="V7337" s="123" t="s">
        <v>2472</v>
      </c>
      <c r="W7337" s="122">
        <v>60482</v>
      </c>
      <c r="X7337" s="221"/>
      <c r="Y7337" s="221"/>
      <c r="Z7337" s="221"/>
      <c r="AA7337" s="221"/>
      <c r="AB7337" s="223"/>
    </row>
    <row r="7338" spans="1:28" ht="17.100000000000001" customHeight="1" thickTop="1">
      <c r="A7338" s="226" t="s">
        <v>20224</v>
      </c>
      <c r="B7338" s="28">
        <v>46101</v>
      </c>
      <c r="C7338" s="25">
        <v>1411</v>
      </c>
      <c r="D7338" s="13" t="s">
        <v>1702</v>
      </c>
      <c r="E7338" s="228"/>
      <c r="F7338" s="109" t="s">
        <v>20268</v>
      </c>
      <c r="G7338" s="24"/>
      <c r="H7338" s="230">
        <v>4</v>
      </c>
      <c r="I7338" s="220">
        <v>445000</v>
      </c>
      <c r="J7338" s="220">
        <f>I7338*0.1</f>
        <v>44500</v>
      </c>
      <c r="K7338" s="220">
        <v>0</v>
      </c>
      <c r="L7338" s="220">
        <v>9790</v>
      </c>
      <c r="M7338" s="220">
        <v>15400</v>
      </c>
      <c r="N7338" s="220">
        <f>SUM(I7338:M7339)</f>
        <v>514690</v>
      </c>
      <c r="O7338" s="224"/>
      <c r="P7338" s="110" t="s">
        <v>21146</v>
      </c>
      <c r="Q7338" s="15" t="s">
        <v>19</v>
      </c>
      <c r="R7338" s="205"/>
      <c r="S7338" s="189"/>
      <c r="T7338" s="114"/>
      <c r="U7338" s="21"/>
      <c r="V7338" s="115">
        <v>46109</v>
      </c>
      <c r="W7338" s="116">
        <v>1294</v>
      </c>
      <c r="X7338" s="220">
        <v>500000</v>
      </c>
      <c r="Y7338" s="220">
        <f>X7338*0.1</f>
        <v>50000</v>
      </c>
      <c r="Z7338" s="220">
        <v>9790</v>
      </c>
      <c r="AA7338" s="220">
        <f>SUM(X7338:Z7338)</f>
        <v>559790</v>
      </c>
      <c r="AB7338" s="222">
        <v>46114</v>
      </c>
    </row>
    <row r="7339" spans="1:28" ht="17.100000000000001" customHeight="1" thickBot="1">
      <c r="A7339" s="227"/>
      <c r="B7339" s="27" t="s">
        <v>2597</v>
      </c>
      <c r="C7339" s="27">
        <v>9587</v>
      </c>
      <c r="D7339" s="14" t="s">
        <v>273</v>
      </c>
      <c r="E7339" s="229"/>
      <c r="F7339" s="117" t="s">
        <v>20269</v>
      </c>
      <c r="G7339" s="26">
        <v>61356</v>
      </c>
      <c r="H7339" s="231"/>
      <c r="I7339" s="221"/>
      <c r="J7339" s="221"/>
      <c r="K7339" s="221"/>
      <c r="L7339" s="221"/>
      <c r="M7339" s="221"/>
      <c r="N7339" s="221"/>
      <c r="O7339" s="225"/>
      <c r="P7339" s="118" t="s">
        <v>1972</v>
      </c>
      <c r="Q7339" s="16" t="s">
        <v>20</v>
      </c>
      <c r="R7339" s="17" t="s">
        <v>1897</v>
      </c>
      <c r="S7339" s="121" t="s">
        <v>20773</v>
      </c>
      <c r="T7339" s="122"/>
      <c r="U7339" s="22"/>
      <c r="V7339" s="123" t="s">
        <v>21250</v>
      </c>
      <c r="W7339" s="122">
        <v>60263</v>
      </c>
      <c r="X7339" s="221"/>
      <c r="Y7339" s="221"/>
      <c r="Z7339" s="221"/>
      <c r="AA7339" s="221"/>
      <c r="AB7339" s="223"/>
    </row>
    <row r="7340" spans="1:28" ht="17.100000000000001" customHeight="1" thickTop="1">
      <c r="A7340" s="226" t="s">
        <v>20225</v>
      </c>
      <c r="B7340" s="28">
        <v>46101</v>
      </c>
      <c r="C7340" s="25">
        <v>1411</v>
      </c>
      <c r="D7340" s="13" t="s">
        <v>4036</v>
      </c>
      <c r="E7340" s="228"/>
      <c r="F7340" s="109" t="s">
        <v>7450</v>
      </c>
      <c r="G7340" s="24"/>
      <c r="H7340" s="230">
        <v>4</v>
      </c>
      <c r="I7340" s="220">
        <v>33000</v>
      </c>
      <c r="J7340" s="220">
        <f>I7340*0.1</f>
        <v>3300</v>
      </c>
      <c r="K7340" s="220">
        <v>0</v>
      </c>
      <c r="L7340" s="220">
        <v>9880</v>
      </c>
      <c r="M7340" s="220">
        <v>15400</v>
      </c>
      <c r="N7340" s="220">
        <f>SUM(I7340:M7341)</f>
        <v>61580</v>
      </c>
      <c r="O7340" s="224"/>
      <c r="P7340" s="110" t="s">
        <v>21141</v>
      </c>
      <c r="Q7340" s="15" t="s">
        <v>19</v>
      </c>
      <c r="R7340" s="205"/>
      <c r="S7340" s="189"/>
      <c r="T7340" s="114"/>
      <c r="U7340" s="21"/>
      <c r="V7340" s="115">
        <v>46144</v>
      </c>
      <c r="W7340" s="116">
        <v>1299</v>
      </c>
      <c r="X7340" s="220">
        <v>105000</v>
      </c>
      <c r="Y7340" s="220">
        <f>X7340*0.1</f>
        <v>10500</v>
      </c>
      <c r="Z7340" s="220">
        <v>9880</v>
      </c>
      <c r="AA7340" s="220">
        <f>SUM(X7340:Z7340)</f>
        <v>125380</v>
      </c>
      <c r="AB7340" s="222">
        <v>46154</v>
      </c>
    </row>
    <row r="7341" spans="1:28" ht="17.100000000000001" customHeight="1" thickBot="1">
      <c r="A7341" s="227"/>
      <c r="B7341" s="27" t="s">
        <v>2597</v>
      </c>
      <c r="C7341" s="27">
        <v>9593</v>
      </c>
      <c r="D7341" s="14" t="s">
        <v>2559</v>
      </c>
      <c r="E7341" s="229"/>
      <c r="F7341" s="117" t="s">
        <v>20270</v>
      </c>
      <c r="G7341" s="26">
        <v>54815</v>
      </c>
      <c r="H7341" s="231"/>
      <c r="I7341" s="221"/>
      <c r="J7341" s="221"/>
      <c r="K7341" s="221"/>
      <c r="L7341" s="221"/>
      <c r="M7341" s="221"/>
      <c r="N7341" s="221"/>
      <c r="O7341" s="225"/>
      <c r="P7341" s="118" t="s">
        <v>21142</v>
      </c>
      <c r="Q7341" s="16" t="s">
        <v>20</v>
      </c>
      <c r="R7341" s="17" t="s">
        <v>1897</v>
      </c>
      <c r="S7341" s="121" t="s">
        <v>169</v>
      </c>
      <c r="T7341" s="122"/>
      <c r="U7341" s="22"/>
      <c r="V7341" s="123" t="s">
        <v>24346</v>
      </c>
      <c r="W7341" s="122">
        <v>60149</v>
      </c>
      <c r="X7341" s="221"/>
      <c r="Y7341" s="221"/>
      <c r="Z7341" s="221"/>
      <c r="AA7341" s="221"/>
      <c r="AB7341" s="223"/>
    </row>
    <row r="7342" spans="1:28" ht="17.100000000000001" customHeight="1" thickTop="1">
      <c r="A7342" s="226" t="s">
        <v>20226</v>
      </c>
      <c r="B7342" s="28">
        <v>46101</v>
      </c>
      <c r="C7342" s="25"/>
      <c r="D7342" s="13" t="s">
        <v>2428</v>
      </c>
      <c r="E7342" s="228"/>
      <c r="F7342" s="109" t="s">
        <v>20325</v>
      </c>
      <c r="G7342" s="24" t="s">
        <v>20326</v>
      </c>
      <c r="H7342" s="230">
        <v>5</v>
      </c>
      <c r="I7342" s="220">
        <v>2715000</v>
      </c>
      <c r="J7342" s="220">
        <f>I7342*0.1</f>
        <v>271500</v>
      </c>
      <c r="K7342" s="220">
        <v>0</v>
      </c>
      <c r="L7342" s="220">
        <v>14190</v>
      </c>
      <c r="M7342" s="220">
        <v>0</v>
      </c>
      <c r="N7342" s="220">
        <f>SUM(I7342:M7343)</f>
        <v>3000690</v>
      </c>
      <c r="O7342" s="224"/>
      <c r="P7342" s="110" t="s">
        <v>20789</v>
      </c>
      <c r="Q7342" s="15" t="s">
        <v>19</v>
      </c>
      <c r="R7342" s="205"/>
      <c r="S7342" s="189" t="s">
        <v>25507</v>
      </c>
      <c r="T7342" s="114"/>
      <c r="U7342" s="21"/>
      <c r="V7342" s="115">
        <v>46113</v>
      </c>
      <c r="W7342" s="116">
        <v>1011</v>
      </c>
      <c r="X7342" s="220">
        <v>2865000</v>
      </c>
      <c r="Y7342" s="220">
        <f>X7342*0.1</f>
        <v>286500</v>
      </c>
      <c r="Z7342" s="220">
        <v>14190</v>
      </c>
      <c r="AA7342" s="220">
        <f>SUM(X7342:Z7342)</f>
        <v>3165690</v>
      </c>
      <c r="AB7342" s="222">
        <v>46118</v>
      </c>
    </row>
    <row r="7343" spans="1:28" ht="17.100000000000001" customHeight="1" thickBot="1">
      <c r="A7343" s="227"/>
      <c r="B7343" s="27" t="s">
        <v>1708</v>
      </c>
      <c r="C7343" s="27" t="s">
        <v>20271</v>
      </c>
      <c r="D7343" s="14" t="s">
        <v>2559</v>
      </c>
      <c r="E7343" s="229"/>
      <c r="F7343" s="117" t="s">
        <v>20272</v>
      </c>
      <c r="G7343" s="26">
        <v>7702</v>
      </c>
      <c r="H7343" s="231"/>
      <c r="I7343" s="221"/>
      <c r="J7343" s="221"/>
      <c r="K7343" s="221"/>
      <c r="L7343" s="221"/>
      <c r="M7343" s="221"/>
      <c r="N7343" s="221"/>
      <c r="O7343" s="225"/>
      <c r="P7343" s="118" t="s">
        <v>20790</v>
      </c>
      <c r="Q7343" s="16" t="s">
        <v>20</v>
      </c>
      <c r="R7343" s="17" t="s">
        <v>20791</v>
      </c>
      <c r="S7343" s="121" t="s">
        <v>20792</v>
      </c>
      <c r="T7343" s="122"/>
      <c r="U7343" s="22"/>
      <c r="V7343" s="123" t="s">
        <v>2747</v>
      </c>
      <c r="W7343" s="122">
        <v>1092</v>
      </c>
      <c r="X7343" s="221"/>
      <c r="Y7343" s="221"/>
      <c r="Z7343" s="221"/>
      <c r="AA7343" s="221"/>
      <c r="AB7343" s="223"/>
    </row>
    <row r="7344" spans="1:28" ht="17.100000000000001" customHeight="1" thickTop="1">
      <c r="A7344" s="226" t="s">
        <v>20227</v>
      </c>
      <c r="B7344" s="28">
        <v>46101</v>
      </c>
      <c r="C7344" s="25"/>
      <c r="D7344" s="13" t="s">
        <v>1947</v>
      </c>
      <c r="E7344" s="228"/>
      <c r="F7344" s="109" t="s">
        <v>20327</v>
      </c>
      <c r="G7344" s="24" t="s">
        <v>13147</v>
      </c>
      <c r="H7344" s="230">
        <v>4.5</v>
      </c>
      <c r="I7344" s="220">
        <v>2390000</v>
      </c>
      <c r="J7344" s="220">
        <f>I7344*0.1</f>
        <v>239000</v>
      </c>
      <c r="K7344" s="220">
        <v>0</v>
      </c>
      <c r="L7344" s="220">
        <v>12250</v>
      </c>
      <c r="M7344" s="220">
        <v>0</v>
      </c>
      <c r="N7344" s="220">
        <f>SUM(I7344:M7345)</f>
        <v>2641250</v>
      </c>
      <c r="O7344" s="224"/>
      <c r="P7344" s="110" t="s">
        <v>24429</v>
      </c>
      <c r="Q7344" s="15" t="s">
        <v>19</v>
      </c>
      <c r="R7344" s="205"/>
      <c r="S7344" s="189" t="s">
        <v>25691</v>
      </c>
      <c r="T7344" s="114"/>
      <c r="U7344" s="21" t="s">
        <v>24499</v>
      </c>
      <c r="V7344" s="115">
        <v>46155</v>
      </c>
      <c r="W7344" s="116">
        <v>1016</v>
      </c>
      <c r="X7344" s="220">
        <v>2380000</v>
      </c>
      <c r="Y7344" s="220">
        <f>X7344*0.1</f>
        <v>238000</v>
      </c>
      <c r="Z7344" s="220">
        <v>12250</v>
      </c>
      <c r="AA7344" s="220">
        <f>SUM(X7344:Z7344)</f>
        <v>2630250</v>
      </c>
      <c r="AB7344" s="222">
        <v>46160</v>
      </c>
    </row>
    <row r="7345" spans="1:28" ht="17.100000000000001" customHeight="1" thickBot="1">
      <c r="A7345" s="227"/>
      <c r="B7345" s="27" t="s">
        <v>1708</v>
      </c>
      <c r="C7345" s="27" t="s">
        <v>20273</v>
      </c>
      <c r="D7345" s="14" t="s">
        <v>273</v>
      </c>
      <c r="E7345" s="229"/>
      <c r="F7345" s="117" t="s">
        <v>20274</v>
      </c>
      <c r="G7345" s="26">
        <v>49247</v>
      </c>
      <c r="H7345" s="231"/>
      <c r="I7345" s="221"/>
      <c r="J7345" s="221"/>
      <c r="K7345" s="221"/>
      <c r="L7345" s="221"/>
      <c r="M7345" s="221"/>
      <c r="N7345" s="221"/>
      <c r="O7345" s="225"/>
      <c r="P7345" s="118" t="s">
        <v>24430</v>
      </c>
      <c r="Q7345" s="16" t="s">
        <v>20</v>
      </c>
      <c r="R7345" s="17" t="s">
        <v>1983</v>
      </c>
      <c r="S7345" s="121" t="s">
        <v>1606</v>
      </c>
      <c r="T7345" s="122"/>
      <c r="U7345" s="22"/>
      <c r="V7345" s="123" t="s">
        <v>2747</v>
      </c>
      <c r="W7345" s="122">
        <v>1171</v>
      </c>
      <c r="X7345" s="221"/>
      <c r="Y7345" s="221"/>
      <c r="Z7345" s="221"/>
      <c r="AA7345" s="221"/>
      <c r="AB7345" s="223"/>
    </row>
    <row r="7346" spans="1:28" ht="17.100000000000001" customHeight="1" thickTop="1">
      <c r="A7346" s="226" t="s">
        <v>20228</v>
      </c>
      <c r="B7346" s="28">
        <v>46101</v>
      </c>
      <c r="C7346" s="25"/>
      <c r="D7346" s="13" t="s">
        <v>2073</v>
      </c>
      <c r="E7346" s="228"/>
      <c r="F7346" s="109" t="s">
        <v>15469</v>
      </c>
      <c r="G7346" s="24" t="s">
        <v>20328</v>
      </c>
      <c r="H7346" s="230">
        <v>3.5</v>
      </c>
      <c r="I7346" s="220">
        <v>1760000</v>
      </c>
      <c r="J7346" s="220">
        <f>I7346*0.1</f>
        <v>176000</v>
      </c>
      <c r="K7346" s="220">
        <v>0</v>
      </c>
      <c r="L7346" s="220">
        <v>11480</v>
      </c>
      <c r="M7346" s="220">
        <v>0</v>
      </c>
      <c r="N7346" s="220">
        <f>SUM(I7346:M7347)</f>
        <v>1947480</v>
      </c>
      <c r="O7346" s="224"/>
      <c r="P7346" s="110" t="s">
        <v>21845</v>
      </c>
      <c r="Q7346" s="15" t="s">
        <v>19</v>
      </c>
      <c r="R7346" s="205"/>
      <c r="S7346" s="189" t="s">
        <v>529</v>
      </c>
      <c r="T7346" s="114"/>
      <c r="U7346" s="21"/>
      <c r="V7346" s="115">
        <v>46116</v>
      </c>
      <c r="W7346" s="116">
        <v>1295</v>
      </c>
      <c r="X7346" s="220">
        <v>1735000</v>
      </c>
      <c r="Y7346" s="220">
        <f>X7346*0.1</f>
        <v>173500</v>
      </c>
      <c r="Z7346" s="220">
        <v>11480</v>
      </c>
      <c r="AA7346" s="220">
        <f>SUM(X7346:Z7346)</f>
        <v>1919980</v>
      </c>
      <c r="AB7346" s="222">
        <v>46122</v>
      </c>
    </row>
    <row r="7347" spans="1:28" ht="17.100000000000001" customHeight="1" thickBot="1">
      <c r="A7347" s="227"/>
      <c r="B7347" s="27" t="s">
        <v>1708</v>
      </c>
      <c r="C7347" s="27" t="s">
        <v>20275</v>
      </c>
      <c r="D7347" s="14" t="s">
        <v>2559</v>
      </c>
      <c r="E7347" s="229"/>
      <c r="F7347" s="117" t="s">
        <v>20276</v>
      </c>
      <c r="G7347" s="26">
        <v>47570</v>
      </c>
      <c r="H7347" s="231"/>
      <c r="I7347" s="221"/>
      <c r="J7347" s="221"/>
      <c r="K7347" s="221"/>
      <c r="L7347" s="221"/>
      <c r="M7347" s="221"/>
      <c r="N7347" s="221"/>
      <c r="O7347" s="225"/>
      <c r="P7347" s="118" t="s">
        <v>18461</v>
      </c>
      <c r="Q7347" s="16" t="s">
        <v>20</v>
      </c>
      <c r="R7347" s="17" t="s">
        <v>3913</v>
      </c>
      <c r="S7347" s="121" t="s">
        <v>1923</v>
      </c>
      <c r="T7347" s="122"/>
      <c r="U7347" s="22"/>
      <c r="V7347" s="123" t="s">
        <v>2472</v>
      </c>
      <c r="W7347" s="122">
        <v>37353</v>
      </c>
      <c r="X7347" s="221"/>
      <c r="Y7347" s="221"/>
      <c r="Z7347" s="221"/>
      <c r="AA7347" s="221"/>
      <c r="AB7347" s="223"/>
    </row>
    <row r="7348" spans="1:28" ht="17.100000000000001" customHeight="1" thickTop="1">
      <c r="A7348" s="233" t="s">
        <v>20229</v>
      </c>
      <c r="B7348" s="28">
        <v>46101</v>
      </c>
      <c r="C7348" s="25"/>
      <c r="D7348" s="13" t="s">
        <v>1746</v>
      </c>
      <c r="E7348" s="228"/>
      <c r="F7348" s="109" t="s">
        <v>20329</v>
      </c>
      <c r="G7348" s="24" t="s">
        <v>5556</v>
      </c>
      <c r="H7348" s="230">
        <v>4</v>
      </c>
      <c r="I7348" s="220">
        <v>257000</v>
      </c>
      <c r="J7348" s="220">
        <f>I7348*0.1</f>
        <v>25700</v>
      </c>
      <c r="K7348" s="220">
        <v>0</v>
      </c>
      <c r="L7348" s="220">
        <v>7750</v>
      </c>
      <c r="M7348" s="220">
        <v>0</v>
      </c>
      <c r="N7348" s="220">
        <f>SUM(I7348:M7349)</f>
        <v>290450</v>
      </c>
      <c r="O7348" s="224"/>
      <c r="P7348" s="110" t="s">
        <v>23476</v>
      </c>
      <c r="Q7348" s="15" t="s">
        <v>19</v>
      </c>
      <c r="R7348" s="205"/>
      <c r="S7348" s="189" t="s">
        <v>529</v>
      </c>
      <c r="T7348" s="114" t="s">
        <v>24467</v>
      </c>
      <c r="U7348" s="21"/>
      <c r="V7348" s="115"/>
      <c r="W7348" s="116"/>
      <c r="X7348" s="220"/>
      <c r="Y7348" s="220">
        <f>X7348*0.1</f>
        <v>0</v>
      </c>
      <c r="Z7348" s="220"/>
      <c r="AA7348" s="220">
        <f>SUM(X7348:Z7348)</f>
        <v>0</v>
      </c>
      <c r="AB7348" s="222"/>
    </row>
    <row r="7349" spans="1:28" ht="17.100000000000001" customHeight="1" thickBot="1">
      <c r="A7349" s="234"/>
      <c r="B7349" s="27" t="s">
        <v>1708</v>
      </c>
      <c r="C7349" s="27" t="s">
        <v>20277</v>
      </c>
      <c r="D7349" s="14" t="s">
        <v>1710</v>
      </c>
      <c r="E7349" s="229"/>
      <c r="F7349" s="117" t="s">
        <v>20278</v>
      </c>
      <c r="G7349" s="26">
        <v>38452</v>
      </c>
      <c r="H7349" s="231"/>
      <c r="I7349" s="221"/>
      <c r="J7349" s="221"/>
      <c r="K7349" s="221"/>
      <c r="L7349" s="221"/>
      <c r="M7349" s="221"/>
      <c r="N7349" s="221"/>
      <c r="O7349" s="225"/>
      <c r="P7349" s="118" t="s">
        <v>23475</v>
      </c>
      <c r="Q7349" s="16" t="s">
        <v>20</v>
      </c>
      <c r="R7349" s="17" t="s">
        <v>23474</v>
      </c>
      <c r="S7349" s="121" t="s">
        <v>23477</v>
      </c>
      <c r="T7349" s="122"/>
      <c r="U7349" s="22"/>
      <c r="V7349" s="123"/>
      <c r="W7349" s="122"/>
      <c r="X7349" s="221"/>
      <c r="Y7349" s="221"/>
      <c r="Z7349" s="221"/>
      <c r="AA7349" s="221"/>
      <c r="AB7349" s="223"/>
    </row>
    <row r="7350" spans="1:28" ht="17.100000000000001" customHeight="1" thickTop="1">
      <c r="A7350" s="233" t="s">
        <v>20230</v>
      </c>
      <c r="B7350" s="28">
        <v>46101</v>
      </c>
      <c r="C7350" s="25"/>
      <c r="D7350" s="13" t="s">
        <v>2900</v>
      </c>
      <c r="E7350" s="228"/>
      <c r="F7350" s="109" t="s">
        <v>19200</v>
      </c>
      <c r="G7350" s="24" t="s">
        <v>7689</v>
      </c>
      <c r="H7350" s="230">
        <v>4.5</v>
      </c>
      <c r="I7350" s="220">
        <v>980000</v>
      </c>
      <c r="J7350" s="220">
        <f>I7350*0.1</f>
        <v>98000</v>
      </c>
      <c r="K7350" s="220">
        <v>0</v>
      </c>
      <c r="L7350" s="220">
        <v>8110</v>
      </c>
      <c r="M7350" s="220">
        <v>0</v>
      </c>
      <c r="N7350" s="220">
        <f>SUM(I7350:M7351)</f>
        <v>1086110</v>
      </c>
      <c r="O7350" s="224"/>
      <c r="P7350" s="110"/>
      <c r="Q7350" s="15" t="s">
        <v>19</v>
      </c>
      <c r="R7350" s="205"/>
      <c r="S7350" s="189" t="s">
        <v>455</v>
      </c>
      <c r="T7350" s="114" t="s">
        <v>7899</v>
      </c>
      <c r="U7350" s="21"/>
      <c r="V7350" s="115"/>
      <c r="W7350" s="116"/>
      <c r="X7350" s="220"/>
      <c r="Y7350" s="220">
        <f>X7350*0.1</f>
        <v>0</v>
      </c>
      <c r="Z7350" s="220"/>
      <c r="AA7350" s="220">
        <f>SUM(X7350:Z7350)</f>
        <v>0</v>
      </c>
      <c r="AB7350" s="222"/>
    </row>
    <row r="7351" spans="1:28" ht="17.100000000000001" customHeight="1" thickBot="1">
      <c r="A7351" s="234"/>
      <c r="B7351" s="27" t="s">
        <v>1708</v>
      </c>
      <c r="C7351" s="27" t="s">
        <v>20279</v>
      </c>
      <c r="D7351" s="14" t="s">
        <v>2559</v>
      </c>
      <c r="E7351" s="229"/>
      <c r="F7351" s="117" t="s">
        <v>20280</v>
      </c>
      <c r="G7351" s="26">
        <v>51382</v>
      </c>
      <c r="H7351" s="231"/>
      <c r="I7351" s="221"/>
      <c r="J7351" s="221"/>
      <c r="K7351" s="221"/>
      <c r="L7351" s="221"/>
      <c r="M7351" s="221"/>
      <c r="N7351" s="221"/>
      <c r="O7351" s="225"/>
      <c r="P7351" s="118"/>
      <c r="Q7351" s="16" t="s">
        <v>20</v>
      </c>
      <c r="R7351" s="17" t="s">
        <v>10331</v>
      </c>
      <c r="S7351" s="121"/>
      <c r="T7351" s="122"/>
      <c r="U7351" s="22"/>
      <c r="V7351" s="123"/>
      <c r="W7351" s="122"/>
      <c r="X7351" s="221"/>
      <c r="Y7351" s="221"/>
      <c r="Z7351" s="221"/>
      <c r="AA7351" s="221"/>
      <c r="AB7351" s="223"/>
    </row>
    <row r="7352" spans="1:28" ht="17.100000000000001" customHeight="1" thickTop="1">
      <c r="A7352" s="226" t="s">
        <v>20231</v>
      </c>
      <c r="B7352" s="28">
        <v>46101</v>
      </c>
      <c r="C7352" s="25"/>
      <c r="D7352" s="13" t="s">
        <v>1531</v>
      </c>
      <c r="E7352" s="228"/>
      <c r="F7352" s="109" t="s">
        <v>20330</v>
      </c>
      <c r="G7352" s="24" t="s">
        <v>11223</v>
      </c>
      <c r="H7352" s="230">
        <v>4.5</v>
      </c>
      <c r="I7352" s="220">
        <v>609000</v>
      </c>
      <c r="J7352" s="220">
        <f>I7352*0.1</f>
        <v>60900</v>
      </c>
      <c r="K7352" s="220">
        <v>0</v>
      </c>
      <c r="L7352" s="220">
        <v>8230</v>
      </c>
      <c r="M7352" s="220">
        <v>0</v>
      </c>
      <c r="N7352" s="220">
        <f>SUM(I7352:M7353)</f>
        <v>678130</v>
      </c>
      <c r="O7352" s="224"/>
      <c r="P7352" s="110" t="s">
        <v>22749</v>
      </c>
      <c r="Q7352" s="15" t="s">
        <v>19</v>
      </c>
      <c r="R7352" s="205"/>
      <c r="S7352" s="189" t="s">
        <v>529</v>
      </c>
      <c r="T7352" s="114"/>
      <c r="U7352" s="21"/>
      <c r="V7352" s="115">
        <v>46123</v>
      </c>
      <c r="W7352" s="116">
        <v>1296</v>
      </c>
      <c r="X7352" s="220">
        <v>710000</v>
      </c>
      <c r="Y7352" s="220">
        <f>X7352*0.1</f>
        <v>71000</v>
      </c>
      <c r="Z7352" s="220">
        <v>8230</v>
      </c>
      <c r="AA7352" s="220">
        <f>SUM(X7352:Z7352)</f>
        <v>789230</v>
      </c>
      <c r="AB7352" s="222">
        <v>46133</v>
      </c>
    </row>
    <row r="7353" spans="1:28" ht="17.100000000000001" customHeight="1" thickBot="1">
      <c r="A7353" s="227"/>
      <c r="B7353" s="27" t="s">
        <v>1708</v>
      </c>
      <c r="C7353" s="27" t="s">
        <v>20281</v>
      </c>
      <c r="D7353" s="14" t="s">
        <v>1690</v>
      </c>
      <c r="E7353" s="229"/>
      <c r="F7353" s="117" t="s">
        <v>20282</v>
      </c>
      <c r="G7353" s="26">
        <v>35010</v>
      </c>
      <c r="H7353" s="231"/>
      <c r="I7353" s="221"/>
      <c r="J7353" s="221"/>
      <c r="K7353" s="221"/>
      <c r="L7353" s="221"/>
      <c r="M7353" s="221"/>
      <c r="N7353" s="221"/>
      <c r="O7353" s="225"/>
      <c r="P7353" s="118" t="s">
        <v>22750</v>
      </c>
      <c r="Q7353" s="16" t="s">
        <v>20</v>
      </c>
      <c r="R7353" s="17" t="s">
        <v>22701</v>
      </c>
      <c r="S7353" s="121" t="s">
        <v>22702</v>
      </c>
      <c r="T7353" s="122"/>
      <c r="U7353" s="22"/>
      <c r="V7353" s="123" t="s">
        <v>2472</v>
      </c>
      <c r="W7353" s="122">
        <v>65462</v>
      </c>
      <c r="X7353" s="221"/>
      <c r="Y7353" s="221"/>
      <c r="Z7353" s="221"/>
      <c r="AA7353" s="221"/>
      <c r="AB7353" s="223"/>
    </row>
    <row r="7354" spans="1:28" ht="17.100000000000001" customHeight="1" thickTop="1">
      <c r="A7354" s="226" t="s">
        <v>20232</v>
      </c>
      <c r="B7354" s="28">
        <v>46101</v>
      </c>
      <c r="C7354" s="25">
        <v>2239</v>
      </c>
      <c r="D7354" s="13" t="s">
        <v>1829</v>
      </c>
      <c r="E7354" s="228"/>
      <c r="F7354" s="109" t="s">
        <v>18221</v>
      </c>
      <c r="G7354" s="24" t="s">
        <v>10634</v>
      </c>
      <c r="H7354" s="230">
        <v>4</v>
      </c>
      <c r="I7354" s="220">
        <v>1436000</v>
      </c>
      <c r="J7354" s="220">
        <f>I7354*0.1</f>
        <v>143600</v>
      </c>
      <c r="K7354" s="220">
        <v>36000</v>
      </c>
      <c r="L7354" s="220">
        <v>19090</v>
      </c>
      <c r="M7354" s="220">
        <v>14300</v>
      </c>
      <c r="N7354" s="220">
        <f>SUM(I7354:M7355)</f>
        <v>1648990</v>
      </c>
      <c r="O7354" s="224"/>
      <c r="P7354" s="110" t="s">
        <v>20817</v>
      </c>
      <c r="Q7354" s="15" t="s">
        <v>19</v>
      </c>
      <c r="R7354" s="205"/>
      <c r="S7354" s="189"/>
      <c r="T7354" s="114"/>
      <c r="U7354" s="21"/>
      <c r="V7354" s="115">
        <v>46114</v>
      </c>
      <c r="W7354" s="116">
        <v>1325</v>
      </c>
      <c r="X7354" s="220">
        <v>1715000</v>
      </c>
      <c r="Y7354" s="220">
        <f>X7354*0.1</f>
        <v>171500</v>
      </c>
      <c r="Z7354" s="220">
        <v>19090</v>
      </c>
      <c r="AA7354" s="220">
        <f>SUM(X7354:Z7354)</f>
        <v>1905590</v>
      </c>
      <c r="AB7354" s="222">
        <v>46115</v>
      </c>
    </row>
    <row r="7355" spans="1:28" ht="17.100000000000001" customHeight="1" thickBot="1">
      <c r="A7355" s="227"/>
      <c r="B7355" s="27" t="s">
        <v>2402</v>
      </c>
      <c r="C7355" s="27">
        <v>3096</v>
      </c>
      <c r="D7355" s="14" t="s">
        <v>273</v>
      </c>
      <c r="E7355" s="229"/>
      <c r="F7355" s="117" t="s">
        <v>20816</v>
      </c>
      <c r="G7355" s="26">
        <v>51189</v>
      </c>
      <c r="H7355" s="231"/>
      <c r="I7355" s="221"/>
      <c r="J7355" s="221"/>
      <c r="K7355" s="221"/>
      <c r="L7355" s="221"/>
      <c r="M7355" s="221"/>
      <c r="N7355" s="221"/>
      <c r="O7355" s="225"/>
      <c r="P7355" s="118" t="s">
        <v>20818</v>
      </c>
      <c r="Q7355" s="16" t="s">
        <v>20</v>
      </c>
      <c r="R7355" s="17" t="s">
        <v>20791</v>
      </c>
      <c r="S7355" s="121" t="s">
        <v>4008</v>
      </c>
      <c r="T7355" s="122"/>
      <c r="U7355" s="22"/>
      <c r="V7355" s="123" t="s">
        <v>13379</v>
      </c>
      <c r="W7355" s="122">
        <v>320</v>
      </c>
      <c r="X7355" s="221"/>
      <c r="Y7355" s="221"/>
      <c r="Z7355" s="221"/>
      <c r="AA7355" s="221"/>
      <c r="AB7355" s="223"/>
    </row>
    <row r="7356" spans="1:28" ht="17.100000000000001" customHeight="1" thickTop="1">
      <c r="A7356" s="226" t="s">
        <v>20233</v>
      </c>
      <c r="B7356" s="28">
        <v>46102</v>
      </c>
      <c r="C7356" s="25">
        <v>1536</v>
      </c>
      <c r="D7356" s="13" t="s">
        <v>3769</v>
      </c>
      <c r="E7356" s="228"/>
      <c r="F7356" s="109" t="s">
        <v>18221</v>
      </c>
      <c r="G7356" s="24" t="s">
        <v>14912</v>
      </c>
      <c r="H7356" s="230">
        <v>4.5</v>
      </c>
      <c r="I7356" s="220">
        <v>2210000</v>
      </c>
      <c r="J7356" s="220">
        <f>I7356*0.1</f>
        <v>221000</v>
      </c>
      <c r="K7356" s="220">
        <v>36000</v>
      </c>
      <c r="L7356" s="220">
        <v>18170</v>
      </c>
      <c r="M7356" s="220">
        <v>16500</v>
      </c>
      <c r="N7356" s="220">
        <f>SUM(I7356:M7357)</f>
        <v>2501670</v>
      </c>
      <c r="O7356" s="224"/>
      <c r="P7356" s="110" t="s">
        <v>20369</v>
      </c>
      <c r="Q7356" s="15" t="s">
        <v>19</v>
      </c>
      <c r="R7356" s="205"/>
      <c r="S7356" s="189" t="s">
        <v>455</v>
      </c>
      <c r="T7356" s="114"/>
      <c r="U7356" s="21"/>
      <c r="V7356" s="115">
        <v>46114</v>
      </c>
      <c r="W7356" s="116">
        <v>1325</v>
      </c>
      <c r="X7356" s="220">
        <v>2410000</v>
      </c>
      <c r="Y7356" s="220">
        <f>X7356*0.1</f>
        <v>241000</v>
      </c>
      <c r="Z7356" s="220">
        <v>18170</v>
      </c>
      <c r="AA7356" s="220">
        <f>SUM(X7356:Z7356)</f>
        <v>2669170</v>
      </c>
      <c r="AB7356" s="222">
        <v>46115</v>
      </c>
    </row>
    <row r="7357" spans="1:28" ht="17.100000000000001" customHeight="1" thickBot="1">
      <c r="A7357" s="227"/>
      <c r="B7357" s="27" t="s">
        <v>1547</v>
      </c>
      <c r="C7357" s="27">
        <v>83267</v>
      </c>
      <c r="D7357" s="14" t="s">
        <v>1710</v>
      </c>
      <c r="E7357" s="229"/>
      <c r="F7357" s="117" t="s">
        <v>20368</v>
      </c>
      <c r="G7357" s="26">
        <v>39150</v>
      </c>
      <c r="H7357" s="231"/>
      <c r="I7357" s="221"/>
      <c r="J7357" s="221"/>
      <c r="K7357" s="221"/>
      <c r="L7357" s="221"/>
      <c r="M7357" s="221"/>
      <c r="N7357" s="221"/>
      <c r="O7357" s="225"/>
      <c r="P7357" s="118" t="s">
        <v>20819</v>
      </c>
      <c r="Q7357" s="16" t="s">
        <v>20</v>
      </c>
      <c r="R7357" s="17" t="s">
        <v>20791</v>
      </c>
      <c r="S7357" s="121" t="s">
        <v>20820</v>
      </c>
      <c r="T7357" s="122"/>
      <c r="U7357" s="22"/>
      <c r="V7357" s="123" t="s">
        <v>13379</v>
      </c>
      <c r="W7357" s="122">
        <v>120</v>
      </c>
      <c r="X7357" s="221"/>
      <c r="Y7357" s="221"/>
      <c r="Z7357" s="221"/>
      <c r="AA7357" s="221"/>
      <c r="AB7357" s="223"/>
    </row>
    <row r="7358" spans="1:28" ht="17.100000000000001" customHeight="1" thickTop="1">
      <c r="A7358" s="226" t="s">
        <v>20234</v>
      </c>
      <c r="B7358" s="28">
        <v>46102</v>
      </c>
      <c r="C7358" s="25">
        <v>304</v>
      </c>
      <c r="D7358" s="13" t="s">
        <v>2010</v>
      </c>
      <c r="E7358" s="228"/>
      <c r="F7358" s="109" t="s">
        <v>15197</v>
      </c>
      <c r="G7358" s="24"/>
      <c r="H7358" s="230">
        <v>4</v>
      </c>
      <c r="I7358" s="220">
        <v>598000</v>
      </c>
      <c r="J7358" s="220">
        <f>I7358*0.1</f>
        <v>59800</v>
      </c>
      <c r="K7358" s="220">
        <v>0</v>
      </c>
      <c r="L7358" s="220">
        <v>6550</v>
      </c>
      <c r="M7358" s="220">
        <v>15950</v>
      </c>
      <c r="N7358" s="220">
        <f>SUM(I7358:M7359)</f>
        <v>680300</v>
      </c>
      <c r="O7358" s="224"/>
      <c r="P7358" s="110" t="s">
        <v>20805</v>
      </c>
      <c r="Q7358" s="15" t="s">
        <v>19</v>
      </c>
      <c r="R7358" s="205"/>
      <c r="S7358" s="189" t="s">
        <v>758</v>
      </c>
      <c r="T7358" s="114"/>
      <c r="U7358" s="21"/>
      <c r="V7358" s="115">
        <v>46109</v>
      </c>
      <c r="W7358" s="116">
        <v>1294</v>
      </c>
      <c r="X7358" s="220">
        <v>700000</v>
      </c>
      <c r="Y7358" s="220">
        <f>X7358*0.1</f>
        <v>70000</v>
      </c>
      <c r="Z7358" s="220">
        <v>6550</v>
      </c>
      <c r="AA7358" s="220">
        <f>SUM(X7358:Z7358)</f>
        <v>776550</v>
      </c>
      <c r="AB7358" s="222">
        <v>46118</v>
      </c>
    </row>
    <row r="7359" spans="1:28" ht="17.100000000000001" customHeight="1" thickBot="1">
      <c r="A7359" s="227"/>
      <c r="B7359" s="27" t="s">
        <v>3518</v>
      </c>
      <c r="C7359" s="27">
        <v>3041</v>
      </c>
      <c r="D7359" s="14" t="s">
        <v>1710</v>
      </c>
      <c r="E7359" s="229"/>
      <c r="F7359" s="117" t="s">
        <v>20340</v>
      </c>
      <c r="G7359" s="26">
        <v>25271</v>
      </c>
      <c r="H7359" s="231"/>
      <c r="I7359" s="221"/>
      <c r="J7359" s="221"/>
      <c r="K7359" s="221"/>
      <c r="L7359" s="221"/>
      <c r="M7359" s="221"/>
      <c r="N7359" s="221"/>
      <c r="O7359" s="225"/>
      <c r="P7359" s="118" t="s">
        <v>20806</v>
      </c>
      <c r="Q7359" s="16" t="s">
        <v>20</v>
      </c>
      <c r="R7359" s="17" t="s">
        <v>20791</v>
      </c>
      <c r="S7359" s="121" t="s">
        <v>13480</v>
      </c>
      <c r="T7359" s="122"/>
      <c r="U7359" s="22"/>
      <c r="V7359" s="123" t="s">
        <v>6641</v>
      </c>
      <c r="W7359" s="122">
        <v>60011</v>
      </c>
      <c r="X7359" s="221"/>
      <c r="Y7359" s="221"/>
      <c r="Z7359" s="221"/>
      <c r="AA7359" s="221"/>
      <c r="AB7359" s="223"/>
    </row>
    <row r="7360" spans="1:28" ht="17.100000000000001" customHeight="1" thickTop="1">
      <c r="A7360" s="226" t="s">
        <v>20235</v>
      </c>
      <c r="B7360" s="28">
        <v>46102</v>
      </c>
      <c r="C7360" s="25">
        <v>304</v>
      </c>
      <c r="D7360" s="13" t="s">
        <v>1901</v>
      </c>
      <c r="E7360" s="228"/>
      <c r="F7360" s="109" t="s">
        <v>15511</v>
      </c>
      <c r="G7360" s="24" t="s">
        <v>2038</v>
      </c>
      <c r="H7360" s="230">
        <v>4.5</v>
      </c>
      <c r="I7360" s="220">
        <v>712000</v>
      </c>
      <c r="J7360" s="220">
        <f>I7360*0.1</f>
        <v>71200</v>
      </c>
      <c r="K7360" s="220">
        <v>10800</v>
      </c>
      <c r="L7360" s="220">
        <v>8430</v>
      </c>
      <c r="M7360" s="220">
        <v>15950</v>
      </c>
      <c r="N7360" s="220">
        <f>SUM(I7360:M7361)</f>
        <v>818380</v>
      </c>
      <c r="O7360" s="224"/>
      <c r="P7360" s="110" t="s">
        <v>20364</v>
      </c>
      <c r="Q7360" s="15" t="s">
        <v>19</v>
      </c>
      <c r="R7360" s="205"/>
      <c r="S7360" s="189" t="s">
        <v>696</v>
      </c>
      <c r="T7360" s="114"/>
      <c r="U7360" s="21"/>
      <c r="V7360" s="115">
        <v>46109</v>
      </c>
      <c r="W7360" s="116">
        <v>1294</v>
      </c>
      <c r="X7360" s="220">
        <v>800000</v>
      </c>
      <c r="Y7360" s="220">
        <f>X7360*0.1</f>
        <v>80000</v>
      </c>
      <c r="Z7360" s="220">
        <v>8430</v>
      </c>
      <c r="AA7360" s="220">
        <f>SUM(X7360:Z7360)</f>
        <v>888430</v>
      </c>
      <c r="AB7360" s="222">
        <v>46112</v>
      </c>
    </row>
    <row r="7361" spans="1:28" ht="17.100000000000001" customHeight="1" thickBot="1">
      <c r="A7361" s="227"/>
      <c r="B7361" s="27" t="s">
        <v>3518</v>
      </c>
      <c r="C7361" s="27">
        <v>3109</v>
      </c>
      <c r="D7361" s="14" t="s">
        <v>2559</v>
      </c>
      <c r="E7361" s="229"/>
      <c r="F7361" s="117" t="s">
        <v>20341</v>
      </c>
      <c r="G7361" s="26">
        <v>32615</v>
      </c>
      <c r="H7361" s="231"/>
      <c r="I7361" s="221"/>
      <c r="J7361" s="221"/>
      <c r="K7361" s="221"/>
      <c r="L7361" s="221"/>
      <c r="M7361" s="221"/>
      <c r="N7361" s="221"/>
      <c r="O7361" s="225"/>
      <c r="P7361" s="118" t="s">
        <v>10976</v>
      </c>
      <c r="Q7361" s="16" t="s">
        <v>20</v>
      </c>
      <c r="R7361" s="17" t="s">
        <v>2353</v>
      </c>
      <c r="S7361" s="121" t="s">
        <v>20763</v>
      </c>
      <c r="T7361" s="122"/>
      <c r="U7361" s="22"/>
      <c r="V7361" s="123" t="s">
        <v>21250</v>
      </c>
      <c r="W7361" s="122">
        <v>60029</v>
      </c>
      <c r="X7361" s="221"/>
      <c r="Y7361" s="221"/>
      <c r="Z7361" s="221"/>
      <c r="AA7361" s="221"/>
      <c r="AB7361" s="223"/>
    </row>
    <row r="7362" spans="1:28" ht="17.100000000000001" customHeight="1" thickTop="1">
      <c r="A7362" s="226" t="s">
        <v>20331</v>
      </c>
      <c r="B7362" s="28">
        <v>46102</v>
      </c>
      <c r="C7362" s="25">
        <v>304</v>
      </c>
      <c r="D7362" s="13" t="s">
        <v>1931</v>
      </c>
      <c r="E7362" s="228"/>
      <c r="F7362" s="109" t="s">
        <v>20342</v>
      </c>
      <c r="G7362" s="24"/>
      <c r="H7362" s="230">
        <v>4.5</v>
      </c>
      <c r="I7362" s="220">
        <v>782000</v>
      </c>
      <c r="J7362" s="220">
        <f>I7362*0.1</f>
        <v>78200</v>
      </c>
      <c r="K7362" s="220">
        <v>0</v>
      </c>
      <c r="L7362" s="220">
        <v>8400</v>
      </c>
      <c r="M7362" s="220">
        <v>15950</v>
      </c>
      <c r="N7362" s="220">
        <f>SUM(I7362:M7363)</f>
        <v>884550</v>
      </c>
      <c r="O7362" s="224"/>
      <c r="P7362" s="110" t="s">
        <v>20650</v>
      </c>
      <c r="Q7362" s="15" t="s">
        <v>19</v>
      </c>
      <c r="R7362" s="205"/>
      <c r="S7362" s="189"/>
      <c r="T7362" s="114"/>
      <c r="U7362" s="21"/>
      <c r="V7362" s="115">
        <v>46109</v>
      </c>
      <c r="W7362" s="116">
        <v>1294</v>
      </c>
      <c r="X7362" s="220">
        <v>850000</v>
      </c>
      <c r="Y7362" s="220">
        <f>X7362*0.1</f>
        <v>85000</v>
      </c>
      <c r="Z7362" s="220">
        <v>8400</v>
      </c>
      <c r="AA7362" s="220">
        <f>SUM(X7362:Z7362)</f>
        <v>943400</v>
      </c>
      <c r="AB7362" s="222">
        <v>46114</v>
      </c>
    </row>
    <row r="7363" spans="1:28" ht="17.100000000000001" customHeight="1" thickBot="1">
      <c r="A7363" s="227"/>
      <c r="B7363" s="27" t="s">
        <v>3518</v>
      </c>
      <c r="C7363" s="27">
        <v>3185</v>
      </c>
      <c r="D7363" s="14" t="s">
        <v>898</v>
      </c>
      <c r="E7363" s="229"/>
      <c r="F7363" s="117" t="s">
        <v>20343</v>
      </c>
      <c r="G7363" s="26">
        <v>38583</v>
      </c>
      <c r="H7363" s="231"/>
      <c r="I7363" s="221"/>
      <c r="J7363" s="221"/>
      <c r="K7363" s="221"/>
      <c r="L7363" s="221"/>
      <c r="M7363" s="221"/>
      <c r="N7363" s="221"/>
      <c r="O7363" s="225"/>
      <c r="P7363" s="118" t="s">
        <v>20651</v>
      </c>
      <c r="Q7363" s="16" t="s">
        <v>20</v>
      </c>
      <c r="R7363" s="17" t="s">
        <v>2353</v>
      </c>
      <c r="S7363" s="121" t="s">
        <v>7703</v>
      </c>
      <c r="T7363" s="122"/>
      <c r="U7363" s="22"/>
      <c r="V7363" s="123" t="s">
        <v>6641</v>
      </c>
      <c r="W7363" s="122">
        <v>60260</v>
      </c>
      <c r="X7363" s="221"/>
      <c r="Y7363" s="221"/>
      <c r="Z7363" s="221"/>
      <c r="AA7363" s="221"/>
      <c r="AB7363" s="223"/>
    </row>
    <row r="7364" spans="1:28" ht="17.100000000000001" customHeight="1" thickTop="1">
      <c r="A7364" s="226" t="s">
        <v>20332</v>
      </c>
      <c r="B7364" s="28">
        <v>46102</v>
      </c>
      <c r="C7364" s="25">
        <v>1015</v>
      </c>
      <c r="D7364" s="13" t="s">
        <v>4775</v>
      </c>
      <c r="E7364" s="228"/>
      <c r="F7364" s="109" t="s">
        <v>20344</v>
      </c>
      <c r="G7364" s="24"/>
      <c r="H7364" s="230">
        <v>4.5</v>
      </c>
      <c r="I7364" s="220">
        <v>922000</v>
      </c>
      <c r="J7364" s="220">
        <f>I7364*0.1</f>
        <v>92200</v>
      </c>
      <c r="K7364" s="220">
        <v>0</v>
      </c>
      <c r="L7364" s="220">
        <v>18300</v>
      </c>
      <c r="M7364" s="220">
        <v>15950</v>
      </c>
      <c r="N7364" s="220">
        <f>SUM(I7364:M7365)</f>
        <v>1048450</v>
      </c>
      <c r="O7364" s="224"/>
      <c r="P7364" s="110" t="s">
        <v>20719</v>
      </c>
      <c r="Q7364" s="15" t="s">
        <v>19</v>
      </c>
      <c r="R7364" s="205"/>
      <c r="S7364" s="189"/>
      <c r="T7364" s="114"/>
      <c r="U7364" s="21"/>
      <c r="V7364" s="115">
        <v>46121</v>
      </c>
      <c r="W7364" s="116">
        <v>1326</v>
      </c>
      <c r="X7364" s="220">
        <v>1055000</v>
      </c>
      <c r="Y7364" s="220">
        <f>X7364*0.1</f>
        <v>105500</v>
      </c>
      <c r="Z7364" s="220">
        <v>18300</v>
      </c>
      <c r="AA7364" s="220">
        <f>SUM(X7364:Z7364)</f>
        <v>1178800</v>
      </c>
      <c r="AB7364" s="222">
        <v>46122</v>
      </c>
    </row>
    <row r="7365" spans="1:28" ht="17.100000000000001" customHeight="1" thickBot="1">
      <c r="A7365" s="227"/>
      <c r="B7365" s="27" t="s">
        <v>1697</v>
      </c>
      <c r="C7365" s="27">
        <v>5018</v>
      </c>
      <c r="D7365" s="14" t="s">
        <v>1584</v>
      </c>
      <c r="E7365" s="229"/>
      <c r="F7365" s="117" t="s">
        <v>20365</v>
      </c>
      <c r="G7365" s="26">
        <v>48621</v>
      </c>
      <c r="H7365" s="231"/>
      <c r="I7365" s="221"/>
      <c r="J7365" s="221"/>
      <c r="K7365" s="221"/>
      <c r="L7365" s="221"/>
      <c r="M7365" s="221"/>
      <c r="N7365" s="221"/>
      <c r="O7365" s="225"/>
      <c r="P7365" s="118" t="s">
        <v>20720</v>
      </c>
      <c r="Q7365" s="16" t="s">
        <v>20</v>
      </c>
      <c r="R7365" s="17" t="s">
        <v>20705</v>
      </c>
      <c r="S7365" s="121" t="s">
        <v>20721</v>
      </c>
      <c r="T7365" s="122"/>
      <c r="U7365" s="22"/>
      <c r="V7365" s="123" t="s">
        <v>13379</v>
      </c>
      <c r="W7365" s="122">
        <v>105</v>
      </c>
      <c r="X7365" s="221"/>
      <c r="Y7365" s="221"/>
      <c r="Z7365" s="221"/>
      <c r="AA7365" s="221"/>
      <c r="AB7365" s="223"/>
    </row>
    <row r="7366" spans="1:28" ht="17.100000000000001" customHeight="1" thickTop="1">
      <c r="A7366" s="226" t="s">
        <v>20333</v>
      </c>
      <c r="B7366" s="28">
        <v>46102</v>
      </c>
      <c r="C7366" s="25">
        <v>1015</v>
      </c>
      <c r="D7366" s="13" t="s">
        <v>2010</v>
      </c>
      <c r="E7366" s="228"/>
      <c r="F7366" s="109" t="s">
        <v>20345</v>
      </c>
      <c r="G7366" s="24"/>
      <c r="H7366" s="230">
        <v>4</v>
      </c>
      <c r="I7366" s="220">
        <v>2861000</v>
      </c>
      <c r="J7366" s="220">
        <f>I7366*0.1</f>
        <v>286100</v>
      </c>
      <c r="K7366" s="220">
        <v>0</v>
      </c>
      <c r="L7366" s="220">
        <v>21160</v>
      </c>
      <c r="M7366" s="220">
        <v>15950</v>
      </c>
      <c r="N7366" s="220">
        <f>SUM(I7366:M7367)</f>
        <v>3184210</v>
      </c>
      <c r="O7366" s="224"/>
      <c r="P7366" s="110" t="s">
        <v>20727</v>
      </c>
      <c r="Q7366" s="15" t="s">
        <v>19</v>
      </c>
      <c r="R7366" s="205"/>
      <c r="S7366" s="189" t="s">
        <v>758</v>
      </c>
      <c r="T7366" s="114" t="s">
        <v>23969</v>
      </c>
      <c r="U7366" s="21"/>
      <c r="V7366" s="115">
        <v>46137</v>
      </c>
      <c r="W7366" s="116">
        <v>1298</v>
      </c>
      <c r="X7366" s="220">
        <v>3000000</v>
      </c>
      <c r="Y7366" s="220">
        <f>X7366*0.1</f>
        <v>300000</v>
      </c>
      <c r="Z7366" s="220">
        <v>21160</v>
      </c>
      <c r="AA7366" s="220">
        <f>SUM(X7366:Z7366)</f>
        <v>3321160</v>
      </c>
      <c r="AB7366" s="222">
        <v>46143</v>
      </c>
    </row>
    <row r="7367" spans="1:28" ht="17.100000000000001" customHeight="1" thickBot="1">
      <c r="A7367" s="227"/>
      <c r="B7367" s="27" t="s">
        <v>1697</v>
      </c>
      <c r="C7367" s="27">
        <v>5049</v>
      </c>
      <c r="D7367" s="14" t="s">
        <v>2753</v>
      </c>
      <c r="E7367" s="229"/>
      <c r="F7367" s="117" t="s">
        <v>20366</v>
      </c>
      <c r="G7367" s="26">
        <v>32756</v>
      </c>
      <c r="H7367" s="231"/>
      <c r="I7367" s="221"/>
      <c r="J7367" s="221"/>
      <c r="K7367" s="221"/>
      <c r="L7367" s="221"/>
      <c r="M7367" s="221"/>
      <c r="N7367" s="221"/>
      <c r="O7367" s="225"/>
      <c r="P7367" s="118" t="s">
        <v>20728</v>
      </c>
      <c r="Q7367" s="16" t="s">
        <v>20</v>
      </c>
      <c r="R7367" s="17" t="s">
        <v>20724</v>
      </c>
      <c r="S7367" s="121" t="s">
        <v>20729</v>
      </c>
      <c r="T7367" s="122"/>
      <c r="U7367" s="22"/>
      <c r="V7367" s="123" t="s">
        <v>6641</v>
      </c>
      <c r="W7367" s="122">
        <v>80065</v>
      </c>
      <c r="X7367" s="221"/>
      <c r="Y7367" s="221"/>
      <c r="Z7367" s="221"/>
      <c r="AA7367" s="221"/>
      <c r="AB7367" s="223"/>
    </row>
    <row r="7368" spans="1:28" ht="17.100000000000001" customHeight="1" thickTop="1">
      <c r="A7368" s="226" t="s">
        <v>20334</v>
      </c>
      <c r="B7368" s="28">
        <v>46102</v>
      </c>
      <c r="C7368" s="25">
        <v>1015</v>
      </c>
      <c r="D7368" s="13" t="s">
        <v>1837</v>
      </c>
      <c r="E7368" s="228"/>
      <c r="F7368" s="109" t="s">
        <v>20346</v>
      </c>
      <c r="G7368" s="24"/>
      <c r="H7368" s="230">
        <v>4.5</v>
      </c>
      <c r="I7368" s="220">
        <v>1799000</v>
      </c>
      <c r="J7368" s="220">
        <f>I7368*0.1</f>
        <v>179900</v>
      </c>
      <c r="K7368" s="220">
        <v>0</v>
      </c>
      <c r="L7368" s="220">
        <v>17800</v>
      </c>
      <c r="M7368" s="220">
        <v>15950</v>
      </c>
      <c r="N7368" s="220">
        <f>SUM(I7368:M7369)</f>
        <v>2012650</v>
      </c>
      <c r="O7368" s="224"/>
      <c r="P7368" s="110" t="s">
        <v>20653</v>
      </c>
      <c r="Q7368" s="15" t="s">
        <v>19</v>
      </c>
      <c r="R7368" s="205"/>
      <c r="S7368" s="189"/>
      <c r="T7368" s="114"/>
      <c r="U7368" s="21"/>
      <c r="V7368" s="115">
        <v>46107</v>
      </c>
      <c r="W7368" s="116">
        <v>1324</v>
      </c>
      <c r="X7368" s="220">
        <v>2000000</v>
      </c>
      <c r="Y7368" s="220">
        <f>X7368*0.1</f>
        <v>200000</v>
      </c>
      <c r="Z7368" s="220">
        <v>17800</v>
      </c>
      <c r="AA7368" s="220">
        <f>SUM(X7368:Z7368)</f>
        <v>2217800</v>
      </c>
      <c r="AB7368" s="222">
        <v>46108</v>
      </c>
    </row>
    <row r="7369" spans="1:28" ht="17.100000000000001" customHeight="1" thickBot="1">
      <c r="A7369" s="227"/>
      <c r="B7369" s="27" t="s">
        <v>1697</v>
      </c>
      <c r="C7369" s="27">
        <v>5087</v>
      </c>
      <c r="D7369" s="14" t="s">
        <v>273</v>
      </c>
      <c r="E7369" s="229"/>
      <c r="F7369" s="117" t="s">
        <v>20367</v>
      </c>
      <c r="G7369" s="26">
        <v>50118</v>
      </c>
      <c r="H7369" s="231"/>
      <c r="I7369" s="221"/>
      <c r="J7369" s="221"/>
      <c r="K7369" s="221"/>
      <c r="L7369" s="221"/>
      <c r="M7369" s="221"/>
      <c r="N7369" s="221"/>
      <c r="O7369" s="225"/>
      <c r="P7369" s="118" t="s">
        <v>4883</v>
      </c>
      <c r="Q7369" s="16" t="s">
        <v>20</v>
      </c>
      <c r="R7369" s="17" t="s">
        <v>2353</v>
      </c>
      <c r="S7369" s="121" t="s">
        <v>5222</v>
      </c>
      <c r="T7369" s="122"/>
      <c r="U7369" s="22"/>
      <c r="V7369" s="123" t="s">
        <v>20690</v>
      </c>
      <c r="W7369" s="122">
        <v>131</v>
      </c>
      <c r="X7369" s="221"/>
      <c r="Y7369" s="221"/>
      <c r="Z7369" s="221"/>
      <c r="AA7369" s="221"/>
      <c r="AB7369" s="223"/>
    </row>
    <row r="7370" spans="1:28" ht="17.100000000000001" customHeight="1" thickTop="1">
      <c r="A7370" s="226" t="s">
        <v>20335</v>
      </c>
      <c r="B7370" s="28">
        <v>46102</v>
      </c>
      <c r="C7370" s="25">
        <v>1293</v>
      </c>
      <c r="D7370" s="13" t="s">
        <v>4213</v>
      </c>
      <c r="E7370" s="228"/>
      <c r="F7370" s="109" t="s">
        <v>16880</v>
      </c>
      <c r="G7370" s="24" t="s">
        <v>4120</v>
      </c>
      <c r="H7370" s="230">
        <v>5</v>
      </c>
      <c r="I7370" s="220">
        <v>1810000</v>
      </c>
      <c r="J7370" s="220">
        <f>I7370*0.1</f>
        <v>181000</v>
      </c>
      <c r="K7370" s="220">
        <v>10800</v>
      </c>
      <c r="L7370" s="220">
        <v>6180</v>
      </c>
      <c r="M7370" s="220">
        <v>12100</v>
      </c>
      <c r="N7370" s="220">
        <f>SUM(I7370:M7371)</f>
        <v>2020080</v>
      </c>
      <c r="O7370" s="224"/>
      <c r="P7370" s="110" t="s">
        <v>20370</v>
      </c>
      <c r="Q7370" s="15" t="s">
        <v>19</v>
      </c>
      <c r="R7370" s="205"/>
      <c r="S7370" s="189" t="s">
        <v>758</v>
      </c>
      <c r="T7370" s="114"/>
      <c r="U7370" s="21"/>
      <c r="V7370" s="115">
        <v>46112</v>
      </c>
      <c r="W7370" s="116">
        <v>1935</v>
      </c>
      <c r="X7370" s="220">
        <v>1909000</v>
      </c>
      <c r="Y7370" s="220">
        <f>X7370*0.1</f>
        <v>190900</v>
      </c>
      <c r="Z7370" s="220">
        <v>6180</v>
      </c>
      <c r="AA7370" s="220">
        <f>SUM(X7370:Z7370)</f>
        <v>2106080</v>
      </c>
      <c r="AB7370" s="222"/>
    </row>
    <row r="7371" spans="1:28" ht="17.100000000000001" customHeight="1" thickBot="1">
      <c r="A7371" s="227"/>
      <c r="B7371" s="27" t="s">
        <v>2472</v>
      </c>
      <c r="C7371" s="27">
        <v>31029</v>
      </c>
      <c r="D7371" s="14" t="s">
        <v>1797</v>
      </c>
      <c r="E7371" s="229"/>
      <c r="F7371" s="117" t="s">
        <v>20353</v>
      </c>
      <c r="G7371" s="26">
        <v>2137</v>
      </c>
      <c r="H7371" s="231"/>
      <c r="I7371" s="221"/>
      <c r="J7371" s="221"/>
      <c r="K7371" s="221"/>
      <c r="L7371" s="221"/>
      <c r="M7371" s="221"/>
      <c r="N7371" s="221"/>
      <c r="O7371" s="225"/>
      <c r="P7371" s="118" t="s">
        <v>20855</v>
      </c>
      <c r="Q7371" s="16" t="s">
        <v>20</v>
      </c>
      <c r="R7371" s="17" t="s">
        <v>20791</v>
      </c>
      <c r="S7371" s="121" t="s">
        <v>20856</v>
      </c>
      <c r="T7371" s="122"/>
      <c r="U7371" s="22"/>
      <c r="V7371" s="123" t="s">
        <v>21196</v>
      </c>
      <c r="W7371" s="122">
        <v>3173</v>
      </c>
      <c r="X7371" s="221"/>
      <c r="Y7371" s="221"/>
      <c r="Z7371" s="221"/>
      <c r="AA7371" s="221"/>
      <c r="AB7371" s="223"/>
    </row>
    <row r="7372" spans="1:28" ht="17.100000000000001" customHeight="1" thickTop="1">
      <c r="A7372" s="226" t="s">
        <v>20336</v>
      </c>
      <c r="B7372" s="28">
        <v>46102</v>
      </c>
      <c r="C7372" s="25">
        <v>1293</v>
      </c>
      <c r="D7372" s="13" t="s">
        <v>2564</v>
      </c>
      <c r="E7372" s="228"/>
      <c r="F7372" s="109" t="s">
        <v>20354</v>
      </c>
      <c r="G7372" s="24" t="s">
        <v>20371</v>
      </c>
      <c r="H7372" s="230">
        <v>4</v>
      </c>
      <c r="I7372" s="220">
        <v>1400000</v>
      </c>
      <c r="J7372" s="220">
        <f>I7372*0.1</f>
        <v>140000</v>
      </c>
      <c r="K7372" s="220">
        <v>36000</v>
      </c>
      <c r="L7372" s="220">
        <v>12030</v>
      </c>
      <c r="M7372" s="220">
        <v>13200</v>
      </c>
      <c r="N7372" s="220">
        <f>SUM(I7372:M7373)</f>
        <v>1601230</v>
      </c>
      <c r="O7372" s="224"/>
      <c r="P7372" s="110" t="s">
        <v>20372</v>
      </c>
      <c r="Q7372" s="15" t="s">
        <v>19</v>
      </c>
      <c r="R7372" s="205"/>
      <c r="S7372" s="189" t="s">
        <v>25880</v>
      </c>
      <c r="T7372" s="114"/>
      <c r="U7372" s="21"/>
      <c r="V7372" s="115">
        <v>46106</v>
      </c>
      <c r="W7372" s="116">
        <v>1010</v>
      </c>
      <c r="X7372" s="220">
        <v>1455000</v>
      </c>
      <c r="Y7372" s="220">
        <f>X7372*0.1</f>
        <v>145500</v>
      </c>
      <c r="Z7372" s="220">
        <v>12030</v>
      </c>
      <c r="AA7372" s="220">
        <f>SUM(X7372:Z7372)</f>
        <v>1612530</v>
      </c>
      <c r="AB7372" s="222">
        <v>46112</v>
      </c>
    </row>
    <row r="7373" spans="1:28" ht="17.100000000000001" customHeight="1" thickBot="1">
      <c r="A7373" s="227"/>
      <c r="B7373" s="27" t="s">
        <v>2472</v>
      </c>
      <c r="C7373" s="27">
        <v>35210</v>
      </c>
      <c r="D7373" s="14" t="s">
        <v>2559</v>
      </c>
      <c r="E7373" s="229"/>
      <c r="F7373" s="117" t="s">
        <v>20355</v>
      </c>
      <c r="G7373" s="26">
        <v>65050</v>
      </c>
      <c r="H7373" s="231"/>
      <c r="I7373" s="221"/>
      <c r="J7373" s="221"/>
      <c r="K7373" s="221"/>
      <c r="L7373" s="221"/>
      <c r="M7373" s="221"/>
      <c r="N7373" s="221"/>
      <c r="O7373" s="225"/>
      <c r="P7373" s="118" t="s">
        <v>20849</v>
      </c>
      <c r="Q7373" s="16" t="s">
        <v>20</v>
      </c>
      <c r="R7373" s="17" t="s">
        <v>20791</v>
      </c>
      <c r="S7373" s="121" t="s">
        <v>20850</v>
      </c>
      <c r="T7373" s="122"/>
      <c r="U7373" s="22"/>
      <c r="V7373" s="123" t="s">
        <v>2747</v>
      </c>
      <c r="W7373" s="122">
        <v>5172</v>
      </c>
      <c r="X7373" s="221"/>
      <c r="Y7373" s="221"/>
      <c r="Z7373" s="221"/>
      <c r="AA7373" s="221"/>
      <c r="AB7373" s="223"/>
    </row>
    <row r="7374" spans="1:28" ht="17.100000000000001" customHeight="1" thickTop="1">
      <c r="A7374" s="226" t="s">
        <v>20337</v>
      </c>
      <c r="B7374" s="28">
        <v>46102</v>
      </c>
      <c r="C7374" s="25">
        <v>1293</v>
      </c>
      <c r="D7374" s="13" t="s">
        <v>1676</v>
      </c>
      <c r="E7374" s="228"/>
      <c r="F7374" s="109" t="s">
        <v>19222</v>
      </c>
      <c r="G7374" s="24" t="s">
        <v>16152</v>
      </c>
      <c r="H7374" s="230">
        <v>4.5</v>
      </c>
      <c r="I7374" s="220">
        <v>1045000</v>
      </c>
      <c r="J7374" s="220">
        <f>I7374*0.1</f>
        <v>104500</v>
      </c>
      <c r="K7374" s="220">
        <v>39500</v>
      </c>
      <c r="L7374" s="220">
        <v>12470</v>
      </c>
      <c r="M7374" s="220">
        <v>12100</v>
      </c>
      <c r="N7374" s="220">
        <f>SUM(I7374:M7375)</f>
        <v>1213570</v>
      </c>
      <c r="O7374" s="224"/>
      <c r="P7374" s="110" t="s">
        <v>20373</v>
      </c>
      <c r="Q7374" s="15" t="s">
        <v>19</v>
      </c>
      <c r="R7374" s="205"/>
      <c r="S7374" s="189" t="s">
        <v>25881</v>
      </c>
      <c r="T7374" s="114"/>
      <c r="U7374" s="21"/>
      <c r="V7374" s="115">
        <v>46113</v>
      </c>
      <c r="W7374" s="116">
        <v>1011</v>
      </c>
      <c r="X7374" s="220">
        <v>1085000</v>
      </c>
      <c r="Y7374" s="220">
        <f>X7374*0.1</f>
        <v>108500</v>
      </c>
      <c r="Z7374" s="220">
        <v>12470</v>
      </c>
      <c r="AA7374" s="220">
        <f>SUM(X7374:Z7374)</f>
        <v>1205970</v>
      </c>
      <c r="AB7374" s="222">
        <v>46118</v>
      </c>
    </row>
    <row r="7375" spans="1:28" ht="17.100000000000001" customHeight="1" thickBot="1">
      <c r="A7375" s="227"/>
      <c r="B7375" s="27" t="s">
        <v>2472</v>
      </c>
      <c r="C7375" s="27">
        <v>37586</v>
      </c>
      <c r="D7375" s="14" t="s">
        <v>273</v>
      </c>
      <c r="E7375" s="229"/>
      <c r="F7375" s="117" t="s">
        <v>20356</v>
      </c>
      <c r="G7375" s="26">
        <v>92750</v>
      </c>
      <c r="H7375" s="231"/>
      <c r="I7375" s="221"/>
      <c r="J7375" s="221"/>
      <c r="K7375" s="221"/>
      <c r="L7375" s="221"/>
      <c r="M7375" s="221"/>
      <c r="N7375" s="221"/>
      <c r="O7375" s="225"/>
      <c r="P7375" s="118" t="s">
        <v>20857</v>
      </c>
      <c r="Q7375" s="16" t="s">
        <v>20</v>
      </c>
      <c r="R7375" s="17" t="s">
        <v>20791</v>
      </c>
      <c r="S7375" s="121" t="s">
        <v>20858</v>
      </c>
      <c r="T7375" s="122"/>
      <c r="U7375" s="22"/>
      <c r="V7375" s="123" t="s">
        <v>2747</v>
      </c>
      <c r="W7375" s="122">
        <v>6121</v>
      </c>
      <c r="X7375" s="221"/>
      <c r="Y7375" s="221"/>
      <c r="Z7375" s="221"/>
      <c r="AA7375" s="221"/>
      <c r="AB7375" s="223"/>
    </row>
    <row r="7376" spans="1:28" ht="17.100000000000001" customHeight="1" thickTop="1">
      <c r="A7376" s="226" t="s">
        <v>20338</v>
      </c>
      <c r="B7376" s="28">
        <v>46102</v>
      </c>
      <c r="C7376" s="25">
        <v>1293</v>
      </c>
      <c r="D7376" s="13" t="s">
        <v>3769</v>
      </c>
      <c r="E7376" s="228"/>
      <c r="F7376" s="109" t="s">
        <v>15511</v>
      </c>
      <c r="G7376" s="24" t="s">
        <v>14912</v>
      </c>
      <c r="H7376" s="230">
        <v>4.5</v>
      </c>
      <c r="I7376" s="220">
        <v>700000</v>
      </c>
      <c r="J7376" s="220">
        <f>I7376*0.1</f>
        <v>70000</v>
      </c>
      <c r="K7376" s="220">
        <v>10800</v>
      </c>
      <c r="L7376" s="220">
        <v>8430</v>
      </c>
      <c r="M7376" s="220">
        <v>23100</v>
      </c>
      <c r="N7376" s="220">
        <f>SUM(I7376:M7377)</f>
        <v>812330</v>
      </c>
      <c r="O7376" s="224"/>
      <c r="P7376" s="110" t="s">
        <v>20374</v>
      </c>
      <c r="Q7376" s="15" t="s">
        <v>19</v>
      </c>
      <c r="R7376" s="205"/>
      <c r="S7376" s="189" t="s">
        <v>25882</v>
      </c>
      <c r="T7376" s="114"/>
      <c r="U7376" s="21"/>
      <c r="V7376" s="115">
        <v>46106</v>
      </c>
      <c r="W7376" s="116">
        <v>1010</v>
      </c>
      <c r="X7376" s="220">
        <v>800000</v>
      </c>
      <c r="Y7376" s="220">
        <f>X7376*0.1</f>
        <v>80000</v>
      </c>
      <c r="Z7376" s="220">
        <v>8430</v>
      </c>
      <c r="AA7376" s="220">
        <f>SUM(X7376:Z7376)</f>
        <v>888430</v>
      </c>
      <c r="AB7376" s="222">
        <v>46112</v>
      </c>
    </row>
    <row r="7377" spans="1:28" ht="17.100000000000001" customHeight="1" thickBot="1">
      <c r="A7377" s="227"/>
      <c r="B7377" s="27" t="s">
        <v>2472</v>
      </c>
      <c r="C7377" s="27">
        <v>65261</v>
      </c>
      <c r="D7377" s="14" t="s">
        <v>1710</v>
      </c>
      <c r="E7377" s="229"/>
      <c r="F7377" s="117" t="s">
        <v>20357</v>
      </c>
      <c r="G7377" s="26">
        <v>6314</v>
      </c>
      <c r="H7377" s="231"/>
      <c r="I7377" s="221"/>
      <c r="J7377" s="221"/>
      <c r="K7377" s="221"/>
      <c r="L7377" s="221"/>
      <c r="M7377" s="221"/>
      <c r="N7377" s="221"/>
      <c r="O7377" s="225"/>
      <c r="P7377" s="118" t="s">
        <v>20847</v>
      </c>
      <c r="Q7377" s="16" t="s">
        <v>20</v>
      </c>
      <c r="R7377" s="17" t="s">
        <v>20791</v>
      </c>
      <c r="S7377" s="121" t="s">
        <v>20848</v>
      </c>
      <c r="T7377" s="122"/>
      <c r="U7377" s="22"/>
      <c r="V7377" s="123" t="s">
        <v>20722</v>
      </c>
      <c r="W7377" s="122">
        <v>2091</v>
      </c>
      <c r="X7377" s="221"/>
      <c r="Y7377" s="221"/>
      <c r="Z7377" s="221"/>
      <c r="AA7377" s="221"/>
      <c r="AB7377" s="223"/>
    </row>
    <row r="7378" spans="1:28" ht="17.100000000000001" customHeight="1" thickTop="1">
      <c r="A7378" s="226" t="s">
        <v>20339</v>
      </c>
      <c r="B7378" s="28">
        <v>46102</v>
      </c>
      <c r="C7378" s="25">
        <v>1293</v>
      </c>
      <c r="D7378" s="13" t="s">
        <v>2313</v>
      </c>
      <c r="E7378" s="228"/>
      <c r="F7378" s="109" t="s">
        <v>16852</v>
      </c>
      <c r="G7378" s="24" t="s">
        <v>19670</v>
      </c>
      <c r="H7378" s="230">
        <v>4</v>
      </c>
      <c r="I7378" s="220">
        <v>1115000</v>
      </c>
      <c r="J7378" s="220">
        <f>I7378*0.1</f>
        <v>111500</v>
      </c>
      <c r="K7378" s="220">
        <v>10800</v>
      </c>
      <c r="L7378" s="220">
        <v>9010</v>
      </c>
      <c r="M7378" s="220">
        <v>12100</v>
      </c>
      <c r="N7378" s="220">
        <f>SUM(I7378:M7379)</f>
        <v>1258410</v>
      </c>
      <c r="O7378" s="224"/>
      <c r="P7378" s="110" t="s">
        <v>20375</v>
      </c>
      <c r="Q7378" s="15" t="s">
        <v>19</v>
      </c>
      <c r="R7378" s="205"/>
      <c r="S7378" s="189" t="s">
        <v>283</v>
      </c>
      <c r="T7378" s="114"/>
      <c r="U7378" s="21" t="s">
        <v>23158</v>
      </c>
      <c r="V7378" s="115">
        <v>46137</v>
      </c>
      <c r="W7378" s="116">
        <v>1298</v>
      </c>
      <c r="X7378" s="220">
        <v>1155000</v>
      </c>
      <c r="Y7378" s="220">
        <f>X7378*0.1</f>
        <v>115500</v>
      </c>
      <c r="Z7378" s="220">
        <v>9010</v>
      </c>
      <c r="AA7378" s="220">
        <f>SUM(X7378:Z7378)</f>
        <v>1279510</v>
      </c>
      <c r="AB7378" s="222">
        <v>46140</v>
      </c>
    </row>
    <row r="7379" spans="1:28" ht="17.100000000000001" customHeight="1" thickBot="1">
      <c r="A7379" s="227"/>
      <c r="B7379" s="27" t="s">
        <v>2472</v>
      </c>
      <c r="C7379" s="27">
        <v>65354</v>
      </c>
      <c r="D7379" s="14" t="s">
        <v>1797</v>
      </c>
      <c r="E7379" s="229"/>
      <c r="F7379" s="117" t="s">
        <v>20358</v>
      </c>
      <c r="G7379" s="26">
        <v>35318</v>
      </c>
      <c r="H7379" s="231"/>
      <c r="I7379" s="221"/>
      <c r="J7379" s="221"/>
      <c r="K7379" s="221"/>
      <c r="L7379" s="221"/>
      <c r="M7379" s="221"/>
      <c r="N7379" s="221"/>
      <c r="O7379" s="225"/>
      <c r="P7379" s="118" t="s">
        <v>20854</v>
      </c>
      <c r="Q7379" s="16" t="s">
        <v>20</v>
      </c>
      <c r="R7379" s="17" t="s">
        <v>20791</v>
      </c>
      <c r="S7379" s="121" t="s">
        <v>9928</v>
      </c>
      <c r="T7379" s="122" t="s">
        <v>20762</v>
      </c>
      <c r="U7379" s="22"/>
      <c r="V7379" s="123" t="s">
        <v>2472</v>
      </c>
      <c r="W7379" s="122">
        <v>60066</v>
      </c>
      <c r="X7379" s="221"/>
      <c r="Y7379" s="221"/>
      <c r="Z7379" s="221"/>
      <c r="AA7379" s="221"/>
      <c r="AB7379" s="223"/>
    </row>
    <row r="7380" spans="1:28" ht="17.100000000000001" customHeight="1" thickTop="1">
      <c r="A7380" s="226" t="s">
        <v>20347</v>
      </c>
      <c r="B7380" s="28">
        <v>46102</v>
      </c>
      <c r="C7380" s="25">
        <v>1293</v>
      </c>
      <c r="D7380" s="13" t="s">
        <v>1772</v>
      </c>
      <c r="E7380" s="228"/>
      <c r="F7380" s="109" t="s">
        <v>15619</v>
      </c>
      <c r="G7380" s="24" t="s">
        <v>3867</v>
      </c>
      <c r="H7380" s="230">
        <v>4.5</v>
      </c>
      <c r="I7380" s="220">
        <v>1265000</v>
      </c>
      <c r="J7380" s="220">
        <f>I7380*0.1</f>
        <v>126500</v>
      </c>
      <c r="K7380" s="220">
        <v>10800</v>
      </c>
      <c r="L7380" s="220">
        <v>6850</v>
      </c>
      <c r="M7380" s="220">
        <v>13200</v>
      </c>
      <c r="N7380" s="220">
        <f>SUM(I7380:M7381)</f>
        <v>1422350</v>
      </c>
      <c r="O7380" s="224"/>
      <c r="P7380" s="110" t="s">
        <v>20376</v>
      </c>
      <c r="Q7380" s="15" t="s">
        <v>19</v>
      </c>
      <c r="R7380" s="205"/>
      <c r="S7380" s="189" t="s">
        <v>283</v>
      </c>
      <c r="T7380" s="114"/>
      <c r="U7380" s="21"/>
      <c r="V7380" s="115">
        <v>46109</v>
      </c>
      <c r="W7380" s="116">
        <v>1294</v>
      </c>
      <c r="X7380" s="220">
        <v>1300000</v>
      </c>
      <c r="Y7380" s="220">
        <f>X7380*0.1</f>
        <v>130000</v>
      </c>
      <c r="Z7380" s="220">
        <v>6850</v>
      </c>
      <c r="AA7380" s="220">
        <f>SUM(X7380:Z7380)</f>
        <v>1436850</v>
      </c>
      <c r="AB7380" s="222">
        <v>46112</v>
      </c>
    </row>
    <row r="7381" spans="1:28" ht="17.100000000000001" customHeight="1" thickBot="1">
      <c r="A7381" s="227"/>
      <c r="B7381" s="27" t="s">
        <v>2472</v>
      </c>
      <c r="C7381" s="27">
        <v>65355</v>
      </c>
      <c r="D7381" s="14" t="s">
        <v>273</v>
      </c>
      <c r="E7381" s="229"/>
      <c r="F7381" s="117" t="s">
        <v>20359</v>
      </c>
      <c r="G7381" s="26">
        <v>27100</v>
      </c>
      <c r="H7381" s="231"/>
      <c r="I7381" s="221"/>
      <c r="J7381" s="221"/>
      <c r="K7381" s="221"/>
      <c r="L7381" s="221"/>
      <c r="M7381" s="221"/>
      <c r="N7381" s="221"/>
      <c r="O7381" s="225"/>
      <c r="P7381" s="118" t="s">
        <v>20853</v>
      </c>
      <c r="Q7381" s="16" t="s">
        <v>20</v>
      </c>
      <c r="R7381" s="17" t="s">
        <v>20791</v>
      </c>
      <c r="S7381" s="121" t="s">
        <v>20787</v>
      </c>
      <c r="T7381" s="122"/>
      <c r="U7381" s="22"/>
      <c r="V7381" s="123" t="s">
        <v>21250</v>
      </c>
      <c r="W7381" s="122">
        <v>60007</v>
      </c>
      <c r="X7381" s="221"/>
      <c r="Y7381" s="221"/>
      <c r="Z7381" s="221"/>
      <c r="AA7381" s="221"/>
      <c r="AB7381" s="223"/>
    </row>
    <row r="7382" spans="1:28" ht="17.100000000000001" customHeight="1" thickTop="1">
      <c r="A7382" s="235" t="s">
        <v>20348</v>
      </c>
      <c r="B7382" s="28">
        <v>46102</v>
      </c>
      <c r="C7382" s="25">
        <v>1293</v>
      </c>
      <c r="D7382" s="13" t="s">
        <v>2637</v>
      </c>
      <c r="E7382" s="228"/>
      <c r="F7382" s="109" t="s">
        <v>20325</v>
      </c>
      <c r="G7382" s="24"/>
      <c r="H7382" s="230">
        <v>4.5</v>
      </c>
      <c r="I7382" s="220">
        <v>2125000</v>
      </c>
      <c r="J7382" s="220">
        <f>I7382*0.1</f>
        <v>212500</v>
      </c>
      <c r="K7382" s="220">
        <v>0</v>
      </c>
      <c r="L7382" s="220">
        <v>11740</v>
      </c>
      <c r="M7382" s="220">
        <v>12100</v>
      </c>
      <c r="N7382" s="220">
        <f>SUM(I7382:M7383)</f>
        <v>2361340</v>
      </c>
      <c r="O7382" s="224"/>
      <c r="P7382" s="110" t="s">
        <v>21070</v>
      </c>
      <c r="Q7382" s="15" t="s">
        <v>19</v>
      </c>
      <c r="R7382" s="205"/>
      <c r="S7382" s="189" t="s">
        <v>455</v>
      </c>
      <c r="T7382" s="114"/>
      <c r="U7382" s="21"/>
      <c r="V7382" s="115">
        <v>46123</v>
      </c>
      <c r="W7382" s="116">
        <v>1296</v>
      </c>
      <c r="X7382" s="220">
        <v>1985000</v>
      </c>
      <c r="Y7382" s="220">
        <f>X7382*0.1</f>
        <v>198500</v>
      </c>
      <c r="Z7382" s="220">
        <v>11740</v>
      </c>
      <c r="AA7382" s="220">
        <f>SUM(X7382:Z7382)</f>
        <v>2195240</v>
      </c>
      <c r="AB7382" s="222">
        <v>46126</v>
      </c>
    </row>
    <row r="7383" spans="1:28" ht="17.100000000000001" customHeight="1" thickBot="1">
      <c r="A7383" s="236"/>
      <c r="B7383" s="27" t="s">
        <v>2472</v>
      </c>
      <c r="C7383" s="27">
        <v>72029</v>
      </c>
      <c r="D7383" s="14" t="s">
        <v>273</v>
      </c>
      <c r="E7383" s="229"/>
      <c r="F7383" s="117" t="s">
        <v>20360</v>
      </c>
      <c r="G7383" s="26">
        <v>49509</v>
      </c>
      <c r="H7383" s="231"/>
      <c r="I7383" s="221"/>
      <c r="J7383" s="221"/>
      <c r="K7383" s="221"/>
      <c r="L7383" s="221"/>
      <c r="M7383" s="221"/>
      <c r="N7383" s="221"/>
      <c r="O7383" s="225"/>
      <c r="P7383" s="118" t="s">
        <v>21071</v>
      </c>
      <c r="Q7383" s="16" t="s">
        <v>20</v>
      </c>
      <c r="R7383" s="17" t="s">
        <v>20791</v>
      </c>
      <c r="S7383" s="121" t="s">
        <v>1731</v>
      </c>
      <c r="T7383" s="122"/>
      <c r="U7383" s="22"/>
      <c r="V7383" s="123" t="s">
        <v>2472</v>
      </c>
      <c r="W7383" s="122">
        <v>55130</v>
      </c>
      <c r="X7383" s="221"/>
      <c r="Y7383" s="221"/>
      <c r="Z7383" s="221"/>
      <c r="AA7383" s="221"/>
      <c r="AB7383" s="223"/>
    </row>
    <row r="7384" spans="1:28" ht="17.100000000000001" customHeight="1" thickTop="1">
      <c r="A7384" s="226" t="s">
        <v>20349</v>
      </c>
      <c r="B7384" s="28">
        <v>46102</v>
      </c>
      <c r="C7384" s="25">
        <v>1293</v>
      </c>
      <c r="D7384" s="13" t="s">
        <v>1973</v>
      </c>
      <c r="E7384" s="228"/>
      <c r="F7384" s="109" t="s">
        <v>20361</v>
      </c>
      <c r="G7384" s="24"/>
      <c r="H7384" s="230">
        <v>5</v>
      </c>
      <c r="I7384" s="220">
        <v>2350000</v>
      </c>
      <c r="J7384" s="220">
        <f>I7384*0.1</f>
        <v>235000</v>
      </c>
      <c r="K7384" s="220">
        <v>0</v>
      </c>
      <c r="L7384" s="220">
        <v>15180</v>
      </c>
      <c r="M7384" s="220">
        <v>16500</v>
      </c>
      <c r="N7384" s="220">
        <f>SUM(I7384:M7385)</f>
        <v>2616680</v>
      </c>
      <c r="O7384" s="224"/>
      <c r="P7384" s="110" t="s">
        <v>20843</v>
      </c>
      <c r="Q7384" s="15" t="s">
        <v>19</v>
      </c>
      <c r="R7384" s="205"/>
      <c r="S7384" s="189" t="s">
        <v>25883</v>
      </c>
      <c r="T7384" s="114"/>
      <c r="U7384" s="21"/>
      <c r="V7384" s="115">
        <v>46114</v>
      </c>
      <c r="W7384" s="116">
        <v>1325</v>
      </c>
      <c r="X7384" s="220">
        <v>2530000</v>
      </c>
      <c r="Y7384" s="220">
        <f>X7384*0.1</f>
        <v>253000</v>
      </c>
      <c r="Z7384" s="220">
        <v>15180</v>
      </c>
      <c r="AA7384" s="220">
        <f>SUM(X7384:Z7384)</f>
        <v>2798180</v>
      </c>
      <c r="AB7384" s="222">
        <v>46115</v>
      </c>
    </row>
    <row r="7385" spans="1:28" ht="17.100000000000001" customHeight="1" thickBot="1">
      <c r="A7385" s="227"/>
      <c r="B7385" s="27" t="s">
        <v>2472</v>
      </c>
      <c r="C7385" s="27">
        <v>81050</v>
      </c>
      <c r="D7385" s="14" t="s">
        <v>131</v>
      </c>
      <c r="E7385" s="229"/>
      <c r="F7385" s="117" t="s">
        <v>20377</v>
      </c>
      <c r="G7385" s="26">
        <v>16639</v>
      </c>
      <c r="H7385" s="231"/>
      <c r="I7385" s="221"/>
      <c r="J7385" s="221"/>
      <c r="K7385" s="221"/>
      <c r="L7385" s="221"/>
      <c r="M7385" s="221"/>
      <c r="N7385" s="221"/>
      <c r="O7385" s="225"/>
      <c r="P7385" s="118" t="s">
        <v>20844</v>
      </c>
      <c r="Q7385" s="16" t="s">
        <v>20</v>
      </c>
      <c r="R7385" s="17" t="s">
        <v>20791</v>
      </c>
      <c r="S7385" s="121" t="s">
        <v>20845</v>
      </c>
      <c r="T7385" s="122"/>
      <c r="U7385" s="22"/>
      <c r="V7385" s="123" t="s">
        <v>13379</v>
      </c>
      <c r="W7385" s="122">
        <v>122</v>
      </c>
      <c r="X7385" s="221"/>
      <c r="Y7385" s="221"/>
      <c r="Z7385" s="221"/>
      <c r="AA7385" s="221"/>
      <c r="AB7385" s="223"/>
    </row>
    <row r="7386" spans="1:28" ht="17.100000000000001" customHeight="1" thickTop="1">
      <c r="A7386" s="233" t="s">
        <v>20350</v>
      </c>
      <c r="B7386" s="28">
        <v>46102</v>
      </c>
      <c r="C7386" s="25">
        <v>1293</v>
      </c>
      <c r="D7386" s="13" t="s">
        <v>2107</v>
      </c>
      <c r="E7386" s="228"/>
      <c r="F7386" s="109" t="s">
        <v>1854</v>
      </c>
      <c r="G7386" s="24"/>
      <c r="H7386" s="230">
        <v>4</v>
      </c>
      <c r="I7386" s="220">
        <v>595000</v>
      </c>
      <c r="J7386" s="220">
        <f>I7386*0.1</f>
        <v>59500</v>
      </c>
      <c r="K7386" s="220">
        <v>0</v>
      </c>
      <c r="L7386" s="220">
        <v>17700</v>
      </c>
      <c r="M7386" s="220">
        <v>16500</v>
      </c>
      <c r="N7386" s="220">
        <f>SUM(I7386:M7387)</f>
        <v>688700</v>
      </c>
      <c r="O7386" s="224"/>
      <c r="P7386" s="110"/>
      <c r="Q7386" s="15" t="s">
        <v>19</v>
      </c>
      <c r="R7386" s="205"/>
      <c r="S7386" s="189" t="s">
        <v>25470</v>
      </c>
      <c r="T7386" s="114" t="s">
        <v>21154</v>
      </c>
      <c r="U7386" s="21"/>
      <c r="V7386" s="115"/>
      <c r="W7386" s="116"/>
      <c r="X7386" s="220"/>
      <c r="Y7386" s="220">
        <f>X7386*0.1</f>
        <v>0</v>
      </c>
      <c r="Z7386" s="220"/>
      <c r="AA7386" s="220">
        <f>SUM(X7386:Z7386)</f>
        <v>0</v>
      </c>
      <c r="AB7386" s="222"/>
    </row>
    <row r="7387" spans="1:28" ht="17.100000000000001" customHeight="1" thickBot="1">
      <c r="A7387" s="234"/>
      <c r="B7387" s="27" t="s">
        <v>2472</v>
      </c>
      <c r="C7387" s="27">
        <v>82012</v>
      </c>
      <c r="D7387" s="14" t="s">
        <v>1797</v>
      </c>
      <c r="E7387" s="229"/>
      <c r="F7387" s="117" t="s">
        <v>20378</v>
      </c>
      <c r="G7387" s="26">
        <v>66275</v>
      </c>
      <c r="H7387" s="231"/>
      <c r="I7387" s="221"/>
      <c r="J7387" s="221"/>
      <c r="K7387" s="221"/>
      <c r="L7387" s="221"/>
      <c r="M7387" s="221"/>
      <c r="N7387" s="221"/>
      <c r="O7387" s="225"/>
      <c r="P7387" s="118"/>
      <c r="Q7387" s="16" t="s">
        <v>20</v>
      </c>
      <c r="R7387" s="17" t="s">
        <v>10331</v>
      </c>
      <c r="S7387" s="121"/>
      <c r="T7387" s="122"/>
      <c r="U7387" s="22"/>
      <c r="V7387" s="123"/>
      <c r="W7387" s="122"/>
      <c r="X7387" s="221"/>
      <c r="Y7387" s="221"/>
      <c r="Z7387" s="221"/>
      <c r="AA7387" s="221"/>
      <c r="AB7387" s="223"/>
    </row>
    <row r="7388" spans="1:28" ht="17.100000000000001" customHeight="1" thickTop="1">
      <c r="A7388" s="226" t="s">
        <v>20351</v>
      </c>
      <c r="B7388" s="28">
        <v>46102</v>
      </c>
      <c r="C7388" s="25">
        <v>1293</v>
      </c>
      <c r="D7388" s="13" t="s">
        <v>2264</v>
      </c>
      <c r="E7388" s="228"/>
      <c r="F7388" s="109" t="s">
        <v>20362</v>
      </c>
      <c r="G7388" s="24" t="s">
        <v>20380</v>
      </c>
      <c r="H7388" s="230">
        <v>5</v>
      </c>
      <c r="I7388" s="220">
        <v>2000000</v>
      </c>
      <c r="J7388" s="220">
        <f>I7388*0.1</f>
        <v>200000</v>
      </c>
      <c r="K7388" s="220">
        <v>30500</v>
      </c>
      <c r="L7388" s="220">
        <v>18100</v>
      </c>
      <c r="M7388" s="220">
        <v>23100</v>
      </c>
      <c r="N7388" s="220">
        <f>SUM(I7388:M7389)</f>
        <v>2271700</v>
      </c>
      <c r="O7388" s="224"/>
      <c r="P7388" s="110" t="s">
        <v>20381</v>
      </c>
      <c r="Q7388" s="15" t="s">
        <v>19</v>
      </c>
      <c r="R7388" s="205"/>
      <c r="S7388" s="189" t="s">
        <v>758</v>
      </c>
      <c r="T7388" s="114"/>
      <c r="U7388" s="21"/>
      <c r="V7388" s="115">
        <v>46120</v>
      </c>
      <c r="W7388" s="116">
        <v>1012</v>
      </c>
      <c r="X7388" s="220">
        <v>2150000</v>
      </c>
      <c r="Y7388" s="220">
        <f>X7388*0.1</f>
        <v>215000</v>
      </c>
      <c r="Z7388" s="220">
        <v>18100</v>
      </c>
      <c r="AA7388" s="220">
        <f>SUM(X7388:Z7388)</f>
        <v>2383100</v>
      </c>
      <c r="AB7388" s="222">
        <v>46125</v>
      </c>
    </row>
    <row r="7389" spans="1:28" ht="17.100000000000001" customHeight="1" thickBot="1">
      <c r="A7389" s="227"/>
      <c r="B7389" s="27" t="s">
        <v>2472</v>
      </c>
      <c r="C7389" s="27">
        <v>82565</v>
      </c>
      <c r="D7389" s="14" t="s">
        <v>2559</v>
      </c>
      <c r="E7389" s="229"/>
      <c r="F7389" s="117" t="s">
        <v>20379</v>
      </c>
      <c r="G7389" s="26">
        <v>19646</v>
      </c>
      <c r="H7389" s="231"/>
      <c r="I7389" s="221"/>
      <c r="J7389" s="221"/>
      <c r="K7389" s="221"/>
      <c r="L7389" s="221"/>
      <c r="M7389" s="221"/>
      <c r="N7389" s="221"/>
      <c r="O7389" s="225"/>
      <c r="P7389" s="118" t="s">
        <v>20819</v>
      </c>
      <c r="Q7389" s="16" t="s">
        <v>20</v>
      </c>
      <c r="R7389" s="17" t="s">
        <v>20791</v>
      </c>
      <c r="S7389" s="121" t="s">
        <v>20846</v>
      </c>
      <c r="T7389" s="122"/>
      <c r="U7389" s="22"/>
      <c r="V7389" s="123" t="s">
        <v>2747</v>
      </c>
      <c r="W7389" s="122">
        <v>6128</v>
      </c>
      <c r="X7389" s="221"/>
      <c r="Y7389" s="221"/>
      <c r="Z7389" s="221"/>
      <c r="AA7389" s="221"/>
      <c r="AB7389" s="223"/>
    </row>
    <row r="7390" spans="1:28" ht="17.100000000000001" customHeight="1" thickTop="1">
      <c r="A7390" s="226" t="s">
        <v>20352</v>
      </c>
      <c r="B7390" s="28">
        <v>46102</v>
      </c>
      <c r="C7390" s="25">
        <v>1293</v>
      </c>
      <c r="D7390" s="13" t="s">
        <v>20382</v>
      </c>
      <c r="E7390" s="228"/>
      <c r="F7390" s="109" t="s">
        <v>14952</v>
      </c>
      <c r="G7390" s="24" t="s">
        <v>20383</v>
      </c>
      <c r="H7390" s="230">
        <v>4</v>
      </c>
      <c r="I7390" s="220">
        <v>390000</v>
      </c>
      <c r="J7390" s="220">
        <f>I7390*0.1</f>
        <v>39000</v>
      </c>
      <c r="K7390" s="220">
        <v>12900</v>
      </c>
      <c r="L7390" s="220">
        <v>9170</v>
      </c>
      <c r="M7390" s="220">
        <v>8800</v>
      </c>
      <c r="N7390" s="220">
        <f>SUM(I7390:M7391)</f>
        <v>459870</v>
      </c>
      <c r="O7390" s="224"/>
      <c r="P7390" s="110" t="s">
        <v>20384</v>
      </c>
      <c r="Q7390" s="15" t="s">
        <v>19</v>
      </c>
      <c r="R7390" s="205"/>
      <c r="S7390" s="189"/>
      <c r="T7390" s="114"/>
      <c r="U7390" s="21"/>
      <c r="V7390" s="115">
        <v>46109</v>
      </c>
      <c r="W7390" s="116">
        <v>1294</v>
      </c>
      <c r="X7390" s="220">
        <v>465000</v>
      </c>
      <c r="Y7390" s="220">
        <f>X7390*0.1</f>
        <v>46500</v>
      </c>
      <c r="Z7390" s="220">
        <v>9170</v>
      </c>
      <c r="AA7390" s="220">
        <f>SUM(X7390:Z7390)</f>
        <v>520670</v>
      </c>
      <c r="AB7390" s="222">
        <v>46112</v>
      </c>
    </row>
    <row r="7391" spans="1:28" ht="17.100000000000001" customHeight="1" thickBot="1">
      <c r="A7391" s="227"/>
      <c r="B7391" s="27" t="s">
        <v>2472</v>
      </c>
      <c r="C7391" s="27">
        <v>90108</v>
      </c>
      <c r="D7391" s="14" t="s">
        <v>1584</v>
      </c>
      <c r="E7391" s="229"/>
      <c r="F7391" s="117" t="s">
        <v>20363</v>
      </c>
      <c r="G7391" s="26">
        <v>88122</v>
      </c>
      <c r="H7391" s="231"/>
      <c r="I7391" s="221"/>
      <c r="J7391" s="221"/>
      <c r="K7391" s="221"/>
      <c r="L7391" s="221"/>
      <c r="M7391" s="221"/>
      <c r="N7391" s="221"/>
      <c r="O7391" s="225"/>
      <c r="P7391" s="118" t="s">
        <v>20815</v>
      </c>
      <c r="Q7391" s="16" t="s">
        <v>20</v>
      </c>
      <c r="R7391" s="17" t="s">
        <v>20791</v>
      </c>
      <c r="S7391" s="121"/>
      <c r="T7391" s="122"/>
      <c r="U7391" s="22"/>
      <c r="V7391" s="123" t="s">
        <v>21250</v>
      </c>
      <c r="W7391" s="122">
        <v>60253</v>
      </c>
      <c r="X7391" s="221"/>
      <c r="Y7391" s="221"/>
      <c r="Z7391" s="221"/>
      <c r="AA7391" s="221"/>
      <c r="AB7391" s="223"/>
    </row>
    <row r="7392" spans="1:28" ht="15.75" customHeight="1" thickTop="1">
      <c r="A7392" s="226" t="s">
        <v>20386</v>
      </c>
      <c r="B7392" s="28">
        <v>46102</v>
      </c>
      <c r="C7392" s="25">
        <v>1711</v>
      </c>
      <c r="D7392" s="13" t="s">
        <v>20390</v>
      </c>
      <c r="E7392" s="228"/>
      <c r="F7392" s="109" t="s">
        <v>20388</v>
      </c>
      <c r="G7392" s="24"/>
      <c r="H7392" s="230">
        <v>4.5</v>
      </c>
      <c r="I7392" s="220">
        <v>1235000</v>
      </c>
      <c r="J7392" s="220">
        <f>I7392*0.1</f>
        <v>123500</v>
      </c>
      <c r="K7392" s="220">
        <v>0</v>
      </c>
      <c r="L7392" s="220">
        <v>17600</v>
      </c>
      <c r="M7392" s="220">
        <v>16500</v>
      </c>
      <c r="N7392" s="220">
        <f>SUM(I7392:M7393)</f>
        <v>1392600</v>
      </c>
      <c r="O7392" s="224"/>
      <c r="P7392" s="110" t="s">
        <v>20711</v>
      </c>
      <c r="Q7392" s="15" t="s">
        <v>19</v>
      </c>
      <c r="R7392" s="205"/>
      <c r="S7392" s="189" t="s">
        <v>25367</v>
      </c>
      <c r="T7392" s="114"/>
      <c r="U7392" s="21"/>
      <c r="V7392" s="115">
        <v>46114</v>
      </c>
      <c r="W7392" s="116">
        <v>1325</v>
      </c>
      <c r="X7392" s="220">
        <v>1400000</v>
      </c>
      <c r="Y7392" s="220">
        <f>X7392*0.1</f>
        <v>140000</v>
      </c>
      <c r="Z7392" s="220">
        <v>17600</v>
      </c>
      <c r="AA7392" s="220">
        <f>SUM(X7392:Z7392)</f>
        <v>1557600</v>
      </c>
      <c r="AB7392" s="222">
        <v>46115</v>
      </c>
    </row>
    <row r="7393" spans="1:28" ht="17.100000000000001" customHeight="1" thickBot="1">
      <c r="A7393" s="227"/>
      <c r="B7393" s="27" t="s">
        <v>20387</v>
      </c>
      <c r="C7393" s="27">
        <v>570</v>
      </c>
      <c r="D7393" s="14" t="s">
        <v>20391</v>
      </c>
      <c r="E7393" s="229"/>
      <c r="F7393" s="117" t="s">
        <v>20389</v>
      </c>
      <c r="G7393" s="26">
        <v>27325</v>
      </c>
      <c r="H7393" s="231"/>
      <c r="I7393" s="221"/>
      <c r="J7393" s="221"/>
      <c r="K7393" s="221"/>
      <c r="L7393" s="221"/>
      <c r="M7393" s="221"/>
      <c r="N7393" s="221"/>
      <c r="O7393" s="225"/>
      <c r="P7393" s="118" t="s">
        <v>20712</v>
      </c>
      <c r="Q7393" s="16" t="s">
        <v>20</v>
      </c>
      <c r="R7393" s="17" t="s">
        <v>20705</v>
      </c>
      <c r="S7393" s="121" t="s">
        <v>20706</v>
      </c>
      <c r="T7393" s="122"/>
      <c r="U7393" s="22"/>
      <c r="V7393" s="123" t="s">
        <v>13379</v>
      </c>
      <c r="W7393" s="122">
        <v>52</v>
      </c>
      <c r="X7393" s="221"/>
      <c r="Y7393" s="221"/>
      <c r="Z7393" s="221"/>
      <c r="AA7393" s="221"/>
      <c r="AB7393" s="223"/>
    </row>
    <row r="7394" spans="1:28" ht="17.100000000000001" customHeight="1" thickTop="1">
      <c r="A7394" s="226" t="s">
        <v>20472</v>
      </c>
      <c r="B7394" s="28">
        <v>46104</v>
      </c>
      <c r="C7394" s="25">
        <v>2086</v>
      </c>
      <c r="D7394" s="13" t="s">
        <v>1871</v>
      </c>
      <c r="E7394" s="228"/>
      <c r="F7394" s="109" t="s">
        <v>20477</v>
      </c>
      <c r="G7394" s="24"/>
      <c r="H7394" s="230">
        <v>4.5</v>
      </c>
      <c r="I7394" s="220">
        <v>835000</v>
      </c>
      <c r="J7394" s="220">
        <f>I7394*0.1</f>
        <v>83500</v>
      </c>
      <c r="K7394" s="220">
        <v>0</v>
      </c>
      <c r="L7394" s="220">
        <v>22050</v>
      </c>
      <c r="M7394" s="220">
        <v>11000</v>
      </c>
      <c r="N7394" s="220">
        <f>SUM(I7394:M7395)</f>
        <v>951550</v>
      </c>
      <c r="O7394" s="224"/>
      <c r="P7394" s="110" t="s">
        <v>20709</v>
      </c>
      <c r="Q7394" s="15" t="s">
        <v>19</v>
      </c>
      <c r="R7394" s="205"/>
      <c r="S7394" s="189" t="s">
        <v>25884</v>
      </c>
      <c r="T7394" s="114"/>
      <c r="U7394" s="21"/>
      <c r="V7394" s="115">
        <v>46116</v>
      </c>
      <c r="W7394" s="116">
        <v>1295</v>
      </c>
      <c r="X7394" s="220">
        <v>1020000</v>
      </c>
      <c r="Y7394" s="220">
        <f>X7394*0.1</f>
        <v>102000</v>
      </c>
      <c r="Z7394" s="220">
        <v>22050</v>
      </c>
      <c r="AA7394" s="220">
        <f>SUM(X7394:Z7394)</f>
        <v>1144050</v>
      </c>
      <c r="AB7394" s="222">
        <v>46119</v>
      </c>
    </row>
    <row r="7395" spans="1:28" ht="17.100000000000001" customHeight="1" thickBot="1">
      <c r="A7395" s="227"/>
      <c r="B7395" s="27" t="s">
        <v>82</v>
      </c>
      <c r="C7395" s="27">
        <v>31008</v>
      </c>
      <c r="D7395" s="14" t="s">
        <v>1627</v>
      </c>
      <c r="E7395" s="229"/>
      <c r="F7395" s="117" t="s">
        <v>20478</v>
      </c>
      <c r="G7395" s="26">
        <v>35448</v>
      </c>
      <c r="H7395" s="231"/>
      <c r="I7395" s="221"/>
      <c r="J7395" s="221"/>
      <c r="K7395" s="221"/>
      <c r="L7395" s="221"/>
      <c r="M7395" s="221"/>
      <c r="N7395" s="221"/>
      <c r="O7395" s="225"/>
      <c r="P7395" s="118" t="s">
        <v>20710</v>
      </c>
      <c r="Q7395" s="16" t="s">
        <v>20</v>
      </c>
      <c r="R7395" s="17" t="s">
        <v>20705</v>
      </c>
      <c r="S7395" s="126" t="s">
        <v>20706</v>
      </c>
      <c r="T7395" s="122"/>
      <c r="U7395" s="22"/>
      <c r="V7395" s="123" t="s">
        <v>2472</v>
      </c>
      <c r="W7395" s="122">
        <v>80364</v>
      </c>
      <c r="X7395" s="221"/>
      <c r="Y7395" s="221"/>
      <c r="Z7395" s="221"/>
      <c r="AA7395" s="221"/>
      <c r="AB7395" s="223"/>
    </row>
    <row r="7396" spans="1:28" ht="17.100000000000001" customHeight="1" thickTop="1">
      <c r="A7396" s="226" t="s">
        <v>20473</v>
      </c>
      <c r="B7396" s="28">
        <v>46104</v>
      </c>
      <c r="C7396" s="25">
        <v>2086</v>
      </c>
      <c r="D7396" s="13" t="s">
        <v>2203</v>
      </c>
      <c r="E7396" s="228"/>
      <c r="F7396" s="109" t="s">
        <v>20479</v>
      </c>
      <c r="G7396" s="24" t="s">
        <v>1551</v>
      </c>
      <c r="H7396" s="230">
        <v>4</v>
      </c>
      <c r="I7396" s="220">
        <v>1032000</v>
      </c>
      <c r="J7396" s="220">
        <f>I7396*0.1</f>
        <v>103200</v>
      </c>
      <c r="K7396" s="220">
        <v>34500</v>
      </c>
      <c r="L7396" s="220">
        <v>15160</v>
      </c>
      <c r="M7396" s="220">
        <v>11000</v>
      </c>
      <c r="N7396" s="220">
        <f>SUM(I7396:M7397)</f>
        <v>1195860</v>
      </c>
      <c r="O7396" s="224"/>
      <c r="P7396" s="110" t="s">
        <v>20481</v>
      </c>
      <c r="Q7396" s="15" t="s">
        <v>19</v>
      </c>
      <c r="R7396" s="205"/>
      <c r="S7396" s="189" t="s">
        <v>25885</v>
      </c>
      <c r="T7396" s="114"/>
      <c r="U7396" s="21"/>
      <c r="V7396" s="115">
        <v>46116</v>
      </c>
      <c r="W7396" s="116">
        <v>1295</v>
      </c>
      <c r="X7396" s="220">
        <v>1110000</v>
      </c>
      <c r="Y7396" s="220">
        <f>X7396*0.1</f>
        <v>111000</v>
      </c>
      <c r="Z7396" s="220">
        <v>15160</v>
      </c>
      <c r="AA7396" s="220">
        <f>SUM(X7396:Z7396)</f>
        <v>1236160</v>
      </c>
      <c r="AB7396" s="222">
        <v>46119</v>
      </c>
    </row>
    <row r="7397" spans="1:28" ht="17.100000000000001" customHeight="1" thickBot="1">
      <c r="A7397" s="227"/>
      <c r="B7397" s="27" t="s">
        <v>82</v>
      </c>
      <c r="C7397" s="27">
        <v>33503</v>
      </c>
      <c r="D7397" s="14" t="s">
        <v>898</v>
      </c>
      <c r="E7397" s="229"/>
      <c r="F7397" s="117" t="s">
        <v>20480</v>
      </c>
      <c r="G7397" s="26">
        <v>64314</v>
      </c>
      <c r="H7397" s="231"/>
      <c r="I7397" s="221"/>
      <c r="J7397" s="221"/>
      <c r="K7397" s="221"/>
      <c r="L7397" s="221"/>
      <c r="M7397" s="221"/>
      <c r="N7397" s="221"/>
      <c r="O7397" s="225"/>
      <c r="P7397" s="118" t="s">
        <v>4735</v>
      </c>
      <c r="Q7397" s="16" t="s">
        <v>20</v>
      </c>
      <c r="R7397" s="17" t="s">
        <v>1897</v>
      </c>
      <c r="S7397" s="121" t="s">
        <v>5180</v>
      </c>
      <c r="T7397" s="122"/>
      <c r="U7397" s="22"/>
      <c r="V7397" s="123" t="s">
        <v>2472</v>
      </c>
      <c r="W7397" s="122">
        <v>80005</v>
      </c>
      <c r="X7397" s="221"/>
      <c r="Y7397" s="221"/>
      <c r="Z7397" s="221"/>
      <c r="AA7397" s="221"/>
      <c r="AB7397" s="223"/>
    </row>
    <row r="7398" spans="1:28" ht="17.100000000000001" customHeight="1" thickTop="1">
      <c r="A7398" s="226" t="s">
        <v>20474</v>
      </c>
      <c r="B7398" s="28">
        <v>46104</v>
      </c>
      <c r="C7398" s="25">
        <v>2086</v>
      </c>
      <c r="D7398" s="13" t="s">
        <v>2267</v>
      </c>
      <c r="E7398" s="228"/>
      <c r="F7398" s="109" t="s">
        <v>20482</v>
      </c>
      <c r="G7398" s="24"/>
      <c r="H7398" s="230">
        <v>3.5</v>
      </c>
      <c r="I7398" s="220">
        <v>498000</v>
      </c>
      <c r="J7398" s="220">
        <f>I7398*0.1</f>
        <v>49800</v>
      </c>
      <c r="K7398" s="220">
        <v>0</v>
      </c>
      <c r="L7398" s="220">
        <v>20710</v>
      </c>
      <c r="M7398" s="220">
        <v>11000</v>
      </c>
      <c r="N7398" s="220">
        <f>SUM(I7398:M7399)</f>
        <v>579510</v>
      </c>
      <c r="O7398" s="224"/>
      <c r="P7398" s="110" t="s">
        <v>20713</v>
      </c>
      <c r="Q7398" s="15" t="s">
        <v>19</v>
      </c>
      <c r="R7398" s="205"/>
      <c r="S7398" s="189" t="s">
        <v>25372</v>
      </c>
      <c r="T7398" s="114"/>
      <c r="U7398" s="21"/>
      <c r="V7398" s="115">
        <v>46116</v>
      </c>
      <c r="W7398" s="116">
        <v>1295</v>
      </c>
      <c r="X7398" s="220">
        <v>815000</v>
      </c>
      <c r="Y7398" s="220">
        <f>X7398*0.1</f>
        <v>81500</v>
      </c>
      <c r="Z7398" s="220">
        <v>20710</v>
      </c>
      <c r="AA7398" s="220">
        <f>SUM(X7398:Z7398)</f>
        <v>917210</v>
      </c>
      <c r="AB7398" s="222">
        <v>46119</v>
      </c>
    </row>
    <row r="7399" spans="1:28" ht="17.100000000000001" customHeight="1" thickBot="1">
      <c r="A7399" s="227"/>
      <c r="B7399" s="27" t="s">
        <v>82</v>
      </c>
      <c r="C7399" s="27">
        <v>34502</v>
      </c>
      <c r="D7399" s="14" t="s">
        <v>1584</v>
      </c>
      <c r="E7399" s="229"/>
      <c r="F7399" s="117" t="s">
        <v>20483</v>
      </c>
      <c r="G7399" s="26">
        <v>49835</v>
      </c>
      <c r="H7399" s="231"/>
      <c r="I7399" s="221"/>
      <c r="J7399" s="221"/>
      <c r="K7399" s="221"/>
      <c r="L7399" s="221"/>
      <c r="M7399" s="221"/>
      <c r="N7399" s="221"/>
      <c r="O7399" s="225"/>
      <c r="P7399" s="118" t="s">
        <v>20714</v>
      </c>
      <c r="Q7399" s="16" t="s">
        <v>20</v>
      </c>
      <c r="R7399" s="17" t="s">
        <v>20705</v>
      </c>
      <c r="S7399" s="121" t="s">
        <v>20706</v>
      </c>
      <c r="T7399" s="122"/>
      <c r="U7399" s="22"/>
      <c r="V7399" s="123" t="s">
        <v>2472</v>
      </c>
      <c r="W7399" s="122">
        <v>80391</v>
      </c>
      <c r="X7399" s="221"/>
      <c r="Y7399" s="221"/>
      <c r="Z7399" s="221"/>
      <c r="AA7399" s="221"/>
      <c r="AB7399" s="223"/>
    </row>
    <row r="7400" spans="1:28" ht="17.100000000000001" customHeight="1" thickTop="1">
      <c r="A7400" s="226" t="s">
        <v>20475</v>
      </c>
      <c r="B7400" s="28">
        <v>46104</v>
      </c>
      <c r="C7400" s="25">
        <v>2086</v>
      </c>
      <c r="D7400" s="13" t="s">
        <v>2295</v>
      </c>
      <c r="E7400" s="228"/>
      <c r="F7400" s="109" t="s">
        <v>20484</v>
      </c>
      <c r="G7400" s="24"/>
      <c r="H7400" s="230">
        <v>4</v>
      </c>
      <c r="I7400" s="220">
        <v>2775000</v>
      </c>
      <c r="J7400" s="220">
        <f>I7400*0.1</f>
        <v>277500</v>
      </c>
      <c r="K7400" s="220">
        <v>0</v>
      </c>
      <c r="L7400" s="220">
        <v>17800</v>
      </c>
      <c r="M7400" s="220">
        <v>11000</v>
      </c>
      <c r="N7400" s="220">
        <f>SUM(I7400:M7401)</f>
        <v>3081300</v>
      </c>
      <c r="O7400" s="224"/>
      <c r="P7400" s="110" t="s">
        <v>20715</v>
      </c>
      <c r="Q7400" s="15" t="s">
        <v>19</v>
      </c>
      <c r="R7400" s="205"/>
      <c r="S7400" s="189" t="s">
        <v>25372</v>
      </c>
      <c r="T7400" s="114"/>
      <c r="U7400" s="21"/>
      <c r="V7400" s="115">
        <v>46123</v>
      </c>
      <c r="W7400" s="116">
        <v>1296</v>
      </c>
      <c r="X7400" s="220">
        <v>3205000</v>
      </c>
      <c r="Y7400" s="220">
        <f>X7400*0.1</f>
        <v>320500</v>
      </c>
      <c r="Z7400" s="220">
        <v>17800</v>
      </c>
      <c r="AA7400" s="220">
        <f>SUM(X7400:Z7400)</f>
        <v>3543300</v>
      </c>
      <c r="AB7400" s="222">
        <v>46126</v>
      </c>
    </row>
    <row r="7401" spans="1:28" ht="17.100000000000001" customHeight="1" thickBot="1">
      <c r="A7401" s="227"/>
      <c r="B7401" s="27" t="s">
        <v>82</v>
      </c>
      <c r="C7401" s="27">
        <v>34504</v>
      </c>
      <c r="D7401" s="14" t="s">
        <v>273</v>
      </c>
      <c r="E7401" s="229"/>
      <c r="F7401" s="117" t="s">
        <v>20485</v>
      </c>
      <c r="G7401" s="26">
        <v>14528</v>
      </c>
      <c r="H7401" s="231"/>
      <c r="I7401" s="221"/>
      <c r="J7401" s="221"/>
      <c r="K7401" s="221"/>
      <c r="L7401" s="221"/>
      <c r="M7401" s="221"/>
      <c r="N7401" s="221"/>
      <c r="O7401" s="225"/>
      <c r="P7401" s="118" t="s">
        <v>20714</v>
      </c>
      <c r="Q7401" s="16" t="s">
        <v>20</v>
      </c>
      <c r="R7401" s="17" t="s">
        <v>20705</v>
      </c>
      <c r="S7401" s="121" t="s">
        <v>20716</v>
      </c>
      <c r="T7401" s="122"/>
      <c r="U7401" s="22"/>
      <c r="V7401" s="123" t="s">
        <v>2472</v>
      </c>
      <c r="W7401" s="122">
        <v>80017</v>
      </c>
      <c r="X7401" s="221"/>
      <c r="Y7401" s="221"/>
      <c r="Z7401" s="221"/>
      <c r="AA7401" s="221"/>
      <c r="AB7401" s="223"/>
    </row>
    <row r="7402" spans="1:28" ht="17.100000000000001" customHeight="1" thickTop="1">
      <c r="A7402" s="226" t="s">
        <v>20476</v>
      </c>
      <c r="B7402" s="28">
        <v>46104</v>
      </c>
      <c r="C7402" s="25">
        <v>2086</v>
      </c>
      <c r="D7402" s="13" t="s">
        <v>3332</v>
      </c>
      <c r="E7402" s="228"/>
      <c r="F7402" s="109" t="s">
        <v>4483</v>
      </c>
      <c r="G7402" s="24" t="s">
        <v>4025</v>
      </c>
      <c r="H7402" s="230">
        <v>4.5</v>
      </c>
      <c r="I7402" s="220">
        <v>1550000</v>
      </c>
      <c r="J7402" s="220">
        <f>I7402*0.1</f>
        <v>155000</v>
      </c>
      <c r="K7402" s="220">
        <v>30500</v>
      </c>
      <c r="L7402" s="220">
        <v>17600</v>
      </c>
      <c r="M7402" s="220">
        <v>11000</v>
      </c>
      <c r="N7402" s="220">
        <f>SUM(I7402:M7403)</f>
        <v>1764100</v>
      </c>
      <c r="O7402" s="224"/>
      <c r="P7402" s="110" t="s">
        <v>20823</v>
      </c>
      <c r="Q7402" s="15" t="s">
        <v>19</v>
      </c>
      <c r="R7402" s="205"/>
      <c r="S7402" s="189" t="s">
        <v>25372</v>
      </c>
      <c r="T7402" s="114"/>
      <c r="U7402" s="21"/>
      <c r="V7402" s="115"/>
      <c r="W7402" s="116"/>
      <c r="X7402" s="220"/>
      <c r="Y7402" s="220">
        <f>X7402*0.1</f>
        <v>0</v>
      </c>
      <c r="Z7402" s="220"/>
      <c r="AA7402" s="220">
        <f>SUM(X7402:Z7402)</f>
        <v>0</v>
      </c>
      <c r="AB7402" s="222"/>
    </row>
    <row r="7403" spans="1:28" ht="17.100000000000001" customHeight="1" thickBot="1">
      <c r="A7403" s="227"/>
      <c r="B7403" s="27" t="s">
        <v>82</v>
      </c>
      <c r="C7403" s="27">
        <v>34525</v>
      </c>
      <c r="D7403" s="14" t="s">
        <v>15780</v>
      </c>
      <c r="E7403" s="229"/>
      <c r="F7403" s="117" t="s">
        <v>20486</v>
      </c>
      <c r="G7403" s="26">
        <v>47049</v>
      </c>
      <c r="H7403" s="231"/>
      <c r="I7403" s="221"/>
      <c r="J7403" s="221"/>
      <c r="K7403" s="221"/>
      <c r="L7403" s="221"/>
      <c r="M7403" s="221"/>
      <c r="N7403" s="221"/>
      <c r="O7403" s="225"/>
      <c r="P7403" s="118" t="s">
        <v>20824</v>
      </c>
      <c r="Q7403" s="16" t="s">
        <v>20</v>
      </c>
      <c r="R7403" s="17" t="s">
        <v>20791</v>
      </c>
      <c r="S7403" s="121" t="s">
        <v>20787</v>
      </c>
      <c r="T7403" s="122"/>
      <c r="U7403" s="22"/>
      <c r="V7403" s="123"/>
      <c r="W7403" s="122"/>
      <c r="X7403" s="221"/>
      <c r="Y7403" s="221"/>
      <c r="Z7403" s="221"/>
      <c r="AA7403" s="221"/>
      <c r="AB7403" s="223"/>
    </row>
    <row r="7404" spans="1:28" ht="17.100000000000001" customHeight="1" thickTop="1">
      <c r="A7404" s="226" t="s">
        <v>20492</v>
      </c>
      <c r="B7404" s="28">
        <v>46104</v>
      </c>
      <c r="C7404" s="25"/>
      <c r="D7404" s="13" t="s">
        <v>2313</v>
      </c>
      <c r="E7404" s="228"/>
      <c r="F7404" s="109" t="s">
        <v>16956</v>
      </c>
      <c r="G7404" s="24" t="s">
        <v>3867</v>
      </c>
      <c r="H7404" s="230">
        <v>4</v>
      </c>
      <c r="I7404" s="220">
        <v>462000</v>
      </c>
      <c r="J7404" s="220">
        <f>I7404*0.1</f>
        <v>46200</v>
      </c>
      <c r="K7404" s="220">
        <v>34500</v>
      </c>
      <c r="L7404" s="220">
        <v>11810</v>
      </c>
      <c r="M7404" s="220">
        <v>15950</v>
      </c>
      <c r="N7404" s="220">
        <f>SUM(I7404:M7405)</f>
        <v>570460</v>
      </c>
      <c r="O7404" s="224"/>
      <c r="P7404" s="110" t="s">
        <v>20489</v>
      </c>
      <c r="Q7404" s="15" t="s">
        <v>19</v>
      </c>
      <c r="R7404" s="205"/>
      <c r="S7404" s="189"/>
      <c r="T7404" s="114"/>
      <c r="U7404" s="21" t="s">
        <v>21678</v>
      </c>
      <c r="V7404" s="115">
        <v>46123</v>
      </c>
      <c r="W7404" s="116">
        <v>1296</v>
      </c>
      <c r="X7404" s="220">
        <v>535000</v>
      </c>
      <c r="Y7404" s="220">
        <f>X7404*0.1</f>
        <v>53500</v>
      </c>
      <c r="Z7404" s="220">
        <v>11810</v>
      </c>
      <c r="AA7404" s="220">
        <f>SUM(X7404:Z7404)</f>
        <v>600310</v>
      </c>
      <c r="AB7404" s="222">
        <v>46126</v>
      </c>
    </row>
    <row r="7405" spans="1:28" ht="17.100000000000001" customHeight="1" thickBot="1">
      <c r="A7405" s="227"/>
      <c r="B7405" s="27" t="s">
        <v>4400</v>
      </c>
      <c r="C7405" s="27">
        <v>80256</v>
      </c>
      <c r="D7405" s="14" t="s">
        <v>1584</v>
      </c>
      <c r="E7405" s="229"/>
      <c r="F7405" s="117" t="s">
        <v>21069</v>
      </c>
      <c r="G7405" s="26">
        <v>57042</v>
      </c>
      <c r="H7405" s="231"/>
      <c r="I7405" s="221"/>
      <c r="J7405" s="221"/>
      <c r="K7405" s="221"/>
      <c r="L7405" s="221"/>
      <c r="M7405" s="221"/>
      <c r="N7405" s="221"/>
      <c r="O7405" s="225"/>
      <c r="P7405" s="118" t="s">
        <v>21152</v>
      </c>
      <c r="Q7405" s="16" t="s">
        <v>20</v>
      </c>
      <c r="R7405" s="17" t="s">
        <v>1897</v>
      </c>
      <c r="S7405" s="121" t="s">
        <v>1625</v>
      </c>
      <c r="T7405" s="122"/>
      <c r="U7405" s="22"/>
      <c r="V7405" s="123" t="s">
        <v>2472</v>
      </c>
      <c r="W7405" s="122">
        <v>80103</v>
      </c>
      <c r="X7405" s="221"/>
      <c r="Y7405" s="221"/>
      <c r="Z7405" s="221"/>
      <c r="AA7405" s="221"/>
      <c r="AB7405" s="223"/>
    </row>
    <row r="7406" spans="1:28" ht="17.100000000000001" customHeight="1" thickTop="1">
      <c r="A7406" s="226" t="s">
        <v>20493</v>
      </c>
      <c r="B7406" s="28">
        <v>46104</v>
      </c>
      <c r="C7406" s="25"/>
      <c r="D7406" s="13" t="s">
        <v>1935</v>
      </c>
      <c r="E7406" s="228"/>
      <c r="F7406" s="109" t="s">
        <v>20490</v>
      </c>
      <c r="G7406" s="24" t="s">
        <v>2871</v>
      </c>
      <c r="H7406" s="230">
        <v>4.5</v>
      </c>
      <c r="I7406" s="220">
        <v>633000</v>
      </c>
      <c r="J7406" s="220">
        <f>I7406*0.1</f>
        <v>63300</v>
      </c>
      <c r="K7406" s="220">
        <v>29500</v>
      </c>
      <c r="L7406" s="220">
        <v>14840</v>
      </c>
      <c r="M7406" s="220">
        <v>15950</v>
      </c>
      <c r="N7406" s="220">
        <f>SUM(I7406:M7407)</f>
        <v>756590</v>
      </c>
      <c r="O7406" s="224"/>
      <c r="P7406" s="110" t="s">
        <v>20491</v>
      </c>
      <c r="Q7406" s="15" t="s">
        <v>19</v>
      </c>
      <c r="R7406" s="205"/>
      <c r="S7406" s="189" t="s">
        <v>758</v>
      </c>
      <c r="T7406" s="114"/>
      <c r="U7406" s="21"/>
      <c r="V7406" s="115">
        <v>46130</v>
      </c>
      <c r="W7406" s="116">
        <v>1297</v>
      </c>
      <c r="X7406" s="220">
        <v>775000</v>
      </c>
      <c r="Y7406" s="220">
        <f>X7406*0.1</f>
        <v>77500</v>
      </c>
      <c r="Z7406" s="220">
        <v>14840</v>
      </c>
      <c r="AA7406" s="220">
        <f>SUM(X7406:Z7406)</f>
        <v>867340</v>
      </c>
      <c r="AB7406" s="222">
        <v>46133</v>
      </c>
    </row>
    <row r="7407" spans="1:28" ht="17.100000000000001" customHeight="1" thickBot="1">
      <c r="A7407" s="227"/>
      <c r="B7407" s="27" t="s">
        <v>4400</v>
      </c>
      <c r="C7407" s="27">
        <v>80268</v>
      </c>
      <c r="D7407" s="14" t="s">
        <v>131</v>
      </c>
      <c r="E7407" s="229"/>
      <c r="F7407" s="117" t="s">
        <v>21153</v>
      </c>
      <c r="G7407" s="26">
        <v>59748</v>
      </c>
      <c r="H7407" s="231"/>
      <c r="I7407" s="221"/>
      <c r="J7407" s="221"/>
      <c r="K7407" s="221"/>
      <c r="L7407" s="221"/>
      <c r="M7407" s="221"/>
      <c r="N7407" s="221"/>
      <c r="O7407" s="225"/>
      <c r="P7407" s="118" t="s">
        <v>7850</v>
      </c>
      <c r="Q7407" s="16" t="s">
        <v>20</v>
      </c>
      <c r="R7407" s="17" t="s">
        <v>1897</v>
      </c>
      <c r="S7407" s="121" t="s">
        <v>169</v>
      </c>
      <c r="T7407" s="122"/>
      <c r="U7407" s="22"/>
      <c r="V7407" s="123" t="s">
        <v>2472</v>
      </c>
      <c r="W7407" s="122">
        <v>80037</v>
      </c>
      <c r="X7407" s="221"/>
      <c r="Y7407" s="221"/>
      <c r="Z7407" s="221"/>
      <c r="AA7407" s="221"/>
      <c r="AB7407" s="223"/>
    </row>
    <row r="7408" spans="1:28" ht="17.100000000000001" customHeight="1" thickTop="1">
      <c r="A7408" s="226" t="s">
        <v>20494</v>
      </c>
      <c r="B7408" s="28">
        <v>46104</v>
      </c>
      <c r="C7408" s="25"/>
      <c r="D7408" s="13" t="s">
        <v>2610</v>
      </c>
      <c r="E7408" s="228"/>
      <c r="F7408" s="109" t="s">
        <v>1854</v>
      </c>
      <c r="G7408" s="24" t="s">
        <v>1551</v>
      </c>
      <c r="H7408" s="230">
        <v>4.5</v>
      </c>
      <c r="I7408" s="220">
        <v>1459000</v>
      </c>
      <c r="J7408" s="220">
        <f>I7408*0.1</f>
        <v>145900</v>
      </c>
      <c r="K7408" s="220">
        <v>36000</v>
      </c>
      <c r="L7408" s="220">
        <v>17600</v>
      </c>
      <c r="M7408" s="220">
        <v>15950</v>
      </c>
      <c r="N7408" s="220">
        <f>SUM(I7408:M7409)</f>
        <v>1674450</v>
      </c>
      <c r="O7408" s="224"/>
      <c r="P7408" s="110" t="s">
        <v>20487</v>
      </c>
      <c r="Q7408" s="15" t="s">
        <v>19</v>
      </c>
      <c r="R7408" s="205"/>
      <c r="S7408" s="189"/>
      <c r="T7408" s="114"/>
      <c r="U7408" s="21"/>
      <c r="V7408" s="115">
        <v>46123</v>
      </c>
      <c r="W7408" s="116">
        <v>1714</v>
      </c>
      <c r="X7408" s="220">
        <v>1600000</v>
      </c>
      <c r="Y7408" s="220">
        <f>X7408*0.1</f>
        <v>160000</v>
      </c>
      <c r="Z7408" s="220">
        <v>17600</v>
      </c>
      <c r="AA7408" s="220">
        <f>SUM(X7408:Z7408)</f>
        <v>1777600</v>
      </c>
      <c r="AB7408" s="222">
        <v>46124</v>
      </c>
    </row>
    <row r="7409" spans="1:28" ht="17.100000000000001" customHeight="1" thickBot="1">
      <c r="A7409" s="227"/>
      <c r="B7409" s="27" t="s">
        <v>4028</v>
      </c>
      <c r="C7409" s="27">
        <v>20173</v>
      </c>
      <c r="D7409" s="14" t="s">
        <v>898</v>
      </c>
      <c r="E7409" s="229"/>
      <c r="F7409" s="117" t="s">
        <v>20488</v>
      </c>
      <c r="G7409" s="26">
        <v>18514</v>
      </c>
      <c r="H7409" s="231"/>
      <c r="I7409" s="221"/>
      <c r="J7409" s="221"/>
      <c r="K7409" s="221"/>
      <c r="L7409" s="221"/>
      <c r="M7409" s="221"/>
      <c r="N7409" s="221"/>
      <c r="O7409" s="225"/>
      <c r="P7409" s="118" t="s">
        <v>20809</v>
      </c>
      <c r="Q7409" s="16" t="s">
        <v>20</v>
      </c>
      <c r="R7409" s="17" t="s">
        <v>20791</v>
      </c>
      <c r="S7409" s="121"/>
      <c r="T7409" s="122"/>
      <c r="U7409" s="22"/>
      <c r="V7409" s="123" t="s">
        <v>22180</v>
      </c>
      <c r="W7409" s="122">
        <v>329</v>
      </c>
      <c r="X7409" s="221"/>
      <c r="Y7409" s="221"/>
      <c r="Z7409" s="221"/>
      <c r="AA7409" s="221"/>
      <c r="AB7409" s="223"/>
    </row>
    <row r="7410" spans="1:28" ht="17.100000000000001" customHeight="1" thickTop="1">
      <c r="A7410" s="226" t="s">
        <v>20495</v>
      </c>
      <c r="B7410" s="28">
        <v>46076</v>
      </c>
      <c r="C7410" s="25"/>
      <c r="D7410" s="13" t="s">
        <v>3327</v>
      </c>
      <c r="E7410" s="228"/>
      <c r="F7410" s="109" t="s">
        <v>13858</v>
      </c>
      <c r="G7410" s="24" t="s">
        <v>19208</v>
      </c>
      <c r="H7410" s="230">
        <v>4</v>
      </c>
      <c r="I7410" s="220">
        <f>1584000/1.1</f>
        <v>1440000</v>
      </c>
      <c r="J7410" s="220">
        <f>I7410*0.1</f>
        <v>144000</v>
      </c>
      <c r="K7410" s="220">
        <v>0</v>
      </c>
      <c r="L7410" s="220">
        <v>11480</v>
      </c>
      <c r="M7410" s="220">
        <v>0</v>
      </c>
      <c r="N7410" s="220">
        <f>SUM(I7410:M7411)</f>
        <v>1595480</v>
      </c>
      <c r="O7410" s="224"/>
      <c r="P7410" s="110" t="s">
        <v>21155</v>
      </c>
      <c r="Q7410" s="15" t="s">
        <v>19</v>
      </c>
      <c r="R7410" s="205"/>
      <c r="S7410" s="189" t="s">
        <v>1276</v>
      </c>
      <c r="T7410" s="114"/>
      <c r="U7410" s="21"/>
      <c r="V7410" s="115">
        <v>46134</v>
      </c>
      <c r="W7410" s="116">
        <v>1014</v>
      </c>
      <c r="X7410" s="220">
        <v>1520000</v>
      </c>
      <c r="Y7410" s="220">
        <f>X7410*0.1</f>
        <v>152000</v>
      </c>
      <c r="Z7410" s="220">
        <v>11480</v>
      </c>
      <c r="AA7410" s="220">
        <f>SUM(X7410:Z7410)</f>
        <v>1683480</v>
      </c>
      <c r="AB7410" s="222">
        <v>46139</v>
      </c>
    </row>
    <row r="7411" spans="1:28" ht="17.100000000000001" customHeight="1" thickBot="1">
      <c r="A7411" s="227"/>
      <c r="B7411" s="27" t="s">
        <v>1708</v>
      </c>
      <c r="C7411" s="27" t="s">
        <v>20500</v>
      </c>
      <c r="D7411" s="14" t="s">
        <v>1584</v>
      </c>
      <c r="E7411" s="229"/>
      <c r="F7411" s="117" t="s">
        <v>20501</v>
      </c>
      <c r="G7411" s="26">
        <v>40609</v>
      </c>
      <c r="H7411" s="231"/>
      <c r="I7411" s="221"/>
      <c r="J7411" s="221"/>
      <c r="K7411" s="221"/>
      <c r="L7411" s="221"/>
      <c r="M7411" s="221"/>
      <c r="N7411" s="221"/>
      <c r="O7411" s="225"/>
      <c r="P7411" s="118" t="s">
        <v>21156</v>
      </c>
      <c r="Q7411" s="16" t="s">
        <v>20</v>
      </c>
      <c r="R7411" s="17" t="s">
        <v>1897</v>
      </c>
      <c r="S7411" s="121" t="s">
        <v>23146</v>
      </c>
      <c r="T7411" s="122"/>
      <c r="U7411" s="22"/>
      <c r="V7411" s="123" t="s">
        <v>23332</v>
      </c>
      <c r="W7411" s="122">
        <v>1144</v>
      </c>
      <c r="X7411" s="221"/>
      <c r="Y7411" s="221"/>
      <c r="Z7411" s="221"/>
      <c r="AA7411" s="221"/>
      <c r="AB7411" s="223"/>
    </row>
    <row r="7412" spans="1:28" ht="17.100000000000001" customHeight="1" thickTop="1">
      <c r="A7412" s="226" t="s">
        <v>20496</v>
      </c>
      <c r="B7412" s="28">
        <v>46076</v>
      </c>
      <c r="C7412" s="25"/>
      <c r="D7412" s="13" t="s">
        <v>1772</v>
      </c>
      <c r="E7412" s="228"/>
      <c r="F7412" s="109" t="s">
        <v>11673</v>
      </c>
      <c r="G7412" s="24" t="s">
        <v>15655</v>
      </c>
      <c r="H7412" s="230">
        <v>4.5</v>
      </c>
      <c r="I7412" s="220">
        <f>4026000/1.1</f>
        <v>3659999.9999999995</v>
      </c>
      <c r="J7412" s="220">
        <f>I7412*0.1</f>
        <v>366000</v>
      </c>
      <c r="K7412" s="220">
        <v>0</v>
      </c>
      <c r="L7412" s="220">
        <v>15540</v>
      </c>
      <c r="M7412" s="220">
        <v>0</v>
      </c>
      <c r="N7412" s="220">
        <f>SUM(I7412:M7413)</f>
        <v>4041539.9999999995</v>
      </c>
      <c r="O7412" s="224"/>
      <c r="P7412" s="110" t="s">
        <v>23981</v>
      </c>
      <c r="Q7412" s="15" t="s">
        <v>19</v>
      </c>
      <c r="R7412" s="205"/>
      <c r="S7412" s="189" t="s">
        <v>1276</v>
      </c>
      <c r="T7412" s="114"/>
      <c r="U7412" s="21" t="s">
        <v>25216</v>
      </c>
      <c r="V7412" s="115"/>
      <c r="W7412" s="116"/>
      <c r="X7412" s="220"/>
      <c r="Y7412" s="220">
        <f>X7412*0.1</f>
        <v>0</v>
      </c>
      <c r="Z7412" s="220"/>
      <c r="AA7412" s="220">
        <f>SUM(X7412:Z7412)</f>
        <v>0</v>
      </c>
      <c r="AB7412" s="222"/>
    </row>
    <row r="7413" spans="1:28" ht="17.100000000000001" customHeight="1" thickBot="1">
      <c r="A7413" s="227"/>
      <c r="B7413" s="27" t="s">
        <v>1708</v>
      </c>
      <c r="C7413" s="27" t="s">
        <v>20502</v>
      </c>
      <c r="D7413" s="14" t="s">
        <v>273</v>
      </c>
      <c r="E7413" s="229"/>
      <c r="F7413" s="117" t="s">
        <v>20503</v>
      </c>
      <c r="G7413" s="26">
        <v>54352</v>
      </c>
      <c r="H7413" s="231"/>
      <c r="I7413" s="221"/>
      <c r="J7413" s="221"/>
      <c r="K7413" s="221"/>
      <c r="L7413" s="221"/>
      <c r="M7413" s="221"/>
      <c r="N7413" s="221"/>
      <c r="O7413" s="225"/>
      <c r="P7413" s="118" t="s">
        <v>23982</v>
      </c>
      <c r="Q7413" s="16" t="s">
        <v>20</v>
      </c>
      <c r="R7413" s="17" t="s">
        <v>1939</v>
      </c>
      <c r="S7413" s="121" t="s">
        <v>23983</v>
      </c>
      <c r="T7413" s="122"/>
      <c r="U7413" s="22"/>
      <c r="V7413" s="123"/>
      <c r="W7413" s="122"/>
      <c r="X7413" s="221"/>
      <c r="Y7413" s="221"/>
      <c r="Z7413" s="221"/>
      <c r="AA7413" s="221"/>
      <c r="AB7413" s="223"/>
    </row>
    <row r="7414" spans="1:28" ht="17.100000000000001" customHeight="1" thickTop="1">
      <c r="A7414" s="226" t="s">
        <v>20497</v>
      </c>
      <c r="B7414" s="28">
        <v>46076</v>
      </c>
      <c r="C7414" s="25"/>
      <c r="D7414" s="13" t="s">
        <v>1899</v>
      </c>
      <c r="E7414" s="228"/>
      <c r="F7414" s="109" t="s">
        <v>20510</v>
      </c>
      <c r="G7414" s="24" t="s">
        <v>12244</v>
      </c>
      <c r="H7414" s="230">
        <v>4.5</v>
      </c>
      <c r="I7414" s="220">
        <f>801900/1.1</f>
        <v>728999.99999999988</v>
      </c>
      <c r="J7414" s="220">
        <f>I7414*0.1</f>
        <v>72899.999999999985</v>
      </c>
      <c r="K7414" s="220">
        <v>0</v>
      </c>
      <c r="L7414" s="220">
        <v>9130</v>
      </c>
      <c r="M7414" s="220">
        <v>0</v>
      </c>
      <c r="N7414" s="220">
        <f>SUM(I7414:M7415)</f>
        <v>811029.99999999988</v>
      </c>
      <c r="O7414" s="224"/>
      <c r="P7414" s="110" t="s">
        <v>21881</v>
      </c>
      <c r="Q7414" s="15" t="s">
        <v>19</v>
      </c>
      <c r="R7414" s="205"/>
      <c r="S7414" s="189"/>
      <c r="T7414" s="114"/>
      <c r="U7414" s="21"/>
      <c r="V7414" s="115">
        <v>46130</v>
      </c>
      <c r="W7414" s="116">
        <v>1297</v>
      </c>
      <c r="X7414" s="220">
        <v>780000</v>
      </c>
      <c r="Y7414" s="220">
        <f>X7414*0.1</f>
        <v>78000</v>
      </c>
      <c r="Z7414" s="220">
        <v>9130</v>
      </c>
      <c r="AA7414" s="220">
        <f>SUM(X7414:Z7414)</f>
        <v>867130</v>
      </c>
      <c r="AB7414" s="222">
        <v>46133</v>
      </c>
    </row>
    <row r="7415" spans="1:28" ht="17.100000000000001" customHeight="1" thickBot="1">
      <c r="A7415" s="227"/>
      <c r="B7415" s="27" t="s">
        <v>1708</v>
      </c>
      <c r="C7415" s="27" t="s">
        <v>20504</v>
      </c>
      <c r="D7415" s="14" t="s">
        <v>2788</v>
      </c>
      <c r="E7415" s="229"/>
      <c r="F7415" s="117" t="s">
        <v>20505</v>
      </c>
      <c r="G7415" s="26">
        <v>75963</v>
      </c>
      <c r="H7415" s="231"/>
      <c r="I7415" s="221"/>
      <c r="J7415" s="221"/>
      <c r="K7415" s="221"/>
      <c r="L7415" s="221"/>
      <c r="M7415" s="221"/>
      <c r="N7415" s="221"/>
      <c r="O7415" s="225"/>
      <c r="P7415" s="118" t="s">
        <v>21882</v>
      </c>
      <c r="Q7415" s="16" t="s">
        <v>20</v>
      </c>
      <c r="R7415" s="17" t="s">
        <v>1810</v>
      </c>
      <c r="S7415" s="121" t="s">
        <v>21883</v>
      </c>
      <c r="T7415" s="122"/>
      <c r="U7415" s="22"/>
      <c r="V7415" s="123" t="s">
        <v>2472</v>
      </c>
      <c r="W7415" s="122">
        <v>37607</v>
      </c>
      <c r="X7415" s="221"/>
      <c r="Y7415" s="221"/>
      <c r="Z7415" s="221"/>
      <c r="AA7415" s="221"/>
      <c r="AB7415" s="223"/>
    </row>
    <row r="7416" spans="1:28" ht="17.100000000000001" customHeight="1" thickTop="1">
      <c r="A7416" s="226" t="s">
        <v>20498</v>
      </c>
      <c r="B7416" s="28">
        <v>46076</v>
      </c>
      <c r="C7416" s="25"/>
      <c r="D7416" s="13" t="s">
        <v>2195</v>
      </c>
      <c r="E7416" s="228"/>
      <c r="F7416" s="109" t="s">
        <v>8072</v>
      </c>
      <c r="G7416" s="24" t="s">
        <v>20511</v>
      </c>
      <c r="H7416" s="230">
        <v>4.5</v>
      </c>
      <c r="I7416" s="220">
        <f>5775000/1.1</f>
        <v>5250000</v>
      </c>
      <c r="J7416" s="220">
        <f>I7416*0.1</f>
        <v>525000</v>
      </c>
      <c r="K7416" s="220">
        <v>0</v>
      </c>
      <c r="L7416" s="220">
        <v>14230</v>
      </c>
      <c r="M7416" s="220">
        <v>0</v>
      </c>
      <c r="N7416" s="220">
        <f>SUM(I7416:M7417)</f>
        <v>5789230</v>
      </c>
      <c r="O7416" s="224"/>
      <c r="P7416" s="110" t="s">
        <v>24083</v>
      </c>
      <c r="Q7416" s="15" t="s">
        <v>19</v>
      </c>
      <c r="R7416" s="205"/>
      <c r="S7416" s="189" t="s">
        <v>1422</v>
      </c>
      <c r="T7416" s="114"/>
      <c r="U7416" s="21" t="s">
        <v>24291</v>
      </c>
      <c r="V7416" s="115">
        <v>46155</v>
      </c>
      <c r="W7416" s="116">
        <v>1016</v>
      </c>
      <c r="X7416" s="220">
        <v>5380000</v>
      </c>
      <c r="Y7416" s="220">
        <f>X7416*0.1</f>
        <v>538000</v>
      </c>
      <c r="Z7416" s="220">
        <v>14230</v>
      </c>
      <c r="AA7416" s="220">
        <f>SUM(X7416:Z7416)</f>
        <v>5932230</v>
      </c>
      <c r="AB7416" s="222">
        <v>46160</v>
      </c>
    </row>
    <row r="7417" spans="1:28" ht="17.100000000000001" customHeight="1" thickBot="1">
      <c r="A7417" s="227"/>
      <c r="B7417" s="27" t="s">
        <v>1708</v>
      </c>
      <c r="C7417" s="27" t="s">
        <v>20506</v>
      </c>
      <c r="D7417" s="14" t="s">
        <v>131</v>
      </c>
      <c r="E7417" s="229"/>
      <c r="F7417" s="117" t="s">
        <v>20507</v>
      </c>
      <c r="G7417" s="26">
        <v>5907</v>
      </c>
      <c r="H7417" s="231"/>
      <c r="I7417" s="221"/>
      <c r="J7417" s="221"/>
      <c r="K7417" s="221"/>
      <c r="L7417" s="221"/>
      <c r="M7417" s="221"/>
      <c r="N7417" s="221"/>
      <c r="O7417" s="225"/>
      <c r="P7417" s="118" t="s">
        <v>4281</v>
      </c>
      <c r="Q7417" s="16" t="s">
        <v>20</v>
      </c>
      <c r="R7417" s="17" t="s">
        <v>24061</v>
      </c>
      <c r="S7417" s="121" t="s">
        <v>169</v>
      </c>
      <c r="T7417" s="122"/>
      <c r="U7417" s="22"/>
      <c r="V7417" s="123" t="s">
        <v>2747</v>
      </c>
      <c r="W7417" s="122">
        <v>1084</v>
      </c>
      <c r="X7417" s="221"/>
      <c r="Y7417" s="221"/>
      <c r="Z7417" s="221"/>
      <c r="AA7417" s="221"/>
      <c r="AB7417" s="223"/>
    </row>
    <row r="7418" spans="1:28" ht="17.100000000000001" customHeight="1" thickTop="1">
      <c r="A7418" s="226" t="s">
        <v>20499</v>
      </c>
      <c r="B7418" s="28">
        <v>46076</v>
      </c>
      <c r="C7418" s="25"/>
      <c r="D7418" s="13" t="s">
        <v>2712</v>
      </c>
      <c r="E7418" s="228"/>
      <c r="F7418" s="109" t="s">
        <v>20512</v>
      </c>
      <c r="G7418" s="24" t="s">
        <v>20513</v>
      </c>
      <c r="H7418" s="230">
        <v>4</v>
      </c>
      <c r="I7418" s="220">
        <f>2156000/1.1</f>
        <v>1959999.9999999998</v>
      </c>
      <c r="J7418" s="220">
        <f>I7418*0.1</f>
        <v>196000</v>
      </c>
      <c r="K7418" s="220">
        <v>0</v>
      </c>
      <c r="L7418" s="220">
        <v>12400</v>
      </c>
      <c r="M7418" s="220">
        <v>0</v>
      </c>
      <c r="N7418" s="220">
        <f>SUM(I7418:M7419)</f>
        <v>2168400</v>
      </c>
      <c r="O7418" s="224"/>
      <c r="P7418" s="110" t="s">
        <v>22354</v>
      </c>
      <c r="Q7418" s="15" t="s">
        <v>19</v>
      </c>
      <c r="R7418" s="205"/>
      <c r="S7418" s="189" t="s">
        <v>25372</v>
      </c>
      <c r="T7418" s="114"/>
      <c r="U7418" s="21"/>
      <c r="V7418" s="115">
        <v>46144</v>
      </c>
      <c r="W7418" s="116">
        <v>1299</v>
      </c>
      <c r="X7418" s="220">
        <v>2000000</v>
      </c>
      <c r="Y7418" s="220">
        <f>X7418*0.1</f>
        <v>200000</v>
      </c>
      <c r="Z7418" s="220">
        <v>12400</v>
      </c>
      <c r="AA7418" s="220">
        <f>SUM(X7418:Z7418)</f>
        <v>2212400</v>
      </c>
      <c r="AB7418" s="222">
        <v>46154</v>
      </c>
    </row>
    <row r="7419" spans="1:28" ht="17.100000000000001" customHeight="1" thickBot="1">
      <c r="A7419" s="227"/>
      <c r="B7419" s="27" t="s">
        <v>1708</v>
      </c>
      <c r="C7419" s="27" t="s">
        <v>20508</v>
      </c>
      <c r="D7419" s="14" t="s">
        <v>273</v>
      </c>
      <c r="E7419" s="229"/>
      <c r="F7419" s="117" t="s">
        <v>20509</v>
      </c>
      <c r="G7419" s="26">
        <v>49749</v>
      </c>
      <c r="H7419" s="231"/>
      <c r="I7419" s="221"/>
      <c r="J7419" s="221"/>
      <c r="K7419" s="221"/>
      <c r="L7419" s="221"/>
      <c r="M7419" s="221"/>
      <c r="N7419" s="221"/>
      <c r="O7419" s="225"/>
      <c r="P7419" s="118" t="s">
        <v>22355</v>
      </c>
      <c r="Q7419" s="16" t="s">
        <v>20</v>
      </c>
      <c r="R7419" s="17" t="s">
        <v>22315</v>
      </c>
      <c r="S7419" s="121" t="s">
        <v>22366</v>
      </c>
      <c r="T7419" s="122"/>
      <c r="U7419" s="22"/>
      <c r="V7419" s="123" t="s">
        <v>24604</v>
      </c>
      <c r="W7419" s="122">
        <v>31258</v>
      </c>
      <c r="X7419" s="221"/>
      <c r="Y7419" s="221"/>
      <c r="Z7419" s="221"/>
      <c r="AA7419" s="221"/>
      <c r="AB7419" s="223"/>
    </row>
    <row r="7420" spans="1:28" ht="17.100000000000001" customHeight="1" thickTop="1">
      <c r="A7420" s="226" t="s">
        <v>20529</v>
      </c>
      <c r="B7420" s="28">
        <v>46105</v>
      </c>
      <c r="C7420" s="25"/>
      <c r="D7420" s="13" t="s">
        <v>4368</v>
      </c>
      <c r="E7420" s="228"/>
      <c r="F7420" s="109" t="s">
        <v>20531</v>
      </c>
      <c r="G7420" s="24" t="s">
        <v>11936</v>
      </c>
      <c r="H7420" s="230"/>
      <c r="I7420" s="220">
        <v>500000</v>
      </c>
      <c r="J7420" s="220">
        <v>0</v>
      </c>
      <c r="K7420" s="220">
        <v>0</v>
      </c>
      <c r="L7420" s="220">
        <v>0</v>
      </c>
      <c r="M7420" s="220">
        <v>0</v>
      </c>
      <c r="N7420" s="220">
        <f>SUM(I7420:M7421)</f>
        <v>500000</v>
      </c>
      <c r="O7420" s="224"/>
      <c r="P7420" s="110" t="s">
        <v>20533</v>
      </c>
      <c r="Q7420" s="15" t="s">
        <v>19</v>
      </c>
      <c r="R7420" s="205"/>
      <c r="S7420" s="189"/>
      <c r="T7420" s="114"/>
      <c r="U7420" s="21"/>
      <c r="V7420" s="115">
        <v>46158</v>
      </c>
      <c r="W7420" s="116">
        <v>1300</v>
      </c>
      <c r="X7420" s="220">
        <v>615000</v>
      </c>
      <c r="Y7420" s="220">
        <f>X7420*0.1</f>
        <v>61500</v>
      </c>
      <c r="Z7420" s="220">
        <v>19450</v>
      </c>
      <c r="AA7420" s="220">
        <f>SUM(X7420:Z7420)</f>
        <v>695950</v>
      </c>
      <c r="AB7420" s="222">
        <v>46161</v>
      </c>
    </row>
    <row r="7421" spans="1:28" ht="17.100000000000001" customHeight="1" thickBot="1">
      <c r="A7421" s="227"/>
      <c r="B7421" s="27" t="s">
        <v>20530</v>
      </c>
      <c r="C7421" s="27"/>
      <c r="D7421" s="14" t="s">
        <v>20578</v>
      </c>
      <c r="E7421" s="229"/>
      <c r="F7421" s="117" t="s">
        <v>20532</v>
      </c>
      <c r="G7421" s="26">
        <v>33814</v>
      </c>
      <c r="H7421" s="231"/>
      <c r="I7421" s="221"/>
      <c r="J7421" s="221"/>
      <c r="K7421" s="221"/>
      <c r="L7421" s="221"/>
      <c r="M7421" s="221"/>
      <c r="N7421" s="221"/>
      <c r="O7421" s="225"/>
      <c r="P7421" s="118" t="s">
        <v>20534</v>
      </c>
      <c r="Q7421" s="16" t="s">
        <v>20</v>
      </c>
      <c r="R7421" s="17" t="s">
        <v>20516</v>
      </c>
      <c r="S7421" s="121" t="s">
        <v>1731</v>
      </c>
      <c r="T7421" s="122"/>
      <c r="U7421" s="22"/>
      <c r="V7421" s="123" t="s">
        <v>2472</v>
      </c>
      <c r="W7421" s="122">
        <v>82406</v>
      </c>
      <c r="X7421" s="221"/>
      <c r="Y7421" s="221"/>
      <c r="Z7421" s="221"/>
      <c r="AA7421" s="221"/>
      <c r="AB7421" s="223"/>
    </row>
    <row r="7422" spans="1:28" ht="17.100000000000001" customHeight="1" thickTop="1">
      <c r="A7422" s="226" t="s">
        <v>20542</v>
      </c>
      <c r="B7422" s="28">
        <v>46105</v>
      </c>
      <c r="C7422" s="25">
        <v>1934</v>
      </c>
      <c r="D7422" s="13" t="s">
        <v>1871</v>
      </c>
      <c r="E7422" s="228"/>
      <c r="F7422" s="109" t="s">
        <v>15175</v>
      </c>
      <c r="G7422" s="24"/>
      <c r="H7422" s="230">
        <v>4</v>
      </c>
      <c r="I7422" s="220">
        <v>522000</v>
      </c>
      <c r="J7422" s="220">
        <f>I7422*0.1</f>
        <v>52200</v>
      </c>
      <c r="K7422" s="220">
        <v>0</v>
      </c>
      <c r="L7422" s="220">
        <v>8850</v>
      </c>
      <c r="M7422" s="220">
        <v>15950</v>
      </c>
      <c r="N7422" s="220">
        <f>SUM(I7422:M7423)</f>
        <v>599000</v>
      </c>
      <c r="O7422" s="224"/>
      <c r="P7422" s="110" t="s">
        <v>21131</v>
      </c>
      <c r="Q7422" s="15" t="s">
        <v>19</v>
      </c>
      <c r="R7422" s="205"/>
      <c r="S7422" s="189" t="s">
        <v>25886</v>
      </c>
      <c r="T7422" s="114"/>
      <c r="U7422" s="21"/>
      <c r="V7422" s="115"/>
      <c r="W7422" s="116"/>
      <c r="X7422" s="220"/>
      <c r="Y7422" s="220">
        <f>X7422*0.1</f>
        <v>0</v>
      </c>
      <c r="Z7422" s="220"/>
      <c r="AA7422" s="220">
        <f>SUM(X7422:Z7422)</f>
        <v>0</v>
      </c>
      <c r="AB7422" s="222"/>
    </row>
    <row r="7423" spans="1:28" ht="17.100000000000001" customHeight="1" thickBot="1">
      <c r="A7423" s="227"/>
      <c r="B7423" s="27" t="s">
        <v>2103</v>
      </c>
      <c r="C7423" s="27">
        <v>3006</v>
      </c>
      <c r="D7423" s="14" t="s">
        <v>2291</v>
      </c>
      <c r="E7423" s="229"/>
      <c r="F7423" s="117" t="s">
        <v>20560</v>
      </c>
      <c r="G7423" s="26">
        <v>29170</v>
      </c>
      <c r="H7423" s="231"/>
      <c r="I7423" s="221"/>
      <c r="J7423" s="221"/>
      <c r="K7423" s="221"/>
      <c r="L7423" s="221"/>
      <c r="M7423" s="221"/>
      <c r="N7423" s="221"/>
      <c r="O7423" s="225"/>
      <c r="P7423" s="118" t="s">
        <v>9181</v>
      </c>
      <c r="Q7423" s="16" t="s">
        <v>20</v>
      </c>
      <c r="R7423" s="17" t="s">
        <v>1897</v>
      </c>
      <c r="S7423" s="121" t="s">
        <v>21132</v>
      </c>
      <c r="T7423" s="122"/>
      <c r="U7423" s="22"/>
      <c r="V7423" s="123"/>
      <c r="W7423" s="122"/>
      <c r="X7423" s="221"/>
      <c r="Y7423" s="221"/>
      <c r="Z7423" s="221"/>
      <c r="AA7423" s="221"/>
      <c r="AB7423" s="223"/>
    </row>
    <row r="7424" spans="1:28" ht="17.100000000000001" customHeight="1" thickTop="1">
      <c r="A7424" s="226" t="s">
        <v>20543</v>
      </c>
      <c r="B7424" s="28">
        <v>46105</v>
      </c>
      <c r="C7424" s="25">
        <v>1934</v>
      </c>
      <c r="D7424" s="13" t="s">
        <v>3769</v>
      </c>
      <c r="E7424" s="228"/>
      <c r="F7424" s="109" t="s">
        <v>15511</v>
      </c>
      <c r="G7424" s="24"/>
      <c r="H7424" s="230">
        <v>4.5</v>
      </c>
      <c r="I7424" s="220">
        <v>545000</v>
      </c>
      <c r="J7424" s="220">
        <f>I7424*0.1</f>
        <v>54500</v>
      </c>
      <c r="K7424" s="220">
        <v>0</v>
      </c>
      <c r="L7424" s="220">
        <v>8430</v>
      </c>
      <c r="M7424" s="220">
        <v>15950</v>
      </c>
      <c r="N7424" s="220">
        <f>SUM(I7424:M7425)</f>
        <v>623880</v>
      </c>
      <c r="O7424" s="224"/>
      <c r="P7424" s="110" t="s">
        <v>21136</v>
      </c>
      <c r="Q7424" s="15" t="s">
        <v>19</v>
      </c>
      <c r="R7424" s="205"/>
      <c r="S7424" s="189" t="s">
        <v>25766</v>
      </c>
      <c r="T7424" s="114"/>
      <c r="U7424" s="21"/>
      <c r="V7424" s="115">
        <v>46116</v>
      </c>
      <c r="W7424" s="116">
        <v>1295</v>
      </c>
      <c r="X7424" s="220">
        <v>580000</v>
      </c>
      <c r="Y7424" s="220">
        <f>X7424*0.1</f>
        <v>58000</v>
      </c>
      <c r="Z7424" s="220">
        <v>8430</v>
      </c>
      <c r="AA7424" s="220">
        <f>SUM(X7424:Z7424)</f>
        <v>646430</v>
      </c>
      <c r="AB7424" s="222">
        <v>46119</v>
      </c>
    </row>
    <row r="7425" spans="1:28" ht="17.100000000000001" customHeight="1" thickBot="1">
      <c r="A7425" s="227"/>
      <c r="B7425" s="27" t="s">
        <v>2103</v>
      </c>
      <c r="C7425" s="27">
        <v>3302</v>
      </c>
      <c r="D7425" s="14" t="s">
        <v>2559</v>
      </c>
      <c r="E7425" s="229"/>
      <c r="F7425" s="117" t="s">
        <v>20561</v>
      </c>
      <c r="G7425" s="26">
        <v>58531</v>
      </c>
      <c r="H7425" s="231"/>
      <c r="I7425" s="221"/>
      <c r="J7425" s="221"/>
      <c r="K7425" s="221"/>
      <c r="L7425" s="221"/>
      <c r="M7425" s="221"/>
      <c r="N7425" s="221"/>
      <c r="O7425" s="225"/>
      <c r="P7425" s="118" t="s">
        <v>10976</v>
      </c>
      <c r="Q7425" s="16" t="s">
        <v>20</v>
      </c>
      <c r="R7425" s="17" t="s">
        <v>1897</v>
      </c>
      <c r="S7425" s="121" t="s">
        <v>21137</v>
      </c>
      <c r="T7425" s="122"/>
      <c r="U7425" s="22"/>
      <c r="V7425" s="123" t="s">
        <v>2472</v>
      </c>
      <c r="W7425" s="122">
        <v>60152</v>
      </c>
      <c r="X7425" s="221"/>
      <c r="Y7425" s="221"/>
      <c r="Z7425" s="221"/>
      <c r="AA7425" s="221"/>
      <c r="AB7425" s="223"/>
    </row>
    <row r="7426" spans="1:28" ht="17.100000000000001" customHeight="1" thickTop="1">
      <c r="A7426" s="226" t="s">
        <v>20544</v>
      </c>
      <c r="B7426" s="28">
        <v>46105</v>
      </c>
      <c r="C7426" s="25">
        <v>1934</v>
      </c>
      <c r="D7426" s="13" t="s">
        <v>2573</v>
      </c>
      <c r="E7426" s="228"/>
      <c r="F7426" s="109" t="s">
        <v>1916</v>
      </c>
      <c r="G7426" s="24"/>
      <c r="H7426" s="230">
        <v>4.5</v>
      </c>
      <c r="I7426" s="220">
        <v>1068000</v>
      </c>
      <c r="J7426" s="220">
        <f>I7426*0.1</f>
        <v>106800</v>
      </c>
      <c r="K7426" s="220">
        <v>0</v>
      </c>
      <c r="L7426" s="220">
        <v>16240</v>
      </c>
      <c r="M7426" s="220">
        <v>15950</v>
      </c>
      <c r="N7426" s="220">
        <f>SUM(I7426:M7427)</f>
        <v>1206990</v>
      </c>
      <c r="O7426" s="224"/>
      <c r="P7426" s="110" t="s">
        <v>21125</v>
      </c>
      <c r="Q7426" s="15" t="s">
        <v>19</v>
      </c>
      <c r="R7426" s="205"/>
      <c r="S7426" s="189"/>
      <c r="T7426" s="114"/>
      <c r="U7426" s="21"/>
      <c r="V7426" s="115"/>
      <c r="W7426" s="116"/>
      <c r="X7426" s="220"/>
      <c r="Y7426" s="220">
        <f>X7426*0.1</f>
        <v>0</v>
      </c>
      <c r="Z7426" s="220"/>
      <c r="AA7426" s="220">
        <f>SUM(X7426:Z7426)</f>
        <v>0</v>
      </c>
      <c r="AB7426" s="222"/>
    </row>
    <row r="7427" spans="1:28" ht="17.100000000000001" customHeight="1" thickBot="1">
      <c r="A7427" s="227"/>
      <c r="B7427" s="27" t="s">
        <v>2103</v>
      </c>
      <c r="C7427" s="27">
        <v>5009</v>
      </c>
      <c r="D7427" s="14" t="s">
        <v>2753</v>
      </c>
      <c r="E7427" s="229"/>
      <c r="F7427" s="117" t="s">
        <v>20577</v>
      </c>
      <c r="G7427" s="26">
        <v>34990</v>
      </c>
      <c r="H7427" s="231"/>
      <c r="I7427" s="221"/>
      <c r="J7427" s="221"/>
      <c r="K7427" s="221"/>
      <c r="L7427" s="221"/>
      <c r="M7427" s="221"/>
      <c r="N7427" s="221"/>
      <c r="O7427" s="225"/>
      <c r="P7427" s="118" t="s">
        <v>21126</v>
      </c>
      <c r="Q7427" s="16" t="s">
        <v>20</v>
      </c>
      <c r="R7427" s="17" t="s">
        <v>1897</v>
      </c>
      <c r="S7427" s="121" t="s">
        <v>4008</v>
      </c>
      <c r="T7427" s="122"/>
      <c r="U7427" s="22"/>
      <c r="V7427" s="123"/>
      <c r="W7427" s="122"/>
      <c r="X7427" s="221"/>
      <c r="Y7427" s="221"/>
      <c r="Z7427" s="221"/>
      <c r="AA7427" s="221"/>
      <c r="AB7427" s="223"/>
    </row>
    <row r="7428" spans="1:28" ht="17.100000000000001" customHeight="1" thickTop="1">
      <c r="A7428" s="226" t="s">
        <v>20545</v>
      </c>
      <c r="B7428" s="28">
        <v>46105</v>
      </c>
      <c r="C7428" s="25">
        <v>1934</v>
      </c>
      <c r="D7428" s="13" t="s">
        <v>1908</v>
      </c>
      <c r="E7428" s="228"/>
      <c r="F7428" s="109" t="s">
        <v>20562</v>
      </c>
      <c r="G7428" s="24"/>
      <c r="H7428" s="230">
        <v>4</v>
      </c>
      <c r="I7428" s="220">
        <v>733000</v>
      </c>
      <c r="J7428" s="220">
        <f>I7428*0.1</f>
        <v>73300</v>
      </c>
      <c r="K7428" s="220">
        <v>0</v>
      </c>
      <c r="L7428" s="220">
        <v>9490</v>
      </c>
      <c r="M7428" s="220">
        <v>15950</v>
      </c>
      <c r="N7428" s="220">
        <f>SUM(I7428:M7429)</f>
        <v>831740</v>
      </c>
      <c r="O7428" s="224"/>
      <c r="P7428" s="110" t="s">
        <v>21130</v>
      </c>
      <c r="Q7428" s="15" t="s">
        <v>19</v>
      </c>
      <c r="R7428" s="205"/>
      <c r="S7428" s="189" t="s">
        <v>283</v>
      </c>
      <c r="T7428" s="114"/>
      <c r="U7428" s="21"/>
      <c r="V7428" s="115">
        <v>46127</v>
      </c>
      <c r="W7428" s="116">
        <v>1013</v>
      </c>
      <c r="X7428" s="220">
        <v>775000</v>
      </c>
      <c r="Y7428" s="220">
        <f>X7428*0.1</f>
        <v>77500</v>
      </c>
      <c r="Z7428" s="220">
        <v>9490</v>
      </c>
      <c r="AA7428" s="220">
        <f>SUM(X7428:Z7428)</f>
        <v>861990</v>
      </c>
      <c r="AB7428" s="222">
        <v>46132</v>
      </c>
    </row>
    <row r="7429" spans="1:28" ht="17.100000000000001" customHeight="1" thickBot="1">
      <c r="A7429" s="227"/>
      <c r="B7429" s="27" t="s">
        <v>2103</v>
      </c>
      <c r="C7429" s="27">
        <v>5401</v>
      </c>
      <c r="D7429" s="14" t="s">
        <v>1736</v>
      </c>
      <c r="E7429" s="229"/>
      <c r="F7429" s="117" t="s">
        <v>20563</v>
      </c>
      <c r="G7429" s="26">
        <v>31539</v>
      </c>
      <c r="H7429" s="231"/>
      <c r="I7429" s="221"/>
      <c r="J7429" s="221"/>
      <c r="K7429" s="221"/>
      <c r="L7429" s="221"/>
      <c r="M7429" s="221"/>
      <c r="N7429" s="221"/>
      <c r="O7429" s="225"/>
      <c r="P7429" s="118" t="s">
        <v>14054</v>
      </c>
      <c r="Q7429" s="16" t="s">
        <v>20</v>
      </c>
      <c r="R7429" s="17" t="s">
        <v>1897</v>
      </c>
      <c r="S7429" s="121" t="s">
        <v>4062</v>
      </c>
      <c r="T7429" s="122"/>
      <c r="U7429" s="22"/>
      <c r="V7429" s="123" t="s">
        <v>2747</v>
      </c>
      <c r="W7429" s="122">
        <v>5244</v>
      </c>
      <c r="X7429" s="221"/>
      <c r="Y7429" s="221"/>
      <c r="Z7429" s="221"/>
      <c r="AA7429" s="221"/>
      <c r="AB7429" s="223"/>
    </row>
    <row r="7430" spans="1:28" ht="17.100000000000001" customHeight="1" thickTop="1">
      <c r="A7430" s="226" t="s">
        <v>20546</v>
      </c>
      <c r="B7430" s="28">
        <v>46105</v>
      </c>
      <c r="C7430" s="25">
        <v>1934</v>
      </c>
      <c r="D7430" s="13" t="s">
        <v>2010</v>
      </c>
      <c r="E7430" s="228"/>
      <c r="F7430" s="109" t="s">
        <v>14902</v>
      </c>
      <c r="G7430" s="24"/>
      <c r="H7430" s="230">
        <v>4</v>
      </c>
      <c r="I7430" s="220">
        <v>1077000</v>
      </c>
      <c r="J7430" s="220">
        <f>I7430*0.1</f>
        <v>107700</v>
      </c>
      <c r="K7430" s="220">
        <v>0</v>
      </c>
      <c r="L7430" s="220">
        <v>8630</v>
      </c>
      <c r="M7430" s="220">
        <v>15950</v>
      </c>
      <c r="N7430" s="220">
        <f>SUM(I7430:M7431)</f>
        <v>1209280</v>
      </c>
      <c r="O7430" s="224"/>
      <c r="P7430" s="110" t="s">
        <v>21133</v>
      </c>
      <c r="Q7430" s="15" t="s">
        <v>19</v>
      </c>
      <c r="R7430" s="205"/>
      <c r="S7430" s="189" t="s">
        <v>25887</v>
      </c>
      <c r="T7430" s="114"/>
      <c r="U7430" s="21"/>
      <c r="V7430" s="115">
        <v>46158</v>
      </c>
      <c r="W7430" s="116">
        <v>1300</v>
      </c>
      <c r="X7430" s="220">
        <v>1160000</v>
      </c>
      <c r="Y7430" s="220">
        <f>X7430*0.1</f>
        <v>116000</v>
      </c>
      <c r="Z7430" s="220">
        <v>8630</v>
      </c>
      <c r="AA7430" s="220">
        <f>SUM(X7430:Z7430)</f>
        <v>1284630</v>
      </c>
      <c r="AB7430" s="222">
        <v>46161</v>
      </c>
    </row>
    <row r="7431" spans="1:28" ht="17.100000000000001" customHeight="1" thickBot="1">
      <c r="A7431" s="227"/>
      <c r="B7431" s="27" t="s">
        <v>2103</v>
      </c>
      <c r="C7431" s="27">
        <v>5452</v>
      </c>
      <c r="D7431" s="14" t="s">
        <v>2014</v>
      </c>
      <c r="E7431" s="229"/>
      <c r="F7431" s="117" t="s">
        <v>20564</v>
      </c>
      <c r="G7431" s="26">
        <v>19659</v>
      </c>
      <c r="H7431" s="231"/>
      <c r="I7431" s="221"/>
      <c r="J7431" s="221"/>
      <c r="K7431" s="221"/>
      <c r="L7431" s="221"/>
      <c r="M7431" s="221"/>
      <c r="N7431" s="221"/>
      <c r="O7431" s="225"/>
      <c r="P7431" s="118" t="s">
        <v>21134</v>
      </c>
      <c r="Q7431" s="16" t="s">
        <v>20</v>
      </c>
      <c r="R7431" s="17" t="s">
        <v>1897</v>
      </c>
      <c r="S7431" s="121" t="s">
        <v>21135</v>
      </c>
      <c r="T7431" s="122"/>
      <c r="U7431" s="22"/>
      <c r="V7431" s="123" t="s">
        <v>2472</v>
      </c>
      <c r="W7431" s="122">
        <v>60059</v>
      </c>
      <c r="X7431" s="221"/>
      <c r="Y7431" s="221"/>
      <c r="Z7431" s="221"/>
      <c r="AA7431" s="221"/>
      <c r="AB7431" s="223"/>
    </row>
    <row r="7432" spans="1:28" ht="17.100000000000001" customHeight="1" thickTop="1">
      <c r="A7432" s="226" t="s">
        <v>20547</v>
      </c>
      <c r="B7432" s="28">
        <v>46105</v>
      </c>
      <c r="C7432" s="25">
        <v>1934</v>
      </c>
      <c r="D7432" s="13" t="s">
        <v>2288</v>
      </c>
      <c r="E7432" s="228"/>
      <c r="F7432" s="109" t="s">
        <v>20565</v>
      </c>
      <c r="G7432" s="24"/>
      <c r="H7432" s="230">
        <v>3.5</v>
      </c>
      <c r="I7432" s="220">
        <v>1153000</v>
      </c>
      <c r="J7432" s="220">
        <f>I7432*0.1</f>
        <v>115300</v>
      </c>
      <c r="K7432" s="220">
        <v>0</v>
      </c>
      <c r="L7432" s="220">
        <v>9810</v>
      </c>
      <c r="M7432" s="220">
        <v>15950</v>
      </c>
      <c r="N7432" s="220">
        <f>SUM(I7432:M7433)</f>
        <v>1294060</v>
      </c>
      <c r="O7432" s="224"/>
      <c r="P7432" s="110" t="s">
        <v>21138</v>
      </c>
      <c r="Q7432" s="15" t="s">
        <v>19</v>
      </c>
      <c r="R7432" s="205"/>
      <c r="S7432" s="189"/>
      <c r="T7432" s="114"/>
      <c r="U7432" s="21"/>
      <c r="V7432" s="115"/>
      <c r="W7432" s="116"/>
      <c r="X7432" s="220"/>
      <c r="Y7432" s="220">
        <f>X7432*0.1</f>
        <v>0</v>
      </c>
      <c r="Z7432" s="220"/>
      <c r="AA7432" s="220">
        <f>SUM(X7432:Z7432)</f>
        <v>0</v>
      </c>
      <c r="AB7432" s="222"/>
    </row>
    <row r="7433" spans="1:28" ht="17.100000000000001" customHeight="1" thickBot="1">
      <c r="A7433" s="227"/>
      <c r="B7433" s="27" t="s">
        <v>2103</v>
      </c>
      <c r="C7433" s="27">
        <v>70030</v>
      </c>
      <c r="D7433" s="14" t="s">
        <v>2559</v>
      </c>
      <c r="E7433" s="229"/>
      <c r="F7433" s="117" t="s">
        <v>20566</v>
      </c>
      <c r="G7433" s="26">
        <v>54118</v>
      </c>
      <c r="H7433" s="231"/>
      <c r="I7433" s="221"/>
      <c r="J7433" s="221"/>
      <c r="K7433" s="221"/>
      <c r="L7433" s="221"/>
      <c r="M7433" s="221"/>
      <c r="N7433" s="221"/>
      <c r="O7433" s="225"/>
      <c r="P7433" s="118" t="s">
        <v>20651</v>
      </c>
      <c r="Q7433" s="16" t="s">
        <v>20</v>
      </c>
      <c r="R7433" s="17" t="s">
        <v>1897</v>
      </c>
      <c r="S7433" s="121" t="s">
        <v>21082</v>
      </c>
      <c r="T7433" s="122"/>
      <c r="U7433" s="22"/>
      <c r="V7433" s="123"/>
      <c r="W7433" s="122"/>
      <c r="X7433" s="221"/>
      <c r="Y7433" s="221"/>
      <c r="Z7433" s="221"/>
      <c r="AA7433" s="221"/>
      <c r="AB7433" s="223"/>
    </row>
    <row r="7434" spans="1:28" ht="17.100000000000001" customHeight="1" thickTop="1">
      <c r="A7434" s="226" t="s">
        <v>20548</v>
      </c>
      <c r="B7434" s="28">
        <v>46105</v>
      </c>
      <c r="C7434" s="25">
        <v>812</v>
      </c>
      <c r="D7434" s="13" t="s">
        <v>2429</v>
      </c>
      <c r="E7434" s="228"/>
      <c r="F7434" s="109" t="s">
        <v>20567</v>
      </c>
      <c r="G7434" s="24"/>
      <c r="H7434" s="230">
        <v>4.5</v>
      </c>
      <c r="I7434" s="220">
        <v>740000</v>
      </c>
      <c r="J7434" s="220">
        <f>I7434*0.1</f>
        <v>74000</v>
      </c>
      <c r="K7434" s="220">
        <v>0</v>
      </c>
      <c r="L7434" s="220">
        <v>9790</v>
      </c>
      <c r="M7434" s="220">
        <v>15950</v>
      </c>
      <c r="N7434" s="220">
        <f>SUM(I7434:M7435)</f>
        <v>839740</v>
      </c>
      <c r="O7434" s="224"/>
      <c r="P7434" s="110" t="s">
        <v>21139</v>
      </c>
      <c r="Q7434" s="15" t="s">
        <v>19</v>
      </c>
      <c r="R7434" s="205"/>
      <c r="S7434" s="189" t="s">
        <v>25753</v>
      </c>
      <c r="T7434" s="114"/>
      <c r="U7434" s="21"/>
      <c r="V7434" s="115">
        <v>46116</v>
      </c>
      <c r="W7434" s="116">
        <v>1295</v>
      </c>
      <c r="X7434" s="220">
        <v>820000</v>
      </c>
      <c r="Y7434" s="220">
        <f>X7434*0.1</f>
        <v>82000</v>
      </c>
      <c r="Z7434" s="220">
        <v>9790</v>
      </c>
      <c r="AA7434" s="220">
        <f>SUM(X7434:Z7434)</f>
        <v>911790</v>
      </c>
      <c r="AB7434" s="222">
        <v>46119</v>
      </c>
    </row>
    <row r="7435" spans="1:28" ht="17.100000000000001" customHeight="1" thickBot="1">
      <c r="A7435" s="227"/>
      <c r="B7435" s="27" t="s">
        <v>3314</v>
      </c>
      <c r="C7435" s="27">
        <v>3010</v>
      </c>
      <c r="D7435" s="14" t="s">
        <v>2559</v>
      </c>
      <c r="E7435" s="229"/>
      <c r="F7435" s="117" t="s">
        <v>20568</v>
      </c>
      <c r="G7435" s="26">
        <v>77646</v>
      </c>
      <c r="H7435" s="231"/>
      <c r="I7435" s="221"/>
      <c r="J7435" s="221"/>
      <c r="K7435" s="221"/>
      <c r="L7435" s="221"/>
      <c r="M7435" s="221"/>
      <c r="N7435" s="221"/>
      <c r="O7435" s="225"/>
      <c r="P7435" s="118" t="s">
        <v>21140</v>
      </c>
      <c r="Q7435" s="16" t="s">
        <v>20</v>
      </c>
      <c r="R7435" s="17" t="s">
        <v>1897</v>
      </c>
      <c r="S7435" s="121" t="s">
        <v>2025</v>
      </c>
      <c r="T7435" s="122"/>
      <c r="U7435" s="22"/>
      <c r="V7435" s="123" t="s">
        <v>2472</v>
      </c>
      <c r="W7435" s="122">
        <v>60228</v>
      </c>
      <c r="X7435" s="221"/>
      <c r="Y7435" s="221"/>
      <c r="Z7435" s="221"/>
      <c r="AA7435" s="221"/>
      <c r="AB7435" s="223"/>
    </row>
    <row r="7436" spans="1:28" ht="17.100000000000001" customHeight="1" thickTop="1">
      <c r="A7436" s="226" t="s">
        <v>20549</v>
      </c>
      <c r="B7436" s="28">
        <v>46105</v>
      </c>
      <c r="C7436" s="25">
        <v>812</v>
      </c>
      <c r="D7436" s="13" t="s">
        <v>2017</v>
      </c>
      <c r="E7436" s="228"/>
      <c r="F7436" s="109" t="s">
        <v>15193</v>
      </c>
      <c r="G7436" s="24" t="s">
        <v>4315</v>
      </c>
      <c r="H7436" s="230">
        <v>5</v>
      </c>
      <c r="I7436" s="220">
        <v>1144000</v>
      </c>
      <c r="J7436" s="220">
        <f>I7436*0.1</f>
        <v>114400</v>
      </c>
      <c r="K7436" s="220">
        <v>5000</v>
      </c>
      <c r="L7436" s="220">
        <v>9150</v>
      </c>
      <c r="M7436" s="220">
        <v>15950</v>
      </c>
      <c r="N7436" s="220">
        <f>SUM(I7436:M7437)</f>
        <v>1288500</v>
      </c>
      <c r="O7436" s="224"/>
      <c r="P7436" s="110" t="s">
        <v>20579</v>
      </c>
      <c r="Q7436" s="15" t="s">
        <v>19</v>
      </c>
      <c r="R7436" s="205"/>
      <c r="S7436" s="189" t="s">
        <v>25757</v>
      </c>
      <c r="T7436" s="114"/>
      <c r="U7436" s="21"/>
      <c r="V7436" s="115">
        <v>46109</v>
      </c>
      <c r="W7436" s="116">
        <v>1294</v>
      </c>
      <c r="X7436" s="220">
        <v>1205000</v>
      </c>
      <c r="Y7436" s="220">
        <f>X7436*0.1</f>
        <v>120500</v>
      </c>
      <c r="Z7436" s="220">
        <v>9150</v>
      </c>
      <c r="AA7436" s="220">
        <f>SUM(X7436:Z7436)</f>
        <v>1334650</v>
      </c>
      <c r="AB7436" s="222">
        <v>46114</v>
      </c>
    </row>
    <row r="7437" spans="1:28" ht="17.100000000000001" customHeight="1" thickBot="1">
      <c r="A7437" s="227"/>
      <c r="B7437" s="27" t="s">
        <v>3314</v>
      </c>
      <c r="C7437" s="27">
        <v>3083</v>
      </c>
      <c r="D7437" s="14" t="s">
        <v>1584</v>
      </c>
      <c r="E7437" s="229"/>
      <c r="F7437" s="117" t="s">
        <v>20569</v>
      </c>
      <c r="G7437" s="26">
        <v>7372</v>
      </c>
      <c r="H7437" s="231"/>
      <c r="I7437" s="221"/>
      <c r="J7437" s="221"/>
      <c r="K7437" s="221"/>
      <c r="L7437" s="221"/>
      <c r="M7437" s="221"/>
      <c r="N7437" s="221"/>
      <c r="O7437" s="225"/>
      <c r="P7437" s="118" t="s">
        <v>7318</v>
      </c>
      <c r="Q7437" s="16" t="s">
        <v>20</v>
      </c>
      <c r="R7437" s="17" t="s">
        <v>1897</v>
      </c>
      <c r="S7437" s="121" t="s">
        <v>1625</v>
      </c>
      <c r="T7437" s="122"/>
      <c r="U7437" s="22"/>
      <c r="V7437" s="123" t="s">
        <v>21250</v>
      </c>
      <c r="W7437" s="122">
        <v>60487</v>
      </c>
      <c r="X7437" s="221"/>
      <c r="Y7437" s="221"/>
      <c r="Z7437" s="221"/>
      <c r="AA7437" s="221"/>
      <c r="AB7437" s="223"/>
    </row>
    <row r="7438" spans="1:28" ht="17.100000000000001" customHeight="1" thickTop="1">
      <c r="A7438" s="226" t="s">
        <v>20550</v>
      </c>
      <c r="B7438" s="28">
        <v>46105</v>
      </c>
      <c r="C7438" s="25">
        <v>812</v>
      </c>
      <c r="D7438" s="13" t="s">
        <v>1963</v>
      </c>
      <c r="E7438" s="228"/>
      <c r="F7438" s="109" t="s">
        <v>20570</v>
      </c>
      <c r="G7438" s="24"/>
      <c r="H7438" s="230">
        <v>4.5</v>
      </c>
      <c r="I7438" s="220">
        <v>1011000</v>
      </c>
      <c r="J7438" s="220">
        <f>I7438*0.1</f>
        <v>101100</v>
      </c>
      <c r="K7438" s="220">
        <v>0</v>
      </c>
      <c r="L7438" s="220">
        <v>6550</v>
      </c>
      <c r="M7438" s="220">
        <v>15950</v>
      </c>
      <c r="N7438" s="220">
        <f>SUM(I7438:M7439)</f>
        <v>1134600</v>
      </c>
      <c r="O7438" s="224"/>
      <c r="P7438" s="110" t="s">
        <v>21284</v>
      </c>
      <c r="Q7438" s="15" t="s">
        <v>19</v>
      </c>
      <c r="R7438" s="205"/>
      <c r="S7438" s="189" t="s">
        <v>25765</v>
      </c>
      <c r="T7438" s="114"/>
      <c r="U7438" s="21"/>
      <c r="V7438" s="115">
        <v>46109</v>
      </c>
      <c r="W7438" s="116">
        <v>1294</v>
      </c>
      <c r="X7438" s="220">
        <v>1135000</v>
      </c>
      <c r="Y7438" s="220">
        <f>X7438*0.1</f>
        <v>113500</v>
      </c>
      <c r="Z7438" s="220">
        <v>6550</v>
      </c>
      <c r="AA7438" s="220">
        <f>SUM(X7438:Z7438)</f>
        <v>1255050</v>
      </c>
      <c r="AB7438" s="222">
        <v>46118</v>
      </c>
    </row>
    <row r="7439" spans="1:28" ht="17.100000000000001" customHeight="1" thickBot="1">
      <c r="A7439" s="227"/>
      <c r="B7439" s="27" t="s">
        <v>3314</v>
      </c>
      <c r="C7439" s="27">
        <v>3103</v>
      </c>
      <c r="D7439" s="14" t="s">
        <v>2559</v>
      </c>
      <c r="E7439" s="229"/>
      <c r="F7439" s="117" t="s">
        <v>20571</v>
      </c>
      <c r="G7439" s="26">
        <v>10427</v>
      </c>
      <c r="H7439" s="231"/>
      <c r="I7439" s="221"/>
      <c r="J7439" s="221"/>
      <c r="K7439" s="221"/>
      <c r="L7439" s="221"/>
      <c r="M7439" s="221"/>
      <c r="N7439" s="221"/>
      <c r="O7439" s="225"/>
      <c r="P7439" s="118" t="s">
        <v>21285</v>
      </c>
      <c r="Q7439" s="16" t="s">
        <v>20</v>
      </c>
      <c r="R7439" s="17" t="s">
        <v>1634</v>
      </c>
      <c r="S7439" s="121" t="s">
        <v>12721</v>
      </c>
      <c r="T7439" s="122"/>
      <c r="U7439" s="22"/>
      <c r="V7439" s="123" t="s">
        <v>21250</v>
      </c>
      <c r="W7439" s="122">
        <v>60479</v>
      </c>
      <c r="X7439" s="221"/>
      <c r="Y7439" s="221"/>
      <c r="Z7439" s="221"/>
      <c r="AA7439" s="221"/>
      <c r="AB7439" s="223"/>
    </row>
    <row r="7440" spans="1:28" ht="17.100000000000001" customHeight="1" thickTop="1">
      <c r="A7440" s="226" t="s">
        <v>20551</v>
      </c>
      <c r="B7440" s="28">
        <v>46105</v>
      </c>
      <c r="C7440" s="25">
        <v>812</v>
      </c>
      <c r="D7440" s="13" t="s">
        <v>1846</v>
      </c>
      <c r="E7440" s="228"/>
      <c r="F7440" s="109" t="s">
        <v>2678</v>
      </c>
      <c r="G7440" s="24"/>
      <c r="H7440" s="230">
        <v>4</v>
      </c>
      <c r="I7440" s="220">
        <v>707000</v>
      </c>
      <c r="J7440" s="220">
        <f>I7440*0.1</f>
        <v>70700</v>
      </c>
      <c r="K7440" s="220">
        <v>0</v>
      </c>
      <c r="L7440" s="220">
        <v>18960</v>
      </c>
      <c r="M7440" s="220">
        <v>19250</v>
      </c>
      <c r="N7440" s="220">
        <f>SUM(I7440:M7441)</f>
        <v>815910</v>
      </c>
      <c r="O7440" s="224"/>
      <c r="P7440" s="110" t="s">
        <v>21148</v>
      </c>
      <c r="Q7440" s="15" t="s">
        <v>19</v>
      </c>
      <c r="R7440" s="205"/>
      <c r="S7440" s="189"/>
      <c r="T7440" s="114"/>
      <c r="U7440" s="21"/>
      <c r="V7440" s="115">
        <v>46109</v>
      </c>
      <c r="W7440" s="116">
        <v>1294</v>
      </c>
      <c r="X7440" s="220">
        <v>860000</v>
      </c>
      <c r="Y7440" s="220">
        <f>X7440*0.1</f>
        <v>86000</v>
      </c>
      <c r="Z7440" s="220">
        <v>18960</v>
      </c>
      <c r="AA7440" s="220">
        <f>SUM(X7440:Z7440)</f>
        <v>964960</v>
      </c>
      <c r="AB7440" s="222">
        <v>46114</v>
      </c>
    </row>
    <row r="7441" spans="1:28" ht="17.100000000000001" customHeight="1" thickBot="1">
      <c r="A7441" s="227"/>
      <c r="B7441" s="27" t="s">
        <v>3314</v>
      </c>
      <c r="C7441" s="27">
        <v>5013</v>
      </c>
      <c r="D7441" s="14" t="s">
        <v>131</v>
      </c>
      <c r="E7441" s="229"/>
      <c r="F7441" s="117" t="s">
        <v>20580</v>
      </c>
      <c r="G7441" s="26">
        <v>47008</v>
      </c>
      <c r="H7441" s="231"/>
      <c r="I7441" s="221"/>
      <c r="J7441" s="221"/>
      <c r="K7441" s="221"/>
      <c r="L7441" s="221"/>
      <c r="M7441" s="221"/>
      <c r="N7441" s="221"/>
      <c r="O7441" s="225"/>
      <c r="P7441" s="118" t="s">
        <v>12098</v>
      </c>
      <c r="Q7441" s="16" t="s">
        <v>20</v>
      </c>
      <c r="R7441" s="17" t="s">
        <v>1897</v>
      </c>
      <c r="S7441" s="121" t="s">
        <v>4008</v>
      </c>
      <c r="T7441" s="122"/>
      <c r="U7441" s="22"/>
      <c r="V7441" s="123" t="s">
        <v>21250</v>
      </c>
      <c r="W7441" s="122">
        <v>80391</v>
      </c>
      <c r="X7441" s="221"/>
      <c r="Y7441" s="221"/>
      <c r="Z7441" s="221"/>
      <c r="AA7441" s="221"/>
      <c r="AB7441" s="223"/>
    </row>
    <row r="7442" spans="1:28" ht="17.100000000000001" customHeight="1" thickTop="1">
      <c r="A7442" s="226" t="s">
        <v>20552</v>
      </c>
      <c r="B7442" s="28">
        <v>46105</v>
      </c>
      <c r="C7442" s="25">
        <v>812</v>
      </c>
      <c r="D7442" s="13" t="s">
        <v>2324</v>
      </c>
      <c r="E7442" s="228"/>
      <c r="F7442" s="109" t="s">
        <v>17752</v>
      </c>
      <c r="G7442" s="24" t="s">
        <v>6610</v>
      </c>
      <c r="H7442" s="230">
        <v>4.5</v>
      </c>
      <c r="I7442" s="220">
        <v>1468000</v>
      </c>
      <c r="J7442" s="220">
        <f>I7442*0.1</f>
        <v>146800</v>
      </c>
      <c r="K7442" s="220">
        <v>30500</v>
      </c>
      <c r="L7442" s="220">
        <v>15180</v>
      </c>
      <c r="M7442" s="220">
        <v>15950</v>
      </c>
      <c r="N7442" s="220">
        <f>SUM(I7442:M7443)</f>
        <v>1676430</v>
      </c>
      <c r="O7442" s="224"/>
      <c r="P7442" s="110" t="s">
        <v>20583</v>
      </c>
      <c r="Q7442" s="15" t="s">
        <v>19</v>
      </c>
      <c r="R7442" s="205"/>
      <c r="S7442" s="189" t="s">
        <v>25732</v>
      </c>
      <c r="T7442" s="114"/>
      <c r="U7442" s="21"/>
      <c r="V7442" s="115">
        <v>46109</v>
      </c>
      <c r="W7442" s="116">
        <v>1294</v>
      </c>
      <c r="X7442" s="220">
        <v>1660000</v>
      </c>
      <c r="Y7442" s="220">
        <f>X7442*0.1</f>
        <v>166000</v>
      </c>
      <c r="Z7442" s="220">
        <v>15180</v>
      </c>
      <c r="AA7442" s="220">
        <f>SUM(X7442:Z7442)</f>
        <v>1841180</v>
      </c>
      <c r="AB7442" s="222">
        <v>46114</v>
      </c>
    </row>
    <row r="7443" spans="1:28" ht="17.100000000000001" customHeight="1" thickBot="1">
      <c r="A7443" s="227"/>
      <c r="B7443" s="27" t="s">
        <v>3314</v>
      </c>
      <c r="C7443" s="27">
        <v>5023</v>
      </c>
      <c r="D7443" s="14" t="s">
        <v>1548</v>
      </c>
      <c r="E7443" s="229"/>
      <c r="F7443" s="117" t="s">
        <v>20581</v>
      </c>
      <c r="G7443" s="26">
        <v>49219</v>
      </c>
      <c r="H7443" s="231"/>
      <c r="I7443" s="221"/>
      <c r="J7443" s="221"/>
      <c r="K7443" s="221"/>
      <c r="L7443" s="221"/>
      <c r="M7443" s="221"/>
      <c r="N7443" s="221"/>
      <c r="O7443" s="225"/>
      <c r="P7443" s="118" t="s">
        <v>21147</v>
      </c>
      <c r="Q7443" s="16" t="s">
        <v>20</v>
      </c>
      <c r="R7443" s="17" t="s">
        <v>1897</v>
      </c>
      <c r="S7443" s="121" t="s">
        <v>1680</v>
      </c>
      <c r="T7443" s="122"/>
      <c r="U7443" s="22"/>
      <c r="V7443" s="123" t="s">
        <v>21250</v>
      </c>
      <c r="W7443" s="122">
        <v>80379</v>
      </c>
      <c r="X7443" s="221"/>
      <c r="Y7443" s="221"/>
      <c r="Z7443" s="221"/>
      <c r="AA7443" s="221"/>
      <c r="AB7443" s="223"/>
    </row>
    <row r="7444" spans="1:28" ht="17.100000000000001" customHeight="1" thickTop="1">
      <c r="A7444" s="226" t="s">
        <v>20553</v>
      </c>
      <c r="B7444" s="28">
        <v>46105</v>
      </c>
      <c r="C7444" s="25">
        <v>812</v>
      </c>
      <c r="D7444" s="13" t="s">
        <v>1788</v>
      </c>
      <c r="E7444" s="228"/>
      <c r="F7444" s="109" t="s">
        <v>2678</v>
      </c>
      <c r="G7444" s="24"/>
      <c r="H7444" s="230">
        <v>4</v>
      </c>
      <c r="I7444" s="220">
        <v>686000</v>
      </c>
      <c r="J7444" s="220">
        <f>I7444*0.1</f>
        <v>68600</v>
      </c>
      <c r="K7444" s="220">
        <v>0</v>
      </c>
      <c r="L7444" s="220">
        <v>18960</v>
      </c>
      <c r="M7444" s="220">
        <v>15950</v>
      </c>
      <c r="N7444" s="220">
        <f>SUM(I7444:M7445)</f>
        <v>789510</v>
      </c>
      <c r="O7444" s="224"/>
      <c r="P7444" s="110" t="s">
        <v>21124</v>
      </c>
      <c r="Q7444" s="15" t="s">
        <v>19</v>
      </c>
      <c r="R7444" s="205"/>
      <c r="S7444" s="189"/>
      <c r="T7444" s="114"/>
      <c r="U7444" s="21"/>
      <c r="V7444" s="115">
        <v>46116</v>
      </c>
      <c r="W7444" s="116">
        <v>1295</v>
      </c>
      <c r="X7444" s="220">
        <v>830000</v>
      </c>
      <c r="Y7444" s="220">
        <f>X7444*0.1</f>
        <v>83000</v>
      </c>
      <c r="Z7444" s="220">
        <v>18960</v>
      </c>
      <c r="AA7444" s="220">
        <f>SUM(X7444:Z7444)</f>
        <v>931960</v>
      </c>
      <c r="AB7444" s="222">
        <v>46119</v>
      </c>
    </row>
    <row r="7445" spans="1:28" ht="17.100000000000001" customHeight="1" thickBot="1">
      <c r="A7445" s="227"/>
      <c r="B7445" s="27" t="s">
        <v>3314</v>
      </c>
      <c r="C7445" s="27">
        <v>5027</v>
      </c>
      <c r="D7445" s="14" t="s">
        <v>131</v>
      </c>
      <c r="E7445" s="229"/>
      <c r="F7445" s="117" t="s">
        <v>20584</v>
      </c>
      <c r="G7445" s="26">
        <v>50175</v>
      </c>
      <c r="H7445" s="231"/>
      <c r="I7445" s="221"/>
      <c r="J7445" s="221"/>
      <c r="K7445" s="221"/>
      <c r="L7445" s="221"/>
      <c r="M7445" s="221"/>
      <c r="N7445" s="221"/>
      <c r="O7445" s="225"/>
      <c r="P7445" s="118" t="s">
        <v>12098</v>
      </c>
      <c r="Q7445" s="16" t="s">
        <v>20</v>
      </c>
      <c r="R7445" s="17" t="s">
        <v>1897</v>
      </c>
      <c r="S7445" s="121"/>
      <c r="T7445" s="122"/>
      <c r="U7445" s="22"/>
      <c r="V7445" s="123" t="s">
        <v>2472</v>
      </c>
      <c r="W7445" s="122">
        <v>80003</v>
      </c>
      <c r="X7445" s="221"/>
      <c r="Y7445" s="221"/>
      <c r="Z7445" s="221"/>
      <c r="AA7445" s="221"/>
      <c r="AB7445" s="223"/>
    </row>
    <row r="7446" spans="1:28" ht="17.100000000000001" customHeight="1" thickTop="1">
      <c r="A7446" s="226" t="s">
        <v>20554</v>
      </c>
      <c r="B7446" s="28">
        <v>46105</v>
      </c>
      <c r="C7446" s="25">
        <v>812</v>
      </c>
      <c r="D7446" s="13" t="s">
        <v>3243</v>
      </c>
      <c r="E7446" s="228"/>
      <c r="F7446" s="109" t="s">
        <v>20572</v>
      </c>
      <c r="G7446" s="24" t="s">
        <v>2926</v>
      </c>
      <c r="H7446" s="230">
        <v>4</v>
      </c>
      <c r="I7446" s="220">
        <v>550000</v>
      </c>
      <c r="J7446" s="220">
        <f>I7446*0.1</f>
        <v>55000</v>
      </c>
      <c r="K7446" s="220">
        <v>10800</v>
      </c>
      <c r="L7446" s="220">
        <v>8140</v>
      </c>
      <c r="M7446" s="220">
        <v>15950</v>
      </c>
      <c r="N7446" s="220">
        <f>SUM(I7446:M7447)</f>
        <v>639890</v>
      </c>
      <c r="O7446" s="224"/>
      <c r="P7446" s="110" t="s">
        <v>20585</v>
      </c>
      <c r="Q7446" s="15" t="s">
        <v>19</v>
      </c>
      <c r="R7446" s="205"/>
      <c r="S7446" s="189"/>
      <c r="T7446" s="114"/>
      <c r="U7446" s="21" t="s">
        <v>23155</v>
      </c>
      <c r="V7446" s="115"/>
      <c r="W7446" s="116"/>
      <c r="X7446" s="220"/>
      <c r="Y7446" s="220">
        <f>X7446*0.1</f>
        <v>0</v>
      </c>
      <c r="Z7446" s="220"/>
      <c r="AA7446" s="220">
        <f>SUM(X7446:Z7446)</f>
        <v>0</v>
      </c>
      <c r="AB7446" s="222"/>
    </row>
    <row r="7447" spans="1:28" ht="17.100000000000001" customHeight="1" thickBot="1">
      <c r="A7447" s="227"/>
      <c r="B7447" s="27" t="s">
        <v>3314</v>
      </c>
      <c r="C7447" s="27">
        <v>9071</v>
      </c>
      <c r="D7447" s="14" t="s">
        <v>3792</v>
      </c>
      <c r="E7447" s="229"/>
      <c r="F7447" s="117" t="s">
        <v>20573</v>
      </c>
      <c r="G7447" s="26">
        <v>53272</v>
      </c>
      <c r="H7447" s="231"/>
      <c r="I7447" s="221"/>
      <c r="J7447" s="221"/>
      <c r="K7447" s="221"/>
      <c r="L7447" s="221"/>
      <c r="M7447" s="221"/>
      <c r="N7447" s="221"/>
      <c r="O7447" s="225"/>
      <c r="P7447" s="118" t="s">
        <v>20736</v>
      </c>
      <c r="Q7447" s="16" t="s">
        <v>20</v>
      </c>
      <c r="R7447" s="17" t="s">
        <v>1897</v>
      </c>
      <c r="S7447" s="121" t="s">
        <v>20851</v>
      </c>
      <c r="T7447" s="122"/>
      <c r="U7447" s="22"/>
      <c r="V7447" s="123"/>
      <c r="W7447" s="122"/>
      <c r="X7447" s="221"/>
      <c r="Y7447" s="221"/>
      <c r="Z7447" s="221"/>
      <c r="AA7447" s="221"/>
      <c r="AB7447" s="223"/>
    </row>
    <row r="7448" spans="1:28" ht="17.100000000000001" customHeight="1" thickTop="1">
      <c r="A7448" s="226" t="s">
        <v>20555</v>
      </c>
      <c r="B7448" s="28">
        <v>46105</v>
      </c>
      <c r="C7448" s="25">
        <v>932</v>
      </c>
      <c r="D7448" s="13" t="s">
        <v>853</v>
      </c>
      <c r="E7448" s="228"/>
      <c r="F7448" s="109" t="s">
        <v>9850</v>
      </c>
      <c r="G7448" s="24"/>
      <c r="H7448" s="230">
        <v>4</v>
      </c>
      <c r="I7448" s="220">
        <v>1296000</v>
      </c>
      <c r="J7448" s="220">
        <f>I7448*0.1</f>
        <v>129600</v>
      </c>
      <c r="K7448" s="220">
        <v>0</v>
      </c>
      <c r="L7448" s="220">
        <v>15100</v>
      </c>
      <c r="M7448" s="220">
        <v>15950</v>
      </c>
      <c r="N7448" s="220">
        <f>SUM(I7448:M7449)</f>
        <v>1456650</v>
      </c>
      <c r="O7448" s="224"/>
      <c r="P7448" s="110" t="s">
        <v>21149</v>
      </c>
      <c r="Q7448" s="15" t="s">
        <v>19</v>
      </c>
      <c r="R7448" s="205"/>
      <c r="S7448" s="189"/>
      <c r="T7448" s="114"/>
      <c r="U7448" s="21"/>
      <c r="V7448" s="115">
        <v>46109</v>
      </c>
      <c r="W7448" s="116">
        <v>1294</v>
      </c>
      <c r="X7448" s="220">
        <v>1535000</v>
      </c>
      <c r="Y7448" s="220">
        <f>X7448*0.1</f>
        <v>153500</v>
      </c>
      <c r="Z7448" s="220">
        <v>15100</v>
      </c>
      <c r="AA7448" s="220">
        <f>SUM(X7448:Z7448)</f>
        <v>1703600</v>
      </c>
      <c r="AB7448" s="222">
        <v>46114</v>
      </c>
    </row>
    <row r="7449" spans="1:28" ht="17.100000000000001" customHeight="1" thickBot="1">
      <c r="A7449" s="227"/>
      <c r="B7449" s="27" t="s">
        <v>2654</v>
      </c>
      <c r="C7449" s="27">
        <v>5026</v>
      </c>
      <c r="D7449" s="14" t="s">
        <v>2753</v>
      </c>
      <c r="E7449" s="229"/>
      <c r="F7449" s="117" t="s">
        <v>20586</v>
      </c>
      <c r="G7449" s="26">
        <v>32802</v>
      </c>
      <c r="H7449" s="231"/>
      <c r="I7449" s="221"/>
      <c r="J7449" s="221"/>
      <c r="K7449" s="221"/>
      <c r="L7449" s="221"/>
      <c r="M7449" s="221"/>
      <c r="N7449" s="221"/>
      <c r="O7449" s="225"/>
      <c r="P7449" s="118" t="s">
        <v>15866</v>
      </c>
      <c r="Q7449" s="16" t="s">
        <v>20</v>
      </c>
      <c r="R7449" s="17" t="s">
        <v>1897</v>
      </c>
      <c r="S7449" s="121" t="s">
        <v>20842</v>
      </c>
      <c r="T7449" s="122"/>
      <c r="U7449" s="22"/>
      <c r="V7449" s="123" t="s">
        <v>21250</v>
      </c>
      <c r="W7449" s="122">
        <v>80400</v>
      </c>
      <c r="X7449" s="221"/>
      <c r="Y7449" s="221"/>
      <c r="Z7449" s="221"/>
      <c r="AA7449" s="221"/>
      <c r="AB7449" s="223"/>
    </row>
    <row r="7450" spans="1:28" ht="17.100000000000001" customHeight="1" thickTop="1">
      <c r="A7450" s="226" t="s">
        <v>20556</v>
      </c>
      <c r="B7450" s="28">
        <v>46105</v>
      </c>
      <c r="C7450" s="25">
        <v>1233</v>
      </c>
      <c r="D7450" s="13" t="s">
        <v>1788</v>
      </c>
      <c r="E7450" s="228"/>
      <c r="F7450" s="109" t="s">
        <v>2678</v>
      </c>
      <c r="G7450" s="24"/>
      <c r="H7450" s="230">
        <v>4</v>
      </c>
      <c r="I7450" s="220">
        <v>1405000</v>
      </c>
      <c r="J7450" s="220">
        <f>I7450*0.1</f>
        <v>140500</v>
      </c>
      <c r="K7450" s="220">
        <v>0</v>
      </c>
      <c r="L7450" s="220">
        <v>19090</v>
      </c>
      <c r="M7450" s="220">
        <v>15950</v>
      </c>
      <c r="N7450" s="220">
        <f>SUM(I7450:M7451)</f>
        <v>1580540</v>
      </c>
      <c r="O7450" s="224"/>
      <c r="P7450" s="110" t="s">
        <v>21286</v>
      </c>
      <c r="Q7450" s="15" t="s">
        <v>19</v>
      </c>
      <c r="R7450" s="205"/>
      <c r="S7450" s="189"/>
      <c r="T7450" s="114"/>
      <c r="U7450" s="21"/>
      <c r="V7450" s="115">
        <v>46109</v>
      </c>
      <c r="W7450" s="116">
        <v>1294</v>
      </c>
      <c r="X7450" s="220">
        <v>1545000</v>
      </c>
      <c r="Y7450" s="220">
        <f>X7450*0.1</f>
        <v>154500</v>
      </c>
      <c r="Z7450" s="220">
        <v>19090</v>
      </c>
      <c r="AA7450" s="220">
        <f>SUM(X7450:Z7450)</f>
        <v>1718590</v>
      </c>
      <c r="AB7450" s="222">
        <v>46118</v>
      </c>
    </row>
    <row r="7451" spans="1:28" ht="17.100000000000001" customHeight="1" thickBot="1">
      <c r="A7451" s="227"/>
      <c r="B7451" s="27" t="s">
        <v>2344</v>
      </c>
      <c r="C7451" s="27">
        <v>5073</v>
      </c>
      <c r="D7451" s="14" t="s">
        <v>1568</v>
      </c>
      <c r="E7451" s="229"/>
      <c r="F7451" s="117" t="s">
        <v>20587</v>
      </c>
      <c r="G7451" s="26">
        <v>49241</v>
      </c>
      <c r="H7451" s="231"/>
      <c r="I7451" s="221"/>
      <c r="J7451" s="221"/>
      <c r="K7451" s="221"/>
      <c r="L7451" s="221"/>
      <c r="M7451" s="221"/>
      <c r="N7451" s="221"/>
      <c r="O7451" s="225"/>
      <c r="P7451" s="118" t="s">
        <v>8109</v>
      </c>
      <c r="Q7451" s="16" t="s">
        <v>20</v>
      </c>
      <c r="R7451" s="17" t="s">
        <v>1634</v>
      </c>
      <c r="S7451" s="121" t="s">
        <v>4008</v>
      </c>
      <c r="T7451" s="122"/>
      <c r="U7451" s="22"/>
      <c r="V7451" s="123" t="s">
        <v>21250</v>
      </c>
      <c r="W7451" s="122">
        <v>80402</v>
      </c>
      <c r="X7451" s="221"/>
      <c r="Y7451" s="221"/>
      <c r="Z7451" s="221"/>
      <c r="AA7451" s="221"/>
      <c r="AB7451" s="223"/>
    </row>
    <row r="7452" spans="1:28" ht="17.100000000000001" customHeight="1" thickTop="1">
      <c r="A7452" s="226" t="s">
        <v>20557</v>
      </c>
      <c r="B7452" s="28">
        <v>46105</v>
      </c>
      <c r="C7452" s="25">
        <v>1233</v>
      </c>
      <c r="D7452" s="13" t="s">
        <v>1704</v>
      </c>
      <c r="E7452" s="228"/>
      <c r="F7452" s="109" t="s">
        <v>17162</v>
      </c>
      <c r="G7452" s="24"/>
      <c r="H7452" s="230">
        <v>4</v>
      </c>
      <c r="I7452" s="220">
        <v>904000</v>
      </c>
      <c r="J7452" s="220">
        <f>I7452*0.1</f>
        <v>90400</v>
      </c>
      <c r="K7452" s="220">
        <v>0</v>
      </c>
      <c r="L7452" s="220">
        <v>7440</v>
      </c>
      <c r="M7452" s="220">
        <v>15950</v>
      </c>
      <c r="N7452" s="220">
        <f>SUM(I7452:M7453)</f>
        <v>1017790</v>
      </c>
      <c r="O7452" s="224"/>
      <c r="P7452" s="110" t="s">
        <v>21157</v>
      </c>
      <c r="Q7452" s="15" t="s">
        <v>19</v>
      </c>
      <c r="R7452" s="205"/>
      <c r="S7452" s="189"/>
      <c r="T7452" s="114"/>
      <c r="U7452" s="21"/>
      <c r="V7452" s="115">
        <v>46109</v>
      </c>
      <c r="W7452" s="116">
        <v>1294</v>
      </c>
      <c r="X7452" s="220">
        <v>1050000</v>
      </c>
      <c r="Y7452" s="220">
        <f>X7452*0.1</f>
        <v>105000</v>
      </c>
      <c r="Z7452" s="220">
        <v>7440</v>
      </c>
      <c r="AA7452" s="220">
        <f>SUM(X7452:Z7452)</f>
        <v>1162440</v>
      </c>
      <c r="AB7452" s="222">
        <v>46114</v>
      </c>
    </row>
    <row r="7453" spans="1:28" ht="17.100000000000001" customHeight="1" thickBot="1">
      <c r="A7453" s="227"/>
      <c r="B7453" s="27" t="s">
        <v>2344</v>
      </c>
      <c r="C7453" s="27">
        <v>62012</v>
      </c>
      <c r="D7453" s="14" t="s">
        <v>1584</v>
      </c>
      <c r="E7453" s="229"/>
      <c r="F7453" s="117" t="s">
        <v>20574</v>
      </c>
      <c r="G7453" s="26">
        <v>34613</v>
      </c>
      <c r="H7453" s="231"/>
      <c r="I7453" s="221"/>
      <c r="J7453" s="221"/>
      <c r="K7453" s="221"/>
      <c r="L7453" s="221"/>
      <c r="M7453" s="221"/>
      <c r="N7453" s="221"/>
      <c r="O7453" s="225"/>
      <c r="P7453" s="118" t="s">
        <v>10936</v>
      </c>
      <c r="Q7453" s="16" t="s">
        <v>20</v>
      </c>
      <c r="R7453" s="17" t="s">
        <v>1897</v>
      </c>
      <c r="S7453" s="121" t="s">
        <v>4852</v>
      </c>
      <c r="T7453" s="122"/>
      <c r="U7453" s="22"/>
      <c r="V7453" s="123" t="s">
        <v>21250</v>
      </c>
      <c r="W7453" s="122">
        <v>41066</v>
      </c>
      <c r="X7453" s="221"/>
      <c r="Y7453" s="221"/>
      <c r="Z7453" s="221"/>
      <c r="AA7453" s="221"/>
      <c r="AB7453" s="223"/>
    </row>
    <row r="7454" spans="1:28" ht="17.100000000000001" customHeight="1" thickTop="1">
      <c r="A7454" s="226" t="s">
        <v>20558</v>
      </c>
      <c r="B7454" s="28">
        <v>46105</v>
      </c>
      <c r="C7454" s="25">
        <v>1233</v>
      </c>
      <c r="D7454" s="13" t="s">
        <v>1837</v>
      </c>
      <c r="E7454" s="228"/>
      <c r="F7454" s="109" t="s">
        <v>20575</v>
      </c>
      <c r="G7454" s="24"/>
      <c r="H7454" s="230">
        <v>4</v>
      </c>
      <c r="I7454" s="220">
        <v>1059000</v>
      </c>
      <c r="J7454" s="220">
        <f>I7454*0.1</f>
        <v>105900</v>
      </c>
      <c r="K7454" s="220">
        <v>0</v>
      </c>
      <c r="L7454" s="220">
        <v>7440</v>
      </c>
      <c r="M7454" s="220">
        <v>15950</v>
      </c>
      <c r="N7454" s="220">
        <f>SUM(I7454:M7455)</f>
        <v>1188290</v>
      </c>
      <c r="O7454" s="224"/>
      <c r="P7454" s="110" t="s">
        <v>21158</v>
      </c>
      <c r="Q7454" s="15" t="s">
        <v>19</v>
      </c>
      <c r="R7454" s="205"/>
      <c r="S7454" s="189"/>
      <c r="T7454" s="114"/>
      <c r="U7454" s="21"/>
      <c r="V7454" s="115">
        <v>46116</v>
      </c>
      <c r="W7454" s="116">
        <v>1295</v>
      </c>
      <c r="X7454" s="220">
        <v>1210000</v>
      </c>
      <c r="Y7454" s="220">
        <f>X7454*0.1</f>
        <v>121000</v>
      </c>
      <c r="Z7454" s="220">
        <v>7440</v>
      </c>
      <c r="AA7454" s="220">
        <f>SUM(X7454:Z7454)</f>
        <v>1338440</v>
      </c>
      <c r="AB7454" s="222">
        <v>46119</v>
      </c>
    </row>
    <row r="7455" spans="1:28" ht="17.100000000000001" customHeight="1" thickBot="1">
      <c r="A7455" s="227"/>
      <c r="B7455" s="27" t="s">
        <v>2344</v>
      </c>
      <c r="C7455" s="27">
        <v>62023</v>
      </c>
      <c r="D7455" s="14" t="s">
        <v>1584</v>
      </c>
      <c r="E7455" s="229"/>
      <c r="F7455" s="117" t="s">
        <v>20576</v>
      </c>
      <c r="G7455" s="26">
        <v>42771</v>
      </c>
      <c r="H7455" s="231"/>
      <c r="I7455" s="221"/>
      <c r="J7455" s="221"/>
      <c r="K7455" s="221"/>
      <c r="L7455" s="221"/>
      <c r="M7455" s="221"/>
      <c r="N7455" s="221"/>
      <c r="O7455" s="225"/>
      <c r="P7455" s="118" t="s">
        <v>21145</v>
      </c>
      <c r="Q7455" s="16" t="s">
        <v>20</v>
      </c>
      <c r="R7455" s="17" t="s">
        <v>1897</v>
      </c>
      <c r="S7455" s="121" t="s">
        <v>2236</v>
      </c>
      <c r="T7455" s="122"/>
      <c r="U7455" s="22"/>
      <c r="V7455" s="123" t="s">
        <v>2472</v>
      </c>
      <c r="W7455" s="122">
        <v>41014</v>
      </c>
      <c r="X7455" s="221"/>
      <c r="Y7455" s="221"/>
      <c r="Z7455" s="221"/>
      <c r="AA7455" s="221"/>
      <c r="AB7455" s="223"/>
    </row>
    <row r="7456" spans="1:28" ht="17.100000000000001" customHeight="1" thickTop="1">
      <c r="A7456" s="226" t="s">
        <v>20559</v>
      </c>
      <c r="B7456" s="28">
        <v>46105</v>
      </c>
      <c r="C7456" s="25">
        <v>983</v>
      </c>
      <c r="D7456" s="13" t="s">
        <v>2652</v>
      </c>
      <c r="E7456" s="228"/>
      <c r="F7456" s="109" t="s">
        <v>19462</v>
      </c>
      <c r="G7456" s="24"/>
      <c r="H7456" s="230">
        <v>4</v>
      </c>
      <c r="I7456" s="220">
        <v>1263000</v>
      </c>
      <c r="J7456" s="220">
        <f>I7456*0.1</f>
        <v>126300</v>
      </c>
      <c r="K7456" s="220">
        <v>0</v>
      </c>
      <c r="L7456" s="220">
        <v>14200</v>
      </c>
      <c r="M7456" s="220">
        <v>22000</v>
      </c>
      <c r="N7456" s="220">
        <f>SUM(I7456:M7457)</f>
        <v>1425500</v>
      </c>
      <c r="O7456" s="224"/>
      <c r="P7456" s="110" t="s">
        <v>21290</v>
      </c>
      <c r="Q7456" s="15" t="s">
        <v>19</v>
      </c>
      <c r="R7456" s="205"/>
      <c r="S7456" s="189" t="s">
        <v>758</v>
      </c>
      <c r="T7456" s="114"/>
      <c r="U7456" s="21"/>
      <c r="V7456" s="115">
        <v>46112</v>
      </c>
      <c r="W7456" s="116">
        <v>1935</v>
      </c>
      <c r="X7456" s="220">
        <v>1310000</v>
      </c>
      <c r="Y7456" s="220">
        <f>X7456*0.1</f>
        <v>131000</v>
      </c>
      <c r="Z7456" s="220">
        <v>14200</v>
      </c>
      <c r="AA7456" s="220">
        <f>SUM(X7456:Z7456)</f>
        <v>1455200</v>
      </c>
      <c r="AB7456" s="222"/>
    </row>
    <row r="7457" spans="1:28" ht="17.100000000000001" customHeight="1" thickBot="1">
      <c r="A7457" s="227"/>
      <c r="B7457" s="27" t="s">
        <v>17765</v>
      </c>
      <c r="C7457" s="27">
        <v>39</v>
      </c>
      <c r="D7457" s="14" t="s">
        <v>2753</v>
      </c>
      <c r="E7457" s="229"/>
      <c r="F7457" s="117" t="s">
        <v>20590</v>
      </c>
      <c r="G7457" s="26">
        <v>2245</v>
      </c>
      <c r="H7457" s="231"/>
      <c r="I7457" s="221"/>
      <c r="J7457" s="221"/>
      <c r="K7457" s="221"/>
      <c r="L7457" s="221"/>
      <c r="M7457" s="221"/>
      <c r="N7457" s="221"/>
      <c r="O7457" s="225"/>
      <c r="P7457" s="118" t="s">
        <v>2446</v>
      </c>
      <c r="Q7457" s="16" t="s">
        <v>20</v>
      </c>
      <c r="R7457" s="17" t="s">
        <v>1634</v>
      </c>
      <c r="S7457" s="121" t="s">
        <v>20795</v>
      </c>
      <c r="T7457" s="122"/>
      <c r="U7457" s="22"/>
      <c r="V7457" s="123" t="s">
        <v>21196</v>
      </c>
      <c r="W7457" s="122">
        <v>3393</v>
      </c>
      <c r="X7457" s="221"/>
      <c r="Y7457" s="221"/>
      <c r="Z7457" s="221"/>
      <c r="AA7457" s="221"/>
      <c r="AB7457" s="223"/>
    </row>
    <row r="7458" spans="1:28" ht="17.100000000000001" customHeight="1" thickTop="1">
      <c r="A7458" s="226" t="s">
        <v>20588</v>
      </c>
      <c r="B7458" s="28">
        <v>46105</v>
      </c>
      <c r="C7458" s="25">
        <v>983</v>
      </c>
      <c r="D7458" s="13" t="s">
        <v>2295</v>
      </c>
      <c r="E7458" s="228"/>
      <c r="F7458" s="109" t="s">
        <v>15631</v>
      </c>
      <c r="G7458" s="24"/>
      <c r="H7458" s="230">
        <v>3.5</v>
      </c>
      <c r="I7458" s="220">
        <v>564000</v>
      </c>
      <c r="J7458" s="220">
        <f>I7458*0.1</f>
        <v>56400</v>
      </c>
      <c r="K7458" s="220">
        <v>0</v>
      </c>
      <c r="L7458" s="220">
        <v>8400</v>
      </c>
      <c r="M7458" s="220">
        <v>22000</v>
      </c>
      <c r="N7458" s="220">
        <f>SUM(I7458:M7459)</f>
        <v>650800</v>
      </c>
      <c r="O7458" s="224"/>
      <c r="P7458" s="110" t="s">
        <v>21356</v>
      </c>
      <c r="Q7458" s="15" t="s">
        <v>19</v>
      </c>
      <c r="R7458" s="205"/>
      <c r="S7458" s="189" t="s">
        <v>25387</v>
      </c>
      <c r="T7458" s="114" t="s">
        <v>23929</v>
      </c>
      <c r="U7458" s="21"/>
      <c r="V7458" s="115">
        <v>46130</v>
      </c>
      <c r="W7458" s="116">
        <v>1297</v>
      </c>
      <c r="X7458" s="220">
        <v>635000</v>
      </c>
      <c r="Y7458" s="220">
        <f>X7458*0.1</f>
        <v>63500</v>
      </c>
      <c r="Z7458" s="220">
        <v>8400</v>
      </c>
      <c r="AA7458" s="220">
        <f>SUM(X7458:Z7458)</f>
        <v>706900</v>
      </c>
      <c r="AB7458" s="222">
        <v>46133</v>
      </c>
    </row>
    <row r="7459" spans="1:28" ht="17.100000000000001" customHeight="1" thickBot="1">
      <c r="A7459" s="227"/>
      <c r="B7459" s="27" t="s">
        <v>17765</v>
      </c>
      <c r="C7459" s="27">
        <v>1003</v>
      </c>
      <c r="D7459" s="14" t="s">
        <v>1584</v>
      </c>
      <c r="E7459" s="229"/>
      <c r="F7459" s="117" t="s">
        <v>20591</v>
      </c>
      <c r="G7459" s="26">
        <v>60221</v>
      </c>
      <c r="H7459" s="231"/>
      <c r="I7459" s="221"/>
      <c r="J7459" s="221"/>
      <c r="K7459" s="221"/>
      <c r="L7459" s="221"/>
      <c r="M7459" s="221"/>
      <c r="N7459" s="221"/>
      <c r="O7459" s="225"/>
      <c r="P7459" s="118" t="s">
        <v>2446</v>
      </c>
      <c r="Q7459" s="16" t="s">
        <v>20</v>
      </c>
      <c r="R7459" s="17" t="s">
        <v>1634</v>
      </c>
      <c r="S7459" s="121" t="s">
        <v>20795</v>
      </c>
      <c r="T7459" s="122"/>
      <c r="U7459" s="22"/>
      <c r="V7459" s="123" t="s">
        <v>2472</v>
      </c>
      <c r="W7459" s="122">
        <v>62070</v>
      </c>
      <c r="X7459" s="221"/>
      <c r="Y7459" s="221"/>
      <c r="Z7459" s="221"/>
      <c r="AA7459" s="221"/>
      <c r="AB7459" s="223"/>
    </row>
    <row r="7460" spans="1:28" ht="17.100000000000001" customHeight="1" thickTop="1">
      <c r="A7460" s="226" t="s">
        <v>20589</v>
      </c>
      <c r="B7460" s="28">
        <v>46105</v>
      </c>
      <c r="C7460" s="25">
        <v>983</v>
      </c>
      <c r="D7460" s="13" t="s">
        <v>1935</v>
      </c>
      <c r="E7460" s="228"/>
      <c r="F7460" s="109" t="s">
        <v>20592</v>
      </c>
      <c r="G7460" s="24"/>
      <c r="H7460" s="230">
        <v>4</v>
      </c>
      <c r="I7460" s="220">
        <v>883000</v>
      </c>
      <c r="J7460" s="220">
        <f>I7460*0.1</f>
        <v>88300</v>
      </c>
      <c r="K7460" s="220">
        <v>0</v>
      </c>
      <c r="L7460" s="220">
        <v>8110</v>
      </c>
      <c r="M7460" s="220">
        <v>22000</v>
      </c>
      <c r="N7460" s="220">
        <f>SUM(I7460:M7461)</f>
        <v>1001410</v>
      </c>
      <c r="O7460" s="224"/>
      <c r="P7460" s="110" t="s">
        <v>21357</v>
      </c>
      <c r="Q7460" s="15" t="s">
        <v>19</v>
      </c>
      <c r="R7460" s="205"/>
      <c r="S7460" s="189" t="s">
        <v>25387</v>
      </c>
      <c r="T7460" s="114"/>
      <c r="U7460" s="21"/>
      <c r="V7460" s="115"/>
      <c r="W7460" s="116"/>
      <c r="X7460" s="220"/>
      <c r="Y7460" s="220">
        <f>X7460*0.1</f>
        <v>0</v>
      </c>
      <c r="Z7460" s="220"/>
      <c r="AA7460" s="220">
        <f>SUM(X7460:Z7460)</f>
        <v>0</v>
      </c>
      <c r="AB7460" s="222"/>
    </row>
    <row r="7461" spans="1:28" ht="17.100000000000001" customHeight="1" thickBot="1">
      <c r="A7461" s="227"/>
      <c r="B7461" s="27" t="s">
        <v>17765</v>
      </c>
      <c r="C7461" s="27">
        <v>1023</v>
      </c>
      <c r="D7461" s="14" t="s">
        <v>1584</v>
      </c>
      <c r="E7461" s="229"/>
      <c r="F7461" s="117" t="s">
        <v>20593</v>
      </c>
      <c r="G7461" s="26">
        <v>54910</v>
      </c>
      <c r="H7461" s="231"/>
      <c r="I7461" s="221"/>
      <c r="J7461" s="221"/>
      <c r="K7461" s="221"/>
      <c r="L7461" s="221"/>
      <c r="M7461" s="221"/>
      <c r="N7461" s="221"/>
      <c r="O7461" s="225"/>
      <c r="P7461" s="118" t="s">
        <v>2446</v>
      </c>
      <c r="Q7461" s="16" t="s">
        <v>20</v>
      </c>
      <c r="R7461" s="17" t="s">
        <v>1634</v>
      </c>
      <c r="S7461" s="121" t="s">
        <v>20852</v>
      </c>
      <c r="T7461" s="122"/>
      <c r="U7461" s="22"/>
      <c r="V7461" s="123"/>
      <c r="W7461" s="122"/>
      <c r="X7461" s="221"/>
      <c r="Y7461" s="221"/>
      <c r="Z7461" s="221"/>
      <c r="AA7461" s="221"/>
      <c r="AB7461" s="223"/>
    </row>
    <row r="7462" spans="1:28" ht="17.100000000000001" customHeight="1" thickTop="1">
      <c r="A7462" s="226" t="s">
        <v>20594</v>
      </c>
      <c r="B7462" s="28">
        <v>46106</v>
      </c>
      <c r="C7462" s="25">
        <v>1010</v>
      </c>
      <c r="D7462" s="13" t="s">
        <v>1658</v>
      </c>
      <c r="E7462" s="228"/>
      <c r="F7462" s="109" t="s">
        <v>20602</v>
      </c>
      <c r="G7462" s="24" t="s">
        <v>2084</v>
      </c>
      <c r="H7462" s="230">
        <v>4</v>
      </c>
      <c r="I7462" s="220">
        <v>595000</v>
      </c>
      <c r="J7462" s="220">
        <f>I7462*0.1</f>
        <v>59500</v>
      </c>
      <c r="K7462" s="220">
        <v>10800</v>
      </c>
      <c r="L7462" s="220">
        <v>7950</v>
      </c>
      <c r="M7462" s="220">
        <v>12100</v>
      </c>
      <c r="N7462" s="220">
        <f>SUM(I7462:M7463)</f>
        <v>685350</v>
      </c>
      <c r="O7462" s="224"/>
      <c r="P7462" s="110" t="s">
        <v>20615</v>
      </c>
      <c r="Q7462" s="15" t="s">
        <v>19</v>
      </c>
      <c r="R7462" s="205"/>
      <c r="S7462" s="189" t="s">
        <v>758</v>
      </c>
      <c r="T7462" s="114"/>
      <c r="U7462" s="85" t="s">
        <v>21963</v>
      </c>
      <c r="V7462" s="115">
        <v>46123</v>
      </c>
      <c r="W7462" s="116">
        <v>1296</v>
      </c>
      <c r="X7462" s="220">
        <v>670000</v>
      </c>
      <c r="Y7462" s="220">
        <f>X7462*0.1</f>
        <v>67000</v>
      </c>
      <c r="Z7462" s="220">
        <v>7950</v>
      </c>
      <c r="AA7462" s="220">
        <f>SUM(X7462:Z7462)</f>
        <v>744950</v>
      </c>
      <c r="AB7462" s="222">
        <v>46126</v>
      </c>
    </row>
    <row r="7463" spans="1:28" ht="17.100000000000001" customHeight="1" thickBot="1">
      <c r="A7463" s="227"/>
      <c r="B7463" s="27" t="s">
        <v>2747</v>
      </c>
      <c r="C7463" s="27">
        <v>1076</v>
      </c>
      <c r="D7463" s="14" t="s">
        <v>2559</v>
      </c>
      <c r="E7463" s="229"/>
      <c r="F7463" s="117" t="s">
        <v>20603</v>
      </c>
      <c r="G7463" s="26">
        <v>45181</v>
      </c>
      <c r="H7463" s="231"/>
      <c r="I7463" s="221"/>
      <c r="J7463" s="221"/>
      <c r="K7463" s="221"/>
      <c r="L7463" s="221"/>
      <c r="M7463" s="221"/>
      <c r="N7463" s="221"/>
      <c r="O7463" s="225"/>
      <c r="P7463" s="118" t="s">
        <v>18842</v>
      </c>
      <c r="Q7463" s="16" t="s">
        <v>20</v>
      </c>
      <c r="R7463" s="17" t="s">
        <v>1634</v>
      </c>
      <c r="S7463" s="121" t="s">
        <v>169</v>
      </c>
      <c r="T7463" s="122"/>
      <c r="U7463" s="22"/>
      <c r="V7463" s="123" t="s">
        <v>2472</v>
      </c>
      <c r="W7463" s="122">
        <v>60149</v>
      </c>
      <c r="X7463" s="221"/>
      <c r="Y7463" s="221"/>
      <c r="Z7463" s="221"/>
      <c r="AA7463" s="221"/>
      <c r="AB7463" s="223"/>
    </row>
    <row r="7464" spans="1:28" ht="17.100000000000001" customHeight="1" thickTop="1">
      <c r="A7464" s="226" t="s">
        <v>20595</v>
      </c>
      <c r="B7464" s="28">
        <v>46106</v>
      </c>
      <c r="C7464" s="25">
        <v>1010</v>
      </c>
      <c r="D7464" s="13" t="s">
        <v>2150</v>
      </c>
      <c r="E7464" s="228"/>
      <c r="F7464" s="109" t="s">
        <v>20604</v>
      </c>
      <c r="G7464" s="24" t="s">
        <v>19173</v>
      </c>
      <c r="H7464" s="230">
        <v>4</v>
      </c>
      <c r="I7464" s="220">
        <v>490000</v>
      </c>
      <c r="J7464" s="220">
        <f>I7464*0.1</f>
        <v>49000</v>
      </c>
      <c r="K7464" s="220">
        <v>10800</v>
      </c>
      <c r="L7464" s="220">
        <v>9790</v>
      </c>
      <c r="M7464" s="220">
        <v>12100</v>
      </c>
      <c r="N7464" s="220">
        <f>SUM(I7464:M7465)</f>
        <v>571690</v>
      </c>
      <c r="O7464" s="224"/>
      <c r="P7464" s="110" t="s">
        <v>20616</v>
      </c>
      <c r="Q7464" s="15" t="s">
        <v>19</v>
      </c>
      <c r="R7464" s="205"/>
      <c r="S7464" s="189" t="s">
        <v>25888</v>
      </c>
      <c r="T7464" s="114"/>
      <c r="U7464" s="85" t="s">
        <v>21842</v>
      </c>
      <c r="V7464" s="115">
        <v>46116</v>
      </c>
      <c r="W7464" s="116">
        <v>1295</v>
      </c>
      <c r="X7464" s="220">
        <v>600000</v>
      </c>
      <c r="Y7464" s="220">
        <f>X7464*0.1</f>
        <v>60000</v>
      </c>
      <c r="Z7464" s="220">
        <v>9790</v>
      </c>
      <c r="AA7464" s="220">
        <f>SUM(X7464:Z7464)</f>
        <v>669790</v>
      </c>
      <c r="AB7464" s="222">
        <v>46126</v>
      </c>
    </row>
    <row r="7465" spans="1:28" ht="17.100000000000001" customHeight="1" thickBot="1">
      <c r="A7465" s="227"/>
      <c r="B7465" s="27" t="s">
        <v>2747</v>
      </c>
      <c r="C7465" s="27">
        <v>1115</v>
      </c>
      <c r="D7465" s="14" t="s">
        <v>2291</v>
      </c>
      <c r="E7465" s="229"/>
      <c r="F7465" s="117" t="s">
        <v>20605</v>
      </c>
      <c r="G7465" s="26">
        <v>58960</v>
      </c>
      <c r="H7465" s="231"/>
      <c r="I7465" s="221"/>
      <c r="J7465" s="221"/>
      <c r="K7465" s="221"/>
      <c r="L7465" s="221"/>
      <c r="M7465" s="221"/>
      <c r="N7465" s="221"/>
      <c r="O7465" s="225"/>
      <c r="P7465" s="118" t="s">
        <v>19999</v>
      </c>
      <c r="Q7465" s="16" t="s">
        <v>20</v>
      </c>
      <c r="R7465" s="17" t="s">
        <v>1634</v>
      </c>
      <c r="S7465" s="121" t="s">
        <v>4378</v>
      </c>
      <c r="T7465" s="122"/>
      <c r="U7465" s="22"/>
      <c r="V7465" s="123" t="s">
        <v>6641</v>
      </c>
      <c r="W7465" s="122">
        <v>60053</v>
      </c>
      <c r="X7465" s="221"/>
      <c r="Y7465" s="221"/>
      <c r="Z7465" s="221"/>
      <c r="AA7465" s="221"/>
      <c r="AB7465" s="223"/>
    </row>
    <row r="7466" spans="1:28" ht="17.100000000000001" customHeight="1" thickTop="1">
      <c r="A7466" s="226" t="s">
        <v>20596</v>
      </c>
      <c r="B7466" s="28">
        <v>46106</v>
      </c>
      <c r="C7466" s="25">
        <v>1010</v>
      </c>
      <c r="D7466" s="13" t="s">
        <v>1578</v>
      </c>
      <c r="E7466" s="228"/>
      <c r="F7466" s="109" t="s">
        <v>15625</v>
      </c>
      <c r="G7466" s="24"/>
      <c r="H7466" s="230">
        <v>4.5</v>
      </c>
      <c r="I7466" s="220">
        <v>1445000</v>
      </c>
      <c r="J7466" s="220">
        <f>I7466*0.1</f>
        <v>144500</v>
      </c>
      <c r="K7466" s="220">
        <v>0</v>
      </c>
      <c r="L7466" s="220">
        <v>11480</v>
      </c>
      <c r="M7466" s="220">
        <v>12100</v>
      </c>
      <c r="N7466" s="220">
        <f>SUM(I7466:M7467)</f>
        <v>1613080</v>
      </c>
      <c r="O7466" s="224"/>
      <c r="P7466" s="110" t="s">
        <v>21352</v>
      </c>
      <c r="Q7466" s="15" t="s">
        <v>19</v>
      </c>
      <c r="R7466" s="205"/>
      <c r="S7466" s="189" t="s">
        <v>25888</v>
      </c>
      <c r="T7466" s="114"/>
      <c r="U7466" s="21"/>
      <c r="V7466" s="115">
        <v>46130</v>
      </c>
      <c r="W7466" s="116">
        <v>1297</v>
      </c>
      <c r="X7466" s="220">
        <v>1570000</v>
      </c>
      <c r="Y7466" s="220">
        <f>X7466*0.1</f>
        <v>157000</v>
      </c>
      <c r="Z7466" s="220">
        <v>11480</v>
      </c>
      <c r="AA7466" s="220">
        <f>SUM(X7466:Z7466)</f>
        <v>1738480</v>
      </c>
      <c r="AB7466" s="222">
        <v>46133</v>
      </c>
    </row>
    <row r="7467" spans="1:28" ht="17.100000000000001" customHeight="1" thickBot="1">
      <c r="A7467" s="227"/>
      <c r="B7467" s="27" t="s">
        <v>2747</v>
      </c>
      <c r="C7467" s="27">
        <v>1300</v>
      </c>
      <c r="D7467" s="14" t="s">
        <v>2559</v>
      </c>
      <c r="E7467" s="229"/>
      <c r="F7467" s="117" t="s">
        <v>20606</v>
      </c>
      <c r="G7467" s="26">
        <v>94840</v>
      </c>
      <c r="H7467" s="231"/>
      <c r="I7467" s="221"/>
      <c r="J7467" s="221"/>
      <c r="K7467" s="221"/>
      <c r="L7467" s="221"/>
      <c r="M7467" s="221"/>
      <c r="N7467" s="221"/>
      <c r="O7467" s="225"/>
      <c r="P7467" s="118" t="s">
        <v>21353</v>
      </c>
      <c r="Q7467" s="16" t="s">
        <v>20</v>
      </c>
      <c r="R7467" s="17" t="s">
        <v>1634</v>
      </c>
      <c r="S7467" s="121" t="s">
        <v>21354</v>
      </c>
      <c r="T7467" s="122"/>
      <c r="U7467" s="22"/>
      <c r="V7467" s="123" t="s">
        <v>2472</v>
      </c>
      <c r="W7467" s="122">
        <v>50091</v>
      </c>
      <c r="X7467" s="221"/>
      <c r="Y7467" s="221"/>
      <c r="Z7467" s="221"/>
      <c r="AA7467" s="221"/>
      <c r="AB7467" s="223"/>
    </row>
    <row r="7468" spans="1:28" ht="17.100000000000001" customHeight="1" thickTop="1">
      <c r="A7468" s="226" t="s">
        <v>20597</v>
      </c>
      <c r="B7468" s="28">
        <v>46106</v>
      </c>
      <c r="C7468" s="25">
        <v>1010</v>
      </c>
      <c r="D7468" s="13" t="s">
        <v>1607</v>
      </c>
      <c r="E7468" s="228"/>
      <c r="F7468" s="109" t="s">
        <v>20607</v>
      </c>
      <c r="G7468" s="24" t="s">
        <v>13533</v>
      </c>
      <c r="H7468" s="230">
        <v>4</v>
      </c>
      <c r="I7468" s="220">
        <v>2885000</v>
      </c>
      <c r="J7468" s="220">
        <f>I7468*0.1</f>
        <v>288500</v>
      </c>
      <c r="K7468" s="220">
        <v>58000</v>
      </c>
      <c r="L7468" s="220">
        <v>15210</v>
      </c>
      <c r="M7468" s="220">
        <v>12100</v>
      </c>
      <c r="N7468" s="220">
        <f>SUM(I7468:M7469)</f>
        <v>3258810</v>
      </c>
      <c r="O7468" s="224"/>
      <c r="P7468" s="110" t="s">
        <v>20617</v>
      </c>
      <c r="Q7468" s="15" t="s">
        <v>19</v>
      </c>
      <c r="R7468" s="205"/>
      <c r="S7468" s="189" t="s">
        <v>25889</v>
      </c>
      <c r="T7468" s="114"/>
      <c r="U7468" s="21"/>
      <c r="V7468" s="115">
        <v>46116</v>
      </c>
      <c r="W7468" s="116">
        <v>1295</v>
      </c>
      <c r="X7468" s="220">
        <v>3150000</v>
      </c>
      <c r="Y7468" s="220">
        <f>X7468*0.1</f>
        <v>315000</v>
      </c>
      <c r="Z7468" s="220">
        <v>15210</v>
      </c>
      <c r="AA7468" s="220">
        <f>SUM(X7468:Z7468)</f>
        <v>3480210</v>
      </c>
      <c r="AB7468" s="222">
        <v>46119</v>
      </c>
    </row>
    <row r="7469" spans="1:28" ht="17.100000000000001" customHeight="1" thickBot="1">
      <c r="A7469" s="227"/>
      <c r="B7469" s="27" t="s">
        <v>2747</v>
      </c>
      <c r="C7469" s="27">
        <v>1313</v>
      </c>
      <c r="D7469" s="14" t="s">
        <v>2559</v>
      </c>
      <c r="E7469" s="229"/>
      <c r="F7469" s="117" t="s">
        <v>20608</v>
      </c>
      <c r="G7469" s="26">
        <v>135046</v>
      </c>
      <c r="H7469" s="231"/>
      <c r="I7469" s="221"/>
      <c r="J7469" s="221"/>
      <c r="K7469" s="221"/>
      <c r="L7469" s="221"/>
      <c r="M7469" s="221"/>
      <c r="N7469" s="221"/>
      <c r="O7469" s="225"/>
      <c r="P7469" s="118" t="s">
        <v>21365</v>
      </c>
      <c r="Q7469" s="16" t="s">
        <v>20</v>
      </c>
      <c r="R7469" s="17" t="s">
        <v>1634</v>
      </c>
      <c r="S7469" s="121" t="s">
        <v>13483</v>
      </c>
      <c r="T7469" s="122"/>
      <c r="U7469" s="22"/>
      <c r="V7469" s="123" t="s">
        <v>2472</v>
      </c>
      <c r="W7469" s="122">
        <v>50322</v>
      </c>
      <c r="X7469" s="221"/>
      <c r="Y7469" s="221"/>
      <c r="Z7469" s="221"/>
      <c r="AA7469" s="221"/>
      <c r="AB7469" s="223"/>
    </row>
    <row r="7470" spans="1:28" ht="17.100000000000001" customHeight="1" thickTop="1">
      <c r="A7470" s="226" t="s">
        <v>20598</v>
      </c>
      <c r="B7470" s="28">
        <v>46106</v>
      </c>
      <c r="C7470" s="25">
        <v>1010</v>
      </c>
      <c r="D7470" s="13" t="s">
        <v>2264</v>
      </c>
      <c r="E7470" s="228"/>
      <c r="F7470" s="109" t="s">
        <v>20609</v>
      </c>
      <c r="G7470" s="24" t="s">
        <v>20618</v>
      </c>
      <c r="H7470" s="230">
        <v>4.5</v>
      </c>
      <c r="I7470" s="220">
        <v>1745000</v>
      </c>
      <c r="J7470" s="220">
        <f>I7470*0.1</f>
        <v>174500</v>
      </c>
      <c r="K7470" s="220">
        <v>36000</v>
      </c>
      <c r="L7470" s="220">
        <v>10120</v>
      </c>
      <c r="M7470" s="220">
        <v>12100</v>
      </c>
      <c r="N7470" s="220">
        <f>SUM(I7470:M7471)</f>
        <v>1977720</v>
      </c>
      <c r="O7470" s="224"/>
      <c r="P7470" s="110" t="s">
        <v>20619</v>
      </c>
      <c r="Q7470" s="15" t="s">
        <v>19</v>
      </c>
      <c r="R7470" s="205"/>
      <c r="S7470" s="189" t="s">
        <v>283</v>
      </c>
      <c r="T7470" s="114"/>
      <c r="U7470" s="21" t="s">
        <v>21857</v>
      </c>
      <c r="V7470" s="115">
        <v>46144</v>
      </c>
      <c r="W7470" s="116">
        <v>1299</v>
      </c>
      <c r="X7470" s="220">
        <v>1765000</v>
      </c>
      <c r="Y7470" s="220">
        <f>X7470*0.1</f>
        <v>176500</v>
      </c>
      <c r="Z7470" s="220">
        <v>10120</v>
      </c>
      <c r="AA7470" s="220">
        <f>SUM(X7470:Z7470)</f>
        <v>1951620</v>
      </c>
      <c r="AB7470" s="222">
        <v>46154</v>
      </c>
    </row>
    <row r="7471" spans="1:28" ht="17.100000000000001" customHeight="1" thickBot="1">
      <c r="A7471" s="227"/>
      <c r="B7471" s="27" t="s">
        <v>2747</v>
      </c>
      <c r="C7471" s="27">
        <v>1391</v>
      </c>
      <c r="D7471" s="14" t="s">
        <v>273</v>
      </c>
      <c r="E7471" s="229"/>
      <c r="F7471" s="117" t="s">
        <v>20610</v>
      </c>
      <c r="G7471" s="26">
        <v>38503</v>
      </c>
      <c r="H7471" s="231"/>
      <c r="I7471" s="221"/>
      <c r="J7471" s="221"/>
      <c r="K7471" s="221"/>
      <c r="L7471" s="221"/>
      <c r="M7471" s="221"/>
      <c r="N7471" s="221"/>
      <c r="O7471" s="225"/>
      <c r="P7471" s="118" t="s">
        <v>21355</v>
      </c>
      <c r="Q7471" s="16" t="s">
        <v>20</v>
      </c>
      <c r="R7471" s="17" t="s">
        <v>1634</v>
      </c>
      <c r="S7471" s="121" t="s">
        <v>4062</v>
      </c>
      <c r="T7471" s="122"/>
      <c r="U7471" s="22"/>
      <c r="V7471" s="123" t="s">
        <v>24346</v>
      </c>
      <c r="W7471" s="122">
        <v>13199</v>
      </c>
      <c r="X7471" s="221"/>
      <c r="Y7471" s="221"/>
      <c r="Z7471" s="221"/>
      <c r="AA7471" s="221"/>
      <c r="AB7471" s="223"/>
    </row>
    <row r="7472" spans="1:28" ht="17.100000000000001" customHeight="1" thickTop="1">
      <c r="A7472" s="226" t="s">
        <v>20599</v>
      </c>
      <c r="B7472" s="28">
        <v>46106</v>
      </c>
      <c r="C7472" s="25">
        <v>1010</v>
      </c>
      <c r="D7472" s="13" t="s">
        <v>1578</v>
      </c>
      <c r="E7472" s="228"/>
      <c r="F7472" s="109" t="s">
        <v>15947</v>
      </c>
      <c r="G7472" s="24"/>
      <c r="H7472" s="230">
        <v>4</v>
      </c>
      <c r="I7472" s="220">
        <v>505000</v>
      </c>
      <c r="J7472" s="220">
        <f>I7472*0.1</f>
        <v>50500</v>
      </c>
      <c r="K7472" s="220">
        <v>0</v>
      </c>
      <c r="L7472" s="220">
        <v>8850</v>
      </c>
      <c r="M7472" s="220">
        <v>11000</v>
      </c>
      <c r="N7472" s="220">
        <f>SUM(I7472:M7473)</f>
        <v>575350</v>
      </c>
      <c r="O7472" s="224"/>
      <c r="P7472" s="110" t="s">
        <v>21367</v>
      </c>
      <c r="Q7472" s="15" t="s">
        <v>19</v>
      </c>
      <c r="R7472" s="205"/>
      <c r="S7472" s="189" t="s">
        <v>529</v>
      </c>
      <c r="T7472" s="114"/>
      <c r="U7472" s="21"/>
      <c r="V7472" s="115">
        <v>46116</v>
      </c>
      <c r="W7472" s="116">
        <v>1295</v>
      </c>
      <c r="X7472" s="220">
        <v>580000</v>
      </c>
      <c r="Y7472" s="220">
        <f>X7472*0.1</f>
        <v>58000</v>
      </c>
      <c r="Z7472" s="220">
        <v>8850</v>
      </c>
      <c r="AA7472" s="220">
        <f>SUM(X7472:Z7472)</f>
        <v>646850</v>
      </c>
      <c r="AB7472" s="222">
        <v>46119</v>
      </c>
    </row>
    <row r="7473" spans="1:28" ht="17.100000000000001" customHeight="1" thickBot="1">
      <c r="A7473" s="227"/>
      <c r="B7473" s="27" t="s">
        <v>2747</v>
      </c>
      <c r="C7473" s="27">
        <v>2109</v>
      </c>
      <c r="D7473" s="14" t="s">
        <v>273</v>
      </c>
      <c r="E7473" s="229"/>
      <c r="F7473" s="117" t="s">
        <v>20611</v>
      </c>
      <c r="G7473" s="26">
        <v>31899</v>
      </c>
      <c r="H7473" s="231"/>
      <c r="I7473" s="221"/>
      <c r="J7473" s="221"/>
      <c r="K7473" s="221"/>
      <c r="L7473" s="221"/>
      <c r="M7473" s="221"/>
      <c r="N7473" s="221"/>
      <c r="O7473" s="225"/>
      <c r="P7473" s="118" t="s">
        <v>21368</v>
      </c>
      <c r="Q7473" s="16" t="s">
        <v>20</v>
      </c>
      <c r="R7473" s="17" t="s">
        <v>1634</v>
      </c>
      <c r="S7473" s="121" t="s">
        <v>4494</v>
      </c>
      <c r="T7473" s="122"/>
      <c r="U7473" s="22"/>
      <c r="V7473" s="123" t="s">
        <v>2472</v>
      </c>
      <c r="W7473" s="122">
        <v>60463</v>
      </c>
      <c r="X7473" s="221"/>
      <c r="Y7473" s="221"/>
      <c r="Z7473" s="221"/>
      <c r="AA7473" s="221"/>
      <c r="AB7473" s="223"/>
    </row>
    <row r="7474" spans="1:28" ht="17.100000000000001" customHeight="1" thickTop="1">
      <c r="A7474" s="226" t="s">
        <v>20600</v>
      </c>
      <c r="B7474" s="28">
        <v>46106</v>
      </c>
      <c r="C7474" s="25">
        <v>1010</v>
      </c>
      <c r="D7474" s="13" t="s">
        <v>1947</v>
      </c>
      <c r="E7474" s="228"/>
      <c r="F7474" s="109" t="s">
        <v>20612</v>
      </c>
      <c r="G7474" s="24"/>
      <c r="H7474" s="230">
        <v>4</v>
      </c>
      <c r="I7474" s="220">
        <v>645000</v>
      </c>
      <c r="J7474" s="220">
        <f>I7474*0.1</f>
        <v>64500</v>
      </c>
      <c r="K7474" s="220">
        <v>0</v>
      </c>
      <c r="L7474" s="220">
        <v>6270</v>
      </c>
      <c r="M7474" s="220">
        <v>12100</v>
      </c>
      <c r="N7474" s="220">
        <f>SUM(I7474:M7475)</f>
        <v>727870</v>
      </c>
      <c r="O7474" s="224"/>
      <c r="P7474" s="110" t="s">
        <v>21258</v>
      </c>
      <c r="Q7474" s="15" t="s">
        <v>19</v>
      </c>
      <c r="R7474" s="205"/>
      <c r="S7474" s="189" t="s">
        <v>283</v>
      </c>
      <c r="T7474" s="114"/>
      <c r="U7474" s="21"/>
      <c r="V7474" s="115">
        <v>46109</v>
      </c>
      <c r="W7474" s="116">
        <v>1294</v>
      </c>
      <c r="X7474" s="220">
        <v>710000</v>
      </c>
      <c r="Y7474" s="220">
        <f>X7474*0.1</f>
        <v>71000</v>
      </c>
      <c r="Z7474" s="220">
        <v>6270</v>
      </c>
      <c r="AA7474" s="220">
        <f>SUM(X7474:Z7474)</f>
        <v>787270</v>
      </c>
      <c r="AB7474" s="222">
        <v>46114</v>
      </c>
    </row>
    <row r="7475" spans="1:28" ht="17.100000000000001" customHeight="1" thickBot="1">
      <c r="A7475" s="227"/>
      <c r="B7475" s="27" t="s">
        <v>2747</v>
      </c>
      <c r="C7475" s="27">
        <v>8029</v>
      </c>
      <c r="D7475" s="14" t="s">
        <v>1710</v>
      </c>
      <c r="E7475" s="229"/>
      <c r="F7475" s="117" t="s">
        <v>20613</v>
      </c>
      <c r="G7475" s="26">
        <v>13097</v>
      </c>
      <c r="H7475" s="231"/>
      <c r="I7475" s="221"/>
      <c r="J7475" s="221"/>
      <c r="K7475" s="221"/>
      <c r="L7475" s="221"/>
      <c r="M7475" s="221"/>
      <c r="N7475" s="221"/>
      <c r="O7475" s="225"/>
      <c r="P7475" s="118" t="s">
        <v>21259</v>
      </c>
      <c r="Q7475" s="16" t="s">
        <v>20</v>
      </c>
      <c r="R7475" s="17" t="s">
        <v>3913</v>
      </c>
      <c r="S7475" s="121" t="s">
        <v>1625</v>
      </c>
      <c r="T7475" s="122"/>
      <c r="U7475" s="22"/>
      <c r="V7475" s="123" t="s">
        <v>21250</v>
      </c>
      <c r="W7475" s="122">
        <v>60496</v>
      </c>
      <c r="X7475" s="221"/>
      <c r="Y7475" s="221"/>
      <c r="Z7475" s="221"/>
      <c r="AA7475" s="221"/>
      <c r="AB7475" s="223"/>
    </row>
    <row r="7476" spans="1:28" ht="17.100000000000001" customHeight="1" thickTop="1">
      <c r="A7476" s="226" t="s">
        <v>20601</v>
      </c>
      <c r="B7476" s="28">
        <v>46106</v>
      </c>
      <c r="C7476" s="25">
        <v>1010</v>
      </c>
      <c r="D7476" s="13" t="s">
        <v>2040</v>
      </c>
      <c r="E7476" s="228"/>
      <c r="F7476" s="109" t="s">
        <v>14854</v>
      </c>
      <c r="G7476" s="24" t="s">
        <v>20383</v>
      </c>
      <c r="H7476" s="232" t="s">
        <v>1705</v>
      </c>
      <c r="I7476" s="220">
        <v>2138000</v>
      </c>
      <c r="J7476" s="220">
        <f>I7476*0.1</f>
        <v>213800</v>
      </c>
      <c r="K7476" s="220">
        <v>36000</v>
      </c>
      <c r="L7476" s="220">
        <v>12250</v>
      </c>
      <c r="M7476" s="220">
        <v>9900</v>
      </c>
      <c r="N7476" s="220">
        <f>SUM(I7476:M7477)</f>
        <v>2409950</v>
      </c>
      <c r="O7476" s="224"/>
      <c r="P7476" s="110" t="s">
        <v>20620</v>
      </c>
      <c r="Q7476" s="15" t="s">
        <v>19</v>
      </c>
      <c r="R7476" s="205"/>
      <c r="S7476" s="189" t="s">
        <v>758</v>
      </c>
      <c r="T7476" s="114"/>
      <c r="U7476" s="21"/>
      <c r="V7476" s="115">
        <v>46116</v>
      </c>
      <c r="W7476" s="116">
        <v>1295</v>
      </c>
      <c r="X7476" s="220">
        <v>2300000</v>
      </c>
      <c r="Y7476" s="220">
        <f>X7476*0.1</f>
        <v>230000</v>
      </c>
      <c r="Z7476" s="220">
        <v>12250</v>
      </c>
      <c r="AA7476" s="220">
        <f>SUM(X7476:Z7476)</f>
        <v>2542250</v>
      </c>
      <c r="AB7476" s="222">
        <v>46119</v>
      </c>
    </row>
    <row r="7477" spans="1:28" ht="17.100000000000001" customHeight="1" thickBot="1">
      <c r="A7477" s="227"/>
      <c r="B7477" s="27" t="s">
        <v>2747</v>
      </c>
      <c r="C7477" s="27">
        <v>10387</v>
      </c>
      <c r="D7477" s="14" t="s">
        <v>273</v>
      </c>
      <c r="E7477" s="229"/>
      <c r="F7477" s="117" t="s">
        <v>20614</v>
      </c>
      <c r="G7477" s="26">
        <v>27990</v>
      </c>
      <c r="H7477" s="231"/>
      <c r="I7477" s="221"/>
      <c r="J7477" s="221"/>
      <c r="K7477" s="221"/>
      <c r="L7477" s="221"/>
      <c r="M7477" s="221"/>
      <c r="N7477" s="221"/>
      <c r="O7477" s="225"/>
      <c r="P7477" s="118" t="s">
        <v>21366</v>
      </c>
      <c r="Q7477" s="16" t="s">
        <v>20</v>
      </c>
      <c r="R7477" s="17" t="s">
        <v>1634</v>
      </c>
      <c r="S7477" s="121" t="s">
        <v>1661</v>
      </c>
      <c r="T7477" s="122"/>
      <c r="U7477" s="22"/>
      <c r="V7477" s="123" t="s">
        <v>2472</v>
      </c>
      <c r="W7477" s="122">
        <v>50082</v>
      </c>
      <c r="X7477" s="221"/>
      <c r="Y7477" s="221"/>
      <c r="Z7477" s="221"/>
      <c r="AA7477" s="221"/>
      <c r="AB7477" s="223"/>
    </row>
    <row r="7478" spans="1:28" ht="17.100000000000001" customHeight="1" thickTop="1">
      <c r="A7478" s="226" t="s">
        <v>20622</v>
      </c>
      <c r="B7478" s="28">
        <v>46106</v>
      </c>
      <c r="C7478" s="25"/>
      <c r="D7478" s="13" t="s">
        <v>1531</v>
      </c>
      <c r="E7478" s="228"/>
      <c r="F7478" s="109" t="s">
        <v>20602</v>
      </c>
      <c r="G7478" s="24" t="s">
        <v>20632</v>
      </c>
      <c r="H7478" s="230">
        <v>4.5</v>
      </c>
      <c r="I7478" s="220">
        <v>635000</v>
      </c>
      <c r="J7478" s="220">
        <f>I7478*0.1</f>
        <v>63500</v>
      </c>
      <c r="K7478" s="220">
        <v>15000</v>
      </c>
      <c r="L7478" s="220">
        <v>7950</v>
      </c>
      <c r="M7478" s="220">
        <v>16500</v>
      </c>
      <c r="N7478" s="220">
        <f>SUM(I7478:M7479)</f>
        <v>737950</v>
      </c>
      <c r="O7478" s="224"/>
      <c r="P7478" s="110" t="s">
        <v>20825</v>
      </c>
      <c r="Q7478" s="15" t="s">
        <v>19</v>
      </c>
      <c r="R7478" s="205"/>
      <c r="S7478" s="189"/>
      <c r="T7478" s="114"/>
      <c r="U7478" s="21" t="s">
        <v>21869</v>
      </c>
      <c r="V7478" s="115">
        <v>46120</v>
      </c>
      <c r="W7478" s="116">
        <v>1012</v>
      </c>
      <c r="X7478" s="220">
        <v>675000</v>
      </c>
      <c r="Y7478" s="220">
        <f>X7478*0.1</f>
        <v>67500</v>
      </c>
      <c r="Z7478" s="220">
        <v>7950</v>
      </c>
      <c r="AA7478" s="220">
        <f>SUM(X7478:Z7478)</f>
        <v>750450</v>
      </c>
      <c r="AB7478" s="222">
        <v>46125</v>
      </c>
    </row>
    <row r="7479" spans="1:28" ht="17.100000000000001" customHeight="1" thickBot="1">
      <c r="A7479" s="227"/>
      <c r="B7479" s="27" t="s">
        <v>3367</v>
      </c>
      <c r="C7479" s="27">
        <v>20273</v>
      </c>
      <c r="D7479" s="14" t="s">
        <v>1797</v>
      </c>
      <c r="E7479" s="229"/>
      <c r="F7479" s="117" t="s">
        <v>20624</v>
      </c>
      <c r="G7479" s="26">
        <v>50966</v>
      </c>
      <c r="H7479" s="231"/>
      <c r="I7479" s="221"/>
      <c r="J7479" s="221"/>
      <c r="K7479" s="221"/>
      <c r="L7479" s="221"/>
      <c r="M7479" s="221"/>
      <c r="N7479" s="221"/>
      <c r="O7479" s="225"/>
      <c r="P7479" s="118" t="s">
        <v>20826</v>
      </c>
      <c r="Q7479" s="16" t="s">
        <v>20</v>
      </c>
      <c r="R7479" s="17" t="s">
        <v>20791</v>
      </c>
      <c r="S7479" s="121" t="s">
        <v>20827</v>
      </c>
      <c r="T7479" s="122"/>
      <c r="U7479" s="22"/>
      <c r="V7479" s="123" t="s">
        <v>2747</v>
      </c>
      <c r="W7479" s="122">
        <v>2043</v>
      </c>
      <c r="X7479" s="221"/>
      <c r="Y7479" s="221"/>
      <c r="Z7479" s="221"/>
      <c r="AA7479" s="221"/>
      <c r="AB7479" s="223"/>
    </row>
    <row r="7480" spans="1:28" ht="17.100000000000001" customHeight="1" thickTop="1">
      <c r="A7480" s="226" t="s">
        <v>20623</v>
      </c>
      <c r="B7480" s="28">
        <v>46106</v>
      </c>
      <c r="C7480" s="25"/>
      <c r="D7480" s="13" t="s">
        <v>1908</v>
      </c>
      <c r="E7480" s="228"/>
      <c r="F7480" s="109" t="s">
        <v>16774</v>
      </c>
      <c r="G7480" s="24" t="s">
        <v>2038</v>
      </c>
      <c r="H7480" s="230">
        <v>4</v>
      </c>
      <c r="I7480" s="220">
        <v>1125000</v>
      </c>
      <c r="J7480" s="220">
        <f>I7480*0.1</f>
        <v>112500</v>
      </c>
      <c r="K7480" s="220">
        <v>39500</v>
      </c>
      <c r="L7480" s="220">
        <v>12030</v>
      </c>
      <c r="M7480" s="220">
        <v>16500</v>
      </c>
      <c r="N7480" s="220">
        <f>SUM(I7480:M7481)</f>
        <v>1305530</v>
      </c>
      <c r="O7480" s="224"/>
      <c r="P7480" s="110" t="s">
        <v>20754</v>
      </c>
      <c r="Q7480" s="15" t="s">
        <v>19</v>
      </c>
      <c r="R7480" s="205"/>
      <c r="S7480" s="189"/>
      <c r="T7480" s="114"/>
      <c r="U7480" s="21"/>
      <c r="V7480" s="115">
        <v>46120</v>
      </c>
      <c r="W7480" s="116">
        <v>1012</v>
      </c>
      <c r="X7480" s="220">
        <v>1140000</v>
      </c>
      <c r="Y7480" s="220">
        <f>X7480*0.1</f>
        <v>114000</v>
      </c>
      <c r="Z7480" s="220">
        <v>12030</v>
      </c>
      <c r="AA7480" s="220">
        <f>SUM(X7480:Z7480)</f>
        <v>1266030</v>
      </c>
      <c r="AB7480" s="222">
        <v>46126</v>
      </c>
    </row>
    <row r="7481" spans="1:28" ht="17.100000000000001" customHeight="1" thickBot="1">
      <c r="A7481" s="227"/>
      <c r="B7481" s="27" t="s">
        <v>3367</v>
      </c>
      <c r="C7481" s="27">
        <v>60595</v>
      </c>
      <c r="D7481" s="14" t="s">
        <v>2559</v>
      </c>
      <c r="E7481" s="229"/>
      <c r="F7481" s="117" t="s">
        <v>20625</v>
      </c>
      <c r="G7481" s="26">
        <v>52373</v>
      </c>
      <c r="H7481" s="231"/>
      <c r="I7481" s="221"/>
      <c r="J7481" s="221"/>
      <c r="K7481" s="221"/>
      <c r="L7481" s="221"/>
      <c r="M7481" s="221"/>
      <c r="N7481" s="221"/>
      <c r="O7481" s="225"/>
      <c r="P7481" s="118" t="s">
        <v>20755</v>
      </c>
      <c r="Q7481" s="16" t="s">
        <v>20</v>
      </c>
      <c r="R7481" s="17" t="s">
        <v>20724</v>
      </c>
      <c r="S7481" s="121" t="s">
        <v>20840</v>
      </c>
      <c r="T7481" s="122"/>
      <c r="U7481" s="22"/>
      <c r="V7481" s="123" t="s">
        <v>2747</v>
      </c>
      <c r="W7481" s="122">
        <v>5166</v>
      </c>
      <c r="X7481" s="221"/>
      <c r="Y7481" s="221"/>
      <c r="Z7481" s="221"/>
      <c r="AA7481" s="221"/>
      <c r="AB7481" s="223"/>
    </row>
    <row r="7482" spans="1:28" ht="17.100000000000001" customHeight="1" thickTop="1">
      <c r="A7482" s="226" t="s">
        <v>20626</v>
      </c>
      <c r="B7482" s="28">
        <v>46106</v>
      </c>
      <c r="C7482" s="25">
        <v>1831</v>
      </c>
      <c r="D7482" s="13" t="s">
        <v>1685</v>
      </c>
      <c r="E7482" s="228"/>
      <c r="F7482" s="109" t="s">
        <v>20628</v>
      </c>
      <c r="G7482" s="24" t="s">
        <v>3867</v>
      </c>
      <c r="H7482" s="230">
        <v>4</v>
      </c>
      <c r="I7482" s="220">
        <v>1090000</v>
      </c>
      <c r="J7482" s="220">
        <f>I7482*0.1</f>
        <v>109000</v>
      </c>
      <c r="K7482" s="220">
        <v>39500</v>
      </c>
      <c r="L7482" s="220">
        <v>11480</v>
      </c>
      <c r="M7482" s="220">
        <v>18150</v>
      </c>
      <c r="N7482" s="220">
        <f>SUM(I7482:M7483)</f>
        <v>1268130</v>
      </c>
      <c r="O7482" s="224"/>
      <c r="P7482" s="110" t="s">
        <v>20630</v>
      </c>
      <c r="Q7482" s="15" t="s">
        <v>19</v>
      </c>
      <c r="R7482" s="205"/>
      <c r="S7482" s="189" t="s">
        <v>25890</v>
      </c>
      <c r="T7482" s="114"/>
      <c r="U7482" s="21"/>
      <c r="V7482" s="115">
        <v>46109</v>
      </c>
      <c r="W7482" s="116">
        <v>1294</v>
      </c>
      <c r="X7482" s="220">
        <v>1265000</v>
      </c>
      <c r="Y7482" s="220">
        <f>X7482*0.1</f>
        <v>126500</v>
      </c>
      <c r="Z7482" s="220">
        <v>11480</v>
      </c>
      <c r="AA7482" s="220">
        <f>SUM(X7482:Z7482)</f>
        <v>1402980</v>
      </c>
      <c r="AB7482" s="222">
        <v>46118</v>
      </c>
    </row>
    <row r="7483" spans="1:28" ht="17.100000000000001" customHeight="1" thickBot="1">
      <c r="A7483" s="227"/>
      <c r="B7483" s="27" t="s">
        <v>2519</v>
      </c>
      <c r="C7483" s="27">
        <v>30124</v>
      </c>
      <c r="D7483" s="14" t="s">
        <v>2559</v>
      </c>
      <c r="E7483" s="229"/>
      <c r="F7483" s="117" t="s">
        <v>20629</v>
      </c>
      <c r="G7483" s="26">
        <v>105240</v>
      </c>
      <c r="H7483" s="231"/>
      <c r="I7483" s="221"/>
      <c r="J7483" s="221"/>
      <c r="K7483" s="221"/>
      <c r="L7483" s="221"/>
      <c r="M7483" s="221"/>
      <c r="N7483" s="221"/>
      <c r="O7483" s="225"/>
      <c r="P7483" s="118" t="s">
        <v>21282</v>
      </c>
      <c r="Q7483" s="16" t="s">
        <v>20</v>
      </c>
      <c r="R7483" s="17" t="s">
        <v>1634</v>
      </c>
      <c r="S7483" s="121" t="s">
        <v>21283</v>
      </c>
      <c r="T7483" s="122"/>
      <c r="U7483" s="22"/>
      <c r="V7483" s="123" t="s">
        <v>21250</v>
      </c>
      <c r="W7483" s="122">
        <v>139</v>
      </c>
      <c r="X7483" s="221"/>
      <c r="Y7483" s="221"/>
      <c r="Z7483" s="221"/>
      <c r="AA7483" s="221"/>
      <c r="AB7483" s="223"/>
    </row>
    <row r="7484" spans="1:28" ht="17.100000000000001" customHeight="1" thickTop="1">
      <c r="A7484" s="226" t="s">
        <v>20627</v>
      </c>
      <c r="B7484" s="28">
        <v>46106</v>
      </c>
      <c r="C7484" s="25">
        <v>1831</v>
      </c>
      <c r="D7484" s="13" t="s">
        <v>1704</v>
      </c>
      <c r="E7484" s="228"/>
      <c r="F7484" s="109" t="s">
        <v>11394</v>
      </c>
      <c r="G7484" s="24"/>
      <c r="H7484" s="230">
        <v>4</v>
      </c>
      <c r="I7484" s="220">
        <v>1115000</v>
      </c>
      <c r="J7484" s="220">
        <f>I7484*0.1</f>
        <v>111500</v>
      </c>
      <c r="K7484" s="220">
        <v>0</v>
      </c>
      <c r="L7484" s="220">
        <v>7440</v>
      </c>
      <c r="M7484" s="220">
        <v>18150</v>
      </c>
      <c r="N7484" s="220">
        <f>SUM(I7484:M7485)</f>
        <v>1252090</v>
      </c>
      <c r="O7484" s="224"/>
      <c r="P7484" s="110" t="s">
        <v>21144</v>
      </c>
      <c r="Q7484" s="15" t="s">
        <v>19</v>
      </c>
      <c r="R7484" s="205"/>
      <c r="S7484" s="189" t="s">
        <v>758</v>
      </c>
      <c r="T7484" s="114"/>
      <c r="U7484" s="21"/>
      <c r="V7484" s="115">
        <v>46109</v>
      </c>
      <c r="W7484" s="116">
        <v>1294</v>
      </c>
      <c r="X7484" s="220">
        <v>1225000</v>
      </c>
      <c r="Y7484" s="220">
        <f>X7484*0.1</f>
        <v>122500</v>
      </c>
      <c r="Z7484" s="220">
        <v>7440</v>
      </c>
      <c r="AA7484" s="220">
        <f>SUM(X7484:Z7484)</f>
        <v>1354940</v>
      </c>
      <c r="AB7484" s="222">
        <v>46114</v>
      </c>
    </row>
    <row r="7485" spans="1:28" ht="17.100000000000001" customHeight="1" thickBot="1">
      <c r="A7485" s="227"/>
      <c r="B7485" s="27" t="s">
        <v>2519</v>
      </c>
      <c r="C7485" s="27">
        <v>40071</v>
      </c>
      <c r="D7485" s="14" t="s">
        <v>1584</v>
      </c>
      <c r="E7485" s="229"/>
      <c r="F7485" s="117" t="s">
        <v>20631</v>
      </c>
      <c r="G7485" s="26">
        <v>28272</v>
      </c>
      <c r="H7485" s="231"/>
      <c r="I7485" s="221"/>
      <c r="J7485" s="221"/>
      <c r="K7485" s="221"/>
      <c r="L7485" s="221"/>
      <c r="M7485" s="221"/>
      <c r="N7485" s="221"/>
      <c r="O7485" s="225"/>
      <c r="P7485" s="118" t="s">
        <v>21145</v>
      </c>
      <c r="Q7485" s="16" t="s">
        <v>20</v>
      </c>
      <c r="R7485" s="17" t="s">
        <v>1897</v>
      </c>
      <c r="S7485" s="121" t="s">
        <v>10124</v>
      </c>
      <c r="T7485" s="122"/>
      <c r="U7485" s="22"/>
      <c r="V7485" s="123" t="s">
        <v>21250</v>
      </c>
      <c r="W7485" s="122">
        <v>41062</v>
      </c>
      <c r="X7485" s="221"/>
      <c r="Y7485" s="221"/>
      <c r="Z7485" s="221"/>
      <c r="AA7485" s="221"/>
      <c r="AB7485" s="223"/>
    </row>
    <row r="7486" spans="1:28" ht="17.100000000000001" customHeight="1" thickTop="1">
      <c r="A7486" s="226" t="s">
        <v>20654</v>
      </c>
      <c r="B7486" s="28">
        <v>46105</v>
      </c>
      <c r="C7486" s="25"/>
      <c r="D7486" s="13" t="s">
        <v>2601</v>
      </c>
      <c r="E7486" s="228"/>
      <c r="F7486" s="109" t="s">
        <v>20656</v>
      </c>
      <c r="G7486" s="24" t="s">
        <v>19374</v>
      </c>
      <c r="H7486" s="230"/>
      <c r="I7486" s="220">
        <v>20218</v>
      </c>
      <c r="J7486" s="220">
        <v>0</v>
      </c>
      <c r="K7486" s="220">
        <v>0</v>
      </c>
      <c r="L7486" s="220">
        <v>0</v>
      </c>
      <c r="M7486" s="220">
        <v>0</v>
      </c>
      <c r="N7486" s="220">
        <f>SUM(I7486:M7487)</f>
        <v>20218</v>
      </c>
      <c r="O7486" s="224"/>
      <c r="P7486" s="110" t="s">
        <v>20658</v>
      </c>
      <c r="Q7486" s="15" t="s">
        <v>19</v>
      </c>
      <c r="R7486" s="205"/>
      <c r="S7486" s="189"/>
      <c r="T7486" s="114"/>
      <c r="U7486" s="21"/>
      <c r="V7486" s="115">
        <v>46120</v>
      </c>
      <c r="W7486" s="116">
        <v>1012</v>
      </c>
      <c r="X7486" s="220">
        <v>50000</v>
      </c>
      <c r="Y7486" s="220">
        <f>X7486*0.1</f>
        <v>5000</v>
      </c>
      <c r="Z7486" s="220">
        <v>9250</v>
      </c>
      <c r="AA7486" s="220">
        <f>SUM(X7486:Z7486)</f>
        <v>64250</v>
      </c>
      <c r="AB7486" s="222">
        <v>46125</v>
      </c>
    </row>
    <row r="7487" spans="1:28" ht="17.100000000000001" customHeight="1" thickBot="1">
      <c r="A7487" s="227"/>
      <c r="B7487" s="27" t="s">
        <v>20655</v>
      </c>
      <c r="C7487" s="27"/>
      <c r="D7487" s="14"/>
      <c r="E7487" s="229"/>
      <c r="F7487" s="117" t="s">
        <v>20657</v>
      </c>
      <c r="G7487" s="26">
        <v>155846</v>
      </c>
      <c r="H7487" s="231"/>
      <c r="I7487" s="221"/>
      <c r="J7487" s="221"/>
      <c r="K7487" s="221"/>
      <c r="L7487" s="221"/>
      <c r="M7487" s="221"/>
      <c r="N7487" s="221"/>
      <c r="O7487" s="225"/>
      <c r="P7487" s="118" t="s">
        <v>20659</v>
      </c>
      <c r="Q7487" s="16" t="s">
        <v>20</v>
      </c>
      <c r="R7487" s="17" t="s">
        <v>20516</v>
      </c>
      <c r="S7487" s="121" t="s">
        <v>1597</v>
      </c>
      <c r="T7487" s="122"/>
      <c r="U7487" s="22"/>
      <c r="V7487" s="123" t="s">
        <v>2747</v>
      </c>
      <c r="W7487" s="122">
        <v>9073</v>
      </c>
      <c r="X7487" s="221"/>
      <c r="Y7487" s="221"/>
      <c r="Z7487" s="221"/>
      <c r="AA7487" s="221"/>
      <c r="AB7487" s="223"/>
    </row>
    <row r="7488" spans="1:28" ht="17.100000000000001" customHeight="1" thickTop="1">
      <c r="A7488" s="226" t="s">
        <v>20693</v>
      </c>
      <c r="B7488" s="28">
        <v>46107</v>
      </c>
      <c r="C7488" s="25">
        <v>1324</v>
      </c>
      <c r="D7488" s="13" t="s">
        <v>20695</v>
      </c>
      <c r="E7488" s="228"/>
      <c r="F7488" s="109" t="s">
        <v>20694</v>
      </c>
      <c r="G7488" s="24"/>
      <c r="H7488" s="230">
        <v>4</v>
      </c>
      <c r="I7488" s="220">
        <v>480000</v>
      </c>
      <c r="J7488" s="220">
        <f>I7488*0.1</f>
        <v>48000</v>
      </c>
      <c r="K7488" s="220">
        <v>0</v>
      </c>
      <c r="L7488" s="220">
        <v>9130</v>
      </c>
      <c r="M7488" s="220">
        <v>16500</v>
      </c>
      <c r="N7488" s="220">
        <f>SUM(I7488:M7489)</f>
        <v>553630</v>
      </c>
      <c r="O7488" s="224"/>
      <c r="P7488" s="110" t="s">
        <v>21150</v>
      </c>
      <c r="Q7488" s="15" t="s">
        <v>19</v>
      </c>
      <c r="R7488" s="205"/>
      <c r="S7488" s="189" t="s">
        <v>25891</v>
      </c>
      <c r="T7488" s="114"/>
      <c r="U7488" s="21"/>
      <c r="V7488" s="115">
        <v>46113</v>
      </c>
      <c r="W7488" s="116">
        <v>1011</v>
      </c>
      <c r="X7488" s="220">
        <v>515000</v>
      </c>
      <c r="Y7488" s="220">
        <f>X7488*0.1</f>
        <v>51500</v>
      </c>
      <c r="Z7488" s="220">
        <v>9130</v>
      </c>
      <c r="AA7488" s="220">
        <f>SUM(X7488:Z7488)</f>
        <v>575630</v>
      </c>
      <c r="AB7488" s="222">
        <v>46118</v>
      </c>
    </row>
    <row r="7489" spans="1:28" ht="17.100000000000001" customHeight="1" thickBot="1">
      <c r="A7489" s="227"/>
      <c r="B7489" s="27" t="s">
        <v>20690</v>
      </c>
      <c r="C7489" s="27">
        <v>839</v>
      </c>
      <c r="D7489" s="14" t="s">
        <v>20696</v>
      </c>
      <c r="E7489" s="229"/>
      <c r="F7489" s="117" t="s">
        <v>20697</v>
      </c>
      <c r="G7489" s="26">
        <v>37168</v>
      </c>
      <c r="H7489" s="231"/>
      <c r="I7489" s="221"/>
      <c r="J7489" s="221"/>
      <c r="K7489" s="221"/>
      <c r="L7489" s="221"/>
      <c r="M7489" s="221"/>
      <c r="N7489" s="221"/>
      <c r="O7489" s="225"/>
      <c r="P7489" s="118" t="s">
        <v>1844</v>
      </c>
      <c r="Q7489" s="16" t="s">
        <v>20</v>
      </c>
      <c r="R7489" s="17" t="s">
        <v>1897</v>
      </c>
      <c r="S7489" s="121" t="s">
        <v>21151</v>
      </c>
      <c r="T7489" s="122"/>
      <c r="U7489" s="22"/>
      <c r="V7489" s="123" t="s">
        <v>2747</v>
      </c>
      <c r="W7489" s="122">
        <v>5041</v>
      </c>
      <c r="X7489" s="221"/>
      <c r="Y7489" s="221"/>
      <c r="Z7489" s="221"/>
      <c r="AA7489" s="221"/>
      <c r="AB7489" s="223"/>
    </row>
    <row r="7490" spans="1:28" ht="17.100000000000001" customHeight="1" thickTop="1">
      <c r="A7490" s="226" t="s">
        <v>20699</v>
      </c>
      <c r="B7490" s="28">
        <v>46107</v>
      </c>
      <c r="C7490" s="25">
        <v>1976</v>
      </c>
      <c r="D7490" s="13" t="s">
        <v>20700</v>
      </c>
      <c r="E7490" s="228"/>
      <c r="F7490" s="109" t="s">
        <v>20701</v>
      </c>
      <c r="G7490" s="24"/>
      <c r="H7490" s="230">
        <v>4.5</v>
      </c>
      <c r="I7490" s="220">
        <v>1232000</v>
      </c>
      <c r="J7490" s="220">
        <f>I7490*0.1</f>
        <v>123200</v>
      </c>
      <c r="K7490" s="220">
        <v>0</v>
      </c>
      <c r="L7490" s="220">
        <v>12030</v>
      </c>
      <c r="M7490" s="220">
        <v>15950</v>
      </c>
      <c r="N7490" s="220">
        <f>SUM(I7490:M7491)</f>
        <v>1383180</v>
      </c>
      <c r="O7490" s="224"/>
      <c r="P7490" s="110" t="s">
        <v>21143</v>
      </c>
      <c r="Q7490" s="15" t="s">
        <v>19</v>
      </c>
      <c r="R7490" s="205"/>
      <c r="S7490" s="189"/>
      <c r="T7490" s="114"/>
      <c r="U7490" s="21"/>
      <c r="V7490" s="115">
        <v>46155</v>
      </c>
      <c r="W7490" s="116">
        <v>1016</v>
      </c>
      <c r="X7490" s="220">
        <v>1250000</v>
      </c>
      <c r="Y7490" s="220">
        <f>X7490*0.1</f>
        <v>125000</v>
      </c>
      <c r="Z7490" s="220">
        <v>12030</v>
      </c>
      <c r="AA7490" s="220">
        <f>SUM(X7490:Z7490)</f>
        <v>1387030</v>
      </c>
      <c r="AB7490" s="222">
        <v>46160</v>
      </c>
    </row>
    <row r="7491" spans="1:28" ht="17.100000000000001" customHeight="1" thickBot="1">
      <c r="A7491" s="227"/>
      <c r="B7491" s="27" t="s">
        <v>20698</v>
      </c>
      <c r="C7491" s="27">
        <v>438</v>
      </c>
      <c r="D7491" s="14" t="s">
        <v>1710</v>
      </c>
      <c r="E7491" s="229"/>
      <c r="F7491" s="117" t="s">
        <v>20702</v>
      </c>
      <c r="G7491" s="26">
        <v>61070</v>
      </c>
      <c r="H7491" s="231"/>
      <c r="I7491" s="221"/>
      <c r="J7491" s="221"/>
      <c r="K7491" s="221"/>
      <c r="L7491" s="221"/>
      <c r="M7491" s="221"/>
      <c r="N7491" s="221"/>
      <c r="O7491" s="225"/>
      <c r="P7491" s="118" t="s">
        <v>4962</v>
      </c>
      <c r="Q7491" s="16" t="s">
        <v>20</v>
      </c>
      <c r="R7491" s="17" t="s">
        <v>1897</v>
      </c>
      <c r="S7491" s="121" t="s">
        <v>4843</v>
      </c>
      <c r="T7491" s="122"/>
      <c r="U7491" s="22"/>
      <c r="V7491" s="123" t="s">
        <v>8877</v>
      </c>
      <c r="W7491" s="122">
        <v>6071</v>
      </c>
      <c r="X7491" s="221"/>
      <c r="Y7491" s="221"/>
      <c r="Z7491" s="221"/>
      <c r="AA7491" s="221"/>
      <c r="AB7491" s="223"/>
    </row>
    <row r="7492" spans="1:28" ht="17.100000000000001" customHeight="1" thickTop="1">
      <c r="A7492" s="226" t="s">
        <v>20788</v>
      </c>
      <c r="B7492" s="28">
        <v>46108</v>
      </c>
      <c r="C7492" s="25"/>
      <c r="D7492" s="13" t="s">
        <v>20781</v>
      </c>
      <c r="E7492" s="228"/>
      <c r="F7492" s="109" t="s">
        <v>20782</v>
      </c>
      <c r="G7492" s="24" t="s">
        <v>20784</v>
      </c>
      <c r="H7492" s="230"/>
      <c r="I7492" s="220">
        <v>0</v>
      </c>
      <c r="J7492" s="220">
        <f>I7492*0.1</f>
        <v>0</v>
      </c>
      <c r="K7492" s="220">
        <v>0</v>
      </c>
      <c r="L7492" s="220">
        <v>0</v>
      </c>
      <c r="M7492" s="220">
        <v>0</v>
      </c>
      <c r="N7492" s="220">
        <f>SUM(I7492:M7493)</f>
        <v>0</v>
      </c>
      <c r="O7492" s="224"/>
      <c r="P7492" s="110" t="s">
        <v>20785</v>
      </c>
      <c r="Q7492" s="15" t="s">
        <v>19</v>
      </c>
      <c r="R7492" s="205"/>
      <c r="S7492" s="189"/>
      <c r="T7492" s="114"/>
      <c r="U7492" s="21"/>
      <c r="V7492" s="115">
        <v>46155</v>
      </c>
      <c r="W7492" s="116">
        <v>1016</v>
      </c>
      <c r="X7492" s="220">
        <v>106000</v>
      </c>
      <c r="Y7492" s="220">
        <f>X7492*0.1</f>
        <v>10600</v>
      </c>
      <c r="Z7492" s="220">
        <v>17820</v>
      </c>
      <c r="AA7492" s="220">
        <f>SUM(X7492:Z7492)</f>
        <v>134420</v>
      </c>
      <c r="AB7492" s="222">
        <v>46160</v>
      </c>
    </row>
    <row r="7493" spans="1:28" ht="17.100000000000001" customHeight="1" thickBot="1">
      <c r="A7493" s="227"/>
      <c r="B7493" s="27" t="s">
        <v>20780</v>
      </c>
      <c r="C7493" s="27"/>
      <c r="D7493" s="14"/>
      <c r="E7493" s="229"/>
      <c r="F7493" s="117" t="s">
        <v>20783</v>
      </c>
      <c r="G7493" s="26">
        <v>61720</v>
      </c>
      <c r="H7493" s="231"/>
      <c r="I7493" s="221"/>
      <c r="J7493" s="221"/>
      <c r="K7493" s="221"/>
      <c r="L7493" s="221"/>
      <c r="M7493" s="221"/>
      <c r="N7493" s="221"/>
      <c r="O7493" s="225"/>
      <c r="P7493" s="118" t="s">
        <v>20786</v>
      </c>
      <c r="Q7493" s="16" t="s">
        <v>20</v>
      </c>
      <c r="R7493" s="17" t="s">
        <v>20775</v>
      </c>
      <c r="S7493" s="121" t="s">
        <v>20787</v>
      </c>
      <c r="T7493" s="122"/>
      <c r="U7493" s="22"/>
      <c r="V7493" s="123" t="s">
        <v>2747</v>
      </c>
      <c r="W7493" s="122">
        <v>10227</v>
      </c>
      <c r="X7493" s="221"/>
      <c r="Y7493" s="221"/>
      <c r="Z7493" s="221"/>
      <c r="AA7493" s="221"/>
      <c r="AB7493" s="223"/>
    </row>
    <row r="7494" spans="1:28" ht="17.100000000000001" customHeight="1" thickTop="1">
      <c r="A7494" s="226" t="s">
        <v>20859</v>
      </c>
      <c r="B7494" s="28">
        <v>46107</v>
      </c>
      <c r="C7494" s="25">
        <v>1559</v>
      </c>
      <c r="D7494" s="13" t="s">
        <v>1589</v>
      </c>
      <c r="E7494" s="228"/>
      <c r="F7494" s="109" t="s">
        <v>21021</v>
      </c>
      <c r="G7494" s="24"/>
      <c r="H7494" s="230">
        <v>4.5</v>
      </c>
      <c r="I7494" s="220">
        <v>1560000</v>
      </c>
      <c r="J7494" s="220">
        <f>I7494*0.1</f>
        <v>156000</v>
      </c>
      <c r="K7494" s="220">
        <v>0</v>
      </c>
      <c r="L7494" s="220">
        <v>21380</v>
      </c>
      <c r="M7494" s="220">
        <v>22000</v>
      </c>
      <c r="N7494" s="220">
        <f>SUM(I7494:M7495)</f>
        <v>1759380</v>
      </c>
      <c r="O7494" s="224"/>
      <c r="P7494" s="110" t="s">
        <v>21262</v>
      </c>
      <c r="Q7494" s="15" t="s">
        <v>19</v>
      </c>
      <c r="R7494" s="205"/>
      <c r="S7494" s="189" t="s">
        <v>25433</v>
      </c>
      <c r="T7494" s="114"/>
      <c r="U7494" s="21"/>
      <c r="V7494" s="115"/>
      <c r="W7494" s="116"/>
      <c r="X7494" s="220"/>
      <c r="Y7494" s="220">
        <f>X7494*0.1</f>
        <v>0</v>
      </c>
      <c r="Z7494" s="220"/>
      <c r="AA7494" s="220">
        <f>SUM(X7494:Z7494)</f>
        <v>0</v>
      </c>
      <c r="AB7494" s="222"/>
    </row>
    <row r="7495" spans="1:28" ht="17.100000000000001" customHeight="1" thickBot="1">
      <c r="A7495" s="227"/>
      <c r="B7495" s="27" t="s">
        <v>1592</v>
      </c>
      <c r="C7495" s="27">
        <v>76413</v>
      </c>
      <c r="D7495" s="14" t="s">
        <v>1690</v>
      </c>
      <c r="E7495" s="229"/>
      <c r="F7495" s="117" t="s">
        <v>21022</v>
      </c>
      <c r="G7495" s="26">
        <v>40242</v>
      </c>
      <c r="H7495" s="231"/>
      <c r="I7495" s="221"/>
      <c r="J7495" s="221"/>
      <c r="K7495" s="221"/>
      <c r="L7495" s="221"/>
      <c r="M7495" s="221"/>
      <c r="N7495" s="221"/>
      <c r="O7495" s="225"/>
      <c r="P7495" s="118" t="s">
        <v>1972</v>
      </c>
      <c r="Q7495" s="16" t="s">
        <v>20</v>
      </c>
      <c r="R7495" s="17" t="s">
        <v>1897</v>
      </c>
      <c r="S7495" s="121" t="s">
        <v>1731</v>
      </c>
      <c r="T7495" s="122"/>
      <c r="U7495" s="22"/>
      <c r="V7495" s="123"/>
      <c r="W7495" s="122"/>
      <c r="X7495" s="221"/>
      <c r="Y7495" s="221"/>
      <c r="Z7495" s="221"/>
      <c r="AA7495" s="221"/>
      <c r="AB7495" s="223"/>
    </row>
    <row r="7496" spans="1:28" ht="17.100000000000001" customHeight="1" thickTop="1">
      <c r="A7496" s="226" t="s">
        <v>20860</v>
      </c>
      <c r="B7496" s="28">
        <v>46107</v>
      </c>
      <c r="C7496" s="25">
        <v>2151</v>
      </c>
      <c r="D7496" s="13" t="s">
        <v>4531</v>
      </c>
      <c r="E7496" s="228"/>
      <c r="F7496" s="109" t="s">
        <v>20991</v>
      </c>
      <c r="G7496" s="24"/>
      <c r="H7496" s="230">
        <v>4.5</v>
      </c>
      <c r="I7496" s="220">
        <v>263000</v>
      </c>
      <c r="J7496" s="220">
        <f>I7496*0.1</f>
        <v>26300</v>
      </c>
      <c r="K7496" s="220">
        <v>0</v>
      </c>
      <c r="L7496" s="220">
        <v>9460</v>
      </c>
      <c r="M7496" s="220">
        <v>14300</v>
      </c>
      <c r="N7496" s="220">
        <f>SUM(I7496:M7497)</f>
        <v>313060</v>
      </c>
      <c r="O7496" s="224"/>
      <c r="P7496" s="110" t="s">
        <v>21299</v>
      </c>
      <c r="Q7496" s="15" t="s">
        <v>19</v>
      </c>
      <c r="R7496" s="205"/>
      <c r="S7496" s="189"/>
      <c r="T7496" s="114" t="s">
        <v>21303</v>
      </c>
      <c r="U7496" s="21"/>
      <c r="V7496" s="115">
        <v>46113</v>
      </c>
      <c r="W7496" s="116">
        <v>1011</v>
      </c>
      <c r="X7496" s="220">
        <v>340000</v>
      </c>
      <c r="Y7496" s="220">
        <f>X7496*0.1</f>
        <v>34000</v>
      </c>
      <c r="Z7496" s="220">
        <v>9460</v>
      </c>
      <c r="AA7496" s="220">
        <f>SUM(X7496:Z7496)</f>
        <v>383460</v>
      </c>
      <c r="AB7496" s="222">
        <v>46118</v>
      </c>
    </row>
    <row r="7497" spans="1:28" ht="17.100000000000001" customHeight="1" thickBot="1">
      <c r="A7497" s="227"/>
      <c r="B7497" s="27" t="s">
        <v>1918</v>
      </c>
      <c r="C7497" s="27">
        <v>15</v>
      </c>
      <c r="D7497" s="14" t="s">
        <v>1710</v>
      </c>
      <c r="E7497" s="229"/>
      <c r="F7497" s="117" t="s">
        <v>20870</v>
      </c>
      <c r="G7497" s="26">
        <v>49416</v>
      </c>
      <c r="H7497" s="231"/>
      <c r="I7497" s="221"/>
      <c r="J7497" s="221"/>
      <c r="K7497" s="221"/>
      <c r="L7497" s="221"/>
      <c r="M7497" s="221"/>
      <c r="N7497" s="221"/>
      <c r="O7497" s="225"/>
      <c r="P7497" s="118" t="s">
        <v>21300</v>
      </c>
      <c r="Q7497" s="16" t="s">
        <v>20</v>
      </c>
      <c r="R7497" s="17" t="s">
        <v>1634</v>
      </c>
      <c r="S7497" s="121" t="s">
        <v>21302</v>
      </c>
      <c r="T7497" s="122" t="s">
        <v>21301</v>
      </c>
      <c r="U7497" s="22"/>
      <c r="V7497" s="123" t="s">
        <v>2747</v>
      </c>
      <c r="W7497" s="122">
        <v>5071</v>
      </c>
      <c r="X7497" s="221"/>
      <c r="Y7497" s="221"/>
      <c r="Z7497" s="221"/>
      <c r="AA7497" s="221"/>
      <c r="AB7497" s="223"/>
    </row>
    <row r="7498" spans="1:28" ht="17.100000000000001" customHeight="1" thickTop="1">
      <c r="A7498" s="226" t="s">
        <v>20861</v>
      </c>
      <c r="B7498" s="28">
        <v>46107</v>
      </c>
      <c r="C7498" s="25">
        <v>2151</v>
      </c>
      <c r="D7498" s="13" t="s">
        <v>2931</v>
      </c>
      <c r="E7498" s="228"/>
      <c r="F7498" s="109" t="s">
        <v>20992</v>
      </c>
      <c r="G7498" s="24" t="s">
        <v>13819</v>
      </c>
      <c r="H7498" s="230">
        <v>3</v>
      </c>
      <c r="I7498" s="220">
        <v>287000</v>
      </c>
      <c r="J7498" s="220">
        <f>I7498*0.1</f>
        <v>28700</v>
      </c>
      <c r="K7498" s="220">
        <v>12900</v>
      </c>
      <c r="L7498" s="220">
        <v>10070</v>
      </c>
      <c r="M7498" s="220">
        <v>14300</v>
      </c>
      <c r="N7498" s="220">
        <f>SUM(I7498:M7499)</f>
        <v>352970</v>
      </c>
      <c r="O7498" s="224"/>
      <c r="P7498" s="110" t="s">
        <v>20993</v>
      </c>
      <c r="Q7498" s="15" t="s">
        <v>19</v>
      </c>
      <c r="R7498" s="205"/>
      <c r="S7498" s="189" t="s">
        <v>455</v>
      </c>
      <c r="T7498" s="114"/>
      <c r="U7498" s="21" t="s">
        <v>21376</v>
      </c>
      <c r="V7498" s="115">
        <v>46113</v>
      </c>
      <c r="W7498" s="116">
        <v>1011</v>
      </c>
      <c r="X7498" s="220">
        <v>370000</v>
      </c>
      <c r="Y7498" s="220">
        <f>X7498*0.1</f>
        <v>37000</v>
      </c>
      <c r="Z7498" s="220">
        <v>10070</v>
      </c>
      <c r="AA7498" s="220">
        <f>SUM(X7498:Z7498)</f>
        <v>417070</v>
      </c>
      <c r="AB7498" s="222">
        <v>46119</v>
      </c>
    </row>
    <row r="7499" spans="1:28" ht="17.100000000000001" customHeight="1" thickBot="1">
      <c r="A7499" s="227"/>
      <c r="B7499" s="27" t="s">
        <v>1918</v>
      </c>
      <c r="C7499" s="27">
        <v>53</v>
      </c>
      <c r="D7499" s="14" t="s">
        <v>1710</v>
      </c>
      <c r="E7499" s="229"/>
      <c r="F7499" s="117" t="s">
        <v>20872</v>
      </c>
      <c r="G7499" s="26">
        <v>76587</v>
      </c>
      <c r="H7499" s="231"/>
      <c r="I7499" s="221"/>
      <c r="J7499" s="221"/>
      <c r="K7499" s="221"/>
      <c r="L7499" s="221"/>
      <c r="M7499" s="221"/>
      <c r="N7499" s="221"/>
      <c r="O7499" s="225"/>
      <c r="P7499" s="118" t="s">
        <v>21310</v>
      </c>
      <c r="Q7499" s="16" t="s">
        <v>20</v>
      </c>
      <c r="R7499" s="17" t="s">
        <v>1634</v>
      </c>
      <c r="S7499" s="121" t="s">
        <v>2025</v>
      </c>
      <c r="T7499" s="122"/>
      <c r="U7499" s="22"/>
      <c r="V7499" s="123" t="s">
        <v>2747</v>
      </c>
      <c r="W7499" s="122">
        <v>5080</v>
      </c>
      <c r="X7499" s="221"/>
      <c r="Y7499" s="221"/>
      <c r="Z7499" s="221"/>
      <c r="AA7499" s="221"/>
      <c r="AB7499" s="223"/>
    </row>
    <row r="7500" spans="1:28" ht="17.100000000000001" customHeight="1" thickTop="1">
      <c r="A7500" s="226" t="s">
        <v>20862</v>
      </c>
      <c r="B7500" s="28">
        <v>46107</v>
      </c>
      <c r="C7500" s="25">
        <v>2151</v>
      </c>
      <c r="D7500" s="13" t="s">
        <v>2524</v>
      </c>
      <c r="E7500" s="228"/>
      <c r="F7500" s="109" t="s">
        <v>20994</v>
      </c>
      <c r="G7500" s="24" t="s">
        <v>3434</v>
      </c>
      <c r="H7500" s="230">
        <v>4</v>
      </c>
      <c r="I7500" s="220">
        <v>230000</v>
      </c>
      <c r="J7500" s="220">
        <f>I7500*0.1</f>
        <v>23000</v>
      </c>
      <c r="K7500" s="220">
        <v>7200</v>
      </c>
      <c r="L7500" s="220">
        <v>9070</v>
      </c>
      <c r="M7500" s="220">
        <v>14300</v>
      </c>
      <c r="N7500" s="220">
        <f>SUM(I7500:M7501)</f>
        <v>283570</v>
      </c>
      <c r="O7500" s="224"/>
      <c r="P7500" s="110" t="s">
        <v>20995</v>
      </c>
      <c r="Q7500" s="15" t="s">
        <v>19</v>
      </c>
      <c r="R7500" s="205"/>
      <c r="S7500" s="189"/>
      <c r="T7500" s="114"/>
      <c r="U7500" s="21" t="s">
        <v>22382</v>
      </c>
      <c r="V7500" s="115">
        <v>46120</v>
      </c>
      <c r="W7500" s="116">
        <v>1012</v>
      </c>
      <c r="X7500" s="220">
        <v>300000</v>
      </c>
      <c r="Y7500" s="220">
        <f>X7500*0.1</f>
        <v>30000</v>
      </c>
      <c r="Z7500" s="220">
        <v>9070</v>
      </c>
      <c r="AA7500" s="220">
        <f>SUM(X7500:Z7500)</f>
        <v>339070</v>
      </c>
      <c r="AB7500" s="222">
        <v>46128</v>
      </c>
    </row>
    <row r="7501" spans="1:28" ht="17.100000000000001" customHeight="1" thickBot="1">
      <c r="A7501" s="227"/>
      <c r="B7501" s="27" t="s">
        <v>1918</v>
      </c>
      <c r="C7501" s="27">
        <v>283</v>
      </c>
      <c r="D7501" s="14" t="s">
        <v>5509</v>
      </c>
      <c r="E7501" s="229"/>
      <c r="F7501" s="117" t="s">
        <v>20873</v>
      </c>
      <c r="G7501" s="26">
        <v>50952</v>
      </c>
      <c r="H7501" s="231"/>
      <c r="I7501" s="221"/>
      <c r="J7501" s="221"/>
      <c r="K7501" s="221"/>
      <c r="L7501" s="221"/>
      <c r="M7501" s="221"/>
      <c r="N7501" s="221"/>
      <c r="O7501" s="225"/>
      <c r="P7501" s="118" t="s">
        <v>21345</v>
      </c>
      <c r="Q7501" s="16" t="s">
        <v>20</v>
      </c>
      <c r="R7501" s="17" t="s">
        <v>1634</v>
      </c>
      <c r="S7501" s="121" t="s">
        <v>1731</v>
      </c>
      <c r="T7501" s="122"/>
      <c r="U7501" s="22"/>
      <c r="V7501" s="123" t="s">
        <v>7161</v>
      </c>
      <c r="W7501" s="122">
        <v>2075</v>
      </c>
      <c r="X7501" s="221"/>
      <c r="Y7501" s="221"/>
      <c r="Z7501" s="221"/>
      <c r="AA7501" s="221"/>
      <c r="AB7501" s="223"/>
    </row>
    <row r="7502" spans="1:28" ht="17.100000000000001" customHeight="1" thickTop="1">
      <c r="A7502" s="226" t="s">
        <v>20863</v>
      </c>
      <c r="B7502" s="28">
        <v>46107</v>
      </c>
      <c r="C7502" s="25">
        <v>2151</v>
      </c>
      <c r="D7502" s="13" t="s">
        <v>5341</v>
      </c>
      <c r="E7502" s="228"/>
      <c r="F7502" s="109" t="s">
        <v>20996</v>
      </c>
      <c r="G7502" s="24" t="s">
        <v>14925</v>
      </c>
      <c r="H7502" s="230">
        <v>3.5</v>
      </c>
      <c r="I7502" s="220">
        <v>362000</v>
      </c>
      <c r="J7502" s="220">
        <f>I7502*0.1</f>
        <v>36200</v>
      </c>
      <c r="K7502" s="220">
        <v>12900</v>
      </c>
      <c r="L7502" s="220">
        <v>7750</v>
      </c>
      <c r="M7502" s="220">
        <v>14300</v>
      </c>
      <c r="N7502" s="220">
        <f>SUM(I7502:M7503)</f>
        <v>433150</v>
      </c>
      <c r="O7502" s="224"/>
      <c r="P7502" s="110" t="s">
        <v>20997</v>
      </c>
      <c r="Q7502" s="15" t="s">
        <v>19</v>
      </c>
      <c r="R7502" s="205"/>
      <c r="S7502" s="189"/>
      <c r="T7502" s="114"/>
      <c r="U7502" s="21" t="s">
        <v>21870</v>
      </c>
      <c r="V7502" s="115">
        <v>46120</v>
      </c>
      <c r="W7502" s="116">
        <v>1012</v>
      </c>
      <c r="X7502" s="220">
        <v>395000</v>
      </c>
      <c r="Y7502" s="220">
        <f>X7502*0.1</f>
        <v>39500</v>
      </c>
      <c r="Z7502" s="220">
        <v>7750</v>
      </c>
      <c r="AA7502" s="220">
        <f>SUM(X7502:Z7502)</f>
        <v>442250</v>
      </c>
      <c r="AB7502" s="222">
        <v>46125</v>
      </c>
    </row>
    <row r="7503" spans="1:28" ht="17.100000000000001" customHeight="1" thickBot="1">
      <c r="A7503" s="227"/>
      <c r="B7503" s="27" t="s">
        <v>1918</v>
      </c>
      <c r="C7503" s="27">
        <v>345</v>
      </c>
      <c r="D7503" s="14" t="s">
        <v>1584</v>
      </c>
      <c r="E7503" s="229"/>
      <c r="F7503" s="117" t="s">
        <v>20874</v>
      </c>
      <c r="G7503" s="26">
        <v>57319</v>
      </c>
      <c r="H7503" s="231"/>
      <c r="I7503" s="221"/>
      <c r="J7503" s="221"/>
      <c r="K7503" s="221"/>
      <c r="L7503" s="221"/>
      <c r="M7503" s="221"/>
      <c r="N7503" s="221"/>
      <c r="O7503" s="225"/>
      <c r="P7503" s="118" t="s">
        <v>21350</v>
      </c>
      <c r="Q7503" s="16" t="s">
        <v>20</v>
      </c>
      <c r="R7503" s="17" t="s">
        <v>1634</v>
      </c>
      <c r="S7503" s="121" t="s">
        <v>1625</v>
      </c>
      <c r="T7503" s="122"/>
      <c r="U7503" s="22"/>
      <c r="V7503" s="123" t="s">
        <v>2747</v>
      </c>
      <c r="W7503" s="122">
        <v>2060</v>
      </c>
      <c r="X7503" s="221"/>
      <c r="Y7503" s="221"/>
      <c r="Z7503" s="221"/>
      <c r="AA7503" s="221"/>
      <c r="AB7503" s="223"/>
    </row>
    <row r="7504" spans="1:28" ht="17.100000000000001" customHeight="1" thickTop="1">
      <c r="A7504" s="226" t="s">
        <v>20864</v>
      </c>
      <c r="B7504" s="28">
        <v>46107</v>
      </c>
      <c r="C7504" s="25">
        <v>2151</v>
      </c>
      <c r="D7504" s="13" t="s">
        <v>2313</v>
      </c>
      <c r="E7504" s="228"/>
      <c r="F7504" s="109" t="s">
        <v>20998</v>
      </c>
      <c r="G7504" s="24"/>
      <c r="H7504" s="230">
        <v>4</v>
      </c>
      <c r="I7504" s="220">
        <v>1660000</v>
      </c>
      <c r="J7504" s="220">
        <f>I7504*0.1</f>
        <v>166000</v>
      </c>
      <c r="K7504" s="220">
        <v>0</v>
      </c>
      <c r="L7504" s="220">
        <v>12550</v>
      </c>
      <c r="M7504" s="220">
        <v>14300</v>
      </c>
      <c r="N7504" s="220">
        <f>SUM(I7504:M7505)</f>
        <v>1852850</v>
      </c>
      <c r="O7504" s="224"/>
      <c r="P7504" s="110" t="s">
        <v>21293</v>
      </c>
      <c r="Q7504" s="15" t="s">
        <v>19</v>
      </c>
      <c r="R7504" s="205"/>
      <c r="S7504" s="189" t="s">
        <v>25892</v>
      </c>
      <c r="T7504" s="114"/>
      <c r="U7504" s="21"/>
      <c r="V7504" s="115">
        <v>46113</v>
      </c>
      <c r="W7504" s="116">
        <v>1011</v>
      </c>
      <c r="X7504" s="220">
        <v>1745000</v>
      </c>
      <c r="Y7504" s="220">
        <f>X7504*0.1</f>
        <v>174500</v>
      </c>
      <c r="Z7504" s="220">
        <v>12550</v>
      </c>
      <c r="AA7504" s="220">
        <f>SUM(X7504:Z7504)</f>
        <v>1932050</v>
      </c>
      <c r="AB7504" s="222">
        <v>46120</v>
      </c>
    </row>
    <row r="7505" spans="1:28" ht="17.100000000000001" customHeight="1" thickBot="1">
      <c r="A7505" s="227"/>
      <c r="B7505" s="27" t="s">
        <v>1918</v>
      </c>
      <c r="C7505" s="27">
        <v>402</v>
      </c>
      <c r="D7505" s="14" t="s">
        <v>273</v>
      </c>
      <c r="E7505" s="229"/>
      <c r="F7505" s="117" t="s">
        <v>20875</v>
      </c>
      <c r="G7505" s="26">
        <v>75727</v>
      </c>
      <c r="H7505" s="231"/>
      <c r="I7505" s="221"/>
      <c r="J7505" s="221"/>
      <c r="K7505" s="221"/>
      <c r="L7505" s="221"/>
      <c r="M7505" s="221"/>
      <c r="N7505" s="221"/>
      <c r="O7505" s="225"/>
      <c r="P7505" s="118" t="s">
        <v>21294</v>
      </c>
      <c r="Q7505" s="16" t="s">
        <v>20</v>
      </c>
      <c r="R7505" s="17" t="s">
        <v>1634</v>
      </c>
      <c r="S7505" s="121" t="s">
        <v>21351</v>
      </c>
      <c r="T7505" s="122"/>
      <c r="U7505" s="22"/>
      <c r="V7505" s="123" t="s">
        <v>2747</v>
      </c>
      <c r="W7505" s="122">
        <v>5040</v>
      </c>
      <c r="X7505" s="221"/>
      <c r="Y7505" s="221"/>
      <c r="Z7505" s="221"/>
      <c r="AA7505" s="221"/>
      <c r="AB7505" s="223"/>
    </row>
    <row r="7506" spans="1:28" ht="17.100000000000001" customHeight="1" thickTop="1">
      <c r="A7506" s="226" t="s">
        <v>20865</v>
      </c>
      <c r="B7506" s="28">
        <v>46107</v>
      </c>
      <c r="C7506" s="25">
        <v>2151</v>
      </c>
      <c r="D7506" s="13" t="s">
        <v>1746</v>
      </c>
      <c r="E7506" s="228"/>
      <c r="F7506" s="109" t="s">
        <v>20999</v>
      </c>
      <c r="G7506" s="24" t="s">
        <v>21000</v>
      </c>
      <c r="H7506" s="230">
        <v>4</v>
      </c>
      <c r="I7506" s="220">
        <v>627000</v>
      </c>
      <c r="J7506" s="220">
        <f>I7506*0.1</f>
        <v>62700</v>
      </c>
      <c r="K7506" s="220">
        <v>10800</v>
      </c>
      <c r="L7506" s="220">
        <v>9550</v>
      </c>
      <c r="M7506" s="220">
        <v>14300</v>
      </c>
      <c r="N7506" s="220">
        <f>SUM(I7506:M7507)</f>
        <v>724350</v>
      </c>
      <c r="O7506" s="224"/>
      <c r="P7506" s="110" t="s">
        <v>21001</v>
      </c>
      <c r="Q7506" s="15" t="s">
        <v>19</v>
      </c>
      <c r="R7506" s="205"/>
      <c r="S7506" s="189"/>
      <c r="T7506" s="114"/>
      <c r="U7506" s="21" t="s">
        <v>23151</v>
      </c>
      <c r="V7506" s="115"/>
      <c r="W7506" s="116"/>
      <c r="X7506" s="220"/>
      <c r="Y7506" s="220">
        <f>X7506*0.1</f>
        <v>0</v>
      </c>
      <c r="Z7506" s="220"/>
      <c r="AA7506" s="220">
        <f>SUM(X7506:Z7506)</f>
        <v>0</v>
      </c>
      <c r="AB7506" s="222"/>
    </row>
    <row r="7507" spans="1:28" ht="17.100000000000001" customHeight="1" thickBot="1">
      <c r="A7507" s="227"/>
      <c r="B7507" s="27" t="s">
        <v>1918</v>
      </c>
      <c r="C7507" s="27">
        <v>2001</v>
      </c>
      <c r="D7507" s="14" t="s">
        <v>273</v>
      </c>
      <c r="E7507" s="229"/>
      <c r="F7507" s="117" t="s">
        <v>20876</v>
      </c>
      <c r="G7507" s="26">
        <v>51294</v>
      </c>
      <c r="H7507" s="231"/>
      <c r="I7507" s="221"/>
      <c r="J7507" s="221"/>
      <c r="K7507" s="221"/>
      <c r="L7507" s="221"/>
      <c r="M7507" s="221"/>
      <c r="N7507" s="221"/>
      <c r="O7507" s="225"/>
      <c r="P7507" s="118" t="s">
        <v>21347</v>
      </c>
      <c r="Q7507" s="16" t="s">
        <v>20</v>
      </c>
      <c r="R7507" s="17" t="s">
        <v>1634</v>
      </c>
      <c r="S7507" s="121" t="s">
        <v>21348</v>
      </c>
      <c r="T7507" s="122"/>
      <c r="U7507" s="22"/>
      <c r="V7507" s="123"/>
      <c r="W7507" s="122"/>
      <c r="X7507" s="221"/>
      <c r="Y7507" s="221"/>
      <c r="Z7507" s="221"/>
      <c r="AA7507" s="221"/>
      <c r="AB7507" s="223"/>
    </row>
    <row r="7508" spans="1:28" ht="17.100000000000001" customHeight="1" thickTop="1">
      <c r="A7508" s="226" t="s">
        <v>20866</v>
      </c>
      <c r="B7508" s="28">
        <v>46107</v>
      </c>
      <c r="C7508" s="25">
        <v>2151</v>
      </c>
      <c r="D7508" s="13" t="s">
        <v>1748</v>
      </c>
      <c r="E7508" s="228"/>
      <c r="F7508" s="109" t="s">
        <v>21002</v>
      </c>
      <c r="G7508" s="24" t="s">
        <v>4315</v>
      </c>
      <c r="H7508" s="230">
        <v>4.5</v>
      </c>
      <c r="I7508" s="220">
        <v>809000</v>
      </c>
      <c r="J7508" s="220">
        <f>I7508*0.1</f>
        <v>80900</v>
      </c>
      <c r="K7508" s="220">
        <v>10800</v>
      </c>
      <c r="L7508" s="220">
        <v>7040</v>
      </c>
      <c r="M7508" s="220">
        <v>14300</v>
      </c>
      <c r="N7508" s="220">
        <f>SUM(I7508:M7509)</f>
        <v>922040</v>
      </c>
      <c r="O7508" s="224"/>
      <c r="P7508" s="110" t="s">
        <v>21003</v>
      </c>
      <c r="Q7508" s="15" t="s">
        <v>19</v>
      </c>
      <c r="R7508" s="205"/>
      <c r="S7508" s="189" t="s">
        <v>758</v>
      </c>
      <c r="T7508" s="114"/>
      <c r="U7508" s="21" t="s">
        <v>21699</v>
      </c>
      <c r="V7508" s="115">
        <v>46113</v>
      </c>
      <c r="W7508" s="116">
        <v>1011</v>
      </c>
      <c r="X7508" s="220">
        <v>950000</v>
      </c>
      <c r="Y7508" s="220">
        <f>X7508*0.1</f>
        <v>95000</v>
      </c>
      <c r="Z7508" s="220">
        <v>7040</v>
      </c>
      <c r="AA7508" s="220">
        <f>SUM(X7508:Z7508)</f>
        <v>1052040</v>
      </c>
      <c r="AB7508" s="222">
        <v>46121</v>
      </c>
    </row>
    <row r="7509" spans="1:28" ht="17.100000000000001" customHeight="1" thickBot="1">
      <c r="A7509" s="227"/>
      <c r="B7509" s="27" t="s">
        <v>1918</v>
      </c>
      <c r="C7509" s="27">
        <v>2002</v>
      </c>
      <c r="D7509" s="14" t="s">
        <v>2559</v>
      </c>
      <c r="E7509" s="229"/>
      <c r="F7509" s="117" t="s">
        <v>20877</v>
      </c>
      <c r="G7509" s="26">
        <v>50400</v>
      </c>
      <c r="H7509" s="231"/>
      <c r="I7509" s="221"/>
      <c r="J7509" s="221"/>
      <c r="K7509" s="221"/>
      <c r="L7509" s="221"/>
      <c r="M7509" s="221"/>
      <c r="N7509" s="221"/>
      <c r="O7509" s="225"/>
      <c r="P7509" s="118" t="s">
        <v>21349</v>
      </c>
      <c r="Q7509" s="16" t="s">
        <v>20</v>
      </c>
      <c r="R7509" s="17" t="s">
        <v>1634</v>
      </c>
      <c r="S7509" s="121" t="s">
        <v>1731</v>
      </c>
      <c r="T7509" s="122"/>
      <c r="U7509" s="22"/>
      <c r="V7509" s="123" t="s">
        <v>7161</v>
      </c>
      <c r="W7509" s="122">
        <v>5045</v>
      </c>
      <c r="X7509" s="221"/>
      <c r="Y7509" s="221"/>
      <c r="Z7509" s="221"/>
      <c r="AA7509" s="221"/>
      <c r="AB7509" s="223"/>
    </row>
    <row r="7510" spans="1:28" ht="17.100000000000001" customHeight="1" thickTop="1">
      <c r="A7510" s="226" t="s">
        <v>20867</v>
      </c>
      <c r="B7510" s="28">
        <v>46107</v>
      </c>
      <c r="C7510" s="25">
        <v>2151</v>
      </c>
      <c r="D7510" s="13" t="s">
        <v>2324</v>
      </c>
      <c r="E7510" s="228"/>
      <c r="F7510" s="109" t="s">
        <v>15513</v>
      </c>
      <c r="G7510" s="24" t="s">
        <v>19294</v>
      </c>
      <c r="H7510" s="230">
        <v>4.5</v>
      </c>
      <c r="I7510" s="220">
        <v>1040000</v>
      </c>
      <c r="J7510" s="220">
        <f>I7510*0.1</f>
        <v>104000</v>
      </c>
      <c r="K7510" s="220">
        <v>10800</v>
      </c>
      <c r="L7510" s="220">
        <v>8390</v>
      </c>
      <c r="M7510" s="220">
        <v>14300</v>
      </c>
      <c r="N7510" s="220">
        <f>SUM(I7510:M7511)</f>
        <v>1177490</v>
      </c>
      <c r="O7510" s="224"/>
      <c r="P7510" s="110" t="s">
        <v>21004</v>
      </c>
      <c r="Q7510" s="15" t="s">
        <v>19</v>
      </c>
      <c r="R7510" s="205"/>
      <c r="S7510" s="189"/>
      <c r="T7510" s="114"/>
      <c r="U7510" s="21" t="s">
        <v>21867</v>
      </c>
      <c r="V7510" s="115">
        <v>46119</v>
      </c>
      <c r="W7510" s="116">
        <v>1936</v>
      </c>
      <c r="X7510" s="220">
        <v>1083000</v>
      </c>
      <c r="Y7510" s="220">
        <v>108300</v>
      </c>
      <c r="Z7510" s="220">
        <v>8390</v>
      </c>
      <c r="AA7510" s="220">
        <f>SUM(X7510:Z7510)</f>
        <v>1199690</v>
      </c>
      <c r="AB7510" s="222"/>
    </row>
    <row r="7511" spans="1:28" ht="17.100000000000001" customHeight="1" thickBot="1">
      <c r="A7511" s="227"/>
      <c r="B7511" s="27" t="s">
        <v>1918</v>
      </c>
      <c r="C7511" s="27">
        <v>2132</v>
      </c>
      <c r="D7511" s="14" t="s">
        <v>2559</v>
      </c>
      <c r="E7511" s="229"/>
      <c r="F7511" s="117" t="s">
        <v>20878</v>
      </c>
      <c r="G7511" s="26">
        <v>49355</v>
      </c>
      <c r="H7511" s="231"/>
      <c r="I7511" s="221"/>
      <c r="J7511" s="221"/>
      <c r="K7511" s="221"/>
      <c r="L7511" s="221"/>
      <c r="M7511" s="221"/>
      <c r="N7511" s="221"/>
      <c r="O7511" s="225"/>
      <c r="P7511" s="118" t="s">
        <v>21346</v>
      </c>
      <c r="Q7511" s="16" t="s">
        <v>20</v>
      </c>
      <c r="R7511" s="17" t="s">
        <v>1634</v>
      </c>
      <c r="S7511" s="121"/>
      <c r="T7511" s="122"/>
      <c r="U7511" s="22"/>
      <c r="V7511" s="123" t="s">
        <v>2103</v>
      </c>
      <c r="W7511" s="122">
        <v>3273</v>
      </c>
      <c r="X7511" s="221"/>
      <c r="Y7511" s="221"/>
      <c r="Z7511" s="221"/>
      <c r="AA7511" s="221"/>
      <c r="AB7511" s="223"/>
    </row>
    <row r="7512" spans="1:28" ht="17.100000000000001" customHeight="1" thickTop="1">
      <c r="A7512" s="226" t="s">
        <v>20868</v>
      </c>
      <c r="B7512" s="28">
        <v>46107</v>
      </c>
      <c r="C7512" s="25">
        <v>2151</v>
      </c>
      <c r="D7512" s="13" t="s">
        <v>2010</v>
      </c>
      <c r="E7512" s="228"/>
      <c r="F7512" s="109" t="s">
        <v>21005</v>
      </c>
      <c r="G7512" s="24"/>
      <c r="H7512" s="230">
        <v>4.5</v>
      </c>
      <c r="I7512" s="220">
        <v>1069000</v>
      </c>
      <c r="J7512" s="220">
        <f>I7512*0.1</f>
        <v>106900</v>
      </c>
      <c r="K7512" s="220">
        <v>0</v>
      </c>
      <c r="L7512" s="220">
        <v>8550</v>
      </c>
      <c r="M7512" s="220">
        <v>14300</v>
      </c>
      <c r="N7512" s="220">
        <f>SUM(I7512:M7513)</f>
        <v>1198750</v>
      </c>
      <c r="O7512" s="224"/>
      <c r="P7512" s="110" t="s">
        <v>21279</v>
      </c>
      <c r="Q7512" s="15" t="s">
        <v>19</v>
      </c>
      <c r="R7512" s="205"/>
      <c r="S7512" s="189" t="s">
        <v>758</v>
      </c>
      <c r="T7512" s="114"/>
      <c r="U7512" s="21"/>
      <c r="V7512" s="115">
        <v>46112</v>
      </c>
      <c r="W7512" s="116">
        <v>1935</v>
      </c>
      <c r="X7512" s="220">
        <v>1103000</v>
      </c>
      <c r="Y7512" s="220">
        <f>X7512*0.1</f>
        <v>110300</v>
      </c>
      <c r="Z7512" s="220">
        <v>8550</v>
      </c>
      <c r="AA7512" s="220">
        <f>SUM(X7512:Z7512)</f>
        <v>1221850</v>
      </c>
      <c r="AB7512" s="222"/>
    </row>
    <row r="7513" spans="1:28" ht="17.100000000000001" customHeight="1" thickBot="1">
      <c r="A7513" s="227"/>
      <c r="B7513" s="27" t="s">
        <v>1918</v>
      </c>
      <c r="C7513" s="27">
        <v>2589</v>
      </c>
      <c r="D7513" s="14" t="s">
        <v>2753</v>
      </c>
      <c r="E7513" s="229"/>
      <c r="F7513" s="117" t="s">
        <v>20879</v>
      </c>
      <c r="G7513" s="26">
        <v>31860</v>
      </c>
      <c r="H7513" s="231"/>
      <c r="I7513" s="221"/>
      <c r="J7513" s="221"/>
      <c r="K7513" s="221"/>
      <c r="L7513" s="221"/>
      <c r="M7513" s="221"/>
      <c r="N7513" s="221"/>
      <c r="O7513" s="225"/>
      <c r="P7513" s="118" t="s">
        <v>21280</v>
      </c>
      <c r="Q7513" s="16" t="s">
        <v>20</v>
      </c>
      <c r="R7513" s="17" t="s">
        <v>1634</v>
      </c>
      <c r="S7513" s="121" t="s">
        <v>1731</v>
      </c>
      <c r="T7513" s="122"/>
      <c r="U7513" s="22"/>
      <c r="V7513" s="123" t="s">
        <v>21196</v>
      </c>
      <c r="W7513" s="122">
        <v>3361</v>
      </c>
      <c r="X7513" s="221"/>
      <c r="Y7513" s="221"/>
      <c r="Z7513" s="221"/>
      <c r="AA7513" s="221"/>
      <c r="AB7513" s="223"/>
    </row>
    <row r="7514" spans="1:28" ht="17.100000000000001" customHeight="1" thickTop="1">
      <c r="A7514" s="226" t="s">
        <v>20869</v>
      </c>
      <c r="B7514" s="28">
        <v>46107</v>
      </c>
      <c r="C7514" s="25">
        <v>2151</v>
      </c>
      <c r="D7514" s="13" t="s">
        <v>2107</v>
      </c>
      <c r="E7514" s="228"/>
      <c r="F7514" s="109" t="s">
        <v>16257</v>
      </c>
      <c r="G7514" s="24" t="s">
        <v>4459</v>
      </c>
      <c r="H7514" s="230">
        <v>4</v>
      </c>
      <c r="I7514" s="220">
        <v>309000</v>
      </c>
      <c r="J7514" s="220">
        <f>I7514*0.1</f>
        <v>30900</v>
      </c>
      <c r="K7514" s="220">
        <v>10800</v>
      </c>
      <c r="L7514" s="220">
        <v>9200</v>
      </c>
      <c r="M7514" s="220">
        <v>14300</v>
      </c>
      <c r="N7514" s="220">
        <f>SUM(I7514:M7515)</f>
        <v>374200</v>
      </c>
      <c r="O7514" s="224"/>
      <c r="P7514" s="110" t="s">
        <v>21006</v>
      </c>
      <c r="Q7514" s="15" t="s">
        <v>19</v>
      </c>
      <c r="R7514" s="205"/>
      <c r="S7514" s="189" t="s">
        <v>758</v>
      </c>
      <c r="T7514" s="114"/>
      <c r="U7514" s="21" t="s">
        <v>21375</v>
      </c>
      <c r="V7514" s="115">
        <v>46113</v>
      </c>
      <c r="W7514" s="116">
        <v>1011</v>
      </c>
      <c r="X7514" s="220">
        <v>380000</v>
      </c>
      <c r="Y7514" s="220">
        <f>X7514*0.1</f>
        <v>38000</v>
      </c>
      <c r="Z7514" s="220">
        <v>9680</v>
      </c>
      <c r="AA7514" s="220">
        <f>SUM(X7514:Z7514)</f>
        <v>427680</v>
      </c>
      <c r="AB7514" s="222"/>
    </row>
    <row r="7515" spans="1:28" ht="17.100000000000001" customHeight="1" thickBot="1">
      <c r="A7515" s="227"/>
      <c r="B7515" s="27" t="s">
        <v>1918</v>
      </c>
      <c r="C7515" s="27">
        <v>35102</v>
      </c>
      <c r="D7515" s="14" t="s">
        <v>1710</v>
      </c>
      <c r="E7515" s="229"/>
      <c r="F7515" s="117" t="s">
        <v>20880</v>
      </c>
      <c r="G7515" s="26">
        <v>84840</v>
      </c>
      <c r="H7515" s="231"/>
      <c r="I7515" s="221"/>
      <c r="J7515" s="221"/>
      <c r="K7515" s="221"/>
      <c r="L7515" s="221"/>
      <c r="M7515" s="221"/>
      <c r="N7515" s="221"/>
      <c r="O7515" s="225"/>
      <c r="P7515" s="118" t="s">
        <v>21295</v>
      </c>
      <c r="Q7515" s="16" t="s">
        <v>20</v>
      </c>
      <c r="R7515" s="17" t="s">
        <v>1634</v>
      </c>
      <c r="S7515" s="121" t="s">
        <v>2360</v>
      </c>
      <c r="T7515" s="122"/>
      <c r="U7515" s="22"/>
      <c r="V7515" s="123" t="s">
        <v>2747</v>
      </c>
      <c r="W7515" s="122">
        <v>5039</v>
      </c>
      <c r="X7515" s="221"/>
      <c r="Y7515" s="221"/>
      <c r="Z7515" s="221"/>
      <c r="AA7515" s="221"/>
      <c r="AB7515" s="223"/>
    </row>
    <row r="7516" spans="1:28" ht="17.100000000000001" customHeight="1" thickTop="1">
      <c r="A7516" s="226" t="s">
        <v>20882</v>
      </c>
      <c r="B7516" s="28">
        <v>46107</v>
      </c>
      <c r="C7516" s="25">
        <v>2151</v>
      </c>
      <c r="D7516" s="13" t="s">
        <v>21304</v>
      </c>
      <c r="E7516" s="228"/>
      <c r="F7516" s="109" t="s">
        <v>21007</v>
      </c>
      <c r="G7516" s="24"/>
      <c r="H7516" s="232" t="s">
        <v>1705</v>
      </c>
      <c r="I7516" s="220">
        <v>201000</v>
      </c>
      <c r="J7516" s="220">
        <f>I7516*0.1</f>
        <v>20100</v>
      </c>
      <c r="K7516" s="220">
        <v>0</v>
      </c>
      <c r="L7516" s="220">
        <v>8370</v>
      </c>
      <c r="M7516" s="220">
        <v>14300</v>
      </c>
      <c r="N7516" s="220">
        <f>SUM(I7516:M7517)</f>
        <v>243770</v>
      </c>
      <c r="O7516" s="224"/>
      <c r="P7516" s="110" t="s">
        <v>21305</v>
      </c>
      <c r="Q7516" s="15" t="s">
        <v>19</v>
      </c>
      <c r="R7516" s="205"/>
      <c r="S7516" s="189"/>
      <c r="T7516" s="114"/>
      <c r="U7516" s="21"/>
      <c r="V7516" s="115">
        <v>46113</v>
      </c>
      <c r="W7516" s="116">
        <v>1011</v>
      </c>
      <c r="X7516" s="220">
        <v>280000</v>
      </c>
      <c r="Y7516" s="220">
        <f>X7516*0.1</f>
        <v>28000</v>
      </c>
      <c r="Z7516" s="220">
        <v>8370</v>
      </c>
      <c r="AA7516" s="220">
        <f>SUM(X7516:Z7516)</f>
        <v>316370</v>
      </c>
      <c r="AB7516" s="222">
        <v>46118</v>
      </c>
    </row>
    <row r="7517" spans="1:28" ht="17.100000000000001" customHeight="1" thickBot="1">
      <c r="A7517" s="227"/>
      <c r="B7517" s="27" t="s">
        <v>1918</v>
      </c>
      <c r="C7517" s="27">
        <v>35343</v>
      </c>
      <c r="D7517" s="14" t="s">
        <v>273</v>
      </c>
      <c r="E7517" s="229"/>
      <c r="F7517" s="117" t="s">
        <v>20881</v>
      </c>
      <c r="G7517" s="26">
        <v>159367</v>
      </c>
      <c r="H7517" s="231"/>
      <c r="I7517" s="221"/>
      <c r="J7517" s="221"/>
      <c r="K7517" s="221"/>
      <c r="L7517" s="221"/>
      <c r="M7517" s="221"/>
      <c r="N7517" s="221"/>
      <c r="O7517" s="225"/>
      <c r="P7517" s="118" t="s">
        <v>1972</v>
      </c>
      <c r="Q7517" s="16" t="s">
        <v>20</v>
      </c>
      <c r="R7517" s="17" t="s">
        <v>1634</v>
      </c>
      <c r="S7517" s="121"/>
      <c r="T7517" s="122"/>
      <c r="U7517" s="22"/>
      <c r="V7517" s="123" t="s">
        <v>2747</v>
      </c>
      <c r="W7517" s="122">
        <v>5078</v>
      </c>
      <c r="X7517" s="221"/>
      <c r="Y7517" s="221"/>
      <c r="Z7517" s="221"/>
      <c r="AA7517" s="221"/>
      <c r="AB7517" s="223"/>
    </row>
    <row r="7518" spans="1:28" ht="17.100000000000001" customHeight="1" thickTop="1">
      <c r="A7518" s="226" t="s">
        <v>20883</v>
      </c>
      <c r="B7518" s="28">
        <v>46107</v>
      </c>
      <c r="C7518" s="25">
        <v>2020</v>
      </c>
      <c r="D7518" s="13" t="s">
        <v>1935</v>
      </c>
      <c r="E7518" s="228"/>
      <c r="F7518" s="109" t="s">
        <v>21024</v>
      </c>
      <c r="G7518" s="24"/>
      <c r="H7518" s="230">
        <v>4</v>
      </c>
      <c r="I7518" s="220">
        <v>932000</v>
      </c>
      <c r="J7518" s="220">
        <f>I7518*0.1</f>
        <v>93200</v>
      </c>
      <c r="K7518" s="220">
        <v>0</v>
      </c>
      <c r="L7518" s="220">
        <v>10360</v>
      </c>
      <c r="M7518" s="220">
        <v>22000</v>
      </c>
      <c r="N7518" s="220">
        <f>SUM(I7518:M7519)</f>
        <v>1057560</v>
      </c>
      <c r="O7518" s="224"/>
      <c r="P7518" s="110" t="s">
        <v>21344</v>
      </c>
      <c r="Q7518" s="15" t="s">
        <v>19</v>
      </c>
      <c r="R7518" s="205"/>
      <c r="S7518" s="189"/>
      <c r="T7518" s="114"/>
      <c r="U7518" s="21"/>
      <c r="V7518" s="115">
        <v>46120</v>
      </c>
      <c r="W7518" s="116">
        <v>1012</v>
      </c>
      <c r="X7518" s="220">
        <v>955000</v>
      </c>
      <c r="Y7518" s="220">
        <f>X7518*0.1</f>
        <v>95500</v>
      </c>
      <c r="Z7518" s="220">
        <v>10360</v>
      </c>
      <c r="AA7518" s="220">
        <f>SUM(X7518:Z7518)</f>
        <v>1060860</v>
      </c>
      <c r="AB7518" s="222">
        <v>46125</v>
      </c>
    </row>
    <row r="7519" spans="1:28" ht="17.100000000000001" customHeight="1" thickBot="1">
      <c r="A7519" s="227"/>
      <c r="B7519" s="27" t="s">
        <v>2680</v>
      </c>
      <c r="C7519" s="27">
        <v>30024</v>
      </c>
      <c r="D7519" s="14" t="s">
        <v>21023</v>
      </c>
      <c r="E7519" s="229"/>
      <c r="F7519" s="117" t="s">
        <v>20903</v>
      </c>
      <c r="G7519" s="26">
        <v>60104</v>
      </c>
      <c r="H7519" s="231"/>
      <c r="I7519" s="221"/>
      <c r="J7519" s="221"/>
      <c r="K7519" s="221"/>
      <c r="L7519" s="221"/>
      <c r="M7519" s="221"/>
      <c r="N7519" s="221"/>
      <c r="O7519" s="225"/>
      <c r="P7519" s="118" t="s">
        <v>2968</v>
      </c>
      <c r="Q7519" s="16" t="s">
        <v>20</v>
      </c>
      <c r="R7519" s="17" t="s">
        <v>1634</v>
      </c>
      <c r="S7519" s="121" t="s">
        <v>13932</v>
      </c>
      <c r="T7519" s="122"/>
      <c r="U7519" s="22"/>
      <c r="V7519" s="123" t="s">
        <v>2747</v>
      </c>
      <c r="W7519" s="122">
        <v>6011</v>
      </c>
      <c r="X7519" s="221"/>
      <c r="Y7519" s="221"/>
      <c r="Z7519" s="221"/>
      <c r="AA7519" s="221"/>
      <c r="AB7519" s="223"/>
    </row>
    <row r="7520" spans="1:28" ht="17.100000000000001" customHeight="1" thickTop="1">
      <c r="A7520" s="226" t="s">
        <v>20884</v>
      </c>
      <c r="B7520" s="28">
        <v>46107</v>
      </c>
      <c r="C7520" s="25">
        <v>2020</v>
      </c>
      <c r="D7520" s="13" t="s">
        <v>2267</v>
      </c>
      <c r="E7520" s="228"/>
      <c r="F7520" s="109" t="s">
        <v>21025</v>
      </c>
      <c r="G7520" s="24" t="s">
        <v>2530</v>
      </c>
      <c r="H7520" s="230">
        <v>4.5</v>
      </c>
      <c r="I7520" s="220">
        <v>1691000</v>
      </c>
      <c r="J7520" s="220">
        <v>0</v>
      </c>
      <c r="K7520" s="220">
        <v>34500</v>
      </c>
      <c r="L7520" s="220">
        <v>10190</v>
      </c>
      <c r="M7520" s="220">
        <v>22000</v>
      </c>
      <c r="N7520" s="220">
        <f>SUM(I7520:M7521)</f>
        <v>1757690</v>
      </c>
      <c r="O7520" s="224"/>
      <c r="P7520" s="110" t="s">
        <v>21026</v>
      </c>
      <c r="Q7520" s="15" t="s">
        <v>19</v>
      </c>
      <c r="R7520" s="205"/>
      <c r="S7520" s="189" t="s">
        <v>25893</v>
      </c>
      <c r="T7520" s="114" t="s">
        <v>21027</v>
      </c>
      <c r="U7520" s="21"/>
      <c r="V7520" s="115">
        <v>46113</v>
      </c>
      <c r="W7520" s="116">
        <v>1011</v>
      </c>
      <c r="X7520" s="220">
        <v>1900000</v>
      </c>
      <c r="Y7520" s="220">
        <v>0</v>
      </c>
      <c r="Z7520" s="220">
        <v>10190</v>
      </c>
      <c r="AA7520" s="220">
        <f>SUM(X7520:Z7520)</f>
        <v>1910190</v>
      </c>
      <c r="AB7520" s="222">
        <v>46118</v>
      </c>
    </row>
    <row r="7521" spans="1:28" ht="17.100000000000001" customHeight="1" thickBot="1">
      <c r="A7521" s="227"/>
      <c r="B7521" s="27" t="s">
        <v>2680</v>
      </c>
      <c r="C7521" s="27">
        <v>30106</v>
      </c>
      <c r="D7521" s="14" t="s">
        <v>2559</v>
      </c>
      <c r="E7521" s="229"/>
      <c r="F7521" s="117" t="s">
        <v>20904</v>
      </c>
      <c r="G7521" s="26">
        <v>52641</v>
      </c>
      <c r="H7521" s="231"/>
      <c r="I7521" s="221"/>
      <c r="J7521" s="221"/>
      <c r="K7521" s="221"/>
      <c r="L7521" s="221"/>
      <c r="M7521" s="221"/>
      <c r="N7521" s="221"/>
      <c r="O7521" s="225"/>
      <c r="P7521" s="118" t="s">
        <v>21296</v>
      </c>
      <c r="Q7521" s="16" t="s">
        <v>20</v>
      </c>
      <c r="R7521" s="17" t="s">
        <v>1634</v>
      </c>
      <c r="S7521" s="121" t="s">
        <v>21369</v>
      </c>
      <c r="T7521" s="122"/>
      <c r="U7521" s="22"/>
      <c r="V7521" s="123" t="s">
        <v>2747</v>
      </c>
      <c r="W7521" s="122">
        <v>5053</v>
      </c>
      <c r="X7521" s="221"/>
      <c r="Y7521" s="221"/>
      <c r="Z7521" s="221"/>
      <c r="AA7521" s="221"/>
      <c r="AB7521" s="223"/>
    </row>
    <row r="7522" spans="1:28" ht="17.100000000000001" customHeight="1" thickTop="1">
      <c r="A7522" s="226" t="s">
        <v>20885</v>
      </c>
      <c r="B7522" s="28">
        <v>46107</v>
      </c>
      <c r="C7522" s="25">
        <v>2020</v>
      </c>
      <c r="D7522" s="13" t="s">
        <v>1973</v>
      </c>
      <c r="E7522" s="228"/>
      <c r="F7522" s="109" t="s">
        <v>21028</v>
      </c>
      <c r="G7522" s="24"/>
      <c r="H7522" s="230">
        <v>4</v>
      </c>
      <c r="I7522" s="220">
        <v>1370000</v>
      </c>
      <c r="J7522" s="220">
        <f>I7522*0.1</f>
        <v>137000</v>
      </c>
      <c r="K7522" s="220">
        <v>0</v>
      </c>
      <c r="L7522" s="220">
        <v>7530</v>
      </c>
      <c r="M7522" s="220">
        <v>22000</v>
      </c>
      <c r="N7522" s="220">
        <f>SUM(I7522:M7523)</f>
        <v>1536530</v>
      </c>
      <c r="O7522" s="224"/>
      <c r="P7522" s="110" t="s">
        <v>21308</v>
      </c>
      <c r="Q7522" s="15" t="s">
        <v>19</v>
      </c>
      <c r="R7522" s="205"/>
      <c r="S7522" s="189" t="s">
        <v>25688</v>
      </c>
      <c r="T7522" s="114"/>
      <c r="U7522" s="21"/>
      <c r="V7522" s="115">
        <v>46113</v>
      </c>
      <c r="W7522" s="116">
        <v>1011</v>
      </c>
      <c r="X7522" s="220">
        <v>1435000</v>
      </c>
      <c r="Y7522" s="220">
        <f>X7522*0.1</f>
        <v>143500</v>
      </c>
      <c r="Z7522" s="220">
        <v>7530</v>
      </c>
      <c r="AA7522" s="220">
        <f>SUM(X7522:Z7522)</f>
        <v>1586030</v>
      </c>
      <c r="AB7522" s="222">
        <v>46118</v>
      </c>
    </row>
    <row r="7523" spans="1:28" ht="17.100000000000001" customHeight="1" thickBot="1">
      <c r="A7523" s="227"/>
      <c r="B7523" s="27" t="s">
        <v>2680</v>
      </c>
      <c r="C7523" s="27">
        <v>30131</v>
      </c>
      <c r="D7523" s="14" t="s">
        <v>2559</v>
      </c>
      <c r="E7523" s="229"/>
      <c r="F7523" s="117" t="s">
        <v>21307</v>
      </c>
      <c r="G7523" s="26">
        <v>3688</v>
      </c>
      <c r="H7523" s="231"/>
      <c r="I7523" s="221"/>
      <c r="J7523" s="221"/>
      <c r="K7523" s="221"/>
      <c r="L7523" s="221"/>
      <c r="M7523" s="221"/>
      <c r="N7523" s="221"/>
      <c r="O7523" s="225"/>
      <c r="P7523" s="118" t="s">
        <v>21309</v>
      </c>
      <c r="Q7523" s="16" t="s">
        <v>20</v>
      </c>
      <c r="R7523" s="17" t="s">
        <v>1634</v>
      </c>
      <c r="S7523" s="121" t="s">
        <v>2025</v>
      </c>
      <c r="T7523" s="122"/>
      <c r="U7523" s="22"/>
      <c r="V7523" s="123" t="s">
        <v>2747</v>
      </c>
      <c r="W7523" s="122">
        <v>5055</v>
      </c>
      <c r="X7523" s="221"/>
      <c r="Y7523" s="221"/>
      <c r="Z7523" s="221"/>
      <c r="AA7523" s="221"/>
      <c r="AB7523" s="223"/>
    </row>
    <row r="7524" spans="1:28" ht="17.100000000000001" customHeight="1" thickTop="1">
      <c r="A7524" s="226" t="s">
        <v>20886</v>
      </c>
      <c r="B7524" s="28">
        <v>46107</v>
      </c>
      <c r="C7524" s="25">
        <v>2020</v>
      </c>
      <c r="D7524" s="13" t="s">
        <v>1973</v>
      </c>
      <c r="E7524" s="228"/>
      <c r="F7524" s="109" t="s">
        <v>21029</v>
      </c>
      <c r="G7524" s="24"/>
      <c r="H7524" s="230">
        <v>4.5</v>
      </c>
      <c r="I7524" s="220">
        <v>1235000</v>
      </c>
      <c r="J7524" s="220">
        <f>I7524*0.1</f>
        <v>123500</v>
      </c>
      <c r="K7524" s="220">
        <v>0</v>
      </c>
      <c r="L7524" s="220">
        <v>6880</v>
      </c>
      <c r="M7524" s="220">
        <v>22000</v>
      </c>
      <c r="N7524" s="220">
        <f>SUM(I7524:M7525)</f>
        <v>1387380</v>
      </c>
      <c r="O7524" s="224"/>
      <c r="P7524" s="110" t="s">
        <v>21342</v>
      </c>
      <c r="Q7524" s="15" t="s">
        <v>19</v>
      </c>
      <c r="R7524" s="205"/>
      <c r="S7524" s="189" t="s">
        <v>25894</v>
      </c>
      <c r="T7524" s="114"/>
      <c r="U7524" s="21"/>
      <c r="V7524" s="115">
        <v>46155</v>
      </c>
      <c r="W7524" s="116">
        <v>1016</v>
      </c>
      <c r="X7524" s="220">
        <v>1290000</v>
      </c>
      <c r="Y7524" s="220">
        <f>X7524*0.1</f>
        <v>129000</v>
      </c>
      <c r="Z7524" s="220">
        <v>6880</v>
      </c>
      <c r="AA7524" s="220">
        <f>SUM(X7524:Z7524)</f>
        <v>1425880</v>
      </c>
      <c r="AB7524" s="222">
        <v>46160</v>
      </c>
    </row>
    <row r="7525" spans="1:28" ht="17.100000000000001" customHeight="1" thickBot="1">
      <c r="A7525" s="227"/>
      <c r="B7525" s="27" t="s">
        <v>2680</v>
      </c>
      <c r="C7525" s="27">
        <v>50045</v>
      </c>
      <c r="D7525" s="14" t="s">
        <v>1690</v>
      </c>
      <c r="E7525" s="229"/>
      <c r="F7525" s="117" t="s">
        <v>20905</v>
      </c>
      <c r="G7525" s="26">
        <v>5370</v>
      </c>
      <c r="H7525" s="231"/>
      <c r="I7525" s="221"/>
      <c r="J7525" s="221"/>
      <c r="K7525" s="221"/>
      <c r="L7525" s="221"/>
      <c r="M7525" s="221"/>
      <c r="N7525" s="221"/>
      <c r="O7525" s="225"/>
      <c r="P7525" s="118" t="s">
        <v>21343</v>
      </c>
      <c r="Q7525" s="16" t="s">
        <v>20</v>
      </c>
      <c r="R7525" s="17" t="s">
        <v>1634</v>
      </c>
      <c r="S7525" s="121" t="s">
        <v>3581</v>
      </c>
      <c r="T7525" s="122"/>
      <c r="U7525" s="22"/>
      <c r="V7525" s="123" t="s">
        <v>2747</v>
      </c>
      <c r="W7525" s="122">
        <v>2042</v>
      </c>
      <c r="X7525" s="221"/>
      <c r="Y7525" s="221"/>
      <c r="Z7525" s="221"/>
      <c r="AA7525" s="221"/>
      <c r="AB7525" s="223"/>
    </row>
    <row r="7526" spans="1:28" ht="17.100000000000001" customHeight="1" thickTop="1">
      <c r="A7526" s="226" t="s">
        <v>20887</v>
      </c>
      <c r="B7526" s="28">
        <v>46107</v>
      </c>
      <c r="C7526" s="25">
        <v>2020</v>
      </c>
      <c r="D7526" s="13" t="s">
        <v>1704</v>
      </c>
      <c r="E7526" s="228"/>
      <c r="F7526" s="109" t="s">
        <v>15619</v>
      </c>
      <c r="G7526" s="24"/>
      <c r="H7526" s="230">
        <v>4</v>
      </c>
      <c r="I7526" s="220">
        <v>1214000</v>
      </c>
      <c r="J7526" s="220">
        <f>I7526*0.1</f>
        <v>121400</v>
      </c>
      <c r="K7526" s="220">
        <v>0</v>
      </c>
      <c r="L7526" s="220">
        <v>8390</v>
      </c>
      <c r="M7526" s="220">
        <v>22000</v>
      </c>
      <c r="N7526" s="220">
        <f>SUM(I7526:M7527)</f>
        <v>1365790</v>
      </c>
      <c r="O7526" s="224"/>
      <c r="P7526" s="110" t="s">
        <v>21340</v>
      </c>
      <c r="Q7526" s="15" t="s">
        <v>19</v>
      </c>
      <c r="R7526" s="205"/>
      <c r="S7526" s="189" t="s">
        <v>25714</v>
      </c>
      <c r="T7526" s="114"/>
      <c r="U7526" s="21"/>
      <c r="V7526" s="115">
        <v>46134</v>
      </c>
      <c r="W7526" s="116">
        <v>1014</v>
      </c>
      <c r="X7526" s="220">
        <v>1265000</v>
      </c>
      <c r="Y7526" s="220">
        <f>X7526*0.1</f>
        <v>126500</v>
      </c>
      <c r="Z7526" s="220">
        <v>8390</v>
      </c>
      <c r="AA7526" s="220">
        <f>SUM(X7526:Z7526)</f>
        <v>1399890</v>
      </c>
      <c r="AB7526" s="222">
        <v>46139</v>
      </c>
    </row>
    <row r="7527" spans="1:28" ht="17.100000000000001" customHeight="1" thickBot="1">
      <c r="A7527" s="227"/>
      <c r="B7527" s="27" t="s">
        <v>2680</v>
      </c>
      <c r="C7527" s="27">
        <v>50166</v>
      </c>
      <c r="D7527" s="14" t="s">
        <v>1710</v>
      </c>
      <c r="E7527" s="229"/>
      <c r="F7527" s="117" t="s">
        <v>20906</v>
      </c>
      <c r="G7527" s="26">
        <v>21570</v>
      </c>
      <c r="H7527" s="231"/>
      <c r="I7527" s="221"/>
      <c r="J7527" s="221"/>
      <c r="K7527" s="221"/>
      <c r="L7527" s="221"/>
      <c r="M7527" s="221"/>
      <c r="N7527" s="221"/>
      <c r="O7527" s="225"/>
      <c r="P7527" s="118" t="s">
        <v>4045</v>
      </c>
      <c r="Q7527" s="16" t="s">
        <v>20</v>
      </c>
      <c r="R7527" s="17" t="s">
        <v>1634</v>
      </c>
      <c r="S7527" s="121" t="s">
        <v>10307</v>
      </c>
      <c r="T7527" s="122"/>
      <c r="U7527" s="22"/>
      <c r="V7527" s="123" t="s">
        <v>8877</v>
      </c>
      <c r="W7527" s="122">
        <v>2034</v>
      </c>
      <c r="X7527" s="221"/>
      <c r="Y7527" s="221"/>
      <c r="Z7527" s="221"/>
      <c r="AA7527" s="221"/>
      <c r="AB7527" s="223"/>
    </row>
    <row r="7528" spans="1:28" ht="17.100000000000001" customHeight="1" thickTop="1">
      <c r="A7528" s="226" t="s">
        <v>20888</v>
      </c>
      <c r="B7528" s="28">
        <v>46107</v>
      </c>
      <c r="C7528" s="25">
        <v>2020</v>
      </c>
      <c r="D7528" s="13" t="s">
        <v>1947</v>
      </c>
      <c r="E7528" s="228"/>
      <c r="F7528" s="109" t="s">
        <v>21030</v>
      </c>
      <c r="G7528" s="24"/>
      <c r="H7528" s="230">
        <v>4.5</v>
      </c>
      <c r="I7528" s="220">
        <v>1161000</v>
      </c>
      <c r="J7528" s="220">
        <v>116100</v>
      </c>
      <c r="K7528" s="220">
        <v>0</v>
      </c>
      <c r="L7528" s="220">
        <v>8630</v>
      </c>
      <c r="M7528" s="220">
        <v>22000</v>
      </c>
      <c r="N7528" s="220">
        <f>SUM(I7528:M7529)</f>
        <v>1307730</v>
      </c>
      <c r="O7528" s="224"/>
      <c r="P7528" s="110" t="s">
        <v>21297</v>
      </c>
      <c r="Q7528" s="15" t="s">
        <v>19</v>
      </c>
      <c r="R7528" s="205"/>
      <c r="S7528" s="189" t="s">
        <v>1406</v>
      </c>
      <c r="T7528" s="114"/>
      <c r="U7528" s="21"/>
      <c r="V7528" s="115">
        <v>46113</v>
      </c>
      <c r="W7528" s="116">
        <v>1011</v>
      </c>
      <c r="X7528" s="220">
        <v>1230000</v>
      </c>
      <c r="Y7528" s="220">
        <f>X7528*0.1</f>
        <v>123000</v>
      </c>
      <c r="Z7528" s="220">
        <v>8630</v>
      </c>
      <c r="AA7528" s="220">
        <f>SUM(X7528:Z7528)</f>
        <v>1361630</v>
      </c>
      <c r="AB7528" s="222">
        <v>46118</v>
      </c>
    </row>
    <row r="7529" spans="1:28" ht="17.100000000000001" customHeight="1" thickBot="1">
      <c r="A7529" s="227"/>
      <c r="B7529" s="27" t="s">
        <v>2680</v>
      </c>
      <c r="C7529" s="27">
        <v>50191</v>
      </c>
      <c r="D7529" s="14" t="s">
        <v>131</v>
      </c>
      <c r="E7529" s="229"/>
      <c r="F7529" s="117" t="s">
        <v>20907</v>
      </c>
      <c r="G7529" s="26">
        <v>27302</v>
      </c>
      <c r="H7529" s="231"/>
      <c r="I7529" s="221"/>
      <c r="J7529" s="221"/>
      <c r="K7529" s="221"/>
      <c r="L7529" s="221"/>
      <c r="M7529" s="221"/>
      <c r="N7529" s="221"/>
      <c r="O7529" s="225"/>
      <c r="P7529" s="118" t="s">
        <v>21298</v>
      </c>
      <c r="Q7529" s="16" t="s">
        <v>20</v>
      </c>
      <c r="R7529" s="17" t="s">
        <v>1634</v>
      </c>
      <c r="S7529" s="121" t="s">
        <v>2405</v>
      </c>
      <c r="T7529" s="122"/>
      <c r="U7529" s="22"/>
      <c r="V7529" s="123" t="s">
        <v>2747</v>
      </c>
      <c r="W7529" s="122">
        <v>5059</v>
      </c>
      <c r="X7529" s="221"/>
      <c r="Y7529" s="221"/>
      <c r="Z7529" s="221"/>
      <c r="AA7529" s="221"/>
      <c r="AB7529" s="223"/>
    </row>
    <row r="7530" spans="1:28" ht="17.100000000000001" customHeight="1" thickTop="1">
      <c r="A7530" s="226" t="s">
        <v>20889</v>
      </c>
      <c r="B7530" s="28">
        <v>46107</v>
      </c>
      <c r="C7530" s="25">
        <v>2020</v>
      </c>
      <c r="D7530" s="13" t="s">
        <v>1578</v>
      </c>
      <c r="E7530" s="228"/>
      <c r="F7530" s="109" t="s">
        <v>21032</v>
      </c>
      <c r="G7530" s="24"/>
      <c r="H7530" s="230">
        <v>4.5</v>
      </c>
      <c r="I7530" s="220">
        <v>1099000</v>
      </c>
      <c r="J7530" s="220">
        <f>I7530*0.1</f>
        <v>109900</v>
      </c>
      <c r="K7530" s="220">
        <v>0</v>
      </c>
      <c r="L7530" s="220">
        <v>8790</v>
      </c>
      <c r="M7530" s="220">
        <v>22000</v>
      </c>
      <c r="N7530" s="220">
        <f>SUM(I7530:M7531)</f>
        <v>1239690</v>
      </c>
      <c r="O7530" s="224"/>
      <c r="P7530" s="110" t="s">
        <v>21338</v>
      </c>
      <c r="Q7530" s="15" t="s">
        <v>19</v>
      </c>
      <c r="R7530" s="205"/>
      <c r="S7530" s="189" t="s">
        <v>25895</v>
      </c>
      <c r="T7530" s="114"/>
      <c r="U7530" s="21"/>
      <c r="V7530" s="115">
        <v>46120</v>
      </c>
      <c r="W7530" s="116">
        <v>1012</v>
      </c>
      <c r="X7530" s="220">
        <v>1170000</v>
      </c>
      <c r="Y7530" s="220">
        <f>X7530*0.1</f>
        <v>117000</v>
      </c>
      <c r="Z7530" s="220">
        <v>8790</v>
      </c>
      <c r="AA7530" s="220">
        <f>SUM(X7530:Z7530)</f>
        <v>1295790</v>
      </c>
      <c r="AB7530" s="222">
        <v>46125</v>
      </c>
    </row>
    <row r="7531" spans="1:28" ht="17.100000000000001" customHeight="1" thickBot="1">
      <c r="A7531" s="227"/>
      <c r="B7531" s="27" t="s">
        <v>2680</v>
      </c>
      <c r="C7531" s="27">
        <v>50222</v>
      </c>
      <c r="D7531" s="14" t="s">
        <v>21031</v>
      </c>
      <c r="E7531" s="229"/>
      <c r="F7531" s="117" t="s">
        <v>20908</v>
      </c>
      <c r="G7531" s="26">
        <v>46838</v>
      </c>
      <c r="H7531" s="231"/>
      <c r="I7531" s="221"/>
      <c r="J7531" s="221"/>
      <c r="K7531" s="221"/>
      <c r="L7531" s="221"/>
      <c r="M7531" s="221"/>
      <c r="N7531" s="221"/>
      <c r="O7531" s="225"/>
      <c r="P7531" s="118" t="s">
        <v>21339</v>
      </c>
      <c r="Q7531" s="16" t="s">
        <v>20</v>
      </c>
      <c r="R7531" s="17" t="s">
        <v>2913</v>
      </c>
      <c r="S7531" s="121" t="s">
        <v>10350</v>
      </c>
      <c r="T7531" s="122"/>
      <c r="U7531" s="22"/>
      <c r="V7531" s="123" t="s">
        <v>2747</v>
      </c>
      <c r="W7531" s="122">
        <v>2055</v>
      </c>
      <c r="X7531" s="221"/>
      <c r="Y7531" s="221"/>
      <c r="Z7531" s="221"/>
      <c r="AA7531" s="221"/>
      <c r="AB7531" s="223"/>
    </row>
    <row r="7532" spans="1:28" ht="17.100000000000001" customHeight="1" thickTop="1">
      <c r="A7532" s="226" t="s">
        <v>20890</v>
      </c>
      <c r="B7532" s="28">
        <v>46108</v>
      </c>
      <c r="C7532" s="25">
        <v>104</v>
      </c>
      <c r="D7532" s="13" t="s">
        <v>1531</v>
      </c>
      <c r="E7532" s="228"/>
      <c r="F7532" s="109" t="s">
        <v>15904</v>
      </c>
      <c r="G7532" s="24" t="s">
        <v>2038</v>
      </c>
      <c r="H7532" s="230">
        <v>4</v>
      </c>
      <c r="I7532" s="220">
        <v>355000</v>
      </c>
      <c r="J7532" s="220">
        <f>I7532*0.1</f>
        <v>35500</v>
      </c>
      <c r="K7532" s="220">
        <v>0</v>
      </c>
      <c r="L7532" s="220">
        <v>8850</v>
      </c>
      <c r="M7532" s="220">
        <v>33000</v>
      </c>
      <c r="N7532" s="220">
        <f>SUM(I7532:M7533)</f>
        <v>432350</v>
      </c>
      <c r="O7532" s="224"/>
      <c r="P7532" s="110" t="s">
        <v>21930</v>
      </c>
      <c r="Q7532" s="15" t="s">
        <v>19</v>
      </c>
      <c r="R7532" s="205"/>
      <c r="S7532" s="189" t="s">
        <v>25896</v>
      </c>
      <c r="T7532" s="114"/>
      <c r="U7532" s="21"/>
      <c r="V7532" s="115">
        <v>46123</v>
      </c>
      <c r="W7532" s="116">
        <v>1296</v>
      </c>
      <c r="X7532" s="220">
        <v>465000</v>
      </c>
      <c r="Y7532" s="220">
        <f>X7532*0.1</f>
        <v>46500</v>
      </c>
      <c r="Z7532" s="220">
        <v>8850</v>
      </c>
      <c r="AA7532" s="220">
        <f>SUM(X7532:Z7532)</f>
        <v>520350</v>
      </c>
      <c r="AB7532" s="222">
        <v>46126</v>
      </c>
    </row>
    <row r="7533" spans="1:28" ht="17.100000000000001" customHeight="1" thickBot="1">
      <c r="A7533" s="227"/>
      <c r="B7533" s="27" t="s">
        <v>4468</v>
      </c>
      <c r="C7533" s="27">
        <v>1008</v>
      </c>
      <c r="D7533" s="14" t="s">
        <v>2559</v>
      </c>
      <c r="E7533" s="229"/>
      <c r="F7533" s="117" t="s">
        <v>20909</v>
      </c>
      <c r="G7533" s="26">
        <v>79729</v>
      </c>
      <c r="H7533" s="231"/>
      <c r="I7533" s="221"/>
      <c r="J7533" s="221"/>
      <c r="K7533" s="221"/>
      <c r="L7533" s="221"/>
      <c r="M7533" s="221"/>
      <c r="N7533" s="221"/>
      <c r="O7533" s="225"/>
      <c r="P7533" s="118" t="s">
        <v>21931</v>
      </c>
      <c r="Q7533" s="16" t="s">
        <v>20</v>
      </c>
      <c r="R7533" s="17" t="s">
        <v>1780</v>
      </c>
      <c r="S7533" s="121" t="s">
        <v>22025</v>
      </c>
      <c r="T7533" s="122"/>
      <c r="U7533" s="22"/>
      <c r="V7533" s="123" t="s">
        <v>2472</v>
      </c>
      <c r="W7533" s="122">
        <v>65183</v>
      </c>
      <c r="X7533" s="221"/>
      <c r="Y7533" s="221"/>
      <c r="Z7533" s="221"/>
      <c r="AA7533" s="221"/>
      <c r="AB7533" s="223"/>
    </row>
    <row r="7534" spans="1:28" ht="17.100000000000001" customHeight="1" thickTop="1">
      <c r="A7534" s="226" t="s">
        <v>20891</v>
      </c>
      <c r="B7534" s="28">
        <v>46108</v>
      </c>
      <c r="C7534" s="25">
        <v>104</v>
      </c>
      <c r="D7534" s="13" t="s">
        <v>1901</v>
      </c>
      <c r="E7534" s="228"/>
      <c r="F7534" s="109" t="s">
        <v>21033</v>
      </c>
      <c r="G7534" s="24" t="s">
        <v>4412</v>
      </c>
      <c r="H7534" s="230">
        <v>4.5</v>
      </c>
      <c r="I7534" s="220">
        <v>1875000</v>
      </c>
      <c r="J7534" s="220">
        <f>I7534*0.1</f>
        <v>187500</v>
      </c>
      <c r="K7534" s="220">
        <v>43780</v>
      </c>
      <c r="L7534" s="220">
        <v>11710</v>
      </c>
      <c r="M7534" s="220">
        <v>44000</v>
      </c>
      <c r="N7534" s="220">
        <f>SUM(I7534:M7535)</f>
        <v>2161990</v>
      </c>
      <c r="O7534" s="224"/>
      <c r="P7534" s="110" t="s">
        <v>22318</v>
      </c>
      <c r="Q7534" s="15" t="s">
        <v>19</v>
      </c>
      <c r="R7534" s="205"/>
      <c r="S7534" s="189" t="s">
        <v>25897</v>
      </c>
      <c r="T7534" s="114"/>
      <c r="U7534" s="21"/>
      <c r="V7534" s="115">
        <v>46141</v>
      </c>
      <c r="W7534" s="116">
        <v>1015</v>
      </c>
      <c r="X7534" s="220">
        <v>1940000</v>
      </c>
      <c r="Y7534" s="220">
        <f>X7534*0.1</f>
        <v>194000</v>
      </c>
      <c r="Z7534" s="220">
        <v>11710</v>
      </c>
      <c r="AA7534" s="220">
        <f>SUM(X7534:Z7534)</f>
        <v>2145710</v>
      </c>
      <c r="AB7534" s="222">
        <v>46153</v>
      </c>
    </row>
    <row r="7535" spans="1:28" ht="17.100000000000001" customHeight="1" thickBot="1">
      <c r="A7535" s="227"/>
      <c r="B7535" s="27" t="s">
        <v>4468</v>
      </c>
      <c r="C7535" s="27">
        <v>1010</v>
      </c>
      <c r="D7535" s="14" t="s">
        <v>1710</v>
      </c>
      <c r="E7535" s="229"/>
      <c r="F7535" s="117" t="s">
        <v>20910</v>
      </c>
      <c r="G7535" s="26">
        <v>27354</v>
      </c>
      <c r="H7535" s="231"/>
      <c r="I7535" s="221"/>
      <c r="J7535" s="221"/>
      <c r="K7535" s="221"/>
      <c r="L7535" s="221"/>
      <c r="M7535" s="221"/>
      <c r="N7535" s="221"/>
      <c r="O7535" s="225"/>
      <c r="P7535" s="118" t="s">
        <v>22319</v>
      </c>
      <c r="Q7535" s="16" t="s">
        <v>20</v>
      </c>
      <c r="R7535" s="17" t="s">
        <v>22315</v>
      </c>
      <c r="S7535" s="121" t="s">
        <v>22469</v>
      </c>
      <c r="T7535" s="122"/>
      <c r="U7535" s="22"/>
      <c r="V7535" s="123" t="s">
        <v>2747</v>
      </c>
      <c r="W7535" s="122">
        <v>6002</v>
      </c>
      <c r="X7535" s="221"/>
      <c r="Y7535" s="221"/>
      <c r="Z7535" s="221"/>
      <c r="AA7535" s="221"/>
      <c r="AB7535" s="223"/>
    </row>
    <row r="7536" spans="1:28" ht="17.100000000000001" customHeight="1" thickTop="1">
      <c r="A7536" s="226" t="s">
        <v>20892</v>
      </c>
      <c r="B7536" s="28">
        <v>46108</v>
      </c>
      <c r="C7536" s="25">
        <v>104</v>
      </c>
      <c r="D7536" s="13" t="s">
        <v>2892</v>
      </c>
      <c r="E7536" s="228"/>
      <c r="F7536" s="109" t="s">
        <v>21034</v>
      </c>
      <c r="G7536" s="24" t="s">
        <v>2894</v>
      </c>
      <c r="H7536" s="230">
        <v>4.5</v>
      </c>
      <c r="I7536" s="220">
        <v>2495000</v>
      </c>
      <c r="J7536" s="220">
        <f>I7536*0.1</f>
        <v>249500</v>
      </c>
      <c r="K7536" s="220">
        <v>0</v>
      </c>
      <c r="L7536" s="220">
        <v>7790</v>
      </c>
      <c r="M7536" s="220">
        <v>66000</v>
      </c>
      <c r="N7536" s="220">
        <f>SUM(I7536:M7537)</f>
        <v>2818290</v>
      </c>
      <c r="O7536" s="224"/>
      <c r="P7536" s="110" t="s">
        <v>21951</v>
      </c>
      <c r="Q7536" s="15" t="s">
        <v>19</v>
      </c>
      <c r="R7536" s="205"/>
      <c r="S7536" s="189" t="s">
        <v>25897</v>
      </c>
      <c r="T7536" s="114"/>
      <c r="U7536" s="21"/>
      <c r="V7536" s="115">
        <v>46137</v>
      </c>
      <c r="W7536" s="116">
        <v>1298</v>
      </c>
      <c r="X7536" s="220">
        <v>2630000</v>
      </c>
      <c r="Y7536" s="220">
        <f>X7536*0.1</f>
        <v>263000</v>
      </c>
      <c r="Z7536" s="220">
        <v>7790</v>
      </c>
      <c r="AA7536" s="220">
        <f>SUM(X7536:Z7536)</f>
        <v>2900790</v>
      </c>
      <c r="AB7536" s="222">
        <v>46143</v>
      </c>
    </row>
    <row r="7537" spans="1:28" ht="17.100000000000001" customHeight="1" thickBot="1">
      <c r="A7537" s="227"/>
      <c r="B7537" s="27" t="s">
        <v>4468</v>
      </c>
      <c r="C7537" s="27">
        <v>1015</v>
      </c>
      <c r="D7537" s="14" t="s">
        <v>1710</v>
      </c>
      <c r="E7537" s="229"/>
      <c r="F7537" s="117" t="s">
        <v>20911</v>
      </c>
      <c r="G7537" s="26">
        <v>9268</v>
      </c>
      <c r="H7537" s="231"/>
      <c r="I7537" s="221"/>
      <c r="J7537" s="221"/>
      <c r="K7537" s="221"/>
      <c r="L7537" s="221"/>
      <c r="M7537" s="221"/>
      <c r="N7537" s="221"/>
      <c r="O7537" s="225"/>
      <c r="P7537" s="118" t="s">
        <v>4211</v>
      </c>
      <c r="Q7537" s="16" t="s">
        <v>20</v>
      </c>
      <c r="R7537" s="17" t="s">
        <v>1810</v>
      </c>
      <c r="S7537" s="121" t="s">
        <v>1606</v>
      </c>
      <c r="T7537" s="122"/>
      <c r="U7537" s="22"/>
      <c r="V7537" s="123" t="s">
        <v>6641</v>
      </c>
      <c r="W7537" s="122">
        <v>31070</v>
      </c>
      <c r="X7537" s="221"/>
      <c r="Y7537" s="221"/>
      <c r="Z7537" s="221"/>
      <c r="AA7537" s="221"/>
      <c r="AB7537" s="223"/>
    </row>
    <row r="7538" spans="1:28" ht="17.100000000000001" customHeight="1" thickTop="1">
      <c r="A7538" s="226" t="s">
        <v>20893</v>
      </c>
      <c r="B7538" s="28">
        <v>46108</v>
      </c>
      <c r="C7538" s="25">
        <v>104</v>
      </c>
      <c r="D7538" s="13" t="s">
        <v>1887</v>
      </c>
      <c r="E7538" s="228"/>
      <c r="F7538" s="109" t="s">
        <v>7072</v>
      </c>
      <c r="G7538" s="24" t="s">
        <v>3859</v>
      </c>
      <c r="H7538" s="230">
        <v>4</v>
      </c>
      <c r="I7538" s="220">
        <v>1260000</v>
      </c>
      <c r="J7538" s="220">
        <f>I7538*0.1</f>
        <v>126000</v>
      </c>
      <c r="K7538" s="220">
        <v>27940</v>
      </c>
      <c r="L7538" s="220">
        <v>10720</v>
      </c>
      <c r="M7538" s="220">
        <v>44000</v>
      </c>
      <c r="N7538" s="220">
        <f>SUM(I7538:M7539)</f>
        <v>1468660</v>
      </c>
      <c r="O7538" s="224"/>
      <c r="P7538" s="110" t="s">
        <v>26027</v>
      </c>
      <c r="Q7538" s="15" t="s">
        <v>19</v>
      </c>
      <c r="R7538" s="205"/>
      <c r="S7538" s="189" t="s">
        <v>25898</v>
      </c>
      <c r="T7538" s="114"/>
      <c r="U7538" s="21"/>
      <c r="V7538" s="115"/>
      <c r="W7538" s="116"/>
      <c r="X7538" s="220"/>
      <c r="Y7538" s="220">
        <f>X7538*0.1</f>
        <v>0</v>
      </c>
      <c r="Z7538" s="220"/>
      <c r="AA7538" s="220">
        <f>SUM(X7538:Z7538)</f>
        <v>0</v>
      </c>
      <c r="AB7538" s="222"/>
    </row>
    <row r="7539" spans="1:28" ht="17.100000000000001" customHeight="1" thickBot="1">
      <c r="A7539" s="227"/>
      <c r="B7539" s="27" t="s">
        <v>4468</v>
      </c>
      <c r="C7539" s="27">
        <v>2003</v>
      </c>
      <c r="D7539" s="14" t="s">
        <v>273</v>
      </c>
      <c r="E7539" s="229"/>
      <c r="F7539" s="117" t="s">
        <v>20912</v>
      </c>
      <c r="G7539" s="26">
        <v>48215</v>
      </c>
      <c r="H7539" s="231"/>
      <c r="I7539" s="221"/>
      <c r="J7539" s="221"/>
      <c r="K7539" s="221"/>
      <c r="L7539" s="221"/>
      <c r="M7539" s="221"/>
      <c r="N7539" s="221"/>
      <c r="O7539" s="225"/>
      <c r="P7539" s="118" t="s">
        <v>4883</v>
      </c>
      <c r="Q7539" s="16" t="s">
        <v>13552</v>
      </c>
      <c r="R7539" s="17" t="s">
        <v>16565</v>
      </c>
      <c r="S7539" s="187" t="s">
        <v>26028</v>
      </c>
      <c r="T7539" s="122"/>
      <c r="U7539" s="22"/>
      <c r="V7539" s="123"/>
      <c r="W7539" s="122"/>
      <c r="X7539" s="221"/>
      <c r="Y7539" s="221"/>
      <c r="Z7539" s="221"/>
      <c r="AA7539" s="221"/>
      <c r="AB7539" s="223"/>
    </row>
    <row r="7540" spans="1:28" ht="17.100000000000001" customHeight="1" thickTop="1">
      <c r="A7540" s="226" t="s">
        <v>20894</v>
      </c>
      <c r="B7540" s="28">
        <v>46108</v>
      </c>
      <c r="C7540" s="25">
        <v>284</v>
      </c>
      <c r="D7540" s="13" t="s">
        <v>2964</v>
      </c>
      <c r="E7540" s="228"/>
      <c r="F7540" s="109" t="s">
        <v>21035</v>
      </c>
      <c r="G7540" s="24" t="s">
        <v>4120</v>
      </c>
      <c r="H7540" s="230">
        <v>4.5</v>
      </c>
      <c r="I7540" s="220">
        <v>981000</v>
      </c>
      <c r="J7540" s="220">
        <f>I7540*0.1</f>
        <v>98100</v>
      </c>
      <c r="K7540" s="220">
        <v>0</v>
      </c>
      <c r="L7540" s="220">
        <v>8510</v>
      </c>
      <c r="M7540" s="220">
        <v>22000</v>
      </c>
      <c r="N7540" s="220">
        <f>SUM(I7540:M7541)</f>
        <v>1109610</v>
      </c>
      <c r="O7540" s="224"/>
      <c r="P7540" s="110" t="s">
        <v>21036</v>
      </c>
      <c r="Q7540" s="15" t="s">
        <v>19</v>
      </c>
      <c r="R7540" s="205"/>
      <c r="S7540" s="189" t="s">
        <v>25688</v>
      </c>
      <c r="T7540" s="114"/>
      <c r="U7540" s="21" t="s">
        <v>22743</v>
      </c>
      <c r="V7540" s="115">
        <v>46127</v>
      </c>
      <c r="W7540" s="116">
        <v>1013</v>
      </c>
      <c r="X7540" s="220">
        <v>1020000</v>
      </c>
      <c r="Y7540" s="220">
        <f>X7540*0.1</f>
        <v>102000</v>
      </c>
      <c r="Z7540" s="220">
        <v>8510</v>
      </c>
      <c r="AA7540" s="220">
        <f>SUM(X7540:Z7540)</f>
        <v>1130510</v>
      </c>
      <c r="AB7540" s="222">
        <v>46133</v>
      </c>
    </row>
    <row r="7541" spans="1:28" ht="17.100000000000001" customHeight="1" thickBot="1">
      <c r="A7541" s="227"/>
      <c r="B7541" s="27" t="s">
        <v>15537</v>
      </c>
      <c r="C7541" s="27">
        <v>20066</v>
      </c>
      <c r="D7541" s="14" t="s">
        <v>273</v>
      </c>
      <c r="E7541" s="229"/>
      <c r="F7541" s="117" t="s">
        <v>20913</v>
      </c>
      <c r="G7541" s="26">
        <v>45305</v>
      </c>
      <c r="H7541" s="231"/>
      <c r="I7541" s="221"/>
      <c r="J7541" s="221"/>
      <c r="K7541" s="221"/>
      <c r="L7541" s="221"/>
      <c r="M7541" s="221"/>
      <c r="N7541" s="221"/>
      <c r="O7541" s="225"/>
      <c r="P7541" s="118" t="s">
        <v>21358</v>
      </c>
      <c r="Q7541" s="16" t="s">
        <v>20</v>
      </c>
      <c r="R7541" s="17" t="s">
        <v>1634</v>
      </c>
      <c r="S7541" s="121" t="s">
        <v>2025</v>
      </c>
      <c r="T7541" s="122"/>
      <c r="U7541" s="22"/>
      <c r="V7541" s="123" t="s">
        <v>8877</v>
      </c>
      <c r="W7541" s="122">
        <v>2037</v>
      </c>
      <c r="X7541" s="221"/>
      <c r="Y7541" s="221"/>
      <c r="Z7541" s="221"/>
      <c r="AA7541" s="221"/>
      <c r="AB7541" s="223"/>
    </row>
    <row r="7542" spans="1:28" ht="17.100000000000001" customHeight="1" thickTop="1">
      <c r="A7542" s="226" t="s">
        <v>20895</v>
      </c>
      <c r="B7542" s="28">
        <v>46108</v>
      </c>
      <c r="C7542" s="25">
        <v>284</v>
      </c>
      <c r="D7542" s="13" t="s">
        <v>2313</v>
      </c>
      <c r="E7542" s="228"/>
      <c r="F7542" s="109" t="s">
        <v>21037</v>
      </c>
      <c r="G7542" s="24"/>
      <c r="H7542" s="230">
        <v>4.5</v>
      </c>
      <c r="I7542" s="220">
        <v>2766000</v>
      </c>
      <c r="J7542" s="220">
        <f>I7542*0.1</f>
        <v>276600</v>
      </c>
      <c r="K7542" s="220">
        <v>0</v>
      </c>
      <c r="L7542" s="220">
        <v>9550</v>
      </c>
      <c r="M7542" s="220">
        <v>22000</v>
      </c>
      <c r="N7542" s="220">
        <f>SUM(I7542:M7543)</f>
        <v>3074150</v>
      </c>
      <c r="O7542" s="224"/>
      <c r="P7542" s="110" t="s">
        <v>21414</v>
      </c>
      <c r="Q7542" s="15" t="s">
        <v>19</v>
      </c>
      <c r="R7542" s="205"/>
      <c r="S7542" s="189"/>
      <c r="T7542" s="114"/>
      <c r="U7542" s="21"/>
      <c r="V7542" s="115">
        <v>46120</v>
      </c>
      <c r="W7542" s="116">
        <v>1012</v>
      </c>
      <c r="X7542" s="220">
        <v>2870000</v>
      </c>
      <c r="Y7542" s="220">
        <f>X7542*0.1</f>
        <v>287000</v>
      </c>
      <c r="Z7542" s="220">
        <v>9550</v>
      </c>
      <c r="AA7542" s="220">
        <f>SUM(X7542:Z7542)</f>
        <v>3166550</v>
      </c>
      <c r="AB7542" s="222">
        <v>46125</v>
      </c>
    </row>
    <row r="7543" spans="1:28" ht="17.100000000000001" customHeight="1" thickBot="1">
      <c r="A7543" s="227"/>
      <c r="B7543" s="27" t="s">
        <v>15537</v>
      </c>
      <c r="C7543" s="27">
        <v>20097</v>
      </c>
      <c r="D7543" s="14" t="s">
        <v>2559</v>
      </c>
      <c r="E7543" s="229"/>
      <c r="F7543" s="117" t="s">
        <v>20914</v>
      </c>
      <c r="G7543" s="26">
        <v>63619</v>
      </c>
      <c r="H7543" s="231"/>
      <c r="I7543" s="221"/>
      <c r="J7543" s="221"/>
      <c r="K7543" s="221"/>
      <c r="L7543" s="221"/>
      <c r="M7543" s="221"/>
      <c r="N7543" s="221"/>
      <c r="O7543" s="225"/>
      <c r="P7543" s="118" t="s">
        <v>21415</v>
      </c>
      <c r="Q7543" s="16" t="s">
        <v>20</v>
      </c>
      <c r="R7543" s="17" t="s">
        <v>21379</v>
      </c>
      <c r="S7543" s="121" t="s">
        <v>21416</v>
      </c>
      <c r="T7543" s="122" t="s">
        <v>21159</v>
      </c>
      <c r="U7543" s="22"/>
      <c r="V7543" s="123" t="s">
        <v>2747</v>
      </c>
      <c r="W7543" s="122">
        <v>80006</v>
      </c>
      <c r="X7543" s="221"/>
      <c r="Y7543" s="221"/>
      <c r="Z7543" s="221"/>
      <c r="AA7543" s="221"/>
      <c r="AB7543" s="223"/>
    </row>
    <row r="7544" spans="1:28" ht="17.100000000000001" customHeight="1" thickTop="1">
      <c r="A7544" s="226" t="s">
        <v>20896</v>
      </c>
      <c r="B7544" s="28">
        <v>46108</v>
      </c>
      <c r="C7544" s="25">
        <v>1199</v>
      </c>
      <c r="D7544" s="13" t="s">
        <v>1748</v>
      </c>
      <c r="E7544" s="228"/>
      <c r="F7544" s="109" t="s">
        <v>20915</v>
      </c>
      <c r="G7544" s="24" t="s">
        <v>12306</v>
      </c>
      <c r="H7544" s="230">
        <v>4.5</v>
      </c>
      <c r="I7544" s="220">
        <v>1400000</v>
      </c>
      <c r="J7544" s="220">
        <f>I7544*0.1</f>
        <v>140000</v>
      </c>
      <c r="K7544" s="220">
        <v>30500</v>
      </c>
      <c r="L7544" s="220">
        <v>16250</v>
      </c>
      <c r="M7544" s="220">
        <v>27500</v>
      </c>
      <c r="N7544" s="220">
        <f>SUM(I7544:M7545)</f>
        <v>1614250</v>
      </c>
      <c r="O7544" s="224"/>
      <c r="P7544" s="110" t="s">
        <v>21038</v>
      </c>
      <c r="Q7544" s="15" t="s">
        <v>19</v>
      </c>
      <c r="R7544" s="205"/>
      <c r="S7544" s="189" t="s">
        <v>455</v>
      </c>
      <c r="T7544" s="114"/>
      <c r="U7544" s="21" t="s">
        <v>23962</v>
      </c>
      <c r="V7544" s="115"/>
      <c r="W7544" s="116"/>
      <c r="X7544" s="220"/>
      <c r="Y7544" s="220">
        <f>X7544*0.1</f>
        <v>0</v>
      </c>
      <c r="Z7544" s="220"/>
      <c r="AA7544" s="220">
        <f>SUM(X7544:Z7544)</f>
        <v>0</v>
      </c>
      <c r="AB7544" s="222"/>
    </row>
    <row r="7545" spans="1:28" ht="17.100000000000001" customHeight="1" thickBot="1">
      <c r="A7545" s="227"/>
      <c r="B7545" s="27" t="s">
        <v>1813</v>
      </c>
      <c r="C7545" s="27">
        <v>84035</v>
      </c>
      <c r="D7545" s="14" t="s">
        <v>2559</v>
      </c>
      <c r="E7545" s="229"/>
      <c r="F7545" s="117" t="s">
        <v>21407</v>
      </c>
      <c r="G7545" s="26">
        <v>26964</v>
      </c>
      <c r="H7545" s="231"/>
      <c r="I7545" s="221"/>
      <c r="J7545" s="221"/>
      <c r="K7545" s="221"/>
      <c r="L7545" s="221"/>
      <c r="M7545" s="221"/>
      <c r="N7545" s="221"/>
      <c r="O7545" s="225"/>
      <c r="P7545" s="118" t="s">
        <v>21408</v>
      </c>
      <c r="Q7545" s="16" t="s">
        <v>20</v>
      </c>
      <c r="R7545" s="17" t="s">
        <v>21379</v>
      </c>
      <c r="S7545" s="121" t="s">
        <v>21409</v>
      </c>
      <c r="T7545" s="122"/>
      <c r="U7545" s="22"/>
      <c r="V7545" s="123"/>
      <c r="W7545" s="122"/>
      <c r="X7545" s="221"/>
      <c r="Y7545" s="221"/>
      <c r="Z7545" s="221"/>
      <c r="AA7545" s="221"/>
      <c r="AB7545" s="223"/>
    </row>
    <row r="7546" spans="1:28" ht="17.100000000000001" customHeight="1" thickTop="1">
      <c r="A7546" s="226" t="s">
        <v>20897</v>
      </c>
      <c r="B7546" s="28">
        <v>46108</v>
      </c>
      <c r="C7546" s="25">
        <v>2128</v>
      </c>
      <c r="D7546" s="13" t="s">
        <v>2264</v>
      </c>
      <c r="E7546" s="228"/>
      <c r="F7546" s="109" t="s">
        <v>21039</v>
      </c>
      <c r="G7546" s="24" t="s">
        <v>17045</v>
      </c>
      <c r="H7546" s="230">
        <v>4.5</v>
      </c>
      <c r="I7546" s="220">
        <v>1025000</v>
      </c>
      <c r="J7546" s="220">
        <f>I7546*0.1</f>
        <v>102500</v>
      </c>
      <c r="K7546" s="220">
        <v>30500</v>
      </c>
      <c r="L7546" s="220">
        <v>17250</v>
      </c>
      <c r="M7546" s="220">
        <v>22000</v>
      </c>
      <c r="N7546" s="220">
        <f>SUM(I7546:M7547)</f>
        <v>1197250</v>
      </c>
      <c r="O7546" s="224"/>
      <c r="P7546" s="110" t="s">
        <v>21041</v>
      </c>
      <c r="Q7546" s="15" t="s">
        <v>19</v>
      </c>
      <c r="R7546" s="205"/>
      <c r="S7546" s="189" t="s">
        <v>283</v>
      </c>
      <c r="T7546" s="114"/>
      <c r="U7546" s="21" t="s">
        <v>22348</v>
      </c>
      <c r="V7546" s="115">
        <v>46163</v>
      </c>
      <c r="W7546" s="116">
        <v>1331</v>
      </c>
      <c r="X7546" s="220">
        <v>1180000</v>
      </c>
      <c r="Y7546" s="220">
        <f>X7546*0.1</f>
        <v>118000</v>
      </c>
      <c r="Z7546" s="220">
        <v>17250</v>
      </c>
      <c r="AA7546" s="220">
        <f>SUM(X7546:Z7546)</f>
        <v>1315250</v>
      </c>
      <c r="AB7546" s="222">
        <v>46164</v>
      </c>
    </row>
    <row r="7547" spans="1:28" ht="17.100000000000001" customHeight="1" thickBot="1">
      <c r="A7547" s="227"/>
      <c r="B7547" s="27" t="s">
        <v>1536</v>
      </c>
      <c r="C7547" s="27">
        <v>13086</v>
      </c>
      <c r="D7547" s="14" t="s">
        <v>1797</v>
      </c>
      <c r="E7547" s="229"/>
      <c r="F7547" s="117" t="s">
        <v>21040</v>
      </c>
      <c r="G7547" s="26">
        <v>28406</v>
      </c>
      <c r="H7547" s="231"/>
      <c r="I7547" s="221"/>
      <c r="J7547" s="221"/>
      <c r="K7547" s="221"/>
      <c r="L7547" s="221"/>
      <c r="M7547" s="221"/>
      <c r="N7547" s="221"/>
      <c r="O7547" s="225"/>
      <c r="P7547" s="118" t="s">
        <v>7766</v>
      </c>
      <c r="Q7547" s="16" t="s">
        <v>20</v>
      </c>
      <c r="R7547" s="17" t="s">
        <v>1897</v>
      </c>
      <c r="S7547" s="121" t="s">
        <v>169</v>
      </c>
      <c r="T7547" s="122"/>
      <c r="U7547" s="22"/>
      <c r="V7547" s="123" t="s">
        <v>8954</v>
      </c>
      <c r="W7547" s="122" t="s">
        <v>26169</v>
      </c>
      <c r="X7547" s="221"/>
      <c r="Y7547" s="221"/>
      <c r="Z7547" s="221"/>
      <c r="AA7547" s="221"/>
      <c r="AB7547" s="223"/>
    </row>
    <row r="7548" spans="1:28" ht="17.100000000000001" customHeight="1" thickTop="1">
      <c r="A7548" s="226" t="s">
        <v>20898</v>
      </c>
      <c r="B7548" s="28">
        <v>46108</v>
      </c>
      <c r="C7548" s="25">
        <v>2128</v>
      </c>
      <c r="D7548" s="13" t="s">
        <v>1704</v>
      </c>
      <c r="E7548" s="228"/>
      <c r="F7548" s="109" t="s">
        <v>21042</v>
      </c>
      <c r="G7548" s="24"/>
      <c r="H7548" s="230">
        <v>4.5</v>
      </c>
      <c r="I7548" s="220">
        <v>2135000</v>
      </c>
      <c r="J7548" s="220">
        <f>I7548*0.1</f>
        <v>213500</v>
      </c>
      <c r="K7548" s="220">
        <v>0</v>
      </c>
      <c r="L7548" s="220">
        <v>20830</v>
      </c>
      <c r="M7548" s="220">
        <v>22000</v>
      </c>
      <c r="N7548" s="220">
        <f>SUM(I7548:M7549)</f>
        <v>2391330</v>
      </c>
      <c r="O7548" s="224"/>
      <c r="P7548" s="110" t="s">
        <v>21328</v>
      </c>
      <c r="Q7548" s="15" t="s">
        <v>19</v>
      </c>
      <c r="R7548" s="205"/>
      <c r="S7548" s="189"/>
      <c r="T7548" s="114"/>
      <c r="U7548" s="21"/>
      <c r="V7548" s="115"/>
      <c r="W7548" s="116"/>
      <c r="X7548" s="220"/>
      <c r="Y7548" s="220">
        <f>X7548*0.1</f>
        <v>0</v>
      </c>
      <c r="Z7548" s="220"/>
      <c r="AA7548" s="220">
        <f>SUM(X7548:Z7548)</f>
        <v>0</v>
      </c>
      <c r="AB7548" s="222"/>
    </row>
    <row r="7549" spans="1:28" ht="17.100000000000001" customHeight="1" thickBot="1">
      <c r="A7549" s="227"/>
      <c r="B7549" s="27" t="s">
        <v>1536</v>
      </c>
      <c r="C7549" s="27">
        <v>13091</v>
      </c>
      <c r="D7549" s="14" t="s">
        <v>2559</v>
      </c>
      <c r="E7549" s="229"/>
      <c r="F7549" s="117" t="s">
        <v>21043</v>
      </c>
      <c r="G7549" s="26">
        <v>50022</v>
      </c>
      <c r="H7549" s="231"/>
      <c r="I7549" s="221"/>
      <c r="J7549" s="221"/>
      <c r="K7549" s="221"/>
      <c r="L7549" s="221"/>
      <c r="M7549" s="221"/>
      <c r="N7549" s="221"/>
      <c r="O7549" s="225"/>
      <c r="P7549" s="118" t="s">
        <v>3355</v>
      </c>
      <c r="Q7549" s="16" t="s">
        <v>20</v>
      </c>
      <c r="R7549" s="17" t="s">
        <v>1634</v>
      </c>
      <c r="S7549" s="121" t="s">
        <v>1731</v>
      </c>
      <c r="T7549" s="122"/>
      <c r="U7549" s="22"/>
      <c r="V7549" s="123"/>
      <c r="W7549" s="122"/>
      <c r="X7549" s="221"/>
      <c r="Y7549" s="221"/>
      <c r="Z7549" s="221"/>
      <c r="AA7549" s="221"/>
      <c r="AB7549" s="223"/>
    </row>
    <row r="7550" spans="1:28" ht="17.100000000000001" customHeight="1" thickTop="1">
      <c r="A7550" s="226" t="s">
        <v>20899</v>
      </c>
      <c r="B7550" s="28">
        <v>46108</v>
      </c>
      <c r="C7550" s="25">
        <v>2128</v>
      </c>
      <c r="D7550" s="13" t="s">
        <v>1531</v>
      </c>
      <c r="E7550" s="228"/>
      <c r="F7550" s="109" t="s">
        <v>20916</v>
      </c>
      <c r="G7550" s="24"/>
      <c r="H7550" s="230">
        <v>4.5</v>
      </c>
      <c r="I7550" s="220">
        <v>1065000</v>
      </c>
      <c r="J7550" s="220">
        <f>I7550*0.1</f>
        <v>106500</v>
      </c>
      <c r="K7550" s="220">
        <v>0</v>
      </c>
      <c r="L7550" s="220">
        <v>19090</v>
      </c>
      <c r="M7550" s="220">
        <v>22000</v>
      </c>
      <c r="N7550" s="220">
        <f>SUM(I7550:M7551)</f>
        <v>1212590</v>
      </c>
      <c r="O7550" s="224"/>
      <c r="P7550" s="110" t="s">
        <v>21325</v>
      </c>
      <c r="Q7550" s="15" t="s">
        <v>19</v>
      </c>
      <c r="R7550" s="205"/>
      <c r="S7550" s="189"/>
      <c r="T7550" s="114"/>
      <c r="U7550" s="21"/>
      <c r="V7550" s="115">
        <v>46128</v>
      </c>
      <c r="W7550" s="116">
        <v>1327</v>
      </c>
      <c r="X7550" s="220">
        <v>1195000</v>
      </c>
      <c r="Y7550" s="220">
        <f>X7550*0.1</f>
        <v>119500</v>
      </c>
      <c r="Z7550" s="220">
        <v>19090</v>
      </c>
      <c r="AA7550" s="220">
        <f>SUM(X7550:Z7550)</f>
        <v>1333590</v>
      </c>
      <c r="AB7550" s="222">
        <v>46129</v>
      </c>
    </row>
    <row r="7551" spans="1:28" ht="17.100000000000001" customHeight="1" thickBot="1">
      <c r="A7551" s="227"/>
      <c r="B7551" s="27" t="s">
        <v>1536</v>
      </c>
      <c r="C7551" s="27">
        <v>13097</v>
      </c>
      <c r="D7551" s="14" t="s">
        <v>1690</v>
      </c>
      <c r="E7551" s="229"/>
      <c r="F7551" s="117" t="s">
        <v>21044</v>
      </c>
      <c r="G7551" s="26">
        <v>47236</v>
      </c>
      <c r="H7551" s="231"/>
      <c r="I7551" s="221"/>
      <c r="J7551" s="221"/>
      <c r="K7551" s="221"/>
      <c r="L7551" s="221"/>
      <c r="M7551" s="221"/>
      <c r="N7551" s="221"/>
      <c r="O7551" s="225"/>
      <c r="P7551" s="118" t="s">
        <v>21326</v>
      </c>
      <c r="Q7551" s="16" t="s">
        <v>20</v>
      </c>
      <c r="R7551" s="17" t="s">
        <v>1634</v>
      </c>
      <c r="S7551" s="121" t="s">
        <v>9265</v>
      </c>
      <c r="T7551" s="122"/>
      <c r="U7551" s="22"/>
      <c r="V7551" s="123" t="s">
        <v>22671</v>
      </c>
      <c r="W7551" s="122">
        <v>112</v>
      </c>
      <c r="X7551" s="221"/>
      <c r="Y7551" s="221"/>
      <c r="Z7551" s="221"/>
      <c r="AA7551" s="221"/>
      <c r="AB7551" s="223"/>
    </row>
    <row r="7552" spans="1:28" ht="17.100000000000001" customHeight="1" thickTop="1">
      <c r="A7552" s="226" t="s">
        <v>20900</v>
      </c>
      <c r="B7552" s="28">
        <v>46108</v>
      </c>
      <c r="C7552" s="25">
        <v>1412</v>
      </c>
      <c r="D7552" s="13" t="s">
        <v>1702</v>
      </c>
      <c r="E7552" s="228"/>
      <c r="F7552" s="109" t="s">
        <v>20934</v>
      </c>
      <c r="G7552" s="24"/>
      <c r="H7552" s="230">
        <v>4</v>
      </c>
      <c r="I7552" s="220">
        <v>711000</v>
      </c>
      <c r="J7552" s="220">
        <f>I7552*0.1</f>
        <v>71100</v>
      </c>
      <c r="K7552" s="220">
        <v>0</v>
      </c>
      <c r="L7552" s="220">
        <v>9790</v>
      </c>
      <c r="M7552" s="220">
        <v>15400</v>
      </c>
      <c r="N7552" s="220">
        <f>SUM(I7552:M7553)</f>
        <v>807290</v>
      </c>
      <c r="O7552" s="224"/>
      <c r="P7552" s="110" t="s">
        <v>21306</v>
      </c>
      <c r="Q7552" s="15" t="s">
        <v>19</v>
      </c>
      <c r="R7552" s="205"/>
      <c r="S7552" s="189"/>
      <c r="T7552" s="114"/>
      <c r="U7552" s="21"/>
      <c r="V7552" s="115">
        <v>46113</v>
      </c>
      <c r="W7552" s="116">
        <v>1011</v>
      </c>
      <c r="X7552" s="220">
        <v>800000</v>
      </c>
      <c r="Y7552" s="220">
        <f>X7552*0.1</f>
        <v>80000</v>
      </c>
      <c r="Z7552" s="220">
        <v>9790</v>
      </c>
      <c r="AA7552" s="220">
        <f>SUM(X7552:Z7552)</f>
        <v>889790</v>
      </c>
      <c r="AB7552" s="222">
        <v>46118</v>
      </c>
    </row>
    <row r="7553" spans="1:28" ht="17.100000000000001" customHeight="1" thickBot="1">
      <c r="A7553" s="227"/>
      <c r="B7553" s="27" t="s">
        <v>2597</v>
      </c>
      <c r="C7553" s="27">
        <v>3052</v>
      </c>
      <c r="D7553" s="14" t="s">
        <v>2559</v>
      </c>
      <c r="E7553" s="229"/>
      <c r="F7553" s="117" t="s">
        <v>20935</v>
      </c>
      <c r="G7553" s="26">
        <v>56228</v>
      </c>
      <c r="H7553" s="231"/>
      <c r="I7553" s="221"/>
      <c r="J7553" s="221"/>
      <c r="K7553" s="221"/>
      <c r="L7553" s="221"/>
      <c r="M7553" s="221"/>
      <c r="N7553" s="221"/>
      <c r="O7553" s="225"/>
      <c r="P7553" s="118" t="s">
        <v>1972</v>
      </c>
      <c r="Q7553" s="16" t="s">
        <v>20</v>
      </c>
      <c r="R7553" s="17" t="s">
        <v>1634</v>
      </c>
      <c r="S7553" s="121"/>
      <c r="T7553" s="122"/>
      <c r="U7553" s="22"/>
      <c r="V7553" s="123" t="s">
        <v>2747</v>
      </c>
      <c r="W7553" s="122">
        <v>5106</v>
      </c>
      <c r="X7553" s="221"/>
      <c r="Y7553" s="221"/>
      <c r="Z7553" s="221"/>
      <c r="AA7553" s="221"/>
      <c r="AB7553" s="223"/>
    </row>
    <row r="7554" spans="1:28" ht="17.100000000000001" customHeight="1" thickTop="1">
      <c r="A7554" s="226" t="s">
        <v>20901</v>
      </c>
      <c r="B7554" s="28">
        <v>46108</v>
      </c>
      <c r="C7554" s="25">
        <v>1412</v>
      </c>
      <c r="D7554" s="13" t="s">
        <v>2182</v>
      </c>
      <c r="E7554" s="228"/>
      <c r="F7554" s="109" t="s">
        <v>16792</v>
      </c>
      <c r="G7554" s="24" t="s">
        <v>15669</v>
      </c>
      <c r="H7554" s="230">
        <v>5</v>
      </c>
      <c r="I7554" s="220">
        <v>1992000</v>
      </c>
      <c r="J7554" s="220">
        <f>I7554*0.1</f>
        <v>199200</v>
      </c>
      <c r="K7554" s="220">
        <v>30500</v>
      </c>
      <c r="L7554" s="220">
        <v>6450</v>
      </c>
      <c r="M7554" s="220">
        <v>15400</v>
      </c>
      <c r="N7554" s="220">
        <f>SUM(I7554:M7555)</f>
        <v>2243550</v>
      </c>
      <c r="O7554" s="224"/>
      <c r="P7554" s="110" t="s">
        <v>21363</v>
      </c>
      <c r="Q7554" s="15" t="s">
        <v>19</v>
      </c>
      <c r="R7554" s="205"/>
      <c r="S7554" s="189" t="s">
        <v>25899</v>
      </c>
      <c r="T7554" s="114"/>
      <c r="U7554" s="21" t="s">
        <v>21854</v>
      </c>
      <c r="V7554" s="115">
        <v>46141</v>
      </c>
      <c r="W7554" s="116">
        <v>1015</v>
      </c>
      <c r="X7554" s="220">
        <v>2150000</v>
      </c>
      <c r="Y7554" s="220">
        <f>X7554*0.1</f>
        <v>215000</v>
      </c>
      <c r="Z7554" s="220">
        <v>6450</v>
      </c>
      <c r="AA7554" s="220">
        <f>SUM(X7554:Z7554)</f>
        <v>2371450</v>
      </c>
      <c r="AB7554" s="222">
        <v>46154</v>
      </c>
    </row>
    <row r="7555" spans="1:28" ht="17.100000000000001" customHeight="1" thickBot="1">
      <c r="A7555" s="227"/>
      <c r="B7555" s="27" t="s">
        <v>2597</v>
      </c>
      <c r="C7555" s="27">
        <v>3104</v>
      </c>
      <c r="D7555" s="14" t="s">
        <v>2559</v>
      </c>
      <c r="E7555" s="229"/>
      <c r="F7555" s="117" t="s">
        <v>20936</v>
      </c>
      <c r="G7555" s="26">
        <v>34934</v>
      </c>
      <c r="H7555" s="231"/>
      <c r="I7555" s="221"/>
      <c r="J7555" s="221"/>
      <c r="K7555" s="221"/>
      <c r="L7555" s="221"/>
      <c r="M7555" s="221"/>
      <c r="N7555" s="221"/>
      <c r="O7555" s="225"/>
      <c r="P7555" s="118" t="s">
        <v>21364</v>
      </c>
      <c r="Q7555" s="16" t="s">
        <v>20</v>
      </c>
      <c r="R7555" s="17" t="s">
        <v>1634</v>
      </c>
      <c r="S7555" s="121" t="s">
        <v>2312</v>
      </c>
      <c r="T7555" s="122"/>
      <c r="U7555" s="22"/>
      <c r="V7555" s="123" t="s">
        <v>24607</v>
      </c>
      <c r="W7555" s="122">
        <v>6093</v>
      </c>
      <c r="X7555" s="221"/>
      <c r="Y7555" s="221"/>
      <c r="Z7555" s="221"/>
      <c r="AA7555" s="221"/>
      <c r="AB7555" s="223"/>
    </row>
    <row r="7556" spans="1:28" ht="17.100000000000001" customHeight="1" thickTop="1">
      <c r="A7556" s="226" t="s">
        <v>20902</v>
      </c>
      <c r="B7556" s="28">
        <v>46108</v>
      </c>
      <c r="C7556" s="25">
        <v>1412</v>
      </c>
      <c r="D7556" s="13" t="s">
        <v>3593</v>
      </c>
      <c r="E7556" s="228"/>
      <c r="F7556" s="109" t="s">
        <v>21045</v>
      </c>
      <c r="G7556" s="24" t="s">
        <v>21046</v>
      </c>
      <c r="H7556" s="230">
        <v>4.5</v>
      </c>
      <c r="I7556" s="220">
        <v>1558000</v>
      </c>
      <c r="J7556" s="220">
        <f>I7556*0.1</f>
        <v>155800</v>
      </c>
      <c r="K7556" s="220">
        <v>39500</v>
      </c>
      <c r="L7556" s="220">
        <v>12610</v>
      </c>
      <c r="M7556" s="220">
        <v>15400</v>
      </c>
      <c r="N7556" s="220">
        <f>SUM(I7556:M7557)</f>
        <v>1781310</v>
      </c>
      <c r="O7556" s="224"/>
      <c r="P7556" s="110" t="s">
        <v>21828</v>
      </c>
      <c r="Q7556" s="15" t="s">
        <v>19</v>
      </c>
      <c r="R7556" s="205"/>
      <c r="S7556" s="189" t="s">
        <v>283</v>
      </c>
      <c r="T7556" s="114"/>
      <c r="U7556" s="21"/>
      <c r="V7556" s="115">
        <v>46113</v>
      </c>
      <c r="W7556" s="116">
        <v>1011</v>
      </c>
      <c r="X7556" s="220">
        <v>1605000</v>
      </c>
      <c r="Y7556" s="220">
        <f>X7556*0.1</f>
        <v>160500</v>
      </c>
      <c r="Z7556" s="220">
        <v>12610</v>
      </c>
      <c r="AA7556" s="220">
        <f>SUM(X7556:Z7556)</f>
        <v>1778110</v>
      </c>
      <c r="AB7556" s="222">
        <v>46121</v>
      </c>
    </row>
    <row r="7557" spans="1:28" ht="17.100000000000001" customHeight="1" thickBot="1">
      <c r="A7557" s="227"/>
      <c r="B7557" s="27" t="s">
        <v>2597</v>
      </c>
      <c r="C7557" s="27">
        <v>3132</v>
      </c>
      <c r="D7557" s="14" t="s">
        <v>2559</v>
      </c>
      <c r="E7557" s="229"/>
      <c r="F7557" s="117" t="s">
        <v>20937</v>
      </c>
      <c r="G7557" s="26">
        <v>69396</v>
      </c>
      <c r="H7557" s="231"/>
      <c r="I7557" s="221"/>
      <c r="J7557" s="221"/>
      <c r="K7557" s="221"/>
      <c r="L7557" s="221"/>
      <c r="M7557" s="221"/>
      <c r="N7557" s="221"/>
      <c r="O7557" s="225"/>
      <c r="P7557" s="118" t="s">
        <v>3281</v>
      </c>
      <c r="Q7557" s="16" t="s">
        <v>20</v>
      </c>
      <c r="R7557" s="17" t="s">
        <v>3913</v>
      </c>
      <c r="S7557" s="121" t="s">
        <v>21829</v>
      </c>
      <c r="T7557" s="122"/>
      <c r="U7557" s="22"/>
      <c r="V7557" s="123" t="s">
        <v>2747</v>
      </c>
      <c r="W7557" s="122">
        <v>5123</v>
      </c>
      <c r="X7557" s="221"/>
      <c r="Y7557" s="221"/>
      <c r="Z7557" s="221"/>
      <c r="AA7557" s="221"/>
      <c r="AB7557" s="223"/>
    </row>
    <row r="7558" spans="1:28" ht="17.100000000000001" customHeight="1" thickTop="1">
      <c r="A7558" s="233" t="s">
        <v>20917</v>
      </c>
      <c r="B7558" s="28">
        <v>46108</v>
      </c>
      <c r="C7558" s="25">
        <v>1412</v>
      </c>
      <c r="D7558" s="13" t="s">
        <v>2524</v>
      </c>
      <c r="E7558" s="228"/>
      <c r="F7558" s="109" t="s">
        <v>20938</v>
      </c>
      <c r="G7558" s="24" t="s">
        <v>5330</v>
      </c>
      <c r="H7558" s="230">
        <v>4</v>
      </c>
      <c r="I7558" s="220">
        <v>913000</v>
      </c>
      <c r="J7558" s="220">
        <f>I7558*0.1</f>
        <v>91300</v>
      </c>
      <c r="K7558" s="220">
        <v>39500</v>
      </c>
      <c r="L7558" s="220">
        <v>10180</v>
      </c>
      <c r="M7558" s="220">
        <v>15400</v>
      </c>
      <c r="N7558" s="220">
        <f>SUM(I7558:M7559)</f>
        <v>1069380</v>
      </c>
      <c r="O7558" s="224"/>
      <c r="P7558" s="110" t="s">
        <v>21418</v>
      </c>
      <c r="Q7558" s="15" t="s">
        <v>19</v>
      </c>
      <c r="R7558" s="205"/>
      <c r="S7558" s="189"/>
      <c r="T7558" s="114" t="s">
        <v>21675</v>
      </c>
      <c r="U7558" s="21"/>
      <c r="V7558" s="115"/>
      <c r="W7558" s="116"/>
      <c r="X7558" s="220"/>
      <c r="Y7558" s="220">
        <f>X7558*0.1</f>
        <v>0</v>
      </c>
      <c r="Z7558" s="220"/>
      <c r="AA7558" s="220">
        <f>SUM(X7558:Z7558)</f>
        <v>0</v>
      </c>
      <c r="AB7558" s="222"/>
    </row>
    <row r="7559" spans="1:28" ht="17.100000000000001" customHeight="1" thickBot="1">
      <c r="A7559" s="234"/>
      <c r="B7559" s="27" t="s">
        <v>2597</v>
      </c>
      <c r="C7559" s="27">
        <v>3146</v>
      </c>
      <c r="D7559" s="14" t="s">
        <v>2559</v>
      </c>
      <c r="E7559" s="229"/>
      <c r="F7559" s="117" t="s">
        <v>20939</v>
      </c>
      <c r="G7559" s="26">
        <v>128939</v>
      </c>
      <c r="H7559" s="231"/>
      <c r="I7559" s="221"/>
      <c r="J7559" s="221"/>
      <c r="K7559" s="221"/>
      <c r="L7559" s="221"/>
      <c r="M7559" s="221"/>
      <c r="N7559" s="221"/>
      <c r="O7559" s="225"/>
      <c r="P7559" s="118" t="s">
        <v>21419</v>
      </c>
      <c r="Q7559" s="16" t="s">
        <v>20</v>
      </c>
      <c r="R7559" s="17" t="s">
        <v>21379</v>
      </c>
      <c r="S7559" s="121" t="s">
        <v>21084</v>
      </c>
      <c r="T7559" s="122"/>
      <c r="U7559" s="22"/>
      <c r="V7559" s="123"/>
      <c r="W7559" s="122"/>
      <c r="X7559" s="221"/>
      <c r="Y7559" s="221"/>
      <c r="Z7559" s="221"/>
      <c r="AA7559" s="221"/>
      <c r="AB7559" s="223"/>
    </row>
    <row r="7560" spans="1:28" ht="17.100000000000001" customHeight="1" thickTop="1">
      <c r="A7560" s="226" t="s">
        <v>20918</v>
      </c>
      <c r="B7560" s="28">
        <v>46108</v>
      </c>
      <c r="C7560" s="25">
        <v>1412</v>
      </c>
      <c r="D7560" s="13" t="s">
        <v>21047</v>
      </c>
      <c r="E7560" s="228"/>
      <c r="F7560" s="109" t="s">
        <v>20940</v>
      </c>
      <c r="G7560" s="24"/>
      <c r="H7560" s="230">
        <v>3.5</v>
      </c>
      <c r="I7560" s="220">
        <v>566000</v>
      </c>
      <c r="J7560" s="220">
        <f>I7560*0.1</f>
        <v>56600</v>
      </c>
      <c r="K7560" s="220">
        <v>0</v>
      </c>
      <c r="L7560" s="220">
        <v>171900</v>
      </c>
      <c r="M7560" s="220">
        <v>15400</v>
      </c>
      <c r="N7560" s="220">
        <f>SUM(I7560:M7561)</f>
        <v>809900</v>
      </c>
      <c r="O7560" s="224"/>
      <c r="P7560" s="110" t="s">
        <v>21713</v>
      </c>
      <c r="Q7560" s="15" t="s">
        <v>19</v>
      </c>
      <c r="R7560" s="205"/>
      <c r="S7560" s="189" t="s">
        <v>283</v>
      </c>
      <c r="T7560" s="114"/>
      <c r="U7560" s="21"/>
      <c r="V7560" s="115">
        <v>46116</v>
      </c>
      <c r="W7560" s="116">
        <v>1295</v>
      </c>
      <c r="X7560" s="220">
        <v>580000</v>
      </c>
      <c r="Y7560" s="220">
        <f>X7560*0.1</f>
        <v>58000</v>
      </c>
      <c r="Z7560" s="220">
        <v>17190</v>
      </c>
      <c r="AA7560" s="220">
        <f>SUM(X7560:Z7560)</f>
        <v>655190</v>
      </c>
      <c r="AB7560" s="222">
        <v>46121</v>
      </c>
    </row>
    <row r="7561" spans="1:28" ht="17.100000000000001" customHeight="1" thickBot="1">
      <c r="A7561" s="227"/>
      <c r="B7561" s="27" t="s">
        <v>2597</v>
      </c>
      <c r="C7561" s="27">
        <v>3197</v>
      </c>
      <c r="D7561" s="14" t="s">
        <v>273</v>
      </c>
      <c r="E7561" s="229"/>
      <c r="F7561" s="117" t="s">
        <v>21048</v>
      </c>
      <c r="G7561" s="26">
        <v>185671</v>
      </c>
      <c r="H7561" s="231"/>
      <c r="I7561" s="221"/>
      <c r="J7561" s="221"/>
      <c r="K7561" s="221"/>
      <c r="L7561" s="221"/>
      <c r="M7561" s="221"/>
      <c r="N7561" s="221"/>
      <c r="O7561" s="225"/>
      <c r="P7561" s="118" t="s">
        <v>3281</v>
      </c>
      <c r="Q7561" s="16" t="s">
        <v>20</v>
      </c>
      <c r="R7561" s="17" t="s">
        <v>1901</v>
      </c>
      <c r="S7561" s="121" t="s">
        <v>169</v>
      </c>
      <c r="T7561" s="122"/>
      <c r="U7561" s="22"/>
      <c r="V7561" s="123" t="s">
        <v>2472</v>
      </c>
      <c r="W7561" s="122">
        <v>42</v>
      </c>
      <c r="X7561" s="221"/>
      <c r="Y7561" s="221"/>
      <c r="Z7561" s="221"/>
      <c r="AA7561" s="221"/>
      <c r="AB7561" s="223"/>
    </row>
    <row r="7562" spans="1:28" ht="17.100000000000001" customHeight="1" thickTop="1">
      <c r="A7562" s="233" t="s">
        <v>20919</v>
      </c>
      <c r="B7562" s="28">
        <v>46108</v>
      </c>
      <c r="C7562" s="25">
        <v>1412</v>
      </c>
      <c r="D7562" s="13" t="s">
        <v>1642</v>
      </c>
      <c r="E7562" s="228"/>
      <c r="F7562" s="109" t="s">
        <v>19401</v>
      </c>
      <c r="G7562" s="24"/>
      <c r="H7562" s="230">
        <v>4</v>
      </c>
      <c r="I7562" s="220">
        <v>1094000</v>
      </c>
      <c r="J7562" s="220">
        <f>I7562*0.1</f>
        <v>109400</v>
      </c>
      <c r="K7562" s="220">
        <v>0</v>
      </c>
      <c r="L7562" s="220">
        <v>8130</v>
      </c>
      <c r="M7562" s="220">
        <v>15400</v>
      </c>
      <c r="N7562" s="220">
        <f>SUM(I7562:M7563)</f>
        <v>1226930</v>
      </c>
      <c r="O7562" s="224"/>
      <c r="P7562" s="110" t="s">
        <v>21341</v>
      </c>
      <c r="Q7562" s="15" t="s">
        <v>19</v>
      </c>
      <c r="R7562" s="205"/>
      <c r="S7562" s="189"/>
      <c r="T7562" s="114" t="s">
        <v>21675</v>
      </c>
      <c r="U7562" s="21"/>
      <c r="V7562" s="115"/>
      <c r="W7562" s="116"/>
      <c r="X7562" s="220"/>
      <c r="Y7562" s="220">
        <f>X7562*0.1</f>
        <v>0</v>
      </c>
      <c r="Z7562" s="220"/>
      <c r="AA7562" s="220">
        <f>SUM(X7562:Z7562)</f>
        <v>0</v>
      </c>
      <c r="AB7562" s="222"/>
    </row>
    <row r="7563" spans="1:28" ht="17.100000000000001" customHeight="1" thickBot="1">
      <c r="A7563" s="234"/>
      <c r="B7563" s="27" t="s">
        <v>2597</v>
      </c>
      <c r="C7563" s="27">
        <v>3264</v>
      </c>
      <c r="D7563" s="14" t="s">
        <v>1690</v>
      </c>
      <c r="E7563" s="229"/>
      <c r="F7563" s="117" t="s">
        <v>20941</v>
      </c>
      <c r="G7563" s="26">
        <v>36185</v>
      </c>
      <c r="H7563" s="231"/>
      <c r="I7563" s="221"/>
      <c r="J7563" s="221"/>
      <c r="K7563" s="221"/>
      <c r="L7563" s="221"/>
      <c r="M7563" s="221"/>
      <c r="N7563" s="221"/>
      <c r="O7563" s="225"/>
      <c r="P7563" s="118" t="s">
        <v>1972</v>
      </c>
      <c r="Q7563" s="16" t="s">
        <v>20</v>
      </c>
      <c r="R7563" s="17" t="s">
        <v>1634</v>
      </c>
      <c r="S7563" s="121" t="s">
        <v>2025</v>
      </c>
      <c r="T7563" s="122"/>
      <c r="U7563" s="22"/>
      <c r="V7563" s="123"/>
      <c r="W7563" s="122"/>
      <c r="X7563" s="221"/>
      <c r="Y7563" s="221"/>
      <c r="Z7563" s="221"/>
      <c r="AA7563" s="221"/>
      <c r="AB7563" s="223"/>
    </row>
    <row r="7564" spans="1:28" ht="17.100000000000001" customHeight="1" thickTop="1">
      <c r="A7564" s="226" t="s">
        <v>20920</v>
      </c>
      <c r="B7564" s="28">
        <v>46108</v>
      </c>
      <c r="C7564" s="25">
        <v>1412</v>
      </c>
      <c r="D7564" s="13" t="s">
        <v>1871</v>
      </c>
      <c r="E7564" s="228"/>
      <c r="F7564" s="109" t="s">
        <v>20330</v>
      </c>
      <c r="G7564" s="24" t="s">
        <v>13488</v>
      </c>
      <c r="H7564" s="230">
        <v>4.5</v>
      </c>
      <c r="I7564" s="220">
        <v>673000</v>
      </c>
      <c r="J7564" s="220">
        <f>I7564*0.1</f>
        <v>67300</v>
      </c>
      <c r="K7564" s="220">
        <v>10800</v>
      </c>
      <c r="L7564" s="220">
        <v>8230</v>
      </c>
      <c r="M7564" s="220">
        <v>15400</v>
      </c>
      <c r="N7564" s="220">
        <f>SUM(I7564:M7565)</f>
        <v>774730</v>
      </c>
      <c r="O7564" s="224"/>
      <c r="P7564" s="110" t="s">
        <v>21724</v>
      </c>
      <c r="Q7564" s="15" t="s">
        <v>19</v>
      </c>
      <c r="R7564" s="205"/>
      <c r="S7564" s="189"/>
      <c r="T7564" s="114"/>
      <c r="U7564" s="21" t="s">
        <v>22742</v>
      </c>
      <c r="V7564" s="115">
        <v>46127</v>
      </c>
      <c r="W7564" s="116">
        <v>1013</v>
      </c>
      <c r="X7564" s="220">
        <v>755000</v>
      </c>
      <c r="Y7564" s="220">
        <f>X7564*0.1</f>
        <v>75500</v>
      </c>
      <c r="Z7564" s="220">
        <v>8230</v>
      </c>
      <c r="AA7564" s="220">
        <f>SUM(X7564:Z7564)</f>
        <v>838730</v>
      </c>
      <c r="AB7564" s="222">
        <v>46133</v>
      </c>
    </row>
    <row r="7565" spans="1:28" ht="17.100000000000001" customHeight="1" thickBot="1">
      <c r="A7565" s="227"/>
      <c r="B7565" s="27" t="s">
        <v>2597</v>
      </c>
      <c r="C7565" s="27">
        <v>3275</v>
      </c>
      <c r="D7565" s="14" t="s">
        <v>273</v>
      </c>
      <c r="E7565" s="229"/>
      <c r="F7565" s="117" t="s">
        <v>20942</v>
      </c>
      <c r="G7565" s="26">
        <v>44450</v>
      </c>
      <c r="H7565" s="231"/>
      <c r="I7565" s="221"/>
      <c r="J7565" s="221"/>
      <c r="K7565" s="221"/>
      <c r="L7565" s="221"/>
      <c r="M7565" s="221"/>
      <c r="N7565" s="221"/>
      <c r="O7565" s="225"/>
      <c r="P7565" s="118" t="s">
        <v>21725</v>
      </c>
      <c r="Q7565" s="16" t="s">
        <v>20</v>
      </c>
      <c r="R7565" s="17" t="s">
        <v>1901</v>
      </c>
      <c r="S7565" s="121" t="s">
        <v>21726</v>
      </c>
      <c r="T7565" s="122"/>
      <c r="U7565" s="22"/>
      <c r="V7565" s="123" t="s">
        <v>2747</v>
      </c>
      <c r="W7565" s="122">
        <v>2031</v>
      </c>
      <c r="X7565" s="221"/>
      <c r="Y7565" s="221"/>
      <c r="Z7565" s="221"/>
      <c r="AA7565" s="221"/>
      <c r="AB7565" s="223"/>
    </row>
    <row r="7566" spans="1:28" ht="17.100000000000001" customHeight="1" thickTop="1">
      <c r="A7566" s="226" t="s">
        <v>20921</v>
      </c>
      <c r="B7566" s="28">
        <v>46108</v>
      </c>
      <c r="C7566" s="25">
        <v>1412</v>
      </c>
      <c r="D7566" s="13" t="s">
        <v>3857</v>
      </c>
      <c r="E7566" s="228"/>
      <c r="F7566" s="109" t="s">
        <v>20943</v>
      </c>
      <c r="G7566" s="24" t="s">
        <v>11346</v>
      </c>
      <c r="H7566" s="230">
        <v>4</v>
      </c>
      <c r="I7566" s="220">
        <v>717000</v>
      </c>
      <c r="J7566" s="220">
        <f>I7566*0.1</f>
        <v>71700</v>
      </c>
      <c r="K7566" s="220">
        <v>5000</v>
      </c>
      <c r="L7566" s="220">
        <v>5870</v>
      </c>
      <c r="M7566" s="220">
        <v>15400</v>
      </c>
      <c r="N7566" s="220">
        <f>SUM(I7566:M7567)</f>
        <v>814970</v>
      </c>
      <c r="O7566" s="224"/>
      <c r="P7566" s="110" t="s">
        <v>21709</v>
      </c>
      <c r="Q7566" s="15" t="s">
        <v>19</v>
      </c>
      <c r="R7566" s="205"/>
      <c r="S7566" s="189"/>
      <c r="T7566" s="114"/>
      <c r="U7566" s="21" t="s">
        <v>21743</v>
      </c>
      <c r="V7566" s="115">
        <v>46113</v>
      </c>
      <c r="W7566" s="116">
        <v>1011</v>
      </c>
      <c r="X7566" s="220">
        <v>885000</v>
      </c>
      <c r="Y7566" s="220">
        <f>X7566*0.1</f>
        <v>88500</v>
      </c>
      <c r="Z7566" s="220">
        <v>5870</v>
      </c>
      <c r="AA7566" s="220">
        <f>SUM(X7566:Z7566)</f>
        <v>979370</v>
      </c>
      <c r="AB7566" s="222">
        <v>46121</v>
      </c>
    </row>
    <row r="7567" spans="1:28" ht="17.100000000000001" customHeight="1" thickBot="1">
      <c r="A7567" s="227"/>
      <c r="B7567" s="27" t="s">
        <v>2597</v>
      </c>
      <c r="C7567" s="27">
        <v>3280</v>
      </c>
      <c r="D7567" s="14" t="s">
        <v>1710</v>
      </c>
      <c r="E7567" s="229"/>
      <c r="F7567" s="117" t="s">
        <v>20944</v>
      </c>
      <c r="G7567" s="26">
        <v>18393</v>
      </c>
      <c r="H7567" s="231"/>
      <c r="I7567" s="221"/>
      <c r="J7567" s="221"/>
      <c r="K7567" s="221"/>
      <c r="L7567" s="221"/>
      <c r="M7567" s="221"/>
      <c r="N7567" s="221"/>
      <c r="O7567" s="225"/>
      <c r="P7567" s="118" t="s">
        <v>1972</v>
      </c>
      <c r="Q7567" s="16" t="s">
        <v>20</v>
      </c>
      <c r="R7567" s="17" t="s">
        <v>1901</v>
      </c>
      <c r="S7567" s="121" t="s">
        <v>169</v>
      </c>
      <c r="T7567" s="122"/>
      <c r="U7567" s="22"/>
      <c r="V7567" s="123" t="s">
        <v>2747</v>
      </c>
      <c r="W7567" s="122">
        <v>5102</v>
      </c>
      <c r="X7567" s="221"/>
      <c r="Y7567" s="221"/>
      <c r="Z7567" s="221"/>
      <c r="AA7567" s="221"/>
      <c r="AB7567" s="223"/>
    </row>
    <row r="7568" spans="1:28" ht="17.100000000000001" customHeight="1" thickTop="1">
      <c r="A7568" s="226" t="s">
        <v>20922</v>
      </c>
      <c r="B7568" s="28">
        <v>46108</v>
      </c>
      <c r="C7568" s="25">
        <v>1412</v>
      </c>
      <c r="D7568" s="13" t="s">
        <v>1935</v>
      </c>
      <c r="E7568" s="228"/>
      <c r="F7568" s="109" t="s">
        <v>17511</v>
      </c>
      <c r="G7568" s="24" t="s">
        <v>21049</v>
      </c>
      <c r="H7568" s="230">
        <v>4</v>
      </c>
      <c r="I7568" s="220">
        <v>1393000</v>
      </c>
      <c r="J7568" s="220">
        <f>I7568*0.1</f>
        <v>139300</v>
      </c>
      <c r="K7568" s="220">
        <v>39500</v>
      </c>
      <c r="L7568" s="220">
        <v>12470</v>
      </c>
      <c r="M7568" s="220">
        <v>15400</v>
      </c>
      <c r="N7568" s="220">
        <f>SUM(I7568:M7569)</f>
        <v>1599670</v>
      </c>
      <c r="O7568" s="224"/>
      <c r="P7568" s="110" t="s">
        <v>21710</v>
      </c>
      <c r="Q7568" s="15" t="s">
        <v>19</v>
      </c>
      <c r="R7568" s="205"/>
      <c r="S7568" s="189" t="s">
        <v>25900</v>
      </c>
      <c r="T7568" s="114"/>
      <c r="U7568" s="21"/>
      <c r="V7568" s="115">
        <v>46113</v>
      </c>
      <c r="W7568" s="116">
        <v>1011</v>
      </c>
      <c r="X7568" s="220">
        <v>1470000</v>
      </c>
      <c r="Y7568" s="220">
        <f>X7568*0.1</f>
        <v>147000</v>
      </c>
      <c r="Z7568" s="220">
        <v>12470</v>
      </c>
      <c r="AA7568" s="220">
        <f>SUM(X7568:Z7568)</f>
        <v>1629470</v>
      </c>
      <c r="AB7568" s="222">
        <v>46120</v>
      </c>
    </row>
    <row r="7569" spans="1:28" ht="17.100000000000001" customHeight="1" thickBot="1">
      <c r="A7569" s="227"/>
      <c r="B7569" s="27" t="s">
        <v>2597</v>
      </c>
      <c r="C7569" s="27">
        <v>3284</v>
      </c>
      <c r="D7569" s="14" t="s">
        <v>273</v>
      </c>
      <c r="E7569" s="229"/>
      <c r="F7569" s="117" t="s">
        <v>20945</v>
      </c>
      <c r="G7569" s="26">
        <v>83700</v>
      </c>
      <c r="H7569" s="231"/>
      <c r="I7569" s="221"/>
      <c r="J7569" s="221"/>
      <c r="K7569" s="221"/>
      <c r="L7569" s="221"/>
      <c r="M7569" s="221"/>
      <c r="N7569" s="221"/>
      <c r="O7569" s="225"/>
      <c r="P7569" s="118" t="s">
        <v>21711</v>
      </c>
      <c r="Q7569" s="16" t="s">
        <v>20</v>
      </c>
      <c r="R7569" s="17" t="s">
        <v>3913</v>
      </c>
      <c r="S7569" s="121" t="s">
        <v>21830</v>
      </c>
      <c r="T7569" s="122"/>
      <c r="U7569" s="22"/>
      <c r="V7569" s="123" t="s">
        <v>2747</v>
      </c>
      <c r="W7569" s="122">
        <v>5103</v>
      </c>
      <c r="X7569" s="221"/>
      <c r="Y7569" s="221"/>
      <c r="Z7569" s="221"/>
      <c r="AA7569" s="221"/>
      <c r="AB7569" s="223"/>
    </row>
    <row r="7570" spans="1:28" ht="17.100000000000001" customHeight="1" thickTop="1">
      <c r="A7570" s="226" t="s">
        <v>20923</v>
      </c>
      <c r="B7570" s="28">
        <v>46108</v>
      </c>
      <c r="C7570" s="25">
        <v>1412</v>
      </c>
      <c r="D7570" s="13" t="s">
        <v>2422</v>
      </c>
      <c r="E7570" s="228"/>
      <c r="F7570" s="109" t="s">
        <v>15625</v>
      </c>
      <c r="G7570" s="24" t="s">
        <v>21050</v>
      </c>
      <c r="H7570" s="230">
        <v>4</v>
      </c>
      <c r="I7570" s="220">
        <v>748000</v>
      </c>
      <c r="J7570" s="220">
        <f>I7570*0.1</f>
        <v>74800</v>
      </c>
      <c r="K7570" s="220">
        <v>39500</v>
      </c>
      <c r="L7570" s="220">
        <v>11480</v>
      </c>
      <c r="M7570" s="220">
        <v>15400</v>
      </c>
      <c r="N7570" s="220">
        <f>SUM(I7570:M7571)</f>
        <v>889180</v>
      </c>
      <c r="O7570" s="224"/>
      <c r="P7570" s="110" t="s">
        <v>21420</v>
      </c>
      <c r="Q7570" s="15" t="s">
        <v>19</v>
      </c>
      <c r="R7570" s="205"/>
      <c r="S7570" s="189" t="s">
        <v>455</v>
      </c>
      <c r="T7570" s="114"/>
      <c r="U7570" s="21" t="s">
        <v>21853</v>
      </c>
      <c r="V7570" s="115">
        <v>46120</v>
      </c>
      <c r="W7570" s="116">
        <v>1012</v>
      </c>
      <c r="X7570" s="220">
        <v>820000</v>
      </c>
      <c r="Y7570" s="220">
        <f>X7570*0.1</f>
        <v>82000</v>
      </c>
      <c r="Z7570" s="220">
        <v>11480</v>
      </c>
      <c r="AA7570" s="220">
        <f>SUM(X7570:Z7570)</f>
        <v>913480</v>
      </c>
      <c r="AB7570" s="222">
        <v>46126</v>
      </c>
    </row>
    <row r="7571" spans="1:28" ht="17.100000000000001" customHeight="1" thickBot="1">
      <c r="A7571" s="227"/>
      <c r="B7571" s="27" t="s">
        <v>2597</v>
      </c>
      <c r="C7571" s="27">
        <v>3291</v>
      </c>
      <c r="D7571" s="14" t="s">
        <v>898</v>
      </c>
      <c r="E7571" s="229"/>
      <c r="F7571" s="117" t="s">
        <v>20946</v>
      </c>
      <c r="G7571" s="26">
        <v>136901</v>
      </c>
      <c r="H7571" s="231"/>
      <c r="I7571" s="221"/>
      <c r="J7571" s="221"/>
      <c r="K7571" s="221"/>
      <c r="L7571" s="221"/>
      <c r="M7571" s="221"/>
      <c r="N7571" s="221"/>
      <c r="O7571" s="225"/>
      <c r="P7571" s="118" t="s">
        <v>21421</v>
      </c>
      <c r="Q7571" s="16" t="s">
        <v>20</v>
      </c>
      <c r="R7571" s="17" t="s">
        <v>21379</v>
      </c>
      <c r="S7571" s="121" t="s">
        <v>21422</v>
      </c>
      <c r="T7571" s="122"/>
      <c r="U7571" s="22"/>
      <c r="V7571" s="123" t="s">
        <v>7161</v>
      </c>
      <c r="W7571" s="122">
        <v>5113</v>
      </c>
      <c r="X7571" s="221"/>
      <c r="Y7571" s="221"/>
      <c r="Z7571" s="221"/>
      <c r="AA7571" s="221"/>
      <c r="AB7571" s="223"/>
    </row>
    <row r="7572" spans="1:28" ht="17.100000000000001" customHeight="1" thickTop="1">
      <c r="A7572" s="226" t="s">
        <v>20924</v>
      </c>
      <c r="B7572" s="28">
        <v>46108</v>
      </c>
      <c r="C7572" s="25">
        <v>1412</v>
      </c>
      <c r="D7572" s="13" t="s">
        <v>1953</v>
      </c>
      <c r="E7572" s="228"/>
      <c r="F7572" s="109" t="s">
        <v>13991</v>
      </c>
      <c r="G7572" s="24" t="s">
        <v>13071</v>
      </c>
      <c r="H7572" s="230">
        <v>4</v>
      </c>
      <c r="I7572" s="220">
        <v>1374000</v>
      </c>
      <c r="J7572" s="220">
        <f>I7572*0.1</f>
        <v>137400</v>
      </c>
      <c r="K7572" s="220">
        <v>34500</v>
      </c>
      <c r="L7572" s="220">
        <v>9950</v>
      </c>
      <c r="M7572" s="220">
        <v>15400</v>
      </c>
      <c r="N7572" s="220">
        <f>SUM(I7572:M7573)</f>
        <v>1571250</v>
      </c>
      <c r="O7572" s="224"/>
      <c r="P7572" s="110" t="s">
        <v>21332</v>
      </c>
      <c r="Q7572" s="15" t="s">
        <v>19</v>
      </c>
      <c r="R7572" s="205"/>
      <c r="S7572" s="189" t="s">
        <v>25901</v>
      </c>
      <c r="T7572" s="114"/>
      <c r="U7572" s="21"/>
      <c r="V7572" s="115">
        <v>46113</v>
      </c>
      <c r="W7572" s="116">
        <v>1011</v>
      </c>
      <c r="X7572" s="220">
        <v>1485000</v>
      </c>
      <c r="Y7572" s="220">
        <f>X7572*0.1</f>
        <v>148500</v>
      </c>
      <c r="Z7572" s="220">
        <v>9950</v>
      </c>
      <c r="AA7572" s="220">
        <f>SUM(X7572:Z7572)</f>
        <v>1643450</v>
      </c>
      <c r="AB7572" s="222">
        <v>46119</v>
      </c>
    </row>
    <row r="7573" spans="1:28" ht="17.100000000000001" customHeight="1" thickBot="1">
      <c r="A7573" s="227"/>
      <c r="B7573" s="27" t="s">
        <v>2597</v>
      </c>
      <c r="C7573" s="27">
        <v>3337</v>
      </c>
      <c r="D7573" s="14" t="s">
        <v>131</v>
      </c>
      <c r="E7573" s="229"/>
      <c r="F7573" s="117" t="s">
        <v>21051</v>
      </c>
      <c r="G7573" s="26">
        <v>56376</v>
      </c>
      <c r="H7573" s="231"/>
      <c r="I7573" s="221"/>
      <c r="J7573" s="221"/>
      <c r="K7573" s="221"/>
      <c r="L7573" s="221"/>
      <c r="M7573" s="221"/>
      <c r="N7573" s="221"/>
      <c r="O7573" s="225"/>
      <c r="P7573" s="118" t="s">
        <v>21333</v>
      </c>
      <c r="Q7573" s="16" t="s">
        <v>20</v>
      </c>
      <c r="R7573" s="17" t="s">
        <v>2913</v>
      </c>
      <c r="S7573" s="121" t="s">
        <v>1625</v>
      </c>
      <c r="T7573" s="122"/>
      <c r="U7573" s="22"/>
      <c r="V7573" s="123" t="s">
        <v>2747</v>
      </c>
      <c r="W7573" s="122">
        <v>5109</v>
      </c>
      <c r="X7573" s="221"/>
      <c r="Y7573" s="221"/>
      <c r="Z7573" s="221"/>
      <c r="AA7573" s="221"/>
      <c r="AB7573" s="223"/>
    </row>
    <row r="7574" spans="1:28" ht="17.100000000000001" customHeight="1" thickTop="1">
      <c r="A7574" s="226" t="s">
        <v>20925</v>
      </c>
      <c r="B7574" s="28">
        <v>46108</v>
      </c>
      <c r="C7574" s="25">
        <v>1412</v>
      </c>
      <c r="D7574" s="13" t="s">
        <v>1808</v>
      </c>
      <c r="E7574" s="228"/>
      <c r="F7574" s="109" t="s">
        <v>20947</v>
      </c>
      <c r="G7574" s="24"/>
      <c r="H7574" s="230">
        <v>4</v>
      </c>
      <c r="I7574" s="220">
        <v>520000</v>
      </c>
      <c r="J7574" s="220">
        <f>I7574*0.1</f>
        <v>52000</v>
      </c>
      <c r="K7574" s="220">
        <v>0</v>
      </c>
      <c r="L7574" s="220">
        <v>13120</v>
      </c>
      <c r="M7574" s="220">
        <v>15400</v>
      </c>
      <c r="N7574" s="220">
        <f>SUM(I7574:M7575)</f>
        <v>600520</v>
      </c>
      <c r="O7574" s="224"/>
      <c r="P7574" s="110" t="s">
        <v>21847</v>
      </c>
      <c r="Q7574" s="15" t="s">
        <v>19</v>
      </c>
      <c r="R7574" s="205"/>
      <c r="S7574" s="189"/>
      <c r="T7574" s="114"/>
      <c r="U7574" s="21"/>
      <c r="V7574" s="115">
        <v>46116</v>
      </c>
      <c r="W7574" s="116">
        <v>1295</v>
      </c>
      <c r="X7574" s="220">
        <v>600000</v>
      </c>
      <c r="Y7574" s="220">
        <f>X7574*0.1</f>
        <v>60000</v>
      </c>
      <c r="Z7574" s="220">
        <v>13120</v>
      </c>
      <c r="AA7574" s="220">
        <f>SUM(X7574:Z7574)</f>
        <v>673120</v>
      </c>
      <c r="AB7574" s="222">
        <v>46126</v>
      </c>
    </row>
    <row r="7575" spans="1:28" ht="17.100000000000001" customHeight="1" thickBot="1">
      <c r="A7575" s="227"/>
      <c r="B7575" s="27" t="s">
        <v>2597</v>
      </c>
      <c r="C7575" s="27">
        <v>3356</v>
      </c>
      <c r="D7575" s="14" t="s">
        <v>1710</v>
      </c>
      <c r="E7575" s="229"/>
      <c r="F7575" s="117" t="s">
        <v>20948</v>
      </c>
      <c r="G7575" s="26">
        <v>48274</v>
      </c>
      <c r="H7575" s="231"/>
      <c r="I7575" s="221"/>
      <c r="J7575" s="221"/>
      <c r="K7575" s="221"/>
      <c r="L7575" s="221"/>
      <c r="M7575" s="221"/>
      <c r="N7575" s="221"/>
      <c r="O7575" s="225"/>
      <c r="P7575" s="118" t="s">
        <v>1972</v>
      </c>
      <c r="Q7575" s="16" t="s">
        <v>20</v>
      </c>
      <c r="R7575" s="17" t="s">
        <v>1810</v>
      </c>
      <c r="S7575" s="121"/>
      <c r="T7575" s="122"/>
      <c r="U7575" s="22"/>
      <c r="V7575" s="123" t="s">
        <v>2472</v>
      </c>
      <c r="W7575" s="122">
        <v>37</v>
      </c>
      <c r="X7575" s="221"/>
      <c r="Y7575" s="221"/>
      <c r="Z7575" s="221"/>
      <c r="AA7575" s="221"/>
      <c r="AB7575" s="223"/>
    </row>
    <row r="7576" spans="1:28" ht="17.100000000000001" customHeight="1" thickTop="1">
      <c r="A7576" s="226" t="s">
        <v>20926</v>
      </c>
      <c r="B7576" s="28">
        <v>46108</v>
      </c>
      <c r="C7576" s="25">
        <v>1412</v>
      </c>
      <c r="D7576" s="13" t="s">
        <v>1053</v>
      </c>
      <c r="E7576" s="228"/>
      <c r="F7576" s="109" t="s">
        <v>14900</v>
      </c>
      <c r="G7576" s="24"/>
      <c r="H7576" s="230">
        <v>3.5</v>
      </c>
      <c r="I7576" s="220">
        <v>700000</v>
      </c>
      <c r="J7576" s="220">
        <f>I7576*0.1</f>
        <v>70000</v>
      </c>
      <c r="K7576" s="220">
        <v>0</v>
      </c>
      <c r="L7576" s="220">
        <v>6830</v>
      </c>
      <c r="M7576" s="220">
        <v>15400</v>
      </c>
      <c r="N7576" s="220">
        <f>SUM(I7576:M7577)</f>
        <v>792230</v>
      </c>
      <c r="O7576" s="224"/>
      <c r="P7576" s="110" t="s">
        <v>21337</v>
      </c>
      <c r="Q7576" s="15" t="s">
        <v>19</v>
      </c>
      <c r="R7576" s="205"/>
      <c r="S7576" s="189"/>
      <c r="T7576" s="114"/>
      <c r="U7576" s="21"/>
      <c r="V7576" s="115">
        <v>46127</v>
      </c>
      <c r="W7576" s="116">
        <v>1013</v>
      </c>
      <c r="X7576" s="220">
        <v>705000</v>
      </c>
      <c r="Y7576" s="220">
        <f>X7576*0.1</f>
        <v>70500</v>
      </c>
      <c r="Z7576" s="220">
        <v>6830</v>
      </c>
      <c r="AA7576" s="220">
        <f>SUM(X7576:Z7576)</f>
        <v>782330</v>
      </c>
      <c r="AB7576" s="222">
        <v>46132</v>
      </c>
    </row>
    <row r="7577" spans="1:28" ht="17.100000000000001" customHeight="1" thickBot="1">
      <c r="A7577" s="227"/>
      <c r="B7577" s="27" t="s">
        <v>2597</v>
      </c>
      <c r="C7577" s="27">
        <v>3372</v>
      </c>
      <c r="D7577" s="14" t="s">
        <v>21052</v>
      </c>
      <c r="E7577" s="229"/>
      <c r="F7577" s="117" t="s">
        <v>20949</v>
      </c>
      <c r="G7577" s="26">
        <v>41848</v>
      </c>
      <c r="H7577" s="231"/>
      <c r="I7577" s="221"/>
      <c r="J7577" s="221"/>
      <c r="K7577" s="221"/>
      <c r="L7577" s="221"/>
      <c r="M7577" s="221"/>
      <c r="N7577" s="221"/>
      <c r="O7577" s="225"/>
      <c r="P7577" s="118" t="s">
        <v>1972</v>
      </c>
      <c r="Q7577" s="16" t="s">
        <v>20</v>
      </c>
      <c r="R7577" s="17" t="s">
        <v>2913</v>
      </c>
      <c r="S7577" s="121" t="s">
        <v>10516</v>
      </c>
      <c r="T7577" s="122"/>
      <c r="U7577" s="22"/>
      <c r="V7577" s="123" t="s">
        <v>8877</v>
      </c>
      <c r="W7577" s="122">
        <v>2029</v>
      </c>
      <c r="X7577" s="221"/>
      <c r="Y7577" s="221"/>
      <c r="Z7577" s="221"/>
      <c r="AA7577" s="221"/>
      <c r="AB7577" s="223"/>
    </row>
    <row r="7578" spans="1:28" ht="17.100000000000001" customHeight="1" thickTop="1">
      <c r="A7578" s="233" t="s">
        <v>20927</v>
      </c>
      <c r="B7578" s="28">
        <v>46108</v>
      </c>
      <c r="C7578" s="25">
        <v>1412</v>
      </c>
      <c r="D7578" s="13" t="s">
        <v>2267</v>
      </c>
      <c r="E7578" s="228"/>
      <c r="F7578" s="109" t="s">
        <v>20950</v>
      </c>
      <c r="G7578" s="24" t="s">
        <v>5560</v>
      </c>
      <c r="H7578" s="230">
        <v>4.5</v>
      </c>
      <c r="I7578" s="220">
        <v>900000</v>
      </c>
      <c r="J7578" s="220">
        <f>I7578*0.1</f>
        <v>90000</v>
      </c>
      <c r="K7578" s="220">
        <v>34500</v>
      </c>
      <c r="L7578" s="220">
        <v>8160</v>
      </c>
      <c r="M7578" s="220">
        <v>15400</v>
      </c>
      <c r="N7578" s="220">
        <f>SUM(I7578:M7579)</f>
        <v>1048060</v>
      </c>
      <c r="O7578" s="224"/>
      <c r="P7578" s="110"/>
      <c r="Q7578" s="15" t="s">
        <v>19</v>
      </c>
      <c r="R7578" s="205"/>
      <c r="S7578" s="189"/>
      <c r="T7578" s="114" t="s">
        <v>7899</v>
      </c>
      <c r="U7578" s="21"/>
      <c r="V7578" s="115"/>
      <c r="W7578" s="116"/>
      <c r="X7578" s="220"/>
      <c r="Y7578" s="220">
        <f>X7578*0.1</f>
        <v>0</v>
      </c>
      <c r="Z7578" s="220"/>
      <c r="AA7578" s="220">
        <f>SUM(X7578:Z7578)</f>
        <v>0</v>
      </c>
      <c r="AB7578" s="222"/>
    </row>
    <row r="7579" spans="1:28" ht="17.100000000000001" customHeight="1" thickBot="1">
      <c r="A7579" s="234"/>
      <c r="B7579" s="27" t="s">
        <v>2597</v>
      </c>
      <c r="C7579" s="27">
        <v>3382</v>
      </c>
      <c r="D7579" s="14" t="s">
        <v>2559</v>
      </c>
      <c r="E7579" s="229"/>
      <c r="F7579" s="117" t="s">
        <v>20951</v>
      </c>
      <c r="G7579" s="26">
        <v>14711</v>
      </c>
      <c r="H7579" s="231"/>
      <c r="I7579" s="221"/>
      <c r="J7579" s="221"/>
      <c r="K7579" s="221"/>
      <c r="L7579" s="221"/>
      <c r="M7579" s="221"/>
      <c r="N7579" s="221"/>
      <c r="O7579" s="225"/>
      <c r="P7579" s="118"/>
      <c r="Q7579" s="16" t="s">
        <v>20</v>
      </c>
      <c r="R7579" s="17" t="s">
        <v>10331</v>
      </c>
      <c r="S7579" s="121"/>
      <c r="T7579" s="122"/>
      <c r="U7579" s="22"/>
      <c r="V7579" s="123"/>
      <c r="W7579" s="122"/>
      <c r="X7579" s="221"/>
      <c r="Y7579" s="221"/>
      <c r="Z7579" s="221"/>
      <c r="AA7579" s="221"/>
      <c r="AB7579" s="223"/>
    </row>
    <row r="7580" spans="1:28" ht="17.100000000000001" customHeight="1" thickTop="1">
      <c r="A7580" s="226" t="s">
        <v>20928</v>
      </c>
      <c r="B7580" s="28">
        <v>46108</v>
      </c>
      <c r="C7580" s="25">
        <v>1412</v>
      </c>
      <c r="D7580" s="13" t="s">
        <v>2913</v>
      </c>
      <c r="E7580" s="228"/>
      <c r="F7580" s="109" t="s">
        <v>21053</v>
      </c>
      <c r="G7580" s="24"/>
      <c r="H7580" s="230">
        <v>4</v>
      </c>
      <c r="I7580" s="220">
        <v>634000</v>
      </c>
      <c r="J7580" s="220">
        <f>I7580*0.1</f>
        <v>63400</v>
      </c>
      <c r="K7580" s="220">
        <v>0</v>
      </c>
      <c r="L7580" s="220">
        <v>9370</v>
      </c>
      <c r="M7580" s="220">
        <v>15400</v>
      </c>
      <c r="N7580" s="220">
        <f>SUM(I7580:M7581)</f>
        <v>722170</v>
      </c>
      <c r="O7580" s="224"/>
      <c r="P7580" s="110" t="s">
        <v>21712</v>
      </c>
      <c r="Q7580" s="15" t="s">
        <v>19</v>
      </c>
      <c r="R7580" s="205"/>
      <c r="S7580" s="189" t="s">
        <v>25863</v>
      </c>
      <c r="T7580" s="114"/>
      <c r="U7580" s="21"/>
      <c r="V7580" s="115">
        <v>46116</v>
      </c>
      <c r="W7580" s="116">
        <v>1295</v>
      </c>
      <c r="X7580" s="220">
        <v>690000</v>
      </c>
      <c r="Y7580" s="220">
        <f>X7580*0.1</f>
        <v>69000</v>
      </c>
      <c r="Z7580" s="220">
        <v>9370</v>
      </c>
      <c r="AA7580" s="220">
        <f>SUM(X7580:Z7580)</f>
        <v>768370</v>
      </c>
      <c r="AB7580" s="222">
        <v>46121</v>
      </c>
    </row>
    <row r="7581" spans="1:28" ht="17.100000000000001" customHeight="1" thickBot="1">
      <c r="A7581" s="227"/>
      <c r="B7581" s="27" t="s">
        <v>2597</v>
      </c>
      <c r="C7581" s="27">
        <v>7102</v>
      </c>
      <c r="D7581" s="14" t="s">
        <v>1710</v>
      </c>
      <c r="E7581" s="229"/>
      <c r="F7581" s="117" t="s">
        <v>20952</v>
      </c>
      <c r="G7581" s="26">
        <v>54138</v>
      </c>
      <c r="H7581" s="231"/>
      <c r="I7581" s="221"/>
      <c r="J7581" s="221"/>
      <c r="K7581" s="221"/>
      <c r="L7581" s="221"/>
      <c r="M7581" s="221"/>
      <c r="N7581" s="221"/>
      <c r="O7581" s="225"/>
      <c r="P7581" s="118" t="s">
        <v>15065</v>
      </c>
      <c r="Q7581" s="16" t="s">
        <v>20</v>
      </c>
      <c r="R7581" s="17" t="s">
        <v>1901</v>
      </c>
      <c r="S7581" s="121" t="s">
        <v>4544</v>
      </c>
      <c r="T7581" s="122"/>
      <c r="U7581" s="22"/>
      <c r="V7581" s="123" t="s">
        <v>2472</v>
      </c>
      <c r="W7581" s="122">
        <v>41004</v>
      </c>
      <c r="X7581" s="221"/>
      <c r="Y7581" s="221"/>
      <c r="Z7581" s="221"/>
      <c r="AA7581" s="221"/>
      <c r="AB7581" s="223"/>
    </row>
    <row r="7582" spans="1:28" ht="17.100000000000001" customHeight="1" thickTop="1">
      <c r="A7582" s="226" t="s">
        <v>20929</v>
      </c>
      <c r="B7582" s="28">
        <v>46108</v>
      </c>
      <c r="C7582" s="25">
        <v>1412</v>
      </c>
      <c r="D7582" s="13" t="s">
        <v>1666</v>
      </c>
      <c r="E7582" s="228"/>
      <c r="F7582" s="109" t="s">
        <v>20953</v>
      </c>
      <c r="G7582" s="24" t="s">
        <v>21054</v>
      </c>
      <c r="H7582" s="230">
        <v>4</v>
      </c>
      <c r="I7582" s="220">
        <v>2434000</v>
      </c>
      <c r="J7582" s="220">
        <f>I7582*0.1</f>
        <v>243400</v>
      </c>
      <c r="K7582" s="220">
        <v>66500</v>
      </c>
      <c r="L7582" s="220">
        <v>12420</v>
      </c>
      <c r="M7582" s="220">
        <v>15400</v>
      </c>
      <c r="N7582" s="220">
        <f>SUM(I7582:M7583)</f>
        <v>2771720</v>
      </c>
      <c r="O7582" s="224"/>
      <c r="P7582" s="110" t="s">
        <v>21360</v>
      </c>
      <c r="Q7582" s="15" t="s">
        <v>19</v>
      </c>
      <c r="R7582" s="205"/>
      <c r="S7582" s="189" t="s">
        <v>25902</v>
      </c>
      <c r="T7582" s="114"/>
      <c r="U7582" s="21" t="s">
        <v>21852</v>
      </c>
      <c r="V7582" s="115"/>
      <c r="W7582" s="116"/>
      <c r="X7582" s="220"/>
      <c r="Y7582" s="220">
        <f>X7582*0.1</f>
        <v>0</v>
      </c>
      <c r="Z7582" s="220"/>
      <c r="AA7582" s="220">
        <f>SUM(X7582:Z7582)</f>
        <v>0</v>
      </c>
      <c r="AB7582" s="222"/>
    </row>
    <row r="7583" spans="1:28" ht="17.100000000000001" customHeight="1" thickBot="1">
      <c r="A7583" s="227"/>
      <c r="B7583" s="27" t="s">
        <v>2597</v>
      </c>
      <c r="C7583" s="27">
        <v>7105</v>
      </c>
      <c r="D7583" s="14" t="s">
        <v>2753</v>
      </c>
      <c r="E7583" s="229"/>
      <c r="F7583" s="117" t="s">
        <v>20954</v>
      </c>
      <c r="G7583" s="26">
        <v>81320</v>
      </c>
      <c r="H7583" s="231"/>
      <c r="I7583" s="221"/>
      <c r="J7583" s="221"/>
      <c r="K7583" s="221"/>
      <c r="L7583" s="221"/>
      <c r="M7583" s="221"/>
      <c r="N7583" s="221"/>
      <c r="O7583" s="225"/>
      <c r="P7583" s="118" t="s">
        <v>21361</v>
      </c>
      <c r="Q7583" s="16" t="s">
        <v>20</v>
      </c>
      <c r="R7583" s="17" t="s">
        <v>1634</v>
      </c>
      <c r="S7583" s="121" t="s">
        <v>21362</v>
      </c>
      <c r="T7583" s="122"/>
      <c r="U7583" s="22"/>
      <c r="V7583" s="123"/>
      <c r="W7583" s="122"/>
      <c r="X7583" s="221"/>
      <c r="Y7583" s="221"/>
      <c r="Z7583" s="221"/>
      <c r="AA7583" s="221"/>
      <c r="AB7583" s="223"/>
    </row>
    <row r="7584" spans="1:28" ht="17.100000000000001" customHeight="1" thickTop="1">
      <c r="A7584" s="226" t="s">
        <v>20930</v>
      </c>
      <c r="B7584" s="28">
        <v>46108</v>
      </c>
      <c r="C7584" s="25">
        <v>1412</v>
      </c>
      <c r="D7584" s="13" t="s">
        <v>2406</v>
      </c>
      <c r="E7584" s="228"/>
      <c r="F7584" s="109" t="s">
        <v>20955</v>
      </c>
      <c r="G7584" s="24" t="s">
        <v>14517</v>
      </c>
      <c r="H7584" s="230">
        <v>3.5</v>
      </c>
      <c r="I7584" s="220">
        <v>478000</v>
      </c>
      <c r="J7584" s="220">
        <f>I7584*0.1</f>
        <v>47800</v>
      </c>
      <c r="K7584" s="220">
        <v>29500</v>
      </c>
      <c r="L7584" s="220">
        <v>9130</v>
      </c>
      <c r="M7584" s="220">
        <v>15400</v>
      </c>
      <c r="N7584" s="220">
        <f>SUM(I7584:M7585)</f>
        <v>579830</v>
      </c>
      <c r="O7584" s="224"/>
      <c r="P7584" s="110" t="s">
        <v>21359</v>
      </c>
      <c r="Q7584" s="15" t="s">
        <v>19</v>
      </c>
      <c r="R7584" s="205"/>
      <c r="S7584" s="189"/>
      <c r="T7584" s="114"/>
      <c r="U7584" s="21"/>
      <c r="V7584" s="115">
        <v>46116</v>
      </c>
      <c r="W7584" s="116">
        <v>1295</v>
      </c>
      <c r="X7584" s="220">
        <v>695000</v>
      </c>
      <c r="Y7584" s="220">
        <f>X7584*0.1</f>
        <v>69500</v>
      </c>
      <c r="Z7584" s="220">
        <v>9130</v>
      </c>
      <c r="AA7584" s="220">
        <f>SUM(X7584:Z7584)</f>
        <v>773630</v>
      </c>
      <c r="AB7584" s="222">
        <v>46119</v>
      </c>
    </row>
    <row r="7585" spans="1:28" ht="17.100000000000001" customHeight="1" thickBot="1">
      <c r="A7585" s="227"/>
      <c r="B7585" s="27" t="s">
        <v>2597</v>
      </c>
      <c r="C7585" s="27">
        <v>9545</v>
      </c>
      <c r="D7585" s="14" t="s">
        <v>1710</v>
      </c>
      <c r="E7585" s="229"/>
      <c r="F7585" s="117" t="s">
        <v>21055</v>
      </c>
      <c r="G7585" s="26">
        <v>45182</v>
      </c>
      <c r="H7585" s="231"/>
      <c r="I7585" s="221"/>
      <c r="J7585" s="221"/>
      <c r="K7585" s="221"/>
      <c r="L7585" s="221"/>
      <c r="M7585" s="221"/>
      <c r="N7585" s="221"/>
      <c r="O7585" s="225"/>
      <c r="P7585" s="118" t="s">
        <v>3506</v>
      </c>
      <c r="Q7585" s="16" t="s">
        <v>20</v>
      </c>
      <c r="R7585" s="17" t="s">
        <v>1634</v>
      </c>
      <c r="S7585" s="121" t="s">
        <v>21370</v>
      </c>
      <c r="T7585" s="122"/>
      <c r="U7585" s="22"/>
      <c r="V7585" s="123" t="s">
        <v>2472</v>
      </c>
      <c r="W7585" s="122">
        <v>47</v>
      </c>
      <c r="X7585" s="221"/>
      <c r="Y7585" s="221"/>
      <c r="Z7585" s="221"/>
      <c r="AA7585" s="221"/>
      <c r="AB7585" s="223"/>
    </row>
    <row r="7586" spans="1:28" ht="17.100000000000001" customHeight="1" thickTop="1">
      <c r="A7586" s="226" t="s">
        <v>20931</v>
      </c>
      <c r="B7586" s="28">
        <v>46108</v>
      </c>
      <c r="C7586" s="25"/>
      <c r="D7586" s="13" t="s">
        <v>1996</v>
      </c>
      <c r="E7586" s="228"/>
      <c r="F7586" s="109" t="s">
        <v>21009</v>
      </c>
      <c r="G7586" s="24" t="s">
        <v>15669</v>
      </c>
      <c r="H7586" s="230">
        <v>4</v>
      </c>
      <c r="I7586" s="220">
        <v>3955000</v>
      </c>
      <c r="J7586" s="220">
        <f>I7586*0.1</f>
        <v>395500</v>
      </c>
      <c r="K7586" s="220">
        <v>0</v>
      </c>
      <c r="L7586" s="220">
        <v>15780</v>
      </c>
      <c r="M7586" s="220">
        <v>0</v>
      </c>
      <c r="N7586" s="220">
        <f>SUM(I7586:M7587)</f>
        <v>4366280</v>
      </c>
      <c r="O7586" s="224"/>
      <c r="P7586" s="110" t="s">
        <v>23544</v>
      </c>
      <c r="Q7586" s="15" t="s">
        <v>19</v>
      </c>
      <c r="R7586" s="205"/>
      <c r="S7586" s="189" t="s">
        <v>25810</v>
      </c>
      <c r="T7586" s="114"/>
      <c r="U7586" s="21" t="s">
        <v>24287</v>
      </c>
      <c r="V7586" s="115"/>
      <c r="W7586" s="116"/>
      <c r="X7586" s="220"/>
      <c r="Y7586" s="220">
        <f>X7586*0.1</f>
        <v>0</v>
      </c>
      <c r="Z7586" s="220"/>
      <c r="AA7586" s="220">
        <f>SUM(X7586:Z7586)</f>
        <v>0</v>
      </c>
      <c r="AB7586" s="222"/>
    </row>
    <row r="7587" spans="1:28" ht="17.100000000000001" customHeight="1" thickBot="1">
      <c r="A7587" s="227"/>
      <c r="B7587" s="27" t="s">
        <v>1708</v>
      </c>
      <c r="C7587" s="27" t="s">
        <v>20961</v>
      </c>
      <c r="D7587" s="14" t="s">
        <v>2559</v>
      </c>
      <c r="E7587" s="229"/>
      <c r="F7587" s="117" t="s">
        <v>20962</v>
      </c>
      <c r="G7587" s="26">
        <v>64813</v>
      </c>
      <c r="H7587" s="231"/>
      <c r="I7587" s="221"/>
      <c r="J7587" s="221"/>
      <c r="K7587" s="221"/>
      <c r="L7587" s="221"/>
      <c r="M7587" s="221"/>
      <c r="N7587" s="221"/>
      <c r="O7587" s="225"/>
      <c r="P7587" s="118" t="s">
        <v>23545</v>
      </c>
      <c r="Q7587" s="16" t="s">
        <v>20</v>
      </c>
      <c r="R7587" s="17" t="s">
        <v>23474</v>
      </c>
      <c r="S7587" s="121" t="s">
        <v>13483</v>
      </c>
      <c r="T7587" s="122"/>
      <c r="U7587" s="22"/>
      <c r="V7587" s="123"/>
      <c r="W7587" s="122"/>
      <c r="X7587" s="221"/>
      <c r="Y7587" s="221"/>
      <c r="Z7587" s="221"/>
      <c r="AA7587" s="221"/>
      <c r="AB7587" s="223"/>
    </row>
    <row r="7588" spans="1:28" ht="17.100000000000001" customHeight="1" thickTop="1">
      <c r="A7588" s="226" t="s">
        <v>20932</v>
      </c>
      <c r="B7588" s="28">
        <v>46108</v>
      </c>
      <c r="C7588" s="25"/>
      <c r="D7588" s="13" t="s">
        <v>2810</v>
      </c>
      <c r="E7588" s="228"/>
      <c r="F7588" s="109" t="s">
        <v>21010</v>
      </c>
      <c r="G7588" s="24" t="s">
        <v>21011</v>
      </c>
      <c r="H7588" s="230">
        <v>6</v>
      </c>
      <c r="I7588" s="220">
        <v>2750000</v>
      </c>
      <c r="J7588" s="220">
        <f>I7588*0.1</f>
        <v>275000</v>
      </c>
      <c r="K7588" s="220">
        <v>0</v>
      </c>
      <c r="L7588" s="220">
        <v>8780</v>
      </c>
      <c r="M7588" s="220">
        <v>0</v>
      </c>
      <c r="N7588" s="220">
        <f>SUM(I7588:M7589)</f>
        <v>3033780</v>
      </c>
      <c r="O7588" s="224"/>
      <c r="P7588" s="110" t="s">
        <v>22320</v>
      </c>
      <c r="Q7588" s="15" t="s">
        <v>19</v>
      </c>
      <c r="R7588" s="205"/>
      <c r="S7588" s="189" t="s">
        <v>25507</v>
      </c>
      <c r="T7588" s="114"/>
      <c r="U7588" s="21"/>
      <c r="V7588" s="115">
        <v>46134</v>
      </c>
      <c r="W7588" s="116">
        <v>1014</v>
      </c>
      <c r="X7588" s="220">
        <v>2825000</v>
      </c>
      <c r="Y7588" s="220">
        <f>X7588*0.1</f>
        <v>282500</v>
      </c>
      <c r="Z7588" s="220">
        <v>8780</v>
      </c>
      <c r="AA7588" s="220">
        <f>SUM(X7588:Z7588)</f>
        <v>3116280</v>
      </c>
      <c r="AB7588" s="222">
        <v>46139</v>
      </c>
    </row>
    <row r="7589" spans="1:28" ht="17.100000000000001" customHeight="1" thickBot="1">
      <c r="A7589" s="227"/>
      <c r="B7589" s="27" t="s">
        <v>1708</v>
      </c>
      <c r="C7589" s="27" t="s">
        <v>20963</v>
      </c>
      <c r="D7589" s="14" t="s">
        <v>273</v>
      </c>
      <c r="E7589" s="229"/>
      <c r="F7589" s="117" t="s">
        <v>20964</v>
      </c>
      <c r="G7589" s="26">
        <v>48</v>
      </c>
      <c r="H7589" s="231"/>
      <c r="I7589" s="221"/>
      <c r="J7589" s="221"/>
      <c r="K7589" s="221"/>
      <c r="L7589" s="221"/>
      <c r="M7589" s="221"/>
      <c r="N7589" s="221"/>
      <c r="O7589" s="225"/>
      <c r="P7589" s="118" t="s">
        <v>22321</v>
      </c>
      <c r="Q7589" s="16" t="s">
        <v>20</v>
      </c>
      <c r="R7589" s="17" t="s">
        <v>22315</v>
      </c>
      <c r="S7589" s="121" t="s">
        <v>22322</v>
      </c>
      <c r="T7589" s="122"/>
      <c r="U7589" s="22"/>
      <c r="V7589" s="123" t="s">
        <v>23332</v>
      </c>
      <c r="W7589" s="122">
        <v>4016</v>
      </c>
      <c r="X7589" s="221"/>
      <c r="Y7589" s="221"/>
      <c r="Z7589" s="221"/>
      <c r="AA7589" s="221"/>
      <c r="AB7589" s="223"/>
    </row>
    <row r="7590" spans="1:28" ht="17.100000000000001" customHeight="1" thickTop="1">
      <c r="A7590" s="226" t="s">
        <v>20933</v>
      </c>
      <c r="B7590" s="28">
        <v>46108</v>
      </c>
      <c r="C7590" s="25"/>
      <c r="D7590" s="13" t="s">
        <v>1988</v>
      </c>
      <c r="E7590" s="228"/>
      <c r="F7590" s="109" t="s">
        <v>8072</v>
      </c>
      <c r="G7590" s="24" t="s">
        <v>12302</v>
      </c>
      <c r="H7590" s="230">
        <v>5</v>
      </c>
      <c r="I7590" s="220">
        <v>5260000</v>
      </c>
      <c r="J7590" s="220">
        <f>I7590*0.1</f>
        <v>526000</v>
      </c>
      <c r="K7590" s="220">
        <v>0</v>
      </c>
      <c r="L7590" s="220">
        <v>14230</v>
      </c>
      <c r="M7590" s="220">
        <v>0</v>
      </c>
      <c r="N7590" s="220">
        <f>SUM(I7590:M7591)</f>
        <v>5800230</v>
      </c>
      <c r="O7590" s="224"/>
      <c r="P7590" s="110" t="s">
        <v>24439</v>
      </c>
      <c r="Q7590" s="15" t="s">
        <v>19</v>
      </c>
      <c r="R7590" s="205"/>
      <c r="S7590" s="189" t="s">
        <v>25691</v>
      </c>
      <c r="T7590" s="114"/>
      <c r="U7590" s="21"/>
      <c r="V7590" s="115">
        <v>46155</v>
      </c>
      <c r="W7590" s="116">
        <v>1016</v>
      </c>
      <c r="X7590" s="220">
        <v>5505000</v>
      </c>
      <c r="Y7590" s="220">
        <f>X7590*0.1</f>
        <v>550500</v>
      </c>
      <c r="Z7590" s="220">
        <v>14230</v>
      </c>
      <c r="AA7590" s="220">
        <f>SUM(X7590:Z7590)</f>
        <v>6069730</v>
      </c>
      <c r="AB7590" s="222">
        <v>46160</v>
      </c>
    </row>
    <row r="7591" spans="1:28" ht="17.100000000000001" customHeight="1" thickBot="1">
      <c r="A7591" s="227"/>
      <c r="B7591" s="27" t="s">
        <v>1708</v>
      </c>
      <c r="C7591" s="27" t="s">
        <v>20965</v>
      </c>
      <c r="D7591" s="14" t="s">
        <v>2559</v>
      </c>
      <c r="E7591" s="229"/>
      <c r="F7591" s="117" t="s">
        <v>20966</v>
      </c>
      <c r="G7591" s="26">
        <v>286</v>
      </c>
      <c r="H7591" s="231"/>
      <c r="I7591" s="221"/>
      <c r="J7591" s="221"/>
      <c r="K7591" s="221"/>
      <c r="L7591" s="221"/>
      <c r="M7591" s="221"/>
      <c r="N7591" s="221"/>
      <c r="O7591" s="225"/>
      <c r="P7591" s="118" t="s">
        <v>24440</v>
      </c>
      <c r="Q7591" s="16" t="s">
        <v>20</v>
      </c>
      <c r="R7591" s="17" t="s">
        <v>1983</v>
      </c>
      <c r="S7591" s="121" t="s">
        <v>24441</v>
      </c>
      <c r="T7591" s="122"/>
      <c r="U7591" s="22"/>
      <c r="V7591" s="123" t="s">
        <v>2747</v>
      </c>
      <c r="W7591" s="122">
        <v>1026</v>
      </c>
      <c r="X7591" s="221"/>
      <c r="Y7591" s="221"/>
      <c r="Z7591" s="221"/>
      <c r="AA7591" s="221"/>
      <c r="AB7591" s="223"/>
    </row>
    <row r="7592" spans="1:28" ht="17.100000000000001" customHeight="1" thickTop="1">
      <c r="A7592" s="226" t="s">
        <v>20956</v>
      </c>
      <c r="B7592" s="28">
        <v>46108</v>
      </c>
      <c r="C7592" s="25"/>
      <c r="D7592" s="13" t="s">
        <v>1973</v>
      </c>
      <c r="E7592" s="228"/>
      <c r="F7592" s="109" t="s">
        <v>19205</v>
      </c>
      <c r="G7592" s="24" t="s">
        <v>4569</v>
      </c>
      <c r="H7592" s="230">
        <v>4.5</v>
      </c>
      <c r="I7592" s="220">
        <v>5060000</v>
      </c>
      <c r="J7592" s="220">
        <f>I7592*0.1</f>
        <v>506000</v>
      </c>
      <c r="K7592" s="220">
        <v>36200</v>
      </c>
      <c r="L7592" s="220">
        <v>18950</v>
      </c>
      <c r="M7592" s="220">
        <v>0</v>
      </c>
      <c r="N7592" s="220">
        <f>SUM(I7592:M7593)</f>
        <v>5621150</v>
      </c>
      <c r="O7592" s="224"/>
      <c r="P7592" s="110" t="s">
        <v>24680</v>
      </c>
      <c r="Q7592" s="15" t="s">
        <v>19</v>
      </c>
      <c r="R7592" s="205"/>
      <c r="S7592" s="189" t="s">
        <v>25507</v>
      </c>
      <c r="T7592" s="114"/>
      <c r="U7592" s="21"/>
      <c r="V7592" s="115">
        <v>46165</v>
      </c>
      <c r="W7592" s="116">
        <v>1301</v>
      </c>
      <c r="X7592" s="220">
        <v>5275000</v>
      </c>
      <c r="Y7592" s="220">
        <f>X7592*0.1</f>
        <v>527500</v>
      </c>
      <c r="Z7592" s="220">
        <v>18950</v>
      </c>
      <c r="AA7592" s="220">
        <f>SUM(X7592:Z7592)</f>
        <v>5821450</v>
      </c>
      <c r="AB7592" s="222">
        <v>46168</v>
      </c>
    </row>
    <row r="7593" spans="1:28" ht="17.100000000000001" customHeight="1" thickBot="1">
      <c r="A7593" s="227"/>
      <c r="B7593" s="27" t="s">
        <v>1708</v>
      </c>
      <c r="C7593" s="27" t="s">
        <v>20967</v>
      </c>
      <c r="D7593" s="14" t="s">
        <v>2559</v>
      </c>
      <c r="E7593" s="229"/>
      <c r="F7593" s="117" t="s">
        <v>20968</v>
      </c>
      <c r="G7593" s="26">
        <v>17546</v>
      </c>
      <c r="H7593" s="231"/>
      <c r="I7593" s="221"/>
      <c r="J7593" s="221"/>
      <c r="K7593" s="221"/>
      <c r="L7593" s="221"/>
      <c r="M7593" s="221"/>
      <c r="N7593" s="221"/>
      <c r="O7593" s="225"/>
      <c r="P7593" s="118" t="s">
        <v>24681</v>
      </c>
      <c r="Q7593" s="16" t="s">
        <v>20</v>
      </c>
      <c r="R7593" s="17" t="s">
        <v>1831</v>
      </c>
      <c r="S7593" s="121" t="s">
        <v>24682</v>
      </c>
      <c r="T7593" s="122"/>
      <c r="U7593" s="22"/>
      <c r="V7593" s="123" t="s">
        <v>7160</v>
      </c>
      <c r="W7593" s="122">
        <v>37442</v>
      </c>
      <c r="X7593" s="221"/>
      <c r="Y7593" s="221"/>
      <c r="Z7593" s="221"/>
      <c r="AA7593" s="221"/>
      <c r="AB7593" s="223"/>
    </row>
    <row r="7594" spans="1:28" ht="17.100000000000001" customHeight="1" thickTop="1">
      <c r="A7594" s="226" t="s">
        <v>20957</v>
      </c>
      <c r="B7594" s="28">
        <v>46108</v>
      </c>
      <c r="C7594" s="25"/>
      <c r="D7594" s="13" t="s">
        <v>1831</v>
      </c>
      <c r="E7594" s="228"/>
      <c r="F7594" s="109" t="s">
        <v>21012</v>
      </c>
      <c r="G7594" s="24" t="s">
        <v>5119</v>
      </c>
      <c r="H7594" s="230">
        <v>4.5</v>
      </c>
      <c r="I7594" s="220">
        <v>3705000</v>
      </c>
      <c r="J7594" s="220">
        <f>I7594*0.1</f>
        <v>370500</v>
      </c>
      <c r="K7594" s="220">
        <v>0</v>
      </c>
      <c r="L7594" s="220">
        <v>11570</v>
      </c>
      <c r="M7594" s="220">
        <v>0</v>
      </c>
      <c r="N7594" s="220">
        <f>SUM(I7594:M7595)</f>
        <v>4087070</v>
      </c>
      <c r="O7594" s="224"/>
      <c r="P7594" s="110" t="s">
        <v>23368</v>
      </c>
      <c r="Q7594" s="15" t="s">
        <v>19</v>
      </c>
      <c r="R7594" s="205"/>
      <c r="S7594" s="189" t="s">
        <v>25507</v>
      </c>
      <c r="T7594" s="114"/>
      <c r="U7594" s="21"/>
      <c r="V7594" s="115">
        <v>46130</v>
      </c>
      <c r="W7594" s="116">
        <v>1297</v>
      </c>
      <c r="X7594" s="220">
        <v>3725000</v>
      </c>
      <c r="Y7594" s="220">
        <f>X7594*0.1</f>
        <v>372500</v>
      </c>
      <c r="Z7594" s="220">
        <v>11570</v>
      </c>
      <c r="AA7594" s="220">
        <f>SUM(X7594:Z7594)</f>
        <v>4109070</v>
      </c>
      <c r="AB7594" s="222">
        <v>46139</v>
      </c>
    </row>
    <row r="7595" spans="1:28" ht="17.100000000000001" customHeight="1" thickBot="1">
      <c r="A7595" s="227"/>
      <c r="B7595" s="27" t="s">
        <v>1708</v>
      </c>
      <c r="C7595" s="27" t="s">
        <v>20969</v>
      </c>
      <c r="D7595" s="14" t="s">
        <v>273</v>
      </c>
      <c r="E7595" s="229"/>
      <c r="F7595" s="117" t="s">
        <v>20970</v>
      </c>
      <c r="G7595" s="26">
        <v>21082</v>
      </c>
      <c r="H7595" s="231"/>
      <c r="I7595" s="221"/>
      <c r="J7595" s="221"/>
      <c r="K7595" s="221"/>
      <c r="L7595" s="221"/>
      <c r="M7595" s="221"/>
      <c r="N7595" s="221"/>
      <c r="O7595" s="225"/>
      <c r="P7595" s="118" t="s">
        <v>2287</v>
      </c>
      <c r="Q7595" s="16" t="s">
        <v>20</v>
      </c>
      <c r="R7595" s="17" t="s">
        <v>23361</v>
      </c>
      <c r="S7595" s="121" t="s">
        <v>3947</v>
      </c>
      <c r="T7595" s="122"/>
      <c r="U7595" s="22"/>
      <c r="V7595" s="123" t="s">
        <v>2472</v>
      </c>
      <c r="W7595" s="122">
        <v>40117</v>
      </c>
      <c r="X7595" s="221"/>
      <c r="Y7595" s="221"/>
      <c r="Z7595" s="221"/>
      <c r="AA7595" s="221"/>
      <c r="AB7595" s="223"/>
    </row>
    <row r="7596" spans="1:28" ht="17.100000000000001" customHeight="1" thickTop="1">
      <c r="A7596" s="233" t="s">
        <v>20958</v>
      </c>
      <c r="B7596" s="28">
        <v>46108</v>
      </c>
      <c r="C7596" s="25"/>
      <c r="D7596" s="13" t="s">
        <v>1816</v>
      </c>
      <c r="E7596" s="228"/>
      <c r="F7596" s="109" t="s">
        <v>20938</v>
      </c>
      <c r="G7596" s="24" t="s">
        <v>12985</v>
      </c>
      <c r="H7596" s="230">
        <v>4</v>
      </c>
      <c r="I7596" s="220">
        <v>1100000</v>
      </c>
      <c r="J7596" s="220">
        <f>I7596*0.1</f>
        <v>110000</v>
      </c>
      <c r="K7596" s="220">
        <v>0</v>
      </c>
      <c r="L7596" s="220">
        <v>9320</v>
      </c>
      <c r="M7596" s="220">
        <v>0</v>
      </c>
      <c r="N7596" s="220">
        <f>SUM(I7596:M7597)</f>
        <v>1219320</v>
      </c>
      <c r="O7596" s="224"/>
      <c r="P7596" s="110" t="s">
        <v>22375</v>
      </c>
      <c r="Q7596" s="15" t="s">
        <v>19</v>
      </c>
      <c r="R7596" s="205"/>
      <c r="S7596" s="189" t="s">
        <v>455</v>
      </c>
      <c r="T7596" s="114" t="s">
        <v>23990</v>
      </c>
      <c r="U7596" s="21"/>
      <c r="V7596" s="115"/>
      <c r="W7596" s="116"/>
      <c r="X7596" s="220"/>
      <c r="Y7596" s="220">
        <f>X7596*0.1</f>
        <v>0</v>
      </c>
      <c r="Z7596" s="220"/>
      <c r="AA7596" s="220">
        <f>SUM(X7596:Z7596)</f>
        <v>0</v>
      </c>
      <c r="AB7596" s="222"/>
    </row>
    <row r="7597" spans="1:28" ht="17.100000000000001" customHeight="1" thickBot="1">
      <c r="A7597" s="234"/>
      <c r="B7597" s="27" t="s">
        <v>1708</v>
      </c>
      <c r="C7597" s="27" t="s">
        <v>20971</v>
      </c>
      <c r="D7597" s="14" t="s">
        <v>2559</v>
      </c>
      <c r="E7597" s="229"/>
      <c r="F7597" s="117" t="s">
        <v>20972</v>
      </c>
      <c r="G7597" s="26">
        <v>45880</v>
      </c>
      <c r="H7597" s="231"/>
      <c r="I7597" s="221"/>
      <c r="J7597" s="221"/>
      <c r="K7597" s="221"/>
      <c r="L7597" s="221"/>
      <c r="M7597" s="221"/>
      <c r="N7597" s="221"/>
      <c r="O7597" s="225"/>
      <c r="P7597" s="118" t="s">
        <v>22376</v>
      </c>
      <c r="Q7597" s="16" t="s">
        <v>20</v>
      </c>
      <c r="R7597" s="17" t="s">
        <v>22315</v>
      </c>
      <c r="S7597" s="121" t="s">
        <v>22377</v>
      </c>
      <c r="T7597" s="122"/>
      <c r="U7597" s="22"/>
      <c r="V7597" s="123"/>
      <c r="W7597" s="122"/>
      <c r="X7597" s="221"/>
      <c r="Y7597" s="221"/>
      <c r="Z7597" s="221"/>
      <c r="AA7597" s="221"/>
      <c r="AB7597" s="223"/>
    </row>
    <row r="7598" spans="1:28" ht="17.100000000000001" customHeight="1" thickTop="1">
      <c r="A7598" s="226" t="s">
        <v>20959</v>
      </c>
      <c r="B7598" s="28">
        <v>46108</v>
      </c>
      <c r="C7598" s="25"/>
      <c r="D7598" s="13" t="s">
        <v>1953</v>
      </c>
      <c r="E7598" s="228"/>
      <c r="F7598" s="109" t="s">
        <v>21013</v>
      </c>
      <c r="G7598" s="24" t="s">
        <v>4139</v>
      </c>
      <c r="H7598" s="230">
        <v>4.5</v>
      </c>
      <c r="I7598" s="220">
        <v>634000</v>
      </c>
      <c r="J7598" s="220">
        <f>I7598*0.1</f>
        <v>63400</v>
      </c>
      <c r="K7598" s="220">
        <v>0</v>
      </c>
      <c r="L7598" s="220">
        <v>8230</v>
      </c>
      <c r="M7598" s="220">
        <v>0</v>
      </c>
      <c r="N7598" s="220">
        <f>SUM(I7598:M7599)</f>
        <v>705630</v>
      </c>
      <c r="O7598" s="224"/>
      <c r="P7598" s="110" t="s">
        <v>21879</v>
      </c>
      <c r="Q7598" s="15" t="s">
        <v>19</v>
      </c>
      <c r="R7598" s="205"/>
      <c r="S7598" s="189" t="s">
        <v>455</v>
      </c>
      <c r="T7598" s="114"/>
      <c r="U7598" s="21"/>
      <c r="V7598" s="115">
        <v>46144</v>
      </c>
      <c r="W7598" s="116">
        <v>1299</v>
      </c>
      <c r="X7598" s="220">
        <v>735000</v>
      </c>
      <c r="Y7598" s="220">
        <f>X7598*0.1</f>
        <v>73500</v>
      </c>
      <c r="Z7598" s="220">
        <v>8230</v>
      </c>
      <c r="AA7598" s="220">
        <f>SUM(X7598:Z7598)</f>
        <v>816730</v>
      </c>
      <c r="AB7598" s="222">
        <v>46154</v>
      </c>
    </row>
    <row r="7599" spans="1:28" ht="17.100000000000001" customHeight="1" thickBot="1">
      <c r="A7599" s="227"/>
      <c r="B7599" s="27" t="s">
        <v>1708</v>
      </c>
      <c r="C7599" s="27" t="s">
        <v>20973</v>
      </c>
      <c r="D7599" s="14" t="s">
        <v>898</v>
      </c>
      <c r="E7599" s="229"/>
      <c r="F7599" s="117" t="s">
        <v>20974</v>
      </c>
      <c r="G7599" s="26">
        <v>51163</v>
      </c>
      <c r="H7599" s="231"/>
      <c r="I7599" s="221"/>
      <c r="J7599" s="221"/>
      <c r="K7599" s="221"/>
      <c r="L7599" s="221"/>
      <c r="M7599" s="221"/>
      <c r="N7599" s="221"/>
      <c r="O7599" s="225"/>
      <c r="P7599" s="118" t="s">
        <v>21880</v>
      </c>
      <c r="Q7599" s="16" t="s">
        <v>20</v>
      </c>
      <c r="R7599" s="17" t="s">
        <v>1810</v>
      </c>
      <c r="S7599" s="121" t="s">
        <v>7710</v>
      </c>
      <c r="T7599" s="122"/>
      <c r="U7599" s="22"/>
      <c r="V7599" s="123" t="s">
        <v>24346</v>
      </c>
      <c r="W7599" s="122">
        <v>60163</v>
      </c>
      <c r="X7599" s="221"/>
      <c r="Y7599" s="221"/>
      <c r="Z7599" s="221"/>
      <c r="AA7599" s="221"/>
      <c r="AB7599" s="223"/>
    </row>
    <row r="7600" spans="1:28" ht="17.100000000000001" customHeight="1" thickTop="1">
      <c r="A7600" s="226" t="s">
        <v>20960</v>
      </c>
      <c r="B7600" s="28">
        <v>46108</v>
      </c>
      <c r="C7600" s="25"/>
      <c r="D7600" s="13" t="s">
        <v>2328</v>
      </c>
      <c r="E7600" s="228"/>
      <c r="F7600" s="109" t="s">
        <v>21014</v>
      </c>
      <c r="G7600" s="24" t="s">
        <v>21015</v>
      </c>
      <c r="H7600" s="230">
        <v>5</v>
      </c>
      <c r="I7600" s="220">
        <v>5210000</v>
      </c>
      <c r="J7600" s="220">
        <f>I7600*0.1</f>
        <v>521000</v>
      </c>
      <c r="K7600" s="220">
        <v>0</v>
      </c>
      <c r="L7600" s="220">
        <v>14230</v>
      </c>
      <c r="M7600" s="220">
        <v>0</v>
      </c>
      <c r="N7600" s="220">
        <f>SUM(I7600:M7601)</f>
        <v>5745230</v>
      </c>
      <c r="O7600" s="224"/>
      <c r="P7600" s="110" t="s">
        <v>22015</v>
      </c>
      <c r="Q7600" s="15" t="s">
        <v>19</v>
      </c>
      <c r="R7600" s="205"/>
      <c r="S7600" s="189" t="s">
        <v>529</v>
      </c>
      <c r="T7600" s="114"/>
      <c r="U7600" s="21"/>
      <c r="V7600" s="115">
        <v>46144</v>
      </c>
      <c r="W7600" s="116">
        <v>1299</v>
      </c>
      <c r="X7600" s="220">
        <v>5280000</v>
      </c>
      <c r="Y7600" s="220">
        <f>X7600*0.1</f>
        <v>528000</v>
      </c>
      <c r="Z7600" s="220">
        <v>14230</v>
      </c>
      <c r="AA7600" s="220">
        <f>SUM(X7600:Z7600)</f>
        <v>5822230</v>
      </c>
      <c r="AB7600" s="222">
        <v>46154</v>
      </c>
    </row>
    <row r="7601" spans="1:28" ht="17.100000000000001" customHeight="1" thickBot="1">
      <c r="A7601" s="227"/>
      <c r="B7601" s="27" t="s">
        <v>1708</v>
      </c>
      <c r="C7601" s="27" t="s">
        <v>20975</v>
      </c>
      <c r="D7601" s="14" t="s">
        <v>1584</v>
      </c>
      <c r="E7601" s="229"/>
      <c r="F7601" s="117" t="s">
        <v>20976</v>
      </c>
      <c r="G7601" s="26">
        <v>9684</v>
      </c>
      <c r="H7601" s="231"/>
      <c r="I7601" s="221"/>
      <c r="J7601" s="221"/>
      <c r="K7601" s="221"/>
      <c r="L7601" s="221"/>
      <c r="M7601" s="221"/>
      <c r="N7601" s="221"/>
      <c r="O7601" s="225"/>
      <c r="P7601" s="118" t="s">
        <v>22016</v>
      </c>
      <c r="Q7601" s="16" t="s">
        <v>20</v>
      </c>
      <c r="R7601" s="17" t="s">
        <v>21969</v>
      </c>
      <c r="S7601" s="121" t="s">
        <v>22017</v>
      </c>
      <c r="T7601" s="122"/>
      <c r="U7601" s="22"/>
      <c r="V7601" s="123" t="s">
        <v>24346</v>
      </c>
      <c r="W7601" s="122">
        <v>31204</v>
      </c>
      <c r="X7601" s="221"/>
      <c r="Y7601" s="221"/>
      <c r="Z7601" s="221"/>
      <c r="AA7601" s="221"/>
      <c r="AB7601" s="223"/>
    </row>
    <row r="7602" spans="1:28" ht="17.100000000000001" customHeight="1" thickTop="1">
      <c r="A7602" s="226" t="s">
        <v>20977</v>
      </c>
      <c r="B7602" s="28">
        <v>46109</v>
      </c>
      <c r="C7602" s="25">
        <v>1294</v>
      </c>
      <c r="D7602" s="13" t="s">
        <v>1746</v>
      </c>
      <c r="E7602" s="228"/>
      <c r="F7602" s="109" t="s">
        <v>16774</v>
      </c>
      <c r="G7602" s="24" t="s">
        <v>21056</v>
      </c>
      <c r="H7602" s="230">
        <v>4</v>
      </c>
      <c r="I7602" s="220">
        <v>1115000</v>
      </c>
      <c r="J7602" s="220">
        <f>I7602*0.1</f>
        <v>111500</v>
      </c>
      <c r="K7602" s="220">
        <v>39500</v>
      </c>
      <c r="L7602" s="220">
        <v>12030</v>
      </c>
      <c r="M7602" s="220">
        <v>12100</v>
      </c>
      <c r="N7602" s="220">
        <f>SUM(I7602:M7603)</f>
        <v>1290130</v>
      </c>
      <c r="O7602" s="224"/>
      <c r="P7602" s="110" t="s">
        <v>21057</v>
      </c>
      <c r="Q7602" s="15" t="s">
        <v>19</v>
      </c>
      <c r="R7602" s="205"/>
      <c r="S7602" s="189" t="s">
        <v>25903</v>
      </c>
      <c r="T7602" s="114"/>
      <c r="U7602" s="21"/>
      <c r="V7602" s="115">
        <v>46113</v>
      </c>
      <c r="W7602" s="116">
        <v>1011</v>
      </c>
      <c r="X7602" s="220">
        <v>1250000</v>
      </c>
      <c r="Y7602" s="220">
        <f>X7602*0.1</f>
        <v>125000</v>
      </c>
      <c r="Z7602" s="220">
        <v>15030</v>
      </c>
      <c r="AA7602" s="220">
        <f>SUM(X7602:Z7602)</f>
        <v>1390030</v>
      </c>
      <c r="AB7602" s="222">
        <v>46121</v>
      </c>
    </row>
    <row r="7603" spans="1:28" ht="17.100000000000001" customHeight="1" thickBot="1">
      <c r="A7603" s="227"/>
      <c r="B7603" s="27" t="s">
        <v>2472</v>
      </c>
      <c r="C7603" s="27">
        <v>35798</v>
      </c>
      <c r="D7603" s="14" t="s">
        <v>2559</v>
      </c>
      <c r="E7603" s="229"/>
      <c r="F7603" s="117" t="s">
        <v>20986</v>
      </c>
      <c r="G7603" s="26">
        <v>37879</v>
      </c>
      <c r="H7603" s="231"/>
      <c r="I7603" s="221"/>
      <c r="J7603" s="221"/>
      <c r="K7603" s="221"/>
      <c r="L7603" s="221"/>
      <c r="M7603" s="221"/>
      <c r="N7603" s="221"/>
      <c r="O7603" s="225"/>
      <c r="P7603" s="118" t="s">
        <v>21666</v>
      </c>
      <c r="Q7603" s="16" t="s">
        <v>20</v>
      </c>
      <c r="R7603" s="17" t="s">
        <v>1555</v>
      </c>
      <c r="S7603" s="121" t="s">
        <v>21667</v>
      </c>
      <c r="T7603" s="122"/>
      <c r="U7603" s="22"/>
      <c r="V7603" s="123" t="s">
        <v>8648</v>
      </c>
      <c r="W7603" s="122">
        <v>5168</v>
      </c>
      <c r="X7603" s="221"/>
      <c r="Y7603" s="221"/>
      <c r="Z7603" s="221"/>
      <c r="AA7603" s="221"/>
      <c r="AB7603" s="223"/>
    </row>
    <row r="7604" spans="1:28" ht="17.100000000000001" customHeight="1" thickTop="1">
      <c r="A7604" s="226" t="s">
        <v>20978</v>
      </c>
      <c r="B7604" s="28">
        <v>46109</v>
      </c>
      <c r="C7604" s="25">
        <v>1294</v>
      </c>
      <c r="D7604" s="13" t="s">
        <v>3243</v>
      </c>
      <c r="E7604" s="228"/>
      <c r="F7604" s="109" t="s">
        <v>15625</v>
      </c>
      <c r="G7604" s="24" t="s">
        <v>10135</v>
      </c>
      <c r="H7604" s="230">
        <v>4</v>
      </c>
      <c r="I7604" s="220">
        <v>855000</v>
      </c>
      <c r="J7604" s="220">
        <f>I7604*0.1</f>
        <v>85500</v>
      </c>
      <c r="K7604" s="220">
        <v>39500</v>
      </c>
      <c r="L7604" s="220">
        <v>11480</v>
      </c>
      <c r="M7604" s="220">
        <v>12100</v>
      </c>
      <c r="N7604" s="220">
        <f>SUM(I7604:M7605)</f>
        <v>1003580</v>
      </c>
      <c r="O7604" s="224"/>
      <c r="P7604" s="110" t="s">
        <v>21692</v>
      </c>
      <c r="Q7604" s="15" t="s">
        <v>19</v>
      </c>
      <c r="R7604" s="205"/>
      <c r="S7604" s="189" t="s">
        <v>25507</v>
      </c>
      <c r="T7604" s="114"/>
      <c r="U7604" s="21"/>
      <c r="V7604" s="115">
        <v>46120</v>
      </c>
      <c r="W7604" s="116">
        <v>1012</v>
      </c>
      <c r="X7604" s="220">
        <v>890000</v>
      </c>
      <c r="Y7604" s="220">
        <f>X7604*0.1</f>
        <v>89000</v>
      </c>
      <c r="Z7604" s="220">
        <v>11480</v>
      </c>
      <c r="AA7604" s="220">
        <f>SUM(X7604:Z7604)</f>
        <v>990480</v>
      </c>
      <c r="AB7604" s="222">
        <v>46125</v>
      </c>
    </row>
    <row r="7605" spans="1:28" ht="17.100000000000001" customHeight="1" thickBot="1">
      <c r="A7605" s="227"/>
      <c r="B7605" s="27" t="s">
        <v>2472</v>
      </c>
      <c r="C7605" s="27">
        <v>37885</v>
      </c>
      <c r="D7605" s="14" t="s">
        <v>898</v>
      </c>
      <c r="E7605" s="229"/>
      <c r="F7605" s="117" t="s">
        <v>20987</v>
      </c>
      <c r="G7605" s="26">
        <v>108832</v>
      </c>
      <c r="H7605" s="231"/>
      <c r="I7605" s="221"/>
      <c r="J7605" s="221"/>
      <c r="K7605" s="221"/>
      <c r="L7605" s="221"/>
      <c r="M7605" s="221"/>
      <c r="N7605" s="221"/>
      <c r="O7605" s="225"/>
      <c r="P7605" s="118" t="s">
        <v>1972</v>
      </c>
      <c r="Q7605" s="16" t="s">
        <v>20</v>
      </c>
      <c r="R7605" s="17" t="s">
        <v>1772</v>
      </c>
      <c r="S7605" s="121" t="s">
        <v>21693</v>
      </c>
      <c r="T7605" s="122" t="s">
        <v>14146</v>
      </c>
      <c r="U7605" s="22"/>
      <c r="V7605" s="123" t="s">
        <v>2747</v>
      </c>
      <c r="W7605" s="122">
        <v>6038</v>
      </c>
      <c r="X7605" s="221"/>
      <c r="Y7605" s="221"/>
      <c r="Z7605" s="221"/>
      <c r="AA7605" s="221"/>
      <c r="AB7605" s="223"/>
    </row>
    <row r="7606" spans="1:28" ht="17.100000000000001" customHeight="1" thickTop="1">
      <c r="A7606" s="226" t="s">
        <v>20979</v>
      </c>
      <c r="B7606" s="28">
        <v>46109</v>
      </c>
      <c r="C7606" s="25">
        <v>1294</v>
      </c>
      <c r="D7606" s="13" t="s">
        <v>3968</v>
      </c>
      <c r="E7606" s="228"/>
      <c r="F7606" s="109" t="s">
        <v>15631</v>
      </c>
      <c r="G7606" s="24" t="s">
        <v>4412</v>
      </c>
      <c r="H7606" s="232" t="s">
        <v>4130</v>
      </c>
      <c r="I7606" s="220">
        <v>1190000</v>
      </c>
      <c r="J7606" s="220">
        <f>I7606*0.1</f>
        <v>119000</v>
      </c>
      <c r="K7606" s="220">
        <v>5000</v>
      </c>
      <c r="L7606" s="220">
        <v>8200</v>
      </c>
      <c r="M7606" s="220">
        <v>9900</v>
      </c>
      <c r="N7606" s="220">
        <f>SUM(I7606:M7607)</f>
        <v>1332100</v>
      </c>
      <c r="O7606" s="224"/>
      <c r="P7606" s="110" t="s">
        <v>21688</v>
      </c>
      <c r="Q7606" s="15" t="s">
        <v>19</v>
      </c>
      <c r="R7606" s="205"/>
      <c r="S7606" s="189" t="s">
        <v>25772</v>
      </c>
      <c r="T7606" s="114"/>
      <c r="U7606" s="21" t="s">
        <v>23161</v>
      </c>
      <c r="V7606" s="115">
        <v>46141</v>
      </c>
      <c r="W7606" s="116">
        <v>1015</v>
      </c>
      <c r="X7606" s="220">
        <v>1230000</v>
      </c>
      <c r="Y7606" s="220">
        <f>X7606*0.1</f>
        <v>123000</v>
      </c>
      <c r="Z7606" s="220">
        <v>8200</v>
      </c>
      <c r="AA7606" s="220">
        <f>SUM(X7606:Z7606)</f>
        <v>1361200</v>
      </c>
      <c r="AB7606" s="222">
        <v>46153</v>
      </c>
    </row>
    <row r="7607" spans="1:28" ht="17.100000000000001" customHeight="1" thickBot="1">
      <c r="A7607" s="227"/>
      <c r="B7607" s="27" t="s">
        <v>2472</v>
      </c>
      <c r="C7607" s="27">
        <v>60453</v>
      </c>
      <c r="D7607" s="14" t="s">
        <v>1710</v>
      </c>
      <c r="E7607" s="229"/>
      <c r="F7607" s="117" t="s">
        <v>20988</v>
      </c>
      <c r="G7607" s="26">
        <v>407</v>
      </c>
      <c r="H7607" s="231"/>
      <c r="I7607" s="221"/>
      <c r="J7607" s="221"/>
      <c r="K7607" s="221"/>
      <c r="L7607" s="221"/>
      <c r="M7607" s="221"/>
      <c r="N7607" s="221"/>
      <c r="O7607" s="225"/>
      <c r="P7607" s="118" t="s">
        <v>21689</v>
      </c>
      <c r="Q7607" s="16" t="s">
        <v>20</v>
      </c>
      <c r="R7607" s="17" t="s">
        <v>1772</v>
      </c>
      <c r="S7607" s="121" t="s">
        <v>5228</v>
      </c>
      <c r="T7607" s="122"/>
      <c r="U7607" s="22"/>
      <c r="V7607" s="123" t="s">
        <v>2747</v>
      </c>
      <c r="W7607" s="122">
        <v>2006</v>
      </c>
      <c r="X7607" s="221"/>
      <c r="Y7607" s="221"/>
      <c r="Z7607" s="221"/>
      <c r="AA7607" s="221"/>
      <c r="AB7607" s="223"/>
    </row>
    <row r="7608" spans="1:28" ht="17.100000000000001" customHeight="1" thickTop="1">
      <c r="A7608" s="226" t="s">
        <v>20980</v>
      </c>
      <c r="B7608" s="28">
        <v>46109</v>
      </c>
      <c r="C7608" s="25">
        <v>1294</v>
      </c>
      <c r="D7608" s="13" t="s">
        <v>1983</v>
      </c>
      <c r="E7608" s="228"/>
      <c r="F7608" s="109" t="s">
        <v>17418</v>
      </c>
      <c r="G7608" s="24" t="s">
        <v>21058</v>
      </c>
      <c r="H7608" s="230">
        <v>4.5</v>
      </c>
      <c r="I7608" s="220">
        <v>1045000</v>
      </c>
      <c r="J7608" s="220">
        <v>0</v>
      </c>
      <c r="K7608" s="220">
        <v>10800</v>
      </c>
      <c r="L7608" s="220">
        <v>8630</v>
      </c>
      <c r="M7608" s="220">
        <v>12100</v>
      </c>
      <c r="N7608" s="220">
        <f>SUM(I7608:M7609)</f>
        <v>1076530</v>
      </c>
      <c r="O7608" s="224"/>
      <c r="P7608" s="110" t="s">
        <v>21690</v>
      </c>
      <c r="Q7608" s="15" t="s">
        <v>19</v>
      </c>
      <c r="R7608" s="205"/>
      <c r="S7608" s="189" t="s">
        <v>25904</v>
      </c>
      <c r="T7608" s="114" t="s">
        <v>22596</v>
      </c>
      <c r="U7608" s="21" t="s">
        <v>22744</v>
      </c>
      <c r="V7608" s="115">
        <v>46127</v>
      </c>
      <c r="W7608" s="116">
        <v>1013</v>
      </c>
      <c r="X7608" s="220">
        <v>1070000</v>
      </c>
      <c r="Y7608" s="220">
        <f>X7608*0.1</f>
        <v>107000</v>
      </c>
      <c r="Z7608" s="220">
        <v>8630</v>
      </c>
      <c r="AA7608" s="220">
        <f>SUM(X7608:Z7608)</f>
        <v>1185630</v>
      </c>
      <c r="AB7608" s="222">
        <v>46133</v>
      </c>
    </row>
    <row r="7609" spans="1:28" ht="17.100000000000001" customHeight="1" thickBot="1">
      <c r="A7609" s="227"/>
      <c r="B7609" s="27" t="s">
        <v>2472</v>
      </c>
      <c r="C7609" s="27">
        <v>65036</v>
      </c>
      <c r="D7609" s="14" t="s">
        <v>1584</v>
      </c>
      <c r="E7609" s="229"/>
      <c r="F7609" s="117" t="s">
        <v>20989</v>
      </c>
      <c r="G7609" s="26">
        <v>23470</v>
      </c>
      <c r="H7609" s="231"/>
      <c r="I7609" s="221"/>
      <c r="J7609" s="221"/>
      <c r="K7609" s="221"/>
      <c r="L7609" s="221"/>
      <c r="M7609" s="221"/>
      <c r="N7609" s="221"/>
      <c r="O7609" s="225"/>
      <c r="P7609" s="118" t="s">
        <v>3820</v>
      </c>
      <c r="Q7609" s="16" t="s">
        <v>20</v>
      </c>
      <c r="R7609" s="17" t="s">
        <v>1772</v>
      </c>
      <c r="S7609" s="121" t="s">
        <v>21691</v>
      </c>
      <c r="T7609" s="122"/>
      <c r="U7609" s="22"/>
      <c r="V7609" s="123" t="s">
        <v>2747</v>
      </c>
      <c r="W7609" s="122">
        <v>2025</v>
      </c>
      <c r="X7609" s="221"/>
      <c r="Y7609" s="221"/>
      <c r="Z7609" s="221"/>
      <c r="AA7609" s="221"/>
      <c r="AB7609" s="223"/>
    </row>
    <row r="7610" spans="1:28" ht="17.100000000000001" customHeight="1" thickTop="1">
      <c r="A7610" s="226" t="s">
        <v>20981</v>
      </c>
      <c r="B7610" s="28">
        <v>46109</v>
      </c>
      <c r="C7610" s="25">
        <v>1294</v>
      </c>
      <c r="D7610" s="13" t="s">
        <v>2107</v>
      </c>
      <c r="E7610" s="228"/>
      <c r="F7610" s="109" t="s">
        <v>18066</v>
      </c>
      <c r="G7610" s="24" t="s">
        <v>4120</v>
      </c>
      <c r="H7610" s="230">
        <v>4</v>
      </c>
      <c r="I7610" s="220">
        <v>1385000</v>
      </c>
      <c r="J7610" s="220">
        <f>I7610*0.1</f>
        <v>138500</v>
      </c>
      <c r="K7610" s="220">
        <v>34500</v>
      </c>
      <c r="L7610" s="220">
        <v>12430</v>
      </c>
      <c r="M7610" s="220">
        <v>16500</v>
      </c>
      <c r="N7610" s="220">
        <f>SUM(I7610:M7611)</f>
        <v>1586930</v>
      </c>
      <c r="O7610" s="224"/>
      <c r="P7610" s="110" t="s">
        <v>21060</v>
      </c>
      <c r="Q7610" s="15" t="s">
        <v>19</v>
      </c>
      <c r="R7610" s="205"/>
      <c r="S7610" s="189" t="s">
        <v>25691</v>
      </c>
      <c r="T7610" s="114"/>
      <c r="U7610" s="21"/>
      <c r="V7610" s="115">
        <v>46141</v>
      </c>
      <c r="W7610" s="116">
        <v>1015</v>
      </c>
      <c r="X7610" s="220">
        <v>1590000</v>
      </c>
      <c r="Y7610" s="220">
        <f>X7610*0.1</f>
        <v>159000</v>
      </c>
      <c r="Z7610" s="220">
        <v>12430</v>
      </c>
      <c r="AA7610" s="220">
        <f>SUM(X7610:Z7610)</f>
        <v>1761430</v>
      </c>
      <c r="AB7610" s="222">
        <v>46153</v>
      </c>
    </row>
    <row r="7611" spans="1:28" ht="17.100000000000001" customHeight="1" thickBot="1">
      <c r="A7611" s="227"/>
      <c r="B7611" s="27" t="s">
        <v>2472</v>
      </c>
      <c r="C7611" s="27">
        <v>82526</v>
      </c>
      <c r="D7611" s="14" t="s">
        <v>273</v>
      </c>
      <c r="E7611" s="229"/>
      <c r="F7611" s="117" t="s">
        <v>21059</v>
      </c>
      <c r="G7611" s="26">
        <v>42783</v>
      </c>
      <c r="H7611" s="231"/>
      <c r="I7611" s="221"/>
      <c r="J7611" s="221"/>
      <c r="K7611" s="221"/>
      <c r="L7611" s="221"/>
      <c r="M7611" s="221"/>
      <c r="N7611" s="221"/>
      <c r="O7611" s="225"/>
      <c r="P7611" s="118" t="s">
        <v>12429</v>
      </c>
      <c r="Q7611" s="16" t="s">
        <v>20</v>
      </c>
      <c r="R7611" s="17" t="s">
        <v>1555</v>
      </c>
      <c r="S7611" s="121" t="s">
        <v>21669</v>
      </c>
      <c r="T7611" s="122" t="s">
        <v>4384</v>
      </c>
      <c r="U7611" s="22"/>
      <c r="V7611" s="123" t="s">
        <v>2747</v>
      </c>
      <c r="W7611" s="122">
        <v>6066</v>
      </c>
      <c r="X7611" s="221"/>
      <c r="Y7611" s="221"/>
      <c r="Z7611" s="221"/>
      <c r="AA7611" s="221"/>
      <c r="AB7611" s="223"/>
    </row>
    <row r="7612" spans="1:28" ht="17.100000000000001" customHeight="1" thickTop="1">
      <c r="A7612" s="226" t="s">
        <v>20982</v>
      </c>
      <c r="B7612" s="28">
        <v>46109</v>
      </c>
      <c r="C7612" s="25">
        <v>1294</v>
      </c>
      <c r="D7612" s="13" t="s">
        <v>2811</v>
      </c>
      <c r="E7612" s="228"/>
      <c r="F7612" s="109" t="s">
        <v>20990</v>
      </c>
      <c r="G7612" s="24" t="s">
        <v>17099</v>
      </c>
      <c r="H7612" s="230">
        <v>4.5</v>
      </c>
      <c r="I7612" s="220">
        <v>915000</v>
      </c>
      <c r="J7612" s="220">
        <f>I7612*0.1</f>
        <v>91500</v>
      </c>
      <c r="K7612" s="220">
        <v>34500</v>
      </c>
      <c r="L7612" s="220">
        <v>16580</v>
      </c>
      <c r="M7612" s="220">
        <v>16500</v>
      </c>
      <c r="N7612" s="220">
        <f>SUM(I7612:M7613)</f>
        <v>1074080</v>
      </c>
      <c r="O7612" s="224"/>
      <c r="P7612" s="110" t="s">
        <v>21062</v>
      </c>
      <c r="Q7612" s="15" t="s">
        <v>19</v>
      </c>
      <c r="R7612" s="205"/>
      <c r="S7612" s="189" t="s">
        <v>25386</v>
      </c>
      <c r="T7612" s="114"/>
      <c r="U7612" s="21" t="s">
        <v>22350</v>
      </c>
      <c r="V7612" s="115">
        <v>46165</v>
      </c>
      <c r="W7612" s="116">
        <v>1301</v>
      </c>
      <c r="X7612" s="220">
        <v>1030000</v>
      </c>
      <c r="Y7612" s="220">
        <f>X7612*0.1</f>
        <v>103000</v>
      </c>
      <c r="Z7612" s="220">
        <v>16580</v>
      </c>
      <c r="AA7612" s="220">
        <f>SUM(X7612:Z7612)</f>
        <v>1149580</v>
      </c>
      <c r="AB7612" s="222">
        <v>46168</v>
      </c>
    </row>
    <row r="7613" spans="1:28" ht="17.100000000000001" customHeight="1" thickBot="1">
      <c r="A7613" s="227"/>
      <c r="B7613" s="27" t="s">
        <v>2472</v>
      </c>
      <c r="C7613" s="27">
        <v>82570</v>
      </c>
      <c r="D7613" s="14" t="s">
        <v>898</v>
      </c>
      <c r="E7613" s="229"/>
      <c r="F7613" s="117" t="s">
        <v>21061</v>
      </c>
      <c r="G7613" s="26">
        <v>49967</v>
      </c>
      <c r="H7613" s="231"/>
      <c r="I7613" s="221"/>
      <c r="J7613" s="221"/>
      <c r="K7613" s="221"/>
      <c r="L7613" s="221"/>
      <c r="M7613" s="221"/>
      <c r="N7613" s="221"/>
      <c r="O7613" s="225"/>
      <c r="P7613" s="118" t="s">
        <v>21672</v>
      </c>
      <c r="Q7613" s="16" t="s">
        <v>20</v>
      </c>
      <c r="R7613" s="17" t="s">
        <v>1555</v>
      </c>
      <c r="S7613" s="121" t="s">
        <v>4991</v>
      </c>
      <c r="T7613" s="122"/>
      <c r="U7613" s="22"/>
      <c r="V7613" s="123" t="s">
        <v>7160</v>
      </c>
      <c r="W7613" s="122">
        <v>80034</v>
      </c>
      <c r="X7613" s="221"/>
      <c r="Y7613" s="221"/>
      <c r="Z7613" s="221"/>
      <c r="AA7613" s="221"/>
      <c r="AB7613" s="223"/>
    </row>
    <row r="7614" spans="1:28" ht="17.100000000000001" customHeight="1" thickTop="1">
      <c r="A7614" s="233" t="s">
        <v>20983</v>
      </c>
      <c r="B7614" s="28">
        <v>46109</v>
      </c>
      <c r="C7614" s="25">
        <v>1294</v>
      </c>
      <c r="D7614" s="13" t="s">
        <v>3857</v>
      </c>
      <c r="E7614" s="228"/>
      <c r="F7614" s="109" t="s">
        <v>21064</v>
      </c>
      <c r="G7614" s="24" t="s">
        <v>21065</v>
      </c>
      <c r="H7614" s="230">
        <v>4.5</v>
      </c>
      <c r="I7614" s="220">
        <v>2770000</v>
      </c>
      <c r="J7614" s="220">
        <f>I7614*0.1</f>
        <v>277000</v>
      </c>
      <c r="K7614" s="220">
        <v>34500</v>
      </c>
      <c r="L7614" s="220">
        <v>11740</v>
      </c>
      <c r="M7614" s="220">
        <v>16500</v>
      </c>
      <c r="N7614" s="220">
        <f>SUM(I7614:M7615)</f>
        <v>3109740</v>
      </c>
      <c r="O7614" s="224"/>
      <c r="P7614" s="110" t="s">
        <v>21066</v>
      </c>
      <c r="Q7614" s="15" t="s">
        <v>19</v>
      </c>
      <c r="R7614" s="205"/>
      <c r="S7614" s="189"/>
      <c r="T7614" s="114" t="s">
        <v>21866</v>
      </c>
      <c r="U7614" s="21"/>
      <c r="V7614" s="115"/>
      <c r="W7614" s="116"/>
      <c r="X7614" s="220"/>
      <c r="Y7614" s="220">
        <f>X7614*0.1</f>
        <v>0</v>
      </c>
      <c r="Z7614" s="220"/>
      <c r="AA7614" s="220">
        <f>SUM(X7614:Z7614)</f>
        <v>0</v>
      </c>
      <c r="AB7614" s="222"/>
    </row>
    <row r="7615" spans="1:28" ht="17.100000000000001" customHeight="1" thickBot="1">
      <c r="A7615" s="234"/>
      <c r="B7615" s="27" t="s">
        <v>2472</v>
      </c>
      <c r="C7615" s="27">
        <v>82739</v>
      </c>
      <c r="D7615" s="14" t="s">
        <v>131</v>
      </c>
      <c r="E7615" s="229"/>
      <c r="F7615" s="117" t="s">
        <v>21063</v>
      </c>
      <c r="G7615" s="26">
        <v>34000</v>
      </c>
      <c r="H7615" s="231"/>
      <c r="I7615" s="221"/>
      <c r="J7615" s="221"/>
      <c r="K7615" s="221"/>
      <c r="L7615" s="221"/>
      <c r="M7615" s="221"/>
      <c r="N7615" s="221"/>
      <c r="O7615" s="225"/>
      <c r="P7615" s="118" t="s">
        <v>21670</v>
      </c>
      <c r="Q7615" s="16" t="s">
        <v>20</v>
      </c>
      <c r="R7615" s="17" t="s">
        <v>1555</v>
      </c>
      <c r="S7615" s="121" t="s">
        <v>21671</v>
      </c>
      <c r="T7615" s="122"/>
      <c r="U7615" s="22"/>
      <c r="V7615" s="123"/>
      <c r="W7615" s="122"/>
      <c r="X7615" s="221"/>
      <c r="Y7615" s="221"/>
      <c r="Z7615" s="221"/>
      <c r="AA7615" s="221"/>
      <c r="AB7615" s="223"/>
    </row>
    <row r="7616" spans="1:28" ht="17.100000000000001" customHeight="1" thickTop="1">
      <c r="A7616" s="226" t="s">
        <v>20984</v>
      </c>
      <c r="B7616" s="28">
        <v>46109</v>
      </c>
      <c r="C7616" s="25">
        <v>1294</v>
      </c>
      <c r="D7616" s="13" t="s">
        <v>2295</v>
      </c>
      <c r="E7616" s="228"/>
      <c r="F7616" s="109" t="s">
        <v>20916</v>
      </c>
      <c r="G7616" s="24" t="s">
        <v>5007</v>
      </c>
      <c r="H7616" s="230">
        <v>4.5</v>
      </c>
      <c r="I7616" s="220">
        <v>1450000</v>
      </c>
      <c r="J7616" s="220">
        <f>I7616*0.1</f>
        <v>145000</v>
      </c>
      <c r="K7616" s="220">
        <v>36000</v>
      </c>
      <c r="L7616" s="220">
        <v>19090</v>
      </c>
      <c r="M7616" s="220">
        <v>23100</v>
      </c>
      <c r="N7616" s="220">
        <f>SUM(I7616:M7617)</f>
        <v>1673190</v>
      </c>
      <c r="O7616" s="224"/>
      <c r="P7616" s="110" t="s">
        <v>21068</v>
      </c>
      <c r="Q7616" s="15" t="s">
        <v>19</v>
      </c>
      <c r="R7616" s="205"/>
      <c r="S7616" s="189" t="s">
        <v>455</v>
      </c>
      <c r="T7616" s="114"/>
      <c r="U7616" s="21"/>
      <c r="V7616" s="115">
        <v>46121</v>
      </c>
      <c r="W7616" s="116">
        <v>1326</v>
      </c>
      <c r="X7616" s="220">
        <v>1670000</v>
      </c>
      <c r="Y7616" s="220">
        <f>X7616*0.1</f>
        <v>167000</v>
      </c>
      <c r="Z7616" s="220">
        <v>19090</v>
      </c>
      <c r="AA7616" s="220">
        <f>SUM(X7616:Z7616)</f>
        <v>1856090</v>
      </c>
      <c r="AB7616" s="222">
        <v>46122</v>
      </c>
    </row>
    <row r="7617" spans="1:28" ht="17.100000000000001" customHeight="1" thickBot="1">
      <c r="A7617" s="227"/>
      <c r="B7617" s="27" t="s">
        <v>2472</v>
      </c>
      <c r="C7617" s="27">
        <v>85016</v>
      </c>
      <c r="D7617" s="14" t="s">
        <v>1690</v>
      </c>
      <c r="E7617" s="229"/>
      <c r="F7617" s="117" t="s">
        <v>21067</v>
      </c>
      <c r="G7617" s="26">
        <v>23309</v>
      </c>
      <c r="H7617" s="231"/>
      <c r="I7617" s="221"/>
      <c r="J7617" s="221"/>
      <c r="K7617" s="221"/>
      <c r="L7617" s="221"/>
      <c r="M7617" s="221"/>
      <c r="N7617" s="221"/>
      <c r="O7617" s="225"/>
      <c r="P7617" s="118" t="s">
        <v>3355</v>
      </c>
      <c r="Q7617" s="16" t="s">
        <v>20</v>
      </c>
      <c r="R7617" s="17" t="s">
        <v>1555</v>
      </c>
      <c r="S7617" s="121" t="s">
        <v>21846</v>
      </c>
      <c r="T7617" s="122"/>
      <c r="U7617" s="22"/>
      <c r="V7617" s="123" t="s">
        <v>13379</v>
      </c>
      <c r="W7617" s="122">
        <v>50</v>
      </c>
      <c r="X7617" s="221"/>
      <c r="Y7617" s="221"/>
      <c r="Z7617" s="221"/>
      <c r="AA7617" s="221"/>
      <c r="AB7617" s="223"/>
    </row>
    <row r="7618" spans="1:28" ht="17.100000000000001" customHeight="1" thickTop="1">
      <c r="A7618" s="226" t="s">
        <v>20985</v>
      </c>
      <c r="B7618" s="28">
        <v>46109</v>
      </c>
      <c r="C7618" s="25">
        <v>305</v>
      </c>
      <c r="D7618" s="13" t="s">
        <v>2107</v>
      </c>
      <c r="E7618" s="228"/>
      <c r="F7618" s="109" t="s">
        <v>21016</v>
      </c>
      <c r="G7618" s="24"/>
      <c r="H7618" s="230">
        <v>4</v>
      </c>
      <c r="I7618" s="220">
        <v>1120000</v>
      </c>
      <c r="J7618" s="220">
        <f>I7618*0.1</f>
        <v>112000</v>
      </c>
      <c r="K7618" s="220">
        <v>0</v>
      </c>
      <c r="L7618" s="220">
        <v>11010</v>
      </c>
      <c r="M7618" s="220">
        <v>17050</v>
      </c>
      <c r="N7618" s="220">
        <f>SUM(I7618:M7619)</f>
        <v>1260060</v>
      </c>
      <c r="O7618" s="224"/>
      <c r="P7618" s="110" t="s">
        <v>21335</v>
      </c>
      <c r="Q7618" s="15" t="s">
        <v>19</v>
      </c>
      <c r="R7618" s="205"/>
      <c r="S7618" s="189" t="s">
        <v>25892</v>
      </c>
      <c r="T7618" s="114"/>
      <c r="U7618" s="21"/>
      <c r="V7618" s="115"/>
      <c r="W7618" s="116"/>
      <c r="X7618" s="220"/>
      <c r="Y7618" s="220">
        <f>X7618*0.1</f>
        <v>0</v>
      </c>
      <c r="Z7618" s="220"/>
      <c r="AA7618" s="220">
        <f>SUM(X7618:Z7618)</f>
        <v>0</v>
      </c>
      <c r="AB7618" s="222"/>
    </row>
    <row r="7619" spans="1:28" ht="17.100000000000001" customHeight="1" thickBot="1">
      <c r="A7619" s="227"/>
      <c r="B7619" s="27" t="s">
        <v>3518</v>
      </c>
      <c r="C7619" s="27">
        <v>2063</v>
      </c>
      <c r="D7619" s="14" t="s">
        <v>1568</v>
      </c>
      <c r="E7619" s="229"/>
      <c r="F7619" s="117" t="s">
        <v>21017</v>
      </c>
      <c r="G7619" s="26">
        <v>36566</v>
      </c>
      <c r="H7619" s="231"/>
      <c r="I7619" s="221"/>
      <c r="J7619" s="221"/>
      <c r="K7619" s="221"/>
      <c r="L7619" s="221"/>
      <c r="M7619" s="221"/>
      <c r="N7619" s="221"/>
      <c r="O7619" s="225"/>
      <c r="P7619" s="118" t="s">
        <v>21336</v>
      </c>
      <c r="Q7619" s="16" t="s">
        <v>20</v>
      </c>
      <c r="R7619" s="17" t="s">
        <v>2913</v>
      </c>
      <c r="S7619" s="121" t="s">
        <v>18677</v>
      </c>
      <c r="T7619" s="122"/>
      <c r="U7619" s="22"/>
      <c r="V7619" s="123"/>
      <c r="W7619" s="122"/>
      <c r="X7619" s="221"/>
      <c r="Y7619" s="221"/>
      <c r="Z7619" s="221"/>
      <c r="AA7619" s="221"/>
      <c r="AB7619" s="223"/>
    </row>
    <row r="7620" spans="1:28" ht="17.100000000000001" customHeight="1" thickTop="1">
      <c r="A7620" s="226" t="s">
        <v>21008</v>
      </c>
      <c r="B7620" s="28">
        <v>46109</v>
      </c>
      <c r="C7620" s="25">
        <v>305</v>
      </c>
      <c r="D7620" s="13" t="s">
        <v>1883</v>
      </c>
      <c r="E7620" s="228"/>
      <c r="F7620" s="109" t="s">
        <v>21018</v>
      </c>
      <c r="G7620" s="24" t="s">
        <v>4239</v>
      </c>
      <c r="H7620" s="230">
        <v>4</v>
      </c>
      <c r="I7620" s="220">
        <v>463000</v>
      </c>
      <c r="J7620" s="220">
        <f>I7620*0.1</f>
        <v>46300</v>
      </c>
      <c r="K7620" s="220">
        <v>5000</v>
      </c>
      <c r="L7620" s="220">
        <v>6540</v>
      </c>
      <c r="M7620" s="220">
        <v>15950</v>
      </c>
      <c r="N7620" s="220">
        <f>SUM(I7620:M7621)</f>
        <v>536790</v>
      </c>
      <c r="O7620" s="224"/>
      <c r="P7620" s="110" t="s">
        <v>21020</v>
      </c>
      <c r="Q7620" s="15" t="s">
        <v>19</v>
      </c>
      <c r="R7620" s="205"/>
      <c r="S7620" s="189" t="s">
        <v>758</v>
      </c>
      <c r="T7620" s="114"/>
      <c r="U7620" s="85" t="s">
        <v>21962</v>
      </c>
      <c r="V7620" s="115">
        <v>46137</v>
      </c>
      <c r="W7620" s="116">
        <v>1298</v>
      </c>
      <c r="X7620" s="220">
        <v>570000</v>
      </c>
      <c r="Y7620" s="220">
        <f>X7620*0.1</f>
        <v>57000</v>
      </c>
      <c r="Z7620" s="220">
        <v>6540</v>
      </c>
      <c r="AA7620" s="220">
        <f>SUM(X7620:Z7620)</f>
        <v>633540</v>
      </c>
      <c r="AB7620" s="222">
        <v>46140</v>
      </c>
    </row>
    <row r="7621" spans="1:28" ht="17.100000000000001" customHeight="1" thickBot="1">
      <c r="A7621" s="227"/>
      <c r="B7621" s="27" t="s">
        <v>3518</v>
      </c>
      <c r="C7621" s="27">
        <v>80036</v>
      </c>
      <c r="D7621" s="14" t="s">
        <v>1584</v>
      </c>
      <c r="E7621" s="229"/>
      <c r="F7621" s="117" t="s">
        <v>21019</v>
      </c>
      <c r="G7621" s="26">
        <v>31778</v>
      </c>
      <c r="H7621" s="231"/>
      <c r="I7621" s="221"/>
      <c r="J7621" s="221"/>
      <c r="K7621" s="221"/>
      <c r="L7621" s="221"/>
      <c r="M7621" s="221"/>
      <c r="N7621" s="221"/>
      <c r="O7621" s="225"/>
      <c r="P7621" s="118" t="s">
        <v>10184</v>
      </c>
      <c r="Q7621" s="16" t="s">
        <v>20</v>
      </c>
      <c r="R7621" s="17" t="s">
        <v>1634</v>
      </c>
      <c r="S7621" s="121" t="s">
        <v>11197</v>
      </c>
      <c r="T7621" s="122"/>
      <c r="U7621" s="22"/>
      <c r="V7621" s="123" t="s">
        <v>2472</v>
      </c>
      <c r="W7621" s="122">
        <v>60046</v>
      </c>
      <c r="X7621" s="221"/>
      <c r="Y7621" s="221"/>
      <c r="Z7621" s="221"/>
      <c r="AA7621" s="221"/>
      <c r="AB7621" s="223"/>
    </row>
    <row r="7622" spans="1:28" ht="17.100000000000001" customHeight="1" thickTop="1">
      <c r="A7622" s="226" t="s">
        <v>21076</v>
      </c>
      <c r="B7622" s="28">
        <v>46110</v>
      </c>
      <c r="C7622" s="25"/>
      <c r="D7622" s="13" t="s">
        <v>21077</v>
      </c>
      <c r="E7622" s="228"/>
      <c r="F7622" s="109" t="s">
        <v>21078</v>
      </c>
      <c r="G7622" s="24" t="s">
        <v>5442</v>
      </c>
      <c r="H7622" s="230"/>
      <c r="I7622" s="220">
        <v>200000</v>
      </c>
      <c r="J7622" s="220">
        <v>0</v>
      </c>
      <c r="K7622" s="220">
        <v>0</v>
      </c>
      <c r="L7622" s="220">
        <v>0</v>
      </c>
      <c r="M7622" s="220">
        <v>0</v>
      </c>
      <c r="N7622" s="220">
        <f>SUM(I7622:M7623)</f>
        <v>200000</v>
      </c>
      <c r="O7622" s="224"/>
      <c r="P7622" s="110" t="s">
        <v>21080</v>
      </c>
      <c r="Q7622" s="15" t="s">
        <v>19</v>
      </c>
      <c r="R7622" s="205"/>
      <c r="S7622" s="189"/>
      <c r="T7622" s="114"/>
      <c r="U7622" s="21"/>
      <c r="V7622" s="115">
        <v>46116</v>
      </c>
      <c r="W7622" s="116">
        <v>1295</v>
      </c>
      <c r="X7622" s="220">
        <v>320000</v>
      </c>
      <c r="Y7622" s="220">
        <f>X7622*0.1</f>
        <v>32000</v>
      </c>
      <c r="Z7622" s="220">
        <v>17130</v>
      </c>
      <c r="AA7622" s="220">
        <f>SUM(X7622:Z7622)</f>
        <v>369130</v>
      </c>
      <c r="AB7622" s="222">
        <v>46119</v>
      </c>
    </row>
    <row r="7623" spans="1:28" ht="17.100000000000001" customHeight="1" thickBot="1">
      <c r="A7623" s="227"/>
      <c r="B7623" s="27" t="s">
        <v>9556</v>
      </c>
      <c r="C7623" s="27"/>
      <c r="D7623" s="14" t="s">
        <v>2076</v>
      </c>
      <c r="E7623" s="229"/>
      <c r="F7623" s="117" t="s">
        <v>21079</v>
      </c>
      <c r="G7623" s="26"/>
      <c r="H7623" s="231"/>
      <c r="I7623" s="221"/>
      <c r="J7623" s="221"/>
      <c r="K7623" s="221"/>
      <c r="L7623" s="221"/>
      <c r="M7623" s="221"/>
      <c r="N7623" s="221"/>
      <c r="O7623" s="225"/>
      <c r="P7623" s="118" t="s">
        <v>21081</v>
      </c>
      <c r="Q7623" s="16" t="s">
        <v>20</v>
      </c>
      <c r="R7623" s="17" t="s">
        <v>2662</v>
      </c>
      <c r="S7623" s="121" t="s">
        <v>4413</v>
      </c>
      <c r="T7623" s="122"/>
      <c r="U7623" s="22"/>
      <c r="V7623" s="123" t="s">
        <v>2472</v>
      </c>
      <c r="W7623" s="122">
        <v>82222</v>
      </c>
      <c r="X7623" s="221"/>
      <c r="Y7623" s="221"/>
      <c r="Z7623" s="221"/>
      <c r="AA7623" s="221"/>
      <c r="AB7623" s="223"/>
    </row>
    <row r="7624" spans="1:28" ht="17.100000000000001" customHeight="1" thickTop="1">
      <c r="A7624" s="226" t="s">
        <v>21089</v>
      </c>
      <c r="B7624" s="28">
        <v>46111</v>
      </c>
      <c r="C7624" s="25">
        <v>2087</v>
      </c>
      <c r="D7624" s="13" t="s">
        <v>2073</v>
      </c>
      <c r="E7624" s="228"/>
      <c r="F7624" s="109" t="s">
        <v>21093</v>
      </c>
      <c r="G7624" s="24" t="s">
        <v>4239</v>
      </c>
      <c r="H7624" s="230">
        <v>4.5</v>
      </c>
      <c r="I7624" s="220">
        <v>773000</v>
      </c>
      <c r="J7624" s="220">
        <f>I7624*0.1</f>
        <v>77300</v>
      </c>
      <c r="K7624" s="220">
        <v>39500</v>
      </c>
      <c r="L7624" s="220">
        <v>20170</v>
      </c>
      <c r="M7624" s="220">
        <v>11000</v>
      </c>
      <c r="N7624" s="220">
        <f>SUM(I7624:M7625)</f>
        <v>920970</v>
      </c>
      <c r="O7624" s="224"/>
      <c r="P7624" s="110" t="s">
        <v>21095</v>
      </c>
      <c r="Q7624" s="15" t="s">
        <v>19</v>
      </c>
      <c r="R7624" s="205"/>
      <c r="S7624" s="189" t="s">
        <v>25446</v>
      </c>
      <c r="T7624" s="114"/>
      <c r="U7624" s="21"/>
      <c r="V7624" s="115">
        <v>46123</v>
      </c>
      <c r="W7624" s="116">
        <v>1296</v>
      </c>
      <c r="X7624" s="220">
        <v>850000</v>
      </c>
      <c r="Y7624" s="220">
        <f>X7624*0.1</f>
        <v>85000</v>
      </c>
      <c r="Z7624" s="220">
        <v>20170</v>
      </c>
      <c r="AA7624" s="220">
        <f>SUM(X7624:Z7624)</f>
        <v>955170</v>
      </c>
      <c r="AB7624" s="222">
        <v>46128</v>
      </c>
    </row>
    <row r="7625" spans="1:28" ht="17.100000000000001" customHeight="1" thickBot="1">
      <c r="A7625" s="227"/>
      <c r="B7625" s="27" t="s">
        <v>82</v>
      </c>
      <c r="C7625" s="27">
        <v>33523</v>
      </c>
      <c r="D7625" s="14" t="s">
        <v>1584</v>
      </c>
      <c r="E7625" s="229"/>
      <c r="F7625" s="117" t="s">
        <v>21094</v>
      </c>
      <c r="G7625" s="26">
        <v>68853</v>
      </c>
      <c r="H7625" s="231"/>
      <c r="I7625" s="221"/>
      <c r="J7625" s="221"/>
      <c r="K7625" s="221"/>
      <c r="L7625" s="221"/>
      <c r="M7625" s="221"/>
      <c r="N7625" s="221"/>
      <c r="O7625" s="225"/>
      <c r="P7625" s="118" t="s">
        <v>4735</v>
      </c>
      <c r="Q7625" s="16" t="s">
        <v>20</v>
      </c>
      <c r="R7625" s="17" t="s">
        <v>2913</v>
      </c>
      <c r="S7625" s="121" t="s">
        <v>19699</v>
      </c>
      <c r="T7625" s="122"/>
      <c r="U7625" s="22"/>
      <c r="V7625" s="123" t="s">
        <v>2472</v>
      </c>
      <c r="W7625" s="122">
        <v>80278</v>
      </c>
      <c r="X7625" s="221"/>
      <c r="Y7625" s="221"/>
      <c r="Z7625" s="221"/>
      <c r="AA7625" s="221"/>
      <c r="AB7625" s="223"/>
    </row>
    <row r="7626" spans="1:28" ht="17.100000000000001" customHeight="1" thickTop="1">
      <c r="A7626" s="226" t="s">
        <v>21090</v>
      </c>
      <c r="B7626" s="28">
        <v>46111</v>
      </c>
      <c r="C7626" s="25">
        <v>2087</v>
      </c>
      <c r="D7626" s="13" t="s">
        <v>1715</v>
      </c>
      <c r="E7626" s="228"/>
      <c r="F7626" s="109" t="s">
        <v>21096</v>
      </c>
      <c r="G7626" s="24"/>
      <c r="H7626" s="230">
        <v>4</v>
      </c>
      <c r="I7626" s="220">
        <v>1345000</v>
      </c>
      <c r="J7626" s="220">
        <f>I7626*0.1</f>
        <v>134500</v>
      </c>
      <c r="K7626" s="220">
        <v>0</v>
      </c>
      <c r="L7626" s="220">
        <v>19070</v>
      </c>
      <c r="M7626" s="220">
        <v>11000</v>
      </c>
      <c r="N7626" s="220">
        <f>SUM(I7626:M7627)</f>
        <v>1509570</v>
      </c>
      <c r="O7626" s="224"/>
      <c r="P7626" s="110" t="s">
        <v>21324</v>
      </c>
      <c r="Q7626" s="15" t="s">
        <v>19</v>
      </c>
      <c r="R7626" s="205"/>
      <c r="S7626" s="189" t="s">
        <v>25905</v>
      </c>
      <c r="T7626" s="114"/>
      <c r="U7626" s="21"/>
      <c r="V7626" s="115">
        <v>46130</v>
      </c>
      <c r="W7626" s="116">
        <v>1297</v>
      </c>
      <c r="X7626" s="220">
        <v>1455000</v>
      </c>
      <c r="Y7626" s="220">
        <f>X7626*0.1</f>
        <v>145500</v>
      </c>
      <c r="Z7626" s="220">
        <v>19070</v>
      </c>
      <c r="AA7626" s="220">
        <f>SUM(X7626:Z7626)</f>
        <v>1619570</v>
      </c>
      <c r="AB7626" s="222">
        <v>46133</v>
      </c>
    </row>
    <row r="7627" spans="1:28" ht="17.100000000000001" customHeight="1" thickBot="1">
      <c r="A7627" s="227"/>
      <c r="B7627" s="27" t="s">
        <v>82</v>
      </c>
      <c r="C7627" s="27">
        <v>34507</v>
      </c>
      <c r="D7627" s="14" t="s">
        <v>2559</v>
      </c>
      <c r="E7627" s="229"/>
      <c r="F7627" s="117" t="s">
        <v>21097</v>
      </c>
      <c r="G7627" s="26">
        <v>50988</v>
      </c>
      <c r="H7627" s="231"/>
      <c r="I7627" s="221"/>
      <c r="J7627" s="221"/>
      <c r="K7627" s="221"/>
      <c r="L7627" s="221"/>
      <c r="M7627" s="221"/>
      <c r="N7627" s="221"/>
      <c r="O7627" s="225"/>
      <c r="P7627" s="118" t="s">
        <v>3989</v>
      </c>
      <c r="Q7627" s="16" t="s">
        <v>20</v>
      </c>
      <c r="R7627" s="17" t="s">
        <v>1634</v>
      </c>
      <c r="S7627" s="121" t="s">
        <v>21331</v>
      </c>
      <c r="T7627" s="122"/>
      <c r="U7627" s="22"/>
      <c r="V7627" s="123" t="s">
        <v>2472</v>
      </c>
      <c r="W7627" s="122">
        <v>80220</v>
      </c>
      <c r="X7627" s="221"/>
      <c r="Y7627" s="221"/>
      <c r="Z7627" s="221"/>
      <c r="AA7627" s="221"/>
      <c r="AB7627" s="223"/>
    </row>
    <row r="7628" spans="1:28" ht="17.100000000000001" customHeight="1" thickTop="1">
      <c r="A7628" s="226" t="s">
        <v>21091</v>
      </c>
      <c r="B7628" s="28">
        <v>46111</v>
      </c>
      <c r="C7628" s="25">
        <v>2087</v>
      </c>
      <c r="D7628" s="13" t="s">
        <v>1702</v>
      </c>
      <c r="E7628" s="228"/>
      <c r="F7628" s="109" t="s">
        <v>7893</v>
      </c>
      <c r="G7628" s="24"/>
      <c r="H7628" s="230">
        <v>4.5</v>
      </c>
      <c r="I7628" s="220">
        <v>460000</v>
      </c>
      <c r="J7628" s="220">
        <f>I7628*0.1</f>
        <v>46000</v>
      </c>
      <c r="K7628" s="220">
        <v>0</v>
      </c>
      <c r="L7628" s="220">
        <v>18960</v>
      </c>
      <c r="M7628" s="220">
        <v>11000</v>
      </c>
      <c r="N7628" s="220">
        <f>SUM(I7628:M7629)</f>
        <v>535960</v>
      </c>
      <c r="O7628" s="224"/>
      <c r="P7628" s="110" t="s">
        <v>21327</v>
      </c>
      <c r="Q7628" s="15" t="s">
        <v>19</v>
      </c>
      <c r="R7628" s="205"/>
      <c r="S7628" s="189"/>
      <c r="T7628" s="114"/>
      <c r="U7628" s="21"/>
      <c r="V7628" s="115">
        <v>46123</v>
      </c>
      <c r="W7628" s="116">
        <v>1296</v>
      </c>
      <c r="X7628" s="220">
        <v>650000</v>
      </c>
      <c r="Y7628" s="220">
        <f>X7628*0.1</f>
        <v>65000</v>
      </c>
      <c r="Z7628" s="220">
        <v>18960</v>
      </c>
      <c r="AA7628" s="220">
        <f>SUM(X7628:Z7628)</f>
        <v>733960</v>
      </c>
      <c r="AB7628" s="222">
        <v>46126</v>
      </c>
    </row>
    <row r="7629" spans="1:28" ht="17.100000000000001" customHeight="1" thickBot="1">
      <c r="A7629" s="227"/>
      <c r="B7629" s="27" t="s">
        <v>82</v>
      </c>
      <c r="C7629" s="27">
        <v>34508</v>
      </c>
      <c r="D7629" s="14" t="s">
        <v>1797</v>
      </c>
      <c r="E7629" s="229"/>
      <c r="F7629" s="117" t="s">
        <v>21098</v>
      </c>
      <c r="G7629" s="26">
        <v>70571</v>
      </c>
      <c r="H7629" s="231"/>
      <c r="I7629" s="221"/>
      <c r="J7629" s="221"/>
      <c r="K7629" s="221"/>
      <c r="L7629" s="221"/>
      <c r="M7629" s="221"/>
      <c r="N7629" s="221"/>
      <c r="O7629" s="225"/>
      <c r="P7629" s="118" t="s">
        <v>3989</v>
      </c>
      <c r="Q7629" s="16" t="s">
        <v>20</v>
      </c>
      <c r="R7629" s="17" t="s">
        <v>1634</v>
      </c>
      <c r="S7629" s="121" t="s">
        <v>169</v>
      </c>
      <c r="T7629" s="122"/>
      <c r="U7629" s="22"/>
      <c r="V7629" s="123" t="s">
        <v>2472</v>
      </c>
      <c r="W7629" s="122">
        <v>80406</v>
      </c>
      <c r="X7629" s="221"/>
      <c r="Y7629" s="221"/>
      <c r="Z7629" s="221"/>
      <c r="AA7629" s="221"/>
      <c r="AB7629" s="223"/>
    </row>
    <row r="7630" spans="1:28" ht="17.100000000000001" customHeight="1" thickTop="1">
      <c r="A7630" s="226" t="s">
        <v>21092</v>
      </c>
      <c r="B7630" s="28">
        <v>46111</v>
      </c>
      <c r="C7630" s="25">
        <v>2087</v>
      </c>
      <c r="D7630" s="13" t="s">
        <v>1908</v>
      </c>
      <c r="E7630" s="228"/>
      <c r="F7630" s="109" t="s">
        <v>1854</v>
      </c>
      <c r="G7630" s="24"/>
      <c r="H7630" s="230">
        <v>3.5</v>
      </c>
      <c r="I7630" s="220">
        <v>318000</v>
      </c>
      <c r="J7630" s="220">
        <f>I7630*0.1</f>
        <v>31800</v>
      </c>
      <c r="K7630" s="220">
        <v>0</v>
      </c>
      <c r="L7630" s="220">
        <v>18960</v>
      </c>
      <c r="M7630" s="220">
        <v>11000</v>
      </c>
      <c r="N7630" s="220">
        <f>SUM(I7630:M7631)</f>
        <v>379760</v>
      </c>
      <c r="O7630" s="224"/>
      <c r="P7630" s="110" t="s">
        <v>21322</v>
      </c>
      <c r="Q7630" s="15" t="s">
        <v>19</v>
      </c>
      <c r="R7630" s="205"/>
      <c r="S7630" s="189" t="s">
        <v>1361</v>
      </c>
      <c r="T7630" s="114"/>
      <c r="U7630" s="21"/>
      <c r="V7630" s="115">
        <v>46144</v>
      </c>
      <c r="W7630" s="116">
        <v>1299</v>
      </c>
      <c r="X7630" s="220">
        <v>440000</v>
      </c>
      <c r="Y7630" s="220">
        <f>X7630*0.1</f>
        <v>44000</v>
      </c>
      <c r="Z7630" s="220">
        <v>18960</v>
      </c>
      <c r="AA7630" s="220">
        <f>SUM(X7630:Z7630)</f>
        <v>502960</v>
      </c>
      <c r="AB7630" s="222">
        <v>46154</v>
      </c>
    </row>
    <row r="7631" spans="1:28" ht="17.100000000000001" customHeight="1" thickBot="1">
      <c r="A7631" s="227"/>
      <c r="B7631" s="27" t="s">
        <v>82</v>
      </c>
      <c r="C7631" s="27">
        <v>34525</v>
      </c>
      <c r="D7631" s="14" t="s">
        <v>131</v>
      </c>
      <c r="E7631" s="229"/>
      <c r="F7631" s="117" t="s">
        <v>21099</v>
      </c>
      <c r="G7631" s="26">
        <v>70237</v>
      </c>
      <c r="H7631" s="231"/>
      <c r="I7631" s="221"/>
      <c r="J7631" s="221"/>
      <c r="K7631" s="221"/>
      <c r="L7631" s="221"/>
      <c r="M7631" s="221"/>
      <c r="N7631" s="221"/>
      <c r="O7631" s="225"/>
      <c r="P7631" s="118" t="s">
        <v>21323</v>
      </c>
      <c r="Q7631" s="16" t="s">
        <v>20</v>
      </c>
      <c r="R7631" s="17" t="s">
        <v>1634</v>
      </c>
      <c r="S7631" s="121" t="s">
        <v>5180</v>
      </c>
      <c r="T7631" s="122"/>
      <c r="U7631" s="22"/>
      <c r="V7631" s="123" t="s">
        <v>7160</v>
      </c>
      <c r="W7631" s="122">
        <v>80170</v>
      </c>
      <c r="X7631" s="221"/>
      <c r="Y7631" s="221"/>
      <c r="Z7631" s="221"/>
      <c r="AA7631" s="221"/>
      <c r="AB7631" s="223"/>
    </row>
    <row r="7632" spans="1:28" ht="17.100000000000001" customHeight="1" thickTop="1">
      <c r="A7632" s="226" t="s">
        <v>21100</v>
      </c>
      <c r="B7632" s="28">
        <v>46111</v>
      </c>
      <c r="C7632" s="25"/>
      <c r="D7632" s="13" t="s">
        <v>1704</v>
      </c>
      <c r="E7632" s="228"/>
      <c r="F7632" s="109" t="s">
        <v>9770</v>
      </c>
      <c r="G7632" s="24"/>
      <c r="H7632" s="230">
        <v>4</v>
      </c>
      <c r="I7632" s="220">
        <v>1704000</v>
      </c>
      <c r="J7632" s="220">
        <f>I7632*0.1</f>
        <v>170400</v>
      </c>
      <c r="K7632" s="220">
        <v>0</v>
      </c>
      <c r="L7632" s="220">
        <v>17800</v>
      </c>
      <c r="M7632" s="220">
        <v>14850</v>
      </c>
      <c r="N7632" s="220">
        <f>SUM(I7632:M7633)</f>
        <v>1907050</v>
      </c>
      <c r="O7632" s="224"/>
      <c r="P7632" s="110" t="s">
        <v>21382</v>
      </c>
      <c r="Q7632" s="15" t="s">
        <v>19</v>
      </c>
      <c r="R7632" s="205"/>
      <c r="S7632" s="189" t="s">
        <v>1361</v>
      </c>
      <c r="T7632" s="114"/>
      <c r="U7632" s="21"/>
      <c r="V7632" s="115">
        <v>46123</v>
      </c>
      <c r="W7632" s="116">
        <v>1296</v>
      </c>
      <c r="X7632" s="220">
        <v>1850000</v>
      </c>
      <c r="Y7632" s="220">
        <f>X7632*0.1</f>
        <v>185000</v>
      </c>
      <c r="Z7632" s="220">
        <v>17800</v>
      </c>
      <c r="AA7632" s="220">
        <f>SUM(X7632:Z7632)</f>
        <v>2052800</v>
      </c>
      <c r="AB7632" s="222">
        <v>46126</v>
      </c>
    </row>
    <row r="7633" spans="1:28" ht="17.100000000000001" customHeight="1" thickBot="1">
      <c r="A7633" s="227"/>
      <c r="B7633" s="27" t="s">
        <v>4777</v>
      </c>
      <c r="C7633" s="27">
        <v>55444</v>
      </c>
      <c r="D7633" s="14" t="s">
        <v>1568</v>
      </c>
      <c r="E7633" s="229"/>
      <c r="F7633" s="117" t="s">
        <v>21120</v>
      </c>
      <c r="G7633" s="26">
        <v>56956</v>
      </c>
      <c r="H7633" s="231"/>
      <c r="I7633" s="221"/>
      <c r="J7633" s="221"/>
      <c r="K7633" s="221"/>
      <c r="L7633" s="221"/>
      <c r="M7633" s="221"/>
      <c r="N7633" s="221"/>
      <c r="O7633" s="225"/>
      <c r="P7633" s="118" t="s">
        <v>21383</v>
      </c>
      <c r="Q7633" s="16" t="s">
        <v>20</v>
      </c>
      <c r="R7633" s="17" t="s">
        <v>21379</v>
      </c>
      <c r="S7633" s="121" t="s">
        <v>21708</v>
      </c>
      <c r="T7633" s="122"/>
      <c r="U7633" s="22"/>
      <c r="V7633" s="123" t="s">
        <v>2472</v>
      </c>
      <c r="W7633" s="122">
        <v>80023</v>
      </c>
      <c r="X7633" s="221"/>
      <c r="Y7633" s="221"/>
      <c r="Z7633" s="221"/>
      <c r="AA7633" s="221"/>
      <c r="AB7633" s="223"/>
    </row>
    <row r="7634" spans="1:28" ht="17.100000000000001" customHeight="1" thickTop="1">
      <c r="A7634" s="226" t="s">
        <v>21113</v>
      </c>
      <c r="B7634" s="28">
        <v>46111</v>
      </c>
      <c r="C7634" s="25"/>
      <c r="D7634" s="13" t="s">
        <v>2295</v>
      </c>
      <c r="E7634" s="228"/>
      <c r="F7634" s="109" t="s">
        <v>21121</v>
      </c>
      <c r="G7634" s="24" t="s">
        <v>1540</v>
      </c>
      <c r="H7634" s="230">
        <v>4</v>
      </c>
      <c r="I7634" s="220">
        <v>1925000</v>
      </c>
      <c r="J7634" s="220">
        <f>I7634*0.1</f>
        <v>192500</v>
      </c>
      <c r="K7634" s="220">
        <v>30500</v>
      </c>
      <c r="L7634" s="220">
        <v>19090</v>
      </c>
      <c r="M7634" s="220">
        <v>14850</v>
      </c>
      <c r="N7634" s="220">
        <f>SUM(I7634:M7635)</f>
        <v>2181940</v>
      </c>
      <c r="O7634" s="224"/>
      <c r="P7634" s="110" t="s">
        <v>21123</v>
      </c>
      <c r="Q7634" s="15" t="s">
        <v>19</v>
      </c>
      <c r="R7634" s="205"/>
      <c r="S7634" s="189"/>
      <c r="T7634" s="114"/>
      <c r="U7634" s="21" t="s">
        <v>22352</v>
      </c>
      <c r="V7634" s="115">
        <v>46144</v>
      </c>
      <c r="W7634" s="116">
        <v>1299</v>
      </c>
      <c r="X7634" s="220">
        <v>2100000</v>
      </c>
      <c r="Y7634" s="220">
        <f>X7634*0.1</f>
        <v>210000</v>
      </c>
      <c r="Z7634" s="220">
        <v>19090</v>
      </c>
      <c r="AA7634" s="220">
        <f>SUM(X7634:Z7634)</f>
        <v>2329090</v>
      </c>
      <c r="AB7634" s="222">
        <v>46161</v>
      </c>
    </row>
    <row r="7635" spans="1:28" ht="17.100000000000001" customHeight="1" thickBot="1">
      <c r="A7635" s="227"/>
      <c r="B7635" s="27" t="s">
        <v>4777</v>
      </c>
      <c r="C7635" s="27">
        <v>55726</v>
      </c>
      <c r="D7635" s="14" t="s">
        <v>2753</v>
      </c>
      <c r="E7635" s="229"/>
      <c r="F7635" s="117" t="s">
        <v>21122</v>
      </c>
      <c r="G7635" s="26">
        <v>25203</v>
      </c>
      <c r="H7635" s="231"/>
      <c r="I7635" s="221"/>
      <c r="J7635" s="221"/>
      <c r="K7635" s="221"/>
      <c r="L7635" s="221"/>
      <c r="M7635" s="221"/>
      <c r="N7635" s="221"/>
      <c r="O7635" s="225"/>
      <c r="P7635" s="118" t="s">
        <v>21384</v>
      </c>
      <c r="Q7635" s="16" t="s">
        <v>20</v>
      </c>
      <c r="R7635" s="17" t="s">
        <v>21379</v>
      </c>
      <c r="S7635" s="121" t="s">
        <v>5222</v>
      </c>
      <c r="T7635" s="122"/>
      <c r="U7635" s="22"/>
      <c r="V7635" s="123" t="s">
        <v>6641</v>
      </c>
      <c r="W7635" s="122">
        <v>80026</v>
      </c>
      <c r="X7635" s="221"/>
      <c r="Y7635" s="221"/>
      <c r="Z7635" s="221"/>
      <c r="AA7635" s="221"/>
      <c r="AB7635" s="223"/>
    </row>
    <row r="7636" spans="1:28" ht="17.100000000000001" customHeight="1" thickTop="1">
      <c r="A7636" s="226" t="s">
        <v>21114</v>
      </c>
      <c r="B7636" s="28">
        <v>46111</v>
      </c>
      <c r="C7636" s="25"/>
      <c r="D7636" s="13" t="s">
        <v>1676</v>
      </c>
      <c r="E7636" s="228"/>
      <c r="F7636" s="109" t="s">
        <v>1854</v>
      </c>
      <c r="G7636" s="24" t="s">
        <v>1551</v>
      </c>
      <c r="H7636" s="230">
        <v>4</v>
      </c>
      <c r="I7636" s="220">
        <v>525000</v>
      </c>
      <c r="J7636" s="220">
        <f>I7636*0.1</f>
        <v>52500</v>
      </c>
      <c r="K7636" s="220">
        <v>39500</v>
      </c>
      <c r="L7636" s="220">
        <v>18960</v>
      </c>
      <c r="M7636" s="220">
        <v>14850</v>
      </c>
      <c r="N7636" s="220">
        <f>SUM(I7636:M7637)</f>
        <v>650810</v>
      </c>
      <c r="O7636" s="224"/>
      <c r="P7636" s="110" t="s">
        <v>21101</v>
      </c>
      <c r="Q7636" s="15" t="s">
        <v>19</v>
      </c>
      <c r="R7636" s="205"/>
      <c r="S7636" s="189"/>
      <c r="T7636" s="114"/>
      <c r="U7636" s="21"/>
      <c r="V7636" s="115">
        <v>46123</v>
      </c>
      <c r="W7636" s="116">
        <v>1296</v>
      </c>
      <c r="X7636" s="220">
        <v>650000</v>
      </c>
      <c r="Y7636" s="220">
        <f>X7636*0.1</f>
        <v>65000</v>
      </c>
      <c r="Z7636" s="220">
        <v>18960</v>
      </c>
      <c r="AA7636" s="220">
        <f>SUM(X7636:Z7636)</f>
        <v>733960</v>
      </c>
      <c r="AB7636" s="222">
        <v>46128</v>
      </c>
    </row>
    <row r="7637" spans="1:28" ht="17.100000000000001" customHeight="1" thickBot="1">
      <c r="A7637" s="227"/>
      <c r="B7637" s="27" t="s">
        <v>2727</v>
      </c>
      <c r="C7637" s="27">
        <v>80075</v>
      </c>
      <c r="D7637" s="14" t="s">
        <v>3746</v>
      </c>
      <c r="E7637" s="229"/>
      <c r="F7637" s="117" t="s">
        <v>21682</v>
      </c>
      <c r="G7637" s="26">
        <v>70009</v>
      </c>
      <c r="H7637" s="231"/>
      <c r="I7637" s="221"/>
      <c r="J7637" s="221"/>
      <c r="K7637" s="221"/>
      <c r="L7637" s="221"/>
      <c r="M7637" s="221"/>
      <c r="N7637" s="221"/>
      <c r="O7637" s="225"/>
      <c r="P7637" s="118" t="s">
        <v>6665</v>
      </c>
      <c r="Q7637" s="16" t="s">
        <v>20</v>
      </c>
      <c r="R7637" s="17" t="s">
        <v>1772</v>
      </c>
      <c r="S7637" s="121" t="s">
        <v>21371</v>
      </c>
      <c r="T7637" s="122"/>
      <c r="U7637" s="22"/>
      <c r="V7637" s="123" t="s">
        <v>22424</v>
      </c>
      <c r="W7637" s="122">
        <v>80352</v>
      </c>
      <c r="X7637" s="221"/>
      <c r="Y7637" s="221"/>
      <c r="Z7637" s="221"/>
      <c r="AA7637" s="221"/>
      <c r="AB7637" s="223"/>
    </row>
    <row r="7638" spans="1:28" ht="17.100000000000001" customHeight="1" thickTop="1">
      <c r="A7638" s="226" t="s">
        <v>21115</v>
      </c>
      <c r="B7638" s="28">
        <v>46111</v>
      </c>
      <c r="C7638" s="25"/>
      <c r="D7638" s="13" t="s">
        <v>1983</v>
      </c>
      <c r="E7638" s="228"/>
      <c r="F7638" s="109" t="s">
        <v>21103</v>
      </c>
      <c r="G7638" s="24" t="s">
        <v>5579</v>
      </c>
      <c r="H7638" s="230">
        <v>4.5</v>
      </c>
      <c r="I7638" s="220">
        <f>1353000/1.1</f>
        <v>1230000</v>
      </c>
      <c r="J7638" s="220">
        <f>I7638*0.1</f>
        <v>123000</v>
      </c>
      <c r="K7638" s="220">
        <v>0</v>
      </c>
      <c r="L7638" s="220">
        <v>8630</v>
      </c>
      <c r="M7638" s="220">
        <v>0</v>
      </c>
      <c r="N7638" s="220">
        <f>SUM(I7638:M7639)</f>
        <v>1361630</v>
      </c>
      <c r="O7638" s="224"/>
      <c r="P7638" s="110" t="s">
        <v>23162</v>
      </c>
      <c r="Q7638" s="15" t="s">
        <v>19</v>
      </c>
      <c r="R7638" s="205"/>
      <c r="S7638" s="189" t="s">
        <v>1276</v>
      </c>
      <c r="T7638" s="114"/>
      <c r="U7638" s="21" t="s">
        <v>24818</v>
      </c>
      <c r="V7638" s="115">
        <v>46155</v>
      </c>
      <c r="W7638" s="116">
        <v>1016</v>
      </c>
      <c r="X7638" s="220">
        <v>1295000</v>
      </c>
      <c r="Y7638" s="220">
        <f>X7638*0.1</f>
        <v>129500</v>
      </c>
      <c r="Z7638" s="220">
        <v>8630</v>
      </c>
      <c r="AA7638" s="220">
        <f>SUM(X7638:Z7638)</f>
        <v>1433130</v>
      </c>
      <c r="AB7638" s="222">
        <v>46161</v>
      </c>
    </row>
    <row r="7639" spans="1:28" ht="17.100000000000001" customHeight="1" thickBot="1">
      <c r="A7639" s="227"/>
      <c r="B7639" s="27" t="s">
        <v>1708</v>
      </c>
      <c r="C7639" s="27" t="s">
        <v>21102</v>
      </c>
      <c r="D7639" s="14" t="s">
        <v>3274</v>
      </c>
      <c r="E7639" s="229"/>
      <c r="F7639" s="117" t="s">
        <v>21104</v>
      </c>
      <c r="G7639" s="26">
        <v>18606</v>
      </c>
      <c r="H7639" s="231"/>
      <c r="I7639" s="221"/>
      <c r="J7639" s="221"/>
      <c r="K7639" s="221"/>
      <c r="L7639" s="221"/>
      <c r="M7639" s="221"/>
      <c r="N7639" s="221"/>
      <c r="O7639" s="225"/>
      <c r="P7639" s="118" t="s">
        <v>23163</v>
      </c>
      <c r="Q7639" s="16" t="s">
        <v>20</v>
      </c>
      <c r="R7639" s="17" t="s">
        <v>3658</v>
      </c>
      <c r="S7639" s="121" t="s">
        <v>1606</v>
      </c>
      <c r="T7639" s="122"/>
      <c r="U7639" s="22"/>
      <c r="V7639" s="123" t="s">
        <v>2747</v>
      </c>
      <c r="W7639" s="122">
        <v>1064</v>
      </c>
      <c r="X7639" s="221"/>
      <c r="Y7639" s="221"/>
      <c r="Z7639" s="221"/>
      <c r="AA7639" s="221"/>
      <c r="AB7639" s="223"/>
    </row>
    <row r="7640" spans="1:28" ht="17.100000000000001" customHeight="1" thickTop="1">
      <c r="A7640" s="226" t="s">
        <v>21116</v>
      </c>
      <c r="B7640" s="28">
        <v>46111</v>
      </c>
      <c r="C7640" s="25"/>
      <c r="D7640" s="13" t="s">
        <v>12245</v>
      </c>
      <c r="E7640" s="228"/>
      <c r="F7640" s="109" t="s">
        <v>21106</v>
      </c>
      <c r="G7640" s="24" t="s">
        <v>8081</v>
      </c>
      <c r="H7640" s="230">
        <v>4</v>
      </c>
      <c r="I7640" s="220">
        <f>400400/1.1</f>
        <v>363999.99999999994</v>
      </c>
      <c r="J7640" s="220">
        <f>I7640*0.1</f>
        <v>36399.999999999993</v>
      </c>
      <c r="K7640" s="220">
        <v>0</v>
      </c>
      <c r="L7640" s="220">
        <v>18290</v>
      </c>
      <c r="M7640" s="220">
        <v>0</v>
      </c>
      <c r="N7640" s="220">
        <f>SUM(I7640:M7641)</f>
        <v>418689.99999999994</v>
      </c>
      <c r="O7640" s="224"/>
      <c r="P7640" s="110" t="s">
        <v>24437</v>
      </c>
      <c r="Q7640" s="15" t="s">
        <v>19</v>
      </c>
      <c r="R7640" s="205"/>
      <c r="S7640" s="189" t="s">
        <v>1276</v>
      </c>
      <c r="T7640" s="114"/>
      <c r="U7640" s="21"/>
      <c r="V7640" s="115">
        <v>46155</v>
      </c>
      <c r="W7640" s="116">
        <v>1016</v>
      </c>
      <c r="X7640" s="220">
        <v>615000</v>
      </c>
      <c r="Y7640" s="220">
        <f>X7640*0.1</f>
        <v>61500</v>
      </c>
      <c r="Z7640" s="220">
        <v>18290</v>
      </c>
      <c r="AA7640" s="220">
        <f>SUM(X7640:Z7640)</f>
        <v>694790</v>
      </c>
      <c r="AB7640" s="222">
        <v>46160</v>
      </c>
    </row>
    <row r="7641" spans="1:28" ht="17.100000000000001" customHeight="1" thickBot="1">
      <c r="A7641" s="227"/>
      <c r="B7641" s="27" t="s">
        <v>1708</v>
      </c>
      <c r="C7641" s="27" t="s">
        <v>21105</v>
      </c>
      <c r="D7641" s="14" t="s">
        <v>3955</v>
      </c>
      <c r="E7641" s="229"/>
      <c r="F7641" s="117" t="s">
        <v>21107</v>
      </c>
      <c r="G7641" s="26">
        <v>70039</v>
      </c>
      <c r="H7641" s="231"/>
      <c r="I7641" s="221"/>
      <c r="J7641" s="221"/>
      <c r="K7641" s="221"/>
      <c r="L7641" s="221"/>
      <c r="M7641" s="221"/>
      <c r="N7641" s="221"/>
      <c r="O7641" s="225"/>
      <c r="P7641" s="118" t="s">
        <v>11077</v>
      </c>
      <c r="Q7641" s="16" t="s">
        <v>20</v>
      </c>
      <c r="R7641" s="17" t="s">
        <v>1983</v>
      </c>
      <c r="S7641" s="121" t="s">
        <v>24438</v>
      </c>
      <c r="T7641" s="122"/>
      <c r="U7641" s="22"/>
      <c r="V7641" s="123" t="s">
        <v>2747</v>
      </c>
      <c r="W7641" s="122">
        <v>1065</v>
      </c>
      <c r="X7641" s="221"/>
      <c r="Y7641" s="221"/>
      <c r="Z7641" s="221"/>
      <c r="AA7641" s="221"/>
      <c r="AB7641" s="223"/>
    </row>
    <row r="7642" spans="1:28" ht="17.100000000000001" customHeight="1" thickTop="1">
      <c r="A7642" s="226" t="s">
        <v>21118</v>
      </c>
      <c r="B7642" s="28">
        <v>46111</v>
      </c>
      <c r="C7642" s="25"/>
      <c r="D7642" s="13" t="s">
        <v>2264</v>
      </c>
      <c r="E7642" s="228"/>
      <c r="F7642" s="109" t="s">
        <v>21109</v>
      </c>
      <c r="G7642" s="24" t="s">
        <v>20371</v>
      </c>
      <c r="H7642" s="230">
        <v>4</v>
      </c>
      <c r="I7642" s="220">
        <f>3877500/1.1</f>
        <v>3524999.9999999995</v>
      </c>
      <c r="J7642" s="220">
        <f>I7642*0.1</f>
        <v>352500</v>
      </c>
      <c r="K7642" s="220">
        <v>0</v>
      </c>
      <c r="L7642" s="220">
        <v>11040</v>
      </c>
      <c r="M7642" s="220">
        <v>0</v>
      </c>
      <c r="N7642" s="220">
        <f>SUM(I7642:M7643)</f>
        <v>3888539.9999999995</v>
      </c>
      <c r="O7642" s="224"/>
      <c r="P7642" s="110" t="s">
        <v>23346</v>
      </c>
      <c r="Q7642" s="15" t="s">
        <v>19</v>
      </c>
      <c r="R7642" s="205"/>
      <c r="S7642" s="189" t="s">
        <v>1276</v>
      </c>
      <c r="T7642" s="114"/>
      <c r="U7642" s="21"/>
      <c r="V7642" s="115">
        <v>46127</v>
      </c>
      <c r="W7642" s="116">
        <v>1013</v>
      </c>
      <c r="X7642" s="220">
        <v>3495000</v>
      </c>
      <c r="Y7642" s="220">
        <f>X7642*0.1</f>
        <v>349500</v>
      </c>
      <c r="Z7642" s="220">
        <v>11040</v>
      </c>
      <c r="AA7642" s="220">
        <f>SUM(X7642:Z7642)</f>
        <v>3855540</v>
      </c>
      <c r="AB7642" s="222">
        <v>46135</v>
      </c>
    </row>
    <row r="7643" spans="1:28" ht="17.100000000000001" customHeight="1" thickBot="1">
      <c r="A7643" s="227"/>
      <c r="B7643" s="27" t="s">
        <v>1708</v>
      </c>
      <c r="C7643" s="27" t="s">
        <v>21108</v>
      </c>
      <c r="D7643" s="14" t="s">
        <v>273</v>
      </c>
      <c r="E7643" s="229"/>
      <c r="F7643" s="117" t="s">
        <v>21110</v>
      </c>
      <c r="G7643" s="26">
        <v>55224</v>
      </c>
      <c r="H7643" s="231"/>
      <c r="I7643" s="221"/>
      <c r="J7643" s="221"/>
      <c r="K7643" s="221"/>
      <c r="L7643" s="221"/>
      <c r="M7643" s="221"/>
      <c r="N7643" s="221"/>
      <c r="O7643" s="225"/>
      <c r="P7643" s="118" t="s">
        <v>23347</v>
      </c>
      <c r="Q7643" s="16" t="s">
        <v>20</v>
      </c>
      <c r="R7643" s="17" t="s">
        <v>3913</v>
      </c>
      <c r="S7643" s="121" t="s">
        <v>1923</v>
      </c>
      <c r="T7643" s="122"/>
      <c r="U7643" s="22"/>
      <c r="V7643" s="123" t="s">
        <v>2747</v>
      </c>
      <c r="W7643" s="122">
        <v>8031</v>
      </c>
      <c r="X7643" s="221"/>
      <c r="Y7643" s="221"/>
      <c r="Z7643" s="221"/>
      <c r="AA7643" s="221"/>
      <c r="AB7643" s="223"/>
    </row>
    <row r="7644" spans="1:28" ht="17.100000000000001" customHeight="1" thickTop="1">
      <c r="A7644" s="226" t="s">
        <v>21119</v>
      </c>
      <c r="B7644" s="28">
        <v>46111</v>
      </c>
      <c r="C7644" s="25"/>
      <c r="D7644" s="13" t="s">
        <v>1678</v>
      </c>
      <c r="E7644" s="228"/>
      <c r="F7644" s="109" t="s">
        <v>15631</v>
      </c>
      <c r="G7644" s="24" t="s">
        <v>22378</v>
      </c>
      <c r="H7644" s="230">
        <v>4</v>
      </c>
      <c r="I7644" s="220">
        <f>911900/1.1</f>
        <v>828999.99999999988</v>
      </c>
      <c r="J7644" s="220">
        <f>I7644*0.1</f>
        <v>82900</v>
      </c>
      <c r="K7644" s="220">
        <v>0</v>
      </c>
      <c r="L7644" s="220">
        <v>8010</v>
      </c>
      <c r="M7644" s="220">
        <v>0</v>
      </c>
      <c r="N7644" s="220">
        <f>SUM(I7644:M7645)</f>
        <v>919909.99999999988</v>
      </c>
      <c r="O7644" s="224"/>
      <c r="P7644" s="110" t="s">
        <v>22379</v>
      </c>
      <c r="Q7644" s="15" t="s">
        <v>19</v>
      </c>
      <c r="R7644" s="205"/>
      <c r="S7644" s="189" t="s">
        <v>1361</v>
      </c>
      <c r="T7644" s="114"/>
      <c r="U7644" s="21" t="s">
        <v>26107</v>
      </c>
      <c r="V7644" s="115">
        <v>46162</v>
      </c>
      <c r="W7644" s="116">
        <v>1017</v>
      </c>
      <c r="X7644" s="220">
        <v>925000</v>
      </c>
      <c r="Y7644" s="220">
        <f>X7644*0.1</f>
        <v>92500</v>
      </c>
      <c r="Z7644" s="220">
        <v>8010</v>
      </c>
      <c r="AA7644" s="220">
        <f>SUM(X7644:Z7644)</f>
        <v>1025510</v>
      </c>
      <c r="AB7644" s="222">
        <v>46167</v>
      </c>
    </row>
    <row r="7645" spans="1:28" ht="17.100000000000001" customHeight="1" thickBot="1">
      <c r="A7645" s="227"/>
      <c r="B7645" s="27" t="s">
        <v>1708</v>
      </c>
      <c r="C7645" s="27" t="s">
        <v>21111</v>
      </c>
      <c r="D7645" s="14" t="s">
        <v>273</v>
      </c>
      <c r="E7645" s="229"/>
      <c r="F7645" s="117" t="s">
        <v>21112</v>
      </c>
      <c r="G7645" s="26">
        <v>49183</v>
      </c>
      <c r="H7645" s="231"/>
      <c r="I7645" s="221"/>
      <c r="J7645" s="221"/>
      <c r="K7645" s="221"/>
      <c r="L7645" s="221"/>
      <c r="M7645" s="221"/>
      <c r="N7645" s="221"/>
      <c r="O7645" s="225"/>
      <c r="P7645" s="118" t="s">
        <v>22380</v>
      </c>
      <c r="Q7645" s="16" t="s">
        <v>20</v>
      </c>
      <c r="R7645" s="17" t="s">
        <v>22315</v>
      </c>
      <c r="S7645" s="121" t="s">
        <v>1625</v>
      </c>
      <c r="T7645" s="122"/>
      <c r="U7645" s="22"/>
      <c r="V7645" s="123" t="s">
        <v>2747</v>
      </c>
      <c r="W7645" s="122">
        <v>4020</v>
      </c>
      <c r="X7645" s="221"/>
      <c r="Y7645" s="221"/>
      <c r="Z7645" s="221"/>
      <c r="AA7645" s="221"/>
      <c r="AB7645" s="223"/>
    </row>
    <row r="7646" spans="1:28" ht="17.100000000000001" customHeight="1" thickTop="1">
      <c r="A7646" s="226" t="s">
        <v>21161</v>
      </c>
      <c r="B7646" s="28">
        <v>46112</v>
      </c>
      <c r="C7646" s="25">
        <v>984</v>
      </c>
      <c r="D7646" s="13" t="s">
        <v>21170</v>
      </c>
      <c r="E7646" s="228"/>
      <c r="F7646" s="109" t="s">
        <v>21172</v>
      </c>
      <c r="G7646" s="24"/>
      <c r="H7646" s="230">
        <v>4</v>
      </c>
      <c r="I7646" s="220">
        <v>1146000</v>
      </c>
      <c r="J7646" s="220">
        <f>I7646*0.1</f>
        <v>114600</v>
      </c>
      <c r="K7646" s="220">
        <v>0</v>
      </c>
      <c r="L7646" s="220">
        <v>8850</v>
      </c>
      <c r="M7646" s="220">
        <v>22000</v>
      </c>
      <c r="N7646" s="220">
        <f>SUM(I7646:M7647)</f>
        <v>1291450</v>
      </c>
      <c r="O7646" s="224"/>
      <c r="P7646" s="110" t="s">
        <v>21849</v>
      </c>
      <c r="Q7646" s="15" t="s">
        <v>19</v>
      </c>
      <c r="R7646" s="205"/>
      <c r="S7646" s="189" t="s">
        <v>758</v>
      </c>
      <c r="T7646" s="114"/>
      <c r="U7646" s="21"/>
      <c r="V7646" s="115">
        <v>46119</v>
      </c>
      <c r="W7646" s="116">
        <v>1936</v>
      </c>
      <c r="X7646" s="220">
        <v>1182000</v>
      </c>
      <c r="Y7646" s="220">
        <f>X7646*0.1</f>
        <v>118200</v>
      </c>
      <c r="Z7646" s="220">
        <v>8850</v>
      </c>
      <c r="AA7646" s="220">
        <f>SUM(X7646:Z7646)</f>
        <v>1309050</v>
      </c>
      <c r="AB7646" s="222"/>
    </row>
    <row r="7647" spans="1:28" ht="17.100000000000001" customHeight="1" thickBot="1">
      <c r="A7647" s="227"/>
      <c r="B7647" s="27" t="s">
        <v>21169</v>
      </c>
      <c r="C7647" s="27">
        <v>42</v>
      </c>
      <c r="D7647" s="14" t="s">
        <v>21171</v>
      </c>
      <c r="E7647" s="229"/>
      <c r="F7647" s="117" t="s">
        <v>21173</v>
      </c>
      <c r="G7647" s="26">
        <v>2257</v>
      </c>
      <c r="H7647" s="231"/>
      <c r="I7647" s="221"/>
      <c r="J7647" s="221"/>
      <c r="K7647" s="221"/>
      <c r="L7647" s="221"/>
      <c r="M7647" s="221"/>
      <c r="N7647" s="221"/>
      <c r="O7647" s="225"/>
      <c r="P7647" s="118" t="s">
        <v>2446</v>
      </c>
      <c r="Q7647" s="16" t="s">
        <v>20</v>
      </c>
      <c r="R7647" s="17" t="s">
        <v>1810</v>
      </c>
      <c r="S7647" s="121" t="s">
        <v>21393</v>
      </c>
      <c r="T7647" s="122"/>
      <c r="U7647" s="22"/>
      <c r="V7647" s="123" t="s">
        <v>2103</v>
      </c>
      <c r="W7647" s="122">
        <v>3637</v>
      </c>
      <c r="X7647" s="221"/>
      <c r="Y7647" s="221"/>
      <c r="Z7647" s="221"/>
      <c r="AA7647" s="221"/>
      <c r="AB7647" s="223"/>
    </row>
    <row r="7648" spans="1:28" ht="17.100000000000001" customHeight="1" thickTop="1">
      <c r="A7648" s="226" t="s">
        <v>21162</v>
      </c>
      <c r="B7648" s="28">
        <v>46112</v>
      </c>
      <c r="C7648" s="25">
        <v>984</v>
      </c>
      <c r="D7648" s="13" t="s">
        <v>21174</v>
      </c>
      <c r="E7648" s="228"/>
      <c r="F7648" s="109" t="s">
        <v>21176</v>
      </c>
      <c r="G7648" s="24"/>
      <c r="H7648" s="230">
        <v>4</v>
      </c>
      <c r="I7648" s="220">
        <v>1476000</v>
      </c>
      <c r="J7648" s="220">
        <f>I7648*0.1</f>
        <v>147600</v>
      </c>
      <c r="K7648" s="220">
        <v>0</v>
      </c>
      <c r="L7648" s="220">
        <v>8990</v>
      </c>
      <c r="M7648" s="220">
        <v>22000</v>
      </c>
      <c r="N7648" s="220">
        <f>SUM(I7648:M7649)</f>
        <v>1654590</v>
      </c>
      <c r="O7648" s="224"/>
      <c r="P7648" s="110" t="s">
        <v>21926</v>
      </c>
      <c r="Q7648" s="15" t="s">
        <v>19</v>
      </c>
      <c r="R7648" s="205"/>
      <c r="S7648" s="189" t="s">
        <v>758</v>
      </c>
      <c r="T7648" s="114"/>
      <c r="U7648" s="21"/>
      <c r="V7648" s="115">
        <v>46123</v>
      </c>
      <c r="W7648" s="116">
        <v>1296</v>
      </c>
      <c r="X7648" s="220">
        <v>1535000</v>
      </c>
      <c r="Y7648" s="220">
        <f>X7648*0.1</f>
        <v>153500</v>
      </c>
      <c r="Z7648" s="220">
        <v>8990</v>
      </c>
      <c r="AA7648" s="220">
        <f>SUM(X7648:Z7648)</f>
        <v>1697490</v>
      </c>
      <c r="AB7648" s="222">
        <v>46126</v>
      </c>
    </row>
    <row r="7649" spans="1:28" ht="17.100000000000001" customHeight="1" thickBot="1">
      <c r="A7649" s="227"/>
      <c r="B7649" s="27" t="s">
        <v>21169</v>
      </c>
      <c r="C7649" s="27">
        <v>73</v>
      </c>
      <c r="D7649" s="14" t="s">
        <v>21175</v>
      </c>
      <c r="E7649" s="229"/>
      <c r="F7649" s="117" t="s">
        <v>21177</v>
      </c>
      <c r="G7649" s="26">
        <v>24449</v>
      </c>
      <c r="H7649" s="231"/>
      <c r="I7649" s="221"/>
      <c r="J7649" s="221"/>
      <c r="K7649" s="221"/>
      <c r="L7649" s="221"/>
      <c r="M7649" s="221"/>
      <c r="N7649" s="221"/>
      <c r="O7649" s="225"/>
      <c r="P7649" s="118" t="s">
        <v>2446</v>
      </c>
      <c r="Q7649" s="16" t="s">
        <v>20</v>
      </c>
      <c r="R7649" s="17" t="s">
        <v>1810</v>
      </c>
      <c r="S7649" s="121" t="s">
        <v>21707</v>
      </c>
      <c r="T7649" s="122"/>
      <c r="U7649" s="22"/>
      <c r="V7649" s="123" t="s">
        <v>2472</v>
      </c>
      <c r="W7649" s="122">
        <v>40076</v>
      </c>
      <c r="X7649" s="221"/>
      <c r="Y7649" s="221"/>
      <c r="Z7649" s="221"/>
      <c r="AA7649" s="221"/>
      <c r="AB7649" s="223"/>
    </row>
    <row r="7650" spans="1:28" ht="17.100000000000001" customHeight="1" thickTop="1">
      <c r="A7650" s="226" t="s">
        <v>21163</v>
      </c>
      <c r="B7650" s="28">
        <v>46112</v>
      </c>
      <c r="C7650" s="25">
        <v>984</v>
      </c>
      <c r="D7650" s="13" t="s">
        <v>21178</v>
      </c>
      <c r="E7650" s="228"/>
      <c r="F7650" s="109" t="s">
        <v>21179</v>
      </c>
      <c r="G7650" s="24"/>
      <c r="H7650" s="230">
        <v>4</v>
      </c>
      <c r="I7650" s="220">
        <v>776000</v>
      </c>
      <c r="J7650" s="220">
        <f>I7650*0.1</f>
        <v>77600</v>
      </c>
      <c r="K7650" s="220">
        <v>0</v>
      </c>
      <c r="L7650" s="220">
        <v>8550</v>
      </c>
      <c r="M7650" s="220">
        <v>22000</v>
      </c>
      <c r="N7650" s="220">
        <f>SUM(I7650:M7651)</f>
        <v>884150</v>
      </c>
      <c r="O7650" s="224"/>
      <c r="P7650" s="110" t="s">
        <v>21848</v>
      </c>
      <c r="Q7650" s="15" t="s">
        <v>19</v>
      </c>
      <c r="R7650" s="205"/>
      <c r="S7650" s="189" t="s">
        <v>25387</v>
      </c>
      <c r="T7650" s="114"/>
      <c r="U7650" s="21"/>
      <c r="V7650" s="115">
        <v>46119</v>
      </c>
      <c r="W7650" s="116">
        <v>1936</v>
      </c>
      <c r="X7650" s="220">
        <v>860000</v>
      </c>
      <c r="Y7650" s="220">
        <f>X7650*0.1</f>
        <v>86000</v>
      </c>
      <c r="Z7650" s="220">
        <v>8550</v>
      </c>
      <c r="AA7650" s="220">
        <f>SUM(X7650:Z7650)</f>
        <v>954550</v>
      </c>
      <c r="AB7650" s="222"/>
    </row>
    <row r="7651" spans="1:28" ht="17.100000000000001" customHeight="1" thickBot="1">
      <c r="A7651" s="227"/>
      <c r="B7651" s="27" t="s">
        <v>21169</v>
      </c>
      <c r="C7651" s="27">
        <v>107</v>
      </c>
      <c r="D7651" s="14" t="s">
        <v>2559</v>
      </c>
      <c r="E7651" s="229"/>
      <c r="F7651" s="117" t="s">
        <v>21180</v>
      </c>
      <c r="G7651" s="26">
        <v>57089</v>
      </c>
      <c r="H7651" s="231"/>
      <c r="I7651" s="221"/>
      <c r="J7651" s="221"/>
      <c r="K7651" s="221"/>
      <c r="L7651" s="221"/>
      <c r="M7651" s="221"/>
      <c r="N7651" s="221"/>
      <c r="O7651" s="225"/>
      <c r="P7651" s="118" t="s">
        <v>2446</v>
      </c>
      <c r="Q7651" s="16" t="s">
        <v>20</v>
      </c>
      <c r="R7651" s="17" t="s">
        <v>1810</v>
      </c>
      <c r="S7651" s="121" t="s">
        <v>1661</v>
      </c>
      <c r="T7651" s="122"/>
      <c r="U7651" s="22"/>
      <c r="V7651" s="123" t="s">
        <v>2103</v>
      </c>
      <c r="W7651" s="122">
        <v>3641</v>
      </c>
      <c r="X7651" s="221"/>
      <c r="Y7651" s="221"/>
      <c r="Z7651" s="221"/>
      <c r="AA7651" s="221"/>
      <c r="AB7651" s="223"/>
    </row>
    <row r="7652" spans="1:28" ht="17.100000000000001" customHeight="1" thickTop="1">
      <c r="A7652" s="226" t="s">
        <v>21164</v>
      </c>
      <c r="B7652" s="28">
        <v>46112</v>
      </c>
      <c r="C7652" s="25">
        <v>984</v>
      </c>
      <c r="D7652" s="13" t="s">
        <v>21181</v>
      </c>
      <c r="E7652" s="228"/>
      <c r="F7652" s="109" t="s">
        <v>21182</v>
      </c>
      <c r="G7652" s="24"/>
      <c r="H7652" s="230">
        <v>4</v>
      </c>
      <c r="I7652" s="220">
        <v>1046000</v>
      </c>
      <c r="J7652" s="220">
        <f>I7652*0.1</f>
        <v>104600</v>
      </c>
      <c r="K7652" s="220">
        <v>0</v>
      </c>
      <c r="L7652" s="220">
        <v>11100</v>
      </c>
      <c r="M7652" s="220">
        <v>22000</v>
      </c>
      <c r="N7652" s="220">
        <f>SUM(I7652:M7653)</f>
        <v>1183700</v>
      </c>
      <c r="O7652" s="224"/>
      <c r="P7652" s="110" t="s">
        <v>21924</v>
      </c>
      <c r="Q7652" s="15" t="s">
        <v>19</v>
      </c>
      <c r="R7652" s="205"/>
      <c r="S7652" s="189"/>
      <c r="T7652" s="114"/>
      <c r="U7652" s="21"/>
      <c r="V7652" s="115">
        <v>46162</v>
      </c>
      <c r="W7652" s="116">
        <v>1017</v>
      </c>
      <c r="X7652" s="220">
        <v>1070000</v>
      </c>
      <c r="Y7652" s="220">
        <f>X7652*0.1</f>
        <v>107000</v>
      </c>
      <c r="Z7652" s="220">
        <v>11100</v>
      </c>
      <c r="AA7652" s="220">
        <f>SUM(X7652:Z7652)</f>
        <v>1188100</v>
      </c>
      <c r="AB7652" s="222">
        <v>46167</v>
      </c>
    </row>
    <row r="7653" spans="1:28" ht="17.100000000000001" customHeight="1" thickBot="1">
      <c r="A7653" s="227"/>
      <c r="B7653" s="27" t="s">
        <v>21169</v>
      </c>
      <c r="C7653" s="27">
        <v>147</v>
      </c>
      <c r="D7653" s="14" t="s">
        <v>21171</v>
      </c>
      <c r="E7653" s="229"/>
      <c r="F7653" s="117" t="s">
        <v>21183</v>
      </c>
      <c r="G7653" s="26">
        <v>17167</v>
      </c>
      <c r="H7653" s="231"/>
      <c r="I7653" s="221"/>
      <c r="J7653" s="221"/>
      <c r="K7653" s="221"/>
      <c r="L7653" s="221"/>
      <c r="M7653" s="221"/>
      <c r="N7653" s="221"/>
      <c r="O7653" s="225"/>
      <c r="P7653" s="118" t="s">
        <v>2446</v>
      </c>
      <c r="Q7653" s="16" t="s">
        <v>20</v>
      </c>
      <c r="R7653" s="17" t="s">
        <v>1810</v>
      </c>
      <c r="S7653" s="121" t="s">
        <v>21925</v>
      </c>
      <c r="T7653" s="122"/>
      <c r="U7653" s="22"/>
      <c r="V7653" s="123" t="s">
        <v>2747</v>
      </c>
      <c r="W7653" s="122">
        <v>2042</v>
      </c>
      <c r="X7653" s="221"/>
      <c r="Y7653" s="221"/>
      <c r="Z7653" s="221"/>
      <c r="AA7653" s="221"/>
      <c r="AB7653" s="223"/>
    </row>
    <row r="7654" spans="1:28" ht="17.100000000000001" customHeight="1" thickTop="1">
      <c r="A7654" s="226" t="s">
        <v>21165</v>
      </c>
      <c r="B7654" s="28">
        <v>46112</v>
      </c>
      <c r="C7654" s="25">
        <v>984</v>
      </c>
      <c r="D7654" s="13" t="s">
        <v>21184</v>
      </c>
      <c r="E7654" s="228"/>
      <c r="F7654" s="109" t="s">
        <v>21186</v>
      </c>
      <c r="G7654" s="24"/>
      <c r="H7654" s="230">
        <v>4</v>
      </c>
      <c r="I7654" s="220">
        <v>916000</v>
      </c>
      <c r="J7654" s="220">
        <f>I7654*0.1</f>
        <v>91600</v>
      </c>
      <c r="K7654" s="220">
        <v>0</v>
      </c>
      <c r="L7654" s="220">
        <v>8110</v>
      </c>
      <c r="M7654" s="220">
        <v>22000</v>
      </c>
      <c r="N7654" s="220">
        <f>SUM(I7654:M7655)</f>
        <v>1037710</v>
      </c>
      <c r="O7654" s="224"/>
      <c r="P7654" s="110" t="s">
        <v>21923</v>
      </c>
      <c r="Q7654" s="15" t="s">
        <v>19</v>
      </c>
      <c r="R7654" s="205"/>
      <c r="S7654" s="189" t="s">
        <v>25733</v>
      </c>
      <c r="T7654" s="114"/>
      <c r="U7654" s="21"/>
      <c r="V7654" s="115">
        <v>46134</v>
      </c>
      <c r="W7654" s="116">
        <v>1014</v>
      </c>
      <c r="X7654" s="220">
        <v>970000</v>
      </c>
      <c r="Y7654" s="220">
        <f>X7654*0.1</f>
        <v>97000</v>
      </c>
      <c r="Z7654" s="220">
        <v>8110</v>
      </c>
      <c r="AA7654" s="220">
        <f>SUM(X7654:Z7654)</f>
        <v>1075110</v>
      </c>
      <c r="AB7654" s="222">
        <v>46139</v>
      </c>
    </row>
    <row r="7655" spans="1:28" ht="17.100000000000001" customHeight="1" thickBot="1">
      <c r="A7655" s="227"/>
      <c r="B7655" s="27" t="s">
        <v>21169</v>
      </c>
      <c r="C7655" s="27">
        <v>1016</v>
      </c>
      <c r="D7655" s="14" t="s">
        <v>2559</v>
      </c>
      <c r="E7655" s="229"/>
      <c r="F7655" s="117" t="s">
        <v>21185</v>
      </c>
      <c r="G7655" s="26">
        <v>52785</v>
      </c>
      <c r="H7655" s="231"/>
      <c r="I7655" s="221"/>
      <c r="J7655" s="221"/>
      <c r="K7655" s="221"/>
      <c r="L7655" s="221"/>
      <c r="M7655" s="221"/>
      <c r="N7655" s="221"/>
      <c r="O7655" s="225"/>
      <c r="P7655" s="118" t="s">
        <v>4946</v>
      </c>
      <c r="Q7655" s="16" t="s">
        <v>20</v>
      </c>
      <c r="R7655" s="17" t="s">
        <v>1810</v>
      </c>
      <c r="S7655" s="121" t="s">
        <v>21410</v>
      </c>
      <c r="T7655" s="122"/>
      <c r="U7655" s="22"/>
      <c r="V7655" s="123" t="s">
        <v>8877</v>
      </c>
      <c r="W7655" s="122">
        <v>5089</v>
      </c>
      <c r="X7655" s="221"/>
      <c r="Y7655" s="221"/>
      <c r="Z7655" s="221"/>
      <c r="AA7655" s="221"/>
      <c r="AB7655" s="223"/>
    </row>
    <row r="7656" spans="1:28" ht="17.100000000000001" customHeight="1" thickTop="1">
      <c r="A7656" s="226" t="s">
        <v>21166</v>
      </c>
      <c r="B7656" s="28">
        <v>46112</v>
      </c>
      <c r="C7656" s="25">
        <v>984</v>
      </c>
      <c r="D7656" s="13" t="s">
        <v>21187</v>
      </c>
      <c r="E7656" s="228"/>
      <c r="F7656" s="109" t="s">
        <v>21189</v>
      </c>
      <c r="G7656" s="24"/>
      <c r="H7656" s="230">
        <v>4</v>
      </c>
      <c r="I7656" s="220">
        <v>926000</v>
      </c>
      <c r="J7656" s="220">
        <f>I7656*0.1</f>
        <v>92600</v>
      </c>
      <c r="K7656" s="220">
        <v>0</v>
      </c>
      <c r="L7656" s="220">
        <v>7040</v>
      </c>
      <c r="M7656" s="220">
        <v>22000</v>
      </c>
      <c r="N7656" s="220">
        <f>SUM(I7656:M7657)</f>
        <v>1047640</v>
      </c>
      <c r="O7656" s="224"/>
      <c r="P7656" s="110" t="s">
        <v>21922</v>
      </c>
      <c r="Q7656" s="15" t="s">
        <v>19</v>
      </c>
      <c r="R7656" s="205"/>
      <c r="S7656" s="189" t="s">
        <v>758</v>
      </c>
      <c r="T7656" s="114"/>
      <c r="U7656" s="21"/>
      <c r="V7656" s="115">
        <v>46126</v>
      </c>
      <c r="W7656" s="116">
        <v>1937</v>
      </c>
      <c r="X7656" s="220">
        <v>1069000</v>
      </c>
      <c r="Y7656" s="220">
        <f>X7656*0.1</f>
        <v>106900</v>
      </c>
      <c r="Z7656" s="220">
        <v>7040</v>
      </c>
      <c r="AA7656" s="220">
        <f>SUM(X7656:Z7656)</f>
        <v>1182940</v>
      </c>
      <c r="AB7656" s="222"/>
    </row>
    <row r="7657" spans="1:28" ht="17.100000000000001" customHeight="1" thickBot="1">
      <c r="A7657" s="227"/>
      <c r="B7657" s="27" t="s">
        <v>21169</v>
      </c>
      <c r="C7657" s="27">
        <v>1020</v>
      </c>
      <c r="D7657" s="14" t="s">
        <v>21188</v>
      </c>
      <c r="E7657" s="229"/>
      <c r="F7657" s="117" t="s">
        <v>21190</v>
      </c>
      <c r="G7657" s="26">
        <v>44884</v>
      </c>
      <c r="H7657" s="231"/>
      <c r="I7657" s="221"/>
      <c r="J7657" s="221"/>
      <c r="K7657" s="221"/>
      <c r="L7657" s="221"/>
      <c r="M7657" s="221"/>
      <c r="N7657" s="221"/>
      <c r="O7657" s="225"/>
      <c r="P7657" s="118" t="s">
        <v>2446</v>
      </c>
      <c r="Q7657" s="16" t="s">
        <v>20</v>
      </c>
      <c r="R7657" s="17" t="s">
        <v>1810</v>
      </c>
      <c r="S7657" s="121" t="s">
        <v>21406</v>
      </c>
      <c r="T7657" s="122"/>
      <c r="U7657" s="22"/>
      <c r="V7657" s="123" t="s">
        <v>22485</v>
      </c>
      <c r="W7657" s="122">
        <v>3081</v>
      </c>
      <c r="X7657" s="221"/>
      <c r="Y7657" s="221"/>
      <c r="Z7657" s="221"/>
      <c r="AA7657" s="221"/>
      <c r="AB7657" s="223"/>
    </row>
    <row r="7658" spans="1:28" ht="17.100000000000001" customHeight="1" thickTop="1">
      <c r="A7658" s="226" t="s">
        <v>21167</v>
      </c>
      <c r="B7658" s="28">
        <v>46112</v>
      </c>
      <c r="C7658" s="25"/>
      <c r="D7658" s="13" t="s">
        <v>21193</v>
      </c>
      <c r="E7658" s="228"/>
      <c r="F7658" s="109" t="s">
        <v>14900</v>
      </c>
      <c r="G7658" s="24" t="s">
        <v>21195</v>
      </c>
      <c r="H7658" s="230">
        <v>4</v>
      </c>
      <c r="I7658" s="220">
        <v>750000</v>
      </c>
      <c r="J7658" s="220">
        <f>I7658*0.1</f>
        <v>75000</v>
      </c>
      <c r="K7658" s="220">
        <v>0</v>
      </c>
      <c r="L7658" s="220">
        <v>6830</v>
      </c>
      <c r="M7658" s="220">
        <v>0</v>
      </c>
      <c r="N7658" s="220">
        <f>SUM(I7658:M7659)</f>
        <v>831830</v>
      </c>
      <c r="O7658" s="224"/>
      <c r="P7658" s="110" t="s">
        <v>22669</v>
      </c>
      <c r="Q7658" s="15" t="s">
        <v>19</v>
      </c>
      <c r="R7658" s="205"/>
      <c r="S7658" s="189" t="s">
        <v>25691</v>
      </c>
      <c r="T7658" s="114"/>
      <c r="U7658" s="21"/>
      <c r="V7658" s="115">
        <v>46130</v>
      </c>
      <c r="W7658" s="116">
        <v>1297</v>
      </c>
      <c r="X7658" s="220">
        <v>855000</v>
      </c>
      <c r="Y7658" s="220">
        <f>X7658*0.1</f>
        <v>85500</v>
      </c>
      <c r="Z7658" s="220">
        <v>6830</v>
      </c>
      <c r="AA7658" s="220">
        <f>SUM(X7658:Z7658)</f>
        <v>947330</v>
      </c>
      <c r="AB7658" s="222">
        <v>46133</v>
      </c>
    </row>
    <row r="7659" spans="1:28" ht="17.100000000000001" customHeight="1" thickBot="1">
      <c r="A7659" s="227"/>
      <c r="B7659" s="27" t="s">
        <v>1708</v>
      </c>
      <c r="C7659" s="27" t="s">
        <v>21191</v>
      </c>
      <c r="D7659" s="14" t="s">
        <v>21194</v>
      </c>
      <c r="E7659" s="229"/>
      <c r="F7659" s="117" t="s">
        <v>21192</v>
      </c>
      <c r="G7659" s="26">
        <v>54117</v>
      </c>
      <c r="H7659" s="231"/>
      <c r="I7659" s="221"/>
      <c r="J7659" s="221"/>
      <c r="K7659" s="221"/>
      <c r="L7659" s="221"/>
      <c r="M7659" s="221"/>
      <c r="N7659" s="221"/>
      <c r="O7659" s="225"/>
      <c r="P7659" s="118" t="s">
        <v>22670</v>
      </c>
      <c r="Q7659" s="16" t="s">
        <v>20</v>
      </c>
      <c r="R7659" s="17" t="s">
        <v>1930</v>
      </c>
      <c r="S7659" s="121" t="s">
        <v>1601</v>
      </c>
      <c r="T7659" s="122"/>
      <c r="U7659" s="22"/>
      <c r="V7659" s="123" t="s">
        <v>2472</v>
      </c>
      <c r="W7659" s="122">
        <v>65202</v>
      </c>
      <c r="X7659" s="221"/>
      <c r="Y7659" s="221"/>
      <c r="Z7659" s="221"/>
      <c r="AA7659" s="221"/>
      <c r="AB7659" s="223"/>
    </row>
    <row r="7660" spans="1:28" ht="17.100000000000001" customHeight="1" thickTop="1">
      <c r="A7660" s="226" t="s">
        <v>21168</v>
      </c>
      <c r="B7660" s="28">
        <v>46112</v>
      </c>
      <c r="C7660" s="25">
        <v>1935</v>
      </c>
      <c r="D7660" s="13" t="s">
        <v>21227</v>
      </c>
      <c r="E7660" s="228"/>
      <c r="F7660" s="109" t="s">
        <v>21207</v>
      </c>
      <c r="G7660" s="24"/>
      <c r="H7660" s="230">
        <v>4</v>
      </c>
      <c r="I7660" s="220">
        <v>274000</v>
      </c>
      <c r="J7660" s="220">
        <f>I7660*0.1</f>
        <v>27400</v>
      </c>
      <c r="K7660" s="220">
        <v>0</v>
      </c>
      <c r="L7660" s="220">
        <v>8490</v>
      </c>
      <c r="M7660" s="220">
        <v>15950</v>
      </c>
      <c r="N7660" s="220">
        <f>SUM(I7660:M7661)</f>
        <v>325840</v>
      </c>
      <c r="O7660" s="224"/>
      <c r="P7660" s="110" t="s">
        <v>21403</v>
      </c>
      <c r="Q7660" s="15" t="s">
        <v>19</v>
      </c>
      <c r="R7660" s="205"/>
      <c r="S7660" s="189"/>
      <c r="T7660" s="114"/>
      <c r="U7660" s="21"/>
      <c r="V7660" s="115">
        <v>46116</v>
      </c>
      <c r="W7660" s="116">
        <v>1295</v>
      </c>
      <c r="X7660" s="220">
        <v>330000</v>
      </c>
      <c r="Y7660" s="220">
        <f>X7660*0.1</f>
        <v>33000</v>
      </c>
      <c r="Z7660" s="220">
        <v>8490</v>
      </c>
      <c r="AA7660" s="220">
        <f>SUM(X7660:Z7660)</f>
        <v>371490</v>
      </c>
      <c r="AB7660" s="222">
        <v>46119</v>
      </c>
    </row>
    <row r="7661" spans="1:28" ht="17.100000000000001" customHeight="1" thickBot="1">
      <c r="A7661" s="227"/>
      <c r="B7661" s="27" t="s">
        <v>21196</v>
      </c>
      <c r="C7661" s="27">
        <v>3387</v>
      </c>
      <c r="D7661" s="14" t="s">
        <v>2559</v>
      </c>
      <c r="E7661" s="229"/>
      <c r="F7661" s="117" t="s">
        <v>21208</v>
      </c>
      <c r="G7661" s="26">
        <v>56079</v>
      </c>
      <c r="H7661" s="231"/>
      <c r="I7661" s="221"/>
      <c r="J7661" s="221"/>
      <c r="K7661" s="221"/>
      <c r="L7661" s="221"/>
      <c r="M7661" s="221"/>
      <c r="N7661" s="221"/>
      <c r="O7661" s="225"/>
      <c r="P7661" s="118" t="s">
        <v>21404</v>
      </c>
      <c r="Q7661" s="16" t="s">
        <v>20</v>
      </c>
      <c r="R7661" s="17" t="s">
        <v>21379</v>
      </c>
      <c r="S7661" s="121" t="s">
        <v>7721</v>
      </c>
      <c r="T7661" s="122"/>
      <c r="U7661" s="22"/>
      <c r="V7661" s="123" t="s">
        <v>2472</v>
      </c>
      <c r="W7661" s="122">
        <v>60501</v>
      </c>
      <c r="X7661" s="221"/>
      <c r="Y7661" s="221"/>
      <c r="Z7661" s="221"/>
      <c r="AA7661" s="221"/>
      <c r="AB7661" s="223"/>
    </row>
    <row r="7662" spans="1:28" ht="17.100000000000001" customHeight="1" thickTop="1">
      <c r="A7662" s="226" t="s">
        <v>21197</v>
      </c>
      <c r="B7662" s="28">
        <v>46112</v>
      </c>
      <c r="C7662" s="25">
        <v>1935</v>
      </c>
      <c r="D7662" s="13" t="s">
        <v>21228</v>
      </c>
      <c r="E7662" s="228"/>
      <c r="F7662" s="109" t="s">
        <v>21209</v>
      </c>
      <c r="G7662" s="24" t="s">
        <v>21230</v>
      </c>
      <c r="H7662" s="230">
        <v>4.5</v>
      </c>
      <c r="I7662" s="220">
        <v>652000</v>
      </c>
      <c r="J7662" s="220">
        <f>I7662*0.1</f>
        <v>65200</v>
      </c>
      <c r="K7662" s="220">
        <v>10800</v>
      </c>
      <c r="L7662" s="220">
        <v>8230</v>
      </c>
      <c r="M7662" s="220">
        <v>15950</v>
      </c>
      <c r="N7662" s="220">
        <f>SUM(I7662:M7663)</f>
        <v>752180</v>
      </c>
      <c r="O7662" s="224"/>
      <c r="P7662" s="110" t="s">
        <v>21231</v>
      </c>
      <c r="Q7662" s="15" t="s">
        <v>19</v>
      </c>
      <c r="R7662" s="205"/>
      <c r="S7662" s="189" t="s">
        <v>25906</v>
      </c>
      <c r="T7662" s="114"/>
      <c r="U7662" s="85" t="s">
        <v>21878</v>
      </c>
      <c r="V7662" s="115">
        <v>46116</v>
      </c>
      <c r="W7662" s="116">
        <v>1295</v>
      </c>
      <c r="X7662" s="220">
        <v>800000</v>
      </c>
      <c r="Y7662" s="220">
        <f>X7662*0.1</f>
        <v>80000</v>
      </c>
      <c r="Z7662" s="220">
        <v>8230</v>
      </c>
      <c r="AA7662" s="220">
        <f>SUM(X7662:Z7662)</f>
        <v>888230</v>
      </c>
      <c r="AB7662" s="222">
        <v>46126</v>
      </c>
    </row>
    <row r="7663" spans="1:28" ht="17.100000000000001" customHeight="1" thickBot="1">
      <c r="A7663" s="227"/>
      <c r="B7663" s="27" t="s">
        <v>21196</v>
      </c>
      <c r="C7663" s="27">
        <v>3404</v>
      </c>
      <c r="D7663" s="14" t="s">
        <v>21229</v>
      </c>
      <c r="E7663" s="229"/>
      <c r="F7663" s="117" t="s">
        <v>21210</v>
      </c>
      <c r="G7663" s="26">
        <v>4461</v>
      </c>
      <c r="H7663" s="231"/>
      <c r="I7663" s="221"/>
      <c r="J7663" s="221"/>
      <c r="K7663" s="221"/>
      <c r="L7663" s="221"/>
      <c r="M7663" s="221"/>
      <c r="N7663" s="221"/>
      <c r="O7663" s="225"/>
      <c r="P7663" s="118" t="s">
        <v>21405</v>
      </c>
      <c r="Q7663" s="16" t="s">
        <v>20</v>
      </c>
      <c r="R7663" s="17" t="s">
        <v>21379</v>
      </c>
      <c r="S7663" s="121" t="s">
        <v>21406</v>
      </c>
      <c r="T7663" s="122"/>
      <c r="U7663" s="22"/>
      <c r="V7663" s="123" t="s">
        <v>6641</v>
      </c>
      <c r="W7663" s="122">
        <v>60506</v>
      </c>
      <c r="X7663" s="221"/>
      <c r="Y7663" s="221"/>
      <c r="Z7663" s="221"/>
      <c r="AA7663" s="221"/>
      <c r="AB7663" s="223"/>
    </row>
    <row r="7664" spans="1:28" ht="17.100000000000001" customHeight="1" thickTop="1">
      <c r="A7664" s="226" t="s">
        <v>21198</v>
      </c>
      <c r="B7664" s="28">
        <v>46112</v>
      </c>
      <c r="C7664" s="25">
        <v>1935</v>
      </c>
      <c r="D7664" s="13" t="s">
        <v>21232</v>
      </c>
      <c r="E7664" s="228"/>
      <c r="F7664" s="109" t="s">
        <v>21211</v>
      </c>
      <c r="G7664" s="24"/>
      <c r="H7664" s="230">
        <v>4</v>
      </c>
      <c r="I7664" s="220">
        <v>469000</v>
      </c>
      <c r="J7664" s="220">
        <f>I7664*0.1</f>
        <v>46900</v>
      </c>
      <c r="K7664" s="220">
        <v>0</v>
      </c>
      <c r="L7664" s="220">
        <v>9300</v>
      </c>
      <c r="M7664" s="220">
        <v>15950</v>
      </c>
      <c r="N7664" s="220">
        <f>SUM(I7664:M7665)</f>
        <v>541150</v>
      </c>
      <c r="O7664" s="224"/>
      <c r="P7664" s="110" t="s">
        <v>21401</v>
      </c>
      <c r="Q7664" s="15" t="s">
        <v>19</v>
      </c>
      <c r="R7664" s="205"/>
      <c r="S7664" s="189"/>
      <c r="T7664" s="114"/>
      <c r="U7664" s="21"/>
      <c r="V7664" s="115">
        <v>46123</v>
      </c>
      <c r="W7664" s="116">
        <v>1296</v>
      </c>
      <c r="X7664" s="220">
        <v>540000</v>
      </c>
      <c r="Y7664" s="220">
        <f>X7664*0.1</f>
        <v>54000</v>
      </c>
      <c r="Z7664" s="220">
        <v>9300</v>
      </c>
      <c r="AA7664" s="220">
        <f>SUM(X7664:Z7664)</f>
        <v>603300</v>
      </c>
      <c r="AB7664" s="222">
        <v>46126</v>
      </c>
    </row>
    <row r="7665" spans="1:28" ht="17.100000000000001" customHeight="1" thickBot="1">
      <c r="A7665" s="227"/>
      <c r="B7665" s="27" t="s">
        <v>21196</v>
      </c>
      <c r="C7665" s="27">
        <v>3449</v>
      </c>
      <c r="D7665" s="14" t="s">
        <v>21171</v>
      </c>
      <c r="E7665" s="229"/>
      <c r="F7665" s="117" t="s">
        <v>21212</v>
      </c>
      <c r="G7665" s="26">
        <v>40618</v>
      </c>
      <c r="H7665" s="231"/>
      <c r="I7665" s="221"/>
      <c r="J7665" s="221"/>
      <c r="K7665" s="221"/>
      <c r="L7665" s="221"/>
      <c r="M7665" s="221"/>
      <c r="N7665" s="221"/>
      <c r="O7665" s="225"/>
      <c r="P7665" s="118" t="s">
        <v>21402</v>
      </c>
      <c r="Q7665" s="16" t="s">
        <v>20</v>
      </c>
      <c r="R7665" s="17" t="s">
        <v>21379</v>
      </c>
      <c r="S7665" s="121" t="s">
        <v>2236</v>
      </c>
      <c r="T7665" s="122"/>
      <c r="U7665" s="22"/>
      <c r="V7665" s="123" t="s">
        <v>2472</v>
      </c>
      <c r="W7665" s="122">
        <v>60167</v>
      </c>
      <c r="X7665" s="221"/>
      <c r="Y7665" s="221"/>
      <c r="Z7665" s="221"/>
      <c r="AA7665" s="221"/>
      <c r="AB7665" s="223"/>
    </row>
    <row r="7666" spans="1:28" ht="17.100000000000001" customHeight="1" thickTop="1">
      <c r="A7666" s="226" t="s">
        <v>21199</v>
      </c>
      <c r="B7666" s="28">
        <v>46112</v>
      </c>
      <c r="C7666" s="25">
        <v>1935</v>
      </c>
      <c r="D7666" s="13" t="s">
        <v>21233</v>
      </c>
      <c r="E7666" s="228"/>
      <c r="F7666" s="109" t="s">
        <v>21213</v>
      </c>
      <c r="G7666" s="24"/>
      <c r="H7666" s="230">
        <v>4.5</v>
      </c>
      <c r="I7666" s="220">
        <v>1243000</v>
      </c>
      <c r="J7666" s="220">
        <f>I7666*0.1</f>
        <v>124300</v>
      </c>
      <c r="K7666" s="220">
        <v>0</v>
      </c>
      <c r="L7666" s="220">
        <v>19090</v>
      </c>
      <c r="M7666" s="220">
        <v>15950</v>
      </c>
      <c r="N7666" s="220">
        <f>SUM(I7666:M7667)</f>
        <v>1402340</v>
      </c>
      <c r="O7666" s="224"/>
      <c r="P7666" s="110" t="s">
        <v>21388</v>
      </c>
      <c r="Q7666" s="15" t="s">
        <v>19</v>
      </c>
      <c r="R7666" s="205"/>
      <c r="S7666" s="189" t="s">
        <v>283</v>
      </c>
      <c r="T7666" s="114"/>
      <c r="U7666" s="21"/>
      <c r="V7666" s="115">
        <v>46116</v>
      </c>
      <c r="W7666" s="116">
        <v>1295</v>
      </c>
      <c r="X7666" s="220">
        <v>1385000</v>
      </c>
      <c r="Y7666" s="220">
        <f>X7666*0.1</f>
        <v>138500</v>
      </c>
      <c r="Z7666" s="220">
        <v>19090</v>
      </c>
      <c r="AA7666" s="220">
        <f>SUM(X7666:Z7666)</f>
        <v>1542590</v>
      </c>
      <c r="AB7666" s="222">
        <v>46119</v>
      </c>
    </row>
    <row r="7667" spans="1:28" ht="17.100000000000001" customHeight="1" thickBot="1">
      <c r="A7667" s="227"/>
      <c r="B7667" s="27" t="s">
        <v>21196</v>
      </c>
      <c r="C7667" s="27">
        <v>5017</v>
      </c>
      <c r="D7667" s="14" t="s">
        <v>21234</v>
      </c>
      <c r="E7667" s="229"/>
      <c r="F7667" s="117" t="s">
        <v>21235</v>
      </c>
      <c r="G7667" s="26">
        <v>61322</v>
      </c>
      <c r="H7667" s="231"/>
      <c r="I7667" s="221"/>
      <c r="J7667" s="221"/>
      <c r="K7667" s="221"/>
      <c r="L7667" s="221"/>
      <c r="M7667" s="221"/>
      <c r="N7667" s="221"/>
      <c r="O7667" s="225"/>
      <c r="P7667" s="118" t="s">
        <v>21389</v>
      </c>
      <c r="Q7667" s="16" t="s">
        <v>20</v>
      </c>
      <c r="R7667" s="17" t="s">
        <v>21379</v>
      </c>
      <c r="S7667" s="121" t="s">
        <v>21390</v>
      </c>
      <c r="T7667" s="122"/>
      <c r="U7667" s="22"/>
      <c r="V7667" s="123" t="s">
        <v>2472</v>
      </c>
      <c r="W7667" s="122">
        <v>80367</v>
      </c>
      <c r="X7667" s="221"/>
      <c r="Y7667" s="221"/>
      <c r="Z7667" s="221"/>
      <c r="AA7667" s="221"/>
      <c r="AB7667" s="223"/>
    </row>
    <row r="7668" spans="1:28" ht="17.100000000000001" customHeight="1" thickTop="1">
      <c r="A7668" s="226" t="s">
        <v>21200</v>
      </c>
      <c r="B7668" s="28">
        <v>46112</v>
      </c>
      <c r="C7668" s="25">
        <v>813</v>
      </c>
      <c r="D7668" s="13" t="s">
        <v>21236</v>
      </c>
      <c r="E7668" s="228"/>
      <c r="F7668" s="109" t="s">
        <v>21215</v>
      </c>
      <c r="G7668" s="24" t="s">
        <v>21238</v>
      </c>
      <c r="H7668" s="230">
        <v>4.5</v>
      </c>
      <c r="I7668" s="220">
        <v>782000</v>
      </c>
      <c r="J7668" s="220">
        <f>I7668*0.1</f>
        <v>78200</v>
      </c>
      <c r="K7668" s="220">
        <v>39500</v>
      </c>
      <c r="L7668" s="220">
        <v>17700</v>
      </c>
      <c r="M7668" s="220">
        <v>19250</v>
      </c>
      <c r="N7668" s="220">
        <f>SUM(I7668:M7669)</f>
        <v>936650</v>
      </c>
      <c r="O7668" s="224"/>
      <c r="P7668" s="110" t="s">
        <v>21239</v>
      </c>
      <c r="Q7668" s="15" t="s">
        <v>19</v>
      </c>
      <c r="R7668" s="205"/>
      <c r="S7668" s="189"/>
      <c r="T7668" s="114"/>
      <c r="U7668" s="21"/>
      <c r="V7668" s="115">
        <v>46144</v>
      </c>
      <c r="W7668" s="116">
        <v>1299</v>
      </c>
      <c r="X7668" s="220">
        <v>900000</v>
      </c>
      <c r="Y7668" s="220">
        <f>X7668*0.1</f>
        <v>90000</v>
      </c>
      <c r="Z7668" s="220">
        <v>17700</v>
      </c>
      <c r="AA7668" s="220">
        <f>SUM(X7668:Z7668)</f>
        <v>1007700</v>
      </c>
      <c r="AB7668" s="222">
        <v>46154</v>
      </c>
    </row>
    <row r="7669" spans="1:28" ht="17.100000000000001" customHeight="1" thickBot="1">
      <c r="A7669" s="227"/>
      <c r="B7669" s="27" t="s">
        <v>21214</v>
      </c>
      <c r="C7669" s="27">
        <v>5012</v>
      </c>
      <c r="D7669" s="14" t="s">
        <v>21237</v>
      </c>
      <c r="E7669" s="229"/>
      <c r="F7669" s="117" t="s">
        <v>21888</v>
      </c>
      <c r="G7669" s="26">
        <v>37047</v>
      </c>
      <c r="H7669" s="231"/>
      <c r="I7669" s="221"/>
      <c r="J7669" s="221"/>
      <c r="K7669" s="221"/>
      <c r="L7669" s="221"/>
      <c r="M7669" s="221"/>
      <c r="N7669" s="221"/>
      <c r="O7669" s="225"/>
      <c r="P7669" s="118" t="s">
        <v>21889</v>
      </c>
      <c r="Q7669" s="16" t="s">
        <v>20</v>
      </c>
      <c r="R7669" s="17" t="s">
        <v>1810</v>
      </c>
      <c r="S7669" s="121" t="s">
        <v>1731</v>
      </c>
      <c r="T7669" s="122"/>
      <c r="U7669" s="22"/>
      <c r="V7669" s="123" t="s">
        <v>7160</v>
      </c>
      <c r="W7669" s="122">
        <v>80159</v>
      </c>
      <c r="X7669" s="221"/>
      <c r="Y7669" s="221"/>
      <c r="Z7669" s="221"/>
      <c r="AA7669" s="221"/>
      <c r="AB7669" s="223"/>
    </row>
    <row r="7670" spans="1:28" ht="17.100000000000001" customHeight="1" thickTop="1">
      <c r="A7670" s="226" t="s">
        <v>21201</v>
      </c>
      <c r="B7670" s="28">
        <v>46112</v>
      </c>
      <c r="C7670" s="25">
        <v>933</v>
      </c>
      <c r="D7670" s="13" t="s">
        <v>21240</v>
      </c>
      <c r="E7670" s="228"/>
      <c r="F7670" s="109" t="s">
        <v>21217</v>
      </c>
      <c r="G7670" s="24" t="s">
        <v>21238</v>
      </c>
      <c r="H7670" s="230">
        <v>4.5</v>
      </c>
      <c r="I7670" s="220">
        <v>812000</v>
      </c>
      <c r="J7670" s="220">
        <f>I7670*0.1</f>
        <v>81200</v>
      </c>
      <c r="K7670" s="220">
        <v>10800</v>
      </c>
      <c r="L7670" s="220">
        <v>8790</v>
      </c>
      <c r="M7670" s="220">
        <v>15950</v>
      </c>
      <c r="N7670" s="220">
        <f>SUM(I7670:M7671)</f>
        <v>928740</v>
      </c>
      <c r="O7670" s="224"/>
      <c r="P7670" s="110" t="s">
        <v>21242</v>
      </c>
      <c r="Q7670" s="15" t="s">
        <v>19</v>
      </c>
      <c r="R7670" s="205"/>
      <c r="S7670" s="189"/>
      <c r="T7670" s="114"/>
      <c r="U7670" s="21" t="s">
        <v>23150</v>
      </c>
      <c r="V7670" s="115">
        <v>46158</v>
      </c>
      <c r="W7670" s="116">
        <v>1300</v>
      </c>
      <c r="X7670" s="220">
        <v>885000</v>
      </c>
      <c r="Y7670" s="220">
        <f>X7670*0.1</f>
        <v>88500</v>
      </c>
      <c r="Z7670" s="220">
        <v>8790</v>
      </c>
      <c r="AA7670" s="220">
        <f>SUM(X7670:Z7670)</f>
        <v>982290</v>
      </c>
      <c r="AB7670" s="222">
        <v>46161</v>
      </c>
    </row>
    <row r="7671" spans="1:28" ht="17.100000000000001" customHeight="1" thickBot="1">
      <c r="A7671" s="227"/>
      <c r="B7671" s="27" t="s">
        <v>21216</v>
      </c>
      <c r="C7671" s="27">
        <v>3086</v>
      </c>
      <c r="D7671" s="14" t="s">
        <v>21241</v>
      </c>
      <c r="E7671" s="229"/>
      <c r="F7671" s="117" t="s">
        <v>21218</v>
      </c>
      <c r="G7671" s="26">
        <v>53070</v>
      </c>
      <c r="H7671" s="231"/>
      <c r="I7671" s="221"/>
      <c r="J7671" s="221"/>
      <c r="K7671" s="221"/>
      <c r="L7671" s="221"/>
      <c r="M7671" s="221"/>
      <c r="N7671" s="221"/>
      <c r="O7671" s="225"/>
      <c r="P7671" s="118" t="s">
        <v>21398</v>
      </c>
      <c r="Q7671" s="16" t="s">
        <v>20</v>
      </c>
      <c r="R7671" s="17" t="s">
        <v>21379</v>
      </c>
      <c r="S7671" s="121"/>
      <c r="T7671" s="122"/>
      <c r="U7671" s="22"/>
      <c r="V7671" s="123" t="s">
        <v>2472</v>
      </c>
      <c r="W7671" s="122">
        <v>60065</v>
      </c>
      <c r="X7671" s="221"/>
      <c r="Y7671" s="221"/>
      <c r="Z7671" s="221"/>
      <c r="AA7671" s="221"/>
      <c r="AB7671" s="223"/>
    </row>
    <row r="7672" spans="1:28" ht="17.100000000000001" customHeight="1" thickTop="1">
      <c r="A7672" s="226" t="s">
        <v>21202</v>
      </c>
      <c r="B7672" s="28">
        <v>46112</v>
      </c>
      <c r="C7672" s="25">
        <v>933</v>
      </c>
      <c r="D7672" s="13" t="s">
        <v>21243</v>
      </c>
      <c r="E7672" s="228"/>
      <c r="F7672" s="109" t="s">
        <v>21219</v>
      </c>
      <c r="G7672" s="24" t="s">
        <v>21244</v>
      </c>
      <c r="H7672" s="230">
        <v>4.5</v>
      </c>
      <c r="I7672" s="220">
        <v>1010000</v>
      </c>
      <c r="J7672" s="220">
        <f>I7672*0.1</f>
        <v>101000</v>
      </c>
      <c r="K7672" s="220">
        <v>5000</v>
      </c>
      <c r="L7672" s="220">
        <v>8510</v>
      </c>
      <c r="M7672" s="220">
        <v>15950</v>
      </c>
      <c r="N7672" s="220">
        <f>SUM(I7672:M7673)</f>
        <v>1140460</v>
      </c>
      <c r="O7672" s="224"/>
      <c r="P7672" s="110" t="s">
        <v>21245</v>
      </c>
      <c r="Q7672" s="15" t="s">
        <v>19</v>
      </c>
      <c r="R7672" s="205"/>
      <c r="S7672" s="189" t="s">
        <v>25765</v>
      </c>
      <c r="T7672" s="114"/>
      <c r="U7672" s="21" t="s">
        <v>21694</v>
      </c>
      <c r="V7672" s="115">
        <v>46116</v>
      </c>
      <c r="W7672" s="116">
        <v>1295</v>
      </c>
      <c r="X7672" s="220">
        <v>1305000</v>
      </c>
      <c r="Y7672" s="220">
        <f>X7672*0.1</f>
        <v>130500</v>
      </c>
      <c r="Z7672" s="220">
        <v>8510</v>
      </c>
      <c r="AA7672" s="220">
        <f>SUM(X7672:Z7672)</f>
        <v>1444010</v>
      </c>
      <c r="AB7672" s="222">
        <v>46121</v>
      </c>
    </row>
    <row r="7673" spans="1:28" ht="17.100000000000001" customHeight="1" thickBot="1">
      <c r="A7673" s="227"/>
      <c r="B7673" s="27" t="s">
        <v>21216</v>
      </c>
      <c r="C7673" s="27">
        <v>3096</v>
      </c>
      <c r="D7673" s="14" t="s">
        <v>2559</v>
      </c>
      <c r="E7673" s="229"/>
      <c r="F7673" s="117" t="s">
        <v>21220</v>
      </c>
      <c r="G7673" s="26">
        <v>31453</v>
      </c>
      <c r="H7673" s="231"/>
      <c r="I7673" s="221"/>
      <c r="J7673" s="221"/>
      <c r="K7673" s="221"/>
      <c r="L7673" s="221"/>
      <c r="M7673" s="221"/>
      <c r="N7673" s="221"/>
      <c r="O7673" s="225"/>
      <c r="P7673" s="118" t="s">
        <v>21399</v>
      </c>
      <c r="Q7673" s="16" t="s">
        <v>20</v>
      </c>
      <c r="R7673" s="17" t="s">
        <v>21379</v>
      </c>
      <c r="S7673" s="121" t="s">
        <v>21400</v>
      </c>
      <c r="T7673" s="122"/>
      <c r="U7673" s="22"/>
      <c r="V7673" s="123" t="s">
        <v>2472</v>
      </c>
      <c r="W7673" s="122">
        <v>60505</v>
      </c>
      <c r="X7673" s="221"/>
      <c r="Y7673" s="221"/>
      <c r="Z7673" s="221"/>
      <c r="AA7673" s="221"/>
      <c r="AB7673" s="223"/>
    </row>
    <row r="7674" spans="1:28" ht="17.100000000000001" customHeight="1" thickTop="1">
      <c r="A7674" s="226" t="s">
        <v>21203</v>
      </c>
      <c r="B7674" s="28">
        <v>46112</v>
      </c>
      <c r="C7674" s="25">
        <v>933</v>
      </c>
      <c r="D7674" s="13" t="s">
        <v>21246</v>
      </c>
      <c r="E7674" s="228"/>
      <c r="F7674" s="109" t="s">
        <v>21221</v>
      </c>
      <c r="G7674" s="24"/>
      <c r="H7674" s="230">
        <v>3.5</v>
      </c>
      <c r="I7674" s="220">
        <v>964000</v>
      </c>
      <c r="J7674" s="220">
        <f>I7674*0.1</f>
        <v>96400</v>
      </c>
      <c r="K7674" s="220">
        <v>0</v>
      </c>
      <c r="L7674" s="220">
        <v>6550</v>
      </c>
      <c r="M7674" s="220">
        <v>15950</v>
      </c>
      <c r="N7674" s="220">
        <f>SUM(I7674:M7675)</f>
        <v>1082900</v>
      </c>
      <c r="O7674" s="224"/>
      <c r="P7674" s="110" t="s">
        <v>21391</v>
      </c>
      <c r="Q7674" s="15" t="s">
        <v>19</v>
      </c>
      <c r="R7674" s="205"/>
      <c r="S7674" s="189" t="s">
        <v>758</v>
      </c>
      <c r="T7674" s="114"/>
      <c r="U7674" s="21"/>
      <c r="V7674" s="115">
        <v>46116</v>
      </c>
      <c r="W7674" s="116">
        <v>1295</v>
      </c>
      <c r="X7674" s="220">
        <v>1080000</v>
      </c>
      <c r="Y7674" s="220">
        <f>X7674*0.1</f>
        <v>108000</v>
      </c>
      <c r="Z7674" s="220">
        <v>6550</v>
      </c>
      <c r="AA7674" s="220">
        <f>SUM(X7674:Z7674)</f>
        <v>1194550</v>
      </c>
      <c r="AB7674" s="222">
        <v>46119</v>
      </c>
    </row>
    <row r="7675" spans="1:28" ht="17.100000000000001" customHeight="1" thickBot="1">
      <c r="A7675" s="227"/>
      <c r="B7675" s="27" t="s">
        <v>21216</v>
      </c>
      <c r="C7675" s="27">
        <v>3098</v>
      </c>
      <c r="D7675" s="14" t="s">
        <v>21171</v>
      </c>
      <c r="E7675" s="229"/>
      <c r="F7675" s="117" t="s">
        <v>21222</v>
      </c>
      <c r="G7675" s="26">
        <v>20209</v>
      </c>
      <c r="H7675" s="231"/>
      <c r="I7675" s="221"/>
      <c r="J7675" s="221"/>
      <c r="K7675" s="221"/>
      <c r="L7675" s="221"/>
      <c r="M7675" s="221"/>
      <c r="N7675" s="221"/>
      <c r="O7675" s="225"/>
      <c r="P7675" s="118" t="s">
        <v>21392</v>
      </c>
      <c r="Q7675" s="16" t="s">
        <v>20</v>
      </c>
      <c r="R7675" s="17" t="s">
        <v>21379</v>
      </c>
      <c r="S7675" s="121" t="s">
        <v>21393</v>
      </c>
      <c r="T7675" s="122"/>
      <c r="U7675" s="22"/>
      <c r="V7675" s="123" t="s">
        <v>2472</v>
      </c>
      <c r="W7675" s="122">
        <v>60570</v>
      </c>
      <c r="X7675" s="221"/>
      <c r="Y7675" s="221"/>
      <c r="Z7675" s="221"/>
      <c r="AA7675" s="221"/>
      <c r="AB7675" s="223"/>
    </row>
    <row r="7676" spans="1:28" ht="17.100000000000001" customHeight="1" thickTop="1">
      <c r="A7676" s="226" t="s">
        <v>21204</v>
      </c>
      <c r="B7676" s="28">
        <v>46112</v>
      </c>
      <c r="C7676" s="25">
        <v>933</v>
      </c>
      <c r="D7676" s="13" t="s">
        <v>21247</v>
      </c>
      <c r="E7676" s="228"/>
      <c r="F7676" s="109" t="s">
        <v>21223</v>
      </c>
      <c r="G7676" s="24"/>
      <c r="H7676" s="230">
        <v>5</v>
      </c>
      <c r="I7676" s="220">
        <v>1049000</v>
      </c>
      <c r="J7676" s="220">
        <f>I7676*0.1</f>
        <v>104900</v>
      </c>
      <c r="K7676" s="220">
        <v>0</v>
      </c>
      <c r="L7676" s="220">
        <v>8130</v>
      </c>
      <c r="M7676" s="220">
        <v>15950</v>
      </c>
      <c r="N7676" s="220">
        <f>SUM(I7676:M7677)</f>
        <v>1177980</v>
      </c>
      <c r="O7676" s="224"/>
      <c r="P7676" s="110" t="s">
        <v>21668</v>
      </c>
      <c r="Q7676" s="15" t="s">
        <v>19</v>
      </c>
      <c r="R7676" s="205"/>
      <c r="S7676" s="189"/>
      <c r="T7676" s="114"/>
      <c r="U7676" s="21"/>
      <c r="V7676" s="115">
        <v>46125</v>
      </c>
      <c r="W7676" s="116"/>
      <c r="X7676" s="220">
        <v>1230000</v>
      </c>
      <c r="Y7676" s="220">
        <f>X7676*0.1</f>
        <v>123000</v>
      </c>
      <c r="Z7676" s="220">
        <v>8130</v>
      </c>
      <c r="AA7676" s="220">
        <f>SUM(X7676:Z7676)</f>
        <v>1361130</v>
      </c>
      <c r="AB7676" s="222"/>
    </row>
    <row r="7677" spans="1:28" ht="17.100000000000001" customHeight="1" thickBot="1">
      <c r="A7677" s="227"/>
      <c r="B7677" s="27" t="s">
        <v>21216</v>
      </c>
      <c r="C7677" s="27">
        <v>3118</v>
      </c>
      <c r="D7677" s="14" t="s">
        <v>21229</v>
      </c>
      <c r="E7677" s="229"/>
      <c r="F7677" s="117" t="s">
        <v>21224</v>
      </c>
      <c r="G7677" s="26">
        <v>33929</v>
      </c>
      <c r="H7677" s="231"/>
      <c r="I7677" s="221"/>
      <c r="J7677" s="221"/>
      <c r="K7677" s="221"/>
      <c r="L7677" s="221"/>
      <c r="M7677" s="221"/>
      <c r="N7677" s="221"/>
      <c r="O7677" s="225"/>
      <c r="P7677" s="118" t="s">
        <v>1972</v>
      </c>
      <c r="Q7677" s="16" t="s">
        <v>20</v>
      </c>
      <c r="R7677" s="17" t="s">
        <v>1555</v>
      </c>
      <c r="S7677" s="121" t="s">
        <v>21700</v>
      </c>
      <c r="T7677" s="122"/>
      <c r="U7677" s="22"/>
      <c r="V7677" s="123" t="s">
        <v>22423</v>
      </c>
      <c r="W7677" s="122">
        <v>46803</v>
      </c>
      <c r="X7677" s="221"/>
      <c r="Y7677" s="221"/>
      <c r="Z7677" s="221"/>
      <c r="AA7677" s="221"/>
      <c r="AB7677" s="223"/>
    </row>
    <row r="7678" spans="1:28" ht="17.100000000000001" customHeight="1" thickTop="1">
      <c r="A7678" s="226" t="s">
        <v>21205</v>
      </c>
      <c r="B7678" s="28">
        <v>46112</v>
      </c>
      <c r="C7678" s="25">
        <v>933</v>
      </c>
      <c r="D7678" s="13" t="s">
        <v>21228</v>
      </c>
      <c r="E7678" s="228"/>
      <c r="F7678" s="109" t="s">
        <v>21215</v>
      </c>
      <c r="G7678" s="24"/>
      <c r="H7678" s="230">
        <v>4</v>
      </c>
      <c r="I7678" s="220">
        <v>1200000</v>
      </c>
      <c r="J7678" s="220">
        <f>I7678*0.1</f>
        <v>120000</v>
      </c>
      <c r="K7678" s="220">
        <v>0</v>
      </c>
      <c r="L7678" s="220">
        <v>17700</v>
      </c>
      <c r="M7678" s="220">
        <v>20900</v>
      </c>
      <c r="N7678" s="220">
        <f>SUM(I7678:M7679)</f>
        <v>1358600</v>
      </c>
      <c r="O7678" s="224"/>
      <c r="P7678" s="110" t="s">
        <v>21386</v>
      </c>
      <c r="Q7678" s="15" t="s">
        <v>19</v>
      </c>
      <c r="R7678" s="205"/>
      <c r="S7678" s="189"/>
      <c r="T7678" s="114"/>
      <c r="U7678" s="21"/>
      <c r="V7678" s="115">
        <v>46116</v>
      </c>
      <c r="W7678" s="116">
        <v>1295</v>
      </c>
      <c r="X7678" s="220">
        <v>1380000</v>
      </c>
      <c r="Y7678" s="220">
        <f>X7678*0.1</f>
        <v>138000</v>
      </c>
      <c r="Z7678" s="220">
        <v>17700</v>
      </c>
      <c r="AA7678" s="220">
        <f>SUM(X7678:Z7678)</f>
        <v>1535700</v>
      </c>
      <c r="AB7678" s="222">
        <v>46119</v>
      </c>
    </row>
    <row r="7679" spans="1:28" ht="17.100000000000001" customHeight="1" thickBot="1">
      <c r="A7679" s="227"/>
      <c r="B7679" s="27" t="s">
        <v>21216</v>
      </c>
      <c r="C7679" s="27">
        <v>5022</v>
      </c>
      <c r="D7679" s="14" t="s">
        <v>1797</v>
      </c>
      <c r="E7679" s="229"/>
      <c r="F7679" s="117" t="s">
        <v>21248</v>
      </c>
      <c r="G7679" s="26">
        <v>37350</v>
      </c>
      <c r="H7679" s="231"/>
      <c r="I7679" s="221"/>
      <c r="J7679" s="221"/>
      <c r="K7679" s="221"/>
      <c r="L7679" s="221"/>
      <c r="M7679" s="221"/>
      <c r="N7679" s="221"/>
      <c r="O7679" s="225"/>
      <c r="P7679" s="118" t="s">
        <v>21387</v>
      </c>
      <c r="Q7679" s="16" t="s">
        <v>20</v>
      </c>
      <c r="R7679" s="17" t="s">
        <v>21379</v>
      </c>
      <c r="S7679" s="121"/>
      <c r="T7679" s="122"/>
      <c r="U7679" s="22"/>
      <c r="V7679" s="123" t="s">
        <v>2472</v>
      </c>
      <c r="W7679" s="122">
        <v>80390</v>
      </c>
      <c r="X7679" s="221"/>
      <c r="Y7679" s="221"/>
      <c r="Z7679" s="221"/>
      <c r="AA7679" s="221"/>
      <c r="AB7679" s="223"/>
    </row>
    <row r="7680" spans="1:28" ht="17.100000000000001" customHeight="1" thickTop="1">
      <c r="A7680" s="226" t="s">
        <v>21206</v>
      </c>
      <c r="B7680" s="28">
        <v>46112</v>
      </c>
      <c r="C7680" s="25">
        <v>1234</v>
      </c>
      <c r="D7680" s="13" t="s">
        <v>21249</v>
      </c>
      <c r="E7680" s="228"/>
      <c r="F7680" s="109" t="s">
        <v>21226</v>
      </c>
      <c r="G7680" s="24"/>
      <c r="H7680" s="230">
        <v>4</v>
      </c>
      <c r="I7680" s="220">
        <v>1141000</v>
      </c>
      <c r="J7680" s="220">
        <f>I7680*0.1</f>
        <v>114100</v>
      </c>
      <c r="K7680" s="220">
        <v>0</v>
      </c>
      <c r="L7680" s="220">
        <v>7440</v>
      </c>
      <c r="M7680" s="220">
        <v>15950</v>
      </c>
      <c r="N7680" s="220">
        <f>SUM(I7680:M7681)</f>
        <v>1278490</v>
      </c>
      <c r="O7680" s="224"/>
      <c r="P7680" s="110" t="s">
        <v>21395</v>
      </c>
      <c r="Q7680" s="15" t="s">
        <v>19</v>
      </c>
      <c r="R7680" s="205"/>
      <c r="S7680" s="189" t="s">
        <v>25907</v>
      </c>
      <c r="T7680" s="114"/>
      <c r="U7680" s="21"/>
      <c r="V7680" s="115">
        <v>46116</v>
      </c>
      <c r="W7680" s="116">
        <v>1295</v>
      </c>
      <c r="X7680" s="220">
        <v>1300000</v>
      </c>
      <c r="Y7680" s="220">
        <f>X7680*0.1</f>
        <v>130000</v>
      </c>
      <c r="Z7680" s="220">
        <v>7440</v>
      </c>
      <c r="AA7680" s="220">
        <f>SUM(X7680:Z7680)</f>
        <v>1437440</v>
      </c>
      <c r="AB7680" s="222">
        <v>46119</v>
      </c>
    </row>
    <row r="7681" spans="1:28" ht="17.100000000000001" customHeight="1" thickBot="1">
      <c r="A7681" s="227"/>
      <c r="B7681" s="27" t="s">
        <v>21225</v>
      </c>
      <c r="C7681" s="27">
        <v>62063</v>
      </c>
      <c r="D7681" s="14" t="s">
        <v>1710</v>
      </c>
      <c r="E7681" s="229"/>
      <c r="F7681" s="117" t="s">
        <v>21394</v>
      </c>
      <c r="G7681" s="26">
        <v>29603</v>
      </c>
      <c r="H7681" s="231"/>
      <c r="I7681" s="221"/>
      <c r="J7681" s="221"/>
      <c r="K7681" s="221"/>
      <c r="L7681" s="221"/>
      <c r="M7681" s="221"/>
      <c r="N7681" s="221"/>
      <c r="O7681" s="225"/>
      <c r="P7681" s="118" t="s">
        <v>21396</v>
      </c>
      <c r="Q7681" s="16" t="s">
        <v>20</v>
      </c>
      <c r="R7681" s="17" t="s">
        <v>21379</v>
      </c>
      <c r="S7681" s="121" t="s">
        <v>21397</v>
      </c>
      <c r="T7681" s="122"/>
      <c r="U7681" s="22"/>
      <c r="V7681" s="123" t="s">
        <v>2472</v>
      </c>
      <c r="W7681" s="122">
        <v>41058</v>
      </c>
      <c r="X7681" s="221"/>
      <c r="Y7681" s="221"/>
      <c r="Z7681" s="221"/>
      <c r="AA7681" s="221"/>
      <c r="AB7681" s="223"/>
    </row>
    <row r="7682" spans="1:28" ht="17.100000000000001" customHeight="1" thickTop="1">
      <c r="A7682" s="226" t="s">
        <v>21251</v>
      </c>
      <c r="B7682" s="28">
        <v>46112</v>
      </c>
      <c r="C7682" s="25">
        <v>1282</v>
      </c>
      <c r="D7682" s="13" t="s">
        <v>2564</v>
      </c>
      <c r="E7682" s="228"/>
      <c r="F7682" s="109" t="s">
        <v>21278</v>
      </c>
      <c r="G7682" s="24"/>
      <c r="H7682" s="230">
        <v>4.5</v>
      </c>
      <c r="I7682" s="220">
        <v>1940000</v>
      </c>
      <c r="J7682" s="220">
        <f>I7682*0.1</f>
        <v>194000</v>
      </c>
      <c r="K7682" s="220">
        <v>0</v>
      </c>
      <c r="L7682" s="220">
        <v>24360</v>
      </c>
      <c r="M7682" s="220">
        <v>18150</v>
      </c>
      <c r="N7682" s="220">
        <f>SUM(I7682:M7683)</f>
        <v>2176510</v>
      </c>
      <c r="O7682" s="224"/>
      <c r="P7682" s="110" t="s">
        <v>21334</v>
      </c>
      <c r="Q7682" s="15" t="s">
        <v>19</v>
      </c>
      <c r="R7682" s="205"/>
      <c r="S7682" s="189" t="s">
        <v>1361</v>
      </c>
      <c r="T7682" s="114"/>
      <c r="U7682" s="21"/>
      <c r="V7682" s="115">
        <v>46123</v>
      </c>
      <c r="W7682" s="116">
        <v>1714</v>
      </c>
      <c r="X7682" s="220">
        <v>2060000</v>
      </c>
      <c r="Y7682" s="220">
        <f>X7682*0.1</f>
        <v>206000</v>
      </c>
      <c r="Z7682" s="220">
        <v>24360</v>
      </c>
      <c r="AA7682" s="220">
        <f>SUM(X7682:Z7682)</f>
        <v>2290360</v>
      </c>
      <c r="AB7682" s="222">
        <v>46124</v>
      </c>
    </row>
    <row r="7683" spans="1:28" ht="17.100000000000001" customHeight="1" thickBot="1">
      <c r="A7683" s="227"/>
      <c r="B7683" s="27" t="s">
        <v>7351</v>
      </c>
      <c r="C7683" s="27">
        <v>38031</v>
      </c>
      <c r="D7683" s="14" t="s">
        <v>1710</v>
      </c>
      <c r="E7683" s="229"/>
      <c r="F7683" s="117" t="s">
        <v>21265</v>
      </c>
      <c r="G7683" s="26">
        <v>55325</v>
      </c>
      <c r="H7683" s="231"/>
      <c r="I7683" s="221"/>
      <c r="J7683" s="221"/>
      <c r="K7683" s="221"/>
      <c r="L7683" s="221"/>
      <c r="M7683" s="221"/>
      <c r="N7683" s="221"/>
      <c r="O7683" s="225"/>
      <c r="P7683" s="118" t="s">
        <v>6983</v>
      </c>
      <c r="Q7683" s="16" t="s">
        <v>20</v>
      </c>
      <c r="R7683" s="17" t="s">
        <v>2913</v>
      </c>
      <c r="S7683" s="121" t="s">
        <v>169</v>
      </c>
      <c r="T7683" s="122"/>
      <c r="U7683" s="22"/>
      <c r="V7683" s="123" t="s">
        <v>22180</v>
      </c>
      <c r="W7683" s="122">
        <v>399</v>
      </c>
      <c r="X7683" s="221"/>
      <c r="Y7683" s="221"/>
      <c r="Z7683" s="221"/>
      <c r="AA7683" s="221"/>
      <c r="AB7683" s="223"/>
    </row>
    <row r="7684" spans="1:28" ht="17.100000000000001" customHeight="1" thickTop="1">
      <c r="A7684" s="226" t="s">
        <v>21252</v>
      </c>
      <c r="B7684" s="28">
        <v>46113</v>
      </c>
      <c r="C7684" s="25">
        <v>1011</v>
      </c>
      <c r="D7684" s="13" t="s">
        <v>2182</v>
      </c>
      <c r="E7684" s="228"/>
      <c r="F7684" s="109" t="s">
        <v>21255</v>
      </c>
      <c r="G7684" s="24" t="s">
        <v>2038</v>
      </c>
      <c r="H7684" s="230">
        <v>5</v>
      </c>
      <c r="I7684" s="220">
        <v>3355000</v>
      </c>
      <c r="J7684" s="220">
        <f>I7684*0.1</f>
        <v>335500</v>
      </c>
      <c r="K7684" s="220">
        <v>30690</v>
      </c>
      <c r="L7684" s="220">
        <v>12550</v>
      </c>
      <c r="M7684" s="220">
        <v>12100</v>
      </c>
      <c r="N7684" s="220">
        <f>SUM(I7684:M7685)</f>
        <v>3745840</v>
      </c>
      <c r="O7684" s="224"/>
      <c r="P7684" s="110" t="s">
        <v>21256</v>
      </c>
      <c r="Q7684" s="15" t="s">
        <v>19</v>
      </c>
      <c r="R7684" s="205"/>
      <c r="S7684" s="189" t="s">
        <v>25766</v>
      </c>
      <c r="T7684" s="114"/>
      <c r="U7684" s="21"/>
      <c r="V7684" s="115">
        <v>46116</v>
      </c>
      <c r="W7684" s="116">
        <v>1295</v>
      </c>
      <c r="X7684" s="220">
        <v>3410000</v>
      </c>
      <c r="Y7684" s="220">
        <f>X7684*0.1</f>
        <v>341000</v>
      </c>
      <c r="Z7684" s="220">
        <v>12550</v>
      </c>
      <c r="AA7684" s="220">
        <f>SUM(X7684:Z7684)</f>
        <v>3763550</v>
      </c>
      <c r="AB7684" s="222">
        <v>46126</v>
      </c>
    </row>
    <row r="7685" spans="1:28" ht="17.100000000000001" customHeight="1" thickBot="1">
      <c r="A7685" s="227"/>
      <c r="B7685" s="27" t="s">
        <v>2747</v>
      </c>
      <c r="C7685" s="27">
        <v>1185</v>
      </c>
      <c r="D7685" s="14" t="s">
        <v>1866</v>
      </c>
      <c r="E7685" s="229"/>
      <c r="F7685" s="117" t="s">
        <v>21253</v>
      </c>
      <c r="G7685" s="26">
        <v>23218</v>
      </c>
      <c r="H7685" s="231"/>
      <c r="I7685" s="221"/>
      <c r="J7685" s="221"/>
      <c r="K7685" s="221"/>
      <c r="L7685" s="221"/>
      <c r="M7685" s="221"/>
      <c r="N7685" s="221"/>
      <c r="O7685" s="225"/>
      <c r="P7685" s="118" t="s">
        <v>7414</v>
      </c>
      <c r="Q7685" s="16" t="s">
        <v>20</v>
      </c>
      <c r="R7685" s="17" t="s">
        <v>1780</v>
      </c>
      <c r="S7685" s="121" t="s">
        <v>16576</v>
      </c>
      <c r="T7685" s="122"/>
      <c r="U7685" s="22"/>
      <c r="V7685" s="123" t="s">
        <v>2472</v>
      </c>
      <c r="W7685" s="122">
        <v>182</v>
      </c>
      <c r="X7685" s="221"/>
      <c r="Y7685" s="221"/>
      <c r="Z7685" s="221"/>
      <c r="AA7685" s="221"/>
      <c r="AB7685" s="223"/>
    </row>
    <row r="7686" spans="1:28" ht="17.100000000000001" customHeight="1" thickTop="1">
      <c r="A7686" s="226" t="s">
        <v>21264</v>
      </c>
      <c r="B7686" s="28">
        <v>46113</v>
      </c>
      <c r="C7686" s="25">
        <v>1011</v>
      </c>
      <c r="D7686" s="13" t="s">
        <v>2320</v>
      </c>
      <c r="E7686" s="228"/>
      <c r="F7686" s="109" t="s">
        <v>14900</v>
      </c>
      <c r="G7686" s="24" t="s">
        <v>3867</v>
      </c>
      <c r="H7686" s="230">
        <v>6</v>
      </c>
      <c r="I7686" s="220">
        <v>1255000</v>
      </c>
      <c r="J7686" s="220">
        <f>I7686*0.1</f>
        <v>125500</v>
      </c>
      <c r="K7686" s="220">
        <v>0</v>
      </c>
      <c r="L7686" s="220">
        <v>8350</v>
      </c>
      <c r="M7686" s="220">
        <v>11000</v>
      </c>
      <c r="N7686" s="220">
        <f>SUM(I7686:M7687)</f>
        <v>1399850</v>
      </c>
      <c r="O7686" s="224"/>
      <c r="P7686" s="110" t="s">
        <v>21257</v>
      </c>
      <c r="Q7686" s="15" t="s">
        <v>19</v>
      </c>
      <c r="R7686" s="205"/>
      <c r="S7686" s="189" t="s">
        <v>25908</v>
      </c>
      <c r="T7686" s="114"/>
      <c r="U7686" s="21"/>
      <c r="V7686" s="115">
        <v>46119</v>
      </c>
      <c r="W7686" s="116">
        <v>1936</v>
      </c>
      <c r="X7686" s="220">
        <v>1276000</v>
      </c>
      <c r="Y7686" s="220">
        <f>X7686*0.1</f>
        <v>127600</v>
      </c>
      <c r="Z7686" s="220">
        <v>8350</v>
      </c>
      <c r="AA7686" s="220">
        <f>SUM(X7686:Z7686)</f>
        <v>1411950</v>
      </c>
      <c r="AB7686" s="222"/>
    </row>
    <row r="7687" spans="1:28" ht="17.100000000000001" customHeight="1" thickBot="1">
      <c r="A7687" s="227"/>
      <c r="B7687" s="27" t="s">
        <v>2747</v>
      </c>
      <c r="C7687" s="27">
        <v>2096</v>
      </c>
      <c r="D7687" s="14" t="s">
        <v>2753</v>
      </c>
      <c r="E7687" s="229"/>
      <c r="F7687" s="117" t="s">
        <v>21254</v>
      </c>
      <c r="G7687" s="26">
        <v>1146</v>
      </c>
      <c r="H7687" s="231"/>
      <c r="I7687" s="221"/>
      <c r="J7687" s="221"/>
      <c r="K7687" s="221"/>
      <c r="L7687" s="221"/>
      <c r="M7687" s="221"/>
      <c r="N7687" s="221"/>
      <c r="O7687" s="225"/>
      <c r="P7687" s="118" t="s">
        <v>21850</v>
      </c>
      <c r="Q7687" s="16" t="s">
        <v>20</v>
      </c>
      <c r="R7687" s="17" t="s">
        <v>1810</v>
      </c>
      <c r="S7687" s="121"/>
      <c r="T7687" s="122"/>
      <c r="U7687" s="22"/>
      <c r="V7687" s="123" t="s">
        <v>2103</v>
      </c>
      <c r="W7687" s="122">
        <v>3441</v>
      </c>
      <c r="X7687" s="221"/>
      <c r="Y7687" s="221"/>
      <c r="Z7687" s="221"/>
      <c r="AA7687" s="221"/>
      <c r="AB7687" s="223"/>
    </row>
    <row r="7688" spans="1:28" ht="17.100000000000001" customHeight="1" thickTop="1">
      <c r="A7688" s="226" t="s">
        <v>21266</v>
      </c>
      <c r="B7688" s="28">
        <v>46113</v>
      </c>
      <c r="C7688" s="25">
        <v>2349</v>
      </c>
      <c r="D7688" s="13" t="s">
        <v>1607</v>
      </c>
      <c r="E7688" s="228"/>
      <c r="F7688" s="109" t="s">
        <v>13317</v>
      </c>
      <c r="G7688" s="24" t="s">
        <v>3867</v>
      </c>
      <c r="H7688" s="230">
        <v>4.5</v>
      </c>
      <c r="I7688" s="220">
        <v>880000</v>
      </c>
      <c r="J7688" s="220">
        <f>I7688*0.1</f>
        <v>88000</v>
      </c>
      <c r="K7688" s="220">
        <f>31600+3160</f>
        <v>34760</v>
      </c>
      <c r="L7688" s="220">
        <v>11810</v>
      </c>
      <c r="M7688" s="220">
        <v>16500</v>
      </c>
      <c r="N7688" s="220">
        <f>SUM(I7688:M7689)</f>
        <v>1031070</v>
      </c>
      <c r="O7688" s="224"/>
      <c r="P7688" s="110" t="s">
        <v>21715</v>
      </c>
      <c r="Q7688" s="15" t="s">
        <v>19</v>
      </c>
      <c r="R7688" s="205"/>
      <c r="S7688" s="189" t="s">
        <v>1406</v>
      </c>
      <c r="T7688" s="114"/>
      <c r="U7688" s="21"/>
      <c r="V7688" s="115">
        <v>46116</v>
      </c>
      <c r="W7688" s="116">
        <v>1295</v>
      </c>
      <c r="X7688" s="220">
        <v>1030000</v>
      </c>
      <c r="Y7688" s="220">
        <f>X7688*0.1</f>
        <v>103000</v>
      </c>
      <c r="Z7688" s="220">
        <v>11810</v>
      </c>
      <c r="AA7688" s="220">
        <f>SUM(X7688:Z7688)</f>
        <v>1144810</v>
      </c>
      <c r="AB7688" s="222">
        <v>46126</v>
      </c>
    </row>
    <row r="7689" spans="1:28" ht="17.100000000000001" customHeight="1" thickBot="1">
      <c r="A7689" s="227"/>
      <c r="B7689" s="27" t="s">
        <v>3367</v>
      </c>
      <c r="C7689" s="27">
        <v>60005</v>
      </c>
      <c r="D7689" s="14" t="s">
        <v>1797</v>
      </c>
      <c r="E7689" s="229"/>
      <c r="F7689" s="117" t="s">
        <v>21269</v>
      </c>
      <c r="G7689" s="26">
        <v>19646</v>
      </c>
      <c r="H7689" s="231"/>
      <c r="I7689" s="221"/>
      <c r="J7689" s="221"/>
      <c r="K7689" s="221"/>
      <c r="L7689" s="221"/>
      <c r="M7689" s="221"/>
      <c r="N7689" s="221"/>
      <c r="O7689" s="225"/>
      <c r="P7689" s="118" t="s">
        <v>14144</v>
      </c>
      <c r="Q7689" s="16" t="s">
        <v>20</v>
      </c>
      <c r="R7689" s="17" t="s">
        <v>1901</v>
      </c>
      <c r="S7689" s="121" t="s">
        <v>1625</v>
      </c>
      <c r="T7689" s="122"/>
      <c r="U7689" s="22"/>
      <c r="V7689" s="123" t="s">
        <v>6641</v>
      </c>
      <c r="W7689" s="122">
        <v>80389</v>
      </c>
      <c r="X7689" s="221"/>
      <c r="Y7689" s="221"/>
      <c r="Z7689" s="221"/>
      <c r="AA7689" s="221"/>
      <c r="AB7689" s="223"/>
    </row>
    <row r="7690" spans="1:28" ht="17.100000000000001" customHeight="1" thickTop="1">
      <c r="A7690" s="226" t="s">
        <v>21267</v>
      </c>
      <c r="B7690" s="28">
        <v>46113</v>
      </c>
      <c r="C7690" s="25">
        <v>2349</v>
      </c>
      <c r="D7690" s="13" t="s">
        <v>1733</v>
      </c>
      <c r="E7690" s="228"/>
      <c r="F7690" s="109" t="s">
        <v>21270</v>
      </c>
      <c r="G7690" s="24"/>
      <c r="H7690" s="230">
        <v>4.5</v>
      </c>
      <c r="I7690" s="220">
        <v>1070000</v>
      </c>
      <c r="J7690" s="220">
        <f>I7690*0.1</f>
        <v>107000</v>
      </c>
      <c r="K7690" s="220">
        <v>0</v>
      </c>
      <c r="L7690" s="220">
        <v>9810</v>
      </c>
      <c r="M7690" s="220">
        <v>24200</v>
      </c>
      <c r="N7690" s="220">
        <f>SUM(I7690:M7691)</f>
        <v>1211010</v>
      </c>
      <c r="O7690" s="224"/>
      <c r="P7690" s="110" t="s">
        <v>21411</v>
      </c>
      <c r="Q7690" s="15" t="s">
        <v>19</v>
      </c>
      <c r="R7690" s="205"/>
      <c r="S7690" s="189" t="s">
        <v>25909</v>
      </c>
      <c r="T7690" s="114"/>
      <c r="U7690" s="21"/>
      <c r="V7690" s="115">
        <v>46123</v>
      </c>
      <c r="W7690" s="116">
        <v>1296</v>
      </c>
      <c r="X7690" s="220">
        <v>1145000</v>
      </c>
      <c r="Y7690" s="220">
        <f>X7690*0.1</f>
        <v>114500</v>
      </c>
      <c r="Z7690" s="220">
        <v>9810</v>
      </c>
      <c r="AA7690" s="220">
        <f>SUM(X7690:Z7690)</f>
        <v>1269310</v>
      </c>
      <c r="AB7690" s="222">
        <v>46126</v>
      </c>
    </row>
    <row r="7691" spans="1:28" ht="17.100000000000001" customHeight="1" thickBot="1">
      <c r="A7691" s="227"/>
      <c r="B7691" s="27" t="s">
        <v>3367</v>
      </c>
      <c r="C7691" s="27">
        <v>60064</v>
      </c>
      <c r="D7691" s="14" t="s">
        <v>54</v>
      </c>
      <c r="E7691" s="229"/>
      <c r="F7691" s="117" t="s">
        <v>21271</v>
      </c>
      <c r="G7691" s="26">
        <v>55202</v>
      </c>
      <c r="H7691" s="231"/>
      <c r="I7691" s="221"/>
      <c r="J7691" s="221"/>
      <c r="K7691" s="221"/>
      <c r="L7691" s="221"/>
      <c r="M7691" s="221"/>
      <c r="N7691" s="221"/>
      <c r="O7691" s="225"/>
      <c r="P7691" s="118" t="s">
        <v>21412</v>
      </c>
      <c r="Q7691" s="16" t="s">
        <v>20</v>
      </c>
      <c r="R7691" s="17" t="s">
        <v>21379</v>
      </c>
      <c r="S7691" s="121" t="s">
        <v>21413</v>
      </c>
      <c r="T7691" s="122"/>
      <c r="U7691" s="22"/>
      <c r="V7691" s="123" t="s">
        <v>2472</v>
      </c>
      <c r="W7691" s="122">
        <v>55035</v>
      </c>
      <c r="X7691" s="221"/>
      <c r="Y7691" s="221"/>
      <c r="Z7691" s="221"/>
      <c r="AA7691" s="221"/>
      <c r="AB7691" s="223"/>
    </row>
    <row r="7692" spans="1:28" ht="17.100000000000001" customHeight="1" thickTop="1">
      <c r="A7692" s="226" t="s">
        <v>21268</v>
      </c>
      <c r="B7692" s="28">
        <v>46113</v>
      </c>
      <c r="C7692" s="25">
        <v>2349</v>
      </c>
      <c r="D7692" s="13" t="s">
        <v>1931</v>
      </c>
      <c r="E7692" s="228"/>
      <c r="F7692" s="109" t="s">
        <v>2678</v>
      </c>
      <c r="G7692" s="24"/>
      <c r="H7692" s="230">
        <v>4.5</v>
      </c>
      <c r="I7692" s="220">
        <v>890000</v>
      </c>
      <c r="J7692" s="220">
        <f>I7692*0.1</f>
        <v>89000</v>
      </c>
      <c r="K7692" s="220">
        <v>0</v>
      </c>
      <c r="L7692" s="220">
        <v>17600</v>
      </c>
      <c r="M7692" s="220">
        <v>16500</v>
      </c>
      <c r="N7692" s="220">
        <f>SUM(I7692:M7693)</f>
        <v>1013100</v>
      </c>
      <c r="O7692" s="224"/>
      <c r="P7692" s="110" t="s">
        <v>21673</v>
      </c>
      <c r="Q7692" s="15" t="s">
        <v>19</v>
      </c>
      <c r="R7692" s="205"/>
      <c r="S7692" s="189"/>
      <c r="T7692" s="114"/>
      <c r="U7692" s="21"/>
      <c r="V7692" s="115"/>
      <c r="W7692" s="116"/>
      <c r="X7692" s="220"/>
      <c r="Y7692" s="220">
        <f>X7692*0.1</f>
        <v>0</v>
      </c>
      <c r="Z7692" s="220"/>
      <c r="AA7692" s="220">
        <f>SUM(X7692:Z7692)</f>
        <v>0</v>
      </c>
      <c r="AB7692" s="222"/>
    </row>
    <row r="7693" spans="1:28" ht="17.100000000000001" customHeight="1" thickBot="1">
      <c r="A7693" s="227"/>
      <c r="B7693" s="27" t="s">
        <v>3367</v>
      </c>
      <c r="C7693" s="27">
        <v>60186</v>
      </c>
      <c r="D7693" s="14" t="s">
        <v>1797</v>
      </c>
      <c r="E7693" s="229"/>
      <c r="F7693" s="117" t="s">
        <v>21272</v>
      </c>
      <c r="G7693" s="26">
        <v>67460</v>
      </c>
      <c r="H7693" s="231"/>
      <c r="I7693" s="221"/>
      <c r="J7693" s="221"/>
      <c r="K7693" s="221"/>
      <c r="L7693" s="221"/>
      <c r="M7693" s="221"/>
      <c r="N7693" s="221"/>
      <c r="O7693" s="225"/>
      <c r="P7693" s="118" t="s">
        <v>12102</v>
      </c>
      <c r="Q7693" s="16" t="s">
        <v>20</v>
      </c>
      <c r="R7693" s="17" t="s">
        <v>1555</v>
      </c>
      <c r="S7693" s="121" t="s">
        <v>1573</v>
      </c>
      <c r="T7693" s="122"/>
      <c r="U7693" s="22"/>
      <c r="V7693" s="123"/>
      <c r="W7693" s="122"/>
      <c r="X7693" s="221"/>
      <c r="Y7693" s="221"/>
      <c r="Z7693" s="221"/>
      <c r="AA7693" s="221"/>
      <c r="AB7693" s="223"/>
    </row>
    <row r="7694" spans="1:28" ht="17.100000000000001" customHeight="1" thickTop="1">
      <c r="A7694" s="226" t="s">
        <v>21287</v>
      </c>
      <c r="B7694" s="28">
        <v>46113</v>
      </c>
      <c r="C7694" s="25">
        <v>1832</v>
      </c>
      <c r="D7694" s="13" t="s">
        <v>2203</v>
      </c>
      <c r="E7694" s="228"/>
      <c r="F7694" s="109" t="s">
        <v>21273</v>
      </c>
      <c r="G7694" s="24" t="s">
        <v>1551</v>
      </c>
      <c r="H7694" s="230">
        <v>4.5</v>
      </c>
      <c r="I7694" s="220">
        <v>1290000</v>
      </c>
      <c r="J7694" s="220">
        <f>I7694*0.1</f>
        <v>129000</v>
      </c>
      <c r="K7694" s="220">
        <f>41200+4120</f>
        <v>45320</v>
      </c>
      <c r="L7694" s="220">
        <v>21800</v>
      </c>
      <c r="M7694" s="220">
        <f>18500+1850</f>
        <v>20350</v>
      </c>
      <c r="N7694" s="220">
        <f>SUM(I7694:M7695)</f>
        <v>1506470</v>
      </c>
      <c r="O7694" s="224"/>
      <c r="P7694" s="110" t="s">
        <v>21275</v>
      </c>
      <c r="Q7694" s="15" t="s">
        <v>19</v>
      </c>
      <c r="R7694" s="205"/>
      <c r="S7694" s="189"/>
      <c r="T7694" s="114"/>
      <c r="U7694" s="21"/>
      <c r="V7694" s="115">
        <v>46116</v>
      </c>
      <c r="W7694" s="116">
        <v>1295</v>
      </c>
      <c r="X7694" s="220">
        <v>1450000</v>
      </c>
      <c r="Y7694" s="220">
        <f>X7694*0.1</f>
        <v>145000</v>
      </c>
      <c r="Z7694" s="220">
        <v>21800</v>
      </c>
      <c r="AA7694" s="220">
        <f>SUM(X7694:Z7694)</f>
        <v>1616800</v>
      </c>
      <c r="AB7694" s="222">
        <v>46121</v>
      </c>
    </row>
    <row r="7695" spans="1:28" ht="17.100000000000001" customHeight="1" thickBot="1">
      <c r="A7695" s="227"/>
      <c r="B7695" s="27" t="s">
        <v>2519</v>
      </c>
      <c r="C7695" s="27">
        <v>38023</v>
      </c>
      <c r="D7695" s="14" t="s">
        <v>1710</v>
      </c>
      <c r="E7695" s="229"/>
      <c r="F7695" s="117" t="s">
        <v>21274</v>
      </c>
      <c r="G7695" s="26">
        <v>58323</v>
      </c>
      <c r="H7695" s="231"/>
      <c r="I7695" s="221"/>
      <c r="J7695" s="221"/>
      <c r="K7695" s="221"/>
      <c r="L7695" s="221"/>
      <c r="M7695" s="221"/>
      <c r="N7695" s="221"/>
      <c r="O7695" s="225"/>
      <c r="P7695" s="118" t="s">
        <v>21736</v>
      </c>
      <c r="Q7695" s="16" t="s">
        <v>20</v>
      </c>
      <c r="R7695" s="17" t="s">
        <v>1901</v>
      </c>
      <c r="S7695" s="121" t="s">
        <v>21737</v>
      </c>
      <c r="T7695" s="122"/>
      <c r="U7695" s="22"/>
      <c r="V7695" s="123" t="s">
        <v>2472</v>
      </c>
      <c r="W7695" s="122">
        <v>80379</v>
      </c>
      <c r="X7695" s="221"/>
      <c r="Y7695" s="221"/>
      <c r="Z7695" s="221"/>
      <c r="AA7695" s="221"/>
      <c r="AB7695" s="223"/>
    </row>
    <row r="7696" spans="1:28" ht="17.100000000000001" customHeight="1" thickTop="1">
      <c r="A7696" s="226" t="s">
        <v>21288</v>
      </c>
      <c r="B7696" s="28">
        <v>46113</v>
      </c>
      <c r="C7696" s="25">
        <v>1832</v>
      </c>
      <c r="D7696" s="13" t="s">
        <v>1578</v>
      </c>
      <c r="E7696" s="228"/>
      <c r="F7696" s="109" t="s">
        <v>1916</v>
      </c>
      <c r="G7696" s="24"/>
      <c r="H7696" s="230">
        <v>4.5</v>
      </c>
      <c r="I7696" s="220">
        <v>900000</v>
      </c>
      <c r="J7696" s="220">
        <f>I7696*0.1</f>
        <v>90000</v>
      </c>
      <c r="K7696" s="220">
        <v>0</v>
      </c>
      <c r="L7696" s="220">
        <v>16240</v>
      </c>
      <c r="M7696" s="220">
        <v>20350</v>
      </c>
      <c r="N7696" s="220">
        <f>SUM(I7696:M7697)</f>
        <v>1026590</v>
      </c>
      <c r="O7696" s="224"/>
      <c r="P7696" s="110" t="s">
        <v>21738</v>
      </c>
      <c r="Q7696" s="15" t="s">
        <v>19</v>
      </c>
      <c r="R7696" s="205"/>
      <c r="S7696" s="189" t="s">
        <v>25474</v>
      </c>
      <c r="T7696" s="114"/>
      <c r="U7696" s="21"/>
      <c r="V7696" s="115">
        <v>46137</v>
      </c>
      <c r="W7696" s="116">
        <v>1298</v>
      </c>
      <c r="X7696" s="220">
        <v>1050000</v>
      </c>
      <c r="Y7696" s="220">
        <f>X7696*0.1</f>
        <v>105000</v>
      </c>
      <c r="Z7696" s="220">
        <v>16240</v>
      </c>
      <c r="AA7696" s="220">
        <f>SUM(X7696:Z7696)</f>
        <v>1171240</v>
      </c>
      <c r="AB7696" s="222">
        <v>46143</v>
      </c>
    </row>
    <row r="7697" spans="1:28" ht="17.100000000000001" customHeight="1" thickBot="1">
      <c r="A7697" s="227"/>
      <c r="B7697" s="27" t="s">
        <v>2519</v>
      </c>
      <c r="C7697" s="27">
        <v>38040</v>
      </c>
      <c r="D7697" s="14" t="s">
        <v>898</v>
      </c>
      <c r="E7697" s="229"/>
      <c r="F7697" s="117" t="s">
        <v>21276</v>
      </c>
      <c r="G7697" s="26">
        <v>41252</v>
      </c>
      <c r="H7697" s="231"/>
      <c r="I7697" s="221"/>
      <c r="J7697" s="221"/>
      <c r="K7697" s="221"/>
      <c r="L7697" s="221"/>
      <c r="M7697" s="221"/>
      <c r="N7697" s="221"/>
      <c r="O7697" s="225"/>
      <c r="P7697" s="118" t="s">
        <v>17583</v>
      </c>
      <c r="Q7697" s="16" t="s">
        <v>20</v>
      </c>
      <c r="R7697" s="17" t="s">
        <v>1901</v>
      </c>
      <c r="S7697" s="121" t="s">
        <v>1606</v>
      </c>
      <c r="T7697" s="122"/>
      <c r="U7697" s="22"/>
      <c r="V7697" s="123" t="s">
        <v>6642</v>
      </c>
      <c r="W7697" s="122">
        <v>80248</v>
      </c>
      <c r="X7697" s="221"/>
      <c r="Y7697" s="221"/>
      <c r="Z7697" s="221"/>
      <c r="AA7697" s="221"/>
      <c r="AB7697" s="223"/>
    </row>
    <row r="7698" spans="1:28" ht="17.100000000000001" customHeight="1" thickTop="1">
      <c r="A7698" s="226" t="s">
        <v>21289</v>
      </c>
      <c r="B7698" s="28">
        <v>46113</v>
      </c>
      <c r="C7698" s="25">
        <v>1832</v>
      </c>
      <c r="D7698" s="13" t="s">
        <v>1704</v>
      </c>
      <c r="E7698" s="228"/>
      <c r="F7698" s="109" t="s">
        <v>11394</v>
      </c>
      <c r="G7698" s="24"/>
      <c r="H7698" s="230">
        <v>4</v>
      </c>
      <c r="I7698" s="220">
        <v>1025000</v>
      </c>
      <c r="J7698" s="220">
        <f>I7698*0.1</f>
        <v>102500</v>
      </c>
      <c r="K7698" s="220">
        <v>0</v>
      </c>
      <c r="L7698" s="220">
        <v>7440</v>
      </c>
      <c r="M7698" s="220">
        <v>19250</v>
      </c>
      <c r="N7698" s="220">
        <f>SUM(I7698:M7699)</f>
        <v>1154190</v>
      </c>
      <c r="O7698" s="224"/>
      <c r="P7698" s="110" t="s">
        <v>21723</v>
      </c>
      <c r="Q7698" s="15" t="s">
        <v>19</v>
      </c>
      <c r="R7698" s="205"/>
      <c r="S7698" s="189" t="s">
        <v>758</v>
      </c>
      <c r="T7698" s="114"/>
      <c r="U7698" s="21"/>
      <c r="V7698" s="115">
        <v>46116</v>
      </c>
      <c r="W7698" s="116">
        <v>1295</v>
      </c>
      <c r="X7698" s="220">
        <v>1200000</v>
      </c>
      <c r="Y7698" s="220">
        <f>X7698*0.1</f>
        <v>120000</v>
      </c>
      <c r="Z7698" s="220">
        <v>7440</v>
      </c>
      <c r="AA7698" s="220">
        <f>SUM(X7698:Z7698)</f>
        <v>1327440</v>
      </c>
      <c r="AB7698" s="222">
        <v>46126</v>
      </c>
    </row>
    <row r="7699" spans="1:28" ht="17.100000000000001" customHeight="1" thickBot="1">
      <c r="A7699" s="227"/>
      <c r="B7699" s="27" t="s">
        <v>2519</v>
      </c>
      <c r="C7699" s="27">
        <v>40011</v>
      </c>
      <c r="D7699" s="14" t="s">
        <v>1584</v>
      </c>
      <c r="E7699" s="229"/>
      <c r="F7699" s="117" t="s">
        <v>21277</v>
      </c>
      <c r="G7699" s="26">
        <v>40112</v>
      </c>
      <c r="H7699" s="231"/>
      <c r="I7699" s="221"/>
      <c r="J7699" s="221"/>
      <c r="K7699" s="221"/>
      <c r="L7699" s="221"/>
      <c r="M7699" s="221"/>
      <c r="N7699" s="221"/>
      <c r="O7699" s="225"/>
      <c r="P7699" s="118" t="s">
        <v>3976</v>
      </c>
      <c r="Q7699" s="16" t="s">
        <v>20</v>
      </c>
      <c r="R7699" s="17" t="s">
        <v>1901</v>
      </c>
      <c r="S7699" s="121" t="s">
        <v>1661</v>
      </c>
      <c r="T7699" s="122"/>
      <c r="U7699" s="22"/>
      <c r="V7699" s="123" t="s">
        <v>6641</v>
      </c>
      <c r="W7699" s="122">
        <v>41062</v>
      </c>
      <c r="X7699" s="221"/>
      <c r="Y7699" s="221"/>
      <c r="Z7699" s="221"/>
      <c r="AA7699" s="221"/>
      <c r="AB7699" s="223"/>
    </row>
    <row r="7700" spans="1:28" ht="17.100000000000001" customHeight="1" thickTop="1">
      <c r="A7700" s="226" t="s">
        <v>21313</v>
      </c>
      <c r="B7700" s="28">
        <v>46114</v>
      </c>
      <c r="C7700" s="25">
        <v>1325</v>
      </c>
      <c r="D7700" s="13" t="s">
        <v>1607</v>
      </c>
      <c r="E7700" s="228"/>
      <c r="F7700" s="109" t="s">
        <v>21316</v>
      </c>
      <c r="G7700" s="24"/>
      <c r="H7700" s="230">
        <v>4.5</v>
      </c>
      <c r="I7700" s="220">
        <v>1285000</v>
      </c>
      <c r="J7700" s="220">
        <f>I7700*0.1</f>
        <v>128500</v>
      </c>
      <c r="K7700" s="220">
        <v>0</v>
      </c>
      <c r="L7700" s="220">
        <v>16940</v>
      </c>
      <c r="M7700" s="220">
        <v>16500</v>
      </c>
      <c r="N7700" s="220">
        <f>SUM(I7700:M7701)</f>
        <v>1446940</v>
      </c>
      <c r="O7700" s="224"/>
      <c r="P7700" s="110" t="s">
        <v>21894</v>
      </c>
      <c r="Q7700" s="15" t="s">
        <v>19</v>
      </c>
      <c r="R7700" s="205"/>
      <c r="S7700" s="189" t="s">
        <v>1271</v>
      </c>
      <c r="T7700" s="114"/>
      <c r="U7700" s="21"/>
      <c r="V7700" s="115">
        <v>46130</v>
      </c>
      <c r="W7700" s="116">
        <v>1297</v>
      </c>
      <c r="X7700" s="220">
        <v>1400000</v>
      </c>
      <c r="Y7700" s="220">
        <f>X7700*0.1</f>
        <v>140000</v>
      </c>
      <c r="Z7700" s="220">
        <v>16940</v>
      </c>
      <c r="AA7700" s="220">
        <f>SUM(X7700:Z7700)</f>
        <v>1556940</v>
      </c>
      <c r="AB7700" s="222">
        <v>46133</v>
      </c>
    </row>
    <row r="7701" spans="1:28" ht="17.100000000000001" customHeight="1" thickBot="1">
      <c r="A7701" s="227"/>
      <c r="B7701" s="27" t="s">
        <v>13379</v>
      </c>
      <c r="C7701" s="27">
        <v>80</v>
      </c>
      <c r="D7701" s="14" t="s">
        <v>273</v>
      </c>
      <c r="E7701" s="229"/>
      <c r="F7701" s="117" t="s">
        <v>21317</v>
      </c>
      <c r="G7701" s="26">
        <v>56020</v>
      </c>
      <c r="H7701" s="231"/>
      <c r="I7701" s="221"/>
      <c r="J7701" s="221"/>
      <c r="K7701" s="221"/>
      <c r="L7701" s="221"/>
      <c r="M7701" s="221"/>
      <c r="N7701" s="221"/>
      <c r="O7701" s="225"/>
      <c r="P7701" s="118" t="s">
        <v>1844</v>
      </c>
      <c r="Q7701" s="16" t="s">
        <v>20</v>
      </c>
      <c r="R7701" s="17" t="s">
        <v>1810</v>
      </c>
      <c r="S7701" s="121" t="s">
        <v>1731</v>
      </c>
      <c r="T7701" s="122"/>
      <c r="U7701" s="22"/>
      <c r="V7701" s="123" t="s">
        <v>2472</v>
      </c>
      <c r="W7701" s="122">
        <v>80222</v>
      </c>
      <c r="X7701" s="221"/>
      <c r="Y7701" s="221"/>
      <c r="Z7701" s="221"/>
      <c r="AA7701" s="221"/>
      <c r="AB7701" s="223"/>
    </row>
    <row r="7702" spans="1:28" ht="17.100000000000001" customHeight="1" thickTop="1">
      <c r="A7702" s="226" t="s">
        <v>21314</v>
      </c>
      <c r="B7702" s="28">
        <v>46114</v>
      </c>
      <c r="C7702" s="25">
        <v>1325</v>
      </c>
      <c r="D7702" s="13" t="s">
        <v>2288</v>
      </c>
      <c r="E7702" s="228"/>
      <c r="F7702" s="109" t="s">
        <v>21318</v>
      </c>
      <c r="G7702" s="24"/>
      <c r="H7702" s="230">
        <v>4.5</v>
      </c>
      <c r="I7702" s="220">
        <v>1365000</v>
      </c>
      <c r="J7702" s="220">
        <f>I7702*0.1</f>
        <v>136500</v>
      </c>
      <c r="K7702" s="220">
        <v>0</v>
      </c>
      <c r="L7702" s="220">
        <v>21330</v>
      </c>
      <c r="M7702" s="220">
        <v>16500</v>
      </c>
      <c r="N7702" s="220">
        <f>SUM(I7702:M7703)</f>
        <v>1539330</v>
      </c>
      <c r="O7702" s="224"/>
      <c r="P7702" s="110" t="s">
        <v>21941</v>
      </c>
      <c r="Q7702" s="15" t="s">
        <v>19</v>
      </c>
      <c r="R7702" s="205"/>
      <c r="S7702" s="189" t="s">
        <v>758</v>
      </c>
      <c r="T7702" s="114"/>
      <c r="U7702" s="21"/>
      <c r="V7702" s="115"/>
      <c r="W7702" s="116"/>
      <c r="X7702" s="220"/>
      <c r="Y7702" s="220">
        <f>X7702*0.1</f>
        <v>0</v>
      </c>
      <c r="Z7702" s="220"/>
      <c r="AA7702" s="220">
        <f>SUM(X7702:Z7702)</f>
        <v>0</v>
      </c>
      <c r="AB7702" s="222"/>
    </row>
    <row r="7703" spans="1:28" ht="17.100000000000001" customHeight="1" thickBot="1">
      <c r="A7703" s="227"/>
      <c r="B7703" s="27" t="s">
        <v>13379</v>
      </c>
      <c r="C7703" s="27">
        <v>170</v>
      </c>
      <c r="D7703" s="14" t="s">
        <v>1710</v>
      </c>
      <c r="E7703" s="229"/>
      <c r="F7703" s="117" t="s">
        <v>21319</v>
      </c>
      <c r="G7703" s="26">
        <v>47226</v>
      </c>
      <c r="H7703" s="231"/>
      <c r="I7703" s="221"/>
      <c r="J7703" s="221"/>
      <c r="K7703" s="221"/>
      <c r="L7703" s="221"/>
      <c r="M7703" s="221"/>
      <c r="N7703" s="221"/>
      <c r="O7703" s="225"/>
      <c r="P7703" s="118" t="s">
        <v>4913</v>
      </c>
      <c r="Q7703" s="16" t="s">
        <v>20</v>
      </c>
      <c r="R7703" s="17" t="s">
        <v>1780</v>
      </c>
      <c r="S7703" s="121" t="s">
        <v>1731</v>
      </c>
      <c r="T7703" s="122"/>
      <c r="U7703" s="22"/>
      <c r="V7703" s="123"/>
      <c r="W7703" s="122"/>
      <c r="X7703" s="221"/>
      <c r="Y7703" s="221"/>
      <c r="Z7703" s="221"/>
      <c r="AA7703" s="221"/>
      <c r="AB7703" s="223"/>
    </row>
    <row r="7704" spans="1:28" ht="17.100000000000001" customHeight="1" thickTop="1">
      <c r="A7704" s="226" t="s">
        <v>21315</v>
      </c>
      <c r="B7704" s="28">
        <v>46114</v>
      </c>
      <c r="C7704" s="25">
        <v>1325</v>
      </c>
      <c r="D7704" s="13" t="s">
        <v>1607</v>
      </c>
      <c r="E7704" s="228"/>
      <c r="F7704" s="109" t="s">
        <v>21320</v>
      </c>
      <c r="G7704" s="24"/>
      <c r="H7704" s="230">
        <v>4</v>
      </c>
      <c r="I7704" s="220">
        <v>650000</v>
      </c>
      <c r="J7704" s="220">
        <f>I7704*0.1</f>
        <v>65000</v>
      </c>
      <c r="K7704" s="220">
        <v>0</v>
      </c>
      <c r="L7704" s="220">
        <v>19390</v>
      </c>
      <c r="M7704" s="220">
        <v>16500</v>
      </c>
      <c r="N7704" s="220">
        <f>SUM(I7704:M7705)</f>
        <v>750890</v>
      </c>
      <c r="O7704" s="224"/>
      <c r="P7704" s="110" t="s">
        <v>21896</v>
      </c>
      <c r="Q7704" s="15" t="s">
        <v>19</v>
      </c>
      <c r="R7704" s="205"/>
      <c r="S7704" s="189" t="s">
        <v>25910</v>
      </c>
      <c r="T7704" s="114"/>
      <c r="U7704" s="21"/>
      <c r="V7704" s="115">
        <v>46130</v>
      </c>
      <c r="W7704" s="116">
        <v>1297</v>
      </c>
      <c r="X7704" s="220">
        <v>800000</v>
      </c>
      <c r="Y7704" s="220">
        <f>X7704*0.1</f>
        <v>80000</v>
      </c>
      <c r="Z7704" s="220">
        <v>19390</v>
      </c>
      <c r="AA7704" s="220">
        <f>SUM(X7704:Z7704)</f>
        <v>899390</v>
      </c>
      <c r="AB7704" s="222">
        <v>46139</v>
      </c>
    </row>
    <row r="7705" spans="1:28" ht="17.100000000000001" customHeight="1" thickBot="1">
      <c r="A7705" s="227"/>
      <c r="B7705" s="27" t="s">
        <v>13379</v>
      </c>
      <c r="C7705" s="27">
        <v>816</v>
      </c>
      <c r="D7705" s="14" t="s">
        <v>898</v>
      </c>
      <c r="E7705" s="229"/>
      <c r="F7705" s="117" t="s">
        <v>21321</v>
      </c>
      <c r="G7705" s="26">
        <v>62398</v>
      </c>
      <c r="H7705" s="231"/>
      <c r="I7705" s="221"/>
      <c r="J7705" s="221"/>
      <c r="K7705" s="221"/>
      <c r="L7705" s="221"/>
      <c r="M7705" s="221"/>
      <c r="N7705" s="221"/>
      <c r="O7705" s="225"/>
      <c r="P7705" s="118" t="s">
        <v>1844</v>
      </c>
      <c r="Q7705" s="16" t="s">
        <v>20</v>
      </c>
      <c r="R7705" s="17" t="s">
        <v>1810</v>
      </c>
      <c r="S7705" s="121" t="s">
        <v>15050</v>
      </c>
      <c r="T7705" s="122"/>
      <c r="U7705" s="22"/>
      <c r="V7705" s="123" t="s">
        <v>6641</v>
      </c>
      <c r="W7705" s="122">
        <v>80151</v>
      </c>
      <c r="X7705" s="221"/>
      <c r="Y7705" s="221"/>
      <c r="Z7705" s="221"/>
      <c r="AA7705" s="221"/>
      <c r="AB7705" s="223"/>
    </row>
    <row r="7706" spans="1:28" ht="17.100000000000001" customHeight="1" thickTop="1">
      <c r="A7706" s="226" t="s">
        <v>21423</v>
      </c>
      <c r="B7706" s="28">
        <v>46114</v>
      </c>
      <c r="C7706" s="25">
        <v>2021</v>
      </c>
      <c r="D7706" s="13" t="s">
        <v>1829</v>
      </c>
      <c r="E7706" s="228"/>
      <c r="F7706" s="109" t="s">
        <v>21611</v>
      </c>
      <c r="G7706" s="24" t="s">
        <v>4315</v>
      </c>
      <c r="H7706" s="230">
        <v>4</v>
      </c>
      <c r="I7706" s="220">
        <v>1105000</v>
      </c>
      <c r="J7706" s="220">
        <f>I7706*0.1</f>
        <v>110500</v>
      </c>
      <c r="K7706" s="220">
        <v>30690</v>
      </c>
      <c r="L7706" s="220">
        <v>9810</v>
      </c>
      <c r="M7706" s="220">
        <v>22000</v>
      </c>
      <c r="N7706" s="220">
        <f>SUM(I7706:M7707)</f>
        <v>1278000</v>
      </c>
      <c r="O7706" s="224"/>
      <c r="P7706" s="110" t="s">
        <v>21612</v>
      </c>
      <c r="Q7706" s="15" t="s">
        <v>19</v>
      </c>
      <c r="R7706" s="205"/>
      <c r="S7706" s="189" t="s">
        <v>25429</v>
      </c>
      <c r="T7706" s="114"/>
      <c r="U7706" s="21"/>
      <c r="V7706" s="115">
        <v>46120</v>
      </c>
      <c r="W7706" s="116">
        <v>1012</v>
      </c>
      <c r="X7706" s="220">
        <v>1210000</v>
      </c>
      <c r="Y7706" s="220">
        <f>X7706*0.1</f>
        <v>121000</v>
      </c>
      <c r="Z7706" s="220">
        <v>9810</v>
      </c>
      <c r="AA7706" s="220">
        <f>SUM(X7706:Z7706)</f>
        <v>1340810</v>
      </c>
      <c r="AB7706" s="222">
        <v>46125</v>
      </c>
    </row>
    <row r="7707" spans="1:28" ht="17.100000000000001" customHeight="1" thickBot="1">
      <c r="A7707" s="227"/>
      <c r="B7707" s="27" t="s">
        <v>2680</v>
      </c>
      <c r="C7707" s="27">
        <v>30029</v>
      </c>
      <c r="D7707" s="14" t="s">
        <v>1710</v>
      </c>
      <c r="E7707" s="229"/>
      <c r="F7707" s="117" t="s">
        <v>21435</v>
      </c>
      <c r="G7707" s="26">
        <v>49225</v>
      </c>
      <c r="H7707" s="231"/>
      <c r="I7707" s="221"/>
      <c r="J7707" s="221"/>
      <c r="K7707" s="221"/>
      <c r="L7707" s="221"/>
      <c r="M7707" s="221"/>
      <c r="N7707" s="221"/>
      <c r="O7707" s="225"/>
      <c r="P7707" s="118" t="s">
        <v>7414</v>
      </c>
      <c r="Q7707" s="16" t="s">
        <v>20</v>
      </c>
      <c r="R7707" s="17" t="s">
        <v>1810</v>
      </c>
      <c r="S7707" s="121" t="s">
        <v>3071</v>
      </c>
      <c r="T7707" s="122"/>
      <c r="U7707" s="22"/>
      <c r="V7707" s="123" t="s">
        <v>2747</v>
      </c>
      <c r="W7707" s="122">
        <v>5071</v>
      </c>
      <c r="X7707" s="221"/>
      <c r="Y7707" s="221"/>
      <c r="Z7707" s="221"/>
      <c r="AA7707" s="221"/>
      <c r="AB7707" s="223"/>
    </row>
    <row r="7708" spans="1:28" ht="17.100000000000001" customHeight="1" thickTop="1">
      <c r="A7708" s="226" t="s">
        <v>21424</v>
      </c>
      <c r="B7708" s="28">
        <v>46114</v>
      </c>
      <c r="C7708" s="25">
        <v>2021</v>
      </c>
      <c r="D7708" s="13" t="s">
        <v>1961</v>
      </c>
      <c r="E7708" s="228"/>
      <c r="F7708" s="109" t="s">
        <v>21613</v>
      </c>
      <c r="G7708" s="24" t="s">
        <v>21615</v>
      </c>
      <c r="H7708" s="230">
        <v>4</v>
      </c>
      <c r="I7708" s="220">
        <v>1246000</v>
      </c>
      <c r="J7708" s="220">
        <f>I7708*0.1</f>
        <v>124600</v>
      </c>
      <c r="K7708" s="220">
        <v>25190</v>
      </c>
      <c r="L7708" s="220">
        <v>9130</v>
      </c>
      <c r="M7708" s="220">
        <v>22000</v>
      </c>
      <c r="N7708" s="220">
        <f>SUM(I7708:M7709)</f>
        <v>1426920</v>
      </c>
      <c r="O7708" s="224"/>
      <c r="P7708" s="110" t="s">
        <v>21614</v>
      </c>
      <c r="Q7708" s="15" t="s">
        <v>19</v>
      </c>
      <c r="R7708" s="205"/>
      <c r="S7708" s="189" t="s">
        <v>25911</v>
      </c>
      <c r="T7708" s="114"/>
      <c r="U7708" s="21"/>
      <c r="V7708" s="115">
        <v>46127</v>
      </c>
      <c r="W7708" s="116">
        <v>1013</v>
      </c>
      <c r="X7708" s="220">
        <v>1295000</v>
      </c>
      <c r="Y7708" s="220">
        <f>X7708*0.1</f>
        <v>129500</v>
      </c>
      <c r="Z7708" s="220">
        <v>9130</v>
      </c>
      <c r="AA7708" s="220">
        <f>SUM(X7708:Z7708)</f>
        <v>1433630</v>
      </c>
      <c r="AB7708" s="222">
        <v>46132</v>
      </c>
    </row>
    <row r="7709" spans="1:28" ht="17.100000000000001" customHeight="1" thickBot="1">
      <c r="A7709" s="227"/>
      <c r="B7709" s="27" t="s">
        <v>2680</v>
      </c>
      <c r="C7709" s="27">
        <v>30030</v>
      </c>
      <c r="D7709" s="14" t="s">
        <v>273</v>
      </c>
      <c r="E7709" s="229"/>
      <c r="F7709" s="117" t="s">
        <v>21436</v>
      </c>
      <c r="G7709" s="26">
        <v>10320</v>
      </c>
      <c r="H7709" s="231"/>
      <c r="I7709" s="221"/>
      <c r="J7709" s="221"/>
      <c r="K7709" s="221"/>
      <c r="L7709" s="221"/>
      <c r="M7709" s="221"/>
      <c r="N7709" s="221"/>
      <c r="O7709" s="225"/>
      <c r="P7709" s="118" t="s">
        <v>21945</v>
      </c>
      <c r="Q7709" s="16" t="s">
        <v>20</v>
      </c>
      <c r="R7709" s="17" t="s">
        <v>1780</v>
      </c>
      <c r="S7709" s="121" t="s">
        <v>10520</v>
      </c>
      <c r="T7709" s="122"/>
      <c r="U7709" s="22"/>
      <c r="V7709" s="123" t="s">
        <v>2747</v>
      </c>
      <c r="W7709" s="122">
        <v>6044</v>
      </c>
      <c r="X7709" s="221"/>
      <c r="Y7709" s="221"/>
      <c r="Z7709" s="221"/>
      <c r="AA7709" s="221"/>
      <c r="AB7709" s="223"/>
    </row>
    <row r="7710" spans="1:28" ht="17.100000000000001" customHeight="1" thickTop="1">
      <c r="A7710" s="226" t="s">
        <v>21425</v>
      </c>
      <c r="B7710" s="28">
        <v>46114</v>
      </c>
      <c r="C7710" s="25">
        <v>2021</v>
      </c>
      <c r="D7710" s="13" t="s">
        <v>2267</v>
      </c>
      <c r="E7710" s="228"/>
      <c r="F7710" s="109" t="s">
        <v>21616</v>
      </c>
      <c r="G7710" s="24" t="s">
        <v>2530</v>
      </c>
      <c r="H7710" s="230">
        <v>4</v>
      </c>
      <c r="I7710" s="220">
        <v>1225000</v>
      </c>
      <c r="J7710" s="220">
        <f>I7710*0.1</f>
        <v>122500</v>
      </c>
      <c r="K7710" s="220">
        <v>39820</v>
      </c>
      <c r="L7710" s="220">
        <v>11480</v>
      </c>
      <c r="M7710" s="220">
        <v>22000</v>
      </c>
      <c r="N7710" s="220">
        <f>SUM(I7710:M7711)</f>
        <v>1420800</v>
      </c>
      <c r="O7710" s="224"/>
      <c r="P7710" s="110" t="s">
        <v>21617</v>
      </c>
      <c r="Q7710" s="15" t="s">
        <v>19</v>
      </c>
      <c r="R7710" s="205"/>
      <c r="S7710" s="189" t="s">
        <v>25429</v>
      </c>
      <c r="T7710" s="114"/>
      <c r="U7710" s="21"/>
      <c r="V7710" s="115">
        <v>46127</v>
      </c>
      <c r="W7710" s="116">
        <v>1013</v>
      </c>
      <c r="X7710" s="220">
        <v>1275000</v>
      </c>
      <c r="Y7710" s="220">
        <f>X7710*0.1</f>
        <v>127500</v>
      </c>
      <c r="Z7710" s="220">
        <v>11480</v>
      </c>
      <c r="AA7710" s="220">
        <f>SUM(X7710:Z7710)</f>
        <v>1413980</v>
      </c>
      <c r="AB7710" s="222">
        <v>46132</v>
      </c>
    </row>
    <row r="7711" spans="1:28" ht="17.100000000000001" customHeight="1" thickBot="1">
      <c r="A7711" s="227"/>
      <c r="B7711" s="27" t="s">
        <v>2680</v>
      </c>
      <c r="C7711" s="27">
        <v>30034</v>
      </c>
      <c r="D7711" s="14" t="s">
        <v>1710</v>
      </c>
      <c r="E7711" s="229"/>
      <c r="F7711" s="117" t="s">
        <v>21437</v>
      </c>
      <c r="G7711" s="26">
        <v>48423</v>
      </c>
      <c r="H7711" s="231"/>
      <c r="I7711" s="221"/>
      <c r="J7711" s="221"/>
      <c r="K7711" s="221"/>
      <c r="L7711" s="221"/>
      <c r="M7711" s="221"/>
      <c r="N7711" s="221"/>
      <c r="O7711" s="225"/>
      <c r="P7711" s="118" t="s">
        <v>7414</v>
      </c>
      <c r="Q7711" s="16" t="s">
        <v>20</v>
      </c>
      <c r="R7711" s="17" t="s">
        <v>1810</v>
      </c>
      <c r="S7711" s="121" t="s">
        <v>21917</v>
      </c>
      <c r="T7711" s="122"/>
      <c r="U7711" s="22"/>
      <c r="V7711" s="123" t="s">
        <v>2747</v>
      </c>
      <c r="W7711" s="122">
        <v>6048</v>
      </c>
      <c r="X7711" s="221"/>
      <c r="Y7711" s="221"/>
      <c r="Z7711" s="221"/>
      <c r="AA7711" s="221"/>
      <c r="AB7711" s="223"/>
    </row>
    <row r="7712" spans="1:28" ht="17.100000000000001" customHeight="1" thickTop="1">
      <c r="A7712" s="226" t="s">
        <v>21426</v>
      </c>
      <c r="B7712" s="28">
        <v>46114</v>
      </c>
      <c r="C7712" s="25">
        <v>2021</v>
      </c>
      <c r="D7712" s="13" t="s">
        <v>4050</v>
      </c>
      <c r="E7712" s="228"/>
      <c r="F7712" s="109" t="s">
        <v>21589</v>
      </c>
      <c r="G7712" s="24" t="s">
        <v>4120</v>
      </c>
      <c r="H7712" s="230">
        <v>4</v>
      </c>
      <c r="I7712" s="220">
        <v>783000</v>
      </c>
      <c r="J7712" s="220">
        <f>I7712*0.1</f>
        <v>78300</v>
      </c>
      <c r="K7712" s="220">
        <v>34760</v>
      </c>
      <c r="L7712" s="220">
        <v>9130</v>
      </c>
      <c r="M7712" s="220">
        <v>22000</v>
      </c>
      <c r="N7712" s="220">
        <f>SUM(I7712:M7713)</f>
        <v>927190</v>
      </c>
      <c r="O7712" s="224"/>
      <c r="P7712" s="110" t="s">
        <v>21618</v>
      </c>
      <c r="Q7712" s="15" t="s">
        <v>19</v>
      </c>
      <c r="R7712" s="205"/>
      <c r="S7712" s="189" t="s">
        <v>758</v>
      </c>
      <c r="T7712" s="114"/>
      <c r="U7712" s="21"/>
      <c r="V7712" s="115">
        <v>46120</v>
      </c>
      <c r="W7712" s="116">
        <v>1012</v>
      </c>
      <c r="X7712" s="220">
        <v>870000</v>
      </c>
      <c r="Y7712" s="220">
        <f>X7712*0.1</f>
        <v>87000</v>
      </c>
      <c r="Z7712" s="220">
        <v>9130</v>
      </c>
      <c r="AA7712" s="220">
        <f>SUM(X7712:Z7712)</f>
        <v>966130</v>
      </c>
      <c r="AB7712" s="222">
        <v>46125</v>
      </c>
    </row>
    <row r="7713" spans="1:28" ht="17.100000000000001" customHeight="1" thickBot="1">
      <c r="A7713" s="227"/>
      <c r="B7713" s="27" t="s">
        <v>2680</v>
      </c>
      <c r="C7713" s="27">
        <v>30041</v>
      </c>
      <c r="D7713" s="14" t="s">
        <v>1710</v>
      </c>
      <c r="E7713" s="229"/>
      <c r="F7713" s="117" t="s">
        <v>21438</v>
      </c>
      <c r="G7713" s="26">
        <v>42787</v>
      </c>
      <c r="H7713" s="231"/>
      <c r="I7713" s="221"/>
      <c r="J7713" s="221"/>
      <c r="K7713" s="221"/>
      <c r="L7713" s="221"/>
      <c r="M7713" s="221"/>
      <c r="N7713" s="221"/>
      <c r="O7713" s="225"/>
      <c r="P7713" s="118" t="s">
        <v>7414</v>
      </c>
      <c r="Q7713" s="16" t="s">
        <v>20</v>
      </c>
      <c r="R7713" s="17" t="s">
        <v>1810</v>
      </c>
      <c r="S7713" s="121" t="s">
        <v>1661</v>
      </c>
      <c r="T7713" s="122"/>
      <c r="U7713" s="22"/>
      <c r="V7713" s="123" t="s">
        <v>2747</v>
      </c>
      <c r="W7713" s="122">
        <v>5059</v>
      </c>
      <c r="X7713" s="221"/>
      <c r="Y7713" s="221"/>
      <c r="Z7713" s="221"/>
      <c r="AA7713" s="221"/>
      <c r="AB7713" s="223"/>
    </row>
    <row r="7714" spans="1:28" ht="17.100000000000001" customHeight="1" thickTop="1">
      <c r="A7714" s="226" t="s">
        <v>21427</v>
      </c>
      <c r="B7714" s="28">
        <v>46114</v>
      </c>
      <c r="C7714" s="25">
        <v>2021</v>
      </c>
      <c r="D7714" s="13" t="s">
        <v>1810</v>
      </c>
      <c r="E7714" s="228"/>
      <c r="F7714" s="109" t="s">
        <v>21621</v>
      </c>
      <c r="G7714" s="24" t="s">
        <v>2907</v>
      </c>
      <c r="H7714" s="230">
        <v>4.5</v>
      </c>
      <c r="I7714" s="220">
        <v>1328000</v>
      </c>
      <c r="J7714" s="220">
        <f>I7714*0.1</f>
        <v>132800</v>
      </c>
      <c r="K7714" s="220">
        <v>25190</v>
      </c>
      <c r="L7714" s="220">
        <v>9130</v>
      </c>
      <c r="M7714" s="220">
        <v>22000</v>
      </c>
      <c r="N7714" s="220">
        <f>SUM(I7714:M7715)</f>
        <v>1517120</v>
      </c>
      <c r="O7714" s="224"/>
      <c r="P7714" s="110" t="s">
        <v>21622</v>
      </c>
      <c r="Q7714" s="15" t="s">
        <v>19</v>
      </c>
      <c r="R7714" s="205"/>
      <c r="S7714" s="189" t="s">
        <v>25912</v>
      </c>
      <c r="T7714" s="114"/>
      <c r="U7714" s="21"/>
      <c r="V7714" s="115">
        <v>46120</v>
      </c>
      <c r="W7714" s="116">
        <v>1012</v>
      </c>
      <c r="X7714" s="220">
        <v>1405000</v>
      </c>
      <c r="Y7714" s="220">
        <f>X7714*0.1</f>
        <v>140500</v>
      </c>
      <c r="Z7714" s="220">
        <v>9130</v>
      </c>
      <c r="AA7714" s="220">
        <f>SUM(X7714:Z7714)</f>
        <v>1554630</v>
      </c>
      <c r="AB7714" s="222">
        <v>46126</v>
      </c>
    </row>
    <row r="7715" spans="1:28" ht="17.100000000000001" customHeight="1" thickBot="1">
      <c r="A7715" s="227"/>
      <c r="B7715" s="27" t="s">
        <v>2680</v>
      </c>
      <c r="C7715" s="27">
        <v>30219</v>
      </c>
      <c r="D7715" s="14" t="s">
        <v>2559</v>
      </c>
      <c r="E7715" s="229"/>
      <c r="F7715" s="117" t="s">
        <v>21439</v>
      </c>
      <c r="G7715" s="26">
        <v>39120</v>
      </c>
      <c r="H7715" s="231"/>
      <c r="I7715" s="221"/>
      <c r="J7715" s="221"/>
      <c r="K7715" s="221"/>
      <c r="L7715" s="221"/>
      <c r="M7715" s="221"/>
      <c r="N7715" s="221"/>
      <c r="O7715" s="225"/>
      <c r="P7715" s="118" t="s">
        <v>22328</v>
      </c>
      <c r="Q7715" s="16" t="s">
        <v>20</v>
      </c>
      <c r="R7715" s="17" t="s">
        <v>3406</v>
      </c>
      <c r="S7715" s="121" t="s">
        <v>14145</v>
      </c>
      <c r="T7715" s="122"/>
      <c r="U7715" s="22"/>
      <c r="V7715" s="123" t="s">
        <v>2747</v>
      </c>
      <c r="W7715" s="122">
        <v>5079</v>
      </c>
      <c r="X7715" s="221"/>
      <c r="Y7715" s="221"/>
      <c r="Z7715" s="221"/>
      <c r="AA7715" s="221"/>
      <c r="AB7715" s="223"/>
    </row>
    <row r="7716" spans="1:28" ht="17.100000000000001" customHeight="1" thickTop="1">
      <c r="A7716" s="226" t="s">
        <v>21428</v>
      </c>
      <c r="B7716" s="28">
        <v>46114</v>
      </c>
      <c r="C7716" s="25">
        <v>2021</v>
      </c>
      <c r="D7716" s="13" t="s">
        <v>1883</v>
      </c>
      <c r="E7716" s="228"/>
      <c r="F7716" s="109" t="s">
        <v>21623</v>
      </c>
      <c r="G7716" s="24"/>
      <c r="H7716" s="230">
        <v>4</v>
      </c>
      <c r="I7716" s="220">
        <v>787000</v>
      </c>
      <c r="J7716" s="220">
        <v>0</v>
      </c>
      <c r="K7716" s="220">
        <v>0</v>
      </c>
      <c r="L7716" s="220">
        <v>8510</v>
      </c>
      <c r="M7716" s="220">
        <v>22000</v>
      </c>
      <c r="N7716" s="220">
        <f>SUM(I7716:M7717)</f>
        <v>817510</v>
      </c>
      <c r="O7716" s="224"/>
      <c r="P7716" s="110" t="s">
        <v>21860</v>
      </c>
      <c r="Q7716" s="15" t="s">
        <v>19</v>
      </c>
      <c r="R7716" s="205"/>
      <c r="S7716" s="189" t="s">
        <v>25913</v>
      </c>
      <c r="T7716" s="114" t="s">
        <v>21441</v>
      </c>
      <c r="U7716" s="21"/>
      <c r="V7716" s="115">
        <v>46120</v>
      </c>
      <c r="W7716" s="116">
        <v>1012</v>
      </c>
      <c r="X7716" s="220">
        <v>880000</v>
      </c>
      <c r="Y7716" s="220">
        <f>X7716*0.1</f>
        <v>88000</v>
      </c>
      <c r="Z7716" s="220">
        <v>8510</v>
      </c>
      <c r="AA7716" s="220">
        <f>SUM(X7716:Z7716)</f>
        <v>976510</v>
      </c>
      <c r="AB7716" s="222">
        <v>46125</v>
      </c>
    </row>
    <row r="7717" spans="1:28" ht="17.100000000000001" customHeight="1" thickBot="1">
      <c r="A7717" s="227"/>
      <c r="B7717" s="27" t="s">
        <v>2680</v>
      </c>
      <c r="C7717" s="27">
        <v>50150</v>
      </c>
      <c r="D7717" s="14" t="s">
        <v>2559</v>
      </c>
      <c r="E7717" s="229"/>
      <c r="F7717" s="117" t="s">
        <v>21440</v>
      </c>
      <c r="G7717" s="26">
        <v>64062</v>
      </c>
      <c r="H7717" s="231"/>
      <c r="I7717" s="221"/>
      <c r="J7717" s="221"/>
      <c r="K7717" s="221"/>
      <c r="L7717" s="221"/>
      <c r="M7717" s="221"/>
      <c r="N7717" s="221"/>
      <c r="O7717" s="225"/>
      <c r="P7717" s="118" t="s">
        <v>3919</v>
      </c>
      <c r="Q7717" s="16" t="s">
        <v>20</v>
      </c>
      <c r="R7717" s="17" t="s">
        <v>1810</v>
      </c>
      <c r="S7717" s="121" t="s">
        <v>21861</v>
      </c>
      <c r="T7717" s="122"/>
      <c r="U7717" s="22"/>
      <c r="V7717" s="123" t="s">
        <v>2747</v>
      </c>
      <c r="W7717" s="122">
        <v>5084</v>
      </c>
      <c r="X7717" s="221"/>
      <c r="Y7717" s="221"/>
      <c r="Z7717" s="221"/>
      <c r="AA7717" s="221"/>
      <c r="AB7717" s="223"/>
    </row>
    <row r="7718" spans="1:28" ht="17.100000000000001" customHeight="1" thickTop="1">
      <c r="A7718" s="226" t="s">
        <v>21429</v>
      </c>
      <c r="B7718" s="28">
        <v>46114</v>
      </c>
      <c r="C7718" s="25">
        <v>2021</v>
      </c>
      <c r="D7718" s="13" t="s">
        <v>3494</v>
      </c>
      <c r="E7718" s="228"/>
      <c r="F7718" s="109" t="s">
        <v>15195</v>
      </c>
      <c r="G7718" s="24"/>
      <c r="H7718" s="230">
        <v>4.5</v>
      </c>
      <c r="I7718" s="220">
        <v>584000</v>
      </c>
      <c r="J7718" s="220">
        <f>I7718*0.1</f>
        <v>58400</v>
      </c>
      <c r="K7718" s="220">
        <v>0</v>
      </c>
      <c r="L7718" s="220">
        <v>6470</v>
      </c>
      <c r="M7718" s="220">
        <v>22000</v>
      </c>
      <c r="N7718" s="220">
        <f>SUM(I7718:M7719)</f>
        <v>670870</v>
      </c>
      <c r="O7718" s="224"/>
      <c r="P7718" s="110" t="s">
        <v>21918</v>
      </c>
      <c r="Q7718" s="15" t="s">
        <v>19</v>
      </c>
      <c r="R7718" s="205"/>
      <c r="S7718" s="189"/>
      <c r="T7718" s="114"/>
      <c r="U7718" s="21"/>
      <c r="V7718" s="115">
        <v>46134</v>
      </c>
      <c r="W7718" s="116">
        <v>1014</v>
      </c>
      <c r="X7718" s="220">
        <v>590000</v>
      </c>
      <c r="Y7718" s="220">
        <f>X7718*0.1</f>
        <v>59000</v>
      </c>
      <c r="Z7718" s="220">
        <v>6470</v>
      </c>
      <c r="AA7718" s="220">
        <f>SUM(X7718:Z7718)</f>
        <v>655470</v>
      </c>
      <c r="AB7718" s="222">
        <v>46139</v>
      </c>
    </row>
    <row r="7719" spans="1:28" ht="17.100000000000001" customHeight="1" thickBot="1">
      <c r="A7719" s="227"/>
      <c r="B7719" s="27" t="s">
        <v>2680</v>
      </c>
      <c r="C7719" s="27">
        <v>50211</v>
      </c>
      <c r="D7719" s="14" t="s">
        <v>1584</v>
      </c>
      <c r="E7719" s="229"/>
      <c r="F7719" s="117" t="s">
        <v>21442</v>
      </c>
      <c r="G7719" s="26">
        <v>35092</v>
      </c>
      <c r="H7719" s="231"/>
      <c r="I7719" s="221"/>
      <c r="J7719" s="221"/>
      <c r="K7719" s="221"/>
      <c r="L7719" s="221"/>
      <c r="M7719" s="221"/>
      <c r="N7719" s="221"/>
      <c r="O7719" s="225"/>
      <c r="P7719" s="118" t="s">
        <v>3919</v>
      </c>
      <c r="Q7719" s="16" t="s">
        <v>20</v>
      </c>
      <c r="R7719" s="17" t="s">
        <v>1810</v>
      </c>
      <c r="S7719" s="121"/>
      <c r="T7719" s="122"/>
      <c r="U7719" s="22"/>
      <c r="V7719" s="123" t="s">
        <v>23332</v>
      </c>
      <c r="W7719" s="122">
        <v>5084</v>
      </c>
      <c r="X7719" s="221"/>
      <c r="Y7719" s="221"/>
      <c r="Z7719" s="221"/>
      <c r="AA7719" s="221"/>
      <c r="AB7719" s="223"/>
    </row>
    <row r="7720" spans="1:28" ht="17.100000000000001" customHeight="1" thickTop="1">
      <c r="A7720" s="226" t="s">
        <v>21430</v>
      </c>
      <c r="B7720" s="28">
        <v>46114</v>
      </c>
      <c r="C7720" s="25">
        <v>2021</v>
      </c>
      <c r="D7720" s="13" t="s">
        <v>1899</v>
      </c>
      <c r="E7720" s="228"/>
      <c r="F7720" s="109" t="s">
        <v>21624</v>
      </c>
      <c r="G7720" s="24" t="s">
        <v>21626</v>
      </c>
      <c r="H7720" s="230">
        <v>4</v>
      </c>
      <c r="I7720" s="220">
        <v>698000</v>
      </c>
      <c r="J7720" s="220">
        <f>I7720*0.1</f>
        <v>69800</v>
      </c>
      <c r="K7720" s="220">
        <v>0</v>
      </c>
      <c r="L7720" s="220">
        <v>8400</v>
      </c>
      <c r="M7720" s="220">
        <v>22000</v>
      </c>
      <c r="N7720" s="220">
        <f>SUM(I7720:M7721)</f>
        <v>798200</v>
      </c>
      <c r="O7720" s="224"/>
      <c r="P7720" s="110" t="s">
        <v>21625</v>
      </c>
      <c r="Q7720" s="15" t="s">
        <v>19</v>
      </c>
      <c r="R7720" s="205"/>
      <c r="S7720" s="189"/>
      <c r="T7720" s="114"/>
      <c r="U7720" s="21"/>
      <c r="V7720" s="115">
        <v>46127</v>
      </c>
      <c r="W7720" s="116">
        <v>1013</v>
      </c>
      <c r="X7720" s="220">
        <v>755000</v>
      </c>
      <c r="Y7720" s="220">
        <f>X7720*0.1</f>
        <v>75500</v>
      </c>
      <c r="Z7720" s="220">
        <v>8400</v>
      </c>
      <c r="AA7720" s="220">
        <f>SUM(X7720:Z7720)</f>
        <v>838900</v>
      </c>
      <c r="AB7720" s="222">
        <v>46132</v>
      </c>
    </row>
    <row r="7721" spans="1:28" ht="17.100000000000001" customHeight="1" thickBot="1">
      <c r="A7721" s="227"/>
      <c r="B7721" s="27" t="s">
        <v>2680</v>
      </c>
      <c r="C7721" s="27">
        <v>50228</v>
      </c>
      <c r="D7721" s="14" t="s">
        <v>898</v>
      </c>
      <c r="E7721" s="229"/>
      <c r="F7721" s="117" t="s">
        <v>21443</v>
      </c>
      <c r="G7721" s="26">
        <v>45481</v>
      </c>
      <c r="H7721" s="231"/>
      <c r="I7721" s="221"/>
      <c r="J7721" s="221"/>
      <c r="K7721" s="221"/>
      <c r="L7721" s="221"/>
      <c r="M7721" s="221"/>
      <c r="N7721" s="221"/>
      <c r="O7721" s="225"/>
      <c r="P7721" s="118" t="s">
        <v>21921</v>
      </c>
      <c r="Q7721" s="16" t="s">
        <v>20</v>
      </c>
      <c r="R7721" s="17" t="s">
        <v>1810</v>
      </c>
      <c r="S7721" s="121"/>
      <c r="T7721" s="122"/>
      <c r="U7721" s="22"/>
      <c r="V7721" s="123" t="s">
        <v>2747</v>
      </c>
      <c r="W7721" s="122">
        <v>2042</v>
      </c>
      <c r="X7721" s="221"/>
      <c r="Y7721" s="221"/>
      <c r="Z7721" s="221"/>
      <c r="AA7721" s="221"/>
      <c r="AB7721" s="223"/>
    </row>
    <row r="7722" spans="1:28" ht="17.100000000000001" customHeight="1" thickTop="1">
      <c r="A7722" s="226" t="s">
        <v>21431</v>
      </c>
      <c r="B7722" s="28">
        <v>46114</v>
      </c>
      <c r="C7722" s="25">
        <v>2021</v>
      </c>
      <c r="D7722" s="13" t="s">
        <v>2790</v>
      </c>
      <c r="E7722" s="228"/>
      <c r="F7722" s="109" t="s">
        <v>21627</v>
      </c>
      <c r="G7722" s="24"/>
      <c r="H7722" s="230">
        <v>4</v>
      </c>
      <c r="I7722" s="220">
        <v>1350000</v>
      </c>
      <c r="J7722" s="220">
        <f>I7722*0.1</f>
        <v>135000</v>
      </c>
      <c r="K7722" s="220">
        <v>0</v>
      </c>
      <c r="L7722" s="220">
        <v>6960</v>
      </c>
      <c r="M7722" s="220">
        <v>22000</v>
      </c>
      <c r="N7722" s="220">
        <f>SUM(I7722:M7723)</f>
        <v>1513960</v>
      </c>
      <c r="O7722" s="224"/>
      <c r="P7722" s="110" t="s">
        <v>21862</v>
      </c>
      <c r="Q7722" s="15" t="s">
        <v>19</v>
      </c>
      <c r="R7722" s="205"/>
      <c r="S7722" s="189" t="s">
        <v>25914</v>
      </c>
      <c r="T7722" s="114"/>
      <c r="U7722" s="21"/>
      <c r="V7722" s="115">
        <v>46120</v>
      </c>
      <c r="W7722" s="116">
        <v>1012</v>
      </c>
      <c r="X7722" s="220">
        <v>1380000</v>
      </c>
      <c r="Y7722" s="220">
        <f>X7722*0.1</f>
        <v>138000</v>
      </c>
      <c r="Z7722" s="220">
        <v>6960</v>
      </c>
      <c r="AA7722" s="220">
        <f>SUM(X7722:Z7722)</f>
        <v>1524960</v>
      </c>
      <c r="AB7722" s="222">
        <v>46125</v>
      </c>
    </row>
    <row r="7723" spans="1:28" ht="17.100000000000001" customHeight="1" thickBot="1">
      <c r="A7723" s="227"/>
      <c r="B7723" s="27" t="s">
        <v>2680</v>
      </c>
      <c r="C7723" s="27">
        <v>50230</v>
      </c>
      <c r="D7723" s="14" t="s">
        <v>2559</v>
      </c>
      <c r="E7723" s="229"/>
      <c r="F7723" s="117" t="s">
        <v>21444</v>
      </c>
      <c r="G7723" s="26">
        <v>13794</v>
      </c>
      <c r="H7723" s="231"/>
      <c r="I7723" s="221"/>
      <c r="J7723" s="221"/>
      <c r="K7723" s="221"/>
      <c r="L7723" s="221"/>
      <c r="M7723" s="221"/>
      <c r="N7723" s="221"/>
      <c r="O7723" s="225"/>
      <c r="P7723" s="118" t="s">
        <v>6983</v>
      </c>
      <c r="Q7723" s="16" t="s">
        <v>20</v>
      </c>
      <c r="R7723" s="17" t="s">
        <v>1810</v>
      </c>
      <c r="S7723" s="121" t="s">
        <v>17225</v>
      </c>
      <c r="T7723" s="122"/>
      <c r="U7723" s="22"/>
      <c r="V7723" s="123" t="s">
        <v>2747</v>
      </c>
      <c r="W7723" s="122">
        <v>5075</v>
      </c>
      <c r="X7723" s="221"/>
      <c r="Y7723" s="221"/>
      <c r="Z7723" s="221"/>
      <c r="AA7723" s="221"/>
      <c r="AB7723" s="223"/>
    </row>
    <row r="7724" spans="1:28" ht="17.100000000000001" customHeight="1" thickTop="1">
      <c r="A7724" s="226" t="s">
        <v>21432</v>
      </c>
      <c r="B7724" s="28">
        <v>46114</v>
      </c>
      <c r="C7724" s="25">
        <v>2021</v>
      </c>
      <c r="D7724" s="13" t="s">
        <v>3937</v>
      </c>
      <c r="E7724" s="228"/>
      <c r="F7724" s="109" t="s">
        <v>15235</v>
      </c>
      <c r="G7724" s="24"/>
      <c r="H7724" s="232" t="s">
        <v>11953</v>
      </c>
      <c r="I7724" s="220">
        <v>389000</v>
      </c>
      <c r="J7724" s="220">
        <f>I7724*0.1</f>
        <v>38900</v>
      </c>
      <c r="K7724" s="220">
        <v>0</v>
      </c>
      <c r="L7724" s="220">
        <v>8850</v>
      </c>
      <c r="M7724" s="220">
        <v>22000</v>
      </c>
      <c r="N7724" s="220">
        <f>SUM(I7724:M7725)</f>
        <v>458750</v>
      </c>
      <c r="O7724" s="224"/>
      <c r="P7724" s="110" t="s">
        <v>21920</v>
      </c>
      <c r="Q7724" s="15" t="s">
        <v>19</v>
      </c>
      <c r="R7724" s="205"/>
      <c r="S7724" s="189"/>
      <c r="T7724" s="114"/>
      <c r="U7724" s="21"/>
      <c r="V7724" s="115">
        <v>46141</v>
      </c>
      <c r="W7724" s="116">
        <v>1015</v>
      </c>
      <c r="X7724" s="220">
        <v>450000</v>
      </c>
      <c r="Y7724" s="220">
        <f>X7724*0.1</f>
        <v>45000</v>
      </c>
      <c r="Z7724" s="220">
        <v>8850</v>
      </c>
      <c r="AA7724" s="220">
        <f>SUM(X7724:Z7724)</f>
        <v>503850</v>
      </c>
      <c r="AB7724" s="222">
        <v>46153</v>
      </c>
    </row>
    <row r="7725" spans="1:28" ht="17.100000000000001" customHeight="1" thickBot="1">
      <c r="A7725" s="227"/>
      <c r="B7725" s="27" t="s">
        <v>2680</v>
      </c>
      <c r="C7725" s="27">
        <v>50236</v>
      </c>
      <c r="D7725" s="14" t="s">
        <v>1710</v>
      </c>
      <c r="E7725" s="229"/>
      <c r="F7725" s="117" t="s">
        <v>21445</v>
      </c>
      <c r="G7725" s="26">
        <v>55537</v>
      </c>
      <c r="H7725" s="231"/>
      <c r="I7725" s="221"/>
      <c r="J7725" s="221"/>
      <c r="K7725" s="221"/>
      <c r="L7725" s="221"/>
      <c r="M7725" s="221"/>
      <c r="N7725" s="221"/>
      <c r="O7725" s="225"/>
      <c r="P7725" s="118" t="s">
        <v>2615</v>
      </c>
      <c r="Q7725" s="16" t="s">
        <v>20</v>
      </c>
      <c r="R7725" s="17" t="s">
        <v>1810</v>
      </c>
      <c r="S7725" s="121"/>
      <c r="T7725" s="122"/>
      <c r="U7725" s="22"/>
      <c r="V7725" s="123" t="s">
        <v>2747</v>
      </c>
      <c r="W7725" s="122">
        <v>2059</v>
      </c>
      <c r="X7725" s="221"/>
      <c r="Y7725" s="221"/>
      <c r="Z7725" s="221"/>
      <c r="AA7725" s="221"/>
      <c r="AB7725" s="223"/>
    </row>
    <row r="7726" spans="1:28" ht="17.100000000000001" customHeight="1" thickTop="1">
      <c r="A7726" s="226" t="s">
        <v>21433</v>
      </c>
      <c r="B7726" s="28">
        <v>46114</v>
      </c>
      <c r="C7726" s="25">
        <v>2021</v>
      </c>
      <c r="D7726" s="13" t="s">
        <v>1983</v>
      </c>
      <c r="E7726" s="228"/>
      <c r="F7726" s="109" t="s">
        <v>21619</v>
      </c>
      <c r="G7726" s="24" t="s">
        <v>2038</v>
      </c>
      <c r="H7726" s="230">
        <v>4.5</v>
      </c>
      <c r="I7726" s="220">
        <v>2278000</v>
      </c>
      <c r="J7726" s="220">
        <f>I7726*0.1</f>
        <v>227800</v>
      </c>
      <c r="K7726" s="220">
        <v>19580</v>
      </c>
      <c r="L7726" s="220">
        <v>11570</v>
      </c>
      <c r="M7726" s="220">
        <v>22000</v>
      </c>
      <c r="N7726" s="220">
        <f>SUM(I7726:M7727)</f>
        <v>2558950</v>
      </c>
      <c r="O7726" s="224"/>
      <c r="P7726" s="110" t="s">
        <v>21620</v>
      </c>
      <c r="Q7726" s="15" t="s">
        <v>19</v>
      </c>
      <c r="R7726" s="205"/>
      <c r="S7726" s="189" t="s">
        <v>455</v>
      </c>
      <c r="T7726" s="114"/>
      <c r="U7726" s="21"/>
      <c r="V7726" s="115">
        <v>46127</v>
      </c>
      <c r="W7726" s="116">
        <v>1013</v>
      </c>
      <c r="X7726" s="220">
        <v>2515000</v>
      </c>
      <c r="Y7726" s="220">
        <f>X7726*0.1</f>
        <v>251500</v>
      </c>
      <c r="Z7726" s="220">
        <v>11570</v>
      </c>
      <c r="AA7726" s="220">
        <f>SUM(X7726:Z7726)</f>
        <v>2778070</v>
      </c>
      <c r="AB7726" s="222">
        <v>46132</v>
      </c>
    </row>
    <row r="7727" spans="1:28" ht="17.100000000000001" customHeight="1" thickBot="1">
      <c r="A7727" s="227"/>
      <c r="B7727" s="27" t="s">
        <v>2680</v>
      </c>
      <c r="C7727" s="27">
        <v>30062</v>
      </c>
      <c r="D7727" s="14" t="s">
        <v>1710</v>
      </c>
      <c r="E7727" s="229"/>
      <c r="F7727" s="117" t="s">
        <v>21446</v>
      </c>
      <c r="G7727" s="26">
        <v>8052</v>
      </c>
      <c r="H7727" s="231"/>
      <c r="I7727" s="221"/>
      <c r="J7727" s="221"/>
      <c r="K7727" s="221"/>
      <c r="L7727" s="221"/>
      <c r="M7727" s="221"/>
      <c r="N7727" s="221"/>
      <c r="O7727" s="225"/>
      <c r="P7727" s="118" t="s">
        <v>7414</v>
      </c>
      <c r="Q7727" s="16" t="s">
        <v>20</v>
      </c>
      <c r="R7727" s="17" t="s">
        <v>1810</v>
      </c>
      <c r="S7727" s="121" t="s">
        <v>21916</v>
      </c>
      <c r="T7727" s="122" t="s">
        <v>13174</v>
      </c>
      <c r="U7727" s="22"/>
      <c r="V7727" s="123" t="s">
        <v>2747</v>
      </c>
      <c r="W7727" s="122">
        <v>80005</v>
      </c>
      <c r="X7727" s="221"/>
      <c r="Y7727" s="221"/>
      <c r="Z7727" s="221"/>
      <c r="AA7727" s="221"/>
      <c r="AB7727" s="223"/>
    </row>
    <row r="7728" spans="1:28" ht="17.100000000000001" customHeight="1" thickTop="1">
      <c r="A7728" s="226" t="s">
        <v>21434</v>
      </c>
      <c r="B7728" s="28">
        <v>46114</v>
      </c>
      <c r="C7728" s="25">
        <v>1560</v>
      </c>
      <c r="D7728" s="13" t="s">
        <v>1961</v>
      </c>
      <c r="E7728" s="228"/>
      <c r="F7728" s="109" t="s">
        <v>19894</v>
      </c>
      <c r="G7728" s="24"/>
      <c r="H7728" s="230">
        <v>3.5</v>
      </c>
      <c r="I7728" s="220">
        <v>1210000</v>
      </c>
      <c r="J7728" s="220">
        <f>I7728*0.1</f>
        <v>121000</v>
      </c>
      <c r="K7728" s="220">
        <v>0</v>
      </c>
      <c r="L7728" s="220">
        <v>19090</v>
      </c>
      <c r="M7728" s="220">
        <v>16500</v>
      </c>
      <c r="N7728" s="220">
        <f>SUM(I7728:M7729)</f>
        <v>1366590</v>
      </c>
      <c r="O7728" s="224"/>
      <c r="P7728" s="110" t="s">
        <v>21890</v>
      </c>
      <c r="Q7728" s="15" t="s">
        <v>19</v>
      </c>
      <c r="R7728" s="205"/>
      <c r="S7728" s="189" t="s">
        <v>283</v>
      </c>
      <c r="T7728" s="114"/>
      <c r="U7728" s="21"/>
      <c r="V7728" s="115">
        <v>46165</v>
      </c>
      <c r="W7728" s="116">
        <v>1301</v>
      </c>
      <c r="X7728" s="220">
        <v>1450000</v>
      </c>
      <c r="Y7728" s="220">
        <f>X7728*0.1</f>
        <v>145000</v>
      </c>
      <c r="Z7728" s="220">
        <v>19090</v>
      </c>
      <c r="AA7728" s="220">
        <f>SUM(X7728:Z7728)</f>
        <v>1614090</v>
      </c>
      <c r="AB7728" s="222">
        <v>46168</v>
      </c>
    </row>
    <row r="7729" spans="1:28" ht="17.100000000000001" customHeight="1" thickBot="1">
      <c r="A7729" s="227"/>
      <c r="B7729" s="27" t="s">
        <v>1592</v>
      </c>
      <c r="C7729" s="27">
        <v>79181</v>
      </c>
      <c r="D7729" s="14" t="s">
        <v>1548</v>
      </c>
      <c r="E7729" s="229"/>
      <c r="F7729" s="117" t="s">
        <v>21610</v>
      </c>
      <c r="G7729" s="26">
        <v>43137</v>
      </c>
      <c r="H7729" s="231"/>
      <c r="I7729" s="221"/>
      <c r="J7729" s="221"/>
      <c r="K7729" s="221"/>
      <c r="L7729" s="221"/>
      <c r="M7729" s="221"/>
      <c r="N7729" s="221"/>
      <c r="O7729" s="225"/>
      <c r="P7729" s="118" t="s">
        <v>1972</v>
      </c>
      <c r="Q7729" s="16" t="s">
        <v>20</v>
      </c>
      <c r="R7729" s="17" t="s">
        <v>1810</v>
      </c>
      <c r="S7729" s="121" t="s">
        <v>169</v>
      </c>
      <c r="T7729" s="122"/>
      <c r="U7729" s="22"/>
      <c r="V7729" s="123" t="s">
        <v>2472</v>
      </c>
      <c r="W7729" s="122">
        <v>80071</v>
      </c>
      <c r="X7729" s="221"/>
      <c r="Y7729" s="221"/>
      <c r="Z7729" s="221"/>
      <c r="AA7729" s="221"/>
      <c r="AB7729" s="223"/>
    </row>
    <row r="7730" spans="1:28" ht="17.100000000000001" customHeight="1" thickTop="1">
      <c r="A7730" s="226" t="s">
        <v>21447</v>
      </c>
      <c r="B7730" s="28">
        <v>46114</v>
      </c>
      <c r="C7730" s="25">
        <v>1977</v>
      </c>
      <c r="D7730" s="13" t="s">
        <v>1666</v>
      </c>
      <c r="E7730" s="228"/>
      <c r="F7730" s="109" t="s">
        <v>16450</v>
      </c>
      <c r="G7730" s="24"/>
      <c r="H7730" s="230">
        <v>4</v>
      </c>
      <c r="I7730" s="220">
        <v>1113000</v>
      </c>
      <c r="J7730" s="220">
        <f>I7730*0.1</f>
        <v>111300</v>
      </c>
      <c r="K7730" s="220">
        <v>0</v>
      </c>
      <c r="L7730" s="220">
        <v>12470</v>
      </c>
      <c r="M7730" s="220">
        <v>17050</v>
      </c>
      <c r="N7730" s="220">
        <f>SUM(I7730:M7731)</f>
        <v>1253820</v>
      </c>
      <c r="O7730" s="224"/>
      <c r="P7730" s="110" t="s">
        <v>21734</v>
      </c>
      <c r="Q7730" s="15" t="s">
        <v>19</v>
      </c>
      <c r="R7730" s="205"/>
      <c r="S7730" s="189"/>
      <c r="T7730" s="114"/>
      <c r="U7730" s="21"/>
      <c r="V7730" s="115">
        <v>46134</v>
      </c>
      <c r="W7730" s="116">
        <v>1014</v>
      </c>
      <c r="X7730" s="220">
        <v>1215000</v>
      </c>
      <c r="Y7730" s="220">
        <f>X7730*0.1</f>
        <v>121500</v>
      </c>
      <c r="Z7730" s="220">
        <v>12470</v>
      </c>
      <c r="AA7730" s="220">
        <f>SUM(X7730:Z7730)</f>
        <v>1348970</v>
      </c>
      <c r="AB7730" s="222">
        <v>46139</v>
      </c>
    </row>
    <row r="7731" spans="1:28" ht="17.100000000000001" customHeight="1" thickBot="1">
      <c r="A7731" s="227"/>
      <c r="B7731" s="27" t="s">
        <v>3730</v>
      </c>
      <c r="C7731" s="27">
        <v>2177</v>
      </c>
      <c r="D7731" s="14" t="s">
        <v>273</v>
      </c>
      <c r="E7731" s="229"/>
      <c r="F7731" s="117" t="s">
        <v>21455</v>
      </c>
      <c r="G7731" s="26">
        <v>75734</v>
      </c>
      <c r="H7731" s="231"/>
      <c r="I7731" s="221"/>
      <c r="J7731" s="221"/>
      <c r="K7731" s="221"/>
      <c r="L7731" s="221"/>
      <c r="M7731" s="221"/>
      <c r="N7731" s="221"/>
      <c r="O7731" s="225"/>
      <c r="P7731" s="118" t="s">
        <v>10865</v>
      </c>
      <c r="Q7731" s="16" t="s">
        <v>20</v>
      </c>
      <c r="R7731" s="17" t="s">
        <v>1901</v>
      </c>
      <c r="S7731" s="121" t="s">
        <v>22030</v>
      </c>
      <c r="T7731" s="122"/>
      <c r="U7731" s="22"/>
      <c r="V7731" s="123" t="s">
        <v>23332</v>
      </c>
      <c r="W7731" s="122">
        <v>6112</v>
      </c>
      <c r="X7731" s="221"/>
      <c r="Y7731" s="221"/>
      <c r="Z7731" s="221"/>
      <c r="AA7731" s="221"/>
      <c r="AB7731" s="223"/>
    </row>
    <row r="7732" spans="1:28" ht="17.100000000000001" customHeight="1" thickTop="1">
      <c r="A7732" s="226" t="s">
        <v>21448</v>
      </c>
      <c r="B7732" s="28">
        <v>46114</v>
      </c>
      <c r="C7732" s="25">
        <v>1977</v>
      </c>
      <c r="D7732" s="13" t="s">
        <v>1704</v>
      </c>
      <c r="E7732" s="228"/>
      <c r="F7732" s="109" t="s">
        <v>21456</v>
      </c>
      <c r="G7732" s="24"/>
      <c r="H7732" s="230">
        <v>4.5</v>
      </c>
      <c r="I7732" s="220">
        <v>1232000</v>
      </c>
      <c r="J7732" s="220">
        <f>I7732*0.1</f>
        <v>123200</v>
      </c>
      <c r="K7732" s="220">
        <v>0</v>
      </c>
      <c r="L7732" s="220">
        <v>9810</v>
      </c>
      <c r="M7732" s="220">
        <v>17050</v>
      </c>
      <c r="N7732" s="220">
        <f>SUM(I7732:M7733)</f>
        <v>1382060</v>
      </c>
      <c r="O7732" s="224"/>
      <c r="P7732" s="110" t="s">
        <v>21735</v>
      </c>
      <c r="Q7732" s="15" t="s">
        <v>19</v>
      </c>
      <c r="R7732" s="205"/>
      <c r="S7732" s="189" t="s">
        <v>758</v>
      </c>
      <c r="T7732" s="114"/>
      <c r="U7732" s="21"/>
      <c r="V7732" s="115"/>
      <c r="W7732" s="116"/>
      <c r="X7732" s="220"/>
      <c r="Y7732" s="220">
        <f>X7732*0.1</f>
        <v>0</v>
      </c>
      <c r="Z7732" s="220"/>
      <c r="AA7732" s="220">
        <f>SUM(X7732:Z7732)</f>
        <v>0</v>
      </c>
      <c r="AB7732" s="222"/>
    </row>
    <row r="7733" spans="1:28" ht="17.100000000000001" customHeight="1" thickBot="1">
      <c r="A7733" s="227"/>
      <c r="B7733" s="27" t="s">
        <v>3730</v>
      </c>
      <c r="C7733" s="27">
        <v>2187</v>
      </c>
      <c r="D7733" s="14" t="s">
        <v>1710</v>
      </c>
      <c r="E7733" s="229"/>
      <c r="F7733" s="117" t="s">
        <v>21457</v>
      </c>
      <c r="G7733" s="26">
        <v>52433</v>
      </c>
      <c r="H7733" s="231"/>
      <c r="I7733" s="221"/>
      <c r="J7733" s="221"/>
      <c r="K7733" s="221"/>
      <c r="L7733" s="221"/>
      <c r="M7733" s="221"/>
      <c r="N7733" s="221"/>
      <c r="O7733" s="225"/>
      <c r="P7733" s="118" t="s">
        <v>21674</v>
      </c>
      <c r="Q7733" s="16" t="s">
        <v>20</v>
      </c>
      <c r="R7733" s="17" t="s">
        <v>1555</v>
      </c>
      <c r="S7733" s="121" t="s">
        <v>22309</v>
      </c>
      <c r="T7733" s="122"/>
      <c r="U7733" s="22"/>
      <c r="V7733" s="123"/>
      <c r="W7733" s="122"/>
      <c r="X7733" s="221"/>
      <c r="Y7733" s="221"/>
      <c r="Z7733" s="221"/>
      <c r="AA7733" s="221"/>
      <c r="AB7733" s="223"/>
    </row>
    <row r="7734" spans="1:28" ht="17.100000000000001" customHeight="1" thickTop="1">
      <c r="A7734" s="226" t="s">
        <v>21449</v>
      </c>
      <c r="B7734" s="28">
        <v>46114</v>
      </c>
      <c r="C7734" s="25">
        <v>1977</v>
      </c>
      <c r="D7734" s="13" t="s">
        <v>1531</v>
      </c>
      <c r="E7734" s="228"/>
      <c r="F7734" s="109" t="s">
        <v>21016</v>
      </c>
      <c r="G7734" s="24"/>
      <c r="H7734" s="230">
        <v>4</v>
      </c>
      <c r="I7734" s="220">
        <v>1094000</v>
      </c>
      <c r="J7734" s="220">
        <f>I7734*0.1</f>
        <v>109400</v>
      </c>
      <c r="K7734" s="220">
        <v>0</v>
      </c>
      <c r="L7734" s="220">
        <v>11010</v>
      </c>
      <c r="M7734" s="220">
        <v>15950</v>
      </c>
      <c r="N7734" s="220">
        <f>SUM(I7734:M7735)</f>
        <v>1230360</v>
      </c>
      <c r="O7734" s="224"/>
      <c r="P7734" s="110" t="s">
        <v>21733</v>
      </c>
      <c r="Q7734" s="15" t="s">
        <v>19</v>
      </c>
      <c r="R7734" s="205"/>
      <c r="S7734" s="189"/>
      <c r="T7734" s="114"/>
      <c r="U7734" s="21"/>
      <c r="V7734" s="115">
        <v>46123</v>
      </c>
      <c r="W7734" s="116">
        <v>1296</v>
      </c>
      <c r="X7734" s="220">
        <v>1200000</v>
      </c>
      <c r="Y7734" s="220">
        <f>X7734*0.1</f>
        <v>120000</v>
      </c>
      <c r="Z7734" s="220">
        <v>11010</v>
      </c>
      <c r="AA7734" s="220">
        <f>SUM(X7734:Z7734)</f>
        <v>1331010</v>
      </c>
      <c r="AB7734" s="222">
        <v>46126</v>
      </c>
    </row>
    <row r="7735" spans="1:28" ht="17.100000000000001" customHeight="1" thickBot="1">
      <c r="A7735" s="227"/>
      <c r="B7735" s="27" t="s">
        <v>3730</v>
      </c>
      <c r="C7735" s="27">
        <v>30013</v>
      </c>
      <c r="D7735" s="14" t="s">
        <v>21582</v>
      </c>
      <c r="E7735" s="229"/>
      <c r="F7735" s="117" t="s">
        <v>21458</v>
      </c>
      <c r="G7735" s="26">
        <v>32706</v>
      </c>
      <c r="H7735" s="231"/>
      <c r="I7735" s="221"/>
      <c r="J7735" s="221"/>
      <c r="K7735" s="221"/>
      <c r="L7735" s="221"/>
      <c r="M7735" s="221"/>
      <c r="N7735" s="221"/>
      <c r="O7735" s="225"/>
      <c r="P7735" s="118" t="s">
        <v>4306</v>
      </c>
      <c r="Q7735" s="16" t="s">
        <v>20</v>
      </c>
      <c r="R7735" s="17" t="s">
        <v>1901</v>
      </c>
      <c r="S7735" s="121"/>
      <c r="T7735" s="122"/>
      <c r="U7735" s="22"/>
      <c r="V7735" s="123" t="s">
        <v>2472</v>
      </c>
      <c r="W7735" s="122">
        <v>91</v>
      </c>
      <c r="X7735" s="221"/>
      <c r="Y7735" s="221"/>
      <c r="Z7735" s="221"/>
      <c r="AA7735" s="221"/>
      <c r="AB7735" s="223"/>
    </row>
    <row r="7736" spans="1:28" ht="17.100000000000001" customHeight="1" thickTop="1">
      <c r="A7736" s="226" t="s">
        <v>21450</v>
      </c>
      <c r="B7736" s="28">
        <v>46114</v>
      </c>
      <c r="C7736" s="25">
        <v>1977</v>
      </c>
      <c r="D7736" s="13" t="s">
        <v>1531</v>
      </c>
      <c r="E7736" s="228"/>
      <c r="F7736" s="109" t="s">
        <v>21459</v>
      </c>
      <c r="G7736" s="24"/>
      <c r="H7736" s="230">
        <v>4</v>
      </c>
      <c r="I7736" s="220">
        <v>1121000</v>
      </c>
      <c r="J7736" s="220">
        <f>I7736*0.1</f>
        <v>112100</v>
      </c>
      <c r="K7736" s="220">
        <v>0</v>
      </c>
      <c r="L7736" s="220">
        <v>11010</v>
      </c>
      <c r="M7736" s="220">
        <v>15950</v>
      </c>
      <c r="N7736" s="220">
        <f>SUM(I7736:M7737)</f>
        <v>1260060</v>
      </c>
      <c r="O7736" s="224"/>
      <c r="P7736" s="110" t="s">
        <v>21732</v>
      </c>
      <c r="Q7736" s="15" t="s">
        <v>19</v>
      </c>
      <c r="R7736" s="205"/>
      <c r="S7736" s="189"/>
      <c r="T7736" s="114"/>
      <c r="U7736" s="21"/>
      <c r="V7736" s="115">
        <v>46123</v>
      </c>
      <c r="W7736" s="116">
        <v>1296</v>
      </c>
      <c r="X7736" s="220">
        <v>1195000</v>
      </c>
      <c r="Y7736" s="220">
        <f>X7736*0.1</f>
        <v>119500</v>
      </c>
      <c r="Z7736" s="220">
        <v>11010</v>
      </c>
      <c r="AA7736" s="220">
        <f>SUM(X7736:Z7736)</f>
        <v>1325510</v>
      </c>
      <c r="AB7736" s="222">
        <v>46126</v>
      </c>
    </row>
    <row r="7737" spans="1:28" ht="17.100000000000001" customHeight="1" thickBot="1">
      <c r="A7737" s="227"/>
      <c r="B7737" s="27" t="s">
        <v>3730</v>
      </c>
      <c r="C7737" s="27">
        <v>30020</v>
      </c>
      <c r="D7737" s="14" t="s">
        <v>1627</v>
      </c>
      <c r="E7737" s="229"/>
      <c r="F7737" s="117" t="s">
        <v>21460</v>
      </c>
      <c r="G7737" s="26">
        <v>39621</v>
      </c>
      <c r="H7737" s="231"/>
      <c r="I7737" s="221"/>
      <c r="J7737" s="221"/>
      <c r="K7737" s="221"/>
      <c r="L7737" s="221"/>
      <c r="M7737" s="221"/>
      <c r="N7737" s="221"/>
      <c r="O7737" s="225"/>
      <c r="P7737" s="118" t="s">
        <v>4306</v>
      </c>
      <c r="Q7737" s="16" t="s">
        <v>20</v>
      </c>
      <c r="R7737" s="17" t="s">
        <v>1901</v>
      </c>
      <c r="S7737" s="121"/>
      <c r="T7737" s="122"/>
      <c r="U7737" s="22"/>
      <c r="V7737" s="123" t="s">
        <v>2472</v>
      </c>
      <c r="W7737" s="122">
        <v>77</v>
      </c>
      <c r="X7737" s="221"/>
      <c r="Y7737" s="221"/>
      <c r="Z7737" s="221"/>
      <c r="AA7737" s="221"/>
      <c r="AB7737" s="223"/>
    </row>
    <row r="7738" spans="1:28" ht="17.100000000000001" customHeight="1" thickTop="1">
      <c r="A7738" s="226" t="s">
        <v>21451</v>
      </c>
      <c r="B7738" s="28">
        <v>46114</v>
      </c>
      <c r="C7738" s="25">
        <v>1977</v>
      </c>
      <c r="D7738" s="13" t="s">
        <v>2324</v>
      </c>
      <c r="E7738" s="228"/>
      <c r="F7738" s="109" t="s">
        <v>20575</v>
      </c>
      <c r="G7738" s="24"/>
      <c r="H7738" s="230">
        <v>4</v>
      </c>
      <c r="I7738" s="220">
        <v>1132000</v>
      </c>
      <c r="J7738" s="220">
        <f>I7738*0.1</f>
        <v>113200</v>
      </c>
      <c r="K7738" s="220">
        <v>0</v>
      </c>
      <c r="L7738" s="220">
        <v>7440</v>
      </c>
      <c r="M7738" s="220">
        <v>15950</v>
      </c>
      <c r="N7738" s="220">
        <f>SUM(I7738:M7739)</f>
        <v>1268590</v>
      </c>
      <c r="O7738" s="224"/>
      <c r="P7738" s="110" t="s">
        <v>21929</v>
      </c>
      <c r="Q7738" s="15" t="s">
        <v>19</v>
      </c>
      <c r="R7738" s="205"/>
      <c r="S7738" s="189"/>
      <c r="T7738" s="114"/>
      <c r="U7738" s="21"/>
      <c r="V7738" s="115">
        <v>46123</v>
      </c>
      <c r="W7738" s="116">
        <v>1296</v>
      </c>
      <c r="X7738" s="220">
        <v>1270000</v>
      </c>
      <c r="Y7738" s="220">
        <f>X7738*0.1</f>
        <v>127000</v>
      </c>
      <c r="Z7738" s="220">
        <v>7440</v>
      </c>
      <c r="AA7738" s="220">
        <f>SUM(X7738:Z7738)</f>
        <v>1404440</v>
      </c>
      <c r="AB7738" s="222">
        <v>46126</v>
      </c>
    </row>
    <row r="7739" spans="1:28" ht="17.100000000000001" customHeight="1" thickBot="1">
      <c r="A7739" s="227"/>
      <c r="B7739" s="27" t="s">
        <v>3730</v>
      </c>
      <c r="C7739" s="27">
        <v>62037</v>
      </c>
      <c r="D7739" s="14" t="s">
        <v>1584</v>
      </c>
      <c r="E7739" s="229"/>
      <c r="F7739" s="117" t="s">
        <v>21461</v>
      </c>
      <c r="G7739" s="26">
        <v>40496</v>
      </c>
      <c r="H7739" s="231"/>
      <c r="I7739" s="221"/>
      <c r="J7739" s="221"/>
      <c r="K7739" s="221"/>
      <c r="L7739" s="221"/>
      <c r="M7739" s="221"/>
      <c r="N7739" s="221"/>
      <c r="O7739" s="225"/>
      <c r="P7739" s="118" t="s">
        <v>7323</v>
      </c>
      <c r="Q7739" s="16" t="s">
        <v>20</v>
      </c>
      <c r="R7739" s="17" t="s">
        <v>1780</v>
      </c>
      <c r="S7739" s="121"/>
      <c r="T7739" s="122"/>
      <c r="U7739" s="22"/>
      <c r="V7739" s="123" t="s">
        <v>2472</v>
      </c>
      <c r="W7739" s="122">
        <v>41064</v>
      </c>
      <c r="X7739" s="221"/>
      <c r="Y7739" s="221"/>
      <c r="Z7739" s="221"/>
      <c r="AA7739" s="221"/>
      <c r="AB7739" s="223"/>
    </row>
    <row r="7740" spans="1:28" ht="17.100000000000001" customHeight="1" thickTop="1">
      <c r="A7740" s="226" t="s">
        <v>21452</v>
      </c>
      <c r="B7740" s="28">
        <v>46114</v>
      </c>
      <c r="C7740" s="25">
        <v>2152</v>
      </c>
      <c r="D7740" s="13" t="s">
        <v>5521</v>
      </c>
      <c r="E7740" s="228"/>
      <c r="F7740" s="109" t="s">
        <v>21583</v>
      </c>
      <c r="G7740" s="24" t="s">
        <v>3942</v>
      </c>
      <c r="H7740" s="230">
        <v>4</v>
      </c>
      <c r="I7740" s="220">
        <v>299000</v>
      </c>
      <c r="J7740" s="220">
        <f>I7740*0.1</f>
        <v>29900</v>
      </c>
      <c r="K7740" s="220">
        <v>0</v>
      </c>
      <c r="L7740" s="220">
        <v>8490</v>
      </c>
      <c r="M7740" s="220">
        <v>14300</v>
      </c>
      <c r="N7740" s="220">
        <f>SUM(I7740:M7741)</f>
        <v>351690</v>
      </c>
      <c r="O7740" s="224"/>
      <c r="P7740" s="110" t="s">
        <v>21584</v>
      </c>
      <c r="Q7740" s="15" t="s">
        <v>19</v>
      </c>
      <c r="R7740" s="205"/>
      <c r="S7740" s="189"/>
      <c r="T7740" s="114"/>
      <c r="U7740" s="21" t="s">
        <v>26504</v>
      </c>
      <c r="V7740" s="115"/>
      <c r="W7740" s="116"/>
      <c r="X7740" s="220"/>
      <c r="Y7740" s="220">
        <f>X7740*0.1</f>
        <v>0</v>
      </c>
      <c r="Z7740" s="220"/>
      <c r="AA7740" s="220">
        <f>SUM(X7740:Z7740)</f>
        <v>0</v>
      </c>
      <c r="AB7740" s="222"/>
    </row>
    <row r="7741" spans="1:28" ht="17.100000000000001" customHeight="1" thickBot="1">
      <c r="A7741" s="227"/>
      <c r="B7741" s="27" t="s">
        <v>1918</v>
      </c>
      <c r="C7741" s="27">
        <v>40</v>
      </c>
      <c r="D7741" s="14" t="s">
        <v>898</v>
      </c>
      <c r="E7741" s="229"/>
      <c r="F7741" s="117" t="s">
        <v>21481</v>
      </c>
      <c r="G7741" s="26">
        <v>59388</v>
      </c>
      <c r="H7741" s="231"/>
      <c r="I7741" s="221"/>
      <c r="J7741" s="221"/>
      <c r="K7741" s="221"/>
      <c r="L7741" s="221"/>
      <c r="M7741" s="221"/>
      <c r="N7741" s="221"/>
      <c r="O7741" s="225"/>
      <c r="P7741" s="118" t="s">
        <v>3355</v>
      </c>
      <c r="Q7741" s="16" t="s">
        <v>20</v>
      </c>
      <c r="R7741" s="17" t="s">
        <v>1810</v>
      </c>
      <c r="S7741" s="121" t="s">
        <v>169</v>
      </c>
      <c r="T7741" s="122"/>
      <c r="U7741" s="22"/>
      <c r="V7741" s="123"/>
      <c r="W7741" s="122"/>
      <c r="X7741" s="221"/>
      <c r="Y7741" s="221"/>
      <c r="Z7741" s="221"/>
      <c r="AA7741" s="221"/>
      <c r="AB7741" s="223"/>
    </row>
    <row r="7742" spans="1:28" ht="17.100000000000001" customHeight="1" thickTop="1">
      <c r="A7742" s="226" t="s">
        <v>21453</v>
      </c>
      <c r="B7742" s="28">
        <v>46114</v>
      </c>
      <c r="C7742" s="25">
        <v>2152</v>
      </c>
      <c r="D7742" s="13" t="s">
        <v>2355</v>
      </c>
      <c r="E7742" s="228"/>
      <c r="F7742" s="109" t="s">
        <v>21585</v>
      </c>
      <c r="G7742" s="24" t="s">
        <v>4245</v>
      </c>
      <c r="H7742" s="230">
        <v>3.5</v>
      </c>
      <c r="I7742" s="220">
        <v>441000</v>
      </c>
      <c r="J7742" s="220">
        <f>I7742*0.1</f>
        <v>44100</v>
      </c>
      <c r="K7742" s="220">
        <v>36200</v>
      </c>
      <c r="L7742" s="220">
        <v>11820</v>
      </c>
      <c r="M7742" s="220">
        <v>14300</v>
      </c>
      <c r="N7742" s="220">
        <f>SUM(I7742:M7743)</f>
        <v>547420</v>
      </c>
      <c r="O7742" s="224"/>
      <c r="P7742" s="110" t="s">
        <v>21586</v>
      </c>
      <c r="Q7742" s="15" t="s">
        <v>19</v>
      </c>
      <c r="R7742" s="205"/>
      <c r="S7742" s="189"/>
      <c r="T7742" s="114"/>
      <c r="U7742" s="21"/>
      <c r="V7742" s="115">
        <v>46134</v>
      </c>
      <c r="W7742" s="116">
        <v>1014</v>
      </c>
      <c r="X7742" s="220">
        <v>455000</v>
      </c>
      <c r="Y7742" s="220">
        <f>X7742*0.1</f>
        <v>45500</v>
      </c>
      <c r="Z7742" s="220">
        <v>11820</v>
      </c>
      <c r="AA7742" s="220">
        <f>SUM(X7742:Z7742)</f>
        <v>512320</v>
      </c>
      <c r="AB7742" s="222">
        <v>46139</v>
      </c>
    </row>
    <row r="7743" spans="1:28" ht="17.100000000000001" customHeight="1" thickBot="1">
      <c r="A7743" s="227"/>
      <c r="B7743" s="27" t="s">
        <v>1918</v>
      </c>
      <c r="C7743" s="27">
        <v>213</v>
      </c>
      <c r="D7743" s="14" t="s">
        <v>1568</v>
      </c>
      <c r="E7743" s="229"/>
      <c r="F7743" s="117" t="s">
        <v>21482</v>
      </c>
      <c r="G7743" s="26">
        <v>77893</v>
      </c>
      <c r="H7743" s="231"/>
      <c r="I7743" s="221"/>
      <c r="J7743" s="221"/>
      <c r="K7743" s="221"/>
      <c r="L7743" s="221"/>
      <c r="M7743" s="221"/>
      <c r="N7743" s="221"/>
      <c r="O7743" s="225"/>
      <c r="P7743" s="118" t="s">
        <v>21927</v>
      </c>
      <c r="Q7743" s="16" t="s">
        <v>20</v>
      </c>
      <c r="R7743" s="17" t="s">
        <v>1810</v>
      </c>
      <c r="S7743" s="121" t="s">
        <v>12278</v>
      </c>
      <c r="T7743" s="122"/>
      <c r="U7743" s="22"/>
      <c r="V7743" s="123" t="s">
        <v>23332</v>
      </c>
      <c r="W7743" s="122">
        <v>6133</v>
      </c>
      <c r="X7743" s="221"/>
      <c r="Y7743" s="221"/>
      <c r="Z7743" s="221"/>
      <c r="AA7743" s="221"/>
      <c r="AB7743" s="223"/>
    </row>
    <row r="7744" spans="1:28" ht="17.100000000000001" customHeight="1" thickTop="1">
      <c r="A7744" s="226" t="s">
        <v>21454</v>
      </c>
      <c r="B7744" s="28">
        <v>46114</v>
      </c>
      <c r="C7744" s="25">
        <v>2152</v>
      </c>
      <c r="D7744" s="13" t="s">
        <v>1762</v>
      </c>
      <c r="E7744" s="228"/>
      <c r="F7744" s="109" t="s">
        <v>20994</v>
      </c>
      <c r="G7744" s="24" t="s">
        <v>21587</v>
      </c>
      <c r="H7744" s="232" t="s">
        <v>1705</v>
      </c>
      <c r="I7744" s="220">
        <v>260000</v>
      </c>
      <c r="J7744" s="220">
        <f>I7744*0.1</f>
        <v>26000</v>
      </c>
      <c r="K7744" s="220">
        <v>0</v>
      </c>
      <c r="L7744" s="220">
        <v>7950</v>
      </c>
      <c r="M7744" s="220">
        <v>14300</v>
      </c>
      <c r="N7744" s="220">
        <f>SUM(I7744:M7745)</f>
        <v>308250</v>
      </c>
      <c r="O7744" s="224"/>
      <c r="P7744" s="110" t="s">
        <v>21588</v>
      </c>
      <c r="Q7744" s="15" t="s">
        <v>19</v>
      </c>
      <c r="R7744" s="205"/>
      <c r="S7744" s="189"/>
      <c r="T7744" s="114"/>
      <c r="U7744" s="21"/>
      <c r="V7744" s="115">
        <v>46141</v>
      </c>
      <c r="W7744" s="116">
        <v>1015</v>
      </c>
      <c r="X7744" s="220">
        <v>310000</v>
      </c>
      <c r="Y7744" s="220">
        <f>X7744*0.1</f>
        <v>31000</v>
      </c>
      <c r="Z7744" s="220">
        <v>7950</v>
      </c>
      <c r="AA7744" s="220">
        <f>SUM(X7744:Z7744)</f>
        <v>348950</v>
      </c>
      <c r="AB7744" s="222">
        <v>46153</v>
      </c>
    </row>
    <row r="7745" spans="1:28" ht="17.100000000000001" customHeight="1" thickBot="1">
      <c r="A7745" s="227"/>
      <c r="B7745" s="27" t="s">
        <v>1918</v>
      </c>
      <c r="C7745" s="27">
        <v>218</v>
      </c>
      <c r="D7745" s="14" t="s">
        <v>17793</v>
      </c>
      <c r="E7745" s="229"/>
      <c r="F7745" s="117" t="s">
        <v>24054</v>
      </c>
      <c r="G7745" s="26">
        <v>56282</v>
      </c>
      <c r="H7745" s="231"/>
      <c r="I7745" s="221"/>
      <c r="J7745" s="221"/>
      <c r="K7745" s="221"/>
      <c r="L7745" s="221"/>
      <c r="M7745" s="221"/>
      <c r="N7745" s="221"/>
      <c r="O7745" s="225"/>
      <c r="P7745" s="118" t="s">
        <v>21722</v>
      </c>
      <c r="Q7745" s="16" t="s">
        <v>20</v>
      </c>
      <c r="R7745" s="17" t="s">
        <v>1901</v>
      </c>
      <c r="S7745" s="121" t="s">
        <v>169</v>
      </c>
      <c r="T7745" s="122"/>
      <c r="U7745" s="22"/>
      <c r="V7745" s="123" t="s">
        <v>2747</v>
      </c>
      <c r="W7745" s="122">
        <v>2031</v>
      </c>
      <c r="X7745" s="221"/>
      <c r="Y7745" s="221"/>
      <c r="Z7745" s="221"/>
      <c r="AA7745" s="221"/>
      <c r="AB7745" s="223"/>
    </row>
    <row r="7746" spans="1:28" ht="17.100000000000001" customHeight="1" thickTop="1">
      <c r="A7746" s="226" t="s">
        <v>21462</v>
      </c>
      <c r="B7746" s="28">
        <v>46114</v>
      </c>
      <c r="C7746" s="25">
        <v>2152</v>
      </c>
      <c r="D7746" s="13" t="s">
        <v>1976</v>
      </c>
      <c r="E7746" s="228"/>
      <c r="F7746" s="109" t="s">
        <v>21590</v>
      </c>
      <c r="G7746" s="24" t="s">
        <v>2124</v>
      </c>
      <c r="H7746" s="230">
        <v>4.5</v>
      </c>
      <c r="I7746" s="220">
        <v>693000</v>
      </c>
      <c r="J7746" s="220">
        <f>I7746*0.1</f>
        <v>69300</v>
      </c>
      <c r="K7746" s="220">
        <v>0</v>
      </c>
      <c r="L7746" s="220">
        <v>7960</v>
      </c>
      <c r="M7746" s="220">
        <v>14300</v>
      </c>
      <c r="N7746" s="220">
        <f>SUM(I7746:M7747)</f>
        <v>784560</v>
      </c>
      <c r="O7746" s="224"/>
      <c r="P7746" s="110" t="s">
        <v>21591</v>
      </c>
      <c r="Q7746" s="15" t="s">
        <v>19</v>
      </c>
      <c r="R7746" s="205"/>
      <c r="S7746" s="189"/>
      <c r="T7746" s="114"/>
      <c r="U7746" s="21"/>
      <c r="V7746" s="115">
        <v>46127</v>
      </c>
      <c r="W7746" s="116">
        <v>1013</v>
      </c>
      <c r="X7746" s="220">
        <v>770000</v>
      </c>
      <c r="Y7746" s="220">
        <f>X7746*0.1</f>
        <v>77000</v>
      </c>
      <c r="Z7746" s="220">
        <v>7960</v>
      </c>
      <c r="AA7746" s="220">
        <f>SUM(X7746:Z7746)</f>
        <v>854960</v>
      </c>
      <c r="AB7746" s="222">
        <v>46135</v>
      </c>
    </row>
    <row r="7747" spans="1:28" ht="17.100000000000001" customHeight="1" thickBot="1">
      <c r="A7747" s="227"/>
      <c r="B7747" s="27" t="s">
        <v>1918</v>
      </c>
      <c r="C7747" s="27">
        <v>2142</v>
      </c>
      <c r="D7747" s="14" t="s">
        <v>898</v>
      </c>
      <c r="E7747" s="229"/>
      <c r="F7747" s="117" t="s">
        <v>21484</v>
      </c>
      <c r="G7747" s="26">
        <v>13330</v>
      </c>
      <c r="H7747" s="231"/>
      <c r="I7747" s="221"/>
      <c r="J7747" s="221"/>
      <c r="K7747" s="221"/>
      <c r="L7747" s="221"/>
      <c r="M7747" s="221"/>
      <c r="N7747" s="221"/>
      <c r="O7747" s="225"/>
      <c r="P7747" s="118" t="s">
        <v>21721</v>
      </c>
      <c r="Q7747" s="16" t="s">
        <v>20</v>
      </c>
      <c r="R7747" s="17" t="s">
        <v>1901</v>
      </c>
      <c r="S7747" s="121" t="s">
        <v>1731</v>
      </c>
      <c r="T7747" s="122"/>
      <c r="U7747" s="22"/>
      <c r="V7747" s="123" t="s">
        <v>6641</v>
      </c>
      <c r="W7747" s="122">
        <v>2052</v>
      </c>
      <c r="X7747" s="221"/>
      <c r="Y7747" s="221"/>
      <c r="Z7747" s="221"/>
      <c r="AA7747" s="221"/>
      <c r="AB7747" s="223"/>
    </row>
    <row r="7748" spans="1:28" ht="17.100000000000001" customHeight="1" thickTop="1">
      <c r="A7748" s="226" t="s">
        <v>21463</v>
      </c>
      <c r="B7748" s="28">
        <v>46114</v>
      </c>
      <c r="C7748" s="25">
        <v>2152</v>
      </c>
      <c r="D7748" s="13" t="s">
        <v>4775</v>
      </c>
      <c r="E7748" s="228"/>
      <c r="F7748" s="109" t="s">
        <v>21592</v>
      </c>
      <c r="G7748" s="24" t="s">
        <v>21049</v>
      </c>
      <c r="H7748" s="232" t="s">
        <v>1705</v>
      </c>
      <c r="I7748" s="220">
        <v>303000</v>
      </c>
      <c r="J7748" s="220">
        <f>I7748*0.1</f>
        <v>30300</v>
      </c>
      <c r="K7748" s="220">
        <v>0</v>
      </c>
      <c r="L7748" s="220">
        <v>8550</v>
      </c>
      <c r="M7748" s="220">
        <v>14300</v>
      </c>
      <c r="N7748" s="220">
        <f>SUM(I7748:M7749)</f>
        <v>356150</v>
      </c>
      <c r="O7748" s="224"/>
      <c r="P7748" s="110" t="s">
        <v>21593</v>
      </c>
      <c r="Q7748" s="15" t="s">
        <v>19</v>
      </c>
      <c r="R7748" s="205"/>
      <c r="S7748" s="189" t="s">
        <v>455</v>
      </c>
      <c r="T7748" s="114"/>
      <c r="U7748" s="21"/>
      <c r="V7748" s="115">
        <v>46123</v>
      </c>
      <c r="W7748" s="116">
        <v>1296</v>
      </c>
      <c r="X7748" s="220">
        <v>330000</v>
      </c>
      <c r="Y7748" s="220">
        <f>X7748*0.1</f>
        <v>33000</v>
      </c>
      <c r="Z7748" s="220">
        <v>8550</v>
      </c>
      <c r="AA7748" s="220">
        <f>SUM(X7748:Z7748)</f>
        <v>371550</v>
      </c>
      <c r="AB7748" s="222">
        <v>46126</v>
      </c>
    </row>
    <row r="7749" spans="1:28" ht="17.100000000000001" customHeight="1" thickBot="1">
      <c r="A7749" s="227"/>
      <c r="B7749" s="27" t="s">
        <v>1918</v>
      </c>
      <c r="C7749" s="27">
        <v>2169</v>
      </c>
      <c r="D7749" s="14" t="s">
        <v>14980</v>
      </c>
      <c r="E7749" s="229"/>
      <c r="F7749" s="117" t="s">
        <v>21485</v>
      </c>
      <c r="G7749" s="26">
        <v>39220</v>
      </c>
      <c r="H7749" s="231"/>
      <c r="I7749" s="221"/>
      <c r="J7749" s="221"/>
      <c r="K7749" s="221"/>
      <c r="L7749" s="221"/>
      <c r="M7749" s="221"/>
      <c r="N7749" s="221"/>
      <c r="O7749" s="225"/>
      <c r="P7749" s="118" t="s">
        <v>21720</v>
      </c>
      <c r="Q7749" s="16" t="s">
        <v>20</v>
      </c>
      <c r="R7749" s="17" t="s">
        <v>1901</v>
      </c>
      <c r="S7749" s="121" t="s">
        <v>1731</v>
      </c>
      <c r="T7749" s="122"/>
      <c r="U7749" s="22"/>
      <c r="V7749" s="123" t="s">
        <v>2472</v>
      </c>
      <c r="W7749" s="122">
        <v>60470</v>
      </c>
      <c r="X7749" s="221"/>
      <c r="Y7749" s="221"/>
      <c r="Z7749" s="221"/>
      <c r="AA7749" s="221"/>
      <c r="AB7749" s="223"/>
    </row>
    <row r="7750" spans="1:28" ht="17.100000000000001" customHeight="1" thickTop="1">
      <c r="A7750" s="226" t="s">
        <v>21464</v>
      </c>
      <c r="B7750" s="28">
        <v>46114</v>
      </c>
      <c r="C7750" s="25">
        <v>2152</v>
      </c>
      <c r="D7750" s="13" t="s">
        <v>3332</v>
      </c>
      <c r="E7750" s="228"/>
      <c r="F7750" s="109" t="s">
        <v>15607</v>
      </c>
      <c r="G7750" s="24" t="s">
        <v>21594</v>
      </c>
      <c r="H7750" s="230">
        <v>4.5</v>
      </c>
      <c r="I7750" s="220">
        <v>520000</v>
      </c>
      <c r="J7750" s="220">
        <f>I7750*0.1</f>
        <v>52000</v>
      </c>
      <c r="K7750" s="220">
        <v>0</v>
      </c>
      <c r="L7750" s="220">
        <v>7140</v>
      </c>
      <c r="M7750" s="220">
        <v>14300</v>
      </c>
      <c r="N7750" s="220">
        <f>SUM(I7750:M7751)</f>
        <v>593440</v>
      </c>
      <c r="O7750" s="224"/>
      <c r="P7750" s="110" t="s">
        <v>21595</v>
      </c>
      <c r="Q7750" s="15" t="s">
        <v>19</v>
      </c>
      <c r="R7750" s="205"/>
      <c r="S7750" s="189" t="s">
        <v>25915</v>
      </c>
      <c r="T7750" s="114"/>
      <c r="U7750" s="21"/>
      <c r="V7750" s="115">
        <v>46134</v>
      </c>
      <c r="W7750" s="116">
        <v>1014</v>
      </c>
      <c r="X7750" s="220">
        <v>580000</v>
      </c>
      <c r="Y7750" s="220">
        <f>X7750*0.1</f>
        <v>58000</v>
      </c>
      <c r="Z7750" s="220">
        <v>7140</v>
      </c>
      <c r="AA7750" s="220">
        <f>SUM(X7750:Z7750)</f>
        <v>645140</v>
      </c>
      <c r="AB7750" s="222">
        <v>46139</v>
      </c>
    </row>
    <row r="7751" spans="1:28" ht="17.100000000000001" customHeight="1" thickBot="1">
      <c r="A7751" s="227"/>
      <c r="B7751" s="27" t="s">
        <v>1918</v>
      </c>
      <c r="C7751" s="27">
        <v>2503</v>
      </c>
      <c r="D7751" s="14" t="s">
        <v>1710</v>
      </c>
      <c r="E7751" s="229"/>
      <c r="F7751" s="117" t="s">
        <v>21486</v>
      </c>
      <c r="G7751" s="26">
        <v>29772</v>
      </c>
      <c r="H7751" s="231"/>
      <c r="I7751" s="221"/>
      <c r="J7751" s="221"/>
      <c r="K7751" s="221"/>
      <c r="L7751" s="221"/>
      <c r="M7751" s="221"/>
      <c r="N7751" s="221"/>
      <c r="O7751" s="225"/>
      <c r="P7751" s="118" t="s">
        <v>4599</v>
      </c>
      <c r="Q7751" s="16" t="s">
        <v>20</v>
      </c>
      <c r="R7751" s="17" t="s">
        <v>1810</v>
      </c>
      <c r="S7751" s="121" t="s">
        <v>6932</v>
      </c>
      <c r="T7751" s="122"/>
      <c r="U7751" s="22"/>
      <c r="V7751" s="123" t="s">
        <v>23332</v>
      </c>
      <c r="W7751" s="122">
        <v>2031</v>
      </c>
      <c r="X7751" s="221"/>
      <c r="Y7751" s="221"/>
      <c r="Z7751" s="221"/>
      <c r="AA7751" s="221"/>
      <c r="AB7751" s="223"/>
    </row>
    <row r="7752" spans="1:28" ht="17.100000000000001" customHeight="1" thickTop="1">
      <c r="A7752" s="226" t="s">
        <v>21465</v>
      </c>
      <c r="B7752" s="28">
        <v>46114</v>
      </c>
      <c r="C7752" s="25">
        <v>2152</v>
      </c>
      <c r="D7752" s="13" t="s">
        <v>2158</v>
      </c>
      <c r="E7752" s="228"/>
      <c r="F7752" s="109" t="s">
        <v>15631</v>
      </c>
      <c r="G7752" s="24" t="s">
        <v>8356</v>
      </c>
      <c r="H7752" s="230">
        <v>3.5</v>
      </c>
      <c r="I7752" s="220">
        <v>566000</v>
      </c>
      <c r="J7752" s="220">
        <f>I7752*0.1</f>
        <v>56600</v>
      </c>
      <c r="K7752" s="220">
        <v>0</v>
      </c>
      <c r="L7752" s="220">
        <v>8400</v>
      </c>
      <c r="M7752" s="220">
        <v>14300</v>
      </c>
      <c r="N7752" s="220">
        <f>SUM(I7752:M7753)</f>
        <v>645300</v>
      </c>
      <c r="O7752" s="224"/>
      <c r="P7752" s="110" t="s">
        <v>21596</v>
      </c>
      <c r="Q7752" s="15" t="s">
        <v>19</v>
      </c>
      <c r="R7752" s="205"/>
      <c r="S7752" s="189" t="s">
        <v>455</v>
      </c>
      <c r="T7752" s="114"/>
      <c r="U7752" s="21" t="s">
        <v>26501</v>
      </c>
      <c r="V7752" s="115"/>
      <c r="W7752" s="116"/>
      <c r="X7752" s="220"/>
      <c r="Y7752" s="220">
        <f>X7752*0.1</f>
        <v>0</v>
      </c>
      <c r="Z7752" s="220"/>
      <c r="AA7752" s="220">
        <f>SUM(X7752:Z7752)</f>
        <v>0</v>
      </c>
      <c r="AB7752" s="222"/>
    </row>
    <row r="7753" spans="1:28" ht="17.100000000000001" customHeight="1" thickBot="1">
      <c r="A7753" s="227"/>
      <c r="B7753" s="27" t="s">
        <v>1918</v>
      </c>
      <c r="C7753" s="27">
        <v>2504</v>
      </c>
      <c r="D7753" s="14" t="s">
        <v>1710</v>
      </c>
      <c r="E7753" s="229"/>
      <c r="F7753" s="117" t="s">
        <v>21487</v>
      </c>
      <c r="G7753" s="26">
        <v>30272</v>
      </c>
      <c r="H7753" s="231"/>
      <c r="I7753" s="221"/>
      <c r="J7753" s="221"/>
      <c r="K7753" s="221"/>
      <c r="L7753" s="221"/>
      <c r="M7753" s="221"/>
      <c r="N7753" s="221"/>
      <c r="O7753" s="225"/>
      <c r="P7753" s="118" t="s">
        <v>6983</v>
      </c>
      <c r="Q7753" s="16" t="s">
        <v>20</v>
      </c>
      <c r="R7753" s="17" t="s">
        <v>1901</v>
      </c>
      <c r="S7753" s="121" t="s">
        <v>1625</v>
      </c>
      <c r="T7753" s="122"/>
      <c r="U7753" s="22"/>
      <c r="V7753" s="123"/>
      <c r="W7753" s="122"/>
      <c r="X7753" s="221"/>
      <c r="Y7753" s="221"/>
      <c r="Z7753" s="221"/>
      <c r="AA7753" s="221"/>
      <c r="AB7753" s="223"/>
    </row>
    <row r="7754" spans="1:28" ht="17.100000000000001" customHeight="1" thickTop="1">
      <c r="A7754" s="226" t="s">
        <v>21466</v>
      </c>
      <c r="B7754" s="28">
        <v>46114</v>
      </c>
      <c r="C7754" s="25">
        <v>2152</v>
      </c>
      <c r="D7754" s="13" t="s">
        <v>2913</v>
      </c>
      <c r="E7754" s="228"/>
      <c r="F7754" s="109" t="s">
        <v>21597</v>
      </c>
      <c r="G7754" s="24" t="s">
        <v>21598</v>
      </c>
      <c r="H7754" s="230">
        <v>4</v>
      </c>
      <c r="I7754" s="220">
        <v>926000</v>
      </c>
      <c r="J7754" s="220">
        <f>I7754*0.1</f>
        <v>92600</v>
      </c>
      <c r="K7754" s="220">
        <v>0</v>
      </c>
      <c r="L7754" s="220">
        <v>9710</v>
      </c>
      <c r="M7754" s="220">
        <v>14300</v>
      </c>
      <c r="N7754" s="220">
        <f>SUM(I7754:M7755)</f>
        <v>1042610</v>
      </c>
      <c r="O7754" s="224"/>
      <c r="P7754" s="110" t="s">
        <v>21599</v>
      </c>
      <c r="Q7754" s="15" t="s">
        <v>19</v>
      </c>
      <c r="R7754" s="205"/>
      <c r="S7754" s="189"/>
      <c r="T7754" s="114"/>
      <c r="U7754" s="21"/>
      <c r="V7754" s="115">
        <v>46120</v>
      </c>
      <c r="W7754" s="116">
        <v>1012</v>
      </c>
      <c r="X7754" s="220">
        <v>950000</v>
      </c>
      <c r="Y7754" s="220">
        <f>X7754*0.1</f>
        <v>95000</v>
      </c>
      <c r="Z7754" s="220">
        <v>9710</v>
      </c>
      <c r="AA7754" s="220">
        <f>SUM(X7754:Z7754)</f>
        <v>1054710</v>
      </c>
      <c r="AB7754" s="222">
        <v>46125</v>
      </c>
    </row>
    <row r="7755" spans="1:28" ht="17.100000000000001" customHeight="1" thickBot="1">
      <c r="A7755" s="227"/>
      <c r="B7755" s="27" t="s">
        <v>1918</v>
      </c>
      <c r="C7755" s="27">
        <v>2512</v>
      </c>
      <c r="D7755" s="14" t="s">
        <v>2559</v>
      </c>
      <c r="E7755" s="229"/>
      <c r="F7755" s="117" t="s">
        <v>21488</v>
      </c>
      <c r="G7755" s="26">
        <v>65536</v>
      </c>
      <c r="H7755" s="231"/>
      <c r="I7755" s="221"/>
      <c r="J7755" s="221"/>
      <c r="K7755" s="221"/>
      <c r="L7755" s="221"/>
      <c r="M7755" s="221"/>
      <c r="N7755" s="221"/>
      <c r="O7755" s="225"/>
      <c r="P7755" s="118" t="s">
        <v>1647</v>
      </c>
      <c r="Q7755" s="16" t="s">
        <v>20</v>
      </c>
      <c r="R7755" s="17" t="s">
        <v>1810</v>
      </c>
      <c r="S7755" s="121" t="s">
        <v>2366</v>
      </c>
      <c r="T7755" s="122"/>
      <c r="U7755" s="22"/>
      <c r="V7755" s="123" t="s">
        <v>2747</v>
      </c>
      <c r="W7755" s="122">
        <v>5095</v>
      </c>
      <c r="X7755" s="221"/>
      <c r="Y7755" s="221"/>
      <c r="Z7755" s="221"/>
      <c r="AA7755" s="221"/>
      <c r="AB7755" s="223"/>
    </row>
    <row r="7756" spans="1:28" ht="17.100000000000001" customHeight="1" thickTop="1">
      <c r="A7756" s="226" t="s">
        <v>21467</v>
      </c>
      <c r="B7756" s="28">
        <v>46114</v>
      </c>
      <c r="C7756" s="25">
        <v>2152</v>
      </c>
      <c r="D7756" s="13" t="s">
        <v>1553</v>
      </c>
      <c r="E7756" s="228"/>
      <c r="F7756" s="109" t="s">
        <v>19730</v>
      </c>
      <c r="G7756" s="24"/>
      <c r="H7756" s="230">
        <v>4</v>
      </c>
      <c r="I7756" s="220">
        <v>531000</v>
      </c>
      <c r="J7756" s="220">
        <f>I7756*0.1</f>
        <v>53100</v>
      </c>
      <c r="K7756" s="220">
        <v>0</v>
      </c>
      <c r="L7756" s="220">
        <v>8860</v>
      </c>
      <c r="M7756" s="220">
        <v>14300</v>
      </c>
      <c r="N7756" s="220">
        <f>SUM(I7756:M7757)</f>
        <v>607260</v>
      </c>
      <c r="O7756" s="224"/>
      <c r="P7756" s="110" t="s">
        <v>21717</v>
      </c>
      <c r="Q7756" s="15" t="s">
        <v>19</v>
      </c>
      <c r="R7756" s="205"/>
      <c r="S7756" s="189"/>
      <c r="T7756" s="114"/>
      <c r="U7756" s="21"/>
      <c r="V7756" s="115">
        <v>46120</v>
      </c>
      <c r="W7756" s="116">
        <v>1012</v>
      </c>
      <c r="X7756" s="220">
        <v>600000</v>
      </c>
      <c r="Y7756" s="220">
        <f>X7756*0.1</f>
        <v>60000</v>
      </c>
      <c r="Z7756" s="220">
        <v>8860</v>
      </c>
      <c r="AA7756" s="220">
        <f>SUM(X7756:Z7756)</f>
        <v>668860</v>
      </c>
      <c r="AB7756" s="222">
        <v>46125</v>
      </c>
    </row>
    <row r="7757" spans="1:28" ht="17.100000000000001" customHeight="1" thickBot="1">
      <c r="A7757" s="227"/>
      <c r="B7757" s="27" t="s">
        <v>1918</v>
      </c>
      <c r="C7757" s="27">
        <v>2564</v>
      </c>
      <c r="D7757" s="14" t="s">
        <v>2520</v>
      </c>
      <c r="E7757" s="229"/>
      <c r="F7757" s="117" t="s">
        <v>21489</v>
      </c>
      <c r="G7757" s="26">
        <v>49719</v>
      </c>
      <c r="H7757" s="231"/>
      <c r="I7757" s="221"/>
      <c r="J7757" s="221"/>
      <c r="K7757" s="221"/>
      <c r="L7757" s="221"/>
      <c r="M7757" s="221"/>
      <c r="N7757" s="221"/>
      <c r="O7757" s="225"/>
      <c r="P7757" s="118" t="s">
        <v>21718</v>
      </c>
      <c r="Q7757" s="16" t="s">
        <v>20</v>
      </c>
      <c r="R7757" s="17" t="s">
        <v>1901</v>
      </c>
      <c r="S7757" s="121" t="s">
        <v>7721</v>
      </c>
      <c r="T7757" s="122"/>
      <c r="U7757" s="22"/>
      <c r="V7757" s="123" t="s">
        <v>2747</v>
      </c>
      <c r="W7757" s="122">
        <v>5082</v>
      </c>
      <c r="X7757" s="221"/>
      <c r="Y7757" s="221"/>
      <c r="Z7757" s="221"/>
      <c r="AA7757" s="221"/>
      <c r="AB7757" s="223"/>
    </row>
    <row r="7758" spans="1:28" ht="17.100000000000001" customHeight="1" thickTop="1">
      <c r="A7758" s="226" t="s">
        <v>21468</v>
      </c>
      <c r="B7758" s="28">
        <v>46114</v>
      </c>
      <c r="C7758" s="25">
        <v>2152</v>
      </c>
      <c r="D7758" s="13" t="s">
        <v>1839</v>
      </c>
      <c r="E7758" s="228"/>
      <c r="F7758" s="109" t="s">
        <v>16852</v>
      </c>
      <c r="G7758" s="24" t="s">
        <v>5358</v>
      </c>
      <c r="H7758" s="230">
        <v>4</v>
      </c>
      <c r="I7758" s="220">
        <v>754000</v>
      </c>
      <c r="J7758" s="220">
        <f>I7758*0.1</f>
        <v>75400</v>
      </c>
      <c r="K7758" s="220">
        <v>0</v>
      </c>
      <c r="L7758" s="220">
        <v>9010</v>
      </c>
      <c r="M7758" s="220">
        <v>14300</v>
      </c>
      <c r="N7758" s="220">
        <f>SUM(I7758:M7759)</f>
        <v>852710</v>
      </c>
      <c r="O7758" s="224"/>
      <c r="P7758" s="110" t="s">
        <v>21600</v>
      </c>
      <c r="Q7758" s="15" t="s">
        <v>19</v>
      </c>
      <c r="R7758" s="205"/>
      <c r="S7758" s="189"/>
      <c r="T7758" s="114"/>
      <c r="U7758" s="21"/>
      <c r="V7758" s="115">
        <v>46134</v>
      </c>
      <c r="W7758" s="116">
        <v>1014</v>
      </c>
      <c r="X7758" s="220">
        <v>895000</v>
      </c>
      <c r="Y7758" s="220">
        <f>X7758*0.1</f>
        <v>89500</v>
      </c>
      <c r="Z7758" s="220">
        <v>9010</v>
      </c>
      <c r="AA7758" s="220">
        <f>SUM(X7758:Z7758)</f>
        <v>993510</v>
      </c>
      <c r="AB7758" s="222">
        <v>46139</v>
      </c>
    </row>
    <row r="7759" spans="1:28" ht="17.100000000000001" customHeight="1" thickBot="1">
      <c r="A7759" s="227"/>
      <c r="B7759" s="27" t="s">
        <v>1918</v>
      </c>
      <c r="C7759" s="27">
        <v>2573</v>
      </c>
      <c r="D7759" s="14" t="s">
        <v>273</v>
      </c>
      <c r="E7759" s="229"/>
      <c r="F7759" s="117" t="s">
        <v>21490</v>
      </c>
      <c r="G7759" s="26">
        <v>93696</v>
      </c>
      <c r="H7759" s="231"/>
      <c r="I7759" s="221"/>
      <c r="J7759" s="221"/>
      <c r="K7759" s="221"/>
      <c r="L7759" s="221"/>
      <c r="M7759" s="221"/>
      <c r="N7759" s="221"/>
      <c r="O7759" s="225"/>
      <c r="P7759" s="118" t="s">
        <v>21719</v>
      </c>
      <c r="Q7759" s="16" t="s">
        <v>20</v>
      </c>
      <c r="R7759" s="17" t="s">
        <v>1901</v>
      </c>
      <c r="S7759" s="121"/>
      <c r="T7759" s="122"/>
      <c r="U7759" s="22"/>
      <c r="V7759" s="123" t="s">
        <v>23332</v>
      </c>
      <c r="W7759" s="122">
        <v>2068</v>
      </c>
      <c r="X7759" s="221"/>
      <c r="Y7759" s="221"/>
      <c r="Z7759" s="221"/>
      <c r="AA7759" s="221"/>
      <c r="AB7759" s="223"/>
    </row>
    <row r="7760" spans="1:28" ht="17.100000000000001" customHeight="1" thickTop="1">
      <c r="A7760" s="226" t="s">
        <v>21469</v>
      </c>
      <c r="B7760" s="28">
        <v>46114</v>
      </c>
      <c r="C7760" s="25">
        <v>2152</v>
      </c>
      <c r="D7760" s="13" t="s">
        <v>3269</v>
      </c>
      <c r="E7760" s="228"/>
      <c r="F7760" s="109" t="s">
        <v>21601</v>
      </c>
      <c r="G7760" s="24" t="s">
        <v>2530</v>
      </c>
      <c r="H7760" s="230">
        <v>4.5</v>
      </c>
      <c r="I7760" s="220">
        <v>916000</v>
      </c>
      <c r="J7760" s="220">
        <f>I7760*0.1</f>
        <v>91600</v>
      </c>
      <c r="K7760" s="220">
        <v>0</v>
      </c>
      <c r="L7760" s="220">
        <v>8790</v>
      </c>
      <c r="M7760" s="220">
        <v>14300</v>
      </c>
      <c r="N7760" s="220">
        <f>SUM(I7760:M7761)</f>
        <v>1030690</v>
      </c>
      <c r="O7760" s="224"/>
      <c r="P7760" s="110" t="s">
        <v>21602</v>
      </c>
      <c r="Q7760" s="15" t="s">
        <v>19</v>
      </c>
      <c r="R7760" s="205"/>
      <c r="S7760" s="189"/>
      <c r="T7760" s="114"/>
      <c r="U7760" s="21"/>
      <c r="V7760" s="115">
        <v>46120</v>
      </c>
      <c r="W7760" s="116">
        <v>1012</v>
      </c>
      <c r="X7760" s="220">
        <v>995000</v>
      </c>
      <c r="Y7760" s="220">
        <f>X7760*0.1</f>
        <v>99500</v>
      </c>
      <c r="Z7760" s="220">
        <v>8790</v>
      </c>
      <c r="AA7760" s="220">
        <f>SUM(X7760:Z7760)</f>
        <v>1103290</v>
      </c>
      <c r="AB7760" s="222">
        <v>46125</v>
      </c>
    </row>
    <row r="7761" spans="1:28" ht="17.100000000000001" customHeight="1" thickBot="1">
      <c r="A7761" s="227"/>
      <c r="B7761" s="27" t="s">
        <v>1918</v>
      </c>
      <c r="C7761" s="27">
        <v>2596</v>
      </c>
      <c r="D7761" s="14" t="s">
        <v>2753</v>
      </c>
      <c r="E7761" s="229"/>
      <c r="F7761" s="117" t="s">
        <v>21491</v>
      </c>
      <c r="G7761" s="26">
        <v>30304</v>
      </c>
      <c r="H7761" s="231"/>
      <c r="I7761" s="221"/>
      <c r="J7761" s="221"/>
      <c r="K7761" s="221"/>
      <c r="L7761" s="221"/>
      <c r="M7761" s="221"/>
      <c r="N7761" s="221"/>
      <c r="O7761" s="225"/>
      <c r="P7761" s="118" t="s">
        <v>3413</v>
      </c>
      <c r="Q7761" s="16" t="s">
        <v>20</v>
      </c>
      <c r="R7761" s="17" t="s">
        <v>1901</v>
      </c>
      <c r="S7761" s="121" t="s">
        <v>169</v>
      </c>
      <c r="T7761" s="122"/>
      <c r="U7761" s="22"/>
      <c r="V7761" s="123" t="s">
        <v>2747</v>
      </c>
      <c r="W7761" s="122">
        <v>5072</v>
      </c>
      <c r="X7761" s="221"/>
      <c r="Y7761" s="221"/>
      <c r="Z7761" s="221"/>
      <c r="AA7761" s="221"/>
      <c r="AB7761" s="223"/>
    </row>
    <row r="7762" spans="1:28" ht="17.100000000000001" customHeight="1" thickTop="1">
      <c r="A7762" s="226" t="s">
        <v>21470</v>
      </c>
      <c r="B7762" s="28">
        <v>46115</v>
      </c>
      <c r="C7762" s="25">
        <v>1413</v>
      </c>
      <c r="D7762" s="13" t="s">
        <v>3406</v>
      </c>
      <c r="E7762" s="228"/>
      <c r="F7762" s="109" t="s">
        <v>21492</v>
      </c>
      <c r="G7762" s="24" t="s">
        <v>21628</v>
      </c>
      <c r="H7762" s="230">
        <v>4.5</v>
      </c>
      <c r="I7762" s="220">
        <v>1481000</v>
      </c>
      <c r="J7762" s="220">
        <f>I7762*0.1</f>
        <v>148100</v>
      </c>
      <c r="K7762" s="220">
        <v>0</v>
      </c>
      <c r="L7762" s="220">
        <v>8200</v>
      </c>
      <c r="M7762" s="220">
        <v>15400</v>
      </c>
      <c r="N7762" s="220">
        <f>SUM(I7762:M7763)</f>
        <v>1652700</v>
      </c>
      <c r="O7762" s="224"/>
      <c r="P7762" s="110" t="s">
        <v>21959</v>
      </c>
      <c r="Q7762" s="15" t="s">
        <v>19</v>
      </c>
      <c r="R7762" s="205"/>
      <c r="S7762" s="189"/>
      <c r="T7762" s="114"/>
      <c r="U7762" s="21"/>
      <c r="V7762" s="115">
        <v>46134</v>
      </c>
      <c r="W7762" s="116">
        <v>1014</v>
      </c>
      <c r="X7762" s="220">
        <v>1535000</v>
      </c>
      <c r="Y7762" s="220">
        <f>X7762*0.1</f>
        <v>153500</v>
      </c>
      <c r="Z7762" s="220">
        <v>8200</v>
      </c>
      <c r="AA7762" s="220">
        <f>SUM(X7762:Z7762)</f>
        <v>1696700</v>
      </c>
      <c r="AB7762" s="222">
        <v>46139</v>
      </c>
    </row>
    <row r="7763" spans="1:28" ht="17.100000000000001" customHeight="1" thickBot="1">
      <c r="A7763" s="227"/>
      <c r="B7763" s="27" t="s">
        <v>2597</v>
      </c>
      <c r="C7763" s="27">
        <v>3002</v>
      </c>
      <c r="D7763" s="14" t="s">
        <v>898</v>
      </c>
      <c r="E7763" s="229"/>
      <c r="F7763" s="117" t="s">
        <v>21493</v>
      </c>
      <c r="G7763" s="26">
        <v>52492</v>
      </c>
      <c r="H7763" s="231"/>
      <c r="I7763" s="221"/>
      <c r="J7763" s="221"/>
      <c r="K7763" s="221"/>
      <c r="L7763" s="221"/>
      <c r="M7763" s="221"/>
      <c r="N7763" s="221"/>
      <c r="O7763" s="225"/>
      <c r="P7763" s="118" t="s">
        <v>1972</v>
      </c>
      <c r="Q7763" s="16" t="s">
        <v>20</v>
      </c>
      <c r="R7763" s="17" t="s">
        <v>1810</v>
      </c>
      <c r="S7763" s="121" t="s">
        <v>13347</v>
      </c>
      <c r="T7763" s="122"/>
      <c r="U7763" s="22"/>
      <c r="V7763" s="123" t="s">
        <v>23332</v>
      </c>
      <c r="W7763" s="122">
        <v>2042</v>
      </c>
      <c r="X7763" s="221"/>
      <c r="Y7763" s="221"/>
      <c r="Z7763" s="221"/>
      <c r="AA7763" s="221"/>
      <c r="AB7763" s="223"/>
    </row>
    <row r="7764" spans="1:28" ht="17.100000000000001" customHeight="1" thickTop="1">
      <c r="A7764" s="226" t="s">
        <v>21471</v>
      </c>
      <c r="B7764" s="28">
        <v>46115</v>
      </c>
      <c r="C7764" s="25">
        <v>1413</v>
      </c>
      <c r="D7764" s="13" t="s">
        <v>2203</v>
      </c>
      <c r="E7764" s="228"/>
      <c r="F7764" s="109" t="s">
        <v>21494</v>
      </c>
      <c r="G7764" s="24" t="s">
        <v>11926</v>
      </c>
      <c r="H7764" s="230">
        <v>4</v>
      </c>
      <c r="I7764" s="220">
        <v>1198000</v>
      </c>
      <c r="J7764" s="220">
        <f>I7764*0.1</f>
        <v>119800</v>
      </c>
      <c r="K7764" s="220">
        <v>39820</v>
      </c>
      <c r="L7764" s="220">
        <v>10120</v>
      </c>
      <c r="M7764" s="220">
        <v>15400</v>
      </c>
      <c r="N7764" s="220">
        <f>SUM(I7764:M7765)</f>
        <v>1383140</v>
      </c>
      <c r="O7764" s="224"/>
      <c r="P7764" s="110" t="s">
        <v>21864</v>
      </c>
      <c r="Q7764" s="15" t="s">
        <v>19</v>
      </c>
      <c r="R7764" s="205"/>
      <c r="S7764" s="189"/>
      <c r="T7764" s="114"/>
      <c r="U7764" s="21"/>
      <c r="V7764" s="115">
        <v>46120</v>
      </c>
      <c r="W7764" s="116">
        <v>1012</v>
      </c>
      <c r="X7764" s="220">
        <v>1405000</v>
      </c>
      <c r="Y7764" s="220">
        <f>X7764*0.1</f>
        <v>140500</v>
      </c>
      <c r="Z7764" s="220">
        <v>10120</v>
      </c>
      <c r="AA7764" s="220">
        <f>SUM(X7764:Z7764)</f>
        <v>1555620</v>
      </c>
      <c r="AB7764" s="222">
        <v>46125</v>
      </c>
    </row>
    <row r="7765" spans="1:28" ht="17.100000000000001" customHeight="1" thickBot="1">
      <c r="A7765" s="227"/>
      <c r="B7765" s="27" t="s">
        <v>2597</v>
      </c>
      <c r="C7765" s="27">
        <v>3150</v>
      </c>
      <c r="D7765" s="14" t="s">
        <v>273</v>
      </c>
      <c r="E7765" s="229"/>
      <c r="F7765" s="117" t="s">
        <v>21495</v>
      </c>
      <c r="G7765" s="26">
        <v>43108</v>
      </c>
      <c r="H7765" s="231"/>
      <c r="I7765" s="221"/>
      <c r="J7765" s="221"/>
      <c r="K7765" s="221"/>
      <c r="L7765" s="221"/>
      <c r="M7765" s="221"/>
      <c r="N7765" s="221"/>
      <c r="O7765" s="225"/>
      <c r="P7765" s="118" t="s">
        <v>21865</v>
      </c>
      <c r="Q7765" s="16" t="s">
        <v>20</v>
      </c>
      <c r="R7765" s="17" t="s">
        <v>1810</v>
      </c>
      <c r="S7765" s="121" t="s">
        <v>169</v>
      </c>
      <c r="T7765" s="122"/>
      <c r="U7765" s="22"/>
      <c r="V7765" s="123" t="s">
        <v>2747</v>
      </c>
      <c r="W7765" s="122">
        <v>5149</v>
      </c>
      <c r="X7765" s="221"/>
      <c r="Y7765" s="221"/>
      <c r="Z7765" s="221"/>
      <c r="AA7765" s="221"/>
      <c r="AB7765" s="223"/>
    </row>
    <row r="7766" spans="1:28" ht="17.100000000000001" customHeight="1" thickTop="1">
      <c r="A7766" s="226" t="s">
        <v>21472</v>
      </c>
      <c r="B7766" s="28">
        <v>46115</v>
      </c>
      <c r="C7766" s="25">
        <v>1413</v>
      </c>
      <c r="D7766" s="13" t="s">
        <v>2422</v>
      </c>
      <c r="E7766" s="228"/>
      <c r="F7766" s="109" t="s">
        <v>20998</v>
      </c>
      <c r="G7766" s="24" t="s">
        <v>4684</v>
      </c>
      <c r="H7766" s="230">
        <v>4</v>
      </c>
      <c r="I7766" s="220">
        <v>1535000</v>
      </c>
      <c r="J7766" s="220">
        <f>I7766*0.1</f>
        <v>153500</v>
      </c>
      <c r="K7766" s="220">
        <v>39820</v>
      </c>
      <c r="L7766" s="220">
        <v>12550</v>
      </c>
      <c r="M7766" s="220">
        <v>15400</v>
      </c>
      <c r="N7766" s="220">
        <f>SUM(I7766:M7767)</f>
        <v>1756270</v>
      </c>
      <c r="O7766" s="224"/>
      <c r="P7766" s="110" t="s">
        <v>22425</v>
      </c>
      <c r="Q7766" s="15" t="s">
        <v>19</v>
      </c>
      <c r="R7766" s="205"/>
      <c r="S7766" s="189" t="s">
        <v>25916</v>
      </c>
      <c r="T7766" s="114"/>
      <c r="U7766" s="21"/>
      <c r="V7766" s="115">
        <v>46127</v>
      </c>
      <c r="W7766" s="116"/>
      <c r="X7766" s="220">
        <v>1690000</v>
      </c>
      <c r="Y7766" s="220">
        <f>X7766*0.1</f>
        <v>169000</v>
      </c>
      <c r="Z7766" s="220">
        <v>12550</v>
      </c>
      <c r="AA7766" s="220">
        <f>SUM(X7766:Z7766)</f>
        <v>1871550</v>
      </c>
      <c r="AB7766" s="222"/>
    </row>
    <row r="7767" spans="1:28" ht="17.100000000000001" customHeight="1" thickBot="1">
      <c r="A7767" s="227"/>
      <c r="B7767" s="27" t="s">
        <v>2597</v>
      </c>
      <c r="C7767" s="27">
        <v>3200</v>
      </c>
      <c r="D7767" s="14" t="s">
        <v>273</v>
      </c>
      <c r="E7767" s="229"/>
      <c r="F7767" s="117" t="s">
        <v>21496</v>
      </c>
      <c r="G7767" s="26">
        <v>69902</v>
      </c>
      <c r="H7767" s="231"/>
      <c r="I7767" s="221"/>
      <c r="J7767" s="221"/>
      <c r="K7767" s="221"/>
      <c r="L7767" s="221"/>
      <c r="M7767" s="221"/>
      <c r="N7767" s="221"/>
      <c r="O7767" s="225"/>
      <c r="P7767" s="118" t="s">
        <v>22426</v>
      </c>
      <c r="Q7767" s="16" t="s">
        <v>20</v>
      </c>
      <c r="R7767" s="17" t="s">
        <v>22427</v>
      </c>
      <c r="S7767" s="126" t="s">
        <v>22725</v>
      </c>
      <c r="T7767" s="122"/>
      <c r="U7767" s="22"/>
      <c r="V7767" s="123" t="s">
        <v>6682</v>
      </c>
      <c r="W7767" s="122">
        <v>46846</v>
      </c>
      <c r="X7767" s="221"/>
      <c r="Y7767" s="221"/>
      <c r="Z7767" s="221"/>
      <c r="AA7767" s="221"/>
      <c r="AB7767" s="223"/>
    </row>
    <row r="7768" spans="1:28" ht="17.100000000000001" customHeight="1" thickTop="1">
      <c r="A7768" s="226" t="s">
        <v>21473</v>
      </c>
      <c r="B7768" s="28">
        <v>46115</v>
      </c>
      <c r="C7768" s="25">
        <v>1413</v>
      </c>
      <c r="D7768" s="13" t="s">
        <v>1831</v>
      </c>
      <c r="E7768" s="228"/>
      <c r="F7768" s="109" t="s">
        <v>16880</v>
      </c>
      <c r="G7768" s="24" t="s">
        <v>18455</v>
      </c>
      <c r="H7768" s="230">
        <v>4.5</v>
      </c>
      <c r="I7768" s="220">
        <v>1594000</v>
      </c>
      <c r="J7768" s="220">
        <f>I7768*0.1</f>
        <v>159400</v>
      </c>
      <c r="K7768" s="220">
        <v>0</v>
      </c>
      <c r="L7768" s="220">
        <v>6180</v>
      </c>
      <c r="M7768" s="220">
        <v>15400</v>
      </c>
      <c r="N7768" s="220">
        <f>SUM(I7768:M7769)</f>
        <v>1774980</v>
      </c>
      <c r="O7768" s="224"/>
      <c r="P7768" s="110" t="s">
        <v>21937</v>
      </c>
      <c r="Q7768" s="15" t="s">
        <v>19</v>
      </c>
      <c r="R7768" s="205"/>
      <c r="S7768" s="189" t="s">
        <v>25684</v>
      </c>
      <c r="T7768" s="114"/>
      <c r="U7768" s="21"/>
      <c r="V7768" s="115">
        <v>46120</v>
      </c>
      <c r="W7768" s="116">
        <v>1012</v>
      </c>
      <c r="X7768" s="220">
        <v>1685000</v>
      </c>
      <c r="Y7768" s="220">
        <f>X7768*0.1</f>
        <v>168500</v>
      </c>
      <c r="Z7768" s="220">
        <v>6180</v>
      </c>
      <c r="AA7768" s="220">
        <f>SUM(X7768:Z7768)</f>
        <v>1859680</v>
      </c>
      <c r="AB7768" s="222">
        <v>46125</v>
      </c>
    </row>
    <row r="7769" spans="1:28" ht="17.100000000000001" customHeight="1" thickBot="1">
      <c r="A7769" s="227"/>
      <c r="B7769" s="27" t="s">
        <v>2597</v>
      </c>
      <c r="C7769" s="27">
        <v>3240</v>
      </c>
      <c r="D7769" s="14" t="s">
        <v>131</v>
      </c>
      <c r="E7769" s="229"/>
      <c r="F7769" s="117" t="s">
        <v>21497</v>
      </c>
      <c r="G7769" s="26">
        <v>19870</v>
      </c>
      <c r="H7769" s="231"/>
      <c r="I7769" s="221"/>
      <c r="J7769" s="221"/>
      <c r="K7769" s="221"/>
      <c r="L7769" s="221"/>
      <c r="M7769" s="221"/>
      <c r="N7769" s="221"/>
      <c r="O7769" s="225"/>
      <c r="P7769" s="118" t="s">
        <v>21938</v>
      </c>
      <c r="Q7769" s="16" t="s">
        <v>20</v>
      </c>
      <c r="R7769" s="17" t="s">
        <v>1780</v>
      </c>
      <c r="S7769" s="121" t="s">
        <v>21939</v>
      </c>
      <c r="T7769" s="122"/>
      <c r="U7769" s="22"/>
      <c r="V7769" s="123" t="s">
        <v>2747</v>
      </c>
      <c r="W7769" s="122">
        <v>5101</v>
      </c>
      <c r="X7769" s="221"/>
      <c r="Y7769" s="221"/>
      <c r="Z7769" s="221"/>
      <c r="AA7769" s="221"/>
      <c r="AB7769" s="223"/>
    </row>
    <row r="7770" spans="1:28" ht="17.100000000000001" customHeight="1" thickTop="1">
      <c r="A7770" s="226" t="s">
        <v>21474</v>
      </c>
      <c r="B7770" s="28">
        <v>46115</v>
      </c>
      <c r="C7770" s="25">
        <v>1413</v>
      </c>
      <c r="D7770" s="13" t="s">
        <v>1589</v>
      </c>
      <c r="E7770" s="228"/>
      <c r="F7770" s="109" t="s">
        <v>16880</v>
      </c>
      <c r="G7770" s="24" t="s">
        <v>5031</v>
      </c>
      <c r="H7770" s="230">
        <v>4.5</v>
      </c>
      <c r="I7770" s="220">
        <v>1493000</v>
      </c>
      <c r="J7770" s="220">
        <f>I7770*0.1</f>
        <v>149300</v>
      </c>
      <c r="K7770" s="220">
        <v>0</v>
      </c>
      <c r="L7770" s="220">
        <v>8360</v>
      </c>
      <c r="M7770" s="220">
        <v>15400</v>
      </c>
      <c r="N7770" s="220">
        <f>SUM(I7770:M7771)</f>
        <v>1666060</v>
      </c>
      <c r="O7770" s="224"/>
      <c r="P7770" s="110" t="s">
        <v>21935</v>
      </c>
      <c r="Q7770" s="15" t="s">
        <v>19</v>
      </c>
      <c r="R7770" s="205"/>
      <c r="S7770" s="189" t="s">
        <v>25917</v>
      </c>
      <c r="T7770" s="124" t="s">
        <v>22467</v>
      </c>
      <c r="U7770" s="21"/>
      <c r="V7770" s="115">
        <v>46120</v>
      </c>
      <c r="W7770" s="116">
        <v>1012</v>
      </c>
      <c r="X7770" s="220">
        <v>1565000</v>
      </c>
      <c r="Y7770" s="220">
        <f>X7770*0.1</f>
        <v>156500</v>
      </c>
      <c r="Z7770" s="220">
        <v>8360</v>
      </c>
      <c r="AA7770" s="220">
        <f>SUM(X7770:Z7770)</f>
        <v>1729860</v>
      </c>
      <c r="AB7770" s="222">
        <v>46125</v>
      </c>
    </row>
    <row r="7771" spans="1:28" ht="17.100000000000001" customHeight="1" thickBot="1">
      <c r="A7771" s="227"/>
      <c r="B7771" s="27" t="s">
        <v>2597</v>
      </c>
      <c r="C7771" s="27">
        <v>3288</v>
      </c>
      <c r="D7771" s="14" t="s">
        <v>273</v>
      </c>
      <c r="E7771" s="229"/>
      <c r="F7771" s="117" t="s">
        <v>21498</v>
      </c>
      <c r="G7771" s="26">
        <v>38578</v>
      </c>
      <c r="H7771" s="231"/>
      <c r="I7771" s="221"/>
      <c r="J7771" s="221"/>
      <c r="K7771" s="221"/>
      <c r="L7771" s="221"/>
      <c r="M7771" s="221"/>
      <c r="N7771" s="221"/>
      <c r="O7771" s="225"/>
      <c r="P7771" s="118" t="s">
        <v>21936</v>
      </c>
      <c r="Q7771" s="16" t="s">
        <v>20</v>
      </c>
      <c r="R7771" s="17" t="s">
        <v>1780</v>
      </c>
      <c r="S7771" s="121" t="s">
        <v>22611</v>
      </c>
      <c r="T7771" s="122" t="s">
        <v>21714</v>
      </c>
      <c r="U7771" s="22"/>
      <c r="V7771" s="123" t="s">
        <v>2747</v>
      </c>
      <c r="W7771" s="122">
        <v>5140</v>
      </c>
      <c r="X7771" s="221"/>
      <c r="Y7771" s="221"/>
      <c r="Z7771" s="221"/>
      <c r="AA7771" s="221"/>
      <c r="AB7771" s="223"/>
    </row>
    <row r="7772" spans="1:28" ht="17.100000000000001" customHeight="1" thickTop="1">
      <c r="A7772" s="226" t="s">
        <v>21475</v>
      </c>
      <c r="B7772" s="28">
        <v>46115</v>
      </c>
      <c r="C7772" s="25">
        <v>1413</v>
      </c>
      <c r="D7772" s="13" t="s">
        <v>2866</v>
      </c>
      <c r="E7772" s="228"/>
      <c r="F7772" s="109" t="s">
        <v>21629</v>
      </c>
      <c r="G7772" s="24"/>
      <c r="H7772" s="230">
        <v>4.5</v>
      </c>
      <c r="I7772" s="220">
        <v>2058000</v>
      </c>
      <c r="J7772" s="220">
        <f>I7772*0.1</f>
        <v>205800</v>
      </c>
      <c r="K7772" s="220">
        <v>0</v>
      </c>
      <c r="L7772" s="220">
        <v>10230</v>
      </c>
      <c r="M7772" s="220">
        <v>15400</v>
      </c>
      <c r="N7772" s="220">
        <f>SUM(I7772:M7773)</f>
        <v>2289430</v>
      </c>
      <c r="O7772" s="224"/>
      <c r="P7772" s="110" t="s">
        <v>22435</v>
      </c>
      <c r="Q7772" s="15" t="s">
        <v>19</v>
      </c>
      <c r="R7772" s="205"/>
      <c r="S7772" s="189"/>
      <c r="T7772" s="114"/>
      <c r="U7772" s="21"/>
      <c r="V7772" s="115">
        <v>46120</v>
      </c>
      <c r="W7772" s="116">
        <v>1012</v>
      </c>
      <c r="X7772" s="220">
        <v>2110000</v>
      </c>
      <c r="Y7772" s="220">
        <f>X7772*0.1</f>
        <v>211000</v>
      </c>
      <c r="Z7772" s="220">
        <v>10230</v>
      </c>
      <c r="AA7772" s="220">
        <f>SUM(X7772:Z7772)</f>
        <v>2331230</v>
      </c>
      <c r="AB7772" s="222">
        <v>46127</v>
      </c>
    </row>
    <row r="7773" spans="1:28" ht="17.100000000000001" customHeight="1" thickBot="1">
      <c r="A7773" s="227"/>
      <c r="B7773" s="27" t="s">
        <v>2597</v>
      </c>
      <c r="C7773" s="27">
        <v>7002</v>
      </c>
      <c r="D7773" s="14" t="s">
        <v>273</v>
      </c>
      <c r="E7773" s="229"/>
      <c r="F7773" s="117" t="s">
        <v>21499</v>
      </c>
      <c r="G7773" s="26">
        <v>47653</v>
      </c>
      <c r="H7773" s="231"/>
      <c r="I7773" s="221"/>
      <c r="J7773" s="221"/>
      <c r="K7773" s="221"/>
      <c r="L7773" s="221"/>
      <c r="M7773" s="221"/>
      <c r="N7773" s="221"/>
      <c r="O7773" s="225"/>
      <c r="P7773" s="118" t="s">
        <v>22436</v>
      </c>
      <c r="Q7773" s="16" t="s">
        <v>20</v>
      </c>
      <c r="R7773" s="17" t="s">
        <v>22437</v>
      </c>
      <c r="S7773" s="121" t="s">
        <v>22308</v>
      </c>
      <c r="T7773" s="122"/>
      <c r="U7773" s="22"/>
      <c r="V7773" s="123" t="s">
        <v>2747</v>
      </c>
      <c r="W7773" s="122">
        <v>5128</v>
      </c>
      <c r="X7773" s="221"/>
      <c r="Y7773" s="221"/>
      <c r="Z7773" s="221"/>
      <c r="AA7773" s="221"/>
      <c r="AB7773" s="223"/>
    </row>
    <row r="7774" spans="1:28" ht="17.100000000000001" customHeight="1" thickTop="1">
      <c r="A7774" s="226" t="s">
        <v>21476</v>
      </c>
      <c r="B7774" s="28">
        <v>46115</v>
      </c>
      <c r="C7774" s="25">
        <v>1413</v>
      </c>
      <c r="D7774" s="13" t="s">
        <v>1715</v>
      </c>
      <c r="E7774" s="228"/>
      <c r="F7774" s="109" t="s">
        <v>21500</v>
      </c>
      <c r="G7774" s="24"/>
      <c r="H7774" s="230">
        <v>4</v>
      </c>
      <c r="I7774" s="220">
        <v>665000</v>
      </c>
      <c r="J7774" s="220">
        <f>I7774*0.1</f>
        <v>66500</v>
      </c>
      <c r="K7774" s="220">
        <v>0</v>
      </c>
      <c r="L7774" s="220">
        <v>16240</v>
      </c>
      <c r="M7774" s="220">
        <v>15400</v>
      </c>
      <c r="N7774" s="220">
        <f>SUM(I7774:M7775)</f>
        <v>763140</v>
      </c>
      <c r="O7774" s="224"/>
      <c r="P7774" s="110" t="s">
        <v>22007</v>
      </c>
      <c r="Q7774" s="15" t="s">
        <v>19</v>
      </c>
      <c r="R7774" s="205"/>
      <c r="S7774" s="189" t="s">
        <v>25918</v>
      </c>
      <c r="T7774" s="114"/>
      <c r="U7774" s="21"/>
      <c r="V7774" s="115">
        <v>46127</v>
      </c>
      <c r="W7774" s="116">
        <v>1013</v>
      </c>
      <c r="X7774" s="220">
        <v>735000</v>
      </c>
      <c r="Y7774" s="220">
        <f>X7774*0.1</f>
        <v>73500</v>
      </c>
      <c r="Z7774" s="220">
        <v>16240</v>
      </c>
      <c r="AA7774" s="220">
        <f>SUM(X7774:Z7774)</f>
        <v>824740</v>
      </c>
      <c r="AB7774" s="222">
        <v>46132</v>
      </c>
    </row>
    <row r="7775" spans="1:28" ht="17.100000000000001" customHeight="1" thickBot="1">
      <c r="A7775" s="227"/>
      <c r="B7775" s="27" t="s">
        <v>2597</v>
      </c>
      <c r="C7775" s="27">
        <v>7005</v>
      </c>
      <c r="D7775" s="14" t="s">
        <v>1548</v>
      </c>
      <c r="E7775" s="229"/>
      <c r="F7775" s="117" t="s">
        <v>21501</v>
      </c>
      <c r="G7775" s="26">
        <v>55018</v>
      </c>
      <c r="H7775" s="231"/>
      <c r="I7775" s="221"/>
      <c r="J7775" s="221"/>
      <c r="K7775" s="221"/>
      <c r="L7775" s="221"/>
      <c r="M7775" s="221"/>
      <c r="N7775" s="221"/>
      <c r="O7775" s="225"/>
      <c r="P7775" s="118" t="s">
        <v>22008</v>
      </c>
      <c r="Q7775" s="16" t="s">
        <v>20</v>
      </c>
      <c r="R7775" s="17" t="s">
        <v>21969</v>
      </c>
      <c r="S7775" s="121" t="s">
        <v>22009</v>
      </c>
      <c r="T7775" s="122"/>
      <c r="U7775" s="22"/>
      <c r="V7775" s="123" t="s">
        <v>2747</v>
      </c>
      <c r="W7775" s="122">
        <v>6080</v>
      </c>
      <c r="X7775" s="221"/>
      <c r="Y7775" s="221"/>
      <c r="Z7775" s="221"/>
      <c r="AA7775" s="221"/>
      <c r="AB7775" s="223"/>
    </row>
    <row r="7776" spans="1:28" ht="17.100000000000001" customHeight="1" thickTop="1">
      <c r="A7776" s="226" t="s">
        <v>21477</v>
      </c>
      <c r="B7776" s="28">
        <v>46115</v>
      </c>
      <c r="C7776" s="25">
        <v>1413</v>
      </c>
      <c r="D7776" s="13" t="s">
        <v>2573</v>
      </c>
      <c r="E7776" s="228"/>
      <c r="F7776" s="109" t="s">
        <v>21630</v>
      </c>
      <c r="G7776" s="24" t="s">
        <v>4864</v>
      </c>
      <c r="H7776" s="230">
        <v>4.5</v>
      </c>
      <c r="I7776" s="220">
        <v>1908000</v>
      </c>
      <c r="J7776" s="220">
        <f>I7776*0.1</f>
        <v>190800</v>
      </c>
      <c r="K7776" s="220">
        <v>36300</v>
      </c>
      <c r="L7776" s="220">
        <v>22280</v>
      </c>
      <c r="M7776" s="220">
        <v>15400</v>
      </c>
      <c r="N7776" s="220">
        <f>SUM(I7776:M7777)</f>
        <v>2172780</v>
      </c>
      <c r="O7776" s="224"/>
      <c r="P7776" s="110" t="s">
        <v>22010</v>
      </c>
      <c r="Q7776" s="15" t="s">
        <v>19</v>
      </c>
      <c r="R7776" s="205"/>
      <c r="S7776" s="189" t="s">
        <v>25919</v>
      </c>
      <c r="T7776" s="114"/>
      <c r="U7776" s="21"/>
      <c r="V7776" s="115">
        <v>46142</v>
      </c>
      <c r="W7776" s="116">
        <v>1329</v>
      </c>
      <c r="X7776" s="220">
        <v>2030000</v>
      </c>
      <c r="Y7776" s="220">
        <f>X7776*0.1</f>
        <v>203000</v>
      </c>
      <c r="Z7776" s="220">
        <v>22280</v>
      </c>
      <c r="AA7776" s="220">
        <f>SUM(X7776:Z7776)</f>
        <v>2255280</v>
      </c>
      <c r="AB7776" s="222">
        <v>46143</v>
      </c>
    </row>
    <row r="7777" spans="1:28" ht="17.100000000000001" customHeight="1" thickBot="1">
      <c r="A7777" s="227"/>
      <c r="B7777" s="27" t="s">
        <v>2597</v>
      </c>
      <c r="C7777" s="27">
        <v>7125</v>
      </c>
      <c r="D7777" s="14" t="s">
        <v>1627</v>
      </c>
      <c r="E7777" s="229"/>
      <c r="F7777" s="117" t="s">
        <v>21502</v>
      </c>
      <c r="G7777" s="26">
        <v>42865</v>
      </c>
      <c r="H7777" s="231"/>
      <c r="I7777" s="221"/>
      <c r="J7777" s="221"/>
      <c r="K7777" s="221"/>
      <c r="L7777" s="221"/>
      <c r="M7777" s="221"/>
      <c r="N7777" s="221"/>
      <c r="O7777" s="225"/>
      <c r="P7777" s="118" t="s">
        <v>22008</v>
      </c>
      <c r="Q7777" s="16" t="s">
        <v>20</v>
      </c>
      <c r="R7777" s="17" t="s">
        <v>21969</v>
      </c>
      <c r="S7777" s="121" t="s">
        <v>22011</v>
      </c>
      <c r="T7777" s="122"/>
      <c r="U7777" s="22"/>
      <c r="V7777" s="123" t="s">
        <v>13379</v>
      </c>
      <c r="W7777" s="122">
        <v>44</v>
      </c>
      <c r="X7777" s="221"/>
      <c r="Y7777" s="221"/>
      <c r="Z7777" s="221"/>
      <c r="AA7777" s="221"/>
      <c r="AB7777" s="223"/>
    </row>
    <row r="7778" spans="1:28" ht="17.100000000000001" customHeight="1" thickTop="1">
      <c r="A7778" s="226" t="s">
        <v>21478</v>
      </c>
      <c r="B7778" s="28">
        <v>46115</v>
      </c>
      <c r="C7778" s="25">
        <v>1413</v>
      </c>
      <c r="D7778" s="13" t="s">
        <v>1853</v>
      </c>
      <c r="E7778" s="228"/>
      <c r="F7778" s="109" t="s">
        <v>14897</v>
      </c>
      <c r="G7778" s="24"/>
      <c r="H7778" s="230">
        <v>4</v>
      </c>
      <c r="I7778" s="220">
        <v>844000</v>
      </c>
      <c r="J7778" s="220">
        <f>I7778*0.1</f>
        <v>84400</v>
      </c>
      <c r="K7778" s="220">
        <v>0</v>
      </c>
      <c r="L7778" s="220">
        <v>8990</v>
      </c>
      <c r="M7778" s="220">
        <v>15400</v>
      </c>
      <c r="N7778" s="220">
        <f>SUM(I7778:M7779)</f>
        <v>952790</v>
      </c>
      <c r="O7778" s="224"/>
      <c r="P7778" s="110" t="s">
        <v>21958</v>
      </c>
      <c r="Q7778" s="15" t="s">
        <v>19</v>
      </c>
      <c r="R7778" s="205"/>
      <c r="S7778" s="189"/>
      <c r="T7778" s="114"/>
      <c r="U7778" s="21"/>
      <c r="V7778" s="115"/>
      <c r="W7778" s="116"/>
      <c r="X7778" s="220"/>
      <c r="Y7778" s="220">
        <f>X7778*0.1</f>
        <v>0</v>
      </c>
      <c r="Z7778" s="220"/>
      <c r="AA7778" s="220">
        <f>SUM(X7778:Z7778)</f>
        <v>0</v>
      </c>
      <c r="AB7778" s="222"/>
    </row>
    <row r="7779" spans="1:28" ht="17.100000000000001" customHeight="1" thickBot="1">
      <c r="A7779" s="227"/>
      <c r="B7779" s="27" t="s">
        <v>2597</v>
      </c>
      <c r="C7779" s="27">
        <v>9004</v>
      </c>
      <c r="D7779" s="14" t="s">
        <v>273</v>
      </c>
      <c r="E7779" s="229"/>
      <c r="F7779" s="117" t="s">
        <v>21503</v>
      </c>
      <c r="G7779" s="26">
        <v>62340</v>
      </c>
      <c r="H7779" s="231"/>
      <c r="I7779" s="221"/>
      <c r="J7779" s="221"/>
      <c r="K7779" s="221"/>
      <c r="L7779" s="221"/>
      <c r="M7779" s="221"/>
      <c r="N7779" s="221"/>
      <c r="O7779" s="225"/>
      <c r="P7779" s="118" t="s">
        <v>1972</v>
      </c>
      <c r="Q7779" s="16" t="s">
        <v>20</v>
      </c>
      <c r="R7779" s="17" t="s">
        <v>1810</v>
      </c>
      <c r="S7779" s="121" t="s">
        <v>169</v>
      </c>
      <c r="T7779" s="122"/>
      <c r="U7779" s="22"/>
      <c r="V7779" s="123"/>
      <c r="W7779" s="122"/>
      <c r="X7779" s="221"/>
      <c r="Y7779" s="221"/>
      <c r="Z7779" s="221"/>
      <c r="AA7779" s="221"/>
      <c r="AB7779" s="223"/>
    </row>
    <row r="7780" spans="1:28" ht="17.100000000000001" customHeight="1" thickTop="1">
      <c r="A7780" s="226" t="s">
        <v>21479</v>
      </c>
      <c r="B7780" s="28">
        <v>46115</v>
      </c>
      <c r="C7780" s="25">
        <v>1413</v>
      </c>
      <c r="D7780" s="13" t="s">
        <v>1542</v>
      </c>
      <c r="E7780" s="228"/>
      <c r="F7780" s="109" t="s">
        <v>16450</v>
      </c>
      <c r="G7780" s="24"/>
      <c r="H7780" s="230">
        <v>4</v>
      </c>
      <c r="I7780" s="220">
        <v>1093000</v>
      </c>
      <c r="J7780" s="220">
        <f>I7780*0.1</f>
        <v>109300</v>
      </c>
      <c r="K7780" s="220">
        <v>0</v>
      </c>
      <c r="L7780" s="220">
        <v>12470</v>
      </c>
      <c r="M7780" s="220">
        <v>15400</v>
      </c>
      <c r="N7780" s="220">
        <f>SUM(I7780:M7781)</f>
        <v>1230170</v>
      </c>
      <c r="O7780" s="224"/>
      <c r="P7780" s="110" t="s">
        <v>21863</v>
      </c>
      <c r="Q7780" s="15" t="s">
        <v>19</v>
      </c>
      <c r="R7780" s="205"/>
      <c r="S7780" s="189"/>
      <c r="T7780" s="114"/>
      <c r="U7780" s="21"/>
      <c r="V7780" s="115">
        <v>46120</v>
      </c>
      <c r="W7780" s="116">
        <v>1012</v>
      </c>
      <c r="X7780" s="220">
        <v>1190000</v>
      </c>
      <c r="Y7780" s="220">
        <f>X7780*0.1</f>
        <v>119000</v>
      </c>
      <c r="Z7780" s="220">
        <v>12470</v>
      </c>
      <c r="AA7780" s="220">
        <f>SUM(X7780:Z7780)</f>
        <v>1321470</v>
      </c>
      <c r="AB7780" s="222">
        <v>46125</v>
      </c>
    </row>
    <row r="7781" spans="1:28" ht="17.100000000000001" customHeight="1" thickBot="1">
      <c r="A7781" s="227"/>
      <c r="B7781" s="27" t="s">
        <v>2597</v>
      </c>
      <c r="C7781" s="27">
        <v>9007</v>
      </c>
      <c r="D7781" s="14" t="s">
        <v>273</v>
      </c>
      <c r="E7781" s="229"/>
      <c r="F7781" s="117" t="s">
        <v>21504</v>
      </c>
      <c r="G7781" s="26">
        <v>78307</v>
      </c>
      <c r="H7781" s="231"/>
      <c r="I7781" s="221"/>
      <c r="J7781" s="221"/>
      <c r="K7781" s="221"/>
      <c r="L7781" s="221"/>
      <c r="M7781" s="221"/>
      <c r="N7781" s="221"/>
      <c r="O7781" s="225"/>
      <c r="P7781" s="118" t="s">
        <v>1972</v>
      </c>
      <c r="Q7781" s="16" t="s">
        <v>20</v>
      </c>
      <c r="R7781" s="17" t="s">
        <v>1810</v>
      </c>
      <c r="S7781" s="121"/>
      <c r="T7781" s="122"/>
      <c r="U7781" s="22"/>
      <c r="V7781" s="123" t="s">
        <v>2747</v>
      </c>
      <c r="W7781" s="122">
        <v>5137</v>
      </c>
      <c r="X7781" s="221"/>
      <c r="Y7781" s="221"/>
      <c r="Z7781" s="221"/>
      <c r="AA7781" s="221"/>
      <c r="AB7781" s="223"/>
    </row>
    <row r="7782" spans="1:28" ht="17.100000000000001" customHeight="1" thickTop="1">
      <c r="A7782" s="226" t="s">
        <v>21480</v>
      </c>
      <c r="B7782" s="28">
        <v>46115</v>
      </c>
      <c r="C7782" s="25">
        <v>1413</v>
      </c>
      <c r="D7782" s="13" t="s">
        <v>2573</v>
      </c>
      <c r="E7782" s="228"/>
      <c r="F7782" s="109" t="s">
        <v>7214</v>
      </c>
      <c r="G7782" s="24"/>
      <c r="H7782" s="232" t="s">
        <v>1705</v>
      </c>
      <c r="I7782" s="220">
        <v>475000</v>
      </c>
      <c r="J7782" s="220">
        <f>I7782*0.1</f>
        <v>47500</v>
      </c>
      <c r="K7782" s="220">
        <v>0</v>
      </c>
      <c r="L7782" s="220">
        <v>8400</v>
      </c>
      <c r="M7782" s="220">
        <v>15400</v>
      </c>
      <c r="N7782" s="220">
        <f>SUM(I7782:M7783)</f>
        <v>546300</v>
      </c>
      <c r="O7782" s="224"/>
      <c r="P7782" s="110" t="s">
        <v>22430</v>
      </c>
      <c r="Q7782" s="15" t="s">
        <v>19</v>
      </c>
      <c r="R7782" s="205"/>
      <c r="S7782" s="189"/>
      <c r="T7782" s="114"/>
      <c r="U7782" s="21"/>
      <c r="V7782" s="115"/>
      <c r="W7782" s="116"/>
      <c r="X7782" s="220"/>
      <c r="Y7782" s="220">
        <f>X7782*0.1</f>
        <v>0</v>
      </c>
      <c r="Z7782" s="220"/>
      <c r="AA7782" s="220">
        <f>SUM(X7782:Z7782)</f>
        <v>0</v>
      </c>
      <c r="AB7782" s="222"/>
    </row>
    <row r="7783" spans="1:28" ht="17.100000000000001" customHeight="1" thickBot="1">
      <c r="A7783" s="227"/>
      <c r="B7783" s="27" t="s">
        <v>2597</v>
      </c>
      <c r="C7783" s="27">
        <v>9012</v>
      </c>
      <c r="D7783" s="14" t="s">
        <v>131</v>
      </c>
      <c r="E7783" s="229"/>
      <c r="F7783" s="117" t="s">
        <v>21505</v>
      </c>
      <c r="G7783" s="26">
        <v>45383</v>
      </c>
      <c r="H7783" s="231"/>
      <c r="I7783" s="221"/>
      <c r="J7783" s="221"/>
      <c r="K7783" s="221"/>
      <c r="L7783" s="221"/>
      <c r="M7783" s="221"/>
      <c r="N7783" s="221"/>
      <c r="O7783" s="225"/>
      <c r="P7783" s="118" t="s">
        <v>22431</v>
      </c>
      <c r="Q7783" s="16" t="s">
        <v>20</v>
      </c>
      <c r="R7783" s="17" t="s">
        <v>22427</v>
      </c>
      <c r="S7783" s="121" t="s">
        <v>22031</v>
      </c>
      <c r="T7783" s="122"/>
      <c r="U7783" s="22"/>
      <c r="V7783" s="123"/>
      <c r="W7783" s="122"/>
      <c r="X7783" s="221"/>
      <c r="Y7783" s="221"/>
      <c r="Z7783" s="221"/>
      <c r="AA7783" s="221"/>
      <c r="AB7783" s="223"/>
    </row>
    <row r="7784" spans="1:28" ht="17.100000000000001" customHeight="1" thickTop="1">
      <c r="A7784" s="226" t="s">
        <v>21516</v>
      </c>
      <c r="B7784" s="28">
        <v>46115</v>
      </c>
      <c r="C7784" s="25">
        <v>1413</v>
      </c>
      <c r="D7784" s="13" t="s">
        <v>2866</v>
      </c>
      <c r="E7784" s="228"/>
      <c r="F7784" s="109" t="s">
        <v>15607</v>
      </c>
      <c r="G7784" s="24"/>
      <c r="H7784" s="230">
        <v>3.5</v>
      </c>
      <c r="I7784" s="220">
        <v>283000</v>
      </c>
      <c r="J7784" s="220">
        <f>I7784*0.1</f>
        <v>28300</v>
      </c>
      <c r="K7784" s="220">
        <v>0</v>
      </c>
      <c r="L7784" s="220">
        <v>7140</v>
      </c>
      <c r="M7784" s="220">
        <v>15400</v>
      </c>
      <c r="N7784" s="220">
        <f>SUM(I7784:M7785)</f>
        <v>333840</v>
      </c>
      <c r="O7784" s="224"/>
      <c r="P7784" s="110" t="s">
        <v>21940</v>
      </c>
      <c r="Q7784" s="15" t="s">
        <v>19</v>
      </c>
      <c r="R7784" s="205"/>
      <c r="S7784" s="189"/>
      <c r="T7784" s="114"/>
      <c r="U7784" s="21"/>
      <c r="V7784" s="115">
        <v>46127</v>
      </c>
      <c r="W7784" s="116">
        <v>1013</v>
      </c>
      <c r="X7784" s="220">
        <v>275000</v>
      </c>
      <c r="Y7784" s="220">
        <f>X7784*0.1</f>
        <v>27500</v>
      </c>
      <c r="Z7784" s="220">
        <v>7140</v>
      </c>
      <c r="AA7784" s="220">
        <f>SUM(X7784:Z7784)</f>
        <v>309640</v>
      </c>
      <c r="AB7784" s="222">
        <v>46132</v>
      </c>
    </row>
    <row r="7785" spans="1:28" ht="17.100000000000001" customHeight="1" thickBot="1">
      <c r="A7785" s="227"/>
      <c r="B7785" s="27" t="s">
        <v>2597</v>
      </c>
      <c r="C7785" s="27">
        <v>9013</v>
      </c>
      <c r="D7785" s="14" t="s">
        <v>1584</v>
      </c>
      <c r="E7785" s="229"/>
      <c r="F7785" s="117" t="s">
        <v>21506</v>
      </c>
      <c r="G7785" s="26">
        <v>30431</v>
      </c>
      <c r="H7785" s="231"/>
      <c r="I7785" s="221"/>
      <c r="J7785" s="221"/>
      <c r="K7785" s="221"/>
      <c r="L7785" s="221"/>
      <c r="M7785" s="221"/>
      <c r="N7785" s="221"/>
      <c r="O7785" s="225"/>
      <c r="P7785" s="118" t="s">
        <v>1972</v>
      </c>
      <c r="Q7785" s="16" t="s">
        <v>20</v>
      </c>
      <c r="R7785" s="17" t="s">
        <v>1780</v>
      </c>
      <c r="S7785" s="121"/>
      <c r="T7785" s="122"/>
      <c r="U7785" s="22"/>
      <c r="V7785" s="123" t="s">
        <v>2747</v>
      </c>
      <c r="W7785" s="122">
        <v>2058</v>
      </c>
      <c r="X7785" s="221"/>
      <c r="Y7785" s="221"/>
      <c r="Z7785" s="221"/>
      <c r="AA7785" s="221"/>
      <c r="AB7785" s="223"/>
    </row>
    <row r="7786" spans="1:28" ht="17.100000000000001" customHeight="1" thickTop="1">
      <c r="A7786" s="226" t="s">
        <v>21517</v>
      </c>
      <c r="B7786" s="28">
        <v>46115</v>
      </c>
      <c r="C7786" s="25">
        <v>1413</v>
      </c>
      <c r="D7786" s="13" t="s">
        <v>853</v>
      </c>
      <c r="E7786" s="228"/>
      <c r="F7786" s="109" t="s">
        <v>21221</v>
      </c>
      <c r="G7786" s="24"/>
      <c r="H7786" s="232" t="s">
        <v>1705</v>
      </c>
      <c r="I7786" s="220">
        <v>436000</v>
      </c>
      <c r="J7786" s="220">
        <f>I7786*0.1</f>
        <v>43600</v>
      </c>
      <c r="K7786" s="220">
        <v>0</v>
      </c>
      <c r="L7786" s="220">
        <v>7140</v>
      </c>
      <c r="M7786" s="220">
        <v>15400</v>
      </c>
      <c r="N7786" s="220">
        <f>SUM(I7786:M7787)</f>
        <v>502140</v>
      </c>
      <c r="O7786" s="224"/>
      <c r="P7786" s="110" t="s">
        <v>21956</v>
      </c>
      <c r="Q7786" s="15" t="s">
        <v>19</v>
      </c>
      <c r="R7786" s="205"/>
      <c r="S7786" s="189"/>
      <c r="T7786" s="114"/>
      <c r="U7786" s="21"/>
      <c r="V7786" s="115"/>
      <c r="W7786" s="116"/>
      <c r="X7786" s="220"/>
      <c r="Y7786" s="220">
        <f>X7786*0.1</f>
        <v>0</v>
      </c>
      <c r="Z7786" s="220"/>
      <c r="AA7786" s="220">
        <f>SUM(X7786:Z7786)</f>
        <v>0</v>
      </c>
      <c r="AB7786" s="222"/>
    </row>
    <row r="7787" spans="1:28" ht="17.100000000000001" customHeight="1" thickBot="1">
      <c r="A7787" s="227"/>
      <c r="B7787" s="27" t="s">
        <v>2597</v>
      </c>
      <c r="C7787" s="27">
        <v>9037</v>
      </c>
      <c r="D7787" s="14" t="s">
        <v>2559</v>
      </c>
      <c r="E7787" s="229"/>
      <c r="F7787" s="117" t="s">
        <v>21507</v>
      </c>
      <c r="G7787" s="26">
        <v>28080</v>
      </c>
      <c r="H7787" s="231"/>
      <c r="I7787" s="221"/>
      <c r="J7787" s="221"/>
      <c r="K7787" s="221"/>
      <c r="L7787" s="221"/>
      <c r="M7787" s="221"/>
      <c r="N7787" s="221"/>
      <c r="O7787" s="225"/>
      <c r="P7787" s="118" t="s">
        <v>8275</v>
      </c>
      <c r="Q7787" s="16" t="s">
        <v>20</v>
      </c>
      <c r="R7787" s="17" t="s">
        <v>1810</v>
      </c>
      <c r="S7787" s="121"/>
      <c r="T7787" s="122"/>
      <c r="U7787" s="22"/>
      <c r="V7787" s="123"/>
      <c r="W7787" s="122"/>
      <c r="X7787" s="221"/>
      <c r="Y7787" s="221"/>
      <c r="Z7787" s="221"/>
      <c r="AA7787" s="221"/>
      <c r="AB7787" s="223"/>
    </row>
    <row r="7788" spans="1:28" ht="17.100000000000001" customHeight="1" thickTop="1">
      <c r="A7788" s="226" t="s">
        <v>21518</v>
      </c>
      <c r="B7788" s="28">
        <v>46115</v>
      </c>
      <c r="C7788" s="25">
        <v>1413</v>
      </c>
      <c r="D7788" s="13" t="s">
        <v>4368</v>
      </c>
      <c r="E7788" s="228"/>
      <c r="F7788" s="109" t="s">
        <v>21631</v>
      </c>
      <c r="G7788" s="24" t="s">
        <v>11936</v>
      </c>
      <c r="H7788" s="230">
        <v>3.5</v>
      </c>
      <c r="I7788" s="220">
        <v>221000</v>
      </c>
      <c r="J7788" s="220">
        <f>I7788*0.1</f>
        <v>22100</v>
      </c>
      <c r="K7788" s="220">
        <v>34760</v>
      </c>
      <c r="L7788" s="220">
        <v>10460</v>
      </c>
      <c r="M7788" s="220">
        <v>15400</v>
      </c>
      <c r="N7788" s="220">
        <f>SUM(I7788:M7789)</f>
        <v>303720</v>
      </c>
      <c r="O7788" s="224"/>
      <c r="P7788" s="110" t="s">
        <v>21954</v>
      </c>
      <c r="Q7788" s="15" t="s">
        <v>19</v>
      </c>
      <c r="R7788" s="205"/>
      <c r="S7788" s="189"/>
      <c r="T7788" s="114"/>
      <c r="U7788" s="21"/>
      <c r="V7788" s="115">
        <v>46127</v>
      </c>
      <c r="W7788" s="116">
        <v>1013</v>
      </c>
      <c r="X7788" s="220">
        <v>415000</v>
      </c>
      <c r="Y7788" s="220">
        <f>X7788*0.1</f>
        <v>41500</v>
      </c>
      <c r="Z7788" s="220">
        <v>10460</v>
      </c>
      <c r="AA7788" s="220">
        <f>SUM(X7788:Z7788)</f>
        <v>466960</v>
      </c>
      <c r="AB7788" s="222">
        <v>46132</v>
      </c>
    </row>
    <row r="7789" spans="1:28" ht="17.100000000000001" customHeight="1" thickBot="1">
      <c r="A7789" s="227"/>
      <c r="B7789" s="27" t="s">
        <v>2597</v>
      </c>
      <c r="C7789" s="27">
        <v>9044</v>
      </c>
      <c r="D7789" s="14" t="s">
        <v>16908</v>
      </c>
      <c r="E7789" s="229"/>
      <c r="F7789" s="117" t="s">
        <v>21508</v>
      </c>
      <c r="G7789" s="26">
        <v>58551</v>
      </c>
      <c r="H7789" s="231"/>
      <c r="I7789" s="221"/>
      <c r="J7789" s="221"/>
      <c r="K7789" s="221"/>
      <c r="L7789" s="221"/>
      <c r="M7789" s="221"/>
      <c r="N7789" s="221"/>
      <c r="O7789" s="225"/>
      <c r="P7789" s="118" t="s">
        <v>21955</v>
      </c>
      <c r="Q7789" s="16" t="s">
        <v>20</v>
      </c>
      <c r="R7789" s="17" t="s">
        <v>1810</v>
      </c>
      <c r="S7789" s="121"/>
      <c r="T7789" s="122"/>
      <c r="U7789" s="22"/>
      <c r="V7789" s="123" t="s">
        <v>2747</v>
      </c>
      <c r="W7789" s="122">
        <v>6083</v>
      </c>
      <c r="X7789" s="221"/>
      <c r="Y7789" s="221"/>
      <c r="Z7789" s="221"/>
      <c r="AA7789" s="221"/>
      <c r="AB7789" s="223"/>
    </row>
    <row r="7790" spans="1:28" ht="17.100000000000001" customHeight="1" thickTop="1">
      <c r="A7790" s="226" t="s">
        <v>21519</v>
      </c>
      <c r="B7790" s="28">
        <v>46115</v>
      </c>
      <c r="C7790" s="25">
        <v>1413</v>
      </c>
      <c r="D7790" s="13" t="s">
        <v>2379</v>
      </c>
      <c r="E7790" s="228"/>
      <c r="F7790" s="109" t="s">
        <v>21509</v>
      </c>
      <c r="G7790" s="24"/>
      <c r="H7790" s="230">
        <v>3</v>
      </c>
      <c r="I7790" s="220">
        <v>369000</v>
      </c>
      <c r="J7790" s="220">
        <f>I7790*0.1</f>
        <v>36900</v>
      </c>
      <c r="K7790" s="220">
        <v>0</v>
      </c>
      <c r="L7790" s="220">
        <v>10940</v>
      </c>
      <c r="M7790" s="220">
        <v>15400</v>
      </c>
      <c r="N7790" s="220">
        <f>SUM(I7790:M7791)</f>
        <v>432240</v>
      </c>
      <c r="O7790" s="224"/>
      <c r="P7790" s="110" t="s">
        <v>21952</v>
      </c>
      <c r="Q7790" s="15" t="s">
        <v>19</v>
      </c>
      <c r="R7790" s="205"/>
      <c r="S7790" s="189"/>
      <c r="T7790" s="114"/>
      <c r="U7790" s="21"/>
      <c r="V7790" s="115">
        <v>46155</v>
      </c>
      <c r="W7790" s="116">
        <v>1016</v>
      </c>
      <c r="X7790" s="220">
        <v>420000</v>
      </c>
      <c r="Y7790" s="220">
        <f>X7790*0.1</f>
        <v>42000</v>
      </c>
      <c r="Z7790" s="220">
        <v>10940</v>
      </c>
      <c r="AA7790" s="220">
        <f>SUM(X7790:Z7790)</f>
        <v>472940</v>
      </c>
      <c r="AB7790" s="222">
        <v>46160</v>
      </c>
    </row>
    <row r="7791" spans="1:28" ht="17.100000000000001" customHeight="1" thickBot="1">
      <c r="A7791" s="227"/>
      <c r="B7791" s="27" t="s">
        <v>2597</v>
      </c>
      <c r="C7791" s="27">
        <v>9166</v>
      </c>
      <c r="D7791" s="14" t="s">
        <v>2559</v>
      </c>
      <c r="E7791" s="229"/>
      <c r="F7791" s="117" t="s">
        <v>21510</v>
      </c>
      <c r="G7791" s="26">
        <v>109292</v>
      </c>
      <c r="H7791" s="231"/>
      <c r="I7791" s="221"/>
      <c r="J7791" s="221"/>
      <c r="K7791" s="221"/>
      <c r="L7791" s="221"/>
      <c r="M7791" s="221"/>
      <c r="N7791" s="221"/>
      <c r="O7791" s="225"/>
      <c r="P7791" s="118" t="s">
        <v>21953</v>
      </c>
      <c r="Q7791" s="16" t="s">
        <v>20</v>
      </c>
      <c r="R7791" s="17" t="s">
        <v>1810</v>
      </c>
      <c r="S7791" s="121"/>
      <c r="T7791" s="122"/>
      <c r="U7791" s="22"/>
      <c r="V7791" s="123" t="s">
        <v>2747</v>
      </c>
      <c r="W7791" s="122">
        <v>6082</v>
      </c>
      <c r="X7791" s="221"/>
      <c r="Y7791" s="221"/>
      <c r="Z7791" s="221"/>
      <c r="AA7791" s="221"/>
      <c r="AB7791" s="223"/>
    </row>
    <row r="7792" spans="1:28" ht="17.100000000000001" customHeight="1" thickTop="1">
      <c r="A7792" s="226" t="s">
        <v>21520</v>
      </c>
      <c r="B7792" s="28">
        <v>46115</v>
      </c>
      <c r="C7792" s="25">
        <v>1413</v>
      </c>
      <c r="D7792" s="13" t="s">
        <v>21632</v>
      </c>
      <c r="E7792" s="228"/>
      <c r="F7792" s="109" t="s">
        <v>21511</v>
      </c>
      <c r="G7792" s="24" t="s">
        <v>13533</v>
      </c>
      <c r="H7792" s="230">
        <v>3.5</v>
      </c>
      <c r="I7792" s="220">
        <v>301000</v>
      </c>
      <c r="J7792" s="220">
        <f>I7792*0.1</f>
        <v>30100</v>
      </c>
      <c r="K7792" s="220">
        <v>0</v>
      </c>
      <c r="L7792" s="220">
        <v>8570</v>
      </c>
      <c r="M7792" s="220">
        <v>15400</v>
      </c>
      <c r="N7792" s="220">
        <f>SUM(I7792:M7793)</f>
        <v>355070</v>
      </c>
      <c r="O7792" s="224"/>
      <c r="P7792" s="110" t="s">
        <v>22018</v>
      </c>
      <c r="Q7792" s="15" t="s">
        <v>19</v>
      </c>
      <c r="R7792" s="205"/>
      <c r="S7792" s="189" t="s">
        <v>455</v>
      </c>
      <c r="T7792" s="114"/>
      <c r="U7792" s="21"/>
      <c r="V7792" s="115">
        <v>46137</v>
      </c>
      <c r="W7792" s="116">
        <v>1298</v>
      </c>
      <c r="X7792" s="220">
        <v>400000</v>
      </c>
      <c r="Y7792" s="220">
        <f>X7792*0.1</f>
        <v>40000</v>
      </c>
      <c r="Z7792" s="220">
        <v>8570</v>
      </c>
      <c r="AA7792" s="220">
        <f>SUM(X7792:Z7792)</f>
        <v>448570</v>
      </c>
      <c r="AB7792" s="222">
        <v>46140</v>
      </c>
    </row>
    <row r="7793" spans="1:28" ht="17.100000000000001" customHeight="1" thickBot="1">
      <c r="A7793" s="227"/>
      <c r="B7793" s="27" t="s">
        <v>2597</v>
      </c>
      <c r="C7793" s="27">
        <v>9301</v>
      </c>
      <c r="D7793" s="14" t="s">
        <v>131</v>
      </c>
      <c r="E7793" s="229"/>
      <c r="F7793" s="117" t="s">
        <v>21512</v>
      </c>
      <c r="G7793" s="26">
        <v>80859</v>
      </c>
      <c r="H7793" s="231"/>
      <c r="I7793" s="221"/>
      <c r="J7793" s="221"/>
      <c r="K7793" s="221"/>
      <c r="L7793" s="221"/>
      <c r="M7793" s="221"/>
      <c r="N7793" s="221"/>
      <c r="O7793" s="225"/>
      <c r="P7793" s="118" t="s">
        <v>22019</v>
      </c>
      <c r="Q7793" s="16" t="s">
        <v>20</v>
      </c>
      <c r="R7793" s="17" t="s">
        <v>21969</v>
      </c>
      <c r="S7793" s="121" t="s">
        <v>22020</v>
      </c>
      <c r="T7793" s="122"/>
      <c r="U7793" s="22"/>
      <c r="V7793" s="123" t="s">
        <v>7160</v>
      </c>
      <c r="W7793" s="122">
        <v>60115</v>
      </c>
      <c r="X7793" s="221"/>
      <c r="Y7793" s="221"/>
      <c r="Z7793" s="221"/>
      <c r="AA7793" s="221"/>
      <c r="AB7793" s="223"/>
    </row>
    <row r="7794" spans="1:28" ht="17.100000000000001" customHeight="1" thickTop="1">
      <c r="A7794" s="226" t="s">
        <v>21521</v>
      </c>
      <c r="B7794" s="28">
        <v>46115</v>
      </c>
      <c r="C7794" s="25">
        <v>1413</v>
      </c>
      <c r="D7794" s="13" t="s">
        <v>1740</v>
      </c>
      <c r="E7794" s="228"/>
      <c r="F7794" s="109" t="s">
        <v>20994</v>
      </c>
      <c r="G7794" s="24" t="s">
        <v>11045</v>
      </c>
      <c r="H7794" s="230">
        <v>3.5</v>
      </c>
      <c r="I7794" s="220">
        <v>277000</v>
      </c>
      <c r="J7794" s="220">
        <f>I7794*0.1</f>
        <v>27700</v>
      </c>
      <c r="K7794" s="220">
        <v>0</v>
      </c>
      <c r="L7794" s="220">
        <v>9070</v>
      </c>
      <c r="M7794" s="220">
        <v>15400</v>
      </c>
      <c r="N7794" s="220">
        <f>SUM(I7794:M7795)</f>
        <v>329170</v>
      </c>
      <c r="O7794" s="224"/>
      <c r="P7794" s="110" t="s">
        <v>21960</v>
      </c>
      <c r="Q7794" s="15" t="s">
        <v>19</v>
      </c>
      <c r="R7794" s="205"/>
      <c r="S7794" s="189"/>
      <c r="T7794" s="114"/>
      <c r="U7794" s="21"/>
      <c r="V7794" s="115">
        <v>46130</v>
      </c>
      <c r="W7794" s="116">
        <v>1297</v>
      </c>
      <c r="X7794" s="220">
        <v>340000</v>
      </c>
      <c r="Y7794" s="220">
        <f>X7794*0.1</f>
        <v>34000</v>
      </c>
      <c r="Z7794" s="220">
        <v>9070</v>
      </c>
      <c r="AA7794" s="220">
        <f>SUM(X7794:Z7794)</f>
        <v>383070</v>
      </c>
      <c r="AB7794" s="222">
        <v>46133</v>
      </c>
    </row>
    <row r="7795" spans="1:28" ht="17.100000000000001" customHeight="1" thickBot="1">
      <c r="A7795" s="227"/>
      <c r="B7795" s="27" t="s">
        <v>2597</v>
      </c>
      <c r="C7795" s="27">
        <v>9395</v>
      </c>
      <c r="D7795" s="14" t="s">
        <v>5509</v>
      </c>
      <c r="E7795" s="229"/>
      <c r="F7795" s="117" t="s">
        <v>21513</v>
      </c>
      <c r="G7795" s="26">
        <v>55565</v>
      </c>
      <c r="H7795" s="231"/>
      <c r="I7795" s="221"/>
      <c r="J7795" s="221"/>
      <c r="K7795" s="221"/>
      <c r="L7795" s="221"/>
      <c r="M7795" s="221"/>
      <c r="N7795" s="221"/>
      <c r="O7795" s="225"/>
      <c r="P7795" s="118" t="s">
        <v>21961</v>
      </c>
      <c r="Q7795" s="16" t="s">
        <v>20</v>
      </c>
      <c r="R7795" s="17" t="s">
        <v>1810</v>
      </c>
      <c r="S7795" s="121" t="s">
        <v>4008</v>
      </c>
      <c r="T7795" s="122"/>
      <c r="U7795" s="22"/>
      <c r="V7795" s="123" t="s">
        <v>2472</v>
      </c>
      <c r="W7795" s="122">
        <v>60322</v>
      </c>
      <c r="X7795" s="221"/>
      <c r="Y7795" s="221"/>
      <c r="Z7795" s="221"/>
      <c r="AA7795" s="221"/>
      <c r="AB7795" s="223"/>
    </row>
    <row r="7796" spans="1:28" ht="17.100000000000001" customHeight="1" thickTop="1">
      <c r="A7796" s="226" t="s">
        <v>21522</v>
      </c>
      <c r="B7796" s="28">
        <v>46115</v>
      </c>
      <c r="C7796" s="25">
        <v>1413</v>
      </c>
      <c r="D7796" s="13" t="s">
        <v>3634</v>
      </c>
      <c r="E7796" s="228"/>
      <c r="F7796" s="109" t="s">
        <v>21514</v>
      </c>
      <c r="G7796" s="24"/>
      <c r="H7796" s="230">
        <v>4</v>
      </c>
      <c r="I7796" s="220">
        <v>244000</v>
      </c>
      <c r="J7796" s="220">
        <f>I7796*0.1</f>
        <v>24400</v>
      </c>
      <c r="K7796" s="220">
        <v>0</v>
      </c>
      <c r="L7796" s="220">
        <v>10270</v>
      </c>
      <c r="M7796" s="220">
        <v>15400</v>
      </c>
      <c r="N7796" s="220">
        <f>SUM(I7796:M7797)</f>
        <v>294070</v>
      </c>
      <c r="O7796" s="224"/>
      <c r="P7796" s="110" t="s">
        <v>21957</v>
      </c>
      <c r="Q7796" s="15" t="s">
        <v>19</v>
      </c>
      <c r="R7796" s="205"/>
      <c r="S7796" s="189"/>
      <c r="T7796" s="114"/>
      <c r="U7796" s="21"/>
      <c r="V7796" s="115">
        <v>46144</v>
      </c>
      <c r="W7796" s="116">
        <v>1299</v>
      </c>
      <c r="X7796" s="220">
        <v>300000</v>
      </c>
      <c r="Y7796" s="220">
        <f>X7796*0.1</f>
        <v>30000</v>
      </c>
      <c r="Z7796" s="220">
        <v>10270</v>
      </c>
      <c r="AA7796" s="220">
        <f>SUM(X7796:Z7796)</f>
        <v>340270</v>
      </c>
      <c r="AB7796" s="222">
        <v>46154</v>
      </c>
    </row>
    <row r="7797" spans="1:28" ht="17.100000000000001" customHeight="1" thickBot="1">
      <c r="A7797" s="227"/>
      <c r="B7797" s="27" t="s">
        <v>2597</v>
      </c>
      <c r="C7797" s="27">
        <v>9404</v>
      </c>
      <c r="D7797" s="14" t="s">
        <v>1710</v>
      </c>
      <c r="E7797" s="229"/>
      <c r="F7797" s="117" t="s">
        <v>21515</v>
      </c>
      <c r="G7797" s="26">
        <v>52702</v>
      </c>
      <c r="H7797" s="231"/>
      <c r="I7797" s="221"/>
      <c r="J7797" s="221"/>
      <c r="K7797" s="221"/>
      <c r="L7797" s="221"/>
      <c r="M7797" s="221"/>
      <c r="N7797" s="221"/>
      <c r="O7797" s="225"/>
      <c r="P7797" s="118" t="s">
        <v>1972</v>
      </c>
      <c r="Q7797" s="16" t="s">
        <v>20</v>
      </c>
      <c r="R7797" s="17" t="s">
        <v>1810</v>
      </c>
      <c r="S7797" s="121"/>
      <c r="T7797" s="122"/>
      <c r="U7797" s="22"/>
      <c r="V7797" s="123" t="s">
        <v>7160</v>
      </c>
      <c r="W7797" s="122">
        <v>60077</v>
      </c>
      <c r="X7797" s="221"/>
      <c r="Y7797" s="221"/>
      <c r="Z7797" s="221"/>
      <c r="AA7797" s="221"/>
      <c r="AB7797" s="223"/>
    </row>
    <row r="7798" spans="1:28" ht="17.100000000000001" customHeight="1" thickTop="1">
      <c r="A7798" s="226" t="s">
        <v>21523</v>
      </c>
      <c r="B7798" s="28">
        <v>46115</v>
      </c>
      <c r="C7798" s="25">
        <v>2129</v>
      </c>
      <c r="D7798" s="13" t="s">
        <v>1704</v>
      </c>
      <c r="E7798" s="228"/>
      <c r="F7798" s="109" t="s">
        <v>21633</v>
      </c>
      <c r="G7798" s="24"/>
      <c r="H7798" s="230">
        <v>4.5</v>
      </c>
      <c r="I7798" s="220">
        <v>2160000</v>
      </c>
      <c r="J7798" s="220">
        <f>I7798*0.1</f>
        <v>216000</v>
      </c>
      <c r="K7798" s="220">
        <v>0</v>
      </c>
      <c r="L7798" s="220">
        <v>17850</v>
      </c>
      <c r="M7798" s="220">
        <v>16500</v>
      </c>
      <c r="N7798" s="220">
        <f>SUM(I7798:M7799)</f>
        <v>2410350</v>
      </c>
      <c r="O7798" s="224"/>
      <c r="P7798" s="110" t="s">
        <v>21942</v>
      </c>
      <c r="Q7798" s="15" t="s">
        <v>19</v>
      </c>
      <c r="R7798" s="205"/>
      <c r="S7798" s="189" t="s">
        <v>25685</v>
      </c>
      <c r="T7798" s="114"/>
      <c r="U7798" s="21"/>
      <c r="V7798" s="115">
        <v>46128</v>
      </c>
      <c r="W7798" s="116">
        <v>1327</v>
      </c>
      <c r="X7798" s="220">
        <v>2355000</v>
      </c>
      <c r="Y7798" s="220">
        <f>X7798*0.1</f>
        <v>235500</v>
      </c>
      <c r="Z7798" s="220">
        <v>17850</v>
      </c>
      <c r="AA7798" s="220">
        <f>SUM(X7798:Z7798)</f>
        <v>2608350</v>
      </c>
      <c r="AB7798" s="222">
        <v>46129</v>
      </c>
    </row>
    <row r="7799" spans="1:28" ht="17.100000000000001" customHeight="1" thickBot="1">
      <c r="A7799" s="227"/>
      <c r="B7799" s="27" t="s">
        <v>1536</v>
      </c>
      <c r="C7799" s="27">
        <v>13064</v>
      </c>
      <c r="D7799" s="14" t="s">
        <v>1584</v>
      </c>
      <c r="E7799" s="229"/>
      <c r="F7799" s="117" t="s">
        <v>21634</v>
      </c>
      <c r="G7799" s="26">
        <v>11796</v>
      </c>
      <c r="H7799" s="231"/>
      <c r="I7799" s="221"/>
      <c r="J7799" s="221"/>
      <c r="K7799" s="221"/>
      <c r="L7799" s="221"/>
      <c r="M7799" s="221"/>
      <c r="N7799" s="221"/>
      <c r="O7799" s="225"/>
      <c r="P7799" s="118" t="s">
        <v>2615</v>
      </c>
      <c r="Q7799" s="16" t="s">
        <v>20</v>
      </c>
      <c r="R7799" s="17" t="s">
        <v>1780</v>
      </c>
      <c r="S7799" s="121" t="s">
        <v>7305</v>
      </c>
      <c r="T7799" s="122"/>
      <c r="U7799" s="22"/>
      <c r="V7799" s="123" t="s">
        <v>22671</v>
      </c>
      <c r="W7799" s="122">
        <v>322</v>
      </c>
      <c r="X7799" s="221"/>
      <c r="Y7799" s="221"/>
      <c r="Z7799" s="221"/>
      <c r="AA7799" s="221"/>
      <c r="AB7799" s="223"/>
    </row>
    <row r="7800" spans="1:28" ht="17.100000000000001" customHeight="1" thickTop="1">
      <c r="A7800" s="226" t="s">
        <v>21524</v>
      </c>
      <c r="B7800" s="28">
        <v>46115</v>
      </c>
      <c r="C7800" s="25">
        <v>2129</v>
      </c>
      <c r="D7800" s="13" t="s">
        <v>2644</v>
      </c>
      <c r="E7800" s="228"/>
      <c r="F7800" s="109" t="s">
        <v>21500</v>
      </c>
      <c r="G7800" s="24" t="s">
        <v>19511</v>
      </c>
      <c r="H7800" s="230">
        <v>4</v>
      </c>
      <c r="I7800" s="220">
        <v>1333000</v>
      </c>
      <c r="J7800" s="220">
        <f>I7800*0.1</f>
        <v>133300</v>
      </c>
      <c r="K7800" s="220">
        <v>30690</v>
      </c>
      <c r="L7800" s="220">
        <v>17600</v>
      </c>
      <c r="M7800" s="220">
        <v>16500</v>
      </c>
      <c r="N7800" s="220">
        <f>SUM(I7800:M7801)</f>
        <v>1531090</v>
      </c>
      <c r="O7800" s="224"/>
      <c r="P7800" s="110" t="s">
        <v>21636</v>
      </c>
      <c r="Q7800" s="15" t="s">
        <v>19</v>
      </c>
      <c r="R7800" s="205"/>
      <c r="S7800" s="189" t="s">
        <v>758</v>
      </c>
      <c r="T7800" s="114"/>
      <c r="U7800" s="21"/>
      <c r="V7800" s="115">
        <v>46128</v>
      </c>
      <c r="W7800" s="116">
        <v>1327</v>
      </c>
      <c r="X7800" s="220">
        <v>1540000</v>
      </c>
      <c r="Y7800" s="220">
        <f>X7800*0.1</f>
        <v>154000</v>
      </c>
      <c r="Z7800" s="220">
        <v>17600</v>
      </c>
      <c r="AA7800" s="220">
        <f>SUM(X7800:Z7800)</f>
        <v>1711600</v>
      </c>
      <c r="AB7800" s="222">
        <v>46129</v>
      </c>
    </row>
    <row r="7801" spans="1:28" ht="17.100000000000001" customHeight="1" thickBot="1">
      <c r="A7801" s="227"/>
      <c r="B7801" s="27" t="s">
        <v>1536</v>
      </c>
      <c r="C7801" s="27">
        <v>13466</v>
      </c>
      <c r="D7801" s="14" t="s">
        <v>1797</v>
      </c>
      <c r="E7801" s="229"/>
      <c r="F7801" s="117" t="s">
        <v>21635</v>
      </c>
      <c r="G7801" s="26">
        <v>47855</v>
      </c>
      <c r="H7801" s="231"/>
      <c r="I7801" s="221"/>
      <c r="J7801" s="221"/>
      <c r="K7801" s="221"/>
      <c r="L7801" s="221"/>
      <c r="M7801" s="221"/>
      <c r="N7801" s="221"/>
      <c r="O7801" s="225"/>
      <c r="P7801" s="118" t="s">
        <v>4461</v>
      </c>
      <c r="Q7801" s="16" t="s">
        <v>20</v>
      </c>
      <c r="R7801" s="17" t="s">
        <v>2913</v>
      </c>
      <c r="S7801" s="121" t="s">
        <v>7305</v>
      </c>
      <c r="T7801" s="122"/>
      <c r="U7801" s="22"/>
      <c r="V7801" s="123" t="s">
        <v>22671</v>
      </c>
      <c r="W7801" s="122">
        <v>327</v>
      </c>
      <c r="X7801" s="221"/>
      <c r="Y7801" s="221"/>
      <c r="Z7801" s="221"/>
      <c r="AA7801" s="221"/>
      <c r="AB7801" s="223"/>
    </row>
    <row r="7802" spans="1:28" ht="17.100000000000001" customHeight="1" thickTop="1">
      <c r="A7802" s="226" t="s">
        <v>21525</v>
      </c>
      <c r="B7802" s="28">
        <v>46115</v>
      </c>
      <c r="C7802" s="25">
        <v>285</v>
      </c>
      <c r="D7802" s="13" t="s">
        <v>2324</v>
      </c>
      <c r="E7802" s="228"/>
      <c r="F7802" s="109" t="s">
        <v>19180</v>
      </c>
      <c r="G7802" s="24"/>
      <c r="H7802" s="230">
        <v>3.5</v>
      </c>
      <c r="I7802" s="220">
        <v>273000</v>
      </c>
      <c r="J7802" s="220">
        <f>I7802*0.1</f>
        <v>27300</v>
      </c>
      <c r="K7802" s="220">
        <v>0</v>
      </c>
      <c r="L7802" s="220">
        <v>7140</v>
      </c>
      <c r="M7802" s="220">
        <v>22000</v>
      </c>
      <c r="N7802" s="220">
        <f>SUM(I7802:M7803)</f>
        <v>329440</v>
      </c>
      <c r="O7802" s="224"/>
      <c r="P7802" s="110" t="s">
        <v>21919</v>
      </c>
      <c r="Q7802" s="15" t="s">
        <v>19</v>
      </c>
      <c r="R7802" s="205"/>
      <c r="S7802" s="189"/>
      <c r="T7802" s="114"/>
      <c r="U7802" s="21"/>
      <c r="V7802" s="115">
        <v>46134</v>
      </c>
      <c r="W7802" s="116">
        <v>1014</v>
      </c>
      <c r="X7802" s="220">
        <v>350000</v>
      </c>
      <c r="Y7802" s="220">
        <f>X7802*0.1</f>
        <v>35000</v>
      </c>
      <c r="Z7802" s="220">
        <v>7140</v>
      </c>
      <c r="AA7802" s="220">
        <f>SUM(X7802:Z7802)</f>
        <v>392140</v>
      </c>
      <c r="AB7802" s="222">
        <v>46140</v>
      </c>
    </row>
    <row r="7803" spans="1:28" ht="17.100000000000001" customHeight="1" thickBot="1">
      <c r="A7803" s="227"/>
      <c r="B7803" s="27" t="s">
        <v>15537</v>
      </c>
      <c r="C7803" s="27">
        <v>8</v>
      </c>
      <c r="D7803" s="14" t="s">
        <v>1690</v>
      </c>
      <c r="E7803" s="229"/>
      <c r="F7803" s="117" t="s">
        <v>21534</v>
      </c>
      <c r="G7803" s="26">
        <v>28332</v>
      </c>
      <c r="H7803" s="231"/>
      <c r="I7803" s="221"/>
      <c r="J7803" s="221"/>
      <c r="K7803" s="221"/>
      <c r="L7803" s="221"/>
      <c r="M7803" s="221"/>
      <c r="N7803" s="221"/>
      <c r="O7803" s="225"/>
      <c r="P7803" s="118" t="s">
        <v>4348</v>
      </c>
      <c r="Q7803" s="16" t="s">
        <v>20</v>
      </c>
      <c r="R7803" s="17" t="s">
        <v>1810</v>
      </c>
      <c r="S7803" s="121" t="s">
        <v>2360</v>
      </c>
      <c r="T7803" s="122"/>
      <c r="U7803" s="22"/>
      <c r="V7803" s="123" t="s">
        <v>7161</v>
      </c>
      <c r="W7803" s="122">
        <v>2022</v>
      </c>
      <c r="X7803" s="221"/>
      <c r="Y7803" s="221"/>
      <c r="Z7803" s="221"/>
      <c r="AA7803" s="221"/>
      <c r="AB7803" s="223"/>
    </row>
    <row r="7804" spans="1:28" ht="17.100000000000001" customHeight="1" thickTop="1">
      <c r="A7804" s="226" t="s">
        <v>21526</v>
      </c>
      <c r="B7804" s="28">
        <v>46115</v>
      </c>
      <c r="C7804" s="25">
        <v>285</v>
      </c>
      <c r="D7804" s="13" t="s">
        <v>2295</v>
      </c>
      <c r="E7804" s="228"/>
      <c r="F7804" s="109" t="s">
        <v>21637</v>
      </c>
      <c r="G7804" s="24"/>
      <c r="H7804" s="230">
        <v>4</v>
      </c>
      <c r="I7804" s="220">
        <v>436000</v>
      </c>
      <c r="J7804" s="220">
        <f>I7804*0.1</f>
        <v>43600</v>
      </c>
      <c r="K7804" s="220">
        <v>0</v>
      </c>
      <c r="L7804" s="220">
        <v>7510</v>
      </c>
      <c r="M7804" s="220">
        <v>22000</v>
      </c>
      <c r="N7804" s="220">
        <f>SUM(I7804:M7805)</f>
        <v>509110</v>
      </c>
      <c r="O7804" s="224"/>
      <c r="P7804" s="110" t="s">
        <v>21858</v>
      </c>
      <c r="Q7804" s="15" t="s">
        <v>19</v>
      </c>
      <c r="R7804" s="205"/>
      <c r="S7804" s="189" t="s">
        <v>1406</v>
      </c>
      <c r="T7804" s="114"/>
      <c r="U7804" s="21"/>
      <c r="V7804" s="115">
        <v>46120</v>
      </c>
      <c r="W7804" s="116">
        <v>1012</v>
      </c>
      <c r="X7804" s="220">
        <v>570000</v>
      </c>
      <c r="Y7804" s="220">
        <f>X7804*0.1</f>
        <v>57000</v>
      </c>
      <c r="Z7804" s="220">
        <v>7510</v>
      </c>
      <c r="AA7804" s="220">
        <f>SUM(X7804:Z7804)</f>
        <v>634510</v>
      </c>
      <c r="AB7804" s="222">
        <v>46125</v>
      </c>
    </row>
    <row r="7805" spans="1:28" ht="17.100000000000001" customHeight="1" thickBot="1">
      <c r="A7805" s="227"/>
      <c r="B7805" s="27" t="s">
        <v>15537</v>
      </c>
      <c r="C7805" s="27">
        <v>20002</v>
      </c>
      <c r="D7805" s="14" t="s">
        <v>1584</v>
      </c>
      <c r="E7805" s="229"/>
      <c r="F7805" s="117" t="s">
        <v>21535</v>
      </c>
      <c r="G7805" s="26">
        <v>30254</v>
      </c>
      <c r="H7805" s="231"/>
      <c r="I7805" s="221"/>
      <c r="J7805" s="221"/>
      <c r="K7805" s="221"/>
      <c r="L7805" s="221"/>
      <c r="M7805" s="221"/>
      <c r="N7805" s="221"/>
      <c r="O7805" s="225"/>
      <c r="P7805" s="118" t="s">
        <v>21859</v>
      </c>
      <c r="Q7805" s="16" t="s">
        <v>20</v>
      </c>
      <c r="R7805" s="17" t="s">
        <v>1810</v>
      </c>
      <c r="S7805" s="121" t="s">
        <v>2734</v>
      </c>
      <c r="T7805" s="122"/>
      <c r="U7805" s="22"/>
      <c r="V7805" s="123" t="s">
        <v>2747</v>
      </c>
      <c r="W7805" s="122">
        <v>5141</v>
      </c>
      <c r="X7805" s="221"/>
      <c r="Y7805" s="221"/>
      <c r="Z7805" s="221"/>
      <c r="AA7805" s="221"/>
      <c r="AB7805" s="223"/>
    </row>
    <row r="7806" spans="1:28" ht="17.100000000000001" customHeight="1" thickTop="1">
      <c r="A7806" s="226" t="s">
        <v>21527</v>
      </c>
      <c r="B7806" s="28">
        <v>46115</v>
      </c>
      <c r="C7806" s="25">
        <v>285</v>
      </c>
      <c r="D7806" s="13" t="s">
        <v>2267</v>
      </c>
      <c r="E7806" s="228"/>
      <c r="F7806" s="109" t="s">
        <v>15631</v>
      </c>
      <c r="G7806" s="24"/>
      <c r="H7806" s="230">
        <v>4</v>
      </c>
      <c r="I7806" s="220">
        <v>737000</v>
      </c>
      <c r="J7806" s="220">
        <f>I7806*0.1</f>
        <v>73700</v>
      </c>
      <c r="K7806" s="220">
        <v>0</v>
      </c>
      <c r="L7806" s="220">
        <v>8400</v>
      </c>
      <c r="M7806" s="220">
        <v>22000</v>
      </c>
      <c r="N7806" s="220">
        <f>SUM(I7806:M7807)</f>
        <v>841100</v>
      </c>
      <c r="O7806" s="224"/>
      <c r="P7806" s="110" t="s">
        <v>21933</v>
      </c>
      <c r="Q7806" s="15" t="s">
        <v>19</v>
      </c>
      <c r="R7806" s="205"/>
      <c r="S7806" s="189"/>
      <c r="T7806" s="114"/>
      <c r="U7806" s="21"/>
      <c r="V7806" s="115">
        <v>46120</v>
      </c>
      <c r="W7806" s="116">
        <v>1012</v>
      </c>
      <c r="X7806" s="220">
        <v>840000</v>
      </c>
      <c r="Y7806" s="220">
        <f>X7806*0.1</f>
        <v>84000</v>
      </c>
      <c r="Z7806" s="220">
        <v>8400</v>
      </c>
      <c r="AA7806" s="220">
        <f>SUM(X7806:Z7806)</f>
        <v>932400</v>
      </c>
      <c r="AB7806" s="222">
        <v>46125</v>
      </c>
    </row>
    <row r="7807" spans="1:28" ht="17.100000000000001" customHeight="1" thickBot="1">
      <c r="A7807" s="227"/>
      <c r="B7807" s="27" t="s">
        <v>15537</v>
      </c>
      <c r="C7807" s="27">
        <v>20032</v>
      </c>
      <c r="D7807" s="14" t="s">
        <v>1584</v>
      </c>
      <c r="E7807" s="229"/>
      <c r="F7807" s="117" t="s">
        <v>21536</v>
      </c>
      <c r="G7807" s="26">
        <v>10997</v>
      </c>
      <c r="H7807" s="231"/>
      <c r="I7807" s="221"/>
      <c r="J7807" s="221"/>
      <c r="K7807" s="221"/>
      <c r="L7807" s="221"/>
      <c r="M7807" s="221"/>
      <c r="N7807" s="221"/>
      <c r="O7807" s="225"/>
      <c r="P7807" s="118" t="s">
        <v>7414</v>
      </c>
      <c r="Q7807" s="16" t="s">
        <v>20</v>
      </c>
      <c r="R7807" s="17" t="s">
        <v>1780</v>
      </c>
      <c r="S7807" s="121"/>
      <c r="T7807" s="122"/>
      <c r="U7807" s="22"/>
      <c r="V7807" s="123" t="s">
        <v>2747</v>
      </c>
      <c r="W7807" s="122">
        <v>5144</v>
      </c>
      <c r="X7807" s="221"/>
      <c r="Y7807" s="221"/>
      <c r="Z7807" s="221"/>
      <c r="AA7807" s="221"/>
      <c r="AB7807" s="223"/>
    </row>
    <row r="7808" spans="1:28" ht="17.100000000000001" customHeight="1" thickTop="1">
      <c r="A7808" s="233" t="s">
        <v>21528</v>
      </c>
      <c r="B7808" s="28">
        <v>46115</v>
      </c>
      <c r="C7808" s="25">
        <v>285</v>
      </c>
      <c r="D7808" s="13" t="s">
        <v>1983</v>
      </c>
      <c r="E7808" s="228"/>
      <c r="F7808" s="109" t="s">
        <v>21638</v>
      </c>
      <c r="G7808" s="24"/>
      <c r="H7808" s="230">
        <v>4.5</v>
      </c>
      <c r="I7808" s="220">
        <v>1086000</v>
      </c>
      <c r="J7808" s="220">
        <f>I7808*0.1</f>
        <v>108600</v>
      </c>
      <c r="K7808" s="220">
        <v>0</v>
      </c>
      <c r="L7808" s="220">
        <v>11510</v>
      </c>
      <c r="M7808" s="220">
        <v>22000</v>
      </c>
      <c r="N7808" s="220">
        <f>SUM(I7808:M7809)</f>
        <v>1228110</v>
      </c>
      <c r="O7808" s="224"/>
      <c r="P7808" s="110" t="s">
        <v>21944</v>
      </c>
      <c r="Q7808" s="15" t="s">
        <v>19</v>
      </c>
      <c r="R7808" s="205"/>
      <c r="S7808" s="189" t="s">
        <v>25920</v>
      </c>
      <c r="T7808" s="114" t="s">
        <v>22465</v>
      </c>
      <c r="U7808" s="21"/>
      <c r="V7808" s="115"/>
      <c r="W7808" s="116"/>
      <c r="X7808" s="220"/>
      <c r="Y7808" s="220">
        <f>X7808*0.1</f>
        <v>0</v>
      </c>
      <c r="Z7808" s="220"/>
      <c r="AA7808" s="220">
        <f>SUM(X7808:Z7808)</f>
        <v>0</v>
      </c>
      <c r="AB7808" s="222"/>
    </row>
    <row r="7809" spans="1:28" ht="17.100000000000001" customHeight="1" thickBot="1">
      <c r="A7809" s="234"/>
      <c r="B7809" s="27" t="s">
        <v>15537</v>
      </c>
      <c r="C7809" s="27">
        <v>20060</v>
      </c>
      <c r="D7809" s="14" t="s">
        <v>2559</v>
      </c>
      <c r="E7809" s="229"/>
      <c r="F7809" s="117" t="s">
        <v>21537</v>
      </c>
      <c r="G7809" s="26">
        <v>58275</v>
      </c>
      <c r="H7809" s="231"/>
      <c r="I7809" s="221"/>
      <c r="J7809" s="221"/>
      <c r="K7809" s="221"/>
      <c r="L7809" s="221"/>
      <c r="M7809" s="221"/>
      <c r="N7809" s="221"/>
      <c r="O7809" s="225"/>
      <c r="P7809" s="118" t="s">
        <v>2446</v>
      </c>
      <c r="Q7809" s="16" t="s">
        <v>20</v>
      </c>
      <c r="R7809" s="17" t="s">
        <v>1780</v>
      </c>
      <c r="S7809" s="121" t="s">
        <v>3581</v>
      </c>
      <c r="T7809" s="122"/>
      <c r="U7809" s="22"/>
      <c r="V7809" s="123"/>
      <c r="W7809" s="122"/>
      <c r="X7809" s="221"/>
      <c r="Y7809" s="221"/>
      <c r="Z7809" s="221"/>
      <c r="AA7809" s="221"/>
      <c r="AB7809" s="223"/>
    </row>
    <row r="7810" spans="1:28" ht="17.100000000000001" customHeight="1" thickTop="1">
      <c r="A7810" s="226" t="s">
        <v>21529</v>
      </c>
      <c r="B7810" s="28">
        <v>46115</v>
      </c>
      <c r="C7810" s="25">
        <v>285</v>
      </c>
      <c r="D7810" s="13" t="s">
        <v>2288</v>
      </c>
      <c r="E7810" s="228"/>
      <c r="F7810" s="109" t="s">
        <v>21639</v>
      </c>
      <c r="G7810" s="24"/>
      <c r="H7810" s="230">
        <v>4.5</v>
      </c>
      <c r="I7810" s="220">
        <v>324000</v>
      </c>
      <c r="J7810" s="220">
        <f>I7810*0.1</f>
        <v>32400</v>
      </c>
      <c r="K7810" s="220">
        <v>0</v>
      </c>
      <c r="L7810" s="220">
        <v>9670</v>
      </c>
      <c r="M7810" s="220">
        <v>22000</v>
      </c>
      <c r="N7810" s="220">
        <f>SUM(I7810:M7811)</f>
        <v>388070</v>
      </c>
      <c r="O7810" s="224"/>
      <c r="P7810" s="110" t="s">
        <v>21943</v>
      </c>
      <c r="Q7810" s="15" t="s">
        <v>19</v>
      </c>
      <c r="R7810" s="205"/>
      <c r="S7810" s="189"/>
      <c r="T7810" s="114"/>
      <c r="U7810" s="21"/>
      <c r="V7810" s="115">
        <v>46127</v>
      </c>
      <c r="W7810" s="116">
        <v>1013</v>
      </c>
      <c r="X7810" s="220">
        <v>390000</v>
      </c>
      <c r="Y7810" s="220">
        <f>X7810*0.1</f>
        <v>39000</v>
      </c>
      <c r="Z7810" s="220">
        <v>9670</v>
      </c>
      <c r="AA7810" s="220">
        <f>SUM(X7810:Z7810)</f>
        <v>438670</v>
      </c>
      <c r="AB7810" s="222">
        <v>46132</v>
      </c>
    </row>
    <row r="7811" spans="1:28" ht="17.100000000000001" customHeight="1" thickBot="1">
      <c r="A7811" s="227"/>
      <c r="B7811" s="27" t="s">
        <v>15537</v>
      </c>
      <c r="C7811" s="27">
        <v>20084</v>
      </c>
      <c r="D7811" s="14" t="s">
        <v>1710</v>
      </c>
      <c r="E7811" s="229"/>
      <c r="F7811" s="117" t="s">
        <v>21538</v>
      </c>
      <c r="G7811" s="26">
        <v>19967</v>
      </c>
      <c r="H7811" s="231"/>
      <c r="I7811" s="221"/>
      <c r="J7811" s="221"/>
      <c r="K7811" s="221"/>
      <c r="L7811" s="221"/>
      <c r="M7811" s="221"/>
      <c r="N7811" s="221"/>
      <c r="O7811" s="225"/>
      <c r="P7811" s="118" t="s">
        <v>7414</v>
      </c>
      <c r="Q7811" s="16" t="s">
        <v>20</v>
      </c>
      <c r="R7811" s="17" t="s">
        <v>1780</v>
      </c>
      <c r="S7811" s="121"/>
      <c r="T7811" s="122"/>
      <c r="U7811" s="22"/>
      <c r="V7811" s="123" t="s">
        <v>2747</v>
      </c>
      <c r="W7811" s="122">
        <v>2057</v>
      </c>
      <c r="X7811" s="221"/>
      <c r="Y7811" s="221"/>
      <c r="Z7811" s="221"/>
      <c r="AA7811" s="221"/>
      <c r="AB7811" s="223"/>
    </row>
    <row r="7812" spans="1:28" ht="17.100000000000001" customHeight="1" thickTop="1">
      <c r="A7812" s="226" t="s">
        <v>21530</v>
      </c>
      <c r="B7812" s="28">
        <v>46115</v>
      </c>
      <c r="C7812" s="25">
        <v>285</v>
      </c>
      <c r="D7812" s="13" t="s">
        <v>1983</v>
      </c>
      <c r="E7812" s="228"/>
      <c r="F7812" s="109" t="s">
        <v>21638</v>
      </c>
      <c r="G7812" s="24"/>
      <c r="H7812" s="230">
        <v>4.5</v>
      </c>
      <c r="I7812" s="220">
        <v>1141000</v>
      </c>
      <c r="J7812" s="220">
        <f>I7812*0.1</f>
        <v>114100</v>
      </c>
      <c r="K7812" s="220">
        <v>0</v>
      </c>
      <c r="L7812" s="220">
        <v>11510</v>
      </c>
      <c r="M7812" s="220">
        <v>22000</v>
      </c>
      <c r="N7812" s="220">
        <f>SUM(I7812:M7813)</f>
        <v>1288610</v>
      </c>
      <c r="O7812" s="224"/>
      <c r="P7812" s="110" t="s">
        <v>21949</v>
      </c>
      <c r="Q7812" s="15" t="s">
        <v>19</v>
      </c>
      <c r="R7812" s="205"/>
      <c r="S7812" s="189" t="s">
        <v>25920</v>
      </c>
      <c r="T7812" s="114"/>
      <c r="U7812" s="21"/>
      <c r="V7812" s="115">
        <v>46127</v>
      </c>
      <c r="W7812" s="116">
        <v>1013</v>
      </c>
      <c r="X7812" s="220">
        <v>1195000</v>
      </c>
      <c r="Y7812" s="220">
        <f>X7812*0.1</f>
        <v>119500</v>
      </c>
      <c r="Z7812" s="220">
        <v>11510</v>
      </c>
      <c r="AA7812" s="220">
        <f>SUM(X7812:Z7812)</f>
        <v>1326010</v>
      </c>
      <c r="AB7812" s="222">
        <v>46132</v>
      </c>
    </row>
    <row r="7813" spans="1:28" ht="17.100000000000001" customHeight="1" thickBot="1">
      <c r="A7813" s="227"/>
      <c r="B7813" s="27" t="s">
        <v>15537</v>
      </c>
      <c r="C7813" s="27">
        <v>20097</v>
      </c>
      <c r="D7813" s="14" t="s">
        <v>2559</v>
      </c>
      <c r="E7813" s="229"/>
      <c r="F7813" s="117" t="s">
        <v>21539</v>
      </c>
      <c r="G7813" s="26">
        <v>41924</v>
      </c>
      <c r="H7813" s="231"/>
      <c r="I7813" s="221"/>
      <c r="J7813" s="221"/>
      <c r="K7813" s="221"/>
      <c r="L7813" s="221"/>
      <c r="M7813" s="221"/>
      <c r="N7813" s="221"/>
      <c r="O7813" s="225"/>
      <c r="P7813" s="118" t="s">
        <v>2446</v>
      </c>
      <c r="Q7813" s="16" t="s">
        <v>20</v>
      </c>
      <c r="R7813" s="17" t="s">
        <v>1780</v>
      </c>
      <c r="S7813" s="121" t="s">
        <v>1731</v>
      </c>
      <c r="T7813" s="122"/>
      <c r="U7813" s="22"/>
      <c r="V7813" s="123" t="s">
        <v>2747</v>
      </c>
      <c r="W7813" s="122">
        <v>6068</v>
      </c>
      <c r="X7813" s="221"/>
      <c r="Y7813" s="221"/>
      <c r="Z7813" s="221"/>
      <c r="AA7813" s="221"/>
      <c r="AB7813" s="223"/>
    </row>
    <row r="7814" spans="1:28" ht="17.100000000000001" customHeight="1" thickTop="1">
      <c r="A7814" s="233" t="s">
        <v>21531</v>
      </c>
      <c r="B7814" s="28">
        <v>46115</v>
      </c>
      <c r="C7814" s="25">
        <v>285</v>
      </c>
      <c r="D7814" s="13" t="s">
        <v>1887</v>
      </c>
      <c r="E7814" s="228"/>
      <c r="F7814" s="109" t="s">
        <v>21640</v>
      </c>
      <c r="G7814" s="24"/>
      <c r="H7814" s="230">
        <v>4.5</v>
      </c>
      <c r="I7814" s="220">
        <v>1269000</v>
      </c>
      <c r="J7814" s="220">
        <f>I7814*0.1</f>
        <v>126900</v>
      </c>
      <c r="K7814" s="220">
        <v>0</v>
      </c>
      <c r="L7814" s="220">
        <v>9450</v>
      </c>
      <c r="M7814" s="220">
        <v>22000</v>
      </c>
      <c r="N7814" s="220">
        <f>SUM(I7814:M7815)</f>
        <v>1427350</v>
      </c>
      <c r="O7814" s="224"/>
      <c r="P7814" s="110" t="s">
        <v>21950</v>
      </c>
      <c r="Q7814" s="15" t="s">
        <v>19</v>
      </c>
      <c r="R7814" s="205"/>
      <c r="S7814" s="189" t="s">
        <v>25921</v>
      </c>
      <c r="T7814" s="114" t="s">
        <v>22594</v>
      </c>
      <c r="U7814" s="21"/>
      <c r="V7814" s="115"/>
      <c r="W7814" s="116"/>
      <c r="X7814" s="220"/>
      <c r="Y7814" s="220">
        <f>X7814*0.1</f>
        <v>0</v>
      </c>
      <c r="Z7814" s="220"/>
      <c r="AA7814" s="220">
        <f>SUM(X7814:Z7814)</f>
        <v>0</v>
      </c>
      <c r="AB7814" s="222"/>
    </row>
    <row r="7815" spans="1:28" ht="17.100000000000001" customHeight="1" thickBot="1">
      <c r="A7815" s="234"/>
      <c r="B7815" s="27" t="s">
        <v>15537</v>
      </c>
      <c r="C7815" s="27">
        <v>20100</v>
      </c>
      <c r="D7815" s="14" t="s">
        <v>2559</v>
      </c>
      <c r="E7815" s="229"/>
      <c r="F7815" s="117" t="s">
        <v>21540</v>
      </c>
      <c r="G7815" s="26">
        <v>53906</v>
      </c>
      <c r="H7815" s="231"/>
      <c r="I7815" s="221"/>
      <c r="J7815" s="221"/>
      <c r="K7815" s="221"/>
      <c r="L7815" s="221"/>
      <c r="M7815" s="221"/>
      <c r="N7815" s="221"/>
      <c r="O7815" s="225"/>
      <c r="P7815" s="118" t="s">
        <v>2446</v>
      </c>
      <c r="Q7815" s="16" t="s">
        <v>20</v>
      </c>
      <c r="R7815" s="17" t="s">
        <v>1780</v>
      </c>
      <c r="S7815" s="121" t="s">
        <v>2025</v>
      </c>
      <c r="T7815" s="122"/>
      <c r="U7815" s="22"/>
      <c r="V7815" s="123"/>
      <c r="W7815" s="122"/>
      <c r="X7815" s="221"/>
      <c r="Y7815" s="221"/>
      <c r="Z7815" s="221"/>
      <c r="AA7815" s="221"/>
      <c r="AB7815" s="223"/>
    </row>
    <row r="7816" spans="1:28" ht="17.100000000000001" customHeight="1" thickTop="1">
      <c r="A7816" s="226" t="s">
        <v>21532</v>
      </c>
      <c r="B7816" s="28">
        <v>46115</v>
      </c>
      <c r="C7816" s="25">
        <v>285</v>
      </c>
      <c r="D7816" s="13" t="s">
        <v>1887</v>
      </c>
      <c r="E7816" s="228"/>
      <c r="F7816" s="109" t="s">
        <v>21640</v>
      </c>
      <c r="G7816" s="24"/>
      <c r="H7816" s="230">
        <v>4.5</v>
      </c>
      <c r="I7816" s="220">
        <v>1260000</v>
      </c>
      <c r="J7816" s="220">
        <f>I7816*0.1</f>
        <v>126000</v>
      </c>
      <c r="K7816" s="220">
        <v>0</v>
      </c>
      <c r="L7816" s="220">
        <v>9450</v>
      </c>
      <c r="M7816" s="220">
        <v>22000</v>
      </c>
      <c r="N7816" s="220">
        <f>SUM(I7816:M7817)</f>
        <v>1417450</v>
      </c>
      <c r="O7816" s="224"/>
      <c r="P7816" s="110" t="s">
        <v>21947</v>
      </c>
      <c r="Q7816" s="15" t="s">
        <v>19</v>
      </c>
      <c r="R7816" s="205"/>
      <c r="S7816" s="189" t="s">
        <v>25921</v>
      </c>
      <c r="T7816" s="114"/>
      <c r="U7816" s="21"/>
      <c r="V7816" s="115">
        <v>46162</v>
      </c>
      <c r="W7816" s="116">
        <v>1017</v>
      </c>
      <c r="X7816" s="220">
        <v>1235000</v>
      </c>
      <c r="Y7816" s="220">
        <f>X7816*0.1</f>
        <v>123500</v>
      </c>
      <c r="Z7816" s="220">
        <v>9450</v>
      </c>
      <c r="AA7816" s="220">
        <f>SUM(X7816:Z7816)</f>
        <v>1367950</v>
      </c>
      <c r="AB7816" s="222">
        <v>46167</v>
      </c>
    </row>
    <row r="7817" spans="1:28" ht="17.100000000000001" customHeight="1" thickBot="1">
      <c r="A7817" s="227"/>
      <c r="B7817" s="27" t="s">
        <v>15537</v>
      </c>
      <c r="C7817" s="27">
        <v>20104</v>
      </c>
      <c r="D7817" s="14" t="s">
        <v>2559</v>
      </c>
      <c r="E7817" s="229"/>
      <c r="F7817" s="117" t="s">
        <v>21541</v>
      </c>
      <c r="G7817" s="26">
        <v>59546</v>
      </c>
      <c r="H7817" s="231"/>
      <c r="I7817" s="221"/>
      <c r="J7817" s="221"/>
      <c r="K7817" s="221"/>
      <c r="L7817" s="221"/>
      <c r="M7817" s="221"/>
      <c r="N7817" s="221"/>
      <c r="O7817" s="225"/>
      <c r="P7817" s="118" t="s">
        <v>2446</v>
      </c>
      <c r="Q7817" s="16" t="s">
        <v>20</v>
      </c>
      <c r="R7817" s="17" t="s">
        <v>1780</v>
      </c>
      <c r="S7817" s="121" t="s">
        <v>2025</v>
      </c>
      <c r="T7817" s="122"/>
      <c r="U7817" s="22"/>
      <c r="V7817" s="123" t="s">
        <v>2747</v>
      </c>
      <c r="W7817" s="122">
        <v>6093</v>
      </c>
      <c r="X7817" s="221"/>
      <c r="Y7817" s="221"/>
      <c r="Z7817" s="221"/>
      <c r="AA7817" s="221"/>
      <c r="AB7817" s="223"/>
    </row>
    <row r="7818" spans="1:28" ht="17.100000000000001" customHeight="1" thickTop="1">
      <c r="A7818" s="226" t="s">
        <v>21533</v>
      </c>
      <c r="B7818" s="28">
        <v>46115</v>
      </c>
      <c r="C7818" s="25">
        <v>285</v>
      </c>
      <c r="D7818" s="13" t="s">
        <v>1887</v>
      </c>
      <c r="E7818" s="228"/>
      <c r="F7818" s="109" t="s">
        <v>21640</v>
      </c>
      <c r="G7818" s="24"/>
      <c r="H7818" s="230">
        <v>4.5</v>
      </c>
      <c r="I7818" s="220">
        <v>1272000</v>
      </c>
      <c r="J7818" s="220">
        <f>I7818*0.1</f>
        <v>127200</v>
      </c>
      <c r="K7818" s="220">
        <v>0</v>
      </c>
      <c r="L7818" s="220">
        <v>9450</v>
      </c>
      <c r="M7818" s="220">
        <v>22000</v>
      </c>
      <c r="N7818" s="220">
        <f>SUM(I7818:M7819)</f>
        <v>1430650</v>
      </c>
      <c r="O7818" s="224"/>
      <c r="P7818" s="110" t="s">
        <v>21934</v>
      </c>
      <c r="Q7818" s="15" t="s">
        <v>19</v>
      </c>
      <c r="R7818" s="205"/>
      <c r="S7818" s="189" t="s">
        <v>25921</v>
      </c>
      <c r="T7818" s="114"/>
      <c r="U7818" s="21"/>
      <c r="V7818" s="115">
        <v>46120</v>
      </c>
      <c r="W7818" s="116">
        <v>1012</v>
      </c>
      <c r="X7818" s="220">
        <v>1280000</v>
      </c>
      <c r="Y7818" s="220">
        <f>X7818*0.1</f>
        <v>128000</v>
      </c>
      <c r="Z7818" s="220">
        <v>9450</v>
      </c>
      <c r="AA7818" s="220">
        <f>SUM(X7818:Z7818)</f>
        <v>1417450</v>
      </c>
      <c r="AB7818" s="222">
        <v>46125</v>
      </c>
    </row>
    <row r="7819" spans="1:28" ht="17.100000000000001" customHeight="1" thickBot="1">
      <c r="A7819" s="227"/>
      <c r="B7819" s="27" t="s">
        <v>15537</v>
      </c>
      <c r="C7819" s="27">
        <v>20106</v>
      </c>
      <c r="D7819" s="14" t="s">
        <v>2559</v>
      </c>
      <c r="E7819" s="229"/>
      <c r="F7819" s="117" t="s">
        <v>21542</v>
      </c>
      <c r="G7819" s="26">
        <v>42085</v>
      </c>
      <c r="H7819" s="231"/>
      <c r="I7819" s="221"/>
      <c r="J7819" s="221"/>
      <c r="K7819" s="221"/>
      <c r="L7819" s="221"/>
      <c r="M7819" s="221"/>
      <c r="N7819" s="221"/>
      <c r="O7819" s="225"/>
      <c r="P7819" s="118" t="s">
        <v>2446</v>
      </c>
      <c r="Q7819" s="16" t="s">
        <v>20</v>
      </c>
      <c r="R7819" s="17" t="s">
        <v>1780</v>
      </c>
      <c r="S7819" s="121" t="s">
        <v>4035</v>
      </c>
      <c r="T7819" s="122"/>
      <c r="U7819" s="22"/>
      <c r="V7819" s="123" t="s">
        <v>2747</v>
      </c>
      <c r="W7819" s="122">
        <v>5133</v>
      </c>
      <c r="X7819" s="221"/>
      <c r="Y7819" s="221"/>
      <c r="Z7819" s="221"/>
      <c r="AA7819" s="221"/>
      <c r="AB7819" s="223"/>
    </row>
    <row r="7820" spans="1:28" ht="17.100000000000001" customHeight="1" thickTop="1">
      <c r="A7820" s="233" t="s">
        <v>21546</v>
      </c>
      <c r="B7820" s="28">
        <v>46115</v>
      </c>
      <c r="C7820" s="25">
        <v>285</v>
      </c>
      <c r="D7820" s="13" t="s">
        <v>1887</v>
      </c>
      <c r="E7820" s="228"/>
      <c r="F7820" s="109" t="s">
        <v>21589</v>
      </c>
      <c r="G7820" s="24"/>
      <c r="H7820" s="230">
        <v>4</v>
      </c>
      <c r="I7820" s="220">
        <v>1267000</v>
      </c>
      <c r="J7820" s="220">
        <f>I7820*0.1</f>
        <v>126700</v>
      </c>
      <c r="K7820" s="220">
        <v>0</v>
      </c>
      <c r="L7820" s="220">
        <v>10720</v>
      </c>
      <c r="M7820" s="220">
        <v>22000</v>
      </c>
      <c r="N7820" s="220">
        <f>SUM(I7820:M7821)</f>
        <v>1426420</v>
      </c>
      <c r="O7820" s="224"/>
      <c r="P7820" s="110" t="s">
        <v>21946</v>
      </c>
      <c r="Q7820" s="15" t="s">
        <v>19</v>
      </c>
      <c r="R7820" s="205"/>
      <c r="S7820" s="189" t="s">
        <v>25921</v>
      </c>
      <c r="T7820" s="114" t="s">
        <v>23345</v>
      </c>
      <c r="U7820" s="21"/>
      <c r="V7820" s="115"/>
      <c r="W7820" s="116"/>
      <c r="X7820" s="220"/>
      <c r="Y7820" s="220">
        <f>X7820*0.1</f>
        <v>0</v>
      </c>
      <c r="Z7820" s="220"/>
      <c r="AA7820" s="220">
        <f>SUM(X7820:Z7820)</f>
        <v>0</v>
      </c>
      <c r="AB7820" s="222"/>
    </row>
    <row r="7821" spans="1:28" ht="17.100000000000001" customHeight="1" thickBot="1">
      <c r="A7821" s="234"/>
      <c r="B7821" s="27" t="s">
        <v>15537</v>
      </c>
      <c r="C7821" s="27">
        <v>20107</v>
      </c>
      <c r="D7821" s="14" t="s">
        <v>1710</v>
      </c>
      <c r="E7821" s="229"/>
      <c r="F7821" s="117" t="s">
        <v>21543</v>
      </c>
      <c r="G7821" s="26">
        <v>37393</v>
      </c>
      <c r="H7821" s="231"/>
      <c r="I7821" s="221"/>
      <c r="J7821" s="221"/>
      <c r="K7821" s="221"/>
      <c r="L7821" s="221"/>
      <c r="M7821" s="221"/>
      <c r="N7821" s="221"/>
      <c r="O7821" s="225"/>
      <c r="P7821" s="118" t="s">
        <v>2446</v>
      </c>
      <c r="Q7821" s="16" t="s">
        <v>20</v>
      </c>
      <c r="R7821" s="17" t="s">
        <v>1780</v>
      </c>
      <c r="S7821" s="121" t="s">
        <v>2025</v>
      </c>
      <c r="T7821" s="122"/>
      <c r="U7821" s="22"/>
      <c r="V7821" s="123"/>
      <c r="W7821" s="122"/>
      <c r="X7821" s="221"/>
      <c r="Y7821" s="221"/>
      <c r="Z7821" s="221"/>
      <c r="AA7821" s="221"/>
      <c r="AB7821" s="223"/>
    </row>
    <row r="7822" spans="1:28" ht="17.100000000000001" customHeight="1" thickTop="1">
      <c r="A7822" s="226" t="s">
        <v>21547</v>
      </c>
      <c r="B7822" s="28">
        <v>46115</v>
      </c>
      <c r="C7822" s="25">
        <v>285</v>
      </c>
      <c r="D7822" s="13" t="s">
        <v>1983</v>
      </c>
      <c r="E7822" s="228"/>
      <c r="F7822" s="109" t="s">
        <v>21638</v>
      </c>
      <c r="G7822" s="24"/>
      <c r="H7822" s="230">
        <v>4.5</v>
      </c>
      <c r="I7822" s="220">
        <v>1086000</v>
      </c>
      <c r="J7822" s="220">
        <f>I7822*0.1</f>
        <v>108600</v>
      </c>
      <c r="K7822" s="220">
        <v>0</v>
      </c>
      <c r="L7822" s="220">
        <v>11510</v>
      </c>
      <c r="M7822" s="220">
        <v>22000</v>
      </c>
      <c r="N7822" s="220">
        <f>SUM(I7822:M7823)</f>
        <v>1228110</v>
      </c>
      <c r="O7822" s="224"/>
      <c r="P7822" s="110" t="s">
        <v>21948</v>
      </c>
      <c r="Q7822" s="15" t="s">
        <v>19</v>
      </c>
      <c r="R7822" s="205"/>
      <c r="S7822" s="189" t="s">
        <v>25920</v>
      </c>
      <c r="T7822" s="114"/>
      <c r="U7822" s="21"/>
      <c r="V7822" s="115">
        <v>46127</v>
      </c>
      <c r="W7822" s="116">
        <v>1013</v>
      </c>
      <c r="X7822" s="220">
        <v>1160000</v>
      </c>
      <c r="Y7822" s="220">
        <f>X7822*0.1</f>
        <v>116000</v>
      </c>
      <c r="Z7822" s="220">
        <v>11510</v>
      </c>
      <c r="AA7822" s="220">
        <f>SUM(X7822:Z7822)</f>
        <v>1287510</v>
      </c>
      <c r="AB7822" s="222">
        <v>46132</v>
      </c>
    </row>
    <row r="7823" spans="1:28" ht="17.100000000000001" customHeight="1" thickBot="1">
      <c r="A7823" s="227"/>
      <c r="B7823" s="27" t="s">
        <v>15537</v>
      </c>
      <c r="C7823" s="27">
        <v>20114</v>
      </c>
      <c r="D7823" s="14" t="s">
        <v>2559</v>
      </c>
      <c r="E7823" s="229"/>
      <c r="F7823" s="117" t="s">
        <v>21544</v>
      </c>
      <c r="G7823" s="26">
        <v>58670</v>
      </c>
      <c r="H7823" s="231"/>
      <c r="I7823" s="221"/>
      <c r="J7823" s="221"/>
      <c r="K7823" s="221"/>
      <c r="L7823" s="221"/>
      <c r="M7823" s="221"/>
      <c r="N7823" s="221"/>
      <c r="O7823" s="225"/>
      <c r="P7823" s="118" t="s">
        <v>2446</v>
      </c>
      <c r="Q7823" s="16" t="s">
        <v>20</v>
      </c>
      <c r="R7823" s="17" t="s">
        <v>1780</v>
      </c>
      <c r="S7823" s="121" t="s">
        <v>1731</v>
      </c>
      <c r="T7823" s="122"/>
      <c r="U7823" s="22"/>
      <c r="V7823" s="123" t="s">
        <v>2747</v>
      </c>
      <c r="W7823" s="122">
        <v>6077</v>
      </c>
      <c r="X7823" s="221"/>
      <c r="Y7823" s="221"/>
      <c r="Z7823" s="221"/>
      <c r="AA7823" s="221"/>
      <c r="AB7823" s="223"/>
    </row>
    <row r="7824" spans="1:28" ht="17.100000000000001" customHeight="1" thickTop="1">
      <c r="A7824" s="226" t="s">
        <v>21548</v>
      </c>
      <c r="B7824" s="28">
        <v>46115</v>
      </c>
      <c r="C7824" s="25">
        <v>285</v>
      </c>
      <c r="D7824" s="13" t="s">
        <v>1887</v>
      </c>
      <c r="E7824" s="228"/>
      <c r="F7824" s="109" t="s">
        <v>7072</v>
      </c>
      <c r="G7824" s="24"/>
      <c r="H7824" s="230">
        <v>4</v>
      </c>
      <c r="I7824" s="220">
        <v>1276000</v>
      </c>
      <c r="J7824" s="220">
        <f>I7824*0.1</f>
        <v>127600</v>
      </c>
      <c r="K7824" s="220">
        <v>0</v>
      </c>
      <c r="L7824" s="220">
        <v>10720</v>
      </c>
      <c r="M7824" s="220">
        <v>22000</v>
      </c>
      <c r="N7824" s="220">
        <f>SUM(I7824:M7825)</f>
        <v>1436320</v>
      </c>
      <c r="O7824" s="224"/>
      <c r="P7824" s="110" t="s">
        <v>21932</v>
      </c>
      <c r="Q7824" s="15" t="s">
        <v>19</v>
      </c>
      <c r="R7824" s="205"/>
      <c r="S7824" s="189" t="s">
        <v>25921</v>
      </c>
      <c r="T7824" s="114"/>
      <c r="U7824" s="21"/>
      <c r="V7824" s="115">
        <v>46120</v>
      </c>
      <c r="W7824" s="116">
        <v>1012</v>
      </c>
      <c r="X7824" s="220">
        <v>1355000</v>
      </c>
      <c r="Y7824" s="220">
        <f>X7824*0.1</f>
        <v>135500</v>
      </c>
      <c r="Z7824" s="220">
        <v>10720</v>
      </c>
      <c r="AA7824" s="220">
        <f>SUM(X7824:Z7824)</f>
        <v>1501220</v>
      </c>
      <c r="AB7824" s="222">
        <v>46125</v>
      </c>
    </row>
    <row r="7825" spans="1:28" ht="17.100000000000001" customHeight="1" thickBot="1">
      <c r="A7825" s="227"/>
      <c r="B7825" s="27" t="s">
        <v>15537</v>
      </c>
      <c r="C7825" s="27">
        <v>20140</v>
      </c>
      <c r="D7825" s="14" t="s">
        <v>2559</v>
      </c>
      <c r="E7825" s="229"/>
      <c r="F7825" s="117" t="s">
        <v>21545</v>
      </c>
      <c r="G7825" s="26">
        <v>40017</v>
      </c>
      <c r="H7825" s="231"/>
      <c r="I7825" s="221"/>
      <c r="J7825" s="221"/>
      <c r="K7825" s="221"/>
      <c r="L7825" s="221"/>
      <c r="M7825" s="221"/>
      <c r="N7825" s="221"/>
      <c r="O7825" s="225"/>
      <c r="P7825" s="118" t="s">
        <v>2446</v>
      </c>
      <c r="Q7825" s="16" t="s">
        <v>20</v>
      </c>
      <c r="R7825" s="17" t="s">
        <v>1780</v>
      </c>
      <c r="S7825" s="121" t="s">
        <v>2325</v>
      </c>
      <c r="T7825" s="122"/>
      <c r="U7825" s="22"/>
      <c r="V7825" s="123" t="s">
        <v>2747</v>
      </c>
      <c r="W7825" s="122">
        <v>5130</v>
      </c>
      <c r="X7825" s="221"/>
      <c r="Y7825" s="221"/>
      <c r="Z7825" s="221"/>
      <c r="AA7825" s="221"/>
      <c r="AB7825" s="223"/>
    </row>
    <row r="7826" spans="1:28" ht="17.100000000000001" customHeight="1" thickTop="1">
      <c r="A7826" s="226" t="s">
        <v>21549</v>
      </c>
      <c r="B7826" s="28">
        <v>46115</v>
      </c>
      <c r="C7826" s="25"/>
      <c r="D7826" s="13" t="s">
        <v>2690</v>
      </c>
      <c r="E7826" s="228"/>
      <c r="F7826" s="109" t="s">
        <v>21603</v>
      </c>
      <c r="G7826" s="24" t="s">
        <v>21604</v>
      </c>
      <c r="H7826" s="230">
        <v>4.5</v>
      </c>
      <c r="I7826" s="220">
        <v>3060000</v>
      </c>
      <c r="J7826" s="220">
        <f>I7826*0.1</f>
        <v>306000</v>
      </c>
      <c r="K7826" s="220">
        <v>33000</v>
      </c>
      <c r="L7826" s="220">
        <v>11110</v>
      </c>
      <c r="M7826" s="220">
        <v>0</v>
      </c>
      <c r="N7826" s="220">
        <f>SUM(I7826:M7827)</f>
        <v>3410110</v>
      </c>
      <c r="O7826" s="224"/>
      <c r="P7826" s="110" t="s">
        <v>23233</v>
      </c>
      <c r="Q7826" s="15" t="s">
        <v>19</v>
      </c>
      <c r="R7826" s="205"/>
      <c r="S7826" s="189" t="s">
        <v>283</v>
      </c>
      <c r="T7826" s="114"/>
      <c r="U7826" s="21"/>
      <c r="V7826" s="115">
        <v>46155</v>
      </c>
      <c r="W7826" s="116">
        <v>1016</v>
      </c>
      <c r="X7826" s="220">
        <v>3110000</v>
      </c>
      <c r="Y7826" s="220">
        <f>X7826*0.1</f>
        <v>311000</v>
      </c>
      <c r="Z7826" s="220">
        <v>11110</v>
      </c>
      <c r="AA7826" s="220">
        <f>SUM(X7826:Z7826)</f>
        <v>3432110</v>
      </c>
      <c r="AB7826" s="222">
        <v>46161</v>
      </c>
    </row>
    <row r="7827" spans="1:28" ht="17.100000000000001" customHeight="1" thickBot="1">
      <c r="A7827" s="227"/>
      <c r="B7827" s="27" t="s">
        <v>1708</v>
      </c>
      <c r="C7827" s="27" t="s">
        <v>21570</v>
      </c>
      <c r="D7827" s="14" t="s">
        <v>273</v>
      </c>
      <c r="E7827" s="229"/>
      <c r="F7827" s="117" t="s">
        <v>21571</v>
      </c>
      <c r="G7827" s="26">
        <v>31284</v>
      </c>
      <c r="H7827" s="231"/>
      <c r="I7827" s="221"/>
      <c r="J7827" s="221"/>
      <c r="K7827" s="221"/>
      <c r="L7827" s="221"/>
      <c r="M7827" s="221"/>
      <c r="N7827" s="221"/>
      <c r="O7827" s="225"/>
      <c r="P7827" s="118" t="s">
        <v>23234</v>
      </c>
      <c r="Q7827" s="16" t="s">
        <v>20</v>
      </c>
      <c r="R7827" s="17" t="s">
        <v>23208</v>
      </c>
      <c r="S7827" s="121" t="s">
        <v>24804</v>
      </c>
      <c r="T7827" s="122"/>
      <c r="U7827" s="22"/>
      <c r="V7827" s="123" t="s">
        <v>2747</v>
      </c>
      <c r="W7827" s="122">
        <v>1063</v>
      </c>
      <c r="X7827" s="221"/>
      <c r="Y7827" s="221"/>
      <c r="Z7827" s="221"/>
      <c r="AA7827" s="221"/>
      <c r="AB7827" s="223"/>
    </row>
    <row r="7828" spans="1:28" ht="17.100000000000001" customHeight="1" thickTop="1">
      <c r="A7828" s="226" t="s">
        <v>21550</v>
      </c>
      <c r="B7828" s="28">
        <v>46115</v>
      </c>
      <c r="C7828" s="25"/>
      <c r="D7828" s="13" t="s">
        <v>1788</v>
      </c>
      <c r="E7828" s="228"/>
      <c r="F7828" s="109" t="s">
        <v>21605</v>
      </c>
      <c r="G7828" s="24" t="s">
        <v>21606</v>
      </c>
      <c r="H7828" s="230">
        <v>4</v>
      </c>
      <c r="I7828" s="220">
        <v>2450000</v>
      </c>
      <c r="J7828" s="220">
        <f>I7828*0.1</f>
        <v>245000</v>
      </c>
      <c r="K7828" s="220">
        <v>46700</v>
      </c>
      <c r="L7828" s="220">
        <v>17850</v>
      </c>
      <c r="M7828" s="220">
        <v>0</v>
      </c>
      <c r="N7828" s="220">
        <f>SUM(I7828:M7829)</f>
        <v>2759550</v>
      </c>
      <c r="O7828" s="224"/>
      <c r="P7828" s="110" t="s">
        <v>22629</v>
      </c>
      <c r="Q7828" s="15" t="s">
        <v>19</v>
      </c>
      <c r="R7828" s="205"/>
      <c r="S7828" s="189" t="s">
        <v>758</v>
      </c>
      <c r="T7828" s="114"/>
      <c r="U7828" s="21"/>
      <c r="V7828" s="115"/>
      <c r="W7828" s="116"/>
      <c r="X7828" s="220"/>
      <c r="Y7828" s="220">
        <f>X7828*0.1</f>
        <v>0</v>
      </c>
      <c r="Z7828" s="220"/>
      <c r="AA7828" s="220">
        <f>SUM(X7828:Z7828)</f>
        <v>0</v>
      </c>
      <c r="AB7828" s="222"/>
    </row>
    <row r="7829" spans="1:28" ht="17.100000000000001" customHeight="1" thickBot="1">
      <c r="A7829" s="227"/>
      <c r="B7829" s="27" t="s">
        <v>1708</v>
      </c>
      <c r="C7829" s="27" t="s">
        <v>21572</v>
      </c>
      <c r="D7829" s="14" t="s">
        <v>898</v>
      </c>
      <c r="E7829" s="229"/>
      <c r="F7829" s="117" t="s">
        <v>21573</v>
      </c>
      <c r="G7829" s="26">
        <v>49909</v>
      </c>
      <c r="H7829" s="231"/>
      <c r="I7829" s="221"/>
      <c r="J7829" s="221"/>
      <c r="K7829" s="221"/>
      <c r="L7829" s="221"/>
      <c r="M7829" s="221"/>
      <c r="N7829" s="221"/>
      <c r="O7829" s="225"/>
      <c r="P7829" s="118" t="s">
        <v>22630</v>
      </c>
      <c r="Q7829" s="16" t="s">
        <v>20</v>
      </c>
      <c r="R7829" s="17" t="s">
        <v>1930</v>
      </c>
      <c r="S7829" s="121" t="s">
        <v>22631</v>
      </c>
      <c r="T7829" s="122"/>
      <c r="U7829" s="22"/>
      <c r="V7829" s="123"/>
      <c r="W7829" s="122"/>
      <c r="X7829" s="221"/>
      <c r="Y7829" s="221"/>
      <c r="Z7829" s="221"/>
      <c r="AA7829" s="221"/>
      <c r="AB7829" s="223"/>
    </row>
    <row r="7830" spans="1:28" ht="17.100000000000001" customHeight="1" thickTop="1">
      <c r="A7830" s="226" t="s">
        <v>21551</v>
      </c>
      <c r="B7830" s="28">
        <v>46115</v>
      </c>
      <c r="C7830" s="25"/>
      <c r="D7830" s="13" t="s">
        <v>4213</v>
      </c>
      <c r="E7830" s="228"/>
      <c r="F7830" s="109" t="s">
        <v>21607</v>
      </c>
      <c r="G7830" s="24" t="s">
        <v>4615</v>
      </c>
      <c r="H7830" s="230">
        <v>4.5</v>
      </c>
      <c r="I7830" s="220">
        <v>1910000</v>
      </c>
      <c r="J7830" s="220">
        <f>I7830*0.1</f>
        <v>191000</v>
      </c>
      <c r="K7830" s="220">
        <v>27900</v>
      </c>
      <c r="L7830" s="220">
        <v>11510</v>
      </c>
      <c r="M7830" s="220">
        <v>0</v>
      </c>
      <c r="N7830" s="220">
        <f>SUM(I7830:M7831)</f>
        <v>2140410</v>
      </c>
      <c r="O7830" s="224"/>
      <c r="P7830" s="110" t="s">
        <v>23532</v>
      </c>
      <c r="Q7830" s="15" t="s">
        <v>19</v>
      </c>
      <c r="R7830" s="205"/>
      <c r="S7830" s="189" t="s">
        <v>283</v>
      </c>
      <c r="T7830" s="114"/>
      <c r="U7830" s="21"/>
      <c r="V7830" s="115">
        <v>46130</v>
      </c>
      <c r="W7830" s="116">
        <v>1297</v>
      </c>
      <c r="X7830" s="220">
        <v>1995000</v>
      </c>
      <c r="Y7830" s="220">
        <f>X7830*0.1</f>
        <v>199500</v>
      </c>
      <c r="Z7830" s="220">
        <v>11510</v>
      </c>
      <c r="AA7830" s="220">
        <f>SUM(X7830:Z7830)</f>
        <v>2206010</v>
      </c>
      <c r="AB7830" s="222">
        <v>46136</v>
      </c>
    </row>
    <row r="7831" spans="1:28" ht="17.100000000000001" customHeight="1" thickBot="1">
      <c r="A7831" s="227"/>
      <c r="B7831" s="27" t="s">
        <v>1708</v>
      </c>
      <c r="C7831" s="27" t="s">
        <v>21574</v>
      </c>
      <c r="D7831" s="14" t="s">
        <v>2559</v>
      </c>
      <c r="E7831" s="229"/>
      <c r="F7831" s="117" t="s">
        <v>21575</v>
      </c>
      <c r="G7831" s="26">
        <v>18213</v>
      </c>
      <c r="H7831" s="231"/>
      <c r="I7831" s="221"/>
      <c r="J7831" s="221"/>
      <c r="K7831" s="221"/>
      <c r="L7831" s="221"/>
      <c r="M7831" s="221"/>
      <c r="N7831" s="221"/>
      <c r="O7831" s="225"/>
      <c r="P7831" s="118" t="s">
        <v>23533</v>
      </c>
      <c r="Q7831" s="16" t="s">
        <v>20</v>
      </c>
      <c r="R7831" s="17" t="s">
        <v>23474</v>
      </c>
      <c r="S7831" s="121" t="s">
        <v>23534</v>
      </c>
      <c r="T7831" s="122"/>
      <c r="U7831" s="22"/>
      <c r="V7831" s="123" t="s">
        <v>2472</v>
      </c>
      <c r="W7831" s="122">
        <v>37845</v>
      </c>
      <c r="X7831" s="221"/>
      <c r="Y7831" s="221"/>
      <c r="Z7831" s="221"/>
      <c r="AA7831" s="221"/>
      <c r="AB7831" s="223"/>
    </row>
    <row r="7832" spans="1:28" ht="17.100000000000001" customHeight="1" thickTop="1">
      <c r="A7832" s="226" t="s">
        <v>21552</v>
      </c>
      <c r="B7832" s="28">
        <v>46115</v>
      </c>
      <c r="C7832" s="25"/>
      <c r="D7832" s="13" t="s">
        <v>3332</v>
      </c>
      <c r="E7832" s="228"/>
      <c r="F7832" s="109" t="s">
        <v>17423</v>
      </c>
      <c r="G7832" s="24" t="s">
        <v>21608</v>
      </c>
      <c r="H7832" s="230">
        <v>4</v>
      </c>
      <c r="I7832" s="220">
        <v>1695000</v>
      </c>
      <c r="J7832" s="220">
        <f>I7832*0.1</f>
        <v>169500</v>
      </c>
      <c r="K7832" s="220">
        <v>27900</v>
      </c>
      <c r="L7832" s="220">
        <v>17930</v>
      </c>
      <c r="M7832" s="220">
        <v>0</v>
      </c>
      <c r="N7832" s="220">
        <f>SUM(I7832:M7833)</f>
        <v>1910330</v>
      </c>
      <c r="O7832" s="224"/>
      <c r="P7832" s="110" t="s">
        <v>22852</v>
      </c>
      <c r="Q7832" s="15" t="s">
        <v>19</v>
      </c>
      <c r="R7832" s="205"/>
      <c r="S7832" s="189" t="s">
        <v>283</v>
      </c>
      <c r="T7832" s="114"/>
      <c r="U7832" s="21"/>
      <c r="V7832" s="115"/>
      <c r="W7832" s="116"/>
      <c r="X7832" s="220"/>
      <c r="Y7832" s="220">
        <f>X7832*0.1</f>
        <v>0</v>
      </c>
      <c r="Z7832" s="220"/>
      <c r="AA7832" s="220">
        <f>SUM(X7832:Z7832)</f>
        <v>0</v>
      </c>
      <c r="AB7832" s="222"/>
    </row>
    <row r="7833" spans="1:28" ht="17.100000000000001" customHeight="1" thickBot="1">
      <c r="A7833" s="227"/>
      <c r="B7833" s="27" t="s">
        <v>1708</v>
      </c>
      <c r="C7833" s="27" t="s">
        <v>21576</v>
      </c>
      <c r="D7833" s="14" t="s">
        <v>1584</v>
      </c>
      <c r="E7833" s="229"/>
      <c r="F7833" s="117" t="s">
        <v>21577</v>
      </c>
      <c r="G7833" s="26">
        <v>32206</v>
      </c>
      <c r="H7833" s="231"/>
      <c r="I7833" s="221"/>
      <c r="J7833" s="221"/>
      <c r="K7833" s="221"/>
      <c r="L7833" s="221"/>
      <c r="M7833" s="221"/>
      <c r="N7833" s="221"/>
      <c r="O7833" s="225"/>
      <c r="P7833" s="118" t="s">
        <v>22853</v>
      </c>
      <c r="Q7833" s="16" t="s">
        <v>20</v>
      </c>
      <c r="R7833" s="17" t="s">
        <v>3650</v>
      </c>
      <c r="S7833" s="121" t="s">
        <v>1731</v>
      </c>
      <c r="T7833" s="122"/>
      <c r="U7833" s="22"/>
      <c r="V7833" s="123"/>
      <c r="W7833" s="122"/>
      <c r="X7833" s="221"/>
      <c r="Y7833" s="221"/>
      <c r="Z7833" s="221"/>
      <c r="AA7833" s="221"/>
      <c r="AB7833" s="223"/>
    </row>
    <row r="7834" spans="1:28" ht="17.100000000000001" customHeight="1" thickTop="1">
      <c r="A7834" s="226" t="s">
        <v>21553</v>
      </c>
      <c r="B7834" s="28">
        <v>46115</v>
      </c>
      <c r="C7834" s="25"/>
      <c r="D7834" s="13" t="s">
        <v>1531</v>
      </c>
      <c r="E7834" s="228"/>
      <c r="F7834" s="109" t="s">
        <v>15904</v>
      </c>
      <c r="G7834" s="24" t="s">
        <v>5358</v>
      </c>
      <c r="H7834" s="230">
        <v>4</v>
      </c>
      <c r="I7834" s="220">
        <v>539000</v>
      </c>
      <c r="J7834" s="220">
        <f>I7834*0.1</f>
        <v>53900</v>
      </c>
      <c r="K7834" s="220">
        <v>0</v>
      </c>
      <c r="L7834" s="220">
        <v>8850</v>
      </c>
      <c r="M7834" s="220">
        <v>0</v>
      </c>
      <c r="N7834" s="220">
        <f>SUM(I7834:M7835)</f>
        <v>601750</v>
      </c>
      <c r="O7834" s="224"/>
      <c r="P7834" s="110" t="s">
        <v>24833</v>
      </c>
      <c r="Q7834" s="15" t="s">
        <v>19</v>
      </c>
      <c r="R7834" s="205"/>
      <c r="S7834" s="189" t="s">
        <v>283</v>
      </c>
      <c r="T7834" s="114"/>
      <c r="U7834" s="21"/>
      <c r="V7834" s="115">
        <v>46165</v>
      </c>
      <c r="W7834" s="116">
        <v>1301</v>
      </c>
      <c r="X7834" s="220">
        <v>595000</v>
      </c>
      <c r="Y7834" s="220">
        <f>X7834*0.1</f>
        <v>59500</v>
      </c>
      <c r="Z7834" s="220">
        <v>8850</v>
      </c>
      <c r="AA7834" s="220">
        <f>SUM(X7834:Z7834)</f>
        <v>663350</v>
      </c>
      <c r="AB7834" s="222">
        <v>46168</v>
      </c>
    </row>
    <row r="7835" spans="1:28" ht="17.100000000000001" customHeight="1" thickBot="1">
      <c r="A7835" s="227"/>
      <c r="B7835" s="27" t="s">
        <v>1708</v>
      </c>
      <c r="C7835" s="27" t="s">
        <v>21578</v>
      </c>
      <c r="D7835" s="14" t="s">
        <v>2014</v>
      </c>
      <c r="E7835" s="229"/>
      <c r="F7835" s="117" t="s">
        <v>21579</v>
      </c>
      <c r="G7835" s="26">
        <v>58586</v>
      </c>
      <c r="H7835" s="231"/>
      <c r="I7835" s="221"/>
      <c r="J7835" s="221"/>
      <c r="K7835" s="221"/>
      <c r="L7835" s="221"/>
      <c r="M7835" s="221"/>
      <c r="N7835" s="221"/>
      <c r="O7835" s="225"/>
      <c r="P7835" s="118" t="s">
        <v>24834</v>
      </c>
      <c r="Q7835" s="16" t="s">
        <v>20</v>
      </c>
      <c r="R7835" s="17" t="s">
        <v>2377</v>
      </c>
      <c r="S7835" s="121" t="s">
        <v>169</v>
      </c>
      <c r="T7835" s="122"/>
      <c r="U7835" s="22"/>
      <c r="V7835" s="123" t="s">
        <v>2472</v>
      </c>
      <c r="W7835" s="122">
        <v>65175</v>
      </c>
      <c r="X7835" s="221"/>
      <c r="Y7835" s="221"/>
      <c r="Z7835" s="221"/>
      <c r="AA7835" s="221"/>
      <c r="AB7835" s="223"/>
    </row>
    <row r="7836" spans="1:28" ht="17.100000000000001" customHeight="1" thickTop="1">
      <c r="A7836" s="226" t="s">
        <v>21554</v>
      </c>
      <c r="B7836" s="28">
        <v>46115</v>
      </c>
      <c r="C7836" s="25"/>
      <c r="D7836" s="13" t="s">
        <v>2470</v>
      </c>
      <c r="E7836" s="228"/>
      <c r="F7836" s="109" t="s">
        <v>21609</v>
      </c>
      <c r="G7836" s="24" t="s">
        <v>5007</v>
      </c>
      <c r="H7836" s="230">
        <v>5</v>
      </c>
      <c r="I7836" s="220">
        <v>4210000</v>
      </c>
      <c r="J7836" s="220">
        <f>I7836*0.1</f>
        <v>421000</v>
      </c>
      <c r="K7836" s="220">
        <v>14600</v>
      </c>
      <c r="L7836" s="220">
        <v>11570</v>
      </c>
      <c r="M7836" s="220">
        <v>0</v>
      </c>
      <c r="N7836" s="220">
        <f>SUM(I7836:M7837)</f>
        <v>4657170</v>
      </c>
      <c r="O7836" s="224"/>
      <c r="P7836" s="110" t="s">
        <v>22703</v>
      </c>
      <c r="Q7836" s="15" t="s">
        <v>19</v>
      </c>
      <c r="R7836" s="205"/>
      <c r="S7836" s="189" t="s">
        <v>25507</v>
      </c>
      <c r="T7836" s="114"/>
      <c r="U7836" s="21"/>
      <c r="V7836" s="115">
        <v>46141</v>
      </c>
      <c r="W7836" s="116">
        <v>1015</v>
      </c>
      <c r="X7836" s="220">
        <v>4015000</v>
      </c>
      <c r="Y7836" s="220">
        <f>X7836*0.1</f>
        <v>401500</v>
      </c>
      <c r="Z7836" s="220">
        <v>11570</v>
      </c>
      <c r="AA7836" s="220">
        <f>SUM(X7836:Z7836)</f>
        <v>4428070</v>
      </c>
      <c r="AB7836" s="222">
        <v>46153</v>
      </c>
    </row>
    <row r="7837" spans="1:28" ht="17.100000000000001" customHeight="1" thickBot="1">
      <c r="A7837" s="227"/>
      <c r="B7837" s="27" t="s">
        <v>1708</v>
      </c>
      <c r="C7837" s="27" t="s">
        <v>21580</v>
      </c>
      <c r="D7837" s="14" t="s">
        <v>1584</v>
      </c>
      <c r="E7837" s="229"/>
      <c r="F7837" s="117" t="s">
        <v>21581</v>
      </c>
      <c r="G7837" s="26">
        <v>3648</v>
      </c>
      <c r="H7837" s="231"/>
      <c r="I7837" s="221"/>
      <c r="J7837" s="221"/>
      <c r="K7837" s="221"/>
      <c r="L7837" s="221"/>
      <c r="M7837" s="221"/>
      <c r="N7837" s="221"/>
      <c r="O7837" s="225"/>
      <c r="P7837" s="118" t="s">
        <v>22704</v>
      </c>
      <c r="Q7837" s="16" t="s">
        <v>20</v>
      </c>
      <c r="R7837" s="17" t="s">
        <v>22705</v>
      </c>
      <c r="S7837" s="121" t="s">
        <v>23507</v>
      </c>
      <c r="T7837" s="122"/>
      <c r="U7837" s="22"/>
      <c r="V7837" s="123" t="s">
        <v>2747</v>
      </c>
      <c r="W7837" s="122">
        <v>4005</v>
      </c>
      <c r="X7837" s="221"/>
      <c r="Y7837" s="221"/>
      <c r="Z7837" s="221"/>
      <c r="AA7837" s="221"/>
      <c r="AB7837" s="223"/>
    </row>
    <row r="7838" spans="1:28" ht="17.100000000000001" customHeight="1" thickTop="1">
      <c r="A7838" s="226" t="s">
        <v>21555</v>
      </c>
      <c r="B7838" s="28">
        <v>46115</v>
      </c>
      <c r="C7838" s="25">
        <v>2241</v>
      </c>
      <c r="D7838" s="13" t="s">
        <v>1883</v>
      </c>
      <c r="E7838" s="228"/>
      <c r="F7838" s="109" t="s">
        <v>15707</v>
      </c>
      <c r="G7838" s="24"/>
      <c r="H7838" s="230">
        <v>4.5</v>
      </c>
      <c r="I7838" s="220">
        <v>2553000</v>
      </c>
      <c r="J7838" s="220">
        <f>I7838*0.1</f>
        <v>255300</v>
      </c>
      <c r="K7838" s="220">
        <v>0</v>
      </c>
      <c r="L7838" s="220">
        <v>16240</v>
      </c>
      <c r="M7838" s="220">
        <v>14300</v>
      </c>
      <c r="N7838" s="220">
        <f>SUM(I7838:M7839)</f>
        <v>2838840</v>
      </c>
      <c r="O7838" s="224"/>
      <c r="P7838" s="110" t="s">
        <v>21885</v>
      </c>
      <c r="Q7838" s="15" t="s">
        <v>19</v>
      </c>
      <c r="R7838" s="205"/>
      <c r="S7838" s="189"/>
      <c r="T7838" s="114"/>
      <c r="U7838" s="21"/>
      <c r="V7838" s="115"/>
      <c r="W7838" s="116"/>
      <c r="X7838" s="220"/>
      <c r="Y7838" s="220">
        <f>X7838*0.1</f>
        <v>0</v>
      </c>
      <c r="Z7838" s="220"/>
      <c r="AA7838" s="220">
        <f>SUM(X7838:Z7838)</f>
        <v>0</v>
      </c>
      <c r="AB7838" s="222"/>
    </row>
    <row r="7839" spans="1:28" ht="17.100000000000001" customHeight="1" thickBot="1">
      <c r="A7839" s="227"/>
      <c r="B7839" s="27" t="s">
        <v>2402</v>
      </c>
      <c r="C7839" s="27">
        <v>2001</v>
      </c>
      <c r="D7839" s="14" t="s">
        <v>273</v>
      </c>
      <c r="E7839" s="229"/>
      <c r="F7839" s="117" t="s">
        <v>21884</v>
      </c>
      <c r="G7839" s="26">
        <v>39779</v>
      </c>
      <c r="H7839" s="231"/>
      <c r="I7839" s="221"/>
      <c r="J7839" s="221"/>
      <c r="K7839" s="221"/>
      <c r="L7839" s="221"/>
      <c r="M7839" s="221"/>
      <c r="N7839" s="221"/>
      <c r="O7839" s="225"/>
      <c r="P7839" s="118" t="s">
        <v>2164</v>
      </c>
      <c r="Q7839" s="16" t="s">
        <v>20</v>
      </c>
      <c r="R7839" s="17" t="s">
        <v>1780</v>
      </c>
      <c r="S7839" s="121" t="s">
        <v>4008</v>
      </c>
      <c r="T7839" s="122"/>
      <c r="U7839" s="22"/>
      <c r="V7839" s="123"/>
      <c r="W7839" s="122"/>
      <c r="X7839" s="221"/>
      <c r="Y7839" s="221"/>
      <c r="Z7839" s="221"/>
      <c r="AA7839" s="221"/>
      <c r="AB7839" s="223"/>
    </row>
    <row r="7840" spans="1:28" ht="17.100000000000001" customHeight="1" thickTop="1">
      <c r="A7840" s="226" t="s">
        <v>21556</v>
      </c>
      <c r="B7840" s="28">
        <v>46116</v>
      </c>
      <c r="C7840" s="25">
        <v>1538</v>
      </c>
      <c r="D7840" s="13" t="s">
        <v>2264</v>
      </c>
      <c r="E7840" s="228"/>
      <c r="F7840" s="109" t="s">
        <v>21655</v>
      </c>
      <c r="G7840" s="24"/>
      <c r="H7840" s="230">
        <v>4.5</v>
      </c>
      <c r="I7840" s="220">
        <v>1920000</v>
      </c>
      <c r="J7840" s="220">
        <f>I7840*0.1</f>
        <v>192000</v>
      </c>
      <c r="K7840" s="220">
        <v>0</v>
      </c>
      <c r="L7840" s="220">
        <v>13890</v>
      </c>
      <c r="M7840" s="220">
        <v>16500</v>
      </c>
      <c r="N7840" s="220">
        <f>SUM(I7840:M7841)</f>
        <v>2142390</v>
      </c>
      <c r="O7840" s="224"/>
      <c r="P7840" s="110" t="s">
        <v>21895</v>
      </c>
      <c r="Q7840" s="15" t="s">
        <v>19</v>
      </c>
      <c r="R7840" s="205"/>
      <c r="S7840" s="189" t="s">
        <v>455</v>
      </c>
      <c r="T7840" s="114"/>
      <c r="U7840" s="21"/>
      <c r="V7840" s="115">
        <v>46144</v>
      </c>
      <c r="W7840" s="116">
        <v>1299</v>
      </c>
      <c r="X7840" s="220">
        <v>2050000</v>
      </c>
      <c r="Y7840" s="220">
        <f>X7840*0.1</f>
        <v>205000</v>
      </c>
      <c r="Z7840" s="220">
        <v>13890</v>
      </c>
      <c r="AA7840" s="220">
        <f>SUM(X7840:Z7840)</f>
        <v>2268890</v>
      </c>
      <c r="AB7840" s="222">
        <v>46154</v>
      </c>
    </row>
    <row r="7841" spans="1:28" ht="17.100000000000001" customHeight="1" thickBot="1">
      <c r="A7841" s="227"/>
      <c r="B7841" s="27" t="s">
        <v>1547</v>
      </c>
      <c r="C7841" s="27">
        <v>83212</v>
      </c>
      <c r="D7841" s="14" t="s">
        <v>898</v>
      </c>
      <c r="E7841" s="229"/>
      <c r="F7841" s="117" t="s">
        <v>21656</v>
      </c>
      <c r="G7841" s="26">
        <v>21350</v>
      </c>
      <c r="H7841" s="231"/>
      <c r="I7841" s="221"/>
      <c r="J7841" s="221"/>
      <c r="K7841" s="221"/>
      <c r="L7841" s="221"/>
      <c r="M7841" s="221"/>
      <c r="N7841" s="221"/>
      <c r="O7841" s="225"/>
      <c r="P7841" s="118" t="s">
        <v>4711</v>
      </c>
      <c r="Q7841" s="16" t="s">
        <v>20</v>
      </c>
      <c r="R7841" s="17" t="s">
        <v>1810</v>
      </c>
      <c r="S7841" s="121" t="s">
        <v>1731</v>
      </c>
      <c r="T7841" s="122"/>
      <c r="U7841" s="22"/>
      <c r="V7841" s="123" t="s">
        <v>24346</v>
      </c>
      <c r="W7841" s="122">
        <v>80014</v>
      </c>
      <c r="X7841" s="221"/>
      <c r="Y7841" s="221"/>
      <c r="Z7841" s="221"/>
      <c r="AA7841" s="221"/>
      <c r="AB7841" s="223"/>
    </row>
    <row r="7842" spans="1:28" ht="17.100000000000001" customHeight="1" thickTop="1">
      <c r="A7842" s="226" t="s">
        <v>21641</v>
      </c>
      <c r="B7842" s="28">
        <v>46116</v>
      </c>
      <c r="C7842" s="25">
        <v>306</v>
      </c>
      <c r="D7842" s="13" t="s">
        <v>4775</v>
      </c>
      <c r="E7842" s="228"/>
      <c r="F7842" s="109" t="s">
        <v>21646</v>
      </c>
      <c r="G7842" s="24"/>
      <c r="H7842" s="230">
        <v>3.5</v>
      </c>
      <c r="I7842" s="220">
        <v>827000</v>
      </c>
      <c r="J7842" s="220">
        <f>I7842*0.1</f>
        <v>82700</v>
      </c>
      <c r="K7842" s="220">
        <v>0</v>
      </c>
      <c r="L7842" s="220">
        <v>9810</v>
      </c>
      <c r="M7842" s="220">
        <v>17050</v>
      </c>
      <c r="N7842" s="220">
        <f>SUM(I7842:M7843)</f>
        <v>936560</v>
      </c>
      <c r="O7842" s="224"/>
      <c r="P7842" s="110" t="s">
        <v>21730</v>
      </c>
      <c r="Q7842" s="15" t="s">
        <v>19</v>
      </c>
      <c r="R7842" s="205"/>
      <c r="S7842" s="189" t="s">
        <v>25559</v>
      </c>
      <c r="T7842" s="114"/>
      <c r="U7842" s="21"/>
      <c r="V7842" s="115">
        <v>46162</v>
      </c>
      <c r="W7842" s="116">
        <v>1017</v>
      </c>
      <c r="X7842" s="220">
        <v>1065000</v>
      </c>
      <c r="Y7842" s="220">
        <f>X7842*0.1</f>
        <v>106500</v>
      </c>
      <c r="Z7842" s="220">
        <v>9810</v>
      </c>
      <c r="AA7842" s="220">
        <f>SUM(X7842:Z7842)</f>
        <v>1181310</v>
      </c>
      <c r="AB7842" s="222">
        <v>46167</v>
      </c>
    </row>
    <row r="7843" spans="1:28" ht="17.100000000000001" customHeight="1" thickBot="1">
      <c r="A7843" s="227"/>
      <c r="B7843" s="27" t="s">
        <v>3518</v>
      </c>
      <c r="C7843" s="27">
        <v>2233</v>
      </c>
      <c r="D7843" s="14" t="s">
        <v>273</v>
      </c>
      <c r="E7843" s="229"/>
      <c r="F7843" s="117" t="s">
        <v>21642</v>
      </c>
      <c r="G7843" s="26">
        <v>54777</v>
      </c>
      <c r="H7843" s="231"/>
      <c r="I7843" s="221"/>
      <c r="J7843" s="221"/>
      <c r="K7843" s="221"/>
      <c r="L7843" s="221"/>
      <c r="M7843" s="221"/>
      <c r="N7843" s="221"/>
      <c r="O7843" s="225"/>
      <c r="P7843" s="118" t="s">
        <v>18615</v>
      </c>
      <c r="Q7843" s="16" t="s">
        <v>20</v>
      </c>
      <c r="R7843" s="17" t="s">
        <v>1901</v>
      </c>
      <c r="S7843" s="126" t="s">
        <v>22026</v>
      </c>
      <c r="T7843" s="122"/>
      <c r="U7843" s="22"/>
      <c r="V7843" s="123" t="s">
        <v>2747</v>
      </c>
      <c r="W7843" s="122">
        <v>5122</v>
      </c>
      <c r="X7843" s="221"/>
      <c r="Y7843" s="221"/>
      <c r="Z7843" s="221"/>
      <c r="AA7843" s="221"/>
      <c r="AB7843" s="223"/>
    </row>
    <row r="7844" spans="1:28" ht="17.100000000000001" customHeight="1" thickTop="1">
      <c r="A7844" s="226" t="s">
        <v>21557</v>
      </c>
      <c r="B7844" s="28">
        <v>46116</v>
      </c>
      <c r="C7844" s="25">
        <v>306</v>
      </c>
      <c r="D7844" s="13" t="s">
        <v>2182</v>
      </c>
      <c r="E7844" s="228"/>
      <c r="F7844" s="109" t="s">
        <v>7663</v>
      </c>
      <c r="G7844" s="24" t="s">
        <v>2038</v>
      </c>
      <c r="H7844" s="230">
        <v>4</v>
      </c>
      <c r="I7844" s="220">
        <v>797000</v>
      </c>
      <c r="J7844" s="220">
        <f>I7844*0.1</f>
        <v>79700</v>
      </c>
      <c r="K7844" s="220">
        <v>0</v>
      </c>
      <c r="L7844" s="220">
        <v>8200</v>
      </c>
      <c r="M7844" s="220">
        <v>15950</v>
      </c>
      <c r="N7844" s="220">
        <f>SUM(I7844:M7845)</f>
        <v>900850</v>
      </c>
      <c r="O7844" s="224"/>
      <c r="P7844" s="110" t="s">
        <v>21665</v>
      </c>
      <c r="Q7844" s="15" t="s">
        <v>19</v>
      </c>
      <c r="R7844" s="205"/>
      <c r="S7844" s="189"/>
      <c r="T7844" s="114"/>
      <c r="U7844" s="21"/>
      <c r="V7844" s="115">
        <v>46137</v>
      </c>
      <c r="W7844" s="116">
        <v>1298</v>
      </c>
      <c r="X7844" s="220">
        <v>825000</v>
      </c>
      <c r="Y7844" s="220">
        <f>X7844*0.1</f>
        <v>82500</v>
      </c>
      <c r="Z7844" s="220">
        <v>8200</v>
      </c>
      <c r="AA7844" s="220">
        <f>SUM(X7844:Z7844)</f>
        <v>915700</v>
      </c>
      <c r="AB7844" s="222">
        <v>46140</v>
      </c>
    </row>
    <row r="7845" spans="1:28" ht="17.100000000000001" customHeight="1" thickBot="1">
      <c r="A7845" s="227"/>
      <c r="B7845" s="27" t="s">
        <v>3518</v>
      </c>
      <c r="C7845" s="27">
        <v>3188</v>
      </c>
      <c r="D7845" s="14" t="s">
        <v>1584</v>
      </c>
      <c r="E7845" s="229"/>
      <c r="F7845" s="117" t="s">
        <v>21643</v>
      </c>
      <c r="G7845" s="26">
        <v>39906</v>
      </c>
      <c r="H7845" s="231"/>
      <c r="I7845" s="221"/>
      <c r="J7845" s="221"/>
      <c r="K7845" s="221"/>
      <c r="L7845" s="221"/>
      <c r="M7845" s="221"/>
      <c r="N7845" s="221"/>
      <c r="O7845" s="225"/>
      <c r="P7845" s="118" t="s">
        <v>21728</v>
      </c>
      <c r="Q7845" s="16" t="s">
        <v>20</v>
      </c>
      <c r="R7845" s="17" t="s">
        <v>1901</v>
      </c>
      <c r="S7845" s="121"/>
      <c r="T7845" s="122"/>
      <c r="U7845" s="22"/>
      <c r="V7845" s="123" t="s">
        <v>2472</v>
      </c>
      <c r="W7845" s="122">
        <v>60179</v>
      </c>
      <c r="X7845" s="221"/>
      <c r="Y7845" s="221"/>
      <c r="Z7845" s="221"/>
      <c r="AA7845" s="221"/>
      <c r="AB7845" s="223"/>
    </row>
    <row r="7846" spans="1:28" ht="17.100000000000001" customHeight="1" thickTop="1">
      <c r="A7846" s="226" t="s">
        <v>21558</v>
      </c>
      <c r="B7846" s="28">
        <v>46116</v>
      </c>
      <c r="C7846" s="25">
        <v>306</v>
      </c>
      <c r="D7846" s="13" t="s">
        <v>2010</v>
      </c>
      <c r="E7846" s="228"/>
      <c r="F7846" s="109" t="s">
        <v>15197</v>
      </c>
      <c r="G7846" s="24"/>
      <c r="H7846" s="230">
        <v>4</v>
      </c>
      <c r="I7846" s="220">
        <v>626000</v>
      </c>
      <c r="J7846" s="220">
        <f>I7846*0.1</f>
        <v>62600</v>
      </c>
      <c r="K7846" s="220">
        <v>0</v>
      </c>
      <c r="L7846" s="220">
        <v>6550</v>
      </c>
      <c r="M7846" s="220">
        <v>15950</v>
      </c>
      <c r="N7846" s="220">
        <f>SUM(I7846:M7847)</f>
        <v>711100</v>
      </c>
      <c r="O7846" s="224"/>
      <c r="P7846" s="110" t="s">
        <v>21928</v>
      </c>
      <c r="Q7846" s="15" t="s">
        <v>19</v>
      </c>
      <c r="R7846" s="205"/>
      <c r="S7846" s="189" t="s">
        <v>758</v>
      </c>
      <c r="T7846" s="114"/>
      <c r="U7846" s="21"/>
      <c r="V7846" s="115">
        <v>46137</v>
      </c>
      <c r="W7846" s="116">
        <v>1298</v>
      </c>
      <c r="X7846" s="220">
        <v>735000</v>
      </c>
      <c r="Y7846" s="220">
        <f>X7846*0.1</f>
        <v>73500</v>
      </c>
      <c r="Z7846" s="220">
        <v>6550</v>
      </c>
      <c r="AA7846" s="220">
        <f>SUM(X7846:Z7846)</f>
        <v>815050</v>
      </c>
      <c r="AB7846" s="222">
        <v>46140</v>
      </c>
    </row>
    <row r="7847" spans="1:28" ht="17.100000000000001" customHeight="1" thickBot="1">
      <c r="A7847" s="227"/>
      <c r="B7847" s="27" t="s">
        <v>3518</v>
      </c>
      <c r="C7847" s="27">
        <v>3259</v>
      </c>
      <c r="D7847" s="14" t="s">
        <v>1710</v>
      </c>
      <c r="E7847" s="229"/>
      <c r="F7847" s="117" t="s">
        <v>21644</v>
      </c>
      <c r="G7847" s="26">
        <v>7052</v>
      </c>
      <c r="H7847" s="231"/>
      <c r="I7847" s="221"/>
      <c r="J7847" s="221"/>
      <c r="K7847" s="221"/>
      <c r="L7847" s="221"/>
      <c r="M7847" s="221"/>
      <c r="N7847" s="221"/>
      <c r="O7847" s="225"/>
      <c r="P7847" s="118" t="s">
        <v>7323</v>
      </c>
      <c r="Q7847" s="16" t="s">
        <v>20</v>
      </c>
      <c r="R7847" s="17" t="s">
        <v>1780</v>
      </c>
      <c r="S7847" s="121" t="s">
        <v>1661</v>
      </c>
      <c r="T7847" s="122"/>
      <c r="U7847" s="22"/>
      <c r="V7847" s="123" t="s">
        <v>2472</v>
      </c>
      <c r="W7847" s="122">
        <v>60176</v>
      </c>
      <c r="X7847" s="221"/>
      <c r="Y7847" s="221"/>
      <c r="Z7847" s="221"/>
      <c r="AA7847" s="221"/>
      <c r="AB7847" s="223"/>
    </row>
    <row r="7848" spans="1:28" ht="17.100000000000001" customHeight="1" thickTop="1">
      <c r="A7848" s="226" t="s">
        <v>21559</v>
      </c>
      <c r="B7848" s="28">
        <v>46116</v>
      </c>
      <c r="C7848" s="25">
        <v>306</v>
      </c>
      <c r="D7848" s="13" t="s">
        <v>1883</v>
      </c>
      <c r="E7848" s="228"/>
      <c r="F7848" s="109" t="s">
        <v>17749</v>
      </c>
      <c r="G7848" s="24"/>
      <c r="H7848" s="230">
        <v>4</v>
      </c>
      <c r="I7848" s="220">
        <v>801000</v>
      </c>
      <c r="J7848" s="220">
        <f>I7848*0.1</f>
        <v>80100</v>
      </c>
      <c r="K7848" s="220">
        <v>0</v>
      </c>
      <c r="L7848" s="220">
        <v>7440</v>
      </c>
      <c r="M7848" s="220">
        <v>15950</v>
      </c>
      <c r="N7848" s="220">
        <f>SUM(I7848:M7849)</f>
        <v>904490</v>
      </c>
      <c r="O7848" s="224"/>
      <c r="P7848" s="110" t="s">
        <v>21727</v>
      </c>
      <c r="Q7848" s="15" t="s">
        <v>19</v>
      </c>
      <c r="R7848" s="205"/>
      <c r="S7848" s="189"/>
      <c r="T7848" s="114"/>
      <c r="U7848" s="21"/>
      <c r="V7848" s="115">
        <v>46137</v>
      </c>
      <c r="W7848" s="116">
        <v>1298</v>
      </c>
      <c r="X7848" s="220">
        <v>870000</v>
      </c>
      <c r="Y7848" s="220">
        <f>X7848*0.1</f>
        <v>87000</v>
      </c>
      <c r="Z7848" s="220">
        <v>7440</v>
      </c>
      <c r="AA7848" s="220">
        <f>SUM(X7848:Z7848)</f>
        <v>964440</v>
      </c>
      <c r="AB7848" s="222">
        <v>46140</v>
      </c>
    </row>
    <row r="7849" spans="1:28" ht="17.100000000000001" customHeight="1" thickBot="1">
      <c r="A7849" s="227"/>
      <c r="B7849" s="27" t="s">
        <v>3518</v>
      </c>
      <c r="C7849" s="27">
        <v>62085</v>
      </c>
      <c r="D7849" s="14" t="s">
        <v>1584</v>
      </c>
      <c r="E7849" s="229"/>
      <c r="F7849" s="117" t="s">
        <v>21645</v>
      </c>
      <c r="G7849" s="26">
        <v>51227</v>
      </c>
      <c r="H7849" s="231"/>
      <c r="I7849" s="221"/>
      <c r="J7849" s="221"/>
      <c r="K7849" s="221"/>
      <c r="L7849" s="221"/>
      <c r="M7849" s="221"/>
      <c r="N7849" s="221"/>
      <c r="O7849" s="225"/>
      <c r="P7849" s="118" t="s">
        <v>20072</v>
      </c>
      <c r="Q7849" s="16" t="s">
        <v>20</v>
      </c>
      <c r="R7849" s="17" t="s">
        <v>1901</v>
      </c>
      <c r="S7849" s="121"/>
      <c r="T7849" s="122"/>
      <c r="U7849" s="22"/>
      <c r="V7849" s="123" t="s">
        <v>2472</v>
      </c>
      <c r="W7849" s="122">
        <v>41059</v>
      </c>
      <c r="X7849" s="221"/>
      <c r="Y7849" s="221"/>
      <c r="Z7849" s="221"/>
      <c r="AA7849" s="221"/>
      <c r="AB7849" s="223"/>
    </row>
    <row r="7850" spans="1:28" ht="17.100000000000001" customHeight="1" thickTop="1">
      <c r="A7850" s="226" t="s">
        <v>21560</v>
      </c>
      <c r="B7850" s="28">
        <v>46116</v>
      </c>
      <c r="C7850" s="25">
        <v>306</v>
      </c>
      <c r="D7850" s="13" t="s">
        <v>3332</v>
      </c>
      <c r="E7850" s="228"/>
      <c r="F7850" s="109" t="s">
        <v>21611</v>
      </c>
      <c r="G7850" s="24"/>
      <c r="H7850" s="230">
        <v>4.5</v>
      </c>
      <c r="I7850" s="220">
        <v>1283000</v>
      </c>
      <c r="J7850" s="220">
        <f>I7850*0.1</f>
        <v>128300</v>
      </c>
      <c r="K7850" s="220">
        <v>0</v>
      </c>
      <c r="L7850" s="220">
        <v>9810</v>
      </c>
      <c r="M7850" s="220">
        <v>17050</v>
      </c>
      <c r="N7850" s="220">
        <f>SUM(I7850:M7851)</f>
        <v>1438160</v>
      </c>
      <c r="O7850" s="224"/>
      <c r="P7850" s="110" t="s">
        <v>21729</v>
      </c>
      <c r="Q7850" s="15" t="s">
        <v>19</v>
      </c>
      <c r="R7850" s="205"/>
      <c r="S7850" s="189"/>
      <c r="T7850" s="114"/>
      <c r="U7850" s="21"/>
      <c r="V7850" s="115"/>
      <c r="W7850" s="116"/>
      <c r="X7850" s="220"/>
      <c r="Y7850" s="220">
        <f>X7850*0.1</f>
        <v>0</v>
      </c>
      <c r="Z7850" s="220"/>
      <c r="AA7850" s="220">
        <f>SUM(X7850:Z7850)</f>
        <v>0</v>
      </c>
      <c r="AB7850" s="222"/>
    </row>
    <row r="7851" spans="1:28" ht="17.100000000000001" customHeight="1" thickBot="1">
      <c r="A7851" s="227"/>
      <c r="B7851" s="27" t="s">
        <v>3518</v>
      </c>
      <c r="C7851" s="27">
        <v>76040</v>
      </c>
      <c r="D7851" s="14" t="s">
        <v>273</v>
      </c>
      <c r="E7851" s="229"/>
      <c r="F7851" s="117" t="s">
        <v>21648</v>
      </c>
      <c r="G7851" s="26">
        <v>57453</v>
      </c>
      <c r="H7851" s="231"/>
      <c r="I7851" s="221"/>
      <c r="J7851" s="221"/>
      <c r="K7851" s="221"/>
      <c r="L7851" s="221"/>
      <c r="M7851" s="221"/>
      <c r="N7851" s="221"/>
      <c r="O7851" s="225"/>
      <c r="P7851" s="118" t="s">
        <v>10936</v>
      </c>
      <c r="Q7851" s="16" t="s">
        <v>20</v>
      </c>
      <c r="R7851" s="17" t="s">
        <v>1901</v>
      </c>
      <c r="S7851" s="121" t="s">
        <v>22024</v>
      </c>
      <c r="T7851" s="122"/>
      <c r="U7851" s="22"/>
      <c r="V7851" s="123"/>
      <c r="W7851" s="122"/>
      <c r="X7851" s="221"/>
      <c r="Y7851" s="221"/>
      <c r="Z7851" s="221"/>
      <c r="AA7851" s="221"/>
      <c r="AB7851" s="223"/>
    </row>
    <row r="7852" spans="1:28" ht="17.100000000000001" customHeight="1" thickTop="1">
      <c r="A7852" s="226" t="s">
        <v>21561</v>
      </c>
      <c r="B7852" s="28">
        <v>46116</v>
      </c>
      <c r="C7852" s="25">
        <v>306</v>
      </c>
      <c r="D7852" s="13" t="s">
        <v>2690</v>
      </c>
      <c r="E7852" s="228"/>
      <c r="F7852" s="109" t="s">
        <v>21611</v>
      </c>
      <c r="G7852" s="24"/>
      <c r="H7852" s="230">
        <v>4</v>
      </c>
      <c r="I7852" s="220">
        <v>1157000</v>
      </c>
      <c r="J7852" s="220">
        <f>I7852*0.1</f>
        <v>115700</v>
      </c>
      <c r="K7852" s="220">
        <v>0</v>
      </c>
      <c r="L7852" s="220">
        <v>9810</v>
      </c>
      <c r="M7852" s="220">
        <v>17050</v>
      </c>
      <c r="N7852" s="220">
        <f>SUM(I7852:M7853)</f>
        <v>1299560</v>
      </c>
      <c r="O7852" s="224"/>
      <c r="P7852" s="110" t="s">
        <v>21731</v>
      </c>
      <c r="Q7852" s="15" t="s">
        <v>19</v>
      </c>
      <c r="R7852" s="205"/>
      <c r="S7852" s="189"/>
      <c r="T7852" s="114"/>
      <c r="U7852" s="21"/>
      <c r="V7852" s="115">
        <v>46137</v>
      </c>
      <c r="W7852" s="116">
        <v>1298</v>
      </c>
      <c r="X7852" s="220">
        <v>1250000</v>
      </c>
      <c r="Y7852" s="220">
        <f>X7852*0.1</f>
        <v>125000</v>
      </c>
      <c r="Z7852" s="220">
        <v>9810</v>
      </c>
      <c r="AA7852" s="220">
        <f>SUM(X7852:Z7852)</f>
        <v>1384810</v>
      </c>
      <c r="AB7852" s="222">
        <v>46140</v>
      </c>
    </row>
    <row r="7853" spans="1:28" ht="17.100000000000001" customHeight="1" thickBot="1">
      <c r="A7853" s="227"/>
      <c r="B7853" s="27" t="s">
        <v>3518</v>
      </c>
      <c r="C7853" s="27">
        <v>76042</v>
      </c>
      <c r="D7853" s="14" t="s">
        <v>1584</v>
      </c>
      <c r="E7853" s="229"/>
      <c r="F7853" s="117" t="s">
        <v>21647</v>
      </c>
      <c r="G7853" s="26">
        <v>51002</v>
      </c>
      <c r="H7853" s="231"/>
      <c r="I7853" s="221"/>
      <c r="J7853" s="221"/>
      <c r="K7853" s="221"/>
      <c r="L7853" s="221"/>
      <c r="M7853" s="221"/>
      <c r="N7853" s="221"/>
      <c r="O7853" s="225"/>
      <c r="P7853" s="118" t="s">
        <v>10936</v>
      </c>
      <c r="Q7853" s="16" t="s">
        <v>20</v>
      </c>
      <c r="R7853" s="17" t="s">
        <v>1901</v>
      </c>
      <c r="S7853" s="121" t="s">
        <v>22024</v>
      </c>
      <c r="T7853" s="122"/>
      <c r="U7853" s="22"/>
      <c r="V7853" s="123" t="s">
        <v>7160</v>
      </c>
      <c r="W7853" s="122">
        <v>55084</v>
      </c>
      <c r="X7853" s="221"/>
      <c r="Y7853" s="221"/>
      <c r="Z7853" s="221"/>
      <c r="AA7853" s="221"/>
      <c r="AB7853" s="223"/>
    </row>
    <row r="7854" spans="1:28" ht="17.100000000000001" customHeight="1" thickTop="1">
      <c r="A7854" s="226" t="s">
        <v>21562</v>
      </c>
      <c r="B7854" s="28">
        <v>46116</v>
      </c>
      <c r="C7854" s="25">
        <v>1295</v>
      </c>
      <c r="D7854" s="13" t="s">
        <v>1983</v>
      </c>
      <c r="E7854" s="228"/>
      <c r="F7854" s="109" t="s">
        <v>17418</v>
      </c>
      <c r="G7854" s="24" t="s">
        <v>21058</v>
      </c>
      <c r="H7854" s="230">
        <v>4.5</v>
      </c>
      <c r="I7854" s="220">
        <v>1000000</v>
      </c>
      <c r="J7854" s="220">
        <v>0</v>
      </c>
      <c r="K7854" s="220">
        <v>0</v>
      </c>
      <c r="L7854" s="220">
        <v>8630</v>
      </c>
      <c r="M7854" s="220">
        <v>13200</v>
      </c>
      <c r="N7854" s="220">
        <f>SUM(I7854:M7855)</f>
        <v>1021830</v>
      </c>
      <c r="O7854" s="224"/>
      <c r="P7854" s="110" t="s">
        <v>22331</v>
      </c>
      <c r="Q7854" s="15" t="s">
        <v>19</v>
      </c>
      <c r="R7854" s="205"/>
      <c r="S7854" s="189" t="s">
        <v>25904</v>
      </c>
      <c r="T7854" s="114"/>
      <c r="U7854" s="21"/>
      <c r="V7854" s="115">
        <v>46130</v>
      </c>
      <c r="W7854" s="116">
        <v>1297</v>
      </c>
      <c r="X7854" s="220">
        <v>1030000</v>
      </c>
      <c r="Y7854" s="220">
        <v>0</v>
      </c>
      <c r="Z7854" s="220">
        <v>8630</v>
      </c>
      <c r="AA7854" s="220">
        <f>SUM(X7854:Z7854)</f>
        <v>1038630</v>
      </c>
      <c r="AB7854" s="222">
        <v>46133</v>
      </c>
    </row>
    <row r="7855" spans="1:28" ht="17.100000000000001" customHeight="1" thickBot="1">
      <c r="A7855" s="227"/>
      <c r="B7855" s="27" t="s">
        <v>2472</v>
      </c>
      <c r="C7855" s="27">
        <v>31438</v>
      </c>
      <c r="D7855" s="14" t="s">
        <v>1584</v>
      </c>
      <c r="E7855" s="229"/>
      <c r="F7855" s="117" t="s">
        <v>21649</v>
      </c>
      <c r="G7855" s="26">
        <v>23140</v>
      </c>
      <c r="H7855" s="231"/>
      <c r="I7855" s="221"/>
      <c r="J7855" s="221"/>
      <c r="K7855" s="221"/>
      <c r="L7855" s="221"/>
      <c r="M7855" s="221"/>
      <c r="N7855" s="221"/>
      <c r="O7855" s="225"/>
      <c r="P7855" s="118" t="s">
        <v>3820</v>
      </c>
      <c r="Q7855" s="16" t="s">
        <v>20</v>
      </c>
      <c r="R7855" s="17" t="s">
        <v>3406</v>
      </c>
      <c r="S7855" s="121" t="s">
        <v>22332</v>
      </c>
      <c r="T7855" s="122"/>
      <c r="U7855" s="22"/>
      <c r="V7855" s="123" t="s">
        <v>2472</v>
      </c>
      <c r="W7855" s="122">
        <v>60125</v>
      </c>
      <c r="X7855" s="221"/>
      <c r="Y7855" s="221"/>
      <c r="Z7855" s="221"/>
      <c r="AA7855" s="221"/>
      <c r="AB7855" s="223"/>
    </row>
    <row r="7856" spans="1:28" ht="17.100000000000001" customHeight="1" thickTop="1">
      <c r="A7856" s="226" t="s">
        <v>21563</v>
      </c>
      <c r="B7856" s="28">
        <v>46116</v>
      </c>
      <c r="C7856" s="25">
        <v>1295</v>
      </c>
      <c r="D7856" s="13" t="s">
        <v>1829</v>
      </c>
      <c r="E7856" s="228"/>
      <c r="F7856" s="109" t="s">
        <v>15625</v>
      </c>
      <c r="G7856" s="24" t="s">
        <v>5517</v>
      </c>
      <c r="H7856" s="230">
        <v>4</v>
      </c>
      <c r="I7856" s="220">
        <v>1855000</v>
      </c>
      <c r="J7856" s="220">
        <f>I7856*0.1</f>
        <v>185500</v>
      </c>
      <c r="K7856" s="220">
        <v>36300</v>
      </c>
      <c r="L7856" s="220">
        <v>9830</v>
      </c>
      <c r="M7856" s="220">
        <v>12100</v>
      </c>
      <c r="N7856" s="220">
        <f>SUM(I7856:M7857)</f>
        <v>2098730</v>
      </c>
      <c r="O7856" s="224"/>
      <c r="P7856" s="110" t="s">
        <v>21657</v>
      </c>
      <c r="Q7856" s="15" t="s">
        <v>19</v>
      </c>
      <c r="R7856" s="205"/>
      <c r="S7856" s="189" t="s">
        <v>25922</v>
      </c>
      <c r="T7856" s="114"/>
      <c r="U7856" s="21"/>
      <c r="V7856" s="115">
        <v>46127</v>
      </c>
      <c r="W7856" s="116">
        <v>1013</v>
      </c>
      <c r="X7856" s="220">
        <v>1990000</v>
      </c>
      <c r="Y7856" s="220">
        <f>X7856*0.1</f>
        <v>199000</v>
      </c>
      <c r="Z7856" s="220">
        <v>9830</v>
      </c>
      <c r="AA7856" s="220">
        <f>SUM(X7856:Z7856)</f>
        <v>2198830</v>
      </c>
      <c r="AB7856" s="222">
        <v>46133</v>
      </c>
    </row>
    <row r="7857" spans="1:28" ht="17.100000000000001" customHeight="1" thickBot="1">
      <c r="A7857" s="227"/>
      <c r="B7857" s="27" t="s">
        <v>2472</v>
      </c>
      <c r="C7857" s="27">
        <v>31581</v>
      </c>
      <c r="D7857" s="14" t="s">
        <v>273</v>
      </c>
      <c r="E7857" s="229"/>
      <c r="F7857" s="117" t="s">
        <v>21650</v>
      </c>
      <c r="G7857" s="26">
        <v>55017</v>
      </c>
      <c r="H7857" s="231"/>
      <c r="I7857" s="221"/>
      <c r="J7857" s="221"/>
      <c r="K7857" s="221"/>
      <c r="L7857" s="221"/>
      <c r="M7857" s="221"/>
      <c r="N7857" s="221"/>
      <c r="O7857" s="225"/>
      <c r="P7857" s="118" t="s">
        <v>22333</v>
      </c>
      <c r="Q7857" s="16" t="s">
        <v>20</v>
      </c>
      <c r="R7857" s="17" t="s">
        <v>3406</v>
      </c>
      <c r="S7857" s="121" t="s">
        <v>22334</v>
      </c>
      <c r="T7857" s="122"/>
      <c r="U7857" s="22"/>
      <c r="V7857" s="123" t="s">
        <v>7161</v>
      </c>
      <c r="W7857" s="122">
        <v>6092</v>
      </c>
      <c r="X7857" s="221"/>
      <c r="Y7857" s="221"/>
      <c r="Z7857" s="221"/>
      <c r="AA7857" s="221"/>
      <c r="AB7857" s="223"/>
    </row>
    <row r="7858" spans="1:28" ht="17.100000000000001" customHeight="1" thickTop="1">
      <c r="A7858" s="226" t="s">
        <v>21564</v>
      </c>
      <c r="B7858" s="28">
        <v>46116</v>
      </c>
      <c r="C7858" s="25">
        <v>1295</v>
      </c>
      <c r="D7858" s="13" t="s">
        <v>1578</v>
      </c>
      <c r="E7858" s="228"/>
      <c r="F7858" s="109" t="s">
        <v>21651</v>
      </c>
      <c r="G7858" s="24" t="s">
        <v>6726</v>
      </c>
      <c r="H7858" s="230">
        <v>4</v>
      </c>
      <c r="I7858" s="220">
        <v>725000</v>
      </c>
      <c r="J7858" s="220">
        <f>I7858*0.1</f>
        <v>72500</v>
      </c>
      <c r="K7858" s="220">
        <v>34760</v>
      </c>
      <c r="L7858" s="220">
        <v>9130</v>
      </c>
      <c r="M7858" s="220">
        <v>12100</v>
      </c>
      <c r="N7858" s="220">
        <f>SUM(I7858:M7859)</f>
        <v>853490</v>
      </c>
      <c r="O7858" s="224"/>
      <c r="P7858" s="110" t="s">
        <v>21658</v>
      </c>
      <c r="Q7858" s="15" t="s">
        <v>19</v>
      </c>
      <c r="R7858" s="205"/>
      <c r="S7858" s="189"/>
      <c r="T7858" s="114"/>
      <c r="U7858" s="21"/>
      <c r="V7858" s="115">
        <v>46120</v>
      </c>
      <c r="W7858" s="116">
        <v>1012</v>
      </c>
      <c r="X7858" s="220">
        <v>795000</v>
      </c>
      <c r="Y7858" s="220">
        <f>X7858*0.1</f>
        <v>79500</v>
      </c>
      <c r="Z7858" s="220">
        <v>9130</v>
      </c>
      <c r="AA7858" s="220">
        <f>SUM(X7858:Z7858)</f>
        <v>883630</v>
      </c>
      <c r="AB7858" s="222">
        <v>46126</v>
      </c>
    </row>
    <row r="7859" spans="1:28" ht="17.100000000000001" customHeight="1" thickBot="1">
      <c r="A7859" s="227"/>
      <c r="B7859" s="27" t="s">
        <v>2472</v>
      </c>
      <c r="C7859" s="27">
        <v>37252</v>
      </c>
      <c r="D7859" s="14" t="s">
        <v>1627</v>
      </c>
      <c r="E7859" s="229"/>
      <c r="F7859" s="117" t="s">
        <v>21652</v>
      </c>
      <c r="G7859" s="26">
        <v>74941</v>
      </c>
      <c r="H7859" s="231"/>
      <c r="I7859" s="221"/>
      <c r="J7859" s="221"/>
      <c r="K7859" s="221"/>
      <c r="L7859" s="221"/>
      <c r="M7859" s="221"/>
      <c r="N7859" s="221"/>
      <c r="O7859" s="225"/>
      <c r="P7859" s="118" t="s">
        <v>22329</v>
      </c>
      <c r="Q7859" s="16" t="s">
        <v>20</v>
      </c>
      <c r="R7859" s="17" t="s">
        <v>3406</v>
      </c>
      <c r="S7859" s="121" t="s">
        <v>22330</v>
      </c>
      <c r="T7859" s="122"/>
      <c r="U7859" s="22"/>
      <c r="V7859" s="123" t="s">
        <v>2747</v>
      </c>
      <c r="W7859" s="122">
        <v>5170</v>
      </c>
      <c r="X7859" s="221"/>
      <c r="Y7859" s="221"/>
      <c r="Z7859" s="221"/>
      <c r="AA7859" s="221"/>
      <c r="AB7859" s="223"/>
    </row>
    <row r="7860" spans="1:28" ht="17.100000000000001" customHeight="1" thickTop="1">
      <c r="A7860" s="226" t="s">
        <v>21565</v>
      </c>
      <c r="B7860" s="28">
        <v>46116</v>
      </c>
      <c r="C7860" s="25">
        <v>1295</v>
      </c>
      <c r="D7860" s="13" t="s">
        <v>4775</v>
      </c>
      <c r="E7860" s="228"/>
      <c r="F7860" s="109" t="s">
        <v>1916</v>
      </c>
      <c r="G7860" s="24" t="s">
        <v>21660</v>
      </c>
      <c r="H7860" s="230">
        <v>4</v>
      </c>
      <c r="I7860" s="220">
        <v>343000</v>
      </c>
      <c r="J7860" s="220">
        <f>I7860*0.1</f>
        <v>34300</v>
      </c>
      <c r="K7860" s="220">
        <v>34760</v>
      </c>
      <c r="L7860" s="220">
        <v>17700</v>
      </c>
      <c r="M7860" s="220">
        <v>9900</v>
      </c>
      <c r="N7860" s="220">
        <f>SUM(I7860:M7861)</f>
        <v>439660</v>
      </c>
      <c r="O7860" s="224"/>
      <c r="P7860" s="110" t="s">
        <v>21661</v>
      </c>
      <c r="Q7860" s="15" t="s">
        <v>19</v>
      </c>
      <c r="R7860" s="205"/>
      <c r="S7860" s="189"/>
      <c r="T7860" s="114"/>
      <c r="U7860" s="21"/>
      <c r="V7860" s="115">
        <v>46144</v>
      </c>
      <c r="W7860" s="116">
        <v>1299</v>
      </c>
      <c r="X7860" s="220">
        <v>460000</v>
      </c>
      <c r="Y7860" s="220">
        <f>X7860*0.1</f>
        <v>46000</v>
      </c>
      <c r="Z7860" s="220">
        <v>17700</v>
      </c>
      <c r="AA7860" s="220">
        <f>SUM(X7860:Z7860)</f>
        <v>523700</v>
      </c>
      <c r="AB7860" s="222">
        <v>46154</v>
      </c>
    </row>
    <row r="7861" spans="1:28" ht="17.100000000000001" customHeight="1" thickBot="1">
      <c r="A7861" s="227"/>
      <c r="B7861" s="27" t="s">
        <v>2472</v>
      </c>
      <c r="C7861" s="27">
        <v>53693</v>
      </c>
      <c r="D7861" s="14" t="s">
        <v>2291</v>
      </c>
      <c r="E7861" s="229"/>
      <c r="F7861" s="117" t="s">
        <v>21659</v>
      </c>
      <c r="G7861" s="26">
        <v>64681</v>
      </c>
      <c r="H7861" s="231"/>
      <c r="I7861" s="221"/>
      <c r="J7861" s="221"/>
      <c r="K7861" s="221"/>
      <c r="L7861" s="221"/>
      <c r="M7861" s="221"/>
      <c r="N7861" s="221"/>
      <c r="O7861" s="225"/>
      <c r="P7861" s="118" t="s">
        <v>12429</v>
      </c>
      <c r="Q7861" s="16" t="s">
        <v>20</v>
      </c>
      <c r="R7861" s="17" t="s">
        <v>3406</v>
      </c>
      <c r="S7861" s="121" t="s">
        <v>18985</v>
      </c>
      <c r="T7861" s="122"/>
      <c r="U7861" s="22"/>
      <c r="V7861" s="123" t="s">
        <v>24346</v>
      </c>
      <c r="W7861" s="122">
        <v>80161</v>
      </c>
      <c r="X7861" s="221"/>
      <c r="Y7861" s="221"/>
      <c r="Z7861" s="221"/>
      <c r="AA7861" s="221"/>
      <c r="AB7861" s="223"/>
    </row>
    <row r="7862" spans="1:28" ht="17.100000000000001" customHeight="1" thickTop="1">
      <c r="A7862" s="226" t="s">
        <v>21566</v>
      </c>
      <c r="B7862" s="28">
        <v>46116</v>
      </c>
      <c r="C7862" s="25">
        <v>1295</v>
      </c>
      <c r="D7862" s="13" t="s">
        <v>1678</v>
      </c>
      <c r="E7862" s="228"/>
      <c r="F7862" s="109" t="s">
        <v>19232</v>
      </c>
      <c r="G7862" s="24" t="s">
        <v>21662</v>
      </c>
      <c r="H7862" s="230">
        <v>4.5</v>
      </c>
      <c r="I7862" s="220">
        <v>1120000</v>
      </c>
      <c r="J7862" s="220">
        <f>I7862*0.1</f>
        <v>112000</v>
      </c>
      <c r="K7862" s="220">
        <v>0</v>
      </c>
      <c r="L7862" s="220">
        <v>8200</v>
      </c>
      <c r="M7862" s="220">
        <v>9900</v>
      </c>
      <c r="N7862" s="220">
        <f>SUM(I7862:M7863)</f>
        <v>1250100</v>
      </c>
      <c r="O7862" s="224"/>
      <c r="P7862" s="110" t="s">
        <v>21663</v>
      </c>
      <c r="Q7862" s="15" t="s">
        <v>19</v>
      </c>
      <c r="R7862" s="205"/>
      <c r="S7862" s="189" t="s">
        <v>25507</v>
      </c>
      <c r="T7862" s="114"/>
      <c r="U7862" s="21"/>
      <c r="V7862" s="115">
        <v>46120</v>
      </c>
      <c r="W7862" s="116">
        <v>1012</v>
      </c>
      <c r="X7862" s="220">
        <v>1210000</v>
      </c>
      <c r="Y7862" s="220">
        <f>X7862*0.1</f>
        <v>121000</v>
      </c>
      <c r="Z7862" s="220">
        <v>8200</v>
      </c>
      <c r="AA7862" s="220">
        <f>SUM(X7862:Z7862)</f>
        <v>1339200</v>
      </c>
      <c r="AB7862" s="222">
        <v>46126</v>
      </c>
    </row>
    <row r="7863" spans="1:28" ht="17.100000000000001" customHeight="1" thickBot="1">
      <c r="A7863" s="227"/>
      <c r="B7863" s="27" t="s">
        <v>2472</v>
      </c>
      <c r="C7863" s="27">
        <v>60556</v>
      </c>
      <c r="D7863" s="14" t="s">
        <v>2753</v>
      </c>
      <c r="E7863" s="229"/>
      <c r="F7863" s="117" t="s">
        <v>21653</v>
      </c>
      <c r="G7863" s="26">
        <v>18133</v>
      </c>
      <c r="H7863" s="231"/>
      <c r="I7863" s="221"/>
      <c r="J7863" s="221"/>
      <c r="K7863" s="221"/>
      <c r="L7863" s="221"/>
      <c r="M7863" s="221"/>
      <c r="N7863" s="221"/>
      <c r="O7863" s="225"/>
      <c r="P7863" s="118" t="s">
        <v>17551</v>
      </c>
      <c r="Q7863" s="16" t="s">
        <v>20</v>
      </c>
      <c r="R7863" s="17" t="s">
        <v>3406</v>
      </c>
      <c r="S7863" s="121" t="s">
        <v>22327</v>
      </c>
      <c r="T7863" s="122"/>
      <c r="U7863" s="22"/>
      <c r="V7863" s="123" t="s">
        <v>2747</v>
      </c>
      <c r="W7863" s="122">
        <v>2130</v>
      </c>
      <c r="X7863" s="221"/>
      <c r="Y7863" s="221"/>
      <c r="Z7863" s="221"/>
      <c r="AA7863" s="221"/>
      <c r="AB7863" s="223"/>
    </row>
    <row r="7864" spans="1:28" ht="17.100000000000001" customHeight="1" thickTop="1">
      <c r="A7864" s="226" t="s">
        <v>21567</v>
      </c>
      <c r="B7864" s="28">
        <v>46116</v>
      </c>
      <c r="C7864" s="25">
        <v>1295</v>
      </c>
      <c r="D7864" s="13" t="s">
        <v>3494</v>
      </c>
      <c r="E7864" s="228"/>
      <c r="F7864" s="109" t="s">
        <v>21654</v>
      </c>
      <c r="G7864" s="24"/>
      <c r="H7864" s="230">
        <v>4.5</v>
      </c>
      <c r="I7864" s="220">
        <v>2550000</v>
      </c>
      <c r="J7864" s="220">
        <f>I7864*0.1</f>
        <v>255000</v>
      </c>
      <c r="K7864" s="220">
        <v>0</v>
      </c>
      <c r="L7864" s="220">
        <v>21360</v>
      </c>
      <c r="M7864" s="220">
        <v>16500</v>
      </c>
      <c r="N7864" s="220">
        <f>SUM(I7864:M7865)</f>
        <v>2842860</v>
      </c>
      <c r="O7864" s="224"/>
      <c r="P7864" s="110" t="s">
        <v>22325</v>
      </c>
      <c r="Q7864" s="15" t="s">
        <v>19</v>
      </c>
      <c r="R7864" s="205"/>
      <c r="S7864" s="189" t="s">
        <v>455</v>
      </c>
      <c r="T7864" s="114"/>
      <c r="U7864" s="21"/>
      <c r="V7864" s="115">
        <v>46121</v>
      </c>
      <c r="W7864" s="116">
        <v>1326</v>
      </c>
      <c r="X7864" s="220">
        <v>2695000</v>
      </c>
      <c r="Y7864" s="220">
        <f>X7864*0.1</f>
        <v>269500</v>
      </c>
      <c r="Z7864" s="220">
        <v>21360</v>
      </c>
      <c r="AA7864" s="220">
        <f>SUM(X7864:Z7864)</f>
        <v>2985860</v>
      </c>
      <c r="AB7864" s="222">
        <v>46122</v>
      </c>
    </row>
    <row r="7865" spans="1:28" ht="17.100000000000001" customHeight="1" thickBot="1">
      <c r="A7865" s="227"/>
      <c r="B7865" s="27" t="s">
        <v>2472</v>
      </c>
      <c r="C7865" s="27">
        <v>81141</v>
      </c>
      <c r="D7865" s="14" t="s">
        <v>1584</v>
      </c>
      <c r="E7865" s="229"/>
      <c r="F7865" s="117" t="s">
        <v>21664</v>
      </c>
      <c r="G7865" s="26">
        <v>36578</v>
      </c>
      <c r="H7865" s="231"/>
      <c r="I7865" s="221"/>
      <c r="J7865" s="221"/>
      <c r="K7865" s="221"/>
      <c r="L7865" s="221"/>
      <c r="M7865" s="221"/>
      <c r="N7865" s="221"/>
      <c r="O7865" s="225"/>
      <c r="P7865" s="118" t="s">
        <v>22326</v>
      </c>
      <c r="Q7865" s="16" t="s">
        <v>20</v>
      </c>
      <c r="R7865" s="17" t="s">
        <v>3406</v>
      </c>
      <c r="S7865" s="121" t="s">
        <v>1625</v>
      </c>
      <c r="T7865" s="122"/>
      <c r="U7865" s="22"/>
      <c r="V7865" s="123" t="s">
        <v>13379</v>
      </c>
      <c r="W7865" s="122">
        <v>127</v>
      </c>
      <c r="X7865" s="221"/>
      <c r="Y7865" s="221"/>
      <c r="Z7865" s="221"/>
      <c r="AA7865" s="221"/>
      <c r="AB7865" s="223"/>
    </row>
    <row r="7866" spans="1:28" ht="17.100000000000001" customHeight="1" thickTop="1">
      <c r="A7866" s="226" t="s">
        <v>21568</v>
      </c>
      <c r="B7866" s="28">
        <v>46117</v>
      </c>
      <c r="C7866" s="25"/>
      <c r="D7866" s="13" t="s">
        <v>2470</v>
      </c>
      <c r="E7866" s="228"/>
      <c r="F7866" s="109" t="s">
        <v>8072</v>
      </c>
      <c r="G7866" s="24" t="s">
        <v>21681</v>
      </c>
      <c r="H7866" s="230">
        <v>5</v>
      </c>
      <c r="I7866" s="220">
        <f>7260000/1.1</f>
        <v>6599999.9999999991</v>
      </c>
      <c r="J7866" s="220">
        <f>I7866*0.1</f>
        <v>660000</v>
      </c>
      <c r="K7866" s="220">
        <v>41600</v>
      </c>
      <c r="L7866" s="220">
        <v>14230</v>
      </c>
      <c r="M7866" s="220">
        <v>0</v>
      </c>
      <c r="N7866" s="220">
        <f>SUM(I7866:M7867)</f>
        <v>7315829.9999999991</v>
      </c>
      <c r="O7866" s="224"/>
      <c r="P7866" s="110" t="s">
        <v>24082</v>
      </c>
      <c r="Q7866" s="15" t="s">
        <v>19</v>
      </c>
      <c r="R7866" s="205"/>
      <c r="S7866" s="189" t="s">
        <v>1276</v>
      </c>
      <c r="T7866" s="114"/>
      <c r="U7866" s="21" t="s">
        <v>24289</v>
      </c>
      <c r="V7866" s="115">
        <v>46155</v>
      </c>
      <c r="W7866" s="116">
        <v>1016</v>
      </c>
      <c r="X7866" s="220">
        <v>6650000</v>
      </c>
      <c r="Y7866" s="220">
        <f>X7866*0.1</f>
        <v>665000</v>
      </c>
      <c r="Z7866" s="220">
        <v>14230</v>
      </c>
      <c r="AA7866" s="220">
        <f>SUM(X7866:Z7866)</f>
        <v>7329230</v>
      </c>
      <c r="AB7866" s="222">
        <v>46160</v>
      </c>
    </row>
    <row r="7867" spans="1:28" ht="17.100000000000001" customHeight="1" thickBot="1">
      <c r="A7867" s="227"/>
      <c r="B7867" s="27" t="s">
        <v>1708</v>
      </c>
      <c r="C7867" s="27" t="s">
        <v>21679</v>
      </c>
      <c r="D7867" s="14" t="s">
        <v>1584</v>
      </c>
      <c r="E7867" s="229"/>
      <c r="F7867" s="117" t="s">
        <v>21680</v>
      </c>
      <c r="G7867" s="26">
        <v>11933</v>
      </c>
      <c r="H7867" s="231"/>
      <c r="I7867" s="221"/>
      <c r="J7867" s="221"/>
      <c r="K7867" s="221"/>
      <c r="L7867" s="221"/>
      <c r="M7867" s="221"/>
      <c r="N7867" s="221"/>
      <c r="O7867" s="225"/>
      <c r="P7867" s="118" t="s">
        <v>1647</v>
      </c>
      <c r="Q7867" s="16" t="s">
        <v>20</v>
      </c>
      <c r="R7867" s="17" t="s">
        <v>24061</v>
      </c>
      <c r="S7867" s="121" t="s">
        <v>1601</v>
      </c>
      <c r="T7867" s="122"/>
      <c r="U7867" s="22"/>
      <c r="V7867" s="123" t="s">
        <v>7161</v>
      </c>
      <c r="W7867" s="122">
        <v>1082</v>
      </c>
      <c r="X7867" s="221"/>
      <c r="Y7867" s="221"/>
      <c r="Z7867" s="221"/>
      <c r="AA7867" s="221"/>
      <c r="AB7867" s="223"/>
    </row>
    <row r="7868" spans="1:28" ht="17.100000000000001" customHeight="1" thickTop="1">
      <c r="A7868" s="226" t="s">
        <v>21569</v>
      </c>
      <c r="B7868" s="28">
        <v>46118</v>
      </c>
      <c r="C7868" s="25"/>
      <c r="D7868" s="13" t="s">
        <v>3327</v>
      </c>
      <c r="E7868" s="228"/>
      <c r="F7868" s="109" t="s">
        <v>21705</v>
      </c>
      <c r="G7868" s="24" t="s">
        <v>17494</v>
      </c>
      <c r="H7868" s="230">
        <v>4</v>
      </c>
      <c r="I7868" s="220">
        <f>1402500/1.1</f>
        <v>1275000</v>
      </c>
      <c r="J7868" s="220">
        <f>I7868*0.1</f>
        <v>127500</v>
      </c>
      <c r="K7868" s="220">
        <v>32900</v>
      </c>
      <c r="L7868" s="220">
        <v>12030</v>
      </c>
      <c r="M7868" s="220">
        <v>0</v>
      </c>
      <c r="N7868" s="220">
        <f>SUM(I7868:M7869)</f>
        <v>1447430</v>
      </c>
      <c r="O7868" s="224"/>
      <c r="P7868" s="110" t="s">
        <v>23143</v>
      </c>
      <c r="Q7868" s="15" t="s">
        <v>19</v>
      </c>
      <c r="R7868" s="205"/>
      <c r="S7868" s="189" t="s">
        <v>1361</v>
      </c>
      <c r="T7868" s="114"/>
      <c r="U7868" s="21" t="s">
        <v>24290</v>
      </c>
      <c r="V7868" s="115">
        <v>46155</v>
      </c>
      <c r="W7868" s="116">
        <v>1016</v>
      </c>
      <c r="X7868" s="220">
        <v>1305000</v>
      </c>
      <c r="Y7868" s="220">
        <f>X7868*0.1</f>
        <v>130500</v>
      </c>
      <c r="Z7868" s="220">
        <v>12030</v>
      </c>
      <c r="AA7868" s="220">
        <f>SUM(X7868:Z7868)</f>
        <v>1447530</v>
      </c>
      <c r="AB7868" s="222">
        <v>46160</v>
      </c>
    </row>
    <row r="7869" spans="1:28" ht="17.100000000000001" customHeight="1" thickBot="1">
      <c r="A7869" s="227"/>
      <c r="B7869" s="27" t="s">
        <v>1708</v>
      </c>
      <c r="C7869" s="27" t="s">
        <v>21704</v>
      </c>
      <c r="D7869" s="14" t="s">
        <v>1710</v>
      </c>
      <c r="E7869" s="229"/>
      <c r="F7869" s="117" t="s">
        <v>21706</v>
      </c>
      <c r="G7869" s="26">
        <v>59008</v>
      </c>
      <c r="H7869" s="231"/>
      <c r="I7869" s="221"/>
      <c r="J7869" s="221"/>
      <c r="K7869" s="221"/>
      <c r="L7869" s="221"/>
      <c r="M7869" s="221"/>
      <c r="N7869" s="221"/>
      <c r="O7869" s="225"/>
      <c r="P7869" s="118" t="s">
        <v>23144</v>
      </c>
      <c r="Q7869" s="16" t="s">
        <v>20</v>
      </c>
      <c r="R7869" s="17" t="s">
        <v>23125</v>
      </c>
      <c r="S7869" s="121" t="s">
        <v>24458</v>
      </c>
      <c r="T7869" s="122"/>
      <c r="U7869" s="22"/>
      <c r="V7869" s="123" t="s">
        <v>2747</v>
      </c>
      <c r="W7869" s="122">
        <v>1080</v>
      </c>
      <c r="X7869" s="221"/>
      <c r="Y7869" s="221"/>
      <c r="Z7869" s="221"/>
      <c r="AA7869" s="221"/>
      <c r="AB7869" s="223"/>
    </row>
    <row r="7870" spans="1:28" ht="17.100000000000001" customHeight="1" thickTop="1">
      <c r="A7870" s="226" t="s">
        <v>21745</v>
      </c>
      <c r="B7870" s="28">
        <v>46118</v>
      </c>
      <c r="C7870" s="25">
        <v>2088</v>
      </c>
      <c r="D7870" s="13" t="s">
        <v>1053</v>
      </c>
      <c r="E7870" s="228"/>
      <c r="F7870" s="109" t="s">
        <v>21897</v>
      </c>
      <c r="G7870" s="24" t="s">
        <v>1551</v>
      </c>
      <c r="H7870" s="230">
        <v>4.5</v>
      </c>
      <c r="I7870" s="220">
        <v>2130000</v>
      </c>
      <c r="J7870" s="220">
        <f>I7870*0.1</f>
        <v>213000</v>
      </c>
      <c r="K7870" s="220">
        <v>30690</v>
      </c>
      <c r="L7870" s="220">
        <v>17930</v>
      </c>
      <c r="M7870" s="220">
        <v>11000</v>
      </c>
      <c r="N7870" s="220">
        <f>SUM(I7870:M7871)</f>
        <v>2402620</v>
      </c>
      <c r="O7870" s="224"/>
      <c r="P7870" s="110" t="s">
        <v>21898</v>
      </c>
      <c r="Q7870" s="15" t="s">
        <v>19</v>
      </c>
      <c r="R7870" s="205"/>
      <c r="S7870" s="189" t="s">
        <v>25923</v>
      </c>
      <c r="T7870" s="114"/>
      <c r="U7870" s="21"/>
      <c r="V7870" s="115">
        <v>46130</v>
      </c>
      <c r="W7870" s="116">
        <v>1297</v>
      </c>
      <c r="X7870" s="220">
        <v>2310000</v>
      </c>
      <c r="Y7870" s="220">
        <f>X7870*0.1</f>
        <v>231000</v>
      </c>
      <c r="Z7870" s="220">
        <v>17930</v>
      </c>
      <c r="AA7870" s="220">
        <f>SUM(X7870:Z7870)</f>
        <v>2558930</v>
      </c>
      <c r="AB7870" s="222">
        <v>46133</v>
      </c>
    </row>
    <row r="7871" spans="1:28" ht="17.100000000000001" customHeight="1" thickBot="1">
      <c r="A7871" s="227"/>
      <c r="B7871" s="27" t="s">
        <v>82</v>
      </c>
      <c r="C7871" s="27">
        <v>31005</v>
      </c>
      <c r="D7871" s="14" t="s">
        <v>131</v>
      </c>
      <c r="E7871" s="229"/>
      <c r="F7871" s="117" t="s">
        <v>21760</v>
      </c>
      <c r="G7871" s="26">
        <v>14619</v>
      </c>
      <c r="H7871" s="231"/>
      <c r="I7871" s="221"/>
      <c r="J7871" s="221"/>
      <c r="K7871" s="221"/>
      <c r="L7871" s="221"/>
      <c r="M7871" s="221"/>
      <c r="N7871" s="221"/>
      <c r="O7871" s="225"/>
      <c r="P7871" s="118" t="s">
        <v>22002</v>
      </c>
      <c r="Q7871" s="16" t="s">
        <v>20</v>
      </c>
      <c r="R7871" s="17" t="s">
        <v>21969</v>
      </c>
      <c r="S7871" s="121" t="s">
        <v>22003</v>
      </c>
      <c r="T7871" s="122"/>
      <c r="U7871" s="22"/>
      <c r="V7871" s="123" t="s">
        <v>2472</v>
      </c>
      <c r="W7871" s="122">
        <v>80258</v>
      </c>
      <c r="X7871" s="221"/>
      <c r="Y7871" s="221"/>
      <c r="Z7871" s="221"/>
      <c r="AA7871" s="221"/>
      <c r="AB7871" s="223"/>
    </row>
    <row r="7872" spans="1:28" ht="17.100000000000001" customHeight="1" thickTop="1">
      <c r="A7872" s="226" t="s">
        <v>21746</v>
      </c>
      <c r="B7872" s="28">
        <v>46118</v>
      </c>
      <c r="C7872" s="25">
        <v>2088</v>
      </c>
      <c r="D7872" s="13" t="s">
        <v>21899</v>
      </c>
      <c r="E7872" s="228"/>
      <c r="F7872" s="109" t="s">
        <v>21761</v>
      </c>
      <c r="G7872" s="24"/>
      <c r="H7872" s="230">
        <v>4</v>
      </c>
      <c r="I7872" s="220">
        <v>378000</v>
      </c>
      <c r="J7872" s="220">
        <f>I7872*0.1</f>
        <v>37800</v>
      </c>
      <c r="K7872" s="220">
        <v>0</v>
      </c>
      <c r="L7872" s="220">
        <v>19720</v>
      </c>
      <c r="M7872" s="220">
        <v>11000</v>
      </c>
      <c r="N7872" s="220">
        <f>SUM(I7872:M7873)</f>
        <v>446520</v>
      </c>
      <c r="O7872" s="224"/>
      <c r="P7872" s="110" t="s">
        <v>21891</v>
      </c>
      <c r="Q7872" s="15" t="s">
        <v>19</v>
      </c>
      <c r="R7872" s="205"/>
      <c r="S7872" s="189"/>
      <c r="T7872" s="114"/>
      <c r="U7872" s="21"/>
      <c r="V7872" s="115">
        <v>46130</v>
      </c>
      <c r="W7872" s="116">
        <v>1297</v>
      </c>
      <c r="X7872" s="220">
        <v>590000</v>
      </c>
      <c r="Y7872" s="220">
        <f>X7872*0.1</f>
        <v>59000</v>
      </c>
      <c r="Z7872" s="220">
        <v>19720</v>
      </c>
      <c r="AA7872" s="220">
        <f>SUM(X7872:Z7872)</f>
        <v>668720</v>
      </c>
      <c r="AB7872" s="222">
        <v>46133</v>
      </c>
    </row>
    <row r="7873" spans="1:28" ht="16.5" customHeight="1" thickBot="1">
      <c r="A7873" s="227"/>
      <c r="B7873" s="27" t="s">
        <v>82</v>
      </c>
      <c r="C7873" s="27">
        <v>32011</v>
      </c>
      <c r="D7873" s="14" t="s">
        <v>2059</v>
      </c>
      <c r="E7873" s="229"/>
      <c r="F7873" s="117" t="s">
        <v>21762</v>
      </c>
      <c r="G7873" s="26">
        <v>46133</v>
      </c>
      <c r="H7873" s="231"/>
      <c r="I7873" s="221"/>
      <c r="J7873" s="221"/>
      <c r="K7873" s="221"/>
      <c r="L7873" s="221"/>
      <c r="M7873" s="221"/>
      <c r="N7873" s="221"/>
      <c r="O7873" s="225"/>
      <c r="P7873" s="118" t="s">
        <v>21892</v>
      </c>
      <c r="Q7873" s="16" t="s">
        <v>20</v>
      </c>
      <c r="R7873" s="17" t="s">
        <v>1810</v>
      </c>
      <c r="S7873" s="121" t="s">
        <v>1573</v>
      </c>
      <c r="T7873" s="122"/>
      <c r="U7873" s="22"/>
      <c r="V7873" s="123" t="s">
        <v>2472</v>
      </c>
      <c r="W7873" s="122">
        <v>80020</v>
      </c>
      <c r="X7873" s="221"/>
      <c r="Y7873" s="221"/>
      <c r="Z7873" s="221"/>
      <c r="AA7873" s="221"/>
      <c r="AB7873" s="223"/>
    </row>
    <row r="7874" spans="1:28" ht="17.100000000000001" customHeight="1" thickTop="1">
      <c r="A7874" s="226" t="s">
        <v>21747</v>
      </c>
      <c r="B7874" s="28">
        <v>46118</v>
      </c>
      <c r="C7874" s="25">
        <v>2088</v>
      </c>
      <c r="D7874" s="13" t="s">
        <v>2150</v>
      </c>
      <c r="E7874" s="228"/>
      <c r="F7874" s="109" t="s">
        <v>21900</v>
      </c>
      <c r="G7874" s="24" t="s">
        <v>1540</v>
      </c>
      <c r="H7874" s="230">
        <v>4</v>
      </c>
      <c r="I7874" s="220">
        <v>1845000</v>
      </c>
      <c r="J7874" s="220">
        <f>I7874*0.1</f>
        <v>184500</v>
      </c>
      <c r="K7874" s="220">
        <v>41370</v>
      </c>
      <c r="L7874" s="220">
        <v>19270</v>
      </c>
      <c r="M7874" s="220">
        <v>11000</v>
      </c>
      <c r="N7874" s="220">
        <f>SUM(I7874:M7875)</f>
        <v>2101140</v>
      </c>
      <c r="O7874" s="224"/>
      <c r="P7874" s="110" t="s">
        <v>21901</v>
      </c>
      <c r="Q7874" s="15" t="s">
        <v>19</v>
      </c>
      <c r="R7874" s="205"/>
      <c r="S7874" s="189" t="s">
        <v>25885</v>
      </c>
      <c r="T7874" s="114"/>
      <c r="U7874" s="21"/>
      <c r="V7874" s="115">
        <v>46137</v>
      </c>
      <c r="W7874" s="116">
        <v>1298</v>
      </c>
      <c r="X7874" s="220">
        <v>1980000</v>
      </c>
      <c r="Y7874" s="220">
        <f>X7874*0.1</f>
        <v>198000</v>
      </c>
      <c r="Z7874" s="220">
        <v>19270</v>
      </c>
      <c r="AA7874" s="220">
        <f>SUM(X7874:Z7874)</f>
        <v>2197270</v>
      </c>
      <c r="AB7874" s="222">
        <v>46154</v>
      </c>
    </row>
    <row r="7875" spans="1:28" ht="17.100000000000001" customHeight="1" thickBot="1">
      <c r="A7875" s="227"/>
      <c r="B7875" s="27" t="s">
        <v>82</v>
      </c>
      <c r="C7875" s="27">
        <v>33506</v>
      </c>
      <c r="D7875" s="14" t="s">
        <v>1627</v>
      </c>
      <c r="E7875" s="229"/>
      <c r="F7875" s="117" t="s">
        <v>21763</v>
      </c>
      <c r="G7875" s="26">
        <v>51825</v>
      </c>
      <c r="H7875" s="231"/>
      <c r="I7875" s="221"/>
      <c r="J7875" s="221"/>
      <c r="K7875" s="221"/>
      <c r="L7875" s="221"/>
      <c r="M7875" s="221"/>
      <c r="N7875" s="221"/>
      <c r="O7875" s="225"/>
      <c r="P7875" s="118" t="s">
        <v>4735</v>
      </c>
      <c r="Q7875" s="16" t="s">
        <v>20</v>
      </c>
      <c r="R7875" s="17" t="s">
        <v>1780</v>
      </c>
      <c r="S7875" s="121" t="s">
        <v>4031</v>
      </c>
      <c r="T7875" s="122"/>
      <c r="U7875" s="22"/>
      <c r="V7875" s="123" t="s">
        <v>6642</v>
      </c>
      <c r="W7875" s="122">
        <v>80332</v>
      </c>
      <c r="X7875" s="221"/>
      <c r="Y7875" s="221"/>
      <c r="Z7875" s="221"/>
      <c r="AA7875" s="221"/>
      <c r="AB7875" s="223"/>
    </row>
    <row r="7876" spans="1:28" ht="17.100000000000001" customHeight="1" thickTop="1">
      <c r="A7876" s="226" t="s">
        <v>21748</v>
      </c>
      <c r="B7876" s="28">
        <v>46118</v>
      </c>
      <c r="C7876" s="25">
        <v>2088</v>
      </c>
      <c r="D7876" s="13" t="s">
        <v>3243</v>
      </c>
      <c r="E7876" s="228"/>
      <c r="F7876" s="109" t="s">
        <v>15546</v>
      </c>
      <c r="G7876" s="24" t="s">
        <v>2926</v>
      </c>
      <c r="H7876" s="230">
        <v>4.5</v>
      </c>
      <c r="I7876" s="220">
        <v>830000</v>
      </c>
      <c r="J7876" s="220">
        <f>I7876*0.1</f>
        <v>83000</v>
      </c>
      <c r="K7876" s="220">
        <v>39820</v>
      </c>
      <c r="L7876" s="220">
        <v>19440</v>
      </c>
      <c r="M7876" s="220">
        <v>11000</v>
      </c>
      <c r="N7876" s="220">
        <f>SUM(I7876:M7877)</f>
        <v>983260</v>
      </c>
      <c r="O7876" s="224"/>
      <c r="P7876" s="110" t="s">
        <v>21893</v>
      </c>
      <c r="Q7876" s="15" t="s">
        <v>19</v>
      </c>
      <c r="R7876" s="205"/>
      <c r="S7876" s="189" t="s">
        <v>1361</v>
      </c>
      <c r="T7876" s="114"/>
      <c r="U7876" s="21"/>
      <c r="V7876" s="115"/>
      <c r="W7876" s="116"/>
      <c r="X7876" s="220"/>
      <c r="Y7876" s="220">
        <f>X7876*0.1</f>
        <v>0</v>
      </c>
      <c r="Z7876" s="220"/>
      <c r="AA7876" s="220">
        <f>SUM(X7876:Z7876)</f>
        <v>0</v>
      </c>
      <c r="AB7876" s="222"/>
    </row>
    <row r="7877" spans="1:28" ht="17.100000000000001" customHeight="1" thickBot="1">
      <c r="A7877" s="227"/>
      <c r="B7877" s="27" t="s">
        <v>82</v>
      </c>
      <c r="C7877" s="27">
        <v>34506</v>
      </c>
      <c r="D7877" s="14" t="s">
        <v>5509</v>
      </c>
      <c r="E7877" s="229"/>
      <c r="F7877" s="117" t="s">
        <v>21764</v>
      </c>
      <c r="G7877" s="26">
        <v>44754</v>
      </c>
      <c r="H7877" s="231"/>
      <c r="I7877" s="221"/>
      <c r="J7877" s="221"/>
      <c r="K7877" s="221"/>
      <c r="L7877" s="221"/>
      <c r="M7877" s="221"/>
      <c r="N7877" s="221"/>
      <c r="O7877" s="225"/>
      <c r="P7877" s="118" t="s">
        <v>14061</v>
      </c>
      <c r="Q7877" s="16" t="s">
        <v>20</v>
      </c>
      <c r="R7877" s="17" t="s">
        <v>1810</v>
      </c>
      <c r="S7877" s="121" t="s">
        <v>5180</v>
      </c>
      <c r="T7877" s="122"/>
      <c r="U7877" s="22"/>
      <c r="V7877" s="123"/>
      <c r="W7877" s="122"/>
      <c r="X7877" s="221"/>
      <c r="Y7877" s="221"/>
      <c r="Z7877" s="221"/>
      <c r="AA7877" s="221"/>
      <c r="AB7877" s="223"/>
    </row>
    <row r="7878" spans="1:28" ht="17.100000000000001" customHeight="1" thickTop="1">
      <c r="A7878" s="226" t="s">
        <v>21749</v>
      </c>
      <c r="B7878" s="28">
        <v>46118</v>
      </c>
      <c r="C7878" s="25">
        <v>2088</v>
      </c>
      <c r="D7878" s="13" t="s">
        <v>1733</v>
      </c>
      <c r="E7878" s="228"/>
      <c r="F7878" s="109" t="s">
        <v>21902</v>
      </c>
      <c r="G7878" s="24" t="s">
        <v>2536</v>
      </c>
      <c r="H7878" s="230">
        <v>4</v>
      </c>
      <c r="I7878" s="220">
        <v>641000</v>
      </c>
      <c r="J7878" s="220">
        <f>I7878*0.1</f>
        <v>64100</v>
      </c>
      <c r="K7878" s="220">
        <v>39820</v>
      </c>
      <c r="L7878" s="220">
        <v>19120</v>
      </c>
      <c r="M7878" s="220">
        <v>11000</v>
      </c>
      <c r="N7878" s="220">
        <f>SUM(I7878:M7879)</f>
        <v>775040</v>
      </c>
      <c r="O7878" s="224"/>
      <c r="P7878" s="110" t="s">
        <v>21903</v>
      </c>
      <c r="Q7878" s="15" t="s">
        <v>19</v>
      </c>
      <c r="R7878" s="205"/>
      <c r="S7878" s="189" t="s">
        <v>25885</v>
      </c>
      <c r="T7878" s="114"/>
      <c r="U7878" s="21"/>
      <c r="V7878" s="115">
        <v>46130</v>
      </c>
      <c r="W7878" s="116">
        <v>1297</v>
      </c>
      <c r="X7878" s="220">
        <v>725000</v>
      </c>
      <c r="Y7878" s="220">
        <f>X7878*0.1</f>
        <v>72500</v>
      </c>
      <c r="Z7878" s="220">
        <v>19120</v>
      </c>
      <c r="AA7878" s="220">
        <f>SUM(X7878:Z7878)</f>
        <v>816620</v>
      </c>
      <c r="AB7878" s="222">
        <v>46133</v>
      </c>
    </row>
    <row r="7879" spans="1:28" ht="17.100000000000001" customHeight="1" thickBot="1">
      <c r="A7879" s="227"/>
      <c r="B7879" s="27" t="s">
        <v>82</v>
      </c>
      <c r="C7879" s="27">
        <v>34535</v>
      </c>
      <c r="D7879" s="14" t="s">
        <v>273</v>
      </c>
      <c r="E7879" s="229"/>
      <c r="F7879" s="117" t="s">
        <v>21765</v>
      </c>
      <c r="G7879" s="26">
        <v>54485</v>
      </c>
      <c r="H7879" s="231"/>
      <c r="I7879" s="221"/>
      <c r="J7879" s="221"/>
      <c r="K7879" s="221"/>
      <c r="L7879" s="221"/>
      <c r="M7879" s="221"/>
      <c r="N7879" s="221"/>
      <c r="O7879" s="225"/>
      <c r="P7879" s="118" t="s">
        <v>21997</v>
      </c>
      <c r="Q7879" s="16" t="s">
        <v>20</v>
      </c>
      <c r="R7879" s="17" t="s">
        <v>21969</v>
      </c>
      <c r="S7879" s="121" t="s">
        <v>21998</v>
      </c>
      <c r="T7879" s="122"/>
      <c r="U7879" s="22"/>
      <c r="V7879" s="123" t="s">
        <v>2472</v>
      </c>
      <c r="W7879" s="122">
        <v>80012</v>
      </c>
      <c r="X7879" s="221"/>
      <c r="Y7879" s="221"/>
      <c r="Z7879" s="221"/>
      <c r="AA7879" s="221"/>
      <c r="AB7879" s="223"/>
    </row>
    <row r="7880" spans="1:28" ht="17.100000000000001" customHeight="1" thickTop="1">
      <c r="A7880" s="226" t="s">
        <v>21750</v>
      </c>
      <c r="B7880" s="28">
        <v>46118</v>
      </c>
      <c r="C7880" s="25">
        <v>2088</v>
      </c>
      <c r="D7880" s="13" t="s">
        <v>1702</v>
      </c>
      <c r="E7880" s="228"/>
      <c r="F7880" s="109" t="s">
        <v>21904</v>
      </c>
      <c r="G7880" s="24"/>
      <c r="H7880" s="230">
        <v>4.5</v>
      </c>
      <c r="I7880" s="220">
        <v>1740000</v>
      </c>
      <c r="J7880" s="220">
        <f>I7880*0.1</f>
        <v>174000</v>
      </c>
      <c r="K7880" s="220">
        <v>0</v>
      </c>
      <c r="L7880" s="220">
        <v>17850</v>
      </c>
      <c r="M7880" s="220">
        <v>11000</v>
      </c>
      <c r="N7880" s="220">
        <f>SUM(I7880:M7881)</f>
        <v>1942850</v>
      </c>
      <c r="O7880" s="224"/>
      <c r="P7880" s="110" t="s">
        <v>22000</v>
      </c>
      <c r="Q7880" s="15" t="s">
        <v>19</v>
      </c>
      <c r="R7880" s="205"/>
      <c r="S7880" s="189" t="s">
        <v>25924</v>
      </c>
      <c r="T7880" s="114"/>
      <c r="U7880" s="21"/>
      <c r="V7880" s="115">
        <v>46137</v>
      </c>
      <c r="W7880" s="116">
        <v>1298</v>
      </c>
      <c r="X7880" s="220">
        <v>1865000</v>
      </c>
      <c r="Y7880" s="220">
        <f>X7880*0.1</f>
        <v>186500</v>
      </c>
      <c r="Z7880" s="220">
        <v>17850</v>
      </c>
      <c r="AA7880" s="220">
        <f>SUM(X7880:Z7880)</f>
        <v>2069350</v>
      </c>
      <c r="AB7880" s="222">
        <v>46140</v>
      </c>
    </row>
    <row r="7881" spans="1:28" ht="17.100000000000001" customHeight="1" thickBot="1">
      <c r="A7881" s="227"/>
      <c r="B7881" s="27" t="s">
        <v>82</v>
      </c>
      <c r="C7881" s="27">
        <v>34545</v>
      </c>
      <c r="D7881" s="14" t="s">
        <v>1710</v>
      </c>
      <c r="E7881" s="229"/>
      <c r="F7881" s="117" t="s">
        <v>21766</v>
      </c>
      <c r="G7881" s="26">
        <v>80342</v>
      </c>
      <c r="H7881" s="231"/>
      <c r="I7881" s="221"/>
      <c r="J7881" s="221"/>
      <c r="K7881" s="221"/>
      <c r="L7881" s="221"/>
      <c r="M7881" s="221"/>
      <c r="N7881" s="221"/>
      <c r="O7881" s="225"/>
      <c r="P7881" s="118" t="s">
        <v>22001</v>
      </c>
      <c r="Q7881" s="16" t="s">
        <v>20</v>
      </c>
      <c r="R7881" s="17" t="s">
        <v>21969</v>
      </c>
      <c r="S7881" s="121" t="s">
        <v>21999</v>
      </c>
      <c r="T7881" s="122"/>
      <c r="U7881" s="22"/>
      <c r="V7881" s="123" t="s">
        <v>2472</v>
      </c>
      <c r="W7881" s="122">
        <v>80173</v>
      </c>
      <c r="X7881" s="221"/>
      <c r="Y7881" s="221"/>
      <c r="Z7881" s="221"/>
      <c r="AA7881" s="221"/>
      <c r="AB7881" s="223"/>
    </row>
    <row r="7882" spans="1:28" ht="17.100000000000001" customHeight="1" thickTop="1">
      <c r="A7882" s="226" t="s">
        <v>21751</v>
      </c>
      <c r="B7882" s="28">
        <v>46118</v>
      </c>
      <c r="C7882" s="25">
        <v>2088</v>
      </c>
      <c r="D7882" s="13" t="s">
        <v>1931</v>
      </c>
      <c r="E7882" s="228"/>
      <c r="F7882" s="109" t="s">
        <v>21500</v>
      </c>
      <c r="G7882" s="24"/>
      <c r="H7882" s="230">
        <v>4</v>
      </c>
      <c r="I7882" s="220">
        <v>1080000</v>
      </c>
      <c r="J7882" s="220">
        <f>I7882*0.1</f>
        <v>108000</v>
      </c>
      <c r="K7882" s="220">
        <v>0</v>
      </c>
      <c r="L7882" s="220">
        <v>17600</v>
      </c>
      <c r="M7882" s="220">
        <v>17600</v>
      </c>
      <c r="N7882" s="220">
        <f>SUM(I7882:M7883)</f>
        <v>1223200</v>
      </c>
      <c r="O7882" s="224"/>
      <c r="P7882" s="110" t="s">
        <v>22004</v>
      </c>
      <c r="Q7882" s="15" t="s">
        <v>19</v>
      </c>
      <c r="R7882" s="205"/>
      <c r="S7882" s="189" t="s">
        <v>25885</v>
      </c>
      <c r="T7882" s="114"/>
      <c r="U7882" s="21"/>
      <c r="V7882" s="115">
        <v>46130</v>
      </c>
      <c r="W7882" s="116">
        <v>1297</v>
      </c>
      <c r="X7882" s="220">
        <v>1235000</v>
      </c>
      <c r="Y7882" s="220">
        <f>X7882*0.1</f>
        <v>123500</v>
      </c>
      <c r="Z7882" s="220">
        <v>17600</v>
      </c>
      <c r="AA7882" s="220">
        <f>SUM(X7882:Z7882)</f>
        <v>1376100</v>
      </c>
      <c r="AB7882" s="222">
        <v>46133</v>
      </c>
    </row>
    <row r="7883" spans="1:28" ht="17.100000000000001" customHeight="1" thickBot="1">
      <c r="A7883" s="227"/>
      <c r="B7883" s="27" t="s">
        <v>82</v>
      </c>
      <c r="C7883" s="27">
        <v>34552</v>
      </c>
      <c r="D7883" s="14" t="s">
        <v>1548</v>
      </c>
      <c r="E7883" s="229"/>
      <c r="F7883" s="117" t="s">
        <v>21767</v>
      </c>
      <c r="G7883" s="26">
        <v>37271</v>
      </c>
      <c r="H7883" s="231"/>
      <c r="I7883" s="221"/>
      <c r="J7883" s="221"/>
      <c r="K7883" s="221"/>
      <c r="L7883" s="221"/>
      <c r="M7883" s="221"/>
      <c r="N7883" s="221"/>
      <c r="O7883" s="225"/>
      <c r="P7883" s="118" t="s">
        <v>22005</v>
      </c>
      <c r="Q7883" s="16" t="s">
        <v>20</v>
      </c>
      <c r="R7883" s="17" t="s">
        <v>21969</v>
      </c>
      <c r="S7883" s="121" t="s">
        <v>22006</v>
      </c>
      <c r="T7883" s="122"/>
      <c r="U7883" s="22"/>
      <c r="V7883" s="123" t="s">
        <v>2472</v>
      </c>
      <c r="W7883" s="122">
        <v>80011</v>
      </c>
      <c r="X7883" s="221"/>
      <c r="Y7883" s="221"/>
      <c r="Z7883" s="221"/>
      <c r="AA7883" s="221"/>
      <c r="AB7883" s="223"/>
    </row>
    <row r="7884" spans="1:28" ht="17.100000000000001" customHeight="1" thickTop="1">
      <c r="A7884" s="226" t="s">
        <v>21752</v>
      </c>
      <c r="B7884" s="28">
        <v>46118</v>
      </c>
      <c r="C7884" s="25"/>
      <c r="D7884" s="13" t="s">
        <v>1589</v>
      </c>
      <c r="E7884" s="228"/>
      <c r="F7884" s="109" t="s">
        <v>1916</v>
      </c>
      <c r="G7884" s="24" t="s">
        <v>4315</v>
      </c>
      <c r="H7884" s="230">
        <v>4</v>
      </c>
      <c r="I7884" s="220">
        <v>864000</v>
      </c>
      <c r="J7884" s="220">
        <f>I7884*0.1</f>
        <v>86400</v>
      </c>
      <c r="K7884" s="220">
        <v>34760</v>
      </c>
      <c r="L7884" s="220">
        <v>16240</v>
      </c>
      <c r="M7884" s="220">
        <v>14850</v>
      </c>
      <c r="N7884" s="220">
        <f>SUM(I7884:M7885)</f>
        <v>1016250</v>
      </c>
      <c r="O7884" s="224"/>
      <c r="P7884" s="110" t="s">
        <v>21887</v>
      </c>
      <c r="Q7884" s="15" t="s">
        <v>19</v>
      </c>
      <c r="R7884" s="205"/>
      <c r="S7884" s="189" t="s">
        <v>758</v>
      </c>
      <c r="T7884" s="114"/>
      <c r="U7884" s="21" t="s">
        <v>24879</v>
      </c>
      <c r="V7884" s="115"/>
      <c r="W7884" s="116"/>
      <c r="X7884" s="220"/>
      <c r="Y7884" s="220">
        <f>X7884*0.1</f>
        <v>0</v>
      </c>
      <c r="Z7884" s="220"/>
      <c r="AA7884" s="220">
        <f>SUM(X7884:Z7884)</f>
        <v>0</v>
      </c>
      <c r="AB7884" s="222"/>
    </row>
    <row r="7885" spans="1:28" ht="17.100000000000001" customHeight="1" thickBot="1">
      <c r="A7885" s="227"/>
      <c r="B7885" s="27" t="s">
        <v>9764</v>
      </c>
      <c r="C7885" s="27">
        <v>20190</v>
      </c>
      <c r="D7885" s="14" t="s">
        <v>1797</v>
      </c>
      <c r="E7885" s="229"/>
      <c r="F7885" s="117" t="s">
        <v>21886</v>
      </c>
      <c r="G7885" s="26">
        <v>44557</v>
      </c>
      <c r="H7885" s="231"/>
      <c r="I7885" s="221"/>
      <c r="J7885" s="221"/>
      <c r="K7885" s="221"/>
      <c r="L7885" s="221"/>
      <c r="M7885" s="221"/>
      <c r="N7885" s="221"/>
      <c r="O7885" s="225"/>
      <c r="P7885" s="118" t="s">
        <v>4030</v>
      </c>
      <c r="Q7885" s="16" t="s">
        <v>20</v>
      </c>
      <c r="R7885" s="17" t="s">
        <v>1780</v>
      </c>
      <c r="S7885" s="121" t="s">
        <v>1625</v>
      </c>
      <c r="T7885" s="122"/>
      <c r="U7885" s="22"/>
      <c r="V7885" s="123"/>
      <c r="W7885" s="122"/>
      <c r="X7885" s="221"/>
      <c r="Y7885" s="221"/>
      <c r="Z7885" s="221"/>
      <c r="AA7885" s="221"/>
      <c r="AB7885" s="223"/>
    </row>
    <row r="7886" spans="1:28" ht="17.100000000000001" customHeight="1" thickTop="1">
      <c r="A7886" s="226" t="s">
        <v>21753</v>
      </c>
      <c r="B7886" s="28">
        <v>46118</v>
      </c>
      <c r="C7886" s="25"/>
      <c r="D7886" s="13" t="s">
        <v>2637</v>
      </c>
      <c r="E7886" s="228"/>
      <c r="F7886" s="109" t="s">
        <v>20219</v>
      </c>
      <c r="G7886" s="24"/>
      <c r="H7886" s="230">
        <v>4</v>
      </c>
      <c r="I7886" s="220">
        <v>1034000</v>
      </c>
      <c r="J7886" s="220">
        <f>I7886*0.1</f>
        <v>103400</v>
      </c>
      <c r="K7886" s="220">
        <v>0</v>
      </c>
      <c r="L7886" s="220">
        <v>11810</v>
      </c>
      <c r="M7886" s="220">
        <v>14850</v>
      </c>
      <c r="N7886" s="220">
        <f>SUM(I7886:M7887)</f>
        <v>1164060</v>
      </c>
      <c r="O7886" s="224"/>
      <c r="P7886" s="110" t="s">
        <v>22317</v>
      </c>
      <c r="Q7886" s="15" t="s">
        <v>19</v>
      </c>
      <c r="R7886" s="205"/>
      <c r="S7886" s="189"/>
      <c r="T7886" s="114"/>
      <c r="U7886" s="21"/>
      <c r="V7886" s="115">
        <v>46137</v>
      </c>
      <c r="W7886" s="116">
        <v>1298</v>
      </c>
      <c r="X7886" s="220">
        <v>1100000</v>
      </c>
      <c r="Y7886" s="220">
        <f>X7886*0.1</f>
        <v>110000</v>
      </c>
      <c r="Z7886" s="220">
        <v>11810</v>
      </c>
      <c r="AA7886" s="220">
        <f>SUM(X7886:Z7886)</f>
        <v>1221810</v>
      </c>
      <c r="AB7886" s="222">
        <v>46140</v>
      </c>
    </row>
    <row r="7887" spans="1:28" ht="17.100000000000001" customHeight="1" thickBot="1">
      <c r="A7887" s="227"/>
      <c r="B7887" s="27" t="s">
        <v>2727</v>
      </c>
      <c r="C7887" s="27">
        <v>80252</v>
      </c>
      <c r="D7887" s="14" t="s">
        <v>1584</v>
      </c>
      <c r="E7887" s="229"/>
      <c r="F7887" s="117" t="s">
        <v>22316</v>
      </c>
      <c r="G7887" s="26">
        <v>39220</v>
      </c>
      <c r="H7887" s="231"/>
      <c r="I7887" s="221"/>
      <c r="J7887" s="221"/>
      <c r="K7887" s="221"/>
      <c r="L7887" s="221"/>
      <c r="M7887" s="221"/>
      <c r="N7887" s="221"/>
      <c r="O7887" s="225"/>
      <c r="P7887" s="118" t="s">
        <v>2729</v>
      </c>
      <c r="Q7887" s="16" t="s">
        <v>20</v>
      </c>
      <c r="R7887" s="17" t="s">
        <v>22315</v>
      </c>
      <c r="S7887" s="121" t="s">
        <v>22029</v>
      </c>
      <c r="T7887" s="122"/>
      <c r="U7887" s="22"/>
      <c r="V7887" s="123" t="s">
        <v>2472</v>
      </c>
      <c r="W7887" s="122">
        <v>80256</v>
      </c>
      <c r="X7887" s="221"/>
      <c r="Y7887" s="221"/>
      <c r="Z7887" s="221"/>
      <c r="AA7887" s="221"/>
      <c r="AB7887" s="223"/>
    </row>
    <row r="7888" spans="1:28" ht="17.100000000000001" customHeight="1" thickTop="1">
      <c r="A7888" s="226" t="s">
        <v>21754</v>
      </c>
      <c r="B7888" s="28">
        <v>46118</v>
      </c>
      <c r="C7888" s="25"/>
      <c r="D7888" s="13" t="s">
        <v>1996</v>
      </c>
      <c r="E7888" s="228"/>
      <c r="F7888" s="109" t="s">
        <v>18221</v>
      </c>
      <c r="G7888" s="24" t="s">
        <v>1540</v>
      </c>
      <c r="H7888" s="230">
        <v>4</v>
      </c>
      <c r="I7888" s="220">
        <v>1188000</v>
      </c>
      <c r="J7888" s="220">
        <f>I7888*0.1</f>
        <v>118800</v>
      </c>
      <c r="K7888" s="220">
        <v>39820</v>
      </c>
      <c r="L7888" s="220">
        <v>19090</v>
      </c>
      <c r="M7888" s="220">
        <v>14850</v>
      </c>
      <c r="N7888" s="220">
        <f>SUM(I7888:M7889)</f>
        <v>1380560</v>
      </c>
      <c r="O7888" s="224"/>
      <c r="P7888" s="110" t="s">
        <v>21905</v>
      </c>
      <c r="Q7888" s="15" t="s">
        <v>19</v>
      </c>
      <c r="R7888" s="205"/>
      <c r="S7888" s="189"/>
      <c r="T7888" s="114"/>
      <c r="U7888" s="21"/>
      <c r="V7888" s="115">
        <v>46144</v>
      </c>
      <c r="W7888" s="116">
        <v>1299</v>
      </c>
      <c r="X7888" s="220">
        <v>1290000</v>
      </c>
      <c r="Y7888" s="220">
        <f>X7888*0.1</f>
        <v>129000</v>
      </c>
      <c r="Z7888" s="220">
        <v>19090</v>
      </c>
      <c r="AA7888" s="220">
        <f>SUM(X7888:Z7888)</f>
        <v>1438090</v>
      </c>
      <c r="AB7888" s="222">
        <v>46154</v>
      </c>
    </row>
    <row r="7889" spans="1:28" ht="17.100000000000001" customHeight="1" thickBot="1">
      <c r="A7889" s="227"/>
      <c r="B7889" s="27" t="s">
        <v>2727</v>
      </c>
      <c r="C7889" s="27">
        <v>80255</v>
      </c>
      <c r="D7889" s="14" t="s">
        <v>898</v>
      </c>
      <c r="E7889" s="229"/>
      <c r="F7889" s="117" t="s">
        <v>22314</v>
      </c>
      <c r="G7889" s="26">
        <v>47093</v>
      </c>
      <c r="H7889" s="231"/>
      <c r="I7889" s="221"/>
      <c r="J7889" s="221"/>
      <c r="K7889" s="221"/>
      <c r="L7889" s="221"/>
      <c r="M7889" s="221"/>
      <c r="N7889" s="221"/>
      <c r="O7889" s="225"/>
      <c r="P7889" s="118" t="s">
        <v>2729</v>
      </c>
      <c r="Q7889" s="16" t="s">
        <v>20</v>
      </c>
      <c r="R7889" s="17" t="s">
        <v>22315</v>
      </c>
      <c r="S7889" s="121" t="s">
        <v>22028</v>
      </c>
      <c r="T7889" s="122"/>
      <c r="U7889" s="22"/>
      <c r="V7889" s="123" t="s">
        <v>24346</v>
      </c>
      <c r="W7889" s="122">
        <v>80241</v>
      </c>
      <c r="X7889" s="221"/>
      <c r="Y7889" s="221"/>
      <c r="Z7889" s="221"/>
      <c r="AA7889" s="221"/>
      <c r="AB7889" s="223"/>
    </row>
    <row r="7890" spans="1:28" ht="17.100000000000001" customHeight="1" thickTop="1">
      <c r="A7890" s="226" t="s">
        <v>21755</v>
      </c>
      <c r="B7890" s="28">
        <v>46119</v>
      </c>
      <c r="C7890" s="25">
        <v>1936</v>
      </c>
      <c r="D7890" s="13" t="s">
        <v>1899</v>
      </c>
      <c r="E7890" s="228"/>
      <c r="F7890" s="109" t="s">
        <v>21616</v>
      </c>
      <c r="G7890" s="24"/>
      <c r="H7890" s="230">
        <v>4</v>
      </c>
      <c r="I7890" s="220">
        <v>1213000</v>
      </c>
      <c r="J7890" s="220">
        <f>I7890*0.1</f>
        <v>121300</v>
      </c>
      <c r="K7890" s="220">
        <v>0</v>
      </c>
      <c r="L7890" s="220">
        <v>11480</v>
      </c>
      <c r="M7890" s="220">
        <v>15950</v>
      </c>
      <c r="N7890" s="220">
        <f>SUM(I7890:M7891)</f>
        <v>1361730</v>
      </c>
      <c r="O7890" s="224"/>
      <c r="P7890" s="110" t="s">
        <v>21971</v>
      </c>
      <c r="Q7890" s="15" t="s">
        <v>19</v>
      </c>
      <c r="R7890" s="205"/>
      <c r="S7890" s="189"/>
      <c r="T7890" s="114"/>
      <c r="U7890" s="21"/>
      <c r="V7890" s="115">
        <v>46130</v>
      </c>
      <c r="W7890" s="116">
        <v>1297</v>
      </c>
      <c r="X7890" s="220">
        <v>1300000</v>
      </c>
      <c r="Y7890" s="220">
        <f>X7890*0.1</f>
        <v>130000</v>
      </c>
      <c r="Z7890" s="220">
        <v>11480</v>
      </c>
      <c r="AA7890" s="220">
        <f>SUM(X7890:Z7890)</f>
        <v>1441480</v>
      </c>
      <c r="AB7890" s="222">
        <v>46139</v>
      </c>
    </row>
    <row r="7891" spans="1:28" ht="17.100000000000001" customHeight="1" thickBot="1">
      <c r="A7891" s="227"/>
      <c r="B7891" s="27" t="s">
        <v>2103</v>
      </c>
      <c r="C7891" s="27">
        <v>145</v>
      </c>
      <c r="D7891" s="14" t="s">
        <v>2559</v>
      </c>
      <c r="E7891" s="229"/>
      <c r="F7891" s="117" t="s">
        <v>21768</v>
      </c>
      <c r="G7891" s="26">
        <v>99670</v>
      </c>
      <c r="H7891" s="231"/>
      <c r="I7891" s="221"/>
      <c r="J7891" s="221"/>
      <c r="K7891" s="221"/>
      <c r="L7891" s="221"/>
      <c r="M7891" s="221"/>
      <c r="N7891" s="221"/>
      <c r="O7891" s="225"/>
      <c r="P7891" s="118" t="s">
        <v>21972</v>
      </c>
      <c r="Q7891" s="16" t="s">
        <v>20</v>
      </c>
      <c r="R7891" s="17" t="s">
        <v>21969</v>
      </c>
      <c r="S7891" s="121" t="s">
        <v>22313</v>
      </c>
      <c r="T7891" s="122"/>
      <c r="U7891" s="22"/>
      <c r="V7891" s="123" t="s">
        <v>23433</v>
      </c>
      <c r="W7891" s="122">
        <v>50316</v>
      </c>
      <c r="X7891" s="221"/>
      <c r="Y7891" s="221"/>
      <c r="Z7891" s="221"/>
      <c r="AA7891" s="221"/>
      <c r="AB7891" s="223"/>
    </row>
    <row r="7892" spans="1:28" ht="17.100000000000001" customHeight="1" thickTop="1">
      <c r="A7892" s="226" t="s">
        <v>21756</v>
      </c>
      <c r="B7892" s="28">
        <v>46119</v>
      </c>
      <c r="C7892" s="25">
        <v>1936</v>
      </c>
      <c r="D7892" s="13" t="s">
        <v>1733</v>
      </c>
      <c r="E7892" s="228"/>
      <c r="F7892" s="109" t="s">
        <v>21769</v>
      </c>
      <c r="G7892" s="24"/>
      <c r="H7892" s="230">
        <v>4</v>
      </c>
      <c r="I7892" s="220">
        <v>647000</v>
      </c>
      <c r="J7892" s="220">
        <f>I7892*0.1</f>
        <v>64700</v>
      </c>
      <c r="K7892" s="220">
        <v>0</v>
      </c>
      <c r="L7892" s="220">
        <v>9200</v>
      </c>
      <c r="M7892" s="220">
        <v>15950</v>
      </c>
      <c r="N7892" s="220">
        <f>SUM(I7892:M7893)</f>
        <v>736850</v>
      </c>
      <c r="O7892" s="224"/>
      <c r="P7892" s="110" t="s">
        <v>21973</v>
      </c>
      <c r="Q7892" s="15" t="s">
        <v>19</v>
      </c>
      <c r="R7892" s="205"/>
      <c r="S7892" s="189"/>
      <c r="T7892" s="114"/>
      <c r="U7892" s="21"/>
      <c r="V7892" s="115">
        <v>46130</v>
      </c>
      <c r="W7892" s="116">
        <v>1297</v>
      </c>
      <c r="X7892" s="220">
        <v>720000</v>
      </c>
      <c r="Y7892" s="220">
        <f>X7892*0.1</f>
        <v>72000</v>
      </c>
      <c r="Z7892" s="220">
        <v>9200</v>
      </c>
      <c r="AA7892" s="220">
        <f>SUM(X7892:Z7892)</f>
        <v>801200</v>
      </c>
      <c r="AB7892" s="222">
        <v>46133</v>
      </c>
    </row>
    <row r="7893" spans="1:28" ht="17.100000000000001" customHeight="1" thickBot="1">
      <c r="A7893" s="227"/>
      <c r="B7893" s="27" t="s">
        <v>2103</v>
      </c>
      <c r="C7893" s="27">
        <v>3223</v>
      </c>
      <c r="D7893" s="14" t="s">
        <v>131</v>
      </c>
      <c r="E7893" s="229"/>
      <c r="F7893" s="117" t="s">
        <v>21770</v>
      </c>
      <c r="G7893" s="26">
        <v>24758</v>
      </c>
      <c r="H7893" s="231"/>
      <c r="I7893" s="221"/>
      <c r="J7893" s="221"/>
      <c r="K7893" s="221"/>
      <c r="L7893" s="221"/>
      <c r="M7893" s="221"/>
      <c r="N7893" s="221"/>
      <c r="O7893" s="225"/>
      <c r="P7893" s="118" t="s">
        <v>21974</v>
      </c>
      <c r="Q7893" s="16" t="s">
        <v>20</v>
      </c>
      <c r="R7893" s="17" t="s">
        <v>21969</v>
      </c>
      <c r="S7893" s="121"/>
      <c r="T7893" s="122"/>
      <c r="U7893" s="22"/>
      <c r="V7893" s="123" t="s">
        <v>2472</v>
      </c>
      <c r="W7893" s="122">
        <v>60310</v>
      </c>
      <c r="X7893" s="221"/>
      <c r="Y7893" s="221"/>
      <c r="Z7893" s="221"/>
      <c r="AA7893" s="221"/>
      <c r="AB7893" s="223"/>
    </row>
    <row r="7894" spans="1:28" ht="17.100000000000001" customHeight="1" thickTop="1">
      <c r="A7894" s="226" t="s">
        <v>21757</v>
      </c>
      <c r="B7894" s="28">
        <v>46119</v>
      </c>
      <c r="C7894" s="25">
        <v>1936</v>
      </c>
      <c r="D7894" s="13" t="s">
        <v>2150</v>
      </c>
      <c r="E7894" s="228"/>
      <c r="F7894" s="109" t="s">
        <v>7214</v>
      </c>
      <c r="G7894" s="24"/>
      <c r="H7894" s="230">
        <v>4</v>
      </c>
      <c r="I7894" s="220">
        <v>433000</v>
      </c>
      <c r="J7894" s="220">
        <f>I7894*0.1</f>
        <v>43300</v>
      </c>
      <c r="K7894" s="220">
        <v>0</v>
      </c>
      <c r="L7894" s="220">
        <v>8400</v>
      </c>
      <c r="M7894" s="220">
        <v>15950</v>
      </c>
      <c r="N7894" s="220">
        <f>SUM(I7894:M7895)</f>
        <v>500650</v>
      </c>
      <c r="O7894" s="224"/>
      <c r="P7894" s="110" t="s">
        <v>21975</v>
      </c>
      <c r="Q7894" s="15" t="s">
        <v>19</v>
      </c>
      <c r="R7894" s="205"/>
      <c r="S7894" s="189"/>
      <c r="T7894" s="114"/>
      <c r="U7894" s="21"/>
      <c r="V7894" s="115">
        <v>46130</v>
      </c>
      <c r="W7894" s="116">
        <v>1297</v>
      </c>
      <c r="X7894" s="220">
        <v>515000</v>
      </c>
      <c r="Y7894" s="220">
        <f>X7894*0.1</f>
        <v>51500</v>
      </c>
      <c r="Z7894" s="220">
        <v>8400</v>
      </c>
      <c r="AA7894" s="220">
        <f>SUM(X7894:Z7894)</f>
        <v>574900</v>
      </c>
      <c r="AB7894" s="222">
        <v>46133</v>
      </c>
    </row>
    <row r="7895" spans="1:28" ht="17.100000000000001" customHeight="1" thickBot="1">
      <c r="A7895" s="227"/>
      <c r="B7895" s="27" t="s">
        <v>2103</v>
      </c>
      <c r="C7895" s="27">
        <v>3401</v>
      </c>
      <c r="D7895" s="14" t="s">
        <v>1548</v>
      </c>
      <c r="E7895" s="229"/>
      <c r="F7895" s="117" t="s">
        <v>21771</v>
      </c>
      <c r="G7895" s="26">
        <v>36631</v>
      </c>
      <c r="H7895" s="231"/>
      <c r="I7895" s="221"/>
      <c r="J7895" s="221"/>
      <c r="K7895" s="221"/>
      <c r="L7895" s="221"/>
      <c r="M7895" s="221"/>
      <c r="N7895" s="221"/>
      <c r="O7895" s="225"/>
      <c r="P7895" s="118" t="s">
        <v>21976</v>
      </c>
      <c r="Q7895" s="16" t="s">
        <v>20</v>
      </c>
      <c r="R7895" s="17" t="s">
        <v>21969</v>
      </c>
      <c r="S7895" s="121" t="s">
        <v>21977</v>
      </c>
      <c r="T7895" s="122"/>
      <c r="U7895" s="22"/>
      <c r="V7895" s="123" t="s">
        <v>2472</v>
      </c>
      <c r="W7895" s="122">
        <v>60320</v>
      </c>
      <c r="X7895" s="221"/>
      <c r="Y7895" s="221"/>
      <c r="Z7895" s="221"/>
      <c r="AA7895" s="221"/>
      <c r="AB7895" s="223"/>
    </row>
    <row r="7896" spans="1:28" ht="17.100000000000001" customHeight="1" thickTop="1">
      <c r="A7896" s="226" t="s">
        <v>21758</v>
      </c>
      <c r="B7896" s="28">
        <v>46119</v>
      </c>
      <c r="C7896" s="25">
        <v>1936</v>
      </c>
      <c r="D7896" s="13" t="s">
        <v>2429</v>
      </c>
      <c r="E7896" s="228"/>
      <c r="F7896" s="109" t="s">
        <v>15904</v>
      </c>
      <c r="G7896" s="24"/>
      <c r="H7896" s="230">
        <v>4</v>
      </c>
      <c r="I7896" s="220">
        <v>566000</v>
      </c>
      <c r="J7896" s="220">
        <f>I7896*0.1</f>
        <v>56600</v>
      </c>
      <c r="K7896" s="220">
        <v>0</v>
      </c>
      <c r="L7896" s="220">
        <v>8850</v>
      </c>
      <c r="M7896" s="220">
        <v>15950</v>
      </c>
      <c r="N7896" s="220">
        <f>SUM(I7896:M7897)</f>
        <v>647400</v>
      </c>
      <c r="O7896" s="224"/>
      <c r="P7896" s="110" t="s">
        <v>21985</v>
      </c>
      <c r="Q7896" s="15" t="s">
        <v>19</v>
      </c>
      <c r="R7896" s="205"/>
      <c r="S7896" s="189"/>
      <c r="T7896" s="114"/>
      <c r="U7896" s="21"/>
      <c r="V7896" s="115">
        <v>46123</v>
      </c>
      <c r="W7896" s="116">
        <v>1296</v>
      </c>
      <c r="X7896" s="220">
        <v>620000</v>
      </c>
      <c r="Y7896" s="220">
        <f>X7896*0.1</f>
        <v>62000</v>
      </c>
      <c r="Z7896" s="220">
        <v>8850</v>
      </c>
      <c r="AA7896" s="220">
        <f>SUM(X7896:Z7896)</f>
        <v>690850</v>
      </c>
      <c r="AB7896" s="222">
        <v>46126</v>
      </c>
    </row>
    <row r="7897" spans="1:28" ht="17.100000000000001" customHeight="1" thickBot="1">
      <c r="A7897" s="227"/>
      <c r="B7897" s="27" t="s">
        <v>2103</v>
      </c>
      <c r="C7897" s="27">
        <v>3402</v>
      </c>
      <c r="D7897" s="14" t="s">
        <v>273</v>
      </c>
      <c r="E7897" s="229"/>
      <c r="F7897" s="117" t="s">
        <v>21772</v>
      </c>
      <c r="G7897" s="26">
        <v>21561</v>
      </c>
      <c r="H7897" s="231"/>
      <c r="I7897" s="221"/>
      <c r="J7897" s="221"/>
      <c r="K7897" s="221"/>
      <c r="L7897" s="221"/>
      <c r="M7897" s="221"/>
      <c r="N7897" s="221"/>
      <c r="O7897" s="225"/>
      <c r="P7897" s="118" t="s">
        <v>21976</v>
      </c>
      <c r="Q7897" s="16" t="s">
        <v>20</v>
      </c>
      <c r="R7897" s="17" t="s">
        <v>21969</v>
      </c>
      <c r="S7897" s="121" t="s">
        <v>21977</v>
      </c>
      <c r="T7897" s="122"/>
      <c r="U7897" s="22"/>
      <c r="V7897" s="123" t="s">
        <v>2472</v>
      </c>
      <c r="W7897" s="122">
        <v>60505</v>
      </c>
      <c r="X7897" s="221"/>
      <c r="Y7897" s="221"/>
      <c r="Z7897" s="221"/>
      <c r="AA7897" s="221"/>
      <c r="AB7897" s="223"/>
    </row>
    <row r="7898" spans="1:28" ht="17.100000000000001" customHeight="1" thickTop="1">
      <c r="A7898" s="226" t="s">
        <v>21759</v>
      </c>
      <c r="B7898" s="28">
        <v>46119</v>
      </c>
      <c r="C7898" s="25">
        <v>1936</v>
      </c>
      <c r="D7898" s="13" t="s">
        <v>1578</v>
      </c>
      <c r="E7898" s="228"/>
      <c r="F7898" s="109" t="s">
        <v>21773</v>
      </c>
      <c r="G7898" s="24"/>
      <c r="H7898" s="230">
        <v>4</v>
      </c>
      <c r="I7898" s="220">
        <v>2250000</v>
      </c>
      <c r="J7898" s="220">
        <f>I7898*0.1</f>
        <v>225000</v>
      </c>
      <c r="K7898" s="220">
        <v>0</v>
      </c>
      <c r="L7898" s="220">
        <v>24650</v>
      </c>
      <c r="M7898" s="220">
        <v>15950</v>
      </c>
      <c r="N7898" s="220">
        <f>SUM(I7898:M7899)</f>
        <v>2515600</v>
      </c>
      <c r="O7898" s="224"/>
      <c r="P7898" s="110" t="s">
        <v>21967</v>
      </c>
      <c r="Q7898" s="15" t="s">
        <v>19</v>
      </c>
      <c r="R7898" s="205"/>
      <c r="S7898" s="189" t="s">
        <v>25470</v>
      </c>
      <c r="T7898" s="114"/>
      <c r="U7898" s="21"/>
      <c r="V7898" s="115">
        <v>46130</v>
      </c>
      <c r="W7898" s="116">
        <v>1297</v>
      </c>
      <c r="X7898" s="220">
        <v>2420000</v>
      </c>
      <c r="Y7898" s="220">
        <f>X7898*0.1</f>
        <v>242000</v>
      </c>
      <c r="Z7898" s="220">
        <v>24650</v>
      </c>
      <c r="AA7898" s="220">
        <f>SUM(X7898:Z7898)</f>
        <v>2686650</v>
      </c>
      <c r="AB7898" s="222">
        <v>46133</v>
      </c>
    </row>
    <row r="7899" spans="1:28" ht="17.100000000000001" customHeight="1" thickBot="1">
      <c r="A7899" s="227"/>
      <c r="B7899" s="27" t="s">
        <v>2103</v>
      </c>
      <c r="C7899" s="27">
        <v>5076</v>
      </c>
      <c r="D7899" s="14" t="s">
        <v>273</v>
      </c>
      <c r="E7899" s="229"/>
      <c r="F7899" s="117" t="s">
        <v>21906</v>
      </c>
      <c r="G7899" s="26">
        <v>46719</v>
      </c>
      <c r="H7899" s="231"/>
      <c r="I7899" s="221"/>
      <c r="J7899" s="221"/>
      <c r="K7899" s="221"/>
      <c r="L7899" s="221"/>
      <c r="M7899" s="221"/>
      <c r="N7899" s="221"/>
      <c r="O7899" s="225"/>
      <c r="P7899" s="118" t="s">
        <v>21968</v>
      </c>
      <c r="Q7899" s="16" t="s">
        <v>20</v>
      </c>
      <c r="R7899" s="17" t="s">
        <v>21969</v>
      </c>
      <c r="S7899" s="121" t="s">
        <v>21970</v>
      </c>
      <c r="T7899" s="122"/>
      <c r="U7899" s="22"/>
      <c r="V7899" s="123" t="s">
        <v>2472</v>
      </c>
      <c r="W7899" s="122">
        <v>80008</v>
      </c>
      <c r="X7899" s="221"/>
      <c r="Y7899" s="221"/>
      <c r="Z7899" s="221"/>
      <c r="AA7899" s="221"/>
      <c r="AB7899" s="223"/>
    </row>
    <row r="7900" spans="1:28" ht="17.100000000000001" customHeight="1" thickTop="1">
      <c r="A7900" s="226" t="s">
        <v>21780</v>
      </c>
      <c r="B7900" s="28">
        <v>46119</v>
      </c>
      <c r="C7900" s="25">
        <v>1936</v>
      </c>
      <c r="D7900" s="13" t="s">
        <v>2644</v>
      </c>
      <c r="E7900" s="228"/>
      <c r="F7900" s="109" t="s">
        <v>15665</v>
      </c>
      <c r="G7900" s="24" t="s">
        <v>4120</v>
      </c>
      <c r="H7900" s="230">
        <v>4.5</v>
      </c>
      <c r="I7900" s="220">
        <v>1251000</v>
      </c>
      <c r="J7900" s="220">
        <f>I7900*0.1</f>
        <v>125100</v>
      </c>
      <c r="K7900" s="220">
        <v>0</v>
      </c>
      <c r="L7900" s="220">
        <v>8740</v>
      </c>
      <c r="M7900" s="220">
        <v>15950</v>
      </c>
      <c r="N7900" s="220">
        <f>SUM(I7900:M7901)</f>
        <v>1400790</v>
      </c>
      <c r="O7900" s="224"/>
      <c r="P7900" s="110" t="s">
        <v>22335</v>
      </c>
      <c r="Q7900" s="15" t="s">
        <v>19</v>
      </c>
      <c r="R7900" s="205"/>
      <c r="S7900" s="189" t="s">
        <v>25450</v>
      </c>
      <c r="T7900" s="114"/>
      <c r="U7900" s="21" t="s">
        <v>24502</v>
      </c>
      <c r="V7900" s="115">
        <v>46144</v>
      </c>
      <c r="W7900" s="116">
        <v>1299</v>
      </c>
      <c r="X7900" s="220">
        <v>1340000</v>
      </c>
      <c r="Y7900" s="220">
        <f>X7900*0.1</f>
        <v>134000</v>
      </c>
      <c r="Z7900" s="220">
        <v>8740</v>
      </c>
      <c r="AA7900" s="220">
        <f>SUM(X7900:Z7900)</f>
        <v>1482740</v>
      </c>
      <c r="AB7900" s="222">
        <v>46154</v>
      </c>
    </row>
    <row r="7901" spans="1:28" ht="17.100000000000001" customHeight="1" thickBot="1">
      <c r="A7901" s="227"/>
      <c r="B7901" s="27" t="s">
        <v>2103</v>
      </c>
      <c r="C7901" s="27">
        <v>5423</v>
      </c>
      <c r="D7901" s="14" t="s">
        <v>2559</v>
      </c>
      <c r="E7901" s="229"/>
      <c r="F7901" s="117" t="s">
        <v>21774</v>
      </c>
      <c r="G7901" s="26">
        <v>34337</v>
      </c>
      <c r="H7901" s="231"/>
      <c r="I7901" s="221"/>
      <c r="J7901" s="221"/>
      <c r="K7901" s="221"/>
      <c r="L7901" s="221"/>
      <c r="M7901" s="221"/>
      <c r="N7901" s="221"/>
      <c r="O7901" s="225"/>
      <c r="P7901" s="118" t="s">
        <v>5159</v>
      </c>
      <c r="Q7901" s="16" t="s">
        <v>20</v>
      </c>
      <c r="R7901" s="17" t="s">
        <v>3406</v>
      </c>
      <c r="S7901" s="121" t="s">
        <v>22336</v>
      </c>
      <c r="T7901" s="122"/>
      <c r="U7901" s="22"/>
      <c r="V7901" s="123" t="s">
        <v>24346</v>
      </c>
      <c r="W7901" s="122">
        <v>60114</v>
      </c>
      <c r="X7901" s="221"/>
      <c r="Y7901" s="221"/>
      <c r="Z7901" s="221"/>
      <c r="AA7901" s="221"/>
      <c r="AB7901" s="223"/>
    </row>
    <row r="7902" spans="1:28" ht="17.100000000000001" customHeight="1" thickTop="1">
      <c r="A7902" s="226" t="s">
        <v>21781</v>
      </c>
      <c r="B7902" s="28">
        <v>46119</v>
      </c>
      <c r="C7902" s="25">
        <v>1936</v>
      </c>
      <c r="D7902" s="13" t="s">
        <v>1983</v>
      </c>
      <c r="E7902" s="228"/>
      <c r="F7902" s="109" t="s">
        <v>21775</v>
      </c>
      <c r="G7902" s="24"/>
      <c r="H7902" s="230">
        <v>4</v>
      </c>
      <c r="I7902" s="220">
        <v>935000</v>
      </c>
      <c r="J7902" s="220">
        <f>I7902*0.1</f>
        <v>93500</v>
      </c>
      <c r="K7902" s="220">
        <v>0</v>
      </c>
      <c r="L7902" s="220">
        <v>8130</v>
      </c>
      <c r="M7902" s="220">
        <v>15950</v>
      </c>
      <c r="N7902" s="220">
        <f>SUM(I7902:M7903)</f>
        <v>1052580</v>
      </c>
      <c r="O7902" s="224"/>
      <c r="P7902" s="110" t="s">
        <v>21982</v>
      </c>
      <c r="Q7902" s="15" t="s">
        <v>19</v>
      </c>
      <c r="R7902" s="205"/>
      <c r="S7902" s="189" t="s">
        <v>25925</v>
      </c>
      <c r="T7902" s="114"/>
      <c r="U7902" s="21"/>
      <c r="V7902" s="115">
        <v>46144</v>
      </c>
      <c r="W7902" s="116">
        <v>1299</v>
      </c>
      <c r="X7902" s="220">
        <v>1050000</v>
      </c>
      <c r="Y7902" s="220">
        <f>X7902*0.1</f>
        <v>105000</v>
      </c>
      <c r="Z7902" s="220">
        <v>8130</v>
      </c>
      <c r="AA7902" s="220">
        <f>SUM(X7902:Z7902)</f>
        <v>1163130</v>
      </c>
      <c r="AB7902" s="222">
        <v>46154</v>
      </c>
    </row>
    <row r="7903" spans="1:28" ht="17.100000000000001" customHeight="1" thickBot="1">
      <c r="A7903" s="227"/>
      <c r="B7903" s="27" t="s">
        <v>2103</v>
      </c>
      <c r="C7903" s="27">
        <v>5448</v>
      </c>
      <c r="D7903" s="14" t="s">
        <v>1568</v>
      </c>
      <c r="E7903" s="229"/>
      <c r="F7903" s="117" t="s">
        <v>21776</v>
      </c>
      <c r="G7903" s="26">
        <v>37123</v>
      </c>
      <c r="H7903" s="231"/>
      <c r="I7903" s="221"/>
      <c r="J7903" s="221"/>
      <c r="K7903" s="221"/>
      <c r="L7903" s="221"/>
      <c r="M7903" s="221"/>
      <c r="N7903" s="221"/>
      <c r="O7903" s="225"/>
      <c r="P7903" s="118" t="s">
        <v>21983</v>
      </c>
      <c r="Q7903" s="16" t="s">
        <v>20</v>
      </c>
      <c r="R7903" s="17" t="s">
        <v>21969</v>
      </c>
      <c r="S7903" s="121" t="s">
        <v>21984</v>
      </c>
      <c r="T7903" s="122"/>
      <c r="U7903" s="22"/>
      <c r="V7903" s="123" t="s">
        <v>24346</v>
      </c>
      <c r="W7903" s="122">
        <v>60106</v>
      </c>
      <c r="X7903" s="221"/>
      <c r="Y7903" s="221"/>
      <c r="Z7903" s="221"/>
      <c r="AA7903" s="221"/>
      <c r="AB7903" s="223"/>
    </row>
    <row r="7904" spans="1:28" ht="17.100000000000001" customHeight="1" thickTop="1">
      <c r="A7904" s="226" t="s">
        <v>21782</v>
      </c>
      <c r="B7904" s="28">
        <v>46119</v>
      </c>
      <c r="C7904" s="25">
        <v>1936</v>
      </c>
      <c r="D7904" s="13" t="s">
        <v>1564</v>
      </c>
      <c r="E7904" s="228"/>
      <c r="F7904" s="109" t="s">
        <v>20604</v>
      </c>
      <c r="G7904" s="24"/>
      <c r="H7904" s="230">
        <v>4.5</v>
      </c>
      <c r="I7904" s="220">
        <v>625000</v>
      </c>
      <c r="J7904" s="220">
        <f>I7904*0.1</f>
        <v>62500</v>
      </c>
      <c r="K7904" s="220">
        <v>0</v>
      </c>
      <c r="L7904" s="220">
        <v>9790</v>
      </c>
      <c r="M7904" s="220">
        <v>15950</v>
      </c>
      <c r="N7904" s="220">
        <f>SUM(I7904:M7905)</f>
        <v>713240</v>
      </c>
      <c r="O7904" s="224"/>
      <c r="P7904" s="110" t="s">
        <v>22651</v>
      </c>
      <c r="Q7904" s="15" t="s">
        <v>19</v>
      </c>
      <c r="R7904" s="205"/>
      <c r="S7904" s="189"/>
      <c r="T7904" s="114"/>
      <c r="U7904" s="21"/>
      <c r="V7904" s="115">
        <v>46130</v>
      </c>
      <c r="W7904" s="116">
        <v>1297</v>
      </c>
      <c r="X7904" s="220">
        <v>710000</v>
      </c>
      <c r="Y7904" s="220">
        <f>X7904*0.1</f>
        <v>71000</v>
      </c>
      <c r="Z7904" s="220">
        <v>9790</v>
      </c>
      <c r="AA7904" s="220">
        <f>SUM(X7904:Z7904)</f>
        <v>790790</v>
      </c>
      <c r="AB7904" s="222">
        <v>46139</v>
      </c>
    </row>
    <row r="7905" spans="1:28" ht="17.100000000000001" customHeight="1" thickBot="1">
      <c r="A7905" s="227"/>
      <c r="B7905" s="27" t="s">
        <v>2103</v>
      </c>
      <c r="C7905" s="27">
        <v>5471</v>
      </c>
      <c r="D7905" s="14" t="s">
        <v>2559</v>
      </c>
      <c r="E7905" s="229"/>
      <c r="F7905" s="117" t="s">
        <v>21777</v>
      </c>
      <c r="G7905" s="26">
        <v>44792</v>
      </c>
      <c r="H7905" s="231"/>
      <c r="I7905" s="221"/>
      <c r="J7905" s="221"/>
      <c r="K7905" s="221"/>
      <c r="L7905" s="221"/>
      <c r="M7905" s="221"/>
      <c r="N7905" s="221"/>
      <c r="O7905" s="225"/>
      <c r="P7905" s="118" t="s">
        <v>10518</v>
      </c>
      <c r="Q7905" s="16" t="s">
        <v>20</v>
      </c>
      <c r="R7905" s="17" t="s">
        <v>1930</v>
      </c>
      <c r="S7905" s="121"/>
      <c r="T7905" s="122"/>
      <c r="U7905" s="22"/>
      <c r="V7905" s="123" t="s">
        <v>6641</v>
      </c>
      <c r="W7905" s="122">
        <v>60319</v>
      </c>
      <c r="X7905" s="221"/>
      <c r="Y7905" s="221"/>
      <c r="Z7905" s="221"/>
      <c r="AA7905" s="221"/>
      <c r="AB7905" s="223"/>
    </row>
    <row r="7906" spans="1:28" ht="17.100000000000001" customHeight="1" thickTop="1">
      <c r="A7906" s="226" t="s">
        <v>21783</v>
      </c>
      <c r="B7906" s="28">
        <v>46119</v>
      </c>
      <c r="C7906" s="25">
        <v>1936</v>
      </c>
      <c r="D7906" s="13" t="s">
        <v>1883</v>
      </c>
      <c r="E7906" s="228"/>
      <c r="F7906" s="109" t="s">
        <v>15525</v>
      </c>
      <c r="G7906" s="24" t="s">
        <v>4239</v>
      </c>
      <c r="H7906" s="230">
        <v>3.5</v>
      </c>
      <c r="I7906" s="220">
        <v>639000</v>
      </c>
      <c r="J7906" s="220">
        <f>I7906*0.1</f>
        <v>63900</v>
      </c>
      <c r="K7906" s="220">
        <v>0</v>
      </c>
      <c r="L7906" s="220">
        <v>8400</v>
      </c>
      <c r="M7906" s="220">
        <v>15950</v>
      </c>
      <c r="N7906" s="220">
        <f>SUM(I7906:M7907)</f>
        <v>727250</v>
      </c>
      <c r="O7906" s="224"/>
      <c r="P7906" s="110" t="s">
        <v>21907</v>
      </c>
      <c r="Q7906" s="15" t="s">
        <v>19</v>
      </c>
      <c r="R7906" s="205"/>
      <c r="S7906" s="189"/>
      <c r="T7906" s="114"/>
      <c r="U7906" s="21"/>
      <c r="V7906" s="115">
        <v>46123</v>
      </c>
      <c r="W7906" s="116">
        <v>1296</v>
      </c>
      <c r="X7906" s="220">
        <v>740000</v>
      </c>
      <c r="Y7906" s="220">
        <f>X7906*0.1</f>
        <v>74000</v>
      </c>
      <c r="Z7906" s="220">
        <v>8400</v>
      </c>
      <c r="AA7906" s="220">
        <f>SUM(X7906:Z7906)</f>
        <v>822400</v>
      </c>
      <c r="AB7906" s="222">
        <v>46133</v>
      </c>
    </row>
    <row r="7907" spans="1:28" ht="17.100000000000001" customHeight="1" thickBot="1">
      <c r="A7907" s="227"/>
      <c r="B7907" s="27" t="s">
        <v>2103</v>
      </c>
      <c r="C7907" s="27">
        <v>30073</v>
      </c>
      <c r="D7907" s="14" t="s">
        <v>273</v>
      </c>
      <c r="E7907" s="229"/>
      <c r="F7907" s="117" t="s">
        <v>21778</v>
      </c>
      <c r="G7907" s="26">
        <v>48280</v>
      </c>
      <c r="H7907" s="231"/>
      <c r="I7907" s="221"/>
      <c r="J7907" s="221"/>
      <c r="K7907" s="221"/>
      <c r="L7907" s="221"/>
      <c r="M7907" s="221"/>
      <c r="N7907" s="221"/>
      <c r="O7907" s="225"/>
      <c r="P7907" s="118" t="s">
        <v>22617</v>
      </c>
      <c r="Q7907" s="16" t="s">
        <v>20</v>
      </c>
      <c r="R7907" s="17" t="s">
        <v>1930</v>
      </c>
      <c r="S7907" s="121" t="s">
        <v>22027</v>
      </c>
      <c r="T7907" s="122"/>
      <c r="U7907" s="22"/>
      <c r="V7907" s="123" t="s">
        <v>2472</v>
      </c>
      <c r="W7907" s="122">
        <v>60480</v>
      </c>
      <c r="X7907" s="221"/>
      <c r="Y7907" s="221"/>
      <c r="Z7907" s="221"/>
      <c r="AA7907" s="221"/>
      <c r="AB7907" s="223"/>
    </row>
    <row r="7908" spans="1:28" ht="17.100000000000001" customHeight="1" thickTop="1">
      <c r="A7908" s="226" t="s">
        <v>21784</v>
      </c>
      <c r="B7908" s="28">
        <v>46119</v>
      </c>
      <c r="C7908" s="25">
        <v>1936</v>
      </c>
      <c r="D7908" s="13" t="s">
        <v>1704</v>
      </c>
      <c r="E7908" s="228"/>
      <c r="F7908" s="109" t="s">
        <v>15197</v>
      </c>
      <c r="G7908" s="24"/>
      <c r="H7908" s="230">
        <v>4</v>
      </c>
      <c r="I7908" s="220">
        <v>346000</v>
      </c>
      <c r="J7908" s="220">
        <f>I7908*0.1</f>
        <v>34600</v>
      </c>
      <c r="K7908" s="220">
        <v>0</v>
      </c>
      <c r="L7908" s="220">
        <v>7140</v>
      </c>
      <c r="M7908" s="220">
        <v>15950</v>
      </c>
      <c r="N7908" s="220">
        <f>SUM(I7908:M7909)</f>
        <v>403690</v>
      </c>
      <c r="O7908" s="224"/>
      <c r="P7908" s="110" t="s">
        <v>22337</v>
      </c>
      <c r="Q7908" s="15" t="s">
        <v>19</v>
      </c>
      <c r="R7908" s="205"/>
      <c r="S7908" s="189"/>
      <c r="T7908" s="114"/>
      <c r="U7908" s="21"/>
      <c r="V7908" s="115"/>
      <c r="W7908" s="116"/>
      <c r="X7908" s="220"/>
      <c r="Y7908" s="220">
        <f>X7908*0.1</f>
        <v>0</v>
      </c>
      <c r="Z7908" s="220"/>
      <c r="AA7908" s="220">
        <f>SUM(X7908:Z7908)</f>
        <v>0</v>
      </c>
      <c r="AB7908" s="222"/>
    </row>
    <row r="7909" spans="1:28" ht="17.100000000000001" customHeight="1" thickBot="1">
      <c r="A7909" s="227"/>
      <c r="B7909" s="27" t="s">
        <v>2103</v>
      </c>
      <c r="C7909" s="27">
        <v>79384</v>
      </c>
      <c r="D7909" s="14" t="s">
        <v>1710</v>
      </c>
      <c r="E7909" s="229"/>
      <c r="F7909" s="117" t="s">
        <v>21779</v>
      </c>
      <c r="G7909" s="26">
        <v>58451</v>
      </c>
      <c r="H7909" s="231"/>
      <c r="I7909" s="221"/>
      <c r="J7909" s="221"/>
      <c r="K7909" s="221"/>
      <c r="L7909" s="221"/>
      <c r="M7909" s="221"/>
      <c r="N7909" s="221"/>
      <c r="O7909" s="225"/>
      <c r="P7909" s="118" t="s">
        <v>7323</v>
      </c>
      <c r="Q7909" s="16" t="s">
        <v>20</v>
      </c>
      <c r="R7909" s="17" t="s">
        <v>3406</v>
      </c>
      <c r="S7909" s="121"/>
      <c r="T7909" s="122"/>
      <c r="U7909" s="22"/>
      <c r="V7909" s="123"/>
      <c r="W7909" s="122"/>
      <c r="X7909" s="221"/>
      <c r="Y7909" s="221"/>
      <c r="Z7909" s="221"/>
      <c r="AA7909" s="221"/>
      <c r="AB7909" s="223"/>
    </row>
    <row r="7910" spans="1:28" ht="17.100000000000001" customHeight="1" thickTop="1">
      <c r="A7910" s="226" t="s">
        <v>21785</v>
      </c>
      <c r="B7910" s="28">
        <v>46119</v>
      </c>
      <c r="C7910" s="25">
        <v>814</v>
      </c>
      <c r="D7910" s="13" t="s">
        <v>1899</v>
      </c>
      <c r="E7910" s="228"/>
      <c r="F7910" s="109" t="s">
        <v>21799</v>
      </c>
      <c r="G7910" s="24" t="s">
        <v>2530</v>
      </c>
      <c r="H7910" s="230">
        <v>3.5</v>
      </c>
      <c r="I7910" s="220">
        <v>532000</v>
      </c>
      <c r="J7910" s="220">
        <f>I7910*0.1</f>
        <v>53200</v>
      </c>
      <c r="K7910" s="220">
        <v>0</v>
      </c>
      <c r="L7910" s="220">
        <v>8400</v>
      </c>
      <c r="M7910" s="220">
        <v>15950</v>
      </c>
      <c r="N7910" s="220">
        <f>SUM(I7910:M7911)</f>
        <v>609550</v>
      </c>
      <c r="O7910" s="224"/>
      <c r="P7910" s="110" t="s">
        <v>21908</v>
      </c>
      <c r="Q7910" s="15" t="s">
        <v>19</v>
      </c>
      <c r="R7910" s="205"/>
      <c r="S7910" s="189"/>
      <c r="T7910" s="114"/>
      <c r="U7910" s="21"/>
      <c r="V7910" s="115">
        <v>46130</v>
      </c>
      <c r="W7910" s="116">
        <v>1462</v>
      </c>
      <c r="X7910" s="220">
        <v>610000</v>
      </c>
      <c r="Y7910" s="220">
        <v>61000</v>
      </c>
      <c r="Z7910" s="220">
        <v>8400</v>
      </c>
      <c r="AA7910" s="220">
        <f>SUM(X7910:Z7910)</f>
        <v>679400</v>
      </c>
      <c r="AB7910" s="222"/>
    </row>
    <row r="7911" spans="1:28" ht="17.100000000000001" customHeight="1" thickBot="1">
      <c r="A7911" s="227"/>
      <c r="B7911" s="27" t="s">
        <v>3314</v>
      </c>
      <c r="C7911" s="27">
        <v>3006</v>
      </c>
      <c r="D7911" s="14" t="s">
        <v>2177</v>
      </c>
      <c r="E7911" s="229"/>
      <c r="F7911" s="117" t="s">
        <v>21800</v>
      </c>
      <c r="G7911" s="26">
        <v>58790</v>
      </c>
      <c r="H7911" s="231"/>
      <c r="I7911" s="221"/>
      <c r="J7911" s="221"/>
      <c r="K7911" s="221"/>
      <c r="L7911" s="221"/>
      <c r="M7911" s="221"/>
      <c r="N7911" s="221"/>
      <c r="O7911" s="225"/>
      <c r="P7911" s="118" t="s">
        <v>21993</v>
      </c>
      <c r="Q7911" s="16" t="s">
        <v>20</v>
      </c>
      <c r="R7911" s="17" t="s">
        <v>21969</v>
      </c>
      <c r="S7911" s="121"/>
      <c r="T7911" s="122"/>
      <c r="U7911" s="22"/>
      <c r="V7911" s="123" t="s">
        <v>22959</v>
      </c>
      <c r="W7911" s="122">
        <v>3030</v>
      </c>
      <c r="X7911" s="221"/>
      <c r="Y7911" s="221"/>
      <c r="Z7911" s="221"/>
      <c r="AA7911" s="221"/>
      <c r="AB7911" s="223"/>
    </row>
    <row r="7912" spans="1:28" ht="17.100000000000001" customHeight="1" thickTop="1">
      <c r="A7912" s="226" t="s">
        <v>21786</v>
      </c>
      <c r="B7912" s="28">
        <v>46119</v>
      </c>
      <c r="C7912" s="25">
        <v>814</v>
      </c>
      <c r="D7912" s="13" t="s">
        <v>2790</v>
      </c>
      <c r="E7912" s="228"/>
      <c r="F7912" s="109" t="s">
        <v>21182</v>
      </c>
      <c r="G7912" s="24" t="s">
        <v>2084</v>
      </c>
      <c r="H7912" s="230">
        <v>4.5</v>
      </c>
      <c r="I7912" s="220">
        <v>1019000</v>
      </c>
      <c r="J7912" s="220">
        <f>I7912*0.1</f>
        <v>101900</v>
      </c>
      <c r="K7912" s="220">
        <v>0</v>
      </c>
      <c r="L7912" s="220">
        <v>11100</v>
      </c>
      <c r="M7912" s="220">
        <v>15950</v>
      </c>
      <c r="N7912" s="220">
        <f>SUM(I7912:M7913)</f>
        <v>1147950</v>
      </c>
      <c r="O7912" s="224"/>
      <c r="P7912" s="110" t="s">
        <v>21910</v>
      </c>
      <c r="Q7912" s="15" t="s">
        <v>19</v>
      </c>
      <c r="R7912" s="205"/>
      <c r="S7912" s="189" t="s">
        <v>25926</v>
      </c>
      <c r="T7912" s="114"/>
      <c r="U7912" s="21"/>
      <c r="V7912" s="115">
        <v>46137</v>
      </c>
      <c r="W7912" s="116">
        <v>1298</v>
      </c>
      <c r="X7912" s="220">
        <v>1090000</v>
      </c>
      <c r="Y7912" s="220">
        <f>X7912*0.1</f>
        <v>109000</v>
      </c>
      <c r="Z7912" s="220">
        <v>11100</v>
      </c>
      <c r="AA7912" s="220">
        <f>SUM(X7912:Z7912)</f>
        <v>1210100</v>
      </c>
      <c r="AB7912" s="222">
        <v>46140</v>
      </c>
    </row>
    <row r="7913" spans="1:28" ht="17.100000000000001" customHeight="1" thickBot="1">
      <c r="A7913" s="227"/>
      <c r="B7913" s="27" t="s">
        <v>3314</v>
      </c>
      <c r="C7913" s="27">
        <v>3097</v>
      </c>
      <c r="D7913" s="14" t="s">
        <v>1710</v>
      </c>
      <c r="E7913" s="229"/>
      <c r="F7913" s="117" t="s">
        <v>21801</v>
      </c>
      <c r="G7913" s="26">
        <v>26529</v>
      </c>
      <c r="H7913" s="231"/>
      <c r="I7913" s="221"/>
      <c r="J7913" s="221"/>
      <c r="K7913" s="221"/>
      <c r="L7913" s="221"/>
      <c r="M7913" s="221"/>
      <c r="N7913" s="221"/>
      <c r="O7913" s="225"/>
      <c r="P7913" s="118" t="s">
        <v>21994</v>
      </c>
      <c r="Q7913" s="16" t="s">
        <v>20</v>
      </c>
      <c r="R7913" s="17" t="s">
        <v>21969</v>
      </c>
      <c r="S7913" s="121" t="s">
        <v>21995</v>
      </c>
      <c r="T7913" s="122"/>
      <c r="U7913" s="22"/>
      <c r="V7913" s="123" t="s">
        <v>2472</v>
      </c>
      <c r="W7913" s="122">
        <v>60215</v>
      </c>
      <c r="X7913" s="221"/>
      <c r="Y7913" s="221"/>
      <c r="Z7913" s="221"/>
      <c r="AA7913" s="221"/>
      <c r="AB7913" s="223"/>
    </row>
    <row r="7914" spans="1:28" ht="17.100000000000001" customHeight="1" thickTop="1">
      <c r="A7914" s="226" t="s">
        <v>21787</v>
      </c>
      <c r="B7914" s="28">
        <v>46119</v>
      </c>
      <c r="C7914" s="25">
        <v>814</v>
      </c>
      <c r="D7914" s="13" t="s">
        <v>2790</v>
      </c>
      <c r="E7914" s="228"/>
      <c r="F7914" s="109" t="s">
        <v>19462</v>
      </c>
      <c r="G7914" s="24" t="s">
        <v>2084</v>
      </c>
      <c r="H7914" s="230">
        <v>4</v>
      </c>
      <c r="I7914" s="220">
        <v>1043000</v>
      </c>
      <c r="J7914" s="220">
        <f>I7914*0.1</f>
        <v>104300</v>
      </c>
      <c r="K7914" s="220">
        <v>0</v>
      </c>
      <c r="L7914" s="220">
        <v>11100</v>
      </c>
      <c r="M7914" s="220">
        <v>15950</v>
      </c>
      <c r="N7914" s="220">
        <f>SUM(I7914:M7915)</f>
        <v>1174350</v>
      </c>
      <c r="O7914" s="224"/>
      <c r="P7914" s="110" t="s">
        <v>21909</v>
      </c>
      <c r="Q7914" s="15" t="s">
        <v>19</v>
      </c>
      <c r="R7914" s="205"/>
      <c r="S7914" s="189" t="s">
        <v>25926</v>
      </c>
      <c r="T7914" s="114"/>
      <c r="U7914" s="21"/>
      <c r="V7914" s="115">
        <v>46137</v>
      </c>
      <c r="W7914" s="116">
        <v>1298</v>
      </c>
      <c r="X7914" s="220">
        <v>1120000</v>
      </c>
      <c r="Y7914" s="220">
        <f>X7914*0.1</f>
        <v>112000</v>
      </c>
      <c r="Z7914" s="220">
        <v>11100</v>
      </c>
      <c r="AA7914" s="220">
        <f>SUM(X7914:Z7914)</f>
        <v>1243100</v>
      </c>
      <c r="AB7914" s="222">
        <v>46154</v>
      </c>
    </row>
    <row r="7915" spans="1:28" ht="17.100000000000001" customHeight="1" thickBot="1">
      <c r="A7915" s="227"/>
      <c r="B7915" s="27" t="s">
        <v>3314</v>
      </c>
      <c r="C7915" s="27">
        <v>3101</v>
      </c>
      <c r="D7915" s="14" t="s">
        <v>1710</v>
      </c>
      <c r="E7915" s="229"/>
      <c r="F7915" s="117" t="s">
        <v>21802</v>
      </c>
      <c r="G7915" s="26">
        <v>25780</v>
      </c>
      <c r="H7915" s="231"/>
      <c r="I7915" s="221"/>
      <c r="J7915" s="221"/>
      <c r="K7915" s="221"/>
      <c r="L7915" s="221"/>
      <c r="M7915" s="221"/>
      <c r="N7915" s="221"/>
      <c r="O7915" s="225"/>
      <c r="P7915" s="118" t="s">
        <v>21994</v>
      </c>
      <c r="Q7915" s="16" t="s">
        <v>20</v>
      </c>
      <c r="R7915" s="17" t="s">
        <v>21969</v>
      </c>
      <c r="S7915" s="121" t="s">
        <v>21995</v>
      </c>
      <c r="T7915" s="122"/>
      <c r="U7915" s="22"/>
      <c r="V7915" s="123" t="s">
        <v>6642</v>
      </c>
      <c r="W7915" s="122">
        <v>60213</v>
      </c>
      <c r="X7915" s="221"/>
      <c r="Y7915" s="221"/>
      <c r="Z7915" s="221"/>
      <c r="AA7915" s="221"/>
      <c r="AB7915" s="223"/>
    </row>
    <row r="7916" spans="1:28" ht="17.100000000000001" customHeight="1" thickTop="1">
      <c r="A7916" s="226" t="s">
        <v>21788</v>
      </c>
      <c r="B7916" s="28">
        <v>46119</v>
      </c>
      <c r="C7916" s="25">
        <v>814</v>
      </c>
      <c r="D7916" s="13" t="s">
        <v>2790</v>
      </c>
      <c r="E7916" s="228"/>
      <c r="F7916" s="109" t="s">
        <v>19462</v>
      </c>
      <c r="G7916" s="24" t="s">
        <v>2084</v>
      </c>
      <c r="H7916" s="230">
        <v>4.5</v>
      </c>
      <c r="I7916" s="220">
        <v>1046000</v>
      </c>
      <c r="J7916" s="220">
        <f>I7916*0.1</f>
        <v>104600</v>
      </c>
      <c r="K7916" s="220">
        <v>0</v>
      </c>
      <c r="L7916" s="220">
        <v>11100</v>
      </c>
      <c r="M7916" s="220">
        <v>15950</v>
      </c>
      <c r="N7916" s="220">
        <f>SUM(I7916:M7917)</f>
        <v>1177650</v>
      </c>
      <c r="O7916" s="224"/>
      <c r="P7916" s="110" t="s">
        <v>21911</v>
      </c>
      <c r="Q7916" s="15" t="s">
        <v>19</v>
      </c>
      <c r="R7916" s="205"/>
      <c r="S7916" s="189" t="s">
        <v>25926</v>
      </c>
      <c r="T7916" s="114"/>
      <c r="U7916" s="21"/>
      <c r="V7916" s="115">
        <v>46137</v>
      </c>
      <c r="W7916" s="116">
        <v>1298</v>
      </c>
      <c r="X7916" s="220">
        <v>1100000</v>
      </c>
      <c r="Y7916" s="220">
        <f>X7916*0.1</f>
        <v>110000</v>
      </c>
      <c r="Z7916" s="220">
        <v>11100</v>
      </c>
      <c r="AA7916" s="220">
        <f>SUM(X7916:Z7916)</f>
        <v>1221100</v>
      </c>
      <c r="AB7916" s="222">
        <v>46140</v>
      </c>
    </row>
    <row r="7917" spans="1:28" ht="17.100000000000001" customHeight="1" thickBot="1">
      <c r="A7917" s="227"/>
      <c r="B7917" s="27" t="s">
        <v>3314</v>
      </c>
      <c r="C7917" s="27">
        <v>3102</v>
      </c>
      <c r="D7917" s="14" t="s">
        <v>1710</v>
      </c>
      <c r="E7917" s="229"/>
      <c r="F7917" s="117" t="s">
        <v>21803</v>
      </c>
      <c r="G7917" s="26">
        <v>24587</v>
      </c>
      <c r="H7917" s="231"/>
      <c r="I7917" s="221"/>
      <c r="J7917" s="221"/>
      <c r="K7917" s="221"/>
      <c r="L7917" s="221"/>
      <c r="M7917" s="221"/>
      <c r="N7917" s="221"/>
      <c r="O7917" s="225"/>
      <c r="P7917" s="118" t="s">
        <v>21994</v>
      </c>
      <c r="Q7917" s="16" t="s">
        <v>20</v>
      </c>
      <c r="R7917" s="17" t="s">
        <v>21969</v>
      </c>
      <c r="S7917" s="121" t="s">
        <v>21995</v>
      </c>
      <c r="T7917" s="122"/>
      <c r="U7917" s="22"/>
      <c r="V7917" s="123" t="s">
        <v>2472</v>
      </c>
      <c r="W7917" s="122">
        <v>60211</v>
      </c>
      <c r="X7917" s="221"/>
      <c r="Y7917" s="221"/>
      <c r="Z7917" s="221"/>
      <c r="AA7917" s="221"/>
      <c r="AB7917" s="223"/>
    </row>
    <row r="7918" spans="1:28" ht="17.100000000000001" customHeight="1" thickTop="1">
      <c r="A7918" s="226" t="s">
        <v>21789</v>
      </c>
      <c r="B7918" s="28">
        <v>46119</v>
      </c>
      <c r="C7918" s="25">
        <v>814</v>
      </c>
      <c r="D7918" s="13" t="s">
        <v>2712</v>
      </c>
      <c r="E7918" s="228"/>
      <c r="F7918" s="109" t="s">
        <v>1916</v>
      </c>
      <c r="G7918" s="24" t="s">
        <v>2907</v>
      </c>
      <c r="H7918" s="230">
        <v>3.5</v>
      </c>
      <c r="I7918" s="220">
        <v>1220000</v>
      </c>
      <c r="J7918" s="220">
        <f>I7918*0.1</f>
        <v>122000</v>
      </c>
      <c r="K7918" s="220">
        <v>30690</v>
      </c>
      <c r="L7918" s="220">
        <v>17600</v>
      </c>
      <c r="M7918" s="220">
        <v>15950</v>
      </c>
      <c r="N7918" s="220">
        <f>SUM(I7918:M7919)</f>
        <v>1406240</v>
      </c>
      <c r="O7918" s="224"/>
      <c r="P7918" s="110" t="s">
        <v>21913</v>
      </c>
      <c r="Q7918" s="15" t="s">
        <v>19</v>
      </c>
      <c r="R7918" s="205"/>
      <c r="S7918" s="189"/>
      <c r="T7918" s="114"/>
      <c r="U7918" s="21"/>
      <c r="V7918" s="115">
        <v>46130</v>
      </c>
      <c r="W7918" s="116">
        <v>1297</v>
      </c>
      <c r="X7918" s="220">
        <v>1960000</v>
      </c>
      <c r="Y7918" s="220">
        <f>X7918*0.1</f>
        <v>196000</v>
      </c>
      <c r="Z7918" s="220">
        <v>17600</v>
      </c>
      <c r="AA7918" s="220">
        <f>SUM(X7918:Z7918)</f>
        <v>2173600</v>
      </c>
      <c r="AB7918" s="222">
        <v>46133</v>
      </c>
    </row>
    <row r="7919" spans="1:28" ht="17.100000000000001" customHeight="1" thickBot="1">
      <c r="A7919" s="227"/>
      <c r="B7919" s="27" t="s">
        <v>3314</v>
      </c>
      <c r="C7919" s="27">
        <v>70125</v>
      </c>
      <c r="D7919" s="14" t="s">
        <v>2753</v>
      </c>
      <c r="E7919" s="229"/>
      <c r="F7919" s="117" t="s">
        <v>21912</v>
      </c>
      <c r="G7919" s="26">
        <v>26651</v>
      </c>
      <c r="H7919" s="231"/>
      <c r="I7919" s="221"/>
      <c r="J7919" s="221"/>
      <c r="K7919" s="221"/>
      <c r="L7919" s="221"/>
      <c r="M7919" s="221"/>
      <c r="N7919" s="221"/>
      <c r="O7919" s="225"/>
      <c r="P7919" s="118" t="s">
        <v>22324</v>
      </c>
      <c r="Q7919" s="16" t="s">
        <v>20</v>
      </c>
      <c r="R7919" s="17" t="s">
        <v>3406</v>
      </c>
      <c r="S7919" s="121" t="s">
        <v>4008</v>
      </c>
      <c r="T7919" s="122"/>
      <c r="U7919" s="22"/>
      <c r="V7919" s="123" t="s">
        <v>2472</v>
      </c>
      <c r="W7919" s="122">
        <v>80009</v>
      </c>
      <c r="X7919" s="221"/>
      <c r="Y7919" s="221"/>
      <c r="Z7919" s="221"/>
      <c r="AA7919" s="221"/>
      <c r="AB7919" s="223"/>
    </row>
    <row r="7920" spans="1:28" ht="17.100000000000001" customHeight="1" thickTop="1">
      <c r="A7920" s="226" t="s">
        <v>21790</v>
      </c>
      <c r="B7920" s="28">
        <v>46119</v>
      </c>
      <c r="C7920" s="25">
        <v>934</v>
      </c>
      <c r="D7920" s="13" t="s">
        <v>1996</v>
      </c>
      <c r="E7920" s="228"/>
      <c r="F7920" s="109" t="s">
        <v>15625</v>
      </c>
      <c r="G7920" s="24"/>
      <c r="H7920" s="230">
        <v>4</v>
      </c>
      <c r="I7920" s="220">
        <v>1093000</v>
      </c>
      <c r="J7920" s="220">
        <f>I7920*0.1</f>
        <v>109300</v>
      </c>
      <c r="K7920" s="220">
        <v>0</v>
      </c>
      <c r="L7920" s="220">
        <v>11480</v>
      </c>
      <c r="M7920" s="220">
        <v>15950</v>
      </c>
      <c r="N7920" s="220">
        <f>SUM(I7920:M7921)</f>
        <v>1229730</v>
      </c>
      <c r="O7920" s="224"/>
      <c r="P7920" s="110" t="s">
        <v>22459</v>
      </c>
      <c r="Q7920" s="15" t="s">
        <v>19</v>
      </c>
      <c r="R7920" s="205"/>
      <c r="S7920" s="189"/>
      <c r="T7920" s="114"/>
      <c r="U7920" s="21"/>
      <c r="V7920" s="115">
        <v>46144</v>
      </c>
      <c r="W7920" s="116">
        <v>1299</v>
      </c>
      <c r="X7920" s="220">
        <v>1200000</v>
      </c>
      <c r="Y7920" s="220">
        <f>X7920*0.1</f>
        <v>120000</v>
      </c>
      <c r="Z7920" s="220">
        <v>11480</v>
      </c>
      <c r="AA7920" s="220">
        <f>SUM(X7920:Z7920)</f>
        <v>1331480</v>
      </c>
      <c r="AB7920" s="222">
        <v>46154</v>
      </c>
    </row>
    <row r="7921" spans="1:28" ht="17.100000000000001" customHeight="1" thickBot="1">
      <c r="A7921" s="227"/>
      <c r="B7921" s="27" t="s">
        <v>2654</v>
      </c>
      <c r="C7921" s="27">
        <v>57</v>
      </c>
      <c r="D7921" s="14" t="s">
        <v>273</v>
      </c>
      <c r="E7921" s="229"/>
      <c r="F7921" s="117" t="s">
        <v>21804</v>
      </c>
      <c r="G7921" s="26">
        <v>101887</v>
      </c>
      <c r="H7921" s="231"/>
      <c r="I7921" s="221"/>
      <c r="J7921" s="221"/>
      <c r="K7921" s="221"/>
      <c r="L7921" s="221"/>
      <c r="M7921" s="221"/>
      <c r="N7921" s="221"/>
      <c r="O7921" s="225"/>
      <c r="P7921" s="118" t="s">
        <v>22460</v>
      </c>
      <c r="Q7921" s="16" t="s">
        <v>20</v>
      </c>
      <c r="R7921" s="17" t="s">
        <v>22427</v>
      </c>
      <c r="S7921" s="121" t="s">
        <v>22311</v>
      </c>
      <c r="T7921" s="122"/>
      <c r="U7921" s="22"/>
      <c r="V7921" s="123" t="s">
        <v>24605</v>
      </c>
      <c r="W7921" s="122">
        <v>50365</v>
      </c>
      <c r="X7921" s="221"/>
      <c r="Y7921" s="221"/>
      <c r="Z7921" s="221"/>
      <c r="AA7921" s="221"/>
      <c r="AB7921" s="223"/>
    </row>
    <row r="7922" spans="1:28" ht="17.100000000000001" customHeight="1" thickTop="1">
      <c r="A7922" s="226" t="s">
        <v>21791</v>
      </c>
      <c r="B7922" s="28">
        <v>46119</v>
      </c>
      <c r="C7922" s="25">
        <v>934</v>
      </c>
      <c r="D7922" s="13" t="s">
        <v>1810</v>
      </c>
      <c r="E7922" s="228"/>
      <c r="F7922" s="109" t="s">
        <v>15619</v>
      </c>
      <c r="G7922" s="24"/>
      <c r="H7922" s="230">
        <v>4</v>
      </c>
      <c r="I7922" s="220">
        <v>1353000</v>
      </c>
      <c r="J7922" s="220">
        <f>I7922*0.1</f>
        <v>135300</v>
      </c>
      <c r="K7922" s="220">
        <v>0</v>
      </c>
      <c r="L7922" s="220">
        <v>6850</v>
      </c>
      <c r="M7922" s="220">
        <v>15950</v>
      </c>
      <c r="N7922" s="220">
        <f>SUM(I7922:M7923)</f>
        <v>1511100</v>
      </c>
      <c r="O7922" s="224"/>
      <c r="P7922" s="110" t="s">
        <v>21980</v>
      </c>
      <c r="Q7922" s="15" t="s">
        <v>19</v>
      </c>
      <c r="R7922" s="205"/>
      <c r="S7922" s="189" t="s">
        <v>758</v>
      </c>
      <c r="T7922" s="114"/>
      <c r="U7922" s="21"/>
      <c r="V7922" s="115">
        <v>46137</v>
      </c>
      <c r="W7922" s="116">
        <v>1298</v>
      </c>
      <c r="X7922" s="220">
        <v>1505000</v>
      </c>
      <c r="Y7922" s="220">
        <f>X7922*0.1</f>
        <v>150500</v>
      </c>
      <c r="Z7922" s="220">
        <v>6850</v>
      </c>
      <c r="AA7922" s="220">
        <f>SUM(X7922:Z7922)</f>
        <v>1662350</v>
      </c>
      <c r="AB7922" s="222">
        <v>46140</v>
      </c>
    </row>
    <row r="7923" spans="1:28" ht="17.100000000000001" customHeight="1" thickBot="1">
      <c r="A7923" s="227"/>
      <c r="B7923" s="27" t="s">
        <v>2654</v>
      </c>
      <c r="C7923" s="27">
        <v>3029</v>
      </c>
      <c r="D7923" s="14" t="s">
        <v>273</v>
      </c>
      <c r="E7923" s="229"/>
      <c r="F7923" s="117" t="s">
        <v>21805</v>
      </c>
      <c r="G7923" s="26">
        <v>33790</v>
      </c>
      <c r="H7923" s="231"/>
      <c r="I7923" s="221"/>
      <c r="J7923" s="221"/>
      <c r="K7923" s="221"/>
      <c r="L7923" s="221"/>
      <c r="M7923" s="221"/>
      <c r="N7923" s="221"/>
      <c r="O7923" s="225"/>
      <c r="P7923" s="118" t="s">
        <v>21981</v>
      </c>
      <c r="Q7923" s="16" t="s">
        <v>20</v>
      </c>
      <c r="R7923" s="17" t="s">
        <v>21969</v>
      </c>
      <c r="S7923" s="121" t="s">
        <v>22312</v>
      </c>
      <c r="T7923" s="122"/>
      <c r="U7923" s="22"/>
      <c r="V7923" s="123" t="s">
        <v>2472</v>
      </c>
      <c r="W7923" s="122">
        <v>60134</v>
      </c>
      <c r="X7923" s="221"/>
      <c r="Y7923" s="221"/>
      <c r="Z7923" s="221"/>
      <c r="AA7923" s="221"/>
      <c r="AB7923" s="223"/>
    </row>
    <row r="7924" spans="1:28" ht="17.100000000000001" customHeight="1" thickTop="1">
      <c r="A7924" s="226" t="s">
        <v>21792</v>
      </c>
      <c r="B7924" s="28">
        <v>46119</v>
      </c>
      <c r="C7924" s="25">
        <v>934</v>
      </c>
      <c r="D7924" s="13" t="s">
        <v>2324</v>
      </c>
      <c r="E7924" s="228"/>
      <c r="F7924" s="109" t="s">
        <v>14902</v>
      </c>
      <c r="G7924" s="24"/>
      <c r="H7924" s="230">
        <v>4</v>
      </c>
      <c r="I7924" s="220">
        <v>1002000</v>
      </c>
      <c r="J7924" s="220">
        <f>I7924*0.1</f>
        <v>100200</v>
      </c>
      <c r="K7924" s="220">
        <v>0</v>
      </c>
      <c r="L7924" s="220">
        <v>7150</v>
      </c>
      <c r="M7924" s="220">
        <v>15950</v>
      </c>
      <c r="N7924" s="220">
        <f>SUM(I7924:M7925)</f>
        <v>1125300</v>
      </c>
      <c r="O7924" s="224"/>
      <c r="P7924" s="110" t="s">
        <v>21988</v>
      </c>
      <c r="Q7924" s="15" t="s">
        <v>19</v>
      </c>
      <c r="R7924" s="205"/>
      <c r="S7924" s="189"/>
      <c r="T7924" s="114"/>
      <c r="U7924" s="21"/>
      <c r="V7924" s="115">
        <v>46123</v>
      </c>
      <c r="W7924" s="116">
        <v>1296</v>
      </c>
      <c r="X7924" s="220">
        <v>1075000</v>
      </c>
      <c r="Y7924" s="220">
        <f>X7924*0.1</f>
        <v>107500</v>
      </c>
      <c r="Z7924" s="220">
        <v>7150</v>
      </c>
      <c r="AA7924" s="220">
        <f>SUM(X7924:Z7924)</f>
        <v>1189650</v>
      </c>
      <c r="AB7924" s="222">
        <v>46126</v>
      </c>
    </row>
    <row r="7925" spans="1:28" ht="17.100000000000001" customHeight="1" thickBot="1">
      <c r="A7925" s="227"/>
      <c r="B7925" s="27" t="s">
        <v>2654</v>
      </c>
      <c r="C7925" s="27">
        <v>3081</v>
      </c>
      <c r="D7925" s="14" t="s">
        <v>273</v>
      </c>
      <c r="E7925" s="229"/>
      <c r="F7925" s="117" t="s">
        <v>21806</v>
      </c>
      <c r="G7925" s="26">
        <v>17649</v>
      </c>
      <c r="H7925" s="231"/>
      <c r="I7925" s="221"/>
      <c r="J7925" s="221"/>
      <c r="K7925" s="221"/>
      <c r="L7925" s="221"/>
      <c r="M7925" s="221"/>
      <c r="N7925" s="221"/>
      <c r="O7925" s="225"/>
      <c r="P7925" s="118" t="s">
        <v>21989</v>
      </c>
      <c r="Q7925" s="16" t="s">
        <v>20</v>
      </c>
      <c r="R7925" s="17" t="s">
        <v>21969</v>
      </c>
      <c r="S7925" s="121" t="s">
        <v>22024</v>
      </c>
      <c r="T7925" s="122"/>
      <c r="U7925" s="22"/>
      <c r="V7925" s="123" t="s">
        <v>2472</v>
      </c>
      <c r="W7925" s="122">
        <v>60507</v>
      </c>
      <c r="X7925" s="221"/>
      <c r="Y7925" s="221"/>
      <c r="Z7925" s="221"/>
      <c r="AA7925" s="221"/>
      <c r="AB7925" s="223"/>
    </row>
    <row r="7926" spans="1:28" ht="17.100000000000001" customHeight="1" thickTop="1">
      <c r="A7926" s="226" t="s">
        <v>21793</v>
      </c>
      <c r="B7926" s="28">
        <v>46119</v>
      </c>
      <c r="C7926" s="25">
        <v>934</v>
      </c>
      <c r="D7926" s="13" t="s">
        <v>1816</v>
      </c>
      <c r="E7926" s="228"/>
      <c r="F7926" s="109" t="s">
        <v>7450</v>
      </c>
      <c r="G7926" s="24"/>
      <c r="H7926" s="232" t="s">
        <v>11953</v>
      </c>
      <c r="I7926" s="220">
        <v>1750000</v>
      </c>
      <c r="J7926" s="220">
        <f>I7926*0.1</f>
        <v>175000</v>
      </c>
      <c r="K7926" s="220">
        <v>0</v>
      </c>
      <c r="L7926" s="220">
        <v>8460</v>
      </c>
      <c r="M7926" s="220">
        <v>15950</v>
      </c>
      <c r="N7926" s="220">
        <f>SUM(I7926:M7927)</f>
        <v>1949410</v>
      </c>
      <c r="O7926" s="224"/>
      <c r="P7926" s="110" t="s">
        <v>21992</v>
      </c>
      <c r="Q7926" s="15" t="s">
        <v>19</v>
      </c>
      <c r="R7926" s="205"/>
      <c r="S7926" s="189"/>
      <c r="T7926" s="114"/>
      <c r="U7926" s="21"/>
      <c r="V7926" s="115">
        <v>46144</v>
      </c>
      <c r="W7926" s="116">
        <v>1299</v>
      </c>
      <c r="X7926" s="220">
        <v>275000</v>
      </c>
      <c r="Y7926" s="220">
        <f>X7926*0.1</f>
        <v>27500</v>
      </c>
      <c r="Z7926" s="220">
        <v>8460</v>
      </c>
      <c r="AA7926" s="220">
        <f>SUM(X7926:Z7926)</f>
        <v>310960</v>
      </c>
      <c r="AB7926" s="222">
        <v>46154</v>
      </c>
    </row>
    <row r="7927" spans="1:28" ht="17.100000000000001" customHeight="1" thickBot="1">
      <c r="A7927" s="227"/>
      <c r="B7927" s="27" t="s">
        <v>2654</v>
      </c>
      <c r="C7927" s="27">
        <v>3109</v>
      </c>
      <c r="D7927" s="14" t="s">
        <v>1710</v>
      </c>
      <c r="E7927" s="229"/>
      <c r="F7927" s="117" t="s">
        <v>21807</v>
      </c>
      <c r="G7927" s="26">
        <v>36583</v>
      </c>
      <c r="H7927" s="231"/>
      <c r="I7927" s="221"/>
      <c r="J7927" s="221"/>
      <c r="K7927" s="221"/>
      <c r="L7927" s="221"/>
      <c r="M7927" s="221"/>
      <c r="N7927" s="221"/>
      <c r="O7927" s="225"/>
      <c r="P7927" s="118" t="s">
        <v>21989</v>
      </c>
      <c r="Q7927" s="16" t="s">
        <v>20</v>
      </c>
      <c r="R7927" s="17" t="s">
        <v>21969</v>
      </c>
      <c r="S7927" s="121"/>
      <c r="T7927" s="122"/>
      <c r="U7927" s="22"/>
      <c r="V7927" s="123" t="s">
        <v>24346</v>
      </c>
      <c r="W7927" s="122">
        <v>60080</v>
      </c>
      <c r="X7927" s="221"/>
      <c r="Y7927" s="221"/>
      <c r="Z7927" s="221"/>
      <c r="AA7927" s="221"/>
      <c r="AB7927" s="223"/>
    </row>
    <row r="7928" spans="1:28" ht="17.100000000000001" customHeight="1" thickTop="1">
      <c r="A7928" s="226" t="s">
        <v>21794</v>
      </c>
      <c r="B7928" s="28">
        <v>46119</v>
      </c>
      <c r="C7928" s="25">
        <v>934</v>
      </c>
      <c r="D7928" s="13" t="s">
        <v>1915</v>
      </c>
      <c r="E7928" s="228"/>
      <c r="F7928" s="109" t="s">
        <v>20999</v>
      </c>
      <c r="G7928" s="24" t="s">
        <v>2907</v>
      </c>
      <c r="H7928" s="230">
        <v>4</v>
      </c>
      <c r="I7928" s="220">
        <v>589000</v>
      </c>
      <c r="J7928" s="220">
        <f>I7928*0.1</f>
        <v>58900</v>
      </c>
      <c r="K7928" s="220">
        <v>0</v>
      </c>
      <c r="L7928" s="220">
        <v>9200</v>
      </c>
      <c r="M7928" s="220">
        <v>15950</v>
      </c>
      <c r="N7928" s="220">
        <f>SUM(I7928:M7929)</f>
        <v>673050</v>
      </c>
      <c r="O7928" s="224"/>
      <c r="P7928" s="110" t="s">
        <v>21986</v>
      </c>
      <c r="Q7928" s="15" t="s">
        <v>19</v>
      </c>
      <c r="R7928" s="205"/>
      <c r="S7928" s="189" t="s">
        <v>25432</v>
      </c>
      <c r="T7928" s="114"/>
      <c r="U7928" s="21"/>
      <c r="V7928" s="115">
        <v>46130</v>
      </c>
      <c r="W7928" s="116">
        <v>1297</v>
      </c>
      <c r="X7928" s="220">
        <v>650000</v>
      </c>
      <c r="Y7928" s="220">
        <f>X7928*0.1</f>
        <v>65000</v>
      </c>
      <c r="Z7928" s="220">
        <v>9200</v>
      </c>
      <c r="AA7928" s="220">
        <f>SUM(X7928:Z7928)</f>
        <v>724200</v>
      </c>
      <c r="AB7928" s="222">
        <v>46133</v>
      </c>
    </row>
    <row r="7929" spans="1:28" ht="17.100000000000001" customHeight="1" thickBot="1">
      <c r="A7929" s="227"/>
      <c r="B7929" s="27" t="s">
        <v>2654</v>
      </c>
      <c r="C7929" s="27">
        <v>3112</v>
      </c>
      <c r="D7929" s="14" t="s">
        <v>3955</v>
      </c>
      <c r="E7929" s="229"/>
      <c r="F7929" s="117" t="s">
        <v>21808</v>
      </c>
      <c r="G7929" s="26">
        <v>59719</v>
      </c>
      <c r="H7929" s="231"/>
      <c r="I7929" s="221"/>
      <c r="J7929" s="221"/>
      <c r="K7929" s="221"/>
      <c r="L7929" s="221"/>
      <c r="M7929" s="221"/>
      <c r="N7929" s="221"/>
      <c r="O7929" s="225"/>
      <c r="P7929" s="118" t="s">
        <v>21987</v>
      </c>
      <c r="Q7929" s="16" t="s">
        <v>20</v>
      </c>
      <c r="R7929" s="17" t="s">
        <v>21969</v>
      </c>
      <c r="S7929" s="121" t="s">
        <v>22310</v>
      </c>
      <c r="T7929" s="122"/>
      <c r="U7929" s="22"/>
      <c r="V7929" s="123" t="s">
        <v>2472</v>
      </c>
      <c r="W7929" s="122">
        <v>60316</v>
      </c>
      <c r="X7929" s="221"/>
      <c r="Y7929" s="221"/>
      <c r="Z7929" s="221"/>
      <c r="AA7929" s="221"/>
      <c r="AB7929" s="223"/>
    </row>
    <row r="7930" spans="1:28" ht="17.100000000000001" customHeight="1" thickTop="1">
      <c r="A7930" s="226" t="s">
        <v>21795</v>
      </c>
      <c r="B7930" s="28">
        <v>46119</v>
      </c>
      <c r="C7930" s="25">
        <v>934</v>
      </c>
      <c r="D7930" s="13" t="s">
        <v>2324</v>
      </c>
      <c r="E7930" s="228"/>
      <c r="F7930" s="109" t="s">
        <v>7264</v>
      </c>
      <c r="G7930" s="24"/>
      <c r="H7930" s="230">
        <v>4</v>
      </c>
      <c r="I7930" s="220">
        <v>399000</v>
      </c>
      <c r="J7930" s="220">
        <f>I7930*0.1</f>
        <v>39900</v>
      </c>
      <c r="K7930" s="220">
        <v>0</v>
      </c>
      <c r="L7930" s="220">
        <v>7140</v>
      </c>
      <c r="M7930" s="220">
        <v>15950</v>
      </c>
      <c r="N7930" s="220">
        <f>SUM(I7930:M7931)</f>
        <v>461990</v>
      </c>
      <c r="O7930" s="224"/>
      <c r="P7930" s="110" t="s">
        <v>21990</v>
      </c>
      <c r="Q7930" s="15" t="s">
        <v>19</v>
      </c>
      <c r="R7930" s="205"/>
      <c r="S7930" s="189"/>
      <c r="T7930" s="114"/>
      <c r="U7930" s="21"/>
      <c r="V7930" s="115">
        <v>46130</v>
      </c>
      <c r="W7930" s="116">
        <v>1297</v>
      </c>
      <c r="X7930" s="220">
        <v>395000</v>
      </c>
      <c r="Y7930" s="220">
        <f>X7930*0.1</f>
        <v>39500</v>
      </c>
      <c r="Z7930" s="220">
        <v>7140</v>
      </c>
      <c r="AA7930" s="220">
        <f>SUM(X7930:Z7930)</f>
        <v>441640</v>
      </c>
      <c r="AB7930" s="222">
        <v>46133</v>
      </c>
    </row>
    <row r="7931" spans="1:28" ht="17.100000000000001" customHeight="1" thickBot="1">
      <c r="A7931" s="227"/>
      <c r="B7931" s="27" t="s">
        <v>2654</v>
      </c>
      <c r="C7931" s="27">
        <v>3147</v>
      </c>
      <c r="D7931" s="14" t="s">
        <v>1710</v>
      </c>
      <c r="E7931" s="229"/>
      <c r="F7931" s="117" t="s">
        <v>21809</v>
      </c>
      <c r="G7931" s="26">
        <v>50331</v>
      </c>
      <c r="H7931" s="231"/>
      <c r="I7931" s="221"/>
      <c r="J7931" s="221"/>
      <c r="K7931" s="221"/>
      <c r="L7931" s="221"/>
      <c r="M7931" s="221"/>
      <c r="N7931" s="221"/>
      <c r="O7931" s="225"/>
      <c r="P7931" s="118" t="s">
        <v>21991</v>
      </c>
      <c r="Q7931" s="16" t="s">
        <v>20</v>
      </c>
      <c r="R7931" s="17" t="s">
        <v>21969</v>
      </c>
      <c r="S7931" s="121"/>
      <c r="T7931" s="122"/>
      <c r="U7931" s="22"/>
      <c r="V7931" s="123" t="s">
        <v>2472</v>
      </c>
      <c r="W7931" s="122">
        <v>60314</v>
      </c>
      <c r="X7931" s="221"/>
      <c r="Y7931" s="221"/>
      <c r="Z7931" s="221"/>
      <c r="AA7931" s="221"/>
      <c r="AB7931" s="223"/>
    </row>
    <row r="7932" spans="1:28" ht="17.100000000000001" customHeight="1" thickTop="1">
      <c r="A7932" s="226" t="s">
        <v>21796</v>
      </c>
      <c r="B7932" s="28">
        <v>46119</v>
      </c>
      <c r="C7932" s="25">
        <v>934</v>
      </c>
      <c r="D7932" s="13" t="s">
        <v>2422</v>
      </c>
      <c r="E7932" s="228"/>
      <c r="F7932" s="109" t="s">
        <v>15235</v>
      </c>
      <c r="G7932" s="24" t="s">
        <v>4025</v>
      </c>
      <c r="H7932" s="230">
        <v>4</v>
      </c>
      <c r="I7932" s="220">
        <v>355000</v>
      </c>
      <c r="J7932" s="220">
        <f>I7932*0.1</f>
        <v>35500</v>
      </c>
      <c r="K7932" s="220">
        <v>0</v>
      </c>
      <c r="L7932" s="220">
        <v>8850</v>
      </c>
      <c r="M7932" s="220">
        <v>15950</v>
      </c>
      <c r="N7932" s="220">
        <f>SUM(I7932:M7933)</f>
        <v>415300</v>
      </c>
      <c r="O7932" s="224"/>
      <c r="P7932" s="110" t="s">
        <v>21978</v>
      </c>
      <c r="Q7932" s="15" t="s">
        <v>19</v>
      </c>
      <c r="R7932" s="205"/>
      <c r="S7932" s="189"/>
      <c r="T7932" s="114"/>
      <c r="U7932" s="21"/>
      <c r="V7932" s="115">
        <v>46123</v>
      </c>
      <c r="W7932" s="116">
        <v>1296</v>
      </c>
      <c r="X7932" s="220">
        <v>430000</v>
      </c>
      <c r="Y7932" s="220">
        <f>X7932*0.1</f>
        <v>43000</v>
      </c>
      <c r="Z7932" s="220">
        <v>8850</v>
      </c>
      <c r="AA7932" s="220">
        <f>SUM(X7932:Z7932)</f>
        <v>481850</v>
      </c>
      <c r="AB7932" s="222">
        <v>46128</v>
      </c>
    </row>
    <row r="7933" spans="1:28" ht="17.100000000000001" customHeight="1" thickBot="1">
      <c r="A7933" s="227"/>
      <c r="B7933" s="27" t="s">
        <v>2654</v>
      </c>
      <c r="C7933" s="27">
        <v>3213</v>
      </c>
      <c r="D7933" s="14" t="s">
        <v>273</v>
      </c>
      <c r="E7933" s="229"/>
      <c r="F7933" s="117" t="s">
        <v>21810</v>
      </c>
      <c r="G7933" s="26">
        <v>33811</v>
      </c>
      <c r="H7933" s="231"/>
      <c r="I7933" s="221"/>
      <c r="J7933" s="221"/>
      <c r="K7933" s="221"/>
      <c r="L7933" s="221"/>
      <c r="M7933" s="221"/>
      <c r="N7933" s="221"/>
      <c r="O7933" s="225"/>
      <c r="P7933" s="118" t="s">
        <v>21979</v>
      </c>
      <c r="Q7933" s="16" t="s">
        <v>20</v>
      </c>
      <c r="R7933" s="17" t="s">
        <v>21969</v>
      </c>
      <c r="S7933" s="121" t="s">
        <v>22023</v>
      </c>
      <c r="T7933" s="122"/>
      <c r="U7933" s="22"/>
      <c r="V7933" s="123" t="s">
        <v>6642</v>
      </c>
      <c r="W7933" s="122">
        <v>60526</v>
      </c>
      <c r="X7933" s="221"/>
      <c r="Y7933" s="221"/>
      <c r="Z7933" s="221"/>
      <c r="AA7933" s="221"/>
      <c r="AB7933" s="223"/>
    </row>
    <row r="7934" spans="1:28" ht="17.100000000000001" customHeight="1" thickTop="1">
      <c r="A7934" s="226" t="s">
        <v>21797</v>
      </c>
      <c r="B7934" s="28">
        <v>46119</v>
      </c>
      <c r="C7934" s="25">
        <v>1235</v>
      </c>
      <c r="D7934" s="13" t="s">
        <v>1837</v>
      </c>
      <c r="E7934" s="228"/>
      <c r="F7934" s="109" t="s">
        <v>18823</v>
      </c>
      <c r="G7934" s="24" t="s">
        <v>4412</v>
      </c>
      <c r="H7934" s="230">
        <v>4.5</v>
      </c>
      <c r="I7934" s="220">
        <v>1207000</v>
      </c>
      <c r="J7934" s="220">
        <f>I7934*0.1</f>
        <v>120700</v>
      </c>
      <c r="K7934" s="220">
        <v>30690</v>
      </c>
      <c r="L7934" s="220">
        <v>20170</v>
      </c>
      <c r="M7934" s="220">
        <v>15950</v>
      </c>
      <c r="N7934" s="220">
        <f>SUM(I7934:M7935)</f>
        <v>1394510</v>
      </c>
      <c r="O7934" s="224"/>
      <c r="P7934" s="110" t="s">
        <v>21915</v>
      </c>
      <c r="Q7934" s="15" t="s">
        <v>19</v>
      </c>
      <c r="R7934" s="205"/>
      <c r="S7934" s="189" t="s">
        <v>25927</v>
      </c>
      <c r="T7934" s="114"/>
      <c r="U7934" s="21"/>
      <c r="V7934" s="115">
        <v>46123</v>
      </c>
      <c r="W7934" s="116">
        <v>1296</v>
      </c>
      <c r="X7934" s="220">
        <v>1420000</v>
      </c>
      <c r="Y7934" s="220">
        <f>X7934*0.1</f>
        <v>142000</v>
      </c>
      <c r="Z7934" s="220">
        <v>20170</v>
      </c>
      <c r="AA7934" s="220">
        <f>SUM(X7934:Z7934)</f>
        <v>1582170</v>
      </c>
      <c r="AB7934" s="222">
        <v>46128</v>
      </c>
    </row>
    <row r="7935" spans="1:28" ht="17.100000000000001" customHeight="1" thickBot="1">
      <c r="A7935" s="227"/>
      <c r="B7935" s="27" t="s">
        <v>2344</v>
      </c>
      <c r="C7935" s="27">
        <v>5034</v>
      </c>
      <c r="D7935" s="14" t="s">
        <v>1584</v>
      </c>
      <c r="E7935" s="229"/>
      <c r="F7935" s="117" t="s">
        <v>21914</v>
      </c>
      <c r="G7935" s="26">
        <v>40355</v>
      </c>
      <c r="H7935" s="231"/>
      <c r="I7935" s="221"/>
      <c r="J7935" s="221"/>
      <c r="K7935" s="221"/>
      <c r="L7935" s="221"/>
      <c r="M7935" s="221"/>
      <c r="N7935" s="221"/>
      <c r="O7935" s="225"/>
      <c r="P7935" s="118" t="s">
        <v>22021</v>
      </c>
      <c r="Q7935" s="16" t="s">
        <v>20</v>
      </c>
      <c r="R7935" s="17" t="s">
        <v>21969</v>
      </c>
      <c r="S7935" s="121" t="s">
        <v>22022</v>
      </c>
      <c r="T7935" s="122"/>
      <c r="U7935" s="22"/>
      <c r="V7935" s="123" t="s">
        <v>2472</v>
      </c>
      <c r="W7935" s="122">
        <v>80399</v>
      </c>
      <c r="X7935" s="221"/>
      <c r="Y7935" s="221"/>
      <c r="Z7935" s="221"/>
      <c r="AA7935" s="221"/>
      <c r="AB7935" s="223"/>
    </row>
    <row r="7936" spans="1:28" ht="17.100000000000001" customHeight="1" thickTop="1">
      <c r="A7936" s="226" t="s">
        <v>21798</v>
      </c>
      <c r="B7936" s="28">
        <v>46119</v>
      </c>
      <c r="C7936" s="25"/>
      <c r="D7936" s="13" t="s">
        <v>2182</v>
      </c>
      <c r="E7936" s="228"/>
      <c r="F7936" s="109" t="s">
        <v>21813</v>
      </c>
      <c r="G7936" s="24" t="s">
        <v>11115</v>
      </c>
      <c r="H7936" s="230">
        <v>5</v>
      </c>
      <c r="I7936" s="220">
        <v>5250000</v>
      </c>
      <c r="J7936" s="220">
        <f>I7936*0.1</f>
        <v>525000</v>
      </c>
      <c r="K7936" s="220">
        <v>41600</v>
      </c>
      <c r="L7936" s="220">
        <v>14230</v>
      </c>
      <c r="M7936" s="220">
        <v>0</v>
      </c>
      <c r="N7936" s="220">
        <f>SUM(I7936:M7937)</f>
        <v>5830830</v>
      </c>
      <c r="O7936" s="224"/>
      <c r="P7936" s="110" t="s">
        <v>23389</v>
      </c>
      <c r="Q7936" s="15" t="s">
        <v>19</v>
      </c>
      <c r="R7936" s="205"/>
      <c r="S7936" s="189" t="s">
        <v>25691</v>
      </c>
      <c r="T7936" s="114"/>
      <c r="U7936" s="21"/>
      <c r="V7936" s="115">
        <v>46155</v>
      </c>
      <c r="W7936" s="116">
        <v>1016</v>
      </c>
      <c r="X7936" s="220">
        <v>5345000</v>
      </c>
      <c r="Y7936" s="220">
        <f>X7936*0.1</f>
        <v>534500</v>
      </c>
      <c r="Z7936" s="220">
        <v>14230</v>
      </c>
      <c r="AA7936" s="220">
        <f>SUM(X7936:Z7936)</f>
        <v>5893730</v>
      </c>
      <c r="AB7936" s="222">
        <v>46160</v>
      </c>
    </row>
    <row r="7937" spans="1:28" ht="17.100000000000001" customHeight="1" thickBot="1">
      <c r="A7937" s="227"/>
      <c r="B7937" s="27" t="s">
        <v>1708</v>
      </c>
      <c r="C7937" s="27" t="s">
        <v>21811</v>
      </c>
      <c r="D7937" s="14" t="s">
        <v>2291</v>
      </c>
      <c r="E7937" s="229"/>
      <c r="F7937" s="117" t="s">
        <v>21812</v>
      </c>
      <c r="G7937" s="26">
        <v>28233</v>
      </c>
      <c r="H7937" s="231"/>
      <c r="I7937" s="221"/>
      <c r="J7937" s="221"/>
      <c r="K7937" s="221"/>
      <c r="L7937" s="221"/>
      <c r="M7937" s="221"/>
      <c r="N7937" s="221"/>
      <c r="O7937" s="225"/>
      <c r="P7937" s="118" t="s">
        <v>23390</v>
      </c>
      <c r="Q7937" s="16" t="s">
        <v>20</v>
      </c>
      <c r="R7937" s="17" t="s">
        <v>23361</v>
      </c>
      <c r="S7937" s="121" t="s">
        <v>23391</v>
      </c>
      <c r="T7937" s="122"/>
      <c r="U7937" s="22"/>
      <c r="V7937" s="123" t="s">
        <v>2747</v>
      </c>
      <c r="W7937" s="122">
        <v>1029</v>
      </c>
      <c r="X7937" s="221"/>
      <c r="Y7937" s="221"/>
      <c r="Z7937" s="221"/>
      <c r="AA7937" s="221"/>
      <c r="AB7937" s="223"/>
    </row>
    <row r="7938" spans="1:28" ht="16.5" customHeight="1" thickTop="1">
      <c r="A7938" s="226" t="s">
        <v>21814</v>
      </c>
      <c r="B7938" s="28">
        <v>46119</v>
      </c>
      <c r="C7938" s="25">
        <v>985</v>
      </c>
      <c r="D7938" s="13" t="s">
        <v>2324</v>
      </c>
      <c r="E7938" s="228"/>
      <c r="F7938" s="109" t="s">
        <v>19899</v>
      </c>
      <c r="G7938" s="24"/>
      <c r="H7938" s="230">
        <v>3.5</v>
      </c>
      <c r="I7938" s="220">
        <v>326000</v>
      </c>
      <c r="J7938" s="220">
        <f>I7938*0.1</f>
        <v>32600</v>
      </c>
      <c r="K7938" s="220">
        <v>0</v>
      </c>
      <c r="L7938" s="220">
        <v>6960</v>
      </c>
      <c r="M7938" s="220">
        <v>22000</v>
      </c>
      <c r="N7938" s="220">
        <f>SUM(I7938:M7939)</f>
        <v>387560</v>
      </c>
      <c r="O7938" s="224"/>
      <c r="P7938" s="110" t="s">
        <v>22663</v>
      </c>
      <c r="Q7938" s="15" t="s">
        <v>19</v>
      </c>
      <c r="R7938" s="205"/>
      <c r="S7938" s="189" t="s">
        <v>25387</v>
      </c>
      <c r="T7938" s="114"/>
      <c r="U7938" s="21"/>
      <c r="V7938" s="115">
        <v>46130</v>
      </c>
      <c r="W7938" s="116">
        <v>1297</v>
      </c>
      <c r="X7938" s="220">
        <v>410000</v>
      </c>
      <c r="Y7938" s="220">
        <f>X7938*0.1</f>
        <v>41000</v>
      </c>
      <c r="Z7938" s="220">
        <v>6960</v>
      </c>
      <c r="AA7938" s="220">
        <f>SUM(X7938:Z7938)</f>
        <v>457960</v>
      </c>
      <c r="AB7938" s="222">
        <v>46133</v>
      </c>
    </row>
    <row r="7939" spans="1:28" ht="17.100000000000001" customHeight="1" thickBot="1">
      <c r="A7939" s="227"/>
      <c r="B7939" s="27" t="s">
        <v>17765</v>
      </c>
      <c r="C7939" s="27">
        <v>100</v>
      </c>
      <c r="D7939" s="14" t="s">
        <v>1584</v>
      </c>
      <c r="E7939" s="229"/>
      <c r="F7939" s="117" t="s">
        <v>21822</v>
      </c>
      <c r="G7939" s="26">
        <v>36301</v>
      </c>
      <c r="H7939" s="231"/>
      <c r="I7939" s="221"/>
      <c r="J7939" s="221"/>
      <c r="K7939" s="221"/>
      <c r="L7939" s="221"/>
      <c r="M7939" s="221"/>
      <c r="N7939" s="221"/>
      <c r="O7939" s="225"/>
      <c r="P7939" s="118" t="s">
        <v>2446</v>
      </c>
      <c r="Q7939" s="16" t="s">
        <v>20</v>
      </c>
      <c r="R7939" s="17" t="s">
        <v>1930</v>
      </c>
      <c r="S7939" s="121" t="s">
        <v>169</v>
      </c>
      <c r="T7939" s="122"/>
      <c r="U7939" s="22"/>
      <c r="V7939" s="123" t="s">
        <v>2472</v>
      </c>
      <c r="W7939" s="122">
        <v>62012</v>
      </c>
      <c r="X7939" s="221"/>
      <c r="Y7939" s="221"/>
      <c r="Z7939" s="221"/>
      <c r="AA7939" s="221"/>
      <c r="AB7939" s="223"/>
    </row>
    <row r="7940" spans="1:28" ht="17.100000000000001" customHeight="1" thickTop="1">
      <c r="A7940" s="226" t="s">
        <v>21815</v>
      </c>
      <c r="B7940" s="28">
        <v>46119</v>
      </c>
      <c r="C7940" s="25">
        <v>985</v>
      </c>
      <c r="D7940" s="13" t="s">
        <v>1704</v>
      </c>
      <c r="E7940" s="228"/>
      <c r="F7940" s="109" t="s">
        <v>15607</v>
      </c>
      <c r="G7940" s="24"/>
      <c r="H7940" s="230">
        <v>3.5</v>
      </c>
      <c r="I7940" s="220">
        <v>273000</v>
      </c>
      <c r="J7940" s="220">
        <f>I7940*0.1</f>
        <v>27300</v>
      </c>
      <c r="K7940" s="220">
        <v>0</v>
      </c>
      <c r="L7940" s="220">
        <v>7140</v>
      </c>
      <c r="M7940" s="220">
        <v>22000</v>
      </c>
      <c r="N7940" s="220">
        <f>SUM(I7940:M7941)</f>
        <v>329440</v>
      </c>
      <c r="O7940" s="224"/>
      <c r="P7940" s="110" t="s">
        <v>22662</v>
      </c>
      <c r="Q7940" s="15" t="s">
        <v>19</v>
      </c>
      <c r="R7940" s="205"/>
      <c r="S7940" s="189" t="s">
        <v>25928</v>
      </c>
      <c r="T7940" s="114"/>
      <c r="U7940" s="21"/>
      <c r="V7940" s="115">
        <v>46158</v>
      </c>
      <c r="W7940" s="116">
        <v>1300</v>
      </c>
      <c r="X7940" s="220">
        <v>350000</v>
      </c>
      <c r="Y7940" s="220">
        <f>X7940*0.1</f>
        <v>35000</v>
      </c>
      <c r="Z7940" s="220">
        <v>7140</v>
      </c>
      <c r="AA7940" s="220">
        <f>SUM(X7940:Z7940)</f>
        <v>392140</v>
      </c>
      <c r="AB7940" s="222">
        <v>46161</v>
      </c>
    </row>
    <row r="7941" spans="1:28" ht="17.100000000000001" customHeight="1" thickBot="1">
      <c r="A7941" s="227"/>
      <c r="B7941" s="27" t="s">
        <v>17765</v>
      </c>
      <c r="C7941" s="27">
        <v>159</v>
      </c>
      <c r="D7941" s="14" t="s">
        <v>1710</v>
      </c>
      <c r="E7941" s="229"/>
      <c r="F7941" s="117" t="s">
        <v>21823</v>
      </c>
      <c r="G7941" s="26" t="s">
        <v>21824</v>
      </c>
      <c r="H7941" s="231"/>
      <c r="I7941" s="221"/>
      <c r="J7941" s="221"/>
      <c r="K7941" s="221"/>
      <c r="L7941" s="221"/>
      <c r="M7941" s="221"/>
      <c r="N7941" s="221"/>
      <c r="O7941" s="225"/>
      <c r="P7941" s="118" t="s">
        <v>2446</v>
      </c>
      <c r="Q7941" s="16" t="s">
        <v>20</v>
      </c>
      <c r="R7941" s="17" t="s">
        <v>1930</v>
      </c>
      <c r="S7941" s="121" t="s">
        <v>169</v>
      </c>
      <c r="T7941" s="122"/>
      <c r="U7941" s="22"/>
      <c r="V7941" s="123" t="s">
        <v>2472</v>
      </c>
      <c r="W7941" s="122">
        <v>60067</v>
      </c>
      <c r="X7941" s="221"/>
      <c r="Y7941" s="221"/>
      <c r="Z7941" s="221"/>
      <c r="AA7941" s="221"/>
      <c r="AB7941" s="223"/>
    </row>
    <row r="7942" spans="1:28" ht="17.100000000000001" customHeight="1" thickTop="1">
      <c r="A7942" s="226" t="s">
        <v>21816</v>
      </c>
      <c r="B7942" s="28">
        <v>46119</v>
      </c>
      <c r="C7942" s="25">
        <v>985</v>
      </c>
      <c r="D7942" s="13" t="s">
        <v>1704</v>
      </c>
      <c r="E7942" s="228"/>
      <c r="F7942" s="109" t="s">
        <v>15235</v>
      </c>
      <c r="G7942" s="24"/>
      <c r="H7942" s="230">
        <v>4</v>
      </c>
      <c r="I7942" s="220">
        <v>443000</v>
      </c>
      <c r="J7942" s="220">
        <f>I7942*0.1</f>
        <v>44300</v>
      </c>
      <c r="K7942" s="220">
        <v>0</v>
      </c>
      <c r="L7942" s="220">
        <v>6470</v>
      </c>
      <c r="M7942" s="220">
        <v>22000</v>
      </c>
      <c r="N7942" s="220">
        <f>SUM(I7942:M7943)</f>
        <v>515770</v>
      </c>
      <c r="O7942" s="224"/>
      <c r="P7942" s="110" t="s">
        <v>22661</v>
      </c>
      <c r="Q7942" s="15" t="s">
        <v>19</v>
      </c>
      <c r="R7942" s="205"/>
      <c r="S7942" s="189" t="s">
        <v>25387</v>
      </c>
      <c r="T7942" s="114"/>
      <c r="U7942" s="21"/>
      <c r="V7942" s="115">
        <v>46144</v>
      </c>
      <c r="W7942" s="116">
        <v>1299</v>
      </c>
      <c r="X7942" s="220">
        <v>550000</v>
      </c>
      <c r="Y7942" s="220">
        <f>X7942*0.1</f>
        <v>55000</v>
      </c>
      <c r="Z7942" s="220">
        <v>6470</v>
      </c>
      <c r="AA7942" s="220">
        <f>SUM(X7942:Z7942)</f>
        <v>611470</v>
      </c>
      <c r="AB7942" s="222">
        <v>46161</v>
      </c>
    </row>
    <row r="7943" spans="1:28" ht="17.100000000000001" customHeight="1" thickBot="1">
      <c r="A7943" s="227"/>
      <c r="B7943" s="27" t="s">
        <v>17765</v>
      </c>
      <c r="C7943" s="27">
        <v>215</v>
      </c>
      <c r="D7943" s="14" t="s">
        <v>1584</v>
      </c>
      <c r="E7943" s="229"/>
      <c r="F7943" s="117" t="s">
        <v>21825</v>
      </c>
      <c r="G7943" s="26">
        <v>57014</v>
      </c>
      <c r="H7943" s="231"/>
      <c r="I7943" s="221"/>
      <c r="J7943" s="221"/>
      <c r="K7943" s="221"/>
      <c r="L7943" s="221"/>
      <c r="M7943" s="221"/>
      <c r="N7943" s="221"/>
      <c r="O7943" s="225"/>
      <c r="P7943" s="118" t="s">
        <v>2446</v>
      </c>
      <c r="Q7943" s="16" t="s">
        <v>20</v>
      </c>
      <c r="R7943" s="17" t="s">
        <v>1930</v>
      </c>
      <c r="S7943" s="121" t="s">
        <v>169</v>
      </c>
      <c r="T7943" s="122"/>
      <c r="U7943" s="22"/>
      <c r="V7943" s="123" t="s">
        <v>6641</v>
      </c>
      <c r="W7943" s="122">
        <v>60188</v>
      </c>
      <c r="X7943" s="221"/>
      <c r="Y7943" s="221"/>
      <c r="Z7943" s="221"/>
      <c r="AA7943" s="221"/>
      <c r="AB7943" s="223"/>
    </row>
    <row r="7944" spans="1:28" ht="17.100000000000001" customHeight="1" thickTop="1">
      <c r="A7944" s="226" t="s">
        <v>21817</v>
      </c>
      <c r="B7944" s="28">
        <v>46119</v>
      </c>
      <c r="C7944" s="25">
        <v>985</v>
      </c>
      <c r="D7944" s="13" t="s">
        <v>1704</v>
      </c>
      <c r="E7944" s="228"/>
      <c r="F7944" s="109" t="s">
        <v>15607</v>
      </c>
      <c r="G7944" s="24"/>
      <c r="H7944" s="230">
        <v>4</v>
      </c>
      <c r="I7944" s="220">
        <v>436000</v>
      </c>
      <c r="J7944" s="220">
        <f>I7944*0.1</f>
        <v>43600</v>
      </c>
      <c r="K7944" s="220">
        <v>0</v>
      </c>
      <c r="L7944" s="220">
        <v>7140</v>
      </c>
      <c r="M7944" s="220">
        <v>22000</v>
      </c>
      <c r="N7944" s="220">
        <f>SUM(I7944:M7945)</f>
        <v>508740</v>
      </c>
      <c r="O7944" s="224"/>
      <c r="P7944" s="110" t="s">
        <v>22660</v>
      </c>
      <c r="Q7944" s="15" t="s">
        <v>19</v>
      </c>
      <c r="R7944" s="205"/>
      <c r="S7944" s="189" t="s">
        <v>25387</v>
      </c>
      <c r="T7944" s="114"/>
      <c r="U7944" s="21"/>
      <c r="V7944" s="115">
        <v>46130</v>
      </c>
      <c r="W7944" s="116">
        <v>1297</v>
      </c>
      <c r="X7944" s="220">
        <v>520000</v>
      </c>
      <c r="Y7944" s="220">
        <f>X7944*0.1</f>
        <v>52000</v>
      </c>
      <c r="Z7944" s="220">
        <v>7140</v>
      </c>
      <c r="AA7944" s="220">
        <f>SUM(X7944:Z7944)</f>
        <v>579140</v>
      </c>
      <c r="AB7944" s="222">
        <v>46135</v>
      </c>
    </row>
    <row r="7945" spans="1:28" ht="17.100000000000001" customHeight="1" thickBot="1">
      <c r="A7945" s="227"/>
      <c r="B7945" s="27" t="s">
        <v>17765</v>
      </c>
      <c r="C7945" s="27">
        <v>236</v>
      </c>
      <c r="D7945" s="14" t="s">
        <v>1584</v>
      </c>
      <c r="E7945" s="229"/>
      <c r="F7945" s="117" t="s">
        <v>21826</v>
      </c>
      <c r="G7945" s="26">
        <v>27587</v>
      </c>
      <c r="H7945" s="231"/>
      <c r="I7945" s="221"/>
      <c r="J7945" s="221"/>
      <c r="K7945" s="221"/>
      <c r="L7945" s="221"/>
      <c r="M7945" s="221"/>
      <c r="N7945" s="221"/>
      <c r="O7945" s="225"/>
      <c r="P7945" s="118" t="s">
        <v>2446</v>
      </c>
      <c r="Q7945" s="16" t="s">
        <v>20</v>
      </c>
      <c r="R7945" s="17" t="s">
        <v>1930</v>
      </c>
      <c r="S7945" s="121" t="s">
        <v>169</v>
      </c>
      <c r="T7945" s="122"/>
      <c r="U7945" s="22"/>
      <c r="V7945" s="123" t="s">
        <v>6641</v>
      </c>
      <c r="W7945" s="122">
        <v>62013</v>
      </c>
      <c r="X7945" s="221"/>
      <c r="Y7945" s="221"/>
      <c r="Z7945" s="221"/>
      <c r="AA7945" s="221"/>
      <c r="AB7945" s="223"/>
    </row>
    <row r="7946" spans="1:28" ht="17.100000000000001" customHeight="1" thickTop="1">
      <c r="A7946" s="226" t="s">
        <v>21818</v>
      </c>
      <c r="B7946" s="28">
        <v>46119</v>
      </c>
      <c r="C7946" s="25">
        <v>985</v>
      </c>
      <c r="D7946" s="13" t="s">
        <v>2913</v>
      </c>
      <c r="E7946" s="228"/>
      <c r="F7946" s="109" t="s">
        <v>21590</v>
      </c>
      <c r="G7946" s="24"/>
      <c r="H7946" s="230">
        <v>4</v>
      </c>
      <c r="I7946" s="220">
        <v>613000</v>
      </c>
      <c r="J7946" s="220">
        <f>I7946*0.1</f>
        <v>61300</v>
      </c>
      <c r="K7946" s="220">
        <v>0</v>
      </c>
      <c r="L7946" s="220">
        <v>8430</v>
      </c>
      <c r="M7946" s="220">
        <v>22000</v>
      </c>
      <c r="N7946" s="220">
        <f>SUM(I7946:M7947)</f>
        <v>704730</v>
      </c>
      <c r="O7946" s="224"/>
      <c r="P7946" s="110" t="s">
        <v>22659</v>
      </c>
      <c r="Q7946" s="15" t="s">
        <v>19</v>
      </c>
      <c r="R7946" s="205"/>
      <c r="S7946" s="189" t="s">
        <v>25766</v>
      </c>
      <c r="T7946" s="114"/>
      <c r="U7946" s="21"/>
      <c r="V7946" s="115">
        <v>46144</v>
      </c>
      <c r="W7946" s="116">
        <v>1299</v>
      </c>
      <c r="X7946" s="220">
        <v>695000</v>
      </c>
      <c r="Y7946" s="220">
        <f>X7946*0.1</f>
        <v>69500</v>
      </c>
      <c r="Z7946" s="220">
        <v>8430</v>
      </c>
      <c r="AA7946" s="220">
        <f>SUM(X7946:Z7946)</f>
        <v>772930</v>
      </c>
      <c r="AB7946" s="222">
        <v>46154</v>
      </c>
    </row>
    <row r="7947" spans="1:28" ht="17.100000000000001" customHeight="1" thickBot="1">
      <c r="A7947" s="227"/>
      <c r="B7947" s="27" t="s">
        <v>17765</v>
      </c>
      <c r="C7947" s="27">
        <v>328</v>
      </c>
      <c r="D7947" s="14" t="s">
        <v>1710</v>
      </c>
      <c r="E7947" s="229"/>
      <c r="F7947" s="117" t="s">
        <v>21827</v>
      </c>
      <c r="G7947" s="26">
        <v>50990</v>
      </c>
      <c r="H7947" s="231"/>
      <c r="I7947" s="221"/>
      <c r="J7947" s="221"/>
      <c r="K7947" s="221"/>
      <c r="L7947" s="221"/>
      <c r="M7947" s="221"/>
      <c r="N7947" s="221"/>
      <c r="O7947" s="225"/>
      <c r="P7947" s="118" t="s">
        <v>2446</v>
      </c>
      <c r="Q7947" s="16" t="s">
        <v>20</v>
      </c>
      <c r="R7947" s="17" t="s">
        <v>1930</v>
      </c>
      <c r="S7947" s="121" t="s">
        <v>169</v>
      </c>
      <c r="T7947" s="122"/>
      <c r="U7947" s="22"/>
      <c r="V7947" s="123" t="s">
        <v>24346</v>
      </c>
      <c r="W7947" s="122">
        <v>60185</v>
      </c>
      <c r="X7947" s="221"/>
      <c r="Y7947" s="221"/>
      <c r="Z7947" s="221"/>
      <c r="AA7947" s="221"/>
      <c r="AB7947" s="223"/>
    </row>
    <row r="7948" spans="1:28" ht="17.100000000000001" customHeight="1" thickTop="1">
      <c r="A7948" s="226" t="s">
        <v>21819</v>
      </c>
      <c r="B7948" s="28">
        <v>46120</v>
      </c>
      <c r="C7948" s="25">
        <v>1326</v>
      </c>
      <c r="D7948" s="13" t="s">
        <v>10320</v>
      </c>
      <c r="E7948" s="228"/>
      <c r="F7948" s="109" t="s">
        <v>21831</v>
      </c>
      <c r="G7948" s="24" t="s">
        <v>9656</v>
      </c>
      <c r="H7948" s="230">
        <v>4.5</v>
      </c>
      <c r="I7948" s="220">
        <v>1183000</v>
      </c>
      <c r="J7948" s="220">
        <f>I7948*0.1</f>
        <v>118300</v>
      </c>
      <c r="K7948" s="220">
        <f>27900+2790</f>
        <v>30690</v>
      </c>
      <c r="L7948" s="220">
        <v>17250</v>
      </c>
      <c r="M7948" s="220">
        <v>15400</v>
      </c>
      <c r="N7948" s="220">
        <f>SUM(I7948:M7949)</f>
        <v>1364640</v>
      </c>
      <c r="O7948" s="224"/>
      <c r="P7948" s="110" t="s">
        <v>22633</v>
      </c>
      <c r="Q7948" s="15" t="s">
        <v>19</v>
      </c>
      <c r="R7948" s="205"/>
      <c r="S7948" s="189" t="s">
        <v>1276</v>
      </c>
      <c r="T7948" s="114"/>
      <c r="U7948" s="21"/>
      <c r="V7948" s="115">
        <v>46135</v>
      </c>
      <c r="W7948" s="116">
        <v>1328</v>
      </c>
      <c r="X7948" s="220">
        <v>1395000</v>
      </c>
      <c r="Y7948" s="220">
        <f>X7948*0.1</f>
        <v>139500</v>
      </c>
      <c r="Z7948" s="220">
        <v>17250</v>
      </c>
      <c r="AA7948" s="220">
        <f>SUM(X7948:Z7948)</f>
        <v>1551750</v>
      </c>
      <c r="AB7948" s="222">
        <v>46136</v>
      </c>
    </row>
    <row r="7949" spans="1:28" ht="17.100000000000001" customHeight="1" thickBot="1">
      <c r="A7949" s="227"/>
      <c r="B7949" s="27" t="s">
        <v>5197</v>
      </c>
      <c r="C7949" s="27">
        <v>6057</v>
      </c>
      <c r="D7949" s="14" t="s">
        <v>2753</v>
      </c>
      <c r="E7949" s="229"/>
      <c r="F7949" s="117" t="s">
        <v>21832</v>
      </c>
      <c r="G7949" s="26">
        <v>9889</v>
      </c>
      <c r="H7949" s="231"/>
      <c r="I7949" s="221"/>
      <c r="J7949" s="221"/>
      <c r="K7949" s="221"/>
      <c r="L7949" s="221"/>
      <c r="M7949" s="221"/>
      <c r="N7949" s="221"/>
      <c r="O7949" s="225"/>
      <c r="P7949" s="118" t="s">
        <v>22634</v>
      </c>
      <c r="Q7949" s="16" t="s">
        <v>13552</v>
      </c>
      <c r="R7949" s="17" t="s">
        <v>1930</v>
      </c>
      <c r="S7949" s="121" t="s">
        <v>22635</v>
      </c>
      <c r="T7949" s="122"/>
      <c r="U7949" s="22"/>
      <c r="V7949" s="123" t="s">
        <v>23411</v>
      </c>
      <c r="W7949" s="122" t="s">
        <v>23411</v>
      </c>
      <c r="X7949" s="221"/>
      <c r="Y7949" s="221"/>
      <c r="Z7949" s="221"/>
      <c r="AA7949" s="221"/>
      <c r="AB7949" s="223"/>
    </row>
    <row r="7950" spans="1:28" ht="17.100000000000001" customHeight="1" thickTop="1">
      <c r="A7950" s="226" t="s">
        <v>21820</v>
      </c>
      <c r="B7950" s="28">
        <v>46120</v>
      </c>
      <c r="C7950" s="25">
        <v>1833</v>
      </c>
      <c r="D7950" s="13" t="s">
        <v>1542</v>
      </c>
      <c r="E7950" s="228"/>
      <c r="F7950" s="109" t="s">
        <v>21835</v>
      </c>
      <c r="G7950" s="24"/>
      <c r="H7950" s="230">
        <v>4</v>
      </c>
      <c r="I7950" s="220">
        <v>1065000</v>
      </c>
      <c r="J7950" s="220">
        <f>I7950*0.1</f>
        <v>106500</v>
      </c>
      <c r="K7950" s="220">
        <v>0</v>
      </c>
      <c r="L7950" s="220">
        <v>12030</v>
      </c>
      <c r="M7950" s="220">
        <v>19250</v>
      </c>
      <c r="N7950" s="220">
        <f>SUM(I7950:M7951)</f>
        <v>1202780</v>
      </c>
      <c r="O7950" s="224"/>
      <c r="P7950" s="110" t="s">
        <v>22614</v>
      </c>
      <c r="Q7950" s="15" t="s">
        <v>19</v>
      </c>
      <c r="R7950" s="205"/>
      <c r="S7950" s="189" t="s">
        <v>25929</v>
      </c>
      <c r="T7950" s="114"/>
      <c r="U7950" s="21"/>
      <c r="V7950" s="115">
        <v>46123</v>
      </c>
      <c r="W7950" s="116">
        <v>1296</v>
      </c>
      <c r="X7950" s="220">
        <v>1150000</v>
      </c>
      <c r="Y7950" s="220">
        <v>115000</v>
      </c>
      <c r="Z7950" s="220">
        <v>12030</v>
      </c>
      <c r="AA7950" s="220">
        <f>SUM(X7950:Z7950)</f>
        <v>1277030</v>
      </c>
      <c r="AB7950" s="222">
        <v>46133</v>
      </c>
    </row>
    <row r="7951" spans="1:28" ht="17.100000000000001" customHeight="1" thickBot="1">
      <c r="A7951" s="227"/>
      <c r="B7951" s="27" t="s">
        <v>2519</v>
      </c>
      <c r="C7951" s="27">
        <v>11039</v>
      </c>
      <c r="D7951" s="14" t="s">
        <v>2559</v>
      </c>
      <c r="E7951" s="229"/>
      <c r="F7951" s="117" t="s">
        <v>21836</v>
      </c>
      <c r="G7951" s="26">
        <v>65529</v>
      </c>
      <c r="H7951" s="231"/>
      <c r="I7951" s="221"/>
      <c r="J7951" s="221"/>
      <c r="K7951" s="221"/>
      <c r="L7951" s="221"/>
      <c r="M7951" s="221"/>
      <c r="N7951" s="221"/>
      <c r="O7951" s="225"/>
      <c r="P7951" s="118" t="s">
        <v>4348</v>
      </c>
      <c r="Q7951" s="16" t="s">
        <v>20</v>
      </c>
      <c r="R7951" s="17" t="s">
        <v>1930</v>
      </c>
      <c r="S7951" s="121" t="s">
        <v>18938</v>
      </c>
      <c r="T7951" s="122"/>
      <c r="U7951" s="22"/>
      <c r="V7951" s="123" t="s">
        <v>2472</v>
      </c>
      <c r="W7951" s="122">
        <v>269</v>
      </c>
      <c r="X7951" s="221"/>
      <c r="Y7951" s="221"/>
      <c r="Z7951" s="221"/>
      <c r="AA7951" s="221"/>
      <c r="AB7951" s="223"/>
    </row>
    <row r="7952" spans="1:28" ht="17.100000000000001" customHeight="1" thickTop="1">
      <c r="A7952" s="226" t="s">
        <v>21821</v>
      </c>
      <c r="B7952" s="28">
        <v>46120</v>
      </c>
      <c r="C7952" s="25">
        <v>1833</v>
      </c>
      <c r="D7952" s="13" t="s">
        <v>1908</v>
      </c>
      <c r="E7952" s="228"/>
      <c r="F7952" s="109" t="s">
        <v>21835</v>
      </c>
      <c r="G7952" s="24"/>
      <c r="H7952" s="230">
        <v>4</v>
      </c>
      <c r="I7952" s="220">
        <v>785000</v>
      </c>
      <c r="J7952" s="220">
        <f>I7952*0.1</f>
        <v>78500</v>
      </c>
      <c r="K7952" s="220">
        <v>0</v>
      </c>
      <c r="L7952" s="220">
        <v>12030</v>
      </c>
      <c r="M7952" s="220">
        <f>18500+1850</f>
        <v>20350</v>
      </c>
      <c r="N7952" s="220">
        <f>SUM(I7952:M7953)</f>
        <v>895880</v>
      </c>
      <c r="O7952" s="224"/>
      <c r="P7952" s="110" t="s">
        <v>22461</v>
      </c>
      <c r="Q7952" s="15" t="s">
        <v>19</v>
      </c>
      <c r="R7952" s="205"/>
      <c r="S7952" s="189"/>
      <c r="T7952" s="114"/>
      <c r="U7952" s="21"/>
      <c r="V7952" s="115">
        <v>46162</v>
      </c>
      <c r="W7952" s="116">
        <v>1017</v>
      </c>
      <c r="X7952" s="220">
        <v>850000</v>
      </c>
      <c r="Y7952" s="220">
        <f>X7952*0.1</f>
        <v>85000</v>
      </c>
      <c r="Z7952" s="220">
        <v>12030</v>
      </c>
      <c r="AA7952" s="220">
        <f>SUM(X7952:Z7952)</f>
        <v>947030</v>
      </c>
      <c r="AB7952" s="222"/>
    </row>
    <row r="7953" spans="1:28" ht="17.100000000000001" customHeight="1" thickBot="1">
      <c r="A7953" s="227"/>
      <c r="B7953" s="27" t="s">
        <v>2519</v>
      </c>
      <c r="C7953" s="27">
        <v>30169</v>
      </c>
      <c r="D7953" s="14" t="s">
        <v>2559</v>
      </c>
      <c r="E7953" s="229"/>
      <c r="F7953" s="117" t="s">
        <v>21837</v>
      </c>
      <c r="G7953" s="26">
        <v>108453</v>
      </c>
      <c r="H7953" s="231"/>
      <c r="I7953" s="221"/>
      <c r="J7953" s="221"/>
      <c r="K7953" s="221"/>
      <c r="L7953" s="221"/>
      <c r="M7953" s="221"/>
      <c r="N7953" s="221"/>
      <c r="O7953" s="225"/>
      <c r="P7953" s="118" t="s">
        <v>22431</v>
      </c>
      <c r="Q7953" s="16" t="s">
        <v>20</v>
      </c>
      <c r="R7953" s="17" t="s">
        <v>22427</v>
      </c>
      <c r="S7953" s="121" t="s">
        <v>22462</v>
      </c>
      <c r="T7953" s="122"/>
      <c r="U7953" s="22"/>
      <c r="V7953" s="123" t="s">
        <v>7161</v>
      </c>
      <c r="W7953" s="122">
        <v>6081</v>
      </c>
      <c r="X7953" s="221"/>
      <c r="Y7953" s="221"/>
      <c r="Z7953" s="221"/>
      <c r="AA7953" s="221"/>
      <c r="AB7953" s="223"/>
    </row>
    <row r="7954" spans="1:28" ht="17.100000000000001" customHeight="1" thickTop="1">
      <c r="A7954" s="226" t="s">
        <v>21833</v>
      </c>
      <c r="B7954" s="28">
        <v>46120</v>
      </c>
      <c r="C7954" s="25">
        <v>1833</v>
      </c>
      <c r="D7954" s="13" t="s">
        <v>2429</v>
      </c>
      <c r="E7954" s="228"/>
      <c r="F7954" s="109" t="s">
        <v>2658</v>
      </c>
      <c r="G7954" s="24"/>
      <c r="H7954" s="230">
        <v>5</v>
      </c>
      <c r="I7954" s="220">
        <v>1325000</v>
      </c>
      <c r="J7954" s="220">
        <f>I7954*0.1</f>
        <v>132500</v>
      </c>
      <c r="K7954" s="220">
        <v>0</v>
      </c>
      <c r="L7954" s="220">
        <v>11740</v>
      </c>
      <c r="M7954" s="220">
        <v>20350</v>
      </c>
      <c r="N7954" s="220">
        <f>SUM(I7954:M7955)</f>
        <v>1489590</v>
      </c>
      <c r="O7954" s="224"/>
      <c r="P7954" s="110" t="s">
        <v>22615</v>
      </c>
      <c r="Q7954" s="15" t="s">
        <v>19</v>
      </c>
      <c r="R7954" s="205"/>
      <c r="S7954" s="189" t="s">
        <v>1361</v>
      </c>
      <c r="T7954" s="114"/>
      <c r="U7954" s="21"/>
      <c r="V7954" s="115">
        <v>46123</v>
      </c>
      <c r="W7954" s="116">
        <v>1296</v>
      </c>
      <c r="X7954" s="220">
        <v>1780000</v>
      </c>
      <c r="Y7954" s="220">
        <f>X7954*0.1</f>
        <v>178000</v>
      </c>
      <c r="Z7954" s="220">
        <v>11740</v>
      </c>
      <c r="AA7954" s="220">
        <f>SUM(X7954:Z7954)</f>
        <v>1969740</v>
      </c>
      <c r="AB7954" s="222">
        <v>46133</v>
      </c>
    </row>
    <row r="7955" spans="1:28" ht="17.100000000000001" customHeight="1" thickBot="1">
      <c r="A7955" s="227"/>
      <c r="B7955" s="27" t="s">
        <v>2519</v>
      </c>
      <c r="C7955" s="27">
        <v>38014</v>
      </c>
      <c r="D7955" s="14" t="s">
        <v>2788</v>
      </c>
      <c r="E7955" s="229"/>
      <c r="F7955" s="117" t="s">
        <v>21838</v>
      </c>
      <c r="G7955" s="26">
        <v>26343</v>
      </c>
      <c r="H7955" s="231"/>
      <c r="I7955" s="221"/>
      <c r="J7955" s="221"/>
      <c r="K7955" s="221"/>
      <c r="L7955" s="221"/>
      <c r="M7955" s="221"/>
      <c r="N7955" s="221"/>
      <c r="O7955" s="225"/>
      <c r="P7955" s="118" t="s">
        <v>22616</v>
      </c>
      <c r="Q7955" s="16" t="s">
        <v>20</v>
      </c>
      <c r="R7955" s="17" t="s">
        <v>1930</v>
      </c>
      <c r="S7955" s="121" t="s">
        <v>1597</v>
      </c>
      <c r="T7955" s="122"/>
      <c r="U7955" s="22"/>
      <c r="V7955" s="123" t="s">
        <v>2472</v>
      </c>
      <c r="W7955" s="122">
        <v>80308</v>
      </c>
      <c r="X7955" s="221"/>
      <c r="Y7955" s="221"/>
      <c r="Z7955" s="221"/>
      <c r="AA7955" s="221"/>
      <c r="AB7955" s="223"/>
    </row>
    <row r="7956" spans="1:28" ht="17.100000000000001" customHeight="1" thickTop="1">
      <c r="A7956" s="226" t="s">
        <v>21834</v>
      </c>
      <c r="B7956" s="28">
        <v>46120</v>
      </c>
      <c r="C7956" s="25">
        <v>1833</v>
      </c>
      <c r="D7956" s="13" t="s">
        <v>1553</v>
      </c>
      <c r="E7956" s="228"/>
      <c r="F7956" s="109" t="s">
        <v>1916</v>
      </c>
      <c r="G7956" s="24"/>
      <c r="H7956" s="230">
        <v>4.5</v>
      </c>
      <c r="I7956" s="220">
        <v>330000</v>
      </c>
      <c r="J7956" s="220">
        <f>I7956*0.1</f>
        <v>33000</v>
      </c>
      <c r="K7956" s="220">
        <v>0</v>
      </c>
      <c r="L7956" s="220">
        <v>17700</v>
      </c>
      <c r="M7956" s="220">
        <v>20350</v>
      </c>
      <c r="N7956" s="220">
        <f>SUM(I7956:M7957)</f>
        <v>401050</v>
      </c>
      <c r="O7956" s="224"/>
      <c r="P7956" s="110" t="s">
        <v>22438</v>
      </c>
      <c r="Q7956" s="15" t="s">
        <v>19</v>
      </c>
      <c r="R7956" s="205"/>
      <c r="S7956" s="189" t="s">
        <v>25415</v>
      </c>
      <c r="T7956" s="114"/>
      <c r="U7956" s="21"/>
      <c r="V7956" s="115">
        <v>46123</v>
      </c>
      <c r="W7956" s="116">
        <v>1296</v>
      </c>
      <c r="X7956" s="220">
        <v>425000</v>
      </c>
      <c r="Y7956" s="220">
        <f>X7956*0.1</f>
        <v>42500</v>
      </c>
      <c r="Z7956" s="220">
        <v>17700</v>
      </c>
      <c r="AA7956" s="220">
        <f>SUM(X7956:Z7956)</f>
        <v>485200</v>
      </c>
      <c r="AB7956" s="222">
        <v>46128</v>
      </c>
    </row>
    <row r="7957" spans="1:28" ht="17.100000000000001" customHeight="1" thickBot="1">
      <c r="A7957" s="227"/>
      <c r="B7957" s="27" t="s">
        <v>2519</v>
      </c>
      <c r="C7957" s="27">
        <v>38137</v>
      </c>
      <c r="D7957" s="14" t="s">
        <v>898</v>
      </c>
      <c r="E7957" s="229"/>
      <c r="F7957" s="117" t="s">
        <v>21839</v>
      </c>
      <c r="G7957" s="26">
        <v>51848</v>
      </c>
      <c r="H7957" s="231"/>
      <c r="I7957" s="221"/>
      <c r="J7957" s="221"/>
      <c r="K7957" s="221"/>
      <c r="L7957" s="221"/>
      <c r="M7957" s="221"/>
      <c r="N7957" s="221"/>
      <c r="O7957" s="225"/>
      <c r="P7957" s="118" t="s">
        <v>22439</v>
      </c>
      <c r="Q7957" s="16" t="s">
        <v>20</v>
      </c>
      <c r="R7957" s="17" t="s">
        <v>22427</v>
      </c>
      <c r="S7957" s="121" t="s">
        <v>16672</v>
      </c>
      <c r="T7957" s="122"/>
      <c r="U7957" s="22"/>
      <c r="V7957" s="123" t="s">
        <v>7160</v>
      </c>
      <c r="W7957" s="122">
        <v>80354</v>
      </c>
      <c r="X7957" s="221"/>
      <c r="Y7957" s="221"/>
      <c r="Z7957" s="221"/>
      <c r="AA7957" s="221"/>
      <c r="AB7957" s="223"/>
    </row>
    <row r="7958" spans="1:28" ht="17.100000000000001" customHeight="1" thickTop="1">
      <c r="A7958" s="226" t="s">
        <v>21840</v>
      </c>
      <c r="B7958" s="28">
        <v>46120</v>
      </c>
      <c r="C7958" s="25">
        <v>1012</v>
      </c>
      <c r="D7958" s="13" t="s">
        <v>2057</v>
      </c>
      <c r="E7958" s="228"/>
      <c r="F7958" s="109" t="s">
        <v>21843</v>
      </c>
      <c r="G7958" s="24"/>
      <c r="H7958" s="230">
        <v>4.5</v>
      </c>
      <c r="I7958" s="220">
        <v>1215000</v>
      </c>
      <c r="J7958" s="220">
        <f>I7958*0.1</f>
        <v>121500</v>
      </c>
      <c r="K7958" s="220">
        <v>0</v>
      </c>
      <c r="L7958" s="220">
        <v>8990</v>
      </c>
      <c r="M7958" s="220">
        <v>12100</v>
      </c>
      <c r="N7958" s="220">
        <f>SUM(I7958:M7959)</f>
        <v>1357590</v>
      </c>
      <c r="O7958" s="224"/>
      <c r="P7958" s="110" t="s">
        <v>22639</v>
      </c>
      <c r="Q7958" s="15" t="s">
        <v>19</v>
      </c>
      <c r="R7958" s="205"/>
      <c r="S7958" s="189" t="s">
        <v>1271</v>
      </c>
      <c r="T7958" s="114"/>
      <c r="U7958" s="21"/>
      <c r="V7958" s="115"/>
      <c r="W7958" s="116"/>
      <c r="X7958" s="220"/>
      <c r="Y7958" s="220">
        <f>X7958*0.1</f>
        <v>0</v>
      </c>
      <c r="Z7958" s="220"/>
      <c r="AA7958" s="220">
        <f>SUM(X7958:Z7958)</f>
        <v>0</v>
      </c>
      <c r="AB7958" s="222"/>
    </row>
    <row r="7959" spans="1:28" ht="17.100000000000001" customHeight="1" thickBot="1">
      <c r="A7959" s="227"/>
      <c r="B7959" s="27" t="s">
        <v>2747</v>
      </c>
      <c r="C7959" s="27">
        <v>8004</v>
      </c>
      <c r="D7959" s="14" t="s">
        <v>1710</v>
      </c>
      <c r="E7959" s="229"/>
      <c r="F7959" s="117" t="s">
        <v>21844</v>
      </c>
      <c r="G7959" s="26">
        <v>34552</v>
      </c>
      <c r="H7959" s="231"/>
      <c r="I7959" s="221"/>
      <c r="J7959" s="221"/>
      <c r="K7959" s="221"/>
      <c r="L7959" s="221"/>
      <c r="M7959" s="221"/>
      <c r="N7959" s="221"/>
      <c r="O7959" s="225"/>
      <c r="P7959" s="118" t="s">
        <v>7778</v>
      </c>
      <c r="Q7959" s="16" t="s">
        <v>20</v>
      </c>
      <c r="R7959" s="17" t="s">
        <v>1930</v>
      </c>
      <c r="S7959" s="121" t="s">
        <v>2647</v>
      </c>
      <c r="T7959" s="122"/>
      <c r="U7959" s="22"/>
      <c r="V7959" s="123"/>
      <c r="W7959" s="122"/>
      <c r="X7959" s="221"/>
      <c r="Y7959" s="221"/>
      <c r="Z7959" s="221"/>
      <c r="AA7959" s="221"/>
      <c r="AB7959" s="223"/>
    </row>
    <row r="7960" spans="1:28" ht="17.100000000000001" customHeight="1" thickTop="1">
      <c r="A7960" s="226" t="s">
        <v>21841</v>
      </c>
      <c r="B7960" s="28">
        <v>46121</v>
      </c>
      <c r="C7960" s="25">
        <v>1326</v>
      </c>
      <c r="D7960" s="13" t="s">
        <v>2913</v>
      </c>
      <c r="E7960" s="228"/>
      <c r="F7960" s="109" t="s">
        <v>21876</v>
      </c>
      <c r="G7960" s="24" t="s">
        <v>1540</v>
      </c>
      <c r="H7960" s="230">
        <v>4.5</v>
      </c>
      <c r="I7960" s="220">
        <v>1550000</v>
      </c>
      <c r="J7960" s="220">
        <f>I7960*0.1</f>
        <v>155000</v>
      </c>
      <c r="K7960" s="220">
        <f>27900+2790</f>
        <v>30690</v>
      </c>
      <c r="L7960" s="220">
        <v>17600</v>
      </c>
      <c r="M7960" s="220">
        <v>24200</v>
      </c>
      <c r="N7960" s="220">
        <f>SUM(I7960:M7961)</f>
        <v>1777490</v>
      </c>
      <c r="O7960" s="224"/>
      <c r="P7960" s="110" t="s">
        <v>21877</v>
      </c>
      <c r="Q7960" s="15" t="s">
        <v>19</v>
      </c>
      <c r="R7960" s="205"/>
      <c r="S7960" s="189" t="s">
        <v>1312</v>
      </c>
      <c r="T7960" s="114"/>
      <c r="U7960" s="21"/>
      <c r="V7960" s="115"/>
      <c r="W7960" s="116"/>
      <c r="X7960" s="220"/>
      <c r="Y7960" s="220">
        <f>X7960*0.1</f>
        <v>0</v>
      </c>
      <c r="Z7960" s="220"/>
      <c r="AA7960" s="220">
        <f>SUM(X7960:Z7960)</f>
        <v>0</v>
      </c>
      <c r="AB7960" s="222"/>
    </row>
    <row r="7961" spans="1:28" ht="17.100000000000001" customHeight="1" thickBot="1">
      <c r="A7961" s="227"/>
      <c r="B7961" s="27" t="s">
        <v>13379</v>
      </c>
      <c r="C7961" s="27">
        <v>349</v>
      </c>
      <c r="D7961" s="14" t="s">
        <v>1866</v>
      </c>
      <c r="E7961" s="229"/>
      <c r="F7961" s="117" t="s">
        <v>21871</v>
      </c>
      <c r="G7961" s="26">
        <v>60921</v>
      </c>
      <c r="H7961" s="231"/>
      <c r="I7961" s="221"/>
      <c r="J7961" s="221"/>
      <c r="K7961" s="221"/>
      <c r="L7961" s="221"/>
      <c r="M7961" s="221"/>
      <c r="N7961" s="221"/>
      <c r="O7961" s="225"/>
      <c r="P7961" s="118" t="s">
        <v>22323</v>
      </c>
      <c r="Q7961" s="16" t="s">
        <v>20</v>
      </c>
      <c r="R7961" s="17" t="s">
        <v>3406</v>
      </c>
      <c r="S7961" s="121" t="s">
        <v>1606</v>
      </c>
      <c r="T7961" s="122"/>
      <c r="U7961" s="22"/>
      <c r="V7961" s="123"/>
      <c r="W7961" s="122"/>
      <c r="X7961" s="221"/>
      <c r="Y7961" s="221"/>
      <c r="Z7961" s="221"/>
      <c r="AA7961" s="221"/>
      <c r="AB7961" s="223"/>
    </row>
    <row r="7962" spans="1:28" ht="17.100000000000001" customHeight="1" thickTop="1">
      <c r="A7962" s="226" t="s">
        <v>21872</v>
      </c>
      <c r="B7962" s="28">
        <v>46121</v>
      </c>
      <c r="C7962" s="25">
        <v>1978</v>
      </c>
      <c r="D7962" s="13" t="s">
        <v>1678</v>
      </c>
      <c r="E7962" s="228"/>
      <c r="F7962" s="109" t="s">
        <v>4844</v>
      </c>
      <c r="G7962" s="24"/>
      <c r="H7962" s="230">
        <v>4</v>
      </c>
      <c r="I7962" s="220">
        <v>532000</v>
      </c>
      <c r="J7962" s="220">
        <f>I7962*0.1</f>
        <v>53200</v>
      </c>
      <c r="K7962" s="220">
        <v>0</v>
      </c>
      <c r="L7962" s="220">
        <v>6550</v>
      </c>
      <c r="M7962" s="220">
        <f>15500+1550</f>
        <v>17050</v>
      </c>
      <c r="N7962" s="220">
        <f>SUM(I7962:M7963)</f>
        <v>608800</v>
      </c>
      <c r="O7962" s="224"/>
      <c r="P7962" s="110" t="s">
        <v>22714</v>
      </c>
      <c r="Q7962" s="15" t="s">
        <v>19</v>
      </c>
      <c r="R7962" s="205"/>
      <c r="S7962" s="189" t="s">
        <v>758</v>
      </c>
      <c r="T7962" s="114"/>
      <c r="U7962" s="21"/>
      <c r="V7962" s="115"/>
      <c r="W7962" s="116"/>
      <c r="X7962" s="220"/>
      <c r="Y7962" s="220">
        <f>X7962*0.1</f>
        <v>0</v>
      </c>
      <c r="Z7962" s="220"/>
      <c r="AA7962" s="220">
        <f>SUM(X7962:Z7962)</f>
        <v>0</v>
      </c>
      <c r="AB7962" s="222"/>
    </row>
    <row r="7963" spans="1:28" ht="17.100000000000001" customHeight="1" thickBot="1">
      <c r="A7963" s="227"/>
      <c r="B7963" s="27" t="s">
        <v>3730</v>
      </c>
      <c r="C7963" s="27">
        <v>3003</v>
      </c>
      <c r="D7963" s="14" t="s">
        <v>1710</v>
      </c>
      <c r="E7963" s="229"/>
      <c r="F7963" s="117" t="s">
        <v>21874</v>
      </c>
      <c r="G7963" s="26">
        <v>37644</v>
      </c>
      <c r="H7963" s="231"/>
      <c r="I7963" s="221"/>
      <c r="J7963" s="221"/>
      <c r="K7963" s="221"/>
      <c r="L7963" s="221"/>
      <c r="M7963" s="221"/>
      <c r="N7963" s="221"/>
      <c r="O7963" s="225"/>
      <c r="P7963" s="118" t="s">
        <v>7323</v>
      </c>
      <c r="Q7963" s="16" t="s">
        <v>20</v>
      </c>
      <c r="R7963" s="17" t="s">
        <v>22705</v>
      </c>
      <c r="S7963" s="121" t="s">
        <v>11197</v>
      </c>
      <c r="T7963" s="122"/>
      <c r="U7963" s="22"/>
      <c r="V7963" s="123"/>
      <c r="W7963" s="122"/>
      <c r="X7963" s="221"/>
      <c r="Y7963" s="221"/>
      <c r="Z7963" s="221"/>
      <c r="AA7963" s="221"/>
      <c r="AB7963" s="223"/>
    </row>
    <row r="7964" spans="1:28" ht="17.100000000000001" customHeight="1" thickTop="1">
      <c r="A7964" s="226" t="s">
        <v>21873</v>
      </c>
      <c r="B7964" s="28">
        <v>46121</v>
      </c>
      <c r="C7964" s="25">
        <v>1978</v>
      </c>
      <c r="D7964" s="13" t="s">
        <v>3769</v>
      </c>
      <c r="E7964" s="228"/>
      <c r="F7964" s="109" t="s">
        <v>21843</v>
      </c>
      <c r="G7964" s="24"/>
      <c r="H7964" s="230">
        <v>4</v>
      </c>
      <c r="I7964" s="220">
        <v>1177000</v>
      </c>
      <c r="J7964" s="220">
        <f>I7964*0.1</f>
        <v>117700</v>
      </c>
      <c r="K7964" s="220">
        <v>0</v>
      </c>
      <c r="L7964" s="220">
        <v>8990</v>
      </c>
      <c r="M7964" s="220">
        <f>14500+1450</f>
        <v>15950</v>
      </c>
      <c r="N7964" s="220">
        <f>SUM(I7964:M7965)</f>
        <v>1319640</v>
      </c>
      <c r="O7964" s="224"/>
      <c r="P7964" s="110" t="s">
        <v>22338</v>
      </c>
      <c r="Q7964" s="15" t="s">
        <v>19</v>
      </c>
      <c r="R7964" s="205"/>
      <c r="S7964" s="189" t="s">
        <v>25930</v>
      </c>
      <c r="T7964" s="114"/>
      <c r="U7964" s="21"/>
      <c r="V7964" s="115">
        <v>46144</v>
      </c>
      <c r="W7964" s="116">
        <v>1299</v>
      </c>
      <c r="X7964" s="220">
        <v>1250000</v>
      </c>
      <c r="Y7964" s="220">
        <f>X7964*0.1</f>
        <v>125000</v>
      </c>
      <c r="Z7964" s="220">
        <v>8990</v>
      </c>
      <c r="AA7964" s="220">
        <f>SUM(X7964:Z7964)</f>
        <v>1383990</v>
      </c>
      <c r="AB7964" s="222">
        <v>46154</v>
      </c>
    </row>
    <row r="7965" spans="1:28" ht="17.100000000000001" customHeight="1" thickBot="1">
      <c r="A7965" s="227"/>
      <c r="B7965" s="27" t="s">
        <v>3730</v>
      </c>
      <c r="C7965" s="27">
        <v>62023</v>
      </c>
      <c r="D7965" s="14" t="s">
        <v>1584</v>
      </c>
      <c r="E7965" s="229"/>
      <c r="F7965" s="117" t="s">
        <v>21875</v>
      </c>
      <c r="G7965" s="26">
        <v>51854</v>
      </c>
      <c r="H7965" s="231"/>
      <c r="I7965" s="221"/>
      <c r="J7965" s="221"/>
      <c r="K7965" s="221"/>
      <c r="L7965" s="221"/>
      <c r="M7965" s="221"/>
      <c r="N7965" s="221"/>
      <c r="O7965" s="225"/>
      <c r="P7965" s="118" t="s">
        <v>22339</v>
      </c>
      <c r="Q7965" s="16" t="s">
        <v>20</v>
      </c>
      <c r="R7965" s="17" t="s">
        <v>3406</v>
      </c>
      <c r="S7965" s="121" t="s">
        <v>22340</v>
      </c>
      <c r="T7965" s="122"/>
      <c r="U7965" s="22"/>
      <c r="V7965" s="123" t="s">
        <v>24346</v>
      </c>
      <c r="W7965" s="122">
        <v>41032</v>
      </c>
      <c r="X7965" s="221"/>
      <c r="Y7965" s="221"/>
      <c r="Z7965" s="221"/>
      <c r="AA7965" s="221"/>
      <c r="AB7965" s="223"/>
    </row>
    <row r="7966" spans="1:28" ht="17.100000000000001" customHeight="1" thickTop="1">
      <c r="A7966" s="226" t="s">
        <v>22032</v>
      </c>
      <c r="B7966" s="28">
        <v>46121</v>
      </c>
      <c r="C7966" s="25">
        <v>2153</v>
      </c>
      <c r="D7966" s="13" t="s">
        <v>22181</v>
      </c>
      <c r="E7966" s="228"/>
      <c r="F7966" s="109" t="s">
        <v>22183</v>
      </c>
      <c r="G7966" s="24" t="s">
        <v>22184</v>
      </c>
      <c r="H7966" s="230">
        <v>4</v>
      </c>
      <c r="I7966" s="220">
        <v>405000</v>
      </c>
      <c r="J7966" s="220">
        <f>I7966*0.1</f>
        <v>40500</v>
      </c>
      <c r="K7966" s="220">
        <v>0</v>
      </c>
      <c r="L7966" s="220">
        <v>8550</v>
      </c>
      <c r="M7966" s="220">
        <v>14300</v>
      </c>
      <c r="N7966" s="220">
        <f>SUM(I7966:M7967)</f>
        <v>468350</v>
      </c>
      <c r="O7966" s="224"/>
      <c r="P7966" s="110" t="s">
        <v>22185</v>
      </c>
      <c r="Q7966" s="15" t="s">
        <v>19</v>
      </c>
      <c r="R7966" s="205"/>
      <c r="S7966" s="189"/>
      <c r="T7966" s="114"/>
      <c r="U7966" s="21"/>
      <c r="V7966" s="115">
        <v>46134</v>
      </c>
      <c r="W7966" s="116">
        <v>1014</v>
      </c>
      <c r="X7966" s="220">
        <v>430000</v>
      </c>
      <c r="Y7966" s="220">
        <f>X7966*0.1</f>
        <v>43000</v>
      </c>
      <c r="Z7966" s="220">
        <v>8550</v>
      </c>
      <c r="AA7966" s="220">
        <f>SUM(X7966:Z7966)</f>
        <v>481550</v>
      </c>
      <c r="AB7966" s="222">
        <v>46139</v>
      </c>
    </row>
    <row r="7967" spans="1:28" ht="17.100000000000001" customHeight="1" thickBot="1">
      <c r="A7967" s="227"/>
      <c r="B7967" s="27" t="s">
        <v>1918</v>
      </c>
      <c r="C7967" s="27">
        <v>17</v>
      </c>
      <c r="D7967" s="14" t="s">
        <v>22182</v>
      </c>
      <c r="E7967" s="229"/>
      <c r="F7967" s="117" t="s">
        <v>22069</v>
      </c>
      <c r="G7967" s="26">
        <v>54429</v>
      </c>
      <c r="H7967" s="231"/>
      <c r="I7967" s="221"/>
      <c r="J7967" s="221"/>
      <c r="K7967" s="221"/>
      <c r="L7967" s="221"/>
      <c r="M7967" s="221"/>
      <c r="N7967" s="221"/>
      <c r="O7967" s="225"/>
      <c r="P7967" s="118" t="s">
        <v>22647</v>
      </c>
      <c r="Q7967" s="16" t="s">
        <v>20</v>
      </c>
      <c r="R7967" s="17" t="s">
        <v>1930</v>
      </c>
      <c r="S7967" s="121" t="s">
        <v>1601</v>
      </c>
      <c r="T7967" s="122"/>
      <c r="U7967" s="22"/>
      <c r="V7967" s="123" t="s">
        <v>23332</v>
      </c>
      <c r="W7967" s="122">
        <v>2049</v>
      </c>
      <c r="X7967" s="221"/>
      <c r="Y7967" s="221"/>
      <c r="Z7967" s="221"/>
      <c r="AA7967" s="221"/>
      <c r="AB7967" s="223"/>
    </row>
    <row r="7968" spans="1:28" ht="17.100000000000001" customHeight="1" thickTop="1">
      <c r="A7968" s="226" t="s">
        <v>22033</v>
      </c>
      <c r="B7968" s="28">
        <v>46121</v>
      </c>
      <c r="C7968" s="25">
        <v>2153</v>
      </c>
      <c r="D7968" s="13" t="s">
        <v>22186</v>
      </c>
      <c r="E7968" s="228"/>
      <c r="F7968" s="109" t="s">
        <v>22187</v>
      </c>
      <c r="G7968" s="24" t="s">
        <v>22188</v>
      </c>
      <c r="H7968" s="230">
        <v>4</v>
      </c>
      <c r="I7968" s="220">
        <v>236000</v>
      </c>
      <c r="J7968" s="220">
        <f>I7968*0.1</f>
        <v>23600</v>
      </c>
      <c r="K7968" s="220">
        <v>0</v>
      </c>
      <c r="L7968" s="220">
        <v>8580</v>
      </c>
      <c r="M7968" s="220">
        <v>14300</v>
      </c>
      <c r="N7968" s="220">
        <f>SUM(I7968:M7969)</f>
        <v>282480</v>
      </c>
      <c r="O7968" s="224"/>
      <c r="P7968" s="110" t="s">
        <v>22444</v>
      </c>
      <c r="Q7968" s="15" t="s">
        <v>19</v>
      </c>
      <c r="R7968" s="205"/>
      <c r="S7968" s="189"/>
      <c r="T7968" s="114"/>
      <c r="U7968" s="21"/>
      <c r="V7968" s="115">
        <v>46127</v>
      </c>
      <c r="W7968" s="116">
        <v>1013</v>
      </c>
      <c r="X7968" s="220">
        <v>250000</v>
      </c>
      <c r="Y7968" s="220">
        <f>X7968*0.1</f>
        <v>25000</v>
      </c>
      <c r="Z7968" s="220">
        <v>8580</v>
      </c>
      <c r="AA7968" s="220">
        <f>SUM(X7968:Z7968)</f>
        <v>283580</v>
      </c>
      <c r="AB7968" s="222">
        <v>46132</v>
      </c>
    </row>
    <row r="7969" spans="1:28" ht="17.100000000000001" customHeight="1" thickBot="1">
      <c r="A7969" s="227"/>
      <c r="B7969" s="27" t="s">
        <v>1918</v>
      </c>
      <c r="C7969" s="27">
        <v>19</v>
      </c>
      <c r="D7969" s="14" t="s">
        <v>2291</v>
      </c>
      <c r="E7969" s="229"/>
      <c r="F7969" s="117" t="s">
        <v>22070</v>
      </c>
      <c r="G7969" s="26">
        <v>66730</v>
      </c>
      <c r="H7969" s="231"/>
      <c r="I7969" s="221"/>
      <c r="J7969" s="221"/>
      <c r="K7969" s="221"/>
      <c r="L7969" s="221"/>
      <c r="M7969" s="221"/>
      <c r="N7969" s="221"/>
      <c r="O7969" s="225"/>
      <c r="P7969" s="118" t="s">
        <v>6761</v>
      </c>
      <c r="Q7969" s="16" t="s">
        <v>20</v>
      </c>
      <c r="R7969" s="17" t="s">
        <v>22427</v>
      </c>
      <c r="S7969" s="121" t="s">
        <v>22445</v>
      </c>
      <c r="T7969" s="122"/>
      <c r="U7969" s="22"/>
      <c r="V7969" s="125" t="s">
        <v>2747</v>
      </c>
      <c r="W7969" s="122">
        <v>5194</v>
      </c>
      <c r="X7969" s="221"/>
      <c r="Y7969" s="221"/>
      <c r="Z7969" s="221"/>
      <c r="AA7969" s="221"/>
      <c r="AB7969" s="223"/>
    </row>
    <row r="7970" spans="1:28" ht="17.100000000000001" customHeight="1" thickTop="1">
      <c r="A7970" s="226" t="s">
        <v>22034</v>
      </c>
      <c r="B7970" s="28">
        <v>46121</v>
      </c>
      <c r="C7970" s="25">
        <v>2153</v>
      </c>
      <c r="D7970" s="13" t="s">
        <v>22186</v>
      </c>
      <c r="E7970" s="228"/>
      <c r="F7970" s="109" t="s">
        <v>22189</v>
      </c>
      <c r="G7970" s="24"/>
      <c r="H7970" s="230">
        <v>4.5</v>
      </c>
      <c r="I7970" s="220">
        <v>476000</v>
      </c>
      <c r="J7970" s="220">
        <f>I7970*0.1</f>
        <v>47600</v>
      </c>
      <c r="K7970" s="220">
        <v>0</v>
      </c>
      <c r="L7970" s="220">
        <v>8230</v>
      </c>
      <c r="M7970" s="220">
        <v>14300</v>
      </c>
      <c r="N7970" s="220">
        <f>SUM(I7970:M7971)</f>
        <v>546130</v>
      </c>
      <c r="O7970" s="224"/>
      <c r="P7970" s="110" t="s">
        <v>22456</v>
      </c>
      <c r="Q7970" s="15" t="s">
        <v>19</v>
      </c>
      <c r="R7970" s="205"/>
      <c r="S7970" s="189"/>
      <c r="T7970" s="114"/>
      <c r="U7970" s="21"/>
      <c r="V7970" s="115">
        <v>46134</v>
      </c>
      <c r="W7970" s="116">
        <v>1014</v>
      </c>
      <c r="X7970" s="220">
        <v>460000</v>
      </c>
      <c r="Y7970" s="220">
        <f>X7970*0.1</f>
        <v>46000</v>
      </c>
      <c r="Z7970" s="220">
        <v>8230</v>
      </c>
      <c r="AA7970" s="220">
        <f>SUM(X7970:Z7970)</f>
        <v>514230</v>
      </c>
      <c r="AB7970" s="222">
        <v>46139</v>
      </c>
    </row>
    <row r="7971" spans="1:28" ht="17.100000000000001" customHeight="1" thickBot="1">
      <c r="A7971" s="227"/>
      <c r="B7971" s="27" t="s">
        <v>1918</v>
      </c>
      <c r="C7971" s="27">
        <v>25</v>
      </c>
      <c r="D7971" s="14" t="s">
        <v>1710</v>
      </c>
      <c r="E7971" s="229"/>
      <c r="F7971" s="117" t="s">
        <v>22071</v>
      </c>
      <c r="G7971" s="26">
        <v>36088</v>
      </c>
      <c r="H7971" s="231"/>
      <c r="I7971" s="221"/>
      <c r="J7971" s="221"/>
      <c r="K7971" s="221"/>
      <c r="L7971" s="221"/>
      <c r="M7971" s="221"/>
      <c r="N7971" s="221"/>
      <c r="O7971" s="225"/>
      <c r="P7971" s="118" t="s">
        <v>22453</v>
      </c>
      <c r="Q7971" s="16" t="s">
        <v>20</v>
      </c>
      <c r="R7971" s="17" t="s">
        <v>22427</v>
      </c>
      <c r="S7971" s="121" t="s">
        <v>22466</v>
      </c>
      <c r="T7971" s="122"/>
      <c r="U7971" s="22"/>
      <c r="V7971" s="123" t="s">
        <v>23332</v>
      </c>
      <c r="W7971" s="122">
        <v>2054</v>
      </c>
      <c r="X7971" s="221"/>
      <c r="Y7971" s="221"/>
      <c r="Z7971" s="221"/>
      <c r="AA7971" s="221"/>
      <c r="AB7971" s="223"/>
    </row>
    <row r="7972" spans="1:28" ht="17.100000000000001" customHeight="1" thickTop="1">
      <c r="A7972" s="226" t="s">
        <v>22035</v>
      </c>
      <c r="B7972" s="28">
        <v>46121</v>
      </c>
      <c r="C7972" s="25">
        <v>2153</v>
      </c>
      <c r="D7972" s="13" t="s">
        <v>22181</v>
      </c>
      <c r="E7972" s="228"/>
      <c r="F7972" s="109" t="s">
        <v>22191</v>
      </c>
      <c r="G7972" s="24" t="s">
        <v>22192</v>
      </c>
      <c r="H7972" s="230">
        <v>4</v>
      </c>
      <c r="I7972" s="220">
        <v>256000</v>
      </c>
      <c r="J7972" s="220">
        <f>I7972*0.1</f>
        <v>25600</v>
      </c>
      <c r="K7972" s="220">
        <v>0</v>
      </c>
      <c r="L7972" s="220">
        <v>7320</v>
      </c>
      <c r="M7972" s="220">
        <v>14300</v>
      </c>
      <c r="N7972" s="220">
        <f>SUM(I7972:M7973)</f>
        <v>303220</v>
      </c>
      <c r="O7972" s="224"/>
      <c r="P7972" s="110" t="s">
        <v>22193</v>
      </c>
      <c r="Q7972" s="15" t="s">
        <v>19</v>
      </c>
      <c r="R7972" s="205"/>
      <c r="S7972" s="189" t="s">
        <v>1072</v>
      </c>
      <c r="T7972" s="114"/>
      <c r="U7972" s="21"/>
      <c r="V7972" s="115">
        <v>46134</v>
      </c>
      <c r="W7972" s="116">
        <v>1014</v>
      </c>
      <c r="X7972" s="220">
        <v>350000</v>
      </c>
      <c r="Y7972" s="220">
        <f>X7972*0.1</f>
        <v>35000</v>
      </c>
      <c r="Z7972" s="220">
        <v>7320</v>
      </c>
      <c r="AA7972" s="220">
        <f>SUM(X7972:Z7972)</f>
        <v>392320</v>
      </c>
      <c r="AB7972" s="222">
        <v>46139</v>
      </c>
    </row>
    <row r="7973" spans="1:28" ht="17.100000000000001" customHeight="1" thickBot="1">
      <c r="A7973" s="227"/>
      <c r="B7973" s="27" t="s">
        <v>1918</v>
      </c>
      <c r="C7973" s="27">
        <v>262</v>
      </c>
      <c r="D7973" s="14" t="s">
        <v>22190</v>
      </c>
      <c r="E7973" s="229"/>
      <c r="F7973" s="117" t="s">
        <v>22072</v>
      </c>
      <c r="G7973" s="26">
        <v>41511</v>
      </c>
      <c r="H7973" s="231"/>
      <c r="I7973" s="221"/>
      <c r="J7973" s="221"/>
      <c r="K7973" s="221"/>
      <c r="L7973" s="221"/>
      <c r="M7973" s="221"/>
      <c r="N7973" s="221"/>
      <c r="O7973" s="225"/>
      <c r="P7973" s="118" t="s">
        <v>22455</v>
      </c>
      <c r="Q7973" s="16" t="s">
        <v>20</v>
      </c>
      <c r="R7973" s="17" t="s">
        <v>22427</v>
      </c>
      <c r="S7973" s="121" t="s">
        <v>22413</v>
      </c>
      <c r="T7973" s="122"/>
      <c r="U7973" s="22"/>
      <c r="V7973" s="123" t="s">
        <v>23332</v>
      </c>
      <c r="W7973" s="122">
        <v>2061</v>
      </c>
      <c r="X7973" s="221"/>
      <c r="Y7973" s="221"/>
      <c r="Z7973" s="221"/>
      <c r="AA7973" s="221"/>
      <c r="AB7973" s="223"/>
    </row>
    <row r="7974" spans="1:28" ht="17.100000000000001" customHeight="1" thickTop="1">
      <c r="A7974" s="226" t="s">
        <v>22036</v>
      </c>
      <c r="B7974" s="28">
        <v>46121</v>
      </c>
      <c r="C7974" s="25">
        <v>2153</v>
      </c>
      <c r="D7974" s="13" t="s">
        <v>22194</v>
      </c>
      <c r="E7974" s="228"/>
      <c r="F7974" s="109" t="s">
        <v>22195</v>
      </c>
      <c r="G7974" s="24"/>
      <c r="H7974" s="230">
        <v>3.5</v>
      </c>
      <c r="I7974" s="220">
        <v>401000</v>
      </c>
      <c r="J7974" s="220">
        <f>I7974*0.1</f>
        <v>40100</v>
      </c>
      <c r="K7974" s="220">
        <v>0</v>
      </c>
      <c r="L7974" s="220">
        <v>10070</v>
      </c>
      <c r="M7974" s="220">
        <v>14300</v>
      </c>
      <c r="N7974" s="220">
        <f>SUM(I7974:M7975)</f>
        <v>465470</v>
      </c>
      <c r="O7974" s="224"/>
      <c r="P7974" s="110" t="s">
        <v>22452</v>
      </c>
      <c r="Q7974" s="15" t="s">
        <v>19</v>
      </c>
      <c r="R7974" s="205"/>
      <c r="S7974" s="189" t="s">
        <v>25931</v>
      </c>
      <c r="T7974" s="114"/>
      <c r="U7974" s="21"/>
      <c r="V7974" s="115">
        <v>46134</v>
      </c>
      <c r="W7974" s="116">
        <v>1014</v>
      </c>
      <c r="X7974" s="220">
        <v>515000</v>
      </c>
      <c r="Y7974" s="220">
        <f>X7974*0.1</f>
        <v>51500</v>
      </c>
      <c r="Z7974" s="220">
        <v>10070</v>
      </c>
      <c r="AA7974" s="220">
        <f>SUM(X7974:Z7974)</f>
        <v>576570</v>
      </c>
      <c r="AB7974" s="222">
        <v>46139</v>
      </c>
    </row>
    <row r="7975" spans="1:28" ht="17.100000000000001" customHeight="1" thickBot="1">
      <c r="A7975" s="227"/>
      <c r="B7975" s="27" t="s">
        <v>1918</v>
      </c>
      <c r="C7975" s="27">
        <v>313</v>
      </c>
      <c r="D7975" s="14" t="s">
        <v>1710</v>
      </c>
      <c r="E7975" s="229"/>
      <c r="F7975" s="117" t="s">
        <v>22073</v>
      </c>
      <c r="G7975" s="26">
        <v>39393</v>
      </c>
      <c r="H7975" s="231"/>
      <c r="I7975" s="221"/>
      <c r="J7975" s="221"/>
      <c r="K7975" s="221"/>
      <c r="L7975" s="221"/>
      <c r="M7975" s="221"/>
      <c r="N7975" s="221"/>
      <c r="O7975" s="225"/>
      <c r="P7975" s="118" t="s">
        <v>22453</v>
      </c>
      <c r="Q7975" s="16" t="s">
        <v>20</v>
      </c>
      <c r="R7975" s="17" t="s">
        <v>22427</v>
      </c>
      <c r="S7975" s="121" t="s">
        <v>22454</v>
      </c>
      <c r="T7975" s="122"/>
      <c r="U7975" s="22"/>
      <c r="V7975" s="123" t="s">
        <v>23332</v>
      </c>
      <c r="W7975" s="122">
        <v>2044</v>
      </c>
      <c r="X7975" s="221"/>
      <c r="Y7975" s="221"/>
      <c r="Z7975" s="221"/>
      <c r="AA7975" s="221"/>
      <c r="AB7975" s="223"/>
    </row>
    <row r="7976" spans="1:28" ht="17.100000000000001" customHeight="1" thickTop="1">
      <c r="A7976" s="226" t="s">
        <v>22037</v>
      </c>
      <c r="B7976" s="28">
        <v>46121</v>
      </c>
      <c r="C7976" s="25">
        <v>2153</v>
      </c>
      <c r="D7976" s="13" t="s">
        <v>22196</v>
      </c>
      <c r="E7976" s="228"/>
      <c r="F7976" s="109" t="s">
        <v>22197</v>
      </c>
      <c r="G7976" s="24"/>
      <c r="H7976" s="230">
        <v>4.5</v>
      </c>
      <c r="I7976" s="220">
        <v>958000</v>
      </c>
      <c r="J7976" s="220">
        <f>I7976*0.1</f>
        <v>95800</v>
      </c>
      <c r="K7976" s="220">
        <v>0</v>
      </c>
      <c r="L7976" s="220">
        <v>7180</v>
      </c>
      <c r="M7976" s="220">
        <v>14300</v>
      </c>
      <c r="N7976" s="220">
        <f>SUM(I7976:M7977)</f>
        <v>1075280</v>
      </c>
      <c r="O7976" s="224"/>
      <c r="P7976" s="110" t="s">
        <v>22715</v>
      </c>
      <c r="Q7976" s="15" t="s">
        <v>19</v>
      </c>
      <c r="R7976" s="205"/>
      <c r="S7976" s="189" t="s">
        <v>758</v>
      </c>
      <c r="T7976" s="114"/>
      <c r="U7976" s="21"/>
      <c r="V7976" s="115">
        <v>46141</v>
      </c>
      <c r="W7976" s="116">
        <v>1015</v>
      </c>
      <c r="X7976" s="220">
        <v>1040000</v>
      </c>
      <c r="Y7976" s="220">
        <f>X7976*0.1</f>
        <v>104000</v>
      </c>
      <c r="Z7976" s="220">
        <v>7180</v>
      </c>
      <c r="AA7976" s="220">
        <f>SUM(X7976:Z7976)</f>
        <v>1151180</v>
      </c>
      <c r="AB7976" s="222">
        <v>46153</v>
      </c>
    </row>
    <row r="7977" spans="1:28" ht="17.100000000000001" customHeight="1" thickBot="1">
      <c r="A7977" s="227"/>
      <c r="B7977" s="27" t="s">
        <v>1918</v>
      </c>
      <c r="C7977" s="27">
        <v>2127</v>
      </c>
      <c r="D7977" s="14" t="s">
        <v>22190</v>
      </c>
      <c r="E7977" s="229"/>
      <c r="F7977" s="117" t="s">
        <v>22074</v>
      </c>
      <c r="G7977" s="26">
        <v>39700</v>
      </c>
      <c r="H7977" s="231"/>
      <c r="I7977" s="221"/>
      <c r="J7977" s="221"/>
      <c r="K7977" s="221"/>
      <c r="L7977" s="221"/>
      <c r="M7977" s="221"/>
      <c r="N7977" s="221"/>
      <c r="O7977" s="225"/>
      <c r="P7977" s="118" t="s">
        <v>22716</v>
      </c>
      <c r="Q7977" s="16" t="s">
        <v>20</v>
      </c>
      <c r="R7977" s="17" t="s">
        <v>22705</v>
      </c>
      <c r="S7977" s="121" t="s">
        <v>22710</v>
      </c>
      <c r="T7977" s="122"/>
      <c r="U7977" s="22"/>
      <c r="V7977" s="123" t="s">
        <v>2747</v>
      </c>
      <c r="W7977" s="122">
        <v>2020</v>
      </c>
      <c r="X7977" s="221"/>
      <c r="Y7977" s="221"/>
      <c r="Z7977" s="221"/>
      <c r="AA7977" s="221"/>
      <c r="AB7977" s="223"/>
    </row>
    <row r="7978" spans="1:28" ht="17.100000000000001" customHeight="1" thickTop="1">
      <c r="A7978" s="226" t="s">
        <v>22038</v>
      </c>
      <c r="B7978" s="28">
        <v>46121</v>
      </c>
      <c r="C7978" s="25">
        <v>2153</v>
      </c>
      <c r="D7978" s="13" t="s">
        <v>22198</v>
      </c>
      <c r="E7978" s="228"/>
      <c r="F7978" s="109" t="s">
        <v>22200</v>
      </c>
      <c r="G7978" s="24" t="s">
        <v>22201</v>
      </c>
      <c r="H7978" s="230">
        <v>4.5</v>
      </c>
      <c r="I7978" s="220">
        <v>667000</v>
      </c>
      <c r="J7978" s="220">
        <f>I7978*0.1</f>
        <v>66700</v>
      </c>
      <c r="K7978" s="220">
        <v>0</v>
      </c>
      <c r="L7978" s="220">
        <v>8400</v>
      </c>
      <c r="M7978" s="220">
        <v>14300</v>
      </c>
      <c r="N7978" s="220">
        <f>SUM(I7978:M7979)</f>
        <v>756400</v>
      </c>
      <c r="O7978" s="224"/>
      <c r="P7978" s="110" t="s">
        <v>22202</v>
      </c>
      <c r="Q7978" s="15" t="s">
        <v>19</v>
      </c>
      <c r="R7978" s="205"/>
      <c r="S7978" s="189"/>
      <c r="T7978" s="114"/>
      <c r="U7978" s="21"/>
      <c r="V7978" s="115">
        <v>46127</v>
      </c>
      <c r="W7978" s="116">
        <v>1013</v>
      </c>
      <c r="X7978" s="220">
        <v>720000</v>
      </c>
      <c r="Y7978" s="220">
        <f>X7978*0.1</f>
        <v>72000</v>
      </c>
      <c r="Z7978" s="220">
        <v>8400</v>
      </c>
      <c r="AA7978" s="220">
        <f>SUM(X7978:Z7978)</f>
        <v>800400</v>
      </c>
      <c r="AB7978" s="222">
        <v>46132</v>
      </c>
    </row>
    <row r="7979" spans="1:28" ht="17.100000000000001" customHeight="1" thickBot="1">
      <c r="A7979" s="227"/>
      <c r="B7979" s="27" t="s">
        <v>1918</v>
      </c>
      <c r="C7979" s="27">
        <v>2506</v>
      </c>
      <c r="D7979" s="14" t="s">
        <v>22199</v>
      </c>
      <c r="E7979" s="229"/>
      <c r="F7979" s="117" t="s">
        <v>22075</v>
      </c>
      <c r="G7979" s="26">
        <v>41402</v>
      </c>
      <c r="H7979" s="231"/>
      <c r="I7979" s="221"/>
      <c r="J7979" s="221"/>
      <c r="K7979" s="221"/>
      <c r="L7979" s="221"/>
      <c r="M7979" s="221"/>
      <c r="N7979" s="221"/>
      <c r="O7979" s="225"/>
      <c r="P7979" s="118" t="s">
        <v>1647</v>
      </c>
      <c r="Q7979" s="16" t="s">
        <v>20</v>
      </c>
      <c r="R7979" s="17" t="s">
        <v>1930</v>
      </c>
      <c r="S7979" s="121" t="s">
        <v>1680</v>
      </c>
      <c r="T7979" s="122"/>
      <c r="U7979" s="22"/>
      <c r="V7979" s="123" t="s">
        <v>2747</v>
      </c>
      <c r="W7979" s="122">
        <v>5092</v>
      </c>
      <c r="X7979" s="221"/>
      <c r="Y7979" s="221"/>
      <c r="Z7979" s="221"/>
      <c r="AA7979" s="221"/>
      <c r="AB7979" s="223"/>
    </row>
    <row r="7980" spans="1:28" ht="17.100000000000001" customHeight="1" thickTop="1">
      <c r="A7980" s="226" t="s">
        <v>22039</v>
      </c>
      <c r="B7980" s="28">
        <v>46121</v>
      </c>
      <c r="C7980" s="25">
        <v>2153</v>
      </c>
      <c r="D7980" s="13" t="s">
        <v>22203</v>
      </c>
      <c r="E7980" s="228"/>
      <c r="F7980" s="109" t="s">
        <v>22205</v>
      </c>
      <c r="G7980" s="24"/>
      <c r="H7980" s="230">
        <v>4</v>
      </c>
      <c r="I7980" s="220">
        <v>412000</v>
      </c>
      <c r="J7980" s="220">
        <f>I7980*0.1</f>
        <v>41200</v>
      </c>
      <c r="K7980" s="220">
        <v>0</v>
      </c>
      <c r="L7980" s="220">
        <v>8430</v>
      </c>
      <c r="M7980" s="220">
        <v>14300</v>
      </c>
      <c r="N7980" s="220">
        <f>SUM(I7980:M7981)</f>
        <v>475930</v>
      </c>
      <c r="O7980" s="224"/>
      <c r="P7980" s="110" t="s">
        <v>22440</v>
      </c>
      <c r="Q7980" s="15" t="s">
        <v>19</v>
      </c>
      <c r="R7980" s="205"/>
      <c r="S7980" s="189"/>
      <c r="T7980" s="114"/>
      <c r="U7980" s="21"/>
      <c r="V7980" s="115">
        <v>46127</v>
      </c>
      <c r="W7980" s="116">
        <v>1013</v>
      </c>
      <c r="X7980" s="220">
        <v>500000</v>
      </c>
      <c r="Y7980" s="220">
        <f>X7980*0.1</f>
        <v>50000</v>
      </c>
      <c r="Z7980" s="220">
        <v>8430</v>
      </c>
      <c r="AA7980" s="220">
        <f>SUM(X7980:Z7980)</f>
        <v>558430</v>
      </c>
      <c r="AB7980" s="222">
        <v>46135</v>
      </c>
    </row>
    <row r="7981" spans="1:28" ht="17.100000000000001" customHeight="1" thickBot="1">
      <c r="A7981" s="227"/>
      <c r="B7981" s="27" t="s">
        <v>1918</v>
      </c>
      <c r="C7981" s="27">
        <v>2520</v>
      </c>
      <c r="D7981" s="14" t="s">
        <v>22204</v>
      </c>
      <c r="E7981" s="229"/>
      <c r="F7981" s="117" t="s">
        <v>22076</v>
      </c>
      <c r="G7981" s="26">
        <v>16062</v>
      </c>
      <c r="H7981" s="231"/>
      <c r="I7981" s="221"/>
      <c r="J7981" s="221"/>
      <c r="K7981" s="221"/>
      <c r="L7981" s="221"/>
      <c r="M7981" s="221"/>
      <c r="N7981" s="221"/>
      <c r="O7981" s="225"/>
      <c r="P7981" s="118" t="s">
        <v>22441</v>
      </c>
      <c r="Q7981" s="16" t="s">
        <v>20</v>
      </c>
      <c r="R7981" s="17" t="s">
        <v>22427</v>
      </c>
      <c r="S7981" s="121"/>
      <c r="T7981" s="122"/>
      <c r="U7981" s="22"/>
      <c r="V7981" s="123" t="s">
        <v>7161</v>
      </c>
      <c r="W7981" s="122">
        <v>5105</v>
      </c>
      <c r="X7981" s="221"/>
      <c r="Y7981" s="221"/>
      <c r="Z7981" s="221"/>
      <c r="AA7981" s="221"/>
      <c r="AB7981" s="223"/>
    </row>
    <row r="7982" spans="1:28" ht="17.100000000000001" customHeight="1" thickTop="1">
      <c r="A7982" s="226" t="s">
        <v>22040</v>
      </c>
      <c r="B7982" s="28">
        <v>46121</v>
      </c>
      <c r="C7982" s="25">
        <v>2153</v>
      </c>
      <c r="D7982" s="13" t="s">
        <v>22203</v>
      </c>
      <c r="E7982" s="228"/>
      <c r="F7982" s="109" t="s">
        <v>22207</v>
      </c>
      <c r="G7982" s="24"/>
      <c r="H7982" s="230">
        <v>4</v>
      </c>
      <c r="I7982" s="220">
        <v>487000</v>
      </c>
      <c r="J7982" s="220">
        <f>I7982*0.1</f>
        <v>48700</v>
      </c>
      <c r="K7982" s="220">
        <v>0</v>
      </c>
      <c r="L7982" s="220">
        <v>9200</v>
      </c>
      <c r="M7982" s="220">
        <v>14300</v>
      </c>
      <c r="N7982" s="220">
        <f>SUM(I7982:M7983)</f>
        <v>559200</v>
      </c>
      <c r="O7982" s="224"/>
      <c r="P7982" s="110" t="s">
        <v>22443</v>
      </c>
      <c r="Q7982" s="15" t="s">
        <v>19</v>
      </c>
      <c r="R7982" s="205"/>
      <c r="S7982" s="189"/>
      <c r="T7982" s="114"/>
      <c r="U7982" s="21"/>
      <c r="V7982" s="115">
        <v>46134</v>
      </c>
      <c r="W7982" s="116">
        <v>1014</v>
      </c>
      <c r="X7982" s="220">
        <v>565000</v>
      </c>
      <c r="Y7982" s="220">
        <f>X7982*0.1</f>
        <v>56500</v>
      </c>
      <c r="Z7982" s="220">
        <v>9200</v>
      </c>
      <c r="AA7982" s="220">
        <f>SUM(X7982:Z7982)</f>
        <v>630700</v>
      </c>
      <c r="AB7982" s="222">
        <v>46139</v>
      </c>
    </row>
    <row r="7983" spans="1:28" ht="17.100000000000001" customHeight="1" thickBot="1">
      <c r="A7983" s="227"/>
      <c r="B7983" s="27" t="s">
        <v>1918</v>
      </c>
      <c r="C7983" s="27">
        <v>2524</v>
      </c>
      <c r="D7983" s="14" t="s">
        <v>22206</v>
      </c>
      <c r="E7983" s="229"/>
      <c r="F7983" s="117" t="s">
        <v>22077</v>
      </c>
      <c r="G7983" s="26">
        <v>7280</v>
      </c>
      <c r="H7983" s="231"/>
      <c r="I7983" s="221"/>
      <c r="J7983" s="221"/>
      <c r="K7983" s="221"/>
      <c r="L7983" s="221"/>
      <c r="M7983" s="221"/>
      <c r="N7983" s="221"/>
      <c r="O7983" s="225"/>
      <c r="P7983" s="118" t="s">
        <v>22442</v>
      </c>
      <c r="Q7983" s="16" t="s">
        <v>20</v>
      </c>
      <c r="R7983" s="17" t="s">
        <v>22427</v>
      </c>
      <c r="S7983" s="121"/>
      <c r="T7983" s="122"/>
      <c r="U7983" s="22"/>
      <c r="V7983" s="123" t="s">
        <v>23332</v>
      </c>
      <c r="W7983" s="122">
        <v>2060</v>
      </c>
      <c r="X7983" s="221"/>
      <c r="Y7983" s="221"/>
      <c r="Z7983" s="221"/>
      <c r="AA7983" s="221"/>
      <c r="AB7983" s="223"/>
    </row>
    <row r="7984" spans="1:28" ht="17.100000000000001" customHeight="1" thickTop="1">
      <c r="A7984" s="226" t="s">
        <v>22041</v>
      </c>
      <c r="B7984" s="28">
        <v>46121</v>
      </c>
      <c r="C7984" s="25">
        <v>2153</v>
      </c>
      <c r="D7984" s="13" t="s">
        <v>22208</v>
      </c>
      <c r="E7984" s="228"/>
      <c r="F7984" s="109" t="s">
        <v>22210</v>
      </c>
      <c r="G7984" s="24"/>
      <c r="H7984" s="230">
        <v>4.5</v>
      </c>
      <c r="I7984" s="220">
        <v>855000</v>
      </c>
      <c r="J7984" s="220">
        <f>I7984*0.1</f>
        <v>85500</v>
      </c>
      <c r="K7984" s="220">
        <v>0</v>
      </c>
      <c r="L7984" s="220">
        <v>8400</v>
      </c>
      <c r="M7984" s="220">
        <v>14300</v>
      </c>
      <c r="N7984" s="220">
        <f>SUM(I7984:M7985)</f>
        <v>963200</v>
      </c>
      <c r="O7984" s="224"/>
      <c r="P7984" s="110" t="s">
        <v>22449</v>
      </c>
      <c r="Q7984" s="15" t="s">
        <v>19</v>
      </c>
      <c r="R7984" s="205"/>
      <c r="S7984" s="189" t="s">
        <v>455</v>
      </c>
      <c r="T7984" s="114"/>
      <c r="U7984" s="21"/>
      <c r="V7984" s="115">
        <v>46127</v>
      </c>
      <c r="W7984" s="116">
        <v>1013</v>
      </c>
      <c r="X7984" s="220">
        <v>940000</v>
      </c>
      <c r="Y7984" s="220">
        <f>X7984*0.1</f>
        <v>94000</v>
      </c>
      <c r="Z7984" s="220">
        <v>8400</v>
      </c>
      <c r="AA7984" s="220">
        <f>SUM(X7984:Z7984)</f>
        <v>1042400</v>
      </c>
      <c r="AB7984" s="222">
        <v>46132</v>
      </c>
    </row>
    <row r="7985" spans="1:28" ht="17.100000000000001" customHeight="1" thickBot="1">
      <c r="A7985" s="227"/>
      <c r="B7985" s="27" t="s">
        <v>1918</v>
      </c>
      <c r="C7985" s="27">
        <v>2534</v>
      </c>
      <c r="D7985" s="14" t="s">
        <v>22209</v>
      </c>
      <c r="E7985" s="229"/>
      <c r="F7985" s="117" t="s">
        <v>22078</v>
      </c>
      <c r="G7985" s="26">
        <v>5495</v>
      </c>
      <c r="H7985" s="231"/>
      <c r="I7985" s="221"/>
      <c r="J7985" s="221"/>
      <c r="K7985" s="221"/>
      <c r="L7985" s="221"/>
      <c r="M7985" s="221"/>
      <c r="N7985" s="221"/>
      <c r="O7985" s="225"/>
      <c r="P7985" s="118" t="s">
        <v>22450</v>
      </c>
      <c r="Q7985" s="16" t="s">
        <v>20</v>
      </c>
      <c r="R7985" s="17" t="s">
        <v>22427</v>
      </c>
      <c r="S7985" s="121" t="s">
        <v>22451</v>
      </c>
      <c r="T7985" s="122"/>
      <c r="U7985" s="22"/>
      <c r="V7985" s="123" t="s">
        <v>2747</v>
      </c>
      <c r="W7985" s="122">
        <v>5097</v>
      </c>
      <c r="X7985" s="221"/>
      <c r="Y7985" s="221"/>
      <c r="Z7985" s="221"/>
      <c r="AA7985" s="221"/>
      <c r="AB7985" s="223"/>
    </row>
    <row r="7986" spans="1:28" ht="17.100000000000001" customHeight="1" thickTop="1">
      <c r="A7986" s="226" t="s">
        <v>22042</v>
      </c>
      <c r="B7986" s="28">
        <v>46121</v>
      </c>
      <c r="C7986" s="25">
        <v>2153</v>
      </c>
      <c r="D7986" s="13" t="s">
        <v>22212</v>
      </c>
      <c r="E7986" s="228"/>
      <c r="F7986" s="109" t="s">
        <v>22213</v>
      </c>
      <c r="G7986" s="24" t="s">
        <v>22214</v>
      </c>
      <c r="H7986" s="230">
        <v>4.5</v>
      </c>
      <c r="I7986" s="220">
        <v>1157000</v>
      </c>
      <c r="J7986" s="220">
        <f>I7986*0.1</f>
        <v>115700</v>
      </c>
      <c r="K7986" s="220">
        <v>0</v>
      </c>
      <c r="L7986" s="220">
        <v>8790</v>
      </c>
      <c r="M7986" s="220">
        <v>14300</v>
      </c>
      <c r="N7986" s="220">
        <f>SUM(I7986:M7987)</f>
        <v>1295790</v>
      </c>
      <c r="O7986" s="224"/>
      <c r="P7986" s="110" t="s">
        <v>22446</v>
      </c>
      <c r="Q7986" s="15" t="s">
        <v>19</v>
      </c>
      <c r="R7986" s="205"/>
      <c r="S7986" s="189" t="s">
        <v>25932</v>
      </c>
      <c r="T7986" s="114"/>
      <c r="U7986" s="21"/>
      <c r="V7986" s="115">
        <v>46141</v>
      </c>
      <c r="W7986" s="116">
        <v>1015</v>
      </c>
      <c r="X7986" s="220">
        <v>1190000</v>
      </c>
      <c r="Y7986" s="220">
        <f>X7986*0.1</f>
        <v>119000</v>
      </c>
      <c r="Z7986" s="220">
        <v>8790</v>
      </c>
      <c r="AA7986" s="220">
        <f>SUM(X7986:Z7986)</f>
        <v>1317790</v>
      </c>
      <c r="AB7986" s="222">
        <v>46153</v>
      </c>
    </row>
    <row r="7987" spans="1:28" ht="17.100000000000001" customHeight="1" thickBot="1">
      <c r="A7987" s="227"/>
      <c r="B7987" s="27" t="s">
        <v>1918</v>
      </c>
      <c r="C7987" s="27">
        <v>2586</v>
      </c>
      <c r="D7987" s="14" t="s">
        <v>2753</v>
      </c>
      <c r="E7987" s="229"/>
      <c r="F7987" s="117" t="s">
        <v>22079</v>
      </c>
      <c r="G7987" s="26">
        <v>5208</v>
      </c>
      <c r="H7987" s="231"/>
      <c r="I7987" s="221"/>
      <c r="J7987" s="221"/>
      <c r="K7987" s="221"/>
      <c r="L7987" s="221"/>
      <c r="M7987" s="221"/>
      <c r="N7987" s="221"/>
      <c r="O7987" s="225"/>
      <c r="P7987" s="118" t="s">
        <v>22447</v>
      </c>
      <c r="Q7987" s="16" t="s">
        <v>20</v>
      </c>
      <c r="R7987" s="17" t="s">
        <v>22427</v>
      </c>
      <c r="S7987" s="121" t="s">
        <v>22448</v>
      </c>
      <c r="T7987" s="122"/>
      <c r="U7987" s="22"/>
      <c r="V7987" s="123" t="s">
        <v>2747</v>
      </c>
      <c r="W7987" s="122">
        <v>5149</v>
      </c>
      <c r="X7987" s="221"/>
      <c r="Y7987" s="221"/>
      <c r="Z7987" s="221"/>
      <c r="AA7987" s="221"/>
      <c r="AB7987" s="223"/>
    </row>
    <row r="7988" spans="1:28" ht="17.100000000000001" customHeight="1" thickTop="1">
      <c r="A7988" s="226" t="s">
        <v>22043</v>
      </c>
      <c r="B7988" s="28">
        <v>46121</v>
      </c>
      <c r="C7988" s="25">
        <v>2153</v>
      </c>
      <c r="D7988" s="13" t="s">
        <v>22211</v>
      </c>
      <c r="E7988" s="228"/>
      <c r="F7988" s="109" t="s">
        <v>22215</v>
      </c>
      <c r="G7988" s="24"/>
      <c r="H7988" s="230">
        <v>4</v>
      </c>
      <c r="I7988" s="220">
        <v>581000</v>
      </c>
      <c r="J7988" s="220">
        <f>I7988*0.1</f>
        <v>58100</v>
      </c>
      <c r="K7988" s="220">
        <v>0</v>
      </c>
      <c r="L7988" s="220">
        <v>8400</v>
      </c>
      <c r="M7988" s="220">
        <v>14300</v>
      </c>
      <c r="N7988" s="220">
        <f>SUM(I7988:M7989)</f>
        <v>661800</v>
      </c>
      <c r="O7988" s="224"/>
      <c r="P7988" s="110" t="s">
        <v>22808</v>
      </c>
      <c r="Q7988" s="15" t="s">
        <v>19</v>
      </c>
      <c r="R7988" s="205"/>
      <c r="S7988" s="189"/>
      <c r="T7988" s="114"/>
      <c r="U7988" s="21"/>
      <c r="V7988" s="115">
        <v>46127</v>
      </c>
      <c r="W7988" s="116">
        <v>1013</v>
      </c>
      <c r="X7988" s="220">
        <v>645000</v>
      </c>
      <c r="Y7988" s="220">
        <f>X7988*0.1</f>
        <v>64500</v>
      </c>
      <c r="Z7988" s="220">
        <v>8400</v>
      </c>
      <c r="AA7988" s="220">
        <f>SUM(X7988:Z7988)</f>
        <v>717900</v>
      </c>
      <c r="AB7988" s="222">
        <v>46133</v>
      </c>
    </row>
    <row r="7989" spans="1:28" ht="17.100000000000001" customHeight="1" thickBot="1">
      <c r="A7989" s="227"/>
      <c r="B7989" s="27" t="s">
        <v>1918</v>
      </c>
      <c r="C7989" s="27">
        <v>2625</v>
      </c>
      <c r="D7989" s="14" t="s">
        <v>22209</v>
      </c>
      <c r="E7989" s="229"/>
      <c r="F7989" s="117" t="s">
        <v>22080</v>
      </c>
      <c r="G7989" s="26">
        <v>7977</v>
      </c>
      <c r="H7989" s="231"/>
      <c r="I7989" s="221"/>
      <c r="J7989" s="221"/>
      <c r="K7989" s="221"/>
      <c r="L7989" s="221"/>
      <c r="M7989" s="221"/>
      <c r="N7989" s="221"/>
      <c r="O7989" s="225"/>
      <c r="P7989" s="118" t="s">
        <v>4314</v>
      </c>
      <c r="Q7989" s="16" t="s">
        <v>20</v>
      </c>
      <c r="R7989" s="17" t="s">
        <v>3650</v>
      </c>
      <c r="S7989" s="121"/>
      <c r="T7989" s="122"/>
      <c r="U7989" s="22"/>
      <c r="V7989" s="123" t="s">
        <v>2747</v>
      </c>
      <c r="W7989" s="122">
        <v>5201</v>
      </c>
      <c r="X7989" s="221"/>
      <c r="Y7989" s="221"/>
      <c r="Z7989" s="221"/>
      <c r="AA7989" s="221"/>
      <c r="AB7989" s="223"/>
    </row>
    <row r="7990" spans="1:28" ht="17.100000000000001" customHeight="1" thickTop="1">
      <c r="A7990" s="226" t="s">
        <v>22044</v>
      </c>
      <c r="B7990" s="28">
        <v>46121</v>
      </c>
      <c r="C7990" s="25">
        <v>2153</v>
      </c>
      <c r="D7990" s="13" t="s">
        <v>22216</v>
      </c>
      <c r="E7990" s="228"/>
      <c r="F7990" s="109" t="s">
        <v>22217</v>
      </c>
      <c r="G7990" s="24"/>
      <c r="H7990" s="230">
        <v>4.5</v>
      </c>
      <c r="I7990" s="220">
        <v>857000</v>
      </c>
      <c r="J7990" s="220">
        <f>I7990*0.1</f>
        <v>85700</v>
      </c>
      <c r="K7990" s="220">
        <v>0</v>
      </c>
      <c r="L7990" s="220">
        <v>8740</v>
      </c>
      <c r="M7990" s="220">
        <v>14300</v>
      </c>
      <c r="N7990" s="220">
        <f>SUM(I7990:M7991)</f>
        <v>965740</v>
      </c>
      <c r="O7990" s="224"/>
      <c r="P7990" s="110" t="s">
        <v>22618</v>
      </c>
      <c r="Q7990" s="15" t="s">
        <v>19</v>
      </c>
      <c r="R7990" s="205"/>
      <c r="S7990" s="189" t="s">
        <v>25701</v>
      </c>
      <c r="T7990" s="114"/>
      <c r="U7990" s="21"/>
      <c r="V7990" s="115">
        <v>46127</v>
      </c>
      <c r="W7990" s="116">
        <v>1013</v>
      </c>
      <c r="X7990" s="220">
        <v>885000</v>
      </c>
      <c r="Y7990" s="220">
        <f>X7990*0.1</f>
        <v>88500</v>
      </c>
      <c r="Z7990" s="220">
        <v>8740</v>
      </c>
      <c r="AA7990" s="220">
        <f>SUM(X7990:Z7990)</f>
        <v>982240</v>
      </c>
      <c r="AB7990" s="222">
        <v>46132</v>
      </c>
    </row>
    <row r="7991" spans="1:28" ht="17.100000000000001" customHeight="1" thickBot="1">
      <c r="A7991" s="227"/>
      <c r="B7991" s="27" t="s">
        <v>1918</v>
      </c>
      <c r="C7991" s="27">
        <v>2636</v>
      </c>
      <c r="D7991" s="14" t="s">
        <v>2559</v>
      </c>
      <c r="E7991" s="229"/>
      <c r="F7991" s="117" t="s">
        <v>22081</v>
      </c>
      <c r="G7991" s="26">
        <v>47196</v>
      </c>
      <c r="H7991" s="231"/>
      <c r="I7991" s="221"/>
      <c r="J7991" s="221"/>
      <c r="K7991" s="221"/>
      <c r="L7991" s="221"/>
      <c r="M7991" s="221"/>
      <c r="N7991" s="221"/>
      <c r="O7991" s="225"/>
      <c r="P7991" s="118" t="s">
        <v>22619</v>
      </c>
      <c r="Q7991" s="16" t="s">
        <v>20</v>
      </c>
      <c r="R7991" s="17" t="s">
        <v>1930</v>
      </c>
      <c r="S7991" s="121" t="s">
        <v>1625</v>
      </c>
      <c r="T7991" s="122"/>
      <c r="U7991" s="22"/>
      <c r="V7991" s="123" t="s">
        <v>2747</v>
      </c>
      <c r="W7991" s="122">
        <v>5088</v>
      </c>
      <c r="X7991" s="221"/>
      <c r="Y7991" s="221"/>
      <c r="Z7991" s="221"/>
      <c r="AA7991" s="221"/>
      <c r="AB7991" s="223"/>
    </row>
    <row r="7992" spans="1:28" ht="17.100000000000001" customHeight="1" thickTop="1">
      <c r="A7992" s="226" t="s">
        <v>22045</v>
      </c>
      <c r="B7992" s="28">
        <v>46121</v>
      </c>
      <c r="C7992" s="25">
        <v>2153</v>
      </c>
      <c r="D7992" s="13" t="s">
        <v>22218</v>
      </c>
      <c r="E7992" s="228"/>
      <c r="F7992" s="109" t="s">
        <v>22219</v>
      </c>
      <c r="G7992" s="24"/>
      <c r="H7992" s="230">
        <v>4.5</v>
      </c>
      <c r="I7992" s="220">
        <v>538000</v>
      </c>
      <c r="J7992" s="220">
        <f>I7992*0.1</f>
        <v>53800</v>
      </c>
      <c r="K7992" s="220">
        <v>0</v>
      </c>
      <c r="L7992" s="220">
        <v>8400</v>
      </c>
      <c r="M7992" s="220">
        <v>14300</v>
      </c>
      <c r="N7992" s="220">
        <f>SUM(I7992:M7993)</f>
        <v>614500</v>
      </c>
      <c r="O7992" s="224"/>
      <c r="P7992" s="110" t="s">
        <v>22646</v>
      </c>
      <c r="Q7992" s="15" t="s">
        <v>19</v>
      </c>
      <c r="R7992" s="205"/>
      <c r="S7992" s="189"/>
      <c r="T7992" s="114"/>
      <c r="U7992" s="21"/>
      <c r="V7992" s="115">
        <v>46127</v>
      </c>
      <c r="W7992" s="116">
        <v>1013</v>
      </c>
      <c r="X7992" s="220">
        <v>630000</v>
      </c>
      <c r="Y7992" s="220">
        <f>X7992*0.1</f>
        <v>63000</v>
      </c>
      <c r="Z7992" s="220">
        <v>8400</v>
      </c>
      <c r="AA7992" s="220">
        <f>SUM(X7992:Z7992)</f>
        <v>701400</v>
      </c>
      <c r="AB7992" s="222">
        <v>46133</v>
      </c>
    </row>
    <row r="7993" spans="1:28" ht="17.100000000000001" customHeight="1" thickBot="1">
      <c r="A7993" s="227"/>
      <c r="B7993" s="27" t="s">
        <v>1918</v>
      </c>
      <c r="C7993" s="27">
        <v>2644</v>
      </c>
      <c r="D7993" s="14" t="s">
        <v>22206</v>
      </c>
      <c r="E7993" s="229"/>
      <c r="F7993" s="117" t="s">
        <v>22082</v>
      </c>
      <c r="G7993" s="26">
        <v>30485</v>
      </c>
      <c r="H7993" s="231"/>
      <c r="I7993" s="221"/>
      <c r="J7993" s="221"/>
      <c r="K7993" s="221"/>
      <c r="L7993" s="221"/>
      <c r="M7993" s="221"/>
      <c r="N7993" s="221"/>
      <c r="O7993" s="225"/>
      <c r="P7993" s="118" t="s">
        <v>1664</v>
      </c>
      <c r="Q7993" s="16" t="s">
        <v>20</v>
      </c>
      <c r="R7993" s="17" t="s">
        <v>1930</v>
      </c>
      <c r="S7993" s="121"/>
      <c r="T7993" s="122"/>
      <c r="U7993" s="22"/>
      <c r="V7993" s="123" t="s">
        <v>22718</v>
      </c>
      <c r="W7993" s="122">
        <v>5116</v>
      </c>
      <c r="X7993" s="221"/>
      <c r="Y7993" s="221"/>
      <c r="Z7993" s="221"/>
      <c r="AA7993" s="221"/>
      <c r="AB7993" s="223"/>
    </row>
    <row r="7994" spans="1:28" ht="17.100000000000001" customHeight="1" thickTop="1">
      <c r="A7994" s="226" t="s">
        <v>22046</v>
      </c>
      <c r="B7994" s="28">
        <v>46121</v>
      </c>
      <c r="C7994" s="25">
        <v>2022</v>
      </c>
      <c r="D7994" s="13" t="s">
        <v>22218</v>
      </c>
      <c r="E7994" s="228"/>
      <c r="F7994" s="109" t="s">
        <v>22226</v>
      </c>
      <c r="G7994" s="24" t="s">
        <v>22227</v>
      </c>
      <c r="H7994" s="230">
        <v>4</v>
      </c>
      <c r="I7994" s="220">
        <v>1915000</v>
      </c>
      <c r="J7994" s="220">
        <f>I7994*0.1</f>
        <v>191500</v>
      </c>
      <c r="K7994" s="220">
        <v>39820</v>
      </c>
      <c r="L7994" s="220">
        <v>12470</v>
      </c>
      <c r="M7994" s="220">
        <v>22000</v>
      </c>
      <c r="N7994" s="220">
        <f>SUM(I7994:M7995)</f>
        <v>2180790</v>
      </c>
      <c r="O7994" s="224"/>
      <c r="P7994" s="110" t="s">
        <v>22228</v>
      </c>
      <c r="Q7994" s="15" t="s">
        <v>19</v>
      </c>
      <c r="R7994" s="205"/>
      <c r="S7994" s="189" t="s">
        <v>25710</v>
      </c>
      <c r="T7994" s="114"/>
      <c r="U7994" s="21" t="s">
        <v>24877</v>
      </c>
      <c r="V7994" s="115"/>
      <c r="W7994" s="116"/>
      <c r="X7994" s="220"/>
      <c r="Y7994" s="220">
        <f>X7994*0.1</f>
        <v>0</v>
      </c>
      <c r="Z7994" s="220"/>
      <c r="AA7994" s="220">
        <f>SUM(X7994:Z7994)</f>
        <v>0</v>
      </c>
      <c r="AB7994" s="222"/>
    </row>
    <row r="7995" spans="1:28" ht="17.100000000000001" customHeight="1" thickBot="1">
      <c r="A7995" s="227"/>
      <c r="B7995" s="27" t="s">
        <v>22083</v>
      </c>
      <c r="C7995" s="27">
        <v>10035</v>
      </c>
      <c r="D7995" s="14" t="s">
        <v>22190</v>
      </c>
      <c r="E7995" s="229"/>
      <c r="F7995" s="117" t="s">
        <v>22084</v>
      </c>
      <c r="G7995" s="26">
        <v>43200</v>
      </c>
      <c r="H7995" s="231"/>
      <c r="I7995" s="221"/>
      <c r="J7995" s="221"/>
      <c r="K7995" s="221"/>
      <c r="L7995" s="221"/>
      <c r="M7995" s="221"/>
      <c r="N7995" s="221"/>
      <c r="O7995" s="225"/>
      <c r="P7995" s="118" t="s">
        <v>22653</v>
      </c>
      <c r="Q7995" s="16" t="s">
        <v>20</v>
      </c>
      <c r="R7995" s="17" t="s">
        <v>1930</v>
      </c>
      <c r="S7995" s="121" t="s">
        <v>169</v>
      </c>
      <c r="T7995" s="122"/>
      <c r="U7995" s="22"/>
      <c r="V7995" s="123"/>
      <c r="W7995" s="122"/>
      <c r="X7995" s="221"/>
      <c r="Y7995" s="221"/>
      <c r="Z7995" s="221"/>
      <c r="AA7995" s="221"/>
      <c r="AB7995" s="223"/>
    </row>
    <row r="7996" spans="1:28" ht="17.100000000000001" customHeight="1" thickTop="1">
      <c r="A7996" s="226" t="s">
        <v>22047</v>
      </c>
      <c r="B7996" s="28">
        <v>46121</v>
      </c>
      <c r="C7996" s="25">
        <v>2022</v>
      </c>
      <c r="D7996" s="13" t="s">
        <v>22229</v>
      </c>
      <c r="E7996" s="228"/>
      <c r="F7996" s="109" t="s">
        <v>22230</v>
      </c>
      <c r="G7996" s="24"/>
      <c r="H7996" s="230">
        <v>4</v>
      </c>
      <c r="I7996" s="220">
        <v>606000</v>
      </c>
      <c r="J7996" s="220">
        <f>I7996*0.1</f>
        <v>60600</v>
      </c>
      <c r="K7996" s="220">
        <v>0</v>
      </c>
      <c r="L7996" s="220">
        <v>15660</v>
      </c>
      <c r="M7996" s="220">
        <v>22000</v>
      </c>
      <c r="N7996" s="220">
        <f>SUM(I7996:M7997)</f>
        <v>704260</v>
      </c>
      <c r="O7996" s="224"/>
      <c r="P7996" s="110" t="s">
        <v>22657</v>
      </c>
      <c r="Q7996" s="15" t="s">
        <v>19</v>
      </c>
      <c r="R7996" s="205"/>
      <c r="S7996" s="189" t="s">
        <v>455</v>
      </c>
      <c r="T7996" s="114"/>
      <c r="U7996" s="21"/>
      <c r="V7996" s="115"/>
      <c r="W7996" s="116"/>
      <c r="X7996" s="220"/>
      <c r="Y7996" s="220">
        <f>X7996*0.1</f>
        <v>0</v>
      </c>
      <c r="Z7996" s="220"/>
      <c r="AA7996" s="220">
        <f>SUM(X7996:Z7996)</f>
        <v>0</v>
      </c>
      <c r="AB7996" s="222"/>
    </row>
    <row r="7997" spans="1:28" ht="17.100000000000001" customHeight="1" thickBot="1">
      <c r="A7997" s="227"/>
      <c r="B7997" s="27" t="s">
        <v>22083</v>
      </c>
      <c r="C7997" s="27">
        <v>30035</v>
      </c>
      <c r="D7997" s="14" t="s">
        <v>2559</v>
      </c>
      <c r="E7997" s="229"/>
      <c r="F7997" s="117" t="s">
        <v>22085</v>
      </c>
      <c r="G7997" s="26">
        <v>73390</v>
      </c>
      <c r="H7997" s="231"/>
      <c r="I7997" s="221"/>
      <c r="J7997" s="221"/>
      <c r="K7997" s="221"/>
      <c r="L7997" s="221"/>
      <c r="M7997" s="221"/>
      <c r="N7997" s="221"/>
      <c r="O7997" s="225"/>
      <c r="P7997" s="118" t="s">
        <v>22658</v>
      </c>
      <c r="Q7997" s="16" t="s">
        <v>20</v>
      </c>
      <c r="R7997" s="17" t="s">
        <v>1930</v>
      </c>
      <c r="S7997" s="121" t="s">
        <v>1601</v>
      </c>
      <c r="T7997" s="122"/>
      <c r="U7997" s="22"/>
      <c r="V7997" s="123"/>
      <c r="W7997" s="122"/>
      <c r="X7997" s="221"/>
      <c r="Y7997" s="221"/>
      <c r="Z7997" s="221"/>
      <c r="AA7997" s="221"/>
      <c r="AB7997" s="223"/>
    </row>
    <row r="7998" spans="1:28" ht="17.100000000000001" customHeight="1" thickTop="1">
      <c r="A7998" s="226" t="s">
        <v>22048</v>
      </c>
      <c r="B7998" s="28">
        <v>46121</v>
      </c>
      <c r="C7998" s="25">
        <v>2022</v>
      </c>
      <c r="D7998" s="13" t="s">
        <v>22231</v>
      </c>
      <c r="E7998" s="228"/>
      <c r="F7998" s="109" t="s">
        <v>22232</v>
      </c>
      <c r="G7998" s="24"/>
      <c r="H7998" s="230">
        <v>4</v>
      </c>
      <c r="I7998" s="220">
        <v>1062000</v>
      </c>
      <c r="J7998" s="220">
        <f>I7998*0.1</f>
        <v>106200</v>
      </c>
      <c r="K7998" s="220">
        <v>0</v>
      </c>
      <c r="L7998" s="220">
        <v>9810</v>
      </c>
      <c r="M7998" s="220">
        <v>22000</v>
      </c>
      <c r="N7998" s="220">
        <f>SUM(I7998:M7999)</f>
        <v>1200010</v>
      </c>
      <c r="O7998" s="224"/>
      <c r="P7998" s="110" t="s">
        <v>22734</v>
      </c>
      <c r="Q7998" s="15" t="s">
        <v>19</v>
      </c>
      <c r="R7998" s="205"/>
      <c r="S7998" s="189" t="s">
        <v>25933</v>
      </c>
      <c r="T7998" s="114"/>
      <c r="U7998" s="21"/>
      <c r="V7998" s="115">
        <v>46127</v>
      </c>
      <c r="W7998" s="116">
        <v>1013</v>
      </c>
      <c r="X7998" s="220">
        <v>1130000</v>
      </c>
      <c r="Y7998" s="220">
        <f>X7998*0.1</f>
        <v>113000</v>
      </c>
      <c r="Z7998" s="220">
        <v>9810</v>
      </c>
      <c r="AA7998" s="220">
        <f>SUM(X7998:Z7998)</f>
        <v>1252810</v>
      </c>
      <c r="AB7998" s="222">
        <v>46133</v>
      </c>
    </row>
    <row r="7999" spans="1:28" ht="17.100000000000001" customHeight="1" thickBot="1">
      <c r="A7999" s="227"/>
      <c r="B7999" s="27" t="s">
        <v>22083</v>
      </c>
      <c r="C7999" s="27">
        <v>30125</v>
      </c>
      <c r="D7999" s="14" t="s">
        <v>22190</v>
      </c>
      <c r="E7999" s="229"/>
      <c r="F7999" s="117" t="s">
        <v>22086</v>
      </c>
      <c r="G7999" s="26">
        <v>59630</v>
      </c>
      <c r="H7999" s="231"/>
      <c r="I7999" s="221"/>
      <c r="J7999" s="221"/>
      <c r="K7999" s="221"/>
      <c r="L7999" s="221"/>
      <c r="M7999" s="221"/>
      <c r="N7999" s="221"/>
      <c r="O7999" s="225"/>
      <c r="P7999" s="118" t="s">
        <v>7414</v>
      </c>
      <c r="Q7999" s="16" t="s">
        <v>20</v>
      </c>
      <c r="R7999" s="17" t="s">
        <v>22705</v>
      </c>
      <c r="S7999" s="121" t="s">
        <v>22735</v>
      </c>
      <c r="T7999" s="122"/>
      <c r="U7999" s="22"/>
      <c r="V7999" s="123" t="s">
        <v>2747</v>
      </c>
      <c r="W7999" s="122">
        <v>5120</v>
      </c>
      <c r="X7999" s="221"/>
      <c r="Y7999" s="221"/>
      <c r="Z7999" s="221"/>
      <c r="AA7999" s="221"/>
      <c r="AB7999" s="223"/>
    </row>
    <row r="8000" spans="1:28" ht="17.100000000000001" customHeight="1" thickTop="1">
      <c r="A8000" s="226" t="s">
        <v>22049</v>
      </c>
      <c r="B8000" s="28">
        <v>46121</v>
      </c>
      <c r="C8000" s="25">
        <v>2022</v>
      </c>
      <c r="D8000" s="13" t="s">
        <v>22233</v>
      </c>
      <c r="E8000" s="228"/>
      <c r="F8000" s="109" t="s">
        <v>22234</v>
      </c>
      <c r="G8000" s="24"/>
      <c r="H8000" s="230">
        <v>4</v>
      </c>
      <c r="I8000" s="220">
        <v>957000</v>
      </c>
      <c r="J8000" s="220">
        <f>I8000*0.1</f>
        <v>95700</v>
      </c>
      <c r="K8000" s="220">
        <v>0</v>
      </c>
      <c r="L8000" s="220">
        <v>7510</v>
      </c>
      <c r="M8000" s="220">
        <v>22000</v>
      </c>
      <c r="N8000" s="220">
        <f>SUM(I8000:M8001)</f>
        <v>1082210</v>
      </c>
      <c r="O8000" s="224"/>
      <c r="P8000" s="110" t="s">
        <v>22726</v>
      </c>
      <c r="Q8000" s="15" t="s">
        <v>19</v>
      </c>
      <c r="R8000" s="205"/>
      <c r="S8000" s="189" t="s">
        <v>758</v>
      </c>
      <c r="T8000" s="114"/>
      <c r="U8000" s="21"/>
      <c r="V8000" s="115"/>
      <c r="W8000" s="116"/>
      <c r="X8000" s="220"/>
      <c r="Y8000" s="220">
        <f>X8000*0.1</f>
        <v>0</v>
      </c>
      <c r="Z8000" s="220"/>
      <c r="AA8000" s="220">
        <f>SUM(X8000:Z8000)</f>
        <v>0</v>
      </c>
      <c r="AB8000" s="222"/>
    </row>
    <row r="8001" spans="1:28" ht="17.100000000000001" customHeight="1" thickBot="1">
      <c r="A8001" s="227"/>
      <c r="B8001" s="27" t="s">
        <v>22083</v>
      </c>
      <c r="C8001" s="27">
        <v>30229</v>
      </c>
      <c r="D8001" s="14" t="s">
        <v>22209</v>
      </c>
      <c r="E8001" s="229"/>
      <c r="F8001" s="117" t="s">
        <v>22087</v>
      </c>
      <c r="G8001" s="26">
        <v>37024</v>
      </c>
      <c r="H8001" s="231"/>
      <c r="I8001" s="221"/>
      <c r="J8001" s="221"/>
      <c r="K8001" s="221"/>
      <c r="L8001" s="221"/>
      <c r="M8001" s="221"/>
      <c r="N8001" s="221"/>
      <c r="O8001" s="225"/>
      <c r="P8001" s="118" t="s">
        <v>7414</v>
      </c>
      <c r="Q8001" s="16" t="s">
        <v>20</v>
      </c>
      <c r="R8001" s="17" t="s">
        <v>22705</v>
      </c>
      <c r="S8001" s="121" t="s">
        <v>22727</v>
      </c>
      <c r="T8001" s="122"/>
      <c r="U8001" s="22"/>
      <c r="V8001" s="123"/>
      <c r="W8001" s="122"/>
      <c r="X8001" s="221"/>
      <c r="Y8001" s="221"/>
      <c r="Z8001" s="221"/>
      <c r="AA8001" s="221"/>
      <c r="AB8001" s="223"/>
    </row>
    <row r="8002" spans="1:28" ht="17.100000000000001" customHeight="1" thickTop="1">
      <c r="A8002" s="226" t="s">
        <v>22050</v>
      </c>
      <c r="B8002" s="28">
        <v>46121</v>
      </c>
      <c r="C8002" s="25">
        <v>2022</v>
      </c>
      <c r="D8002" s="13" t="s">
        <v>22235</v>
      </c>
      <c r="E8002" s="228"/>
      <c r="F8002" s="109" t="s">
        <v>22236</v>
      </c>
      <c r="G8002" s="24" t="s">
        <v>22237</v>
      </c>
      <c r="H8002" s="230">
        <v>4</v>
      </c>
      <c r="I8002" s="220">
        <v>2711000</v>
      </c>
      <c r="J8002" s="220">
        <f>I8002*0.1</f>
        <v>271100</v>
      </c>
      <c r="K8002" s="220">
        <v>43780</v>
      </c>
      <c r="L8002" s="220">
        <v>13110</v>
      </c>
      <c r="M8002" s="220">
        <v>22000</v>
      </c>
      <c r="N8002" s="220">
        <f>SUM(I8002:M8003)</f>
        <v>3060990</v>
      </c>
      <c r="O8002" s="224"/>
      <c r="P8002" s="110" t="s">
        <v>22238</v>
      </c>
      <c r="Q8002" s="15" t="s">
        <v>19</v>
      </c>
      <c r="R8002" s="205"/>
      <c r="S8002" s="189" t="s">
        <v>25505</v>
      </c>
      <c r="T8002" s="114"/>
      <c r="U8002" s="21"/>
      <c r="V8002" s="115">
        <v>46134</v>
      </c>
      <c r="W8002" s="116">
        <v>1014</v>
      </c>
      <c r="X8002" s="220">
        <v>2790000</v>
      </c>
      <c r="Y8002" s="220">
        <f>X8002*0.1</f>
        <v>279000</v>
      </c>
      <c r="Z8002" s="220">
        <v>13110</v>
      </c>
      <c r="AA8002" s="220">
        <f>SUM(X8002:Z8002)</f>
        <v>3082110</v>
      </c>
      <c r="AB8002" s="222">
        <v>46139</v>
      </c>
    </row>
    <row r="8003" spans="1:28" ht="17.100000000000001" customHeight="1" thickBot="1">
      <c r="A8003" s="227"/>
      <c r="B8003" s="27" t="s">
        <v>22083</v>
      </c>
      <c r="C8003" s="27">
        <v>30232</v>
      </c>
      <c r="D8003" s="14" t="s">
        <v>22190</v>
      </c>
      <c r="E8003" s="229"/>
      <c r="F8003" s="117" t="s">
        <v>22088</v>
      </c>
      <c r="G8003" s="26">
        <v>20178</v>
      </c>
      <c r="H8003" s="231"/>
      <c r="I8003" s="221"/>
      <c r="J8003" s="221"/>
      <c r="K8003" s="221"/>
      <c r="L8003" s="221"/>
      <c r="M8003" s="221"/>
      <c r="N8003" s="221"/>
      <c r="O8003" s="225"/>
      <c r="P8003" s="118" t="s">
        <v>22652</v>
      </c>
      <c r="Q8003" s="16" t="s">
        <v>20</v>
      </c>
      <c r="R8003" s="17" t="s">
        <v>1930</v>
      </c>
      <c r="S8003" s="121" t="s">
        <v>169</v>
      </c>
      <c r="T8003" s="122"/>
      <c r="U8003" s="22"/>
      <c r="V8003" s="123" t="s">
        <v>23332</v>
      </c>
      <c r="W8003" s="122">
        <v>6053</v>
      </c>
      <c r="X8003" s="221"/>
      <c r="Y8003" s="221"/>
      <c r="Z8003" s="221"/>
      <c r="AA8003" s="221"/>
      <c r="AB8003" s="223"/>
    </row>
    <row r="8004" spans="1:28" ht="17.100000000000001" customHeight="1" thickTop="1">
      <c r="A8004" s="226" t="s">
        <v>22051</v>
      </c>
      <c r="B8004" s="28">
        <v>46121</v>
      </c>
      <c r="C8004" s="25">
        <v>2022</v>
      </c>
      <c r="D8004" s="13" t="s">
        <v>22239</v>
      </c>
      <c r="E8004" s="228"/>
      <c r="F8004" s="109" t="s">
        <v>22240</v>
      </c>
      <c r="G8004" s="24"/>
      <c r="H8004" s="230">
        <v>4</v>
      </c>
      <c r="I8004" s="220">
        <v>1982000</v>
      </c>
      <c r="J8004" s="220">
        <f>I8004*0.1</f>
        <v>198200</v>
      </c>
      <c r="K8004" s="220">
        <v>0</v>
      </c>
      <c r="L8004" s="220">
        <v>11740</v>
      </c>
      <c r="M8004" s="220">
        <v>22000</v>
      </c>
      <c r="N8004" s="220">
        <f>SUM(I8004:M8005)</f>
        <v>2213940</v>
      </c>
      <c r="O8004" s="224"/>
      <c r="P8004" s="110" t="s">
        <v>22665</v>
      </c>
      <c r="Q8004" s="15" t="s">
        <v>19</v>
      </c>
      <c r="R8004" s="205"/>
      <c r="S8004" s="189" t="s">
        <v>25559</v>
      </c>
      <c r="T8004" s="114"/>
      <c r="U8004" s="21"/>
      <c r="V8004" s="115">
        <v>46141</v>
      </c>
      <c r="W8004" s="116">
        <v>1015</v>
      </c>
      <c r="X8004" s="220">
        <v>2100000</v>
      </c>
      <c r="Y8004" s="220">
        <f>X8004*0.1</f>
        <v>210000</v>
      </c>
      <c r="Z8004" s="220">
        <v>11740</v>
      </c>
      <c r="AA8004" s="220">
        <f>SUM(X8004:Z8004)</f>
        <v>2321740</v>
      </c>
      <c r="AB8004" s="222">
        <v>46153</v>
      </c>
    </row>
    <row r="8005" spans="1:28" ht="17.100000000000001" customHeight="1" thickBot="1">
      <c r="A8005" s="227"/>
      <c r="B8005" s="27" t="s">
        <v>22083</v>
      </c>
      <c r="C8005" s="27">
        <v>30266</v>
      </c>
      <c r="D8005" s="14" t="s">
        <v>2559</v>
      </c>
      <c r="E8005" s="229"/>
      <c r="F8005" s="117" t="s">
        <v>22089</v>
      </c>
      <c r="G8005" s="26">
        <v>44038</v>
      </c>
      <c r="H8005" s="231"/>
      <c r="I8005" s="221"/>
      <c r="J8005" s="221"/>
      <c r="K8005" s="221"/>
      <c r="L8005" s="221"/>
      <c r="M8005" s="221"/>
      <c r="N8005" s="221"/>
      <c r="O8005" s="225"/>
      <c r="P8005" s="118" t="s">
        <v>1664</v>
      </c>
      <c r="Q8005" s="16" t="s">
        <v>20</v>
      </c>
      <c r="R8005" s="17" t="s">
        <v>1930</v>
      </c>
      <c r="S8005" s="121" t="s">
        <v>9008</v>
      </c>
      <c r="T8005" s="122"/>
      <c r="U8005" s="22"/>
      <c r="V8005" s="123" t="s">
        <v>2747</v>
      </c>
      <c r="W8005" s="122">
        <v>6123</v>
      </c>
      <c r="X8005" s="221"/>
      <c r="Y8005" s="221"/>
      <c r="Z8005" s="221"/>
      <c r="AA8005" s="221"/>
      <c r="AB8005" s="223"/>
    </row>
    <row r="8006" spans="1:28" ht="17.100000000000001" customHeight="1" thickTop="1">
      <c r="A8006" s="226" t="s">
        <v>22052</v>
      </c>
      <c r="B8006" s="28">
        <v>46121</v>
      </c>
      <c r="C8006" s="25">
        <v>2022</v>
      </c>
      <c r="D8006" s="13" t="s">
        <v>22241</v>
      </c>
      <c r="E8006" s="228"/>
      <c r="F8006" s="109" t="s">
        <v>22242</v>
      </c>
      <c r="G8006" s="24"/>
      <c r="H8006" s="230">
        <v>4</v>
      </c>
      <c r="I8006" s="220">
        <v>1283000</v>
      </c>
      <c r="J8006" s="220">
        <f>I8006*0.1</f>
        <v>128300</v>
      </c>
      <c r="K8006" s="220">
        <v>0</v>
      </c>
      <c r="L8006" s="220">
        <v>9200</v>
      </c>
      <c r="M8006" s="220">
        <v>22000</v>
      </c>
      <c r="N8006" s="220">
        <f>SUM(I8006:M8007)</f>
        <v>1442500</v>
      </c>
      <c r="O8006" s="224"/>
      <c r="P8006" s="110" t="s">
        <v>22732</v>
      </c>
      <c r="Q8006" s="15" t="s">
        <v>19</v>
      </c>
      <c r="R8006" s="205"/>
      <c r="S8006" s="189" t="s">
        <v>25934</v>
      </c>
      <c r="T8006" s="114"/>
      <c r="U8006" s="21"/>
      <c r="V8006" s="115">
        <v>46127</v>
      </c>
      <c r="W8006" s="116">
        <v>1013</v>
      </c>
      <c r="X8006" s="220">
        <v>1695000</v>
      </c>
      <c r="Y8006" s="220">
        <f>X8006*0.1</f>
        <v>169500</v>
      </c>
      <c r="Z8006" s="220">
        <v>9200</v>
      </c>
      <c r="AA8006" s="220">
        <f>SUM(X8006:Z8006)</f>
        <v>1873700</v>
      </c>
      <c r="AB8006" s="222">
        <v>46133</v>
      </c>
    </row>
    <row r="8007" spans="1:28" ht="17.100000000000001" customHeight="1" thickBot="1">
      <c r="A8007" s="227"/>
      <c r="B8007" s="27" t="s">
        <v>22083</v>
      </c>
      <c r="C8007" s="27">
        <v>30285</v>
      </c>
      <c r="D8007" s="14" t="s">
        <v>1710</v>
      </c>
      <c r="E8007" s="229"/>
      <c r="F8007" s="117" t="s">
        <v>22090</v>
      </c>
      <c r="G8007" s="26">
        <v>79197</v>
      </c>
      <c r="H8007" s="231"/>
      <c r="I8007" s="221"/>
      <c r="J8007" s="221"/>
      <c r="K8007" s="221"/>
      <c r="L8007" s="221"/>
      <c r="M8007" s="221"/>
      <c r="N8007" s="221"/>
      <c r="O8007" s="225"/>
      <c r="P8007" s="118" t="s">
        <v>7414</v>
      </c>
      <c r="Q8007" s="16" t="s">
        <v>20</v>
      </c>
      <c r="R8007" s="17" t="s">
        <v>22705</v>
      </c>
      <c r="S8007" s="121" t="s">
        <v>22733</v>
      </c>
      <c r="T8007" s="122"/>
      <c r="U8007" s="22"/>
      <c r="V8007" s="123" t="s">
        <v>2747</v>
      </c>
      <c r="W8007" s="122">
        <v>5101</v>
      </c>
      <c r="X8007" s="221"/>
      <c r="Y8007" s="221"/>
      <c r="Z8007" s="221"/>
      <c r="AA8007" s="221"/>
      <c r="AB8007" s="223"/>
    </row>
    <row r="8008" spans="1:28" ht="17.100000000000001" customHeight="1" thickTop="1">
      <c r="A8008" s="226" t="s">
        <v>22053</v>
      </c>
      <c r="B8008" s="28">
        <v>46121</v>
      </c>
      <c r="C8008" s="25">
        <v>2022</v>
      </c>
      <c r="D8008" s="13" t="s">
        <v>22243</v>
      </c>
      <c r="E8008" s="228"/>
      <c r="F8008" s="109" t="s">
        <v>22244</v>
      </c>
      <c r="G8008" s="24"/>
      <c r="H8008" s="230">
        <v>4</v>
      </c>
      <c r="I8008" s="220">
        <v>853000</v>
      </c>
      <c r="J8008" s="220">
        <f>I8008*0.1</f>
        <v>85300</v>
      </c>
      <c r="K8008" s="220">
        <v>0</v>
      </c>
      <c r="L8008" s="220">
        <v>8790</v>
      </c>
      <c r="M8008" s="220">
        <v>22000</v>
      </c>
      <c r="N8008" s="220">
        <f>SUM(I8008:M8009)</f>
        <v>969090</v>
      </c>
      <c r="O8008" s="224"/>
      <c r="P8008" s="110" t="s">
        <v>22728</v>
      </c>
      <c r="Q8008" s="15" t="s">
        <v>19</v>
      </c>
      <c r="R8008" s="205"/>
      <c r="S8008" s="189" t="s">
        <v>25429</v>
      </c>
      <c r="T8008" s="114"/>
      <c r="U8008" s="21"/>
      <c r="V8008" s="115">
        <v>46134</v>
      </c>
      <c r="W8008" s="116">
        <v>1014</v>
      </c>
      <c r="X8008" s="220">
        <v>925000</v>
      </c>
      <c r="Y8008" s="220">
        <f>X8008*0.1</f>
        <v>92500</v>
      </c>
      <c r="Z8008" s="220">
        <v>8790</v>
      </c>
      <c r="AA8008" s="220">
        <f>SUM(X8008:Z8008)</f>
        <v>1026290</v>
      </c>
      <c r="AB8008" s="222">
        <v>46139</v>
      </c>
    </row>
    <row r="8009" spans="1:28" ht="17.100000000000001" customHeight="1" thickBot="1">
      <c r="A8009" s="227"/>
      <c r="B8009" s="27" t="s">
        <v>22083</v>
      </c>
      <c r="C8009" s="27">
        <v>55005</v>
      </c>
      <c r="D8009" s="14" t="s">
        <v>2291</v>
      </c>
      <c r="E8009" s="229"/>
      <c r="F8009" s="117" t="s">
        <v>22091</v>
      </c>
      <c r="G8009" s="26">
        <v>36714</v>
      </c>
      <c r="H8009" s="231"/>
      <c r="I8009" s="221"/>
      <c r="J8009" s="221"/>
      <c r="K8009" s="221"/>
      <c r="L8009" s="221"/>
      <c r="M8009" s="221"/>
      <c r="N8009" s="221"/>
      <c r="O8009" s="225"/>
      <c r="P8009" s="118" t="s">
        <v>7414</v>
      </c>
      <c r="Q8009" s="16" t="s">
        <v>20</v>
      </c>
      <c r="R8009" s="17" t="s">
        <v>22705</v>
      </c>
      <c r="S8009" s="121" t="s">
        <v>3071</v>
      </c>
      <c r="T8009" s="122"/>
      <c r="U8009" s="22"/>
      <c r="V8009" s="123" t="s">
        <v>23332</v>
      </c>
      <c r="W8009" s="122">
        <v>2064</v>
      </c>
      <c r="X8009" s="221"/>
      <c r="Y8009" s="221"/>
      <c r="Z8009" s="221"/>
      <c r="AA8009" s="221"/>
      <c r="AB8009" s="223"/>
    </row>
    <row r="8010" spans="1:28" ht="17.100000000000001" customHeight="1" thickTop="1">
      <c r="A8010" s="226" t="s">
        <v>22054</v>
      </c>
      <c r="B8010" s="28">
        <v>46121</v>
      </c>
      <c r="C8010" s="25">
        <v>2022</v>
      </c>
      <c r="D8010" s="13" t="s">
        <v>22245</v>
      </c>
      <c r="E8010" s="228"/>
      <c r="F8010" s="109" t="s">
        <v>22092</v>
      </c>
      <c r="G8010" s="24"/>
      <c r="H8010" s="230">
        <v>4</v>
      </c>
      <c r="I8010" s="220">
        <v>420000</v>
      </c>
      <c r="J8010" s="220">
        <f>I8010*0.1</f>
        <v>42000</v>
      </c>
      <c r="K8010" s="220">
        <v>0</v>
      </c>
      <c r="L8010" s="220">
        <v>5870</v>
      </c>
      <c r="M8010" s="220">
        <v>22000</v>
      </c>
      <c r="N8010" s="220">
        <f>SUM(I8010:M8011)</f>
        <v>489870</v>
      </c>
      <c r="O8010" s="224"/>
      <c r="P8010" s="110" t="s">
        <v>22624</v>
      </c>
      <c r="Q8010" s="15" t="s">
        <v>19</v>
      </c>
      <c r="R8010" s="205"/>
      <c r="S8010" s="189" t="s">
        <v>25505</v>
      </c>
      <c r="T8010" s="114"/>
      <c r="U8010" s="21"/>
      <c r="V8010" s="115">
        <v>46127</v>
      </c>
      <c r="W8010" s="116">
        <v>1013</v>
      </c>
      <c r="X8010" s="220">
        <v>465000</v>
      </c>
      <c r="Y8010" s="220">
        <f>X8010*0.1</f>
        <v>46500</v>
      </c>
      <c r="Z8010" s="220">
        <v>5870</v>
      </c>
      <c r="AA8010" s="220">
        <f>SUM(X8010:Z8010)</f>
        <v>517370</v>
      </c>
      <c r="AB8010" s="222">
        <v>46132</v>
      </c>
    </row>
    <row r="8011" spans="1:28" ht="17.100000000000001" customHeight="1" thickBot="1">
      <c r="A8011" s="227"/>
      <c r="B8011" s="27" t="s">
        <v>22083</v>
      </c>
      <c r="C8011" s="27">
        <v>55010</v>
      </c>
      <c r="D8011" s="14" t="s">
        <v>22209</v>
      </c>
      <c r="E8011" s="229"/>
      <c r="F8011" s="117" t="s">
        <v>22093</v>
      </c>
      <c r="G8011" s="26">
        <v>47775</v>
      </c>
      <c r="H8011" s="231"/>
      <c r="I8011" s="221"/>
      <c r="J8011" s="221"/>
      <c r="K8011" s="221"/>
      <c r="L8011" s="221"/>
      <c r="M8011" s="221"/>
      <c r="N8011" s="221"/>
      <c r="O8011" s="225"/>
      <c r="P8011" s="118" t="s">
        <v>2446</v>
      </c>
      <c r="Q8011" s="16" t="s">
        <v>20</v>
      </c>
      <c r="R8011" s="17" t="s">
        <v>1930</v>
      </c>
      <c r="S8011" s="121" t="s">
        <v>169</v>
      </c>
      <c r="T8011" s="122"/>
      <c r="U8011" s="22"/>
      <c r="V8011" s="123" t="s">
        <v>2747</v>
      </c>
      <c r="W8011" s="122">
        <v>5198</v>
      </c>
      <c r="X8011" s="221"/>
      <c r="Y8011" s="221"/>
      <c r="Z8011" s="221"/>
      <c r="AA8011" s="221"/>
      <c r="AB8011" s="223"/>
    </row>
    <row r="8012" spans="1:28" ht="17.100000000000001" customHeight="1" thickTop="1">
      <c r="A8012" s="226" t="s">
        <v>22055</v>
      </c>
      <c r="B8012" s="28">
        <v>46121</v>
      </c>
      <c r="C8012" s="25">
        <v>2022</v>
      </c>
      <c r="D8012" s="13" t="s">
        <v>22246</v>
      </c>
      <c r="E8012" s="228"/>
      <c r="F8012" s="109" t="s">
        <v>22247</v>
      </c>
      <c r="G8012" s="24" t="s">
        <v>22248</v>
      </c>
      <c r="H8012" s="230">
        <v>4</v>
      </c>
      <c r="I8012" s="220">
        <v>258000</v>
      </c>
      <c r="J8012" s="220">
        <f>I8012*0.1</f>
        <v>25800</v>
      </c>
      <c r="K8012" s="220">
        <v>0</v>
      </c>
      <c r="L8012" s="220">
        <v>9790</v>
      </c>
      <c r="M8012" s="220">
        <v>22000</v>
      </c>
      <c r="N8012" s="220">
        <f>SUM(I8012:M8013)</f>
        <v>315590</v>
      </c>
      <c r="O8012" s="224"/>
      <c r="P8012" s="110" t="s">
        <v>22249</v>
      </c>
      <c r="Q8012" s="15" t="s">
        <v>19</v>
      </c>
      <c r="R8012" s="205"/>
      <c r="S8012" s="189"/>
      <c r="T8012" s="114"/>
      <c r="U8012" s="21"/>
      <c r="V8012" s="115">
        <v>46127</v>
      </c>
      <c r="W8012" s="116">
        <v>1013</v>
      </c>
      <c r="X8012" s="220">
        <v>305000</v>
      </c>
      <c r="Y8012" s="220">
        <f>X8012*0.1</f>
        <v>30500</v>
      </c>
      <c r="Z8012" s="220">
        <v>9790</v>
      </c>
      <c r="AA8012" s="220">
        <f>SUM(X8012:Z8012)</f>
        <v>345290</v>
      </c>
      <c r="AB8012" s="222">
        <v>46132</v>
      </c>
    </row>
    <row r="8013" spans="1:28" ht="17.100000000000001" customHeight="1" thickBot="1">
      <c r="A8013" s="227"/>
      <c r="B8013" s="27" t="s">
        <v>22083</v>
      </c>
      <c r="C8013" s="27">
        <v>55028</v>
      </c>
      <c r="D8013" s="14" t="s">
        <v>22206</v>
      </c>
      <c r="E8013" s="229"/>
      <c r="F8013" s="117" t="s">
        <v>22094</v>
      </c>
      <c r="G8013" s="26">
        <v>69861</v>
      </c>
      <c r="H8013" s="231"/>
      <c r="I8013" s="221"/>
      <c r="J8013" s="221"/>
      <c r="K8013" s="221"/>
      <c r="L8013" s="221"/>
      <c r="M8013" s="221"/>
      <c r="N8013" s="221"/>
      <c r="O8013" s="225"/>
      <c r="P8013" s="118" t="s">
        <v>22620</v>
      </c>
      <c r="Q8013" s="16" t="s">
        <v>20</v>
      </c>
      <c r="R8013" s="17" t="s">
        <v>1930</v>
      </c>
      <c r="S8013" s="121"/>
      <c r="T8013" s="122"/>
      <c r="U8013" s="22"/>
      <c r="V8013" s="123" t="s">
        <v>2747</v>
      </c>
      <c r="W8013" s="122">
        <v>5124</v>
      </c>
      <c r="X8013" s="221"/>
      <c r="Y8013" s="221"/>
      <c r="Z8013" s="221"/>
      <c r="AA8013" s="221"/>
      <c r="AB8013" s="223"/>
    </row>
    <row r="8014" spans="1:28" ht="17.100000000000001" customHeight="1" thickTop="1">
      <c r="A8014" s="226" t="s">
        <v>22056</v>
      </c>
      <c r="B8014" s="28">
        <v>46121</v>
      </c>
      <c r="C8014" s="25">
        <v>2022</v>
      </c>
      <c r="D8014" s="13" t="s">
        <v>22241</v>
      </c>
      <c r="E8014" s="228"/>
      <c r="F8014" s="109" t="s">
        <v>15607</v>
      </c>
      <c r="G8014" s="24"/>
      <c r="H8014" s="230">
        <v>3.5</v>
      </c>
      <c r="I8014" s="220">
        <v>364000</v>
      </c>
      <c r="J8014" s="220">
        <f>I8014*0.1</f>
        <v>36400</v>
      </c>
      <c r="K8014" s="220">
        <v>0</v>
      </c>
      <c r="L8014" s="220">
        <v>7140</v>
      </c>
      <c r="M8014" s="220">
        <v>22000</v>
      </c>
      <c r="N8014" s="220">
        <f>SUM(I8014:M8015)</f>
        <v>429540</v>
      </c>
      <c r="O8014" s="224"/>
      <c r="P8014" s="110" t="s">
        <v>22664</v>
      </c>
      <c r="Q8014" s="15" t="s">
        <v>19</v>
      </c>
      <c r="R8014" s="205"/>
      <c r="S8014" s="189" t="s">
        <v>758</v>
      </c>
      <c r="T8014" s="114"/>
      <c r="U8014" s="21"/>
      <c r="V8014" s="115">
        <v>46134</v>
      </c>
      <c r="W8014" s="116">
        <v>1014</v>
      </c>
      <c r="X8014" s="220">
        <v>360000</v>
      </c>
      <c r="Y8014" s="220">
        <f>X8014*0.1</f>
        <v>36000</v>
      </c>
      <c r="Z8014" s="220">
        <v>7140</v>
      </c>
      <c r="AA8014" s="220">
        <f>SUM(X8014:Z8014)</f>
        <v>403140</v>
      </c>
      <c r="AB8014" s="222">
        <v>46139</v>
      </c>
    </row>
    <row r="8015" spans="1:28" ht="17.100000000000001" customHeight="1" thickBot="1">
      <c r="A8015" s="227"/>
      <c r="B8015" s="27" t="s">
        <v>22083</v>
      </c>
      <c r="C8015" s="27">
        <v>55042</v>
      </c>
      <c r="D8015" s="14" t="s">
        <v>22209</v>
      </c>
      <c r="E8015" s="229"/>
      <c r="F8015" s="117" t="s">
        <v>22095</v>
      </c>
      <c r="G8015" s="26">
        <v>47268</v>
      </c>
      <c r="H8015" s="231"/>
      <c r="I8015" s="221"/>
      <c r="J8015" s="221"/>
      <c r="K8015" s="221"/>
      <c r="L8015" s="221"/>
      <c r="M8015" s="221"/>
      <c r="N8015" s="221"/>
      <c r="O8015" s="225"/>
      <c r="P8015" s="118" t="s">
        <v>3919</v>
      </c>
      <c r="Q8015" s="16" t="s">
        <v>20</v>
      </c>
      <c r="R8015" s="17" t="s">
        <v>1930</v>
      </c>
      <c r="S8015" s="121" t="s">
        <v>1661</v>
      </c>
      <c r="T8015" s="122"/>
      <c r="U8015" s="22"/>
      <c r="V8015" s="123" t="s">
        <v>23332</v>
      </c>
      <c r="W8015" s="122">
        <v>2051</v>
      </c>
      <c r="X8015" s="221"/>
      <c r="Y8015" s="221"/>
      <c r="Z8015" s="221"/>
      <c r="AA8015" s="221"/>
      <c r="AB8015" s="223"/>
    </row>
    <row r="8016" spans="1:28" ht="17.100000000000001" customHeight="1" thickTop="1">
      <c r="A8016" s="226" t="s">
        <v>22057</v>
      </c>
      <c r="B8016" s="28">
        <v>46121</v>
      </c>
      <c r="C8016" s="25">
        <v>2022</v>
      </c>
      <c r="D8016" s="13" t="s">
        <v>22250</v>
      </c>
      <c r="E8016" s="228"/>
      <c r="F8016" s="109" t="s">
        <v>22251</v>
      </c>
      <c r="G8016" s="24"/>
      <c r="H8016" s="230">
        <v>4</v>
      </c>
      <c r="I8016" s="220">
        <v>1109000</v>
      </c>
      <c r="J8016" s="220">
        <f>I8016*0.1</f>
        <v>110900</v>
      </c>
      <c r="K8016" s="220">
        <v>0</v>
      </c>
      <c r="L8016" s="220">
        <v>6860</v>
      </c>
      <c r="M8016" s="220">
        <v>22000</v>
      </c>
      <c r="N8016" s="220">
        <f>SUM(I8016:M8017)</f>
        <v>1248760</v>
      </c>
      <c r="O8016" s="224"/>
      <c r="P8016" s="110" t="s">
        <v>22621</v>
      </c>
      <c r="Q8016" s="15" t="s">
        <v>19</v>
      </c>
      <c r="R8016" s="205"/>
      <c r="S8016" s="189" t="s">
        <v>455</v>
      </c>
      <c r="T8016" s="114"/>
      <c r="U8016" s="21"/>
      <c r="V8016" s="115">
        <v>46127</v>
      </c>
      <c r="W8016" s="116">
        <v>1013</v>
      </c>
      <c r="X8016" s="220">
        <v>1150000</v>
      </c>
      <c r="Y8016" s="220">
        <f>X8016*0.1</f>
        <v>115000</v>
      </c>
      <c r="Z8016" s="220">
        <v>6860</v>
      </c>
      <c r="AA8016" s="220">
        <f>SUM(X8016:Z8016)</f>
        <v>1271860</v>
      </c>
      <c r="AB8016" s="222">
        <v>46132</v>
      </c>
    </row>
    <row r="8017" spans="1:28" ht="17.100000000000001" customHeight="1" thickBot="1">
      <c r="A8017" s="227"/>
      <c r="B8017" s="27" t="s">
        <v>22083</v>
      </c>
      <c r="C8017" s="27">
        <v>55086</v>
      </c>
      <c r="D8017" s="14" t="s">
        <v>22190</v>
      </c>
      <c r="E8017" s="229"/>
      <c r="F8017" s="117" t="s">
        <v>22096</v>
      </c>
      <c r="G8017" s="26">
        <v>36334</v>
      </c>
      <c r="H8017" s="231"/>
      <c r="I8017" s="221"/>
      <c r="J8017" s="221"/>
      <c r="K8017" s="221"/>
      <c r="L8017" s="221"/>
      <c r="M8017" s="221"/>
      <c r="N8017" s="221"/>
      <c r="O8017" s="225"/>
      <c r="P8017" s="118" t="s">
        <v>22622</v>
      </c>
      <c r="Q8017" s="16" t="s">
        <v>20</v>
      </c>
      <c r="R8017" s="17" t="s">
        <v>1930</v>
      </c>
      <c r="S8017" s="121" t="s">
        <v>1625</v>
      </c>
      <c r="T8017" s="122"/>
      <c r="U8017" s="22"/>
      <c r="V8017" s="123" t="s">
        <v>2747</v>
      </c>
      <c r="W8017" s="122">
        <v>5108</v>
      </c>
      <c r="X8017" s="221"/>
      <c r="Y8017" s="221"/>
      <c r="Z8017" s="221"/>
      <c r="AA8017" s="221"/>
      <c r="AB8017" s="223"/>
    </row>
    <row r="8018" spans="1:28" ht="17.100000000000001" customHeight="1" thickTop="1">
      <c r="A8018" s="226" t="s">
        <v>22058</v>
      </c>
      <c r="B8018" s="28">
        <v>46121</v>
      </c>
      <c r="C8018" s="25">
        <v>2022</v>
      </c>
      <c r="D8018" s="13" t="s">
        <v>22250</v>
      </c>
      <c r="E8018" s="228"/>
      <c r="F8018" s="109" t="s">
        <v>22252</v>
      </c>
      <c r="G8018" s="24" t="s">
        <v>22253</v>
      </c>
      <c r="H8018" s="230">
        <v>4</v>
      </c>
      <c r="I8018" s="220">
        <v>962000</v>
      </c>
      <c r="J8018" s="220">
        <f>I8018*0.1</f>
        <v>96200</v>
      </c>
      <c r="K8018" s="220">
        <v>0</v>
      </c>
      <c r="L8018" s="220">
        <v>8790</v>
      </c>
      <c r="M8018" s="220">
        <v>22000</v>
      </c>
      <c r="N8018" s="220">
        <f>SUM(I8018:M8019)</f>
        <v>1088990</v>
      </c>
      <c r="O8018" s="224"/>
      <c r="P8018" s="110" t="s">
        <v>22254</v>
      </c>
      <c r="Q8018" s="15" t="s">
        <v>19</v>
      </c>
      <c r="R8018" s="205"/>
      <c r="S8018" s="189" t="s">
        <v>25505</v>
      </c>
      <c r="T8018" s="114"/>
      <c r="U8018" s="21"/>
      <c r="V8018" s="115">
        <v>46134</v>
      </c>
      <c r="W8018" s="116">
        <v>1014</v>
      </c>
      <c r="X8018" s="220">
        <v>940000</v>
      </c>
      <c r="Y8018" s="220">
        <f>X8018*0.1</f>
        <v>94000</v>
      </c>
      <c r="Z8018" s="220">
        <v>8790</v>
      </c>
      <c r="AA8018" s="220">
        <f>SUM(X8018:Z8018)</f>
        <v>1042790</v>
      </c>
      <c r="AB8018" s="222">
        <v>46139</v>
      </c>
    </row>
    <row r="8019" spans="1:28" ht="17.100000000000001" customHeight="1" thickBot="1">
      <c r="A8019" s="227"/>
      <c r="B8019" s="27" t="s">
        <v>22083</v>
      </c>
      <c r="C8019" s="27">
        <v>55114</v>
      </c>
      <c r="D8019" s="14" t="s">
        <v>22199</v>
      </c>
      <c r="E8019" s="229"/>
      <c r="F8019" s="117" t="s">
        <v>22097</v>
      </c>
      <c r="G8019" s="26">
        <v>34987</v>
      </c>
      <c r="H8019" s="231"/>
      <c r="I8019" s="221"/>
      <c r="J8019" s="221"/>
      <c r="K8019" s="221"/>
      <c r="L8019" s="221"/>
      <c r="M8019" s="221"/>
      <c r="N8019" s="221"/>
      <c r="O8019" s="225"/>
      <c r="P8019" s="118" t="s">
        <v>2287</v>
      </c>
      <c r="Q8019" s="16" t="s">
        <v>20</v>
      </c>
      <c r="R8019" s="17" t="s">
        <v>1930</v>
      </c>
      <c r="S8019" s="121" t="s">
        <v>4530</v>
      </c>
      <c r="T8019" s="122"/>
      <c r="U8019" s="22"/>
      <c r="V8019" s="123" t="s">
        <v>23510</v>
      </c>
      <c r="W8019" s="122">
        <v>2043</v>
      </c>
      <c r="X8019" s="221"/>
      <c r="Y8019" s="221"/>
      <c r="Z8019" s="221"/>
      <c r="AA8019" s="221"/>
      <c r="AB8019" s="223"/>
    </row>
    <row r="8020" spans="1:28" ht="17.100000000000001" customHeight="1" thickTop="1">
      <c r="A8020" s="226" t="s">
        <v>22059</v>
      </c>
      <c r="B8020" s="28">
        <v>46121</v>
      </c>
      <c r="C8020" s="25">
        <v>2022</v>
      </c>
      <c r="D8020" s="13" t="s">
        <v>22255</v>
      </c>
      <c r="E8020" s="228"/>
      <c r="F8020" s="109" t="s">
        <v>22256</v>
      </c>
      <c r="G8020" s="24"/>
      <c r="H8020" s="230">
        <v>3.5</v>
      </c>
      <c r="I8020" s="220">
        <v>666000</v>
      </c>
      <c r="J8020" s="220">
        <f>I8020*0.1</f>
        <v>66600</v>
      </c>
      <c r="K8020" s="220">
        <v>0</v>
      </c>
      <c r="L8020" s="220">
        <v>8010</v>
      </c>
      <c r="M8020" s="220">
        <v>22000</v>
      </c>
      <c r="N8020" s="220">
        <f>SUM(I8020:M8021)</f>
        <v>762610</v>
      </c>
      <c r="O8020" s="224"/>
      <c r="P8020" s="110" t="s">
        <v>22654</v>
      </c>
      <c r="Q8020" s="15" t="s">
        <v>19</v>
      </c>
      <c r="R8020" s="205"/>
      <c r="S8020" s="189" t="s">
        <v>758</v>
      </c>
      <c r="T8020" s="114"/>
      <c r="U8020" s="21"/>
      <c r="V8020" s="115"/>
      <c r="W8020" s="116"/>
      <c r="X8020" s="220"/>
      <c r="Y8020" s="220">
        <f>X8020*0.1</f>
        <v>0</v>
      </c>
      <c r="Z8020" s="220"/>
      <c r="AA8020" s="220">
        <f>SUM(X8020:Z8020)</f>
        <v>0</v>
      </c>
      <c r="AB8020" s="222"/>
    </row>
    <row r="8021" spans="1:28" ht="17.100000000000001" customHeight="1" thickBot="1">
      <c r="A8021" s="227"/>
      <c r="B8021" s="27" t="s">
        <v>22083</v>
      </c>
      <c r="C8021" s="27">
        <v>55122</v>
      </c>
      <c r="D8021" s="14" t="s">
        <v>22209</v>
      </c>
      <c r="E8021" s="229"/>
      <c r="F8021" s="117" t="s">
        <v>22098</v>
      </c>
      <c r="G8021" s="26">
        <v>50187</v>
      </c>
      <c r="H8021" s="231"/>
      <c r="I8021" s="221"/>
      <c r="J8021" s="221"/>
      <c r="K8021" s="221"/>
      <c r="L8021" s="221"/>
      <c r="M8021" s="221"/>
      <c r="N8021" s="221"/>
      <c r="O8021" s="225"/>
      <c r="P8021" s="118" t="s">
        <v>3919</v>
      </c>
      <c r="Q8021" s="16" t="s">
        <v>20</v>
      </c>
      <c r="R8021" s="17" t="s">
        <v>1930</v>
      </c>
      <c r="S8021" s="121" t="s">
        <v>1661</v>
      </c>
      <c r="T8021" s="122"/>
      <c r="U8021" s="22"/>
      <c r="V8021" s="123"/>
      <c r="W8021" s="122"/>
      <c r="X8021" s="221"/>
      <c r="Y8021" s="221"/>
      <c r="Z8021" s="221"/>
      <c r="AA8021" s="221"/>
      <c r="AB8021" s="223"/>
    </row>
    <row r="8022" spans="1:28" ht="17.100000000000001" customHeight="1" thickTop="1">
      <c r="A8022" s="226" t="s">
        <v>22060</v>
      </c>
      <c r="B8022" s="28">
        <v>46121</v>
      </c>
      <c r="C8022" s="25">
        <v>2022</v>
      </c>
      <c r="D8022" s="13" t="s">
        <v>22243</v>
      </c>
      <c r="E8022" s="228"/>
      <c r="F8022" s="109" t="s">
        <v>22257</v>
      </c>
      <c r="G8022" s="24" t="s">
        <v>22253</v>
      </c>
      <c r="H8022" s="230">
        <v>4</v>
      </c>
      <c r="I8022" s="220">
        <v>549000</v>
      </c>
      <c r="J8022" s="220">
        <f>I8022*0.1</f>
        <v>54900</v>
      </c>
      <c r="K8022" s="220">
        <v>0</v>
      </c>
      <c r="L8022" s="220">
        <v>7510</v>
      </c>
      <c r="M8022" s="220">
        <v>22000</v>
      </c>
      <c r="N8022" s="220">
        <f>SUM(I8022:M8023)</f>
        <v>633410</v>
      </c>
      <c r="O8022" s="224"/>
      <c r="P8022" s="110" t="s">
        <v>22258</v>
      </c>
      <c r="Q8022" s="15" t="s">
        <v>19</v>
      </c>
      <c r="R8022" s="205"/>
      <c r="S8022" s="189" t="s">
        <v>758</v>
      </c>
      <c r="T8022" s="114"/>
      <c r="U8022" s="21"/>
      <c r="V8022" s="115">
        <v>46127</v>
      </c>
      <c r="W8022" s="116">
        <v>1013</v>
      </c>
      <c r="X8022" s="220">
        <v>605000</v>
      </c>
      <c r="Y8022" s="220">
        <f>X8022*0.1</f>
        <v>60500</v>
      </c>
      <c r="Z8022" s="220">
        <v>7510</v>
      </c>
      <c r="AA8022" s="220">
        <f>SUM(X8022:Z8022)</f>
        <v>673010</v>
      </c>
      <c r="AB8022" s="222">
        <v>46133</v>
      </c>
    </row>
    <row r="8023" spans="1:28" ht="17.100000000000001" customHeight="1" thickBot="1">
      <c r="A8023" s="227"/>
      <c r="B8023" s="27" t="s">
        <v>22083</v>
      </c>
      <c r="C8023" s="27">
        <v>55130</v>
      </c>
      <c r="D8023" s="14" t="s">
        <v>22209</v>
      </c>
      <c r="E8023" s="229"/>
      <c r="F8023" s="117" t="s">
        <v>22099</v>
      </c>
      <c r="G8023" s="26">
        <v>56637</v>
      </c>
      <c r="H8023" s="231"/>
      <c r="I8023" s="221"/>
      <c r="J8023" s="221"/>
      <c r="K8023" s="221"/>
      <c r="L8023" s="221"/>
      <c r="M8023" s="221"/>
      <c r="N8023" s="221"/>
      <c r="O8023" s="225"/>
      <c r="P8023" s="118" t="s">
        <v>7414</v>
      </c>
      <c r="Q8023" s="16" t="s">
        <v>20</v>
      </c>
      <c r="R8023" s="17" t="s">
        <v>22705</v>
      </c>
      <c r="S8023" s="121" t="s">
        <v>22693</v>
      </c>
      <c r="T8023" s="122"/>
      <c r="U8023" s="22"/>
      <c r="V8023" s="123" t="s">
        <v>2747</v>
      </c>
      <c r="W8023" s="122">
        <v>5161</v>
      </c>
      <c r="X8023" s="221"/>
      <c r="Y8023" s="221"/>
      <c r="Z8023" s="221"/>
      <c r="AA8023" s="221"/>
      <c r="AB8023" s="223"/>
    </row>
    <row r="8024" spans="1:28" ht="17.100000000000001" customHeight="1" thickTop="1">
      <c r="A8024" s="226" t="s">
        <v>22061</v>
      </c>
      <c r="B8024" s="28">
        <v>46121</v>
      </c>
      <c r="C8024" s="25">
        <v>2022</v>
      </c>
      <c r="D8024" s="13" t="s">
        <v>22259</v>
      </c>
      <c r="E8024" s="228"/>
      <c r="F8024" s="109" t="s">
        <v>22210</v>
      </c>
      <c r="G8024" s="24"/>
      <c r="H8024" s="230">
        <v>4</v>
      </c>
      <c r="I8024" s="220">
        <v>917000</v>
      </c>
      <c r="J8024" s="220">
        <f>I8024*0.1</f>
        <v>91700</v>
      </c>
      <c r="K8024" s="220">
        <v>0</v>
      </c>
      <c r="L8024" s="220">
        <v>8010</v>
      </c>
      <c r="M8024" s="220">
        <v>22000</v>
      </c>
      <c r="N8024" s="220">
        <f>SUM(I8024:M8025)</f>
        <v>1038710</v>
      </c>
      <c r="O8024" s="224"/>
      <c r="P8024" s="110" t="s">
        <v>22666</v>
      </c>
      <c r="Q8024" s="15" t="s">
        <v>19</v>
      </c>
      <c r="R8024" s="205"/>
      <c r="S8024" s="189" t="s">
        <v>529</v>
      </c>
      <c r="T8024" s="114"/>
      <c r="U8024" s="21"/>
      <c r="V8024" s="115">
        <v>46134</v>
      </c>
      <c r="W8024" s="116">
        <v>1014</v>
      </c>
      <c r="X8024" s="220">
        <v>1020000</v>
      </c>
      <c r="Y8024" s="220">
        <f>X8024*0.1</f>
        <v>102000</v>
      </c>
      <c r="Z8024" s="220">
        <v>8010</v>
      </c>
      <c r="AA8024" s="220">
        <f>SUM(X8024:Z8024)</f>
        <v>1130010</v>
      </c>
      <c r="AB8024" s="222">
        <v>46139</v>
      </c>
    </row>
    <row r="8025" spans="1:28" ht="17.100000000000001" customHeight="1" thickBot="1">
      <c r="A8025" s="227"/>
      <c r="B8025" s="27" t="s">
        <v>22083</v>
      </c>
      <c r="C8025" s="27">
        <v>55138</v>
      </c>
      <c r="D8025" s="14" t="s">
        <v>1710</v>
      </c>
      <c r="E8025" s="229"/>
      <c r="F8025" s="117" t="s">
        <v>22100</v>
      </c>
      <c r="G8025" s="26">
        <v>30835</v>
      </c>
      <c r="H8025" s="231"/>
      <c r="I8025" s="221"/>
      <c r="J8025" s="221"/>
      <c r="K8025" s="221"/>
      <c r="L8025" s="221"/>
      <c r="M8025" s="221"/>
      <c r="N8025" s="221"/>
      <c r="O8025" s="225"/>
      <c r="P8025" s="118" t="s">
        <v>22667</v>
      </c>
      <c r="Q8025" s="16" t="s">
        <v>20</v>
      </c>
      <c r="R8025" s="17" t="s">
        <v>1930</v>
      </c>
      <c r="S8025" s="121" t="s">
        <v>22668</v>
      </c>
      <c r="T8025" s="122"/>
      <c r="U8025" s="22"/>
      <c r="V8025" s="123" t="s">
        <v>23332</v>
      </c>
      <c r="W8025" s="122">
        <v>2059</v>
      </c>
      <c r="X8025" s="221"/>
      <c r="Y8025" s="221"/>
      <c r="Z8025" s="221"/>
      <c r="AA8025" s="221"/>
      <c r="AB8025" s="223"/>
    </row>
    <row r="8026" spans="1:28" ht="17.100000000000001" customHeight="1" thickTop="1">
      <c r="A8026" s="226" t="s">
        <v>22062</v>
      </c>
      <c r="B8026" s="28">
        <v>46121</v>
      </c>
      <c r="C8026" s="25">
        <v>2022</v>
      </c>
      <c r="D8026" s="13" t="s">
        <v>22260</v>
      </c>
      <c r="E8026" s="228"/>
      <c r="F8026" s="109" t="s">
        <v>22261</v>
      </c>
      <c r="G8026" s="24"/>
      <c r="H8026" s="230">
        <v>4</v>
      </c>
      <c r="I8026" s="220">
        <v>494000</v>
      </c>
      <c r="J8026" s="220">
        <f>I8026*0.1</f>
        <v>49400</v>
      </c>
      <c r="K8026" s="220">
        <v>0</v>
      </c>
      <c r="L8026" s="220">
        <v>7950</v>
      </c>
      <c r="M8026" s="220">
        <v>22000</v>
      </c>
      <c r="N8026" s="220">
        <f>SUM(I8026:M8027)</f>
        <v>573350</v>
      </c>
      <c r="O8026" s="224"/>
      <c r="P8026" s="110" t="s">
        <v>22627</v>
      </c>
      <c r="Q8026" s="15" t="s">
        <v>19</v>
      </c>
      <c r="R8026" s="205"/>
      <c r="S8026" s="189"/>
      <c r="T8026" s="114"/>
      <c r="U8026" s="21"/>
      <c r="V8026" s="115">
        <v>46127</v>
      </c>
      <c r="W8026" s="116">
        <v>1013</v>
      </c>
      <c r="X8026" s="220">
        <v>565000</v>
      </c>
      <c r="Y8026" s="220">
        <f>X8026*0.1</f>
        <v>56500</v>
      </c>
      <c r="Z8026" s="220">
        <v>7950</v>
      </c>
      <c r="AA8026" s="220">
        <f>SUM(X8026:Z8026)</f>
        <v>629450</v>
      </c>
      <c r="AB8026" s="222">
        <v>46132</v>
      </c>
    </row>
    <row r="8027" spans="1:28" ht="17.100000000000001" customHeight="1" thickBot="1">
      <c r="A8027" s="227"/>
      <c r="B8027" s="27" t="s">
        <v>22083</v>
      </c>
      <c r="C8027" s="27">
        <v>55164</v>
      </c>
      <c r="D8027" s="14" t="s">
        <v>2291</v>
      </c>
      <c r="E8027" s="229"/>
      <c r="F8027" s="117" t="s">
        <v>22101</v>
      </c>
      <c r="G8027" s="26">
        <v>46920</v>
      </c>
      <c r="H8027" s="231"/>
      <c r="I8027" s="221"/>
      <c r="J8027" s="221"/>
      <c r="K8027" s="221"/>
      <c r="L8027" s="221"/>
      <c r="M8027" s="221"/>
      <c r="N8027" s="221"/>
      <c r="O8027" s="225"/>
      <c r="P8027" s="118" t="s">
        <v>2615</v>
      </c>
      <c r="Q8027" s="16" t="s">
        <v>20</v>
      </c>
      <c r="R8027" s="17" t="s">
        <v>1930</v>
      </c>
      <c r="S8027" s="121" t="s">
        <v>22628</v>
      </c>
      <c r="T8027" s="122"/>
      <c r="U8027" s="22"/>
      <c r="V8027" s="123" t="s">
        <v>2747</v>
      </c>
      <c r="W8027" s="122">
        <v>5121</v>
      </c>
      <c r="X8027" s="221"/>
      <c r="Y8027" s="221"/>
      <c r="Z8027" s="221"/>
      <c r="AA8027" s="221"/>
      <c r="AB8027" s="223"/>
    </row>
    <row r="8028" spans="1:28" ht="17.100000000000001" customHeight="1" thickTop="1">
      <c r="A8028" s="226" t="s">
        <v>22063</v>
      </c>
      <c r="B8028" s="28">
        <v>46122</v>
      </c>
      <c r="C8028" s="25">
        <v>286</v>
      </c>
      <c r="D8028" s="13" t="s">
        <v>2324</v>
      </c>
      <c r="E8028" s="228"/>
      <c r="F8028" s="109" t="s">
        <v>22262</v>
      </c>
      <c r="G8028" s="24"/>
      <c r="H8028" s="230">
        <v>4</v>
      </c>
      <c r="I8028" s="220">
        <v>327000</v>
      </c>
      <c r="J8028" s="220">
        <f>I8028*0.1</f>
        <v>32700</v>
      </c>
      <c r="K8028" s="220">
        <v>0</v>
      </c>
      <c r="L8028" s="220">
        <v>7140</v>
      </c>
      <c r="M8028" s="220">
        <v>22000</v>
      </c>
      <c r="N8028" s="220">
        <f>SUM(I8028:M8029)</f>
        <v>388840</v>
      </c>
      <c r="O8028" s="224"/>
      <c r="P8028" s="110" t="s">
        <v>22729</v>
      </c>
      <c r="Q8028" s="15" t="s">
        <v>19</v>
      </c>
      <c r="R8028" s="205"/>
      <c r="S8028" s="189"/>
      <c r="T8028" s="114"/>
      <c r="U8028" s="21"/>
      <c r="V8028" s="115">
        <v>46136</v>
      </c>
      <c r="W8028" s="116"/>
      <c r="X8028" s="220">
        <v>500000</v>
      </c>
      <c r="Y8028" s="220">
        <f>X8028*0.1</f>
        <v>50000</v>
      </c>
      <c r="Z8028" s="220">
        <v>7140</v>
      </c>
      <c r="AA8028" s="220">
        <f>SUM(X8028:Z8028)</f>
        <v>557140</v>
      </c>
      <c r="AB8028" s="222"/>
    </row>
    <row r="8029" spans="1:28" ht="17.100000000000001" customHeight="1" thickBot="1">
      <c r="A8029" s="227"/>
      <c r="B8029" s="27" t="s">
        <v>15537</v>
      </c>
      <c r="C8029" s="27">
        <v>29</v>
      </c>
      <c r="D8029" s="14" t="s">
        <v>1690</v>
      </c>
      <c r="E8029" s="229"/>
      <c r="F8029" s="117" t="s">
        <v>22102</v>
      </c>
      <c r="G8029" s="26">
        <v>28887</v>
      </c>
      <c r="H8029" s="231"/>
      <c r="I8029" s="221"/>
      <c r="J8029" s="221"/>
      <c r="K8029" s="221"/>
      <c r="L8029" s="221"/>
      <c r="M8029" s="221"/>
      <c r="N8029" s="221"/>
      <c r="O8029" s="225"/>
      <c r="P8029" s="118" t="s">
        <v>22730</v>
      </c>
      <c r="Q8029" s="16" t="s">
        <v>20</v>
      </c>
      <c r="R8029" s="17" t="s">
        <v>22705</v>
      </c>
      <c r="S8029" s="121" t="s">
        <v>22731</v>
      </c>
      <c r="T8029" s="122"/>
      <c r="U8029" s="22"/>
      <c r="V8029" s="123" t="s">
        <v>6682</v>
      </c>
      <c r="W8029" s="122">
        <v>51747</v>
      </c>
      <c r="X8029" s="221"/>
      <c r="Y8029" s="221"/>
      <c r="Z8029" s="221"/>
      <c r="AA8029" s="221"/>
      <c r="AB8029" s="223"/>
    </row>
    <row r="8030" spans="1:28" ht="17.100000000000001" customHeight="1" thickTop="1">
      <c r="A8030" s="226" t="s">
        <v>22064</v>
      </c>
      <c r="B8030" s="28">
        <v>46122</v>
      </c>
      <c r="C8030" s="25">
        <v>286</v>
      </c>
      <c r="D8030" s="13" t="s">
        <v>2324</v>
      </c>
      <c r="E8030" s="228"/>
      <c r="F8030" s="109" t="s">
        <v>19180</v>
      </c>
      <c r="G8030" s="24"/>
      <c r="H8030" s="230">
        <v>4</v>
      </c>
      <c r="I8030" s="220">
        <v>327000</v>
      </c>
      <c r="J8030" s="220">
        <f>I8030*0.1</f>
        <v>32700</v>
      </c>
      <c r="K8030" s="220">
        <v>0</v>
      </c>
      <c r="L8030" s="220">
        <v>7140</v>
      </c>
      <c r="M8030" s="220">
        <v>22000</v>
      </c>
      <c r="N8030" s="220">
        <f>SUM(I8030:M8031)</f>
        <v>388840</v>
      </c>
      <c r="O8030" s="224"/>
      <c r="P8030" s="110" t="s">
        <v>22736</v>
      </c>
      <c r="Q8030" s="15" t="s">
        <v>19</v>
      </c>
      <c r="R8030" s="205"/>
      <c r="S8030" s="189"/>
      <c r="T8030" s="114"/>
      <c r="U8030" s="21"/>
      <c r="V8030" s="115">
        <v>46127</v>
      </c>
      <c r="W8030" s="116">
        <v>1013</v>
      </c>
      <c r="X8030" s="220">
        <v>380000</v>
      </c>
      <c r="Y8030" s="220">
        <f>X8030*0.1</f>
        <v>38000</v>
      </c>
      <c r="Z8030" s="220">
        <v>7140</v>
      </c>
      <c r="AA8030" s="220">
        <f>SUM(X8030:Z8030)</f>
        <v>425140</v>
      </c>
      <c r="AB8030" s="222">
        <v>46133</v>
      </c>
    </row>
    <row r="8031" spans="1:28" ht="17.100000000000001" customHeight="1" thickBot="1">
      <c r="A8031" s="227"/>
      <c r="B8031" s="27" t="s">
        <v>15537</v>
      </c>
      <c r="C8031" s="27">
        <v>30</v>
      </c>
      <c r="D8031" s="14" t="s">
        <v>1690</v>
      </c>
      <c r="E8031" s="229"/>
      <c r="F8031" s="117" t="s">
        <v>22103</v>
      </c>
      <c r="G8031" s="26">
        <v>14443</v>
      </c>
      <c r="H8031" s="231"/>
      <c r="I8031" s="221"/>
      <c r="J8031" s="221"/>
      <c r="K8031" s="221"/>
      <c r="L8031" s="221"/>
      <c r="M8031" s="221"/>
      <c r="N8031" s="221"/>
      <c r="O8031" s="225"/>
      <c r="P8031" s="118" t="s">
        <v>22730</v>
      </c>
      <c r="Q8031" s="16" t="s">
        <v>20</v>
      </c>
      <c r="R8031" s="17" t="s">
        <v>22705</v>
      </c>
      <c r="S8031" s="121" t="s">
        <v>22737</v>
      </c>
      <c r="T8031" s="122"/>
      <c r="U8031" s="22"/>
      <c r="V8031" s="123" t="s">
        <v>2747</v>
      </c>
      <c r="W8031" s="122">
        <v>5162</v>
      </c>
      <c r="X8031" s="221"/>
      <c r="Y8031" s="221"/>
      <c r="Z8031" s="221"/>
      <c r="AA8031" s="221"/>
      <c r="AB8031" s="223"/>
    </row>
    <row r="8032" spans="1:28" ht="17.100000000000001" customHeight="1" thickTop="1">
      <c r="A8032" s="226" t="s">
        <v>22065</v>
      </c>
      <c r="B8032" s="28">
        <v>46122</v>
      </c>
      <c r="C8032" s="25">
        <v>286</v>
      </c>
      <c r="D8032" s="13" t="s">
        <v>1578</v>
      </c>
      <c r="E8032" s="228"/>
      <c r="F8032" s="109" t="s">
        <v>16471</v>
      </c>
      <c r="G8032" s="24"/>
      <c r="H8032" s="230">
        <v>4.5</v>
      </c>
      <c r="I8032" s="220">
        <v>965000</v>
      </c>
      <c r="J8032" s="220">
        <f>I8032*0.1</f>
        <v>96500</v>
      </c>
      <c r="K8032" s="220">
        <v>0</v>
      </c>
      <c r="L8032" s="220">
        <v>9310</v>
      </c>
      <c r="M8032" s="220">
        <v>22000</v>
      </c>
      <c r="N8032" s="220">
        <f>SUM(I8032:M8033)</f>
        <v>1092810</v>
      </c>
      <c r="O8032" s="224"/>
      <c r="P8032" s="110" t="s">
        <v>22432</v>
      </c>
      <c r="Q8032" s="15" t="s">
        <v>19</v>
      </c>
      <c r="R8032" s="205"/>
      <c r="S8032" s="189" t="s">
        <v>758</v>
      </c>
      <c r="T8032" s="114"/>
      <c r="U8032" s="21"/>
      <c r="V8032" s="115">
        <v>46127</v>
      </c>
      <c r="W8032" s="116">
        <v>1013</v>
      </c>
      <c r="X8032" s="220">
        <v>1015000</v>
      </c>
      <c r="Y8032" s="220">
        <f>X8032*0.1</f>
        <v>101500</v>
      </c>
      <c r="Z8032" s="220">
        <v>9310</v>
      </c>
      <c r="AA8032" s="220">
        <f>SUM(X8032:Z8032)</f>
        <v>1125810</v>
      </c>
      <c r="AB8032" s="222">
        <v>46132</v>
      </c>
    </row>
    <row r="8033" spans="1:28" ht="17.100000000000001" customHeight="1" thickBot="1">
      <c r="A8033" s="227"/>
      <c r="B8033" s="27" t="s">
        <v>15537</v>
      </c>
      <c r="C8033" s="27">
        <v>31</v>
      </c>
      <c r="D8033" s="14" t="s">
        <v>22263</v>
      </c>
      <c r="E8033" s="229"/>
      <c r="F8033" s="117" t="s">
        <v>22104</v>
      </c>
      <c r="G8033" s="26">
        <v>57530</v>
      </c>
      <c r="H8033" s="231"/>
      <c r="I8033" s="221"/>
      <c r="J8033" s="221"/>
      <c r="K8033" s="221"/>
      <c r="L8033" s="221"/>
      <c r="M8033" s="221"/>
      <c r="N8033" s="221"/>
      <c r="O8033" s="225"/>
      <c r="P8033" s="118" t="s">
        <v>22433</v>
      </c>
      <c r="Q8033" s="16" t="s">
        <v>20</v>
      </c>
      <c r="R8033" s="17" t="s">
        <v>22427</v>
      </c>
      <c r="S8033" s="121" t="s">
        <v>22434</v>
      </c>
      <c r="T8033" s="122"/>
      <c r="U8033" s="22"/>
      <c r="V8033" s="123" t="s">
        <v>2747</v>
      </c>
      <c r="W8033" s="122">
        <v>5185</v>
      </c>
      <c r="X8033" s="221"/>
      <c r="Y8033" s="221"/>
      <c r="Z8033" s="221"/>
      <c r="AA8033" s="221"/>
      <c r="AB8033" s="223"/>
    </row>
    <row r="8034" spans="1:28" ht="17.100000000000001" customHeight="1" thickTop="1">
      <c r="A8034" s="226" t="s">
        <v>22066</v>
      </c>
      <c r="B8034" s="28">
        <v>46122</v>
      </c>
      <c r="C8034" s="25">
        <v>286</v>
      </c>
      <c r="D8034" s="13" t="s">
        <v>1780</v>
      </c>
      <c r="E8034" s="228"/>
      <c r="F8034" s="109" t="s">
        <v>22264</v>
      </c>
      <c r="G8034" s="24"/>
      <c r="H8034" s="230">
        <v>4</v>
      </c>
      <c r="I8034" s="220">
        <v>975000</v>
      </c>
      <c r="J8034" s="220">
        <f>I8034*0.1</f>
        <v>97500</v>
      </c>
      <c r="K8034" s="220">
        <v>0</v>
      </c>
      <c r="L8034" s="220">
        <v>8010</v>
      </c>
      <c r="M8034" s="220">
        <v>22000</v>
      </c>
      <c r="N8034" s="220">
        <f>SUM(I8034:M8035)</f>
        <v>1102510</v>
      </c>
      <c r="O8034" s="224"/>
      <c r="P8034" s="110" t="s">
        <v>22655</v>
      </c>
      <c r="Q8034" s="15" t="s">
        <v>19</v>
      </c>
      <c r="R8034" s="205"/>
      <c r="S8034" s="189"/>
      <c r="T8034" s="114"/>
      <c r="U8034" s="21"/>
      <c r="V8034" s="115">
        <v>46134</v>
      </c>
      <c r="W8034" s="116">
        <v>1014</v>
      </c>
      <c r="X8034" s="220">
        <v>1025000</v>
      </c>
      <c r="Y8034" s="220">
        <f>X8034*0.1</f>
        <v>102500</v>
      </c>
      <c r="Z8034" s="220">
        <v>8010</v>
      </c>
      <c r="AA8034" s="220">
        <f>SUM(X8034:Z8034)</f>
        <v>1135510</v>
      </c>
      <c r="AB8034" s="222">
        <v>46139</v>
      </c>
    </row>
    <row r="8035" spans="1:28" ht="17.100000000000001" customHeight="1" thickBot="1">
      <c r="A8035" s="227"/>
      <c r="B8035" s="27" t="s">
        <v>15537</v>
      </c>
      <c r="C8035" s="27">
        <v>136</v>
      </c>
      <c r="D8035" s="14" t="s">
        <v>1710</v>
      </c>
      <c r="E8035" s="229"/>
      <c r="F8035" s="117" t="s">
        <v>22105</v>
      </c>
      <c r="G8035" s="26">
        <v>23013</v>
      </c>
      <c r="H8035" s="231"/>
      <c r="I8035" s="221"/>
      <c r="J8035" s="221"/>
      <c r="K8035" s="221"/>
      <c r="L8035" s="221"/>
      <c r="M8035" s="221"/>
      <c r="N8035" s="221"/>
      <c r="O8035" s="225"/>
      <c r="P8035" s="118" t="s">
        <v>22656</v>
      </c>
      <c r="Q8035" s="16" t="s">
        <v>20</v>
      </c>
      <c r="R8035" s="17" t="s">
        <v>1930</v>
      </c>
      <c r="S8035" s="121" t="s">
        <v>22470</v>
      </c>
      <c r="T8035" s="122"/>
      <c r="U8035" s="22"/>
      <c r="V8035" s="123" t="s">
        <v>23332</v>
      </c>
      <c r="W8035" s="122">
        <v>2069</v>
      </c>
      <c r="X8035" s="221"/>
      <c r="Y8035" s="221"/>
      <c r="Z8035" s="221"/>
      <c r="AA8035" s="221"/>
      <c r="AB8035" s="223"/>
    </row>
    <row r="8036" spans="1:28" ht="17.100000000000001" customHeight="1" thickTop="1">
      <c r="A8036" s="226" t="s">
        <v>22067</v>
      </c>
      <c r="B8036" s="28">
        <v>46122</v>
      </c>
      <c r="C8036" s="25">
        <v>286</v>
      </c>
      <c r="D8036" s="13" t="s">
        <v>1778</v>
      </c>
      <c r="E8036" s="228"/>
      <c r="F8036" s="109" t="s">
        <v>7450</v>
      </c>
      <c r="G8036" s="24"/>
      <c r="H8036" s="230">
        <v>3.5</v>
      </c>
      <c r="I8036" s="220">
        <v>108000</v>
      </c>
      <c r="J8036" s="220">
        <f>I8036*0.1</f>
        <v>10800</v>
      </c>
      <c r="K8036" s="220">
        <v>0</v>
      </c>
      <c r="L8036" s="220">
        <v>9880</v>
      </c>
      <c r="M8036" s="220">
        <v>22000</v>
      </c>
      <c r="N8036" s="220">
        <f>SUM(I8036:M8037)</f>
        <v>150680</v>
      </c>
      <c r="O8036" s="224"/>
      <c r="P8036" s="110" t="s">
        <v>22625</v>
      </c>
      <c r="Q8036" s="15" t="s">
        <v>19</v>
      </c>
      <c r="R8036" s="205"/>
      <c r="S8036" s="189"/>
      <c r="T8036" s="114"/>
      <c r="U8036" s="21"/>
      <c r="V8036" s="115">
        <v>46127</v>
      </c>
      <c r="W8036" s="116">
        <v>1013</v>
      </c>
      <c r="X8036" s="220">
        <v>215000</v>
      </c>
      <c r="Y8036" s="220">
        <f>X8036*0.1</f>
        <v>21500</v>
      </c>
      <c r="Z8036" s="220">
        <v>9880</v>
      </c>
      <c r="AA8036" s="220">
        <f>SUM(X8036:Z8036)</f>
        <v>246380</v>
      </c>
      <c r="AB8036" s="222">
        <v>46132</v>
      </c>
    </row>
    <row r="8037" spans="1:28" ht="17.100000000000001" customHeight="1" thickBot="1">
      <c r="A8037" s="227"/>
      <c r="B8037" s="27" t="s">
        <v>15537</v>
      </c>
      <c r="C8037" s="27">
        <v>141</v>
      </c>
      <c r="D8037" s="14" t="s">
        <v>273</v>
      </c>
      <c r="E8037" s="229"/>
      <c r="F8037" s="117" t="s">
        <v>22106</v>
      </c>
      <c r="G8037" s="26">
        <v>47915</v>
      </c>
      <c r="H8037" s="231"/>
      <c r="I8037" s="221"/>
      <c r="J8037" s="221"/>
      <c r="K8037" s="221"/>
      <c r="L8037" s="221"/>
      <c r="M8037" s="221"/>
      <c r="N8037" s="221"/>
      <c r="O8037" s="225"/>
      <c r="P8037" s="118" t="s">
        <v>22626</v>
      </c>
      <c r="Q8037" s="16" t="s">
        <v>20</v>
      </c>
      <c r="R8037" s="17" t="s">
        <v>1930</v>
      </c>
      <c r="S8037" s="121"/>
      <c r="T8037" s="122"/>
      <c r="U8037" s="22"/>
      <c r="V8037" s="123" t="s">
        <v>2747</v>
      </c>
      <c r="W8037" s="122">
        <v>5170</v>
      </c>
      <c r="X8037" s="221"/>
      <c r="Y8037" s="221"/>
      <c r="Z8037" s="221"/>
      <c r="AA8037" s="221"/>
      <c r="AB8037" s="223"/>
    </row>
    <row r="8038" spans="1:28" ht="17.100000000000001" customHeight="1" thickTop="1">
      <c r="A8038" s="226" t="s">
        <v>22068</v>
      </c>
      <c r="B8038" s="28">
        <v>46122</v>
      </c>
      <c r="C8038" s="25">
        <v>286</v>
      </c>
      <c r="D8038" s="13" t="s">
        <v>3634</v>
      </c>
      <c r="E8038" s="228"/>
      <c r="F8038" s="109" t="s">
        <v>14954</v>
      </c>
      <c r="G8038" s="24" t="s">
        <v>4239</v>
      </c>
      <c r="H8038" s="230">
        <v>4.5</v>
      </c>
      <c r="I8038" s="220">
        <v>371000</v>
      </c>
      <c r="J8038" s="220">
        <f>I8038*0.1</f>
        <v>37100</v>
      </c>
      <c r="K8038" s="220">
        <v>0</v>
      </c>
      <c r="L8038" s="220">
        <v>10010</v>
      </c>
      <c r="M8038" s="220">
        <v>22000</v>
      </c>
      <c r="N8038" s="220">
        <f>SUM(I8038:M8039)</f>
        <v>440110</v>
      </c>
      <c r="O8038" s="224"/>
      <c r="P8038" s="110" t="s">
        <v>22719</v>
      </c>
      <c r="Q8038" s="15" t="s">
        <v>19</v>
      </c>
      <c r="R8038" s="205"/>
      <c r="S8038" s="189" t="s">
        <v>25935</v>
      </c>
      <c r="T8038" s="114"/>
      <c r="U8038" s="21"/>
      <c r="V8038" s="115">
        <v>46127</v>
      </c>
      <c r="W8038" s="116"/>
      <c r="X8038" s="220">
        <v>590000</v>
      </c>
      <c r="Y8038" s="220">
        <f>X8038*0.1</f>
        <v>59000</v>
      </c>
      <c r="Z8038" s="220">
        <v>10010</v>
      </c>
      <c r="AA8038" s="220">
        <f>SUM(X8038:Z8038)</f>
        <v>659010</v>
      </c>
      <c r="AB8038" s="222"/>
    </row>
    <row r="8039" spans="1:28" ht="17.100000000000001" customHeight="1" thickBot="1">
      <c r="A8039" s="227"/>
      <c r="B8039" s="27" t="s">
        <v>15537</v>
      </c>
      <c r="C8039" s="27">
        <v>152</v>
      </c>
      <c r="D8039" s="14" t="s">
        <v>2014</v>
      </c>
      <c r="E8039" s="229"/>
      <c r="F8039" s="117" t="s">
        <v>22107</v>
      </c>
      <c r="G8039" s="26">
        <v>62058</v>
      </c>
      <c r="H8039" s="231"/>
      <c r="I8039" s="221"/>
      <c r="J8039" s="221"/>
      <c r="K8039" s="221"/>
      <c r="L8039" s="221"/>
      <c r="M8039" s="221"/>
      <c r="N8039" s="221"/>
      <c r="O8039" s="225"/>
      <c r="P8039" s="118" t="s">
        <v>22720</v>
      </c>
      <c r="Q8039" s="16" t="s">
        <v>20</v>
      </c>
      <c r="R8039" s="17" t="s">
        <v>22705</v>
      </c>
      <c r="S8039" s="121" t="s">
        <v>22721</v>
      </c>
      <c r="T8039" s="122"/>
      <c r="U8039" s="22"/>
      <c r="V8039" s="123" t="s">
        <v>6682</v>
      </c>
      <c r="W8039" s="122">
        <v>95606</v>
      </c>
      <c r="X8039" s="221"/>
      <c r="Y8039" s="221"/>
      <c r="Z8039" s="221"/>
      <c r="AA8039" s="221"/>
      <c r="AB8039" s="223"/>
    </row>
    <row r="8040" spans="1:28" ht="17.100000000000001" customHeight="1" thickTop="1">
      <c r="A8040" s="226" t="s">
        <v>22111</v>
      </c>
      <c r="B8040" s="28">
        <v>46122</v>
      </c>
      <c r="C8040" s="25">
        <v>286</v>
      </c>
      <c r="D8040" s="13" t="s">
        <v>1687</v>
      </c>
      <c r="E8040" s="228"/>
      <c r="F8040" s="109" t="s">
        <v>22265</v>
      </c>
      <c r="G8040" s="24"/>
      <c r="H8040" s="230">
        <v>4</v>
      </c>
      <c r="I8040" s="220">
        <v>985000</v>
      </c>
      <c r="J8040" s="220">
        <f>I8040*0.1</f>
        <v>98500</v>
      </c>
      <c r="K8040" s="220">
        <v>0</v>
      </c>
      <c r="L8040" s="220">
        <v>8170</v>
      </c>
      <c r="M8040" s="220">
        <v>22000</v>
      </c>
      <c r="N8040" s="220">
        <f>SUM(I8040:M8041)</f>
        <v>1113670</v>
      </c>
      <c r="O8040" s="224"/>
      <c r="P8040" s="110" t="s">
        <v>22847</v>
      </c>
      <c r="Q8040" s="15" t="s">
        <v>19</v>
      </c>
      <c r="R8040" s="205"/>
      <c r="S8040" s="189" t="s">
        <v>25920</v>
      </c>
      <c r="T8040" s="114"/>
      <c r="U8040" s="21"/>
      <c r="V8040" s="115">
        <v>46141</v>
      </c>
      <c r="W8040" s="116">
        <v>1015</v>
      </c>
      <c r="X8040" s="220">
        <v>1090000</v>
      </c>
      <c r="Y8040" s="220">
        <f>X8040*0.1</f>
        <v>109000</v>
      </c>
      <c r="Z8040" s="220">
        <v>8170</v>
      </c>
      <c r="AA8040" s="220">
        <f>SUM(X8040:Z8040)</f>
        <v>1207170</v>
      </c>
      <c r="AB8040" s="222">
        <v>46153</v>
      </c>
    </row>
    <row r="8041" spans="1:28" ht="17.100000000000001" customHeight="1" thickBot="1">
      <c r="A8041" s="227"/>
      <c r="B8041" s="27" t="s">
        <v>15537</v>
      </c>
      <c r="C8041" s="27">
        <v>20164</v>
      </c>
      <c r="D8041" s="14" t="s">
        <v>1710</v>
      </c>
      <c r="E8041" s="229"/>
      <c r="F8041" s="117" t="s">
        <v>22108</v>
      </c>
      <c r="G8041" s="26">
        <v>44264</v>
      </c>
      <c r="H8041" s="231"/>
      <c r="I8041" s="221"/>
      <c r="J8041" s="221"/>
      <c r="K8041" s="221"/>
      <c r="L8041" s="221"/>
      <c r="M8041" s="221"/>
      <c r="N8041" s="221"/>
      <c r="O8041" s="225"/>
      <c r="P8041" s="118" t="s">
        <v>2446</v>
      </c>
      <c r="Q8041" s="16" t="s">
        <v>20</v>
      </c>
      <c r="R8041" s="17" t="s">
        <v>3650</v>
      </c>
      <c r="S8041" s="121" t="s">
        <v>3581</v>
      </c>
      <c r="T8041" s="122"/>
      <c r="U8041" s="22"/>
      <c r="V8041" s="123" t="s">
        <v>2747</v>
      </c>
      <c r="W8041" s="122">
        <v>6101</v>
      </c>
      <c r="X8041" s="221"/>
      <c r="Y8041" s="221"/>
      <c r="Z8041" s="221"/>
      <c r="AA8041" s="221"/>
      <c r="AB8041" s="223"/>
    </row>
    <row r="8042" spans="1:28" ht="17.100000000000001" customHeight="1" thickTop="1">
      <c r="A8042" s="226" t="s">
        <v>22112</v>
      </c>
      <c r="B8042" s="28">
        <v>46122</v>
      </c>
      <c r="C8042" s="25">
        <v>286</v>
      </c>
      <c r="D8042" s="13" t="s">
        <v>1687</v>
      </c>
      <c r="E8042" s="228"/>
      <c r="F8042" s="109" t="s">
        <v>22265</v>
      </c>
      <c r="G8042" s="24"/>
      <c r="H8042" s="230">
        <v>4.5</v>
      </c>
      <c r="I8042" s="220">
        <v>955000</v>
      </c>
      <c r="J8042" s="220">
        <f>I8042*0.1</f>
        <v>95500</v>
      </c>
      <c r="K8042" s="220">
        <v>0</v>
      </c>
      <c r="L8042" s="220">
        <v>8170</v>
      </c>
      <c r="M8042" s="220">
        <v>22000</v>
      </c>
      <c r="N8042" s="220">
        <f>SUM(I8042:M8043)</f>
        <v>1080670</v>
      </c>
      <c r="O8042" s="224"/>
      <c r="P8042" s="110" t="s">
        <v>22844</v>
      </c>
      <c r="Q8042" s="15" t="s">
        <v>19</v>
      </c>
      <c r="R8042" s="205"/>
      <c r="S8042" s="189" t="s">
        <v>25920</v>
      </c>
      <c r="T8042" s="114"/>
      <c r="U8042" s="21"/>
      <c r="V8042" s="115">
        <v>46127</v>
      </c>
      <c r="W8042" s="116">
        <v>1013</v>
      </c>
      <c r="X8042" s="220">
        <v>1051000</v>
      </c>
      <c r="Y8042" s="220">
        <f>X8042*0.1</f>
        <v>105100</v>
      </c>
      <c r="Z8042" s="220">
        <v>8170</v>
      </c>
      <c r="AA8042" s="220">
        <f>SUM(X8042:Z8042)</f>
        <v>1164270</v>
      </c>
      <c r="AB8042" s="222">
        <v>46133</v>
      </c>
    </row>
    <row r="8043" spans="1:28" ht="17.100000000000001" customHeight="1" thickBot="1">
      <c r="A8043" s="227"/>
      <c r="B8043" s="27" t="s">
        <v>15537</v>
      </c>
      <c r="C8043" s="27">
        <v>20174</v>
      </c>
      <c r="D8043" s="14" t="s">
        <v>1710</v>
      </c>
      <c r="E8043" s="229"/>
      <c r="F8043" s="117" t="s">
        <v>22109</v>
      </c>
      <c r="G8043" s="26">
        <v>51950</v>
      </c>
      <c r="H8043" s="231"/>
      <c r="I8043" s="221"/>
      <c r="J8043" s="221"/>
      <c r="K8043" s="221"/>
      <c r="L8043" s="221"/>
      <c r="M8043" s="221"/>
      <c r="N8043" s="221"/>
      <c r="O8043" s="225"/>
      <c r="P8043" s="118" t="s">
        <v>2446</v>
      </c>
      <c r="Q8043" s="16" t="s">
        <v>20</v>
      </c>
      <c r="R8043" s="17" t="s">
        <v>3650</v>
      </c>
      <c r="S8043" s="121" t="s">
        <v>3581</v>
      </c>
      <c r="T8043" s="122"/>
      <c r="U8043" s="22"/>
      <c r="V8043" s="123" t="s">
        <v>2747</v>
      </c>
      <c r="W8043" s="122">
        <v>5129</v>
      </c>
      <c r="X8043" s="221"/>
      <c r="Y8043" s="221"/>
      <c r="Z8043" s="221"/>
      <c r="AA8043" s="221"/>
      <c r="AB8043" s="223"/>
    </row>
    <row r="8044" spans="1:28" ht="17.100000000000001" customHeight="1" thickTop="1">
      <c r="A8044" s="226" t="s">
        <v>22113</v>
      </c>
      <c r="B8044" s="28">
        <v>46122</v>
      </c>
      <c r="C8044" s="25">
        <v>286</v>
      </c>
      <c r="D8044" s="13" t="s">
        <v>1687</v>
      </c>
      <c r="E8044" s="228"/>
      <c r="F8044" s="109" t="s">
        <v>22265</v>
      </c>
      <c r="G8044" s="24"/>
      <c r="H8044" s="230">
        <v>4.5</v>
      </c>
      <c r="I8044" s="220">
        <v>988000</v>
      </c>
      <c r="J8044" s="220">
        <f>I8044*0.1</f>
        <v>98800</v>
      </c>
      <c r="K8044" s="220">
        <v>0</v>
      </c>
      <c r="L8044" s="220">
        <v>8170</v>
      </c>
      <c r="M8044" s="220">
        <v>22000</v>
      </c>
      <c r="N8044" s="220">
        <f>SUM(I8044:M8045)</f>
        <v>1116970</v>
      </c>
      <c r="O8044" s="224"/>
      <c r="P8044" s="110" t="s">
        <v>22843</v>
      </c>
      <c r="Q8044" s="15" t="s">
        <v>19</v>
      </c>
      <c r="R8044" s="205"/>
      <c r="S8044" s="189" t="s">
        <v>25920</v>
      </c>
      <c r="T8044" s="114"/>
      <c r="U8044" s="21"/>
      <c r="V8044" s="115">
        <v>46127</v>
      </c>
      <c r="W8044" s="116">
        <v>1013</v>
      </c>
      <c r="X8044" s="220">
        <v>1000000</v>
      </c>
      <c r="Y8044" s="220">
        <f>X8044*0.1</f>
        <v>100000</v>
      </c>
      <c r="Z8044" s="220">
        <v>8170</v>
      </c>
      <c r="AA8044" s="220">
        <f>SUM(X8044:Z8044)</f>
        <v>1108170</v>
      </c>
      <c r="AB8044" s="222">
        <v>46133</v>
      </c>
    </row>
    <row r="8045" spans="1:28" ht="17.100000000000001" customHeight="1" thickBot="1">
      <c r="A8045" s="227"/>
      <c r="B8045" s="27" t="s">
        <v>15537</v>
      </c>
      <c r="C8045" s="27">
        <v>20176</v>
      </c>
      <c r="D8045" s="14" t="s">
        <v>1710</v>
      </c>
      <c r="E8045" s="229"/>
      <c r="F8045" s="117" t="s">
        <v>22110</v>
      </c>
      <c r="G8045" s="26">
        <v>46815</v>
      </c>
      <c r="H8045" s="231"/>
      <c r="I8045" s="221"/>
      <c r="J8045" s="221"/>
      <c r="K8045" s="221"/>
      <c r="L8045" s="221"/>
      <c r="M8045" s="221"/>
      <c r="N8045" s="221"/>
      <c r="O8045" s="225"/>
      <c r="P8045" s="118" t="s">
        <v>2446</v>
      </c>
      <c r="Q8045" s="16" t="s">
        <v>20</v>
      </c>
      <c r="R8045" s="17" t="s">
        <v>3650</v>
      </c>
      <c r="S8045" s="121" t="s">
        <v>3581</v>
      </c>
      <c r="T8045" s="122"/>
      <c r="U8045" s="22"/>
      <c r="V8045" s="123" t="s">
        <v>2747</v>
      </c>
      <c r="W8045" s="122">
        <v>5166</v>
      </c>
      <c r="X8045" s="221"/>
      <c r="Y8045" s="221"/>
      <c r="Z8045" s="221"/>
      <c r="AA8045" s="221"/>
      <c r="AB8045" s="223"/>
    </row>
    <row r="8046" spans="1:28" ht="17.100000000000001" customHeight="1" thickTop="1">
      <c r="A8046" s="226" t="s">
        <v>22114</v>
      </c>
      <c r="B8046" s="28">
        <v>46122</v>
      </c>
      <c r="C8046" s="25">
        <v>286</v>
      </c>
      <c r="D8046" s="13" t="s">
        <v>1687</v>
      </c>
      <c r="E8046" s="228"/>
      <c r="F8046" s="109" t="s">
        <v>22265</v>
      </c>
      <c r="G8046" s="24"/>
      <c r="H8046" s="230">
        <v>4.5</v>
      </c>
      <c r="I8046" s="220">
        <v>1055000</v>
      </c>
      <c r="J8046" s="220">
        <f>I8046*0.1</f>
        <v>105500</v>
      </c>
      <c r="K8046" s="220">
        <v>0</v>
      </c>
      <c r="L8046" s="220">
        <v>8170</v>
      </c>
      <c r="M8046" s="220">
        <v>22000</v>
      </c>
      <c r="N8046" s="220">
        <f>SUM(I8046:M8047)</f>
        <v>1190670</v>
      </c>
      <c r="O8046" s="224"/>
      <c r="P8046" s="110" t="s">
        <v>22848</v>
      </c>
      <c r="Q8046" s="15" t="s">
        <v>19</v>
      </c>
      <c r="R8046" s="205"/>
      <c r="S8046" s="189" t="s">
        <v>25920</v>
      </c>
      <c r="T8046" s="114"/>
      <c r="U8046" s="21"/>
      <c r="V8046" s="115">
        <v>46141</v>
      </c>
      <c r="W8046" s="116">
        <v>1015</v>
      </c>
      <c r="X8046" s="220">
        <v>1110000</v>
      </c>
      <c r="Y8046" s="220">
        <f>X8046*0.1</f>
        <v>111000</v>
      </c>
      <c r="Z8046" s="220">
        <v>8170</v>
      </c>
      <c r="AA8046" s="220">
        <f>SUM(X8046:Z8046)</f>
        <v>1229170</v>
      </c>
      <c r="AB8046" s="222">
        <v>46153</v>
      </c>
    </row>
    <row r="8047" spans="1:28" ht="17.100000000000001" customHeight="1" thickBot="1">
      <c r="A8047" s="227"/>
      <c r="B8047" s="27" t="s">
        <v>15537</v>
      </c>
      <c r="C8047" s="27">
        <v>20180</v>
      </c>
      <c r="D8047" s="14" t="s">
        <v>1710</v>
      </c>
      <c r="E8047" s="229"/>
      <c r="F8047" s="117" t="s">
        <v>22128</v>
      </c>
      <c r="G8047" s="26">
        <v>41760</v>
      </c>
      <c r="H8047" s="231"/>
      <c r="I8047" s="221"/>
      <c r="J8047" s="221"/>
      <c r="K8047" s="221"/>
      <c r="L8047" s="221"/>
      <c r="M8047" s="221"/>
      <c r="N8047" s="221"/>
      <c r="O8047" s="225"/>
      <c r="P8047" s="118" t="s">
        <v>2446</v>
      </c>
      <c r="Q8047" s="16" t="s">
        <v>20</v>
      </c>
      <c r="R8047" s="17" t="s">
        <v>3650</v>
      </c>
      <c r="S8047" s="121" t="s">
        <v>3581</v>
      </c>
      <c r="T8047" s="122"/>
      <c r="U8047" s="22"/>
      <c r="V8047" s="123" t="s">
        <v>2747</v>
      </c>
      <c r="W8047" s="122">
        <v>6120</v>
      </c>
      <c r="X8047" s="221"/>
      <c r="Y8047" s="221"/>
      <c r="Z8047" s="221"/>
      <c r="AA8047" s="221"/>
      <c r="AB8047" s="223"/>
    </row>
    <row r="8048" spans="1:28" ht="17.100000000000001" customHeight="1" thickTop="1">
      <c r="A8048" s="226" t="s">
        <v>22115</v>
      </c>
      <c r="B8048" s="28">
        <v>46122</v>
      </c>
      <c r="C8048" s="25">
        <v>286</v>
      </c>
      <c r="D8048" s="13" t="s">
        <v>1053</v>
      </c>
      <c r="E8048" s="228"/>
      <c r="F8048" s="109" t="s">
        <v>22092</v>
      </c>
      <c r="G8048" s="24"/>
      <c r="H8048" s="230">
        <v>4</v>
      </c>
      <c r="I8048" s="220">
        <v>634000</v>
      </c>
      <c r="J8048" s="220">
        <f>I8048*0.1</f>
        <v>63400</v>
      </c>
      <c r="K8048" s="220">
        <v>0</v>
      </c>
      <c r="L8048" s="220">
        <v>6860</v>
      </c>
      <c r="M8048" s="220">
        <v>22000</v>
      </c>
      <c r="N8048" s="220">
        <f>SUM(I8048:M8049)</f>
        <v>726260</v>
      </c>
      <c r="O8048" s="224"/>
      <c r="P8048" s="110" t="s">
        <v>22738</v>
      </c>
      <c r="Q8048" s="15" t="s">
        <v>19</v>
      </c>
      <c r="R8048" s="205"/>
      <c r="S8048" s="189" t="s">
        <v>696</v>
      </c>
      <c r="T8048" s="114"/>
      <c r="U8048" s="21"/>
      <c r="V8048" s="115">
        <v>46127</v>
      </c>
      <c r="W8048" s="116">
        <v>1013</v>
      </c>
      <c r="X8048" s="220">
        <v>730000</v>
      </c>
      <c r="Y8048" s="220">
        <f>X8048*0.1</f>
        <v>73000</v>
      </c>
      <c r="Z8048" s="220">
        <v>6860</v>
      </c>
      <c r="AA8048" s="220">
        <f>SUM(X8048:Z8048)</f>
        <v>809860</v>
      </c>
      <c r="AB8048" s="222">
        <v>46133</v>
      </c>
    </row>
    <row r="8049" spans="1:28" ht="17.100000000000001" customHeight="1" thickBot="1">
      <c r="A8049" s="227"/>
      <c r="B8049" s="27" t="s">
        <v>15537</v>
      </c>
      <c r="C8049" s="27">
        <v>20220</v>
      </c>
      <c r="D8049" s="14" t="s">
        <v>1584</v>
      </c>
      <c r="E8049" s="229"/>
      <c r="F8049" s="117" t="s">
        <v>22129</v>
      </c>
      <c r="G8049" s="26">
        <v>30384</v>
      </c>
      <c r="H8049" s="231"/>
      <c r="I8049" s="221"/>
      <c r="J8049" s="221"/>
      <c r="K8049" s="221"/>
      <c r="L8049" s="221"/>
      <c r="M8049" s="221"/>
      <c r="N8049" s="221"/>
      <c r="O8049" s="225"/>
      <c r="P8049" s="118" t="s">
        <v>2446</v>
      </c>
      <c r="Q8049" s="16" t="s">
        <v>20</v>
      </c>
      <c r="R8049" s="17" t="s">
        <v>22705</v>
      </c>
      <c r="S8049" s="121" t="s">
        <v>22739</v>
      </c>
      <c r="T8049" s="122"/>
      <c r="U8049" s="22"/>
      <c r="V8049" s="123" t="s">
        <v>2747</v>
      </c>
      <c r="W8049" s="122">
        <v>5169</v>
      </c>
      <c r="X8049" s="221"/>
      <c r="Y8049" s="221"/>
      <c r="Z8049" s="221"/>
      <c r="AA8049" s="221"/>
      <c r="AB8049" s="223"/>
    </row>
    <row r="8050" spans="1:28" ht="16.5" customHeight="1" thickTop="1">
      <c r="A8050" s="226" t="s">
        <v>22116</v>
      </c>
      <c r="B8050" s="28">
        <v>46122</v>
      </c>
      <c r="C8050" s="25">
        <v>1201</v>
      </c>
      <c r="D8050" s="13" t="s">
        <v>2610</v>
      </c>
      <c r="E8050" s="228"/>
      <c r="F8050" s="109" t="s">
        <v>15513</v>
      </c>
      <c r="G8050" s="24" t="s">
        <v>2124</v>
      </c>
      <c r="H8050" s="230">
        <v>4.5</v>
      </c>
      <c r="I8050" s="220">
        <v>980000</v>
      </c>
      <c r="J8050" s="220">
        <f>I8050*0.1</f>
        <v>98000</v>
      </c>
      <c r="K8050" s="220">
        <v>0</v>
      </c>
      <c r="L8050" s="220">
        <v>9080</v>
      </c>
      <c r="M8050" s="220">
        <v>12100</v>
      </c>
      <c r="N8050" s="220">
        <f>SUM(I8050:M8051)</f>
        <v>1099180</v>
      </c>
      <c r="O8050" s="224"/>
      <c r="P8050" s="110" t="s">
        <v>22266</v>
      </c>
      <c r="Q8050" s="15" t="s">
        <v>19</v>
      </c>
      <c r="R8050" s="205"/>
      <c r="S8050" s="189" t="s">
        <v>25936</v>
      </c>
      <c r="T8050" s="114"/>
      <c r="U8050" s="21"/>
      <c r="V8050" s="115">
        <v>46130</v>
      </c>
      <c r="W8050" s="116">
        <v>1297</v>
      </c>
      <c r="X8050" s="220">
        <v>1065000</v>
      </c>
      <c r="Y8050" s="220">
        <f>X8050*0.1</f>
        <v>106500</v>
      </c>
      <c r="Z8050" s="220">
        <v>9080</v>
      </c>
      <c r="AA8050" s="220">
        <f>SUM(X8050:Z8050)</f>
        <v>1180580</v>
      </c>
      <c r="AB8050" s="222">
        <v>46133</v>
      </c>
    </row>
    <row r="8051" spans="1:28" ht="17.100000000000001" customHeight="1" thickBot="1">
      <c r="A8051" s="227"/>
      <c r="B8051" s="27" t="s">
        <v>22130</v>
      </c>
      <c r="C8051" s="27">
        <v>7178</v>
      </c>
      <c r="D8051" s="14" t="s">
        <v>2559</v>
      </c>
      <c r="E8051" s="229"/>
      <c r="F8051" s="117" t="s">
        <v>22131</v>
      </c>
      <c r="G8051" s="26">
        <v>58704</v>
      </c>
      <c r="H8051" s="231"/>
      <c r="I8051" s="221"/>
      <c r="J8051" s="221"/>
      <c r="K8051" s="221"/>
      <c r="L8051" s="221"/>
      <c r="M8051" s="221"/>
      <c r="N8051" s="221"/>
      <c r="O8051" s="225"/>
      <c r="P8051" s="118" t="s">
        <v>22428</v>
      </c>
      <c r="Q8051" s="16" t="s">
        <v>20</v>
      </c>
      <c r="R8051" s="17" t="s">
        <v>22427</v>
      </c>
      <c r="S8051" s="121" t="s">
        <v>22429</v>
      </c>
      <c r="T8051" s="122"/>
      <c r="U8051" s="22"/>
      <c r="V8051" s="123" t="s">
        <v>2472</v>
      </c>
      <c r="W8051" s="122">
        <v>60005</v>
      </c>
      <c r="X8051" s="221"/>
      <c r="Y8051" s="221"/>
      <c r="Z8051" s="221"/>
      <c r="AA8051" s="221"/>
      <c r="AB8051" s="223"/>
    </row>
    <row r="8052" spans="1:28" ht="17.100000000000001" customHeight="1" thickTop="1">
      <c r="A8052" s="226" t="s">
        <v>22117</v>
      </c>
      <c r="B8052" s="28">
        <v>46122</v>
      </c>
      <c r="C8052" s="25">
        <v>2130</v>
      </c>
      <c r="D8052" s="13" t="s">
        <v>2295</v>
      </c>
      <c r="E8052" s="228"/>
      <c r="F8052" s="109" t="s">
        <v>22133</v>
      </c>
      <c r="G8052" s="24" t="s">
        <v>3748</v>
      </c>
      <c r="H8052" s="230">
        <v>4.5</v>
      </c>
      <c r="I8052" s="220">
        <v>1070000</v>
      </c>
      <c r="J8052" s="220">
        <f>I8052*0.1</f>
        <v>107000</v>
      </c>
      <c r="K8052" s="220">
        <v>30690</v>
      </c>
      <c r="L8052" s="220">
        <v>19090</v>
      </c>
      <c r="M8052" s="220">
        <v>16500</v>
      </c>
      <c r="N8052" s="220">
        <f>SUM(I8052:M8053)</f>
        <v>1243280</v>
      </c>
      <c r="O8052" s="224"/>
      <c r="P8052" s="110" t="s">
        <v>22268</v>
      </c>
      <c r="Q8052" s="15" t="s">
        <v>19</v>
      </c>
      <c r="R8052" s="205"/>
      <c r="S8052" s="189" t="s">
        <v>758</v>
      </c>
      <c r="T8052" s="114"/>
      <c r="U8052" s="21"/>
      <c r="V8052" s="115"/>
      <c r="W8052" s="116"/>
      <c r="X8052" s="220"/>
      <c r="Y8052" s="220">
        <f>X8052*0.1</f>
        <v>0</v>
      </c>
      <c r="Z8052" s="220"/>
      <c r="AA8052" s="220">
        <f>SUM(X8052:Z8052)</f>
        <v>0</v>
      </c>
      <c r="AB8052" s="222"/>
    </row>
    <row r="8053" spans="1:28" ht="17.100000000000001" customHeight="1" thickBot="1">
      <c r="A8053" s="227"/>
      <c r="B8053" s="27" t="s">
        <v>22132</v>
      </c>
      <c r="C8053" s="27">
        <v>58106</v>
      </c>
      <c r="D8053" s="14" t="s">
        <v>1690</v>
      </c>
      <c r="E8053" s="229"/>
      <c r="F8053" s="117" t="s">
        <v>22267</v>
      </c>
      <c r="G8053" s="26">
        <v>47761</v>
      </c>
      <c r="H8053" s="231"/>
      <c r="I8053" s="221"/>
      <c r="J8053" s="221"/>
      <c r="K8053" s="221"/>
      <c r="L8053" s="221"/>
      <c r="M8053" s="221"/>
      <c r="N8053" s="221"/>
      <c r="O8053" s="225"/>
      <c r="P8053" s="118" t="s">
        <v>19868</v>
      </c>
      <c r="Q8053" s="16" t="s">
        <v>20</v>
      </c>
      <c r="R8053" s="17" t="s">
        <v>1930</v>
      </c>
      <c r="S8053" s="121" t="s">
        <v>9752</v>
      </c>
      <c r="T8053" s="122"/>
      <c r="U8053" s="22"/>
      <c r="V8053" s="123"/>
      <c r="W8053" s="122"/>
      <c r="X8053" s="221"/>
      <c r="Y8053" s="221"/>
      <c r="Z8053" s="221"/>
      <c r="AA8053" s="221"/>
      <c r="AB8053" s="223"/>
    </row>
    <row r="8054" spans="1:28" ht="17.100000000000001" customHeight="1" thickTop="1">
      <c r="A8054" s="233" t="s">
        <v>22118</v>
      </c>
      <c r="B8054" s="28">
        <v>46122</v>
      </c>
      <c r="C8054" s="25">
        <v>2130</v>
      </c>
      <c r="D8054" s="13" t="s">
        <v>2712</v>
      </c>
      <c r="E8054" s="228"/>
      <c r="F8054" s="109" t="s">
        <v>22134</v>
      </c>
      <c r="G8054" s="24" t="s">
        <v>22270</v>
      </c>
      <c r="H8054" s="230">
        <v>4.5</v>
      </c>
      <c r="I8054" s="220">
        <v>1620000</v>
      </c>
      <c r="J8054" s="220">
        <f>I8054*0.1</f>
        <v>162000</v>
      </c>
      <c r="K8054" s="220">
        <v>30690</v>
      </c>
      <c r="L8054" s="220">
        <v>19090</v>
      </c>
      <c r="M8054" s="220">
        <v>16500</v>
      </c>
      <c r="N8054" s="220">
        <f>SUM(I8054:M8055)</f>
        <v>1848280</v>
      </c>
      <c r="O8054" s="224"/>
      <c r="P8054" s="110" t="s">
        <v>22271</v>
      </c>
      <c r="Q8054" s="15" t="s">
        <v>19</v>
      </c>
      <c r="R8054" s="205"/>
      <c r="S8054" s="189" t="s">
        <v>25691</v>
      </c>
      <c r="T8054" s="114" t="s">
        <v>22780</v>
      </c>
      <c r="U8054" s="21"/>
      <c r="V8054" s="115"/>
      <c r="W8054" s="116"/>
      <c r="X8054" s="220"/>
      <c r="Y8054" s="220">
        <f>X8054*0.1</f>
        <v>0</v>
      </c>
      <c r="Z8054" s="220"/>
      <c r="AA8054" s="220">
        <f>SUM(X8054:Z8054)</f>
        <v>0</v>
      </c>
      <c r="AB8054" s="222"/>
    </row>
    <row r="8055" spans="1:28" ht="17.100000000000001" customHeight="1" thickBot="1">
      <c r="A8055" s="234"/>
      <c r="B8055" s="27" t="s">
        <v>22132</v>
      </c>
      <c r="C8055" s="27">
        <v>58241</v>
      </c>
      <c r="D8055" s="14" t="s">
        <v>1584</v>
      </c>
      <c r="E8055" s="229"/>
      <c r="F8055" s="117" t="s">
        <v>22269</v>
      </c>
      <c r="G8055" s="26">
        <v>54180</v>
      </c>
      <c r="H8055" s="231"/>
      <c r="I8055" s="221"/>
      <c r="J8055" s="221"/>
      <c r="K8055" s="221"/>
      <c r="L8055" s="221"/>
      <c r="M8055" s="221"/>
      <c r="N8055" s="221"/>
      <c r="O8055" s="225"/>
      <c r="P8055" s="118" t="s">
        <v>22632</v>
      </c>
      <c r="Q8055" s="16" t="s">
        <v>20</v>
      </c>
      <c r="R8055" s="17" t="s">
        <v>1930</v>
      </c>
      <c r="S8055" s="121" t="s">
        <v>1606</v>
      </c>
      <c r="T8055" s="122"/>
      <c r="U8055" s="22"/>
      <c r="V8055" s="123"/>
      <c r="W8055" s="122"/>
      <c r="X8055" s="221"/>
      <c r="Y8055" s="221"/>
      <c r="Z8055" s="221"/>
      <c r="AA8055" s="221"/>
      <c r="AB8055" s="223"/>
    </row>
    <row r="8056" spans="1:28" ht="17.100000000000001" customHeight="1" thickTop="1">
      <c r="A8056" s="226" t="s">
        <v>22119</v>
      </c>
      <c r="B8056" s="28">
        <v>46122</v>
      </c>
      <c r="C8056" s="25">
        <v>1414</v>
      </c>
      <c r="D8056" s="13" t="s">
        <v>2267</v>
      </c>
      <c r="E8056" s="228"/>
      <c r="F8056" s="109" t="s">
        <v>22151</v>
      </c>
      <c r="G8056" s="24"/>
      <c r="H8056" s="230">
        <v>4.5</v>
      </c>
      <c r="I8056" s="220">
        <v>975000</v>
      </c>
      <c r="J8056" s="220">
        <f>I8056*0.1</f>
        <v>97500</v>
      </c>
      <c r="K8056" s="220">
        <v>0</v>
      </c>
      <c r="L8056" s="220">
        <v>8160</v>
      </c>
      <c r="M8056" s="220">
        <v>15400</v>
      </c>
      <c r="N8056" s="220">
        <f>SUM(I8056:M8057)</f>
        <v>1096060</v>
      </c>
      <c r="O8056" s="224"/>
      <c r="P8056" s="110" t="s">
        <v>23225</v>
      </c>
      <c r="Q8056" s="15" t="s">
        <v>19</v>
      </c>
      <c r="R8056" s="205"/>
      <c r="S8056" s="189"/>
      <c r="T8056" s="114"/>
      <c r="U8056" s="21"/>
      <c r="V8056" s="115">
        <v>46127</v>
      </c>
      <c r="W8056" s="116">
        <v>1013</v>
      </c>
      <c r="X8056" s="220">
        <v>1035000</v>
      </c>
      <c r="Y8056" s="220">
        <f>X8056*0.1</f>
        <v>103500</v>
      </c>
      <c r="Z8056" s="220">
        <v>8160</v>
      </c>
      <c r="AA8056" s="220">
        <f>SUM(X8056:Z8056)</f>
        <v>1146660</v>
      </c>
      <c r="AB8056" s="222">
        <v>46135</v>
      </c>
    </row>
    <row r="8057" spans="1:28" ht="17.100000000000001" customHeight="1" thickBot="1">
      <c r="A8057" s="227"/>
      <c r="B8057" s="27" t="s">
        <v>22135</v>
      </c>
      <c r="C8057" s="27">
        <v>1039</v>
      </c>
      <c r="D8057" s="14" t="s">
        <v>2559</v>
      </c>
      <c r="E8057" s="229"/>
      <c r="F8057" s="117" t="s">
        <v>22152</v>
      </c>
      <c r="G8057" s="26">
        <v>14716</v>
      </c>
      <c r="H8057" s="231"/>
      <c r="I8057" s="221"/>
      <c r="J8057" s="221"/>
      <c r="K8057" s="221"/>
      <c r="L8057" s="221"/>
      <c r="M8057" s="221"/>
      <c r="N8057" s="221"/>
      <c r="O8057" s="225"/>
      <c r="P8057" s="118" t="s">
        <v>1972</v>
      </c>
      <c r="Q8057" s="16" t="s">
        <v>20</v>
      </c>
      <c r="R8057" s="17" t="s">
        <v>23208</v>
      </c>
      <c r="S8057" s="121"/>
      <c r="T8057" s="122"/>
      <c r="U8057" s="22"/>
      <c r="V8057" s="123" t="s">
        <v>2747</v>
      </c>
      <c r="W8057" s="122">
        <v>5128</v>
      </c>
      <c r="X8057" s="221"/>
      <c r="Y8057" s="221"/>
      <c r="Z8057" s="221"/>
      <c r="AA8057" s="221"/>
      <c r="AB8057" s="223"/>
    </row>
    <row r="8058" spans="1:28" ht="17.100000000000001" customHeight="1" thickTop="1">
      <c r="A8058" s="226" t="s">
        <v>22120</v>
      </c>
      <c r="B8058" s="28">
        <v>46122</v>
      </c>
      <c r="C8058" s="25">
        <v>1414</v>
      </c>
      <c r="D8058" s="13" t="s">
        <v>3257</v>
      </c>
      <c r="E8058" s="228"/>
      <c r="F8058" s="109" t="s">
        <v>15625</v>
      </c>
      <c r="G8058" s="24" t="s">
        <v>22273</v>
      </c>
      <c r="H8058" s="232" t="s">
        <v>1705</v>
      </c>
      <c r="I8058" s="220">
        <v>687000</v>
      </c>
      <c r="J8058" s="220">
        <f>I8058*0.1</f>
        <v>68700</v>
      </c>
      <c r="K8058" s="220">
        <v>39820</v>
      </c>
      <c r="L8058" s="220">
        <v>11480</v>
      </c>
      <c r="M8058" s="220">
        <v>15400</v>
      </c>
      <c r="N8058" s="220">
        <f>SUM(I8058:M8059)</f>
        <v>822400</v>
      </c>
      <c r="O8058" s="224"/>
      <c r="P8058" s="110" t="s">
        <v>22641</v>
      </c>
      <c r="Q8058" s="15" t="s">
        <v>19</v>
      </c>
      <c r="R8058" s="205"/>
      <c r="S8058" s="189"/>
      <c r="T8058" s="114"/>
      <c r="U8058" s="21"/>
      <c r="V8058" s="115">
        <v>46130</v>
      </c>
      <c r="W8058" s="116">
        <v>1297</v>
      </c>
      <c r="X8058" s="220">
        <v>780000</v>
      </c>
      <c r="Y8058" s="220">
        <f>X8058*0.1</f>
        <v>78000</v>
      </c>
      <c r="Z8058" s="220">
        <v>11480</v>
      </c>
      <c r="AA8058" s="220">
        <f>SUM(X8058:Z8058)</f>
        <v>869480</v>
      </c>
      <c r="AB8058" s="222">
        <v>46133</v>
      </c>
    </row>
    <row r="8059" spans="1:28" ht="17.100000000000001" customHeight="1" thickBot="1">
      <c r="A8059" s="227"/>
      <c r="B8059" s="27" t="s">
        <v>22135</v>
      </c>
      <c r="C8059" s="27">
        <v>1464</v>
      </c>
      <c r="D8059" s="14" t="s">
        <v>22272</v>
      </c>
      <c r="E8059" s="229"/>
      <c r="F8059" s="117" t="s">
        <v>22153</v>
      </c>
      <c r="G8059" s="26">
        <v>92811</v>
      </c>
      <c r="H8059" s="231"/>
      <c r="I8059" s="221"/>
      <c r="J8059" s="221"/>
      <c r="K8059" s="221"/>
      <c r="L8059" s="221"/>
      <c r="M8059" s="221"/>
      <c r="N8059" s="221"/>
      <c r="O8059" s="225"/>
      <c r="P8059" s="118" t="s">
        <v>22642</v>
      </c>
      <c r="Q8059" s="16" t="s">
        <v>20</v>
      </c>
      <c r="R8059" s="17" t="s">
        <v>1930</v>
      </c>
      <c r="S8059" s="121" t="s">
        <v>2405</v>
      </c>
      <c r="T8059" s="122"/>
      <c r="U8059" s="22"/>
      <c r="V8059" s="123" t="s">
        <v>2472</v>
      </c>
      <c r="W8059" s="122">
        <v>62</v>
      </c>
      <c r="X8059" s="221"/>
      <c r="Y8059" s="221"/>
      <c r="Z8059" s="221"/>
      <c r="AA8059" s="221"/>
      <c r="AB8059" s="223"/>
    </row>
    <row r="8060" spans="1:28" ht="17.100000000000001" customHeight="1" thickTop="1">
      <c r="A8060" s="226" t="s">
        <v>22121</v>
      </c>
      <c r="B8060" s="28">
        <v>46122</v>
      </c>
      <c r="C8060" s="25">
        <v>1414</v>
      </c>
      <c r="D8060" s="13" t="s">
        <v>4750</v>
      </c>
      <c r="E8060" s="228"/>
      <c r="F8060" s="109" t="s">
        <v>22154</v>
      </c>
      <c r="G8060" s="24" t="s">
        <v>22274</v>
      </c>
      <c r="H8060" s="230">
        <v>4</v>
      </c>
      <c r="I8060" s="220">
        <v>360000</v>
      </c>
      <c r="J8060" s="220">
        <f>I8060*0.1</f>
        <v>36000</v>
      </c>
      <c r="K8060" s="220">
        <v>0</v>
      </c>
      <c r="L8060" s="220">
        <v>8550</v>
      </c>
      <c r="M8060" s="220">
        <v>15400</v>
      </c>
      <c r="N8060" s="220">
        <f>SUM(I8060:M8061)</f>
        <v>419950</v>
      </c>
      <c r="O8060" s="224"/>
      <c r="P8060" s="110" t="s">
        <v>22643</v>
      </c>
      <c r="Q8060" s="15" t="s">
        <v>19</v>
      </c>
      <c r="R8060" s="205"/>
      <c r="S8060" s="189"/>
      <c r="T8060" s="114"/>
      <c r="U8060" s="21"/>
      <c r="V8060" s="115">
        <v>46130</v>
      </c>
      <c r="W8060" s="116">
        <v>1297</v>
      </c>
      <c r="X8060" s="220">
        <v>415000</v>
      </c>
      <c r="Y8060" s="220">
        <f>X8060*0.1</f>
        <v>41500</v>
      </c>
      <c r="Z8060" s="220">
        <v>8550</v>
      </c>
      <c r="AA8060" s="220">
        <f>SUM(X8060:Z8060)</f>
        <v>465050</v>
      </c>
      <c r="AB8060" s="222">
        <v>46133</v>
      </c>
    </row>
    <row r="8061" spans="1:28" ht="17.100000000000001" customHeight="1" thickBot="1">
      <c r="A8061" s="227"/>
      <c r="B8061" s="27" t="s">
        <v>22135</v>
      </c>
      <c r="C8061" s="27">
        <v>2010</v>
      </c>
      <c r="D8061" s="14" t="s">
        <v>898</v>
      </c>
      <c r="E8061" s="229"/>
      <c r="F8061" s="117" t="s">
        <v>22155</v>
      </c>
      <c r="G8061" s="26">
        <v>57231</v>
      </c>
      <c r="H8061" s="231"/>
      <c r="I8061" s="221"/>
      <c r="J8061" s="221"/>
      <c r="K8061" s="221"/>
      <c r="L8061" s="221"/>
      <c r="M8061" s="221"/>
      <c r="N8061" s="221"/>
      <c r="O8061" s="225"/>
      <c r="P8061" s="118" t="s">
        <v>22644</v>
      </c>
      <c r="Q8061" s="16" t="s">
        <v>20</v>
      </c>
      <c r="R8061" s="17" t="s">
        <v>1930</v>
      </c>
      <c r="S8061" s="121"/>
      <c r="T8061" s="122"/>
      <c r="U8061" s="22"/>
      <c r="V8061" s="123" t="s">
        <v>2472</v>
      </c>
      <c r="W8061" s="122">
        <v>60078</v>
      </c>
      <c r="X8061" s="221"/>
      <c r="Y8061" s="221"/>
      <c r="Z8061" s="221"/>
      <c r="AA8061" s="221"/>
      <c r="AB8061" s="223"/>
    </row>
    <row r="8062" spans="1:28" ht="17.100000000000001" customHeight="1" thickTop="1">
      <c r="A8062" s="226" t="s">
        <v>22122</v>
      </c>
      <c r="B8062" s="28">
        <v>46122</v>
      </c>
      <c r="C8062" s="25">
        <v>1414</v>
      </c>
      <c r="D8062" s="13" t="s">
        <v>1846</v>
      </c>
      <c r="E8062" s="228"/>
      <c r="F8062" s="109" t="s">
        <v>22156</v>
      </c>
      <c r="G8062" s="24"/>
      <c r="H8062" s="230">
        <v>3.5</v>
      </c>
      <c r="I8062" s="220">
        <v>1196000</v>
      </c>
      <c r="J8062" s="220">
        <f>I8062*0.1</f>
        <v>119600</v>
      </c>
      <c r="K8062" s="220">
        <v>0</v>
      </c>
      <c r="L8062" s="220">
        <v>16550</v>
      </c>
      <c r="M8062" s="220">
        <v>15400</v>
      </c>
      <c r="N8062" s="220">
        <f>SUM(I8062:M8063)</f>
        <v>1347550</v>
      </c>
      <c r="O8062" s="224"/>
      <c r="P8062" s="110" t="s">
        <v>23365</v>
      </c>
      <c r="Q8062" s="15" t="s">
        <v>19</v>
      </c>
      <c r="R8062" s="205"/>
      <c r="S8062" s="189"/>
      <c r="T8062" s="114"/>
      <c r="U8062" s="21"/>
      <c r="V8062" s="115">
        <v>46130</v>
      </c>
      <c r="W8062" s="116">
        <v>1297</v>
      </c>
      <c r="X8062" s="220">
        <v>1350000</v>
      </c>
      <c r="Y8062" s="220">
        <f>X8062*0.1</f>
        <v>135000</v>
      </c>
      <c r="Z8062" s="220">
        <v>16550</v>
      </c>
      <c r="AA8062" s="220">
        <f>SUM(X8062:Z8062)</f>
        <v>1501550</v>
      </c>
      <c r="AB8062" s="222">
        <v>46139</v>
      </c>
    </row>
    <row r="8063" spans="1:28" ht="17.100000000000001" customHeight="1" thickBot="1">
      <c r="A8063" s="227"/>
      <c r="B8063" s="27" t="s">
        <v>22135</v>
      </c>
      <c r="C8063" s="27">
        <v>3059</v>
      </c>
      <c r="D8063" s="14" t="s">
        <v>273</v>
      </c>
      <c r="E8063" s="229"/>
      <c r="F8063" s="117" t="s">
        <v>22157</v>
      </c>
      <c r="G8063" s="26">
        <v>160388</v>
      </c>
      <c r="H8063" s="231"/>
      <c r="I8063" s="221"/>
      <c r="J8063" s="221"/>
      <c r="K8063" s="221"/>
      <c r="L8063" s="221"/>
      <c r="M8063" s="221"/>
      <c r="N8063" s="221"/>
      <c r="O8063" s="225"/>
      <c r="P8063" s="118" t="s">
        <v>23366</v>
      </c>
      <c r="Q8063" s="16" t="s">
        <v>20</v>
      </c>
      <c r="R8063" s="17" t="s">
        <v>23361</v>
      </c>
      <c r="S8063" s="121" t="s">
        <v>23367</v>
      </c>
      <c r="T8063" s="122"/>
      <c r="U8063" s="22"/>
      <c r="V8063" s="123" t="s">
        <v>6642</v>
      </c>
      <c r="W8063" s="122">
        <v>63</v>
      </c>
      <c r="X8063" s="221"/>
      <c r="Y8063" s="221"/>
      <c r="Z8063" s="221"/>
      <c r="AA8063" s="221"/>
      <c r="AB8063" s="223"/>
    </row>
    <row r="8064" spans="1:28" ht="17.100000000000001" customHeight="1" thickTop="1">
      <c r="A8064" s="226" t="s">
        <v>22123</v>
      </c>
      <c r="B8064" s="28">
        <v>46122</v>
      </c>
      <c r="C8064" s="25">
        <v>1414</v>
      </c>
      <c r="D8064" s="13" t="s">
        <v>1578</v>
      </c>
      <c r="E8064" s="228"/>
      <c r="F8064" s="109" t="s">
        <v>22158</v>
      </c>
      <c r="G8064" s="24" t="s">
        <v>22275</v>
      </c>
      <c r="H8064" s="230">
        <v>4</v>
      </c>
      <c r="I8064" s="220">
        <v>1477000</v>
      </c>
      <c r="J8064" s="220">
        <f>I8064*0.1</f>
        <v>147700</v>
      </c>
      <c r="K8064" s="220">
        <v>39820</v>
      </c>
      <c r="L8064" s="220">
        <v>10120</v>
      </c>
      <c r="M8064" s="220">
        <v>15400</v>
      </c>
      <c r="N8064" s="220">
        <f>SUM(I8064:M8065)</f>
        <v>1690040</v>
      </c>
      <c r="O8064" s="224"/>
      <c r="P8064" s="110" t="s">
        <v>22850</v>
      </c>
      <c r="Q8064" s="15" t="s">
        <v>19</v>
      </c>
      <c r="R8064" s="205"/>
      <c r="S8064" s="189" t="s">
        <v>1072</v>
      </c>
      <c r="T8064" s="114"/>
      <c r="U8064" s="21"/>
      <c r="V8064" s="115">
        <v>46134</v>
      </c>
      <c r="W8064" s="116">
        <v>1014</v>
      </c>
      <c r="X8064" s="220">
        <v>1555000</v>
      </c>
      <c r="Y8064" s="220">
        <f>X8064*0.1</f>
        <v>155500</v>
      </c>
      <c r="Z8064" s="220">
        <v>10120</v>
      </c>
      <c r="AA8064" s="220">
        <f>SUM(X8064:Z8064)</f>
        <v>1720620</v>
      </c>
      <c r="AB8064" s="222">
        <v>46139</v>
      </c>
    </row>
    <row r="8065" spans="1:28" ht="17.100000000000001" customHeight="1" thickBot="1">
      <c r="A8065" s="227"/>
      <c r="B8065" s="27" t="s">
        <v>22135</v>
      </c>
      <c r="C8065" s="27">
        <v>3167</v>
      </c>
      <c r="D8065" s="14" t="s">
        <v>273</v>
      </c>
      <c r="E8065" s="229"/>
      <c r="F8065" s="117" t="s">
        <v>22159</v>
      </c>
      <c r="G8065" s="26">
        <v>42096</v>
      </c>
      <c r="H8065" s="231"/>
      <c r="I8065" s="221"/>
      <c r="J8065" s="221"/>
      <c r="K8065" s="221"/>
      <c r="L8065" s="221"/>
      <c r="M8065" s="221"/>
      <c r="N8065" s="221"/>
      <c r="O8065" s="225"/>
      <c r="P8065" s="118" t="s">
        <v>22851</v>
      </c>
      <c r="Q8065" s="16" t="s">
        <v>20</v>
      </c>
      <c r="R8065" s="17" t="s">
        <v>3650</v>
      </c>
      <c r="S8065" s="121" t="s">
        <v>11876</v>
      </c>
      <c r="T8065" s="122"/>
      <c r="U8065" s="22"/>
      <c r="V8065" s="123" t="s">
        <v>23332</v>
      </c>
      <c r="W8065" s="122">
        <v>6080</v>
      </c>
      <c r="X8065" s="221"/>
      <c r="Y8065" s="221"/>
      <c r="Z8065" s="221"/>
      <c r="AA8065" s="221"/>
      <c r="AB8065" s="223"/>
    </row>
    <row r="8066" spans="1:28" ht="17.100000000000001" customHeight="1" thickTop="1">
      <c r="A8066" s="226" t="s">
        <v>22124</v>
      </c>
      <c r="B8066" s="28">
        <v>46122</v>
      </c>
      <c r="C8066" s="25">
        <v>1414</v>
      </c>
      <c r="D8066" s="13" t="s">
        <v>3269</v>
      </c>
      <c r="E8066" s="228"/>
      <c r="F8066" s="109" t="s">
        <v>22160</v>
      </c>
      <c r="G8066" s="24" t="s">
        <v>7877</v>
      </c>
      <c r="H8066" s="230">
        <v>4</v>
      </c>
      <c r="I8066" s="220">
        <v>993000</v>
      </c>
      <c r="J8066" s="220">
        <f>I8066*0.1</f>
        <v>99300</v>
      </c>
      <c r="K8066" s="220">
        <v>30690</v>
      </c>
      <c r="L8066" s="220">
        <v>8950</v>
      </c>
      <c r="M8066" s="220">
        <v>15400</v>
      </c>
      <c r="N8066" s="220">
        <f>SUM(I8066:M8067)</f>
        <v>1147340</v>
      </c>
      <c r="O8066" s="224"/>
      <c r="P8066" s="110" t="s">
        <v>22623</v>
      </c>
      <c r="Q8066" s="15" t="s">
        <v>19</v>
      </c>
      <c r="R8066" s="205"/>
      <c r="S8066" s="189" t="s">
        <v>283</v>
      </c>
      <c r="T8066" s="114"/>
      <c r="U8066" s="21"/>
      <c r="V8066" s="115">
        <v>46127</v>
      </c>
      <c r="W8066" s="116">
        <v>1013</v>
      </c>
      <c r="X8066" s="220">
        <v>1130000</v>
      </c>
      <c r="Y8066" s="220">
        <f>X8066*0.1</f>
        <v>113000</v>
      </c>
      <c r="Z8066" s="220">
        <v>8950</v>
      </c>
      <c r="AA8066" s="220">
        <f>SUM(X8066:Z8066)</f>
        <v>1251950</v>
      </c>
      <c r="AB8066" s="222">
        <v>46132</v>
      </c>
    </row>
    <row r="8067" spans="1:28" ht="17.100000000000001" customHeight="1" thickBot="1">
      <c r="A8067" s="227"/>
      <c r="B8067" s="27" t="s">
        <v>22135</v>
      </c>
      <c r="C8067" s="27">
        <v>3177</v>
      </c>
      <c r="D8067" s="14" t="s">
        <v>5509</v>
      </c>
      <c r="E8067" s="229"/>
      <c r="F8067" s="117" t="s">
        <v>22161</v>
      </c>
      <c r="G8067" s="26">
        <v>56937</v>
      </c>
      <c r="H8067" s="231"/>
      <c r="I8067" s="221"/>
      <c r="J8067" s="221"/>
      <c r="K8067" s="221"/>
      <c r="L8067" s="221"/>
      <c r="M8067" s="221"/>
      <c r="N8067" s="221"/>
      <c r="O8067" s="225"/>
      <c r="P8067" s="118" t="s">
        <v>2359</v>
      </c>
      <c r="Q8067" s="16" t="s">
        <v>20</v>
      </c>
      <c r="R8067" s="17" t="s">
        <v>1930</v>
      </c>
      <c r="S8067" s="121" t="s">
        <v>4413</v>
      </c>
      <c r="T8067" s="122"/>
      <c r="U8067" s="22"/>
      <c r="V8067" s="123" t="s">
        <v>2747</v>
      </c>
      <c r="W8067" s="122">
        <v>5140</v>
      </c>
      <c r="X8067" s="221"/>
      <c r="Y8067" s="221"/>
      <c r="Z8067" s="221"/>
      <c r="AA8067" s="221"/>
      <c r="AB8067" s="223"/>
    </row>
    <row r="8068" spans="1:28" ht="17.100000000000001" customHeight="1" thickTop="1">
      <c r="A8068" s="226" t="s">
        <v>22125</v>
      </c>
      <c r="B8068" s="28">
        <v>46122</v>
      </c>
      <c r="C8068" s="25">
        <v>1414</v>
      </c>
      <c r="D8068" s="13" t="s">
        <v>2766</v>
      </c>
      <c r="E8068" s="228"/>
      <c r="F8068" s="109" t="s">
        <v>22162</v>
      </c>
      <c r="G8068" s="24"/>
      <c r="H8068" s="230">
        <v>4</v>
      </c>
      <c r="I8068" s="220">
        <v>3022000</v>
      </c>
      <c r="J8068" s="220">
        <f>I8068*0.1</f>
        <v>302200</v>
      </c>
      <c r="K8068" s="220">
        <v>0</v>
      </c>
      <c r="L8068" s="220">
        <v>14140</v>
      </c>
      <c r="M8068" s="220">
        <v>15400</v>
      </c>
      <c r="N8068" s="220">
        <f>SUM(I8068:M8069)</f>
        <v>3353740</v>
      </c>
      <c r="O8068" s="224"/>
      <c r="P8068" s="110" t="s">
        <v>22640</v>
      </c>
      <c r="Q8068" s="15" t="s">
        <v>19</v>
      </c>
      <c r="R8068" s="205"/>
      <c r="S8068" s="189" t="s">
        <v>283</v>
      </c>
      <c r="T8068" s="114"/>
      <c r="U8068" s="21"/>
      <c r="V8068" s="115">
        <v>46141</v>
      </c>
      <c r="W8068" s="116">
        <v>1015</v>
      </c>
      <c r="X8068" s="220">
        <v>3125000</v>
      </c>
      <c r="Y8068" s="220">
        <f>X8068*0.1</f>
        <v>312500</v>
      </c>
      <c r="Z8068" s="220">
        <v>14140</v>
      </c>
      <c r="AA8068" s="220">
        <f>SUM(X8068:Z8068)</f>
        <v>3451640</v>
      </c>
      <c r="AB8068" s="222">
        <v>46153</v>
      </c>
    </row>
    <row r="8069" spans="1:28" ht="17.100000000000001" customHeight="1" thickBot="1">
      <c r="A8069" s="227"/>
      <c r="B8069" s="27" t="s">
        <v>22135</v>
      </c>
      <c r="C8069" s="27">
        <v>3216</v>
      </c>
      <c r="D8069" s="14" t="s">
        <v>2559</v>
      </c>
      <c r="E8069" s="229"/>
      <c r="F8069" s="117" t="s">
        <v>22163</v>
      </c>
      <c r="G8069" s="26">
        <v>93263</v>
      </c>
      <c r="H8069" s="231"/>
      <c r="I8069" s="221"/>
      <c r="J8069" s="221"/>
      <c r="K8069" s="221"/>
      <c r="L8069" s="221"/>
      <c r="M8069" s="221"/>
      <c r="N8069" s="221"/>
      <c r="O8069" s="225"/>
      <c r="P8069" s="118" t="s">
        <v>2359</v>
      </c>
      <c r="Q8069" s="16" t="s">
        <v>20</v>
      </c>
      <c r="R8069" s="17" t="s">
        <v>1930</v>
      </c>
      <c r="S8069" s="121" t="s">
        <v>4413</v>
      </c>
      <c r="T8069" s="122"/>
      <c r="U8069" s="22"/>
      <c r="V8069" s="123" t="s">
        <v>2747</v>
      </c>
      <c r="W8069" s="122">
        <v>6097</v>
      </c>
      <c r="X8069" s="221"/>
      <c r="Y8069" s="221"/>
      <c r="Z8069" s="221"/>
      <c r="AA8069" s="221"/>
      <c r="AB8069" s="223"/>
    </row>
    <row r="8070" spans="1:28" ht="17.100000000000001" customHeight="1" thickTop="1">
      <c r="A8070" s="226" t="s">
        <v>22126</v>
      </c>
      <c r="B8070" s="28">
        <v>46122</v>
      </c>
      <c r="C8070" s="25">
        <v>1414</v>
      </c>
      <c r="D8070" s="13" t="s">
        <v>1788</v>
      </c>
      <c r="E8070" s="228"/>
      <c r="F8070" s="109" t="s">
        <v>22164</v>
      </c>
      <c r="G8070" s="24" t="s">
        <v>10433</v>
      </c>
      <c r="H8070" s="230">
        <v>4</v>
      </c>
      <c r="I8070" s="220">
        <v>2252000</v>
      </c>
      <c r="J8070" s="220">
        <f>I8070*0.1</f>
        <v>225200</v>
      </c>
      <c r="K8070" s="220">
        <v>58410</v>
      </c>
      <c r="L8070" s="220">
        <v>12710</v>
      </c>
      <c r="M8070" s="220">
        <v>15400</v>
      </c>
      <c r="N8070" s="220">
        <f>SUM(I8070:M8071)</f>
        <v>2563720</v>
      </c>
      <c r="O8070" s="224"/>
      <c r="P8070" s="110" t="s">
        <v>22722</v>
      </c>
      <c r="Q8070" s="15" t="s">
        <v>19</v>
      </c>
      <c r="R8070" s="205"/>
      <c r="S8070" s="189" t="s">
        <v>25636</v>
      </c>
      <c r="T8070" s="114"/>
      <c r="U8070" s="21"/>
      <c r="V8070" s="115">
        <v>46134</v>
      </c>
      <c r="W8070" s="116">
        <v>1014</v>
      </c>
      <c r="X8070" s="220">
        <v>2300000</v>
      </c>
      <c r="Y8070" s="220">
        <f>X8070*0.1</f>
        <v>230000</v>
      </c>
      <c r="Z8070" s="220">
        <v>12710</v>
      </c>
      <c r="AA8070" s="220">
        <f>SUM(X8070:Z8070)</f>
        <v>2542710</v>
      </c>
      <c r="AB8070" s="222">
        <v>46139</v>
      </c>
    </row>
    <row r="8071" spans="1:28" ht="17.100000000000001" customHeight="1" thickBot="1">
      <c r="A8071" s="227"/>
      <c r="B8071" s="27" t="s">
        <v>22135</v>
      </c>
      <c r="C8071" s="27">
        <v>3276</v>
      </c>
      <c r="D8071" s="14" t="s">
        <v>2559</v>
      </c>
      <c r="E8071" s="229"/>
      <c r="F8071" s="117" t="s">
        <v>22165</v>
      </c>
      <c r="G8071" s="26">
        <v>70084</v>
      </c>
      <c r="H8071" s="231"/>
      <c r="I8071" s="221"/>
      <c r="J8071" s="221"/>
      <c r="K8071" s="221"/>
      <c r="L8071" s="221"/>
      <c r="M8071" s="221"/>
      <c r="N8071" s="221"/>
      <c r="O8071" s="225"/>
      <c r="P8071" s="118" t="s">
        <v>22723</v>
      </c>
      <c r="Q8071" s="16" t="s">
        <v>20</v>
      </c>
      <c r="R8071" s="17" t="s">
        <v>22705</v>
      </c>
      <c r="S8071" s="121" t="s">
        <v>22724</v>
      </c>
      <c r="T8071" s="122"/>
      <c r="U8071" s="22"/>
      <c r="V8071" s="123" t="s">
        <v>23332</v>
      </c>
      <c r="W8071" s="122">
        <v>6063</v>
      </c>
      <c r="X8071" s="221"/>
      <c r="Y8071" s="221"/>
      <c r="Z8071" s="221"/>
      <c r="AA8071" s="221"/>
      <c r="AB8071" s="223"/>
    </row>
    <row r="8072" spans="1:28" ht="17.100000000000001" customHeight="1" thickTop="1">
      <c r="A8072" s="233" t="s">
        <v>22127</v>
      </c>
      <c r="B8072" s="28">
        <v>46122</v>
      </c>
      <c r="C8072" s="25">
        <v>1414</v>
      </c>
      <c r="D8072" s="13" t="s">
        <v>3269</v>
      </c>
      <c r="E8072" s="228"/>
      <c r="F8072" s="109" t="s">
        <v>22166</v>
      </c>
      <c r="G8072" s="24" t="s">
        <v>4979</v>
      </c>
      <c r="H8072" s="230">
        <v>4.5</v>
      </c>
      <c r="I8072" s="220">
        <v>1329000</v>
      </c>
      <c r="J8072" s="220">
        <f>I8072*0.1</f>
        <v>132900</v>
      </c>
      <c r="K8072" s="220">
        <v>36300</v>
      </c>
      <c r="L8072" s="220">
        <v>9720</v>
      </c>
      <c r="M8072" s="220">
        <v>15400</v>
      </c>
      <c r="N8072" s="220">
        <f>SUM(I8072:M8073)</f>
        <v>1523320</v>
      </c>
      <c r="O8072" s="224"/>
      <c r="P8072" s="110"/>
      <c r="Q8072" s="15" t="s">
        <v>19</v>
      </c>
      <c r="R8072" s="205"/>
      <c r="S8072" s="189" t="s">
        <v>25937</v>
      </c>
      <c r="T8072" s="114" t="s">
        <v>22613</v>
      </c>
      <c r="U8072" s="21"/>
      <c r="V8072" s="115"/>
      <c r="W8072" s="116"/>
      <c r="X8072" s="220"/>
      <c r="Y8072" s="220">
        <f>X8072*0.1</f>
        <v>0</v>
      </c>
      <c r="Z8072" s="220"/>
      <c r="AA8072" s="220">
        <f>SUM(X8072:Z8072)</f>
        <v>0</v>
      </c>
      <c r="AB8072" s="222"/>
    </row>
    <row r="8073" spans="1:28" ht="17.100000000000001" customHeight="1" thickBot="1">
      <c r="A8073" s="234"/>
      <c r="B8073" s="27" t="s">
        <v>22135</v>
      </c>
      <c r="C8073" s="27">
        <v>3303</v>
      </c>
      <c r="D8073" s="14" t="s">
        <v>131</v>
      </c>
      <c r="E8073" s="229"/>
      <c r="F8073" s="117" t="s">
        <v>22167</v>
      </c>
      <c r="G8073" s="26">
        <v>33939</v>
      </c>
      <c r="H8073" s="231"/>
      <c r="I8073" s="221"/>
      <c r="J8073" s="221"/>
      <c r="K8073" s="221"/>
      <c r="L8073" s="221"/>
      <c r="M8073" s="221"/>
      <c r="N8073" s="221"/>
      <c r="O8073" s="225"/>
      <c r="P8073" s="118"/>
      <c r="Q8073" s="16" t="s">
        <v>20</v>
      </c>
      <c r="R8073" s="17" t="s">
        <v>10331</v>
      </c>
      <c r="S8073" s="121"/>
      <c r="T8073" s="122"/>
      <c r="U8073" s="22"/>
      <c r="V8073" s="123"/>
      <c r="W8073" s="122"/>
      <c r="X8073" s="221"/>
      <c r="Y8073" s="221"/>
      <c r="Z8073" s="221"/>
      <c r="AA8073" s="221"/>
      <c r="AB8073" s="223"/>
    </row>
    <row r="8074" spans="1:28" ht="17.100000000000001" customHeight="1" thickTop="1">
      <c r="A8074" s="226" t="s">
        <v>22136</v>
      </c>
      <c r="B8074" s="28">
        <v>46122</v>
      </c>
      <c r="C8074" s="25">
        <v>1414</v>
      </c>
      <c r="D8074" s="13" t="s">
        <v>4271</v>
      </c>
      <c r="E8074" s="228"/>
      <c r="F8074" s="109" t="s">
        <v>22168</v>
      </c>
      <c r="G8074" s="24"/>
      <c r="H8074" s="230">
        <v>4</v>
      </c>
      <c r="I8074" s="220">
        <v>1589000</v>
      </c>
      <c r="J8074" s="220">
        <f>I8074*0.1</f>
        <v>158900</v>
      </c>
      <c r="K8074" s="220">
        <v>0</v>
      </c>
      <c r="L8074" s="220">
        <v>12550</v>
      </c>
      <c r="M8074" s="220">
        <v>15400</v>
      </c>
      <c r="N8074" s="220">
        <f>SUM(I8074:M8075)</f>
        <v>1775850</v>
      </c>
      <c r="O8074" s="224"/>
      <c r="P8074" s="110" t="s">
        <v>22645</v>
      </c>
      <c r="Q8074" s="15" t="s">
        <v>19</v>
      </c>
      <c r="R8074" s="205"/>
      <c r="S8074" s="189"/>
      <c r="T8074" s="114"/>
      <c r="U8074" s="21"/>
      <c r="V8074" s="115">
        <v>46127</v>
      </c>
      <c r="W8074" s="116">
        <v>1013</v>
      </c>
      <c r="X8074" s="220">
        <v>1750000</v>
      </c>
      <c r="Y8074" s="220">
        <f>X8074*0.1</f>
        <v>175000</v>
      </c>
      <c r="Z8074" s="220">
        <v>12550</v>
      </c>
      <c r="AA8074" s="220">
        <f>SUM(X8074:Z8074)</f>
        <v>1937550</v>
      </c>
      <c r="AB8074" s="222">
        <v>46133</v>
      </c>
    </row>
    <row r="8075" spans="1:28" ht="17.100000000000001" customHeight="1" thickBot="1">
      <c r="A8075" s="227"/>
      <c r="B8075" s="27" t="s">
        <v>22135</v>
      </c>
      <c r="C8075" s="27">
        <v>7159</v>
      </c>
      <c r="D8075" s="14" t="s">
        <v>273</v>
      </c>
      <c r="E8075" s="229"/>
      <c r="F8075" s="117" t="s">
        <v>22169</v>
      </c>
      <c r="G8075" s="26">
        <v>52018</v>
      </c>
      <c r="H8075" s="231"/>
      <c r="I8075" s="221"/>
      <c r="J8075" s="221"/>
      <c r="K8075" s="221"/>
      <c r="L8075" s="221"/>
      <c r="M8075" s="221"/>
      <c r="N8075" s="221"/>
      <c r="O8075" s="225"/>
      <c r="P8075" s="118" t="s">
        <v>18155</v>
      </c>
      <c r="Q8075" s="16" t="s">
        <v>20</v>
      </c>
      <c r="R8075" s="17" t="s">
        <v>1930</v>
      </c>
      <c r="S8075" s="121" t="s">
        <v>22468</v>
      </c>
      <c r="T8075" s="122"/>
      <c r="U8075" s="22"/>
      <c r="V8075" s="123" t="s">
        <v>7161</v>
      </c>
      <c r="W8075" s="122">
        <v>5146</v>
      </c>
      <c r="X8075" s="221"/>
      <c r="Y8075" s="221"/>
      <c r="Z8075" s="221"/>
      <c r="AA8075" s="221"/>
      <c r="AB8075" s="223"/>
    </row>
    <row r="8076" spans="1:28" ht="17.100000000000001" customHeight="1" thickTop="1">
      <c r="A8076" s="226" t="s">
        <v>22137</v>
      </c>
      <c r="B8076" s="28">
        <v>46122</v>
      </c>
      <c r="C8076" s="25">
        <v>1414</v>
      </c>
      <c r="D8076" s="13" t="s">
        <v>1704</v>
      </c>
      <c r="E8076" s="228"/>
      <c r="F8076" s="109" t="s">
        <v>22276</v>
      </c>
      <c r="G8076" s="24"/>
      <c r="H8076" s="230">
        <v>4</v>
      </c>
      <c r="I8076" s="220">
        <v>1023000</v>
      </c>
      <c r="J8076" s="220">
        <f>I8076*0.1</f>
        <v>102300</v>
      </c>
      <c r="K8076" s="220">
        <v>0</v>
      </c>
      <c r="L8076" s="220">
        <v>7150</v>
      </c>
      <c r="M8076" s="220">
        <v>15400</v>
      </c>
      <c r="N8076" s="220">
        <f>SUM(I8076:M8077)</f>
        <v>1147850</v>
      </c>
      <c r="O8076" s="224"/>
      <c r="P8076" s="110" t="s">
        <v>23230</v>
      </c>
      <c r="Q8076" s="15" t="s">
        <v>19</v>
      </c>
      <c r="R8076" s="205"/>
      <c r="S8076" s="189"/>
      <c r="T8076" s="114"/>
      <c r="U8076" s="21"/>
      <c r="V8076" s="115">
        <v>46141</v>
      </c>
      <c r="W8076" s="116">
        <v>1015</v>
      </c>
      <c r="X8076" s="220">
        <v>1100000</v>
      </c>
      <c r="Y8076" s="220">
        <f>X8076*0.1</f>
        <v>110000</v>
      </c>
      <c r="Z8076" s="220">
        <v>7150</v>
      </c>
      <c r="AA8076" s="220">
        <f>SUM(X8076:Z8076)</f>
        <v>1217150</v>
      </c>
      <c r="AB8076" s="222">
        <v>46154</v>
      </c>
    </row>
    <row r="8077" spans="1:28" ht="17.100000000000001" customHeight="1" thickBot="1">
      <c r="A8077" s="227"/>
      <c r="B8077" s="27" t="s">
        <v>22135</v>
      </c>
      <c r="C8077" s="27">
        <v>7186</v>
      </c>
      <c r="D8077" s="14" t="s">
        <v>2559</v>
      </c>
      <c r="E8077" s="229"/>
      <c r="F8077" s="117" t="s">
        <v>22170</v>
      </c>
      <c r="G8077" s="26">
        <v>46143</v>
      </c>
      <c r="H8077" s="231"/>
      <c r="I8077" s="221"/>
      <c r="J8077" s="221"/>
      <c r="K8077" s="221"/>
      <c r="L8077" s="221"/>
      <c r="M8077" s="221"/>
      <c r="N8077" s="221"/>
      <c r="O8077" s="225"/>
      <c r="P8077" s="118" t="s">
        <v>7826</v>
      </c>
      <c r="Q8077" s="16" t="s">
        <v>20</v>
      </c>
      <c r="R8077" s="17" t="s">
        <v>23208</v>
      </c>
      <c r="S8077" s="121" t="s">
        <v>4413</v>
      </c>
      <c r="T8077" s="122"/>
      <c r="U8077" s="22"/>
      <c r="V8077" s="123" t="s">
        <v>24607</v>
      </c>
      <c r="W8077" s="122">
        <v>2062</v>
      </c>
      <c r="X8077" s="221"/>
      <c r="Y8077" s="221"/>
      <c r="Z8077" s="221"/>
      <c r="AA8077" s="221"/>
      <c r="AB8077" s="223"/>
    </row>
    <row r="8078" spans="1:28" ht="17.100000000000001" customHeight="1" thickTop="1">
      <c r="A8078" s="226" t="s">
        <v>22138</v>
      </c>
      <c r="B8078" s="28">
        <v>46122</v>
      </c>
      <c r="C8078" s="25">
        <v>1414</v>
      </c>
      <c r="D8078" s="13" t="s">
        <v>1704</v>
      </c>
      <c r="E8078" s="228"/>
      <c r="F8078" s="109" t="s">
        <v>22277</v>
      </c>
      <c r="G8078" s="24"/>
      <c r="H8078" s="230">
        <v>3.5</v>
      </c>
      <c r="I8078" s="220">
        <v>900000</v>
      </c>
      <c r="J8078" s="220">
        <f>I8078*0.1</f>
        <v>90000</v>
      </c>
      <c r="K8078" s="220">
        <v>0</v>
      </c>
      <c r="L8078" s="220">
        <v>10360</v>
      </c>
      <c r="M8078" s="220">
        <v>19800</v>
      </c>
      <c r="N8078" s="220">
        <f>SUM(I8078:M8079)</f>
        <v>1020160</v>
      </c>
      <c r="O8078" s="224"/>
      <c r="P8078" s="110" t="s">
        <v>23223</v>
      </c>
      <c r="Q8078" s="15" t="s">
        <v>19</v>
      </c>
      <c r="R8078" s="205"/>
      <c r="S8078" s="189"/>
      <c r="T8078" s="114"/>
      <c r="U8078" s="21"/>
      <c r="V8078" s="115">
        <v>46127</v>
      </c>
      <c r="W8078" s="116">
        <v>1013</v>
      </c>
      <c r="X8078" s="220">
        <v>1150000</v>
      </c>
      <c r="Y8078" s="220">
        <f>X8078*0.1</f>
        <v>115000</v>
      </c>
      <c r="Z8078" s="220">
        <v>10360</v>
      </c>
      <c r="AA8078" s="220">
        <f>SUM(X8078:Z8078)</f>
        <v>1275360</v>
      </c>
      <c r="AB8078" s="222">
        <v>46135</v>
      </c>
    </row>
    <row r="8079" spans="1:28" ht="17.100000000000001" customHeight="1" thickBot="1">
      <c r="A8079" s="227"/>
      <c r="B8079" s="27" t="s">
        <v>22135</v>
      </c>
      <c r="C8079" s="27">
        <v>7188</v>
      </c>
      <c r="D8079" s="14" t="s">
        <v>273</v>
      </c>
      <c r="E8079" s="229"/>
      <c r="F8079" s="117" t="s">
        <v>22171</v>
      </c>
      <c r="G8079" s="26">
        <v>49781</v>
      </c>
      <c r="H8079" s="231"/>
      <c r="I8079" s="221"/>
      <c r="J8079" s="221"/>
      <c r="K8079" s="221"/>
      <c r="L8079" s="221"/>
      <c r="M8079" s="221"/>
      <c r="N8079" s="221"/>
      <c r="O8079" s="225"/>
      <c r="P8079" s="118" t="s">
        <v>7826</v>
      </c>
      <c r="Q8079" s="16" t="s">
        <v>20</v>
      </c>
      <c r="R8079" s="17" t="s">
        <v>23208</v>
      </c>
      <c r="S8079" s="121" t="s">
        <v>23224</v>
      </c>
      <c r="T8079" s="122"/>
      <c r="U8079" s="22"/>
      <c r="V8079" s="123" t="s">
        <v>2747</v>
      </c>
      <c r="W8079" s="122">
        <v>5150</v>
      </c>
      <c r="X8079" s="221"/>
      <c r="Y8079" s="221"/>
      <c r="Z8079" s="221"/>
      <c r="AA8079" s="221"/>
      <c r="AB8079" s="223"/>
    </row>
    <row r="8080" spans="1:28" ht="17.100000000000001" customHeight="1" thickTop="1">
      <c r="A8080" s="226" t="s">
        <v>22139</v>
      </c>
      <c r="B8080" s="28">
        <v>46122</v>
      </c>
      <c r="C8080" s="25">
        <v>1414</v>
      </c>
      <c r="D8080" s="13" t="s">
        <v>2892</v>
      </c>
      <c r="E8080" s="228"/>
      <c r="F8080" s="109" t="s">
        <v>18231</v>
      </c>
      <c r="G8080" s="24"/>
      <c r="H8080" s="230">
        <v>4</v>
      </c>
      <c r="I8080" s="220">
        <v>1029000</v>
      </c>
      <c r="J8080" s="220">
        <f>I8080*0.1</f>
        <v>102900</v>
      </c>
      <c r="K8080" s="220">
        <v>0</v>
      </c>
      <c r="L8080" s="220">
        <v>9310</v>
      </c>
      <c r="M8080" s="220">
        <v>15400</v>
      </c>
      <c r="N8080" s="220">
        <f>SUM(I8080:M8081)</f>
        <v>1156610</v>
      </c>
      <c r="O8080" s="224"/>
      <c r="P8080" s="110" t="s">
        <v>23229</v>
      </c>
      <c r="Q8080" s="15" t="s">
        <v>19</v>
      </c>
      <c r="R8080" s="205"/>
      <c r="S8080" s="189"/>
      <c r="T8080" s="114"/>
      <c r="U8080" s="21"/>
      <c r="V8080" s="115"/>
      <c r="W8080" s="116"/>
      <c r="X8080" s="220"/>
      <c r="Y8080" s="220">
        <f>X8080*0.1</f>
        <v>0</v>
      </c>
      <c r="Z8080" s="220"/>
      <c r="AA8080" s="220">
        <f>SUM(X8080:Z8080)</f>
        <v>0</v>
      </c>
      <c r="AB8080" s="222"/>
    </row>
    <row r="8081" spans="1:28" ht="17.100000000000001" customHeight="1" thickBot="1">
      <c r="A8081" s="227"/>
      <c r="B8081" s="27" t="s">
        <v>22135</v>
      </c>
      <c r="C8081" s="27">
        <v>7194</v>
      </c>
      <c r="D8081" s="14" t="s">
        <v>16908</v>
      </c>
      <c r="E8081" s="229"/>
      <c r="F8081" s="117" t="s">
        <v>22172</v>
      </c>
      <c r="G8081" s="26">
        <v>50903</v>
      </c>
      <c r="H8081" s="231"/>
      <c r="I8081" s="221"/>
      <c r="J8081" s="221"/>
      <c r="K8081" s="221"/>
      <c r="L8081" s="221"/>
      <c r="M8081" s="221"/>
      <c r="N8081" s="221"/>
      <c r="O8081" s="225"/>
      <c r="P8081" s="118" t="s">
        <v>7826</v>
      </c>
      <c r="Q8081" s="16" t="s">
        <v>20</v>
      </c>
      <c r="R8081" s="17" t="s">
        <v>23208</v>
      </c>
      <c r="S8081" s="121" t="s">
        <v>7702</v>
      </c>
      <c r="T8081" s="122"/>
      <c r="U8081" s="22"/>
      <c r="V8081" s="123"/>
      <c r="W8081" s="122"/>
      <c r="X8081" s="221"/>
      <c r="Y8081" s="221"/>
      <c r="Z8081" s="221"/>
      <c r="AA8081" s="221"/>
      <c r="AB8081" s="223"/>
    </row>
    <row r="8082" spans="1:28" ht="17.100000000000001" customHeight="1" thickTop="1">
      <c r="A8082" s="226" t="s">
        <v>22140</v>
      </c>
      <c r="B8082" s="28">
        <v>46122</v>
      </c>
      <c r="C8082" s="25">
        <v>1414</v>
      </c>
      <c r="D8082" s="13" t="s">
        <v>2470</v>
      </c>
      <c r="E8082" s="228"/>
      <c r="F8082" s="109" t="s">
        <v>22173</v>
      </c>
      <c r="G8082" s="24" t="s">
        <v>22278</v>
      </c>
      <c r="H8082" s="230">
        <v>6</v>
      </c>
      <c r="I8082" s="220">
        <v>1003000</v>
      </c>
      <c r="J8082" s="220">
        <f>I8082*0.1</f>
        <v>100300</v>
      </c>
      <c r="K8082" s="220">
        <v>0</v>
      </c>
      <c r="L8082" s="220">
        <v>5990</v>
      </c>
      <c r="M8082" s="220">
        <v>15400</v>
      </c>
      <c r="N8082" s="220">
        <f>SUM(I8082:M8083)</f>
        <v>1124690</v>
      </c>
      <c r="O8082" s="224"/>
      <c r="P8082" s="110" t="s">
        <v>22638</v>
      </c>
      <c r="Q8082" s="15" t="s">
        <v>19</v>
      </c>
      <c r="R8082" s="205"/>
      <c r="S8082" s="189"/>
      <c r="T8082" s="114"/>
      <c r="U8082" s="21"/>
      <c r="V8082" s="115">
        <v>46137</v>
      </c>
      <c r="W8082" s="116">
        <v>1298</v>
      </c>
      <c r="X8082" s="220">
        <v>1080000</v>
      </c>
      <c r="Y8082" s="220">
        <f>X8082*0.1</f>
        <v>108000</v>
      </c>
      <c r="Z8082" s="220">
        <v>5990</v>
      </c>
      <c r="AA8082" s="220">
        <f>SUM(X8082:Z8082)</f>
        <v>1193990</v>
      </c>
      <c r="AB8082" s="222">
        <v>46143</v>
      </c>
    </row>
    <row r="8083" spans="1:28" ht="17.100000000000001" customHeight="1" thickBot="1">
      <c r="A8083" s="227"/>
      <c r="B8083" s="27" t="s">
        <v>22135</v>
      </c>
      <c r="C8083" s="27">
        <v>9002</v>
      </c>
      <c r="D8083" s="14" t="s">
        <v>2753</v>
      </c>
      <c r="E8083" s="229"/>
      <c r="F8083" s="117" t="s">
        <v>22174</v>
      </c>
      <c r="G8083" s="26">
        <v>88</v>
      </c>
      <c r="H8083" s="231"/>
      <c r="I8083" s="221"/>
      <c r="J8083" s="221"/>
      <c r="K8083" s="221"/>
      <c r="L8083" s="221"/>
      <c r="M8083" s="221"/>
      <c r="N8083" s="221"/>
      <c r="O8083" s="225"/>
      <c r="P8083" s="118" t="s">
        <v>1972</v>
      </c>
      <c r="Q8083" s="16" t="s">
        <v>20</v>
      </c>
      <c r="R8083" s="17" t="s">
        <v>1930</v>
      </c>
      <c r="S8083" s="121" t="s">
        <v>169</v>
      </c>
      <c r="T8083" s="122"/>
      <c r="U8083" s="22"/>
      <c r="V8083" s="123" t="s">
        <v>6641</v>
      </c>
      <c r="W8083" s="122">
        <v>60025</v>
      </c>
      <c r="X8083" s="221"/>
      <c r="Y8083" s="221"/>
      <c r="Z8083" s="221"/>
      <c r="AA8083" s="221"/>
      <c r="AB8083" s="223"/>
    </row>
    <row r="8084" spans="1:28" ht="17.100000000000001" customHeight="1" thickTop="1">
      <c r="A8084" s="226" t="s">
        <v>22141</v>
      </c>
      <c r="B8084" s="28">
        <v>46122</v>
      </c>
      <c r="C8084" s="25"/>
      <c r="D8084" s="13" t="s">
        <v>22220</v>
      </c>
      <c r="E8084" s="228"/>
      <c r="F8084" s="109" t="s">
        <v>22222</v>
      </c>
      <c r="G8084" s="24" t="s">
        <v>22223</v>
      </c>
      <c r="H8084" s="230">
        <v>4</v>
      </c>
      <c r="I8084" s="220">
        <v>1750000</v>
      </c>
      <c r="J8084" s="220">
        <f>I8084*0.1</f>
        <v>175000</v>
      </c>
      <c r="K8084" s="220">
        <v>30000</v>
      </c>
      <c r="L8084" s="220">
        <v>10220</v>
      </c>
      <c r="M8084" s="220">
        <v>0</v>
      </c>
      <c r="N8084" s="220">
        <f>SUM(I8084:M8085)</f>
        <v>1965220</v>
      </c>
      <c r="O8084" s="224"/>
      <c r="P8084" s="110"/>
      <c r="Q8084" s="15" t="s">
        <v>19</v>
      </c>
      <c r="R8084" s="205"/>
      <c r="S8084" s="189" t="s">
        <v>529</v>
      </c>
      <c r="T8084" s="114"/>
      <c r="U8084" s="21"/>
      <c r="V8084" s="115"/>
      <c r="W8084" s="116"/>
      <c r="X8084" s="220"/>
      <c r="Y8084" s="220">
        <f>X8084*0.1</f>
        <v>0</v>
      </c>
      <c r="Z8084" s="220"/>
      <c r="AA8084" s="220">
        <f>SUM(X8084:Z8084)</f>
        <v>0</v>
      </c>
      <c r="AB8084" s="222"/>
    </row>
    <row r="8085" spans="1:28" ht="17.100000000000001" customHeight="1" thickBot="1">
      <c r="A8085" s="227"/>
      <c r="B8085" s="27" t="s">
        <v>22175</v>
      </c>
      <c r="C8085" s="27" t="s">
        <v>22176</v>
      </c>
      <c r="D8085" s="14" t="s">
        <v>22221</v>
      </c>
      <c r="E8085" s="229"/>
      <c r="F8085" s="117" t="s">
        <v>22177</v>
      </c>
      <c r="G8085" s="26">
        <v>42929</v>
      </c>
      <c r="H8085" s="231"/>
      <c r="I8085" s="221"/>
      <c r="J8085" s="221"/>
      <c r="K8085" s="221"/>
      <c r="L8085" s="221"/>
      <c r="M8085" s="221"/>
      <c r="N8085" s="221"/>
      <c r="O8085" s="225"/>
      <c r="P8085" s="118"/>
      <c r="Q8085" s="16" t="s">
        <v>20</v>
      </c>
      <c r="R8085" s="17"/>
      <c r="S8085" s="121" t="s">
        <v>26025</v>
      </c>
      <c r="T8085" s="122"/>
      <c r="U8085" s="22"/>
      <c r="V8085" s="123"/>
      <c r="W8085" s="122"/>
      <c r="X8085" s="221"/>
      <c r="Y8085" s="221"/>
      <c r="Z8085" s="221"/>
      <c r="AA8085" s="221"/>
      <c r="AB8085" s="223"/>
    </row>
    <row r="8086" spans="1:28" ht="17.100000000000001" customHeight="1" thickTop="1">
      <c r="A8086" s="226" t="s">
        <v>22142</v>
      </c>
      <c r="B8086" s="28">
        <v>46122</v>
      </c>
      <c r="C8086" s="25"/>
      <c r="D8086" s="13" t="s">
        <v>22224</v>
      </c>
      <c r="E8086" s="228"/>
      <c r="F8086" s="109" t="s">
        <v>22225</v>
      </c>
      <c r="G8086" s="24" t="s">
        <v>4022</v>
      </c>
      <c r="H8086" s="230">
        <v>4</v>
      </c>
      <c r="I8086" s="220">
        <v>370000</v>
      </c>
      <c r="J8086" s="220">
        <f>I8086*0.1</f>
        <v>37000</v>
      </c>
      <c r="K8086" s="220">
        <v>0</v>
      </c>
      <c r="L8086" s="220">
        <v>9200</v>
      </c>
      <c r="M8086" s="220">
        <v>0</v>
      </c>
      <c r="N8086" s="220">
        <f>SUM(I8086:M8087)</f>
        <v>416200</v>
      </c>
      <c r="O8086" s="224"/>
      <c r="P8086" s="110" t="s">
        <v>23231</v>
      </c>
      <c r="Q8086" s="15" t="s">
        <v>19</v>
      </c>
      <c r="R8086" s="205"/>
      <c r="S8086" s="189" t="s">
        <v>455</v>
      </c>
      <c r="T8086" s="114"/>
      <c r="U8086" s="21"/>
      <c r="V8086" s="115">
        <v>46155</v>
      </c>
      <c r="W8086" s="116">
        <v>1016</v>
      </c>
      <c r="X8086" s="220">
        <v>485000</v>
      </c>
      <c r="Y8086" s="220">
        <f>X8086*0.1</f>
        <v>48500</v>
      </c>
      <c r="Z8086" s="220">
        <v>9200</v>
      </c>
      <c r="AA8086" s="220">
        <f>SUM(X8086:Z8086)</f>
        <v>542700</v>
      </c>
      <c r="AB8086" s="222">
        <v>46161</v>
      </c>
    </row>
    <row r="8087" spans="1:28" ht="17.100000000000001" customHeight="1" thickBot="1">
      <c r="A8087" s="227"/>
      <c r="B8087" s="27" t="s">
        <v>22175</v>
      </c>
      <c r="C8087" s="27" t="s">
        <v>22178</v>
      </c>
      <c r="D8087" s="14" t="s">
        <v>22206</v>
      </c>
      <c r="E8087" s="229"/>
      <c r="F8087" s="117" t="s">
        <v>22179</v>
      </c>
      <c r="G8087" s="26">
        <v>48241</v>
      </c>
      <c r="H8087" s="231"/>
      <c r="I8087" s="221"/>
      <c r="J8087" s="221"/>
      <c r="K8087" s="221"/>
      <c r="L8087" s="221"/>
      <c r="M8087" s="221"/>
      <c r="N8087" s="221"/>
      <c r="O8087" s="225"/>
      <c r="P8087" s="118" t="s">
        <v>23232</v>
      </c>
      <c r="Q8087" s="16" t="s">
        <v>20</v>
      </c>
      <c r="R8087" s="17" t="s">
        <v>23208</v>
      </c>
      <c r="S8087" s="121" t="s">
        <v>10516</v>
      </c>
      <c r="T8087" s="122"/>
      <c r="U8087" s="22"/>
      <c r="V8087" s="123" t="s">
        <v>2747</v>
      </c>
      <c r="W8087" s="122">
        <v>1083</v>
      </c>
      <c r="X8087" s="221"/>
      <c r="Y8087" s="221"/>
      <c r="Z8087" s="221"/>
      <c r="AA8087" s="221"/>
      <c r="AB8087" s="223"/>
    </row>
    <row r="8088" spans="1:28" ht="17.100000000000001" customHeight="1" thickTop="1">
      <c r="A8088" s="226" t="s">
        <v>22143</v>
      </c>
      <c r="B8088" s="28">
        <v>46123</v>
      </c>
      <c r="C8088" s="25">
        <v>307</v>
      </c>
      <c r="D8088" s="13" t="s">
        <v>1704</v>
      </c>
      <c r="E8088" s="228"/>
      <c r="F8088" s="109" t="s">
        <v>20575</v>
      </c>
      <c r="G8088" s="24"/>
      <c r="H8088" s="230">
        <v>4</v>
      </c>
      <c r="I8088" s="220">
        <v>1072000</v>
      </c>
      <c r="J8088" s="220">
        <f>I8088*0.1</f>
        <v>107200</v>
      </c>
      <c r="K8088" s="220">
        <v>0</v>
      </c>
      <c r="L8088" s="220">
        <v>7440</v>
      </c>
      <c r="M8088" s="220">
        <v>15950</v>
      </c>
      <c r="N8088" s="220">
        <f>SUM(I8088:M8089)</f>
        <v>1202590</v>
      </c>
      <c r="O8088" s="224"/>
      <c r="P8088" s="110" t="s">
        <v>22650</v>
      </c>
      <c r="Q8088" s="15" t="s">
        <v>19</v>
      </c>
      <c r="R8088" s="205"/>
      <c r="S8088" s="189"/>
      <c r="T8088" s="114"/>
      <c r="U8088" s="21"/>
      <c r="V8088" s="115">
        <v>46130</v>
      </c>
      <c r="W8088" s="116">
        <v>1297</v>
      </c>
      <c r="X8088" s="220">
        <v>1200000</v>
      </c>
      <c r="Y8088" s="220">
        <f>X8088*0.1</f>
        <v>120000</v>
      </c>
      <c r="Z8088" s="220">
        <v>7440</v>
      </c>
      <c r="AA8088" s="220">
        <f>SUM(X8088:Z8088)</f>
        <v>1327440</v>
      </c>
      <c r="AB8088" s="222">
        <v>46135</v>
      </c>
    </row>
    <row r="8089" spans="1:28" ht="17.100000000000001" customHeight="1" thickBot="1">
      <c r="A8089" s="227"/>
      <c r="B8089" s="27" t="s">
        <v>3518</v>
      </c>
      <c r="C8089" s="27">
        <v>62007</v>
      </c>
      <c r="D8089" s="14" t="s">
        <v>1584</v>
      </c>
      <c r="E8089" s="229"/>
      <c r="F8089" s="117" t="s">
        <v>22279</v>
      </c>
      <c r="G8089" s="26">
        <v>48719</v>
      </c>
      <c r="H8089" s="231"/>
      <c r="I8089" s="221"/>
      <c r="J8089" s="221"/>
      <c r="K8089" s="221"/>
      <c r="L8089" s="221"/>
      <c r="M8089" s="221"/>
      <c r="N8089" s="221"/>
      <c r="O8089" s="225"/>
      <c r="P8089" s="118" t="s">
        <v>7323</v>
      </c>
      <c r="Q8089" s="16" t="s">
        <v>20</v>
      </c>
      <c r="R8089" s="17" t="s">
        <v>1930</v>
      </c>
      <c r="S8089" s="121"/>
      <c r="T8089" s="122"/>
      <c r="U8089" s="22"/>
      <c r="V8089" s="123" t="s">
        <v>6641</v>
      </c>
      <c r="W8089" s="122">
        <v>41040</v>
      </c>
      <c r="X8089" s="221"/>
      <c r="Y8089" s="221"/>
      <c r="Z8089" s="221"/>
      <c r="AA8089" s="221"/>
      <c r="AB8089" s="223"/>
    </row>
    <row r="8090" spans="1:28" ht="17.100000000000001" customHeight="1" thickTop="1">
      <c r="A8090" s="226" t="s">
        <v>22144</v>
      </c>
      <c r="B8090" s="28">
        <v>46123</v>
      </c>
      <c r="C8090" s="25">
        <v>307</v>
      </c>
      <c r="D8090" s="13" t="s">
        <v>2324</v>
      </c>
      <c r="E8090" s="228"/>
      <c r="F8090" s="109" t="s">
        <v>17162</v>
      </c>
      <c r="G8090" s="24"/>
      <c r="H8090" s="230">
        <v>4</v>
      </c>
      <c r="I8090" s="220">
        <v>842000</v>
      </c>
      <c r="J8090" s="220">
        <f>I8090*0.1</f>
        <v>84200</v>
      </c>
      <c r="K8090" s="220">
        <v>0</v>
      </c>
      <c r="L8090" s="220">
        <v>7440</v>
      </c>
      <c r="M8090" s="220">
        <v>15950</v>
      </c>
      <c r="N8090" s="220">
        <f>SUM(I8090:M8091)</f>
        <v>949590</v>
      </c>
      <c r="O8090" s="224"/>
      <c r="P8090" s="110" t="s">
        <v>22457</v>
      </c>
      <c r="Q8090" s="15" t="s">
        <v>19</v>
      </c>
      <c r="R8090" s="205"/>
      <c r="S8090" s="189"/>
      <c r="T8090" s="114"/>
      <c r="U8090" s="21"/>
      <c r="V8090" s="115">
        <v>46130</v>
      </c>
      <c r="W8090" s="116">
        <v>1297</v>
      </c>
      <c r="X8090" s="220">
        <v>950000</v>
      </c>
      <c r="Y8090" s="220">
        <f>X8090*0.1</f>
        <v>95000</v>
      </c>
      <c r="Z8090" s="220">
        <v>7440</v>
      </c>
      <c r="AA8090" s="220">
        <f>SUM(X8090:Z8090)</f>
        <v>1052440</v>
      </c>
      <c r="AB8090" s="222">
        <v>46133</v>
      </c>
    </row>
    <row r="8091" spans="1:28" ht="17.100000000000001" customHeight="1" thickBot="1">
      <c r="A8091" s="227"/>
      <c r="B8091" s="27" t="s">
        <v>3518</v>
      </c>
      <c r="C8091" s="27">
        <v>62057</v>
      </c>
      <c r="D8091" s="14" t="s">
        <v>1584</v>
      </c>
      <c r="E8091" s="229"/>
      <c r="F8091" s="117" t="s">
        <v>22280</v>
      </c>
      <c r="G8091" s="26">
        <v>43473</v>
      </c>
      <c r="H8091" s="231"/>
      <c r="I8091" s="221"/>
      <c r="J8091" s="221"/>
      <c r="K8091" s="221"/>
      <c r="L8091" s="221"/>
      <c r="M8091" s="221"/>
      <c r="N8091" s="221"/>
      <c r="O8091" s="225"/>
      <c r="P8091" s="118" t="s">
        <v>22458</v>
      </c>
      <c r="Q8091" s="16" t="s">
        <v>20</v>
      </c>
      <c r="R8091" s="17" t="s">
        <v>22427</v>
      </c>
      <c r="S8091" s="121"/>
      <c r="T8091" s="122"/>
      <c r="U8091" s="22"/>
      <c r="V8091" s="123" t="s">
        <v>2472</v>
      </c>
      <c r="W8091" s="122">
        <v>41038</v>
      </c>
      <c r="X8091" s="221"/>
      <c r="Y8091" s="221"/>
      <c r="Z8091" s="221"/>
      <c r="AA8091" s="221"/>
      <c r="AB8091" s="223"/>
    </row>
    <row r="8092" spans="1:28" ht="17.100000000000001" customHeight="1" thickTop="1">
      <c r="A8092" s="226" t="s">
        <v>22145</v>
      </c>
      <c r="B8092" s="28">
        <v>46123</v>
      </c>
      <c r="C8092" s="25">
        <v>307</v>
      </c>
      <c r="D8092" s="13" t="s">
        <v>1704</v>
      </c>
      <c r="E8092" s="228"/>
      <c r="F8092" s="109" t="s">
        <v>17749</v>
      </c>
      <c r="G8092" s="24"/>
      <c r="H8092" s="230">
        <v>4</v>
      </c>
      <c r="I8092" s="220">
        <v>962000</v>
      </c>
      <c r="J8092" s="220">
        <f>I8092*0.1</f>
        <v>96200</v>
      </c>
      <c r="K8092" s="220">
        <v>0</v>
      </c>
      <c r="L8092" s="220">
        <v>7440</v>
      </c>
      <c r="M8092" s="220">
        <v>15950</v>
      </c>
      <c r="N8092" s="220">
        <f>SUM(I8092:M8093)</f>
        <v>1081590</v>
      </c>
      <c r="O8092" s="224"/>
      <c r="P8092" s="110" t="s">
        <v>22648</v>
      </c>
      <c r="Q8092" s="15" t="s">
        <v>19</v>
      </c>
      <c r="R8092" s="205"/>
      <c r="S8092" s="189" t="s">
        <v>1072</v>
      </c>
      <c r="T8092" s="114"/>
      <c r="U8092" s="21"/>
      <c r="V8092" s="115"/>
      <c r="W8092" s="116"/>
      <c r="X8092" s="220"/>
      <c r="Y8092" s="220">
        <f>X8092*0.1</f>
        <v>0</v>
      </c>
      <c r="Z8092" s="220"/>
      <c r="AA8092" s="220">
        <f>SUM(X8092:Z8092)</f>
        <v>0</v>
      </c>
      <c r="AB8092" s="222"/>
    </row>
    <row r="8093" spans="1:28" ht="17.100000000000001" customHeight="1" thickBot="1">
      <c r="A8093" s="227"/>
      <c r="B8093" s="27" t="s">
        <v>3518</v>
      </c>
      <c r="C8093" s="27">
        <v>62072</v>
      </c>
      <c r="D8093" s="14" t="s">
        <v>1584</v>
      </c>
      <c r="E8093" s="229"/>
      <c r="F8093" s="117" t="s">
        <v>22281</v>
      </c>
      <c r="G8093" s="26">
        <v>47881</v>
      </c>
      <c r="H8093" s="231"/>
      <c r="I8093" s="221"/>
      <c r="J8093" s="221"/>
      <c r="K8093" s="221"/>
      <c r="L8093" s="221"/>
      <c r="M8093" s="221"/>
      <c r="N8093" s="221"/>
      <c r="O8093" s="225"/>
      <c r="P8093" s="118" t="s">
        <v>7323</v>
      </c>
      <c r="Q8093" s="16" t="s">
        <v>20</v>
      </c>
      <c r="R8093" s="17" t="s">
        <v>1930</v>
      </c>
      <c r="S8093" s="121" t="s">
        <v>22649</v>
      </c>
      <c r="T8093" s="122"/>
      <c r="U8093" s="22"/>
      <c r="V8093" s="123"/>
      <c r="W8093" s="122"/>
      <c r="X8093" s="221"/>
      <c r="Y8093" s="221"/>
      <c r="Z8093" s="221"/>
      <c r="AA8093" s="221"/>
      <c r="AB8093" s="223"/>
    </row>
    <row r="8094" spans="1:28" ht="17.100000000000001" customHeight="1" thickTop="1">
      <c r="A8094" s="226" t="s">
        <v>22146</v>
      </c>
      <c r="B8094" s="28">
        <v>46123</v>
      </c>
      <c r="C8094" s="25">
        <v>1018</v>
      </c>
      <c r="D8094" s="13" t="s">
        <v>1578</v>
      </c>
      <c r="E8094" s="228"/>
      <c r="F8094" s="109" t="s">
        <v>15707</v>
      </c>
      <c r="G8094" s="24" t="s">
        <v>6726</v>
      </c>
      <c r="H8094" s="230">
        <v>4</v>
      </c>
      <c r="I8094" s="220">
        <v>1507000</v>
      </c>
      <c r="J8094" s="220">
        <f>I8094*0.1</f>
        <v>150700</v>
      </c>
      <c r="K8094" s="220">
        <v>39820</v>
      </c>
      <c r="L8094" s="220">
        <v>16240</v>
      </c>
      <c r="M8094" s="220">
        <v>15950</v>
      </c>
      <c r="N8094" s="220">
        <f>SUM(I8094:M8095)</f>
        <v>1729710</v>
      </c>
      <c r="O8094" s="224"/>
      <c r="P8094" s="110" t="s">
        <v>22299</v>
      </c>
      <c r="Q8094" s="15" t="s">
        <v>19</v>
      </c>
      <c r="R8094" s="205"/>
      <c r="S8094" s="189"/>
      <c r="T8094" s="114"/>
      <c r="U8094" s="21"/>
      <c r="V8094" s="115">
        <v>46144</v>
      </c>
      <c r="W8094" s="116">
        <v>1299</v>
      </c>
      <c r="X8094" s="220">
        <v>1660000</v>
      </c>
      <c r="Y8094" s="220">
        <f>X8094*0.1</f>
        <v>166000</v>
      </c>
      <c r="Z8094" s="220">
        <v>16240</v>
      </c>
      <c r="AA8094" s="220">
        <f>SUM(X8094:Z8094)</f>
        <v>1842240</v>
      </c>
      <c r="AB8094" s="222">
        <v>46154</v>
      </c>
    </row>
    <row r="8095" spans="1:28" ht="17.100000000000001" customHeight="1" thickBot="1">
      <c r="A8095" s="227"/>
      <c r="B8095" s="27" t="s">
        <v>1697</v>
      </c>
      <c r="C8095" s="27">
        <v>5121</v>
      </c>
      <c r="D8095" s="14" t="s">
        <v>1568</v>
      </c>
      <c r="E8095" s="229"/>
      <c r="F8095" s="117" t="s">
        <v>22298</v>
      </c>
      <c r="G8095" s="26">
        <v>65269</v>
      </c>
      <c r="H8095" s="231"/>
      <c r="I8095" s="221"/>
      <c r="J8095" s="221"/>
      <c r="K8095" s="221"/>
      <c r="L8095" s="221"/>
      <c r="M8095" s="221"/>
      <c r="N8095" s="221"/>
      <c r="O8095" s="225"/>
      <c r="P8095" s="118" t="s">
        <v>5068</v>
      </c>
      <c r="Q8095" s="16" t="s">
        <v>20</v>
      </c>
      <c r="R8095" s="17" t="s">
        <v>23208</v>
      </c>
      <c r="S8095" s="121" t="s">
        <v>22745</v>
      </c>
      <c r="T8095" s="122"/>
      <c r="U8095" s="22"/>
      <c r="V8095" s="123" t="s">
        <v>7160</v>
      </c>
      <c r="W8095" s="122">
        <v>80008</v>
      </c>
      <c r="X8095" s="221"/>
      <c r="Y8095" s="221"/>
      <c r="Z8095" s="221"/>
      <c r="AA8095" s="221"/>
      <c r="AB8095" s="223"/>
    </row>
    <row r="8096" spans="1:28" ht="17.100000000000001" customHeight="1" thickTop="1">
      <c r="A8096" s="226" t="s">
        <v>22147</v>
      </c>
      <c r="B8096" s="28">
        <v>46123</v>
      </c>
      <c r="C8096" s="25">
        <v>1296</v>
      </c>
      <c r="D8096" s="13" t="s">
        <v>1578</v>
      </c>
      <c r="E8096" s="228"/>
      <c r="F8096" s="109" t="s">
        <v>17515</v>
      </c>
      <c r="G8096" s="24"/>
      <c r="H8096" s="230">
        <v>4.5</v>
      </c>
      <c r="I8096" s="220">
        <v>1070000</v>
      </c>
      <c r="J8096" s="220">
        <f>I8096*0.1</f>
        <v>107000</v>
      </c>
      <c r="K8096" s="220">
        <v>0</v>
      </c>
      <c r="L8096" s="220">
        <v>9750</v>
      </c>
      <c r="M8096" s="220">
        <v>12100</v>
      </c>
      <c r="N8096" s="220">
        <f>SUM(I8096:M8097)</f>
        <v>1198850</v>
      </c>
      <c r="O8096" s="224"/>
      <c r="P8096" s="110" t="s">
        <v>23138</v>
      </c>
      <c r="Q8096" s="15" t="s">
        <v>19</v>
      </c>
      <c r="R8096" s="205"/>
      <c r="S8096" s="189" t="s">
        <v>25938</v>
      </c>
      <c r="T8096" s="114"/>
      <c r="U8096" s="21"/>
      <c r="V8096" s="115">
        <v>46134</v>
      </c>
      <c r="W8096" s="116">
        <v>1014</v>
      </c>
      <c r="X8096" s="220">
        <v>1175000</v>
      </c>
      <c r="Y8096" s="220">
        <f>X8096*0.1</f>
        <v>117500</v>
      </c>
      <c r="Z8096" s="220">
        <v>9750</v>
      </c>
      <c r="AA8096" s="220">
        <f>SUM(X8096:Z8096)</f>
        <v>1302250</v>
      </c>
      <c r="AB8096" s="222">
        <v>46139</v>
      </c>
    </row>
    <row r="8097" spans="1:28" ht="17.100000000000001" customHeight="1" thickBot="1">
      <c r="A8097" s="227"/>
      <c r="B8097" s="27" t="s">
        <v>2472</v>
      </c>
      <c r="C8097" s="27">
        <v>30021</v>
      </c>
      <c r="D8097" s="14" t="s">
        <v>2559</v>
      </c>
      <c r="E8097" s="229"/>
      <c r="F8097" s="117" t="s">
        <v>22282</v>
      </c>
      <c r="G8097" s="26">
        <v>50502</v>
      </c>
      <c r="H8097" s="231"/>
      <c r="I8097" s="221"/>
      <c r="J8097" s="221"/>
      <c r="K8097" s="221"/>
      <c r="L8097" s="221"/>
      <c r="M8097" s="221"/>
      <c r="N8097" s="221"/>
      <c r="O8097" s="225"/>
      <c r="P8097" s="118" t="s">
        <v>3355</v>
      </c>
      <c r="Q8097" s="16" t="s">
        <v>20</v>
      </c>
      <c r="R8097" s="17" t="s">
        <v>23125</v>
      </c>
      <c r="S8097" s="121" t="s">
        <v>23139</v>
      </c>
      <c r="T8097" s="122" t="s">
        <v>22463</v>
      </c>
      <c r="U8097" s="22"/>
      <c r="V8097" s="123" t="s">
        <v>23332</v>
      </c>
      <c r="W8097" s="122">
        <v>6075</v>
      </c>
      <c r="X8097" s="221"/>
      <c r="Y8097" s="221"/>
      <c r="Z8097" s="221"/>
      <c r="AA8097" s="221"/>
      <c r="AB8097" s="223"/>
    </row>
    <row r="8098" spans="1:28" ht="17.100000000000001" customHeight="1" thickTop="1">
      <c r="A8098" s="226" t="s">
        <v>22148</v>
      </c>
      <c r="B8098" s="28">
        <v>46123</v>
      </c>
      <c r="C8098" s="25">
        <v>1296</v>
      </c>
      <c r="D8098" s="13" t="s">
        <v>2150</v>
      </c>
      <c r="E8098" s="228"/>
      <c r="F8098" s="109" t="s">
        <v>24764</v>
      </c>
      <c r="G8098" s="24"/>
      <c r="H8098" s="230">
        <v>4.5</v>
      </c>
      <c r="I8098" s="220">
        <v>835000</v>
      </c>
      <c r="J8098" s="220">
        <f>I8098*0.1</f>
        <v>83500</v>
      </c>
      <c r="K8098" s="220">
        <v>0</v>
      </c>
      <c r="L8098" s="220">
        <v>10780</v>
      </c>
      <c r="M8098" s="220">
        <v>12100</v>
      </c>
      <c r="N8098" s="220">
        <f>SUM(I8098:M8099)</f>
        <v>941380</v>
      </c>
      <c r="O8098" s="224"/>
      <c r="P8098" s="110" t="s">
        <v>23135</v>
      </c>
      <c r="Q8098" s="15" t="s">
        <v>19</v>
      </c>
      <c r="R8098" s="205"/>
      <c r="S8098" s="189" t="s">
        <v>25892</v>
      </c>
      <c r="T8098" s="114"/>
      <c r="U8098" s="21"/>
      <c r="V8098" s="115">
        <v>46155</v>
      </c>
      <c r="W8098" s="116">
        <v>1016</v>
      </c>
      <c r="X8098" s="220">
        <v>860000</v>
      </c>
      <c r="Y8098" s="220">
        <f>X8098*0.1</f>
        <v>86000</v>
      </c>
      <c r="Z8098" s="220">
        <v>10780</v>
      </c>
      <c r="AA8098" s="220">
        <f>SUM(X8098:Z8098)</f>
        <v>956780</v>
      </c>
      <c r="AB8098" s="222">
        <v>46160</v>
      </c>
    </row>
    <row r="8099" spans="1:28" ht="17.100000000000001" customHeight="1" thickBot="1">
      <c r="A8099" s="227"/>
      <c r="B8099" s="27" t="s">
        <v>2472</v>
      </c>
      <c r="C8099" s="27">
        <v>35315</v>
      </c>
      <c r="D8099" s="14" t="s">
        <v>1627</v>
      </c>
      <c r="E8099" s="229"/>
      <c r="F8099" s="117" t="s">
        <v>22283</v>
      </c>
      <c r="G8099" s="26">
        <v>54841</v>
      </c>
      <c r="H8099" s="231"/>
      <c r="I8099" s="221"/>
      <c r="J8099" s="221"/>
      <c r="K8099" s="221"/>
      <c r="L8099" s="221"/>
      <c r="M8099" s="221"/>
      <c r="N8099" s="221"/>
      <c r="O8099" s="225"/>
      <c r="P8099" s="118" t="s">
        <v>3479</v>
      </c>
      <c r="Q8099" s="16" t="s">
        <v>20</v>
      </c>
      <c r="R8099" s="17" t="s">
        <v>23125</v>
      </c>
      <c r="S8099" s="121" t="s">
        <v>13870</v>
      </c>
      <c r="T8099" s="122"/>
      <c r="U8099" s="22"/>
      <c r="V8099" s="123" t="s">
        <v>8877</v>
      </c>
      <c r="W8099" s="122">
        <v>6088</v>
      </c>
      <c r="X8099" s="221"/>
      <c r="Y8099" s="221"/>
      <c r="Z8099" s="221"/>
      <c r="AA8099" s="221"/>
      <c r="AB8099" s="223"/>
    </row>
    <row r="8100" spans="1:28" ht="17.100000000000001" customHeight="1" thickTop="1">
      <c r="A8100" s="226" t="s">
        <v>22149</v>
      </c>
      <c r="B8100" s="28">
        <v>46123</v>
      </c>
      <c r="C8100" s="25">
        <v>1296</v>
      </c>
      <c r="D8100" s="13" t="s">
        <v>4750</v>
      </c>
      <c r="E8100" s="228"/>
      <c r="F8100" s="109" t="s">
        <v>22284</v>
      </c>
      <c r="G8100" s="24"/>
      <c r="H8100" s="230">
        <v>4</v>
      </c>
      <c r="I8100" s="220">
        <v>945000</v>
      </c>
      <c r="J8100" s="220">
        <f>I8100*0.1</f>
        <v>94500</v>
      </c>
      <c r="K8100" s="220">
        <v>0</v>
      </c>
      <c r="L8100" s="220">
        <v>9810</v>
      </c>
      <c r="M8100" s="220">
        <v>12100</v>
      </c>
      <c r="N8100" s="220">
        <f>SUM(I8100:M8101)</f>
        <v>1061410</v>
      </c>
      <c r="O8100" s="224"/>
      <c r="P8100" s="110" t="s">
        <v>23136</v>
      </c>
      <c r="Q8100" s="15" t="s">
        <v>19</v>
      </c>
      <c r="R8100" s="205"/>
      <c r="S8100" s="189" t="s">
        <v>25939</v>
      </c>
      <c r="T8100" s="114"/>
      <c r="U8100" s="21"/>
      <c r="V8100" s="115">
        <v>46155</v>
      </c>
      <c r="W8100" s="116">
        <v>1016</v>
      </c>
      <c r="X8100" s="220">
        <v>1050000</v>
      </c>
      <c r="Y8100" s="220">
        <v>105000</v>
      </c>
      <c r="Z8100" s="220">
        <v>9810</v>
      </c>
      <c r="AA8100" s="220">
        <f>SUM(X8100:Z8100)</f>
        <v>1164810</v>
      </c>
      <c r="AB8100" s="222">
        <v>46160</v>
      </c>
    </row>
    <row r="8101" spans="1:28" ht="17.100000000000001" customHeight="1" thickBot="1">
      <c r="A8101" s="227"/>
      <c r="B8101" s="27" t="s">
        <v>2472</v>
      </c>
      <c r="C8101" s="27">
        <v>35401</v>
      </c>
      <c r="D8101" s="14" t="s">
        <v>2559</v>
      </c>
      <c r="E8101" s="229"/>
      <c r="F8101" s="117" t="s">
        <v>22285</v>
      </c>
      <c r="G8101" s="26">
        <v>46479</v>
      </c>
      <c r="H8101" s="231"/>
      <c r="I8101" s="221"/>
      <c r="J8101" s="221"/>
      <c r="K8101" s="221"/>
      <c r="L8101" s="221"/>
      <c r="M8101" s="221"/>
      <c r="N8101" s="221"/>
      <c r="O8101" s="225"/>
      <c r="P8101" s="118" t="s">
        <v>2870</v>
      </c>
      <c r="Q8101" s="16" t="s">
        <v>20</v>
      </c>
      <c r="R8101" s="17" t="s">
        <v>23125</v>
      </c>
      <c r="S8101" s="121" t="s">
        <v>23137</v>
      </c>
      <c r="T8101" s="122"/>
      <c r="U8101" s="22"/>
      <c r="V8101" s="123" t="s">
        <v>2747</v>
      </c>
      <c r="W8101" s="122">
        <v>6113</v>
      </c>
      <c r="X8101" s="221"/>
      <c r="Y8101" s="221"/>
      <c r="Z8101" s="221"/>
      <c r="AA8101" s="221"/>
      <c r="AB8101" s="223"/>
    </row>
    <row r="8102" spans="1:28" ht="17.100000000000001" customHeight="1" thickTop="1">
      <c r="A8102" s="226" t="s">
        <v>22150</v>
      </c>
      <c r="B8102" s="28">
        <v>46123</v>
      </c>
      <c r="C8102" s="25">
        <v>1296</v>
      </c>
      <c r="D8102" s="13" t="s">
        <v>3414</v>
      </c>
      <c r="E8102" s="228"/>
      <c r="F8102" s="109" t="s">
        <v>22286</v>
      </c>
      <c r="G8102" s="24" t="s">
        <v>20322</v>
      </c>
      <c r="H8102" s="230">
        <v>4</v>
      </c>
      <c r="I8102" s="220">
        <v>380000</v>
      </c>
      <c r="J8102" s="220">
        <f>I8102*0.1</f>
        <v>38000</v>
      </c>
      <c r="K8102" s="220">
        <v>0</v>
      </c>
      <c r="L8102" s="220">
        <v>7420</v>
      </c>
      <c r="M8102" s="220">
        <v>9900</v>
      </c>
      <c r="N8102" s="220">
        <f>SUM(I8102:M8103)</f>
        <v>435320</v>
      </c>
      <c r="O8102" s="224"/>
      <c r="P8102" s="110" t="s">
        <v>22300</v>
      </c>
      <c r="Q8102" s="15" t="s">
        <v>19</v>
      </c>
      <c r="R8102" s="205"/>
      <c r="S8102" s="189" t="s">
        <v>25940</v>
      </c>
      <c r="T8102" s="114"/>
      <c r="U8102" s="21" t="s">
        <v>26106</v>
      </c>
      <c r="V8102" s="115">
        <v>46162</v>
      </c>
      <c r="W8102" s="116">
        <v>1017</v>
      </c>
      <c r="X8102" s="220">
        <v>395000</v>
      </c>
      <c r="Y8102" s="220">
        <f>X8102*0.1</f>
        <v>39500</v>
      </c>
      <c r="Z8102" s="220">
        <v>7420</v>
      </c>
      <c r="AA8102" s="220">
        <f>SUM(X8102:Z8102)</f>
        <v>441920</v>
      </c>
      <c r="AB8102" s="222">
        <v>46167</v>
      </c>
    </row>
    <row r="8103" spans="1:28" ht="17.100000000000001" customHeight="1" thickBot="1">
      <c r="A8103" s="227"/>
      <c r="B8103" s="27" t="s">
        <v>2472</v>
      </c>
      <c r="C8103" s="27">
        <v>60503</v>
      </c>
      <c r="D8103" s="14" t="s">
        <v>1584</v>
      </c>
      <c r="E8103" s="229"/>
      <c r="F8103" s="117" t="s">
        <v>22287</v>
      </c>
      <c r="G8103" s="26">
        <v>38313</v>
      </c>
      <c r="H8103" s="231"/>
      <c r="I8103" s="221"/>
      <c r="J8103" s="221"/>
      <c r="K8103" s="221"/>
      <c r="L8103" s="221"/>
      <c r="M8103" s="221"/>
      <c r="N8103" s="221"/>
      <c r="O8103" s="225"/>
      <c r="P8103" s="118" t="s">
        <v>22333</v>
      </c>
      <c r="Q8103" s="16" t="s">
        <v>20</v>
      </c>
      <c r="R8103" s="17" t="s">
        <v>23125</v>
      </c>
      <c r="S8103" s="121" t="s">
        <v>23142</v>
      </c>
      <c r="T8103" s="122"/>
      <c r="U8103" s="22"/>
      <c r="V8103" s="123" t="s">
        <v>2747</v>
      </c>
      <c r="W8103" s="122">
        <v>2060</v>
      </c>
      <c r="X8103" s="221"/>
      <c r="Y8103" s="221"/>
      <c r="Z8103" s="221"/>
      <c r="AA8103" s="221"/>
      <c r="AB8103" s="223"/>
    </row>
    <row r="8104" spans="1:28" ht="17.100000000000001" customHeight="1" thickTop="1">
      <c r="A8104" s="226" t="s">
        <v>22290</v>
      </c>
      <c r="B8104" s="28">
        <v>46123</v>
      </c>
      <c r="C8104" s="25">
        <v>1296</v>
      </c>
      <c r="D8104" s="13" t="s">
        <v>2610</v>
      </c>
      <c r="E8104" s="228"/>
      <c r="F8104" s="109" t="s">
        <v>15453</v>
      </c>
      <c r="G8104" s="24" t="s">
        <v>16282</v>
      </c>
      <c r="H8104" s="230">
        <v>4.5</v>
      </c>
      <c r="I8104" s="220">
        <v>545000</v>
      </c>
      <c r="J8104" s="220">
        <f>I8104*0.1</f>
        <v>54500</v>
      </c>
      <c r="K8104" s="220">
        <v>0</v>
      </c>
      <c r="L8104" s="220">
        <v>5870</v>
      </c>
      <c r="M8104" s="220">
        <v>12100</v>
      </c>
      <c r="N8104" s="220">
        <f>SUM(I8104:M8105)</f>
        <v>617470</v>
      </c>
      <c r="O8104" s="224"/>
      <c r="P8104" s="110" t="s">
        <v>23140</v>
      </c>
      <c r="Q8104" s="15" t="s">
        <v>19</v>
      </c>
      <c r="R8104" s="205"/>
      <c r="S8104" s="189" t="s">
        <v>25941</v>
      </c>
      <c r="T8104" s="114"/>
      <c r="U8104" s="21"/>
      <c r="V8104" s="115">
        <v>46141</v>
      </c>
      <c r="W8104" s="116">
        <v>1015</v>
      </c>
      <c r="X8104" s="220">
        <v>590000</v>
      </c>
      <c r="Y8104" s="220">
        <f>X8104*0.1</f>
        <v>59000</v>
      </c>
      <c r="Z8104" s="220">
        <v>5870</v>
      </c>
      <c r="AA8104" s="220">
        <f>SUM(X8104:Z8104)</f>
        <v>654870</v>
      </c>
      <c r="AB8104" s="222">
        <v>46153</v>
      </c>
    </row>
    <row r="8105" spans="1:28" ht="17.100000000000001" customHeight="1" thickBot="1">
      <c r="A8105" s="227"/>
      <c r="B8105" s="27" t="s">
        <v>2472</v>
      </c>
      <c r="C8105" s="27">
        <v>65442</v>
      </c>
      <c r="D8105" s="14" t="s">
        <v>1584</v>
      </c>
      <c r="E8105" s="229"/>
      <c r="F8105" s="117" t="s">
        <v>22288</v>
      </c>
      <c r="G8105" s="26">
        <v>22590</v>
      </c>
      <c r="H8105" s="231"/>
      <c r="I8105" s="221"/>
      <c r="J8105" s="221"/>
      <c r="K8105" s="221"/>
      <c r="L8105" s="221"/>
      <c r="M8105" s="221"/>
      <c r="N8105" s="221"/>
      <c r="O8105" s="225"/>
      <c r="P8105" s="118" t="s">
        <v>2615</v>
      </c>
      <c r="Q8105" s="16" t="s">
        <v>20</v>
      </c>
      <c r="R8105" s="17" t="s">
        <v>23125</v>
      </c>
      <c r="S8105" s="121" t="s">
        <v>23141</v>
      </c>
      <c r="T8105" s="122"/>
      <c r="U8105" s="22"/>
      <c r="V8105" s="123" t="s">
        <v>2747</v>
      </c>
      <c r="W8105" s="122">
        <v>2011</v>
      </c>
      <c r="X8105" s="221"/>
      <c r="Y8105" s="221"/>
      <c r="Z8105" s="221"/>
      <c r="AA8105" s="221"/>
      <c r="AB8105" s="223"/>
    </row>
    <row r="8106" spans="1:28" ht="17.100000000000001" customHeight="1" thickTop="1">
      <c r="A8106" s="226" t="s">
        <v>22291</v>
      </c>
      <c r="B8106" s="28">
        <v>46123</v>
      </c>
      <c r="C8106" s="25">
        <v>1296</v>
      </c>
      <c r="D8106" s="13" t="s">
        <v>1704</v>
      </c>
      <c r="E8106" s="228"/>
      <c r="F8106" s="109" t="s">
        <v>22289</v>
      </c>
      <c r="G8106" s="24"/>
      <c r="H8106" s="230">
        <v>4.5</v>
      </c>
      <c r="I8106" s="220">
        <v>1920000</v>
      </c>
      <c r="J8106" s="220">
        <f>I8106*0.1</f>
        <v>192000</v>
      </c>
      <c r="K8106" s="220">
        <v>0</v>
      </c>
      <c r="L8106" s="220">
        <v>19560</v>
      </c>
      <c r="M8106" s="220">
        <v>16500</v>
      </c>
      <c r="N8106" s="220">
        <f>SUM(I8106:M8107)</f>
        <v>2148060</v>
      </c>
      <c r="O8106" s="224"/>
      <c r="P8106" s="110" t="s">
        <v>23127</v>
      </c>
      <c r="Q8106" s="15" t="s">
        <v>19</v>
      </c>
      <c r="R8106" s="205"/>
      <c r="S8106" s="189" t="s">
        <v>25507</v>
      </c>
      <c r="T8106" s="114"/>
      <c r="U8106" s="21"/>
      <c r="V8106" s="115">
        <v>46128</v>
      </c>
      <c r="W8106" s="116">
        <v>1327</v>
      </c>
      <c r="X8106" s="220">
        <v>2095000</v>
      </c>
      <c r="Y8106" s="220">
        <f>X8106*0.1</f>
        <v>209500</v>
      </c>
      <c r="Z8106" s="220">
        <v>19560</v>
      </c>
      <c r="AA8106" s="220">
        <f>SUM(X8106:Z8106)</f>
        <v>2324060</v>
      </c>
      <c r="AB8106" s="222">
        <v>46129</v>
      </c>
    </row>
    <row r="8107" spans="1:28" ht="17.100000000000001" customHeight="1" thickBot="1">
      <c r="A8107" s="227"/>
      <c r="B8107" s="27" t="s">
        <v>2472</v>
      </c>
      <c r="C8107" s="27">
        <v>81027</v>
      </c>
      <c r="D8107" s="14" t="s">
        <v>2559</v>
      </c>
      <c r="E8107" s="229"/>
      <c r="F8107" s="117" t="s">
        <v>22301</v>
      </c>
      <c r="G8107" s="26">
        <v>59230</v>
      </c>
      <c r="H8107" s="231"/>
      <c r="I8107" s="221"/>
      <c r="J8107" s="221"/>
      <c r="K8107" s="221"/>
      <c r="L8107" s="221"/>
      <c r="M8107" s="221"/>
      <c r="N8107" s="221"/>
      <c r="O8107" s="225"/>
      <c r="P8107" s="118" t="s">
        <v>1586</v>
      </c>
      <c r="Q8107" s="16" t="s">
        <v>20</v>
      </c>
      <c r="R8107" s="17" t="s">
        <v>23125</v>
      </c>
      <c r="S8107" s="121" t="s">
        <v>4798</v>
      </c>
      <c r="T8107" s="122"/>
      <c r="U8107" s="22"/>
      <c r="V8107" s="123" t="s">
        <v>22671</v>
      </c>
      <c r="W8107" s="122">
        <v>320</v>
      </c>
      <c r="X8107" s="221"/>
      <c r="Y8107" s="221"/>
      <c r="Z8107" s="221"/>
      <c r="AA8107" s="221"/>
      <c r="AB8107" s="223"/>
    </row>
    <row r="8108" spans="1:28" ht="17.100000000000001" customHeight="1" thickTop="1">
      <c r="A8108" s="226" t="s">
        <v>22292</v>
      </c>
      <c r="B8108" s="28">
        <v>46123</v>
      </c>
      <c r="C8108" s="25">
        <v>1296</v>
      </c>
      <c r="D8108" s="13" t="s">
        <v>1704</v>
      </c>
      <c r="E8108" s="228"/>
      <c r="F8108" s="109" t="s">
        <v>19766</v>
      </c>
      <c r="G8108" s="24"/>
      <c r="H8108" s="230">
        <v>4.5</v>
      </c>
      <c r="I8108" s="220">
        <v>3650000</v>
      </c>
      <c r="J8108" s="220">
        <f>I8108*0.1</f>
        <v>365000</v>
      </c>
      <c r="K8108" s="220">
        <v>0</v>
      </c>
      <c r="L8108" s="220">
        <v>24520</v>
      </c>
      <c r="M8108" s="220">
        <v>23100</v>
      </c>
      <c r="N8108" s="220">
        <f>SUM(I8108:M8109)</f>
        <v>4062620</v>
      </c>
      <c r="O8108" s="224"/>
      <c r="P8108" s="110" t="s">
        <v>23128</v>
      </c>
      <c r="Q8108" s="15" t="s">
        <v>19</v>
      </c>
      <c r="R8108" s="205"/>
      <c r="S8108" s="189" t="s">
        <v>25429</v>
      </c>
      <c r="T8108" s="114"/>
      <c r="U8108" s="21"/>
      <c r="V8108" s="115">
        <v>46142</v>
      </c>
      <c r="W8108" s="116">
        <v>1329</v>
      </c>
      <c r="X8108" s="220">
        <v>3890000</v>
      </c>
      <c r="Y8108" s="220">
        <f>X8108*0.1</f>
        <v>389000</v>
      </c>
      <c r="Z8108" s="220">
        <v>24520</v>
      </c>
      <c r="AA8108" s="220">
        <f>SUM(X8108:Z8108)</f>
        <v>4303520</v>
      </c>
      <c r="AB8108" s="222">
        <v>46143</v>
      </c>
    </row>
    <row r="8109" spans="1:28" ht="17.100000000000001" customHeight="1" thickBot="1">
      <c r="A8109" s="227"/>
      <c r="B8109" s="27" t="s">
        <v>2472</v>
      </c>
      <c r="C8109" s="27">
        <v>81064</v>
      </c>
      <c r="D8109" s="14" t="s">
        <v>131</v>
      </c>
      <c r="E8109" s="229"/>
      <c r="F8109" s="117" t="s">
        <v>22302</v>
      </c>
      <c r="G8109" s="26">
        <v>59681</v>
      </c>
      <c r="H8109" s="231"/>
      <c r="I8109" s="221"/>
      <c r="J8109" s="221"/>
      <c r="K8109" s="221"/>
      <c r="L8109" s="221"/>
      <c r="M8109" s="221"/>
      <c r="N8109" s="221"/>
      <c r="O8109" s="225"/>
      <c r="P8109" s="118" t="s">
        <v>23129</v>
      </c>
      <c r="Q8109" s="16" t="s">
        <v>20</v>
      </c>
      <c r="R8109" s="17" t="s">
        <v>23125</v>
      </c>
      <c r="S8109" s="121" t="s">
        <v>4503</v>
      </c>
      <c r="T8109" s="122"/>
      <c r="U8109" s="22"/>
      <c r="V8109" s="123" t="s">
        <v>1735</v>
      </c>
      <c r="W8109" s="122">
        <v>311</v>
      </c>
      <c r="X8109" s="221"/>
      <c r="Y8109" s="221"/>
      <c r="Z8109" s="221"/>
      <c r="AA8109" s="221"/>
      <c r="AB8109" s="223"/>
    </row>
    <row r="8110" spans="1:28" ht="17.100000000000001" customHeight="1" thickTop="1">
      <c r="A8110" s="233" t="s">
        <v>22293</v>
      </c>
      <c r="B8110" s="28">
        <v>46123</v>
      </c>
      <c r="C8110" s="25">
        <v>1296</v>
      </c>
      <c r="D8110" s="13" t="s">
        <v>2295</v>
      </c>
      <c r="E8110" s="228"/>
      <c r="F8110" s="109" t="s">
        <v>22296</v>
      </c>
      <c r="G8110" s="24" t="s">
        <v>5528</v>
      </c>
      <c r="H8110" s="230">
        <v>4.5</v>
      </c>
      <c r="I8110" s="220">
        <v>1855000</v>
      </c>
      <c r="J8110" s="220">
        <f>I8110*0.1</f>
        <v>185500</v>
      </c>
      <c r="K8110" s="220">
        <v>36300</v>
      </c>
      <c r="L8110" s="220">
        <v>16160</v>
      </c>
      <c r="M8110" s="220">
        <v>16500</v>
      </c>
      <c r="N8110" s="220">
        <f>SUM(I8110:M8111)</f>
        <v>2109460</v>
      </c>
      <c r="O8110" s="224"/>
      <c r="P8110" s="110" t="s">
        <v>22304</v>
      </c>
      <c r="Q8110" s="15" t="s">
        <v>19</v>
      </c>
      <c r="R8110" s="205"/>
      <c r="S8110" s="189"/>
      <c r="T8110" s="124" t="s">
        <v>22612</v>
      </c>
      <c r="U8110" s="21"/>
      <c r="V8110" s="115"/>
      <c r="W8110" s="116"/>
      <c r="X8110" s="220"/>
      <c r="Y8110" s="220">
        <f>X8110*0.1</f>
        <v>0</v>
      </c>
      <c r="Z8110" s="220"/>
      <c r="AA8110" s="220">
        <f>SUM(X8110:Z8110)</f>
        <v>0</v>
      </c>
      <c r="AB8110" s="222"/>
    </row>
    <row r="8111" spans="1:28" ht="17.100000000000001" customHeight="1" thickBot="1">
      <c r="A8111" s="234"/>
      <c r="B8111" s="27" t="s">
        <v>2472</v>
      </c>
      <c r="C8111" s="27">
        <v>82225</v>
      </c>
      <c r="D8111" s="14" t="s">
        <v>898</v>
      </c>
      <c r="E8111" s="229"/>
      <c r="F8111" s="117" t="s">
        <v>22303</v>
      </c>
      <c r="G8111" s="26">
        <v>43030</v>
      </c>
      <c r="H8111" s="231"/>
      <c r="I8111" s="221"/>
      <c r="J8111" s="221"/>
      <c r="K8111" s="221"/>
      <c r="L8111" s="221"/>
      <c r="M8111" s="221"/>
      <c r="N8111" s="221"/>
      <c r="O8111" s="225"/>
      <c r="P8111" s="118"/>
      <c r="Q8111" s="16" t="s">
        <v>20</v>
      </c>
      <c r="R8111" s="17" t="s">
        <v>10331</v>
      </c>
      <c r="S8111" s="121" t="s">
        <v>22471</v>
      </c>
      <c r="T8111" s="122"/>
      <c r="U8111" s="22"/>
      <c r="V8111" s="123"/>
      <c r="W8111" s="122"/>
      <c r="X8111" s="221"/>
      <c r="Y8111" s="221"/>
      <c r="Z8111" s="221"/>
      <c r="AA8111" s="221"/>
      <c r="AB8111" s="223"/>
    </row>
    <row r="8112" spans="1:28" ht="17.100000000000001" customHeight="1" thickTop="1">
      <c r="A8112" s="226" t="s">
        <v>22294</v>
      </c>
      <c r="B8112" s="28">
        <v>46123</v>
      </c>
      <c r="C8112" s="25">
        <v>1296</v>
      </c>
      <c r="D8112" s="13" t="s">
        <v>1831</v>
      </c>
      <c r="E8112" s="228"/>
      <c r="F8112" s="109" t="s">
        <v>22297</v>
      </c>
      <c r="G8112" s="24"/>
      <c r="H8112" s="230">
        <v>4.5</v>
      </c>
      <c r="I8112" s="220">
        <v>3445000</v>
      </c>
      <c r="J8112" s="220">
        <f>I8112*0.1</f>
        <v>344500</v>
      </c>
      <c r="K8112" s="220">
        <v>0</v>
      </c>
      <c r="L8112" s="220">
        <v>19870</v>
      </c>
      <c r="M8112" s="220">
        <v>16500</v>
      </c>
      <c r="N8112" s="220">
        <f>SUM(I8112:M8113)</f>
        <v>3825870</v>
      </c>
      <c r="O8112" s="224"/>
      <c r="P8112" s="110" t="s">
        <v>23124</v>
      </c>
      <c r="Q8112" s="15" t="s">
        <v>19</v>
      </c>
      <c r="R8112" s="205"/>
      <c r="S8112" s="189"/>
      <c r="T8112" s="114"/>
      <c r="U8112" s="21"/>
      <c r="V8112" s="115">
        <v>46130</v>
      </c>
      <c r="W8112" s="116">
        <v>1297</v>
      </c>
      <c r="X8112" s="220">
        <v>3820000</v>
      </c>
      <c r="Y8112" s="220">
        <f>X8112*0.1</f>
        <v>382000</v>
      </c>
      <c r="Z8112" s="220">
        <v>19870</v>
      </c>
      <c r="AA8112" s="220">
        <f>SUM(X8112:Z8112)</f>
        <v>4221870</v>
      </c>
      <c r="AB8112" s="222">
        <v>46133</v>
      </c>
    </row>
    <row r="8113" spans="1:28" ht="17.100000000000001" customHeight="1" thickBot="1">
      <c r="A8113" s="227"/>
      <c r="B8113" s="27" t="s">
        <v>2472</v>
      </c>
      <c r="C8113" s="27">
        <v>82467</v>
      </c>
      <c r="D8113" s="14" t="s">
        <v>1584</v>
      </c>
      <c r="E8113" s="229"/>
      <c r="F8113" s="117" t="s">
        <v>22305</v>
      </c>
      <c r="G8113" s="26">
        <v>44650</v>
      </c>
      <c r="H8113" s="231"/>
      <c r="I8113" s="221"/>
      <c r="J8113" s="221"/>
      <c r="K8113" s="221"/>
      <c r="L8113" s="221"/>
      <c r="M8113" s="221"/>
      <c r="N8113" s="221"/>
      <c r="O8113" s="225"/>
      <c r="P8113" s="118" t="s">
        <v>5155</v>
      </c>
      <c r="Q8113" s="16" t="s">
        <v>20</v>
      </c>
      <c r="R8113" s="17" t="s">
        <v>23125</v>
      </c>
      <c r="S8113" s="121" t="s">
        <v>22471</v>
      </c>
      <c r="T8113" s="122"/>
      <c r="U8113" s="22"/>
      <c r="V8113" s="123" t="s">
        <v>2472</v>
      </c>
      <c r="W8113" s="122">
        <v>80072</v>
      </c>
      <c r="X8113" s="221"/>
      <c r="Y8113" s="221"/>
      <c r="Z8113" s="221"/>
      <c r="AA8113" s="221"/>
      <c r="AB8113" s="223"/>
    </row>
    <row r="8114" spans="1:28" ht="17.100000000000001" customHeight="1" thickTop="1">
      <c r="A8114" s="226" t="s">
        <v>22295</v>
      </c>
      <c r="B8114" s="28">
        <v>46123</v>
      </c>
      <c r="C8114" s="25">
        <v>1296</v>
      </c>
      <c r="D8114" s="13" t="s">
        <v>812</v>
      </c>
      <c r="E8114" s="228"/>
      <c r="F8114" s="109" t="s">
        <v>22296</v>
      </c>
      <c r="G8114" s="24" t="s">
        <v>1551</v>
      </c>
      <c r="H8114" s="230">
        <v>4.5</v>
      </c>
      <c r="I8114" s="220">
        <v>1755000</v>
      </c>
      <c r="J8114" s="220">
        <f>I8114*0.1</f>
        <v>175500</v>
      </c>
      <c r="K8114" s="220">
        <v>36300</v>
      </c>
      <c r="L8114" s="220">
        <v>16160</v>
      </c>
      <c r="M8114" s="220">
        <v>16500</v>
      </c>
      <c r="N8114" s="220">
        <f>SUM(I8114:M8115)</f>
        <v>1999460</v>
      </c>
      <c r="O8114" s="224"/>
      <c r="P8114" s="110" t="s">
        <v>22307</v>
      </c>
      <c r="Q8114" s="15" t="s">
        <v>19</v>
      </c>
      <c r="R8114" s="205"/>
      <c r="S8114" s="189" t="s">
        <v>25507</v>
      </c>
      <c r="T8114" s="114"/>
      <c r="U8114" s="21"/>
      <c r="V8114" s="115">
        <v>46156</v>
      </c>
      <c r="W8114" s="116">
        <v>1330</v>
      </c>
      <c r="X8114" s="220">
        <v>2050000</v>
      </c>
      <c r="Y8114" s="220">
        <f>X8114*0.1</f>
        <v>205000</v>
      </c>
      <c r="Z8114" s="220">
        <v>16160</v>
      </c>
      <c r="AA8114" s="220">
        <f>SUM(X8114:Z8114)</f>
        <v>2271160</v>
      </c>
      <c r="AB8114" s="222">
        <v>46157</v>
      </c>
    </row>
    <row r="8115" spans="1:28" ht="17.100000000000001" customHeight="1" thickBot="1">
      <c r="A8115" s="227"/>
      <c r="B8115" s="27" t="s">
        <v>2472</v>
      </c>
      <c r="C8115" s="27">
        <v>82554</v>
      </c>
      <c r="D8115" s="14" t="s">
        <v>1797</v>
      </c>
      <c r="E8115" s="229"/>
      <c r="F8115" s="117" t="s">
        <v>22306</v>
      </c>
      <c r="G8115" s="26">
        <v>45616</v>
      </c>
      <c r="H8115" s="231"/>
      <c r="I8115" s="221"/>
      <c r="J8115" s="221"/>
      <c r="K8115" s="221"/>
      <c r="L8115" s="221"/>
      <c r="M8115" s="221"/>
      <c r="N8115" s="221"/>
      <c r="O8115" s="225"/>
      <c r="P8115" s="118" t="s">
        <v>1586</v>
      </c>
      <c r="Q8115" s="16" t="s">
        <v>20</v>
      </c>
      <c r="R8115" s="17" t="s">
        <v>23125</v>
      </c>
      <c r="S8115" s="121" t="s">
        <v>1606</v>
      </c>
      <c r="T8115" s="122"/>
      <c r="U8115" s="22"/>
      <c r="V8115" s="123" t="s">
        <v>24819</v>
      </c>
      <c r="W8115" s="122" t="s">
        <v>24820</v>
      </c>
      <c r="X8115" s="221"/>
      <c r="Y8115" s="221"/>
      <c r="Z8115" s="221"/>
      <c r="AA8115" s="221"/>
      <c r="AB8115" s="223"/>
    </row>
    <row r="8116" spans="1:28" ht="17.100000000000001" customHeight="1" thickTop="1">
      <c r="A8116" s="226" t="s">
        <v>22385</v>
      </c>
      <c r="B8116" s="28">
        <v>46125</v>
      </c>
      <c r="C8116" s="25">
        <v>2089</v>
      </c>
      <c r="D8116" s="13" t="s">
        <v>1702</v>
      </c>
      <c r="E8116" s="228"/>
      <c r="F8116" s="109" t="s">
        <v>22341</v>
      </c>
      <c r="G8116" s="24"/>
      <c r="H8116" s="230">
        <v>4</v>
      </c>
      <c r="I8116" s="220">
        <v>828000</v>
      </c>
      <c r="J8116" s="220">
        <f>I8116*0.1</f>
        <v>82800</v>
      </c>
      <c r="K8116" s="220">
        <v>0</v>
      </c>
      <c r="L8116" s="220">
        <v>20170</v>
      </c>
      <c r="M8116" s="220">
        <v>11000</v>
      </c>
      <c r="N8116" s="220">
        <f>SUM(I8116:M8117)</f>
        <v>941970</v>
      </c>
      <c r="O8116" s="224"/>
      <c r="P8116" s="110" t="s">
        <v>22637</v>
      </c>
      <c r="Q8116" s="15" t="s">
        <v>19</v>
      </c>
      <c r="R8116" s="205"/>
      <c r="S8116" s="189" t="s">
        <v>25942</v>
      </c>
      <c r="T8116" s="114"/>
      <c r="U8116" s="21"/>
      <c r="V8116" s="115"/>
      <c r="W8116" s="116"/>
      <c r="X8116" s="220"/>
      <c r="Y8116" s="220">
        <f>X8116*0.1</f>
        <v>0</v>
      </c>
      <c r="Z8116" s="220"/>
      <c r="AA8116" s="220">
        <f>SUM(X8116:Z8116)</f>
        <v>0</v>
      </c>
      <c r="AB8116" s="222"/>
    </row>
    <row r="8117" spans="1:28" ht="17.100000000000001" customHeight="1" thickBot="1">
      <c r="A8117" s="227"/>
      <c r="B8117" s="27" t="s">
        <v>82</v>
      </c>
      <c r="C8117" s="27">
        <v>31006</v>
      </c>
      <c r="D8117" s="14" t="s">
        <v>1568</v>
      </c>
      <c r="E8117" s="229"/>
      <c r="F8117" s="117" t="s">
        <v>22342</v>
      </c>
      <c r="G8117" s="26">
        <v>44205</v>
      </c>
      <c r="H8117" s="231"/>
      <c r="I8117" s="221"/>
      <c r="J8117" s="221"/>
      <c r="K8117" s="221"/>
      <c r="L8117" s="221"/>
      <c r="M8117" s="221"/>
      <c r="N8117" s="221"/>
      <c r="O8117" s="225"/>
      <c r="P8117" s="118" t="s">
        <v>9498</v>
      </c>
      <c r="Q8117" s="16" t="s">
        <v>20</v>
      </c>
      <c r="R8117" s="17" t="s">
        <v>1930</v>
      </c>
      <c r="S8117" s="121" t="s">
        <v>1649</v>
      </c>
      <c r="T8117" s="122"/>
      <c r="U8117" s="22"/>
      <c r="V8117" s="123"/>
      <c r="W8117" s="122"/>
      <c r="X8117" s="221"/>
      <c r="Y8117" s="221"/>
      <c r="Z8117" s="221"/>
      <c r="AA8117" s="221"/>
      <c r="AB8117" s="223"/>
    </row>
    <row r="8118" spans="1:28" ht="17.100000000000001" customHeight="1" thickTop="1">
      <c r="A8118" s="226" t="s">
        <v>22386</v>
      </c>
      <c r="B8118" s="28">
        <v>46125</v>
      </c>
      <c r="C8118" s="25">
        <v>2089</v>
      </c>
      <c r="D8118" s="13" t="s">
        <v>2900</v>
      </c>
      <c r="E8118" s="228"/>
      <c r="F8118" s="109" t="s">
        <v>22343</v>
      </c>
      <c r="G8118" s="24"/>
      <c r="H8118" s="230">
        <v>4</v>
      </c>
      <c r="I8118" s="220">
        <v>2415000</v>
      </c>
      <c r="J8118" s="220">
        <f>I8118*0.1</f>
        <v>241500</v>
      </c>
      <c r="K8118" s="220">
        <v>0</v>
      </c>
      <c r="L8118" s="220">
        <v>17800</v>
      </c>
      <c r="M8118" s="220">
        <v>11000</v>
      </c>
      <c r="N8118" s="220">
        <f>SUM(I8118:M8119)</f>
        <v>2685300</v>
      </c>
      <c r="O8118" s="224"/>
      <c r="P8118" s="110" t="s">
        <v>22846</v>
      </c>
      <c r="Q8118" s="15" t="s">
        <v>19</v>
      </c>
      <c r="R8118" s="205"/>
      <c r="S8118" s="189" t="s">
        <v>25943</v>
      </c>
      <c r="T8118" s="114"/>
      <c r="U8118" s="21"/>
      <c r="V8118" s="115">
        <v>46158</v>
      </c>
      <c r="W8118" s="116">
        <v>1300</v>
      </c>
      <c r="X8118" s="220">
        <v>2585000</v>
      </c>
      <c r="Y8118" s="220">
        <f>X8118*0.1</f>
        <v>258500</v>
      </c>
      <c r="Z8118" s="220">
        <v>17800</v>
      </c>
      <c r="AA8118" s="220">
        <f>SUM(X8118:Z8118)</f>
        <v>2861300</v>
      </c>
      <c r="AB8118" s="222">
        <v>46161</v>
      </c>
    </row>
    <row r="8119" spans="1:28" ht="17.100000000000001" customHeight="1" thickBot="1">
      <c r="A8119" s="227"/>
      <c r="B8119" s="27" t="s">
        <v>82</v>
      </c>
      <c r="C8119" s="27">
        <v>33504</v>
      </c>
      <c r="D8119" s="14" t="s">
        <v>273</v>
      </c>
      <c r="E8119" s="229"/>
      <c r="F8119" s="117" t="s">
        <v>22344</v>
      </c>
      <c r="G8119" s="26">
        <v>32473</v>
      </c>
      <c r="H8119" s="231"/>
      <c r="I8119" s="221"/>
      <c r="J8119" s="221"/>
      <c r="K8119" s="221"/>
      <c r="L8119" s="221"/>
      <c r="M8119" s="221"/>
      <c r="N8119" s="221"/>
      <c r="O8119" s="225"/>
      <c r="P8119" s="118" t="s">
        <v>4735</v>
      </c>
      <c r="Q8119" s="16" t="s">
        <v>20</v>
      </c>
      <c r="R8119" s="17" t="s">
        <v>3650</v>
      </c>
      <c r="S8119" s="121" t="s">
        <v>1731</v>
      </c>
      <c r="T8119" s="122"/>
      <c r="U8119" s="22"/>
      <c r="V8119" s="123" t="s">
        <v>2472</v>
      </c>
      <c r="W8119" s="122">
        <v>80088</v>
      </c>
      <c r="X8119" s="221"/>
      <c r="Y8119" s="221"/>
      <c r="Z8119" s="221"/>
      <c r="AA8119" s="221"/>
      <c r="AB8119" s="223"/>
    </row>
    <row r="8120" spans="1:28" ht="17.100000000000001" customHeight="1" thickTop="1">
      <c r="A8120" s="226" t="s">
        <v>22387</v>
      </c>
      <c r="B8120" s="28">
        <v>46125</v>
      </c>
      <c r="C8120" s="25">
        <v>2089</v>
      </c>
      <c r="D8120" s="13" t="s">
        <v>2113</v>
      </c>
      <c r="E8120" s="228"/>
      <c r="F8120" s="109" t="s">
        <v>22345</v>
      </c>
      <c r="G8120" s="24"/>
      <c r="H8120" s="230">
        <v>5</v>
      </c>
      <c r="I8120" s="220">
        <v>2190000</v>
      </c>
      <c r="J8120" s="220">
        <f>I8120*0.1</f>
        <v>219000</v>
      </c>
      <c r="K8120" s="220">
        <v>0</v>
      </c>
      <c r="L8120" s="220">
        <v>13210</v>
      </c>
      <c r="M8120" s="220">
        <v>11000</v>
      </c>
      <c r="N8120" s="220">
        <f>SUM(I8120:M8121)</f>
        <v>2433210</v>
      </c>
      <c r="O8120" s="224"/>
      <c r="P8120" s="110" t="s">
        <v>23126</v>
      </c>
      <c r="Q8120" s="15" t="s">
        <v>19</v>
      </c>
      <c r="R8120" s="205"/>
      <c r="S8120" s="189" t="s">
        <v>25944</v>
      </c>
      <c r="T8120" s="114"/>
      <c r="U8120" s="21"/>
      <c r="V8120" s="115">
        <v>46130</v>
      </c>
      <c r="W8120" s="116">
        <v>1297</v>
      </c>
      <c r="X8120" s="220">
        <v>2420000</v>
      </c>
      <c r="Y8120" s="220">
        <f>X8120*0.1</f>
        <v>242000</v>
      </c>
      <c r="Z8120" s="220">
        <v>13210</v>
      </c>
      <c r="AA8120" s="220">
        <f>SUM(X8120:Z8120)</f>
        <v>2675210</v>
      </c>
      <c r="AB8120" s="222">
        <v>46133</v>
      </c>
    </row>
    <row r="8121" spans="1:28" ht="17.100000000000001" customHeight="1" thickBot="1">
      <c r="A8121" s="227"/>
      <c r="B8121" s="27" t="s">
        <v>82</v>
      </c>
      <c r="C8121" s="27">
        <v>33527</v>
      </c>
      <c r="D8121" s="14" t="s">
        <v>2559</v>
      </c>
      <c r="E8121" s="229"/>
      <c r="F8121" s="117" t="s">
        <v>22346</v>
      </c>
      <c r="G8121" s="26">
        <v>10489</v>
      </c>
      <c r="H8121" s="231"/>
      <c r="I8121" s="221"/>
      <c r="J8121" s="221"/>
      <c r="K8121" s="221"/>
      <c r="L8121" s="221"/>
      <c r="M8121" s="221"/>
      <c r="N8121" s="221"/>
      <c r="O8121" s="225"/>
      <c r="P8121" s="118" t="s">
        <v>4735</v>
      </c>
      <c r="Q8121" s="16" t="s">
        <v>20</v>
      </c>
      <c r="R8121" s="17" t="s">
        <v>23125</v>
      </c>
      <c r="S8121" s="121" t="s">
        <v>4031</v>
      </c>
      <c r="T8121" s="122"/>
      <c r="U8121" s="22"/>
      <c r="V8121" s="123" t="s">
        <v>2472</v>
      </c>
      <c r="W8121" s="122">
        <v>80350</v>
      </c>
      <c r="X8121" s="221"/>
      <c r="Y8121" s="221"/>
      <c r="Z8121" s="221"/>
      <c r="AA8121" s="221"/>
      <c r="AB8121" s="223"/>
    </row>
    <row r="8122" spans="1:28" ht="17.100000000000001" customHeight="1" thickTop="1">
      <c r="A8122" s="226" t="s">
        <v>22388</v>
      </c>
      <c r="B8122" s="28">
        <v>46125</v>
      </c>
      <c r="C8122" s="25">
        <v>2089</v>
      </c>
      <c r="D8122" s="13" t="s">
        <v>1788</v>
      </c>
      <c r="E8122" s="228"/>
      <c r="F8122" s="109" t="s">
        <v>22356</v>
      </c>
      <c r="G8122" s="24"/>
      <c r="H8122" s="230">
        <v>4</v>
      </c>
      <c r="I8122" s="220">
        <v>704000</v>
      </c>
      <c r="J8122" s="220">
        <f>I8122*0.1</f>
        <v>70400</v>
      </c>
      <c r="K8122" s="220">
        <v>0</v>
      </c>
      <c r="L8122" s="220">
        <v>20420</v>
      </c>
      <c r="M8122" s="220">
        <v>11000</v>
      </c>
      <c r="N8122" s="220">
        <f>SUM(I8122:M8123)</f>
        <v>805820</v>
      </c>
      <c r="O8122" s="224"/>
      <c r="P8122" s="110" t="s">
        <v>23228</v>
      </c>
      <c r="Q8122" s="15" t="s">
        <v>19</v>
      </c>
      <c r="R8122" s="205"/>
      <c r="S8122" s="189" t="s">
        <v>25942</v>
      </c>
      <c r="T8122" s="114"/>
      <c r="U8122" s="21"/>
      <c r="V8122" s="115">
        <v>46144</v>
      </c>
      <c r="W8122" s="116">
        <v>1299</v>
      </c>
      <c r="X8122" s="220">
        <v>810000</v>
      </c>
      <c r="Y8122" s="220">
        <f>X8122*0.1</f>
        <v>81000</v>
      </c>
      <c r="Z8122" s="220">
        <v>20420</v>
      </c>
      <c r="AA8122" s="220">
        <f>SUM(X8122:Z8122)</f>
        <v>911420</v>
      </c>
      <c r="AB8122" s="222">
        <v>46154</v>
      </c>
    </row>
    <row r="8123" spans="1:28" ht="17.100000000000001" customHeight="1" thickBot="1">
      <c r="A8123" s="227"/>
      <c r="B8123" s="27" t="s">
        <v>82</v>
      </c>
      <c r="C8123" s="27">
        <v>34518</v>
      </c>
      <c r="D8123" s="14" t="s">
        <v>2559</v>
      </c>
      <c r="E8123" s="229"/>
      <c r="F8123" s="117" t="s">
        <v>22357</v>
      </c>
      <c r="G8123" s="26">
        <v>26292</v>
      </c>
      <c r="H8123" s="231"/>
      <c r="I8123" s="221"/>
      <c r="J8123" s="221"/>
      <c r="K8123" s="221"/>
      <c r="L8123" s="221"/>
      <c r="M8123" s="221"/>
      <c r="N8123" s="221"/>
      <c r="O8123" s="225"/>
      <c r="P8123" s="118" t="s">
        <v>1828</v>
      </c>
      <c r="Q8123" s="16" t="s">
        <v>20</v>
      </c>
      <c r="R8123" s="17" t="s">
        <v>23208</v>
      </c>
      <c r="S8123" s="121" t="s">
        <v>1606</v>
      </c>
      <c r="T8123" s="122"/>
      <c r="U8123" s="22"/>
      <c r="V8123" s="123" t="s">
        <v>24346</v>
      </c>
      <c r="W8123" s="122">
        <v>80230</v>
      </c>
      <c r="X8123" s="221"/>
      <c r="Y8123" s="221"/>
      <c r="Z8123" s="221"/>
      <c r="AA8123" s="221"/>
      <c r="AB8123" s="223"/>
    </row>
    <row r="8124" spans="1:28" ht="17.100000000000001" customHeight="1" thickTop="1">
      <c r="A8124" s="226" t="s">
        <v>22389</v>
      </c>
      <c r="B8124" s="28">
        <v>46125</v>
      </c>
      <c r="C8124" s="25">
        <v>2089</v>
      </c>
      <c r="D8124" s="13" t="s">
        <v>2463</v>
      </c>
      <c r="E8124" s="228"/>
      <c r="F8124" s="109" t="s">
        <v>22358</v>
      </c>
      <c r="G8124" s="24" t="s">
        <v>1540</v>
      </c>
      <c r="H8124" s="230">
        <v>4.5</v>
      </c>
      <c r="I8124" s="220">
        <v>173000</v>
      </c>
      <c r="J8124" s="220">
        <f>I8124*0.1</f>
        <v>17300</v>
      </c>
      <c r="K8124" s="220">
        <f>36200+3620</f>
        <v>39820</v>
      </c>
      <c r="L8124" s="220">
        <v>17550</v>
      </c>
      <c r="M8124" s="220">
        <v>11000</v>
      </c>
      <c r="N8124" s="220">
        <f>SUM(I8124:M8125)</f>
        <v>258670</v>
      </c>
      <c r="O8124" s="224"/>
      <c r="P8124" s="110" t="s">
        <v>22360</v>
      </c>
      <c r="Q8124" s="15" t="s">
        <v>19</v>
      </c>
      <c r="R8124" s="205"/>
      <c r="S8124" s="189" t="s">
        <v>25945</v>
      </c>
      <c r="T8124" s="114"/>
      <c r="U8124" s="21"/>
      <c r="V8124" s="115">
        <v>46137</v>
      </c>
      <c r="W8124" s="116">
        <v>1298</v>
      </c>
      <c r="X8124" s="220">
        <v>280000</v>
      </c>
      <c r="Y8124" s="220">
        <f>X8124*0.1</f>
        <v>28000</v>
      </c>
      <c r="Z8124" s="220">
        <v>17550</v>
      </c>
      <c r="AA8124" s="220">
        <f>SUM(X8124:Z8124)</f>
        <v>325550</v>
      </c>
      <c r="AB8124" s="222">
        <v>46154</v>
      </c>
    </row>
    <row r="8125" spans="1:28" ht="17.100000000000001" customHeight="1" thickBot="1">
      <c r="A8125" s="227"/>
      <c r="B8125" s="27" t="s">
        <v>82</v>
      </c>
      <c r="C8125" s="27">
        <v>34520</v>
      </c>
      <c r="D8125" s="14" t="s">
        <v>273</v>
      </c>
      <c r="E8125" s="229"/>
      <c r="F8125" s="117" t="s">
        <v>22359</v>
      </c>
      <c r="G8125" s="26">
        <v>71309</v>
      </c>
      <c r="H8125" s="231"/>
      <c r="I8125" s="221"/>
      <c r="J8125" s="221"/>
      <c r="K8125" s="221"/>
      <c r="L8125" s="221"/>
      <c r="M8125" s="221"/>
      <c r="N8125" s="221"/>
      <c r="O8125" s="225"/>
      <c r="P8125" s="118" t="s">
        <v>22636</v>
      </c>
      <c r="Q8125" s="16" t="s">
        <v>20</v>
      </c>
      <c r="R8125" s="17" t="s">
        <v>1930</v>
      </c>
      <c r="S8125" s="121" t="s">
        <v>4031</v>
      </c>
      <c r="T8125" s="122"/>
      <c r="U8125" s="22"/>
      <c r="V8125" s="123" t="s">
        <v>6642</v>
      </c>
      <c r="W8125" s="122">
        <v>53383</v>
      </c>
      <c r="X8125" s="221"/>
      <c r="Y8125" s="221"/>
      <c r="Z8125" s="221"/>
      <c r="AA8125" s="221"/>
      <c r="AB8125" s="223"/>
    </row>
    <row r="8126" spans="1:28" ht="17.100000000000001" customHeight="1" thickTop="1">
      <c r="A8126" s="226" t="s">
        <v>22390</v>
      </c>
      <c r="B8126" s="28">
        <v>46125</v>
      </c>
      <c r="C8126" s="25">
        <v>2089</v>
      </c>
      <c r="D8126" s="13" t="s">
        <v>11337</v>
      </c>
      <c r="E8126" s="228"/>
      <c r="F8126" s="109" t="s">
        <v>22361</v>
      </c>
      <c r="G8126" s="24" t="s">
        <v>2530</v>
      </c>
      <c r="H8126" s="230">
        <v>4</v>
      </c>
      <c r="I8126" s="220">
        <v>264000</v>
      </c>
      <c r="J8126" s="220">
        <f>I8126*0.1</f>
        <v>26400</v>
      </c>
      <c r="K8126" s="220">
        <f>36200+3620</f>
        <v>39820</v>
      </c>
      <c r="L8126" s="220">
        <v>17820</v>
      </c>
      <c r="M8126" s="220">
        <v>11000</v>
      </c>
      <c r="N8126" s="220">
        <f>SUM(I8126:M8127)</f>
        <v>359040</v>
      </c>
      <c r="O8126" s="224"/>
      <c r="P8126" s="110" t="s">
        <v>22363</v>
      </c>
      <c r="Q8126" s="15" t="s">
        <v>19</v>
      </c>
      <c r="R8126" s="205"/>
      <c r="S8126" s="189" t="s">
        <v>1361</v>
      </c>
      <c r="T8126" s="114"/>
      <c r="U8126" s="21"/>
      <c r="V8126" s="115">
        <v>46130</v>
      </c>
      <c r="W8126" s="116">
        <v>1297</v>
      </c>
      <c r="X8126" s="220">
        <v>390000</v>
      </c>
      <c r="Y8126" s="220">
        <f>X8126*0.1</f>
        <v>39000</v>
      </c>
      <c r="Z8126" s="220">
        <v>17820</v>
      </c>
      <c r="AA8126" s="220">
        <f>SUM(X8126:Z8126)</f>
        <v>446820</v>
      </c>
      <c r="AB8126" s="222">
        <v>46133</v>
      </c>
    </row>
    <row r="8127" spans="1:28" ht="17.100000000000001" customHeight="1" thickBot="1">
      <c r="A8127" s="227"/>
      <c r="B8127" s="27" t="s">
        <v>82</v>
      </c>
      <c r="C8127" s="27">
        <v>34526</v>
      </c>
      <c r="D8127" s="14" t="s">
        <v>1568</v>
      </c>
      <c r="E8127" s="229"/>
      <c r="F8127" s="117" t="s">
        <v>22362</v>
      </c>
      <c r="G8127" s="26">
        <v>49041</v>
      </c>
      <c r="H8127" s="231"/>
      <c r="I8127" s="221"/>
      <c r="J8127" s="221"/>
      <c r="K8127" s="221"/>
      <c r="L8127" s="221"/>
      <c r="M8127" s="221"/>
      <c r="N8127" s="221"/>
      <c r="O8127" s="225"/>
      <c r="P8127" s="118" t="s">
        <v>14061</v>
      </c>
      <c r="Q8127" s="16" t="s">
        <v>20</v>
      </c>
      <c r="R8127" s="17" t="s">
        <v>3650</v>
      </c>
      <c r="S8127" s="121" t="s">
        <v>169</v>
      </c>
      <c r="T8127" s="122"/>
      <c r="U8127" s="22"/>
      <c r="V8127" s="123" t="s">
        <v>2472</v>
      </c>
      <c r="W8127" s="122">
        <v>80348</v>
      </c>
      <c r="X8127" s="221"/>
      <c r="Y8127" s="221"/>
      <c r="Z8127" s="221"/>
      <c r="AA8127" s="221"/>
      <c r="AB8127" s="223"/>
    </row>
    <row r="8128" spans="1:28" ht="17.100000000000001" customHeight="1" thickTop="1">
      <c r="A8128" s="226" t="s">
        <v>22391</v>
      </c>
      <c r="B8128" s="28">
        <v>46125</v>
      </c>
      <c r="C8128" s="25">
        <v>2089</v>
      </c>
      <c r="D8128" s="13" t="s">
        <v>1853</v>
      </c>
      <c r="E8128" s="228"/>
      <c r="F8128" s="109" t="s">
        <v>22364</v>
      </c>
      <c r="G8128" s="24"/>
      <c r="H8128" s="230">
        <v>4.5</v>
      </c>
      <c r="I8128" s="220">
        <v>850000</v>
      </c>
      <c r="J8128" s="220">
        <f>I8128*0.1</f>
        <v>85000</v>
      </c>
      <c r="K8128" s="220">
        <v>0</v>
      </c>
      <c r="L8128" s="220">
        <v>15160</v>
      </c>
      <c r="M8128" s="220">
        <v>11000</v>
      </c>
      <c r="N8128" s="220">
        <f>SUM(I8128:M8129)</f>
        <v>961160</v>
      </c>
      <c r="O8128" s="224"/>
      <c r="P8128" s="110" t="s">
        <v>22845</v>
      </c>
      <c r="Q8128" s="15" t="s">
        <v>19</v>
      </c>
      <c r="R8128" s="205"/>
      <c r="S8128" s="189" t="s">
        <v>1289</v>
      </c>
      <c r="T8128" s="114"/>
      <c r="U8128" s="21"/>
      <c r="V8128" s="115">
        <v>46144</v>
      </c>
      <c r="W8128" s="116">
        <v>1299</v>
      </c>
      <c r="X8128" s="220">
        <v>895000</v>
      </c>
      <c r="Y8128" s="220">
        <f>X8128*0.1</f>
        <v>89500</v>
      </c>
      <c r="Z8128" s="220">
        <v>15160</v>
      </c>
      <c r="AA8128" s="220">
        <f>SUM(X8128:Z8128)</f>
        <v>999660</v>
      </c>
      <c r="AB8128" s="222">
        <v>46154</v>
      </c>
    </row>
    <row r="8129" spans="1:28" ht="17.100000000000001" customHeight="1" thickBot="1">
      <c r="A8129" s="227"/>
      <c r="B8129" s="27" t="s">
        <v>82</v>
      </c>
      <c r="C8129" s="27">
        <v>36026</v>
      </c>
      <c r="D8129" s="14" t="s">
        <v>1710</v>
      </c>
      <c r="E8129" s="229"/>
      <c r="F8129" s="117" t="s">
        <v>22365</v>
      </c>
      <c r="G8129" s="26">
        <v>20046</v>
      </c>
      <c r="H8129" s="231"/>
      <c r="I8129" s="221"/>
      <c r="J8129" s="221"/>
      <c r="K8129" s="221"/>
      <c r="L8129" s="221"/>
      <c r="M8129" s="221"/>
      <c r="N8129" s="221"/>
      <c r="O8129" s="225"/>
      <c r="P8129" s="118" t="s">
        <v>8951</v>
      </c>
      <c r="Q8129" s="16" t="s">
        <v>20</v>
      </c>
      <c r="R8129" s="17" t="s">
        <v>3650</v>
      </c>
      <c r="S8129" s="121" t="s">
        <v>1731</v>
      </c>
      <c r="T8129" s="122"/>
      <c r="U8129" s="22"/>
      <c r="V8129" s="123" t="s">
        <v>24346</v>
      </c>
      <c r="W8129" s="122">
        <v>80216</v>
      </c>
      <c r="X8129" s="221"/>
      <c r="Y8129" s="221"/>
      <c r="Z8129" s="221"/>
      <c r="AA8129" s="221"/>
      <c r="AB8129" s="223"/>
    </row>
    <row r="8130" spans="1:28" ht="17.100000000000001" customHeight="1" thickTop="1">
      <c r="A8130" s="226" t="s">
        <v>22392</v>
      </c>
      <c r="B8130" s="28">
        <v>46125</v>
      </c>
      <c r="C8130" s="25"/>
      <c r="D8130" s="13" t="s">
        <v>1953</v>
      </c>
      <c r="E8130" s="228"/>
      <c r="F8130" s="109" t="s">
        <v>22706</v>
      </c>
      <c r="G8130" s="24"/>
      <c r="H8130" s="230">
        <v>4</v>
      </c>
      <c r="I8130" s="220">
        <v>1442000</v>
      </c>
      <c r="J8130" s="220">
        <f>I8130*0.1</f>
        <v>144200</v>
      </c>
      <c r="K8130" s="220">
        <v>0</v>
      </c>
      <c r="L8130" s="220">
        <v>18930</v>
      </c>
      <c r="M8130" s="220">
        <v>14850</v>
      </c>
      <c r="N8130" s="220">
        <f>SUM(I8130:M8131)</f>
        <v>1619980</v>
      </c>
      <c r="O8130" s="224"/>
      <c r="P8130" s="110" t="s">
        <v>22708</v>
      </c>
      <c r="Q8130" s="15" t="s">
        <v>19</v>
      </c>
      <c r="R8130" s="205"/>
      <c r="S8130" s="189" t="s">
        <v>25797</v>
      </c>
      <c r="T8130" s="114"/>
      <c r="U8130" s="21"/>
      <c r="V8130" s="115">
        <v>46130</v>
      </c>
      <c r="W8130" s="116">
        <v>1297</v>
      </c>
      <c r="X8130" s="220">
        <v>1565000</v>
      </c>
      <c r="Y8130" s="220">
        <f>X8130*0.1</f>
        <v>156500</v>
      </c>
      <c r="Z8130" s="220">
        <v>18930</v>
      </c>
      <c r="AA8130" s="220">
        <f>SUM(X8130:Z8130)</f>
        <v>1740430</v>
      </c>
      <c r="AB8130" s="222">
        <v>46135</v>
      </c>
    </row>
    <row r="8131" spans="1:28" ht="17.100000000000001" customHeight="1" thickBot="1">
      <c r="A8131" s="227"/>
      <c r="B8131" s="27" t="s">
        <v>8691</v>
      </c>
      <c r="C8131" s="27">
        <v>60101</v>
      </c>
      <c r="D8131" s="14" t="s">
        <v>131</v>
      </c>
      <c r="E8131" s="229"/>
      <c r="F8131" s="117" t="s">
        <v>22707</v>
      </c>
      <c r="G8131" s="26">
        <v>37010</v>
      </c>
      <c r="H8131" s="231"/>
      <c r="I8131" s="221"/>
      <c r="J8131" s="221"/>
      <c r="K8131" s="221"/>
      <c r="L8131" s="221"/>
      <c r="M8131" s="221"/>
      <c r="N8131" s="221"/>
      <c r="O8131" s="225"/>
      <c r="P8131" s="118" t="s">
        <v>2898</v>
      </c>
      <c r="Q8131" s="16" t="s">
        <v>20</v>
      </c>
      <c r="R8131" s="17" t="s">
        <v>22705</v>
      </c>
      <c r="S8131" s="121" t="s">
        <v>2405</v>
      </c>
      <c r="T8131" s="122"/>
      <c r="U8131" s="22"/>
      <c r="V8131" s="123" t="s">
        <v>2472</v>
      </c>
      <c r="W8131" s="122">
        <v>80428</v>
      </c>
      <c r="X8131" s="221"/>
      <c r="Y8131" s="221"/>
      <c r="Z8131" s="221"/>
      <c r="AA8131" s="221"/>
      <c r="AB8131" s="223"/>
    </row>
    <row r="8132" spans="1:28" ht="17.100000000000001" customHeight="1" thickTop="1">
      <c r="A8132" s="226" t="s">
        <v>22395</v>
      </c>
      <c r="B8132" s="28">
        <v>46125</v>
      </c>
      <c r="C8132" s="25"/>
      <c r="D8132" s="13" t="s">
        <v>2010</v>
      </c>
      <c r="E8132" s="228"/>
      <c r="F8132" s="109" t="s">
        <v>22368</v>
      </c>
      <c r="G8132" s="24" t="s">
        <v>3453</v>
      </c>
      <c r="H8132" s="230">
        <v>4.5</v>
      </c>
      <c r="I8132" s="220">
        <f>819500/1.1</f>
        <v>744999.99999999988</v>
      </c>
      <c r="J8132" s="220">
        <f>I8132*0.1</f>
        <v>74499.999999999985</v>
      </c>
      <c r="K8132" s="220">
        <v>0</v>
      </c>
      <c r="L8132" s="220">
        <v>5690</v>
      </c>
      <c r="M8132" s="220">
        <v>0</v>
      </c>
      <c r="N8132" s="220">
        <f>SUM(I8132:M8133)</f>
        <v>825189.99999999988</v>
      </c>
      <c r="O8132" s="224"/>
      <c r="P8132" s="110" t="s">
        <v>24910</v>
      </c>
      <c r="Q8132" s="15" t="s">
        <v>19</v>
      </c>
      <c r="R8132" s="205"/>
      <c r="S8132" s="189" t="s">
        <v>1361</v>
      </c>
      <c r="T8132" s="114"/>
      <c r="U8132" s="21"/>
      <c r="V8132" s="115">
        <v>46162</v>
      </c>
      <c r="W8132" s="116">
        <v>1017</v>
      </c>
      <c r="X8132" s="220">
        <v>850000</v>
      </c>
      <c r="Y8132" s="220">
        <f>X8132*0.1</f>
        <v>85000</v>
      </c>
      <c r="Z8132" s="220">
        <v>5690</v>
      </c>
      <c r="AA8132" s="220">
        <f>SUM(X8132:Z8132)</f>
        <v>940690</v>
      </c>
      <c r="AB8132" s="222">
        <v>46167</v>
      </c>
    </row>
    <row r="8133" spans="1:28" ht="17.100000000000001" customHeight="1" thickBot="1">
      <c r="A8133" s="227"/>
      <c r="B8133" s="27" t="s">
        <v>1708</v>
      </c>
      <c r="C8133" s="27" t="s">
        <v>22367</v>
      </c>
      <c r="D8133" s="14" t="s">
        <v>273</v>
      </c>
      <c r="E8133" s="229"/>
      <c r="F8133" s="117" t="s">
        <v>22369</v>
      </c>
      <c r="G8133" s="26">
        <v>20657</v>
      </c>
      <c r="H8133" s="231"/>
      <c r="I8133" s="221"/>
      <c r="J8133" s="221"/>
      <c r="K8133" s="221"/>
      <c r="L8133" s="221"/>
      <c r="M8133" s="221"/>
      <c r="N8133" s="221"/>
      <c r="O8133" s="225"/>
      <c r="P8133" s="118" t="s">
        <v>24911</v>
      </c>
      <c r="Q8133" s="16" t="s">
        <v>20</v>
      </c>
      <c r="R8133" s="17" t="s">
        <v>2683</v>
      </c>
      <c r="S8133" s="121" t="s">
        <v>169</v>
      </c>
      <c r="T8133" s="122"/>
      <c r="U8133" s="22"/>
      <c r="V8133" s="123" t="s">
        <v>2747</v>
      </c>
      <c r="W8133" s="122">
        <v>1216</v>
      </c>
      <c r="X8133" s="221"/>
      <c r="Y8133" s="221"/>
      <c r="Z8133" s="221"/>
      <c r="AA8133" s="221"/>
      <c r="AB8133" s="223"/>
    </row>
    <row r="8134" spans="1:28" ht="17.100000000000001" customHeight="1" thickTop="1">
      <c r="A8134" s="226" t="s">
        <v>22396</v>
      </c>
      <c r="B8134" s="28">
        <v>46125</v>
      </c>
      <c r="C8134" s="25"/>
      <c r="D8134" s="13" t="s">
        <v>2652</v>
      </c>
      <c r="E8134" s="228"/>
      <c r="F8134" s="109" t="s">
        <v>8072</v>
      </c>
      <c r="G8134" s="24" t="s">
        <v>22372</v>
      </c>
      <c r="H8134" s="230">
        <v>5</v>
      </c>
      <c r="I8134" s="220">
        <f>5753000/1.1</f>
        <v>5230000</v>
      </c>
      <c r="J8134" s="220">
        <f>I8134*0.1</f>
        <v>523000</v>
      </c>
      <c r="K8134" s="220">
        <v>41600</v>
      </c>
      <c r="L8134" s="220">
        <v>14230</v>
      </c>
      <c r="M8134" s="220">
        <v>0</v>
      </c>
      <c r="N8134" s="220">
        <f>SUM(I8134:M8135)</f>
        <v>5808830</v>
      </c>
      <c r="O8134" s="224"/>
      <c r="P8134" s="110" t="s">
        <v>23392</v>
      </c>
      <c r="Q8134" s="15" t="s">
        <v>19</v>
      </c>
      <c r="R8134" s="205"/>
      <c r="S8134" s="189" t="s">
        <v>1312</v>
      </c>
      <c r="T8134" s="114"/>
      <c r="U8134" s="21"/>
      <c r="V8134" s="115">
        <v>46155</v>
      </c>
      <c r="W8134" s="116">
        <v>1016</v>
      </c>
      <c r="X8134" s="220">
        <v>5385000</v>
      </c>
      <c r="Y8134" s="220">
        <f>X8134*0.1</f>
        <v>538500</v>
      </c>
      <c r="Z8134" s="220">
        <v>14230</v>
      </c>
      <c r="AA8134" s="220">
        <f>SUM(X8134:Z8134)</f>
        <v>5937730</v>
      </c>
      <c r="AB8134" s="222">
        <v>46160</v>
      </c>
    </row>
    <row r="8135" spans="1:28" ht="17.100000000000001" customHeight="1" thickBot="1">
      <c r="A8135" s="227"/>
      <c r="B8135" s="27" t="s">
        <v>1708</v>
      </c>
      <c r="C8135" s="27" t="s">
        <v>22370</v>
      </c>
      <c r="D8135" s="14" t="s">
        <v>1584</v>
      </c>
      <c r="E8135" s="229"/>
      <c r="F8135" s="117" t="s">
        <v>22371</v>
      </c>
      <c r="G8135" s="26">
        <v>2690</v>
      </c>
      <c r="H8135" s="231"/>
      <c r="I8135" s="221"/>
      <c r="J8135" s="221"/>
      <c r="K8135" s="221"/>
      <c r="L8135" s="221"/>
      <c r="M8135" s="221"/>
      <c r="N8135" s="221"/>
      <c r="O8135" s="225"/>
      <c r="P8135" s="118" t="s">
        <v>23393</v>
      </c>
      <c r="Q8135" s="16" t="s">
        <v>20</v>
      </c>
      <c r="R8135" s="17" t="s">
        <v>23361</v>
      </c>
      <c r="S8135" s="121" t="s">
        <v>23394</v>
      </c>
      <c r="T8135" s="122"/>
      <c r="U8135" s="22"/>
      <c r="V8135" s="123" t="s">
        <v>2747</v>
      </c>
      <c r="W8135" s="122">
        <v>1023</v>
      </c>
      <c r="X8135" s="221"/>
      <c r="Y8135" s="221"/>
      <c r="Z8135" s="221"/>
      <c r="AA8135" s="221"/>
      <c r="AB8135" s="223"/>
    </row>
    <row r="8136" spans="1:28" ht="17.100000000000001" customHeight="1" thickTop="1">
      <c r="A8136" s="226" t="s">
        <v>22397</v>
      </c>
      <c r="B8136" s="28">
        <v>46125</v>
      </c>
      <c r="C8136" s="25"/>
      <c r="D8136" s="13" t="s">
        <v>22408</v>
      </c>
      <c r="E8136" s="228"/>
      <c r="F8136" s="109" t="s">
        <v>8072</v>
      </c>
      <c r="G8136" s="24" t="s">
        <v>22410</v>
      </c>
      <c r="H8136" s="230">
        <v>4.5</v>
      </c>
      <c r="I8136" s="220">
        <f>7205000/1.1</f>
        <v>6549999.9999999991</v>
      </c>
      <c r="J8136" s="220">
        <f>I8136*0.1</f>
        <v>655000</v>
      </c>
      <c r="K8136" s="220">
        <v>41600</v>
      </c>
      <c r="L8136" s="220">
        <v>0</v>
      </c>
      <c r="M8136" s="220">
        <v>14230</v>
      </c>
      <c r="N8136" s="220">
        <f>SUM(I8136:M8137)</f>
        <v>7260829.9999999991</v>
      </c>
      <c r="O8136" s="224"/>
      <c r="P8136" s="110" t="s">
        <v>24873</v>
      </c>
      <c r="Q8136" s="15" t="s">
        <v>19</v>
      </c>
      <c r="R8136" s="205"/>
      <c r="S8136" s="189" t="s">
        <v>1312</v>
      </c>
      <c r="T8136" s="114"/>
      <c r="U8136" s="21"/>
      <c r="V8136" s="115">
        <v>46165</v>
      </c>
      <c r="W8136" s="116">
        <v>1301</v>
      </c>
      <c r="X8136" s="220">
        <v>6605000</v>
      </c>
      <c r="Y8136" s="220">
        <f>X8136*0.1</f>
        <v>660500</v>
      </c>
      <c r="Z8136" s="220">
        <v>14230</v>
      </c>
      <c r="AA8136" s="220">
        <f>SUM(X8136:Z8136)</f>
        <v>7279730</v>
      </c>
      <c r="AB8136" s="222">
        <v>46168</v>
      </c>
    </row>
    <row r="8137" spans="1:28" ht="17.100000000000001" customHeight="1" thickBot="1">
      <c r="A8137" s="227"/>
      <c r="B8137" s="27" t="s">
        <v>1708</v>
      </c>
      <c r="C8137" s="27" t="s">
        <v>22393</v>
      </c>
      <c r="D8137" s="14" t="s">
        <v>22409</v>
      </c>
      <c r="E8137" s="229"/>
      <c r="F8137" s="117" t="s">
        <v>22394</v>
      </c>
      <c r="G8137" s="26">
        <v>11664</v>
      </c>
      <c r="H8137" s="231"/>
      <c r="I8137" s="221"/>
      <c r="J8137" s="221"/>
      <c r="K8137" s="221"/>
      <c r="L8137" s="221"/>
      <c r="M8137" s="221"/>
      <c r="N8137" s="221"/>
      <c r="O8137" s="225"/>
      <c r="P8137" s="118" t="s">
        <v>24874</v>
      </c>
      <c r="Q8137" s="16" t="s">
        <v>20</v>
      </c>
      <c r="R8137" s="17" t="s">
        <v>3680</v>
      </c>
      <c r="S8137" s="121" t="s">
        <v>24875</v>
      </c>
      <c r="T8137" s="122"/>
      <c r="U8137" s="22"/>
      <c r="V8137" s="123" t="s">
        <v>2472</v>
      </c>
      <c r="W8137" s="122">
        <v>37448</v>
      </c>
      <c r="X8137" s="221"/>
      <c r="Y8137" s="221"/>
      <c r="Z8137" s="221"/>
      <c r="AA8137" s="221"/>
      <c r="AB8137" s="223"/>
    </row>
    <row r="8138" spans="1:28" ht="17.100000000000001" customHeight="1" thickTop="1">
      <c r="A8138" s="226" t="s">
        <v>22398</v>
      </c>
      <c r="B8138" s="28">
        <v>46125</v>
      </c>
      <c r="C8138" s="25"/>
      <c r="D8138" s="13" t="s">
        <v>2610</v>
      </c>
      <c r="E8138" s="228"/>
      <c r="F8138" s="109" t="s">
        <v>7043</v>
      </c>
      <c r="G8138" s="24" t="s">
        <v>16863</v>
      </c>
      <c r="H8138" s="230">
        <v>4</v>
      </c>
      <c r="I8138" s="220">
        <f>715000/1.1</f>
        <v>650000</v>
      </c>
      <c r="J8138" s="220">
        <f>I8138*0.1</f>
        <v>65000</v>
      </c>
      <c r="K8138" s="220">
        <v>0</v>
      </c>
      <c r="L8138" s="220">
        <v>8230</v>
      </c>
      <c r="M8138" s="220">
        <v>0</v>
      </c>
      <c r="N8138" s="220">
        <f>SUM(I8138:M8139)</f>
        <v>723230</v>
      </c>
      <c r="O8138" s="224"/>
      <c r="P8138" s="110"/>
      <c r="Q8138" s="15" t="s">
        <v>19</v>
      </c>
      <c r="R8138" s="205"/>
      <c r="S8138" s="189" t="s">
        <v>1271</v>
      </c>
      <c r="T8138" s="114"/>
      <c r="U8138" s="21"/>
      <c r="V8138" s="115"/>
      <c r="W8138" s="116"/>
      <c r="X8138" s="220"/>
      <c r="Y8138" s="220">
        <f>X8138*0.1</f>
        <v>0</v>
      </c>
      <c r="Z8138" s="220"/>
      <c r="AA8138" s="220">
        <f>SUM(X8138:Z8138)</f>
        <v>0</v>
      </c>
      <c r="AB8138" s="222"/>
    </row>
    <row r="8139" spans="1:28" ht="17.100000000000001" customHeight="1" thickBot="1">
      <c r="A8139" s="227"/>
      <c r="B8139" s="27" t="s">
        <v>1708</v>
      </c>
      <c r="C8139" s="27" t="s">
        <v>22373</v>
      </c>
      <c r="D8139" s="14" t="s">
        <v>273</v>
      </c>
      <c r="E8139" s="229"/>
      <c r="F8139" s="117" t="s">
        <v>22374</v>
      </c>
      <c r="G8139" s="26">
        <v>59594</v>
      </c>
      <c r="H8139" s="231"/>
      <c r="I8139" s="221"/>
      <c r="J8139" s="221"/>
      <c r="K8139" s="221"/>
      <c r="L8139" s="221"/>
      <c r="M8139" s="221"/>
      <c r="N8139" s="221"/>
      <c r="O8139" s="225"/>
      <c r="P8139" s="118"/>
      <c r="Q8139" s="16" t="s">
        <v>20</v>
      </c>
      <c r="R8139" s="17"/>
      <c r="S8139" s="121"/>
      <c r="T8139" s="122"/>
      <c r="U8139" s="22"/>
      <c r="V8139" s="123"/>
      <c r="W8139" s="122"/>
      <c r="X8139" s="221"/>
      <c r="Y8139" s="221"/>
      <c r="Z8139" s="221"/>
      <c r="AA8139" s="221"/>
      <c r="AB8139" s="223"/>
    </row>
    <row r="8140" spans="1:28" ht="17.100000000000001" customHeight="1" thickTop="1">
      <c r="A8140" s="226" t="s">
        <v>22399</v>
      </c>
      <c r="B8140" s="28">
        <v>46125</v>
      </c>
      <c r="C8140" s="25"/>
      <c r="D8140" s="13" t="s">
        <v>22411</v>
      </c>
      <c r="E8140" s="228"/>
      <c r="F8140" s="109" t="s">
        <v>22416</v>
      </c>
      <c r="G8140" s="24" t="s">
        <v>22412</v>
      </c>
      <c r="H8140" s="230">
        <v>4</v>
      </c>
      <c r="I8140" s="220">
        <f>528000/1.1</f>
        <v>479999.99999999994</v>
      </c>
      <c r="J8140" s="220">
        <f>I8140*0.1</f>
        <v>48000</v>
      </c>
      <c r="K8140" s="220">
        <v>0</v>
      </c>
      <c r="L8140" s="220">
        <v>7950</v>
      </c>
      <c r="M8140" s="220">
        <v>0</v>
      </c>
      <c r="N8140" s="220">
        <f>SUM(I8140:M8141)</f>
        <v>535950</v>
      </c>
      <c r="O8140" s="224"/>
      <c r="P8140" s="110" t="s">
        <v>24838</v>
      </c>
      <c r="Q8140" s="15" t="s">
        <v>19</v>
      </c>
      <c r="R8140" s="205"/>
      <c r="S8140" s="189" t="s">
        <v>1361</v>
      </c>
      <c r="T8140" s="114"/>
      <c r="U8140" s="21"/>
      <c r="V8140" s="115"/>
      <c r="W8140" s="116"/>
      <c r="X8140" s="220"/>
      <c r="Y8140" s="220">
        <f>X8140*0.1</f>
        <v>0</v>
      </c>
      <c r="Z8140" s="220"/>
      <c r="AA8140" s="220">
        <f>SUM(X8140:Z8140)</f>
        <v>0</v>
      </c>
      <c r="AB8140" s="222"/>
    </row>
    <row r="8141" spans="1:28" ht="17.100000000000001" customHeight="1" thickBot="1">
      <c r="A8141" s="227"/>
      <c r="B8141" s="27" t="s">
        <v>1708</v>
      </c>
      <c r="C8141" s="27" t="s">
        <v>22402</v>
      </c>
      <c r="D8141" s="14" t="s">
        <v>22422</v>
      </c>
      <c r="E8141" s="229"/>
      <c r="F8141" s="117" t="s">
        <v>22403</v>
      </c>
      <c r="G8141" s="26">
        <v>24339</v>
      </c>
      <c r="H8141" s="231"/>
      <c r="I8141" s="221"/>
      <c r="J8141" s="221"/>
      <c r="K8141" s="221"/>
      <c r="L8141" s="221"/>
      <c r="M8141" s="221"/>
      <c r="N8141" s="221"/>
      <c r="O8141" s="225"/>
      <c r="P8141" s="118" t="s">
        <v>24839</v>
      </c>
      <c r="Q8141" s="16" t="s">
        <v>20</v>
      </c>
      <c r="R8141" s="17" t="s">
        <v>2377</v>
      </c>
      <c r="S8141" s="121" t="s">
        <v>1731</v>
      </c>
      <c r="T8141" s="122"/>
      <c r="U8141" s="22"/>
      <c r="V8141" s="123"/>
      <c r="W8141" s="122"/>
      <c r="X8141" s="221"/>
      <c r="Y8141" s="221"/>
      <c r="Z8141" s="221"/>
      <c r="AA8141" s="221"/>
      <c r="AB8141" s="223"/>
    </row>
    <row r="8142" spans="1:28" ht="17.100000000000001" customHeight="1" thickTop="1">
      <c r="A8142" s="226" t="s">
        <v>22400</v>
      </c>
      <c r="B8142" s="28">
        <v>46125</v>
      </c>
      <c r="C8142" s="25"/>
      <c r="D8142" s="13" t="s">
        <v>22414</v>
      </c>
      <c r="E8142" s="228"/>
      <c r="F8142" s="109" t="s">
        <v>22417</v>
      </c>
      <c r="G8142" s="24" t="s">
        <v>22418</v>
      </c>
      <c r="H8142" s="230">
        <v>4</v>
      </c>
      <c r="I8142" s="220">
        <f>957000/1.1</f>
        <v>869999.99999999988</v>
      </c>
      <c r="J8142" s="220">
        <f>I8142*0.1</f>
        <v>87000</v>
      </c>
      <c r="K8142" s="220">
        <v>0</v>
      </c>
      <c r="L8142" s="220">
        <v>8740</v>
      </c>
      <c r="M8142" s="220">
        <v>0</v>
      </c>
      <c r="N8142" s="220">
        <f>SUM(I8142:M8143)</f>
        <v>965739.99999999988</v>
      </c>
      <c r="O8142" s="224"/>
      <c r="P8142" s="110" t="s">
        <v>23206</v>
      </c>
      <c r="Q8142" s="15" t="s">
        <v>19</v>
      </c>
      <c r="R8142" s="205"/>
      <c r="S8142" s="189" t="s">
        <v>1312</v>
      </c>
      <c r="T8142" s="114"/>
      <c r="U8142" s="21"/>
      <c r="V8142" s="115">
        <v>46155</v>
      </c>
      <c r="W8142" s="116">
        <v>1016</v>
      </c>
      <c r="X8142" s="220">
        <v>1045000</v>
      </c>
      <c r="Y8142" s="220">
        <f>X8142*0.1</f>
        <v>104500</v>
      </c>
      <c r="Z8142" s="220">
        <v>8740</v>
      </c>
      <c r="AA8142" s="220">
        <f>SUM(X8142:Z8142)</f>
        <v>1158240</v>
      </c>
      <c r="AB8142" s="222">
        <v>46161</v>
      </c>
    </row>
    <row r="8143" spans="1:28" ht="17.100000000000001" customHeight="1" thickBot="1">
      <c r="A8143" s="227"/>
      <c r="B8143" s="27" t="s">
        <v>1708</v>
      </c>
      <c r="C8143" s="27" t="s">
        <v>22404</v>
      </c>
      <c r="D8143" s="14" t="s">
        <v>22415</v>
      </c>
      <c r="E8143" s="229"/>
      <c r="F8143" s="117" t="s">
        <v>22405</v>
      </c>
      <c r="G8143" s="26">
        <v>46485</v>
      </c>
      <c r="H8143" s="231"/>
      <c r="I8143" s="221"/>
      <c r="J8143" s="221"/>
      <c r="K8143" s="221"/>
      <c r="L8143" s="221"/>
      <c r="M8143" s="221"/>
      <c r="N8143" s="221"/>
      <c r="O8143" s="225"/>
      <c r="P8143" s="118" t="s">
        <v>23207</v>
      </c>
      <c r="Q8143" s="16" t="s">
        <v>20</v>
      </c>
      <c r="R8143" s="17" t="s">
        <v>23208</v>
      </c>
      <c r="S8143" s="121" t="s">
        <v>12279</v>
      </c>
      <c r="T8143" s="122"/>
      <c r="U8143" s="22"/>
      <c r="V8143" s="123" t="s">
        <v>2747</v>
      </c>
      <c r="W8143" s="122">
        <v>1069</v>
      </c>
      <c r="X8143" s="221"/>
      <c r="Y8143" s="221"/>
      <c r="Z8143" s="221"/>
      <c r="AA8143" s="221"/>
      <c r="AB8143" s="223"/>
    </row>
    <row r="8144" spans="1:28" ht="17.100000000000001" customHeight="1" thickTop="1">
      <c r="A8144" s="226" t="s">
        <v>22401</v>
      </c>
      <c r="B8144" s="28">
        <v>46125</v>
      </c>
      <c r="C8144" s="25"/>
      <c r="D8144" s="13" t="s">
        <v>22419</v>
      </c>
      <c r="E8144" s="228"/>
      <c r="F8144" s="109" t="s">
        <v>22420</v>
      </c>
      <c r="G8144" s="24" t="s">
        <v>22421</v>
      </c>
      <c r="H8144" s="230">
        <v>4.5</v>
      </c>
      <c r="I8144" s="220">
        <f>1221000/1.1</f>
        <v>1110000</v>
      </c>
      <c r="J8144" s="220">
        <f>I8144*0.1</f>
        <v>111000</v>
      </c>
      <c r="K8144" s="220">
        <v>0</v>
      </c>
      <c r="L8144" s="220">
        <v>8400</v>
      </c>
      <c r="M8144" s="220">
        <v>0</v>
      </c>
      <c r="N8144" s="220">
        <v>1229400</v>
      </c>
      <c r="O8144" s="224"/>
      <c r="P8144" s="110" t="s">
        <v>23387</v>
      </c>
      <c r="Q8144" s="15" t="s">
        <v>19</v>
      </c>
      <c r="R8144" s="205"/>
      <c r="S8144" s="189" t="s">
        <v>1312</v>
      </c>
      <c r="T8144" s="114"/>
      <c r="U8144" s="21"/>
      <c r="V8144" s="115"/>
      <c r="W8144" s="116"/>
      <c r="X8144" s="220"/>
      <c r="Y8144" s="220">
        <f>X8144*0.1</f>
        <v>0</v>
      </c>
      <c r="Z8144" s="220"/>
      <c r="AA8144" s="220">
        <f>SUM(X8144:Z8144)</f>
        <v>0</v>
      </c>
      <c r="AB8144" s="222"/>
    </row>
    <row r="8145" spans="1:28" ht="17.100000000000001" customHeight="1" thickBot="1">
      <c r="A8145" s="227"/>
      <c r="B8145" s="27" t="s">
        <v>1708</v>
      </c>
      <c r="C8145" s="27" t="s">
        <v>22406</v>
      </c>
      <c r="D8145" s="14" t="s">
        <v>1710</v>
      </c>
      <c r="E8145" s="229"/>
      <c r="F8145" s="117" t="s">
        <v>22407</v>
      </c>
      <c r="G8145" s="26">
        <v>46957</v>
      </c>
      <c r="H8145" s="231"/>
      <c r="I8145" s="221"/>
      <c r="J8145" s="221"/>
      <c r="K8145" s="221"/>
      <c r="L8145" s="221"/>
      <c r="M8145" s="221"/>
      <c r="N8145" s="221"/>
      <c r="O8145" s="225"/>
      <c r="P8145" s="118" t="s">
        <v>23388</v>
      </c>
      <c r="Q8145" s="16" t="s">
        <v>20</v>
      </c>
      <c r="R8145" s="17" t="s">
        <v>23361</v>
      </c>
      <c r="S8145" s="121" t="s">
        <v>1606</v>
      </c>
      <c r="T8145" s="122"/>
      <c r="U8145" s="22"/>
      <c r="V8145" s="123"/>
      <c r="W8145" s="122"/>
      <c r="X8145" s="221"/>
      <c r="Y8145" s="221"/>
      <c r="Z8145" s="221"/>
      <c r="AA8145" s="221"/>
      <c r="AB8145" s="223"/>
    </row>
    <row r="8146" spans="1:28" ht="17.100000000000001" customHeight="1" thickTop="1">
      <c r="A8146" s="226" t="s">
        <v>22474</v>
      </c>
      <c r="B8146" s="28">
        <v>46126</v>
      </c>
      <c r="C8146" s="25">
        <v>1937</v>
      </c>
      <c r="D8146" s="13" t="s">
        <v>22539</v>
      </c>
      <c r="E8146" s="228"/>
      <c r="F8146" s="109" t="s">
        <v>22486</v>
      </c>
      <c r="G8146" s="24" t="s">
        <v>22541</v>
      </c>
      <c r="H8146" s="230">
        <v>4</v>
      </c>
      <c r="I8146" s="220">
        <v>970000</v>
      </c>
      <c r="J8146" s="220">
        <f>I8146*0.1</f>
        <v>97000</v>
      </c>
      <c r="K8146" s="220">
        <v>0</v>
      </c>
      <c r="L8146" s="220">
        <v>6830</v>
      </c>
      <c r="M8146" s="220">
        <v>15950</v>
      </c>
      <c r="N8146" s="220">
        <f>SUM(I8146:M8147)</f>
        <v>1089780</v>
      </c>
      <c r="O8146" s="224"/>
      <c r="P8146" s="110" t="s">
        <v>22542</v>
      </c>
      <c r="Q8146" s="15" t="s">
        <v>19</v>
      </c>
      <c r="R8146" s="205"/>
      <c r="S8146" s="189" t="s">
        <v>696</v>
      </c>
      <c r="T8146" s="114"/>
      <c r="U8146" s="21"/>
      <c r="V8146" s="115">
        <v>46130</v>
      </c>
      <c r="W8146" s="116">
        <v>1297</v>
      </c>
      <c r="X8146" s="220">
        <v>1015000</v>
      </c>
      <c r="Y8146" s="220">
        <f>X8146*0.1</f>
        <v>101500</v>
      </c>
      <c r="Z8146" s="220">
        <v>6830</v>
      </c>
      <c r="AA8146" s="220">
        <f>SUM(X8146:Z8146)</f>
        <v>1123330</v>
      </c>
      <c r="AB8146" s="222">
        <v>46133</v>
      </c>
    </row>
    <row r="8147" spans="1:28" ht="17.100000000000001" customHeight="1" thickBot="1">
      <c r="A8147" s="227"/>
      <c r="B8147" s="27" t="s">
        <v>22485</v>
      </c>
      <c r="C8147" s="27">
        <v>3244</v>
      </c>
      <c r="D8147" s="14" t="s">
        <v>22540</v>
      </c>
      <c r="E8147" s="229"/>
      <c r="F8147" s="117" t="s">
        <v>22487</v>
      </c>
      <c r="G8147" s="26">
        <v>42523</v>
      </c>
      <c r="H8147" s="231"/>
      <c r="I8147" s="221"/>
      <c r="J8147" s="221"/>
      <c r="K8147" s="221"/>
      <c r="L8147" s="221"/>
      <c r="M8147" s="221"/>
      <c r="N8147" s="221"/>
      <c r="O8147" s="225"/>
      <c r="P8147" s="118" t="s">
        <v>22812</v>
      </c>
      <c r="Q8147" s="16" t="s">
        <v>20</v>
      </c>
      <c r="R8147" s="17" t="s">
        <v>3650</v>
      </c>
      <c r="S8147" s="121" t="s">
        <v>22813</v>
      </c>
      <c r="T8147" s="122"/>
      <c r="U8147" s="22"/>
      <c r="V8147" s="123" t="s">
        <v>2472</v>
      </c>
      <c r="W8147" s="122">
        <v>60422</v>
      </c>
      <c r="X8147" s="221"/>
      <c r="Y8147" s="221"/>
      <c r="Z8147" s="221"/>
      <c r="AA8147" s="221"/>
      <c r="AB8147" s="223"/>
    </row>
    <row r="8148" spans="1:28" ht="17.100000000000001" customHeight="1" thickTop="1">
      <c r="A8148" s="226" t="s">
        <v>22475</v>
      </c>
      <c r="B8148" s="28">
        <v>46126</v>
      </c>
      <c r="C8148" s="25">
        <v>1937</v>
      </c>
      <c r="D8148" s="13" t="s">
        <v>22543</v>
      </c>
      <c r="E8148" s="228"/>
      <c r="F8148" s="109" t="s">
        <v>22488</v>
      </c>
      <c r="G8148" s="24" t="s">
        <v>22545</v>
      </c>
      <c r="H8148" s="230">
        <v>4</v>
      </c>
      <c r="I8148" s="220">
        <v>736000</v>
      </c>
      <c r="J8148" s="220">
        <f>I8148*0.1</f>
        <v>73600</v>
      </c>
      <c r="K8148" s="220">
        <v>0</v>
      </c>
      <c r="L8148" s="220">
        <v>7950</v>
      </c>
      <c r="M8148" s="220">
        <v>15950</v>
      </c>
      <c r="N8148" s="220">
        <f>SUM(I8148:M8149)</f>
        <v>833500</v>
      </c>
      <c r="O8148" s="224"/>
      <c r="P8148" s="110" t="s">
        <v>22816</v>
      </c>
      <c r="Q8148" s="15" t="s">
        <v>19</v>
      </c>
      <c r="R8148" s="205"/>
      <c r="S8148" s="189" t="s">
        <v>25432</v>
      </c>
      <c r="T8148" s="114"/>
      <c r="U8148" s="21" t="s">
        <v>26505</v>
      </c>
      <c r="V8148" s="115"/>
      <c r="W8148" s="116"/>
      <c r="X8148" s="220"/>
      <c r="Y8148" s="220">
        <f>X8148*0.1</f>
        <v>0</v>
      </c>
      <c r="Z8148" s="220"/>
      <c r="AA8148" s="220">
        <f>SUM(X8148:Z8148)</f>
        <v>0</v>
      </c>
      <c r="AB8148" s="222"/>
    </row>
    <row r="8149" spans="1:28" ht="17.100000000000001" customHeight="1" thickBot="1">
      <c r="A8149" s="227"/>
      <c r="B8149" s="27" t="s">
        <v>22485</v>
      </c>
      <c r="C8149" s="27">
        <v>3273</v>
      </c>
      <c r="D8149" s="14" t="s">
        <v>22544</v>
      </c>
      <c r="E8149" s="229"/>
      <c r="F8149" s="117" t="s">
        <v>22489</v>
      </c>
      <c r="G8149" s="26">
        <v>8629</v>
      </c>
      <c r="H8149" s="231"/>
      <c r="I8149" s="221"/>
      <c r="J8149" s="221"/>
      <c r="K8149" s="221"/>
      <c r="L8149" s="221"/>
      <c r="M8149" s="221"/>
      <c r="N8149" s="221"/>
      <c r="O8149" s="225"/>
      <c r="P8149" s="118" t="s">
        <v>2615</v>
      </c>
      <c r="Q8149" s="16" t="s">
        <v>20</v>
      </c>
      <c r="R8149" s="17" t="s">
        <v>3650</v>
      </c>
      <c r="S8149" s="121" t="s">
        <v>3832</v>
      </c>
      <c r="T8149" s="122"/>
      <c r="U8149" s="22"/>
      <c r="V8149" s="123"/>
      <c r="W8149" s="122"/>
      <c r="X8149" s="221"/>
      <c r="Y8149" s="221"/>
      <c r="Z8149" s="221"/>
      <c r="AA8149" s="221"/>
      <c r="AB8149" s="223"/>
    </row>
    <row r="8150" spans="1:28" ht="17.100000000000001" customHeight="1" thickTop="1">
      <c r="A8150" s="226" t="s">
        <v>22476</v>
      </c>
      <c r="B8150" s="28">
        <v>46126</v>
      </c>
      <c r="C8150" s="25">
        <v>1937</v>
      </c>
      <c r="D8150" s="13" t="s">
        <v>22546</v>
      </c>
      <c r="E8150" s="228"/>
      <c r="F8150" s="109" t="s">
        <v>22490</v>
      </c>
      <c r="G8150" s="24"/>
      <c r="H8150" s="230">
        <v>4</v>
      </c>
      <c r="I8150" s="220">
        <v>590000</v>
      </c>
      <c r="J8150" s="220">
        <f>I8150*0.1</f>
        <v>59000</v>
      </c>
      <c r="K8150" s="220">
        <v>0</v>
      </c>
      <c r="L8150" s="220">
        <v>8400</v>
      </c>
      <c r="M8150" s="220">
        <v>15950</v>
      </c>
      <c r="N8150" s="220">
        <f>SUM(I8150:M8151)</f>
        <v>673350</v>
      </c>
      <c r="O8150" s="224"/>
      <c r="P8150" s="110" t="s">
        <v>22817</v>
      </c>
      <c r="Q8150" s="15" t="s">
        <v>19</v>
      </c>
      <c r="R8150" s="205"/>
      <c r="S8150" s="189"/>
      <c r="T8150" s="114"/>
      <c r="U8150" s="21"/>
      <c r="V8150" s="115">
        <v>46165</v>
      </c>
      <c r="W8150" s="116">
        <v>1301</v>
      </c>
      <c r="X8150" s="220">
        <v>660000</v>
      </c>
      <c r="Y8150" s="220">
        <f>X8150*0.1</f>
        <v>66000</v>
      </c>
      <c r="Z8150" s="220">
        <v>8400</v>
      </c>
      <c r="AA8150" s="220">
        <f>SUM(X8150:Z8150)</f>
        <v>734400</v>
      </c>
      <c r="AB8150" s="222">
        <v>46168</v>
      </c>
    </row>
    <row r="8151" spans="1:28" ht="17.100000000000001" customHeight="1" thickBot="1">
      <c r="A8151" s="227"/>
      <c r="B8151" s="27" t="s">
        <v>22485</v>
      </c>
      <c r="C8151" s="27">
        <v>3369</v>
      </c>
      <c r="D8151" s="14" t="s">
        <v>22547</v>
      </c>
      <c r="E8151" s="229"/>
      <c r="F8151" s="117" t="s">
        <v>22491</v>
      </c>
      <c r="G8151" s="26">
        <v>55534</v>
      </c>
      <c r="H8151" s="231"/>
      <c r="I8151" s="221"/>
      <c r="J8151" s="221"/>
      <c r="K8151" s="221"/>
      <c r="L8151" s="221"/>
      <c r="M8151" s="221"/>
      <c r="N8151" s="221"/>
      <c r="O8151" s="225"/>
      <c r="P8151" s="118" t="s">
        <v>12117</v>
      </c>
      <c r="Q8151" s="16" t="s">
        <v>20</v>
      </c>
      <c r="R8151" s="17" t="s">
        <v>3650</v>
      </c>
      <c r="S8151" s="121"/>
      <c r="T8151" s="122"/>
      <c r="U8151" s="22"/>
      <c r="V8151" s="123" t="s">
        <v>2472</v>
      </c>
      <c r="W8151" s="122">
        <v>60036</v>
      </c>
      <c r="X8151" s="221"/>
      <c r="Y8151" s="221"/>
      <c r="Z8151" s="221"/>
      <c r="AA8151" s="221"/>
      <c r="AB8151" s="223"/>
    </row>
    <row r="8152" spans="1:28" ht="17.100000000000001" customHeight="1" thickTop="1">
      <c r="A8152" s="226" t="s">
        <v>22477</v>
      </c>
      <c r="B8152" s="28">
        <v>46126</v>
      </c>
      <c r="C8152" s="25">
        <v>1937</v>
      </c>
      <c r="D8152" s="13" t="s">
        <v>22548</v>
      </c>
      <c r="E8152" s="228"/>
      <c r="F8152" s="109" t="s">
        <v>22492</v>
      </c>
      <c r="G8152" s="24" t="s">
        <v>22550</v>
      </c>
      <c r="H8152" s="230">
        <v>4</v>
      </c>
      <c r="I8152" s="220">
        <v>568000</v>
      </c>
      <c r="J8152" s="220">
        <f>I8152*0.1</f>
        <v>56800</v>
      </c>
      <c r="K8152" s="220">
        <v>0</v>
      </c>
      <c r="L8152" s="220">
        <v>6470</v>
      </c>
      <c r="M8152" s="220">
        <v>15950</v>
      </c>
      <c r="N8152" s="220">
        <f>SUM(I8152:M8153)</f>
        <v>647220</v>
      </c>
      <c r="O8152" s="224"/>
      <c r="P8152" s="110" t="s">
        <v>22551</v>
      </c>
      <c r="Q8152" s="15" t="s">
        <v>19</v>
      </c>
      <c r="R8152" s="205"/>
      <c r="S8152" s="189" t="s">
        <v>696</v>
      </c>
      <c r="T8152" s="114"/>
      <c r="U8152" s="21"/>
      <c r="V8152" s="115">
        <v>46137</v>
      </c>
      <c r="W8152" s="116">
        <v>1298</v>
      </c>
      <c r="X8152" s="220">
        <v>655000</v>
      </c>
      <c r="Y8152" s="220">
        <f>X8152*0.1</f>
        <v>65500</v>
      </c>
      <c r="Z8152" s="220">
        <v>6470</v>
      </c>
      <c r="AA8152" s="220">
        <f>SUM(X8152:Z8152)</f>
        <v>726970</v>
      </c>
      <c r="AB8152" s="222">
        <v>46140</v>
      </c>
    </row>
    <row r="8153" spans="1:28" ht="17.100000000000001" customHeight="1" thickBot="1">
      <c r="A8153" s="227"/>
      <c r="B8153" s="27" t="s">
        <v>22485</v>
      </c>
      <c r="C8153" s="27">
        <v>3443</v>
      </c>
      <c r="D8153" s="14" t="s">
        <v>22549</v>
      </c>
      <c r="E8153" s="229"/>
      <c r="F8153" s="117" t="s">
        <v>22493</v>
      </c>
      <c r="G8153" s="26">
        <v>30279</v>
      </c>
      <c r="H8153" s="231"/>
      <c r="I8153" s="221"/>
      <c r="J8153" s="221"/>
      <c r="K8153" s="221"/>
      <c r="L8153" s="221"/>
      <c r="M8153" s="221"/>
      <c r="N8153" s="221"/>
      <c r="O8153" s="225"/>
      <c r="P8153" s="118" t="s">
        <v>10974</v>
      </c>
      <c r="Q8153" s="16" t="s">
        <v>20</v>
      </c>
      <c r="R8153" s="17" t="s">
        <v>3650</v>
      </c>
      <c r="S8153" s="121" t="s">
        <v>3429</v>
      </c>
      <c r="T8153" s="122"/>
      <c r="U8153" s="22"/>
      <c r="V8153" s="123" t="s">
        <v>2472</v>
      </c>
      <c r="W8153" s="122">
        <v>60080</v>
      </c>
      <c r="X8153" s="221"/>
      <c r="Y8153" s="221"/>
      <c r="Z8153" s="221"/>
      <c r="AA8153" s="221"/>
      <c r="AB8153" s="223"/>
    </row>
    <row r="8154" spans="1:28" ht="17.100000000000001" customHeight="1" thickTop="1">
      <c r="A8154" s="226" t="s">
        <v>22478</v>
      </c>
      <c r="B8154" s="28">
        <v>46126</v>
      </c>
      <c r="C8154" s="25">
        <v>1937</v>
      </c>
      <c r="D8154" s="13" t="s">
        <v>22552</v>
      </c>
      <c r="E8154" s="228"/>
      <c r="F8154" s="109" t="s">
        <v>22494</v>
      </c>
      <c r="G8154" s="24"/>
      <c r="H8154" s="230">
        <v>4</v>
      </c>
      <c r="I8154" s="220">
        <v>408000</v>
      </c>
      <c r="J8154" s="220">
        <f>I8154*0.1</f>
        <v>40800</v>
      </c>
      <c r="K8154" s="220">
        <v>0</v>
      </c>
      <c r="L8154" s="220">
        <v>8850</v>
      </c>
      <c r="M8154" s="220">
        <v>15950</v>
      </c>
      <c r="N8154" s="220">
        <f>SUM(I8154:M8155)</f>
        <v>473600</v>
      </c>
      <c r="O8154" s="224"/>
      <c r="P8154" s="110" t="s">
        <v>22818</v>
      </c>
      <c r="Q8154" s="15" t="s">
        <v>19</v>
      </c>
      <c r="R8154" s="205"/>
      <c r="S8154" s="189"/>
      <c r="T8154" s="114"/>
      <c r="U8154" s="21"/>
      <c r="V8154" s="115">
        <v>46137</v>
      </c>
      <c r="W8154" s="116">
        <v>1298</v>
      </c>
      <c r="X8154" s="220">
        <v>520000</v>
      </c>
      <c r="Y8154" s="220">
        <f>X8154*0.1</f>
        <v>52000</v>
      </c>
      <c r="Z8154" s="220">
        <v>8850</v>
      </c>
      <c r="AA8154" s="220">
        <f>SUM(X8154:Z8154)</f>
        <v>580850</v>
      </c>
      <c r="AB8154" s="222">
        <v>46143</v>
      </c>
    </row>
    <row r="8155" spans="1:28" ht="17.100000000000001" customHeight="1" thickBot="1">
      <c r="A8155" s="227"/>
      <c r="B8155" s="27" t="s">
        <v>22485</v>
      </c>
      <c r="C8155" s="27">
        <v>3540</v>
      </c>
      <c r="D8155" s="14" t="s">
        <v>1710</v>
      </c>
      <c r="E8155" s="229"/>
      <c r="F8155" s="117" t="s">
        <v>22495</v>
      </c>
      <c r="G8155" s="26">
        <v>51573</v>
      </c>
      <c r="H8155" s="231"/>
      <c r="I8155" s="221"/>
      <c r="J8155" s="221"/>
      <c r="K8155" s="221"/>
      <c r="L8155" s="221"/>
      <c r="M8155" s="221"/>
      <c r="N8155" s="221"/>
      <c r="O8155" s="225"/>
      <c r="P8155" s="118" t="s">
        <v>3919</v>
      </c>
      <c r="Q8155" s="16" t="s">
        <v>20</v>
      </c>
      <c r="R8155" s="17" t="s">
        <v>3650</v>
      </c>
      <c r="S8155" s="121"/>
      <c r="T8155" s="122"/>
      <c r="U8155" s="22"/>
      <c r="V8155" s="123" t="s">
        <v>6641</v>
      </c>
      <c r="W8155" s="122">
        <v>60078</v>
      </c>
      <c r="X8155" s="221"/>
      <c r="Y8155" s="221"/>
      <c r="Z8155" s="221"/>
      <c r="AA8155" s="221"/>
      <c r="AB8155" s="223"/>
    </row>
    <row r="8156" spans="1:28" ht="17.100000000000001" customHeight="1" thickTop="1">
      <c r="A8156" s="226" t="s">
        <v>22479</v>
      </c>
      <c r="B8156" s="28">
        <v>46126</v>
      </c>
      <c r="C8156" s="25">
        <v>1937</v>
      </c>
      <c r="D8156" s="13" t="s">
        <v>22553</v>
      </c>
      <c r="E8156" s="228"/>
      <c r="F8156" s="109" t="s">
        <v>22496</v>
      </c>
      <c r="G8156" s="24" t="s">
        <v>22555</v>
      </c>
      <c r="H8156" s="230">
        <v>4</v>
      </c>
      <c r="I8156" s="220">
        <v>464000</v>
      </c>
      <c r="J8156" s="220">
        <f>I8156*0.1</f>
        <v>46400</v>
      </c>
      <c r="K8156" s="220">
        <v>0</v>
      </c>
      <c r="L8156" s="220">
        <v>9070</v>
      </c>
      <c r="M8156" s="220">
        <v>15950</v>
      </c>
      <c r="N8156" s="220">
        <f>SUM(I8156:M8157)</f>
        <v>535420</v>
      </c>
      <c r="O8156" s="224"/>
      <c r="P8156" s="110" t="s">
        <v>22814</v>
      </c>
      <c r="Q8156" s="15" t="s">
        <v>19</v>
      </c>
      <c r="R8156" s="205"/>
      <c r="S8156" s="189" t="s">
        <v>25432</v>
      </c>
      <c r="T8156" s="114"/>
      <c r="U8156" s="21"/>
      <c r="V8156" s="115">
        <v>46130</v>
      </c>
      <c r="W8156" s="116">
        <v>1297</v>
      </c>
      <c r="X8156" s="220">
        <v>530000</v>
      </c>
      <c r="Y8156" s="220">
        <f>X8156*0.1</f>
        <v>53000</v>
      </c>
      <c r="Z8156" s="220">
        <v>9070</v>
      </c>
      <c r="AA8156" s="220">
        <f>SUM(X8156:Z8156)</f>
        <v>592070</v>
      </c>
      <c r="AB8156" s="222">
        <v>46133</v>
      </c>
    </row>
    <row r="8157" spans="1:28" ht="17.100000000000001" customHeight="1" thickBot="1">
      <c r="A8157" s="227"/>
      <c r="B8157" s="27" t="s">
        <v>22485</v>
      </c>
      <c r="C8157" s="27">
        <v>3544</v>
      </c>
      <c r="D8157" s="14" t="s">
        <v>22554</v>
      </c>
      <c r="E8157" s="229"/>
      <c r="F8157" s="117" t="s">
        <v>22497</v>
      </c>
      <c r="G8157" s="26">
        <v>29352</v>
      </c>
      <c r="H8157" s="231"/>
      <c r="I8157" s="221"/>
      <c r="J8157" s="221"/>
      <c r="K8157" s="221"/>
      <c r="L8157" s="221"/>
      <c r="M8157" s="221"/>
      <c r="N8157" s="221"/>
      <c r="O8157" s="225"/>
      <c r="P8157" s="118" t="s">
        <v>21396</v>
      </c>
      <c r="Q8157" s="16" t="s">
        <v>20</v>
      </c>
      <c r="R8157" s="17" t="s">
        <v>3650</v>
      </c>
      <c r="S8157" s="121" t="s">
        <v>22815</v>
      </c>
      <c r="T8157" s="122"/>
      <c r="U8157" s="22"/>
      <c r="V8157" s="123" t="s">
        <v>2472</v>
      </c>
      <c r="W8157" s="122">
        <v>60432</v>
      </c>
      <c r="X8157" s="221"/>
      <c r="Y8157" s="221"/>
      <c r="Z8157" s="221"/>
      <c r="AA8157" s="221"/>
      <c r="AB8157" s="223"/>
    </row>
    <row r="8158" spans="1:28" ht="17.100000000000001" customHeight="1" thickTop="1">
      <c r="A8158" s="226" t="s">
        <v>22480</v>
      </c>
      <c r="B8158" s="28">
        <v>46126</v>
      </c>
      <c r="C8158" s="25">
        <v>1937</v>
      </c>
      <c r="D8158" s="13" t="s">
        <v>22556</v>
      </c>
      <c r="E8158" s="228"/>
      <c r="F8158" s="109" t="s">
        <v>22498</v>
      </c>
      <c r="G8158" s="24"/>
      <c r="H8158" s="230">
        <v>4</v>
      </c>
      <c r="I8158" s="220">
        <v>635000</v>
      </c>
      <c r="J8158" s="220">
        <f>I8158*0.1</f>
        <v>63500</v>
      </c>
      <c r="K8158" s="220">
        <v>0</v>
      </c>
      <c r="L8158" s="220">
        <v>11850</v>
      </c>
      <c r="M8158" s="220">
        <v>15950</v>
      </c>
      <c r="N8158" s="220">
        <f>SUM(I8158:M8159)</f>
        <v>726300</v>
      </c>
      <c r="O8158" s="224"/>
      <c r="P8158" s="110" t="s">
        <v>23209</v>
      </c>
      <c r="Q8158" s="15" t="s">
        <v>19</v>
      </c>
      <c r="R8158" s="205"/>
      <c r="S8158" s="189"/>
      <c r="T8158" s="114"/>
      <c r="U8158" s="21"/>
      <c r="V8158" s="115">
        <v>46130</v>
      </c>
      <c r="W8158" s="116">
        <v>1297</v>
      </c>
      <c r="X8158" s="220">
        <v>735000</v>
      </c>
      <c r="Y8158" s="220">
        <f>X8158*0.1</f>
        <v>73500</v>
      </c>
      <c r="Z8158" s="220">
        <v>11850</v>
      </c>
      <c r="AA8158" s="220">
        <f>SUM(X8158:Z8158)</f>
        <v>820350</v>
      </c>
      <c r="AB8158" s="222">
        <v>46135</v>
      </c>
    </row>
    <row r="8159" spans="1:28" ht="17.100000000000001" customHeight="1" thickBot="1">
      <c r="A8159" s="227"/>
      <c r="B8159" s="27" t="s">
        <v>22485</v>
      </c>
      <c r="C8159" s="27">
        <v>5039</v>
      </c>
      <c r="D8159" s="14" t="s">
        <v>22557</v>
      </c>
      <c r="E8159" s="229"/>
      <c r="F8159" s="117" t="s">
        <v>22748</v>
      </c>
      <c r="G8159" s="26">
        <v>22284</v>
      </c>
      <c r="H8159" s="231"/>
      <c r="I8159" s="221"/>
      <c r="J8159" s="221"/>
      <c r="K8159" s="221"/>
      <c r="L8159" s="221"/>
      <c r="M8159" s="221"/>
      <c r="N8159" s="221"/>
      <c r="O8159" s="225"/>
      <c r="P8159" s="118" t="s">
        <v>5155</v>
      </c>
      <c r="Q8159" s="16" t="s">
        <v>20</v>
      </c>
      <c r="R8159" s="17" t="s">
        <v>23208</v>
      </c>
      <c r="S8159" s="121" t="s">
        <v>22746</v>
      </c>
      <c r="T8159" s="122"/>
      <c r="U8159" s="22"/>
      <c r="V8159" s="123" t="s">
        <v>2472</v>
      </c>
      <c r="W8159" s="122">
        <v>80352</v>
      </c>
      <c r="X8159" s="221"/>
      <c r="Y8159" s="221"/>
      <c r="Z8159" s="221"/>
      <c r="AA8159" s="221"/>
      <c r="AB8159" s="223"/>
    </row>
    <row r="8160" spans="1:28" ht="17.100000000000001" customHeight="1" thickTop="1">
      <c r="A8160" s="226" t="s">
        <v>22481</v>
      </c>
      <c r="B8160" s="28">
        <v>46126</v>
      </c>
      <c r="C8160" s="25">
        <v>1937</v>
      </c>
      <c r="D8160" s="13" t="s">
        <v>22558</v>
      </c>
      <c r="E8160" s="228"/>
      <c r="F8160" s="109" t="s">
        <v>22499</v>
      </c>
      <c r="G8160" s="24"/>
      <c r="H8160" s="230">
        <v>4</v>
      </c>
      <c r="I8160" s="220">
        <v>775000</v>
      </c>
      <c r="J8160" s="220">
        <f>I8160*0.1</f>
        <v>77500</v>
      </c>
      <c r="K8160" s="220">
        <v>0</v>
      </c>
      <c r="L8160" s="220">
        <v>9200</v>
      </c>
      <c r="M8160" s="220">
        <v>15950</v>
      </c>
      <c r="N8160" s="220">
        <f>SUM(I8160:M8161)</f>
        <v>877650</v>
      </c>
      <c r="O8160" s="224"/>
      <c r="P8160" s="110" t="s">
        <v>23134</v>
      </c>
      <c r="Q8160" s="15" t="s">
        <v>19</v>
      </c>
      <c r="R8160" s="205"/>
      <c r="S8160" s="189" t="s">
        <v>25710</v>
      </c>
      <c r="T8160" s="114"/>
      <c r="U8160" s="21"/>
      <c r="V8160" s="115">
        <v>46158</v>
      </c>
      <c r="W8160" s="116">
        <v>1300</v>
      </c>
      <c r="X8160" s="220">
        <v>875000</v>
      </c>
      <c r="Y8160" s="220">
        <f>X8160*0.1</f>
        <v>87500</v>
      </c>
      <c r="Z8160" s="220">
        <v>9200</v>
      </c>
      <c r="AA8160" s="220">
        <f>SUM(X8160:Z8160)</f>
        <v>971700</v>
      </c>
      <c r="AB8160" s="222">
        <v>46161</v>
      </c>
    </row>
    <row r="8161" spans="1:28" ht="17.100000000000001" customHeight="1" thickBot="1">
      <c r="A8161" s="227"/>
      <c r="B8161" s="27" t="s">
        <v>22485</v>
      </c>
      <c r="C8161" s="27">
        <v>5404</v>
      </c>
      <c r="D8161" s="14" t="s">
        <v>1710</v>
      </c>
      <c r="E8161" s="229"/>
      <c r="F8161" s="117" t="s">
        <v>22500</v>
      </c>
      <c r="G8161" s="26">
        <v>40233</v>
      </c>
      <c r="H8161" s="231"/>
      <c r="I8161" s="221"/>
      <c r="J8161" s="221"/>
      <c r="K8161" s="221"/>
      <c r="L8161" s="221"/>
      <c r="M8161" s="221"/>
      <c r="N8161" s="221"/>
      <c r="O8161" s="225"/>
      <c r="P8161" s="118" t="s">
        <v>14054</v>
      </c>
      <c r="Q8161" s="16" t="s">
        <v>20</v>
      </c>
      <c r="R8161" s="17" t="s">
        <v>23125</v>
      </c>
      <c r="S8161" s="121" t="s">
        <v>9675</v>
      </c>
      <c r="T8161" s="122"/>
      <c r="U8161" s="22"/>
      <c r="V8161" s="123" t="s">
        <v>2472</v>
      </c>
      <c r="W8161" s="122">
        <v>60009</v>
      </c>
      <c r="X8161" s="221"/>
      <c r="Y8161" s="221"/>
      <c r="Z8161" s="221"/>
      <c r="AA8161" s="221"/>
      <c r="AB8161" s="223"/>
    </row>
    <row r="8162" spans="1:28" ht="17.100000000000001" customHeight="1" thickTop="1">
      <c r="A8162" s="226" t="s">
        <v>22482</v>
      </c>
      <c r="B8162" s="28">
        <v>46126</v>
      </c>
      <c r="C8162" s="25">
        <v>1937</v>
      </c>
      <c r="D8162" s="13" t="s">
        <v>22559</v>
      </c>
      <c r="E8162" s="228"/>
      <c r="F8162" s="109" t="s">
        <v>17749</v>
      </c>
      <c r="G8162" s="24"/>
      <c r="H8162" s="230">
        <v>4.5</v>
      </c>
      <c r="I8162" s="220">
        <v>1125000</v>
      </c>
      <c r="J8162" s="220">
        <f>I8162*0.1</f>
        <v>112500</v>
      </c>
      <c r="K8162" s="220">
        <v>0</v>
      </c>
      <c r="L8162" s="220">
        <v>7440</v>
      </c>
      <c r="M8162" s="220">
        <v>15950</v>
      </c>
      <c r="N8162" s="220">
        <f>SUM(I8162:M8163)</f>
        <v>1260890</v>
      </c>
      <c r="O8162" s="224"/>
      <c r="P8162" s="110" t="s">
        <v>23133</v>
      </c>
      <c r="Q8162" s="15" t="s">
        <v>19</v>
      </c>
      <c r="R8162" s="205"/>
      <c r="S8162" s="189"/>
      <c r="T8162" s="114"/>
      <c r="U8162" s="21"/>
      <c r="V8162" s="115">
        <v>46158</v>
      </c>
      <c r="W8162" s="116">
        <v>1300</v>
      </c>
      <c r="X8162" s="220">
        <v>1245000</v>
      </c>
      <c r="Y8162" s="220">
        <f>X8162*0.1</f>
        <v>124500</v>
      </c>
      <c r="Z8162" s="220">
        <v>7440</v>
      </c>
      <c r="AA8162" s="220">
        <f>SUM(X8162:Z8162)</f>
        <v>1376940</v>
      </c>
      <c r="AB8162" s="222">
        <v>46161</v>
      </c>
    </row>
    <row r="8163" spans="1:28" ht="17.100000000000001" customHeight="1" thickBot="1">
      <c r="A8163" s="227"/>
      <c r="B8163" s="27" t="s">
        <v>22485</v>
      </c>
      <c r="C8163" s="27">
        <v>79174</v>
      </c>
      <c r="D8163" s="14" t="s">
        <v>1710</v>
      </c>
      <c r="E8163" s="229"/>
      <c r="F8163" s="117" t="s">
        <v>22501</v>
      </c>
      <c r="G8163" s="26">
        <v>24037</v>
      </c>
      <c r="H8163" s="231"/>
      <c r="I8163" s="221"/>
      <c r="J8163" s="221"/>
      <c r="K8163" s="221"/>
      <c r="L8163" s="221"/>
      <c r="M8163" s="221"/>
      <c r="N8163" s="221"/>
      <c r="O8163" s="225"/>
      <c r="P8163" s="118" t="s">
        <v>7323</v>
      </c>
      <c r="Q8163" s="16" t="s">
        <v>20</v>
      </c>
      <c r="R8163" s="17" t="s">
        <v>23125</v>
      </c>
      <c r="S8163" s="121" t="s">
        <v>22717</v>
      </c>
      <c r="T8163" s="122"/>
      <c r="U8163" s="22"/>
      <c r="V8163" s="123" t="s">
        <v>2472</v>
      </c>
      <c r="W8163" s="122">
        <v>41022</v>
      </c>
      <c r="X8163" s="221"/>
      <c r="Y8163" s="221"/>
      <c r="Z8163" s="221"/>
      <c r="AA8163" s="221"/>
      <c r="AB8163" s="223"/>
    </row>
    <row r="8164" spans="1:28" ht="17.100000000000001" customHeight="1" thickTop="1">
      <c r="A8164" s="226" t="s">
        <v>22483</v>
      </c>
      <c r="B8164" s="28">
        <v>46126</v>
      </c>
      <c r="C8164" s="25">
        <v>815</v>
      </c>
      <c r="D8164" s="13" t="s">
        <v>22548</v>
      </c>
      <c r="E8164" s="228"/>
      <c r="F8164" s="109" t="s">
        <v>17749</v>
      </c>
      <c r="G8164" s="24"/>
      <c r="H8164" s="230">
        <v>4</v>
      </c>
      <c r="I8164" s="220">
        <v>975000</v>
      </c>
      <c r="J8164" s="220">
        <f>I8164*0.1</f>
        <v>97500</v>
      </c>
      <c r="K8164" s="220">
        <v>0</v>
      </c>
      <c r="L8164" s="220">
        <v>7440</v>
      </c>
      <c r="M8164" s="220">
        <v>15950</v>
      </c>
      <c r="N8164" s="220">
        <f>SUM(I8164:M8165)</f>
        <v>1095890</v>
      </c>
      <c r="O8164" s="224"/>
      <c r="P8164" s="110" t="s">
        <v>23214</v>
      </c>
      <c r="Q8164" s="15" t="s">
        <v>19</v>
      </c>
      <c r="R8164" s="205"/>
      <c r="S8164" s="189"/>
      <c r="T8164" s="114"/>
      <c r="U8164" s="21"/>
      <c r="V8164" s="115"/>
      <c r="W8164" s="116"/>
      <c r="X8164" s="220"/>
      <c r="Y8164" s="220">
        <f>X8164*0.1</f>
        <v>0</v>
      </c>
      <c r="Z8164" s="220"/>
      <c r="AA8164" s="220">
        <f>SUM(X8164:Z8164)</f>
        <v>0</v>
      </c>
      <c r="AB8164" s="222"/>
    </row>
    <row r="8165" spans="1:28" ht="17.100000000000001" customHeight="1" thickBot="1">
      <c r="A8165" s="227"/>
      <c r="B8165" s="27" t="s">
        <v>22511</v>
      </c>
      <c r="C8165" s="27">
        <v>62001</v>
      </c>
      <c r="D8165" s="14" t="s">
        <v>1584</v>
      </c>
      <c r="E8165" s="229"/>
      <c r="F8165" s="117" t="s">
        <v>22512</v>
      </c>
      <c r="G8165" s="26">
        <v>34827</v>
      </c>
      <c r="H8165" s="231"/>
      <c r="I8165" s="221"/>
      <c r="J8165" s="221"/>
      <c r="K8165" s="221"/>
      <c r="L8165" s="221"/>
      <c r="M8165" s="221"/>
      <c r="N8165" s="221"/>
      <c r="O8165" s="225"/>
      <c r="P8165" s="118" t="s">
        <v>7323</v>
      </c>
      <c r="Q8165" s="16" t="s">
        <v>20</v>
      </c>
      <c r="R8165" s="17" t="s">
        <v>23208</v>
      </c>
      <c r="S8165" s="121"/>
      <c r="T8165" s="122"/>
      <c r="U8165" s="22"/>
      <c r="V8165" s="123"/>
      <c r="W8165" s="122"/>
      <c r="X8165" s="221"/>
      <c r="Y8165" s="221"/>
      <c r="Z8165" s="221"/>
      <c r="AA8165" s="221"/>
      <c r="AB8165" s="223"/>
    </row>
    <row r="8166" spans="1:28" ht="17.100000000000001" customHeight="1" thickTop="1">
      <c r="A8166" s="226" t="s">
        <v>22484</v>
      </c>
      <c r="B8166" s="28">
        <v>46126</v>
      </c>
      <c r="C8166" s="25">
        <v>815</v>
      </c>
      <c r="D8166" s="13" t="s">
        <v>22560</v>
      </c>
      <c r="E8166" s="228"/>
      <c r="F8166" s="109" t="s">
        <v>22513</v>
      </c>
      <c r="G8166" s="24"/>
      <c r="H8166" s="230">
        <v>4.5</v>
      </c>
      <c r="I8166" s="220">
        <v>1230000</v>
      </c>
      <c r="J8166" s="220">
        <f>I8166*0.1</f>
        <v>123000</v>
      </c>
      <c r="K8166" s="220">
        <v>0</v>
      </c>
      <c r="L8166" s="220">
        <v>8990</v>
      </c>
      <c r="M8166" s="220">
        <v>15950</v>
      </c>
      <c r="N8166" s="220">
        <f>SUM(I8166:M8167)</f>
        <v>1377940</v>
      </c>
      <c r="O8166" s="224"/>
      <c r="P8166" s="110" t="s">
        <v>23213</v>
      </c>
      <c r="Q8166" s="15" t="s">
        <v>19</v>
      </c>
      <c r="R8166" s="205"/>
      <c r="S8166" s="189"/>
      <c r="T8166" s="114"/>
      <c r="U8166" s="21"/>
      <c r="V8166" s="115">
        <v>46130</v>
      </c>
      <c r="W8166" s="116">
        <v>1297</v>
      </c>
      <c r="X8166" s="220">
        <v>1350000</v>
      </c>
      <c r="Y8166" s="220">
        <f>X8166*0.1</f>
        <v>135000</v>
      </c>
      <c r="Z8166" s="220">
        <v>8990</v>
      </c>
      <c r="AA8166" s="220">
        <f>SUM(X8166:Z8166)</f>
        <v>1493990</v>
      </c>
      <c r="AB8166" s="222">
        <v>46139</v>
      </c>
    </row>
    <row r="8167" spans="1:28" ht="17.100000000000001" customHeight="1" thickBot="1">
      <c r="A8167" s="227"/>
      <c r="B8167" s="27" t="s">
        <v>22511</v>
      </c>
      <c r="C8167" s="27">
        <v>62034</v>
      </c>
      <c r="D8167" s="14" t="s">
        <v>22549</v>
      </c>
      <c r="E8167" s="229"/>
      <c r="F8167" s="117" t="s">
        <v>22514</v>
      </c>
      <c r="G8167" s="26">
        <v>32402</v>
      </c>
      <c r="H8167" s="231"/>
      <c r="I8167" s="221"/>
      <c r="J8167" s="221"/>
      <c r="K8167" s="221"/>
      <c r="L8167" s="221"/>
      <c r="M8167" s="221"/>
      <c r="N8167" s="221"/>
      <c r="O8167" s="225"/>
      <c r="P8167" s="118" t="s">
        <v>7323</v>
      </c>
      <c r="Q8167" s="16" t="s">
        <v>20</v>
      </c>
      <c r="R8167" s="17" t="s">
        <v>23208</v>
      </c>
      <c r="S8167" s="121"/>
      <c r="T8167" s="122"/>
      <c r="U8167" s="22"/>
      <c r="V8167" s="123" t="s">
        <v>6641</v>
      </c>
      <c r="W8167" s="122">
        <v>41064</v>
      </c>
      <c r="X8167" s="221"/>
      <c r="Y8167" s="221"/>
      <c r="Z8167" s="221"/>
      <c r="AA8167" s="221"/>
      <c r="AB8167" s="223"/>
    </row>
    <row r="8168" spans="1:28" ht="17.100000000000001" customHeight="1" thickTop="1">
      <c r="A8168" s="226" t="s">
        <v>22502</v>
      </c>
      <c r="B8168" s="28">
        <v>46126</v>
      </c>
      <c r="C8168" s="25">
        <v>815</v>
      </c>
      <c r="D8168" s="13" t="s">
        <v>22561</v>
      </c>
      <c r="E8168" s="228"/>
      <c r="F8168" s="109" t="s">
        <v>22515</v>
      </c>
      <c r="G8168" s="24"/>
      <c r="H8168" s="230">
        <v>4</v>
      </c>
      <c r="I8168" s="220">
        <v>877000</v>
      </c>
      <c r="J8168" s="220">
        <f>I8168*0.1</f>
        <v>87700</v>
      </c>
      <c r="K8168" s="220">
        <v>0</v>
      </c>
      <c r="L8168" s="220">
        <v>12450</v>
      </c>
      <c r="M8168" s="220">
        <v>15950</v>
      </c>
      <c r="N8168" s="220">
        <f>SUM(I8168:M8169)</f>
        <v>993100</v>
      </c>
      <c r="O8168" s="224"/>
      <c r="P8168" s="110" t="s">
        <v>23131</v>
      </c>
      <c r="Q8168" s="15" t="s">
        <v>19</v>
      </c>
      <c r="R8168" s="205"/>
      <c r="S8168" s="189"/>
      <c r="T8168" s="114"/>
      <c r="U8168" s="21"/>
      <c r="V8168" s="115">
        <v>46130</v>
      </c>
      <c r="W8168" s="116">
        <v>1297</v>
      </c>
      <c r="X8168" s="220">
        <v>1000000</v>
      </c>
      <c r="Y8168" s="220">
        <f>X8168*0.1</f>
        <v>100000</v>
      </c>
      <c r="Z8168" s="220">
        <v>12450</v>
      </c>
      <c r="AA8168" s="220">
        <f>SUM(X8168:Z8168)</f>
        <v>1112450</v>
      </c>
      <c r="AB8168" s="222">
        <v>46139</v>
      </c>
    </row>
    <row r="8169" spans="1:28" ht="17.100000000000001" customHeight="1" thickBot="1">
      <c r="A8169" s="227"/>
      <c r="B8169" s="27" t="s">
        <v>22511</v>
      </c>
      <c r="C8169" s="27">
        <v>70009</v>
      </c>
      <c r="D8169" s="14" t="s">
        <v>22557</v>
      </c>
      <c r="E8169" s="229"/>
      <c r="F8169" s="117" t="s">
        <v>22562</v>
      </c>
      <c r="G8169" s="26">
        <v>59360</v>
      </c>
      <c r="H8169" s="231"/>
      <c r="I8169" s="221"/>
      <c r="J8169" s="221"/>
      <c r="K8169" s="221"/>
      <c r="L8169" s="221"/>
      <c r="M8169" s="221"/>
      <c r="N8169" s="221"/>
      <c r="O8169" s="225"/>
      <c r="P8169" s="118" t="s">
        <v>23129</v>
      </c>
      <c r="Q8169" s="16" t="s">
        <v>20</v>
      </c>
      <c r="R8169" s="17" t="s">
        <v>23125</v>
      </c>
      <c r="S8169" s="121" t="s">
        <v>23147</v>
      </c>
      <c r="T8169" s="122"/>
      <c r="U8169" s="22"/>
      <c r="V8169" s="123" t="s">
        <v>6641</v>
      </c>
      <c r="W8169" s="122">
        <v>80395</v>
      </c>
      <c r="X8169" s="221"/>
      <c r="Y8169" s="221"/>
      <c r="Z8169" s="221"/>
      <c r="AA8169" s="221"/>
      <c r="AB8169" s="223"/>
    </row>
    <row r="8170" spans="1:28" ht="17.100000000000001" customHeight="1" thickTop="1">
      <c r="A8170" s="226" t="s">
        <v>22503</v>
      </c>
      <c r="B8170" s="28">
        <v>46126</v>
      </c>
      <c r="C8170" s="25">
        <v>815</v>
      </c>
      <c r="D8170" s="13" t="s">
        <v>22563</v>
      </c>
      <c r="E8170" s="228"/>
      <c r="F8170" s="109" t="s">
        <v>22516</v>
      </c>
      <c r="G8170" s="24" t="s">
        <v>22565</v>
      </c>
      <c r="H8170" s="230">
        <v>4.5</v>
      </c>
      <c r="I8170" s="220">
        <v>1811000</v>
      </c>
      <c r="J8170" s="220">
        <f>I8170*0.1</f>
        <v>181100</v>
      </c>
      <c r="K8170" s="220">
        <v>36300</v>
      </c>
      <c r="L8170" s="220">
        <v>19180</v>
      </c>
      <c r="M8170" s="220">
        <v>15950</v>
      </c>
      <c r="N8170" s="220">
        <f>SUM(I8170:M8171)</f>
        <v>2063530</v>
      </c>
      <c r="O8170" s="224"/>
      <c r="P8170" s="110" t="s">
        <v>22566</v>
      </c>
      <c r="Q8170" s="15" t="s">
        <v>19</v>
      </c>
      <c r="R8170" s="205"/>
      <c r="S8170" s="189" t="s">
        <v>25757</v>
      </c>
      <c r="T8170" s="114"/>
      <c r="U8170" s="21"/>
      <c r="V8170" s="115">
        <v>46137</v>
      </c>
      <c r="W8170" s="116">
        <v>1298</v>
      </c>
      <c r="X8170" s="220">
        <v>1950000</v>
      </c>
      <c r="Y8170" s="220">
        <f>X8170*0.1</f>
        <v>195000</v>
      </c>
      <c r="Z8170" s="220">
        <v>19180</v>
      </c>
      <c r="AA8170" s="220">
        <f>SUM(X8170:Z8170)</f>
        <v>2164180</v>
      </c>
      <c r="AB8170" s="222">
        <v>46154</v>
      </c>
    </row>
    <row r="8171" spans="1:28" ht="17.100000000000001" customHeight="1" thickBot="1">
      <c r="A8171" s="227"/>
      <c r="B8171" s="27" t="s">
        <v>22511</v>
      </c>
      <c r="C8171" s="27">
        <v>70141</v>
      </c>
      <c r="D8171" s="14" t="s">
        <v>2559</v>
      </c>
      <c r="E8171" s="229"/>
      <c r="F8171" s="117" t="s">
        <v>22564</v>
      </c>
      <c r="G8171" s="26">
        <v>77013</v>
      </c>
      <c r="H8171" s="231"/>
      <c r="I8171" s="221"/>
      <c r="J8171" s="221"/>
      <c r="K8171" s="221"/>
      <c r="L8171" s="221"/>
      <c r="M8171" s="221"/>
      <c r="N8171" s="221"/>
      <c r="O8171" s="225"/>
      <c r="P8171" s="118" t="s">
        <v>22709</v>
      </c>
      <c r="Q8171" s="16" t="s">
        <v>20</v>
      </c>
      <c r="R8171" s="17" t="s">
        <v>22705</v>
      </c>
      <c r="S8171" s="121" t="s">
        <v>22711</v>
      </c>
      <c r="T8171" s="122"/>
      <c r="U8171" s="22"/>
      <c r="V8171" s="123" t="s">
        <v>6642</v>
      </c>
      <c r="W8171" s="122">
        <v>80020</v>
      </c>
      <c r="X8171" s="221"/>
      <c r="Y8171" s="221"/>
      <c r="Z8171" s="221"/>
      <c r="AA8171" s="221"/>
      <c r="AB8171" s="223"/>
    </row>
    <row r="8172" spans="1:28" ht="17.100000000000001" customHeight="1" thickTop="1">
      <c r="A8172" s="226" t="s">
        <v>22504</v>
      </c>
      <c r="B8172" s="28">
        <v>46126</v>
      </c>
      <c r="C8172" s="25">
        <v>935</v>
      </c>
      <c r="D8172" s="13" t="s">
        <v>22567</v>
      </c>
      <c r="E8172" s="228"/>
      <c r="F8172" s="109" t="s">
        <v>22518</v>
      </c>
      <c r="G8172" s="24"/>
      <c r="H8172" s="230">
        <v>4.5</v>
      </c>
      <c r="I8172" s="220">
        <v>578000</v>
      </c>
      <c r="J8172" s="220">
        <f>I8172*0.1</f>
        <v>57800</v>
      </c>
      <c r="K8172" s="220">
        <v>0</v>
      </c>
      <c r="L8172" s="220">
        <v>8430</v>
      </c>
      <c r="M8172" s="220">
        <v>15950</v>
      </c>
      <c r="N8172" s="220">
        <f>SUM(I8172:M8173)</f>
        <v>660180</v>
      </c>
      <c r="O8172" s="224"/>
      <c r="P8172" s="110" t="s">
        <v>23977</v>
      </c>
      <c r="Q8172" s="15" t="s">
        <v>19</v>
      </c>
      <c r="R8172" s="205"/>
      <c r="S8172" s="189"/>
      <c r="T8172" s="114"/>
      <c r="U8172" s="21"/>
      <c r="V8172" s="115">
        <v>46130</v>
      </c>
      <c r="W8172" s="116">
        <v>1297</v>
      </c>
      <c r="X8172" s="220">
        <v>695000</v>
      </c>
      <c r="Y8172" s="220">
        <f>X8172*0.1</f>
        <v>69500</v>
      </c>
      <c r="Z8172" s="220">
        <v>8430</v>
      </c>
      <c r="AA8172" s="220">
        <f>SUM(X8172:Z8172)</f>
        <v>772930</v>
      </c>
      <c r="AB8172" s="222">
        <v>46135</v>
      </c>
    </row>
    <row r="8173" spans="1:28" ht="17.100000000000001" customHeight="1" thickBot="1">
      <c r="A8173" s="227"/>
      <c r="B8173" s="27" t="s">
        <v>22517</v>
      </c>
      <c r="C8173" s="27">
        <v>3060</v>
      </c>
      <c r="D8173" s="14" t="s">
        <v>1710</v>
      </c>
      <c r="E8173" s="229"/>
      <c r="F8173" s="117" t="s">
        <v>22519</v>
      </c>
      <c r="G8173" s="26">
        <v>13419</v>
      </c>
      <c r="H8173" s="231"/>
      <c r="I8173" s="221"/>
      <c r="J8173" s="221"/>
      <c r="K8173" s="221"/>
      <c r="L8173" s="221"/>
      <c r="M8173" s="221"/>
      <c r="N8173" s="221"/>
      <c r="O8173" s="225"/>
      <c r="P8173" s="118" t="s">
        <v>10210</v>
      </c>
      <c r="Q8173" s="16" t="s">
        <v>20</v>
      </c>
      <c r="R8173" s="17" t="s">
        <v>3650</v>
      </c>
      <c r="S8173" s="121" t="s">
        <v>4984</v>
      </c>
      <c r="T8173" s="122"/>
      <c r="U8173" s="22"/>
      <c r="V8173" s="123" t="s">
        <v>2472</v>
      </c>
      <c r="W8173" s="122">
        <v>60461</v>
      </c>
      <c r="X8173" s="221"/>
      <c r="Y8173" s="221"/>
      <c r="Z8173" s="221"/>
      <c r="AA8173" s="221"/>
      <c r="AB8173" s="223"/>
    </row>
    <row r="8174" spans="1:28" ht="17.100000000000001" customHeight="1" thickTop="1">
      <c r="A8174" s="226" t="s">
        <v>22505</v>
      </c>
      <c r="B8174" s="28">
        <v>46126</v>
      </c>
      <c r="C8174" s="25">
        <v>935</v>
      </c>
      <c r="D8174" s="13" t="s">
        <v>22548</v>
      </c>
      <c r="E8174" s="228"/>
      <c r="F8174" s="109" t="s">
        <v>22520</v>
      </c>
      <c r="G8174" s="24" t="s">
        <v>22568</v>
      </c>
      <c r="H8174" s="230">
        <v>3.5</v>
      </c>
      <c r="I8174" s="220">
        <v>472000</v>
      </c>
      <c r="J8174" s="220">
        <f>I8174*0.1</f>
        <v>47200</v>
      </c>
      <c r="K8174" s="220">
        <v>0</v>
      </c>
      <c r="L8174" s="220">
        <v>7140</v>
      </c>
      <c r="M8174" s="220">
        <v>15950</v>
      </c>
      <c r="N8174" s="220">
        <f>SUM(I8174:M8175)</f>
        <v>542290</v>
      </c>
      <c r="O8174" s="224"/>
      <c r="P8174" s="110" t="s">
        <v>22811</v>
      </c>
      <c r="Q8174" s="15" t="s">
        <v>19</v>
      </c>
      <c r="R8174" s="205"/>
      <c r="S8174" s="189" t="s">
        <v>25432</v>
      </c>
      <c r="T8174" s="114"/>
      <c r="U8174" s="21"/>
      <c r="V8174" s="115">
        <v>46130</v>
      </c>
      <c r="W8174" s="116">
        <v>1297</v>
      </c>
      <c r="X8174" s="220">
        <v>640000</v>
      </c>
      <c r="Y8174" s="220">
        <f>X8174*0.1</f>
        <v>64000</v>
      </c>
      <c r="Z8174" s="220">
        <v>7140</v>
      </c>
      <c r="AA8174" s="220">
        <f>SUM(X8174:Z8174)</f>
        <v>711140</v>
      </c>
      <c r="AB8174" s="222">
        <v>46139</v>
      </c>
    </row>
    <row r="8175" spans="1:28" ht="17.100000000000001" customHeight="1" thickBot="1">
      <c r="A8175" s="227"/>
      <c r="B8175" s="27" t="s">
        <v>22517</v>
      </c>
      <c r="C8175" s="27">
        <v>3105</v>
      </c>
      <c r="D8175" s="14" t="s">
        <v>22547</v>
      </c>
      <c r="E8175" s="229"/>
      <c r="F8175" s="117" t="s">
        <v>22521</v>
      </c>
      <c r="G8175" s="26">
        <v>39985</v>
      </c>
      <c r="H8175" s="231"/>
      <c r="I8175" s="221"/>
      <c r="J8175" s="221"/>
      <c r="K8175" s="221"/>
      <c r="L8175" s="221"/>
      <c r="M8175" s="221"/>
      <c r="N8175" s="221"/>
      <c r="O8175" s="225"/>
      <c r="P8175" s="118" t="s">
        <v>3506</v>
      </c>
      <c r="Q8175" s="16" t="s">
        <v>20</v>
      </c>
      <c r="R8175" s="17" t="s">
        <v>3650</v>
      </c>
      <c r="S8175" s="121" t="s">
        <v>18762</v>
      </c>
      <c r="T8175" s="122"/>
      <c r="U8175" s="22"/>
      <c r="V8175" s="123" t="s">
        <v>6641</v>
      </c>
      <c r="W8175" s="122">
        <v>60471</v>
      </c>
      <c r="X8175" s="221"/>
      <c r="Y8175" s="221"/>
      <c r="Z8175" s="221"/>
      <c r="AA8175" s="221"/>
      <c r="AB8175" s="223"/>
    </row>
    <row r="8176" spans="1:28" ht="17.100000000000001" customHeight="1" thickTop="1">
      <c r="A8176" s="226" t="s">
        <v>22506</v>
      </c>
      <c r="B8176" s="28">
        <v>46126</v>
      </c>
      <c r="C8176" s="25">
        <v>935</v>
      </c>
      <c r="D8176" s="13" t="s">
        <v>22569</v>
      </c>
      <c r="E8176" s="228"/>
      <c r="F8176" s="109" t="s">
        <v>22522</v>
      </c>
      <c r="G8176" s="24" t="s">
        <v>22541</v>
      </c>
      <c r="H8176" s="230">
        <v>4.5</v>
      </c>
      <c r="I8176" s="220">
        <v>485000</v>
      </c>
      <c r="J8176" s="220">
        <f>I8176*0.1</f>
        <v>48500</v>
      </c>
      <c r="K8176" s="220">
        <v>0</v>
      </c>
      <c r="L8176" s="220">
        <v>9200</v>
      </c>
      <c r="M8176" s="220">
        <v>15950</v>
      </c>
      <c r="N8176" s="220">
        <f>SUM(I8176:M8177)</f>
        <v>558650</v>
      </c>
      <c r="O8176" s="224"/>
      <c r="P8176" s="110" t="s">
        <v>22810</v>
      </c>
      <c r="Q8176" s="15" t="s">
        <v>19</v>
      </c>
      <c r="R8176" s="205"/>
      <c r="S8176" s="189" t="s">
        <v>25432</v>
      </c>
      <c r="T8176" s="114"/>
      <c r="U8176" s="21" t="s">
        <v>24500</v>
      </c>
      <c r="V8176" s="115">
        <v>46144</v>
      </c>
      <c r="W8176" s="116">
        <v>1299</v>
      </c>
      <c r="X8176" s="220">
        <v>565000</v>
      </c>
      <c r="Y8176" s="220">
        <f>X8176*0.1</f>
        <v>56500</v>
      </c>
      <c r="Z8176" s="220">
        <v>9200</v>
      </c>
      <c r="AA8176" s="220">
        <f>SUM(X8176:Z8176)</f>
        <v>630700</v>
      </c>
      <c r="AB8176" s="222">
        <v>46154</v>
      </c>
    </row>
    <row r="8177" spans="1:28" ht="17.100000000000001" customHeight="1" thickBot="1">
      <c r="A8177" s="227"/>
      <c r="B8177" s="27" t="s">
        <v>22517</v>
      </c>
      <c r="C8177" s="27">
        <v>3136</v>
      </c>
      <c r="D8177" s="14" t="s">
        <v>22570</v>
      </c>
      <c r="E8177" s="229"/>
      <c r="F8177" s="117" t="s">
        <v>22523</v>
      </c>
      <c r="G8177" s="26">
        <v>46857</v>
      </c>
      <c r="H8177" s="231"/>
      <c r="I8177" s="221"/>
      <c r="J8177" s="221"/>
      <c r="K8177" s="221"/>
      <c r="L8177" s="221"/>
      <c r="M8177" s="221"/>
      <c r="N8177" s="221"/>
      <c r="O8177" s="225"/>
      <c r="P8177" s="118" t="s">
        <v>4550</v>
      </c>
      <c r="Q8177" s="16" t="s">
        <v>20</v>
      </c>
      <c r="R8177" s="17" t="s">
        <v>3650</v>
      </c>
      <c r="S8177" s="121" t="s">
        <v>18762</v>
      </c>
      <c r="T8177" s="122"/>
      <c r="U8177" s="22"/>
      <c r="V8177" s="123" t="s">
        <v>24346</v>
      </c>
      <c r="W8177" s="122">
        <v>60047</v>
      </c>
      <c r="X8177" s="221"/>
      <c r="Y8177" s="221"/>
      <c r="Z8177" s="221"/>
      <c r="AA8177" s="221"/>
      <c r="AB8177" s="223"/>
    </row>
    <row r="8178" spans="1:28" ht="17.100000000000001" customHeight="1" thickTop="1">
      <c r="A8178" s="226" t="s">
        <v>22507</v>
      </c>
      <c r="B8178" s="28">
        <v>46126</v>
      </c>
      <c r="C8178" s="25">
        <v>935</v>
      </c>
      <c r="D8178" s="13" t="s">
        <v>22571</v>
      </c>
      <c r="E8178" s="228"/>
      <c r="F8178" s="109" t="s">
        <v>22524</v>
      </c>
      <c r="G8178" s="24"/>
      <c r="H8178" s="230">
        <v>4.5</v>
      </c>
      <c r="I8178" s="220">
        <v>1150000</v>
      </c>
      <c r="J8178" s="220">
        <f>I8178*0.1</f>
        <v>115000</v>
      </c>
      <c r="K8178" s="220">
        <v>0</v>
      </c>
      <c r="L8178" s="220">
        <v>15470</v>
      </c>
      <c r="M8178" s="220">
        <v>15950</v>
      </c>
      <c r="N8178" s="220">
        <f>SUM(I8178:M8179)</f>
        <v>1296420</v>
      </c>
      <c r="O8178" s="224"/>
      <c r="P8178" s="110" t="s">
        <v>23130</v>
      </c>
      <c r="Q8178" s="15" t="s">
        <v>19</v>
      </c>
      <c r="R8178" s="205"/>
      <c r="S8178" s="189"/>
      <c r="T8178" s="114"/>
      <c r="U8178" s="21"/>
      <c r="V8178" s="115">
        <v>46144</v>
      </c>
      <c r="W8178" s="116">
        <v>1299</v>
      </c>
      <c r="X8178" s="220">
        <v>1270000</v>
      </c>
      <c r="Y8178" s="220">
        <f>X8178*0.1</f>
        <v>127000</v>
      </c>
      <c r="Z8178" s="220">
        <v>15470</v>
      </c>
      <c r="AA8178" s="220">
        <f>SUM(X8178:Z8178)</f>
        <v>1412470</v>
      </c>
      <c r="AB8178" s="222">
        <v>46154</v>
      </c>
    </row>
    <row r="8179" spans="1:28" ht="17.100000000000001" customHeight="1" thickBot="1">
      <c r="A8179" s="227"/>
      <c r="B8179" s="27" t="s">
        <v>22517</v>
      </c>
      <c r="C8179" s="27">
        <v>5013</v>
      </c>
      <c r="D8179" s="14" t="s">
        <v>2559</v>
      </c>
      <c r="E8179" s="229"/>
      <c r="F8179" s="117" t="s">
        <v>22572</v>
      </c>
      <c r="G8179" s="26">
        <v>42161</v>
      </c>
      <c r="H8179" s="231"/>
      <c r="I8179" s="221"/>
      <c r="J8179" s="221"/>
      <c r="K8179" s="221"/>
      <c r="L8179" s="221"/>
      <c r="M8179" s="221"/>
      <c r="N8179" s="221"/>
      <c r="O8179" s="225"/>
      <c r="P8179" s="118" t="s">
        <v>15845</v>
      </c>
      <c r="Q8179" s="16" t="s">
        <v>20</v>
      </c>
      <c r="R8179" s="17" t="s">
        <v>23125</v>
      </c>
      <c r="S8179" s="121"/>
      <c r="T8179" s="122"/>
      <c r="U8179" s="22"/>
      <c r="V8179" s="123" t="s">
        <v>24346</v>
      </c>
      <c r="W8179" s="122">
        <v>80246</v>
      </c>
      <c r="X8179" s="221"/>
      <c r="Y8179" s="221"/>
      <c r="Z8179" s="221"/>
      <c r="AA8179" s="221"/>
      <c r="AB8179" s="223"/>
    </row>
    <row r="8180" spans="1:28" ht="17.100000000000001" customHeight="1" thickTop="1">
      <c r="A8180" s="226" t="s">
        <v>22508</v>
      </c>
      <c r="B8180" s="28">
        <v>46126</v>
      </c>
      <c r="C8180" s="25">
        <v>935</v>
      </c>
      <c r="D8180" s="13" t="s">
        <v>22573</v>
      </c>
      <c r="E8180" s="228"/>
      <c r="F8180" s="109" t="s">
        <v>20916</v>
      </c>
      <c r="G8180" s="24" t="s">
        <v>22575</v>
      </c>
      <c r="H8180" s="230">
        <v>4.5</v>
      </c>
      <c r="I8180" s="220">
        <v>2136000</v>
      </c>
      <c r="J8180" s="220">
        <f>I8180*0.1</f>
        <v>213600</v>
      </c>
      <c r="K8180" s="220">
        <v>36300</v>
      </c>
      <c r="L8180" s="220">
        <v>18170</v>
      </c>
      <c r="M8180" s="220">
        <v>15950</v>
      </c>
      <c r="N8180" s="220">
        <f>SUM(I8180:M8181)</f>
        <v>2420020</v>
      </c>
      <c r="O8180" s="224"/>
      <c r="P8180" s="110" t="s">
        <v>22576</v>
      </c>
      <c r="Q8180" s="15" t="s">
        <v>19</v>
      </c>
      <c r="R8180" s="205"/>
      <c r="S8180" s="189" t="s">
        <v>25732</v>
      </c>
      <c r="T8180" s="114"/>
      <c r="U8180" s="21"/>
      <c r="V8180" s="115">
        <v>46130</v>
      </c>
      <c r="W8180" s="116">
        <v>1297</v>
      </c>
      <c r="X8180" s="220">
        <v>2490000</v>
      </c>
      <c r="Y8180" s="220">
        <f>X8180*0.1</f>
        <v>249000</v>
      </c>
      <c r="Z8180" s="220">
        <v>18170</v>
      </c>
      <c r="AA8180" s="220">
        <f>SUM(X8180:Z8180)</f>
        <v>2757170</v>
      </c>
      <c r="AB8180" s="222">
        <v>46133</v>
      </c>
    </row>
    <row r="8181" spans="1:28" ht="17.100000000000001" customHeight="1" thickBot="1">
      <c r="A8181" s="227"/>
      <c r="B8181" s="27" t="s">
        <v>22517</v>
      </c>
      <c r="C8181" s="27">
        <v>5029</v>
      </c>
      <c r="D8181" s="14" t="s">
        <v>1797</v>
      </c>
      <c r="E8181" s="229"/>
      <c r="F8181" s="117" t="s">
        <v>22574</v>
      </c>
      <c r="G8181" s="26">
        <v>44401</v>
      </c>
      <c r="H8181" s="231"/>
      <c r="I8181" s="221"/>
      <c r="J8181" s="221"/>
      <c r="K8181" s="221"/>
      <c r="L8181" s="221"/>
      <c r="M8181" s="221"/>
      <c r="N8181" s="221"/>
      <c r="O8181" s="225"/>
      <c r="P8181" s="118" t="s">
        <v>22809</v>
      </c>
      <c r="Q8181" s="16" t="s">
        <v>20</v>
      </c>
      <c r="R8181" s="17" t="s">
        <v>3650</v>
      </c>
      <c r="S8181" s="121" t="s">
        <v>1606</v>
      </c>
      <c r="T8181" s="122"/>
      <c r="U8181" s="22"/>
      <c r="V8181" s="123" t="s">
        <v>2472</v>
      </c>
      <c r="W8181" s="122">
        <v>80392</v>
      </c>
      <c r="X8181" s="221"/>
      <c r="Y8181" s="221"/>
      <c r="Z8181" s="221"/>
      <c r="AA8181" s="221"/>
      <c r="AB8181" s="223"/>
    </row>
    <row r="8182" spans="1:28" ht="17.100000000000001" customHeight="1" thickTop="1">
      <c r="A8182" s="226" t="s">
        <v>22509</v>
      </c>
      <c r="B8182" s="28">
        <v>46126</v>
      </c>
      <c r="C8182" s="25">
        <v>971</v>
      </c>
      <c r="D8182" s="13" t="s">
        <v>22548</v>
      </c>
      <c r="E8182" s="228"/>
      <c r="F8182" s="109" t="s">
        <v>22526</v>
      </c>
      <c r="G8182" s="24"/>
      <c r="H8182" s="230">
        <v>4</v>
      </c>
      <c r="I8182" s="220">
        <v>1860000</v>
      </c>
      <c r="J8182" s="220">
        <f>I8182*0.1</f>
        <v>186000</v>
      </c>
      <c r="K8182" s="220">
        <v>0</v>
      </c>
      <c r="L8182" s="220">
        <v>12370</v>
      </c>
      <c r="M8182" s="220">
        <v>15950</v>
      </c>
      <c r="N8182" s="220">
        <f>SUM(I8182:M8183)</f>
        <v>2074320</v>
      </c>
      <c r="O8182" s="224"/>
      <c r="P8182" s="110" t="s">
        <v>23363</v>
      </c>
      <c r="Q8182" s="15" t="s">
        <v>19</v>
      </c>
      <c r="R8182" s="205"/>
      <c r="S8182" s="189"/>
      <c r="T8182" s="114"/>
      <c r="U8182" s="21"/>
      <c r="V8182" s="115">
        <v>46130</v>
      </c>
      <c r="W8182" s="116">
        <v>1297</v>
      </c>
      <c r="X8182" s="220">
        <v>2145000</v>
      </c>
      <c r="Y8182" s="220">
        <f>X8182*0.1</f>
        <v>214500</v>
      </c>
      <c r="Z8182" s="220">
        <v>12370</v>
      </c>
      <c r="AA8182" s="220">
        <f>SUM(X8182:Z8182)</f>
        <v>2371870</v>
      </c>
      <c r="AB8182" s="222">
        <v>46139</v>
      </c>
    </row>
    <row r="8183" spans="1:28" ht="17.100000000000001" customHeight="1" thickBot="1">
      <c r="A8183" s="227"/>
      <c r="B8183" s="27" t="s">
        <v>22525</v>
      </c>
      <c r="C8183" s="27">
        <v>5004</v>
      </c>
      <c r="D8183" s="14" t="s">
        <v>22547</v>
      </c>
      <c r="E8183" s="229"/>
      <c r="F8183" s="117" t="s">
        <v>22577</v>
      </c>
      <c r="G8183" s="26">
        <v>36468</v>
      </c>
      <c r="H8183" s="231"/>
      <c r="I8183" s="221"/>
      <c r="J8183" s="221"/>
      <c r="K8183" s="221"/>
      <c r="L8183" s="221"/>
      <c r="M8183" s="221"/>
      <c r="N8183" s="221"/>
      <c r="O8183" s="225"/>
      <c r="P8183" s="118" t="s">
        <v>23364</v>
      </c>
      <c r="Q8183" s="16" t="s">
        <v>20</v>
      </c>
      <c r="R8183" s="17" t="s">
        <v>23361</v>
      </c>
      <c r="S8183" s="121" t="s">
        <v>10120</v>
      </c>
      <c r="T8183" s="122"/>
      <c r="U8183" s="22"/>
      <c r="V8183" s="123" t="s">
        <v>2472</v>
      </c>
      <c r="W8183" s="122">
        <v>80424</v>
      </c>
      <c r="X8183" s="221"/>
      <c r="Y8183" s="221"/>
      <c r="Z8183" s="221"/>
      <c r="AA8183" s="221"/>
      <c r="AB8183" s="223"/>
    </row>
    <row r="8184" spans="1:28" ht="17.100000000000001" customHeight="1" thickTop="1">
      <c r="A8184" s="226" t="s">
        <v>22510</v>
      </c>
      <c r="B8184" s="28">
        <v>46126</v>
      </c>
      <c r="C8184" s="25">
        <v>986</v>
      </c>
      <c r="D8184" s="13" t="s">
        <v>22578</v>
      </c>
      <c r="E8184" s="228"/>
      <c r="F8184" s="109" t="s">
        <v>22579</v>
      </c>
      <c r="G8184" s="24"/>
      <c r="H8184" s="230">
        <v>4</v>
      </c>
      <c r="I8184" s="220">
        <v>1073000</v>
      </c>
      <c r="J8184" s="220">
        <f>I8184*0.1</f>
        <v>107300</v>
      </c>
      <c r="K8184" s="220">
        <v>0</v>
      </c>
      <c r="L8184" s="220">
        <v>9310</v>
      </c>
      <c r="M8184" s="220">
        <v>22000</v>
      </c>
      <c r="N8184" s="220">
        <f>SUM(I8184:M8185)</f>
        <v>1211610</v>
      </c>
      <c r="O8184" s="224"/>
      <c r="P8184" s="110" t="s">
        <v>23529</v>
      </c>
      <c r="Q8184" s="15" t="s">
        <v>19</v>
      </c>
      <c r="R8184" s="205"/>
      <c r="S8184" s="189" t="s">
        <v>25387</v>
      </c>
      <c r="T8184" s="114"/>
      <c r="U8184" s="21"/>
      <c r="V8184" s="115">
        <v>46130</v>
      </c>
      <c r="W8184" s="116">
        <v>1297</v>
      </c>
      <c r="X8184" s="220">
        <v>1170000</v>
      </c>
      <c r="Y8184" s="220">
        <f>X8184*0.1</f>
        <v>117000</v>
      </c>
      <c r="Z8184" s="220">
        <v>9310</v>
      </c>
      <c r="AA8184" s="220">
        <f>SUM(X8184:Z8184)</f>
        <v>1296310</v>
      </c>
      <c r="AB8184" s="222">
        <v>46139</v>
      </c>
    </row>
    <row r="8185" spans="1:28" ht="17.100000000000001" customHeight="1" thickBot="1">
      <c r="A8185" s="227"/>
      <c r="B8185" s="27" t="s">
        <v>22538</v>
      </c>
      <c r="C8185" s="27">
        <v>118</v>
      </c>
      <c r="D8185" s="14" t="s">
        <v>22547</v>
      </c>
      <c r="E8185" s="229"/>
      <c r="F8185" s="117" t="s">
        <v>22580</v>
      </c>
      <c r="G8185" s="26">
        <v>34687</v>
      </c>
      <c r="H8185" s="231"/>
      <c r="I8185" s="221"/>
      <c r="J8185" s="221"/>
      <c r="K8185" s="221"/>
      <c r="L8185" s="221"/>
      <c r="M8185" s="221"/>
      <c r="N8185" s="221"/>
      <c r="O8185" s="225"/>
      <c r="P8185" s="118" t="s">
        <v>2446</v>
      </c>
      <c r="Q8185" s="16" t="s">
        <v>20</v>
      </c>
      <c r="R8185" s="17" t="s">
        <v>23474</v>
      </c>
      <c r="S8185" s="121" t="s">
        <v>11384</v>
      </c>
      <c r="T8185" s="122"/>
      <c r="U8185" s="22"/>
      <c r="V8185" s="123" t="s">
        <v>2472</v>
      </c>
      <c r="W8185" s="122">
        <v>62084</v>
      </c>
      <c r="X8185" s="221"/>
      <c r="Y8185" s="221"/>
      <c r="Z8185" s="221"/>
      <c r="AA8185" s="221"/>
      <c r="AB8185" s="223"/>
    </row>
    <row r="8186" spans="1:28" ht="17.100000000000001" customHeight="1" thickTop="1">
      <c r="A8186" s="226" t="s">
        <v>22527</v>
      </c>
      <c r="B8186" s="28">
        <v>46126</v>
      </c>
      <c r="C8186" s="25">
        <v>986</v>
      </c>
      <c r="D8186" s="13" t="s">
        <v>2892</v>
      </c>
      <c r="E8186" s="228"/>
      <c r="F8186" s="109" t="s">
        <v>15195</v>
      </c>
      <c r="G8186" s="24"/>
      <c r="H8186" s="230">
        <v>4</v>
      </c>
      <c r="I8186" s="220">
        <v>413000</v>
      </c>
      <c r="J8186" s="220">
        <f>I8186*0.1</f>
        <v>41300</v>
      </c>
      <c r="K8186" s="220">
        <v>0</v>
      </c>
      <c r="L8186" s="220">
        <v>8850</v>
      </c>
      <c r="M8186" s="220">
        <v>22000</v>
      </c>
      <c r="N8186" s="220">
        <f>SUM(I8186:M8187)</f>
        <v>485150</v>
      </c>
      <c r="O8186" s="224"/>
      <c r="P8186" s="110" t="s">
        <v>23530</v>
      </c>
      <c r="Q8186" s="15" t="s">
        <v>19</v>
      </c>
      <c r="R8186" s="205"/>
      <c r="S8186" s="189" t="s">
        <v>25387</v>
      </c>
      <c r="T8186" s="114"/>
      <c r="U8186" s="21"/>
      <c r="V8186" s="115">
        <v>46130</v>
      </c>
      <c r="W8186" s="116">
        <v>1297</v>
      </c>
      <c r="X8186" s="220">
        <v>595000</v>
      </c>
      <c r="Y8186" s="220">
        <f>X8186*0.1</f>
        <v>59500</v>
      </c>
      <c r="Z8186" s="220">
        <v>8850</v>
      </c>
      <c r="AA8186" s="220">
        <f>SUM(X8186:Z8186)</f>
        <v>663350</v>
      </c>
      <c r="AB8186" s="222">
        <v>46139</v>
      </c>
    </row>
    <row r="8187" spans="1:28" ht="17.100000000000001" customHeight="1" thickBot="1">
      <c r="A8187" s="227"/>
      <c r="B8187" s="27" t="s">
        <v>22538</v>
      </c>
      <c r="C8187" s="27">
        <v>127</v>
      </c>
      <c r="D8187" s="14" t="s">
        <v>1584</v>
      </c>
      <c r="E8187" s="229"/>
      <c r="F8187" s="117" t="s">
        <v>22581</v>
      </c>
      <c r="G8187" s="26">
        <v>58242</v>
      </c>
      <c r="H8187" s="231"/>
      <c r="I8187" s="221"/>
      <c r="J8187" s="221"/>
      <c r="K8187" s="221"/>
      <c r="L8187" s="221"/>
      <c r="M8187" s="221"/>
      <c r="N8187" s="221"/>
      <c r="O8187" s="225"/>
      <c r="P8187" s="118" t="s">
        <v>2446</v>
      </c>
      <c r="Q8187" s="16" t="s">
        <v>20</v>
      </c>
      <c r="R8187" s="17" t="s">
        <v>23474</v>
      </c>
      <c r="S8187" s="121" t="s">
        <v>169</v>
      </c>
      <c r="T8187" s="122"/>
      <c r="U8187" s="22"/>
      <c r="V8187" s="123" t="s">
        <v>2472</v>
      </c>
      <c r="W8187" s="122">
        <v>62085</v>
      </c>
      <c r="X8187" s="221"/>
      <c r="Y8187" s="221"/>
      <c r="Z8187" s="221"/>
      <c r="AA8187" s="221"/>
      <c r="AB8187" s="223"/>
    </row>
    <row r="8188" spans="1:28" ht="17.100000000000001" customHeight="1" thickTop="1">
      <c r="A8188" s="226" t="s">
        <v>22528</v>
      </c>
      <c r="B8188" s="28">
        <v>46126</v>
      </c>
      <c r="C8188" s="25">
        <v>986</v>
      </c>
      <c r="D8188" s="13" t="s">
        <v>1961</v>
      </c>
      <c r="E8188" s="228"/>
      <c r="F8188" s="109" t="s">
        <v>15608</v>
      </c>
      <c r="G8188" s="24"/>
      <c r="H8188" s="230">
        <v>4</v>
      </c>
      <c r="I8188" s="220">
        <v>1153000</v>
      </c>
      <c r="J8188" s="220">
        <f>I8188*0.1</f>
        <v>115300</v>
      </c>
      <c r="K8188" s="220">
        <v>0</v>
      </c>
      <c r="L8188" s="220">
        <v>8550</v>
      </c>
      <c r="M8188" s="220">
        <v>22000</v>
      </c>
      <c r="N8188" s="220">
        <f>SUM(I8188:M8189)</f>
        <v>1298850</v>
      </c>
      <c r="O8188" s="224"/>
      <c r="P8188" s="110" t="s">
        <v>23539</v>
      </c>
      <c r="Q8188" s="15" t="s">
        <v>19</v>
      </c>
      <c r="R8188" s="205"/>
      <c r="S8188" s="189" t="s">
        <v>25387</v>
      </c>
      <c r="T8188" s="114"/>
      <c r="U8188" s="21"/>
      <c r="V8188" s="115">
        <v>46137</v>
      </c>
      <c r="W8188" s="116">
        <v>1298</v>
      </c>
      <c r="X8188" s="220">
        <v>1200000</v>
      </c>
      <c r="Y8188" s="220">
        <f>X8188*0.1</f>
        <v>120000</v>
      </c>
      <c r="Z8188" s="220">
        <v>8550</v>
      </c>
      <c r="AA8188" s="220">
        <f>SUM(X8188:Z8188)</f>
        <v>1328550</v>
      </c>
      <c r="AB8188" s="222">
        <v>46140</v>
      </c>
    </row>
    <row r="8189" spans="1:28" ht="17.100000000000001" customHeight="1" thickBot="1">
      <c r="A8189" s="227"/>
      <c r="B8189" s="27" t="s">
        <v>22538</v>
      </c>
      <c r="C8189" s="27">
        <v>132</v>
      </c>
      <c r="D8189" s="14" t="s">
        <v>273</v>
      </c>
      <c r="E8189" s="229"/>
      <c r="F8189" s="117" t="s">
        <v>22582</v>
      </c>
      <c r="G8189" s="26">
        <v>31342</v>
      </c>
      <c r="H8189" s="231"/>
      <c r="I8189" s="221"/>
      <c r="J8189" s="221"/>
      <c r="K8189" s="221"/>
      <c r="L8189" s="221"/>
      <c r="M8189" s="221"/>
      <c r="N8189" s="221"/>
      <c r="O8189" s="225"/>
      <c r="P8189" s="118" t="s">
        <v>2446</v>
      </c>
      <c r="Q8189" s="16" t="s">
        <v>20</v>
      </c>
      <c r="R8189" s="17" t="s">
        <v>23474</v>
      </c>
      <c r="S8189" s="121" t="s">
        <v>8880</v>
      </c>
      <c r="T8189" s="122"/>
      <c r="U8189" s="22"/>
      <c r="V8189" s="123" t="s">
        <v>2472</v>
      </c>
      <c r="W8189" s="122">
        <v>62042</v>
      </c>
      <c r="X8189" s="221"/>
      <c r="Y8189" s="221"/>
      <c r="Z8189" s="221"/>
      <c r="AA8189" s="221"/>
      <c r="AB8189" s="223"/>
    </row>
    <row r="8190" spans="1:28" ht="17.100000000000001" customHeight="1" thickTop="1">
      <c r="A8190" s="226" t="s">
        <v>22529</v>
      </c>
      <c r="B8190" s="28">
        <v>46126</v>
      </c>
      <c r="C8190" s="25">
        <v>986</v>
      </c>
      <c r="D8190" s="13" t="s">
        <v>2712</v>
      </c>
      <c r="E8190" s="228"/>
      <c r="F8190" s="109" t="s">
        <v>22583</v>
      </c>
      <c r="G8190" s="24"/>
      <c r="H8190" s="230">
        <v>4</v>
      </c>
      <c r="I8190" s="220">
        <v>653000</v>
      </c>
      <c r="J8190" s="220">
        <f>I8190*0.1</f>
        <v>65300</v>
      </c>
      <c r="K8190" s="220">
        <v>0</v>
      </c>
      <c r="L8190" s="220">
        <v>7860</v>
      </c>
      <c r="M8190" s="220">
        <v>22000</v>
      </c>
      <c r="N8190" s="220">
        <f>SUM(I8190:M8191)</f>
        <v>748160</v>
      </c>
      <c r="O8190" s="224"/>
      <c r="P8190" s="110" t="s">
        <v>23526</v>
      </c>
      <c r="Q8190" s="15" t="s">
        <v>19</v>
      </c>
      <c r="R8190" s="205"/>
      <c r="S8190" s="189" t="s">
        <v>25387</v>
      </c>
      <c r="T8190" s="114"/>
      <c r="U8190" s="21"/>
      <c r="V8190" s="115">
        <v>46130</v>
      </c>
      <c r="W8190" s="116">
        <v>1297</v>
      </c>
      <c r="X8190" s="220">
        <v>750000</v>
      </c>
      <c r="Y8190" s="220">
        <f>X8190*0.1</f>
        <v>75000</v>
      </c>
      <c r="Z8190" s="220">
        <v>7860</v>
      </c>
      <c r="AA8190" s="220">
        <f>SUM(X8190:Z8190)</f>
        <v>832860</v>
      </c>
      <c r="AB8190" s="222">
        <v>46139</v>
      </c>
    </row>
    <row r="8191" spans="1:28" ht="17.100000000000001" customHeight="1" thickBot="1">
      <c r="A8191" s="227"/>
      <c r="B8191" s="27" t="s">
        <v>22538</v>
      </c>
      <c r="C8191" s="27">
        <v>164</v>
      </c>
      <c r="D8191" s="14" t="s">
        <v>1710</v>
      </c>
      <c r="E8191" s="229"/>
      <c r="F8191" s="117" t="s">
        <v>22584</v>
      </c>
      <c r="G8191" s="26">
        <v>48508</v>
      </c>
      <c r="H8191" s="231"/>
      <c r="I8191" s="221"/>
      <c r="J8191" s="221"/>
      <c r="K8191" s="221"/>
      <c r="L8191" s="221"/>
      <c r="M8191" s="221"/>
      <c r="N8191" s="221"/>
      <c r="O8191" s="225"/>
      <c r="P8191" s="118" t="s">
        <v>2446</v>
      </c>
      <c r="Q8191" s="16" t="s">
        <v>20</v>
      </c>
      <c r="R8191" s="17" t="s">
        <v>23474</v>
      </c>
      <c r="S8191" s="121" t="s">
        <v>23149</v>
      </c>
      <c r="T8191" s="122"/>
      <c r="U8191" s="22"/>
      <c r="V8191" s="123" t="s">
        <v>2472</v>
      </c>
      <c r="W8191" s="122">
        <v>62086</v>
      </c>
      <c r="X8191" s="221"/>
      <c r="Y8191" s="221"/>
      <c r="Z8191" s="221"/>
      <c r="AA8191" s="221"/>
      <c r="AB8191" s="223"/>
    </row>
    <row r="8192" spans="1:28" ht="17.100000000000001" customHeight="1" thickTop="1">
      <c r="A8192" s="226" t="s">
        <v>22530</v>
      </c>
      <c r="B8192" s="28">
        <v>46126</v>
      </c>
      <c r="C8192" s="25">
        <v>986</v>
      </c>
      <c r="D8192" s="13" t="s">
        <v>4213</v>
      </c>
      <c r="E8192" s="228"/>
      <c r="F8192" s="109" t="s">
        <v>22585</v>
      </c>
      <c r="G8192" s="24"/>
      <c r="H8192" s="230">
        <v>4</v>
      </c>
      <c r="I8192" s="220">
        <v>953000</v>
      </c>
      <c r="J8192" s="220">
        <f>I8192*0.1</f>
        <v>95300</v>
      </c>
      <c r="K8192" s="220">
        <v>0</v>
      </c>
      <c r="L8192" s="220">
        <v>8550</v>
      </c>
      <c r="M8192" s="220">
        <v>22000</v>
      </c>
      <c r="N8192" s="220">
        <f>SUM(I8192:M8193)</f>
        <v>1078850</v>
      </c>
      <c r="O8192" s="224"/>
      <c r="P8192" s="110" t="s">
        <v>23538</v>
      </c>
      <c r="Q8192" s="15" t="s">
        <v>19</v>
      </c>
      <c r="R8192" s="205"/>
      <c r="S8192" s="189" t="s">
        <v>25387</v>
      </c>
      <c r="T8192" s="114"/>
      <c r="U8192" s="21"/>
      <c r="V8192" s="115"/>
      <c r="W8192" s="116"/>
      <c r="X8192" s="220"/>
      <c r="Y8192" s="220">
        <f>X8192*0.1</f>
        <v>0</v>
      </c>
      <c r="Z8192" s="220"/>
      <c r="AA8192" s="220">
        <f>SUM(X8192:Z8192)</f>
        <v>0</v>
      </c>
      <c r="AB8192" s="222"/>
    </row>
    <row r="8193" spans="1:28" ht="17.100000000000001" customHeight="1" thickBot="1">
      <c r="A8193" s="227"/>
      <c r="B8193" s="27" t="s">
        <v>22538</v>
      </c>
      <c r="C8193" s="27">
        <v>173</v>
      </c>
      <c r="D8193" s="14" t="s">
        <v>1710</v>
      </c>
      <c r="E8193" s="229"/>
      <c r="F8193" s="117" t="s">
        <v>22586</v>
      </c>
      <c r="G8193" s="26">
        <v>47900</v>
      </c>
      <c r="H8193" s="231"/>
      <c r="I8193" s="221"/>
      <c r="J8193" s="221"/>
      <c r="K8193" s="221"/>
      <c r="L8193" s="221"/>
      <c r="M8193" s="221"/>
      <c r="N8193" s="221"/>
      <c r="O8193" s="225"/>
      <c r="P8193" s="118" t="s">
        <v>2446</v>
      </c>
      <c r="Q8193" s="16" t="s">
        <v>20</v>
      </c>
      <c r="R8193" s="17" t="s">
        <v>23474</v>
      </c>
      <c r="S8193" s="121" t="s">
        <v>23148</v>
      </c>
      <c r="T8193" s="122"/>
      <c r="U8193" s="22"/>
      <c r="V8193" s="123"/>
      <c r="W8193" s="122"/>
      <c r="X8193" s="221"/>
      <c r="Y8193" s="221"/>
      <c r="Z8193" s="221"/>
      <c r="AA8193" s="221"/>
      <c r="AB8193" s="223"/>
    </row>
    <row r="8194" spans="1:28" ht="17.100000000000001" customHeight="1" thickTop="1">
      <c r="A8194" s="226" t="s">
        <v>22531</v>
      </c>
      <c r="B8194" s="28">
        <v>46126</v>
      </c>
      <c r="C8194" s="25">
        <v>986</v>
      </c>
      <c r="D8194" s="13" t="s">
        <v>1704</v>
      </c>
      <c r="E8194" s="228"/>
      <c r="F8194" s="109" t="s">
        <v>22587</v>
      </c>
      <c r="G8194" s="24"/>
      <c r="H8194" s="230">
        <v>4</v>
      </c>
      <c r="I8194" s="220">
        <v>423000</v>
      </c>
      <c r="J8194" s="220">
        <f>I8194*0.1</f>
        <v>42300</v>
      </c>
      <c r="K8194" s="220">
        <v>0</v>
      </c>
      <c r="L8194" s="220">
        <v>7140</v>
      </c>
      <c r="M8194" s="220">
        <v>22000</v>
      </c>
      <c r="N8194" s="220">
        <f>SUM(I8194:M8195)</f>
        <v>494440</v>
      </c>
      <c r="O8194" s="224"/>
      <c r="P8194" s="110" t="s">
        <v>23527</v>
      </c>
      <c r="Q8194" s="15" t="s">
        <v>19</v>
      </c>
      <c r="R8194" s="205"/>
      <c r="S8194" s="189" t="s">
        <v>25387</v>
      </c>
      <c r="T8194" s="114"/>
      <c r="U8194" s="21"/>
      <c r="V8194" s="115">
        <v>46130</v>
      </c>
      <c r="W8194" s="116">
        <v>1297</v>
      </c>
      <c r="X8194" s="220">
        <v>540000</v>
      </c>
      <c r="Y8194" s="220">
        <f>X8194*0.1</f>
        <v>54000</v>
      </c>
      <c r="Z8194" s="220">
        <v>7140</v>
      </c>
      <c r="AA8194" s="220">
        <f>SUM(X8194:Z8194)</f>
        <v>601140</v>
      </c>
      <c r="AB8194" s="222">
        <v>46139</v>
      </c>
    </row>
    <row r="8195" spans="1:28" ht="17.100000000000001" customHeight="1" thickBot="1">
      <c r="A8195" s="227"/>
      <c r="B8195" s="27" t="s">
        <v>22538</v>
      </c>
      <c r="C8195" s="27">
        <v>194</v>
      </c>
      <c r="D8195" s="14" t="s">
        <v>1584</v>
      </c>
      <c r="E8195" s="229"/>
      <c r="F8195" s="117" t="s">
        <v>22588</v>
      </c>
      <c r="G8195" s="26">
        <v>20565</v>
      </c>
      <c r="H8195" s="231"/>
      <c r="I8195" s="221"/>
      <c r="J8195" s="221"/>
      <c r="K8195" s="221"/>
      <c r="L8195" s="221"/>
      <c r="M8195" s="221"/>
      <c r="N8195" s="221"/>
      <c r="O8195" s="225"/>
      <c r="P8195" s="118" t="s">
        <v>2446</v>
      </c>
      <c r="Q8195" s="16" t="s">
        <v>20</v>
      </c>
      <c r="R8195" s="17" t="s">
        <v>23474</v>
      </c>
      <c r="S8195" s="121" t="s">
        <v>11197</v>
      </c>
      <c r="T8195" s="122"/>
      <c r="U8195" s="22"/>
      <c r="V8195" s="123" t="s">
        <v>2472</v>
      </c>
      <c r="W8195" s="122">
        <v>62088</v>
      </c>
      <c r="X8195" s="221"/>
      <c r="Y8195" s="221"/>
      <c r="Z8195" s="221"/>
      <c r="AA8195" s="221"/>
      <c r="AB8195" s="223"/>
    </row>
    <row r="8196" spans="1:28" ht="17.100000000000001" customHeight="1" thickTop="1">
      <c r="A8196" s="226" t="s">
        <v>22532</v>
      </c>
      <c r="B8196" s="28">
        <v>46126</v>
      </c>
      <c r="C8196" s="25">
        <v>986</v>
      </c>
      <c r="D8196" s="13" t="s">
        <v>1704</v>
      </c>
      <c r="E8196" s="228"/>
      <c r="F8196" s="109" t="s">
        <v>15607</v>
      </c>
      <c r="G8196" s="24"/>
      <c r="H8196" s="230">
        <v>4</v>
      </c>
      <c r="I8196" s="220">
        <v>413000</v>
      </c>
      <c r="J8196" s="220">
        <f>I8196*0.1</f>
        <v>41300</v>
      </c>
      <c r="K8196" s="220">
        <v>0</v>
      </c>
      <c r="L8196" s="220">
        <v>7140</v>
      </c>
      <c r="M8196" s="220">
        <v>22000</v>
      </c>
      <c r="N8196" s="220">
        <f>SUM(I8196:M8197)</f>
        <v>483440</v>
      </c>
      <c r="O8196" s="224"/>
      <c r="P8196" s="110" t="s">
        <v>23528</v>
      </c>
      <c r="Q8196" s="15" t="s">
        <v>19</v>
      </c>
      <c r="R8196" s="205"/>
      <c r="S8196" s="189" t="s">
        <v>25387</v>
      </c>
      <c r="T8196" s="114"/>
      <c r="U8196" s="21"/>
      <c r="V8196" s="115">
        <v>46130</v>
      </c>
      <c r="W8196" s="116">
        <v>1297</v>
      </c>
      <c r="X8196" s="220">
        <v>470000</v>
      </c>
      <c r="Y8196" s="220">
        <f>X8196*0.1</f>
        <v>47000</v>
      </c>
      <c r="Z8196" s="220">
        <v>7140</v>
      </c>
      <c r="AA8196" s="220">
        <f>SUM(X8196:Z8196)</f>
        <v>524140</v>
      </c>
      <c r="AB8196" s="222">
        <v>46139</v>
      </c>
    </row>
    <row r="8197" spans="1:28" ht="17.100000000000001" customHeight="1" thickBot="1">
      <c r="A8197" s="227"/>
      <c r="B8197" s="27" t="s">
        <v>22538</v>
      </c>
      <c r="C8197" s="27">
        <v>198</v>
      </c>
      <c r="D8197" s="14" t="s">
        <v>1584</v>
      </c>
      <c r="E8197" s="229"/>
      <c r="F8197" s="117" t="s">
        <v>22589</v>
      </c>
      <c r="G8197" s="26">
        <v>34164</v>
      </c>
      <c r="H8197" s="231"/>
      <c r="I8197" s="221"/>
      <c r="J8197" s="221"/>
      <c r="K8197" s="221"/>
      <c r="L8197" s="221"/>
      <c r="M8197" s="221"/>
      <c r="N8197" s="221"/>
      <c r="O8197" s="225"/>
      <c r="P8197" s="118" t="s">
        <v>2446</v>
      </c>
      <c r="Q8197" s="16" t="s">
        <v>20</v>
      </c>
      <c r="R8197" s="17" t="s">
        <v>23474</v>
      </c>
      <c r="S8197" s="121" t="s">
        <v>10124</v>
      </c>
      <c r="T8197" s="122"/>
      <c r="U8197" s="22"/>
      <c r="V8197" s="123" t="s">
        <v>2472</v>
      </c>
      <c r="W8197" s="122">
        <v>62090</v>
      </c>
      <c r="X8197" s="221"/>
      <c r="Y8197" s="221"/>
      <c r="Z8197" s="221"/>
      <c r="AA8197" s="221"/>
      <c r="AB8197" s="223"/>
    </row>
    <row r="8198" spans="1:28" ht="17.100000000000001" customHeight="1" thickTop="1">
      <c r="A8198" s="226" t="s">
        <v>22533</v>
      </c>
      <c r="B8198" s="28">
        <v>46127</v>
      </c>
      <c r="C8198" s="25">
        <v>1013</v>
      </c>
      <c r="D8198" s="13" t="s">
        <v>2712</v>
      </c>
      <c r="E8198" s="228"/>
      <c r="F8198" s="109" t="s">
        <v>15254</v>
      </c>
      <c r="G8198" s="24"/>
      <c r="H8198" s="230">
        <v>4</v>
      </c>
      <c r="I8198" s="220">
        <v>1150000</v>
      </c>
      <c r="J8198" s="220">
        <f>I8198*0.1</f>
        <v>115000</v>
      </c>
      <c r="K8198" s="220">
        <v>0</v>
      </c>
      <c r="L8198" s="220">
        <v>9810</v>
      </c>
      <c r="M8198" s="220">
        <v>12100</v>
      </c>
      <c r="N8198" s="220">
        <f>SUM(I8198:M8199)</f>
        <v>1286910</v>
      </c>
      <c r="O8198" s="224"/>
      <c r="P8198" s="110" t="s">
        <v>23499</v>
      </c>
      <c r="Q8198" s="15" t="s">
        <v>19</v>
      </c>
      <c r="R8198" s="205"/>
      <c r="S8198" s="189"/>
      <c r="T8198" s="114"/>
      <c r="U8198" s="21"/>
      <c r="V8198" s="115"/>
      <c r="W8198" s="116"/>
      <c r="X8198" s="220"/>
      <c r="Y8198" s="220">
        <f>X8198*0.1</f>
        <v>0</v>
      </c>
      <c r="Z8198" s="220"/>
      <c r="AA8198" s="220">
        <f>SUM(X8198:Z8198)</f>
        <v>0</v>
      </c>
      <c r="AB8198" s="222"/>
    </row>
    <row r="8199" spans="1:28" ht="17.100000000000001" customHeight="1" thickBot="1">
      <c r="A8199" s="227"/>
      <c r="B8199" s="27" t="s">
        <v>2747</v>
      </c>
      <c r="C8199" s="27">
        <v>1132</v>
      </c>
      <c r="D8199" s="14" t="s">
        <v>1710</v>
      </c>
      <c r="E8199" s="229"/>
      <c r="F8199" s="117" t="s">
        <v>22590</v>
      </c>
      <c r="G8199" s="26">
        <v>36979</v>
      </c>
      <c r="H8199" s="231"/>
      <c r="I8199" s="221"/>
      <c r="J8199" s="221"/>
      <c r="K8199" s="221"/>
      <c r="L8199" s="221"/>
      <c r="M8199" s="221"/>
      <c r="N8199" s="221"/>
      <c r="O8199" s="225"/>
      <c r="P8199" s="118" t="s">
        <v>23500</v>
      </c>
      <c r="Q8199" s="16" t="s">
        <v>20</v>
      </c>
      <c r="R8199" s="17" t="s">
        <v>23453</v>
      </c>
      <c r="S8199" s="121"/>
      <c r="T8199" s="122"/>
      <c r="U8199" s="22"/>
      <c r="V8199" s="123"/>
      <c r="W8199" s="122"/>
      <c r="X8199" s="221"/>
      <c r="Y8199" s="221"/>
      <c r="Z8199" s="221"/>
      <c r="AA8199" s="221"/>
      <c r="AB8199" s="223"/>
    </row>
    <row r="8200" spans="1:28" ht="17.100000000000001" customHeight="1" thickTop="1">
      <c r="A8200" s="226" t="s">
        <v>22534</v>
      </c>
      <c r="B8200" s="28">
        <v>46127</v>
      </c>
      <c r="C8200" s="25">
        <v>1013</v>
      </c>
      <c r="D8200" s="13" t="s">
        <v>2158</v>
      </c>
      <c r="E8200" s="228"/>
      <c r="F8200" s="109" t="s">
        <v>15254</v>
      </c>
      <c r="G8200" s="24"/>
      <c r="H8200" s="230">
        <v>4</v>
      </c>
      <c r="I8200" s="220">
        <v>1020000</v>
      </c>
      <c r="J8200" s="220">
        <f>I8200*0.1</f>
        <v>102000</v>
      </c>
      <c r="K8200" s="220">
        <v>0</v>
      </c>
      <c r="L8200" s="220">
        <v>9810</v>
      </c>
      <c r="M8200" s="220">
        <v>12100</v>
      </c>
      <c r="N8200" s="220">
        <f>SUM(I8200:M8201)</f>
        <v>1143910</v>
      </c>
      <c r="O8200" s="224"/>
      <c r="P8200" s="110" t="s">
        <v>23501</v>
      </c>
      <c r="Q8200" s="15" t="s">
        <v>19</v>
      </c>
      <c r="R8200" s="205"/>
      <c r="S8200" s="189"/>
      <c r="T8200" s="114"/>
      <c r="U8200" s="21"/>
      <c r="V8200" s="115"/>
      <c r="W8200" s="116"/>
      <c r="X8200" s="220"/>
      <c r="Y8200" s="220">
        <f>X8200*0.1</f>
        <v>0</v>
      </c>
      <c r="Z8200" s="220"/>
      <c r="AA8200" s="220">
        <f>SUM(X8200:Z8200)</f>
        <v>0</v>
      </c>
      <c r="AB8200" s="222"/>
    </row>
    <row r="8201" spans="1:28" ht="17.100000000000001" customHeight="1" thickBot="1">
      <c r="A8201" s="227"/>
      <c r="B8201" s="27" t="s">
        <v>2747</v>
      </c>
      <c r="C8201" s="27">
        <v>1147</v>
      </c>
      <c r="D8201" s="14" t="s">
        <v>1710</v>
      </c>
      <c r="E8201" s="229"/>
      <c r="F8201" s="117" t="s">
        <v>22591</v>
      </c>
      <c r="G8201" s="26">
        <v>51588</v>
      </c>
      <c r="H8201" s="231"/>
      <c r="I8201" s="221"/>
      <c r="J8201" s="221"/>
      <c r="K8201" s="221"/>
      <c r="L8201" s="221"/>
      <c r="M8201" s="221"/>
      <c r="N8201" s="221"/>
      <c r="O8201" s="225"/>
      <c r="P8201" s="118" t="s">
        <v>23500</v>
      </c>
      <c r="Q8201" s="16" t="s">
        <v>20</v>
      </c>
      <c r="R8201" s="17" t="s">
        <v>23453</v>
      </c>
      <c r="S8201" s="121"/>
      <c r="T8201" s="122"/>
      <c r="U8201" s="22"/>
      <c r="V8201" s="123"/>
      <c r="W8201" s="122"/>
      <c r="X8201" s="221"/>
      <c r="Y8201" s="221"/>
      <c r="Z8201" s="221"/>
      <c r="AA8201" s="221"/>
      <c r="AB8201" s="223"/>
    </row>
    <row r="8202" spans="1:28" ht="17.100000000000001" customHeight="1" thickTop="1">
      <c r="A8202" s="226" t="s">
        <v>22535</v>
      </c>
      <c r="B8202" s="28">
        <v>46127</v>
      </c>
      <c r="C8202" s="25">
        <v>1013</v>
      </c>
      <c r="D8202" s="13" t="s">
        <v>2158</v>
      </c>
      <c r="E8202" s="228"/>
      <c r="F8202" s="109" t="s">
        <v>22592</v>
      </c>
      <c r="G8202" s="24"/>
      <c r="H8202" s="230">
        <v>4.5</v>
      </c>
      <c r="I8202" s="220">
        <v>1525000</v>
      </c>
      <c r="J8202" s="220">
        <f>I8202*0.1</f>
        <v>152500</v>
      </c>
      <c r="K8202" s="220">
        <v>0</v>
      </c>
      <c r="L8202" s="220">
        <v>9440</v>
      </c>
      <c r="M8202" s="220">
        <v>12100</v>
      </c>
      <c r="N8202" s="220">
        <f>SUM(I8202:M8203)</f>
        <v>1699040</v>
      </c>
      <c r="O8202" s="224"/>
      <c r="P8202" s="110" t="s">
        <v>23502</v>
      </c>
      <c r="Q8202" s="15" t="s">
        <v>19</v>
      </c>
      <c r="R8202" s="205"/>
      <c r="S8202" s="189"/>
      <c r="T8202" s="114"/>
      <c r="U8202" s="21"/>
      <c r="V8202" s="115">
        <v>46144</v>
      </c>
      <c r="W8202" s="116">
        <v>1299</v>
      </c>
      <c r="X8202" s="220">
        <v>1600000</v>
      </c>
      <c r="Y8202" s="220">
        <f>X8202*0.1</f>
        <v>160000</v>
      </c>
      <c r="Z8202" s="220">
        <v>9440</v>
      </c>
      <c r="AA8202" s="220">
        <f>SUM(X8202:Z8202)</f>
        <v>1769440</v>
      </c>
      <c r="AB8202" s="222">
        <v>46161</v>
      </c>
    </row>
    <row r="8203" spans="1:28" ht="17.100000000000001" customHeight="1" thickBot="1">
      <c r="A8203" s="227"/>
      <c r="B8203" s="27" t="s">
        <v>2747</v>
      </c>
      <c r="C8203" s="27">
        <v>1244</v>
      </c>
      <c r="D8203" s="14" t="s">
        <v>1584</v>
      </c>
      <c r="E8203" s="229"/>
      <c r="F8203" s="117" t="s">
        <v>22593</v>
      </c>
      <c r="G8203" s="26">
        <v>38724</v>
      </c>
      <c r="H8203" s="231"/>
      <c r="I8203" s="221"/>
      <c r="J8203" s="221"/>
      <c r="K8203" s="221"/>
      <c r="L8203" s="221"/>
      <c r="M8203" s="221"/>
      <c r="N8203" s="221"/>
      <c r="O8203" s="225"/>
      <c r="P8203" s="118" t="s">
        <v>23500</v>
      </c>
      <c r="Q8203" s="16" t="s">
        <v>20</v>
      </c>
      <c r="R8203" s="17" t="s">
        <v>23453</v>
      </c>
      <c r="S8203" s="121"/>
      <c r="T8203" s="122"/>
      <c r="U8203" s="22"/>
      <c r="V8203" s="123" t="s">
        <v>6641</v>
      </c>
      <c r="W8203" s="122">
        <v>13168</v>
      </c>
      <c r="X8203" s="221"/>
      <c r="Y8203" s="221"/>
      <c r="Z8203" s="221"/>
      <c r="AA8203" s="221"/>
      <c r="AB8203" s="223"/>
    </row>
    <row r="8204" spans="1:28" ht="17.100000000000001" customHeight="1" thickTop="1">
      <c r="A8204" s="226" t="s">
        <v>22536</v>
      </c>
      <c r="B8204" s="28">
        <v>46127</v>
      </c>
      <c r="C8204" s="25">
        <v>2351</v>
      </c>
      <c r="D8204" s="13" t="s">
        <v>3857</v>
      </c>
      <c r="E8204" s="228"/>
      <c r="F8204" s="109" t="s">
        <v>17515</v>
      </c>
      <c r="G8204" s="24"/>
      <c r="H8204" s="230">
        <v>4</v>
      </c>
      <c r="I8204" s="220">
        <v>1125000</v>
      </c>
      <c r="J8204" s="220">
        <f>I8204*0.1</f>
        <v>112500</v>
      </c>
      <c r="K8204" s="220">
        <v>0</v>
      </c>
      <c r="L8204" s="220">
        <v>9750</v>
      </c>
      <c r="M8204" s="220">
        <v>16500</v>
      </c>
      <c r="N8204" s="220">
        <f>SUM(I8204:M8205)</f>
        <v>1263750</v>
      </c>
      <c r="O8204" s="224"/>
      <c r="P8204" s="110" t="s">
        <v>22849</v>
      </c>
      <c r="Q8204" s="15" t="s">
        <v>19</v>
      </c>
      <c r="R8204" s="205"/>
      <c r="S8204" s="189"/>
      <c r="T8204" s="114"/>
      <c r="U8204" s="21"/>
      <c r="V8204" s="115">
        <v>46155</v>
      </c>
      <c r="W8204" s="116">
        <v>1016</v>
      </c>
      <c r="X8204" s="220">
        <v>1250000</v>
      </c>
      <c r="Y8204" s="220">
        <f>X8204*0.1</f>
        <v>125000</v>
      </c>
      <c r="Z8204" s="220">
        <v>9750</v>
      </c>
      <c r="AA8204" s="220">
        <f>SUM(X8204:Z8204)</f>
        <v>1384750</v>
      </c>
      <c r="AB8204" s="222">
        <v>46163</v>
      </c>
    </row>
    <row r="8205" spans="1:28" ht="17.100000000000001" customHeight="1" thickBot="1">
      <c r="A8205" s="227"/>
      <c r="B8205" s="27" t="s">
        <v>3367</v>
      </c>
      <c r="C8205" s="27">
        <v>60071</v>
      </c>
      <c r="D8205" s="14" t="s">
        <v>2559</v>
      </c>
      <c r="E8205" s="229"/>
      <c r="F8205" s="117" t="s">
        <v>22595</v>
      </c>
      <c r="G8205" s="26">
        <v>25329</v>
      </c>
      <c r="H8205" s="231"/>
      <c r="I8205" s="221"/>
      <c r="J8205" s="221"/>
      <c r="K8205" s="221"/>
      <c r="L8205" s="221"/>
      <c r="M8205" s="221"/>
      <c r="N8205" s="221"/>
      <c r="O8205" s="225"/>
      <c r="P8205" s="118" t="s">
        <v>7603</v>
      </c>
      <c r="Q8205" s="16" t="s">
        <v>20</v>
      </c>
      <c r="R8205" s="17" t="s">
        <v>3650</v>
      </c>
      <c r="S8205" s="121" t="s">
        <v>22717</v>
      </c>
      <c r="T8205" s="122"/>
      <c r="U8205" s="22"/>
      <c r="V8205" s="123" t="s">
        <v>7161</v>
      </c>
      <c r="W8205" s="122">
        <v>6133</v>
      </c>
      <c r="X8205" s="221"/>
      <c r="Y8205" s="221"/>
      <c r="Z8205" s="221"/>
      <c r="AA8205" s="221"/>
      <c r="AB8205" s="223"/>
    </row>
    <row r="8206" spans="1:28" ht="17.100000000000001" customHeight="1" thickTop="1">
      <c r="A8206" s="226" t="s">
        <v>22537</v>
      </c>
      <c r="B8206" s="28">
        <v>46127</v>
      </c>
      <c r="C8206" s="25">
        <v>1834</v>
      </c>
      <c r="D8206" s="13" t="s">
        <v>2010</v>
      </c>
      <c r="E8206" s="228"/>
      <c r="F8206" s="109" t="s">
        <v>4844</v>
      </c>
      <c r="G8206" s="24"/>
      <c r="H8206" s="230">
        <v>4.5</v>
      </c>
      <c r="I8206" s="220">
        <v>541000</v>
      </c>
      <c r="J8206" s="220">
        <f>I8206*0.1</f>
        <v>54100</v>
      </c>
      <c r="K8206" s="220">
        <v>0</v>
      </c>
      <c r="L8206" s="220">
        <v>6550</v>
      </c>
      <c r="M8206" s="220">
        <f>18500+1850</f>
        <v>20350</v>
      </c>
      <c r="N8206" s="220">
        <f>SUM(I8206:M8207)</f>
        <v>622000</v>
      </c>
      <c r="O8206" s="224"/>
      <c r="P8206" s="110" t="s">
        <v>23216</v>
      </c>
      <c r="Q8206" s="15" t="s">
        <v>19</v>
      </c>
      <c r="R8206" s="205"/>
      <c r="S8206" s="189" t="s">
        <v>25946</v>
      </c>
      <c r="T8206" s="114"/>
      <c r="U8206" s="21"/>
      <c r="V8206" s="115">
        <v>46144</v>
      </c>
      <c r="W8206" s="116">
        <v>1299</v>
      </c>
      <c r="X8206" s="220">
        <v>570000</v>
      </c>
      <c r="Y8206" s="220">
        <f>X8206*0.1</f>
        <v>57000</v>
      </c>
      <c r="Z8206" s="220">
        <v>6550</v>
      </c>
      <c r="AA8206" s="220">
        <f>SUM(X8206:Z8206)</f>
        <v>633550</v>
      </c>
      <c r="AB8206" s="222">
        <v>46154</v>
      </c>
    </row>
    <row r="8207" spans="1:28" ht="17.100000000000001" customHeight="1" thickBot="1">
      <c r="A8207" s="227"/>
      <c r="B8207" s="27" t="s">
        <v>2519</v>
      </c>
      <c r="C8207" s="27">
        <v>3046</v>
      </c>
      <c r="D8207" s="14" t="s">
        <v>1710</v>
      </c>
      <c r="E8207" s="229"/>
      <c r="F8207" s="117" t="s">
        <v>22600</v>
      </c>
      <c r="G8207" s="26">
        <v>12752</v>
      </c>
      <c r="H8207" s="231"/>
      <c r="I8207" s="221"/>
      <c r="J8207" s="221"/>
      <c r="K8207" s="221"/>
      <c r="L8207" s="221"/>
      <c r="M8207" s="221"/>
      <c r="N8207" s="221"/>
      <c r="O8207" s="225"/>
      <c r="P8207" s="118" t="s">
        <v>7323</v>
      </c>
      <c r="Q8207" s="16" t="s">
        <v>20</v>
      </c>
      <c r="R8207" s="17" t="s">
        <v>23208</v>
      </c>
      <c r="S8207" s="121" t="s">
        <v>11197</v>
      </c>
      <c r="T8207" s="122"/>
      <c r="U8207" s="22"/>
      <c r="V8207" s="123" t="s">
        <v>7160</v>
      </c>
      <c r="W8207" s="122">
        <v>60034</v>
      </c>
      <c r="X8207" s="221"/>
      <c r="Y8207" s="221"/>
      <c r="Z8207" s="221"/>
      <c r="AA8207" s="221"/>
      <c r="AB8207" s="223"/>
    </row>
    <row r="8208" spans="1:28" ht="17.100000000000001" customHeight="1" thickTop="1">
      <c r="A8208" s="226" t="s">
        <v>22597</v>
      </c>
      <c r="B8208" s="28">
        <v>46127</v>
      </c>
      <c r="C8208" s="25">
        <v>1834</v>
      </c>
      <c r="D8208" s="13" t="s">
        <v>1935</v>
      </c>
      <c r="E8208" s="228"/>
      <c r="F8208" s="109" t="s">
        <v>8143</v>
      </c>
      <c r="G8208" s="24" t="s">
        <v>2871</v>
      </c>
      <c r="H8208" s="230">
        <v>4</v>
      </c>
      <c r="I8208" s="220">
        <v>600000</v>
      </c>
      <c r="J8208" s="220">
        <v>0</v>
      </c>
      <c r="K8208" s="220">
        <v>0</v>
      </c>
      <c r="L8208" s="220">
        <v>8950</v>
      </c>
      <c r="M8208" s="220">
        <f>17500+1750</f>
        <v>19250</v>
      </c>
      <c r="N8208" s="220">
        <f>SUM(I8208:M8209)</f>
        <v>628200</v>
      </c>
      <c r="O8208" s="224"/>
      <c r="P8208" s="110" t="s">
        <v>22602</v>
      </c>
      <c r="Q8208" s="15" t="s">
        <v>19</v>
      </c>
      <c r="R8208" s="205"/>
      <c r="S8208" s="189" t="s">
        <v>25947</v>
      </c>
      <c r="T8208" s="114" t="s">
        <v>23628</v>
      </c>
      <c r="U8208" s="21"/>
      <c r="V8208" s="115">
        <v>46137</v>
      </c>
      <c r="W8208" s="116">
        <v>1298</v>
      </c>
      <c r="X8208" s="220">
        <v>670000</v>
      </c>
      <c r="Y8208" s="220">
        <f>X8208*0.1</f>
        <v>67000</v>
      </c>
      <c r="Z8208" s="220">
        <v>8950</v>
      </c>
      <c r="AA8208" s="220">
        <f>SUM(X8208:Z8208)</f>
        <v>745950</v>
      </c>
      <c r="AB8208" s="222">
        <v>46140</v>
      </c>
    </row>
    <row r="8209" spans="1:28" ht="17.100000000000001" customHeight="1" thickBot="1">
      <c r="A8209" s="227"/>
      <c r="B8209" s="27" t="s">
        <v>2519</v>
      </c>
      <c r="C8209" s="27">
        <v>13043</v>
      </c>
      <c r="D8209" s="14" t="s">
        <v>1584</v>
      </c>
      <c r="E8209" s="229"/>
      <c r="F8209" s="117" t="s">
        <v>22601</v>
      </c>
      <c r="G8209" s="26">
        <v>51097</v>
      </c>
      <c r="H8209" s="231"/>
      <c r="I8209" s="221"/>
      <c r="J8209" s="221"/>
      <c r="K8209" s="221"/>
      <c r="L8209" s="221"/>
      <c r="M8209" s="221"/>
      <c r="N8209" s="221"/>
      <c r="O8209" s="225"/>
      <c r="P8209" s="118" t="s">
        <v>23217</v>
      </c>
      <c r="Q8209" s="16" t="s">
        <v>20</v>
      </c>
      <c r="R8209" s="17" t="s">
        <v>23208</v>
      </c>
      <c r="S8209" s="121" t="s">
        <v>23218</v>
      </c>
      <c r="T8209" s="122"/>
      <c r="U8209" s="22"/>
      <c r="V8209" s="123" t="s">
        <v>2472</v>
      </c>
      <c r="W8209" s="122">
        <v>60065</v>
      </c>
      <c r="X8209" s="221"/>
      <c r="Y8209" s="221"/>
      <c r="Z8209" s="221"/>
      <c r="AA8209" s="221"/>
      <c r="AB8209" s="223"/>
    </row>
    <row r="8210" spans="1:28" ht="17.100000000000001" customHeight="1" thickTop="1">
      <c r="A8210" s="226" t="s">
        <v>22598</v>
      </c>
      <c r="B8210" s="28">
        <v>46127</v>
      </c>
      <c r="C8210" s="25">
        <v>1834</v>
      </c>
      <c r="D8210" s="13" t="s">
        <v>3327</v>
      </c>
      <c r="E8210" s="228"/>
      <c r="F8210" s="109" t="s">
        <v>22603</v>
      </c>
      <c r="G8210" s="24"/>
      <c r="H8210" s="230">
        <v>4.5</v>
      </c>
      <c r="I8210" s="220">
        <v>650000</v>
      </c>
      <c r="J8210" s="220">
        <f>I8210*0.1</f>
        <v>65000</v>
      </c>
      <c r="K8210" s="220">
        <v>0</v>
      </c>
      <c r="L8210" s="220">
        <v>20170</v>
      </c>
      <c r="M8210" s="220">
        <v>20350</v>
      </c>
      <c r="N8210" s="220">
        <f>SUM(I8210:M8211)</f>
        <v>755520</v>
      </c>
      <c r="O8210" s="224"/>
      <c r="P8210" s="110" t="s">
        <v>23212</v>
      </c>
      <c r="Q8210" s="15" t="s">
        <v>19</v>
      </c>
      <c r="R8210" s="205"/>
      <c r="S8210" s="189"/>
      <c r="T8210" s="114"/>
      <c r="U8210" s="21"/>
      <c r="V8210" s="115">
        <v>46137</v>
      </c>
      <c r="W8210" s="116">
        <v>1298</v>
      </c>
      <c r="X8210" s="220">
        <v>695000</v>
      </c>
      <c r="Y8210" s="220">
        <f>X8210*0.1</f>
        <v>69500</v>
      </c>
      <c r="Z8210" s="220">
        <v>20170</v>
      </c>
      <c r="AA8210" s="220">
        <f>SUM(X8210:Z8210)</f>
        <v>784670</v>
      </c>
      <c r="AB8210" s="222">
        <v>46140</v>
      </c>
    </row>
    <row r="8211" spans="1:28" ht="17.100000000000001" customHeight="1" thickBot="1">
      <c r="A8211" s="227"/>
      <c r="B8211" s="27" t="s">
        <v>2519</v>
      </c>
      <c r="C8211" s="27">
        <v>38002</v>
      </c>
      <c r="D8211" s="14" t="s">
        <v>1584</v>
      </c>
      <c r="E8211" s="229"/>
      <c r="F8211" s="117" t="s">
        <v>22604</v>
      </c>
      <c r="G8211" s="26">
        <v>63421</v>
      </c>
      <c r="H8211" s="231"/>
      <c r="I8211" s="221"/>
      <c r="J8211" s="221"/>
      <c r="K8211" s="221"/>
      <c r="L8211" s="221"/>
      <c r="M8211" s="221"/>
      <c r="N8211" s="221"/>
      <c r="O8211" s="225"/>
      <c r="P8211" s="118" t="s">
        <v>9540</v>
      </c>
      <c r="Q8211" s="16" t="s">
        <v>20</v>
      </c>
      <c r="R8211" s="17" t="s">
        <v>23208</v>
      </c>
      <c r="S8211" s="121" t="s">
        <v>23489</v>
      </c>
      <c r="T8211" s="122"/>
      <c r="U8211" s="22"/>
      <c r="V8211" s="123" t="s">
        <v>2472</v>
      </c>
      <c r="W8211" s="122">
        <v>80085</v>
      </c>
      <c r="X8211" s="221"/>
      <c r="Y8211" s="221"/>
      <c r="Z8211" s="221"/>
      <c r="AA8211" s="221"/>
      <c r="AB8211" s="223"/>
    </row>
    <row r="8212" spans="1:28" ht="17.100000000000001" customHeight="1" thickTop="1">
      <c r="A8212" s="226" t="s">
        <v>22599</v>
      </c>
      <c r="B8212" s="28">
        <v>46127</v>
      </c>
      <c r="C8212" s="25">
        <v>1834</v>
      </c>
      <c r="D8212" s="13" t="s">
        <v>1953</v>
      </c>
      <c r="E8212" s="228"/>
      <c r="F8212" s="109" t="s">
        <v>22605</v>
      </c>
      <c r="G8212" s="24"/>
      <c r="H8212" s="230">
        <v>4.5</v>
      </c>
      <c r="I8212" s="220">
        <v>1330000</v>
      </c>
      <c r="J8212" s="220">
        <f>I8212*0.1</f>
        <v>133000</v>
      </c>
      <c r="K8212" s="220">
        <v>0</v>
      </c>
      <c r="L8212" s="220">
        <v>19090</v>
      </c>
      <c r="M8212" s="220">
        <v>20350</v>
      </c>
      <c r="N8212" s="220">
        <f>SUM(I8212:M8213)</f>
        <v>1502440</v>
      </c>
      <c r="O8212" s="224"/>
      <c r="P8212" s="110" t="s">
        <v>23360</v>
      </c>
      <c r="Q8212" s="15" t="s">
        <v>19</v>
      </c>
      <c r="R8212" s="205"/>
      <c r="S8212" s="189" t="s">
        <v>758</v>
      </c>
      <c r="T8212" s="114"/>
      <c r="U8212" s="21"/>
      <c r="V8212" s="115">
        <v>46130</v>
      </c>
      <c r="W8212" s="116">
        <v>1297</v>
      </c>
      <c r="X8212" s="220">
        <v>1825000</v>
      </c>
      <c r="Y8212" s="220">
        <f>X8212*0.1</f>
        <v>182500</v>
      </c>
      <c r="Z8212" s="220">
        <v>19090</v>
      </c>
      <c r="AA8212" s="220">
        <f>SUM(X8212:Z8212)</f>
        <v>2026590</v>
      </c>
      <c r="AB8212" s="222">
        <v>46139</v>
      </c>
    </row>
    <row r="8213" spans="1:28" ht="17.100000000000001" customHeight="1" thickBot="1">
      <c r="A8213" s="227"/>
      <c r="B8213" s="27" t="s">
        <v>2519</v>
      </c>
      <c r="C8213" s="27">
        <v>38196</v>
      </c>
      <c r="D8213" s="14" t="s">
        <v>1584</v>
      </c>
      <c r="E8213" s="229"/>
      <c r="F8213" s="117" t="s">
        <v>22606</v>
      </c>
      <c r="G8213" s="26">
        <v>25676</v>
      </c>
      <c r="H8213" s="231"/>
      <c r="I8213" s="221"/>
      <c r="J8213" s="221"/>
      <c r="K8213" s="221"/>
      <c r="L8213" s="221"/>
      <c r="M8213" s="221"/>
      <c r="N8213" s="221"/>
      <c r="O8213" s="225"/>
      <c r="P8213" s="118" t="s">
        <v>2870</v>
      </c>
      <c r="Q8213" s="16" t="s">
        <v>20</v>
      </c>
      <c r="R8213" s="17" t="s">
        <v>23361</v>
      </c>
      <c r="S8213" s="121" t="s">
        <v>23362</v>
      </c>
      <c r="T8213" s="122"/>
      <c r="U8213" s="22"/>
      <c r="V8213" s="123" t="s">
        <v>2472</v>
      </c>
      <c r="W8213" s="122">
        <v>80351</v>
      </c>
      <c r="X8213" s="221"/>
      <c r="Y8213" s="221"/>
      <c r="Z8213" s="221"/>
      <c r="AA8213" s="221"/>
      <c r="AB8213" s="223"/>
    </row>
    <row r="8214" spans="1:28" ht="17.100000000000001" customHeight="1" thickTop="1">
      <c r="A8214" s="226" t="s">
        <v>22607</v>
      </c>
      <c r="B8214" s="28">
        <v>46127</v>
      </c>
      <c r="C8214" s="25">
        <v>1834</v>
      </c>
      <c r="D8214" s="13" t="s">
        <v>1953</v>
      </c>
      <c r="E8214" s="228"/>
      <c r="F8214" s="109" t="s">
        <v>22608</v>
      </c>
      <c r="G8214" s="24" t="s">
        <v>4315</v>
      </c>
      <c r="H8214" s="230">
        <v>5</v>
      </c>
      <c r="I8214" s="220">
        <v>1885000</v>
      </c>
      <c r="J8214" s="220">
        <f>I8214*0.1</f>
        <v>188500</v>
      </c>
      <c r="K8214" s="220">
        <f>31600+3160</f>
        <v>34760</v>
      </c>
      <c r="L8214" s="220">
        <v>20460</v>
      </c>
      <c r="M8214" s="220">
        <v>20350</v>
      </c>
      <c r="N8214" s="220">
        <f>SUM(I8214:M8215)</f>
        <v>2149070</v>
      </c>
      <c r="O8214" s="224"/>
      <c r="P8214" s="110" t="s">
        <v>22610</v>
      </c>
      <c r="Q8214" s="15" t="s">
        <v>19</v>
      </c>
      <c r="R8214" s="205"/>
      <c r="S8214" s="189"/>
      <c r="T8214" s="114"/>
      <c r="U8214" s="21"/>
      <c r="V8214" s="115">
        <v>46137</v>
      </c>
      <c r="W8214" s="116">
        <v>1298</v>
      </c>
      <c r="X8214" s="220">
        <v>1920000</v>
      </c>
      <c r="Y8214" s="220">
        <f>X8214*0.1</f>
        <v>192000</v>
      </c>
      <c r="Z8214" s="220">
        <v>20460</v>
      </c>
      <c r="AA8214" s="220">
        <f>SUM(X8214:Z8214)</f>
        <v>2132460</v>
      </c>
      <c r="AB8214" s="222">
        <v>46140</v>
      </c>
    </row>
    <row r="8215" spans="1:28" ht="17.100000000000001" customHeight="1" thickBot="1">
      <c r="A8215" s="227"/>
      <c r="B8215" s="27" t="s">
        <v>2519</v>
      </c>
      <c r="C8215" s="27">
        <v>38233</v>
      </c>
      <c r="D8215" s="14" t="s">
        <v>273</v>
      </c>
      <c r="E8215" s="229"/>
      <c r="F8215" s="117" t="s">
        <v>22609</v>
      </c>
      <c r="G8215" s="26">
        <v>41040</v>
      </c>
      <c r="H8215" s="231"/>
      <c r="I8215" s="221"/>
      <c r="J8215" s="221"/>
      <c r="K8215" s="221"/>
      <c r="L8215" s="221"/>
      <c r="M8215" s="221"/>
      <c r="N8215" s="221"/>
      <c r="O8215" s="225"/>
      <c r="P8215" s="118" t="s">
        <v>4302</v>
      </c>
      <c r="Q8215" s="16" t="s">
        <v>20</v>
      </c>
      <c r="R8215" s="17" t="s">
        <v>23208</v>
      </c>
      <c r="S8215" s="121" t="s">
        <v>22747</v>
      </c>
      <c r="T8215" s="122"/>
      <c r="U8215" s="22"/>
      <c r="V8215" s="123" t="s">
        <v>2472</v>
      </c>
      <c r="W8215" s="122">
        <v>80049</v>
      </c>
      <c r="X8215" s="221"/>
      <c r="Y8215" s="221"/>
      <c r="Z8215" s="221"/>
      <c r="AA8215" s="221"/>
      <c r="AB8215" s="223"/>
    </row>
    <row r="8216" spans="1:28" ht="17.100000000000001" customHeight="1" thickTop="1">
      <c r="A8216" s="226" t="s">
        <v>22674</v>
      </c>
      <c r="B8216" s="28">
        <v>46128</v>
      </c>
      <c r="C8216" s="25">
        <v>1327</v>
      </c>
      <c r="D8216" s="13" t="s">
        <v>22694</v>
      </c>
      <c r="E8216" s="228"/>
      <c r="F8216" s="109" t="s">
        <v>22695</v>
      </c>
      <c r="G8216" s="24" t="s">
        <v>22696</v>
      </c>
      <c r="H8216" s="230">
        <v>4.5</v>
      </c>
      <c r="I8216" s="220">
        <v>1600000</v>
      </c>
      <c r="J8216" s="220">
        <f>I8216*0.1</f>
        <v>160000</v>
      </c>
      <c r="K8216" s="220">
        <f>22900+2290</f>
        <v>25190</v>
      </c>
      <c r="L8216" s="220">
        <v>11930</v>
      </c>
      <c r="M8216" s="220">
        <v>16500</v>
      </c>
      <c r="N8216" s="220">
        <f>SUM(I8216:M8217)</f>
        <v>1813620</v>
      </c>
      <c r="O8216" s="224"/>
      <c r="P8216" s="110" t="s">
        <v>22697</v>
      </c>
      <c r="Q8216" s="15" t="s">
        <v>19</v>
      </c>
      <c r="R8216" s="205"/>
      <c r="S8216" s="189" t="s">
        <v>25367</v>
      </c>
      <c r="T8216" s="114"/>
      <c r="U8216" s="21"/>
      <c r="V8216" s="115">
        <v>46137</v>
      </c>
      <c r="W8216" s="116">
        <v>1298</v>
      </c>
      <c r="X8216" s="220">
        <v>1670000</v>
      </c>
      <c r="Y8216" s="220">
        <f>X8216*0.1</f>
        <v>167000</v>
      </c>
      <c r="Z8216" s="220">
        <v>11930</v>
      </c>
      <c r="AA8216" s="220">
        <f>SUM(X8216:Z8216)</f>
        <v>1848930</v>
      </c>
      <c r="AB8216" s="222">
        <v>46140</v>
      </c>
    </row>
    <row r="8217" spans="1:28" ht="17.100000000000001" customHeight="1" thickBot="1">
      <c r="A8217" s="227"/>
      <c r="B8217" s="27" t="s">
        <v>22671</v>
      </c>
      <c r="C8217" s="27">
        <v>2</v>
      </c>
      <c r="D8217" s="14" t="s">
        <v>22688</v>
      </c>
      <c r="E8217" s="229"/>
      <c r="F8217" s="117" t="s">
        <v>22677</v>
      </c>
      <c r="G8217" s="26">
        <v>43932</v>
      </c>
      <c r="H8217" s="231"/>
      <c r="I8217" s="221"/>
      <c r="J8217" s="221"/>
      <c r="K8217" s="221"/>
      <c r="L8217" s="221"/>
      <c r="M8217" s="221"/>
      <c r="N8217" s="221"/>
      <c r="O8217" s="225"/>
      <c r="P8217" s="118" t="s">
        <v>4913</v>
      </c>
      <c r="Q8217" s="16" t="s">
        <v>20</v>
      </c>
      <c r="R8217" s="17" t="s">
        <v>23361</v>
      </c>
      <c r="S8217" s="121" t="s">
        <v>1625</v>
      </c>
      <c r="T8217" s="122"/>
      <c r="U8217" s="22"/>
      <c r="V8217" s="123" t="s">
        <v>2472</v>
      </c>
      <c r="W8217" s="122">
        <v>80021</v>
      </c>
      <c r="X8217" s="221"/>
      <c r="Y8217" s="221"/>
      <c r="Z8217" s="221"/>
      <c r="AA8217" s="221"/>
      <c r="AB8217" s="223"/>
    </row>
    <row r="8218" spans="1:28" ht="17.100000000000001" customHeight="1" thickTop="1">
      <c r="A8218" s="226" t="s">
        <v>22675</v>
      </c>
      <c r="B8218" s="28">
        <v>46128</v>
      </c>
      <c r="C8218" s="25">
        <v>1327</v>
      </c>
      <c r="D8218" s="13" t="s">
        <v>22698</v>
      </c>
      <c r="E8218" s="228"/>
      <c r="F8218" s="109" t="s">
        <v>22699</v>
      </c>
      <c r="G8218" s="24"/>
      <c r="H8218" s="230">
        <v>5</v>
      </c>
      <c r="I8218" s="220">
        <v>2420000</v>
      </c>
      <c r="J8218" s="220">
        <f>I8218*0.1</f>
        <v>242000</v>
      </c>
      <c r="K8218" s="220">
        <v>0</v>
      </c>
      <c r="L8218" s="220">
        <v>20830</v>
      </c>
      <c r="M8218" s="220">
        <v>16500</v>
      </c>
      <c r="N8218" s="220">
        <f>SUM(I8218:M8219)</f>
        <v>2699330</v>
      </c>
      <c r="O8218" s="224"/>
      <c r="P8218" s="110" t="s">
        <v>23396</v>
      </c>
      <c r="Q8218" s="15" t="s">
        <v>19</v>
      </c>
      <c r="R8218" s="205"/>
      <c r="S8218" s="189" t="s">
        <v>1406</v>
      </c>
      <c r="T8218" s="114"/>
      <c r="U8218" s="21"/>
      <c r="V8218" s="115">
        <v>46165</v>
      </c>
      <c r="W8218" s="116">
        <v>1301</v>
      </c>
      <c r="X8218" s="220">
        <v>2525000</v>
      </c>
      <c r="Y8218" s="220">
        <f>X8218*0.1</f>
        <v>252500</v>
      </c>
      <c r="Z8218" s="220">
        <v>20830</v>
      </c>
      <c r="AA8218" s="220">
        <f>SUM(X8218:Z8218)</f>
        <v>2798330</v>
      </c>
      <c r="AB8218" s="222">
        <v>46168</v>
      </c>
    </row>
    <row r="8219" spans="1:28" ht="17.100000000000001" customHeight="1" thickBot="1">
      <c r="A8219" s="227"/>
      <c r="B8219" s="27" t="s">
        <v>22671</v>
      </c>
      <c r="C8219" s="27">
        <v>205</v>
      </c>
      <c r="D8219" s="14" t="s">
        <v>2559</v>
      </c>
      <c r="E8219" s="229"/>
      <c r="F8219" s="117" t="s">
        <v>23395</v>
      </c>
      <c r="G8219" s="26">
        <v>24670</v>
      </c>
      <c r="H8219" s="231"/>
      <c r="I8219" s="221"/>
      <c r="J8219" s="221"/>
      <c r="K8219" s="221"/>
      <c r="L8219" s="221"/>
      <c r="M8219" s="221"/>
      <c r="N8219" s="221"/>
      <c r="O8219" s="225"/>
      <c r="P8219" s="118" t="s">
        <v>1844</v>
      </c>
      <c r="Q8219" s="16" t="s">
        <v>20</v>
      </c>
      <c r="R8219" s="17" t="s">
        <v>23361</v>
      </c>
      <c r="S8219" s="121" t="s">
        <v>2784</v>
      </c>
      <c r="T8219" s="122"/>
      <c r="U8219" s="22"/>
      <c r="V8219" s="123" t="s">
        <v>2472</v>
      </c>
      <c r="W8219" s="122">
        <v>80055</v>
      </c>
      <c r="X8219" s="221"/>
      <c r="Y8219" s="221"/>
      <c r="Z8219" s="221"/>
      <c r="AA8219" s="221"/>
      <c r="AB8219" s="223"/>
    </row>
    <row r="8220" spans="1:28" ht="17.100000000000001" customHeight="1" thickTop="1">
      <c r="A8220" s="226" t="s">
        <v>22676</v>
      </c>
      <c r="B8220" s="28">
        <v>46128</v>
      </c>
      <c r="C8220" s="25">
        <v>1327</v>
      </c>
      <c r="D8220" s="13" t="s">
        <v>22691</v>
      </c>
      <c r="E8220" s="228"/>
      <c r="F8220" s="109" t="s">
        <v>22692</v>
      </c>
      <c r="G8220" s="24"/>
      <c r="H8220" s="230">
        <v>4.5</v>
      </c>
      <c r="I8220" s="220">
        <v>290000</v>
      </c>
      <c r="J8220" s="220">
        <f>I8220*0.1</f>
        <v>29000</v>
      </c>
      <c r="K8220" s="220">
        <v>0</v>
      </c>
      <c r="L8220" s="220">
        <v>18800</v>
      </c>
      <c r="M8220" s="220">
        <v>16500</v>
      </c>
      <c r="N8220" s="220">
        <f>SUM(I8220:M8221)</f>
        <v>354300</v>
      </c>
      <c r="O8220" s="224"/>
      <c r="P8220" s="110" t="s">
        <v>23226</v>
      </c>
      <c r="Q8220" s="15" t="s">
        <v>19</v>
      </c>
      <c r="R8220" s="205"/>
      <c r="S8220" s="189" t="s">
        <v>758</v>
      </c>
      <c r="T8220" s="114"/>
      <c r="U8220" s="21"/>
      <c r="V8220" s="115">
        <v>46141</v>
      </c>
      <c r="W8220" s="116">
        <v>1015</v>
      </c>
      <c r="X8220" s="220">
        <v>390000</v>
      </c>
      <c r="Y8220" s="220">
        <f>X8220*0.1</f>
        <v>39000</v>
      </c>
      <c r="Z8220" s="220">
        <v>18800</v>
      </c>
      <c r="AA8220" s="220">
        <f>SUM(X8220:Z8220)</f>
        <v>447800</v>
      </c>
      <c r="AB8220" s="222">
        <v>46154</v>
      </c>
    </row>
    <row r="8221" spans="1:28" ht="17.100000000000001" customHeight="1" thickBot="1">
      <c r="A8221" s="227"/>
      <c r="B8221" s="27" t="s">
        <v>22671</v>
      </c>
      <c r="C8221" s="27">
        <v>840</v>
      </c>
      <c r="D8221" s="14" t="s">
        <v>1584</v>
      </c>
      <c r="E8221" s="229"/>
      <c r="F8221" s="117" t="s">
        <v>22678</v>
      </c>
      <c r="G8221" s="26">
        <v>66229</v>
      </c>
      <c r="H8221" s="231"/>
      <c r="I8221" s="221"/>
      <c r="J8221" s="221"/>
      <c r="K8221" s="221"/>
      <c r="L8221" s="221"/>
      <c r="M8221" s="221"/>
      <c r="N8221" s="221"/>
      <c r="O8221" s="225"/>
      <c r="P8221" s="118" t="s">
        <v>23227</v>
      </c>
      <c r="Q8221" s="16" t="s">
        <v>20</v>
      </c>
      <c r="R8221" s="17" t="s">
        <v>23208</v>
      </c>
      <c r="S8221" s="121" t="s">
        <v>9723</v>
      </c>
      <c r="T8221" s="122"/>
      <c r="U8221" s="22"/>
      <c r="V8221" s="123" t="s">
        <v>24607</v>
      </c>
      <c r="W8221" s="122">
        <v>6109</v>
      </c>
      <c r="X8221" s="221"/>
      <c r="Y8221" s="221"/>
      <c r="Z8221" s="221"/>
      <c r="AA8221" s="221"/>
      <c r="AB8221" s="223"/>
    </row>
    <row r="8222" spans="1:28" ht="17.100000000000001" customHeight="1" thickTop="1">
      <c r="A8222" s="226" t="s">
        <v>22679</v>
      </c>
      <c r="B8222" s="28">
        <v>46128</v>
      </c>
      <c r="C8222" s="25">
        <v>2242</v>
      </c>
      <c r="D8222" s="13" t="s">
        <v>22684</v>
      </c>
      <c r="E8222" s="228"/>
      <c r="F8222" s="109" t="s">
        <v>22685</v>
      </c>
      <c r="G8222" s="24"/>
      <c r="H8222" s="230">
        <v>4.5</v>
      </c>
      <c r="I8222" s="220">
        <v>954000</v>
      </c>
      <c r="J8222" s="220">
        <f>I8222*0.1</f>
        <v>95400</v>
      </c>
      <c r="K8222" s="220">
        <v>0</v>
      </c>
      <c r="L8222" s="220">
        <v>18930</v>
      </c>
      <c r="M8222" s="220">
        <v>15950</v>
      </c>
      <c r="N8222" s="220">
        <f>SUM(I8222:M8223)</f>
        <v>1084280</v>
      </c>
      <c r="O8222" s="224"/>
      <c r="P8222" s="110" t="s">
        <v>23397</v>
      </c>
      <c r="Q8222" s="15" t="s">
        <v>19</v>
      </c>
      <c r="R8222" s="205"/>
      <c r="S8222" s="189"/>
      <c r="T8222" s="114"/>
      <c r="U8222" s="21"/>
      <c r="V8222" s="115">
        <v>46142</v>
      </c>
      <c r="W8222" s="116">
        <v>1329</v>
      </c>
      <c r="X8222" s="220">
        <v>1160000</v>
      </c>
      <c r="Y8222" s="220">
        <f>X8222*0.1</f>
        <v>116000</v>
      </c>
      <c r="Z8222" s="220">
        <v>18930</v>
      </c>
      <c r="AA8222" s="220">
        <f>SUM(X8222:Z8222)</f>
        <v>1294930</v>
      </c>
      <c r="AB8222" s="222">
        <v>46143</v>
      </c>
    </row>
    <row r="8223" spans="1:28" ht="17.100000000000001" customHeight="1" thickBot="1">
      <c r="A8223" s="227"/>
      <c r="B8223" s="27" t="s">
        <v>22683</v>
      </c>
      <c r="C8223" s="27">
        <v>21501</v>
      </c>
      <c r="D8223" s="14" t="s">
        <v>22682</v>
      </c>
      <c r="E8223" s="229"/>
      <c r="F8223" s="117" t="s">
        <v>22686</v>
      </c>
      <c r="G8223" s="26">
        <v>13374</v>
      </c>
      <c r="H8223" s="231"/>
      <c r="I8223" s="221"/>
      <c r="J8223" s="221"/>
      <c r="K8223" s="221"/>
      <c r="L8223" s="221"/>
      <c r="M8223" s="221"/>
      <c r="N8223" s="221"/>
      <c r="O8223" s="225"/>
      <c r="P8223" s="118" t="s">
        <v>23398</v>
      </c>
      <c r="Q8223" s="16" t="s">
        <v>20</v>
      </c>
      <c r="R8223" s="17" t="s">
        <v>23361</v>
      </c>
      <c r="S8223" s="121" t="s">
        <v>23509</v>
      </c>
      <c r="T8223" s="122"/>
      <c r="U8223" s="22"/>
      <c r="V8223" s="123" t="s">
        <v>1735</v>
      </c>
      <c r="W8223" s="122">
        <v>117</v>
      </c>
      <c r="X8223" s="221"/>
      <c r="Y8223" s="221"/>
      <c r="Z8223" s="221"/>
      <c r="AA8223" s="221"/>
      <c r="AB8223" s="223"/>
    </row>
    <row r="8224" spans="1:28" ht="17.100000000000001" customHeight="1" thickTop="1">
      <c r="A8224" s="226" t="s">
        <v>22680</v>
      </c>
      <c r="B8224" s="28">
        <v>46128</v>
      </c>
      <c r="C8224" s="25">
        <v>1979</v>
      </c>
      <c r="D8224" s="13" t="s">
        <v>22681</v>
      </c>
      <c r="E8224" s="228"/>
      <c r="F8224" s="109" t="s">
        <v>22689</v>
      </c>
      <c r="G8224" s="24"/>
      <c r="H8224" s="230">
        <v>4</v>
      </c>
      <c r="I8224" s="220">
        <v>797000</v>
      </c>
      <c r="J8224" s="220">
        <f>I8224*0.1</f>
        <v>79700</v>
      </c>
      <c r="K8224" s="220">
        <v>0</v>
      </c>
      <c r="L8224" s="220">
        <v>7440</v>
      </c>
      <c r="M8224" s="220">
        <v>15950</v>
      </c>
      <c r="N8224" s="220">
        <f>SUM(I8224:M8225)</f>
        <v>900090</v>
      </c>
      <c r="O8224" s="224"/>
      <c r="P8224" s="110" t="s">
        <v>23132</v>
      </c>
      <c r="Q8224" s="15" t="s">
        <v>19</v>
      </c>
      <c r="R8224" s="205"/>
      <c r="S8224" s="189"/>
      <c r="T8224" s="114"/>
      <c r="U8224" s="21"/>
      <c r="V8224" s="115">
        <v>46137</v>
      </c>
      <c r="W8224" s="116">
        <v>1298</v>
      </c>
      <c r="X8224" s="220">
        <v>850000</v>
      </c>
      <c r="Y8224" s="220">
        <f>X8224*0.1</f>
        <v>85000</v>
      </c>
      <c r="Z8224" s="220">
        <v>7440</v>
      </c>
      <c r="AA8224" s="220">
        <f>SUM(X8224:Z8224)</f>
        <v>942440</v>
      </c>
      <c r="AB8224" s="222">
        <v>46140</v>
      </c>
    </row>
    <row r="8225" spans="1:28" ht="17.100000000000001" customHeight="1" thickBot="1">
      <c r="A8225" s="227"/>
      <c r="B8225" s="27" t="s">
        <v>22687</v>
      </c>
      <c r="C8225" s="27">
        <v>62022</v>
      </c>
      <c r="D8225" s="14" t="s">
        <v>22688</v>
      </c>
      <c r="E8225" s="229"/>
      <c r="F8225" s="117" t="s">
        <v>22690</v>
      </c>
      <c r="G8225" s="26">
        <v>42962</v>
      </c>
      <c r="H8225" s="231"/>
      <c r="I8225" s="221"/>
      <c r="J8225" s="221"/>
      <c r="K8225" s="221"/>
      <c r="L8225" s="221"/>
      <c r="M8225" s="221"/>
      <c r="N8225" s="221"/>
      <c r="O8225" s="225"/>
      <c r="P8225" s="118" t="s">
        <v>12117</v>
      </c>
      <c r="Q8225" s="16" t="s">
        <v>20</v>
      </c>
      <c r="R8225" s="17" t="s">
        <v>23125</v>
      </c>
      <c r="S8225" s="121"/>
      <c r="T8225" s="122"/>
      <c r="U8225" s="22"/>
      <c r="V8225" s="123" t="s">
        <v>6641</v>
      </c>
      <c r="W8225" s="122">
        <v>41015</v>
      </c>
      <c r="X8225" s="221"/>
      <c r="Y8225" s="221"/>
      <c r="Z8225" s="221"/>
      <c r="AA8225" s="221"/>
      <c r="AB8225" s="223"/>
    </row>
    <row r="8226" spans="1:28" ht="17.100000000000001" customHeight="1" thickTop="1">
      <c r="A8226" s="226" t="s">
        <v>22752</v>
      </c>
      <c r="B8226" s="28">
        <v>46128</v>
      </c>
      <c r="C8226" s="25">
        <v>2154</v>
      </c>
      <c r="D8226" s="13" t="s">
        <v>22758</v>
      </c>
      <c r="E8226" s="228"/>
      <c r="F8226" s="109" t="s">
        <v>22760</v>
      </c>
      <c r="G8226" s="24"/>
      <c r="H8226" s="230">
        <v>3.5</v>
      </c>
      <c r="I8226" s="220">
        <v>682000</v>
      </c>
      <c r="J8226" s="220">
        <f>I8226*0.1</f>
        <v>68200</v>
      </c>
      <c r="K8226" s="220">
        <v>0</v>
      </c>
      <c r="L8226" s="220">
        <v>11420</v>
      </c>
      <c r="M8226" s="220">
        <v>14300</v>
      </c>
      <c r="N8226" s="220">
        <f>SUM(I8226:M8227)</f>
        <v>775920</v>
      </c>
      <c r="O8226" s="224"/>
      <c r="P8226" s="110" t="s">
        <v>23598</v>
      </c>
      <c r="Q8226" s="15" t="s">
        <v>19</v>
      </c>
      <c r="R8226" s="205"/>
      <c r="S8226" s="189" t="s">
        <v>25892</v>
      </c>
      <c r="T8226" s="114"/>
      <c r="U8226" s="21"/>
      <c r="V8226" s="115">
        <v>46134</v>
      </c>
      <c r="W8226" s="116">
        <v>1014</v>
      </c>
      <c r="X8226" s="220">
        <v>835000</v>
      </c>
      <c r="Y8226" s="220">
        <f>X8226*0.1</f>
        <v>83500</v>
      </c>
      <c r="Z8226" s="220">
        <v>11420</v>
      </c>
      <c r="AA8226" s="220">
        <f>SUM(X8226:Z8226)</f>
        <v>929920</v>
      </c>
      <c r="AB8226" s="222">
        <v>46140</v>
      </c>
    </row>
    <row r="8227" spans="1:28" ht="17.100000000000001" customHeight="1" thickBot="1">
      <c r="A8227" s="227"/>
      <c r="B8227" s="27" t="s">
        <v>22751</v>
      </c>
      <c r="C8227" s="27">
        <v>66</v>
      </c>
      <c r="D8227" s="14" t="s">
        <v>22759</v>
      </c>
      <c r="E8227" s="229"/>
      <c r="F8227" s="117" t="s">
        <v>22761</v>
      </c>
      <c r="G8227" s="26">
        <v>85674</v>
      </c>
      <c r="H8227" s="231"/>
      <c r="I8227" s="221"/>
      <c r="J8227" s="221"/>
      <c r="K8227" s="221"/>
      <c r="L8227" s="221"/>
      <c r="M8227" s="221"/>
      <c r="N8227" s="221"/>
      <c r="O8227" s="225"/>
      <c r="P8227" s="118" t="s">
        <v>23599</v>
      </c>
      <c r="Q8227" s="16" t="s">
        <v>20</v>
      </c>
      <c r="R8227" s="17" t="s">
        <v>23596</v>
      </c>
      <c r="S8227" s="121" t="s">
        <v>23600</v>
      </c>
      <c r="T8227" s="122" t="s">
        <v>17347</v>
      </c>
      <c r="U8227" s="22"/>
      <c r="V8227" s="123" t="s">
        <v>23332</v>
      </c>
      <c r="W8227" s="122">
        <v>5102</v>
      </c>
      <c r="X8227" s="221"/>
      <c r="Y8227" s="221"/>
      <c r="Z8227" s="221"/>
      <c r="AA8227" s="221"/>
      <c r="AB8227" s="223"/>
    </row>
    <row r="8228" spans="1:28" ht="17.100000000000001" customHeight="1" thickTop="1">
      <c r="A8228" s="226" t="s">
        <v>22753</v>
      </c>
      <c r="B8228" s="28">
        <v>46128</v>
      </c>
      <c r="C8228" s="25">
        <v>2154</v>
      </c>
      <c r="D8228" s="13" t="s">
        <v>22766</v>
      </c>
      <c r="E8228" s="228"/>
      <c r="F8228" s="109" t="s">
        <v>22767</v>
      </c>
      <c r="G8228" s="24"/>
      <c r="H8228" s="230">
        <v>4.5</v>
      </c>
      <c r="I8228" s="220">
        <v>835000</v>
      </c>
      <c r="J8228" s="220">
        <f>I8228*0.1</f>
        <v>83500</v>
      </c>
      <c r="K8228" s="220">
        <v>0</v>
      </c>
      <c r="L8228" s="220">
        <v>8400</v>
      </c>
      <c r="M8228" s="220">
        <v>14300</v>
      </c>
      <c r="N8228" s="220">
        <f>SUM(I8228:M8229)</f>
        <v>941200</v>
      </c>
      <c r="O8228" s="224"/>
      <c r="P8228" s="110" t="s">
        <v>23221</v>
      </c>
      <c r="Q8228" s="15" t="s">
        <v>19</v>
      </c>
      <c r="R8228" s="205"/>
      <c r="S8228" s="189"/>
      <c r="T8228" s="114"/>
      <c r="U8228" s="21"/>
      <c r="V8228" s="115">
        <v>46134</v>
      </c>
      <c r="W8228" s="116">
        <v>1014</v>
      </c>
      <c r="X8228" s="220">
        <v>880000</v>
      </c>
      <c r="Y8228" s="220">
        <f>X8228*0.1</f>
        <v>88000</v>
      </c>
      <c r="Z8228" s="220">
        <v>8400</v>
      </c>
      <c r="AA8228" s="220">
        <f>SUM(X8228:Z8228)</f>
        <v>976400</v>
      </c>
      <c r="AB8228" s="222">
        <v>46139</v>
      </c>
    </row>
    <row r="8229" spans="1:28" ht="17.100000000000001" customHeight="1" thickBot="1">
      <c r="A8229" s="227"/>
      <c r="B8229" s="27" t="s">
        <v>22751</v>
      </c>
      <c r="C8229" s="27">
        <v>2009</v>
      </c>
      <c r="D8229" s="14" t="s">
        <v>1797</v>
      </c>
      <c r="E8229" s="229"/>
      <c r="F8229" s="117" t="s">
        <v>22762</v>
      </c>
      <c r="G8229" s="26">
        <v>51949</v>
      </c>
      <c r="H8229" s="231"/>
      <c r="I8229" s="221"/>
      <c r="J8229" s="221"/>
      <c r="K8229" s="221"/>
      <c r="L8229" s="221"/>
      <c r="M8229" s="221"/>
      <c r="N8229" s="221"/>
      <c r="O8229" s="225"/>
      <c r="P8229" s="118" t="s">
        <v>2870</v>
      </c>
      <c r="Q8229" s="16" t="s">
        <v>20</v>
      </c>
      <c r="R8229" s="17" t="s">
        <v>23208</v>
      </c>
      <c r="S8229" s="121" t="s">
        <v>23222</v>
      </c>
      <c r="T8229" s="122"/>
      <c r="U8229" s="22"/>
      <c r="V8229" s="123" t="s">
        <v>23332</v>
      </c>
      <c r="W8229" s="122">
        <v>5077</v>
      </c>
      <c r="X8229" s="221"/>
      <c r="Y8229" s="221"/>
      <c r="Z8229" s="221"/>
      <c r="AA8229" s="221"/>
      <c r="AB8229" s="223"/>
    </row>
    <row r="8230" spans="1:28" ht="17.100000000000001" customHeight="1" thickTop="1">
      <c r="A8230" s="226" t="s">
        <v>22754</v>
      </c>
      <c r="B8230" s="28">
        <v>46128</v>
      </c>
      <c r="C8230" s="25">
        <v>2154</v>
      </c>
      <c r="D8230" s="13" t="s">
        <v>22768</v>
      </c>
      <c r="E8230" s="228"/>
      <c r="F8230" s="109" t="s">
        <v>22770</v>
      </c>
      <c r="G8230" s="24"/>
      <c r="H8230" s="230">
        <v>4.5</v>
      </c>
      <c r="I8230" s="220">
        <v>867000</v>
      </c>
      <c r="J8230" s="220">
        <f>I8230*0.1</f>
        <v>86700</v>
      </c>
      <c r="K8230" s="220">
        <v>0</v>
      </c>
      <c r="L8230" s="220">
        <v>7150</v>
      </c>
      <c r="M8230" s="220">
        <v>14300</v>
      </c>
      <c r="N8230" s="220">
        <f>SUM(I8230:M8231)</f>
        <v>975150</v>
      </c>
      <c r="O8230" s="224"/>
      <c r="P8230" s="110" t="s">
        <v>23219</v>
      </c>
      <c r="Q8230" s="15" t="s">
        <v>19</v>
      </c>
      <c r="R8230" s="205"/>
      <c r="S8230" s="189" t="s">
        <v>758</v>
      </c>
      <c r="T8230" s="114"/>
      <c r="U8230" s="21"/>
      <c r="V8230" s="115">
        <v>46134</v>
      </c>
      <c r="W8230" s="116">
        <v>1014</v>
      </c>
      <c r="X8230" s="220">
        <v>950000</v>
      </c>
      <c r="Y8230" s="220">
        <f>X8230*0.1</f>
        <v>95000</v>
      </c>
      <c r="Z8230" s="220">
        <v>7150</v>
      </c>
      <c r="AA8230" s="220">
        <f>SUM(X8230:Z8230)</f>
        <v>1052150</v>
      </c>
      <c r="AB8230" s="222">
        <v>46139</v>
      </c>
    </row>
    <row r="8231" spans="1:28" ht="17.100000000000001" customHeight="1" thickBot="1">
      <c r="A8231" s="227"/>
      <c r="B8231" s="27" t="s">
        <v>22751</v>
      </c>
      <c r="C8231" s="27">
        <v>2109</v>
      </c>
      <c r="D8231" s="14" t="s">
        <v>22769</v>
      </c>
      <c r="E8231" s="229"/>
      <c r="F8231" s="117" t="s">
        <v>22763</v>
      </c>
      <c r="G8231" s="26">
        <v>41262</v>
      </c>
      <c r="H8231" s="231"/>
      <c r="I8231" s="221"/>
      <c r="J8231" s="221"/>
      <c r="K8231" s="221"/>
      <c r="L8231" s="221"/>
      <c r="M8231" s="221"/>
      <c r="N8231" s="221"/>
      <c r="O8231" s="225"/>
      <c r="P8231" s="118" t="s">
        <v>23220</v>
      </c>
      <c r="Q8231" s="16" t="s">
        <v>20</v>
      </c>
      <c r="R8231" s="17" t="s">
        <v>23208</v>
      </c>
      <c r="S8231" s="121" t="s">
        <v>2360</v>
      </c>
      <c r="T8231" s="122"/>
      <c r="U8231" s="22"/>
      <c r="V8231" s="123" t="s">
        <v>23510</v>
      </c>
      <c r="W8231" s="122">
        <v>5073</v>
      </c>
      <c r="X8231" s="221"/>
      <c r="Y8231" s="221"/>
      <c r="Z8231" s="221"/>
      <c r="AA8231" s="221"/>
      <c r="AB8231" s="223"/>
    </row>
    <row r="8232" spans="1:28" ht="17.100000000000001" customHeight="1" thickTop="1">
      <c r="A8232" s="226" t="s">
        <v>22755</v>
      </c>
      <c r="B8232" s="28">
        <v>46128</v>
      </c>
      <c r="C8232" s="25">
        <v>2154</v>
      </c>
      <c r="D8232" s="13" t="s">
        <v>22771</v>
      </c>
      <c r="E8232" s="228"/>
      <c r="F8232" s="109" t="s">
        <v>22773</v>
      </c>
      <c r="G8232" s="24"/>
      <c r="H8232" s="230">
        <v>4</v>
      </c>
      <c r="I8232" s="220">
        <v>1036000</v>
      </c>
      <c r="J8232" s="220">
        <f>I8232*0.1</f>
        <v>103600</v>
      </c>
      <c r="K8232" s="220">
        <v>0</v>
      </c>
      <c r="L8232" s="220">
        <v>6850</v>
      </c>
      <c r="M8232" s="220">
        <v>14300</v>
      </c>
      <c r="N8232" s="220">
        <f>SUM(I8232:M8233)</f>
        <v>1160750</v>
      </c>
      <c r="O8232" s="224"/>
      <c r="P8232" s="110" t="s">
        <v>23470</v>
      </c>
      <c r="Q8232" s="15" t="s">
        <v>19</v>
      </c>
      <c r="R8232" s="205"/>
      <c r="S8232" s="189" t="s">
        <v>25948</v>
      </c>
      <c r="T8232" s="114"/>
      <c r="U8232" s="21"/>
      <c r="V8232" s="115">
        <v>46141</v>
      </c>
      <c r="W8232" s="116">
        <v>1015</v>
      </c>
      <c r="X8232" s="220">
        <v>1055000</v>
      </c>
      <c r="Y8232" s="220">
        <f>X8232*0.1</f>
        <v>105500</v>
      </c>
      <c r="Z8232" s="220">
        <v>6850</v>
      </c>
      <c r="AA8232" s="220">
        <f>SUM(X8232:Z8232)</f>
        <v>1167350</v>
      </c>
      <c r="AB8232" s="222">
        <v>46153</v>
      </c>
    </row>
    <row r="8233" spans="1:28" ht="17.100000000000001" customHeight="1" thickBot="1">
      <c r="A8233" s="227"/>
      <c r="B8233" s="27" t="s">
        <v>22751</v>
      </c>
      <c r="C8233" s="27">
        <v>2513</v>
      </c>
      <c r="D8233" s="14" t="s">
        <v>22772</v>
      </c>
      <c r="E8233" s="229"/>
      <c r="F8233" s="117" t="s">
        <v>22764</v>
      </c>
      <c r="G8233" s="26">
        <v>19355</v>
      </c>
      <c r="H8233" s="231"/>
      <c r="I8233" s="221"/>
      <c r="J8233" s="221"/>
      <c r="K8233" s="221"/>
      <c r="L8233" s="221"/>
      <c r="M8233" s="221"/>
      <c r="N8233" s="221"/>
      <c r="O8233" s="225"/>
      <c r="P8233" s="118" t="s">
        <v>23471</v>
      </c>
      <c r="Q8233" s="16" t="s">
        <v>20</v>
      </c>
      <c r="R8233" s="17" t="s">
        <v>23453</v>
      </c>
      <c r="S8233" s="121" t="s">
        <v>5047</v>
      </c>
      <c r="T8233" s="122" t="s">
        <v>22781</v>
      </c>
      <c r="U8233" s="22"/>
      <c r="V8233" s="123" t="s">
        <v>8877</v>
      </c>
      <c r="W8233" s="122">
        <v>2067</v>
      </c>
      <c r="X8233" s="221"/>
      <c r="Y8233" s="221"/>
      <c r="Z8233" s="221"/>
      <c r="AA8233" s="221"/>
      <c r="AB8233" s="223"/>
    </row>
    <row r="8234" spans="1:28" ht="17.100000000000001" customHeight="1" thickTop="1">
      <c r="A8234" s="226" t="s">
        <v>22756</v>
      </c>
      <c r="B8234" s="28">
        <v>46128</v>
      </c>
      <c r="C8234" s="25">
        <v>2154</v>
      </c>
      <c r="D8234" s="13" t="s">
        <v>22774</v>
      </c>
      <c r="E8234" s="228"/>
      <c r="F8234" s="109" t="s">
        <v>22775</v>
      </c>
      <c r="G8234" s="24" t="s">
        <v>22776</v>
      </c>
      <c r="H8234" s="230">
        <v>4.5</v>
      </c>
      <c r="I8234" s="220">
        <v>1164000</v>
      </c>
      <c r="J8234" s="220">
        <f>I8234*0.1</f>
        <v>116400</v>
      </c>
      <c r="K8234" s="220">
        <v>0</v>
      </c>
      <c r="L8234" s="220">
        <v>8350</v>
      </c>
      <c r="M8234" s="220">
        <v>14300</v>
      </c>
      <c r="N8234" s="220">
        <f>SUM(I8234:M8235)</f>
        <v>1303050</v>
      </c>
      <c r="O8234" s="224"/>
      <c r="P8234" s="110" t="s">
        <v>22777</v>
      </c>
      <c r="Q8234" s="15" t="s">
        <v>19</v>
      </c>
      <c r="R8234" s="205"/>
      <c r="S8234" s="189" t="s">
        <v>1276</v>
      </c>
      <c r="T8234" s="114"/>
      <c r="U8234" s="21"/>
      <c r="V8234" s="115">
        <v>46134</v>
      </c>
      <c r="W8234" s="116">
        <v>1014</v>
      </c>
      <c r="X8234" s="220">
        <v>1210000</v>
      </c>
      <c r="Y8234" s="220">
        <f>X8234*0.1</f>
        <v>121000</v>
      </c>
      <c r="Z8234" s="220">
        <v>8350</v>
      </c>
      <c r="AA8234" s="220">
        <f>SUM(X8234:Z8234)</f>
        <v>1339350</v>
      </c>
      <c r="AB8234" s="222">
        <v>46140</v>
      </c>
    </row>
    <row r="8235" spans="1:28" ht="17.100000000000001" customHeight="1" thickBot="1">
      <c r="A8235" s="227"/>
      <c r="B8235" s="27" t="s">
        <v>22751</v>
      </c>
      <c r="C8235" s="27">
        <v>2604</v>
      </c>
      <c r="D8235" s="14" t="s">
        <v>1548</v>
      </c>
      <c r="E8235" s="229"/>
      <c r="F8235" s="117" t="s">
        <v>22765</v>
      </c>
      <c r="G8235" s="26">
        <v>8542</v>
      </c>
      <c r="H8235" s="231"/>
      <c r="I8235" s="221"/>
      <c r="J8235" s="221"/>
      <c r="K8235" s="221"/>
      <c r="L8235" s="221"/>
      <c r="M8235" s="221"/>
      <c r="N8235" s="221"/>
      <c r="O8235" s="225"/>
      <c r="P8235" s="118" t="s">
        <v>23597</v>
      </c>
      <c r="Q8235" s="16" t="s">
        <v>20</v>
      </c>
      <c r="R8235" s="17" t="s">
        <v>23596</v>
      </c>
      <c r="S8235" s="121" t="s">
        <v>9218</v>
      </c>
      <c r="T8235" s="122"/>
      <c r="U8235" s="22"/>
      <c r="V8235" s="123" t="s">
        <v>23332</v>
      </c>
      <c r="W8235" s="122">
        <v>5069</v>
      </c>
      <c r="X8235" s="221"/>
      <c r="Y8235" s="221"/>
      <c r="Z8235" s="221"/>
      <c r="AA8235" s="221"/>
      <c r="AB8235" s="223"/>
    </row>
    <row r="8236" spans="1:28" ht="17.100000000000001" customHeight="1" thickTop="1">
      <c r="A8236" s="226" t="s">
        <v>22757</v>
      </c>
      <c r="B8236" s="28">
        <v>46128</v>
      </c>
      <c r="C8236" s="25">
        <v>2154</v>
      </c>
      <c r="D8236" s="13" t="s">
        <v>22778</v>
      </c>
      <c r="E8236" s="228"/>
      <c r="F8236" s="109" t="s">
        <v>22779</v>
      </c>
      <c r="G8236" s="24"/>
      <c r="H8236" s="230">
        <v>4.5</v>
      </c>
      <c r="I8236" s="220">
        <v>1689000</v>
      </c>
      <c r="J8236" s="220">
        <f>I8236*0.1</f>
        <v>168900</v>
      </c>
      <c r="K8236" s="220">
        <v>0</v>
      </c>
      <c r="L8236" s="220">
        <v>17600</v>
      </c>
      <c r="M8236" s="220">
        <v>14300</v>
      </c>
      <c r="N8236" s="220">
        <f>SUM(I8236:M8237)</f>
        <v>1889800</v>
      </c>
      <c r="O8236" s="224"/>
      <c r="P8236" s="110" t="s">
        <v>23211</v>
      </c>
      <c r="Q8236" s="15" t="s">
        <v>19</v>
      </c>
      <c r="R8236" s="205"/>
      <c r="S8236" s="189" t="s">
        <v>25635</v>
      </c>
      <c r="T8236" s="114"/>
      <c r="U8236" s="21"/>
      <c r="V8236" s="115"/>
      <c r="W8236" s="116"/>
      <c r="X8236" s="220"/>
      <c r="Y8236" s="220">
        <f>X8236*0.1</f>
        <v>0</v>
      </c>
      <c r="Z8236" s="220"/>
      <c r="AA8236" s="220">
        <f>SUM(X8236:Z8236)</f>
        <v>0</v>
      </c>
      <c r="AB8236" s="222"/>
    </row>
    <row r="8237" spans="1:28" ht="17.100000000000001" customHeight="1" thickBot="1">
      <c r="A8237" s="227"/>
      <c r="B8237" s="27" t="s">
        <v>22751</v>
      </c>
      <c r="C8237" s="27">
        <v>4211</v>
      </c>
      <c r="D8237" s="14" t="s">
        <v>22759</v>
      </c>
      <c r="E8237" s="229"/>
      <c r="F8237" s="117" t="s">
        <v>23210</v>
      </c>
      <c r="G8237" s="26">
        <v>46891</v>
      </c>
      <c r="H8237" s="231"/>
      <c r="I8237" s="221"/>
      <c r="J8237" s="221"/>
      <c r="K8237" s="221"/>
      <c r="L8237" s="221"/>
      <c r="M8237" s="221"/>
      <c r="N8237" s="221"/>
      <c r="O8237" s="225"/>
      <c r="P8237" s="118" t="s">
        <v>12751</v>
      </c>
      <c r="Q8237" s="16" t="s">
        <v>20</v>
      </c>
      <c r="R8237" s="17" t="s">
        <v>23208</v>
      </c>
      <c r="S8237" s="121" t="s">
        <v>23215</v>
      </c>
      <c r="T8237" s="122"/>
      <c r="U8237" s="22"/>
      <c r="V8237" s="123"/>
      <c r="W8237" s="122"/>
      <c r="X8237" s="221"/>
      <c r="Y8237" s="221"/>
      <c r="Z8237" s="221"/>
      <c r="AA8237" s="221"/>
      <c r="AB8237" s="223"/>
    </row>
    <row r="8238" spans="1:28" ht="17.100000000000001" customHeight="1" thickTop="1">
      <c r="A8238" s="226" t="s">
        <v>22782</v>
      </c>
      <c r="B8238" s="28">
        <v>46128</v>
      </c>
      <c r="C8238" s="25">
        <v>2023</v>
      </c>
      <c r="D8238" s="13" t="s">
        <v>2406</v>
      </c>
      <c r="E8238" s="228"/>
      <c r="F8238" s="109" t="s">
        <v>22805</v>
      </c>
      <c r="G8238" s="24"/>
      <c r="H8238" s="230">
        <v>4</v>
      </c>
      <c r="I8238" s="220">
        <v>603000</v>
      </c>
      <c r="J8238" s="220">
        <f>I8238*0.1</f>
        <v>60300</v>
      </c>
      <c r="K8238" s="220">
        <v>0</v>
      </c>
      <c r="L8238" s="220">
        <v>9130</v>
      </c>
      <c r="M8238" s="220">
        <v>22000</v>
      </c>
      <c r="N8238" s="220">
        <f>SUM(I8238:M8239)</f>
        <v>694430</v>
      </c>
      <c r="O8238" s="224"/>
      <c r="P8238" s="110" t="s">
        <v>23486</v>
      </c>
      <c r="Q8238" s="15" t="s">
        <v>19</v>
      </c>
      <c r="R8238" s="205"/>
      <c r="S8238" s="189" t="s">
        <v>25408</v>
      </c>
      <c r="T8238" s="114"/>
      <c r="U8238" s="21"/>
      <c r="V8238" s="115">
        <v>46155</v>
      </c>
      <c r="W8238" s="116">
        <v>1016</v>
      </c>
      <c r="X8238" s="220">
        <v>650000</v>
      </c>
      <c r="Y8238" s="220">
        <f>X8238*0.1</f>
        <v>65000</v>
      </c>
      <c r="Z8238" s="220">
        <v>9130</v>
      </c>
      <c r="AA8238" s="220">
        <f>SUM(X8238:Z8238)</f>
        <v>724130</v>
      </c>
      <c r="AB8238" s="222">
        <v>46163</v>
      </c>
    </row>
    <row r="8239" spans="1:28" ht="17.100000000000001" customHeight="1" thickBot="1">
      <c r="A8239" s="227"/>
      <c r="B8239" s="27" t="s">
        <v>2171</v>
      </c>
      <c r="C8239" s="27">
        <v>10055</v>
      </c>
      <c r="D8239" s="14" t="s">
        <v>1710</v>
      </c>
      <c r="E8239" s="229"/>
      <c r="F8239" s="117" t="s">
        <v>22791</v>
      </c>
      <c r="G8239" s="26">
        <v>59160</v>
      </c>
      <c r="H8239" s="231"/>
      <c r="I8239" s="221"/>
      <c r="J8239" s="221"/>
      <c r="K8239" s="221"/>
      <c r="L8239" s="221"/>
      <c r="M8239" s="221"/>
      <c r="N8239" s="221"/>
      <c r="O8239" s="225"/>
      <c r="P8239" s="118" t="s">
        <v>23487</v>
      </c>
      <c r="Q8239" s="16" t="s">
        <v>20</v>
      </c>
      <c r="R8239" s="17" t="s">
        <v>23453</v>
      </c>
      <c r="S8239" s="121" t="s">
        <v>23488</v>
      </c>
      <c r="T8239" s="122"/>
      <c r="U8239" s="22"/>
      <c r="V8239" s="123" t="s">
        <v>7161</v>
      </c>
      <c r="W8239" s="122">
        <v>6035</v>
      </c>
      <c r="X8239" s="221"/>
      <c r="Y8239" s="221"/>
      <c r="Z8239" s="221"/>
      <c r="AA8239" s="221"/>
      <c r="AB8239" s="223"/>
    </row>
    <row r="8240" spans="1:28" ht="17.100000000000001" customHeight="1" thickTop="1">
      <c r="A8240" s="226" t="s">
        <v>22783</v>
      </c>
      <c r="B8240" s="28">
        <v>46128</v>
      </c>
      <c r="C8240" s="25">
        <v>2023</v>
      </c>
      <c r="D8240" s="13" t="s">
        <v>1846</v>
      </c>
      <c r="E8240" s="228"/>
      <c r="F8240" s="109" t="s">
        <v>22803</v>
      </c>
      <c r="G8240" s="24"/>
      <c r="H8240" s="230">
        <v>4</v>
      </c>
      <c r="I8240" s="220">
        <v>2105000</v>
      </c>
      <c r="J8240" s="220">
        <f>I8240*0.1</f>
        <v>210500</v>
      </c>
      <c r="K8240" s="220">
        <v>0</v>
      </c>
      <c r="L8240" s="220">
        <v>14330</v>
      </c>
      <c r="M8240" s="220">
        <v>22000</v>
      </c>
      <c r="N8240" s="220">
        <f>SUM(I8240:M8241)</f>
        <v>2351830</v>
      </c>
      <c r="O8240" s="224"/>
      <c r="P8240" s="110" t="s">
        <v>23496</v>
      </c>
      <c r="Q8240" s="15" t="s">
        <v>19</v>
      </c>
      <c r="R8240" s="205"/>
      <c r="S8240" s="189" t="s">
        <v>25949</v>
      </c>
      <c r="T8240" s="114"/>
      <c r="U8240" s="21"/>
      <c r="V8240" s="115"/>
      <c r="W8240" s="116"/>
      <c r="X8240" s="220"/>
      <c r="Y8240" s="220">
        <f>X8240*0.1</f>
        <v>0</v>
      </c>
      <c r="Z8240" s="220"/>
      <c r="AA8240" s="220">
        <f>SUM(X8240:Z8240)</f>
        <v>0</v>
      </c>
      <c r="AB8240" s="222"/>
    </row>
    <row r="8241" spans="1:28" ht="17.100000000000001" customHeight="1" thickBot="1">
      <c r="A8241" s="227"/>
      <c r="B8241" s="27" t="s">
        <v>2171</v>
      </c>
      <c r="C8241" s="27">
        <v>30014</v>
      </c>
      <c r="D8241" s="14" t="s">
        <v>2559</v>
      </c>
      <c r="E8241" s="229"/>
      <c r="F8241" s="117" t="s">
        <v>22804</v>
      </c>
      <c r="G8241" s="26">
        <v>102272</v>
      </c>
      <c r="H8241" s="231"/>
      <c r="I8241" s="221"/>
      <c r="J8241" s="221"/>
      <c r="K8241" s="221"/>
      <c r="L8241" s="221"/>
      <c r="M8241" s="221"/>
      <c r="N8241" s="221"/>
      <c r="O8241" s="225"/>
      <c r="P8241" s="118" t="s">
        <v>23497</v>
      </c>
      <c r="Q8241" s="16" t="s">
        <v>20</v>
      </c>
      <c r="R8241" s="17" t="s">
        <v>23453</v>
      </c>
      <c r="S8241" s="121" t="s">
        <v>23498</v>
      </c>
      <c r="T8241" s="122"/>
      <c r="U8241" s="22"/>
      <c r="V8241" s="123"/>
      <c r="W8241" s="122"/>
      <c r="X8241" s="221"/>
      <c r="Y8241" s="221"/>
      <c r="Z8241" s="221"/>
      <c r="AA8241" s="221"/>
      <c r="AB8241" s="223"/>
    </row>
    <row r="8242" spans="1:28" ht="17.100000000000001" customHeight="1" thickTop="1">
      <c r="A8242" s="226" t="s">
        <v>22784</v>
      </c>
      <c r="B8242" s="28">
        <v>46128</v>
      </c>
      <c r="C8242" s="25">
        <v>2023</v>
      </c>
      <c r="D8242" s="13" t="s">
        <v>853</v>
      </c>
      <c r="E8242" s="228"/>
      <c r="F8242" s="109" t="s">
        <v>22802</v>
      </c>
      <c r="G8242" s="24"/>
      <c r="H8242" s="230">
        <v>4.5</v>
      </c>
      <c r="I8242" s="220">
        <v>2307000</v>
      </c>
      <c r="J8242" s="220">
        <f>I8242*0.1</f>
        <v>230700</v>
      </c>
      <c r="K8242" s="220">
        <v>0</v>
      </c>
      <c r="L8242" s="220">
        <v>12470</v>
      </c>
      <c r="M8242" s="220">
        <v>22000</v>
      </c>
      <c r="N8242" s="220">
        <f>SUM(I8242:M8243)</f>
        <v>2572170</v>
      </c>
      <c r="O8242" s="224"/>
      <c r="P8242" s="110" t="s">
        <v>23370</v>
      </c>
      <c r="Q8242" s="15" t="s">
        <v>19</v>
      </c>
      <c r="R8242" s="205"/>
      <c r="S8242" s="189" t="s">
        <v>25950</v>
      </c>
      <c r="T8242" s="114"/>
      <c r="U8242" s="21"/>
      <c r="V8242" s="115">
        <v>46134</v>
      </c>
      <c r="W8242" s="116">
        <v>1014</v>
      </c>
      <c r="X8242" s="220">
        <v>2380000</v>
      </c>
      <c r="Y8242" s="220">
        <f>X8242*0.1</f>
        <v>238000</v>
      </c>
      <c r="Z8242" s="220">
        <v>12470</v>
      </c>
      <c r="AA8242" s="220">
        <f>SUM(X8242:Z8242)</f>
        <v>2630470</v>
      </c>
      <c r="AB8242" s="222">
        <v>46139</v>
      </c>
    </row>
    <row r="8243" spans="1:28" ht="17.100000000000001" customHeight="1" thickBot="1">
      <c r="A8243" s="227"/>
      <c r="B8243" s="27" t="s">
        <v>2171</v>
      </c>
      <c r="C8243" s="27">
        <v>30090</v>
      </c>
      <c r="D8243" s="14" t="s">
        <v>2559</v>
      </c>
      <c r="E8243" s="229"/>
      <c r="F8243" s="117" t="s">
        <v>22792</v>
      </c>
      <c r="G8243" s="26">
        <v>31810</v>
      </c>
      <c r="H8243" s="231"/>
      <c r="I8243" s="221"/>
      <c r="J8243" s="221"/>
      <c r="K8243" s="221"/>
      <c r="L8243" s="221"/>
      <c r="M8243" s="221"/>
      <c r="N8243" s="221"/>
      <c r="O8243" s="225"/>
      <c r="P8243" s="118" t="s">
        <v>23371</v>
      </c>
      <c r="Q8243" s="16" t="s">
        <v>20</v>
      </c>
      <c r="R8243" s="17" t="s">
        <v>23361</v>
      </c>
      <c r="S8243" s="121" t="s">
        <v>23372</v>
      </c>
      <c r="T8243" s="122"/>
      <c r="U8243" s="22"/>
      <c r="V8243" s="123" t="s">
        <v>23332</v>
      </c>
      <c r="W8243" s="122">
        <v>5094</v>
      </c>
      <c r="X8243" s="221"/>
      <c r="Y8243" s="221"/>
      <c r="Z8243" s="221"/>
      <c r="AA8243" s="221"/>
      <c r="AB8243" s="223"/>
    </row>
    <row r="8244" spans="1:28" ht="17.100000000000001" customHeight="1" thickTop="1">
      <c r="A8244" s="226" t="s">
        <v>22785</v>
      </c>
      <c r="B8244" s="28">
        <v>46128</v>
      </c>
      <c r="C8244" s="25">
        <v>2023</v>
      </c>
      <c r="D8244" s="13" t="s">
        <v>1883</v>
      </c>
      <c r="E8244" s="228"/>
      <c r="F8244" s="109" t="s">
        <v>22801</v>
      </c>
      <c r="G8244" s="24"/>
      <c r="H8244" s="230">
        <v>4</v>
      </c>
      <c r="I8244" s="220">
        <v>872000</v>
      </c>
      <c r="J8244" s="220">
        <f>I8244*0.1</f>
        <v>87200</v>
      </c>
      <c r="K8244" s="220">
        <v>0</v>
      </c>
      <c r="L8244" s="220">
        <v>8950</v>
      </c>
      <c r="M8244" s="220">
        <v>22000</v>
      </c>
      <c r="N8244" s="220">
        <f>SUM(I8244:M8245)</f>
        <v>990150</v>
      </c>
      <c r="O8244" s="224"/>
      <c r="P8244" s="110" t="s">
        <v>23369</v>
      </c>
      <c r="Q8244" s="15" t="s">
        <v>19</v>
      </c>
      <c r="R8244" s="205"/>
      <c r="S8244" s="189" t="s">
        <v>1271</v>
      </c>
      <c r="T8244" s="114"/>
      <c r="U8244" s="21"/>
      <c r="V8244" s="115">
        <v>46134</v>
      </c>
      <c r="W8244" s="116">
        <v>1014</v>
      </c>
      <c r="X8244" s="220">
        <v>940000</v>
      </c>
      <c r="Y8244" s="220">
        <f>X8244*0.1</f>
        <v>94000</v>
      </c>
      <c r="Z8244" s="220">
        <v>8950</v>
      </c>
      <c r="AA8244" s="220">
        <f>SUM(X8244:Z8244)</f>
        <v>1042950</v>
      </c>
      <c r="AB8244" s="222">
        <v>46139</v>
      </c>
    </row>
    <row r="8245" spans="1:28" ht="17.100000000000001" customHeight="1" thickBot="1">
      <c r="A8245" s="227"/>
      <c r="B8245" s="27" t="s">
        <v>2171</v>
      </c>
      <c r="C8245" s="27">
        <v>30163</v>
      </c>
      <c r="D8245" s="14" t="s">
        <v>1710</v>
      </c>
      <c r="E8245" s="229"/>
      <c r="F8245" s="117" t="s">
        <v>22793</v>
      </c>
      <c r="G8245" s="26">
        <v>58438</v>
      </c>
      <c r="H8245" s="231"/>
      <c r="I8245" s="221"/>
      <c r="J8245" s="221"/>
      <c r="K8245" s="221"/>
      <c r="L8245" s="221"/>
      <c r="M8245" s="221"/>
      <c r="N8245" s="221"/>
      <c r="O8245" s="225"/>
      <c r="P8245" s="118" t="s">
        <v>2446</v>
      </c>
      <c r="Q8245" s="16" t="s">
        <v>20</v>
      </c>
      <c r="R8245" s="17" t="s">
        <v>23361</v>
      </c>
      <c r="S8245" s="121" t="s">
        <v>1731</v>
      </c>
      <c r="T8245" s="122"/>
      <c r="U8245" s="22"/>
      <c r="V8245" s="123" t="s">
        <v>23332</v>
      </c>
      <c r="W8245" s="122">
        <v>5072</v>
      </c>
      <c r="X8245" s="221"/>
      <c r="Y8245" s="221"/>
      <c r="Z8245" s="221"/>
      <c r="AA8245" s="221"/>
      <c r="AB8245" s="223"/>
    </row>
    <row r="8246" spans="1:28" ht="17.100000000000001" customHeight="1" thickTop="1">
      <c r="A8246" s="226" t="s">
        <v>22786</v>
      </c>
      <c r="B8246" s="28">
        <v>46128</v>
      </c>
      <c r="C8246" s="25">
        <v>2023</v>
      </c>
      <c r="D8246" s="13" t="s">
        <v>3474</v>
      </c>
      <c r="E8246" s="228"/>
      <c r="F8246" s="109" t="s">
        <v>22799</v>
      </c>
      <c r="G8246" s="24" t="s">
        <v>2084</v>
      </c>
      <c r="H8246" s="230">
        <v>4</v>
      </c>
      <c r="I8246" s="220">
        <v>1423000</v>
      </c>
      <c r="J8246" s="220">
        <f>I8246*0.1</f>
        <v>142300</v>
      </c>
      <c r="K8246" s="220">
        <f>22900+2290</f>
        <v>25190</v>
      </c>
      <c r="L8246" s="220">
        <v>9260</v>
      </c>
      <c r="M8246" s="220">
        <v>22000</v>
      </c>
      <c r="N8246" s="220">
        <f>SUM(I8246:M8247)</f>
        <v>1621750</v>
      </c>
      <c r="O8246" s="224"/>
      <c r="P8246" s="110" t="s">
        <v>22800</v>
      </c>
      <c r="Q8246" s="15" t="s">
        <v>19</v>
      </c>
      <c r="R8246" s="205"/>
      <c r="S8246" s="189" t="s">
        <v>25367</v>
      </c>
      <c r="T8246" s="114"/>
      <c r="U8246" s="21"/>
      <c r="V8246" s="115">
        <v>46134</v>
      </c>
      <c r="W8246" s="116">
        <v>1014</v>
      </c>
      <c r="X8246" s="220">
        <v>1505000</v>
      </c>
      <c r="Y8246" s="220">
        <f>X8246*0.1</f>
        <v>150500</v>
      </c>
      <c r="Z8246" s="220">
        <v>9260</v>
      </c>
      <c r="AA8246" s="220">
        <f>SUM(X8246:Z8246)</f>
        <v>1664760</v>
      </c>
      <c r="AB8246" s="222">
        <v>46139</v>
      </c>
    </row>
    <row r="8247" spans="1:28" ht="17.100000000000001" customHeight="1" thickBot="1">
      <c r="A8247" s="227"/>
      <c r="B8247" s="27" t="s">
        <v>2171</v>
      </c>
      <c r="C8247" s="27">
        <v>30242</v>
      </c>
      <c r="D8247" s="14" t="s">
        <v>2559</v>
      </c>
      <c r="E8247" s="229"/>
      <c r="F8247" s="117" t="s">
        <v>22794</v>
      </c>
      <c r="G8247" s="26">
        <v>34019</v>
      </c>
      <c r="H8247" s="231"/>
      <c r="I8247" s="221"/>
      <c r="J8247" s="221"/>
      <c r="K8247" s="221"/>
      <c r="L8247" s="221"/>
      <c r="M8247" s="221"/>
      <c r="N8247" s="221"/>
      <c r="O8247" s="225"/>
      <c r="P8247" s="118" t="s">
        <v>3919</v>
      </c>
      <c r="Q8247" s="16" t="s">
        <v>20</v>
      </c>
      <c r="R8247" s="17" t="s">
        <v>23361</v>
      </c>
      <c r="S8247" s="121" t="s">
        <v>3071</v>
      </c>
      <c r="T8247" s="122"/>
      <c r="U8247" s="22"/>
      <c r="V8247" s="123" t="s">
        <v>23332</v>
      </c>
      <c r="W8247" s="122">
        <v>5095</v>
      </c>
      <c r="X8247" s="221"/>
      <c r="Y8247" s="221"/>
      <c r="Z8247" s="221"/>
      <c r="AA8247" s="221"/>
      <c r="AB8247" s="223"/>
    </row>
    <row r="8248" spans="1:28" ht="17.100000000000001" customHeight="1" thickTop="1">
      <c r="A8248" s="226" t="s">
        <v>22787</v>
      </c>
      <c r="B8248" s="28">
        <v>46128</v>
      </c>
      <c r="C8248" s="25">
        <v>2023</v>
      </c>
      <c r="D8248" s="13" t="s">
        <v>1754</v>
      </c>
      <c r="E8248" s="228"/>
      <c r="F8248" s="109" t="s">
        <v>8463</v>
      </c>
      <c r="G8248" s="24"/>
      <c r="H8248" s="230">
        <v>4</v>
      </c>
      <c r="I8248" s="220">
        <v>400000</v>
      </c>
      <c r="J8248" s="220">
        <f>I8248*0.1</f>
        <v>40000</v>
      </c>
      <c r="K8248" s="220">
        <v>0</v>
      </c>
      <c r="L8248" s="220">
        <v>8790</v>
      </c>
      <c r="M8248" s="220">
        <v>22000</v>
      </c>
      <c r="N8248" s="220">
        <f>SUM(I8248:M8249)</f>
        <v>470790</v>
      </c>
      <c r="O8248" s="224"/>
      <c r="P8248" s="110" t="s">
        <v>23483</v>
      </c>
      <c r="Q8248" s="15" t="s">
        <v>19</v>
      </c>
      <c r="R8248" s="205"/>
      <c r="S8248" s="189" t="s">
        <v>25951</v>
      </c>
      <c r="T8248" s="114"/>
      <c r="U8248" s="21"/>
      <c r="V8248" s="115"/>
      <c r="W8248" s="116"/>
      <c r="X8248" s="220"/>
      <c r="Y8248" s="220">
        <f>X8248*0.1</f>
        <v>0</v>
      </c>
      <c r="Z8248" s="220"/>
      <c r="AA8248" s="220">
        <f>SUM(X8248:Z8248)</f>
        <v>0</v>
      </c>
      <c r="AB8248" s="222"/>
    </row>
    <row r="8249" spans="1:28" ht="17.100000000000001" customHeight="1" thickBot="1">
      <c r="A8249" s="227"/>
      <c r="B8249" s="27" t="s">
        <v>2171</v>
      </c>
      <c r="C8249" s="27">
        <v>50033</v>
      </c>
      <c r="D8249" s="14" t="s">
        <v>54</v>
      </c>
      <c r="E8249" s="229"/>
      <c r="F8249" s="117" t="s">
        <v>22795</v>
      </c>
      <c r="G8249" s="26">
        <v>94712</v>
      </c>
      <c r="H8249" s="231"/>
      <c r="I8249" s="221"/>
      <c r="J8249" s="221"/>
      <c r="K8249" s="221"/>
      <c r="L8249" s="221"/>
      <c r="M8249" s="221"/>
      <c r="N8249" s="221"/>
      <c r="O8249" s="225"/>
      <c r="P8249" s="118" t="s">
        <v>23484</v>
      </c>
      <c r="Q8249" s="16" t="s">
        <v>20</v>
      </c>
      <c r="R8249" s="17" t="s">
        <v>23453</v>
      </c>
      <c r="S8249" s="121" t="s">
        <v>23485</v>
      </c>
      <c r="T8249" s="122"/>
      <c r="U8249" s="22"/>
      <c r="V8249" s="123"/>
      <c r="W8249" s="122"/>
      <c r="X8249" s="221"/>
      <c r="Y8249" s="221"/>
      <c r="Z8249" s="221"/>
      <c r="AA8249" s="221"/>
      <c r="AB8249" s="223"/>
    </row>
    <row r="8250" spans="1:28" ht="17.100000000000001" customHeight="1" thickTop="1">
      <c r="A8250" s="226" t="s">
        <v>22788</v>
      </c>
      <c r="B8250" s="28">
        <v>46128</v>
      </c>
      <c r="C8250" s="25">
        <v>2023</v>
      </c>
      <c r="D8250" s="13" t="s">
        <v>1871</v>
      </c>
      <c r="E8250" s="228"/>
      <c r="F8250" s="109" t="s">
        <v>3844</v>
      </c>
      <c r="G8250" s="24" t="s">
        <v>2494</v>
      </c>
      <c r="H8250" s="230">
        <v>4</v>
      </c>
      <c r="I8250" s="220">
        <v>509000</v>
      </c>
      <c r="J8250" s="220">
        <f>I8250*0.1</f>
        <v>50900</v>
      </c>
      <c r="K8250" s="220">
        <v>0</v>
      </c>
      <c r="L8250" s="220">
        <v>7950</v>
      </c>
      <c r="M8250" s="220">
        <v>22000</v>
      </c>
      <c r="N8250" s="220">
        <f>SUM(I8250:M8251)</f>
        <v>589850</v>
      </c>
      <c r="O8250" s="224"/>
      <c r="P8250" s="110" t="s">
        <v>22807</v>
      </c>
      <c r="Q8250" s="15" t="s">
        <v>19</v>
      </c>
      <c r="R8250" s="205"/>
      <c r="S8250" s="189" t="s">
        <v>25372</v>
      </c>
      <c r="T8250" s="114"/>
      <c r="U8250" s="21"/>
      <c r="V8250" s="115">
        <v>46134</v>
      </c>
      <c r="W8250" s="116">
        <v>1014</v>
      </c>
      <c r="X8250" s="220">
        <v>590000</v>
      </c>
      <c r="Y8250" s="220">
        <f>X8250*0.1</f>
        <v>59000</v>
      </c>
      <c r="Z8250" s="220">
        <v>7950</v>
      </c>
      <c r="AA8250" s="220">
        <f>SUM(X8250:Z8250)</f>
        <v>656950</v>
      </c>
      <c r="AB8250" s="222">
        <v>46139</v>
      </c>
    </row>
    <row r="8251" spans="1:28" ht="17.100000000000001" customHeight="1" thickBot="1">
      <c r="A8251" s="227"/>
      <c r="B8251" s="27" t="s">
        <v>2171</v>
      </c>
      <c r="C8251" s="27">
        <v>50071</v>
      </c>
      <c r="D8251" s="14" t="s">
        <v>2753</v>
      </c>
      <c r="E8251" s="229"/>
      <c r="F8251" s="117" t="s">
        <v>22796</v>
      </c>
      <c r="G8251" s="26">
        <v>47439</v>
      </c>
      <c r="H8251" s="231"/>
      <c r="I8251" s="221"/>
      <c r="J8251" s="221"/>
      <c r="K8251" s="221"/>
      <c r="L8251" s="221"/>
      <c r="M8251" s="221"/>
      <c r="N8251" s="221"/>
      <c r="O8251" s="225"/>
      <c r="P8251" s="118" t="s">
        <v>23375</v>
      </c>
      <c r="Q8251" s="16" t="s">
        <v>20</v>
      </c>
      <c r="R8251" s="17" t="s">
        <v>23361</v>
      </c>
      <c r="S8251" s="121" t="s">
        <v>2360</v>
      </c>
      <c r="T8251" s="122"/>
      <c r="U8251" s="22"/>
      <c r="V8251" s="123" t="s">
        <v>23332</v>
      </c>
      <c r="W8251" s="122">
        <v>5076</v>
      </c>
      <c r="X8251" s="221"/>
      <c r="Y8251" s="221"/>
      <c r="Z8251" s="221"/>
      <c r="AA8251" s="221"/>
      <c r="AB8251" s="223"/>
    </row>
    <row r="8252" spans="1:28" ht="17.100000000000001" customHeight="1" thickTop="1">
      <c r="A8252" s="226" t="s">
        <v>22789</v>
      </c>
      <c r="B8252" s="28">
        <v>46128</v>
      </c>
      <c r="C8252" s="25">
        <v>2023</v>
      </c>
      <c r="D8252" s="13" t="s">
        <v>4531</v>
      </c>
      <c r="E8252" s="228"/>
      <c r="F8252" s="109" t="s">
        <v>4145</v>
      </c>
      <c r="G8252" s="24"/>
      <c r="H8252" s="230">
        <v>4</v>
      </c>
      <c r="I8252" s="220">
        <v>328000</v>
      </c>
      <c r="J8252" s="220">
        <f>I8252*0.1</f>
        <v>32800</v>
      </c>
      <c r="K8252" s="220">
        <v>0</v>
      </c>
      <c r="L8252" s="220">
        <v>8930</v>
      </c>
      <c r="M8252" s="220">
        <v>22000</v>
      </c>
      <c r="N8252" s="220">
        <f>SUM(I8252:M8253)</f>
        <v>391730</v>
      </c>
      <c r="O8252" s="224"/>
      <c r="P8252" s="110" t="s">
        <v>23491</v>
      </c>
      <c r="Q8252" s="15" t="s">
        <v>19</v>
      </c>
      <c r="R8252" s="205"/>
      <c r="S8252" s="189"/>
      <c r="T8252" s="114"/>
      <c r="U8252" s="21"/>
      <c r="V8252" s="115"/>
      <c r="W8252" s="116"/>
      <c r="X8252" s="220"/>
      <c r="Y8252" s="220">
        <f>X8252*0.1</f>
        <v>0</v>
      </c>
      <c r="Z8252" s="220"/>
      <c r="AA8252" s="220">
        <f>SUM(X8252:Z8252)</f>
        <v>0</v>
      </c>
      <c r="AB8252" s="222"/>
    </row>
    <row r="8253" spans="1:28" ht="17.100000000000001" customHeight="1" thickBot="1">
      <c r="A8253" s="227"/>
      <c r="B8253" s="27" t="s">
        <v>2171</v>
      </c>
      <c r="C8253" s="27">
        <v>50170</v>
      </c>
      <c r="D8253" s="14" t="s">
        <v>1568</v>
      </c>
      <c r="E8253" s="229"/>
      <c r="F8253" s="117" t="s">
        <v>22797</v>
      </c>
      <c r="G8253" s="26">
        <v>38369</v>
      </c>
      <c r="H8253" s="231"/>
      <c r="I8253" s="221"/>
      <c r="J8253" s="221"/>
      <c r="K8253" s="221"/>
      <c r="L8253" s="221"/>
      <c r="M8253" s="221"/>
      <c r="N8253" s="221"/>
      <c r="O8253" s="225"/>
      <c r="P8253" s="118" t="s">
        <v>23492</v>
      </c>
      <c r="Q8253" s="16" t="s">
        <v>20</v>
      </c>
      <c r="R8253" s="17" t="s">
        <v>23453</v>
      </c>
      <c r="S8253" s="121"/>
      <c r="T8253" s="122"/>
      <c r="U8253" s="22"/>
      <c r="V8253" s="123"/>
      <c r="W8253" s="122"/>
      <c r="X8253" s="221"/>
      <c r="Y8253" s="221"/>
      <c r="Z8253" s="221"/>
      <c r="AA8253" s="221"/>
      <c r="AB8253" s="223"/>
    </row>
    <row r="8254" spans="1:28" ht="17.100000000000001" customHeight="1" thickTop="1">
      <c r="A8254" s="226" t="s">
        <v>22790</v>
      </c>
      <c r="B8254" s="28">
        <v>46128</v>
      </c>
      <c r="C8254" s="25">
        <v>2023</v>
      </c>
      <c r="D8254" s="13" t="s">
        <v>1704</v>
      </c>
      <c r="E8254" s="228"/>
      <c r="F8254" s="109" t="s">
        <v>5334</v>
      </c>
      <c r="G8254" s="24" t="s">
        <v>6726</v>
      </c>
      <c r="H8254" s="230">
        <v>4.5</v>
      </c>
      <c r="I8254" s="220">
        <v>912000</v>
      </c>
      <c r="J8254" s="220">
        <f>I8254*0.1</f>
        <v>91200</v>
      </c>
      <c r="K8254" s="220">
        <v>0</v>
      </c>
      <c r="L8254" s="220">
        <v>5340</v>
      </c>
      <c r="M8254" s="220">
        <v>22000</v>
      </c>
      <c r="N8254" s="220">
        <f>SUM(I8254:M8255)</f>
        <v>1030540</v>
      </c>
      <c r="O8254" s="224"/>
      <c r="P8254" s="110" t="s">
        <v>22806</v>
      </c>
      <c r="Q8254" s="15" t="s">
        <v>19</v>
      </c>
      <c r="R8254" s="205"/>
      <c r="S8254" s="189" t="s">
        <v>25952</v>
      </c>
      <c r="T8254" s="114"/>
      <c r="U8254" s="21"/>
      <c r="V8254" s="115">
        <v>46141</v>
      </c>
      <c r="W8254" s="116">
        <v>1015</v>
      </c>
      <c r="X8254" s="220">
        <v>950000</v>
      </c>
      <c r="Y8254" s="220">
        <f>X8254*0.1</f>
        <v>95000</v>
      </c>
      <c r="Z8254" s="220">
        <v>5340</v>
      </c>
      <c r="AA8254" s="220">
        <f>SUM(X8254:Z8254)</f>
        <v>1050340</v>
      </c>
      <c r="AB8254" s="222">
        <v>46153</v>
      </c>
    </row>
    <row r="8255" spans="1:28" ht="17.100000000000001" customHeight="1" thickBot="1">
      <c r="A8255" s="227"/>
      <c r="B8255" s="27" t="s">
        <v>2171</v>
      </c>
      <c r="C8255" s="27">
        <v>50218</v>
      </c>
      <c r="D8255" s="14" t="s">
        <v>1568</v>
      </c>
      <c r="E8255" s="229"/>
      <c r="F8255" s="117" t="s">
        <v>22798</v>
      </c>
      <c r="G8255" s="26">
        <v>37400</v>
      </c>
      <c r="H8255" s="231"/>
      <c r="I8255" s="221"/>
      <c r="J8255" s="221"/>
      <c r="K8255" s="221"/>
      <c r="L8255" s="221"/>
      <c r="M8255" s="221"/>
      <c r="N8255" s="221"/>
      <c r="O8255" s="225"/>
      <c r="P8255" s="118" t="s">
        <v>23490</v>
      </c>
      <c r="Q8255" s="16" t="s">
        <v>20</v>
      </c>
      <c r="R8255" s="17" t="s">
        <v>23453</v>
      </c>
      <c r="S8255" s="121" t="s">
        <v>23477</v>
      </c>
      <c r="T8255" s="122"/>
      <c r="U8255" s="22"/>
      <c r="V8255" s="123" t="s">
        <v>2747</v>
      </c>
      <c r="W8255" s="122">
        <v>2051</v>
      </c>
      <c r="X8255" s="221"/>
      <c r="Y8255" s="221"/>
      <c r="Z8255" s="221"/>
      <c r="AA8255" s="221"/>
      <c r="AB8255" s="223"/>
    </row>
    <row r="8256" spans="1:28" ht="17.100000000000001" customHeight="1" thickTop="1">
      <c r="A8256" s="226" t="s">
        <v>22821</v>
      </c>
      <c r="B8256" s="28">
        <v>46113</v>
      </c>
      <c r="C8256" s="25"/>
      <c r="D8256" s="13" t="s">
        <v>2973</v>
      </c>
      <c r="E8256" s="228"/>
      <c r="F8256" s="109" t="s">
        <v>22825</v>
      </c>
      <c r="G8256" s="24" t="s">
        <v>3337</v>
      </c>
      <c r="H8256" s="230"/>
      <c r="I8256" s="220">
        <v>1918350</v>
      </c>
      <c r="J8256" s="220">
        <v>0</v>
      </c>
      <c r="K8256" s="220">
        <v>0</v>
      </c>
      <c r="L8256" s="220">
        <v>0</v>
      </c>
      <c r="M8256" s="220">
        <v>0</v>
      </c>
      <c r="N8256" s="220">
        <f>SUM(I8256:M8257)</f>
        <v>1918350</v>
      </c>
      <c r="O8256" s="224"/>
      <c r="P8256" s="110" t="s">
        <v>22827</v>
      </c>
      <c r="Q8256" s="15" t="s">
        <v>19</v>
      </c>
      <c r="R8256" s="205"/>
      <c r="S8256" s="189"/>
      <c r="T8256" s="114"/>
      <c r="U8256" s="21"/>
      <c r="V8256" s="115">
        <v>46117</v>
      </c>
      <c r="W8256" s="116"/>
      <c r="X8256" s="220">
        <v>2190000</v>
      </c>
      <c r="Y8256" s="220">
        <v>0</v>
      </c>
      <c r="Z8256" s="220">
        <v>0</v>
      </c>
      <c r="AA8256" s="220">
        <f>SUM(X8256:Z8256)</f>
        <v>2190000</v>
      </c>
      <c r="AB8256" s="222">
        <v>46117</v>
      </c>
    </row>
    <row r="8257" spans="1:28" ht="17.100000000000001" customHeight="1" thickBot="1">
      <c r="A8257" s="227"/>
      <c r="B8257" s="27" t="s">
        <v>22824</v>
      </c>
      <c r="C8257" s="27"/>
      <c r="D8257" s="14" t="s">
        <v>2559</v>
      </c>
      <c r="E8257" s="229"/>
      <c r="F8257" s="117" t="s">
        <v>22826</v>
      </c>
      <c r="G8257" s="26"/>
      <c r="H8257" s="231"/>
      <c r="I8257" s="221"/>
      <c r="J8257" s="221"/>
      <c r="K8257" s="221"/>
      <c r="L8257" s="221"/>
      <c r="M8257" s="221"/>
      <c r="N8257" s="221"/>
      <c r="O8257" s="225"/>
      <c r="P8257" s="118" t="s">
        <v>22828</v>
      </c>
      <c r="Q8257" s="16" t="s">
        <v>20</v>
      </c>
      <c r="R8257" s="17" t="s">
        <v>1053</v>
      </c>
      <c r="S8257" s="121"/>
      <c r="T8257" s="122"/>
      <c r="U8257" s="22"/>
      <c r="V8257" s="123" t="s">
        <v>22829</v>
      </c>
      <c r="W8257" s="122"/>
      <c r="X8257" s="221"/>
      <c r="Y8257" s="221"/>
      <c r="Z8257" s="221"/>
      <c r="AA8257" s="221"/>
      <c r="AB8257" s="223"/>
    </row>
    <row r="8258" spans="1:28" ht="17.100000000000001" customHeight="1" thickTop="1">
      <c r="A8258" s="226" t="s">
        <v>22822</v>
      </c>
      <c r="B8258" s="28">
        <v>46113</v>
      </c>
      <c r="C8258" s="25"/>
      <c r="D8258" s="13" t="s">
        <v>2973</v>
      </c>
      <c r="E8258" s="228"/>
      <c r="F8258" s="109" t="s">
        <v>5345</v>
      </c>
      <c r="G8258" s="24" t="s">
        <v>3337</v>
      </c>
      <c r="H8258" s="230"/>
      <c r="I8258" s="220">
        <v>1680910</v>
      </c>
      <c r="J8258" s="220">
        <v>0</v>
      </c>
      <c r="K8258" s="220">
        <v>0</v>
      </c>
      <c r="L8258" s="220">
        <v>0</v>
      </c>
      <c r="M8258" s="220">
        <v>0</v>
      </c>
      <c r="N8258" s="220">
        <f>SUM(I8258:M8259)</f>
        <v>1680910</v>
      </c>
      <c r="O8258" s="224"/>
      <c r="P8258" s="110" t="s">
        <v>22832</v>
      </c>
      <c r="Q8258" s="15" t="s">
        <v>19</v>
      </c>
      <c r="R8258" s="205"/>
      <c r="S8258" s="189"/>
      <c r="T8258" s="114"/>
      <c r="U8258" s="21"/>
      <c r="V8258" s="115">
        <v>46118</v>
      </c>
      <c r="W8258" s="116"/>
      <c r="X8258" s="220">
        <v>2150000</v>
      </c>
      <c r="Y8258" s="220">
        <v>0</v>
      </c>
      <c r="Z8258" s="220">
        <v>0</v>
      </c>
      <c r="AA8258" s="220">
        <f>SUM(X8258:Z8258)</f>
        <v>2150000</v>
      </c>
      <c r="AB8258" s="222">
        <v>46118</v>
      </c>
    </row>
    <row r="8259" spans="1:28" ht="17.100000000000001" customHeight="1" thickBot="1">
      <c r="A8259" s="227"/>
      <c r="B8259" s="83" t="s">
        <v>22830</v>
      </c>
      <c r="C8259" s="27"/>
      <c r="D8259" s="14" t="s">
        <v>1548</v>
      </c>
      <c r="E8259" s="229"/>
      <c r="F8259" s="117" t="s">
        <v>22831</v>
      </c>
      <c r="G8259" s="26"/>
      <c r="H8259" s="231"/>
      <c r="I8259" s="221"/>
      <c r="J8259" s="221"/>
      <c r="K8259" s="221"/>
      <c r="L8259" s="221"/>
      <c r="M8259" s="221"/>
      <c r="N8259" s="221"/>
      <c r="O8259" s="225"/>
      <c r="P8259" s="118" t="s">
        <v>22833</v>
      </c>
      <c r="Q8259" s="16" t="s">
        <v>20</v>
      </c>
      <c r="R8259" s="17" t="s">
        <v>1053</v>
      </c>
      <c r="S8259" s="121"/>
      <c r="T8259" s="122"/>
      <c r="U8259" s="22"/>
      <c r="V8259" s="123" t="s">
        <v>22833</v>
      </c>
      <c r="W8259" s="122"/>
      <c r="X8259" s="221"/>
      <c r="Y8259" s="221"/>
      <c r="Z8259" s="221"/>
      <c r="AA8259" s="221"/>
      <c r="AB8259" s="223"/>
    </row>
    <row r="8260" spans="1:28" ht="17.100000000000001" customHeight="1" thickTop="1">
      <c r="A8260" s="226" t="s">
        <v>22823</v>
      </c>
      <c r="B8260" s="28">
        <v>46113</v>
      </c>
      <c r="C8260" s="25"/>
      <c r="D8260" s="13" t="s">
        <v>894</v>
      </c>
      <c r="E8260" s="228"/>
      <c r="F8260" s="109" t="s">
        <v>1916</v>
      </c>
      <c r="G8260" s="24"/>
      <c r="H8260" s="230"/>
      <c r="I8260" s="220">
        <v>30000</v>
      </c>
      <c r="J8260" s="220">
        <v>0</v>
      </c>
      <c r="K8260" s="220">
        <v>0</v>
      </c>
      <c r="L8260" s="220">
        <v>0</v>
      </c>
      <c r="M8260" s="220">
        <v>0</v>
      </c>
      <c r="N8260" s="220">
        <f>SUM(I8260:M8261)</f>
        <v>30000</v>
      </c>
      <c r="O8260" s="224"/>
      <c r="P8260" s="110" t="s">
        <v>22836</v>
      </c>
      <c r="Q8260" s="15" t="s">
        <v>19</v>
      </c>
      <c r="R8260" s="205"/>
      <c r="S8260" s="189"/>
      <c r="T8260" s="114"/>
      <c r="U8260" s="21"/>
      <c r="V8260" s="115"/>
      <c r="W8260" s="116"/>
      <c r="X8260" s="220"/>
      <c r="Y8260" s="220">
        <f>X8260*0.1</f>
        <v>0</v>
      </c>
      <c r="Z8260" s="220"/>
      <c r="AA8260" s="220">
        <f>SUM(X8260:Z8260)</f>
        <v>0</v>
      </c>
      <c r="AB8260" s="222"/>
    </row>
    <row r="8261" spans="1:28" ht="17.100000000000001" customHeight="1" thickBot="1">
      <c r="A8261" s="227"/>
      <c r="B8261" s="27" t="s">
        <v>22834</v>
      </c>
      <c r="C8261" s="27"/>
      <c r="D8261" s="14" t="s">
        <v>898</v>
      </c>
      <c r="E8261" s="229"/>
      <c r="F8261" s="117" t="s">
        <v>22835</v>
      </c>
      <c r="G8261" s="26"/>
      <c r="H8261" s="231"/>
      <c r="I8261" s="221"/>
      <c r="J8261" s="221"/>
      <c r="K8261" s="221"/>
      <c r="L8261" s="221"/>
      <c r="M8261" s="221"/>
      <c r="N8261" s="221"/>
      <c r="O8261" s="225"/>
      <c r="P8261" s="118" t="s">
        <v>22837</v>
      </c>
      <c r="Q8261" s="16" t="s">
        <v>20</v>
      </c>
      <c r="R8261" s="17" t="s">
        <v>1053</v>
      </c>
      <c r="S8261" s="121" t="s">
        <v>3071</v>
      </c>
      <c r="T8261" s="122"/>
      <c r="U8261" s="22" t="s">
        <v>3427</v>
      </c>
      <c r="V8261" s="123"/>
      <c r="W8261" s="122"/>
      <c r="X8261" s="221"/>
      <c r="Y8261" s="221"/>
      <c r="Z8261" s="221"/>
      <c r="AA8261" s="221"/>
      <c r="AB8261" s="223"/>
    </row>
    <row r="8262" spans="1:28" ht="17.100000000000001" customHeight="1" thickTop="1">
      <c r="A8262" s="226" t="s">
        <v>22838</v>
      </c>
      <c r="B8262" s="28">
        <v>46128</v>
      </c>
      <c r="C8262" s="25"/>
      <c r="D8262" s="13" t="s">
        <v>1846</v>
      </c>
      <c r="E8262" s="228"/>
      <c r="F8262" s="109" t="s">
        <v>1916</v>
      </c>
      <c r="G8262" s="24"/>
      <c r="H8262" s="230"/>
      <c r="I8262" s="220">
        <v>0</v>
      </c>
      <c r="J8262" s="220">
        <v>0</v>
      </c>
      <c r="K8262" s="220">
        <v>0</v>
      </c>
      <c r="L8262" s="220">
        <v>0</v>
      </c>
      <c r="M8262" s="220">
        <v>0</v>
      </c>
      <c r="N8262" s="220">
        <f>SUM(I8262:M8263)</f>
        <v>0</v>
      </c>
      <c r="O8262" s="224"/>
      <c r="P8262" s="110" t="s">
        <v>22841</v>
      </c>
      <c r="Q8262" s="15" t="s">
        <v>19</v>
      </c>
      <c r="R8262" s="205"/>
      <c r="S8262" s="189"/>
      <c r="T8262" s="114"/>
      <c r="U8262" s="21"/>
      <c r="V8262" s="115">
        <v>46134</v>
      </c>
      <c r="W8262" s="116">
        <v>1014</v>
      </c>
      <c r="X8262" s="220">
        <v>314000</v>
      </c>
      <c r="Y8262" s="220">
        <f>X8262*0.1</f>
        <v>31400</v>
      </c>
      <c r="Z8262" s="220">
        <v>17700</v>
      </c>
      <c r="AA8262" s="220">
        <f>SUM(X8262:Z8262)</f>
        <v>363100</v>
      </c>
      <c r="AB8262" s="222">
        <v>46139</v>
      </c>
    </row>
    <row r="8263" spans="1:28" ht="17.100000000000001" customHeight="1" thickBot="1">
      <c r="A8263" s="227"/>
      <c r="B8263" s="27" t="s">
        <v>22839</v>
      </c>
      <c r="C8263" s="27"/>
      <c r="D8263" s="14"/>
      <c r="E8263" s="229"/>
      <c r="F8263" s="117" t="s">
        <v>22840</v>
      </c>
      <c r="G8263" s="26"/>
      <c r="H8263" s="231"/>
      <c r="I8263" s="221"/>
      <c r="J8263" s="221"/>
      <c r="K8263" s="221"/>
      <c r="L8263" s="221"/>
      <c r="M8263" s="221"/>
      <c r="N8263" s="221"/>
      <c r="O8263" s="225"/>
      <c r="P8263" s="118" t="s">
        <v>22842</v>
      </c>
      <c r="Q8263" s="16" t="s">
        <v>20</v>
      </c>
      <c r="R8263" s="17" t="s">
        <v>1930</v>
      </c>
      <c r="S8263" s="121"/>
      <c r="T8263" s="122"/>
      <c r="U8263" s="22"/>
      <c r="V8263" s="123" t="s">
        <v>23332</v>
      </c>
      <c r="W8263" s="122">
        <v>10153</v>
      </c>
      <c r="X8263" s="221"/>
      <c r="Y8263" s="221"/>
      <c r="Z8263" s="221"/>
      <c r="AA8263" s="221"/>
      <c r="AB8263" s="223"/>
    </row>
    <row r="8264" spans="1:28" ht="17.100000000000001" customHeight="1" thickTop="1">
      <c r="A8264" s="226" t="s">
        <v>22855</v>
      </c>
      <c r="B8264" s="28">
        <v>46129</v>
      </c>
      <c r="C8264" s="25">
        <v>287</v>
      </c>
      <c r="D8264" s="13" t="s">
        <v>23018</v>
      </c>
      <c r="E8264" s="228"/>
      <c r="F8264" s="109" t="s">
        <v>23019</v>
      </c>
      <c r="G8264" s="24"/>
      <c r="H8264" s="230">
        <v>4</v>
      </c>
      <c r="I8264" s="220">
        <v>292000</v>
      </c>
      <c r="J8264" s="220">
        <v>0</v>
      </c>
      <c r="K8264" s="220">
        <v>0</v>
      </c>
      <c r="L8264" s="220">
        <v>9200</v>
      </c>
      <c r="M8264" s="220">
        <v>22000</v>
      </c>
      <c r="N8264" s="220">
        <f>SUM(I8264:M8265)</f>
        <v>323200</v>
      </c>
      <c r="O8264" s="224"/>
      <c r="P8264" s="110" t="s">
        <v>23480</v>
      </c>
      <c r="Q8264" s="15" t="s">
        <v>19</v>
      </c>
      <c r="R8264" s="205"/>
      <c r="S8264" s="189" t="s">
        <v>1406</v>
      </c>
      <c r="T8264" s="114" t="s">
        <v>23145</v>
      </c>
      <c r="U8264" s="21"/>
      <c r="V8264" s="115">
        <v>46134</v>
      </c>
      <c r="W8264" s="116">
        <v>1014</v>
      </c>
      <c r="X8264" s="220">
        <v>400000</v>
      </c>
      <c r="Y8264" s="220">
        <f>X8264*0.1</f>
        <v>40000</v>
      </c>
      <c r="Z8264" s="220">
        <v>9200</v>
      </c>
      <c r="AA8264" s="220">
        <f>SUM(X8264:Z8264)</f>
        <v>449200</v>
      </c>
      <c r="AB8264" s="222">
        <v>46142</v>
      </c>
    </row>
    <row r="8265" spans="1:28" ht="17.100000000000001" customHeight="1" thickBot="1">
      <c r="A8265" s="227"/>
      <c r="B8265" s="27" t="s">
        <v>22867</v>
      </c>
      <c r="C8265" s="27">
        <v>50</v>
      </c>
      <c r="D8265" s="14" t="s">
        <v>22989</v>
      </c>
      <c r="E8265" s="229"/>
      <c r="F8265" s="117" t="s">
        <v>22868</v>
      </c>
      <c r="G8265" s="26">
        <v>43926</v>
      </c>
      <c r="H8265" s="231"/>
      <c r="I8265" s="221"/>
      <c r="J8265" s="221"/>
      <c r="K8265" s="221"/>
      <c r="L8265" s="221"/>
      <c r="M8265" s="221"/>
      <c r="N8265" s="221"/>
      <c r="O8265" s="225"/>
      <c r="P8265" s="118" t="s">
        <v>23481</v>
      </c>
      <c r="Q8265" s="16" t="s">
        <v>20</v>
      </c>
      <c r="R8265" s="17" t="s">
        <v>23453</v>
      </c>
      <c r="S8265" s="121" t="s">
        <v>23482</v>
      </c>
      <c r="T8265" s="122"/>
      <c r="U8265" s="22"/>
      <c r="V8265" s="123" t="s">
        <v>7161</v>
      </c>
      <c r="W8265" s="122">
        <v>5128</v>
      </c>
      <c r="X8265" s="221"/>
      <c r="Y8265" s="221"/>
      <c r="Z8265" s="221"/>
      <c r="AA8265" s="221"/>
      <c r="AB8265" s="223"/>
    </row>
    <row r="8266" spans="1:28" ht="17.100000000000001" customHeight="1" thickTop="1">
      <c r="A8266" s="226" t="s">
        <v>22856</v>
      </c>
      <c r="B8266" s="28">
        <v>46129</v>
      </c>
      <c r="C8266" s="25">
        <v>287</v>
      </c>
      <c r="D8266" s="13" t="s">
        <v>23020</v>
      </c>
      <c r="E8266" s="228"/>
      <c r="F8266" s="109" t="s">
        <v>23021</v>
      </c>
      <c r="G8266" s="24"/>
      <c r="H8266" s="230">
        <v>4.5</v>
      </c>
      <c r="I8266" s="220">
        <v>222000</v>
      </c>
      <c r="J8266" s="220">
        <f>I8266*0.1</f>
        <v>22200</v>
      </c>
      <c r="K8266" s="220">
        <v>0</v>
      </c>
      <c r="L8266" s="220">
        <v>9880</v>
      </c>
      <c r="M8266" s="220">
        <v>22000</v>
      </c>
      <c r="N8266" s="220">
        <f>SUM(I8266:M8267)</f>
        <v>276080</v>
      </c>
      <c r="O8266" s="224"/>
      <c r="P8266" s="110" t="s">
        <v>23535</v>
      </c>
      <c r="Q8266" s="15" t="s">
        <v>19</v>
      </c>
      <c r="R8266" s="205"/>
      <c r="S8266" s="189" t="s">
        <v>25953</v>
      </c>
      <c r="T8266" s="114"/>
      <c r="U8266" s="21"/>
      <c r="V8266" s="115">
        <v>46141</v>
      </c>
      <c r="W8266" s="116">
        <v>1015</v>
      </c>
      <c r="X8266" s="220">
        <v>280000</v>
      </c>
      <c r="Y8266" s="220">
        <f>X8266*0.1</f>
        <v>28000</v>
      </c>
      <c r="Z8266" s="220">
        <v>9880</v>
      </c>
      <c r="AA8266" s="220">
        <f>SUM(X8266:Z8266)</f>
        <v>317880</v>
      </c>
      <c r="AB8266" s="222">
        <v>46153</v>
      </c>
    </row>
    <row r="8267" spans="1:28" ht="17.100000000000001" customHeight="1" thickBot="1">
      <c r="A8267" s="227"/>
      <c r="B8267" s="27" t="s">
        <v>22867</v>
      </c>
      <c r="C8267" s="27">
        <v>82</v>
      </c>
      <c r="D8267" s="14" t="s">
        <v>2559</v>
      </c>
      <c r="E8267" s="229"/>
      <c r="F8267" s="117" t="s">
        <v>22869</v>
      </c>
      <c r="G8267" s="26">
        <v>41971</v>
      </c>
      <c r="H8267" s="231"/>
      <c r="I8267" s="221"/>
      <c r="J8267" s="221"/>
      <c r="K8267" s="221"/>
      <c r="L8267" s="221"/>
      <c r="M8267" s="221"/>
      <c r="N8267" s="221"/>
      <c r="O8267" s="225"/>
      <c r="P8267" s="118" t="s">
        <v>23536</v>
      </c>
      <c r="Q8267" s="16" t="s">
        <v>20</v>
      </c>
      <c r="R8267" s="17" t="s">
        <v>23474</v>
      </c>
      <c r="S8267" s="121" t="s">
        <v>23537</v>
      </c>
      <c r="T8267" s="122"/>
      <c r="U8267" s="22"/>
      <c r="V8267" s="123" t="s">
        <v>2747</v>
      </c>
      <c r="W8267" s="122">
        <v>2069</v>
      </c>
      <c r="X8267" s="221"/>
      <c r="Y8267" s="221"/>
      <c r="Z8267" s="221"/>
      <c r="AA8267" s="221"/>
      <c r="AB8267" s="223"/>
    </row>
    <row r="8268" spans="1:28" ht="17.100000000000001" customHeight="1" thickTop="1">
      <c r="A8268" s="226" t="s">
        <v>22857</v>
      </c>
      <c r="B8268" s="28">
        <v>46129</v>
      </c>
      <c r="C8268" s="25">
        <v>287</v>
      </c>
      <c r="D8268" s="13" t="s">
        <v>23022</v>
      </c>
      <c r="E8268" s="228"/>
      <c r="F8268" s="109" t="s">
        <v>23024</v>
      </c>
      <c r="G8268" s="24"/>
      <c r="H8268" s="230">
        <v>3.5</v>
      </c>
      <c r="I8268" s="220">
        <v>102000</v>
      </c>
      <c r="J8268" s="220">
        <f>I8268*0.1</f>
        <v>10200</v>
      </c>
      <c r="K8268" s="220">
        <v>0</v>
      </c>
      <c r="L8268" s="220">
        <v>8930</v>
      </c>
      <c r="M8268" s="220">
        <v>22000</v>
      </c>
      <c r="N8268" s="220">
        <f>SUM(I8268:M8269)</f>
        <v>143130</v>
      </c>
      <c r="O8268" s="224"/>
      <c r="P8268" s="110" t="s">
        <v>23540</v>
      </c>
      <c r="Q8268" s="15" t="s">
        <v>19</v>
      </c>
      <c r="R8268" s="205"/>
      <c r="S8268" s="189"/>
      <c r="T8268" s="114"/>
      <c r="U8268" s="21"/>
      <c r="V8268" s="115"/>
      <c r="W8268" s="116"/>
      <c r="X8268" s="220"/>
      <c r="Y8268" s="220">
        <f>X8268*0.1</f>
        <v>0</v>
      </c>
      <c r="Z8268" s="220"/>
      <c r="AA8268" s="220">
        <f>SUM(X8268:Z8268)</f>
        <v>0</v>
      </c>
      <c r="AB8268" s="222"/>
    </row>
    <row r="8269" spans="1:28" ht="17.100000000000001" customHeight="1" thickBot="1">
      <c r="A8269" s="227"/>
      <c r="B8269" s="27" t="s">
        <v>22867</v>
      </c>
      <c r="C8269" s="27">
        <v>20013</v>
      </c>
      <c r="D8269" s="14" t="s">
        <v>23023</v>
      </c>
      <c r="E8269" s="229"/>
      <c r="F8269" s="117" t="s">
        <v>22870</v>
      </c>
      <c r="G8269" s="26">
        <v>35197</v>
      </c>
      <c r="H8269" s="231"/>
      <c r="I8269" s="221"/>
      <c r="J8269" s="221"/>
      <c r="K8269" s="221"/>
      <c r="L8269" s="221"/>
      <c r="M8269" s="221"/>
      <c r="N8269" s="221"/>
      <c r="O8269" s="225"/>
      <c r="P8269" s="118" t="s">
        <v>23494</v>
      </c>
      <c r="Q8269" s="16" t="s">
        <v>20</v>
      </c>
      <c r="R8269" s="17" t="s">
        <v>23474</v>
      </c>
      <c r="S8269" s="121"/>
      <c r="T8269" s="122"/>
      <c r="U8269" s="22"/>
      <c r="V8269" s="123"/>
      <c r="W8269" s="122"/>
      <c r="X8269" s="221"/>
      <c r="Y8269" s="221"/>
      <c r="Z8269" s="221"/>
      <c r="AA8269" s="221"/>
      <c r="AB8269" s="223"/>
    </row>
    <row r="8270" spans="1:28" ht="17.100000000000001" customHeight="1" thickTop="1">
      <c r="A8270" s="226" t="s">
        <v>22858</v>
      </c>
      <c r="B8270" s="28">
        <v>46129</v>
      </c>
      <c r="C8270" s="25">
        <v>287</v>
      </c>
      <c r="D8270" s="13" t="s">
        <v>23025</v>
      </c>
      <c r="E8270" s="228"/>
      <c r="F8270" s="109" t="s">
        <v>23027</v>
      </c>
      <c r="G8270" s="24"/>
      <c r="H8270" s="230">
        <v>4.5</v>
      </c>
      <c r="I8270" s="220">
        <v>1273000</v>
      </c>
      <c r="J8270" s="220">
        <f>I8270*0.1</f>
        <v>127300</v>
      </c>
      <c r="K8270" s="220">
        <v>0</v>
      </c>
      <c r="L8270" s="220">
        <v>10830</v>
      </c>
      <c r="M8270" s="220">
        <v>22000</v>
      </c>
      <c r="N8270" s="220">
        <f>SUM(I8270:M8271)</f>
        <v>1433130</v>
      </c>
      <c r="O8270" s="224"/>
      <c r="P8270" s="110" t="s">
        <v>23493</v>
      </c>
      <c r="Q8270" s="15" t="s">
        <v>19</v>
      </c>
      <c r="R8270" s="205"/>
      <c r="S8270" s="189" t="s">
        <v>25954</v>
      </c>
      <c r="T8270" s="114"/>
      <c r="U8270" s="21"/>
      <c r="V8270" s="115"/>
      <c r="W8270" s="116"/>
      <c r="X8270" s="220"/>
      <c r="Y8270" s="220">
        <f>X8270*0.1</f>
        <v>0</v>
      </c>
      <c r="Z8270" s="220"/>
      <c r="AA8270" s="220">
        <f>SUM(X8270:Z8270)</f>
        <v>0</v>
      </c>
      <c r="AB8270" s="222"/>
    </row>
    <row r="8271" spans="1:28" ht="17.100000000000001" customHeight="1" thickBot="1">
      <c r="A8271" s="227"/>
      <c r="B8271" s="27" t="s">
        <v>22867</v>
      </c>
      <c r="C8271" s="27">
        <v>20038</v>
      </c>
      <c r="D8271" s="14" t="s">
        <v>23026</v>
      </c>
      <c r="E8271" s="229"/>
      <c r="F8271" s="117" t="s">
        <v>22871</v>
      </c>
      <c r="G8271" s="26">
        <v>30554</v>
      </c>
      <c r="H8271" s="231"/>
      <c r="I8271" s="221"/>
      <c r="J8271" s="221"/>
      <c r="K8271" s="221"/>
      <c r="L8271" s="221"/>
      <c r="M8271" s="221"/>
      <c r="N8271" s="221"/>
      <c r="O8271" s="225"/>
      <c r="P8271" s="118" t="s">
        <v>23494</v>
      </c>
      <c r="Q8271" s="16" t="s">
        <v>20</v>
      </c>
      <c r="R8271" s="17" t="s">
        <v>23453</v>
      </c>
      <c r="S8271" s="121" t="s">
        <v>23495</v>
      </c>
      <c r="T8271" s="122"/>
      <c r="U8271" s="22"/>
      <c r="V8271" s="123"/>
      <c r="W8271" s="122"/>
      <c r="X8271" s="221"/>
      <c r="Y8271" s="221"/>
      <c r="Z8271" s="221"/>
      <c r="AA8271" s="221"/>
      <c r="AB8271" s="223"/>
    </row>
    <row r="8272" spans="1:28" ht="17.100000000000001" customHeight="1" thickTop="1">
      <c r="A8272" s="226" t="s">
        <v>22859</v>
      </c>
      <c r="B8272" s="28">
        <v>46129</v>
      </c>
      <c r="C8272" s="25">
        <v>287</v>
      </c>
      <c r="D8272" s="13" t="s">
        <v>23028</v>
      </c>
      <c r="E8272" s="228"/>
      <c r="F8272" s="109" t="s">
        <v>23030</v>
      </c>
      <c r="G8272" s="24"/>
      <c r="H8272" s="230">
        <v>4</v>
      </c>
      <c r="I8272" s="220">
        <v>225000</v>
      </c>
      <c r="J8272" s="220">
        <f>I8272*0.1</f>
        <v>22500</v>
      </c>
      <c r="K8272" s="220">
        <v>0</v>
      </c>
      <c r="L8272" s="220">
        <v>7500</v>
      </c>
      <c r="M8272" s="220">
        <v>22000</v>
      </c>
      <c r="N8272" s="220">
        <f>SUM(I8272:M8273)</f>
        <v>277000</v>
      </c>
      <c r="O8272" s="224"/>
      <c r="P8272" s="110" t="s">
        <v>23524</v>
      </c>
      <c r="Q8272" s="15" t="s">
        <v>19</v>
      </c>
      <c r="R8272" s="205"/>
      <c r="S8272" s="189"/>
      <c r="T8272" s="114"/>
      <c r="U8272" s="21"/>
      <c r="V8272" s="115">
        <v>46134</v>
      </c>
      <c r="W8272" s="116">
        <v>1014</v>
      </c>
      <c r="X8272" s="220">
        <v>305000</v>
      </c>
      <c r="Y8272" s="220">
        <f>X8272*0.1</f>
        <v>30500</v>
      </c>
      <c r="Z8272" s="220">
        <v>7500</v>
      </c>
      <c r="AA8272" s="220">
        <f>SUM(X8272:Z8272)</f>
        <v>343000</v>
      </c>
      <c r="AB8272" s="222">
        <v>46139</v>
      </c>
    </row>
    <row r="8273" spans="1:28" ht="17.100000000000001" customHeight="1" thickBot="1">
      <c r="A8273" s="227"/>
      <c r="B8273" s="27" t="s">
        <v>22867</v>
      </c>
      <c r="C8273" s="27">
        <v>20060</v>
      </c>
      <c r="D8273" s="14" t="s">
        <v>23029</v>
      </c>
      <c r="E8273" s="229"/>
      <c r="F8273" s="117" t="s">
        <v>22872</v>
      </c>
      <c r="G8273" s="26">
        <v>32082</v>
      </c>
      <c r="H8273" s="231"/>
      <c r="I8273" s="221"/>
      <c r="J8273" s="221"/>
      <c r="K8273" s="221"/>
      <c r="L8273" s="221"/>
      <c r="M8273" s="221"/>
      <c r="N8273" s="221"/>
      <c r="O8273" s="225"/>
      <c r="P8273" s="118" t="s">
        <v>23525</v>
      </c>
      <c r="Q8273" s="16" t="s">
        <v>20</v>
      </c>
      <c r="R8273" s="17" t="s">
        <v>23474</v>
      </c>
      <c r="S8273" s="121"/>
      <c r="T8273" s="122"/>
      <c r="U8273" s="22"/>
      <c r="V8273" s="123" t="s">
        <v>23332</v>
      </c>
      <c r="W8273" s="122">
        <v>5129</v>
      </c>
      <c r="X8273" s="221"/>
      <c r="Y8273" s="221"/>
      <c r="Z8273" s="221"/>
      <c r="AA8273" s="221"/>
      <c r="AB8273" s="223"/>
    </row>
    <row r="8274" spans="1:28" ht="17.100000000000001" customHeight="1" thickTop="1">
      <c r="A8274" s="226" t="s">
        <v>22860</v>
      </c>
      <c r="B8274" s="28">
        <v>46129</v>
      </c>
      <c r="C8274" s="25">
        <v>287</v>
      </c>
      <c r="D8274" s="13" t="s">
        <v>23031</v>
      </c>
      <c r="E8274" s="228"/>
      <c r="F8274" s="109" t="s">
        <v>23032</v>
      </c>
      <c r="G8274" s="24"/>
      <c r="H8274" s="230">
        <v>4.5</v>
      </c>
      <c r="I8274" s="220">
        <v>1564000</v>
      </c>
      <c r="J8274" s="220">
        <f>I8274*0.1</f>
        <v>156400</v>
      </c>
      <c r="K8274" s="220">
        <v>0</v>
      </c>
      <c r="L8274" s="220">
        <v>9160</v>
      </c>
      <c r="M8274" s="220">
        <v>22000</v>
      </c>
      <c r="N8274" s="220">
        <f>SUM(I8274:M8275)</f>
        <v>1751560</v>
      </c>
      <c r="O8274" s="224"/>
      <c r="P8274" s="110" t="s">
        <v>23542</v>
      </c>
      <c r="Q8274" s="15" t="s">
        <v>19</v>
      </c>
      <c r="R8274" s="205"/>
      <c r="S8274" s="189"/>
      <c r="T8274" s="114"/>
      <c r="U8274" s="21"/>
      <c r="V8274" s="115">
        <v>46134</v>
      </c>
      <c r="W8274" s="116">
        <v>1014</v>
      </c>
      <c r="X8274" s="220">
        <v>1670000</v>
      </c>
      <c r="Y8274" s="220">
        <f>X8274*0.1</f>
        <v>167000</v>
      </c>
      <c r="Z8274" s="220">
        <v>9160</v>
      </c>
      <c r="AA8274" s="220">
        <f>SUM(X8274:Z8274)</f>
        <v>1846160</v>
      </c>
      <c r="AB8274" s="222">
        <v>46140</v>
      </c>
    </row>
    <row r="8275" spans="1:28" ht="17.100000000000001" customHeight="1" thickBot="1">
      <c r="A8275" s="227"/>
      <c r="B8275" s="27" t="s">
        <v>22867</v>
      </c>
      <c r="C8275" s="27">
        <v>20117</v>
      </c>
      <c r="D8275" s="14" t="s">
        <v>22973</v>
      </c>
      <c r="E8275" s="229"/>
      <c r="F8275" s="117" t="s">
        <v>23541</v>
      </c>
      <c r="G8275" s="26">
        <v>32854</v>
      </c>
      <c r="H8275" s="231"/>
      <c r="I8275" s="221"/>
      <c r="J8275" s="221"/>
      <c r="K8275" s="221"/>
      <c r="L8275" s="221"/>
      <c r="M8275" s="221"/>
      <c r="N8275" s="221"/>
      <c r="O8275" s="225"/>
      <c r="P8275" s="118" t="s">
        <v>23525</v>
      </c>
      <c r="Q8275" s="16" t="s">
        <v>20</v>
      </c>
      <c r="R8275" s="17" t="s">
        <v>23474</v>
      </c>
      <c r="S8275" s="121"/>
      <c r="T8275" s="122"/>
      <c r="U8275" s="22"/>
      <c r="V8275" s="123" t="s">
        <v>8648</v>
      </c>
      <c r="W8275" s="122">
        <v>5085</v>
      </c>
      <c r="X8275" s="221"/>
      <c r="Y8275" s="221"/>
      <c r="Z8275" s="221"/>
      <c r="AA8275" s="221"/>
      <c r="AB8275" s="223"/>
    </row>
    <row r="8276" spans="1:28" ht="17.100000000000001" customHeight="1" thickTop="1">
      <c r="A8276" s="226" t="s">
        <v>22861</v>
      </c>
      <c r="B8276" s="28">
        <v>46129</v>
      </c>
      <c r="C8276" s="25">
        <v>287</v>
      </c>
      <c r="D8276" s="13" t="s">
        <v>23033</v>
      </c>
      <c r="E8276" s="228"/>
      <c r="F8276" s="109" t="s">
        <v>23034</v>
      </c>
      <c r="G8276" s="24"/>
      <c r="H8276" s="230">
        <v>4</v>
      </c>
      <c r="I8276" s="220">
        <v>399000</v>
      </c>
      <c r="J8276" s="220">
        <f>I8276*0.1</f>
        <v>39900</v>
      </c>
      <c r="K8276" s="220">
        <v>0</v>
      </c>
      <c r="L8276" s="220">
        <v>8430</v>
      </c>
      <c r="M8276" s="220">
        <v>22000</v>
      </c>
      <c r="N8276" s="220">
        <f>SUM(I8276:M8277)</f>
        <v>469330</v>
      </c>
      <c r="O8276" s="224"/>
      <c r="P8276" s="110" t="s">
        <v>23543</v>
      </c>
      <c r="Q8276" s="15" t="s">
        <v>19</v>
      </c>
      <c r="R8276" s="205"/>
      <c r="S8276" s="189"/>
      <c r="T8276" s="114"/>
      <c r="U8276" s="21"/>
      <c r="V8276" s="115">
        <v>46140</v>
      </c>
      <c r="W8276" s="116"/>
      <c r="X8276" s="220">
        <v>580000</v>
      </c>
      <c r="Y8276" s="220">
        <f>X8276*0.1</f>
        <v>58000</v>
      </c>
      <c r="Z8276" s="220">
        <v>8430</v>
      </c>
      <c r="AA8276" s="220">
        <f>SUM(X8276:Z8276)</f>
        <v>646430</v>
      </c>
      <c r="AB8276" s="222"/>
    </row>
    <row r="8277" spans="1:28" ht="17.100000000000001" customHeight="1" thickBot="1">
      <c r="A8277" s="227"/>
      <c r="B8277" s="27" t="s">
        <v>22867</v>
      </c>
      <c r="C8277" s="27">
        <v>20125</v>
      </c>
      <c r="D8277" s="14" t="s">
        <v>22989</v>
      </c>
      <c r="E8277" s="229"/>
      <c r="F8277" s="117" t="s">
        <v>22873</v>
      </c>
      <c r="G8277" s="26">
        <v>38665</v>
      </c>
      <c r="H8277" s="231"/>
      <c r="I8277" s="221"/>
      <c r="J8277" s="221"/>
      <c r="K8277" s="221"/>
      <c r="L8277" s="221"/>
      <c r="M8277" s="221"/>
      <c r="N8277" s="221"/>
      <c r="O8277" s="225"/>
      <c r="P8277" s="118" t="s">
        <v>23525</v>
      </c>
      <c r="Q8277" s="16" t="s">
        <v>20</v>
      </c>
      <c r="R8277" s="17" t="s">
        <v>23474</v>
      </c>
      <c r="S8277" s="121"/>
      <c r="T8277" s="122"/>
      <c r="U8277" s="22"/>
      <c r="V8277" s="123" t="s">
        <v>6682</v>
      </c>
      <c r="W8277" s="122">
        <v>51797</v>
      </c>
      <c r="X8277" s="221"/>
      <c r="Y8277" s="221"/>
      <c r="Z8277" s="221"/>
      <c r="AA8277" s="221"/>
      <c r="AB8277" s="223"/>
    </row>
    <row r="8278" spans="1:28" ht="17.100000000000001" customHeight="1" thickTop="1">
      <c r="A8278" s="226" t="s">
        <v>22862</v>
      </c>
      <c r="B8278" s="28">
        <v>46129</v>
      </c>
      <c r="C8278" s="25">
        <v>287</v>
      </c>
      <c r="D8278" s="13" t="s">
        <v>23035</v>
      </c>
      <c r="E8278" s="228"/>
      <c r="F8278" s="109" t="s">
        <v>23036</v>
      </c>
      <c r="G8278" s="24"/>
      <c r="H8278" s="230">
        <v>4</v>
      </c>
      <c r="I8278" s="220">
        <v>731000</v>
      </c>
      <c r="J8278" s="220">
        <f>I8278*0.1</f>
        <v>73100</v>
      </c>
      <c r="K8278" s="220">
        <v>0</v>
      </c>
      <c r="L8278" s="220">
        <v>12260</v>
      </c>
      <c r="M8278" s="220">
        <v>22000</v>
      </c>
      <c r="N8278" s="220">
        <f>SUM(I8278:M8279)</f>
        <v>838360</v>
      </c>
      <c r="O8278" s="224"/>
      <c r="P8278" s="110" t="s">
        <v>23373</v>
      </c>
      <c r="Q8278" s="15" t="s">
        <v>19</v>
      </c>
      <c r="R8278" s="205"/>
      <c r="S8278" s="189" t="s">
        <v>25955</v>
      </c>
      <c r="T8278" s="114"/>
      <c r="U8278" s="21"/>
      <c r="V8278" s="115">
        <v>46134</v>
      </c>
      <c r="W8278" s="116">
        <v>1014</v>
      </c>
      <c r="X8278" s="220">
        <v>850000</v>
      </c>
      <c r="Y8278" s="220">
        <f>X8278*0.1</f>
        <v>85000</v>
      </c>
      <c r="Z8278" s="220">
        <v>12260</v>
      </c>
      <c r="AA8278" s="220">
        <f>SUM(X8278:Z8278)</f>
        <v>947260</v>
      </c>
      <c r="AB8278" s="222">
        <v>46139</v>
      </c>
    </row>
    <row r="8279" spans="1:28" ht="17.100000000000001" customHeight="1" thickBot="1">
      <c r="A8279" s="227"/>
      <c r="B8279" s="27" t="s">
        <v>22867</v>
      </c>
      <c r="C8279" s="27">
        <v>20236</v>
      </c>
      <c r="D8279" s="14" t="s">
        <v>2559</v>
      </c>
      <c r="E8279" s="229"/>
      <c r="F8279" s="117" t="s">
        <v>22874</v>
      </c>
      <c r="G8279" s="26">
        <v>114139</v>
      </c>
      <c r="H8279" s="231"/>
      <c r="I8279" s="221"/>
      <c r="J8279" s="221"/>
      <c r="K8279" s="221"/>
      <c r="L8279" s="221"/>
      <c r="M8279" s="221"/>
      <c r="N8279" s="221"/>
      <c r="O8279" s="225"/>
      <c r="P8279" s="118" t="s">
        <v>6828</v>
      </c>
      <c r="Q8279" s="16" t="s">
        <v>20</v>
      </c>
      <c r="R8279" s="17" t="s">
        <v>23361</v>
      </c>
      <c r="S8279" s="121" t="s">
        <v>23374</v>
      </c>
      <c r="T8279" s="122"/>
      <c r="U8279" s="22"/>
      <c r="V8279" s="123" t="s">
        <v>23332</v>
      </c>
      <c r="W8279" s="122">
        <v>5131</v>
      </c>
      <c r="X8279" s="221"/>
      <c r="Y8279" s="221"/>
      <c r="Z8279" s="221"/>
      <c r="AA8279" s="221"/>
      <c r="AB8279" s="223"/>
    </row>
    <row r="8280" spans="1:28" ht="17.100000000000001" customHeight="1" thickTop="1">
      <c r="A8280" s="226" t="s">
        <v>22863</v>
      </c>
      <c r="B8280" s="28">
        <v>46129</v>
      </c>
      <c r="C8280" s="25">
        <v>2131</v>
      </c>
      <c r="D8280" s="13" t="s">
        <v>23025</v>
      </c>
      <c r="E8280" s="228"/>
      <c r="F8280" s="109" t="s">
        <v>22887</v>
      </c>
      <c r="G8280" s="24"/>
      <c r="H8280" s="230">
        <v>4.5</v>
      </c>
      <c r="I8280" s="220">
        <v>1505000</v>
      </c>
      <c r="J8280" s="220">
        <f>I8280*0.1</f>
        <v>150500</v>
      </c>
      <c r="K8280" s="220">
        <v>0</v>
      </c>
      <c r="L8280" s="220">
        <v>20980</v>
      </c>
      <c r="M8280" s="220">
        <v>16500</v>
      </c>
      <c r="N8280" s="220">
        <f>SUM(I8280:M8281)</f>
        <v>1692980</v>
      </c>
      <c r="O8280" s="224"/>
      <c r="P8280" s="110" t="s">
        <v>23403</v>
      </c>
      <c r="Q8280" s="15" t="s">
        <v>19</v>
      </c>
      <c r="R8280" s="205"/>
      <c r="S8280" s="189" t="s">
        <v>25956</v>
      </c>
      <c r="T8280" s="114"/>
      <c r="U8280" s="21"/>
      <c r="V8280" s="115">
        <v>46156</v>
      </c>
      <c r="W8280" s="116">
        <v>1330</v>
      </c>
      <c r="X8280" s="220">
        <v>1615000</v>
      </c>
      <c r="Y8280" s="220">
        <f>X8280*0.1</f>
        <v>161500</v>
      </c>
      <c r="Z8280" s="220">
        <v>20980</v>
      </c>
      <c r="AA8280" s="220">
        <f>SUM(X8280:Z8280)</f>
        <v>1797480</v>
      </c>
      <c r="AB8280" s="222">
        <v>46157</v>
      </c>
    </row>
    <row r="8281" spans="1:28" ht="17.100000000000001" customHeight="1" thickBot="1">
      <c r="A8281" s="227"/>
      <c r="B8281" s="27" t="s">
        <v>22886</v>
      </c>
      <c r="C8281" s="27">
        <v>35008</v>
      </c>
      <c r="D8281" s="14" t="s">
        <v>1710</v>
      </c>
      <c r="E8281" s="229"/>
      <c r="F8281" s="117" t="s">
        <v>23037</v>
      </c>
      <c r="G8281" s="26">
        <v>41250</v>
      </c>
      <c r="H8281" s="231"/>
      <c r="I8281" s="221"/>
      <c r="J8281" s="221"/>
      <c r="K8281" s="221"/>
      <c r="L8281" s="221"/>
      <c r="M8281" s="221"/>
      <c r="N8281" s="221"/>
      <c r="O8281" s="225"/>
      <c r="P8281" s="118" t="s">
        <v>23404</v>
      </c>
      <c r="Q8281" s="16" t="s">
        <v>20</v>
      </c>
      <c r="R8281" s="17" t="s">
        <v>23361</v>
      </c>
      <c r="S8281" s="121" t="s">
        <v>23405</v>
      </c>
      <c r="T8281" s="122"/>
      <c r="U8281" s="22"/>
      <c r="V8281" s="123" t="s">
        <v>1735</v>
      </c>
      <c r="W8281" s="122">
        <v>117</v>
      </c>
      <c r="X8281" s="221"/>
      <c r="Y8281" s="221"/>
      <c r="Z8281" s="221"/>
      <c r="AA8281" s="221"/>
      <c r="AB8281" s="223"/>
    </row>
    <row r="8282" spans="1:28" ht="17.100000000000001" customHeight="1" thickTop="1">
      <c r="A8282" s="226" t="s">
        <v>22864</v>
      </c>
      <c r="B8282" s="28">
        <v>46129</v>
      </c>
      <c r="C8282" s="25">
        <v>2131</v>
      </c>
      <c r="D8282" s="13" t="s">
        <v>23038</v>
      </c>
      <c r="E8282" s="228"/>
      <c r="F8282" s="109" t="s">
        <v>22888</v>
      </c>
      <c r="G8282" s="24"/>
      <c r="H8282" s="230">
        <v>4</v>
      </c>
      <c r="I8282" s="220">
        <v>2800000</v>
      </c>
      <c r="J8282" s="220">
        <f>I8282*0.1</f>
        <v>280000</v>
      </c>
      <c r="K8282" s="220">
        <v>0</v>
      </c>
      <c r="L8282" s="220">
        <v>23490</v>
      </c>
      <c r="M8282" s="220">
        <v>16500</v>
      </c>
      <c r="N8282" s="220">
        <f>SUM(I8282:M8283)</f>
        <v>3119990</v>
      </c>
      <c r="O8282" s="224"/>
      <c r="P8282" s="110" t="s">
        <v>23400</v>
      </c>
      <c r="Q8282" s="15" t="s">
        <v>19</v>
      </c>
      <c r="R8282" s="205"/>
      <c r="S8282" s="189" t="s">
        <v>758</v>
      </c>
      <c r="T8282" s="114"/>
      <c r="U8282" s="21"/>
      <c r="V8282" s="115"/>
      <c r="W8282" s="116"/>
      <c r="X8282" s="220"/>
      <c r="Y8282" s="220">
        <f>X8282*0.1</f>
        <v>0</v>
      </c>
      <c r="Z8282" s="220"/>
      <c r="AA8282" s="220">
        <f>SUM(X8282:Z8282)</f>
        <v>0</v>
      </c>
      <c r="AB8282" s="222"/>
    </row>
    <row r="8283" spans="1:28" ht="17.100000000000001" customHeight="1" thickBot="1">
      <c r="A8283" s="227"/>
      <c r="B8283" s="27" t="s">
        <v>22886</v>
      </c>
      <c r="C8283" s="27">
        <v>58273</v>
      </c>
      <c r="D8283" s="14" t="s">
        <v>22973</v>
      </c>
      <c r="E8283" s="229"/>
      <c r="F8283" s="117" t="s">
        <v>23039</v>
      </c>
      <c r="G8283" s="26">
        <v>49300</v>
      </c>
      <c r="H8283" s="231"/>
      <c r="I8283" s="221"/>
      <c r="J8283" s="221"/>
      <c r="K8283" s="221"/>
      <c r="L8283" s="221"/>
      <c r="M8283" s="221"/>
      <c r="N8283" s="221"/>
      <c r="O8283" s="225"/>
      <c r="P8283" s="118" t="s">
        <v>23401</v>
      </c>
      <c r="Q8283" s="16" t="s">
        <v>20</v>
      </c>
      <c r="R8283" s="17" t="s">
        <v>23361</v>
      </c>
      <c r="S8283" s="121" t="s">
        <v>23402</v>
      </c>
      <c r="T8283" s="122"/>
      <c r="U8283" s="22"/>
      <c r="V8283" s="123"/>
      <c r="W8283" s="122"/>
      <c r="X8283" s="221"/>
      <c r="Y8283" s="221"/>
      <c r="Z8283" s="221"/>
      <c r="AA8283" s="221"/>
      <c r="AB8283" s="223"/>
    </row>
    <row r="8284" spans="1:28" ht="17.100000000000001" customHeight="1" thickTop="1">
      <c r="A8284" s="226" t="s">
        <v>22865</v>
      </c>
      <c r="B8284" s="28">
        <v>46129</v>
      </c>
      <c r="C8284" s="25">
        <v>2131</v>
      </c>
      <c r="D8284" s="13" t="s">
        <v>23040</v>
      </c>
      <c r="E8284" s="228"/>
      <c r="F8284" s="109" t="s">
        <v>22297</v>
      </c>
      <c r="G8284" s="24" t="s">
        <v>23042</v>
      </c>
      <c r="H8284" s="230">
        <v>4.5</v>
      </c>
      <c r="I8284" s="220">
        <v>2080000</v>
      </c>
      <c r="J8284" s="220">
        <f>I8284*0.1</f>
        <v>208000</v>
      </c>
      <c r="K8284" s="220">
        <v>36300</v>
      </c>
      <c r="L8284" s="220">
        <v>21720</v>
      </c>
      <c r="M8284" s="220">
        <v>16500</v>
      </c>
      <c r="N8284" s="220">
        <f>SUM(I8284:M8285)</f>
        <v>2362520</v>
      </c>
      <c r="O8284" s="224"/>
      <c r="P8284" s="110" t="s">
        <v>23043</v>
      </c>
      <c r="Q8284" s="15" t="s">
        <v>19</v>
      </c>
      <c r="R8284" s="205"/>
      <c r="S8284" s="189" t="s">
        <v>25957</v>
      </c>
      <c r="T8284" s="114"/>
      <c r="U8284" s="21"/>
      <c r="V8284" s="115"/>
      <c r="W8284" s="116"/>
      <c r="X8284" s="220"/>
      <c r="Y8284" s="220">
        <f>X8284*0.1</f>
        <v>0</v>
      </c>
      <c r="Z8284" s="220"/>
      <c r="AA8284" s="220">
        <f>SUM(X8284:Z8284)</f>
        <v>0</v>
      </c>
      <c r="AB8284" s="222"/>
    </row>
    <row r="8285" spans="1:28" ht="17.100000000000001" customHeight="1" thickBot="1">
      <c r="A8285" s="227"/>
      <c r="B8285" s="27" t="s">
        <v>22886</v>
      </c>
      <c r="C8285" s="27">
        <v>58474</v>
      </c>
      <c r="D8285" s="14" t="s">
        <v>23029</v>
      </c>
      <c r="E8285" s="229"/>
      <c r="F8285" s="117" t="s">
        <v>23041</v>
      </c>
      <c r="G8285" s="26">
        <v>50325</v>
      </c>
      <c r="H8285" s="231"/>
      <c r="I8285" s="221"/>
      <c r="J8285" s="221"/>
      <c r="K8285" s="221"/>
      <c r="L8285" s="221"/>
      <c r="M8285" s="221"/>
      <c r="N8285" s="221"/>
      <c r="O8285" s="225"/>
      <c r="P8285" s="118" t="s">
        <v>13890</v>
      </c>
      <c r="Q8285" s="16" t="s">
        <v>20</v>
      </c>
      <c r="R8285" s="17" t="s">
        <v>23361</v>
      </c>
      <c r="S8285" s="121" t="s">
        <v>23406</v>
      </c>
      <c r="T8285" s="122"/>
      <c r="U8285" s="22"/>
      <c r="V8285" s="123"/>
      <c r="W8285" s="122"/>
      <c r="X8285" s="221"/>
      <c r="Y8285" s="221"/>
      <c r="Z8285" s="221"/>
      <c r="AA8285" s="221"/>
      <c r="AB8285" s="223"/>
    </row>
    <row r="8286" spans="1:28" ht="17.100000000000001" customHeight="1" thickTop="1">
      <c r="A8286" s="226" t="s">
        <v>22866</v>
      </c>
      <c r="B8286" s="28">
        <v>46129</v>
      </c>
      <c r="C8286" s="25">
        <v>1415</v>
      </c>
      <c r="D8286" s="13" t="s">
        <v>23044</v>
      </c>
      <c r="E8286" s="228"/>
      <c r="F8286" s="109" t="s">
        <v>22901</v>
      </c>
      <c r="G8286" s="24"/>
      <c r="H8286" s="232" t="s">
        <v>23046</v>
      </c>
      <c r="I8286" s="220">
        <v>583000</v>
      </c>
      <c r="J8286" s="220">
        <f>I8286*0.1</f>
        <v>58300</v>
      </c>
      <c r="K8286" s="220">
        <v>0</v>
      </c>
      <c r="L8286" s="220">
        <v>13940</v>
      </c>
      <c r="M8286" s="220">
        <v>15400</v>
      </c>
      <c r="N8286" s="220">
        <f>SUM(I8286:M8287)</f>
        <v>670640</v>
      </c>
      <c r="O8286" s="224"/>
      <c r="P8286" s="110" t="s">
        <v>23460</v>
      </c>
      <c r="Q8286" s="15" t="s">
        <v>19</v>
      </c>
      <c r="R8286" s="205"/>
      <c r="S8286" s="189"/>
      <c r="T8286" s="114"/>
      <c r="U8286" s="21"/>
      <c r="V8286" s="115">
        <v>46158</v>
      </c>
      <c r="W8286" s="116">
        <v>1300</v>
      </c>
      <c r="X8286" s="220">
        <v>650000</v>
      </c>
      <c r="Y8286" s="220">
        <f>X8286*0.1</f>
        <v>65000</v>
      </c>
      <c r="Z8286" s="220">
        <v>13940</v>
      </c>
      <c r="AA8286" s="220">
        <f>SUM(X8286:Z8286)</f>
        <v>728940</v>
      </c>
      <c r="AB8286" s="222">
        <v>46161</v>
      </c>
    </row>
    <row r="8287" spans="1:28" ht="17.100000000000001" customHeight="1" thickBot="1">
      <c r="A8287" s="227"/>
      <c r="B8287" s="27" t="s">
        <v>22889</v>
      </c>
      <c r="C8287" s="27">
        <v>1441</v>
      </c>
      <c r="D8287" s="14" t="s">
        <v>23045</v>
      </c>
      <c r="E8287" s="229"/>
      <c r="F8287" s="117" t="s">
        <v>22902</v>
      </c>
      <c r="G8287" s="26">
        <v>145365</v>
      </c>
      <c r="H8287" s="231"/>
      <c r="I8287" s="221"/>
      <c r="J8287" s="221"/>
      <c r="K8287" s="221"/>
      <c r="L8287" s="221"/>
      <c r="M8287" s="221"/>
      <c r="N8287" s="221"/>
      <c r="O8287" s="225"/>
      <c r="P8287" s="118" t="s">
        <v>2843</v>
      </c>
      <c r="Q8287" s="16" t="s">
        <v>20</v>
      </c>
      <c r="R8287" s="17" t="s">
        <v>23453</v>
      </c>
      <c r="S8287" s="121"/>
      <c r="T8287" s="122"/>
      <c r="U8287" s="22"/>
      <c r="V8287" s="123" t="s">
        <v>2472</v>
      </c>
      <c r="W8287" s="122">
        <v>50055</v>
      </c>
      <c r="X8287" s="221"/>
      <c r="Y8287" s="221"/>
      <c r="Z8287" s="221"/>
      <c r="AA8287" s="221"/>
      <c r="AB8287" s="223"/>
    </row>
    <row r="8288" spans="1:28" ht="17.100000000000001" customHeight="1" thickTop="1">
      <c r="A8288" s="226" t="s">
        <v>22875</v>
      </c>
      <c r="B8288" s="28">
        <v>46129</v>
      </c>
      <c r="C8288" s="25">
        <v>1415</v>
      </c>
      <c r="D8288" s="13" t="s">
        <v>23020</v>
      </c>
      <c r="E8288" s="228"/>
      <c r="F8288" s="109" t="s">
        <v>22903</v>
      </c>
      <c r="G8288" s="24"/>
      <c r="H8288" s="230">
        <v>4</v>
      </c>
      <c r="I8288" s="220">
        <v>898000</v>
      </c>
      <c r="J8288" s="220">
        <f>I8288</f>
        <v>898000</v>
      </c>
      <c r="K8288" s="220">
        <v>0</v>
      </c>
      <c r="L8288" s="220">
        <v>17080</v>
      </c>
      <c r="M8288" s="220">
        <v>15400</v>
      </c>
      <c r="N8288" s="220">
        <f>SUM(I8288:M8289)</f>
        <v>1828480</v>
      </c>
      <c r="O8288" s="224"/>
      <c r="P8288" s="110" t="s">
        <v>23522</v>
      </c>
      <c r="Q8288" s="15" t="s">
        <v>19</v>
      </c>
      <c r="R8288" s="205"/>
      <c r="S8288" s="189" t="s">
        <v>25958</v>
      </c>
      <c r="T8288" s="114"/>
      <c r="U8288" s="21"/>
      <c r="V8288" s="115">
        <v>46134</v>
      </c>
      <c r="W8288" s="116">
        <v>1014</v>
      </c>
      <c r="X8288" s="220">
        <v>965000</v>
      </c>
      <c r="Y8288" s="220">
        <f>X8288*0.1</f>
        <v>96500</v>
      </c>
      <c r="Z8288" s="220">
        <v>17080</v>
      </c>
      <c r="AA8288" s="220">
        <f>SUM(X8288:Z8288)</f>
        <v>1078580</v>
      </c>
      <c r="AB8288" s="222">
        <v>46139</v>
      </c>
    </row>
    <row r="8289" spans="1:28" ht="17.100000000000001" customHeight="1" thickBot="1">
      <c r="A8289" s="227"/>
      <c r="B8289" s="27" t="s">
        <v>22889</v>
      </c>
      <c r="C8289" s="27">
        <v>3006</v>
      </c>
      <c r="D8289" s="14" t="s">
        <v>22973</v>
      </c>
      <c r="E8289" s="229"/>
      <c r="F8289" s="117" t="s">
        <v>22904</v>
      </c>
      <c r="G8289" s="26">
        <v>42383</v>
      </c>
      <c r="H8289" s="231"/>
      <c r="I8289" s="221"/>
      <c r="J8289" s="221"/>
      <c r="K8289" s="221"/>
      <c r="L8289" s="221"/>
      <c r="M8289" s="221"/>
      <c r="N8289" s="221"/>
      <c r="O8289" s="225"/>
      <c r="P8289" s="118" t="s">
        <v>23520</v>
      </c>
      <c r="Q8289" s="16" t="s">
        <v>20</v>
      </c>
      <c r="R8289" s="17" t="s">
        <v>23474</v>
      </c>
      <c r="S8289" s="121" t="s">
        <v>23523</v>
      </c>
      <c r="T8289" s="122"/>
      <c r="U8289" s="22"/>
      <c r="V8289" s="123" t="s">
        <v>23332</v>
      </c>
      <c r="W8289" s="122">
        <v>5139</v>
      </c>
      <c r="X8289" s="221"/>
      <c r="Y8289" s="221"/>
      <c r="Z8289" s="221"/>
      <c r="AA8289" s="221"/>
      <c r="AB8289" s="223"/>
    </row>
    <row r="8290" spans="1:28" ht="17.100000000000001" customHeight="1" thickTop="1">
      <c r="A8290" s="226" t="s">
        <v>22876</v>
      </c>
      <c r="B8290" s="28">
        <v>46129</v>
      </c>
      <c r="C8290" s="25">
        <v>1415</v>
      </c>
      <c r="D8290" s="13" t="s">
        <v>23047</v>
      </c>
      <c r="E8290" s="228"/>
      <c r="F8290" s="109" t="s">
        <v>7546</v>
      </c>
      <c r="G8290" s="24" t="s">
        <v>23048</v>
      </c>
      <c r="H8290" s="230">
        <v>4.5</v>
      </c>
      <c r="I8290" s="220">
        <v>1107000</v>
      </c>
      <c r="J8290" s="220">
        <f>I8290*0.1</f>
        <v>110700</v>
      </c>
      <c r="K8290" s="220">
        <v>0</v>
      </c>
      <c r="L8290" s="220">
        <v>8740</v>
      </c>
      <c r="M8290" s="220">
        <v>15400</v>
      </c>
      <c r="N8290" s="220">
        <f>SUM(I8290:M8291)</f>
        <v>1241840</v>
      </c>
      <c r="O8290" s="224"/>
      <c r="P8290" s="110" t="s">
        <v>23377</v>
      </c>
      <c r="Q8290" s="15" t="s">
        <v>19</v>
      </c>
      <c r="R8290" s="205"/>
      <c r="S8290" s="189" t="s">
        <v>25771</v>
      </c>
      <c r="T8290" s="114"/>
      <c r="U8290" s="21"/>
      <c r="V8290" s="115">
        <v>46134</v>
      </c>
      <c r="W8290" s="116">
        <v>1014</v>
      </c>
      <c r="X8290" s="220">
        <v>1170000</v>
      </c>
      <c r="Y8290" s="220">
        <f>X8290*0.1</f>
        <v>117000</v>
      </c>
      <c r="Z8290" s="220">
        <v>8740</v>
      </c>
      <c r="AA8290" s="220">
        <f>SUM(X8290:Z8290)</f>
        <v>1295740</v>
      </c>
      <c r="AB8290" s="222">
        <v>46139</v>
      </c>
    </row>
    <row r="8291" spans="1:28" ht="17.100000000000001" customHeight="1" thickBot="1">
      <c r="A8291" s="227"/>
      <c r="B8291" s="27" t="s">
        <v>22889</v>
      </c>
      <c r="C8291" s="27">
        <v>3012</v>
      </c>
      <c r="D8291" s="14" t="s">
        <v>2559</v>
      </c>
      <c r="E8291" s="229"/>
      <c r="F8291" s="117" t="s">
        <v>22905</v>
      </c>
      <c r="G8291" s="26">
        <v>53895</v>
      </c>
      <c r="H8291" s="231"/>
      <c r="I8291" s="221"/>
      <c r="J8291" s="221"/>
      <c r="K8291" s="221"/>
      <c r="L8291" s="221"/>
      <c r="M8291" s="221"/>
      <c r="N8291" s="221"/>
      <c r="O8291" s="225"/>
      <c r="P8291" s="118" t="s">
        <v>23378</v>
      </c>
      <c r="Q8291" s="16" t="s">
        <v>20</v>
      </c>
      <c r="R8291" s="17" t="s">
        <v>23361</v>
      </c>
      <c r="S8291" s="121" t="s">
        <v>15290</v>
      </c>
      <c r="T8291" s="122"/>
      <c r="U8291" s="22"/>
      <c r="V8291" s="123" t="s">
        <v>23332</v>
      </c>
      <c r="W8291" s="122">
        <v>5198</v>
      </c>
      <c r="X8291" s="221"/>
      <c r="Y8291" s="221"/>
      <c r="Z8291" s="221"/>
      <c r="AA8291" s="221"/>
      <c r="AB8291" s="223"/>
    </row>
    <row r="8292" spans="1:28" ht="17.100000000000001" customHeight="1" thickTop="1">
      <c r="A8292" s="233" t="s">
        <v>22877</v>
      </c>
      <c r="B8292" s="28">
        <v>46129</v>
      </c>
      <c r="C8292" s="25">
        <v>1415</v>
      </c>
      <c r="D8292" s="13" t="s">
        <v>23049</v>
      </c>
      <c r="E8292" s="228"/>
      <c r="F8292" s="109" t="s">
        <v>22906</v>
      </c>
      <c r="G8292" s="24" t="s">
        <v>23050</v>
      </c>
      <c r="H8292" s="230">
        <v>4</v>
      </c>
      <c r="I8292" s="220">
        <v>996000</v>
      </c>
      <c r="J8292" s="220">
        <f>I8292*0.1</f>
        <v>99600</v>
      </c>
      <c r="K8292" s="220">
        <v>30690</v>
      </c>
      <c r="L8292" s="220">
        <v>8950</v>
      </c>
      <c r="M8292" s="220">
        <v>15400</v>
      </c>
      <c r="N8292" s="220">
        <f>SUM(I8292:M8293)</f>
        <v>1150640</v>
      </c>
      <c r="O8292" s="224"/>
      <c r="P8292" s="110" t="s">
        <v>23455</v>
      </c>
      <c r="Q8292" s="15" t="s">
        <v>19</v>
      </c>
      <c r="R8292" s="205"/>
      <c r="S8292" s="189"/>
      <c r="T8292" s="114" t="s">
        <v>23592</v>
      </c>
      <c r="U8292" s="21"/>
      <c r="V8292" s="115"/>
      <c r="W8292" s="116"/>
      <c r="X8292" s="220"/>
      <c r="Y8292" s="220">
        <f>X8292*0.1</f>
        <v>0</v>
      </c>
      <c r="Z8292" s="220"/>
      <c r="AA8292" s="220">
        <f>SUM(X8292:Z8292)</f>
        <v>0</v>
      </c>
      <c r="AB8292" s="222"/>
    </row>
    <row r="8293" spans="1:28" ht="17.100000000000001" customHeight="1" thickBot="1">
      <c r="A8293" s="234"/>
      <c r="B8293" s="27" t="s">
        <v>22889</v>
      </c>
      <c r="C8293" s="27">
        <v>3116</v>
      </c>
      <c r="D8293" s="14" t="s">
        <v>1710</v>
      </c>
      <c r="E8293" s="229"/>
      <c r="F8293" s="117" t="s">
        <v>22907</v>
      </c>
      <c r="G8293" s="26">
        <v>27333</v>
      </c>
      <c r="H8293" s="231"/>
      <c r="I8293" s="221"/>
      <c r="J8293" s="221"/>
      <c r="K8293" s="221"/>
      <c r="L8293" s="221"/>
      <c r="M8293" s="221"/>
      <c r="N8293" s="221"/>
      <c r="O8293" s="225"/>
      <c r="P8293" s="118" t="s">
        <v>23456</v>
      </c>
      <c r="Q8293" s="16" t="s">
        <v>20</v>
      </c>
      <c r="R8293" s="17" t="s">
        <v>23453</v>
      </c>
      <c r="S8293" s="121" t="s">
        <v>23457</v>
      </c>
      <c r="T8293" s="122"/>
      <c r="U8293" s="22"/>
      <c r="V8293" s="123"/>
      <c r="W8293" s="122"/>
      <c r="X8293" s="221"/>
      <c r="Y8293" s="221"/>
      <c r="Z8293" s="221"/>
      <c r="AA8293" s="221"/>
      <c r="AB8293" s="223"/>
    </row>
    <row r="8294" spans="1:28" ht="17.100000000000001" customHeight="1" thickTop="1">
      <c r="A8294" s="226" t="s">
        <v>22878</v>
      </c>
      <c r="B8294" s="28">
        <v>46129</v>
      </c>
      <c r="C8294" s="25">
        <v>1415</v>
      </c>
      <c r="D8294" s="13" t="s">
        <v>23031</v>
      </c>
      <c r="E8294" s="228"/>
      <c r="F8294" s="109" t="s">
        <v>22908</v>
      </c>
      <c r="G8294" s="24"/>
      <c r="H8294" s="230">
        <v>4</v>
      </c>
      <c r="I8294" s="220">
        <v>461000</v>
      </c>
      <c r="J8294" s="220">
        <f>I8294*0.1</f>
        <v>46100</v>
      </c>
      <c r="K8294" s="220">
        <v>0</v>
      </c>
      <c r="L8294" s="220">
        <v>9790</v>
      </c>
      <c r="M8294" s="220">
        <v>15400</v>
      </c>
      <c r="N8294" s="220">
        <f>SUM(I8294:M8295)</f>
        <v>532290</v>
      </c>
      <c r="O8294" s="224"/>
      <c r="P8294" s="110" t="s">
        <v>23531</v>
      </c>
      <c r="Q8294" s="15" t="s">
        <v>19</v>
      </c>
      <c r="R8294" s="205"/>
      <c r="S8294" s="189" t="s">
        <v>283</v>
      </c>
      <c r="T8294" s="114"/>
      <c r="U8294" s="21"/>
      <c r="V8294" s="115">
        <v>46134</v>
      </c>
      <c r="W8294" s="116">
        <v>1014</v>
      </c>
      <c r="X8294" s="220">
        <v>580000</v>
      </c>
      <c r="Y8294" s="220">
        <f>X8294*0.1</f>
        <v>58000</v>
      </c>
      <c r="Z8294" s="220">
        <v>9790</v>
      </c>
      <c r="AA8294" s="220">
        <f>SUM(X8294:Z8294)</f>
        <v>647790</v>
      </c>
      <c r="AB8294" s="222">
        <v>46142</v>
      </c>
    </row>
    <row r="8295" spans="1:28" ht="17.100000000000001" customHeight="1" thickBot="1">
      <c r="A8295" s="227"/>
      <c r="B8295" s="27" t="s">
        <v>22889</v>
      </c>
      <c r="C8295" s="27">
        <v>3200</v>
      </c>
      <c r="D8295" s="14" t="s">
        <v>23051</v>
      </c>
      <c r="E8295" s="229"/>
      <c r="F8295" s="117" t="s">
        <v>22909</v>
      </c>
      <c r="G8295" s="26">
        <v>27600</v>
      </c>
      <c r="H8295" s="231"/>
      <c r="I8295" s="221"/>
      <c r="J8295" s="221"/>
      <c r="K8295" s="221"/>
      <c r="L8295" s="221"/>
      <c r="M8295" s="221"/>
      <c r="N8295" s="221"/>
      <c r="O8295" s="225"/>
      <c r="P8295" s="118" t="s">
        <v>23520</v>
      </c>
      <c r="Q8295" s="16" t="s">
        <v>20</v>
      </c>
      <c r="R8295" s="17" t="s">
        <v>23474</v>
      </c>
      <c r="S8295" s="121" t="s">
        <v>23467</v>
      </c>
      <c r="T8295" s="122"/>
      <c r="U8295" s="22"/>
      <c r="V8295" s="123" t="s">
        <v>8648</v>
      </c>
      <c r="W8295" s="122">
        <v>5206</v>
      </c>
      <c r="X8295" s="221"/>
      <c r="Y8295" s="221"/>
      <c r="Z8295" s="221"/>
      <c r="AA8295" s="221"/>
      <c r="AB8295" s="223"/>
    </row>
    <row r="8296" spans="1:28" ht="17.100000000000001" customHeight="1" thickTop="1">
      <c r="A8296" s="226" t="s">
        <v>22879</v>
      </c>
      <c r="B8296" s="28">
        <v>46129</v>
      </c>
      <c r="C8296" s="25">
        <v>1415</v>
      </c>
      <c r="D8296" s="13" t="s">
        <v>23052</v>
      </c>
      <c r="E8296" s="228"/>
      <c r="F8296" s="109" t="s">
        <v>22910</v>
      </c>
      <c r="G8296" s="24" t="s">
        <v>23053</v>
      </c>
      <c r="H8296" s="230">
        <v>4.5</v>
      </c>
      <c r="I8296" s="220">
        <v>1191000</v>
      </c>
      <c r="J8296" s="220">
        <f>I8296*0.1</f>
        <v>119100</v>
      </c>
      <c r="K8296" s="220">
        <v>45320</v>
      </c>
      <c r="L8296" s="220">
        <v>11950</v>
      </c>
      <c r="M8296" s="220">
        <v>15400</v>
      </c>
      <c r="N8296" s="220">
        <f>SUM(I8296:M8297)</f>
        <v>1382770</v>
      </c>
      <c r="O8296" s="224"/>
      <c r="P8296" s="110" t="s">
        <v>23984</v>
      </c>
      <c r="Q8296" s="15" t="s">
        <v>19</v>
      </c>
      <c r="R8296" s="205"/>
      <c r="S8296" s="189" t="s">
        <v>25959</v>
      </c>
      <c r="T8296" s="114"/>
      <c r="U8296" s="21"/>
      <c r="V8296" s="115">
        <v>46134</v>
      </c>
      <c r="W8296" s="116">
        <v>1014</v>
      </c>
      <c r="X8296" s="220">
        <v>1240000</v>
      </c>
      <c r="Y8296" s="220">
        <f>X8296*0.1</f>
        <v>124000</v>
      </c>
      <c r="Z8296" s="220">
        <v>11950</v>
      </c>
      <c r="AA8296" s="220">
        <f>SUM(X8296:Z8296)</f>
        <v>1375950</v>
      </c>
      <c r="AB8296" s="222">
        <v>46142</v>
      </c>
    </row>
    <row r="8297" spans="1:28" ht="17.100000000000001" customHeight="1" thickBot="1">
      <c r="A8297" s="227"/>
      <c r="B8297" s="27" t="s">
        <v>22889</v>
      </c>
      <c r="C8297" s="27">
        <v>3201</v>
      </c>
      <c r="D8297" s="14" t="s">
        <v>2559</v>
      </c>
      <c r="E8297" s="229"/>
      <c r="F8297" s="117" t="s">
        <v>22911</v>
      </c>
      <c r="G8297" s="26">
        <v>55139</v>
      </c>
      <c r="H8297" s="231"/>
      <c r="I8297" s="221"/>
      <c r="J8297" s="221"/>
      <c r="K8297" s="221"/>
      <c r="L8297" s="221"/>
      <c r="M8297" s="221"/>
      <c r="N8297" s="221"/>
      <c r="O8297" s="225"/>
      <c r="P8297" s="118" t="s">
        <v>3281</v>
      </c>
      <c r="Q8297" s="16" t="s">
        <v>20</v>
      </c>
      <c r="R8297" s="17" t="s">
        <v>1939</v>
      </c>
      <c r="S8297" s="121" t="s">
        <v>2025</v>
      </c>
      <c r="T8297" s="122"/>
      <c r="U8297" s="22"/>
      <c r="V8297" s="123" t="s">
        <v>23332</v>
      </c>
      <c r="W8297" s="122">
        <v>5135</v>
      </c>
      <c r="X8297" s="221"/>
      <c r="Y8297" s="221"/>
      <c r="Z8297" s="221"/>
      <c r="AA8297" s="221"/>
      <c r="AB8297" s="223"/>
    </row>
    <row r="8298" spans="1:28" ht="17.100000000000001" customHeight="1" thickTop="1">
      <c r="A8298" s="226" t="s">
        <v>22880</v>
      </c>
      <c r="B8298" s="28">
        <v>46129</v>
      </c>
      <c r="C8298" s="25">
        <v>1415</v>
      </c>
      <c r="D8298" s="13" t="s">
        <v>23054</v>
      </c>
      <c r="E8298" s="228"/>
      <c r="F8298" s="109" t="s">
        <v>22490</v>
      </c>
      <c r="G8298" s="24" t="s">
        <v>23056</v>
      </c>
      <c r="H8298" s="230">
        <v>4.5</v>
      </c>
      <c r="I8298" s="220">
        <v>864000</v>
      </c>
      <c r="J8298" s="220">
        <f>I8298*0.1</f>
        <v>86400</v>
      </c>
      <c r="K8298" s="220">
        <v>0</v>
      </c>
      <c r="L8298" s="220">
        <v>8200</v>
      </c>
      <c r="M8298" s="220">
        <v>15400</v>
      </c>
      <c r="N8298" s="220">
        <f>SUM(I8298:M8299)</f>
        <v>974000</v>
      </c>
      <c r="O8298" s="224"/>
      <c r="P8298" s="110" t="s">
        <v>23519</v>
      </c>
      <c r="Q8298" s="15" t="s">
        <v>19</v>
      </c>
      <c r="R8298" s="205"/>
      <c r="S8298" s="189" t="s">
        <v>25507</v>
      </c>
      <c r="T8298" s="114"/>
      <c r="U8298" s="21"/>
      <c r="V8298" s="115">
        <v>46134</v>
      </c>
      <c r="W8298" s="116">
        <v>1014</v>
      </c>
      <c r="X8298" s="220">
        <v>975000</v>
      </c>
      <c r="Y8298" s="220">
        <f>X8298*0.1</f>
        <v>97500</v>
      </c>
      <c r="Z8298" s="220">
        <v>8200</v>
      </c>
      <c r="AA8298" s="220">
        <f>SUM(X8298:Z8298)</f>
        <v>1080700</v>
      </c>
      <c r="AB8298" s="222">
        <v>46139</v>
      </c>
    </row>
    <row r="8299" spans="1:28" ht="17.100000000000001" customHeight="1" thickBot="1">
      <c r="A8299" s="227"/>
      <c r="B8299" s="27" t="s">
        <v>22889</v>
      </c>
      <c r="C8299" s="27">
        <v>3221</v>
      </c>
      <c r="D8299" s="14" t="s">
        <v>23055</v>
      </c>
      <c r="E8299" s="229"/>
      <c r="F8299" s="117" t="s">
        <v>22912</v>
      </c>
      <c r="G8299" s="26">
        <v>28214</v>
      </c>
      <c r="H8299" s="231"/>
      <c r="I8299" s="221"/>
      <c r="J8299" s="221"/>
      <c r="K8299" s="221"/>
      <c r="L8299" s="221"/>
      <c r="M8299" s="221"/>
      <c r="N8299" s="221"/>
      <c r="O8299" s="225"/>
      <c r="P8299" s="118" t="s">
        <v>23520</v>
      </c>
      <c r="Q8299" s="16" t="s">
        <v>20</v>
      </c>
      <c r="R8299" s="17" t="s">
        <v>23474</v>
      </c>
      <c r="S8299" s="121" t="s">
        <v>23521</v>
      </c>
      <c r="T8299" s="122"/>
      <c r="U8299" s="22"/>
      <c r="V8299" s="123" t="s">
        <v>23332</v>
      </c>
      <c r="W8299" s="122">
        <v>5212</v>
      </c>
      <c r="X8299" s="221"/>
      <c r="Y8299" s="221"/>
      <c r="Z8299" s="221"/>
      <c r="AA8299" s="221"/>
      <c r="AB8299" s="223"/>
    </row>
    <row r="8300" spans="1:28" ht="17.100000000000001" customHeight="1" thickTop="1">
      <c r="A8300" s="233" t="s">
        <v>22881</v>
      </c>
      <c r="B8300" s="28">
        <v>46129</v>
      </c>
      <c r="C8300" s="25">
        <v>1415</v>
      </c>
      <c r="D8300" s="13" t="s">
        <v>23057</v>
      </c>
      <c r="E8300" s="228"/>
      <c r="F8300" s="109" t="s">
        <v>22913</v>
      </c>
      <c r="G8300" s="24" t="s">
        <v>23058</v>
      </c>
      <c r="H8300" s="230">
        <v>4</v>
      </c>
      <c r="I8300" s="220">
        <v>1048000</v>
      </c>
      <c r="J8300" s="220">
        <f>I8300*0.1</f>
        <v>104800</v>
      </c>
      <c r="K8300" s="220">
        <v>30690</v>
      </c>
      <c r="L8300" s="220">
        <v>9830</v>
      </c>
      <c r="M8300" s="220">
        <v>15400</v>
      </c>
      <c r="N8300" s="220">
        <f>SUM(I8300:M8301)</f>
        <v>1208720</v>
      </c>
      <c r="O8300" s="224"/>
      <c r="P8300" s="110" t="s">
        <v>23450</v>
      </c>
      <c r="Q8300" s="15" t="s">
        <v>19</v>
      </c>
      <c r="R8300" s="205"/>
      <c r="S8300" s="189"/>
      <c r="T8300" s="114" t="s">
        <v>24417</v>
      </c>
      <c r="U8300" s="21"/>
      <c r="V8300" s="115"/>
      <c r="W8300" s="116"/>
      <c r="X8300" s="220"/>
      <c r="Y8300" s="220">
        <f>X8300*0.1</f>
        <v>0</v>
      </c>
      <c r="Z8300" s="220"/>
      <c r="AA8300" s="220">
        <f>SUM(X8300:Z8300)</f>
        <v>0</v>
      </c>
      <c r="AB8300" s="222"/>
    </row>
    <row r="8301" spans="1:28" ht="17.100000000000001" customHeight="1" thickBot="1">
      <c r="A8301" s="234"/>
      <c r="B8301" s="27" t="s">
        <v>22889</v>
      </c>
      <c r="C8301" s="27">
        <v>3228</v>
      </c>
      <c r="D8301" s="14" t="s">
        <v>2559</v>
      </c>
      <c r="E8301" s="229"/>
      <c r="F8301" s="117" t="s">
        <v>22914</v>
      </c>
      <c r="G8301" s="26">
        <v>78272</v>
      </c>
      <c r="H8301" s="231"/>
      <c r="I8301" s="221"/>
      <c r="J8301" s="221"/>
      <c r="K8301" s="221"/>
      <c r="L8301" s="221"/>
      <c r="M8301" s="221"/>
      <c r="N8301" s="221"/>
      <c r="O8301" s="225"/>
      <c r="P8301" s="118" t="s">
        <v>23452</v>
      </c>
      <c r="Q8301" s="16" t="s">
        <v>23451</v>
      </c>
      <c r="R8301" s="17" t="s">
        <v>23453</v>
      </c>
      <c r="S8301" s="121" t="s">
        <v>23454</v>
      </c>
      <c r="T8301" s="122"/>
      <c r="U8301" s="22"/>
      <c r="V8301" s="123"/>
      <c r="W8301" s="122"/>
      <c r="X8301" s="221"/>
      <c r="Y8301" s="221"/>
      <c r="Z8301" s="221"/>
      <c r="AA8301" s="221"/>
      <c r="AB8301" s="223"/>
    </row>
    <row r="8302" spans="1:28" ht="17.100000000000001" customHeight="1" thickTop="1">
      <c r="A8302" s="226" t="s">
        <v>22882</v>
      </c>
      <c r="B8302" s="28">
        <v>46129</v>
      </c>
      <c r="C8302" s="25">
        <v>1415</v>
      </c>
      <c r="D8302" s="13" t="s">
        <v>23059</v>
      </c>
      <c r="E8302" s="228"/>
      <c r="F8302" s="109" t="s">
        <v>22915</v>
      </c>
      <c r="G8302" s="24" t="s">
        <v>23060</v>
      </c>
      <c r="H8302" s="230">
        <v>4</v>
      </c>
      <c r="I8302" s="220">
        <v>1719000</v>
      </c>
      <c r="J8302" s="220">
        <f>I8302*0.1</f>
        <v>171900</v>
      </c>
      <c r="K8302" s="220">
        <v>45320</v>
      </c>
      <c r="L8302" s="220">
        <v>12710</v>
      </c>
      <c r="M8302" s="220">
        <v>15400</v>
      </c>
      <c r="N8302" s="220">
        <f>SUM(I8302:M8303)</f>
        <v>1964330</v>
      </c>
      <c r="O8302" s="224"/>
      <c r="P8302" s="110" t="s">
        <v>23379</v>
      </c>
      <c r="Q8302" s="15" t="s">
        <v>19</v>
      </c>
      <c r="R8302" s="205"/>
      <c r="S8302" s="189" t="s">
        <v>25960</v>
      </c>
      <c r="T8302" s="114"/>
      <c r="U8302" s="21"/>
      <c r="V8302" s="115">
        <v>46134</v>
      </c>
      <c r="W8302" s="116">
        <v>1014</v>
      </c>
      <c r="X8302" s="220">
        <v>1780000</v>
      </c>
      <c r="Y8302" s="220">
        <f>X8302*0.1</f>
        <v>178000</v>
      </c>
      <c r="Z8302" s="220">
        <v>12710</v>
      </c>
      <c r="AA8302" s="220">
        <f>SUM(X8302:Z8302)</f>
        <v>1970710</v>
      </c>
      <c r="AB8302" s="222">
        <v>46139</v>
      </c>
    </row>
    <row r="8303" spans="1:28" ht="17.100000000000001" customHeight="1" thickBot="1">
      <c r="A8303" s="227"/>
      <c r="B8303" s="27" t="s">
        <v>22889</v>
      </c>
      <c r="C8303" s="27">
        <v>3240</v>
      </c>
      <c r="D8303" s="14" t="s">
        <v>22973</v>
      </c>
      <c r="E8303" s="229"/>
      <c r="F8303" s="117" t="s">
        <v>22916</v>
      </c>
      <c r="G8303" s="26">
        <v>106326</v>
      </c>
      <c r="H8303" s="231"/>
      <c r="I8303" s="221"/>
      <c r="J8303" s="221"/>
      <c r="K8303" s="221"/>
      <c r="L8303" s="221"/>
      <c r="M8303" s="221"/>
      <c r="N8303" s="221"/>
      <c r="O8303" s="225"/>
      <c r="P8303" s="118" t="s">
        <v>23380</v>
      </c>
      <c r="Q8303" s="16" t="s">
        <v>20</v>
      </c>
      <c r="R8303" s="17" t="s">
        <v>23361</v>
      </c>
      <c r="S8303" s="121" t="s">
        <v>23381</v>
      </c>
      <c r="T8303" s="122"/>
      <c r="U8303" s="22"/>
      <c r="V8303" s="123" t="s">
        <v>23332</v>
      </c>
      <c r="W8303" s="122">
        <v>5136</v>
      </c>
      <c r="X8303" s="221"/>
      <c r="Y8303" s="221"/>
      <c r="Z8303" s="221"/>
      <c r="AA8303" s="221"/>
      <c r="AB8303" s="223"/>
    </row>
    <row r="8304" spans="1:28" ht="17.100000000000001" customHeight="1" thickTop="1">
      <c r="A8304" s="226" t="s">
        <v>22883</v>
      </c>
      <c r="B8304" s="28">
        <v>46129</v>
      </c>
      <c r="C8304" s="25">
        <v>1415</v>
      </c>
      <c r="D8304" s="13" t="s">
        <v>23061</v>
      </c>
      <c r="E8304" s="228"/>
      <c r="F8304" s="109" t="s">
        <v>22917</v>
      </c>
      <c r="G8304" s="24"/>
      <c r="H8304" s="230">
        <v>4</v>
      </c>
      <c r="I8304" s="220">
        <v>1305000</v>
      </c>
      <c r="J8304" s="220">
        <f>I8304*0.1</f>
        <v>130500</v>
      </c>
      <c r="K8304" s="220">
        <v>0</v>
      </c>
      <c r="L8304" s="220">
        <v>11530</v>
      </c>
      <c r="M8304" s="220">
        <v>15400</v>
      </c>
      <c r="N8304" s="220">
        <f>SUM(I8304:M8305)</f>
        <v>1462430</v>
      </c>
      <c r="O8304" s="224"/>
      <c r="P8304" s="110" t="s">
        <v>23468</v>
      </c>
      <c r="Q8304" s="15" t="s">
        <v>19</v>
      </c>
      <c r="R8304" s="205"/>
      <c r="S8304" s="189" t="s">
        <v>25961</v>
      </c>
      <c r="T8304" s="114"/>
      <c r="U8304" s="21"/>
      <c r="V8304" s="115"/>
      <c r="W8304" s="116"/>
      <c r="X8304" s="220"/>
      <c r="Y8304" s="220">
        <f>X8304*0.1</f>
        <v>0</v>
      </c>
      <c r="Z8304" s="220"/>
      <c r="AA8304" s="220">
        <f>SUM(X8304:Z8304)</f>
        <v>0</v>
      </c>
      <c r="AB8304" s="222"/>
    </row>
    <row r="8305" spans="1:28" ht="17.100000000000001" customHeight="1" thickBot="1">
      <c r="A8305" s="227"/>
      <c r="B8305" s="27" t="s">
        <v>22889</v>
      </c>
      <c r="C8305" s="27">
        <v>7095</v>
      </c>
      <c r="D8305" s="14" t="s">
        <v>2559</v>
      </c>
      <c r="E8305" s="229"/>
      <c r="F8305" s="117" t="s">
        <v>22918</v>
      </c>
      <c r="G8305" s="26">
        <v>119755</v>
      </c>
      <c r="H8305" s="231"/>
      <c r="I8305" s="221"/>
      <c r="J8305" s="221"/>
      <c r="K8305" s="221"/>
      <c r="L8305" s="221"/>
      <c r="M8305" s="221"/>
      <c r="N8305" s="221"/>
      <c r="O8305" s="225"/>
      <c r="P8305" s="118" t="s">
        <v>23469</v>
      </c>
      <c r="Q8305" s="16" t="s">
        <v>20</v>
      </c>
      <c r="R8305" s="17" t="s">
        <v>23453</v>
      </c>
      <c r="S8305" s="121" t="s">
        <v>25231</v>
      </c>
      <c r="T8305" s="122"/>
      <c r="U8305" s="22"/>
      <c r="V8305" s="123"/>
      <c r="W8305" s="122"/>
      <c r="X8305" s="221"/>
      <c r="Y8305" s="221"/>
      <c r="Z8305" s="221"/>
      <c r="AA8305" s="221"/>
      <c r="AB8305" s="223"/>
    </row>
    <row r="8306" spans="1:28" ht="17.100000000000001" customHeight="1" thickTop="1">
      <c r="A8306" s="226" t="s">
        <v>22884</v>
      </c>
      <c r="B8306" s="28">
        <v>46129</v>
      </c>
      <c r="C8306" s="25">
        <v>1415</v>
      </c>
      <c r="D8306" s="13" t="s">
        <v>23062</v>
      </c>
      <c r="E8306" s="228"/>
      <c r="F8306" s="109" t="s">
        <v>22919</v>
      </c>
      <c r="G8306" s="24"/>
      <c r="H8306" s="230">
        <v>4.5</v>
      </c>
      <c r="I8306" s="220">
        <v>1388000</v>
      </c>
      <c r="J8306" s="220">
        <f>I8306*0.1</f>
        <v>138800</v>
      </c>
      <c r="K8306" s="220">
        <v>0</v>
      </c>
      <c r="L8306" s="220">
        <v>9490</v>
      </c>
      <c r="M8306" s="220">
        <v>15400</v>
      </c>
      <c r="N8306" s="220">
        <f>SUM(I8306:M8307)</f>
        <v>1551690</v>
      </c>
      <c r="O8306" s="224"/>
      <c r="P8306" s="110" t="s">
        <v>23463</v>
      </c>
      <c r="Q8306" s="15" t="s">
        <v>19</v>
      </c>
      <c r="R8306" s="205"/>
      <c r="S8306" s="189" t="s">
        <v>283</v>
      </c>
      <c r="T8306" s="114"/>
      <c r="U8306" s="21"/>
      <c r="V8306" s="115">
        <v>46134</v>
      </c>
      <c r="W8306" s="116">
        <v>1014</v>
      </c>
      <c r="X8306" s="220">
        <v>1570000</v>
      </c>
      <c r="Y8306" s="220">
        <f>X8306*0.1</f>
        <v>157000</v>
      </c>
      <c r="Z8306" s="220">
        <v>9490</v>
      </c>
      <c r="AA8306" s="220">
        <f>SUM(X8306:Z8306)</f>
        <v>1736490</v>
      </c>
      <c r="AB8306" s="222">
        <v>46142</v>
      </c>
    </row>
    <row r="8307" spans="1:28" ht="17.100000000000001" customHeight="1" thickBot="1">
      <c r="A8307" s="227"/>
      <c r="B8307" s="27" t="s">
        <v>22889</v>
      </c>
      <c r="C8307" s="27">
        <v>7136</v>
      </c>
      <c r="D8307" s="14" t="s">
        <v>22967</v>
      </c>
      <c r="E8307" s="229"/>
      <c r="F8307" s="117" t="s">
        <v>22920</v>
      </c>
      <c r="G8307" s="26">
        <v>44913</v>
      </c>
      <c r="H8307" s="231"/>
      <c r="I8307" s="221"/>
      <c r="J8307" s="221"/>
      <c r="K8307" s="221"/>
      <c r="L8307" s="221"/>
      <c r="M8307" s="221"/>
      <c r="N8307" s="221"/>
      <c r="O8307" s="225"/>
      <c r="P8307" s="118" t="s">
        <v>23464</v>
      </c>
      <c r="Q8307" s="16" t="s">
        <v>20</v>
      </c>
      <c r="R8307" s="17" t="s">
        <v>23453</v>
      </c>
      <c r="S8307" s="121" t="s">
        <v>23465</v>
      </c>
      <c r="T8307" s="122"/>
      <c r="U8307" s="22"/>
      <c r="V8307" s="123" t="s">
        <v>8648</v>
      </c>
      <c r="W8307" s="122">
        <v>5210</v>
      </c>
      <c r="X8307" s="221"/>
      <c r="Y8307" s="221"/>
      <c r="Z8307" s="221"/>
      <c r="AA8307" s="221"/>
      <c r="AB8307" s="223"/>
    </row>
    <row r="8308" spans="1:28" ht="17.100000000000001" customHeight="1" thickTop="1">
      <c r="A8308" s="226" t="s">
        <v>22885</v>
      </c>
      <c r="B8308" s="28">
        <v>46129</v>
      </c>
      <c r="C8308" s="25">
        <v>1415</v>
      </c>
      <c r="D8308" s="13" t="s">
        <v>23063</v>
      </c>
      <c r="E8308" s="228"/>
      <c r="F8308" s="109" t="s">
        <v>22921</v>
      </c>
      <c r="G8308" s="24"/>
      <c r="H8308" s="230">
        <v>4.5</v>
      </c>
      <c r="I8308" s="220">
        <v>751000</v>
      </c>
      <c r="J8308" s="220">
        <f>I8308*0.1</f>
        <v>75100</v>
      </c>
      <c r="K8308" s="220">
        <v>0</v>
      </c>
      <c r="L8308" s="220">
        <v>5340</v>
      </c>
      <c r="M8308" s="220">
        <v>15400</v>
      </c>
      <c r="N8308" s="220">
        <f>SUM(I8308:M8309)</f>
        <v>846840</v>
      </c>
      <c r="O8308" s="224"/>
      <c r="P8308" s="110" t="s">
        <v>23382</v>
      </c>
      <c r="Q8308" s="15" t="s">
        <v>19</v>
      </c>
      <c r="R8308" s="205"/>
      <c r="S8308" s="189"/>
      <c r="T8308" s="114"/>
      <c r="U8308" s="21"/>
      <c r="V8308" s="115">
        <v>46134</v>
      </c>
      <c r="W8308" s="116">
        <v>1014</v>
      </c>
      <c r="X8308" s="220">
        <v>815000</v>
      </c>
      <c r="Y8308" s="220">
        <f>X8308*0.1</f>
        <v>81500</v>
      </c>
      <c r="Z8308" s="220">
        <v>5340</v>
      </c>
      <c r="AA8308" s="220">
        <f>SUM(X8308:Z8308)</f>
        <v>901840</v>
      </c>
      <c r="AB8308" s="222">
        <v>46139</v>
      </c>
    </row>
    <row r="8309" spans="1:28" ht="17.100000000000001" customHeight="1" thickBot="1">
      <c r="A8309" s="227"/>
      <c r="B8309" s="27" t="s">
        <v>22889</v>
      </c>
      <c r="C8309" s="27">
        <v>7502</v>
      </c>
      <c r="D8309" s="14" t="s">
        <v>22977</v>
      </c>
      <c r="E8309" s="229"/>
      <c r="F8309" s="117" t="s">
        <v>22922</v>
      </c>
      <c r="G8309" s="26">
        <v>52665</v>
      </c>
      <c r="H8309" s="231"/>
      <c r="I8309" s="221"/>
      <c r="J8309" s="221"/>
      <c r="K8309" s="221"/>
      <c r="L8309" s="221"/>
      <c r="M8309" s="221"/>
      <c r="N8309" s="221"/>
      <c r="O8309" s="225"/>
      <c r="P8309" s="118" t="s">
        <v>8377</v>
      </c>
      <c r="Q8309" s="16" t="s">
        <v>20</v>
      </c>
      <c r="R8309" s="17" t="s">
        <v>23361</v>
      </c>
      <c r="S8309" s="121" t="s">
        <v>9994</v>
      </c>
      <c r="T8309" s="122"/>
      <c r="U8309" s="22"/>
      <c r="V8309" s="123" t="s">
        <v>23332</v>
      </c>
      <c r="W8309" s="122">
        <v>5123</v>
      </c>
      <c r="X8309" s="221"/>
      <c r="Y8309" s="221"/>
      <c r="Z8309" s="221"/>
      <c r="AA8309" s="221"/>
      <c r="AB8309" s="223"/>
    </row>
    <row r="8310" spans="1:28" ht="17.100000000000001" customHeight="1" thickTop="1">
      <c r="A8310" s="226" t="s">
        <v>22890</v>
      </c>
      <c r="B8310" s="28">
        <v>46129</v>
      </c>
      <c r="C8310" s="25">
        <v>1415</v>
      </c>
      <c r="D8310" s="13" t="s">
        <v>23064</v>
      </c>
      <c r="E8310" s="228"/>
      <c r="F8310" s="109" t="s">
        <v>23065</v>
      </c>
      <c r="G8310" s="24" t="s">
        <v>23066</v>
      </c>
      <c r="H8310" s="230">
        <v>4</v>
      </c>
      <c r="I8310" s="220">
        <v>928000</v>
      </c>
      <c r="J8310" s="220">
        <f>I8310*0.1</f>
        <v>92800</v>
      </c>
      <c r="K8310" s="220">
        <v>0</v>
      </c>
      <c r="L8310" s="220">
        <v>9310</v>
      </c>
      <c r="M8310" s="220">
        <v>15400</v>
      </c>
      <c r="N8310" s="220">
        <f>SUM(I8310:M8311)</f>
        <v>1045510</v>
      </c>
      <c r="O8310" s="224"/>
      <c r="P8310" s="110" t="s">
        <v>23616</v>
      </c>
      <c r="Q8310" s="15" t="s">
        <v>19</v>
      </c>
      <c r="R8310" s="205"/>
      <c r="S8310" s="189" t="s">
        <v>25959</v>
      </c>
      <c r="T8310" s="114"/>
      <c r="U8310" s="21"/>
      <c r="V8310" s="115">
        <v>46134</v>
      </c>
      <c r="W8310" s="116">
        <v>1014</v>
      </c>
      <c r="X8310" s="220">
        <v>980000</v>
      </c>
      <c r="Y8310" s="220">
        <f>X8310*0.1</f>
        <v>98000</v>
      </c>
      <c r="Z8310" s="220">
        <v>9310</v>
      </c>
      <c r="AA8310" s="220">
        <f>SUM(X8310:Z8310)</f>
        <v>1087310</v>
      </c>
      <c r="AB8310" s="222">
        <v>46140</v>
      </c>
    </row>
    <row r="8311" spans="1:28" ht="17.100000000000001" customHeight="1" thickBot="1">
      <c r="A8311" s="227"/>
      <c r="B8311" s="27" t="s">
        <v>22889</v>
      </c>
      <c r="C8311" s="27">
        <v>7506</v>
      </c>
      <c r="D8311" s="14" t="s">
        <v>1710</v>
      </c>
      <c r="E8311" s="229"/>
      <c r="F8311" s="117" t="s">
        <v>22923</v>
      </c>
      <c r="G8311" s="26">
        <v>50686</v>
      </c>
      <c r="H8311" s="231"/>
      <c r="I8311" s="221"/>
      <c r="J8311" s="221"/>
      <c r="K8311" s="221"/>
      <c r="L8311" s="221"/>
      <c r="M8311" s="221"/>
      <c r="N8311" s="221"/>
      <c r="O8311" s="225"/>
      <c r="P8311" s="118" t="s">
        <v>4541</v>
      </c>
      <c r="Q8311" s="16" t="s">
        <v>20</v>
      </c>
      <c r="R8311" s="17" t="s">
        <v>23596</v>
      </c>
      <c r="S8311" s="121" t="s">
        <v>1625</v>
      </c>
      <c r="T8311" s="122"/>
      <c r="U8311" s="22"/>
      <c r="V8311" s="123" t="s">
        <v>23332</v>
      </c>
      <c r="W8311" s="122">
        <v>5132</v>
      </c>
      <c r="X8311" s="221"/>
      <c r="Y8311" s="221"/>
      <c r="Z8311" s="221"/>
      <c r="AA8311" s="221"/>
      <c r="AB8311" s="223"/>
    </row>
    <row r="8312" spans="1:28" ht="17.100000000000001" customHeight="1" thickTop="1">
      <c r="A8312" s="226" t="s">
        <v>22891</v>
      </c>
      <c r="B8312" s="28">
        <v>46129</v>
      </c>
      <c r="C8312" s="25">
        <v>1415</v>
      </c>
      <c r="D8312" s="13" t="s">
        <v>23067</v>
      </c>
      <c r="E8312" s="228"/>
      <c r="F8312" s="109" t="s">
        <v>22924</v>
      </c>
      <c r="G8312" s="24"/>
      <c r="H8312" s="230">
        <v>4</v>
      </c>
      <c r="I8312" s="220">
        <v>861000</v>
      </c>
      <c r="J8312" s="220">
        <f>I8312*0.1</f>
        <v>86100</v>
      </c>
      <c r="K8312" s="220">
        <v>0</v>
      </c>
      <c r="L8312" s="220">
        <v>8740</v>
      </c>
      <c r="M8312" s="220">
        <v>15400</v>
      </c>
      <c r="N8312" s="220">
        <f>SUM(I8312:M8313)</f>
        <v>971240</v>
      </c>
      <c r="O8312" s="224"/>
      <c r="P8312" s="110" t="s">
        <v>23625</v>
      </c>
      <c r="Q8312" s="15" t="s">
        <v>19</v>
      </c>
      <c r="R8312" s="205"/>
      <c r="S8312" s="189" t="s">
        <v>283</v>
      </c>
      <c r="T8312" s="114"/>
      <c r="U8312" s="21"/>
      <c r="V8312" s="115">
        <v>46162</v>
      </c>
      <c r="W8312" s="116">
        <v>1017</v>
      </c>
      <c r="X8312" s="220">
        <v>980000</v>
      </c>
      <c r="Y8312" s="220">
        <f>X8312*0.1</f>
        <v>98000</v>
      </c>
      <c r="Z8312" s="220">
        <v>8740</v>
      </c>
      <c r="AA8312" s="220">
        <f>SUM(X8312:Z8312)</f>
        <v>1086740</v>
      </c>
      <c r="AB8312" s="222"/>
    </row>
    <row r="8313" spans="1:28" ht="17.100000000000001" customHeight="1" thickBot="1">
      <c r="A8313" s="227"/>
      <c r="B8313" s="27" t="s">
        <v>22889</v>
      </c>
      <c r="C8313" s="27">
        <v>7550</v>
      </c>
      <c r="D8313" s="14" t="s">
        <v>23029</v>
      </c>
      <c r="E8313" s="229"/>
      <c r="F8313" s="117" t="s">
        <v>22925</v>
      </c>
      <c r="G8313" s="26">
        <v>43723</v>
      </c>
      <c r="H8313" s="231"/>
      <c r="I8313" s="221"/>
      <c r="J8313" s="221"/>
      <c r="K8313" s="221"/>
      <c r="L8313" s="221"/>
      <c r="M8313" s="221"/>
      <c r="N8313" s="221"/>
      <c r="O8313" s="225"/>
      <c r="P8313" s="118" t="s">
        <v>4541</v>
      </c>
      <c r="Q8313" s="16" t="s">
        <v>20</v>
      </c>
      <c r="R8313" s="17" t="s">
        <v>23596</v>
      </c>
      <c r="S8313" s="121" t="s">
        <v>7702</v>
      </c>
      <c r="T8313" s="122"/>
      <c r="U8313" s="22"/>
      <c r="V8313" s="123" t="s">
        <v>7161</v>
      </c>
      <c r="W8313" s="122">
        <v>2016</v>
      </c>
      <c r="X8313" s="221"/>
      <c r="Y8313" s="221"/>
      <c r="Z8313" s="221"/>
      <c r="AA8313" s="221"/>
      <c r="AB8313" s="223"/>
    </row>
    <row r="8314" spans="1:28" ht="17.100000000000001" customHeight="1" thickTop="1">
      <c r="A8314" s="226" t="s">
        <v>22892</v>
      </c>
      <c r="B8314" s="28">
        <v>46129</v>
      </c>
      <c r="C8314" s="25">
        <v>1415</v>
      </c>
      <c r="D8314" s="13" t="s">
        <v>23068</v>
      </c>
      <c r="E8314" s="228"/>
      <c r="F8314" s="109" t="s">
        <v>22926</v>
      </c>
      <c r="G8314" s="24"/>
      <c r="H8314" s="230">
        <v>4</v>
      </c>
      <c r="I8314" s="220">
        <v>189000</v>
      </c>
      <c r="J8314" s="220">
        <f>I8314*0.1</f>
        <v>18900</v>
      </c>
      <c r="K8314" s="220">
        <v>0</v>
      </c>
      <c r="L8314" s="220">
        <v>8930</v>
      </c>
      <c r="M8314" s="220">
        <v>15400</v>
      </c>
      <c r="N8314" s="220">
        <f>SUM(I8314:M8315)</f>
        <v>232230</v>
      </c>
      <c r="O8314" s="224"/>
      <c r="P8314" s="110" t="s">
        <v>23627</v>
      </c>
      <c r="Q8314" s="15" t="s">
        <v>19</v>
      </c>
      <c r="R8314" s="205"/>
      <c r="S8314" s="189" t="s">
        <v>283</v>
      </c>
      <c r="T8314" s="114"/>
      <c r="U8314" s="21"/>
      <c r="V8314" s="115">
        <v>46137</v>
      </c>
      <c r="W8314" s="116">
        <v>1298</v>
      </c>
      <c r="X8314" s="220">
        <v>305000</v>
      </c>
      <c r="Y8314" s="220">
        <f>X8314*0.1</f>
        <v>30500</v>
      </c>
      <c r="Z8314" s="220">
        <v>8930</v>
      </c>
      <c r="AA8314" s="220">
        <f>SUM(X8314:Z8314)</f>
        <v>344430</v>
      </c>
      <c r="AB8314" s="222">
        <v>46140</v>
      </c>
    </row>
    <row r="8315" spans="1:28" ht="17.100000000000001" customHeight="1" thickBot="1">
      <c r="A8315" s="227"/>
      <c r="B8315" s="27" t="s">
        <v>22889</v>
      </c>
      <c r="C8315" s="27">
        <v>7568</v>
      </c>
      <c r="D8315" s="14" t="s">
        <v>2559</v>
      </c>
      <c r="E8315" s="229"/>
      <c r="F8315" s="117" t="s">
        <v>22927</v>
      </c>
      <c r="G8315" s="26">
        <v>59555</v>
      </c>
      <c r="H8315" s="231"/>
      <c r="I8315" s="221"/>
      <c r="J8315" s="221"/>
      <c r="K8315" s="221"/>
      <c r="L8315" s="221"/>
      <c r="M8315" s="221"/>
      <c r="N8315" s="221"/>
      <c r="O8315" s="225"/>
      <c r="P8315" s="118" t="s">
        <v>16229</v>
      </c>
      <c r="Q8315" s="16" t="s">
        <v>20</v>
      </c>
      <c r="R8315" s="17" t="s">
        <v>23596</v>
      </c>
      <c r="S8315" s="121" t="s">
        <v>169</v>
      </c>
      <c r="T8315" s="122"/>
      <c r="U8315" s="22"/>
      <c r="V8315" s="123" t="s">
        <v>2472</v>
      </c>
      <c r="W8315" s="122">
        <v>60265</v>
      </c>
      <c r="X8315" s="221"/>
      <c r="Y8315" s="221"/>
      <c r="Z8315" s="221"/>
      <c r="AA8315" s="221"/>
      <c r="AB8315" s="223"/>
    </row>
    <row r="8316" spans="1:28" ht="17.100000000000001" customHeight="1" thickTop="1">
      <c r="A8316" s="226" t="s">
        <v>22893</v>
      </c>
      <c r="B8316" s="28">
        <v>46129</v>
      </c>
      <c r="C8316" s="25">
        <v>1415</v>
      </c>
      <c r="D8316" s="13" t="s">
        <v>23069</v>
      </c>
      <c r="E8316" s="228"/>
      <c r="F8316" s="109" t="s">
        <v>22928</v>
      </c>
      <c r="G8316" s="24"/>
      <c r="H8316" s="230">
        <v>4.5</v>
      </c>
      <c r="I8316" s="220">
        <v>1116000</v>
      </c>
      <c r="J8316" s="220">
        <f>I8316*0.1</f>
        <v>111600</v>
      </c>
      <c r="K8316" s="220">
        <v>0</v>
      </c>
      <c r="L8316" s="220">
        <v>6830</v>
      </c>
      <c r="M8316" s="220">
        <v>15400</v>
      </c>
      <c r="N8316" s="220">
        <f>SUM(I8316:M8317)</f>
        <v>1249830</v>
      </c>
      <c r="O8316" s="224"/>
      <c r="P8316" s="110" t="s">
        <v>23626</v>
      </c>
      <c r="Q8316" s="15" t="s">
        <v>19</v>
      </c>
      <c r="R8316" s="205"/>
      <c r="S8316" s="189" t="s">
        <v>25959</v>
      </c>
      <c r="T8316" s="114"/>
      <c r="U8316" s="21"/>
      <c r="V8316" s="115">
        <v>46155</v>
      </c>
      <c r="W8316" s="116">
        <v>1016</v>
      </c>
      <c r="X8316" s="220">
        <v>1230000</v>
      </c>
      <c r="Y8316" s="220">
        <f>X8316*0.1</f>
        <v>123000</v>
      </c>
      <c r="Z8316" s="220">
        <v>6830</v>
      </c>
      <c r="AA8316" s="220">
        <f>SUM(X8316:Z8316)</f>
        <v>1359830</v>
      </c>
      <c r="AB8316" s="222">
        <v>46160</v>
      </c>
    </row>
    <row r="8317" spans="1:28" ht="17.100000000000001" customHeight="1" thickBot="1">
      <c r="A8317" s="227"/>
      <c r="B8317" s="27" t="s">
        <v>22889</v>
      </c>
      <c r="C8317" s="27">
        <v>7584</v>
      </c>
      <c r="D8317" s="14" t="s">
        <v>23045</v>
      </c>
      <c r="E8317" s="229"/>
      <c r="F8317" s="117" t="s">
        <v>22929</v>
      </c>
      <c r="G8317" s="26">
        <v>42839</v>
      </c>
      <c r="H8317" s="231"/>
      <c r="I8317" s="221"/>
      <c r="J8317" s="221"/>
      <c r="K8317" s="221"/>
      <c r="L8317" s="221"/>
      <c r="M8317" s="221"/>
      <c r="N8317" s="221"/>
      <c r="O8317" s="225"/>
      <c r="P8317" s="118" t="s">
        <v>4541</v>
      </c>
      <c r="Q8317" s="16" t="s">
        <v>20</v>
      </c>
      <c r="R8317" s="17" t="s">
        <v>23596</v>
      </c>
      <c r="S8317" s="121" t="s">
        <v>1731</v>
      </c>
      <c r="T8317" s="122"/>
      <c r="U8317" s="22"/>
      <c r="V8317" s="123" t="s">
        <v>2747</v>
      </c>
      <c r="W8317" s="122">
        <v>2007</v>
      </c>
      <c r="X8317" s="221"/>
      <c r="Y8317" s="221"/>
      <c r="Z8317" s="221"/>
      <c r="AA8317" s="221"/>
      <c r="AB8317" s="223"/>
    </row>
    <row r="8318" spans="1:28" ht="17.100000000000001" customHeight="1" thickTop="1">
      <c r="A8318" s="226" t="s">
        <v>22894</v>
      </c>
      <c r="B8318" s="28">
        <v>46129</v>
      </c>
      <c r="C8318" s="25">
        <v>1415</v>
      </c>
      <c r="D8318" s="13" t="s">
        <v>23070</v>
      </c>
      <c r="E8318" s="228"/>
      <c r="F8318" s="109" t="s">
        <v>22930</v>
      </c>
      <c r="G8318" s="24" t="s">
        <v>23071</v>
      </c>
      <c r="H8318" s="230">
        <v>4</v>
      </c>
      <c r="I8318" s="220">
        <v>301000</v>
      </c>
      <c r="J8318" s="220">
        <f>I8318*0.1</f>
        <v>30100</v>
      </c>
      <c r="K8318" s="220">
        <v>0</v>
      </c>
      <c r="L8318" s="220">
        <v>7140</v>
      </c>
      <c r="M8318" s="220">
        <v>15400</v>
      </c>
      <c r="N8318" s="220">
        <f>SUM(I8318:M8319)</f>
        <v>353640</v>
      </c>
      <c r="O8318" s="224"/>
      <c r="P8318" s="110" t="s">
        <v>23461</v>
      </c>
      <c r="Q8318" s="15" t="s">
        <v>19</v>
      </c>
      <c r="R8318" s="205"/>
      <c r="S8318" s="189"/>
      <c r="T8318" s="114"/>
      <c r="U8318" s="21"/>
      <c r="V8318" s="115">
        <v>46137</v>
      </c>
      <c r="W8318" s="116">
        <v>1298</v>
      </c>
      <c r="X8318" s="220">
        <v>355000</v>
      </c>
      <c r="Y8318" s="220">
        <f>X8318*0.1</f>
        <v>35500</v>
      </c>
      <c r="Z8318" s="220">
        <v>7140</v>
      </c>
      <c r="AA8318" s="220">
        <f>SUM(X8318:Z8318)</f>
        <v>397640</v>
      </c>
      <c r="AB8318" s="222">
        <v>46140</v>
      </c>
    </row>
    <row r="8319" spans="1:28" ht="17.100000000000001" customHeight="1" thickBot="1">
      <c r="A8319" s="227"/>
      <c r="B8319" s="27" t="s">
        <v>22889</v>
      </c>
      <c r="C8319" s="27">
        <v>9003</v>
      </c>
      <c r="D8319" s="14" t="s">
        <v>22973</v>
      </c>
      <c r="E8319" s="229"/>
      <c r="F8319" s="117" t="s">
        <v>22931</v>
      </c>
      <c r="G8319" s="26">
        <v>68458</v>
      </c>
      <c r="H8319" s="231"/>
      <c r="I8319" s="221"/>
      <c r="J8319" s="221"/>
      <c r="K8319" s="221"/>
      <c r="L8319" s="221"/>
      <c r="M8319" s="221"/>
      <c r="N8319" s="221"/>
      <c r="O8319" s="225"/>
      <c r="P8319" s="118" t="s">
        <v>23462</v>
      </c>
      <c r="Q8319" s="16" t="s">
        <v>20</v>
      </c>
      <c r="R8319" s="17" t="s">
        <v>23453</v>
      </c>
      <c r="S8319" s="121" t="s">
        <v>23515</v>
      </c>
      <c r="T8319" s="122"/>
      <c r="U8319" s="22"/>
      <c r="V8319" s="123" t="s">
        <v>2472</v>
      </c>
      <c r="W8319" s="122">
        <v>60279</v>
      </c>
      <c r="X8319" s="221"/>
      <c r="Y8319" s="221"/>
      <c r="Z8319" s="221"/>
      <c r="AA8319" s="221"/>
      <c r="AB8319" s="223"/>
    </row>
    <row r="8320" spans="1:28" ht="17.100000000000001" customHeight="1" thickTop="1">
      <c r="A8320" s="226" t="s">
        <v>22895</v>
      </c>
      <c r="B8320" s="28">
        <v>46129</v>
      </c>
      <c r="C8320" s="25">
        <v>1415</v>
      </c>
      <c r="D8320" s="13" t="s">
        <v>23072</v>
      </c>
      <c r="E8320" s="228"/>
      <c r="F8320" s="109" t="s">
        <v>22932</v>
      </c>
      <c r="G8320" s="24"/>
      <c r="H8320" s="230">
        <v>4</v>
      </c>
      <c r="I8320" s="220">
        <v>613000</v>
      </c>
      <c r="J8320" s="220">
        <f>I8320*0.1</f>
        <v>61300</v>
      </c>
      <c r="K8320" s="220">
        <v>0</v>
      </c>
      <c r="L8320" s="220">
        <v>8400</v>
      </c>
      <c r="M8320" s="220">
        <v>15400</v>
      </c>
      <c r="N8320" s="220">
        <f>SUM(I8320:M8321)</f>
        <v>698100</v>
      </c>
      <c r="O8320" s="224"/>
      <c r="P8320" s="110" t="s">
        <v>23376</v>
      </c>
      <c r="Q8320" s="15" t="s">
        <v>19</v>
      </c>
      <c r="R8320" s="205"/>
      <c r="S8320" s="189" t="s">
        <v>25962</v>
      </c>
      <c r="T8320" s="114"/>
      <c r="U8320" s="21"/>
      <c r="V8320" s="115">
        <v>46134</v>
      </c>
      <c r="W8320" s="116">
        <v>1014</v>
      </c>
      <c r="X8320" s="220">
        <v>665000</v>
      </c>
      <c r="Y8320" s="220">
        <f>X8320*0.1</f>
        <v>66500</v>
      </c>
      <c r="Z8320" s="220">
        <v>8400</v>
      </c>
      <c r="AA8320" s="220">
        <f>SUM(X8320:Z8320)</f>
        <v>739900</v>
      </c>
      <c r="AB8320" s="222">
        <v>46139</v>
      </c>
    </row>
    <row r="8321" spans="1:28" ht="17.100000000000001" customHeight="1" thickBot="1">
      <c r="A8321" s="227"/>
      <c r="B8321" s="27" t="s">
        <v>22889</v>
      </c>
      <c r="C8321" s="27">
        <v>9004</v>
      </c>
      <c r="D8321" s="14" t="s">
        <v>1710</v>
      </c>
      <c r="E8321" s="229"/>
      <c r="F8321" s="117" t="s">
        <v>22933</v>
      </c>
      <c r="G8321" s="26">
        <v>7890</v>
      </c>
      <c r="H8321" s="231"/>
      <c r="I8321" s="221"/>
      <c r="J8321" s="221"/>
      <c r="K8321" s="221"/>
      <c r="L8321" s="221"/>
      <c r="M8321" s="221"/>
      <c r="N8321" s="221"/>
      <c r="O8321" s="225"/>
      <c r="P8321" s="118" t="s">
        <v>1972</v>
      </c>
      <c r="Q8321" s="16" t="s">
        <v>20</v>
      </c>
      <c r="R8321" s="17" t="s">
        <v>23361</v>
      </c>
      <c r="S8321" s="121" t="s">
        <v>1573</v>
      </c>
      <c r="T8321" s="122"/>
      <c r="U8321" s="22"/>
      <c r="V8321" s="123" t="s">
        <v>23332</v>
      </c>
      <c r="W8321" s="122">
        <v>5203</v>
      </c>
      <c r="X8321" s="221"/>
      <c r="Y8321" s="221"/>
      <c r="Z8321" s="221"/>
      <c r="AA8321" s="221"/>
      <c r="AB8321" s="223"/>
    </row>
    <row r="8322" spans="1:28" ht="17.100000000000001" customHeight="1" thickTop="1">
      <c r="A8322" s="226" t="s">
        <v>22896</v>
      </c>
      <c r="B8322" s="28">
        <v>46129</v>
      </c>
      <c r="C8322" s="25">
        <v>1415</v>
      </c>
      <c r="D8322" s="13" t="s">
        <v>23073</v>
      </c>
      <c r="E8322" s="228"/>
      <c r="F8322" s="109" t="s">
        <v>22934</v>
      </c>
      <c r="G8322" s="24" t="s">
        <v>23074</v>
      </c>
      <c r="H8322" s="230">
        <v>4.5</v>
      </c>
      <c r="I8322" s="220">
        <v>292000</v>
      </c>
      <c r="J8322" s="220">
        <f>I8322*0.1</f>
        <v>29200</v>
      </c>
      <c r="K8322" s="220">
        <v>0</v>
      </c>
      <c r="L8322" s="220">
        <v>7140</v>
      </c>
      <c r="M8322" s="220">
        <v>15400</v>
      </c>
      <c r="N8322" s="220">
        <f>SUM(I8322:M8323)</f>
        <v>343740</v>
      </c>
      <c r="O8322" s="224"/>
      <c r="P8322" s="110" t="s">
        <v>23985</v>
      </c>
      <c r="Q8322" s="15" t="s">
        <v>19</v>
      </c>
      <c r="R8322" s="205"/>
      <c r="S8322" s="189"/>
      <c r="T8322" s="114"/>
      <c r="U8322" s="21"/>
      <c r="V8322" s="115"/>
      <c r="W8322" s="116"/>
      <c r="X8322" s="220"/>
      <c r="Y8322" s="220">
        <f>X8322*0.1</f>
        <v>0</v>
      </c>
      <c r="Z8322" s="220"/>
      <c r="AA8322" s="220">
        <f>SUM(X8322:Z8322)</f>
        <v>0</v>
      </c>
      <c r="AB8322" s="222"/>
    </row>
    <row r="8323" spans="1:28" ht="17.100000000000001" customHeight="1" thickBot="1">
      <c r="A8323" s="227"/>
      <c r="B8323" s="27" t="s">
        <v>22889</v>
      </c>
      <c r="C8323" s="27">
        <v>9013</v>
      </c>
      <c r="D8323" s="14" t="s">
        <v>22973</v>
      </c>
      <c r="E8323" s="229"/>
      <c r="F8323" s="117" t="s">
        <v>22935</v>
      </c>
      <c r="G8323" s="26">
        <v>26426</v>
      </c>
      <c r="H8323" s="231"/>
      <c r="I8323" s="221"/>
      <c r="J8323" s="221"/>
      <c r="K8323" s="221"/>
      <c r="L8323" s="221"/>
      <c r="M8323" s="221"/>
      <c r="N8323" s="221"/>
      <c r="O8323" s="225"/>
      <c r="P8323" s="118" t="s">
        <v>1972</v>
      </c>
      <c r="Q8323" s="16" t="s">
        <v>20</v>
      </c>
      <c r="R8323" s="17" t="s">
        <v>1939</v>
      </c>
      <c r="S8323" s="121"/>
      <c r="T8323" s="122"/>
      <c r="U8323" s="22"/>
      <c r="V8323" s="123"/>
      <c r="W8323" s="122"/>
      <c r="X8323" s="221"/>
      <c r="Y8323" s="221"/>
      <c r="Z8323" s="221"/>
      <c r="AA8323" s="221"/>
      <c r="AB8323" s="223"/>
    </row>
    <row r="8324" spans="1:28" ht="17.100000000000001" customHeight="1" thickTop="1">
      <c r="A8324" s="226" t="s">
        <v>22897</v>
      </c>
      <c r="B8324" s="28">
        <v>46129</v>
      </c>
      <c r="C8324" s="25">
        <v>1415</v>
      </c>
      <c r="D8324" s="13" t="s">
        <v>23075</v>
      </c>
      <c r="E8324" s="228"/>
      <c r="F8324" s="109" t="s">
        <v>22936</v>
      </c>
      <c r="G8324" s="24"/>
      <c r="H8324" s="230">
        <v>3.5</v>
      </c>
      <c r="I8324" s="220">
        <v>235000</v>
      </c>
      <c r="J8324" s="220">
        <f>I8324*0.1</f>
        <v>23500</v>
      </c>
      <c r="K8324" s="220">
        <v>0</v>
      </c>
      <c r="L8324" s="220">
        <v>10800</v>
      </c>
      <c r="M8324" s="220">
        <v>15400</v>
      </c>
      <c r="N8324" s="220">
        <f>SUM(I8324:M8325)</f>
        <v>284700</v>
      </c>
      <c r="O8324" s="224"/>
      <c r="P8324" s="110" t="s">
        <v>23466</v>
      </c>
      <c r="Q8324" s="15" t="s">
        <v>19</v>
      </c>
      <c r="R8324" s="205"/>
      <c r="S8324" s="189"/>
      <c r="T8324" s="114"/>
      <c r="U8324" s="21"/>
      <c r="V8324" s="115">
        <v>46144</v>
      </c>
      <c r="W8324" s="116">
        <v>1299</v>
      </c>
      <c r="X8324" s="220">
        <v>350000</v>
      </c>
      <c r="Y8324" s="220">
        <f>X8324*0.1</f>
        <v>35000</v>
      </c>
      <c r="Z8324" s="220">
        <v>10800</v>
      </c>
      <c r="AA8324" s="220">
        <f>SUM(X8324:Z8324)</f>
        <v>395800</v>
      </c>
      <c r="AB8324" s="222">
        <v>46161</v>
      </c>
    </row>
    <row r="8325" spans="1:28" ht="17.100000000000001" customHeight="1" thickBot="1">
      <c r="A8325" s="227"/>
      <c r="B8325" s="27" t="s">
        <v>22889</v>
      </c>
      <c r="C8325" s="27">
        <v>9015</v>
      </c>
      <c r="D8325" s="14" t="s">
        <v>22967</v>
      </c>
      <c r="E8325" s="229"/>
      <c r="F8325" s="117" t="s">
        <v>22937</v>
      </c>
      <c r="G8325" s="26">
        <v>51408</v>
      </c>
      <c r="H8325" s="231"/>
      <c r="I8325" s="221"/>
      <c r="J8325" s="221"/>
      <c r="K8325" s="221"/>
      <c r="L8325" s="221"/>
      <c r="M8325" s="221"/>
      <c r="N8325" s="221"/>
      <c r="O8325" s="225"/>
      <c r="P8325" s="118" t="s">
        <v>2843</v>
      </c>
      <c r="Q8325" s="16" t="s">
        <v>20</v>
      </c>
      <c r="R8325" s="17" t="s">
        <v>23453</v>
      </c>
      <c r="S8325" s="121" t="s">
        <v>23467</v>
      </c>
      <c r="T8325" s="122"/>
      <c r="U8325" s="22"/>
      <c r="V8325" s="123" t="s">
        <v>6641</v>
      </c>
      <c r="W8325" s="122">
        <v>55115</v>
      </c>
      <c r="X8325" s="221"/>
      <c r="Y8325" s="221"/>
      <c r="Z8325" s="221"/>
      <c r="AA8325" s="221"/>
      <c r="AB8325" s="223"/>
    </row>
    <row r="8326" spans="1:28" ht="17.100000000000001" customHeight="1" thickTop="1">
      <c r="A8326" s="226" t="s">
        <v>22898</v>
      </c>
      <c r="B8326" s="28">
        <v>46129</v>
      </c>
      <c r="C8326" s="25">
        <v>1415</v>
      </c>
      <c r="D8326" s="13" t="s">
        <v>23076</v>
      </c>
      <c r="E8326" s="228"/>
      <c r="F8326" s="109" t="s">
        <v>22938</v>
      </c>
      <c r="G8326" s="24"/>
      <c r="H8326" s="230">
        <v>3.5</v>
      </c>
      <c r="I8326" s="220">
        <v>589000</v>
      </c>
      <c r="J8326" s="220">
        <f>I8326*0.1</f>
        <v>58900</v>
      </c>
      <c r="K8326" s="220">
        <v>0</v>
      </c>
      <c r="L8326" s="220">
        <v>12030</v>
      </c>
      <c r="M8326" s="220">
        <v>15400</v>
      </c>
      <c r="N8326" s="220">
        <f>SUM(I8326:M8327)</f>
        <v>675330</v>
      </c>
      <c r="O8326" s="224"/>
      <c r="P8326" s="110" t="s">
        <v>23458</v>
      </c>
      <c r="Q8326" s="15" t="s">
        <v>19</v>
      </c>
      <c r="R8326" s="205"/>
      <c r="S8326" s="189"/>
      <c r="T8326" s="114"/>
      <c r="U8326" s="21"/>
      <c r="V8326" s="115"/>
      <c r="W8326" s="116"/>
      <c r="X8326" s="220"/>
      <c r="Y8326" s="220">
        <f>X8326*0.1</f>
        <v>0</v>
      </c>
      <c r="Z8326" s="220"/>
      <c r="AA8326" s="220">
        <f>SUM(X8326:Z8326)</f>
        <v>0</v>
      </c>
      <c r="AB8326" s="222"/>
    </row>
    <row r="8327" spans="1:28" ht="17.100000000000001" customHeight="1" thickBot="1">
      <c r="A8327" s="227"/>
      <c r="B8327" s="27" t="s">
        <v>22889</v>
      </c>
      <c r="C8327" s="27">
        <v>9019</v>
      </c>
      <c r="D8327" s="14" t="s">
        <v>22973</v>
      </c>
      <c r="E8327" s="229"/>
      <c r="F8327" s="117" t="s">
        <v>22939</v>
      </c>
      <c r="G8327" s="26">
        <v>148583</v>
      </c>
      <c r="H8327" s="231"/>
      <c r="I8327" s="221"/>
      <c r="J8327" s="221"/>
      <c r="K8327" s="221"/>
      <c r="L8327" s="221"/>
      <c r="M8327" s="221"/>
      <c r="N8327" s="221"/>
      <c r="O8327" s="225"/>
      <c r="P8327" s="118" t="s">
        <v>23459</v>
      </c>
      <c r="Q8327" s="16" t="s">
        <v>20</v>
      </c>
      <c r="R8327" s="17" t="s">
        <v>23453</v>
      </c>
      <c r="S8327" s="121"/>
      <c r="T8327" s="122"/>
      <c r="U8327" s="22"/>
      <c r="V8327" s="123"/>
      <c r="W8327" s="122"/>
      <c r="X8327" s="221"/>
      <c r="Y8327" s="221"/>
      <c r="Z8327" s="221"/>
      <c r="AA8327" s="221"/>
      <c r="AB8327" s="223"/>
    </row>
    <row r="8328" spans="1:28" ht="17.100000000000001" customHeight="1" thickTop="1">
      <c r="A8328" s="226" t="s">
        <v>22899</v>
      </c>
      <c r="B8328" s="28">
        <v>46129</v>
      </c>
      <c r="C8328" s="25"/>
      <c r="D8328" s="13" t="s">
        <v>22966</v>
      </c>
      <c r="E8328" s="228"/>
      <c r="F8328" s="109" t="s">
        <v>22968</v>
      </c>
      <c r="G8328" s="24" t="s">
        <v>22969</v>
      </c>
      <c r="H8328" s="230">
        <v>5</v>
      </c>
      <c r="I8328" s="220">
        <v>5250000</v>
      </c>
      <c r="J8328" s="220">
        <f>I8328*0.1</f>
        <v>525000</v>
      </c>
      <c r="K8328" s="220">
        <v>41600</v>
      </c>
      <c r="L8328" s="220">
        <v>14230</v>
      </c>
      <c r="M8328" s="220">
        <v>0</v>
      </c>
      <c r="N8328" s="220">
        <f>SUM(I8328:M8329)</f>
        <v>5830830</v>
      </c>
      <c r="O8328" s="224"/>
      <c r="P8328" s="110"/>
      <c r="Q8328" s="15" t="s">
        <v>19</v>
      </c>
      <c r="R8328" s="205"/>
      <c r="S8328" s="189" t="s">
        <v>529</v>
      </c>
      <c r="T8328" s="114"/>
      <c r="U8328" s="21"/>
      <c r="V8328" s="115"/>
      <c r="W8328" s="116"/>
      <c r="X8328" s="220"/>
      <c r="Y8328" s="220">
        <f>X8328*0.1</f>
        <v>0</v>
      </c>
      <c r="Z8328" s="220"/>
      <c r="AA8328" s="220">
        <f>SUM(X8328:Z8328)</f>
        <v>0</v>
      </c>
      <c r="AB8328" s="222"/>
    </row>
    <row r="8329" spans="1:28" ht="17.100000000000001" customHeight="1" thickBot="1">
      <c r="A8329" s="227"/>
      <c r="B8329" s="27" t="s">
        <v>22948</v>
      </c>
      <c r="C8329" s="27" t="s">
        <v>22949</v>
      </c>
      <c r="D8329" s="14" t="s">
        <v>22967</v>
      </c>
      <c r="E8329" s="229"/>
      <c r="F8329" s="117" t="s">
        <v>22950</v>
      </c>
      <c r="G8329" s="26">
        <v>8159</v>
      </c>
      <c r="H8329" s="231"/>
      <c r="I8329" s="221"/>
      <c r="J8329" s="221"/>
      <c r="K8329" s="221"/>
      <c r="L8329" s="221"/>
      <c r="M8329" s="221"/>
      <c r="N8329" s="221"/>
      <c r="O8329" s="225"/>
      <c r="P8329" s="118"/>
      <c r="Q8329" s="16" t="s">
        <v>20</v>
      </c>
      <c r="R8329" s="17"/>
      <c r="S8329" s="121"/>
      <c r="T8329" s="122"/>
      <c r="U8329" s="22"/>
      <c r="V8329" s="123"/>
      <c r="W8329" s="122"/>
      <c r="X8329" s="221"/>
      <c r="Y8329" s="221"/>
      <c r="Z8329" s="221"/>
      <c r="AA8329" s="221"/>
      <c r="AB8329" s="223"/>
    </row>
    <row r="8330" spans="1:28" ht="17.100000000000001" customHeight="1" thickTop="1">
      <c r="A8330" s="226" t="s">
        <v>22900</v>
      </c>
      <c r="B8330" s="28">
        <v>46129</v>
      </c>
      <c r="C8330" s="25"/>
      <c r="D8330" s="13" t="s">
        <v>22970</v>
      </c>
      <c r="E8330" s="228"/>
      <c r="F8330" s="109" t="s">
        <v>22968</v>
      </c>
      <c r="G8330" s="24" t="s">
        <v>22971</v>
      </c>
      <c r="H8330" s="230">
        <v>5</v>
      </c>
      <c r="I8330" s="220">
        <v>5300000</v>
      </c>
      <c r="J8330" s="220">
        <f>I8330*0.1</f>
        <v>530000</v>
      </c>
      <c r="K8330" s="220">
        <v>41600</v>
      </c>
      <c r="L8330" s="220">
        <v>14230</v>
      </c>
      <c r="M8330" s="220">
        <v>0</v>
      </c>
      <c r="N8330" s="220">
        <f>SUM(I8330:M8331)</f>
        <v>5885830</v>
      </c>
      <c r="O8330" s="224"/>
      <c r="P8330" s="110"/>
      <c r="Q8330" s="15" t="s">
        <v>19</v>
      </c>
      <c r="R8330" s="205"/>
      <c r="S8330" s="189" t="s">
        <v>25691</v>
      </c>
      <c r="T8330" s="114"/>
      <c r="U8330" s="21"/>
      <c r="V8330" s="115"/>
      <c r="W8330" s="116"/>
      <c r="X8330" s="220"/>
      <c r="Y8330" s="220">
        <f>X8330*0.1</f>
        <v>0</v>
      </c>
      <c r="Z8330" s="220"/>
      <c r="AA8330" s="220">
        <f>SUM(X8330:Z8330)</f>
        <v>0</v>
      </c>
      <c r="AB8330" s="222"/>
    </row>
    <row r="8331" spans="1:28" ht="17.100000000000001" customHeight="1" thickBot="1">
      <c r="A8331" s="227"/>
      <c r="B8331" s="27" t="s">
        <v>22948</v>
      </c>
      <c r="C8331" s="27" t="s">
        <v>22951</v>
      </c>
      <c r="D8331" s="14" t="s">
        <v>2559</v>
      </c>
      <c r="E8331" s="229"/>
      <c r="F8331" s="117" t="s">
        <v>22952</v>
      </c>
      <c r="G8331" s="26">
        <v>10327</v>
      </c>
      <c r="H8331" s="231"/>
      <c r="I8331" s="221"/>
      <c r="J8331" s="221"/>
      <c r="K8331" s="221"/>
      <c r="L8331" s="221"/>
      <c r="M8331" s="221"/>
      <c r="N8331" s="221"/>
      <c r="O8331" s="225"/>
      <c r="P8331" s="118"/>
      <c r="Q8331" s="16" t="s">
        <v>20</v>
      </c>
      <c r="R8331" s="17"/>
      <c r="S8331" s="121"/>
      <c r="T8331" s="122"/>
      <c r="U8331" s="22"/>
      <c r="V8331" s="123"/>
      <c r="W8331" s="122"/>
      <c r="X8331" s="221"/>
      <c r="Y8331" s="221"/>
      <c r="Z8331" s="221"/>
      <c r="AA8331" s="221"/>
      <c r="AB8331" s="223"/>
    </row>
    <row r="8332" spans="1:28" ht="17.100000000000001" customHeight="1" thickTop="1">
      <c r="A8332" s="226" t="s">
        <v>22940</v>
      </c>
      <c r="B8332" s="28">
        <v>46129</v>
      </c>
      <c r="C8332" s="25"/>
      <c r="D8332" s="13" t="s">
        <v>22972</v>
      </c>
      <c r="E8332" s="228"/>
      <c r="F8332" s="109" t="s">
        <v>22974</v>
      </c>
      <c r="G8332" s="24" t="s">
        <v>22975</v>
      </c>
      <c r="H8332" s="230">
        <v>5</v>
      </c>
      <c r="I8332" s="220">
        <v>3195000</v>
      </c>
      <c r="J8332" s="220">
        <f>I8332*0.1</f>
        <v>319500</v>
      </c>
      <c r="K8332" s="220">
        <v>30000</v>
      </c>
      <c r="L8332" s="220">
        <v>12160</v>
      </c>
      <c r="M8332" s="220">
        <v>0</v>
      </c>
      <c r="N8332" s="220">
        <f>SUM(I8332:M8333)</f>
        <v>3556660</v>
      </c>
      <c r="O8332" s="224"/>
      <c r="P8332" s="110"/>
      <c r="Q8332" s="15" t="s">
        <v>19</v>
      </c>
      <c r="R8332" s="205"/>
      <c r="S8332" s="189" t="s">
        <v>25507</v>
      </c>
      <c r="T8332" s="114"/>
      <c r="U8332" s="21"/>
      <c r="V8332" s="115">
        <v>46165</v>
      </c>
      <c r="W8332" s="116">
        <v>1301</v>
      </c>
      <c r="X8332" s="220">
        <v>3245000</v>
      </c>
      <c r="Y8332" s="220">
        <f>X8332*0.1</f>
        <v>324500</v>
      </c>
      <c r="Z8332" s="220">
        <v>12160</v>
      </c>
      <c r="AA8332" s="220">
        <f>SUM(X8332:Z8332)</f>
        <v>3581660</v>
      </c>
      <c r="AB8332" s="222"/>
    </row>
    <row r="8333" spans="1:28" ht="17.100000000000001" customHeight="1" thickBot="1">
      <c r="A8333" s="227"/>
      <c r="B8333" s="27" t="s">
        <v>22948</v>
      </c>
      <c r="C8333" s="27" t="s">
        <v>22953</v>
      </c>
      <c r="D8333" s="14" t="s">
        <v>22973</v>
      </c>
      <c r="E8333" s="229"/>
      <c r="F8333" s="117" t="s">
        <v>22954</v>
      </c>
      <c r="G8333" s="26">
        <v>4708</v>
      </c>
      <c r="H8333" s="231"/>
      <c r="I8333" s="221"/>
      <c r="J8333" s="221"/>
      <c r="K8333" s="221"/>
      <c r="L8333" s="221"/>
      <c r="M8333" s="221"/>
      <c r="N8333" s="221"/>
      <c r="O8333" s="225"/>
      <c r="P8333" s="118"/>
      <c r="Q8333" s="16" t="s">
        <v>20</v>
      </c>
      <c r="R8333" s="17"/>
      <c r="S8333" s="121" t="s">
        <v>26170</v>
      </c>
      <c r="T8333" s="122"/>
      <c r="U8333" s="22"/>
      <c r="V8333" s="123" t="s">
        <v>2472</v>
      </c>
      <c r="W8333" s="122">
        <v>37446</v>
      </c>
      <c r="X8333" s="221"/>
      <c r="Y8333" s="221"/>
      <c r="Z8333" s="221"/>
      <c r="AA8333" s="221"/>
      <c r="AB8333" s="223"/>
    </row>
    <row r="8334" spans="1:28" ht="17.100000000000001" customHeight="1" thickTop="1">
      <c r="A8334" s="226" t="s">
        <v>22941</v>
      </c>
      <c r="B8334" s="28">
        <v>46129</v>
      </c>
      <c r="C8334" s="25"/>
      <c r="D8334" s="13" t="s">
        <v>22976</v>
      </c>
      <c r="E8334" s="228"/>
      <c r="F8334" s="109" t="s">
        <v>22978</v>
      </c>
      <c r="G8334" s="24" t="s">
        <v>22979</v>
      </c>
      <c r="H8334" s="230">
        <v>4.5</v>
      </c>
      <c r="I8334" s="220">
        <v>965000</v>
      </c>
      <c r="J8334" s="220">
        <f>I8334*0.1</f>
        <v>96500</v>
      </c>
      <c r="K8334" s="220">
        <v>0</v>
      </c>
      <c r="L8334" s="220">
        <v>8550</v>
      </c>
      <c r="M8334" s="220">
        <v>0</v>
      </c>
      <c r="N8334" s="220">
        <f>SUM(I8334:M8335)</f>
        <v>1070050</v>
      </c>
      <c r="O8334" s="224"/>
      <c r="P8334" s="110" t="s">
        <v>24995</v>
      </c>
      <c r="Q8334" s="15" t="s">
        <v>19</v>
      </c>
      <c r="R8334" s="205"/>
      <c r="S8334" s="189" t="s">
        <v>25505</v>
      </c>
      <c r="T8334" s="114"/>
      <c r="U8334" s="21"/>
      <c r="V8334" s="115"/>
      <c r="W8334" s="116"/>
      <c r="X8334" s="220"/>
      <c r="Y8334" s="220">
        <f>X8334*0.1</f>
        <v>0</v>
      </c>
      <c r="Z8334" s="220"/>
      <c r="AA8334" s="220">
        <f>SUM(X8334:Z8334)</f>
        <v>0</v>
      </c>
      <c r="AB8334" s="222"/>
    </row>
    <row r="8335" spans="1:28" ht="17.100000000000001" customHeight="1" thickBot="1">
      <c r="A8335" s="227"/>
      <c r="B8335" s="27" t="s">
        <v>22948</v>
      </c>
      <c r="C8335" s="27" t="s">
        <v>22955</v>
      </c>
      <c r="D8335" s="14" t="s">
        <v>22977</v>
      </c>
      <c r="E8335" s="229"/>
      <c r="F8335" s="117" t="s">
        <v>22956</v>
      </c>
      <c r="G8335" s="26">
        <v>54812</v>
      </c>
      <c r="H8335" s="231"/>
      <c r="I8335" s="221"/>
      <c r="J8335" s="221"/>
      <c r="K8335" s="221"/>
      <c r="L8335" s="221"/>
      <c r="M8335" s="221"/>
      <c r="N8335" s="221"/>
      <c r="O8335" s="225"/>
      <c r="P8335" s="118" t="s">
        <v>24996</v>
      </c>
      <c r="Q8335" s="16" t="s">
        <v>20</v>
      </c>
      <c r="R8335" s="17" t="s">
        <v>24991</v>
      </c>
      <c r="S8335" s="121" t="s">
        <v>169</v>
      </c>
      <c r="T8335" s="122"/>
      <c r="U8335" s="22"/>
      <c r="V8335" s="123"/>
      <c r="W8335" s="122"/>
      <c r="X8335" s="221"/>
      <c r="Y8335" s="221"/>
      <c r="Z8335" s="221"/>
      <c r="AA8335" s="221"/>
      <c r="AB8335" s="223"/>
    </row>
    <row r="8336" spans="1:28" ht="17.100000000000001" customHeight="1" thickTop="1">
      <c r="A8336" s="226" t="s">
        <v>22942</v>
      </c>
      <c r="B8336" s="28">
        <v>46129</v>
      </c>
      <c r="C8336" s="25"/>
      <c r="D8336" s="13" t="s">
        <v>22980</v>
      </c>
      <c r="E8336" s="228"/>
      <c r="F8336" s="109" t="s">
        <v>15608</v>
      </c>
      <c r="G8336" s="24" t="s">
        <v>22981</v>
      </c>
      <c r="H8336" s="230">
        <v>4.5</v>
      </c>
      <c r="I8336" s="220">
        <v>1155000</v>
      </c>
      <c r="J8336" s="220">
        <f>I8336*0.1</f>
        <v>115500</v>
      </c>
      <c r="K8336" s="220">
        <v>0</v>
      </c>
      <c r="L8336" s="220">
        <v>8550</v>
      </c>
      <c r="M8336" s="220">
        <v>0</v>
      </c>
      <c r="N8336" s="220">
        <f>SUM(I8336:M8337)</f>
        <v>1279050</v>
      </c>
      <c r="O8336" s="224"/>
      <c r="P8336" s="110" t="s">
        <v>24654</v>
      </c>
      <c r="Q8336" s="15" t="s">
        <v>19</v>
      </c>
      <c r="R8336" s="205"/>
      <c r="S8336" s="189" t="s">
        <v>529</v>
      </c>
      <c r="T8336" s="114"/>
      <c r="U8336" s="21"/>
      <c r="V8336" s="115">
        <v>46162</v>
      </c>
      <c r="W8336" s="116">
        <v>1017</v>
      </c>
      <c r="X8336" s="220">
        <v>1200000</v>
      </c>
      <c r="Y8336" s="220">
        <f>X8336*0.1</f>
        <v>120000</v>
      </c>
      <c r="Z8336" s="220">
        <v>8550</v>
      </c>
      <c r="AA8336" s="220">
        <f>SUM(X8336:Z8336)</f>
        <v>1328550</v>
      </c>
      <c r="AB8336" s="222">
        <v>46167</v>
      </c>
    </row>
    <row r="8337" spans="1:28" ht="17.100000000000001" customHeight="1" thickBot="1">
      <c r="A8337" s="227"/>
      <c r="B8337" s="27" t="s">
        <v>22948</v>
      </c>
      <c r="C8337" s="27" t="s">
        <v>22957</v>
      </c>
      <c r="D8337" s="14" t="s">
        <v>22973</v>
      </c>
      <c r="E8337" s="229"/>
      <c r="F8337" s="117" t="s">
        <v>22958</v>
      </c>
      <c r="G8337" s="26">
        <v>43876</v>
      </c>
      <c r="H8337" s="231"/>
      <c r="I8337" s="221"/>
      <c r="J8337" s="221"/>
      <c r="K8337" s="221"/>
      <c r="L8337" s="221"/>
      <c r="M8337" s="221"/>
      <c r="N8337" s="221"/>
      <c r="O8337" s="225"/>
      <c r="P8337" s="118" t="s">
        <v>24655</v>
      </c>
      <c r="Q8337" s="16" t="s">
        <v>20</v>
      </c>
      <c r="R8337" s="17" t="s">
        <v>1831</v>
      </c>
      <c r="S8337" s="121" t="s">
        <v>1606</v>
      </c>
      <c r="T8337" s="122"/>
      <c r="U8337" s="22"/>
      <c r="V8337" s="123" t="s">
        <v>2747</v>
      </c>
      <c r="W8337" s="122">
        <v>1008</v>
      </c>
      <c r="X8337" s="221"/>
      <c r="Y8337" s="221"/>
      <c r="Z8337" s="221"/>
      <c r="AA8337" s="221"/>
      <c r="AB8337" s="223"/>
    </row>
    <row r="8338" spans="1:28" ht="17.100000000000001" customHeight="1" thickTop="1">
      <c r="A8338" s="226" t="s">
        <v>22943</v>
      </c>
      <c r="B8338" s="28">
        <v>46130</v>
      </c>
      <c r="C8338" s="25">
        <v>1462</v>
      </c>
      <c r="D8338" s="13" t="s">
        <v>23077</v>
      </c>
      <c r="E8338" s="228"/>
      <c r="F8338" s="109" t="s">
        <v>22960</v>
      </c>
      <c r="G8338" s="24"/>
      <c r="H8338" s="230">
        <v>4.5</v>
      </c>
      <c r="I8338" s="220">
        <v>800000</v>
      </c>
      <c r="J8338" s="220">
        <f>I8338*0.1</f>
        <v>80000</v>
      </c>
      <c r="K8338" s="220">
        <v>0</v>
      </c>
      <c r="L8338" s="220">
        <v>19440</v>
      </c>
      <c r="M8338" s="220">
        <v>27500</v>
      </c>
      <c r="N8338" s="220">
        <f>SUM(I8338:M8339)</f>
        <v>926940</v>
      </c>
      <c r="O8338" s="224"/>
      <c r="P8338" s="110" t="s">
        <v>23383</v>
      </c>
      <c r="Q8338" s="15" t="s">
        <v>19</v>
      </c>
      <c r="R8338" s="205"/>
      <c r="S8338" s="189" t="s">
        <v>758</v>
      </c>
      <c r="T8338" s="114"/>
      <c r="U8338" s="21"/>
      <c r="V8338" s="115">
        <v>46135</v>
      </c>
      <c r="W8338" s="116">
        <v>1328</v>
      </c>
      <c r="X8338" s="220">
        <v>925000</v>
      </c>
      <c r="Y8338" s="220">
        <f>X8338*0.1</f>
        <v>92500</v>
      </c>
      <c r="Z8338" s="220">
        <v>19440</v>
      </c>
      <c r="AA8338" s="220">
        <f>SUM(X8338:Z8338)</f>
        <v>1036940</v>
      </c>
      <c r="AB8338" s="222">
        <v>46136</v>
      </c>
    </row>
    <row r="8339" spans="1:28" ht="17.100000000000001" customHeight="1" thickBot="1">
      <c r="A8339" s="227"/>
      <c r="B8339" s="27" t="s">
        <v>22959</v>
      </c>
      <c r="C8339" s="27">
        <v>6018</v>
      </c>
      <c r="D8339" s="14" t="s">
        <v>23078</v>
      </c>
      <c r="E8339" s="229"/>
      <c r="F8339" s="117" t="s">
        <v>23079</v>
      </c>
      <c r="G8339" s="26">
        <v>50900</v>
      </c>
      <c r="H8339" s="231"/>
      <c r="I8339" s="221"/>
      <c r="J8339" s="221"/>
      <c r="K8339" s="221"/>
      <c r="L8339" s="221"/>
      <c r="M8339" s="221"/>
      <c r="N8339" s="221"/>
      <c r="O8339" s="225"/>
      <c r="P8339" s="118" t="s">
        <v>23384</v>
      </c>
      <c r="Q8339" s="16" t="s">
        <v>20</v>
      </c>
      <c r="R8339" s="17" t="s">
        <v>23361</v>
      </c>
      <c r="S8339" s="121" t="s">
        <v>23385</v>
      </c>
      <c r="T8339" s="122"/>
      <c r="U8339" s="22"/>
      <c r="V8339" s="123" t="s">
        <v>23411</v>
      </c>
      <c r="W8339" s="122">
        <v>191</v>
      </c>
      <c r="X8339" s="221"/>
      <c r="Y8339" s="221"/>
      <c r="Z8339" s="221"/>
      <c r="AA8339" s="221"/>
      <c r="AB8339" s="223"/>
    </row>
    <row r="8340" spans="1:28" ht="17.100000000000001" customHeight="1" thickTop="1">
      <c r="A8340" s="226" t="s">
        <v>22944</v>
      </c>
      <c r="B8340" s="28">
        <v>46130</v>
      </c>
      <c r="C8340" s="25">
        <v>1715</v>
      </c>
      <c r="D8340" s="13" t="s">
        <v>23080</v>
      </c>
      <c r="E8340" s="228"/>
      <c r="F8340" s="109" t="s">
        <v>22962</v>
      </c>
      <c r="G8340" s="24" t="s">
        <v>23081</v>
      </c>
      <c r="H8340" s="230">
        <v>4.5</v>
      </c>
      <c r="I8340" s="220">
        <v>2935000</v>
      </c>
      <c r="J8340" s="220">
        <f>I8340*0.1</f>
        <v>293500</v>
      </c>
      <c r="K8340" s="220">
        <v>36300</v>
      </c>
      <c r="L8340" s="220">
        <v>17580</v>
      </c>
      <c r="M8340" s="220">
        <v>16500</v>
      </c>
      <c r="N8340" s="220">
        <f>SUM(I8340:M8341)</f>
        <v>3298880</v>
      </c>
      <c r="O8340" s="224"/>
      <c r="P8340" s="110" t="s">
        <v>23399</v>
      </c>
      <c r="Q8340" s="15" t="s">
        <v>19</v>
      </c>
      <c r="R8340" s="205"/>
      <c r="S8340" s="189" t="s">
        <v>25429</v>
      </c>
      <c r="T8340" s="114"/>
      <c r="U8340" s="21"/>
      <c r="V8340" s="115">
        <v>46137</v>
      </c>
      <c r="W8340" s="116">
        <v>1298</v>
      </c>
      <c r="X8340" s="220">
        <v>3305000</v>
      </c>
      <c r="Y8340" s="220">
        <f>X8340*0.1</f>
        <v>330500</v>
      </c>
      <c r="Z8340" s="220">
        <v>17580</v>
      </c>
      <c r="AA8340" s="220">
        <f>SUM(X8340:Z8340)</f>
        <v>3653080</v>
      </c>
      <c r="AB8340" s="222">
        <v>46140</v>
      </c>
    </row>
    <row r="8341" spans="1:28" ht="17.100000000000001" customHeight="1" thickBot="1">
      <c r="A8341" s="227"/>
      <c r="B8341" s="27" t="s">
        <v>22961</v>
      </c>
      <c r="C8341" s="27">
        <v>329</v>
      </c>
      <c r="D8341" s="14" t="s">
        <v>22989</v>
      </c>
      <c r="E8341" s="229"/>
      <c r="F8341" s="117" t="s">
        <v>22963</v>
      </c>
      <c r="G8341" s="26">
        <v>41356</v>
      </c>
      <c r="H8341" s="231"/>
      <c r="I8341" s="221"/>
      <c r="J8341" s="221"/>
      <c r="K8341" s="221"/>
      <c r="L8341" s="221"/>
      <c r="M8341" s="221"/>
      <c r="N8341" s="221"/>
      <c r="O8341" s="225"/>
      <c r="P8341" s="118" t="s">
        <v>16218</v>
      </c>
      <c r="Q8341" s="16" t="s">
        <v>20</v>
      </c>
      <c r="R8341" s="17" t="s">
        <v>23361</v>
      </c>
      <c r="S8341" s="121" t="s">
        <v>1731</v>
      </c>
      <c r="T8341" s="122"/>
      <c r="U8341" s="22"/>
      <c r="V8341" s="123" t="s">
        <v>2472</v>
      </c>
      <c r="W8341" s="122">
        <v>80084</v>
      </c>
      <c r="X8341" s="221"/>
      <c r="Y8341" s="221"/>
      <c r="Z8341" s="221"/>
      <c r="AA8341" s="221"/>
      <c r="AB8341" s="223"/>
    </row>
    <row r="8342" spans="1:28" ht="17.100000000000001" customHeight="1" thickTop="1">
      <c r="A8342" s="226" t="s">
        <v>22945</v>
      </c>
      <c r="B8342" s="28">
        <v>46130</v>
      </c>
      <c r="C8342" s="25">
        <v>1540</v>
      </c>
      <c r="D8342" s="13" t="s">
        <v>23082</v>
      </c>
      <c r="E8342" s="228"/>
      <c r="F8342" s="109" t="s">
        <v>22965</v>
      </c>
      <c r="G8342" s="24" t="s">
        <v>23084</v>
      </c>
      <c r="H8342" s="230">
        <v>4.5</v>
      </c>
      <c r="I8342" s="220">
        <v>1650000</v>
      </c>
      <c r="J8342" s="220">
        <f>I8342*0.1</f>
        <v>165000</v>
      </c>
      <c r="K8342" s="220">
        <v>30690</v>
      </c>
      <c r="L8342" s="220">
        <v>19130</v>
      </c>
      <c r="M8342" s="220">
        <v>16500</v>
      </c>
      <c r="N8342" s="220">
        <f>SUM(I8342:M8343)</f>
        <v>1881320</v>
      </c>
      <c r="O8342" s="224"/>
      <c r="P8342" s="110" t="s">
        <v>23085</v>
      </c>
      <c r="Q8342" s="15" t="s">
        <v>19</v>
      </c>
      <c r="R8342" s="205"/>
      <c r="S8342" s="189"/>
      <c r="T8342" s="114"/>
      <c r="U8342" s="21"/>
      <c r="V8342" s="115">
        <v>46135</v>
      </c>
      <c r="W8342" s="116">
        <v>1328</v>
      </c>
      <c r="X8342" s="220">
        <v>1795000</v>
      </c>
      <c r="Y8342" s="220">
        <f>X8342*0.1</f>
        <v>179500</v>
      </c>
      <c r="Z8342" s="220">
        <v>19130</v>
      </c>
      <c r="AA8342" s="220">
        <f>SUM(X8342:Z8342)</f>
        <v>1993630</v>
      </c>
      <c r="AB8342" s="222">
        <v>46136</v>
      </c>
    </row>
    <row r="8343" spans="1:28" ht="17.100000000000001" customHeight="1" thickBot="1">
      <c r="A8343" s="227"/>
      <c r="B8343" s="27" t="s">
        <v>22964</v>
      </c>
      <c r="C8343" s="27">
        <v>83204</v>
      </c>
      <c r="D8343" s="14" t="s">
        <v>22989</v>
      </c>
      <c r="E8343" s="229"/>
      <c r="F8343" s="117" t="s">
        <v>23083</v>
      </c>
      <c r="G8343" s="26">
        <v>53575</v>
      </c>
      <c r="H8343" s="231"/>
      <c r="I8343" s="221"/>
      <c r="J8343" s="221"/>
      <c r="K8343" s="221"/>
      <c r="L8343" s="221"/>
      <c r="M8343" s="221"/>
      <c r="N8343" s="221"/>
      <c r="O8343" s="225"/>
      <c r="P8343" s="118" t="s">
        <v>23386</v>
      </c>
      <c r="Q8343" s="16" t="s">
        <v>20</v>
      </c>
      <c r="R8343" s="17" t="s">
        <v>23361</v>
      </c>
      <c r="S8343" s="121" t="s">
        <v>1731</v>
      </c>
      <c r="T8343" s="122"/>
      <c r="U8343" s="22"/>
      <c r="V8343" s="123" t="s">
        <v>23411</v>
      </c>
      <c r="W8343" s="122">
        <v>194</v>
      </c>
      <c r="X8343" s="221"/>
      <c r="Y8343" s="221"/>
      <c r="Z8343" s="221"/>
      <c r="AA8343" s="221"/>
      <c r="AB8343" s="223"/>
    </row>
    <row r="8344" spans="1:28" ht="17.100000000000001" customHeight="1" thickTop="1">
      <c r="A8344" s="226" t="s">
        <v>22946</v>
      </c>
      <c r="B8344" s="28">
        <v>46130</v>
      </c>
      <c r="C8344" s="25">
        <v>308</v>
      </c>
      <c r="D8344" s="13" t="s">
        <v>22986</v>
      </c>
      <c r="E8344" s="228"/>
      <c r="F8344" s="109" t="s">
        <v>22987</v>
      </c>
      <c r="G8344" s="24"/>
      <c r="H8344" s="230">
        <v>4</v>
      </c>
      <c r="I8344" s="220">
        <v>802000</v>
      </c>
      <c r="J8344" s="220">
        <f>I8344*0.1</f>
        <v>80200</v>
      </c>
      <c r="K8344" s="220">
        <v>0</v>
      </c>
      <c r="L8344" s="220">
        <v>12030</v>
      </c>
      <c r="M8344" s="220">
        <v>15950</v>
      </c>
      <c r="N8344" s="220">
        <f>SUM(I8344:M8345)</f>
        <v>910180</v>
      </c>
      <c r="O8344" s="224"/>
      <c r="P8344" s="110" t="s">
        <v>23614</v>
      </c>
      <c r="Q8344" s="15" t="s">
        <v>19</v>
      </c>
      <c r="R8344" s="205"/>
      <c r="S8344" s="189"/>
      <c r="T8344" s="114"/>
      <c r="U8344" s="21"/>
      <c r="V8344" s="115"/>
      <c r="W8344" s="116"/>
      <c r="X8344" s="220"/>
      <c r="Y8344" s="220">
        <f>X8344*0.1</f>
        <v>0</v>
      </c>
      <c r="Z8344" s="220"/>
      <c r="AA8344" s="220">
        <f>SUM(X8344:Z8344)</f>
        <v>0</v>
      </c>
      <c r="AB8344" s="222"/>
    </row>
    <row r="8345" spans="1:28" ht="17.100000000000001" customHeight="1" thickBot="1">
      <c r="A8345" s="227"/>
      <c r="B8345" s="27" t="s">
        <v>22982</v>
      </c>
      <c r="C8345" s="27">
        <v>97</v>
      </c>
      <c r="D8345" s="14" t="s">
        <v>2559</v>
      </c>
      <c r="E8345" s="229"/>
      <c r="F8345" s="117" t="s">
        <v>22983</v>
      </c>
      <c r="G8345" s="26">
        <v>100340</v>
      </c>
      <c r="H8345" s="231"/>
      <c r="I8345" s="221"/>
      <c r="J8345" s="221"/>
      <c r="K8345" s="221"/>
      <c r="L8345" s="221"/>
      <c r="M8345" s="221"/>
      <c r="N8345" s="221"/>
      <c r="O8345" s="225"/>
      <c r="P8345" s="118" t="s">
        <v>21336</v>
      </c>
      <c r="Q8345" s="16" t="s">
        <v>20</v>
      </c>
      <c r="R8345" s="17" t="s">
        <v>23596</v>
      </c>
      <c r="S8345" s="121"/>
      <c r="T8345" s="122"/>
      <c r="U8345" s="22"/>
      <c r="V8345" s="123"/>
      <c r="W8345" s="122"/>
      <c r="X8345" s="221"/>
      <c r="Y8345" s="221"/>
      <c r="Z8345" s="221"/>
      <c r="AA8345" s="221"/>
      <c r="AB8345" s="223"/>
    </row>
    <row r="8346" spans="1:28" ht="17.100000000000001" customHeight="1" thickTop="1">
      <c r="A8346" s="226" t="s">
        <v>22947</v>
      </c>
      <c r="B8346" s="28">
        <v>46130</v>
      </c>
      <c r="C8346" s="25">
        <v>308</v>
      </c>
      <c r="D8346" s="13" t="s">
        <v>22988</v>
      </c>
      <c r="E8346" s="228"/>
      <c r="F8346" s="109" t="s">
        <v>22984</v>
      </c>
      <c r="G8346" s="24"/>
      <c r="H8346" s="230">
        <v>4.5</v>
      </c>
      <c r="I8346" s="220">
        <v>604000</v>
      </c>
      <c r="J8346" s="220">
        <f>I8346*0.1</f>
        <v>60400</v>
      </c>
      <c r="K8346" s="220">
        <v>0</v>
      </c>
      <c r="L8346" s="220">
        <v>6550</v>
      </c>
      <c r="M8346" s="220">
        <v>15950</v>
      </c>
      <c r="N8346" s="220">
        <f>SUM(I8346:M8347)</f>
        <v>686900</v>
      </c>
      <c r="O8346" s="224"/>
      <c r="P8346" s="110" t="s">
        <v>23478</v>
      </c>
      <c r="Q8346" s="15" t="s">
        <v>19</v>
      </c>
      <c r="R8346" s="205"/>
      <c r="S8346" s="189" t="s">
        <v>283</v>
      </c>
      <c r="T8346" s="114"/>
      <c r="U8346" s="21"/>
      <c r="V8346" s="115">
        <v>46144</v>
      </c>
      <c r="W8346" s="116">
        <v>1299</v>
      </c>
      <c r="X8346" s="220">
        <v>698000</v>
      </c>
      <c r="Y8346" s="220">
        <f>X8346*0.1</f>
        <v>69800</v>
      </c>
      <c r="Z8346" s="220">
        <v>6550</v>
      </c>
      <c r="AA8346" s="220">
        <f>SUM(X8346:Z8346)</f>
        <v>774350</v>
      </c>
      <c r="AB8346" s="222">
        <v>46156</v>
      </c>
    </row>
    <row r="8347" spans="1:28" ht="17.100000000000001" customHeight="1" thickBot="1">
      <c r="A8347" s="227"/>
      <c r="B8347" s="27" t="s">
        <v>22982</v>
      </c>
      <c r="C8347" s="27">
        <v>3124</v>
      </c>
      <c r="D8347" s="14" t="s">
        <v>22989</v>
      </c>
      <c r="E8347" s="229"/>
      <c r="F8347" s="117" t="s">
        <v>22985</v>
      </c>
      <c r="G8347" s="26">
        <v>24471</v>
      </c>
      <c r="H8347" s="231"/>
      <c r="I8347" s="221"/>
      <c r="J8347" s="221"/>
      <c r="K8347" s="221"/>
      <c r="L8347" s="221"/>
      <c r="M8347" s="221"/>
      <c r="N8347" s="221"/>
      <c r="O8347" s="225"/>
      <c r="P8347" s="118" t="s">
        <v>23479</v>
      </c>
      <c r="Q8347" s="16" t="s">
        <v>20</v>
      </c>
      <c r="R8347" s="17" t="s">
        <v>23453</v>
      </c>
      <c r="S8347" s="121" t="s">
        <v>23465</v>
      </c>
      <c r="T8347" s="122"/>
      <c r="U8347" s="22"/>
      <c r="V8347" s="123" t="s">
        <v>6641</v>
      </c>
      <c r="W8347" s="122">
        <v>60082</v>
      </c>
      <c r="X8347" s="221"/>
      <c r="Y8347" s="221"/>
      <c r="Z8347" s="221"/>
      <c r="AA8347" s="221"/>
      <c r="AB8347" s="223"/>
    </row>
    <row r="8348" spans="1:28" ht="17.100000000000001" customHeight="1" thickTop="1">
      <c r="A8348" s="226" t="s">
        <v>22990</v>
      </c>
      <c r="B8348" s="28">
        <v>46130</v>
      </c>
      <c r="C8348" s="25">
        <v>1297</v>
      </c>
      <c r="D8348" s="13" t="s">
        <v>23086</v>
      </c>
      <c r="E8348" s="228"/>
      <c r="F8348" s="109" t="s">
        <v>23087</v>
      </c>
      <c r="G8348" s="24" t="s">
        <v>23088</v>
      </c>
      <c r="H8348" s="230">
        <v>4</v>
      </c>
      <c r="I8348" s="220">
        <v>3425000</v>
      </c>
      <c r="J8348" s="220">
        <v>342500</v>
      </c>
      <c r="K8348" s="220">
        <v>16060</v>
      </c>
      <c r="L8348" s="220">
        <v>11040</v>
      </c>
      <c r="M8348" s="220">
        <v>12100</v>
      </c>
      <c r="N8348" s="220">
        <f>SUM(I8348:M8349)</f>
        <v>3806700</v>
      </c>
      <c r="O8348" s="224"/>
      <c r="P8348" s="110" t="s">
        <v>23089</v>
      </c>
      <c r="Q8348" s="15" t="s">
        <v>19</v>
      </c>
      <c r="R8348" s="205"/>
      <c r="S8348" s="189"/>
      <c r="T8348" s="114"/>
      <c r="U8348" s="21"/>
      <c r="V8348" s="115">
        <v>46134</v>
      </c>
      <c r="W8348" s="116">
        <v>1014</v>
      </c>
      <c r="X8348" s="220">
        <v>3525000</v>
      </c>
      <c r="Y8348" s="220">
        <f>X8348*0.1</f>
        <v>352500</v>
      </c>
      <c r="Z8348" s="220">
        <v>11040</v>
      </c>
      <c r="AA8348" s="220">
        <f>SUM(X8348:Z8348)</f>
        <v>3888540</v>
      </c>
      <c r="AB8348" s="222">
        <v>46140</v>
      </c>
    </row>
    <row r="8349" spans="1:28" ht="17.100000000000001" customHeight="1" thickBot="1">
      <c r="A8349" s="227"/>
      <c r="B8349" s="27" t="s">
        <v>22994</v>
      </c>
      <c r="C8349" s="27">
        <v>31026</v>
      </c>
      <c r="D8349" s="14" t="s">
        <v>22973</v>
      </c>
      <c r="E8349" s="229"/>
      <c r="F8349" s="117" t="s">
        <v>22995</v>
      </c>
      <c r="G8349" s="26">
        <v>49716</v>
      </c>
      <c r="H8349" s="231"/>
      <c r="I8349" s="221"/>
      <c r="J8349" s="221"/>
      <c r="K8349" s="221"/>
      <c r="L8349" s="221"/>
      <c r="M8349" s="221"/>
      <c r="N8349" s="221"/>
      <c r="O8349" s="225"/>
      <c r="P8349" s="118" t="s">
        <v>2287</v>
      </c>
      <c r="Q8349" s="16" t="s">
        <v>20</v>
      </c>
      <c r="R8349" s="17" t="s">
        <v>23902</v>
      </c>
      <c r="S8349" s="121"/>
      <c r="T8349" s="122"/>
      <c r="U8349" s="22"/>
      <c r="V8349" s="123" t="s">
        <v>23332</v>
      </c>
      <c r="W8349" s="122">
        <v>5111</v>
      </c>
      <c r="X8349" s="221"/>
      <c r="Y8349" s="221"/>
      <c r="Z8349" s="221"/>
      <c r="AA8349" s="221"/>
      <c r="AB8349" s="223"/>
    </row>
    <row r="8350" spans="1:28" ht="17.100000000000001" customHeight="1" thickTop="1">
      <c r="A8350" s="226" t="s">
        <v>22991</v>
      </c>
      <c r="B8350" s="28">
        <v>46130</v>
      </c>
      <c r="C8350" s="25">
        <v>1297</v>
      </c>
      <c r="D8350" s="13" t="s">
        <v>23090</v>
      </c>
      <c r="E8350" s="228"/>
      <c r="F8350" s="109" t="s">
        <v>22996</v>
      </c>
      <c r="G8350" s="24" t="s">
        <v>23091</v>
      </c>
      <c r="H8350" s="230">
        <v>4</v>
      </c>
      <c r="I8350" s="220">
        <v>1705000</v>
      </c>
      <c r="J8350" s="220">
        <f>I8350*0.1</f>
        <v>170500</v>
      </c>
      <c r="K8350" s="220">
        <v>30690</v>
      </c>
      <c r="L8350" s="220">
        <v>11510</v>
      </c>
      <c r="M8350" s="220">
        <v>12100</v>
      </c>
      <c r="N8350" s="220">
        <f>SUM(I8350:M8351)</f>
        <v>1929800</v>
      </c>
      <c r="O8350" s="224"/>
      <c r="P8350" s="110" t="s">
        <v>23092</v>
      </c>
      <c r="Q8350" s="15" t="s">
        <v>19</v>
      </c>
      <c r="R8350" s="205"/>
      <c r="S8350" s="189" t="s">
        <v>25770</v>
      </c>
      <c r="T8350" s="114"/>
      <c r="U8350" s="21"/>
      <c r="V8350" s="115">
        <v>46134</v>
      </c>
      <c r="W8350" s="116">
        <v>1014</v>
      </c>
      <c r="X8350" s="220">
        <v>1815000</v>
      </c>
      <c r="Y8350" s="220">
        <f>X8350*0.1</f>
        <v>181500</v>
      </c>
      <c r="Z8350" s="220">
        <v>11510</v>
      </c>
      <c r="AA8350" s="220">
        <f>SUM(X8350:Z8350)</f>
        <v>2008010</v>
      </c>
      <c r="AB8350" s="222">
        <v>46140</v>
      </c>
    </row>
    <row r="8351" spans="1:28" ht="17.100000000000001" customHeight="1" thickBot="1">
      <c r="A8351" s="227"/>
      <c r="B8351" s="27" t="s">
        <v>22994</v>
      </c>
      <c r="C8351" s="27">
        <v>31060</v>
      </c>
      <c r="D8351" s="14" t="s">
        <v>2559</v>
      </c>
      <c r="E8351" s="229"/>
      <c r="F8351" s="117" t="s">
        <v>22997</v>
      </c>
      <c r="G8351" s="26">
        <v>18591</v>
      </c>
      <c r="H8351" s="231"/>
      <c r="I8351" s="221"/>
      <c r="J8351" s="221"/>
      <c r="K8351" s="221"/>
      <c r="L8351" s="221"/>
      <c r="M8351" s="221"/>
      <c r="N8351" s="221"/>
      <c r="O8351" s="225"/>
      <c r="P8351" s="118" t="s">
        <v>23909</v>
      </c>
      <c r="Q8351" s="16" t="s">
        <v>20</v>
      </c>
      <c r="R8351" s="17" t="s">
        <v>23902</v>
      </c>
      <c r="S8351" s="121" t="s">
        <v>1625</v>
      </c>
      <c r="T8351" s="122"/>
      <c r="U8351" s="22"/>
      <c r="V8351" s="123" t="s">
        <v>23332</v>
      </c>
      <c r="W8351" s="122">
        <v>5110</v>
      </c>
      <c r="X8351" s="221"/>
      <c r="Y8351" s="221"/>
      <c r="Z8351" s="221"/>
      <c r="AA8351" s="221"/>
      <c r="AB8351" s="223"/>
    </row>
    <row r="8352" spans="1:28" ht="17.100000000000001" customHeight="1" thickTop="1">
      <c r="A8352" s="226" t="s">
        <v>22992</v>
      </c>
      <c r="B8352" s="28">
        <v>46130</v>
      </c>
      <c r="C8352" s="25">
        <v>1297</v>
      </c>
      <c r="D8352" s="13" t="s">
        <v>23093</v>
      </c>
      <c r="E8352" s="228"/>
      <c r="F8352" s="109" t="s">
        <v>17515</v>
      </c>
      <c r="G8352" s="24" t="s">
        <v>23094</v>
      </c>
      <c r="H8352" s="230">
        <v>4</v>
      </c>
      <c r="I8352" s="220">
        <v>950000</v>
      </c>
      <c r="J8352" s="220">
        <f>I8352*0.1</f>
        <v>95000</v>
      </c>
      <c r="K8352" s="220">
        <v>29700</v>
      </c>
      <c r="L8352" s="220">
        <v>9750</v>
      </c>
      <c r="M8352" s="220">
        <v>23100</v>
      </c>
      <c r="N8352" s="220">
        <f>SUM(I8352:M8353)</f>
        <v>1107550</v>
      </c>
      <c r="O8352" s="224"/>
      <c r="P8352" s="110" t="s">
        <v>23095</v>
      </c>
      <c r="Q8352" s="15" t="s">
        <v>19</v>
      </c>
      <c r="R8352" s="205"/>
      <c r="S8352" s="189" t="s">
        <v>25959</v>
      </c>
      <c r="T8352" s="114"/>
      <c r="U8352" s="21"/>
      <c r="V8352" s="115">
        <v>46134</v>
      </c>
      <c r="W8352" s="116">
        <v>1014</v>
      </c>
      <c r="X8352" s="220">
        <v>1050000</v>
      </c>
      <c r="Y8352" s="220">
        <f>X8352*0.1</f>
        <v>105000</v>
      </c>
      <c r="Z8352" s="220">
        <v>9750</v>
      </c>
      <c r="AA8352" s="220">
        <f>SUM(X8352:Z8352)</f>
        <v>1164750</v>
      </c>
      <c r="AB8352" s="222">
        <v>46140</v>
      </c>
    </row>
    <row r="8353" spans="1:28" ht="17.100000000000001" customHeight="1" thickBot="1">
      <c r="A8353" s="227"/>
      <c r="B8353" s="27" t="s">
        <v>22994</v>
      </c>
      <c r="C8353" s="27">
        <v>37378</v>
      </c>
      <c r="D8353" s="14" t="s">
        <v>22967</v>
      </c>
      <c r="E8353" s="229"/>
      <c r="F8353" s="117" t="s">
        <v>22998</v>
      </c>
      <c r="G8353" s="26">
        <v>67420</v>
      </c>
      <c r="H8353" s="231"/>
      <c r="I8353" s="221"/>
      <c r="J8353" s="221"/>
      <c r="K8353" s="221"/>
      <c r="L8353" s="221"/>
      <c r="M8353" s="221"/>
      <c r="N8353" s="221"/>
      <c r="O8353" s="225"/>
      <c r="P8353" s="118" t="s">
        <v>23907</v>
      </c>
      <c r="Q8353" s="16" t="s">
        <v>20</v>
      </c>
      <c r="R8353" s="17" t="s">
        <v>23902</v>
      </c>
      <c r="S8353" s="121" t="s">
        <v>23908</v>
      </c>
      <c r="T8353" s="122" t="s">
        <v>21714</v>
      </c>
      <c r="U8353" s="22"/>
      <c r="V8353" s="123" t="s">
        <v>23332</v>
      </c>
      <c r="W8353" s="122">
        <v>5106</v>
      </c>
      <c r="X8353" s="221"/>
      <c r="Y8353" s="221"/>
      <c r="Z8353" s="221"/>
      <c r="AA8353" s="221"/>
      <c r="AB8353" s="223"/>
    </row>
    <row r="8354" spans="1:28" ht="17.100000000000001" customHeight="1" thickTop="1">
      <c r="A8354" s="226" t="s">
        <v>22993</v>
      </c>
      <c r="B8354" s="28">
        <v>46130</v>
      </c>
      <c r="C8354" s="25">
        <v>1297</v>
      </c>
      <c r="D8354" s="13" t="s">
        <v>23096</v>
      </c>
      <c r="E8354" s="228"/>
      <c r="F8354" s="109" t="s">
        <v>22999</v>
      </c>
      <c r="G8354" s="24"/>
      <c r="H8354" s="230">
        <v>4</v>
      </c>
      <c r="I8354" s="220">
        <v>550000</v>
      </c>
      <c r="J8354" s="220">
        <f>I8354*0.1</f>
        <v>55000</v>
      </c>
      <c r="K8354" s="220">
        <v>0</v>
      </c>
      <c r="L8354" s="220">
        <v>7860</v>
      </c>
      <c r="M8354" s="220">
        <v>12100</v>
      </c>
      <c r="N8354" s="220">
        <f>SUM(I8354:M8355)</f>
        <v>624960</v>
      </c>
      <c r="O8354" s="224"/>
      <c r="P8354" s="110" t="s">
        <v>23905</v>
      </c>
      <c r="Q8354" s="15" t="s">
        <v>19</v>
      </c>
      <c r="R8354" s="205"/>
      <c r="S8354" s="189" t="s">
        <v>25959</v>
      </c>
      <c r="T8354" s="114"/>
      <c r="U8354" s="21"/>
      <c r="V8354" s="115">
        <v>46137</v>
      </c>
      <c r="W8354" s="116">
        <v>1298</v>
      </c>
      <c r="X8354" s="220">
        <v>620000</v>
      </c>
      <c r="Y8354" s="220">
        <f>X8354*0.1</f>
        <v>62000</v>
      </c>
      <c r="Z8354" s="220">
        <v>7860</v>
      </c>
      <c r="AA8354" s="220">
        <f>SUM(X8354:Z8354)</f>
        <v>689860</v>
      </c>
      <c r="AB8354" s="222">
        <v>46140</v>
      </c>
    </row>
    <row r="8355" spans="1:28" ht="17.100000000000001" customHeight="1" thickBot="1">
      <c r="A8355" s="227"/>
      <c r="B8355" s="27" t="s">
        <v>22994</v>
      </c>
      <c r="C8355" s="27">
        <v>65064</v>
      </c>
      <c r="D8355" s="14" t="s">
        <v>1710</v>
      </c>
      <c r="E8355" s="229"/>
      <c r="F8355" s="117" t="s">
        <v>23008</v>
      </c>
      <c r="G8355" s="26">
        <v>38299</v>
      </c>
      <c r="H8355" s="231"/>
      <c r="I8355" s="221"/>
      <c r="J8355" s="221"/>
      <c r="K8355" s="221"/>
      <c r="L8355" s="221"/>
      <c r="M8355" s="221"/>
      <c r="N8355" s="221"/>
      <c r="O8355" s="225"/>
      <c r="P8355" s="118" t="s">
        <v>6796</v>
      </c>
      <c r="Q8355" s="16" t="s">
        <v>20</v>
      </c>
      <c r="R8355" s="17" t="s">
        <v>23902</v>
      </c>
      <c r="S8355" s="121" t="s">
        <v>1625</v>
      </c>
      <c r="T8355" s="122"/>
      <c r="U8355" s="22"/>
      <c r="V8355" s="123" t="s">
        <v>2472</v>
      </c>
      <c r="W8355" s="122">
        <v>60214</v>
      </c>
      <c r="X8355" s="221"/>
      <c r="Y8355" s="221"/>
      <c r="Z8355" s="221"/>
      <c r="AA8355" s="221"/>
      <c r="AB8355" s="223"/>
    </row>
    <row r="8356" spans="1:28" ht="17.100000000000001" customHeight="1" thickTop="1">
      <c r="A8356" s="226" t="s">
        <v>23000</v>
      </c>
      <c r="B8356" s="28">
        <v>46130</v>
      </c>
      <c r="C8356" s="25">
        <v>1297</v>
      </c>
      <c r="D8356" s="13" t="s">
        <v>23097</v>
      </c>
      <c r="E8356" s="228"/>
      <c r="F8356" s="109" t="s">
        <v>23009</v>
      </c>
      <c r="G8356" s="24" t="s">
        <v>23098</v>
      </c>
      <c r="H8356" s="230">
        <v>4</v>
      </c>
      <c r="I8356" s="220">
        <v>670000</v>
      </c>
      <c r="J8356" s="220">
        <f>I8356*0.1</f>
        <v>67000</v>
      </c>
      <c r="K8356" s="220">
        <v>0</v>
      </c>
      <c r="L8356" s="220">
        <v>8670</v>
      </c>
      <c r="M8356" s="220">
        <v>12100</v>
      </c>
      <c r="N8356" s="220">
        <f>SUM(I8356:M8357)</f>
        <v>757770</v>
      </c>
      <c r="O8356" s="224"/>
      <c r="P8356" s="110" t="s">
        <v>23099</v>
      </c>
      <c r="Q8356" s="15" t="s">
        <v>19</v>
      </c>
      <c r="R8356" s="205"/>
      <c r="S8356" s="189" t="s">
        <v>25691</v>
      </c>
      <c r="T8356" s="114"/>
      <c r="U8356" s="21"/>
      <c r="V8356" s="115">
        <v>46141</v>
      </c>
      <c r="W8356" s="116">
        <v>1015</v>
      </c>
      <c r="X8356" s="220">
        <v>750000</v>
      </c>
      <c r="Y8356" s="220">
        <f>X8356*0.1</f>
        <v>75000</v>
      </c>
      <c r="Z8356" s="220">
        <v>8670</v>
      </c>
      <c r="AA8356" s="220">
        <f>SUM(X8356:Z8356)</f>
        <v>833670</v>
      </c>
      <c r="AB8356" s="222">
        <v>46153</v>
      </c>
    </row>
    <row r="8357" spans="1:28" ht="17.100000000000001" customHeight="1" thickBot="1">
      <c r="A8357" s="227"/>
      <c r="B8357" s="27" t="s">
        <v>22994</v>
      </c>
      <c r="C8357" s="27">
        <v>65277</v>
      </c>
      <c r="D8357" s="14" t="s">
        <v>2559</v>
      </c>
      <c r="E8357" s="229"/>
      <c r="F8357" s="117" t="s">
        <v>23010</v>
      </c>
      <c r="G8357" s="26">
        <v>58610</v>
      </c>
      <c r="H8357" s="231"/>
      <c r="I8357" s="221"/>
      <c r="J8357" s="221"/>
      <c r="K8357" s="221"/>
      <c r="L8357" s="221"/>
      <c r="M8357" s="221"/>
      <c r="N8357" s="221"/>
      <c r="O8357" s="225"/>
      <c r="P8357" s="118" t="s">
        <v>10518</v>
      </c>
      <c r="Q8357" s="16" t="s">
        <v>20</v>
      </c>
      <c r="R8357" s="17" t="s">
        <v>23902</v>
      </c>
      <c r="S8357" s="121" t="s">
        <v>1722</v>
      </c>
      <c r="T8357" s="122"/>
      <c r="U8357" s="22"/>
      <c r="V8357" s="123" t="s">
        <v>8877</v>
      </c>
      <c r="W8357" s="122">
        <v>2065</v>
      </c>
      <c r="X8357" s="221"/>
      <c r="Y8357" s="221"/>
      <c r="Z8357" s="221"/>
      <c r="AA8357" s="221"/>
      <c r="AB8357" s="223"/>
    </row>
    <row r="8358" spans="1:28" ht="17.100000000000001" customHeight="1" thickTop="1">
      <c r="A8358" s="226" t="s">
        <v>23001</v>
      </c>
      <c r="B8358" s="28">
        <v>46130</v>
      </c>
      <c r="C8358" s="25">
        <v>1297</v>
      </c>
      <c r="D8358" s="13" t="s">
        <v>23100</v>
      </c>
      <c r="E8358" s="228"/>
      <c r="F8358" s="109" t="s">
        <v>23011</v>
      </c>
      <c r="G8358" s="24" t="s">
        <v>23102</v>
      </c>
      <c r="H8358" s="230">
        <v>4.5</v>
      </c>
      <c r="I8358" s="220">
        <v>1860000</v>
      </c>
      <c r="J8358" s="220">
        <f>I8358*0.1</f>
        <v>186000</v>
      </c>
      <c r="K8358" s="220">
        <v>0</v>
      </c>
      <c r="L8358" s="220">
        <v>20830</v>
      </c>
      <c r="M8358" s="220">
        <v>16500</v>
      </c>
      <c r="N8358" s="220">
        <f>SUM(I8358:M8359)</f>
        <v>2083330</v>
      </c>
      <c r="O8358" s="224"/>
      <c r="P8358" s="110" t="s">
        <v>23103</v>
      </c>
      <c r="Q8358" s="15" t="s">
        <v>19</v>
      </c>
      <c r="R8358" s="205"/>
      <c r="S8358" s="189" t="s">
        <v>25963</v>
      </c>
      <c r="T8358" s="114"/>
      <c r="U8358" s="21"/>
      <c r="V8358" s="115"/>
      <c r="W8358" s="116"/>
      <c r="X8358" s="220"/>
      <c r="Y8358" s="220">
        <f>X8358*0.1</f>
        <v>0</v>
      </c>
      <c r="Z8358" s="220"/>
      <c r="AA8358" s="220">
        <f>SUM(X8358:Z8358)</f>
        <v>0</v>
      </c>
      <c r="AB8358" s="222"/>
    </row>
    <row r="8359" spans="1:28" ht="17.100000000000001" customHeight="1" thickBot="1">
      <c r="A8359" s="227"/>
      <c r="B8359" s="27" t="s">
        <v>22994</v>
      </c>
      <c r="C8359" s="27">
        <v>80256</v>
      </c>
      <c r="D8359" s="14" t="s">
        <v>2559</v>
      </c>
      <c r="E8359" s="229"/>
      <c r="F8359" s="117" t="s">
        <v>23101</v>
      </c>
      <c r="G8359" s="26">
        <v>63528</v>
      </c>
      <c r="H8359" s="231"/>
      <c r="I8359" s="221"/>
      <c r="J8359" s="221"/>
      <c r="K8359" s="221"/>
      <c r="L8359" s="221"/>
      <c r="M8359" s="221"/>
      <c r="N8359" s="221"/>
      <c r="O8359" s="225"/>
      <c r="P8359" s="118" t="s">
        <v>23922</v>
      </c>
      <c r="Q8359" s="16" t="s">
        <v>20</v>
      </c>
      <c r="R8359" s="17" t="s">
        <v>23902</v>
      </c>
      <c r="S8359" s="121" t="s">
        <v>3581</v>
      </c>
      <c r="T8359" s="122"/>
      <c r="U8359" s="22"/>
      <c r="V8359" s="123"/>
      <c r="W8359" s="122"/>
      <c r="X8359" s="221"/>
      <c r="Y8359" s="221"/>
      <c r="Z8359" s="221"/>
      <c r="AA8359" s="221"/>
      <c r="AB8359" s="223"/>
    </row>
    <row r="8360" spans="1:28" ht="17.100000000000001" customHeight="1" thickTop="1">
      <c r="A8360" s="226" t="s">
        <v>23002</v>
      </c>
      <c r="B8360" s="28">
        <v>46130</v>
      </c>
      <c r="C8360" s="25">
        <v>1297</v>
      </c>
      <c r="D8360" s="13" t="s">
        <v>23062</v>
      </c>
      <c r="E8360" s="228"/>
      <c r="F8360" s="109" t="s">
        <v>23104</v>
      </c>
      <c r="G8360" s="24" t="s">
        <v>23105</v>
      </c>
      <c r="H8360" s="230">
        <v>4.5</v>
      </c>
      <c r="I8360" s="220">
        <v>2165000</v>
      </c>
      <c r="J8360" s="220">
        <f>I8360*0.1</f>
        <v>216500</v>
      </c>
      <c r="K8360" s="220">
        <v>34760</v>
      </c>
      <c r="L8360" s="220">
        <v>11740</v>
      </c>
      <c r="M8360" s="220">
        <v>16500</v>
      </c>
      <c r="N8360" s="220">
        <f>SUM(I8360:M8361)</f>
        <v>2444500</v>
      </c>
      <c r="O8360" s="224"/>
      <c r="P8360" s="110" t="s">
        <v>23106</v>
      </c>
      <c r="Q8360" s="15" t="s">
        <v>19</v>
      </c>
      <c r="R8360" s="205"/>
      <c r="S8360" s="189" t="s">
        <v>25964</v>
      </c>
      <c r="T8360" s="114"/>
      <c r="U8360" s="21"/>
      <c r="V8360" s="115"/>
      <c r="W8360" s="116"/>
      <c r="X8360" s="220"/>
      <c r="Y8360" s="220">
        <f>X8360*0.1</f>
        <v>0</v>
      </c>
      <c r="Z8360" s="220"/>
      <c r="AA8360" s="220">
        <f>SUM(X8360:Z8360)</f>
        <v>0</v>
      </c>
      <c r="AB8360" s="222"/>
    </row>
    <row r="8361" spans="1:28" ht="17.100000000000001" customHeight="1" thickBot="1">
      <c r="A8361" s="227"/>
      <c r="B8361" s="27" t="s">
        <v>22994</v>
      </c>
      <c r="C8361" s="27">
        <v>80358</v>
      </c>
      <c r="D8361" s="14" t="s">
        <v>22967</v>
      </c>
      <c r="E8361" s="229"/>
      <c r="F8361" s="117" t="s">
        <v>21063</v>
      </c>
      <c r="G8361" s="26">
        <v>34067</v>
      </c>
      <c r="H8361" s="231"/>
      <c r="I8361" s="221"/>
      <c r="J8361" s="221"/>
      <c r="K8361" s="221"/>
      <c r="L8361" s="221"/>
      <c r="M8361" s="221"/>
      <c r="N8361" s="221"/>
      <c r="O8361" s="225"/>
      <c r="P8361" s="118" t="s">
        <v>21670</v>
      </c>
      <c r="Q8361" s="16" t="s">
        <v>20</v>
      </c>
      <c r="R8361" s="17" t="s">
        <v>23902</v>
      </c>
      <c r="S8361" s="121" t="s">
        <v>23919</v>
      </c>
      <c r="T8361" s="122"/>
      <c r="U8361" s="22"/>
      <c r="V8361" s="123"/>
      <c r="W8361" s="122"/>
      <c r="X8361" s="221"/>
      <c r="Y8361" s="221"/>
      <c r="Z8361" s="221"/>
      <c r="AA8361" s="221"/>
      <c r="AB8361" s="223"/>
    </row>
    <row r="8362" spans="1:28" ht="17.100000000000001" customHeight="1" thickTop="1">
      <c r="A8362" s="226" t="s">
        <v>23003</v>
      </c>
      <c r="B8362" s="28">
        <v>46130</v>
      </c>
      <c r="C8362" s="25">
        <v>1297</v>
      </c>
      <c r="D8362" s="13" t="s">
        <v>23107</v>
      </c>
      <c r="E8362" s="228"/>
      <c r="F8362" s="109" t="s">
        <v>22297</v>
      </c>
      <c r="G8362" s="24" t="s">
        <v>23109</v>
      </c>
      <c r="H8362" s="230">
        <v>4.5</v>
      </c>
      <c r="I8362" s="220">
        <v>2000000</v>
      </c>
      <c r="J8362" s="220">
        <f>I8362*0.1</f>
        <v>200000</v>
      </c>
      <c r="K8362" s="220">
        <v>39820</v>
      </c>
      <c r="L8362" s="220">
        <v>21720</v>
      </c>
      <c r="M8362" s="220">
        <v>23100</v>
      </c>
      <c r="N8362" s="220">
        <f>SUM(I8362:M8363)</f>
        <v>2284640</v>
      </c>
      <c r="O8362" s="224"/>
      <c r="P8362" s="110" t="s">
        <v>23110</v>
      </c>
      <c r="Q8362" s="15" t="s">
        <v>19</v>
      </c>
      <c r="R8362" s="205"/>
      <c r="S8362" s="189" t="s">
        <v>25959</v>
      </c>
      <c r="T8362" s="114"/>
      <c r="U8362" s="21"/>
      <c r="V8362" s="115">
        <v>46158</v>
      </c>
      <c r="W8362" s="116">
        <v>1300</v>
      </c>
      <c r="X8362" s="220">
        <v>2275000</v>
      </c>
      <c r="Y8362" s="220">
        <f>X8362*0.1</f>
        <v>227500</v>
      </c>
      <c r="Z8362" s="220">
        <v>21720</v>
      </c>
      <c r="AA8362" s="220">
        <f>SUM(X8362:Z8362)</f>
        <v>2524220</v>
      </c>
      <c r="AB8362" s="222">
        <v>46167</v>
      </c>
    </row>
    <row r="8363" spans="1:28" ht="17.100000000000001" customHeight="1" thickBot="1">
      <c r="A8363" s="227"/>
      <c r="B8363" s="27" t="s">
        <v>22994</v>
      </c>
      <c r="C8363" s="27">
        <v>81021</v>
      </c>
      <c r="D8363" s="14" t="s">
        <v>22989</v>
      </c>
      <c r="E8363" s="229"/>
      <c r="F8363" s="117" t="s">
        <v>23108</v>
      </c>
      <c r="G8363" s="26">
        <v>76642</v>
      </c>
      <c r="H8363" s="231"/>
      <c r="I8363" s="221"/>
      <c r="J8363" s="221"/>
      <c r="K8363" s="221"/>
      <c r="L8363" s="221"/>
      <c r="M8363" s="221"/>
      <c r="N8363" s="221"/>
      <c r="O8363" s="225"/>
      <c r="P8363" s="118" t="s">
        <v>23921</v>
      </c>
      <c r="Q8363" s="16" t="s">
        <v>20</v>
      </c>
      <c r="R8363" s="17" t="s">
        <v>23902</v>
      </c>
      <c r="S8363" s="121" t="s">
        <v>1731</v>
      </c>
      <c r="T8363" s="122"/>
      <c r="U8363" s="22"/>
      <c r="V8363" s="123" t="s">
        <v>7160</v>
      </c>
      <c r="W8363" s="122">
        <v>80063</v>
      </c>
      <c r="X8363" s="221"/>
      <c r="Y8363" s="221"/>
      <c r="Z8363" s="221"/>
      <c r="AA8363" s="221"/>
      <c r="AB8363" s="223"/>
    </row>
    <row r="8364" spans="1:28" ht="17.100000000000001" customHeight="1" thickTop="1">
      <c r="A8364" s="226" t="s">
        <v>23004</v>
      </c>
      <c r="B8364" s="28">
        <v>46130</v>
      </c>
      <c r="C8364" s="25">
        <v>1297</v>
      </c>
      <c r="D8364" s="13" t="s">
        <v>23111</v>
      </c>
      <c r="E8364" s="228"/>
      <c r="F8364" s="109" t="s">
        <v>23012</v>
      </c>
      <c r="G8364" s="24" t="s">
        <v>23113</v>
      </c>
      <c r="H8364" s="230">
        <v>4.5</v>
      </c>
      <c r="I8364" s="220">
        <v>1100000</v>
      </c>
      <c r="J8364" s="220">
        <f>I8364*0.1</f>
        <v>110000</v>
      </c>
      <c r="K8364" s="220">
        <v>25190</v>
      </c>
      <c r="L8364" s="220">
        <v>11930</v>
      </c>
      <c r="M8364" s="220">
        <v>23100</v>
      </c>
      <c r="N8364" s="220">
        <f>SUM(I8364:M8365)</f>
        <v>1270220</v>
      </c>
      <c r="O8364" s="224"/>
      <c r="P8364" s="110" t="s">
        <v>23114</v>
      </c>
      <c r="Q8364" s="15" t="s">
        <v>19</v>
      </c>
      <c r="R8364" s="205"/>
      <c r="S8364" s="189" t="s">
        <v>25507</v>
      </c>
      <c r="T8364" s="114"/>
      <c r="U8364" s="21"/>
      <c r="V8364" s="115">
        <v>46135</v>
      </c>
      <c r="W8364" s="116">
        <v>1328</v>
      </c>
      <c r="X8364" s="220">
        <v>1245000</v>
      </c>
      <c r="Y8364" s="220">
        <f>X8364*0.1</f>
        <v>124500</v>
      </c>
      <c r="Z8364" s="220">
        <v>11930</v>
      </c>
      <c r="AA8364" s="220">
        <f>SUM(X8364:Z8364)</f>
        <v>1381430</v>
      </c>
      <c r="AB8364" s="222">
        <v>46136</v>
      </c>
    </row>
    <row r="8365" spans="1:28" ht="17.100000000000001" customHeight="1" thickBot="1">
      <c r="A8365" s="227"/>
      <c r="B8365" s="27" t="s">
        <v>22994</v>
      </c>
      <c r="C8365" s="27">
        <v>81038</v>
      </c>
      <c r="D8365" s="14" t="s">
        <v>23045</v>
      </c>
      <c r="E8365" s="229"/>
      <c r="F8365" s="117" t="s">
        <v>23112</v>
      </c>
      <c r="G8365" s="26">
        <v>20150</v>
      </c>
      <c r="H8365" s="231"/>
      <c r="I8365" s="221"/>
      <c r="J8365" s="221"/>
      <c r="K8365" s="221"/>
      <c r="L8365" s="221"/>
      <c r="M8365" s="221"/>
      <c r="N8365" s="221"/>
      <c r="O8365" s="225"/>
      <c r="P8365" s="118" t="s">
        <v>23910</v>
      </c>
      <c r="Q8365" s="16" t="s">
        <v>20</v>
      </c>
      <c r="R8365" s="17" t="s">
        <v>23902</v>
      </c>
      <c r="S8365" s="121" t="s">
        <v>4798</v>
      </c>
      <c r="T8365" s="122"/>
      <c r="U8365" s="22"/>
      <c r="V8365" s="123" t="s">
        <v>23411</v>
      </c>
      <c r="W8365" s="122">
        <v>342</v>
      </c>
      <c r="X8365" s="221"/>
      <c r="Y8365" s="221"/>
      <c r="Z8365" s="221"/>
      <c r="AA8365" s="221"/>
      <c r="AB8365" s="223"/>
    </row>
    <row r="8366" spans="1:28" ht="17.100000000000001" customHeight="1" thickTop="1">
      <c r="A8366" s="226" t="s">
        <v>23005</v>
      </c>
      <c r="B8366" s="28">
        <v>46130</v>
      </c>
      <c r="C8366" s="25">
        <v>1297</v>
      </c>
      <c r="D8366" s="13" t="s">
        <v>23115</v>
      </c>
      <c r="E8366" s="228"/>
      <c r="F8366" s="109" t="s">
        <v>23013</v>
      </c>
      <c r="G8366" s="24" t="s">
        <v>23117</v>
      </c>
      <c r="H8366" s="230">
        <v>4.5</v>
      </c>
      <c r="I8366" s="220">
        <v>600000</v>
      </c>
      <c r="J8366" s="220">
        <f>I8366*0.1</f>
        <v>60000</v>
      </c>
      <c r="K8366" s="220">
        <v>39820</v>
      </c>
      <c r="L8366" s="220">
        <v>19120</v>
      </c>
      <c r="M8366" s="220">
        <v>23100</v>
      </c>
      <c r="N8366" s="220">
        <f>SUM(I8366:M8367)</f>
        <v>742040</v>
      </c>
      <c r="O8366" s="224"/>
      <c r="P8366" s="110" t="s">
        <v>23920</v>
      </c>
      <c r="Q8366" s="15" t="s">
        <v>19</v>
      </c>
      <c r="R8366" s="205"/>
      <c r="S8366" s="189"/>
      <c r="T8366" s="114"/>
      <c r="U8366" s="21" t="s">
        <v>24641</v>
      </c>
      <c r="V8366" s="115">
        <v>46165</v>
      </c>
      <c r="W8366" s="116">
        <v>1301</v>
      </c>
      <c r="X8366" s="220">
        <v>715000</v>
      </c>
      <c r="Y8366" s="220">
        <f>X8366*0.1</f>
        <v>71500</v>
      </c>
      <c r="Z8366" s="220">
        <v>19120</v>
      </c>
      <c r="AA8366" s="220">
        <f>SUM(X8366:Z8366)</f>
        <v>805620</v>
      </c>
      <c r="AB8366" s="222">
        <v>46168</v>
      </c>
    </row>
    <row r="8367" spans="1:28" ht="17.100000000000001" customHeight="1" thickBot="1">
      <c r="A8367" s="227"/>
      <c r="B8367" s="27" t="s">
        <v>22994</v>
      </c>
      <c r="C8367" s="27">
        <v>81085</v>
      </c>
      <c r="D8367" s="14" t="s">
        <v>23078</v>
      </c>
      <c r="E8367" s="229"/>
      <c r="F8367" s="117" t="s">
        <v>23116</v>
      </c>
      <c r="G8367" s="26">
        <v>53817</v>
      </c>
      <c r="H8367" s="231"/>
      <c r="I8367" s="221"/>
      <c r="J8367" s="221"/>
      <c r="K8367" s="221"/>
      <c r="L8367" s="221"/>
      <c r="M8367" s="221"/>
      <c r="N8367" s="221"/>
      <c r="O8367" s="225"/>
      <c r="P8367" s="118" t="s">
        <v>1972</v>
      </c>
      <c r="Q8367" s="16" t="s">
        <v>20</v>
      </c>
      <c r="R8367" s="17" t="s">
        <v>23902</v>
      </c>
      <c r="S8367" s="121" t="s">
        <v>1731</v>
      </c>
      <c r="T8367" s="122"/>
      <c r="U8367" s="22"/>
      <c r="V8367" s="123" t="s">
        <v>7160</v>
      </c>
      <c r="W8367" s="122">
        <v>80006</v>
      </c>
      <c r="X8367" s="221"/>
      <c r="Y8367" s="221"/>
      <c r="Z8367" s="221"/>
      <c r="AA8367" s="221"/>
      <c r="AB8367" s="223"/>
    </row>
    <row r="8368" spans="1:28" ht="17.100000000000001" customHeight="1" thickTop="1">
      <c r="A8368" s="226" t="s">
        <v>23006</v>
      </c>
      <c r="B8368" s="28">
        <v>46130</v>
      </c>
      <c r="C8368" s="25">
        <v>1297</v>
      </c>
      <c r="D8368" s="13" t="s">
        <v>23118</v>
      </c>
      <c r="E8368" s="228"/>
      <c r="F8368" s="109" t="s">
        <v>23015</v>
      </c>
      <c r="G8368" s="24"/>
      <c r="H8368" s="230">
        <v>4.5</v>
      </c>
      <c r="I8368" s="220">
        <v>1605000</v>
      </c>
      <c r="J8368" s="220">
        <f>I8368*0.1</f>
        <v>160500</v>
      </c>
      <c r="K8368" s="220">
        <v>0</v>
      </c>
      <c r="L8368" s="220">
        <v>21330</v>
      </c>
      <c r="M8368" s="220">
        <v>16500</v>
      </c>
      <c r="N8368" s="220">
        <f>SUM(I8368:M8369)</f>
        <v>1803330</v>
      </c>
      <c r="O8368" s="224"/>
      <c r="P8368" s="110" t="s">
        <v>23923</v>
      </c>
      <c r="Q8368" s="15" t="s">
        <v>19</v>
      </c>
      <c r="R8368" s="205"/>
      <c r="S8368" s="189" t="s">
        <v>25901</v>
      </c>
      <c r="T8368" s="114"/>
      <c r="U8368" s="21"/>
      <c r="V8368" s="115"/>
      <c r="W8368" s="116"/>
      <c r="X8368" s="220"/>
      <c r="Y8368" s="220">
        <f>X8368*0.1</f>
        <v>0</v>
      </c>
      <c r="Z8368" s="220"/>
      <c r="AA8368" s="220">
        <f>SUM(X8368:Z8368)</f>
        <v>0</v>
      </c>
      <c r="AB8368" s="222"/>
    </row>
    <row r="8369" spans="1:28" ht="17.100000000000001" customHeight="1" thickBot="1">
      <c r="A8369" s="227"/>
      <c r="B8369" s="27" t="s">
        <v>22994</v>
      </c>
      <c r="C8369" s="27">
        <v>82255</v>
      </c>
      <c r="D8369" s="14" t="s">
        <v>22973</v>
      </c>
      <c r="E8369" s="229"/>
      <c r="F8369" s="117" t="s">
        <v>23119</v>
      </c>
      <c r="G8369" s="26">
        <v>58920</v>
      </c>
      <c r="H8369" s="231"/>
      <c r="I8369" s="221"/>
      <c r="J8369" s="221"/>
      <c r="K8369" s="221"/>
      <c r="L8369" s="221"/>
      <c r="M8369" s="221"/>
      <c r="N8369" s="221"/>
      <c r="O8369" s="225"/>
      <c r="P8369" s="118" t="s">
        <v>23924</v>
      </c>
      <c r="Q8369" s="16" t="s">
        <v>20</v>
      </c>
      <c r="R8369" s="17" t="s">
        <v>23902</v>
      </c>
      <c r="S8369" s="121" t="s">
        <v>1731</v>
      </c>
      <c r="T8369" s="122"/>
      <c r="U8369" s="22"/>
      <c r="V8369" s="123"/>
      <c r="W8369" s="122"/>
      <c r="X8369" s="221"/>
      <c r="Y8369" s="221"/>
      <c r="Z8369" s="221"/>
      <c r="AA8369" s="221"/>
      <c r="AB8369" s="223"/>
    </row>
    <row r="8370" spans="1:28" ht="17.100000000000001" customHeight="1" thickTop="1">
      <c r="A8370" s="226" t="s">
        <v>23007</v>
      </c>
      <c r="B8370" s="28">
        <v>46130</v>
      </c>
      <c r="C8370" s="25">
        <v>1297</v>
      </c>
      <c r="D8370" s="13" t="s">
        <v>23025</v>
      </c>
      <c r="E8370" s="228"/>
      <c r="F8370" s="109" t="s">
        <v>23016</v>
      </c>
      <c r="G8370" s="24"/>
      <c r="H8370" s="230">
        <v>4.5</v>
      </c>
      <c r="I8370" s="220">
        <v>1675000</v>
      </c>
      <c r="J8370" s="220">
        <f>I8370*0.1</f>
        <v>167500</v>
      </c>
      <c r="K8370" s="220">
        <v>0</v>
      </c>
      <c r="L8370" s="220">
        <v>18980</v>
      </c>
      <c r="M8370" s="220">
        <v>16500</v>
      </c>
      <c r="N8370" s="220">
        <f>SUM(I8370:M8371)</f>
        <v>1877980</v>
      </c>
      <c r="O8370" s="224"/>
      <c r="P8370" s="110" t="s">
        <v>23904</v>
      </c>
      <c r="Q8370" s="15" t="s">
        <v>19</v>
      </c>
      <c r="R8370" s="205"/>
      <c r="S8370" s="189" t="s">
        <v>455</v>
      </c>
      <c r="T8370" s="114"/>
      <c r="U8370" s="21"/>
      <c r="V8370" s="115">
        <v>46137</v>
      </c>
      <c r="W8370" s="116">
        <v>1298</v>
      </c>
      <c r="X8370" s="220">
        <v>1820000</v>
      </c>
      <c r="Y8370" s="220">
        <f>X8370*0.1</f>
        <v>182000</v>
      </c>
      <c r="Z8370" s="220">
        <v>18980</v>
      </c>
      <c r="AA8370" s="220">
        <f>SUM(X8370:Z8370)</f>
        <v>2020980</v>
      </c>
      <c r="AB8370" s="222">
        <v>46140</v>
      </c>
    </row>
    <row r="8371" spans="1:28" ht="17.100000000000001" customHeight="1" thickBot="1">
      <c r="A8371" s="227"/>
      <c r="B8371" s="27" t="s">
        <v>22994</v>
      </c>
      <c r="C8371" s="27">
        <v>82287</v>
      </c>
      <c r="D8371" s="14" t="s">
        <v>22989</v>
      </c>
      <c r="E8371" s="229"/>
      <c r="F8371" s="117" t="s">
        <v>23120</v>
      </c>
      <c r="G8371" s="26">
        <v>45050</v>
      </c>
      <c r="H8371" s="231"/>
      <c r="I8371" s="221"/>
      <c r="J8371" s="221"/>
      <c r="K8371" s="221"/>
      <c r="L8371" s="221"/>
      <c r="M8371" s="221"/>
      <c r="N8371" s="221"/>
      <c r="O8371" s="225"/>
      <c r="P8371" s="118" t="s">
        <v>1844</v>
      </c>
      <c r="Q8371" s="16" t="s">
        <v>20</v>
      </c>
      <c r="R8371" s="17" t="s">
        <v>23902</v>
      </c>
      <c r="S8371" s="121" t="s">
        <v>1625</v>
      </c>
      <c r="T8371" s="122"/>
      <c r="U8371" s="22"/>
      <c r="V8371" s="123" t="s">
        <v>2472</v>
      </c>
      <c r="W8371" s="122">
        <v>80083</v>
      </c>
      <c r="X8371" s="221"/>
      <c r="Y8371" s="221"/>
      <c r="Z8371" s="221"/>
      <c r="AA8371" s="221"/>
      <c r="AB8371" s="223"/>
    </row>
    <row r="8372" spans="1:28" ht="17.100000000000001" customHeight="1" thickTop="1">
      <c r="A8372" s="226" t="s">
        <v>23014</v>
      </c>
      <c r="B8372" s="28">
        <v>46130</v>
      </c>
      <c r="C8372" s="25">
        <v>1297</v>
      </c>
      <c r="D8372" s="13" t="s">
        <v>23121</v>
      </c>
      <c r="E8372" s="228"/>
      <c r="F8372" s="109" t="s">
        <v>23017</v>
      </c>
      <c r="G8372" s="24"/>
      <c r="H8372" s="230">
        <v>4.5</v>
      </c>
      <c r="I8372" s="220">
        <v>1055000</v>
      </c>
      <c r="J8372" s="220">
        <f>I8372*0.1</f>
        <v>105500</v>
      </c>
      <c r="K8372" s="220">
        <v>0</v>
      </c>
      <c r="L8372" s="220">
        <v>11930</v>
      </c>
      <c r="M8372" s="220">
        <v>16500</v>
      </c>
      <c r="N8372" s="220">
        <f>SUM(I8372:M8373)</f>
        <v>1188930</v>
      </c>
      <c r="O8372" s="224"/>
      <c r="P8372" s="110" t="s">
        <v>11095</v>
      </c>
      <c r="Q8372" s="15" t="s">
        <v>19</v>
      </c>
      <c r="R8372" s="205"/>
      <c r="S8372" s="189" t="s">
        <v>25429</v>
      </c>
      <c r="T8372" s="114"/>
      <c r="U8372" s="21"/>
      <c r="V8372" s="115">
        <v>46165</v>
      </c>
      <c r="W8372" s="116">
        <v>1301</v>
      </c>
      <c r="X8372" s="220">
        <v>1055000</v>
      </c>
      <c r="Y8372" s="220">
        <f>X8372*0.1</f>
        <v>105500</v>
      </c>
      <c r="Z8372" s="220">
        <v>11930</v>
      </c>
      <c r="AA8372" s="220">
        <f>SUM(X8372:Z8372)</f>
        <v>1172430</v>
      </c>
      <c r="AB8372" s="222">
        <v>46168</v>
      </c>
    </row>
    <row r="8373" spans="1:28" ht="17.100000000000001" customHeight="1" thickBot="1">
      <c r="A8373" s="227"/>
      <c r="B8373" s="27" t="s">
        <v>22994</v>
      </c>
      <c r="C8373" s="27">
        <v>85024</v>
      </c>
      <c r="D8373" s="14" t="s">
        <v>22977</v>
      </c>
      <c r="E8373" s="229"/>
      <c r="F8373" s="117" t="s">
        <v>23122</v>
      </c>
      <c r="G8373" s="26">
        <v>55040</v>
      </c>
      <c r="H8373" s="231"/>
      <c r="I8373" s="221"/>
      <c r="J8373" s="221"/>
      <c r="K8373" s="221"/>
      <c r="L8373" s="221"/>
      <c r="M8373" s="221"/>
      <c r="N8373" s="221"/>
      <c r="O8373" s="225"/>
      <c r="P8373" s="118" t="s">
        <v>11096</v>
      </c>
      <c r="Q8373" s="16" t="s">
        <v>20</v>
      </c>
      <c r="R8373" s="17" t="s">
        <v>23902</v>
      </c>
      <c r="S8373" s="121" t="s">
        <v>3357</v>
      </c>
      <c r="T8373" s="122"/>
      <c r="U8373" s="22"/>
      <c r="V8373" s="123" t="s">
        <v>7160</v>
      </c>
      <c r="W8373" s="122">
        <v>80059</v>
      </c>
      <c r="X8373" s="221"/>
      <c r="Y8373" s="221"/>
      <c r="Z8373" s="221"/>
      <c r="AA8373" s="221"/>
      <c r="AB8373" s="223"/>
    </row>
    <row r="8374" spans="1:28" ht="17.100000000000001" customHeight="1" thickTop="1">
      <c r="A8374" s="226" t="s">
        <v>23164</v>
      </c>
      <c r="B8374" s="28">
        <v>46132</v>
      </c>
      <c r="C8374" s="25"/>
      <c r="D8374" s="13" t="s">
        <v>1578</v>
      </c>
      <c r="E8374" s="228"/>
      <c r="F8374" s="109" t="s">
        <v>1916</v>
      </c>
      <c r="G8374" s="24"/>
      <c r="H8374" s="230">
        <v>4</v>
      </c>
      <c r="I8374" s="220">
        <v>1107000</v>
      </c>
      <c r="J8374" s="220">
        <f>I8374*0.1</f>
        <v>110700</v>
      </c>
      <c r="K8374" s="220">
        <v>0</v>
      </c>
      <c r="L8374" s="220">
        <v>17600</v>
      </c>
      <c r="M8374" s="220">
        <v>14850</v>
      </c>
      <c r="N8374" s="220">
        <f>SUM(I8374:M8375)</f>
        <v>1250150</v>
      </c>
      <c r="O8374" s="224"/>
      <c r="P8374" s="110" t="s">
        <v>23472</v>
      </c>
      <c r="Q8374" s="15" t="s">
        <v>19</v>
      </c>
      <c r="R8374" s="205"/>
      <c r="S8374" s="189"/>
      <c r="T8374" s="114"/>
      <c r="U8374" s="21"/>
      <c r="V8374" s="115">
        <v>46137</v>
      </c>
      <c r="W8374" s="116">
        <v>1716</v>
      </c>
      <c r="X8374" s="220">
        <v>1415000</v>
      </c>
      <c r="Y8374" s="220">
        <f>X8374*0.1</f>
        <v>141500</v>
      </c>
      <c r="Z8374" s="220">
        <v>17600</v>
      </c>
      <c r="AA8374" s="220">
        <f>SUM(X8374:Z8374)</f>
        <v>1574100</v>
      </c>
      <c r="AB8374" s="222">
        <v>46138</v>
      </c>
    </row>
    <row r="8375" spans="1:28" ht="17.100000000000001" customHeight="1" thickBot="1">
      <c r="A8375" s="227"/>
      <c r="B8375" s="27" t="s">
        <v>9764</v>
      </c>
      <c r="C8375" s="27">
        <v>20264</v>
      </c>
      <c r="D8375" s="14" t="s">
        <v>1568</v>
      </c>
      <c r="E8375" s="229"/>
      <c r="F8375" s="117" t="s">
        <v>23183</v>
      </c>
      <c r="G8375" s="26">
        <v>26592</v>
      </c>
      <c r="H8375" s="231"/>
      <c r="I8375" s="221"/>
      <c r="J8375" s="221"/>
      <c r="K8375" s="221"/>
      <c r="L8375" s="221"/>
      <c r="M8375" s="221"/>
      <c r="N8375" s="221"/>
      <c r="O8375" s="225"/>
      <c r="P8375" s="118" t="s">
        <v>23473</v>
      </c>
      <c r="Q8375" s="16" t="s">
        <v>20</v>
      </c>
      <c r="R8375" s="17" t="s">
        <v>23474</v>
      </c>
      <c r="S8375" s="121"/>
      <c r="T8375" s="122"/>
      <c r="U8375" s="22"/>
      <c r="V8375" s="123" t="s">
        <v>23891</v>
      </c>
      <c r="W8375" s="122">
        <v>544</v>
      </c>
      <c r="X8375" s="221"/>
      <c r="Y8375" s="221"/>
      <c r="Z8375" s="221"/>
      <c r="AA8375" s="221"/>
      <c r="AB8375" s="223"/>
    </row>
    <row r="8376" spans="1:28" ht="17.100000000000001" customHeight="1" thickTop="1">
      <c r="A8376" s="226" t="s">
        <v>23165</v>
      </c>
      <c r="B8376" s="28">
        <v>46132</v>
      </c>
      <c r="C8376" s="25"/>
      <c r="D8376" s="13" t="s">
        <v>23199</v>
      </c>
      <c r="E8376" s="228"/>
      <c r="F8376" s="109" t="s">
        <v>23201</v>
      </c>
      <c r="G8376" s="24"/>
      <c r="H8376" s="230">
        <v>4.5</v>
      </c>
      <c r="I8376" s="220">
        <v>2229000</v>
      </c>
      <c r="J8376" s="220">
        <f>I8376*0.1</f>
        <v>222900</v>
      </c>
      <c r="K8376" s="220">
        <v>0</v>
      </c>
      <c r="L8376" s="220">
        <v>19090</v>
      </c>
      <c r="M8376" s="220">
        <v>14850</v>
      </c>
      <c r="N8376" s="220">
        <f>SUM(I8376:M8377)</f>
        <v>2485840</v>
      </c>
      <c r="O8376" s="224"/>
      <c r="P8376" s="110" t="s">
        <v>23594</v>
      </c>
      <c r="Q8376" s="15" t="s">
        <v>19</v>
      </c>
      <c r="R8376" s="205"/>
      <c r="S8376" s="189"/>
      <c r="T8376" s="114"/>
      <c r="U8376" s="21"/>
      <c r="V8376" s="115"/>
      <c r="W8376" s="116"/>
      <c r="X8376" s="220"/>
      <c r="Y8376" s="220">
        <f>X8376*0.1</f>
        <v>0</v>
      </c>
      <c r="Z8376" s="220"/>
      <c r="AA8376" s="220">
        <f>SUM(X8376:Z8376)</f>
        <v>0</v>
      </c>
      <c r="AB8376" s="222"/>
    </row>
    <row r="8377" spans="1:28" ht="17.100000000000001" customHeight="1" thickBot="1">
      <c r="A8377" s="227"/>
      <c r="B8377" s="27" t="s">
        <v>23198</v>
      </c>
      <c r="C8377" s="27">
        <v>70643</v>
      </c>
      <c r="D8377" s="14" t="s">
        <v>23200</v>
      </c>
      <c r="E8377" s="229"/>
      <c r="F8377" s="117" t="s">
        <v>23593</v>
      </c>
      <c r="G8377" s="26">
        <v>52325</v>
      </c>
      <c r="H8377" s="231"/>
      <c r="I8377" s="221"/>
      <c r="J8377" s="221"/>
      <c r="K8377" s="221"/>
      <c r="L8377" s="221"/>
      <c r="M8377" s="221"/>
      <c r="N8377" s="221"/>
      <c r="O8377" s="225"/>
      <c r="P8377" s="118" t="s">
        <v>23595</v>
      </c>
      <c r="Q8377" s="16" t="s">
        <v>20</v>
      </c>
      <c r="R8377" s="17" t="s">
        <v>23596</v>
      </c>
      <c r="S8377" s="121" t="s">
        <v>24079</v>
      </c>
      <c r="T8377" s="122"/>
      <c r="U8377" s="22"/>
      <c r="V8377" s="123"/>
      <c r="W8377" s="122"/>
      <c r="X8377" s="221"/>
      <c r="Y8377" s="221"/>
      <c r="Z8377" s="221"/>
      <c r="AA8377" s="221"/>
      <c r="AB8377" s="223"/>
    </row>
    <row r="8378" spans="1:28" ht="17.100000000000001" customHeight="1" thickTop="1">
      <c r="A8378" s="226" t="s">
        <v>23166</v>
      </c>
      <c r="B8378" s="28">
        <v>46132</v>
      </c>
      <c r="C8378" s="25"/>
      <c r="D8378" s="13" t="s">
        <v>2320</v>
      </c>
      <c r="E8378" s="228"/>
      <c r="F8378" s="109" t="s">
        <v>5164</v>
      </c>
      <c r="G8378" s="24" t="s">
        <v>3867</v>
      </c>
      <c r="H8378" s="230">
        <v>4.5</v>
      </c>
      <c r="I8378" s="220">
        <v>1864000</v>
      </c>
      <c r="J8378" s="220">
        <f>I8378*0.1</f>
        <v>186400</v>
      </c>
      <c r="K8378" s="220">
        <f>27900+2790</f>
        <v>30690</v>
      </c>
      <c r="L8378" s="220">
        <v>11810</v>
      </c>
      <c r="M8378" s="220">
        <v>14850</v>
      </c>
      <c r="N8378" s="220">
        <f>SUM(I8378:M8379)</f>
        <v>2107750</v>
      </c>
      <c r="O8378" s="224"/>
      <c r="P8378" s="110" t="s">
        <v>23169</v>
      </c>
      <c r="Q8378" s="15" t="s">
        <v>19</v>
      </c>
      <c r="R8378" s="205"/>
      <c r="S8378" s="189" t="s">
        <v>758</v>
      </c>
      <c r="T8378" s="114"/>
      <c r="U8378" s="21" t="s">
        <v>24642</v>
      </c>
      <c r="V8378" s="115">
        <v>46165</v>
      </c>
      <c r="W8378" s="116">
        <v>1301</v>
      </c>
      <c r="X8378" s="220">
        <v>1990000</v>
      </c>
      <c r="Y8378" s="220">
        <f>X8378*0.1</f>
        <v>199000</v>
      </c>
      <c r="Z8378" s="220">
        <v>11810</v>
      </c>
      <c r="AA8378" s="220">
        <f>SUM(X8378:Z8378)</f>
        <v>2200810</v>
      </c>
      <c r="AB8378" s="222">
        <v>46168</v>
      </c>
    </row>
    <row r="8379" spans="1:28" ht="17.100000000000001" customHeight="1" thickBot="1">
      <c r="A8379" s="227"/>
      <c r="B8379" s="27" t="s">
        <v>2727</v>
      </c>
      <c r="C8379" s="27">
        <v>80034</v>
      </c>
      <c r="D8379" s="14" t="s">
        <v>1584</v>
      </c>
      <c r="E8379" s="229"/>
      <c r="F8379" s="117" t="s">
        <v>23933</v>
      </c>
      <c r="G8379" s="26">
        <v>12279</v>
      </c>
      <c r="H8379" s="231"/>
      <c r="I8379" s="221"/>
      <c r="J8379" s="221"/>
      <c r="K8379" s="221"/>
      <c r="L8379" s="221"/>
      <c r="M8379" s="221"/>
      <c r="N8379" s="221"/>
      <c r="O8379" s="225"/>
      <c r="P8379" s="118" t="s">
        <v>23932</v>
      </c>
      <c r="Q8379" s="16" t="s">
        <v>20</v>
      </c>
      <c r="R8379" s="17" t="s">
        <v>2365</v>
      </c>
      <c r="S8379" s="121" t="s">
        <v>24882</v>
      </c>
      <c r="T8379" s="122"/>
      <c r="U8379" s="22"/>
      <c r="V8379" s="123" t="s">
        <v>7160</v>
      </c>
      <c r="W8379" s="122">
        <v>80030</v>
      </c>
      <c r="X8379" s="221"/>
      <c r="Y8379" s="221"/>
      <c r="Z8379" s="221"/>
      <c r="AA8379" s="221"/>
      <c r="AB8379" s="223"/>
    </row>
    <row r="8380" spans="1:28" ht="17.100000000000001" customHeight="1" thickTop="1">
      <c r="A8380" s="226" t="s">
        <v>23167</v>
      </c>
      <c r="B8380" s="28">
        <v>46132</v>
      </c>
      <c r="C8380" s="25"/>
      <c r="D8380" s="13" t="s">
        <v>1715</v>
      </c>
      <c r="E8380" s="228"/>
      <c r="F8380" s="109" t="s">
        <v>5164</v>
      </c>
      <c r="G8380" s="24"/>
      <c r="H8380" s="230">
        <v>4</v>
      </c>
      <c r="I8380" s="220">
        <v>528000</v>
      </c>
      <c r="J8380" s="220">
        <f>I8380*0.1</f>
        <v>52800</v>
      </c>
      <c r="K8380" s="220">
        <v>0</v>
      </c>
      <c r="L8380" s="220">
        <v>11810</v>
      </c>
      <c r="M8380" s="220">
        <v>14850</v>
      </c>
      <c r="N8380" s="220">
        <f>SUM(I8380:M8381)</f>
        <v>607460</v>
      </c>
      <c r="O8380" s="224"/>
      <c r="P8380" s="110" t="s">
        <v>23931</v>
      </c>
      <c r="Q8380" s="15" t="s">
        <v>19</v>
      </c>
      <c r="R8380" s="205"/>
      <c r="S8380" s="189"/>
      <c r="T8380" s="114"/>
      <c r="U8380" s="21"/>
      <c r="V8380" s="115">
        <v>46144</v>
      </c>
      <c r="W8380" s="116">
        <v>1299</v>
      </c>
      <c r="X8380" s="220">
        <v>630000</v>
      </c>
      <c r="Y8380" s="220">
        <f>X8380*0.1</f>
        <v>63000</v>
      </c>
      <c r="Z8380" s="220">
        <v>11810</v>
      </c>
      <c r="AA8380" s="220">
        <f>SUM(X8380:Z8380)</f>
        <v>704810</v>
      </c>
      <c r="AB8380" s="222">
        <v>46161</v>
      </c>
    </row>
    <row r="8381" spans="1:28" ht="17.100000000000001" customHeight="1" thickBot="1">
      <c r="A8381" s="227"/>
      <c r="B8381" s="27" t="s">
        <v>2727</v>
      </c>
      <c r="C8381" s="27">
        <v>80035</v>
      </c>
      <c r="D8381" s="14" t="s">
        <v>1584</v>
      </c>
      <c r="E8381" s="229"/>
      <c r="F8381" s="117" t="s">
        <v>23930</v>
      </c>
      <c r="G8381" s="26">
        <v>51850</v>
      </c>
      <c r="H8381" s="231"/>
      <c r="I8381" s="221"/>
      <c r="J8381" s="221"/>
      <c r="K8381" s="221"/>
      <c r="L8381" s="221"/>
      <c r="M8381" s="221"/>
      <c r="N8381" s="221"/>
      <c r="O8381" s="225"/>
      <c r="P8381" s="118" t="s">
        <v>23932</v>
      </c>
      <c r="Q8381" s="16" t="s">
        <v>20</v>
      </c>
      <c r="R8381" s="17" t="s">
        <v>2365</v>
      </c>
      <c r="S8381" s="121"/>
      <c r="T8381" s="122"/>
      <c r="U8381" s="22"/>
      <c r="V8381" s="123" t="s">
        <v>6641</v>
      </c>
      <c r="W8381" s="122">
        <v>80281</v>
      </c>
      <c r="X8381" s="221"/>
      <c r="Y8381" s="221"/>
      <c r="Z8381" s="221"/>
      <c r="AA8381" s="221"/>
      <c r="AB8381" s="223"/>
    </row>
    <row r="8382" spans="1:28" ht="17.100000000000001" customHeight="1" thickTop="1">
      <c r="A8382" s="226" t="s">
        <v>23170</v>
      </c>
      <c r="B8382" s="28">
        <v>46132</v>
      </c>
      <c r="C8382" s="25"/>
      <c r="D8382" s="13" t="s">
        <v>1704</v>
      </c>
      <c r="E8382" s="228"/>
      <c r="F8382" s="109" t="s">
        <v>3168</v>
      </c>
      <c r="G8382" s="24"/>
      <c r="H8382" s="230">
        <v>4</v>
      </c>
      <c r="I8382" s="220">
        <v>2180000</v>
      </c>
      <c r="J8382" s="220">
        <f>I8382*0.1</f>
        <v>218000</v>
      </c>
      <c r="K8382" s="220">
        <v>0</v>
      </c>
      <c r="L8382" s="220">
        <v>18170</v>
      </c>
      <c r="M8382" s="220">
        <v>25850</v>
      </c>
      <c r="N8382" s="220">
        <f>SUM(I8382:M8383)</f>
        <v>2442020</v>
      </c>
      <c r="O8382" s="224"/>
      <c r="P8382" s="110" t="s">
        <v>23934</v>
      </c>
      <c r="Q8382" s="15" t="s">
        <v>19</v>
      </c>
      <c r="R8382" s="205"/>
      <c r="S8382" s="189"/>
      <c r="T8382" s="114"/>
      <c r="U8382" s="21"/>
      <c r="V8382" s="115">
        <v>46163</v>
      </c>
      <c r="W8382" s="116">
        <v>1331</v>
      </c>
      <c r="X8382" s="220">
        <v>2330000</v>
      </c>
      <c r="Y8382" s="220">
        <f>X8382*0.1</f>
        <v>233000</v>
      </c>
      <c r="Z8382" s="220">
        <v>18170</v>
      </c>
      <c r="AA8382" s="220">
        <f>SUM(X8382:Z8382)</f>
        <v>2581170</v>
      </c>
      <c r="AB8382" s="222">
        <v>46164</v>
      </c>
    </row>
    <row r="8383" spans="1:28" ht="17.100000000000001" customHeight="1" thickBot="1">
      <c r="A8383" s="227"/>
      <c r="B8383" s="27" t="s">
        <v>2727</v>
      </c>
      <c r="C8383" s="27">
        <v>80253</v>
      </c>
      <c r="D8383" s="14" t="s">
        <v>131</v>
      </c>
      <c r="E8383" s="229"/>
      <c r="F8383" s="117" t="s">
        <v>23168</v>
      </c>
      <c r="G8383" s="26">
        <v>58220</v>
      </c>
      <c r="H8383" s="231"/>
      <c r="I8383" s="221"/>
      <c r="J8383" s="221"/>
      <c r="K8383" s="221"/>
      <c r="L8383" s="221"/>
      <c r="M8383" s="221"/>
      <c r="N8383" s="221"/>
      <c r="O8383" s="225"/>
      <c r="P8383" s="118" t="s">
        <v>23935</v>
      </c>
      <c r="Q8383" s="16" t="s">
        <v>20</v>
      </c>
      <c r="R8383" s="17" t="s">
        <v>2365</v>
      </c>
      <c r="S8383" s="121" t="s">
        <v>3391</v>
      </c>
      <c r="T8383" s="122"/>
      <c r="U8383" s="22"/>
      <c r="V8383" s="123" t="s">
        <v>1735</v>
      </c>
      <c r="W8383" s="122">
        <v>125</v>
      </c>
      <c r="X8383" s="221"/>
      <c r="Y8383" s="221"/>
      <c r="Z8383" s="221"/>
      <c r="AA8383" s="221"/>
      <c r="AB8383" s="223"/>
    </row>
    <row r="8384" spans="1:28" ht="17.100000000000001" customHeight="1" thickTop="1">
      <c r="A8384" s="226" t="s">
        <v>23171</v>
      </c>
      <c r="B8384" s="28">
        <v>46132</v>
      </c>
      <c r="C8384" s="25">
        <v>2090</v>
      </c>
      <c r="D8384" s="13" t="s">
        <v>1846</v>
      </c>
      <c r="E8384" s="228"/>
      <c r="F8384" s="109" t="s">
        <v>23174</v>
      </c>
      <c r="G8384" s="24"/>
      <c r="H8384" s="230">
        <v>4.5</v>
      </c>
      <c r="I8384" s="220">
        <v>1640000</v>
      </c>
      <c r="J8384" s="220">
        <f>I8384*0.1</f>
        <v>164000</v>
      </c>
      <c r="K8384" s="220">
        <v>0</v>
      </c>
      <c r="L8384" s="220">
        <v>17820</v>
      </c>
      <c r="M8384" s="220">
        <v>11000</v>
      </c>
      <c r="N8384" s="220">
        <f>SUM(I8384:M8385)</f>
        <v>1832820</v>
      </c>
      <c r="O8384" s="224"/>
      <c r="P8384" s="110" t="s">
        <v>23546</v>
      </c>
      <c r="Q8384" s="15" t="s">
        <v>19</v>
      </c>
      <c r="R8384" s="205"/>
      <c r="S8384" s="189" t="s">
        <v>1361</v>
      </c>
      <c r="T8384" s="114"/>
      <c r="U8384" s="21"/>
      <c r="V8384" s="115"/>
      <c r="W8384" s="116"/>
      <c r="X8384" s="220"/>
      <c r="Y8384" s="220">
        <f>X8384*0.1</f>
        <v>0</v>
      </c>
      <c r="Z8384" s="220"/>
      <c r="AA8384" s="220">
        <f>SUM(X8384:Z8384)</f>
        <v>0</v>
      </c>
      <c r="AB8384" s="222"/>
    </row>
    <row r="8385" spans="1:28" ht="17.100000000000001" customHeight="1" thickBot="1">
      <c r="A8385" s="227"/>
      <c r="B8385" s="27" t="s">
        <v>82</v>
      </c>
      <c r="C8385" s="27">
        <v>33510</v>
      </c>
      <c r="D8385" s="14" t="s">
        <v>1710</v>
      </c>
      <c r="E8385" s="229"/>
      <c r="F8385" s="117" t="s">
        <v>23175</v>
      </c>
      <c r="G8385" s="26">
        <v>71620</v>
      </c>
      <c r="H8385" s="231"/>
      <c r="I8385" s="221"/>
      <c r="J8385" s="221"/>
      <c r="K8385" s="221"/>
      <c r="L8385" s="221"/>
      <c r="M8385" s="221"/>
      <c r="N8385" s="221"/>
      <c r="O8385" s="225"/>
      <c r="P8385" s="118" t="s">
        <v>23547</v>
      </c>
      <c r="Q8385" s="16" t="s">
        <v>20</v>
      </c>
      <c r="R8385" s="17" t="s">
        <v>23474</v>
      </c>
      <c r="S8385" s="121" t="s">
        <v>23548</v>
      </c>
      <c r="T8385" s="122"/>
      <c r="U8385" s="22"/>
      <c r="V8385" s="123"/>
      <c r="W8385" s="122"/>
      <c r="X8385" s="221"/>
      <c r="Y8385" s="221"/>
      <c r="Z8385" s="221"/>
      <c r="AA8385" s="221"/>
      <c r="AB8385" s="223"/>
    </row>
    <row r="8386" spans="1:28" ht="17.100000000000001" customHeight="1" thickTop="1">
      <c r="A8386" s="226" t="s">
        <v>23172</v>
      </c>
      <c r="B8386" s="28">
        <v>46132</v>
      </c>
      <c r="C8386" s="25">
        <v>2090</v>
      </c>
      <c r="D8386" s="13" t="s">
        <v>4050</v>
      </c>
      <c r="E8386" s="228"/>
      <c r="F8386" s="109" t="s">
        <v>1854</v>
      </c>
      <c r="G8386" s="24" t="s">
        <v>2871</v>
      </c>
      <c r="H8386" s="230">
        <v>3.5</v>
      </c>
      <c r="I8386" s="220">
        <v>845000</v>
      </c>
      <c r="J8386" s="220">
        <f>I8386*0.1</f>
        <v>84500</v>
      </c>
      <c r="K8386" s="220">
        <f>36200+3620</f>
        <v>39820</v>
      </c>
      <c r="L8386" s="220">
        <v>17600</v>
      </c>
      <c r="M8386" s="220">
        <v>11000</v>
      </c>
      <c r="N8386" s="220">
        <f>SUM(I8386:M8387)</f>
        <v>997920</v>
      </c>
      <c r="O8386" s="224"/>
      <c r="P8386" s="110" t="s">
        <v>23177</v>
      </c>
      <c r="Q8386" s="15" t="s">
        <v>19</v>
      </c>
      <c r="R8386" s="205"/>
      <c r="S8386" s="189" t="s">
        <v>1361</v>
      </c>
      <c r="T8386" s="114"/>
      <c r="U8386" s="21"/>
      <c r="V8386" s="115">
        <v>46144</v>
      </c>
      <c r="W8386" s="116">
        <v>1299</v>
      </c>
      <c r="X8386" s="220">
        <v>1005000</v>
      </c>
      <c r="Y8386" s="220">
        <f>X8386*0.1</f>
        <v>100500</v>
      </c>
      <c r="Z8386" s="220">
        <v>17600</v>
      </c>
      <c r="AA8386" s="220">
        <f>SUM(X8386:Z8386)</f>
        <v>1123100</v>
      </c>
      <c r="AB8386" s="222">
        <v>46154</v>
      </c>
    </row>
    <row r="8387" spans="1:28" ht="17.100000000000001" customHeight="1" thickBot="1">
      <c r="A8387" s="227"/>
      <c r="B8387" s="27" t="s">
        <v>82</v>
      </c>
      <c r="C8387" s="27">
        <v>34512</v>
      </c>
      <c r="D8387" s="14" t="s">
        <v>131</v>
      </c>
      <c r="E8387" s="229"/>
      <c r="F8387" s="117" t="s">
        <v>23176</v>
      </c>
      <c r="G8387" s="26">
        <v>69577</v>
      </c>
      <c r="H8387" s="231"/>
      <c r="I8387" s="221"/>
      <c r="J8387" s="221"/>
      <c r="K8387" s="221"/>
      <c r="L8387" s="221"/>
      <c r="M8387" s="221"/>
      <c r="N8387" s="221"/>
      <c r="O8387" s="225"/>
      <c r="P8387" s="118" t="s">
        <v>12439</v>
      </c>
      <c r="Q8387" s="16" t="s">
        <v>20</v>
      </c>
      <c r="R8387" s="17" t="s">
        <v>23474</v>
      </c>
      <c r="S8387" s="121" t="s">
        <v>23549</v>
      </c>
      <c r="T8387" s="122"/>
      <c r="U8387" s="22"/>
      <c r="V8387" s="123" t="s">
        <v>7160</v>
      </c>
      <c r="W8387" s="122">
        <v>80375</v>
      </c>
      <c r="X8387" s="221"/>
      <c r="Y8387" s="221"/>
      <c r="Z8387" s="221"/>
      <c r="AA8387" s="221"/>
      <c r="AB8387" s="223"/>
    </row>
    <row r="8388" spans="1:28" ht="17.100000000000001" customHeight="1" thickTop="1">
      <c r="A8388" s="226" t="s">
        <v>23173</v>
      </c>
      <c r="B8388" s="28">
        <v>46132</v>
      </c>
      <c r="C8388" s="25">
        <v>2090</v>
      </c>
      <c r="D8388" s="13" t="s">
        <v>1746</v>
      </c>
      <c r="E8388" s="228"/>
      <c r="F8388" s="109" t="s">
        <v>13418</v>
      </c>
      <c r="G8388" s="24" t="s">
        <v>4120</v>
      </c>
      <c r="H8388" s="230">
        <v>4</v>
      </c>
      <c r="I8388" s="220">
        <v>500000</v>
      </c>
      <c r="J8388" s="220">
        <f>I8388*0.1</f>
        <v>50000</v>
      </c>
      <c r="K8388" s="220">
        <f>36200+3620</f>
        <v>39820</v>
      </c>
      <c r="L8388" s="220">
        <v>17490</v>
      </c>
      <c r="M8388" s="220">
        <v>11000</v>
      </c>
      <c r="N8388" s="220">
        <f>SUM(I8388:M8389)</f>
        <v>618310</v>
      </c>
      <c r="O8388" s="224"/>
      <c r="P8388" s="110" t="s">
        <v>23179</v>
      </c>
      <c r="Q8388" s="15" t="s">
        <v>19</v>
      </c>
      <c r="R8388" s="205"/>
      <c r="S8388" s="189" t="s">
        <v>25965</v>
      </c>
      <c r="T8388" s="114"/>
      <c r="U8388" s="21"/>
      <c r="V8388" s="115">
        <v>46144</v>
      </c>
      <c r="W8388" s="116">
        <v>1299</v>
      </c>
      <c r="X8388" s="220">
        <v>590000</v>
      </c>
      <c r="Y8388" s="220">
        <f>X8388*0.1</f>
        <v>59000</v>
      </c>
      <c r="Z8388" s="220">
        <v>17490</v>
      </c>
      <c r="AA8388" s="220">
        <f>SUM(X8388:Z8388)</f>
        <v>666490</v>
      </c>
      <c r="AB8388" s="222">
        <v>46154</v>
      </c>
    </row>
    <row r="8389" spans="1:28" ht="17.100000000000001" customHeight="1" thickBot="1">
      <c r="A8389" s="227"/>
      <c r="B8389" s="27" t="s">
        <v>82</v>
      </c>
      <c r="C8389" s="27">
        <v>34529</v>
      </c>
      <c r="D8389" s="14" t="s">
        <v>1797</v>
      </c>
      <c r="E8389" s="229"/>
      <c r="F8389" s="117" t="s">
        <v>23178</v>
      </c>
      <c r="G8389" s="26">
        <v>54064</v>
      </c>
      <c r="H8389" s="231"/>
      <c r="I8389" s="221"/>
      <c r="J8389" s="221"/>
      <c r="K8389" s="221"/>
      <c r="L8389" s="221"/>
      <c r="M8389" s="221"/>
      <c r="N8389" s="221"/>
      <c r="O8389" s="225"/>
      <c r="P8389" s="118" t="s">
        <v>14061</v>
      </c>
      <c r="Q8389" s="16" t="s">
        <v>20</v>
      </c>
      <c r="R8389" s="17" t="s">
        <v>23596</v>
      </c>
      <c r="S8389" s="121" t="s">
        <v>2277</v>
      </c>
      <c r="T8389" s="122"/>
      <c r="U8389" s="22"/>
      <c r="V8389" s="123" t="s">
        <v>7160</v>
      </c>
      <c r="W8389" s="122">
        <v>80030</v>
      </c>
      <c r="X8389" s="221"/>
      <c r="Y8389" s="221"/>
      <c r="Z8389" s="221"/>
      <c r="AA8389" s="221"/>
      <c r="AB8389" s="223"/>
    </row>
    <row r="8390" spans="1:28" ht="17.100000000000001" customHeight="1" thickTop="1">
      <c r="A8390" s="226" t="s">
        <v>23182</v>
      </c>
      <c r="B8390" s="28">
        <v>46132</v>
      </c>
      <c r="C8390" s="25">
        <v>2090</v>
      </c>
      <c r="D8390" s="13" t="s">
        <v>2892</v>
      </c>
      <c r="E8390" s="228"/>
      <c r="F8390" s="109" t="s">
        <v>22692</v>
      </c>
      <c r="G8390" s="24"/>
      <c r="H8390" s="230">
        <v>4.5</v>
      </c>
      <c r="I8390" s="220">
        <v>1035000</v>
      </c>
      <c r="J8390" s="220">
        <f>I8390*0.1</f>
        <v>103500</v>
      </c>
      <c r="K8390" s="220">
        <v>0</v>
      </c>
      <c r="L8390" s="220">
        <v>19090</v>
      </c>
      <c r="M8390" s="220">
        <v>11000</v>
      </c>
      <c r="N8390" s="220">
        <f>SUM(I8390:M8391)</f>
        <v>1168590</v>
      </c>
      <c r="O8390" s="224"/>
      <c r="P8390" s="110" t="s">
        <v>23618</v>
      </c>
      <c r="Q8390" s="15" t="s">
        <v>19</v>
      </c>
      <c r="R8390" s="205"/>
      <c r="S8390" s="189" t="s">
        <v>25966</v>
      </c>
      <c r="T8390" s="114"/>
      <c r="U8390" s="21"/>
      <c r="V8390" s="115">
        <v>46137</v>
      </c>
      <c r="W8390" s="116">
        <v>1298</v>
      </c>
      <c r="X8390" s="220">
        <v>1190000</v>
      </c>
      <c r="Y8390" s="220">
        <f>X8390*0.1</f>
        <v>119000</v>
      </c>
      <c r="Z8390" s="220">
        <v>19090</v>
      </c>
      <c r="AA8390" s="220">
        <f>SUM(X8390:Z8390)</f>
        <v>1328090</v>
      </c>
      <c r="AB8390" s="222">
        <v>46140</v>
      </c>
    </row>
    <row r="8391" spans="1:28" ht="17.100000000000001" customHeight="1" thickBot="1">
      <c r="A8391" s="227"/>
      <c r="B8391" s="27" t="s">
        <v>82</v>
      </c>
      <c r="C8391" s="27">
        <v>34536</v>
      </c>
      <c r="D8391" s="14" t="s">
        <v>1797</v>
      </c>
      <c r="E8391" s="229"/>
      <c r="F8391" s="117" t="s">
        <v>23180</v>
      </c>
      <c r="G8391" s="26">
        <v>82298</v>
      </c>
      <c r="H8391" s="231"/>
      <c r="I8391" s="221"/>
      <c r="J8391" s="221"/>
      <c r="K8391" s="221"/>
      <c r="L8391" s="221"/>
      <c r="M8391" s="221"/>
      <c r="N8391" s="221"/>
      <c r="O8391" s="225"/>
      <c r="P8391" s="118" t="s">
        <v>7903</v>
      </c>
      <c r="Q8391" s="16" t="s">
        <v>20</v>
      </c>
      <c r="R8391" s="17" t="s">
        <v>23596</v>
      </c>
      <c r="S8391" s="121" t="s">
        <v>1731</v>
      </c>
      <c r="T8391" s="122"/>
      <c r="U8391" s="22"/>
      <c r="V8391" s="123" t="s">
        <v>2472</v>
      </c>
      <c r="W8391" s="122">
        <v>80412</v>
      </c>
      <c r="X8391" s="221"/>
      <c r="Y8391" s="221"/>
      <c r="Z8391" s="221"/>
      <c r="AA8391" s="221"/>
      <c r="AB8391" s="223"/>
    </row>
    <row r="8392" spans="1:28" ht="17.100000000000001" customHeight="1" thickTop="1">
      <c r="A8392" s="226" t="s">
        <v>23197</v>
      </c>
      <c r="B8392" s="28">
        <v>46132</v>
      </c>
      <c r="C8392" s="25">
        <v>2090</v>
      </c>
      <c r="D8392" s="13" t="s">
        <v>1702</v>
      </c>
      <c r="E8392" s="228"/>
      <c r="F8392" s="109" t="s">
        <v>2685</v>
      </c>
      <c r="G8392" s="24"/>
      <c r="H8392" s="230">
        <v>4</v>
      </c>
      <c r="I8392" s="220">
        <v>321000</v>
      </c>
      <c r="J8392" s="220">
        <f>I8392*0.1</f>
        <v>32100</v>
      </c>
      <c r="K8392" s="220">
        <v>0</v>
      </c>
      <c r="L8392" s="220">
        <v>17490</v>
      </c>
      <c r="M8392" s="220">
        <v>11000</v>
      </c>
      <c r="N8392" s="220">
        <f>SUM(I8392:M8393)</f>
        <v>381590</v>
      </c>
      <c r="O8392" s="224"/>
      <c r="P8392" s="110" t="s">
        <v>23617</v>
      </c>
      <c r="Q8392" s="15" t="s">
        <v>19</v>
      </c>
      <c r="R8392" s="205"/>
      <c r="S8392" s="189" t="s">
        <v>1361</v>
      </c>
      <c r="T8392" s="114"/>
      <c r="U8392" s="21"/>
      <c r="V8392" s="115">
        <v>46158</v>
      </c>
      <c r="W8392" s="116">
        <v>1300</v>
      </c>
      <c r="X8392" s="220">
        <v>420000</v>
      </c>
      <c r="Y8392" s="220">
        <f>X8392*0.1</f>
        <v>42000</v>
      </c>
      <c r="Z8392" s="220">
        <v>17490</v>
      </c>
      <c r="AA8392" s="220">
        <f>SUM(X8392:Z8392)</f>
        <v>479490</v>
      </c>
      <c r="AB8392" s="222">
        <v>46167</v>
      </c>
    </row>
    <row r="8393" spans="1:28" ht="17.100000000000001" customHeight="1" thickBot="1">
      <c r="A8393" s="227"/>
      <c r="B8393" s="27" t="s">
        <v>82</v>
      </c>
      <c r="C8393" s="27">
        <v>34543</v>
      </c>
      <c r="D8393" s="14" t="s">
        <v>273</v>
      </c>
      <c r="E8393" s="229"/>
      <c r="F8393" s="117" t="s">
        <v>23181</v>
      </c>
      <c r="G8393" s="26">
        <v>71711</v>
      </c>
      <c r="H8393" s="231"/>
      <c r="I8393" s="221"/>
      <c r="J8393" s="221"/>
      <c r="K8393" s="221"/>
      <c r="L8393" s="221"/>
      <c r="M8393" s="221"/>
      <c r="N8393" s="221"/>
      <c r="O8393" s="225"/>
      <c r="P8393" s="118" t="s">
        <v>7903</v>
      </c>
      <c r="Q8393" s="16" t="s">
        <v>20</v>
      </c>
      <c r="R8393" s="17" t="s">
        <v>23596</v>
      </c>
      <c r="S8393" s="121" t="s">
        <v>1731</v>
      </c>
      <c r="T8393" s="122"/>
      <c r="U8393" s="22"/>
      <c r="V8393" s="123" t="s">
        <v>6641</v>
      </c>
      <c r="W8393" s="122">
        <v>80040</v>
      </c>
      <c r="X8393" s="221"/>
      <c r="Y8393" s="221"/>
      <c r="Z8393" s="221"/>
      <c r="AA8393" s="221"/>
      <c r="AB8393" s="223"/>
    </row>
    <row r="8394" spans="1:28" ht="17.100000000000001" customHeight="1" thickTop="1">
      <c r="A8394" s="226" t="s">
        <v>23202</v>
      </c>
      <c r="B8394" s="28">
        <v>46132</v>
      </c>
      <c r="C8394" s="25"/>
      <c r="D8394" s="13" t="s">
        <v>1846</v>
      </c>
      <c r="E8394" s="228"/>
      <c r="F8394" s="109" t="s">
        <v>23185</v>
      </c>
      <c r="G8394" s="24" t="s">
        <v>23187</v>
      </c>
      <c r="H8394" s="232" t="s">
        <v>1705</v>
      </c>
      <c r="I8394" s="220">
        <f>390500/1.1</f>
        <v>355000</v>
      </c>
      <c r="J8394" s="220">
        <f>I8394*0.1</f>
        <v>35500</v>
      </c>
      <c r="K8394" s="220">
        <v>0</v>
      </c>
      <c r="L8394" s="220">
        <v>9140</v>
      </c>
      <c r="M8394" s="220">
        <v>0</v>
      </c>
      <c r="N8394" s="220">
        <f>SUM(I8394:M8395)</f>
        <v>399640</v>
      </c>
      <c r="O8394" s="224"/>
      <c r="P8394" s="110" t="s">
        <v>24558</v>
      </c>
      <c r="Q8394" s="15" t="s">
        <v>19</v>
      </c>
      <c r="R8394" s="205"/>
      <c r="S8394" s="189" t="s">
        <v>1406</v>
      </c>
      <c r="T8394" s="114"/>
      <c r="U8394" s="21"/>
      <c r="V8394" s="115"/>
      <c r="W8394" s="116"/>
      <c r="X8394" s="220"/>
      <c r="Y8394" s="220">
        <f>X8394*0.1</f>
        <v>0</v>
      </c>
      <c r="Z8394" s="220"/>
      <c r="AA8394" s="220">
        <f>SUM(X8394:Z8394)</f>
        <v>0</v>
      </c>
      <c r="AB8394" s="222"/>
    </row>
    <row r="8395" spans="1:28" ht="17.100000000000001" customHeight="1" thickBot="1">
      <c r="A8395" s="227"/>
      <c r="B8395" s="27" t="s">
        <v>1708</v>
      </c>
      <c r="C8395" s="27" t="s">
        <v>23184</v>
      </c>
      <c r="D8395" s="14" t="s">
        <v>1568</v>
      </c>
      <c r="E8395" s="229"/>
      <c r="F8395" s="117" t="s">
        <v>23186</v>
      </c>
      <c r="G8395" s="26">
        <v>68324</v>
      </c>
      <c r="H8395" s="231"/>
      <c r="I8395" s="221"/>
      <c r="J8395" s="221"/>
      <c r="K8395" s="221"/>
      <c r="L8395" s="221"/>
      <c r="M8395" s="221"/>
      <c r="N8395" s="221"/>
      <c r="O8395" s="225"/>
      <c r="P8395" s="118" t="s">
        <v>24559</v>
      </c>
      <c r="Q8395" s="16" t="s">
        <v>20</v>
      </c>
      <c r="R8395" s="17" t="s">
        <v>24555</v>
      </c>
      <c r="S8395" s="121" t="s">
        <v>12752</v>
      </c>
      <c r="T8395" s="122"/>
      <c r="U8395" s="22"/>
      <c r="V8395" s="123"/>
      <c r="W8395" s="122"/>
      <c r="X8395" s="221"/>
      <c r="Y8395" s="221"/>
      <c r="Z8395" s="221"/>
      <c r="AA8395" s="221"/>
      <c r="AB8395" s="223"/>
    </row>
    <row r="8396" spans="1:28" ht="17.100000000000001" customHeight="1" thickTop="1">
      <c r="A8396" s="226" t="s">
        <v>23203</v>
      </c>
      <c r="B8396" s="28">
        <v>46132</v>
      </c>
      <c r="C8396" s="25"/>
      <c r="D8396" s="13" t="s">
        <v>2610</v>
      </c>
      <c r="E8396" s="228"/>
      <c r="F8396" s="109" t="s">
        <v>23189</v>
      </c>
      <c r="G8396" s="24" t="s">
        <v>16863</v>
      </c>
      <c r="H8396" s="230">
        <v>4.5</v>
      </c>
      <c r="I8396" s="220">
        <f>2758800/1.1</f>
        <v>2508000</v>
      </c>
      <c r="J8396" s="220">
        <f>I8396*0.1</f>
        <v>250800</v>
      </c>
      <c r="K8396" s="220">
        <v>36200</v>
      </c>
      <c r="L8396" s="220">
        <v>10750</v>
      </c>
      <c r="M8396" s="220">
        <v>0</v>
      </c>
      <c r="N8396" s="220">
        <f>SUM(I8396:M8397)</f>
        <v>2805750</v>
      </c>
      <c r="O8396" s="224"/>
      <c r="P8396" s="110" t="s">
        <v>24636</v>
      </c>
      <c r="Q8396" s="15" t="s">
        <v>19</v>
      </c>
      <c r="R8396" s="205"/>
      <c r="S8396" s="189" t="s">
        <v>1361</v>
      </c>
      <c r="T8396" s="114"/>
      <c r="U8396" s="21"/>
      <c r="V8396" s="115">
        <v>46165</v>
      </c>
      <c r="W8396" s="116">
        <v>1301</v>
      </c>
      <c r="X8396" s="220">
        <v>2535000</v>
      </c>
      <c r="Y8396" s="220">
        <f>X8396*0.1</f>
        <v>253500</v>
      </c>
      <c r="Z8396" s="220">
        <v>10750</v>
      </c>
      <c r="AA8396" s="220">
        <f>SUM(X8396:Z8396)</f>
        <v>2799250</v>
      </c>
      <c r="AB8396" s="222">
        <v>46168</v>
      </c>
    </row>
    <row r="8397" spans="1:28" ht="17.100000000000001" customHeight="1" thickBot="1">
      <c r="A8397" s="227"/>
      <c r="B8397" s="27" t="s">
        <v>1708</v>
      </c>
      <c r="C8397" s="27" t="s">
        <v>23188</v>
      </c>
      <c r="D8397" s="14" t="s">
        <v>273</v>
      </c>
      <c r="E8397" s="229"/>
      <c r="F8397" s="117" t="s">
        <v>23190</v>
      </c>
      <c r="G8397" s="26">
        <v>65659</v>
      </c>
      <c r="H8397" s="231"/>
      <c r="I8397" s="221"/>
      <c r="J8397" s="221"/>
      <c r="K8397" s="221"/>
      <c r="L8397" s="221"/>
      <c r="M8397" s="221"/>
      <c r="N8397" s="221"/>
      <c r="O8397" s="225"/>
      <c r="P8397" s="118" t="s">
        <v>24637</v>
      </c>
      <c r="Q8397" s="16" t="s">
        <v>20</v>
      </c>
      <c r="R8397" s="17" t="s">
        <v>24555</v>
      </c>
      <c r="S8397" s="121" t="s">
        <v>26477</v>
      </c>
      <c r="T8397" s="122"/>
      <c r="U8397" s="22"/>
      <c r="V8397" s="123" t="s">
        <v>2472</v>
      </c>
      <c r="W8397" s="122">
        <v>37301</v>
      </c>
      <c r="X8397" s="221"/>
      <c r="Y8397" s="221"/>
      <c r="Z8397" s="221"/>
      <c r="AA8397" s="221"/>
      <c r="AB8397" s="223"/>
    </row>
    <row r="8398" spans="1:28" ht="17.100000000000001" customHeight="1" thickTop="1">
      <c r="A8398" s="226" t="s">
        <v>23204</v>
      </c>
      <c r="B8398" s="28">
        <v>46132</v>
      </c>
      <c r="C8398" s="25"/>
      <c r="D8398" s="13" t="s">
        <v>2712</v>
      </c>
      <c r="E8398" s="228"/>
      <c r="F8398" s="109" t="s">
        <v>23192</v>
      </c>
      <c r="G8398" s="24" t="s">
        <v>15655</v>
      </c>
      <c r="H8398" s="230">
        <v>4.5</v>
      </c>
      <c r="I8398" s="220">
        <f>2513500/1.1</f>
        <v>2285000</v>
      </c>
      <c r="J8398" s="220">
        <f>I8398*0.1</f>
        <v>228500</v>
      </c>
      <c r="K8398" s="220">
        <v>25400</v>
      </c>
      <c r="L8398" s="220">
        <v>9620</v>
      </c>
      <c r="M8398" s="220">
        <v>0</v>
      </c>
      <c r="N8398" s="220">
        <f>SUM(I8398:M8399)</f>
        <v>2548520</v>
      </c>
      <c r="O8398" s="224"/>
      <c r="P8398" s="110" t="s">
        <v>24880</v>
      </c>
      <c r="Q8398" s="15" t="s">
        <v>19</v>
      </c>
      <c r="R8398" s="205"/>
      <c r="S8398" s="189" t="s">
        <v>25431</v>
      </c>
      <c r="T8398" s="114"/>
      <c r="U8398" s="21"/>
      <c r="V8398" s="115"/>
      <c r="W8398" s="116"/>
      <c r="X8398" s="220"/>
      <c r="Y8398" s="220">
        <f>X8398*0.1</f>
        <v>0</v>
      </c>
      <c r="Z8398" s="220"/>
      <c r="AA8398" s="220">
        <f>SUM(X8398:Z8398)</f>
        <v>0</v>
      </c>
      <c r="AB8398" s="222"/>
    </row>
    <row r="8399" spans="1:28" ht="17.100000000000001" customHeight="1" thickBot="1">
      <c r="A8399" s="227"/>
      <c r="B8399" s="27" t="s">
        <v>1708</v>
      </c>
      <c r="C8399" s="27" t="s">
        <v>23191</v>
      </c>
      <c r="D8399" s="14" t="s">
        <v>898</v>
      </c>
      <c r="E8399" s="229"/>
      <c r="F8399" s="117" t="s">
        <v>23193</v>
      </c>
      <c r="G8399" s="26">
        <v>18892</v>
      </c>
      <c r="H8399" s="231"/>
      <c r="I8399" s="221"/>
      <c r="J8399" s="221"/>
      <c r="K8399" s="221"/>
      <c r="L8399" s="221"/>
      <c r="M8399" s="221"/>
      <c r="N8399" s="221"/>
      <c r="O8399" s="225"/>
      <c r="P8399" s="118" t="s">
        <v>24881</v>
      </c>
      <c r="Q8399" s="16" t="s">
        <v>20</v>
      </c>
      <c r="R8399" s="17" t="s">
        <v>3680</v>
      </c>
      <c r="S8399" s="121" t="s">
        <v>2360</v>
      </c>
      <c r="T8399" s="122"/>
      <c r="U8399" s="22"/>
      <c r="V8399" s="123"/>
      <c r="W8399" s="122"/>
      <c r="X8399" s="221"/>
      <c r="Y8399" s="221"/>
      <c r="Z8399" s="221"/>
      <c r="AA8399" s="221"/>
      <c r="AB8399" s="223"/>
    </row>
    <row r="8400" spans="1:28" ht="17.100000000000001" customHeight="1" thickTop="1">
      <c r="A8400" s="226" t="s">
        <v>23205</v>
      </c>
      <c r="B8400" s="28">
        <v>46132</v>
      </c>
      <c r="C8400" s="25"/>
      <c r="D8400" s="13" t="s">
        <v>2313</v>
      </c>
      <c r="E8400" s="228"/>
      <c r="F8400" s="109" t="s">
        <v>23195</v>
      </c>
      <c r="G8400" s="24" t="s">
        <v>3867</v>
      </c>
      <c r="H8400" s="230">
        <v>4.5</v>
      </c>
      <c r="I8400" s="220">
        <v>1134000</v>
      </c>
      <c r="J8400" s="220">
        <f>I8400*0.1</f>
        <v>113400</v>
      </c>
      <c r="K8400" s="220">
        <f>31600+3160</f>
        <v>34760</v>
      </c>
      <c r="L8400" s="220">
        <v>14760</v>
      </c>
      <c r="M8400" s="220">
        <v>15950</v>
      </c>
      <c r="N8400" s="220">
        <f>SUM(I8400:M8401)</f>
        <v>1312870</v>
      </c>
      <c r="O8400" s="224"/>
      <c r="P8400" s="110" t="s">
        <v>23196</v>
      </c>
      <c r="Q8400" s="15" t="s">
        <v>19</v>
      </c>
      <c r="R8400" s="205"/>
      <c r="S8400" s="189"/>
      <c r="T8400" s="114"/>
      <c r="U8400" s="21"/>
      <c r="V8400" s="115">
        <v>46137</v>
      </c>
      <c r="W8400" s="116">
        <v>1298</v>
      </c>
      <c r="X8400" s="220">
        <v>1340000</v>
      </c>
      <c r="Y8400" s="220">
        <f>X8400*0.1</f>
        <v>134000</v>
      </c>
      <c r="Z8400" s="220">
        <v>14760</v>
      </c>
      <c r="AA8400" s="220">
        <f>SUM(X8400:Z8400)</f>
        <v>1488760</v>
      </c>
      <c r="AB8400" s="222">
        <v>46143</v>
      </c>
    </row>
    <row r="8401" spans="1:28" ht="17.100000000000001" customHeight="1" thickBot="1">
      <c r="A8401" s="227"/>
      <c r="B8401" s="27" t="s">
        <v>4400</v>
      </c>
      <c r="C8401" s="27">
        <v>70586</v>
      </c>
      <c r="D8401" s="14" t="s">
        <v>1710</v>
      </c>
      <c r="E8401" s="229"/>
      <c r="F8401" s="117" t="s">
        <v>23629</v>
      </c>
      <c r="G8401" s="26">
        <v>63296</v>
      </c>
      <c r="H8401" s="231"/>
      <c r="I8401" s="221"/>
      <c r="J8401" s="221"/>
      <c r="K8401" s="221"/>
      <c r="L8401" s="221"/>
      <c r="M8401" s="221"/>
      <c r="N8401" s="221"/>
      <c r="O8401" s="225"/>
      <c r="P8401" s="118" t="s">
        <v>2729</v>
      </c>
      <c r="Q8401" s="16" t="s">
        <v>20</v>
      </c>
      <c r="R8401" s="17" t="s">
        <v>1939</v>
      </c>
      <c r="S8401" s="121" t="s">
        <v>23513</v>
      </c>
      <c r="T8401" s="122"/>
      <c r="U8401" s="22"/>
      <c r="V8401" s="123" t="s">
        <v>2472</v>
      </c>
      <c r="W8401" s="122">
        <v>80098</v>
      </c>
      <c r="X8401" s="221"/>
      <c r="Y8401" s="221"/>
      <c r="Z8401" s="221"/>
      <c r="AA8401" s="221"/>
      <c r="AB8401" s="223"/>
    </row>
    <row r="8402" spans="1:28" ht="17.100000000000001" customHeight="1" thickTop="1">
      <c r="A8402" s="226" t="s">
        <v>23235</v>
      </c>
      <c r="B8402" s="28">
        <v>46133</v>
      </c>
      <c r="C8402" s="25">
        <v>1938</v>
      </c>
      <c r="D8402" s="13" t="s">
        <v>1829</v>
      </c>
      <c r="E8402" s="228"/>
      <c r="F8402" s="109" t="s">
        <v>16259</v>
      </c>
      <c r="G8402" s="24"/>
      <c r="H8402" s="230">
        <v>4.5</v>
      </c>
      <c r="I8402" s="220">
        <v>583000</v>
      </c>
      <c r="J8402" s="220">
        <f>I8402*0.1</f>
        <v>58300</v>
      </c>
      <c r="K8402" s="220">
        <v>0</v>
      </c>
      <c r="L8402" s="220">
        <v>7150</v>
      </c>
      <c r="M8402" s="220">
        <v>15950</v>
      </c>
      <c r="N8402" s="220">
        <f>SUM(I8402:M8403)</f>
        <v>664400</v>
      </c>
      <c r="O8402" s="224"/>
      <c r="P8402" s="110" t="s">
        <v>23912</v>
      </c>
      <c r="Q8402" s="15" t="s">
        <v>19</v>
      </c>
      <c r="R8402" s="205"/>
      <c r="S8402" s="189" t="s">
        <v>283</v>
      </c>
      <c r="T8402" s="114"/>
      <c r="U8402" s="21"/>
      <c r="V8402" s="115">
        <v>46144</v>
      </c>
      <c r="W8402" s="116">
        <v>1299</v>
      </c>
      <c r="X8402" s="220">
        <v>605000</v>
      </c>
      <c r="Y8402" s="220">
        <f>X8402*0.1</f>
        <v>60500</v>
      </c>
      <c r="Z8402" s="220">
        <v>7150</v>
      </c>
      <c r="AA8402" s="220">
        <f>SUM(X8402:Z8402)</f>
        <v>672650</v>
      </c>
      <c r="AB8402" s="222">
        <v>46154</v>
      </c>
    </row>
    <row r="8403" spans="1:28" ht="17.100000000000001" customHeight="1" thickBot="1">
      <c r="A8403" s="227"/>
      <c r="B8403" s="27" t="s">
        <v>2103</v>
      </c>
      <c r="C8403" s="27">
        <v>3294</v>
      </c>
      <c r="D8403" s="14" t="s">
        <v>273</v>
      </c>
      <c r="E8403" s="229"/>
      <c r="F8403" s="117" t="s">
        <v>23251</v>
      </c>
      <c r="G8403" s="26">
        <v>56098</v>
      </c>
      <c r="H8403" s="231"/>
      <c r="I8403" s="221"/>
      <c r="J8403" s="221"/>
      <c r="K8403" s="221"/>
      <c r="L8403" s="221"/>
      <c r="M8403" s="221"/>
      <c r="N8403" s="221"/>
      <c r="O8403" s="225"/>
      <c r="P8403" s="118" t="s">
        <v>2446</v>
      </c>
      <c r="Q8403" s="16" t="s">
        <v>20</v>
      </c>
      <c r="R8403" s="17" t="s">
        <v>23902</v>
      </c>
      <c r="S8403" s="121" t="s">
        <v>169</v>
      </c>
      <c r="T8403" s="122"/>
      <c r="U8403" s="22"/>
      <c r="V8403" s="123" t="s">
        <v>7160</v>
      </c>
      <c r="W8403" s="122">
        <v>60094</v>
      </c>
      <c r="X8403" s="221"/>
      <c r="Y8403" s="221"/>
      <c r="Z8403" s="221"/>
      <c r="AA8403" s="221"/>
      <c r="AB8403" s="223"/>
    </row>
    <row r="8404" spans="1:28" ht="17.100000000000001" customHeight="1" thickTop="1">
      <c r="A8404" s="226" t="s">
        <v>23236</v>
      </c>
      <c r="B8404" s="28">
        <v>46133</v>
      </c>
      <c r="C8404" s="25">
        <v>1938</v>
      </c>
      <c r="D8404" s="13" t="s">
        <v>1704</v>
      </c>
      <c r="E8404" s="228"/>
      <c r="F8404" s="109" t="s">
        <v>15607</v>
      </c>
      <c r="G8404" s="24"/>
      <c r="H8404" s="230">
        <v>4.5</v>
      </c>
      <c r="I8404" s="220">
        <v>373000</v>
      </c>
      <c r="J8404" s="220">
        <f>I8404*0.1</f>
        <v>37300</v>
      </c>
      <c r="K8404" s="220">
        <v>0</v>
      </c>
      <c r="L8404" s="220">
        <v>7140</v>
      </c>
      <c r="M8404" s="220">
        <v>15950</v>
      </c>
      <c r="N8404" s="220">
        <f>SUM(I8404:M8405)</f>
        <v>433390</v>
      </c>
      <c r="O8404" s="224"/>
      <c r="P8404" s="110" t="s">
        <v>23609</v>
      </c>
      <c r="Q8404" s="15" t="s">
        <v>19</v>
      </c>
      <c r="R8404" s="205"/>
      <c r="S8404" s="189"/>
      <c r="T8404" s="114"/>
      <c r="U8404" s="21"/>
      <c r="V8404" s="115">
        <v>46137</v>
      </c>
      <c r="W8404" s="116">
        <v>1298</v>
      </c>
      <c r="X8404" s="220">
        <v>420000</v>
      </c>
      <c r="Y8404" s="220">
        <f>X8404*0.1</f>
        <v>42000</v>
      </c>
      <c r="Z8404" s="220">
        <v>7140</v>
      </c>
      <c r="AA8404" s="220">
        <f>SUM(X8404:Z8404)</f>
        <v>469140</v>
      </c>
      <c r="AB8404" s="222">
        <v>46140</v>
      </c>
    </row>
    <row r="8405" spans="1:28" ht="17.100000000000001" customHeight="1" thickBot="1">
      <c r="A8405" s="227"/>
      <c r="B8405" s="27" t="s">
        <v>2103</v>
      </c>
      <c r="C8405" s="27">
        <v>3314</v>
      </c>
      <c r="D8405" s="14" t="s">
        <v>1584</v>
      </c>
      <c r="E8405" s="229"/>
      <c r="F8405" s="117" t="s">
        <v>23252</v>
      </c>
      <c r="G8405" s="26">
        <v>43260</v>
      </c>
      <c r="H8405" s="231"/>
      <c r="I8405" s="221"/>
      <c r="J8405" s="221"/>
      <c r="K8405" s="221"/>
      <c r="L8405" s="221"/>
      <c r="M8405" s="221"/>
      <c r="N8405" s="221"/>
      <c r="O8405" s="225"/>
      <c r="P8405" s="118" t="s">
        <v>8545</v>
      </c>
      <c r="Q8405" s="16" t="s">
        <v>20</v>
      </c>
      <c r="R8405" s="17" t="s">
        <v>23596</v>
      </c>
      <c r="S8405" s="121" t="s">
        <v>23517</v>
      </c>
      <c r="T8405" s="122"/>
      <c r="U8405" s="22"/>
      <c r="V8405" s="123" t="s">
        <v>2472</v>
      </c>
      <c r="W8405" s="122">
        <v>60431</v>
      </c>
      <c r="X8405" s="221"/>
      <c r="Y8405" s="221"/>
      <c r="Z8405" s="221"/>
      <c r="AA8405" s="221"/>
      <c r="AB8405" s="223"/>
    </row>
    <row r="8406" spans="1:28" ht="17.100000000000001" customHeight="1" thickTop="1">
      <c r="A8406" s="226" t="s">
        <v>23237</v>
      </c>
      <c r="B8406" s="28">
        <v>46133</v>
      </c>
      <c r="C8406" s="25">
        <v>1938</v>
      </c>
      <c r="D8406" s="13" t="s">
        <v>23290</v>
      </c>
      <c r="E8406" s="228"/>
      <c r="F8406" s="109" t="s">
        <v>15197</v>
      </c>
      <c r="G8406" s="24"/>
      <c r="H8406" s="230">
        <v>3.5</v>
      </c>
      <c r="I8406" s="220">
        <v>475000</v>
      </c>
      <c r="J8406" s="220">
        <f>I8406*0.1</f>
        <v>47500</v>
      </c>
      <c r="K8406" s="220">
        <v>0</v>
      </c>
      <c r="L8406" s="220">
        <v>6550</v>
      </c>
      <c r="M8406" s="220">
        <v>15950</v>
      </c>
      <c r="N8406" s="220">
        <f>SUM(I8406:M8407)</f>
        <v>545000</v>
      </c>
      <c r="O8406" s="224"/>
      <c r="P8406" s="110" t="s">
        <v>23903</v>
      </c>
      <c r="Q8406" s="15" t="s">
        <v>19</v>
      </c>
      <c r="R8406" s="205"/>
      <c r="S8406" s="189" t="s">
        <v>758</v>
      </c>
      <c r="T8406" s="114"/>
      <c r="U8406" s="21"/>
      <c r="V8406" s="115">
        <v>46137</v>
      </c>
      <c r="W8406" s="116">
        <v>1298</v>
      </c>
      <c r="X8406" s="220">
        <v>550000</v>
      </c>
      <c r="Y8406" s="220">
        <f>X8406*0.1</f>
        <v>55000</v>
      </c>
      <c r="Z8406" s="220">
        <v>6550</v>
      </c>
      <c r="AA8406" s="220">
        <f>SUM(X8406:Z8406)</f>
        <v>611550</v>
      </c>
      <c r="AB8406" s="222">
        <v>46140</v>
      </c>
    </row>
    <row r="8407" spans="1:28" ht="17.100000000000001" customHeight="1" thickBot="1">
      <c r="A8407" s="227"/>
      <c r="B8407" s="27" t="s">
        <v>2103</v>
      </c>
      <c r="C8407" s="27">
        <v>3347</v>
      </c>
      <c r="D8407" s="14" t="s">
        <v>23289</v>
      </c>
      <c r="E8407" s="229"/>
      <c r="F8407" s="117" t="s">
        <v>23253</v>
      </c>
      <c r="G8407" s="26">
        <v>49486</v>
      </c>
      <c r="H8407" s="231"/>
      <c r="I8407" s="221"/>
      <c r="J8407" s="221"/>
      <c r="K8407" s="221"/>
      <c r="L8407" s="221"/>
      <c r="M8407" s="221"/>
      <c r="N8407" s="221"/>
      <c r="O8407" s="225"/>
      <c r="P8407" s="118" t="s">
        <v>7323</v>
      </c>
      <c r="Q8407" s="16" t="s">
        <v>20</v>
      </c>
      <c r="R8407" s="17" t="s">
        <v>23902</v>
      </c>
      <c r="S8407" s="121" t="s">
        <v>1661</v>
      </c>
      <c r="T8407" s="122"/>
      <c r="U8407" s="22"/>
      <c r="V8407" s="123" t="s">
        <v>2472</v>
      </c>
      <c r="W8407" s="122">
        <v>60438</v>
      </c>
      <c r="X8407" s="221"/>
      <c r="Y8407" s="221"/>
      <c r="Z8407" s="221"/>
      <c r="AA8407" s="221"/>
      <c r="AB8407" s="223"/>
    </row>
    <row r="8408" spans="1:28" ht="17.100000000000001" customHeight="1" thickTop="1">
      <c r="A8408" s="226" t="s">
        <v>23238</v>
      </c>
      <c r="B8408" s="28">
        <v>46133</v>
      </c>
      <c r="C8408" s="25">
        <v>1938</v>
      </c>
      <c r="D8408" s="13" t="s">
        <v>23291</v>
      </c>
      <c r="E8408" s="228"/>
      <c r="F8408" s="109" t="s">
        <v>23254</v>
      </c>
      <c r="G8408" s="24" t="s">
        <v>23292</v>
      </c>
      <c r="H8408" s="230">
        <v>4</v>
      </c>
      <c r="I8408" s="220">
        <v>513000</v>
      </c>
      <c r="J8408" s="220">
        <f>I8408*0.1</f>
        <v>51300</v>
      </c>
      <c r="K8408" s="220">
        <v>0</v>
      </c>
      <c r="L8408" s="220">
        <v>9910</v>
      </c>
      <c r="M8408" s="220">
        <v>15950</v>
      </c>
      <c r="N8408" s="220">
        <f>SUM(I8408:M8409)</f>
        <v>590160</v>
      </c>
      <c r="O8408" s="224"/>
      <c r="P8408" s="110" t="s">
        <v>23611</v>
      </c>
      <c r="Q8408" s="15" t="s">
        <v>19</v>
      </c>
      <c r="R8408" s="205"/>
      <c r="S8408" s="189" t="s">
        <v>25432</v>
      </c>
      <c r="T8408" s="114"/>
      <c r="U8408" s="21"/>
      <c r="V8408" s="115">
        <v>46137</v>
      </c>
      <c r="W8408" s="116">
        <v>1298</v>
      </c>
      <c r="X8408" s="220">
        <v>600000</v>
      </c>
      <c r="Y8408" s="220">
        <f>X8408*0.1</f>
        <v>60000</v>
      </c>
      <c r="Z8408" s="220">
        <v>9910</v>
      </c>
      <c r="AA8408" s="220">
        <f>SUM(X8408:Z8408)</f>
        <v>669910</v>
      </c>
      <c r="AB8408" s="222">
        <v>46140</v>
      </c>
    </row>
    <row r="8409" spans="1:28" ht="16.5" customHeight="1" thickBot="1">
      <c r="A8409" s="227"/>
      <c r="B8409" s="27" t="s">
        <v>2103</v>
      </c>
      <c r="C8409" s="27">
        <v>3467</v>
      </c>
      <c r="D8409" s="14" t="s">
        <v>1710</v>
      </c>
      <c r="E8409" s="229"/>
      <c r="F8409" s="117" t="s">
        <v>23255</v>
      </c>
      <c r="G8409" s="26">
        <v>57200</v>
      </c>
      <c r="H8409" s="231"/>
      <c r="I8409" s="221"/>
      <c r="J8409" s="221"/>
      <c r="K8409" s="221"/>
      <c r="L8409" s="221"/>
      <c r="M8409" s="221"/>
      <c r="N8409" s="221"/>
      <c r="O8409" s="225"/>
      <c r="P8409" s="118" t="s">
        <v>23604</v>
      </c>
      <c r="Q8409" s="16" t="s">
        <v>20</v>
      </c>
      <c r="R8409" s="17" t="s">
        <v>23596</v>
      </c>
      <c r="S8409" s="121" t="s">
        <v>23612</v>
      </c>
      <c r="T8409" s="122"/>
      <c r="U8409" s="22"/>
      <c r="V8409" s="123" t="s">
        <v>2472</v>
      </c>
      <c r="W8409" s="122">
        <v>60434</v>
      </c>
      <c r="X8409" s="221"/>
      <c r="Y8409" s="221"/>
      <c r="Z8409" s="221"/>
      <c r="AA8409" s="221"/>
      <c r="AB8409" s="223"/>
    </row>
    <row r="8410" spans="1:28" ht="17.100000000000001" customHeight="1" thickTop="1">
      <c r="A8410" s="226" t="s">
        <v>23239</v>
      </c>
      <c r="B8410" s="28">
        <v>46133</v>
      </c>
      <c r="C8410" s="25">
        <v>1938</v>
      </c>
      <c r="D8410" s="13" t="s">
        <v>23293</v>
      </c>
      <c r="E8410" s="228"/>
      <c r="F8410" s="109" t="s">
        <v>23256</v>
      </c>
      <c r="G8410" s="24" t="s">
        <v>23294</v>
      </c>
      <c r="H8410" s="230">
        <v>4</v>
      </c>
      <c r="I8410" s="220">
        <v>451000</v>
      </c>
      <c r="J8410" s="220">
        <f>I8410*0.1</f>
        <v>45100</v>
      </c>
      <c r="K8410" s="220">
        <v>0</v>
      </c>
      <c r="L8410" s="220">
        <v>9790</v>
      </c>
      <c r="M8410" s="220">
        <v>15950</v>
      </c>
      <c r="N8410" s="220">
        <f>SUM(I8410:M8411)</f>
        <v>521840</v>
      </c>
      <c r="O8410" s="224"/>
      <c r="P8410" s="110" t="s">
        <v>23613</v>
      </c>
      <c r="Q8410" s="15" t="s">
        <v>19</v>
      </c>
      <c r="R8410" s="205"/>
      <c r="S8410" s="189" t="s">
        <v>25432</v>
      </c>
      <c r="T8410" s="114"/>
      <c r="U8410" s="21"/>
      <c r="V8410" s="115">
        <v>46137</v>
      </c>
      <c r="W8410" s="116">
        <v>1298</v>
      </c>
      <c r="X8410" s="220">
        <v>570000</v>
      </c>
      <c r="Y8410" s="220">
        <f>X8410*0.1</f>
        <v>57000</v>
      </c>
      <c r="Z8410" s="220">
        <v>9790</v>
      </c>
      <c r="AA8410" s="220">
        <f>SUM(X8410:Z8410)</f>
        <v>636790</v>
      </c>
      <c r="AB8410" s="222">
        <v>46143</v>
      </c>
    </row>
    <row r="8411" spans="1:28" ht="17.100000000000001" customHeight="1" thickBot="1">
      <c r="A8411" s="227"/>
      <c r="B8411" s="27" t="s">
        <v>2103</v>
      </c>
      <c r="C8411" s="27">
        <v>3547</v>
      </c>
      <c r="D8411" s="14" t="s">
        <v>2559</v>
      </c>
      <c r="E8411" s="229"/>
      <c r="F8411" s="117" t="s">
        <v>23257</v>
      </c>
      <c r="G8411" s="26">
        <v>44539</v>
      </c>
      <c r="H8411" s="231"/>
      <c r="I8411" s="221"/>
      <c r="J8411" s="221"/>
      <c r="K8411" s="221"/>
      <c r="L8411" s="221"/>
      <c r="M8411" s="221"/>
      <c r="N8411" s="221"/>
      <c r="O8411" s="225"/>
      <c r="P8411" s="118" t="s">
        <v>23604</v>
      </c>
      <c r="Q8411" s="16" t="s">
        <v>20</v>
      </c>
      <c r="R8411" s="17" t="s">
        <v>23596</v>
      </c>
      <c r="S8411" s="121" t="s">
        <v>23612</v>
      </c>
      <c r="T8411" s="122"/>
      <c r="U8411" s="22"/>
      <c r="V8411" s="123" t="s">
        <v>6641</v>
      </c>
      <c r="W8411" s="122">
        <v>60450</v>
      </c>
      <c r="X8411" s="221"/>
      <c r="Y8411" s="221"/>
      <c r="Z8411" s="221"/>
      <c r="AA8411" s="221"/>
      <c r="AB8411" s="223"/>
    </row>
    <row r="8412" spans="1:28" ht="17.100000000000001" customHeight="1" thickTop="1">
      <c r="A8412" s="226" t="s">
        <v>23240</v>
      </c>
      <c r="B8412" s="28">
        <v>46133</v>
      </c>
      <c r="C8412" s="25">
        <v>1938</v>
      </c>
      <c r="D8412" s="13" t="s">
        <v>23295</v>
      </c>
      <c r="E8412" s="228"/>
      <c r="F8412" s="109" t="s">
        <v>23258</v>
      </c>
      <c r="G8412" s="24"/>
      <c r="H8412" s="230">
        <v>4</v>
      </c>
      <c r="I8412" s="220">
        <v>1107000</v>
      </c>
      <c r="J8412" s="220">
        <f>I8412*0.1</f>
        <v>110700</v>
      </c>
      <c r="K8412" s="220">
        <v>0</v>
      </c>
      <c r="L8412" s="220">
        <v>11930</v>
      </c>
      <c r="M8412" s="220">
        <v>15950</v>
      </c>
      <c r="N8412" s="220">
        <f>SUM(I8412:M8413)</f>
        <v>1245580</v>
      </c>
      <c r="O8412" s="224"/>
      <c r="P8412" s="110" t="s">
        <v>23603</v>
      </c>
      <c r="Q8412" s="15" t="s">
        <v>19</v>
      </c>
      <c r="R8412" s="205"/>
      <c r="S8412" s="189"/>
      <c r="T8412" s="114"/>
      <c r="U8412" s="21"/>
      <c r="V8412" s="115">
        <v>46137</v>
      </c>
      <c r="W8412" s="116">
        <v>1298</v>
      </c>
      <c r="X8412" s="220">
        <v>1220000</v>
      </c>
      <c r="Y8412" s="220">
        <f>X8412*0.1</f>
        <v>122000</v>
      </c>
      <c r="Z8412" s="220">
        <v>11930</v>
      </c>
      <c r="AA8412" s="220">
        <f>SUM(X8412:Z8412)</f>
        <v>1353930</v>
      </c>
      <c r="AB8412" s="222">
        <v>46154</v>
      </c>
    </row>
    <row r="8413" spans="1:28" ht="17.100000000000001" customHeight="1" thickBot="1">
      <c r="A8413" s="227"/>
      <c r="B8413" s="27" t="s">
        <v>2103</v>
      </c>
      <c r="C8413" s="27">
        <v>5004</v>
      </c>
      <c r="D8413" s="14" t="s">
        <v>23296</v>
      </c>
      <c r="E8413" s="229"/>
      <c r="F8413" s="117" t="s">
        <v>23297</v>
      </c>
      <c r="G8413" s="26">
        <v>34593</v>
      </c>
      <c r="H8413" s="231"/>
      <c r="I8413" s="221"/>
      <c r="J8413" s="221"/>
      <c r="K8413" s="221"/>
      <c r="L8413" s="221"/>
      <c r="M8413" s="221"/>
      <c r="N8413" s="221"/>
      <c r="O8413" s="225"/>
      <c r="P8413" s="118" t="s">
        <v>23604</v>
      </c>
      <c r="Q8413" s="16" t="s">
        <v>20</v>
      </c>
      <c r="R8413" s="17" t="s">
        <v>23596</v>
      </c>
      <c r="S8413" s="121"/>
      <c r="T8413" s="122"/>
      <c r="U8413" s="22"/>
      <c r="V8413" s="123" t="s">
        <v>2472</v>
      </c>
      <c r="W8413" s="122">
        <v>80386</v>
      </c>
      <c r="X8413" s="221"/>
      <c r="Y8413" s="221"/>
      <c r="Z8413" s="221"/>
      <c r="AA8413" s="221"/>
      <c r="AB8413" s="223"/>
    </row>
    <row r="8414" spans="1:28" ht="17.100000000000001" customHeight="1" thickTop="1">
      <c r="A8414" s="226" t="s">
        <v>23241</v>
      </c>
      <c r="B8414" s="28">
        <v>46133</v>
      </c>
      <c r="C8414" s="25">
        <v>1938</v>
      </c>
      <c r="D8414" s="13" t="s">
        <v>23298</v>
      </c>
      <c r="E8414" s="228"/>
      <c r="F8414" s="109" t="s">
        <v>23259</v>
      </c>
      <c r="G8414" s="24"/>
      <c r="H8414" s="230">
        <v>4.5</v>
      </c>
      <c r="I8414" s="220">
        <v>735000</v>
      </c>
      <c r="J8414" s="220">
        <f>I8414*0.1</f>
        <v>73500</v>
      </c>
      <c r="K8414" s="220">
        <v>0</v>
      </c>
      <c r="L8414" s="220">
        <v>19330</v>
      </c>
      <c r="M8414" s="220">
        <v>19250</v>
      </c>
      <c r="N8414" s="220">
        <f>SUM(I8414:M8415)</f>
        <v>847080</v>
      </c>
      <c r="O8414" s="224"/>
      <c r="P8414" s="110" t="s">
        <v>24113</v>
      </c>
      <c r="Q8414" s="15" t="s">
        <v>19</v>
      </c>
      <c r="R8414" s="205"/>
      <c r="S8414" s="189"/>
      <c r="T8414" s="114"/>
      <c r="U8414" s="21"/>
      <c r="V8414" s="115">
        <v>46144</v>
      </c>
      <c r="W8414" s="116">
        <v>1299</v>
      </c>
      <c r="X8414" s="220">
        <v>855000</v>
      </c>
      <c r="Y8414" s="220">
        <f>X8414*0.1</f>
        <v>85500</v>
      </c>
      <c r="Z8414" s="220">
        <v>19330</v>
      </c>
      <c r="AA8414" s="220">
        <f>SUM(X8414:Z8414)</f>
        <v>959830</v>
      </c>
      <c r="AB8414" s="222">
        <v>46154</v>
      </c>
    </row>
    <row r="8415" spans="1:28" ht="17.100000000000001" customHeight="1" thickBot="1">
      <c r="A8415" s="227"/>
      <c r="B8415" s="27" t="s">
        <v>2103</v>
      </c>
      <c r="C8415" s="27">
        <v>5026</v>
      </c>
      <c r="D8415" s="14" t="s">
        <v>23289</v>
      </c>
      <c r="E8415" s="229"/>
      <c r="F8415" s="117" t="s">
        <v>23299</v>
      </c>
      <c r="G8415" s="26">
        <v>68233</v>
      </c>
      <c r="H8415" s="231"/>
      <c r="I8415" s="221"/>
      <c r="J8415" s="221"/>
      <c r="K8415" s="221"/>
      <c r="L8415" s="221"/>
      <c r="M8415" s="221"/>
      <c r="N8415" s="221"/>
      <c r="O8415" s="225"/>
      <c r="P8415" s="118" t="s">
        <v>24114</v>
      </c>
      <c r="Q8415" s="16" t="s">
        <v>20</v>
      </c>
      <c r="R8415" s="17" t="s">
        <v>24115</v>
      </c>
      <c r="S8415" s="121" t="s">
        <v>23512</v>
      </c>
      <c r="T8415" s="122"/>
      <c r="U8415" s="22"/>
      <c r="V8415" s="123" t="s">
        <v>24346</v>
      </c>
      <c r="W8415" s="122">
        <v>80044</v>
      </c>
      <c r="X8415" s="221"/>
      <c r="Y8415" s="221"/>
      <c r="Z8415" s="221"/>
      <c r="AA8415" s="221"/>
      <c r="AB8415" s="223"/>
    </row>
    <row r="8416" spans="1:28" ht="17.100000000000001" customHeight="1" thickTop="1">
      <c r="A8416" s="226" t="s">
        <v>23242</v>
      </c>
      <c r="B8416" s="28">
        <v>46133</v>
      </c>
      <c r="C8416" s="25">
        <v>1938</v>
      </c>
      <c r="D8416" s="13" t="s">
        <v>23300</v>
      </c>
      <c r="E8416" s="228"/>
      <c r="F8416" s="109" t="s">
        <v>23260</v>
      </c>
      <c r="G8416" s="24" t="s">
        <v>23302</v>
      </c>
      <c r="H8416" s="230">
        <v>4</v>
      </c>
      <c r="I8416" s="220">
        <v>1387000</v>
      </c>
      <c r="J8416" s="220">
        <f>I8416*0.1</f>
        <v>138700</v>
      </c>
      <c r="K8416" s="220">
        <v>39820</v>
      </c>
      <c r="L8416" s="220">
        <v>20540</v>
      </c>
      <c r="M8416" s="220">
        <v>15950</v>
      </c>
      <c r="N8416" s="220">
        <f>SUM(I8416:M8417)</f>
        <v>1602010</v>
      </c>
      <c r="O8416" s="224"/>
      <c r="P8416" s="110" t="s">
        <v>23303</v>
      </c>
      <c r="Q8416" s="15" t="s">
        <v>19</v>
      </c>
      <c r="R8416" s="205"/>
      <c r="S8416" s="189" t="s">
        <v>25967</v>
      </c>
      <c r="T8416" s="114"/>
      <c r="U8416" s="21"/>
      <c r="V8416" s="115">
        <v>46144</v>
      </c>
      <c r="W8416" s="116">
        <v>1299</v>
      </c>
      <c r="X8416" s="220">
        <v>1515000</v>
      </c>
      <c r="Y8416" s="220">
        <f>X8416*0.1</f>
        <v>151500</v>
      </c>
      <c r="Z8416" s="220">
        <v>20540</v>
      </c>
      <c r="AA8416" s="220">
        <f>SUM(X8416:Z8416)</f>
        <v>1687040</v>
      </c>
      <c r="AB8416" s="222">
        <v>46154</v>
      </c>
    </row>
    <row r="8417" spans="1:28" ht="17.100000000000001" customHeight="1" thickBot="1">
      <c r="A8417" s="227"/>
      <c r="B8417" s="27" t="s">
        <v>2103</v>
      </c>
      <c r="C8417" s="27">
        <v>5041</v>
      </c>
      <c r="D8417" s="14" t="s">
        <v>2559</v>
      </c>
      <c r="E8417" s="229"/>
      <c r="F8417" s="117" t="s">
        <v>23301</v>
      </c>
      <c r="G8417" s="26">
        <v>37093</v>
      </c>
      <c r="H8417" s="231"/>
      <c r="I8417" s="221"/>
      <c r="J8417" s="221"/>
      <c r="K8417" s="221"/>
      <c r="L8417" s="221"/>
      <c r="M8417" s="221"/>
      <c r="N8417" s="221"/>
      <c r="O8417" s="225"/>
      <c r="P8417" s="118" t="s">
        <v>23606</v>
      </c>
      <c r="Q8417" s="16" t="s">
        <v>20</v>
      </c>
      <c r="R8417" s="17" t="s">
        <v>23596</v>
      </c>
      <c r="S8417" s="121" t="s">
        <v>23514</v>
      </c>
      <c r="T8417" s="122"/>
      <c r="U8417" s="22"/>
      <c r="V8417" s="123" t="s">
        <v>24346</v>
      </c>
      <c r="W8417" s="122">
        <v>80009</v>
      </c>
      <c r="X8417" s="221"/>
      <c r="Y8417" s="221"/>
      <c r="Z8417" s="221"/>
      <c r="AA8417" s="221"/>
      <c r="AB8417" s="223"/>
    </row>
    <row r="8418" spans="1:28" ht="17.100000000000001" customHeight="1" thickTop="1">
      <c r="A8418" s="226" t="s">
        <v>23243</v>
      </c>
      <c r="B8418" s="28">
        <v>46133</v>
      </c>
      <c r="C8418" s="25">
        <v>1938</v>
      </c>
      <c r="D8418" s="13" t="s">
        <v>23304</v>
      </c>
      <c r="E8418" s="228"/>
      <c r="F8418" s="109" t="s">
        <v>20346</v>
      </c>
      <c r="G8418" s="24"/>
      <c r="H8418" s="230">
        <v>4.5</v>
      </c>
      <c r="I8418" s="220">
        <v>1730000</v>
      </c>
      <c r="J8418" s="220">
        <f>I8418*0.1</f>
        <v>173000</v>
      </c>
      <c r="K8418" s="220">
        <v>0</v>
      </c>
      <c r="L8418" s="220">
        <v>17800</v>
      </c>
      <c r="M8418" s="220">
        <v>15950</v>
      </c>
      <c r="N8418" s="220">
        <f>SUM(I8418:M8419)</f>
        <v>1936750</v>
      </c>
      <c r="O8418" s="224"/>
      <c r="P8418" s="110" t="s">
        <v>23601</v>
      </c>
      <c r="Q8418" s="15" t="s">
        <v>19</v>
      </c>
      <c r="R8418" s="205"/>
      <c r="S8418" s="189"/>
      <c r="T8418" s="114"/>
      <c r="U8418" s="21"/>
      <c r="V8418" s="115"/>
      <c r="W8418" s="116"/>
      <c r="X8418" s="220"/>
      <c r="Y8418" s="220">
        <f>X8418*0.1</f>
        <v>0</v>
      </c>
      <c r="Z8418" s="220"/>
      <c r="AA8418" s="220">
        <f>SUM(X8418:Z8418)</f>
        <v>0</v>
      </c>
      <c r="AB8418" s="222"/>
    </row>
    <row r="8419" spans="1:28" ht="17.100000000000001" customHeight="1" thickBot="1">
      <c r="A8419" s="227"/>
      <c r="B8419" s="27" t="s">
        <v>2103</v>
      </c>
      <c r="C8419" s="27">
        <v>32028</v>
      </c>
      <c r="D8419" s="14" t="s">
        <v>23296</v>
      </c>
      <c r="E8419" s="229"/>
      <c r="F8419" s="117" t="s">
        <v>23305</v>
      </c>
      <c r="G8419" s="26">
        <v>46334</v>
      </c>
      <c r="H8419" s="231"/>
      <c r="I8419" s="221"/>
      <c r="J8419" s="221"/>
      <c r="K8419" s="221"/>
      <c r="L8419" s="221"/>
      <c r="M8419" s="221"/>
      <c r="N8419" s="221"/>
      <c r="O8419" s="225"/>
      <c r="P8419" s="118" t="s">
        <v>23602</v>
      </c>
      <c r="Q8419" s="16" t="s">
        <v>20</v>
      </c>
      <c r="R8419" s="17" t="s">
        <v>23596</v>
      </c>
      <c r="S8419" s="121" t="s">
        <v>23513</v>
      </c>
      <c r="T8419" s="122"/>
      <c r="U8419" s="22"/>
      <c r="V8419" s="123"/>
      <c r="W8419" s="122"/>
      <c r="X8419" s="221"/>
      <c r="Y8419" s="221"/>
      <c r="Z8419" s="221"/>
      <c r="AA8419" s="221"/>
      <c r="AB8419" s="223"/>
    </row>
    <row r="8420" spans="1:28" ht="17.100000000000001" customHeight="1" thickTop="1">
      <c r="A8420" s="226" t="s">
        <v>23244</v>
      </c>
      <c r="B8420" s="28">
        <v>46133</v>
      </c>
      <c r="C8420" s="25">
        <v>1938</v>
      </c>
      <c r="D8420" s="13" t="s">
        <v>23306</v>
      </c>
      <c r="E8420" s="228"/>
      <c r="F8420" s="109" t="s">
        <v>17749</v>
      </c>
      <c r="G8420" s="24"/>
      <c r="H8420" s="230">
        <v>4</v>
      </c>
      <c r="I8420" s="220">
        <v>1093000</v>
      </c>
      <c r="J8420" s="220">
        <f>I8420*0.1</f>
        <v>109300</v>
      </c>
      <c r="K8420" s="220">
        <v>0</v>
      </c>
      <c r="L8420" s="220">
        <v>7440</v>
      </c>
      <c r="M8420" s="220">
        <v>15950</v>
      </c>
      <c r="N8420" s="220">
        <f>SUM(I8420:M8421)</f>
        <v>1225690</v>
      </c>
      <c r="O8420" s="224"/>
      <c r="P8420" s="110" t="s">
        <v>23610</v>
      </c>
      <c r="Q8420" s="15" t="s">
        <v>19</v>
      </c>
      <c r="R8420" s="205"/>
      <c r="S8420" s="189"/>
      <c r="T8420" s="114"/>
      <c r="U8420" s="21"/>
      <c r="V8420" s="115">
        <v>46137</v>
      </c>
      <c r="W8420" s="116">
        <v>1298</v>
      </c>
      <c r="X8420" s="220">
        <v>1205000</v>
      </c>
      <c r="Y8420" s="220">
        <f>X8420*0.1</f>
        <v>120500</v>
      </c>
      <c r="Z8420" s="220">
        <v>7440</v>
      </c>
      <c r="AA8420" s="220">
        <f>SUM(X8420:Z8420)</f>
        <v>1332940</v>
      </c>
      <c r="AB8420" s="222">
        <v>46140</v>
      </c>
    </row>
    <row r="8421" spans="1:28" ht="17.100000000000001" customHeight="1" thickBot="1">
      <c r="A8421" s="227"/>
      <c r="B8421" s="27" t="s">
        <v>2103</v>
      </c>
      <c r="C8421" s="27">
        <v>79293</v>
      </c>
      <c r="D8421" s="14" t="s">
        <v>1710</v>
      </c>
      <c r="E8421" s="229"/>
      <c r="F8421" s="117" t="s">
        <v>23261</v>
      </c>
      <c r="G8421" s="26">
        <v>34435</v>
      </c>
      <c r="H8421" s="231"/>
      <c r="I8421" s="221"/>
      <c r="J8421" s="221"/>
      <c r="K8421" s="221"/>
      <c r="L8421" s="221"/>
      <c r="M8421" s="221"/>
      <c r="N8421" s="221"/>
      <c r="O8421" s="225"/>
      <c r="P8421" s="118" t="s">
        <v>12117</v>
      </c>
      <c r="Q8421" s="16" t="s">
        <v>20</v>
      </c>
      <c r="R8421" s="17" t="s">
        <v>23596</v>
      </c>
      <c r="S8421" s="121" t="s">
        <v>23508</v>
      </c>
      <c r="T8421" s="122"/>
      <c r="U8421" s="22"/>
      <c r="V8421" s="123" t="s">
        <v>2472</v>
      </c>
      <c r="W8421" s="122">
        <v>41085</v>
      </c>
      <c r="X8421" s="221"/>
      <c r="Y8421" s="221"/>
      <c r="Z8421" s="221"/>
      <c r="AA8421" s="221"/>
      <c r="AB8421" s="223"/>
    </row>
    <row r="8422" spans="1:28" ht="17.100000000000001" customHeight="1" thickTop="1">
      <c r="A8422" s="226" t="s">
        <v>23245</v>
      </c>
      <c r="B8422" s="28">
        <v>46133</v>
      </c>
      <c r="C8422" s="25">
        <v>1938</v>
      </c>
      <c r="D8422" s="13" t="s">
        <v>23307</v>
      </c>
      <c r="E8422" s="228"/>
      <c r="F8422" s="109" t="s">
        <v>19438</v>
      </c>
      <c r="G8422" s="24"/>
      <c r="H8422" s="230">
        <v>4</v>
      </c>
      <c r="I8422" s="220">
        <v>1108000</v>
      </c>
      <c r="J8422" s="220">
        <f>I8422*0.1</f>
        <v>110800</v>
      </c>
      <c r="K8422" s="220">
        <v>0</v>
      </c>
      <c r="L8422" s="220">
        <v>8990</v>
      </c>
      <c r="M8422" s="220">
        <v>15950</v>
      </c>
      <c r="N8422" s="220">
        <f>SUM(I8422:M8423)</f>
        <v>1243740</v>
      </c>
      <c r="O8422" s="224"/>
      <c r="P8422" s="110" t="s">
        <v>23608</v>
      </c>
      <c r="Q8422" s="15" t="s">
        <v>19</v>
      </c>
      <c r="R8422" s="205"/>
      <c r="S8422" s="189"/>
      <c r="T8422" s="114"/>
      <c r="U8422" s="21"/>
      <c r="V8422" s="115">
        <v>46144</v>
      </c>
      <c r="W8422" s="116">
        <v>1299</v>
      </c>
      <c r="X8422" s="220">
        <v>1200000</v>
      </c>
      <c r="Y8422" s="220">
        <f>X8422*0.1</f>
        <v>120000</v>
      </c>
      <c r="Z8422" s="220">
        <v>8990</v>
      </c>
      <c r="AA8422" s="220">
        <f>SUM(X8422:Z8422)</f>
        <v>1328990</v>
      </c>
      <c r="AB8422" s="222">
        <v>46154</v>
      </c>
    </row>
    <row r="8423" spans="1:28" ht="17.100000000000001" customHeight="1" thickBot="1">
      <c r="A8423" s="227"/>
      <c r="B8423" s="27" t="s">
        <v>2103</v>
      </c>
      <c r="C8423" s="27">
        <v>79310</v>
      </c>
      <c r="D8423" s="14" t="s">
        <v>23289</v>
      </c>
      <c r="E8423" s="229"/>
      <c r="F8423" s="117" t="s">
        <v>23262</v>
      </c>
      <c r="G8423" s="26">
        <v>43432</v>
      </c>
      <c r="H8423" s="231"/>
      <c r="I8423" s="221"/>
      <c r="J8423" s="221"/>
      <c r="K8423" s="221"/>
      <c r="L8423" s="221"/>
      <c r="M8423" s="221"/>
      <c r="N8423" s="221"/>
      <c r="O8423" s="225"/>
      <c r="P8423" s="118" t="s">
        <v>12117</v>
      </c>
      <c r="Q8423" s="16" t="s">
        <v>20</v>
      </c>
      <c r="R8423" s="17" t="s">
        <v>23596</v>
      </c>
      <c r="S8423" s="121"/>
      <c r="T8423" s="122"/>
      <c r="U8423" s="22"/>
      <c r="V8423" s="123" t="s">
        <v>2472</v>
      </c>
      <c r="W8423" s="122">
        <v>41003</v>
      </c>
      <c r="X8423" s="221"/>
      <c r="Y8423" s="221"/>
      <c r="Z8423" s="221"/>
      <c r="AA8423" s="221"/>
      <c r="AB8423" s="223"/>
    </row>
    <row r="8424" spans="1:28" ht="17.100000000000001" customHeight="1" thickTop="1">
      <c r="A8424" s="226" t="s">
        <v>23246</v>
      </c>
      <c r="B8424" s="28">
        <v>46133</v>
      </c>
      <c r="C8424" s="25">
        <v>1938</v>
      </c>
      <c r="D8424" s="13" t="s">
        <v>23308</v>
      </c>
      <c r="E8424" s="228"/>
      <c r="F8424" s="109" t="s">
        <v>15511</v>
      </c>
      <c r="G8424" s="24"/>
      <c r="H8424" s="230">
        <v>4</v>
      </c>
      <c r="I8424" s="220">
        <v>665000</v>
      </c>
      <c r="J8424" s="220">
        <f>I8424*0.1</f>
        <v>66500</v>
      </c>
      <c r="K8424" s="220">
        <v>0</v>
      </c>
      <c r="L8424" s="220">
        <v>8430</v>
      </c>
      <c r="M8424" s="220">
        <v>15950</v>
      </c>
      <c r="N8424" s="220">
        <f>SUM(I8424:M8425)</f>
        <v>755880</v>
      </c>
      <c r="O8424" s="224"/>
      <c r="P8424" s="110" t="s">
        <v>23607</v>
      </c>
      <c r="Q8424" s="15" t="s">
        <v>19</v>
      </c>
      <c r="R8424" s="205"/>
      <c r="S8424" s="189"/>
      <c r="T8424" s="114"/>
      <c r="U8424" s="21"/>
      <c r="V8424" s="115">
        <v>46137</v>
      </c>
      <c r="W8424" s="116">
        <v>1298</v>
      </c>
      <c r="X8424" s="220">
        <v>755000</v>
      </c>
      <c r="Y8424" s="220">
        <f>X8424*0.1</f>
        <v>75500</v>
      </c>
      <c r="Z8424" s="220">
        <v>8430</v>
      </c>
      <c r="AA8424" s="220">
        <f>SUM(X8424:Z8424)</f>
        <v>838930</v>
      </c>
      <c r="AB8424" s="222">
        <v>46140</v>
      </c>
    </row>
    <row r="8425" spans="1:28" ht="17.100000000000001" customHeight="1" thickBot="1">
      <c r="A8425" s="227"/>
      <c r="B8425" s="27" t="s">
        <v>2103</v>
      </c>
      <c r="C8425" s="27">
        <v>79378</v>
      </c>
      <c r="D8425" s="14" t="s">
        <v>23289</v>
      </c>
      <c r="E8425" s="229"/>
      <c r="F8425" s="117" t="s">
        <v>23263</v>
      </c>
      <c r="G8425" s="26">
        <v>30618</v>
      </c>
      <c r="H8425" s="231"/>
      <c r="I8425" s="221"/>
      <c r="J8425" s="221"/>
      <c r="K8425" s="221"/>
      <c r="L8425" s="221"/>
      <c r="M8425" s="221"/>
      <c r="N8425" s="221"/>
      <c r="O8425" s="225"/>
      <c r="P8425" s="118" t="s">
        <v>12117</v>
      </c>
      <c r="Q8425" s="16" t="s">
        <v>20</v>
      </c>
      <c r="R8425" s="17" t="s">
        <v>23596</v>
      </c>
      <c r="S8425" s="121" t="s">
        <v>23516</v>
      </c>
      <c r="T8425" s="122"/>
      <c r="U8425" s="22"/>
      <c r="V8425" s="123" t="s">
        <v>2472</v>
      </c>
      <c r="W8425" s="122">
        <v>60427</v>
      </c>
      <c r="X8425" s="221"/>
      <c r="Y8425" s="221"/>
      <c r="Z8425" s="221"/>
      <c r="AA8425" s="221"/>
      <c r="AB8425" s="223"/>
    </row>
    <row r="8426" spans="1:28" ht="17.100000000000001" customHeight="1" thickTop="1">
      <c r="A8426" s="226" t="s">
        <v>23264</v>
      </c>
      <c r="B8426" s="28">
        <v>46133</v>
      </c>
      <c r="C8426" s="25">
        <v>816</v>
      </c>
      <c r="D8426" s="13" t="s">
        <v>23309</v>
      </c>
      <c r="E8426" s="228"/>
      <c r="F8426" s="109" t="s">
        <v>2678</v>
      </c>
      <c r="G8426" s="24"/>
      <c r="H8426" s="230">
        <v>4</v>
      </c>
      <c r="I8426" s="220">
        <v>608000</v>
      </c>
      <c r="J8426" s="220">
        <f>I8426*0.1</f>
        <v>60800</v>
      </c>
      <c r="K8426" s="220">
        <v>0</v>
      </c>
      <c r="L8426" s="220">
        <v>19440</v>
      </c>
      <c r="M8426" s="220">
        <v>15950</v>
      </c>
      <c r="N8426" s="220">
        <f>SUM(I8426:M8427)</f>
        <v>704190</v>
      </c>
      <c r="O8426" s="224"/>
      <c r="P8426" s="110" t="s">
        <v>23505</v>
      </c>
      <c r="Q8426" s="15" t="s">
        <v>19</v>
      </c>
      <c r="R8426" s="205"/>
      <c r="S8426" s="189"/>
      <c r="T8426" s="114"/>
      <c r="U8426" s="21"/>
      <c r="V8426" s="115">
        <v>46165</v>
      </c>
      <c r="W8426" s="116">
        <v>1301</v>
      </c>
      <c r="X8426" s="220">
        <v>690000</v>
      </c>
      <c r="Y8426" s="220">
        <f>X8426*0.1</f>
        <v>69000</v>
      </c>
      <c r="Z8426" s="220">
        <v>19440</v>
      </c>
      <c r="AA8426" s="220">
        <f>SUM(X8426:Z8426)</f>
        <v>778440</v>
      </c>
      <c r="AB8426" s="222">
        <v>46168</v>
      </c>
    </row>
    <row r="8427" spans="1:28" ht="17.100000000000001" customHeight="1" thickBot="1">
      <c r="A8427" s="227"/>
      <c r="B8427" s="27" t="s">
        <v>3314</v>
      </c>
      <c r="C8427" s="27">
        <v>5001</v>
      </c>
      <c r="D8427" s="14" t="s">
        <v>2291</v>
      </c>
      <c r="E8427" s="229"/>
      <c r="F8427" s="117" t="s">
        <v>23310</v>
      </c>
      <c r="G8427" s="26">
        <v>74546</v>
      </c>
      <c r="H8427" s="231"/>
      <c r="I8427" s="221"/>
      <c r="J8427" s="221"/>
      <c r="K8427" s="221"/>
      <c r="L8427" s="221"/>
      <c r="M8427" s="221"/>
      <c r="N8427" s="221"/>
      <c r="O8427" s="225"/>
      <c r="P8427" s="118" t="s">
        <v>23506</v>
      </c>
      <c r="Q8427" s="16" t="s">
        <v>20</v>
      </c>
      <c r="R8427" s="17" t="s">
        <v>23474</v>
      </c>
      <c r="S8427" s="121" t="s">
        <v>23509</v>
      </c>
      <c r="T8427" s="122"/>
      <c r="U8427" s="22"/>
      <c r="V8427" s="123" t="s">
        <v>2472</v>
      </c>
      <c r="W8427" s="122">
        <v>80062</v>
      </c>
      <c r="X8427" s="221"/>
      <c r="Y8427" s="221"/>
      <c r="Z8427" s="221"/>
      <c r="AA8427" s="221"/>
      <c r="AB8427" s="223"/>
    </row>
    <row r="8428" spans="1:28" ht="17.100000000000001" customHeight="1" thickTop="1">
      <c r="A8428" s="226" t="s">
        <v>23247</v>
      </c>
      <c r="B8428" s="28">
        <v>46133</v>
      </c>
      <c r="C8428" s="25">
        <v>816</v>
      </c>
      <c r="D8428" s="13" t="s">
        <v>23311</v>
      </c>
      <c r="E8428" s="228"/>
      <c r="F8428" s="109" t="s">
        <v>23265</v>
      </c>
      <c r="G8428" s="24"/>
      <c r="H8428" s="230">
        <v>4</v>
      </c>
      <c r="I8428" s="220">
        <v>1922000</v>
      </c>
      <c r="J8428" s="220">
        <f>I8428*0.1</f>
        <v>192200</v>
      </c>
      <c r="K8428" s="220">
        <v>0</v>
      </c>
      <c r="L8428" s="220">
        <v>19630</v>
      </c>
      <c r="M8428" s="220">
        <v>15950</v>
      </c>
      <c r="N8428" s="220">
        <f>SUM(I8428:M8429)</f>
        <v>2149780</v>
      </c>
      <c r="O8428" s="224"/>
      <c r="P8428" s="110" t="s">
        <v>24059</v>
      </c>
      <c r="Q8428" s="15" t="s">
        <v>19</v>
      </c>
      <c r="R8428" s="205"/>
      <c r="S8428" s="189" t="s">
        <v>776</v>
      </c>
      <c r="T8428" s="114"/>
      <c r="U8428" s="21"/>
      <c r="V8428" s="115">
        <v>46137</v>
      </c>
      <c r="W8428" s="116">
        <v>1298</v>
      </c>
      <c r="X8428" s="220">
        <v>2075000</v>
      </c>
      <c r="Y8428" s="220">
        <f>X8428*0.1</f>
        <v>207500</v>
      </c>
      <c r="Z8428" s="220">
        <v>19630</v>
      </c>
      <c r="AA8428" s="220">
        <f>SUM(X8428:Z8428)</f>
        <v>2302130</v>
      </c>
      <c r="AB8428" s="222">
        <v>46154</v>
      </c>
    </row>
    <row r="8429" spans="1:28" ht="17.100000000000001" customHeight="1" thickBot="1">
      <c r="A8429" s="227"/>
      <c r="B8429" s="27" t="s">
        <v>3314</v>
      </c>
      <c r="C8429" s="27">
        <v>5011</v>
      </c>
      <c r="D8429" s="14" t="s">
        <v>23289</v>
      </c>
      <c r="E8429" s="229"/>
      <c r="F8429" s="117" t="s">
        <v>23312</v>
      </c>
      <c r="G8429" s="26">
        <v>28665</v>
      </c>
      <c r="H8429" s="231"/>
      <c r="I8429" s="221"/>
      <c r="J8429" s="221"/>
      <c r="K8429" s="221"/>
      <c r="L8429" s="221"/>
      <c r="M8429" s="221"/>
      <c r="N8429" s="221"/>
      <c r="O8429" s="225"/>
      <c r="P8429" s="118" t="s">
        <v>24060</v>
      </c>
      <c r="Q8429" s="16" t="s">
        <v>20</v>
      </c>
      <c r="R8429" s="17" t="s">
        <v>24061</v>
      </c>
      <c r="S8429" s="121" t="s">
        <v>24062</v>
      </c>
      <c r="T8429" s="122"/>
      <c r="U8429" s="22"/>
      <c r="V8429" s="123" t="s">
        <v>2472</v>
      </c>
      <c r="W8429" s="122">
        <v>80394</v>
      </c>
      <c r="X8429" s="221"/>
      <c r="Y8429" s="221"/>
      <c r="Z8429" s="221"/>
      <c r="AA8429" s="221"/>
      <c r="AB8429" s="223"/>
    </row>
    <row r="8430" spans="1:28" ht="17.100000000000001" customHeight="1" thickTop="1">
      <c r="A8430" s="226" t="s">
        <v>23248</v>
      </c>
      <c r="B8430" s="28">
        <v>46133</v>
      </c>
      <c r="C8430" s="25">
        <v>936</v>
      </c>
      <c r="D8430" s="13" t="s">
        <v>23288</v>
      </c>
      <c r="E8430" s="228"/>
      <c r="F8430" s="109" t="s">
        <v>15197</v>
      </c>
      <c r="G8430" s="24"/>
      <c r="H8430" s="230">
        <v>4</v>
      </c>
      <c r="I8430" s="220">
        <v>484000</v>
      </c>
      <c r="J8430" s="220">
        <f>I8430*0.1</f>
        <v>48400</v>
      </c>
      <c r="K8430" s="220">
        <v>0</v>
      </c>
      <c r="L8430" s="220">
        <v>7140</v>
      </c>
      <c r="M8430" s="220">
        <v>15950</v>
      </c>
      <c r="N8430" s="220">
        <f>SUM(I8430:M8431)</f>
        <v>555490</v>
      </c>
      <c r="O8430" s="224"/>
      <c r="P8430" s="110" t="s">
        <v>23913</v>
      </c>
      <c r="Q8430" s="15" t="s">
        <v>19</v>
      </c>
      <c r="R8430" s="205"/>
      <c r="S8430" s="189"/>
      <c r="T8430" s="114"/>
      <c r="U8430" s="21"/>
      <c r="V8430" s="115">
        <v>46144</v>
      </c>
      <c r="W8430" s="116">
        <v>1299</v>
      </c>
      <c r="X8430" s="220">
        <v>560000</v>
      </c>
      <c r="Y8430" s="220">
        <f>X8430*0.1</f>
        <v>56000</v>
      </c>
      <c r="Z8430" s="220">
        <v>7140</v>
      </c>
      <c r="AA8430" s="220">
        <f>SUM(X8430:Z8430)</f>
        <v>623140</v>
      </c>
      <c r="AB8430" s="222">
        <v>46154</v>
      </c>
    </row>
    <row r="8431" spans="1:28" ht="17.100000000000001" customHeight="1" thickBot="1">
      <c r="A8431" s="227"/>
      <c r="B8431" s="27" t="s">
        <v>2654</v>
      </c>
      <c r="C8431" s="27">
        <v>3089</v>
      </c>
      <c r="D8431" s="14" t="s">
        <v>1710</v>
      </c>
      <c r="E8431" s="229"/>
      <c r="F8431" s="117" t="s">
        <v>23266</v>
      </c>
      <c r="G8431" s="26">
        <v>25398</v>
      </c>
      <c r="H8431" s="231"/>
      <c r="I8431" s="221"/>
      <c r="J8431" s="221"/>
      <c r="K8431" s="221"/>
      <c r="L8431" s="221"/>
      <c r="M8431" s="221"/>
      <c r="N8431" s="221"/>
      <c r="O8431" s="225"/>
      <c r="P8431" s="118" t="s">
        <v>7323</v>
      </c>
      <c r="Q8431" s="16" t="s">
        <v>20</v>
      </c>
      <c r="R8431" s="17" t="s">
        <v>23902</v>
      </c>
      <c r="S8431" s="121"/>
      <c r="T8431" s="122"/>
      <c r="U8431" s="22"/>
      <c r="V8431" s="123" t="s">
        <v>7160</v>
      </c>
      <c r="W8431" s="122">
        <v>60075</v>
      </c>
      <c r="X8431" s="221"/>
      <c r="Y8431" s="221"/>
      <c r="Z8431" s="221"/>
      <c r="AA8431" s="221"/>
      <c r="AB8431" s="223"/>
    </row>
    <row r="8432" spans="1:28" ht="17.100000000000001" customHeight="1" thickTop="1">
      <c r="A8432" s="226" t="s">
        <v>23249</v>
      </c>
      <c r="B8432" s="28">
        <v>46133</v>
      </c>
      <c r="C8432" s="25">
        <v>936</v>
      </c>
      <c r="D8432" s="13" t="s">
        <v>23313</v>
      </c>
      <c r="E8432" s="228"/>
      <c r="F8432" s="109" t="s">
        <v>23267</v>
      </c>
      <c r="G8432" s="24"/>
      <c r="H8432" s="230">
        <v>4</v>
      </c>
      <c r="I8432" s="220">
        <v>1621000</v>
      </c>
      <c r="J8432" s="220">
        <f>I8432*0.1</f>
        <v>162100</v>
      </c>
      <c r="K8432" s="220">
        <v>0</v>
      </c>
      <c r="L8432" s="220">
        <v>20050</v>
      </c>
      <c r="M8432" s="220">
        <v>15950</v>
      </c>
      <c r="N8432" s="220">
        <f>SUM(I8432:M8433)</f>
        <v>1819100</v>
      </c>
      <c r="O8432" s="224"/>
      <c r="P8432" s="110" t="s">
        <v>24119</v>
      </c>
      <c r="Q8432" s="15" t="s">
        <v>19</v>
      </c>
      <c r="R8432" s="205"/>
      <c r="S8432" s="189"/>
      <c r="T8432" s="114"/>
      <c r="U8432" s="21"/>
      <c r="V8432" s="115">
        <v>46165</v>
      </c>
      <c r="W8432" s="116">
        <v>1301</v>
      </c>
      <c r="X8432" s="220">
        <v>1675000</v>
      </c>
      <c r="Y8432" s="220">
        <f>X8432*0.1</f>
        <v>167500</v>
      </c>
      <c r="Z8432" s="220">
        <v>20050</v>
      </c>
      <c r="AA8432" s="220">
        <f>SUM(X8432:Z8432)</f>
        <v>1862550</v>
      </c>
      <c r="AB8432" s="222">
        <v>46168</v>
      </c>
    </row>
    <row r="8433" spans="1:28" ht="17.100000000000001" customHeight="1" thickBot="1">
      <c r="A8433" s="227"/>
      <c r="B8433" s="27" t="s">
        <v>2654</v>
      </c>
      <c r="C8433" s="27">
        <v>5014</v>
      </c>
      <c r="D8433" s="14" t="s">
        <v>2559</v>
      </c>
      <c r="E8433" s="229"/>
      <c r="F8433" s="117" t="s">
        <v>23314</v>
      </c>
      <c r="G8433" s="26">
        <v>66467</v>
      </c>
      <c r="H8433" s="231"/>
      <c r="I8433" s="221"/>
      <c r="J8433" s="221"/>
      <c r="K8433" s="221"/>
      <c r="L8433" s="221"/>
      <c r="M8433" s="221"/>
      <c r="N8433" s="221"/>
      <c r="O8433" s="225"/>
      <c r="P8433" s="118" t="s">
        <v>3506</v>
      </c>
      <c r="Q8433" s="16" t="s">
        <v>20</v>
      </c>
      <c r="R8433" s="17" t="s">
        <v>24115</v>
      </c>
      <c r="S8433" s="121" t="s">
        <v>23550</v>
      </c>
      <c r="T8433" s="122"/>
      <c r="U8433" s="22"/>
      <c r="V8433" s="123" t="s">
        <v>2472</v>
      </c>
      <c r="W8433" s="122">
        <v>80045</v>
      </c>
      <c r="X8433" s="221"/>
      <c r="Y8433" s="221"/>
      <c r="Z8433" s="221"/>
      <c r="AA8433" s="221"/>
      <c r="AB8433" s="223"/>
    </row>
    <row r="8434" spans="1:28" ht="17.100000000000001" customHeight="1" thickTop="1">
      <c r="A8434" s="226" t="s">
        <v>23250</v>
      </c>
      <c r="B8434" s="28">
        <v>46133</v>
      </c>
      <c r="C8434" s="25">
        <v>936</v>
      </c>
      <c r="D8434" s="13" t="s">
        <v>23315</v>
      </c>
      <c r="E8434" s="228"/>
      <c r="F8434" s="109" t="s">
        <v>23268</v>
      </c>
      <c r="G8434" s="24"/>
      <c r="H8434" s="230">
        <v>4</v>
      </c>
      <c r="I8434" s="220">
        <v>919000</v>
      </c>
      <c r="J8434" s="220">
        <f>I8434*0.1</f>
        <v>91900</v>
      </c>
      <c r="K8434" s="220">
        <v>0</v>
      </c>
      <c r="L8434" s="220">
        <v>11810</v>
      </c>
      <c r="M8434" s="220">
        <v>15950</v>
      </c>
      <c r="N8434" s="220">
        <f>SUM(I8434:M8435)</f>
        <v>1038660</v>
      </c>
      <c r="O8434" s="224"/>
      <c r="P8434" s="110" t="s">
        <v>23605</v>
      </c>
      <c r="Q8434" s="15" t="s">
        <v>19</v>
      </c>
      <c r="R8434" s="205"/>
      <c r="S8434" s="189"/>
      <c r="T8434" s="114"/>
      <c r="U8434" s="21"/>
      <c r="V8434" s="115">
        <v>46158</v>
      </c>
      <c r="W8434" s="116">
        <v>1300</v>
      </c>
      <c r="X8434" s="220">
        <v>1020000</v>
      </c>
      <c r="Y8434" s="220">
        <f>X8434*0.1</f>
        <v>102000</v>
      </c>
      <c r="Z8434" s="220">
        <v>11810</v>
      </c>
      <c r="AA8434" s="220">
        <f>SUM(X8434:Z8434)</f>
        <v>1133810</v>
      </c>
      <c r="AB8434" s="222">
        <v>46167</v>
      </c>
    </row>
    <row r="8435" spans="1:28" ht="17.100000000000001" customHeight="1" thickBot="1">
      <c r="A8435" s="227"/>
      <c r="B8435" s="27" t="s">
        <v>2654</v>
      </c>
      <c r="C8435" s="27">
        <v>5030</v>
      </c>
      <c r="D8435" s="14" t="s">
        <v>2559</v>
      </c>
      <c r="E8435" s="229"/>
      <c r="F8435" s="117" t="s">
        <v>23316</v>
      </c>
      <c r="G8435" s="26">
        <v>69002</v>
      </c>
      <c r="H8435" s="231"/>
      <c r="I8435" s="221"/>
      <c r="J8435" s="221"/>
      <c r="K8435" s="221"/>
      <c r="L8435" s="221"/>
      <c r="M8435" s="221"/>
      <c r="N8435" s="221"/>
      <c r="O8435" s="225"/>
      <c r="P8435" s="118" t="s">
        <v>10171</v>
      </c>
      <c r="Q8435" s="16" t="s">
        <v>20</v>
      </c>
      <c r="R8435" s="17" t="s">
        <v>23596</v>
      </c>
      <c r="S8435" s="121" t="s">
        <v>23511</v>
      </c>
      <c r="T8435" s="122"/>
      <c r="U8435" s="22"/>
      <c r="V8435" s="123" t="s">
        <v>6641</v>
      </c>
      <c r="W8435" s="122">
        <v>80056</v>
      </c>
      <c r="X8435" s="221"/>
      <c r="Y8435" s="221"/>
      <c r="Z8435" s="221"/>
      <c r="AA8435" s="221"/>
      <c r="AB8435" s="223"/>
    </row>
    <row r="8436" spans="1:28" ht="17.100000000000001" customHeight="1" thickTop="1">
      <c r="A8436" s="226" t="s">
        <v>23271</v>
      </c>
      <c r="B8436" s="28">
        <v>46133</v>
      </c>
      <c r="C8436" s="25">
        <v>936</v>
      </c>
      <c r="D8436" s="13" t="s">
        <v>23317</v>
      </c>
      <c r="E8436" s="228"/>
      <c r="F8436" s="109" t="s">
        <v>23269</v>
      </c>
      <c r="G8436" s="24" t="s">
        <v>23319</v>
      </c>
      <c r="H8436" s="232" t="s">
        <v>1705</v>
      </c>
      <c r="I8436" s="220">
        <v>505000</v>
      </c>
      <c r="J8436" s="220">
        <f>I8436*0.1</f>
        <v>50500</v>
      </c>
      <c r="K8436" s="220">
        <v>0</v>
      </c>
      <c r="L8436" s="220">
        <v>7510</v>
      </c>
      <c r="M8436" s="220">
        <v>15950</v>
      </c>
      <c r="N8436" s="220">
        <f>SUM(I8436:M8437)</f>
        <v>578960</v>
      </c>
      <c r="O8436" s="224"/>
      <c r="P8436" s="110" t="s">
        <v>23320</v>
      </c>
      <c r="Q8436" s="15" t="s">
        <v>19</v>
      </c>
      <c r="R8436" s="205"/>
      <c r="S8436" s="189"/>
      <c r="T8436" s="114"/>
      <c r="U8436" s="21" t="s">
        <v>24501</v>
      </c>
      <c r="V8436" s="115">
        <v>46144</v>
      </c>
      <c r="W8436" s="116">
        <v>1299</v>
      </c>
      <c r="X8436" s="220">
        <v>565000</v>
      </c>
      <c r="Y8436" s="220">
        <f>X8436*0.1</f>
        <v>56500</v>
      </c>
      <c r="Z8436" s="220">
        <v>7510</v>
      </c>
      <c r="AA8436" s="220">
        <f>SUM(X8436:Z8436)</f>
        <v>629010</v>
      </c>
      <c r="AB8436" s="222">
        <v>46154</v>
      </c>
    </row>
    <row r="8437" spans="1:28" ht="17.100000000000001" customHeight="1" thickBot="1">
      <c r="A8437" s="227"/>
      <c r="B8437" s="27" t="s">
        <v>2654</v>
      </c>
      <c r="C8437" s="27">
        <v>7188</v>
      </c>
      <c r="D8437" s="14" t="s">
        <v>23318</v>
      </c>
      <c r="E8437" s="229"/>
      <c r="F8437" s="117" t="s">
        <v>23270</v>
      </c>
      <c r="G8437" s="26">
        <v>45151</v>
      </c>
      <c r="H8437" s="231"/>
      <c r="I8437" s="221"/>
      <c r="J8437" s="221"/>
      <c r="K8437" s="221"/>
      <c r="L8437" s="221"/>
      <c r="M8437" s="221"/>
      <c r="N8437" s="221"/>
      <c r="O8437" s="225"/>
      <c r="P8437" s="118" t="s">
        <v>23615</v>
      </c>
      <c r="Q8437" s="16" t="s">
        <v>20</v>
      </c>
      <c r="R8437" s="17" t="s">
        <v>23596</v>
      </c>
      <c r="S8437" s="121" t="s">
        <v>2366</v>
      </c>
      <c r="T8437" s="122"/>
      <c r="U8437" s="22"/>
      <c r="V8437" s="123" t="s">
        <v>24346</v>
      </c>
      <c r="W8437" s="122">
        <v>60408</v>
      </c>
      <c r="X8437" s="221"/>
      <c r="Y8437" s="221"/>
      <c r="Z8437" s="221"/>
      <c r="AA8437" s="221"/>
      <c r="AB8437" s="223"/>
    </row>
    <row r="8438" spans="1:28" ht="17.100000000000001" customHeight="1" thickTop="1">
      <c r="A8438" s="226" t="s">
        <v>23272</v>
      </c>
      <c r="B8438" s="28">
        <v>46133</v>
      </c>
      <c r="C8438" s="25">
        <v>1237</v>
      </c>
      <c r="D8438" s="13" t="s">
        <v>23321</v>
      </c>
      <c r="E8438" s="228"/>
      <c r="F8438" s="109" t="s">
        <v>23279</v>
      </c>
      <c r="G8438" s="24"/>
      <c r="H8438" s="230">
        <v>4</v>
      </c>
      <c r="I8438" s="220">
        <v>632000</v>
      </c>
      <c r="J8438" s="220">
        <f>I8438*0.1</f>
        <v>63200</v>
      </c>
      <c r="K8438" s="220">
        <v>0</v>
      </c>
      <c r="L8438" s="220">
        <v>14500</v>
      </c>
      <c r="M8438" s="220">
        <v>15950</v>
      </c>
      <c r="N8438" s="220">
        <f>SUM(I8438:M8439)</f>
        <v>725650</v>
      </c>
      <c r="O8438" s="224"/>
      <c r="P8438" s="110" t="s">
        <v>23503</v>
      </c>
      <c r="Q8438" s="15" t="s">
        <v>19</v>
      </c>
      <c r="R8438" s="205"/>
      <c r="S8438" s="189"/>
      <c r="T8438" s="114"/>
      <c r="U8438" s="21"/>
      <c r="V8438" s="115">
        <v>46144</v>
      </c>
      <c r="W8438" s="116">
        <v>1299</v>
      </c>
      <c r="X8438" s="220">
        <v>775000</v>
      </c>
      <c r="Y8438" s="220">
        <f>X8438*0.1</f>
        <v>77500</v>
      </c>
      <c r="Z8438" s="220">
        <v>14500</v>
      </c>
      <c r="AA8438" s="220">
        <f>SUM(X8438:Z8438)</f>
        <v>867000</v>
      </c>
      <c r="AB8438" s="222">
        <v>46154</v>
      </c>
    </row>
    <row r="8439" spans="1:28" ht="17.100000000000001" customHeight="1" thickBot="1">
      <c r="A8439" s="227"/>
      <c r="B8439" s="27" t="s">
        <v>2344</v>
      </c>
      <c r="C8439" s="27">
        <v>4280</v>
      </c>
      <c r="D8439" s="14" t="s">
        <v>23322</v>
      </c>
      <c r="E8439" s="229"/>
      <c r="F8439" s="117" t="s">
        <v>23323</v>
      </c>
      <c r="G8439" s="26">
        <v>41914</v>
      </c>
      <c r="H8439" s="231"/>
      <c r="I8439" s="221"/>
      <c r="J8439" s="221"/>
      <c r="K8439" s="221"/>
      <c r="L8439" s="221"/>
      <c r="M8439" s="221"/>
      <c r="N8439" s="221"/>
      <c r="O8439" s="225"/>
      <c r="P8439" s="118" t="s">
        <v>23504</v>
      </c>
      <c r="Q8439" s="16" t="s">
        <v>20</v>
      </c>
      <c r="R8439" s="17" t="s">
        <v>23474</v>
      </c>
      <c r="S8439" s="121" t="s">
        <v>23551</v>
      </c>
      <c r="T8439" s="122"/>
      <c r="U8439" s="22"/>
      <c r="V8439" s="123" t="s">
        <v>24346</v>
      </c>
      <c r="W8439" s="122">
        <v>80021</v>
      </c>
      <c r="X8439" s="221"/>
      <c r="Y8439" s="221"/>
      <c r="Z8439" s="221"/>
      <c r="AA8439" s="221"/>
      <c r="AB8439" s="223"/>
    </row>
    <row r="8440" spans="1:28" ht="17.100000000000001" customHeight="1" thickTop="1">
      <c r="A8440" s="226" t="s">
        <v>23273</v>
      </c>
      <c r="B8440" s="28">
        <v>46133</v>
      </c>
      <c r="C8440" s="25">
        <v>1237</v>
      </c>
      <c r="D8440" s="13" t="s">
        <v>23324</v>
      </c>
      <c r="E8440" s="228"/>
      <c r="F8440" s="109" t="s">
        <v>17162</v>
      </c>
      <c r="G8440" s="24"/>
      <c r="H8440" s="230">
        <v>4</v>
      </c>
      <c r="I8440" s="220">
        <v>750000</v>
      </c>
      <c r="J8440" s="220">
        <f>I8440*0.1</f>
        <v>75000</v>
      </c>
      <c r="K8440" s="220">
        <v>0</v>
      </c>
      <c r="L8440" s="220">
        <v>7440</v>
      </c>
      <c r="M8440" s="220">
        <v>15950</v>
      </c>
      <c r="N8440" s="220">
        <f>SUM(I8440:M8441)</f>
        <v>848390</v>
      </c>
      <c r="O8440" s="224"/>
      <c r="P8440" s="110" t="s">
        <v>23914</v>
      </c>
      <c r="Q8440" s="15" t="s">
        <v>19</v>
      </c>
      <c r="R8440" s="205"/>
      <c r="S8440" s="189"/>
      <c r="T8440" s="114"/>
      <c r="U8440" s="21"/>
      <c r="V8440" s="115">
        <v>46144</v>
      </c>
      <c r="W8440" s="116">
        <v>1299</v>
      </c>
      <c r="X8440" s="220">
        <v>900000</v>
      </c>
      <c r="Y8440" s="220">
        <f>X8440*0.1</f>
        <v>90000</v>
      </c>
      <c r="Z8440" s="220">
        <v>7440</v>
      </c>
      <c r="AA8440" s="220">
        <f>SUM(X8440:Z8440)</f>
        <v>997440</v>
      </c>
      <c r="AB8440" s="222">
        <v>46154</v>
      </c>
    </row>
    <row r="8441" spans="1:28" ht="17.100000000000001" customHeight="1" thickBot="1">
      <c r="A8441" s="227"/>
      <c r="B8441" s="27" t="s">
        <v>2344</v>
      </c>
      <c r="C8441" s="27">
        <v>62017</v>
      </c>
      <c r="D8441" s="14" t="s">
        <v>23289</v>
      </c>
      <c r="E8441" s="229"/>
      <c r="F8441" s="117" t="s">
        <v>23280</v>
      </c>
      <c r="G8441" s="26">
        <v>44269</v>
      </c>
      <c r="H8441" s="231"/>
      <c r="I8441" s="221"/>
      <c r="J8441" s="221"/>
      <c r="K8441" s="221"/>
      <c r="L8441" s="221"/>
      <c r="M8441" s="221"/>
      <c r="N8441" s="221"/>
      <c r="O8441" s="225"/>
      <c r="P8441" s="118" t="s">
        <v>7323</v>
      </c>
      <c r="Q8441" s="16" t="s">
        <v>20</v>
      </c>
      <c r="R8441" s="17" t="s">
        <v>23902</v>
      </c>
      <c r="S8441" s="121"/>
      <c r="T8441" s="122"/>
      <c r="U8441" s="22"/>
      <c r="V8441" s="123" t="s">
        <v>24346</v>
      </c>
      <c r="W8441" s="122">
        <v>41047</v>
      </c>
      <c r="X8441" s="221"/>
      <c r="Y8441" s="221"/>
      <c r="Z8441" s="221"/>
      <c r="AA8441" s="221"/>
      <c r="AB8441" s="223"/>
    </row>
    <row r="8442" spans="1:28" ht="17.100000000000001" customHeight="1" thickTop="1">
      <c r="A8442" s="226" t="s">
        <v>23274</v>
      </c>
      <c r="B8442" s="28">
        <v>46133</v>
      </c>
      <c r="C8442" s="25">
        <v>1090</v>
      </c>
      <c r="D8442" s="13" t="s">
        <v>853</v>
      </c>
      <c r="E8442" s="228"/>
      <c r="F8442" s="109" t="s">
        <v>23281</v>
      </c>
      <c r="G8442" s="24"/>
      <c r="H8442" s="230">
        <v>4.5</v>
      </c>
      <c r="I8442" s="220">
        <v>2005000</v>
      </c>
      <c r="J8442" s="220">
        <f>I8442*0.1</f>
        <v>200500</v>
      </c>
      <c r="K8442" s="220">
        <v>0</v>
      </c>
      <c r="L8442" s="220">
        <v>19090</v>
      </c>
      <c r="M8442" s="220">
        <v>16500</v>
      </c>
      <c r="N8442" s="220">
        <f>SUM(I8442:M8443)</f>
        <v>2241090</v>
      </c>
      <c r="O8442" s="224"/>
      <c r="P8442" s="110" t="s">
        <v>23619</v>
      </c>
      <c r="Q8442" s="15" t="s">
        <v>19</v>
      </c>
      <c r="R8442" s="205"/>
      <c r="S8442" s="189" t="s">
        <v>25691</v>
      </c>
      <c r="T8442" s="114"/>
      <c r="U8442" s="21"/>
      <c r="V8442" s="115"/>
      <c r="W8442" s="116"/>
      <c r="X8442" s="220"/>
      <c r="Y8442" s="220">
        <f>X8442*0.1</f>
        <v>0</v>
      </c>
      <c r="Z8442" s="220"/>
      <c r="AA8442" s="220">
        <f>SUM(X8442:Z8442)</f>
        <v>0</v>
      </c>
      <c r="AB8442" s="222"/>
    </row>
    <row r="8443" spans="1:28" ht="17.100000000000001" customHeight="1" thickBot="1">
      <c r="A8443" s="227"/>
      <c r="B8443" s="27" t="s">
        <v>1583</v>
      </c>
      <c r="C8443" s="27">
        <v>84174</v>
      </c>
      <c r="D8443" s="14" t="s">
        <v>2559</v>
      </c>
      <c r="E8443" s="229"/>
      <c r="F8443" s="117" t="s">
        <v>23282</v>
      </c>
      <c r="G8443" s="26">
        <v>64730</v>
      </c>
      <c r="H8443" s="231"/>
      <c r="I8443" s="221"/>
      <c r="J8443" s="221"/>
      <c r="K8443" s="221"/>
      <c r="L8443" s="221"/>
      <c r="M8443" s="221"/>
      <c r="N8443" s="221"/>
      <c r="O8443" s="225"/>
      <c r="P8443" s="118" t="s">
        <v>23620</v>
      </c>
      <c r="Q8443" s="16" t="s">
        <v>20</v>
      </c>
      <c r="R8443" s="17" t="s">
        <v>23596</v>
      </c>
      <c r="S8443" s="121" t="s">
        <v>4991</v>
      </c>
      <c r="T8443" s="122"/>
      <c r="U8443" s="22"/>
      <c r="V8443" s="123"/>
      <c r="W8443" s="122"/>
      <c r="X8443" s="221"/>
      <c r="Y8443" s="221"/>
      <c r="Z8443" s="221"/>
      <c r="AA8443" s="221"/>
      <c r="AB8443" s="223"/>
    </row>
    <row r="8444" spans="1:28" ht="17.100000000000001" customHeight="1" thickTop="1">
      <c r="A8444" s="226" t="s">
        <v>23275</v>
      </c>
      <c r="B8444" s="28">
        <v>46133</v>
      </c>
      <c r="C8444" s="25">
        <v>1090</v>
      </c>
      <c r="D8444" s="13" t="s">
        <v>1953</v>
      </c>
      <c r="E8444" s="228"/>
      <c r="F8444" s="109" t="s">
        <v>1916</v>
      </c>
      <c r="G8444" s="24"/>
      <c r="H8444" s="230">
        <v>4</v>
      </c>
      <c r="I8444" s="220">
        <v>695000</v>
      </c>
      <c r="J8444" s="220">
        <f>I8444*0.1</f>
        <v>69500</v>
      </c>
      <c r="K8444" s="220">
        <v>0</v>
      </c>
      <c r="L8444" s="220">
        <v>17600</v>
      </c>
      <c r="M8444" s="220">
        <v>16500</v>
      </c>
      <c r="N8444" s="220">
        <f>SUM(I8444:M8445)</f>
        <v>798600</v>
      </c>
      <c r="O8444" s="224"/>
      <c r="P8444" s="110" t="s">
        <v>23911</v>
      </c>
      <c r="Q8444" s="15" t="s">
        <v>19</v>
      </c>
      <c r="R8444" s="205"/>
      <c r="S8444" s="189" t="s">
        <v>758</v>
      </c>
      <c r="T8444" s="114"/>
      <c r="U8444" s="21"/>
      <c r="V8444" s="115">
        <v>46135</v>
      </c>
      <c r="W8444" s="116">
        <v>1328</v>
      </c>
      <c r="X8444" s="220">
        <v>845000</v>
      </c>
      <c r="Y8444" s="220">
        <f>X8444*0.1</f>
        <v>84500</v>
      </c>
      <c r="Z8444" s="220">
        <v>17600</v>
      </c>
      <c r="AA8444" s="220">
        <f>SUM(X8444:Z8444)</f>
        <v>947100</v>
      </c>
      <c r="AB8444" s="222">
        <v>46136</v>
      </c>
    </row>
    <row r="8445" spans="1:28" ht="17.100000000000001" customHeight="1" thickBot="1">
      <c r="A8445" s="227"/>
      <c r="B8445" s="27" t="s">
        <v>1583</v>
      </c>
      <c r="C8445" s="27">
        <v>84316</v>
      </c>
      <c r="D8445" s="14" t="s">
        <v>1690</v>
      </c>
      <c r="E8445" s="229"/>
      <c r="F8445" s="117" t="s">
        <v>23283</v>
      </c>
      <c r="G8445" s="26">
        <v>52168</v>
      </c>
      <c r="H8445" s="231"/>
      <c r="I8445" s="221"/>
      <c r="J8445" s="221"/>
      <c r="K8445" s="221"/>
      <c r="L8445" s="221"/>
      <c r="M8445" s="221"/>
      <c r="N8445" s="221"/>
      <c r="O8445" s="225"/>
      <c r="P8445" s="118" t="s">
        <v>17366</v>
      </c>
      <c r="Q8445" s="16" t="s">
        <v>20</v>
      </c>
      <c r="R8445" s="17" t="s">
        <v>23902</v>
      </c>
      <c r="S8445" s="121" t="s">
        <v>1731</v>
      </c>
      <c r="T8445" s="122"/>
      <c r="U8445" s="22"/>
      <c r="V8445" s="123" t="s">
        <v>23411</v>
      </c>
      <c r="W8445" s="122">
        <v>195</v>
      </c>
      <c r="X8445" s="221"/>
      <c r="Y8445" s="221"/>
      <c r="Z8445" s="221"/>
      <c r="AA8445" s="221"/>
      <c r="AB8445" s="223"/>
    </row>
    <row r="8446" spans="1:28" ht="17.100000000000001" customHeight="1" thickTop="1">
      <c r="A8446" s="226" t="s">
        <v>23276</v>
      </c>
      <c r="B8446" s="28">
        <v>46133</v>
      </c>
      <c r="C8446" s="25">
        <v>987</v>
      </c>
      <c r="D8446" s="13" t="s">
        <v>3474</v>
      </c>
      <c r="E8446" s="228"/>
      <c r="F8446" s="109" t="s">
        <v>18257</v>
      </c>
      <c r="G8446" s="24"/>
      <c r="H8446" s="230">
        <v>4</v>
      </c>
      <c r="I8446" s="220">
        <v>714000</v>
      </c>
      <c r="J8446" s="220">
        <f>I8446*0.1</f>
        <v>71400</v>
      </c>
      <c r="K8446" s="220">
        <v>0</v>
      </c>
      <c r="L8446" s="220">
        <v>8110</v>
      </c>
      <c r="M8446" s="220">
        <v>22000</v>
      </c>
      <c r="N8446" s="220">
        <f>SUM(I8446:M8447)</f>
        <v>815510</v>
      </c>
      <c r="O8446" s="224"/>
      <c r="P8446" s="110" t="s">
        <v>24087</v>
      </c>
      <c r="Q8446" s="15" t="s">
        <v>19</v>
      </c>
      <c r="R8446" s="205"/>
      <c r="S8446" s="189" t="s">
        <v>25733</v>
      </c>
      <c r="T8446" s="114"/>
      <c r="U8446" s="21"/>
      <c r="V8446" s="115">
        <v>46158</v>
      </c>
      <c r="W8446" s="116">
        <v>1300</v>
      </c>
      <c r="X8446" s="220">
        <v>790000</v>
      </c>
      <c r="Y8446" s="220">
        <f>X8446*0.1</f>
        <v>79000</v>
      </c>
      <c r="Z8446" s="220">
        <v>8110</v>
      </c>
      <c r="AA8446" s="220">
        <f>SUM(X8446:Z8446)</f>
        <v>877110</v>
      </c>
      <c r="AB8446" s="222">
        <v>46161</v>
      </c>
    </row>
    <row r="8447" spans="1:28" ht="17.100000000000001" customHeight="1" thickBot="1">
      <c r="A8447" s="227"/>
      <c r="B8447" s="27" t="s">
        <v>17765</v>
      </c>
      <c r="C8447" s="27">
        <v>204</v>
      </c>
      <c r="D8447" s="14" t="s">
        <v>1710</v>
      </c>
      <c r="E8447" s="229"/>
      <c r="F8447" s="117" t="s">
        <v>23284</v>
      </c>
      <c r="G8447" s="26">
        <v>56609</v>
      </c>
      <c r="H8447" s="231"/>
      <c r="I8447" s="221"/>
      <c r="J8447" s="221"/>
      <c r="K8447" s="221"/>
      <c r="L8447" s="221"/>
      <c r="M8447" s="221"/>
      <c r="N8447" s="221"/>
      <c r="O8447" s="225"/>
      <c r="P8447" s="118" t="s">
        <v>2446</v>
      </c>
      <c r="Q8447" s="16" t="s">
        <v>20</v>
      </c>
      <c r="R8447" s="17" t="s">
        <v>24061</v>
      </c>
      <c r="S8447" s="121" t="s">
        <v>4895</v>
      </c>
      <c r="T8447" s="122"/>
      <c r="U8447" s="22"/>
      <c r="V8447" s="123" t="s">
        <v>2472</v>
      </c>
      <c r="W8447" s="122">
        <v>60177</v>
      </c>
      <c r="X8447" s="221"/>
      <c r="Y8447" s="221"/>
      <c r="Z8447" s="221"/>
      <c r="AA8447" s="221"/>
      <c r="AB8447" s="223"/>
    </row>
    <row r="8448" spans="1:28" ht="17.100000000000001" customHeight="1" thickTop="1">
      <c r="A8448" s="226" t="s">
        <v>23277</v>
      </c>
      <c r="B8448" s="28">
        <v>46133</v>
      </c>
      <c r="C8448" s="25">
        <v>987</v>
      </c>
      <c r="D8448" s="13" t="s">
        <v>1846</v>
      </c>
      <c r="E8448" s="228"/>
      <c r="F8448" s="109" t="s">
        <v>21589</v>
      </c>
      <c r="G8448" s="24"/>
      <c r="H8448" s="230">
        <v>4</v>
      </c>
      <c r="I8448" s="220">
        <v>614000</v>
      </c>
      <c r="J8448" s="220">
        <f>I8448*0.1</f>
        <v>61400</v>
      </c>
      <c r="K8448" s="220">
        <v>0</v>
      </c>
      <c r="L8448" s="220">
        <v>9130</v>
      </c>
      <c r="M8448" s="220">
        <v>22000</v>
      </c>
      <c r="N8448" s="220">
        <f>SUM(I8448:M8449)</f>
        <v>706530</v>
      </c>
      <c r="O8448" s="224"/>
      <c r="P8448" s="110" t="s">
        <v>24088</v>
      </c>
      <c r="Q8448" s="15" t="s">
        <v>19</v>
      </c>
      <c r="R8448" s="205"/>
      <c r="S8448" s="189" t="s">
        <v>25387</v>
      </c>
      <c r="T8448" s="114"/>
      <c r="U8448" s="21"/>
      <c r="V8448" s="115">
        <v>46162</v>
      </c>
      <c r="W8448" s="116">
        <v>1017</v>
      </c>
      <c r="X8448" s="220">
        <v>650000</v>
      </c>
      <c r="Y8448" s="220">
        <f>X8448*0.1</f>
        <v>65000</v>
      </c>
      <c r="Z8448" s="220">
        <v>9190</v>
      </c>
      <c r="AA8448" s="220">
        <f>SUM(X8448:Z8448)</f>
        <v>724190</v>
      </c>
      <c r="AB8448" s="222">
        <v>46167</v>
      </c>
    </row>
    <row r="8449" spans="1:28" ht="17.100000000000001" customHeight="1" thickBot="1">
      <c r="A8449" s="227"/>
      <c r="B8449" s="27" t="s">
        <v>17765</v>
      </c>
      <c r="C8449" s="27">
        <v>1020</v>
      </c>
      <c r="D8449" s="14" t="s">
        <v>1584</v>
      </c>
      <c r="E8449" s="229"/>
      <c r="F8449" s="117" t="s">
        <v>23285</v>
      </c>
      <c r="G8449" s="26">
        <v>54309</v>
      </c>
      <c r="H8449" s="231"/>
      <c r="I8449" s="221"/>
      <c r="J8449" s="221"/>
      <c r="K8449" s="221"/>
      <c r="L8449" s="221"/>
      <c r="M8449" s="221"/>
      <c r="N8449" s="221"/>
      <c r="O8449" s="225"/>
      <c r="P8449" s="118" t="s">
        <v>2446</v>
      </c>
      <c r="Q8449" s="16" t="s">
        <v>20</v>
      </c>
      <c r="R8449" s="17" t="s">
        <v>24061</v>
      </c>
      <c r="S8449" s="121" t="s">
        <v>1661</v>
      </c>
      <c r="T8449" s="122"/>
      <c r="U8449" s="22"/>
      <c r="V8449" s="123" t="s">
        <v>2747</v>
      </c>
      <c r="W8449" s="122">
        <v>6002</v>
      </c>
      <c r="X8449" s="221"/>
      <c r="Y8449" s="221"/>
      <c r="Z8449" s="221"/>
      <c r="AA8449" s="221"/>
      <c r="AB8449" s="223"/>
    </row>
    <row r="8450" spans="1:28" ht="17.100000000000001" customHeight="1" thickTop="1">
      <c r="A8450" s="226" t="s">
        <v>23278</v>
      </c>
      <c r="B8450" s="28">
        <v>46133</v>
      </c>
      <c r="C8450" s="25">
        <v>987</v>
      </c>
      <c r="D8450" s="13" t="s">
        <v>1883</v>
      </c>
      <c r="E8450" s="228"/>
      <c r="F8450" s="109" t="s">
        <v>23286</v>
      </c>
      <c r="G8450" s="24"/>
      <c r="H8450" s="230">
        <v>4</v>
      </c>
      <c r="I8450" s="220">
        <v>493000</v>
      </c>
      <c r="J8450" s="220">
        <f>I8450*0.1</f>
        <v>49300</v>
      </c>
      <c r="K8450" s="220">
        <v>0</v>
      </c>
      <c r="L8450" s="220">
        <v>7140</v>
      </c>
      <c r="M8450" s="220">
        <v>22000</v>
      </c>
      <c r="N8450" s="220">
        <f>SUM(I8450:M8451)</f>
        <v>571440</v>
      </c>
      <c r="O8450" s="224"/>
      <c r="P8450" s="110" t="s">
        <v>24089</v>
      </c>
      <c r="Q8450" s="15" t="s">
        <v>19</v>
      </c>
      <c r="R8450" s="205"/>
      <c r="S8450" s="189" t="s">
        <v>25387</v>
      </c>
      <c r="T8450" s="114"/>
      <c r="U8450" s="21"/>
      <c r="V8450" s="115"/>
      <c r="W8450" s="116"/>
      <c r="X8450" s="220"/>
      <c r="Y8450" s="220">
        <f>X8450*0.1</f>
        <v>0</v>
      </c>
      <c r="Z8450" s="220"/>
      <c r="AA8450" s="220">
        <f>SUM(X8450:Z8450)</f>
        <v>0</v>
      </c>
      <c r="AB8450" s="222"/>
    </row>
    <row r="8451" spans="1:28" ht="17.100000000000001" customHeight="1" thickBot="1">
      <c r="A8451" s="227"/>
      <c r="B8451" s="27" t="s">
        <v>17765</v>
      </c>
      <c r="C8451" s="27">
        <v>1086</v>
      </c>
      <c r="D8451" s="14" t="s">
        <v>19450</v>
      </c>
      <c r="E8451" s="229"/>
      <c r="F8451" s="117" t="s">
        <v>23287</v>
      </c>
      <c r="G8451" s="26">
        <v>23310</v>
      </c>
      <c r="H8451" s="231"/>
      <c r="I8451" s="221"/>
      <c r="J8451" s="221"/>
      <c r="K8451" s="221"/>
      <c r="L8451" s="221"/>
      <c r="M8451" s="221"/>
      <c r="N8451" s="221"/>
      <c r="O8451" s="225"/>
      <c r="P8451" s="118" t="s">
        <v>10020</v>
      </c>
      <c r="Q8451" s="16" t="s">
        <v>20</v>
      </c>
      <c r="R8451" s="17" t="s">
        <v>24061</v>
      </c>
      <c r="S8451" s="121" t="s">
        <v>23991</v>
      </c>
      <c r="T8451" s="122"/>
      <c r="U8451" s="22"/>
      <c r="V8451" s="123"/>
      <c r="W8451" s="122"/>
      <c r="X8451" s="221"/>
      <c r="Y8451" s="221"/>
      <c r="Z8451" s="221"/>
      <c r="AA8451" s="221"/>
      <c r="AB8451" s="223"/>
    </row>
    <row r="8452" spans="1:28" ht="17.100000000000001" customHeight="1" thickTop="1">
      <c r="A8452" s="226" t="s">
        <v>23325</v>
      </c>
      <c r="B8452" s="28">
        <v>46133</v>
      </c>
      <c r="C8452" s="25">
        <v>1285</v>
      </c>
      <c r="D8452" s="13" t="s">
        <v>1762</v>
      </c>
      <c r="E8452" s="228"/>
      <c r="F8452" s="109" t="s">
        <v>15781</v>
      </c>
      <c r="G8452" s="24"/>
      <c r="H8452" s="230">
        <v>4.5</v>
      </c>
      <c r="I8452" s="220">
        <v>695000</v>
      </c>
      <c r="J8452" s="220">
        <f>I8452*0.1</f>
        <v>69500</v>
      </c>
      <c r="K8452" s="220">
        <v>0</v>
      </c>
      <c r="L8452" s="220">
        <v>17700</v>
      </c>
      <c r="M8452" s="220">
        <f>18500+1850</f>
        <v>20350</v>
      </c>
      <c r="N8452" s="220">
        <f>SUM(I8452:M8453)</f>
        <v>802550</v>
      </c>
      <c r="O8452" s="224"/>
      <c r="P8452" s="110" t="s">
        <v>24116</v>
      </c>
      <c r="Q8452" s="15" t="s">
        <v>19</v>
      </c>
      <c r="R8452" s="205"/>
      <c r="S8452" s="189"/>
      <c r="T8452" s="114"/>
      <c r="U8452" s="21"/>
      <c r="V8452" s="115">
        <v>46158</v>
      </c>
      <c r="W8452" s="116">
        <v>1300</v>
      </c>
      <c r="X8452" s="220">
        <v>860000</v>
      </c>
      <c r="Y8452" s="220">
        <f>X8452*0.1</f>
        <v>86000</v>
      </c>
      <c r="Z8452" s="220">
        <v>17700</v>
      </c>
      <c r="AA8452" s="220">
        <f>SUM(X8452:Z8452)</f>
        <v>963700</v>
      </c>
      <c r="AB8452" s="222">
        <v>46161</v>
      </c>
    </row>
    <row r="8453" spans="1:28" ht="17.100000000000001" customHeight="1" thickBot="1">
      <c r="A8453" s="227"/>
      <c r="B8453" s="27" t="s">
        <v>7351</v>
      </c>
      <c r="C8453" s="27">
        <v>38140</v>
      </c>
      <c r="D8453" s="14" t="s">
        <v>898</v>
      </c>
      <c r="E8453" s="229"/>
      <c r="F8453" s="117" t="s">
        <v>23354</v>
      </c>
      <c r="G8453" s="26">
        <v>55204</v>
      </c>
      <c r="H8453" s="231"/>
      <c r="I8453" s="221"/>
      <c r="J8453" s="221"/>
      <c r="K8453" s="221"/>
      <c r="L8453" s="221"/>
      <c r="M8453" s="221"/>
      <c r="N8453" s="221"/>
      <c r="O8453" s="225"/>
      <c r="P8453" s="118" t="s">
        <v>24117</v>
      </c>
      <c r="Q8453" s="16" t="s">
        <v>20</v>
      </c>
      <c r="R8453" s="17" t="s">
        <v>24115</v>
      </c>
      <c r="S8453" s="121" t="s">
        <v>24118</v>
      </c>
      <c r="T8453" s="122"/>
      <c r="U8453" s="22"/>
      <c r="V8453" s="123" t="s">
        <v>2472</v>
      </c>
      <c r="W8453" s="122">
        <v>80389</v>
      </c>
      <c r="X8453" s="221"/>
      <c r="Y8453" s="221"/>
      <c r="Z8453" s="221"/>
      <c r="AA8453" s="221"/>
      <c r="AB8453" s="223"/>
    </row>
    <row r="8454" spans="1:28" ht="17.100000000000001" customHeight="1" thickTop="1">
      <c r="A8454" s="226" t="s">
        <v>23326</v>
      </c>
      <c r="B8454" s="28">
        <v>46134</v>
      </c>
      <c r="C8454" s="25">
        <v>1278</v>
      </c>
      <c r="D8454" s="13" t="s">
        <v>23339</v>
      </c>
      <c r="E8454" s="228"/>
      <c r="F8454" s="109" t="s">
        <v>23330</v>
      </c>
      <c r="G8454" s="24" t="s">
        <v>23340</v>
      </c>
      <c r="H8454" s="230">
        <v>4</v>
      </c>
      <c r="I8454" s="220">
        <v>635000</v>
      </c>
      <c r="J8454" s="220">
        <f>I8454*0.1</f>
        <v>63500</v>
      </c>
      <c r="K8454" s="220">
        <v>39820</v>
      </c>
      <c r="L8454" s="220">
        <v>9230</v>
      </c>
      <c r="M8454" s="220">
        <v>22000</v>
      </c>
      <c r="N8454" s="220">
        <f>SUM(I8454:M8455)</f>
        <v>769550</v>
      </c>
      <c r="O8454" s="224"/>
      <c r="P8454" s="110" t="s">
        <v>23341</v>
      </c>
      <c r="Q8454" s="15" t="s">
        <v>19</v>
      </c>
      <c r="R8454" s="205"/>
      <c r="S8454" s="189" t="s">
        <v>758</v>
      </c>
      <c r="T8454" s="114"/>
      <c r="U8454" s="21"/>
      <c r="V8454" s="115">
        <v>46144</v>
      </c>
      <c r="W8454" s="116">
        <v>1299</v>
      </c>
      <c r="X8454" s="220">
        <v>750000</v>
      </c>
      <c r="Y8454" s="220">
        <f>X8454*0.1</f>
        <v>75000</v>
      </c>
      <c r="Z8454" s="220">
        <v>9230</v>
      </c>
      <c r="AA8454" s="220">
        <f>SUM(X8454:Z8454)</f>
        <v>834230</v>
      </c>
      <c r="AB8454" s="222">
        <v>46154</v>
      </c>
    </row>
    <row r="8455" spans="1:28" ht="17.100000000000001" customHeight="1" thickBot="1">
      <c r="A8455" s="227"/>
      <c r="B8455" s="27" t="s">
        <v>23329</v>
      </c>
      <c r="C8455" s="27">
        <v>10113</v>
      </c>
      <c r="D8455" s="14" t="s">
        <v>23318</v>
      </c>
      <c r="E8455" s="229"/>
      <c r="F8455" s="117" t="s">
        <v>23331</v>
      </c>
      <c r="G8455" s="26">
        <v>67821</v>
      </c>
      <c r="H8455" s="231"/>
      <c r="I8455" s="221"/>
      <c r="J8455" s="221"/>
      <c r="K8455" s="221"/>
      <c r="L8455" s="221"/>
      <c r="M8455" s="221"/>
      <c r="N8455" s="221"/>
      <c r="O8455" s="225"/>
      <c r="P8455" s="118" t="s">
        <v>3355</v>
      </c>
      <c r="Q8455" s="16" t="s">
        <v>20</v>
      </c>
      <c r="R8455" s="17" t="s">
        <v>24061</v>
      </c>
      <c r="S8455" s="121" t="s">
        <v>4413</v>
      </c>
      <c r="T8455" s="122"/>
      <c r="U8455" s="22"/>
      <c r="V8455" s="123" t="s">
        <v>24346</v>
      </c>
      <c r="W8455" s="122">
        <v>79</v>
      </c>
      <c r="X8455" s="221"/>
      <c r="Y8455" s="221"/>
      <c r="Z8455" s="221"/>
      <c r="AA8455" s="221"/>
      <c r="AB8455" s="223"/>
    </row>
    <row r="8456" spans="1:28" ht="17.100000000000001" customHeight="1" thickTop="1">
      <c r="A8456" s="226" t="s">
        <v>23327</v>
      </c>
      <c r="B8456" s="28">
        <v>46134</v>
      </c>
      <c r="C8456" s="25">
        <v>1014</v>
      </c>
      <c r="D8456" s="13" t="s">
        <v>23342</v>
      </c>
      <c r="E8456" s="228"/>
      <c r="F8456" s="109" t="s">
        <v>23333</v>
      </c>
      <c r="G8456" s="24" t="s">
        <v>23343</v>
      </c>
      <c r="H8456" s="230">
        <v>3.5</v>
      </c>
      <c r="I8456" s="220">
        <v>2300000</v>
      </c>
      <c r="J8456" s="220">
        <f>I8456*0.1</f>
        <v>230000</v>
      </c>
      <c r="K8456" s="220">
        <v>58410</v>
      </c>
      <c r="L8456" s="220">
        <v>15780</v>
      </c>
      <c r="M8456" s="220">
        <v>12100</v>
      </c>
      <c r="N8456" s="220">
        <f>SUM(I8456:M8457)</f>
        <v>2616290</v>
      </c>
      <c r="O8456" s="224"/>
      <c r="P8456" s="110" t="s">
        <v>23344</v>
      </c>
      <c r="Q8456" s="15" t="s">
        <v>19</v>
      </c>
      <c r="R8456" s="205"/>
      <c r="S8456" s="189"/>
      <c r="T8456" s="114"/>
      <c r="U8456" s="21" t="s">
        <v>24288</v>
      </c>
      <c r="V8456" s="115">
        <v>46165</v>
      </c>
      <c r="W8456" s="116">
        <v>1301</v>
      </c>
      <c r="X8456" s="220">
        <v>2400000</v>
      </c>
      <c r="Y8456" s="220">
        <f>X8456*0.1</f>
        <v>240000</v>
      </c>
      <c r="Z8456" s="220">
        <v>15780</v>
      </c>
      <c r="AA8456" s="220">
        <f>SUM(X8456:Z8456)</f>
        <v>2655780</v>
      </c>
      <c r="AB8456" s="222">
        <v>46168</v>
      </c>
    </row>
    <row r="8457" spans="1:28" ht="17.100000000000001" customHeight="1" thickBot="1">
      <c r="A8457" s="227"/>
      <c r="B8457" s="27" t="s">
        <v>23332</v>
      </c>
      <c r="C8457" s="27">
        <v>1160</v>
      </c>
      <c r="D8457" s="14" t="s">
        <v>1710</v>
      </c>
      <c r="E8457" s="229"/>
      <c r="F8457" s="117" t="s">
        <v>23334</v>
      </c>
      <c r="G8457" s="26">
        <v>181061</v>
      </c>
      <c r="H8457" s="231"/>
      <c r="I8457" s="221"/>
      <c r="J8457" s="221"/>
      <c r="K8457" s="221"/>
      <c r="L8457" s="221"/>
      <c r="M8457" s="221"/>
      <c r="N8457" s="221"/>
      <c r="O8457" s="225"/>
      <c r="P8457" s="118" t="s">
        <v>24097</v>
      </c>
      <c r="Q8457" s="16" t="s">
        <v>20</v>
      </c>
      <c r="R8457" s="17" t="s">
        <v>24061</v>
      </c>
      <c r="S8457" s="121"/>
      <c r="T8457" s="122"/>
      <c r="U8457" s="22"/>
      <c r="V8457" s="123" t="s">
        <v>2472</v>
      </c>
      <c r="W8457" s="122">
        <v>50089</v>
      </c>
      <c r="X8457" s="221"/>
      <c r="Y8457" s="221"/>
      <c r="Z8457" s="221"/>
      <c r="AA8457" s="221"/>
      <c r="AB8457" s="223"/>
    </row>
    <row r="8458" spans="1:28" ht="17.100000000000001" customHeight="1" thickTop="1">
      <c r="A8458" s="226" t="s">
        <v>23328</v>
      </c>
      <c r="B8458" s="28">
        <v>46134</v>
      </c>
      <c r="C8458" s="25">
        <v>1014</v>
      </c>
      <c r="D8458" s="13" t="s">
        <v>23288</v>
      </c>
      <c r="E8458" s="228"/>
      <c r="F8458" s="109" t="s">
        <v>23335</v>
      </c>
      <c r="G8458" s="24"/>
      <c r="H8458" s="230">
        <v>4</v>
      </c>
      <c r="I8458" s="220">
        <v>880000</v>
      </c>
      <c r="J8458" s="220">
        <f>I8458*0.1</f>
        <v>88000</v>
      </c>
      <c r="K8458" s="220">
        <v>0</v>
      </c>
      <c r="L8458" s="220">
        <v>7510</v>
      </c>
      <c r="M8458" s="220">
        <v>12100</v>
      </c>
      <c r="N8458" s="220">
        <f>SUM(I8458:M8459)</f>
        <v>987610</v>
      </c>
      <c r="O8458" s="224"/>
      <c r="P8458" s="110" t="s">
        <v>24058</v>
      </c>
      <c r="Q8458" s="15" t="s">
        <v>19</v>
      </c>
      <c r="R8458" s="205"/>
      <c r="S8458" s="189"/>
      <c r="T8458" s="114"/>
      <c r="U8458" s="21"/>
      <c r="V8458" s="115">
        <v>46137</v>
      </c>
      <c r="W8458" s="116">
        <v>1298</v>
      </c>
      <c r="X8458" s="220">
        <v>1040000</v>
      </c>
      <c r="Y8458" s="220">
        <f>X8458*0.1</f>
        <v>104000</v>
      </c>
      <c r="Z8458" s="220">
        <v>7510</v>
      </c>
      <c r="AA8458" s="220">
        <f>SUM(X8458:Z8458)</f>
        <v>1151510</v>
      </c>
      <c r="AB8458" s="222">
        <v>46143</v>
      </c>
    </row>
    <row r="8459" spans="1:28" ht="17.100000000000001" customHeight="1" thickBot="1">
      <c r="A8459" s="227"/>
      <c r="B8459" s="27" t="s">
        <v>23332</v>
      </c>
      <c r="C8459" s="27">
        <v>1282</v>
      </c>
      <c r="D8459" s="14" t="s">
        <v>23318</v>
      </c>
      <c r="E8459" s="229"/>
      <c r="F8459" s="117" t="s">
        <v>23336</v>
      </c>
      <c r="G8459" s="26">
        <v>35001</v>
      </c>
      <c r="H8459" s="231"/>
      <c r="I8459" s="221"/>
      <c r="J8459" s="221"/>
      <c r="K8459" s="221"/>
      <c r="L8459" s="221"/>
      <c r="M8459" s="221"/>
      <c r="N8459" s="221"/>
      <c r="O8459" s="225"/>
      <c r="P8459" s="118" t="s">
        <v>6758</v>
      </c>
      <c r="Q8459" s="16" t="s">
        <v>20</v>
      </c>
      <c r="R8459" s="17" t="s">
        <v>3913</v>
      </c>
      <c r="S8459" s="121"/>
      <c r="T8459" s="122"/>
      <c r="U8459" s="22"/>
      <c r="V8459" s="123" t="s">
        <v>2472</v>
      </c>
      <c r="W8459" s="122">
        <v>216</v>
      </c>
      <c r="X8459" s="221"/>
      <c r="Y8459" s="221"/>
      <c r="Z8459" s="221"/>
      <c r="AA8459" s="221"/>
      <c r="AB8459" s="223"/>
    </row>
    <row r="8460" spans="1:28" ht="17.100000000000001" customHeight="1" thickTop="1">
      <c r="A8460" s="226" t="s">
        <v>23349</v>
      </c>
      <c r="B8460" s="28">
        <v>46134</v>
      </c>
      <c r="C8460" s="25">
        <v>1014</v>
      </c>
      <c r="D8460" s="13" t="s">
        <v>23304</v>
      </c>
      <c r="E8460" s="228"/>
      <c r="F8460" s="109" t="s">
        <v>23337</v>
      </c>
      <c r="G8460" s="24"/>
      <c r="H8460" s="230">
        <v>4.5</v>
      </c>
      <c r="I8460" s="220">
        <v>535000</v>
      </c>
      <c r="J8460" s="220">
        <f>I8460*0.1</f>
        <v>53500</v>
      </c>
      <c r="K8460" s="220">
        <v>0</v>
      </c>
      <c r="L8460" s="220">
        <v>7140</v>
      </c>
      <c r="M8460" s="220">
        <v>12100</v>
      </c>
      <c r="N8460" s="220">
        <f>SUM(I8460:M8461)</f>
        <v>607740</v>
      </c>
      <c r="O8460" s="224"/>
      <c r="P8460" s="110" t="s">
        <v>24102</v>
      </c>
      <c r="Q8460" s="15" t="s">
        <v>19</v>
      </c>
      <c r="R8460" s="205"/>
      <c r="S8460" s="189" t="s">
        <v>758</v>
      </c>
      <c r="T8460" s="114"/>
      <c r="U8460" s="21"/>
      <c r="V8460" s="115">
        <v>46144</v>
      </c>
      <c r="W8460" s="116">
        <v>1299</v>
      </c>
      <c r="X8460" s="220">
        <v>610000</v>
      </c>
      <c r="Y8460" s="220">
        <f>X8460*0.1</f>
        <v>61000</v>
      </c>
      <c r="Z8460" s="220">
        <v>7140</v>
      </c>
      <c r="AA8460" s="220">
        <f>SUM(X8460:Z8460)</f>
        <v>678140</v>
      </c>
      <c r="AB8460" s="222">
        <v>46154</v>
      </c>
    </row>
    <row r="8461" spans="1:28" ht="17.100000000000001" customHeight="1" thickBot="1">
      <c r="A8461" s="227"/>
      <c r="B8461" s="27" t="s">
        <v>23332</v>
      </c>
      <c r="C8461" s="27">
        <v>4040</v>
      </c>
      <c r="D8461" s="14" t="s">
        <v>1710</v>
      </c>
      <c r="E8461" s="229"/>
      <c r="F8461" s="117" t="s">
        <v>23338</v>
      </c>
      <c r="G8461" s="26">
        <v>43535</v>
      </c>
      <c r="H8461" s="231"/>
      <c r="I8461" s="221"/>
      <c r="J8461" s="221"/>
      <c r="K8461" s="221"/>
      <c r="L8461" s="221"/>
      <c r="M8461" s="221"/>
      <c r="N8461" s="221"/>
      <c r="O8461" s="225"/>
      <c r="P8461" s="118" t="s">
        <v>7919</v>
      </c>
      <c r="Q8461" s="16" t="s">
        <v>20</v>
      </c>
      <c r="R8461" s="17" t="s">
        <v>24061</v>
      </c>
      <c r="S8461" s="121" t="s">
        <v>1661</v>
      </c>
      <c r="T8461" s="122"/>
      <c r="U8461" s="22"/>
      <c r="V8461" s="123" t="s">
        <v>24346</v>
      </c>
      <c r="W8461" s="122">
        <v>60108</v>
      </c>
      <c r="X8461" s="221"/>
      <c r="Y8461" s="221"/>
      <c r="Z8461" s="221"/>
      <c r="AA8461" s="221"/>
      <c r="AB8461" s="223"/>
    </row>
    <row r="8462" spans="1:28" ht="17.100000000000001" customHeight="1" thickTop="1">
      <c r="A8462" s="226" t="s">
        <v>23350</v>
      </c>
      <c r="B8462" s="28">
        <v>46134</v>
      </c>
      <c r="C8462" s="25">
        <v>2352</v>
      </c>
      <c r="D8462" s="13" t="s">
        <v>4739</v>
      </c>
      <c r="E8462" s="228"/>
      <c r="F8462" s="109" t="s">
        <v>9783</v>
      </c>
      <c r="G8462" s="24"/>
      <c r="H8462" s="230">
        <v>4.5</v>
      </c>
      <c r="I8462" s="220">
        <v>1160000</v>
      </c>
      <c r="J8462" s="220">
        <f>I8462*0.1</f>
        <v>116000</v>
      </c>
      <c r="K8462" s="220">
        <v>0</v>
      </c>
      <c r="L8462" s="220">
        <v>18300</v>
      </c>
      <c r="M8462" s="220">
        <v>16500</v>
      </c>
      <c r="N8462" s="220">
        <f>SUM(I8462:M8463)</f>
        <v>1310800</v>
      </c>
      <c r="O8462" s="224"/>
      <c r="P8462" s="110" t="s">
        <v>23621</v>
      </c>
      <c r="Q8462" s="15" t="s">
        <v>19</v>
      </c>
      <c r="R8462" s="205"/>
      <c r="S8462" s="189" t="s">
        <v>1361</v>
      </c>
      <c r="T8462" s="114"/>
      <c r="U8462" s="21"/>
      <c r="V8462" s="115"/>
      <c r="W8462" s="116"/>
      <c r="X8462" s="220"/>
      <c r="Y8462" s="220">
        <f>X8462*0.1</f>
        <v>0</v>
      </c>
      <c r="Z8462" s="220"/>
      <c r="AA8462" s="220">
        <f>SUM(X8462:Z8462)</f>
        <v>0</v>
      </c>
      <c r="AB8462" s="222"/>
    </row>
    <row r="8463" spans="1:28" ht="17.100000000000001" customHeight="1" thickBot="1">
      <c r="A8463" s="227"/>
      <c r="B8463" s="27" t="s">
        <v>3367</v>
      </c>
      <c r="C8463" s="27">
        <v>60043</v>
      </c>
      <c r="D8463" s="14" t="s">
        <v>2559</v>
      </c>
      <c r="E8463" s="229"/>
      <c r="F8463" s="117" t="s">
        <v>23348</v>
      </c>
      <c r="G8463" s="26">
        <v>37927</v>
      </c>
      <c r="H8463" s="231"/>
      <c r="I8463" s="221"/>
      <c r="J8463" s="221"/>
      <c r="K8463" s="221"/>
      <c r="L8463" s="221"/>
      <c r="M8463" s="221"/>
      <c r="N8463" s="221"/>
      <c r="O8463" s="225"/>
      <c r="P8463" s="118" t="s">
        <v>7818</v>
      </c>
      <c r="Q8463" s="16" t="s">
        <v>20</v>
      </c>
      <c r="R8463" s="17" t="s">
        <v>23596</v>
      </c>
      <c r="S8463" s="121" t="s">
        <v>23622</v>
      </c>
      <c r="T8463" s="122"/>
      <c r="U8463" s="22"/>
      <c r="V8463" s="123"/>
      <c r="W8463" s="122"/>
      <c r="X8463" s="221"/>
      <c r="Y8463" s="221"/>
      <c r="Z8463" s="221"/>
      <c r="AA8463" s="221"/>
      <c r="AB8463" s="223"/>
    </row>
    <row r="8464" spans="1:28" ht="17.100000000000001" customHeight="1" thickTop="1">
      <c r="A8464" s="226" t="s">
        <v>23355</v>
      </c>
      <c r="B8464" s="28">
        <v>46134</v>
      </c>
      <c r="C8464" s="25">
        <v>2352</v>
      </c>
      <c r="D8464" s="13" t="s">
        <v>1715</v>
      </c>
      <c r="E8464" s="228"/>
      <c r="F8464" s="109" t="s">
        <v>23352</v>
      </c>
      <c r="G8464" s="24"/>
      <c r="H8464" s="230">
        <v>4</v>
      </c>
      <c r="I8464" s="220">
        <v>1165000</v>
      </c>
      <c r="J8464" s="220">
        <f>I8464*0.1</f>
        <v>116500</v>
      </c>
      <c r="K8464" s="220">
        <v>0</v>
      </c>
      <c r="L8464" s="220">
        <v>10830</v>
      </c>
      <c r="M8464" s="220">
        <v>16500</v>
      </c>
      <c r="N8464" s="220">
        <f>SUM(I8464:M8465)</f>
        <v>1308830</v>
      </c>
      <c r="O8464" s="224"/>
      <c r="P8464" s="110" t="s">
        <v>23906</v>
      </c>
      <c r="Q8464" s="15" t="s">
        <v>19</v>
      </c>
      <c r="R8464" s="205"/>
      <c r="S8464" s="189" t="s">
        <v>25830</v>
      </c>
      <c r="T8464" s="114"/>
      <c r="U8464" s="21"/>
      <c r="V8464" s="115">
        <v>46137</v>
      </c>
      <c r="W8464" s="116">
        <v>1298</v>
      </c>
      <c r="X8464" s="220">
        <v>1250000</v>
      </c>
      <c r="Y8464" s="220">
        <f>X8464*0.1</f>
        <v>125000</v>
      </c>
      <c r="Z8464" s="220">
        <v>10830</v>
      </c>
      <c r="AA8464" s="220">
        <f>SUM(X8464:Z8464)</f>
        <v>1385830</v>
      </c>
      <c r="AB8464" s="222">
        <v>46140</v>
      </c>
    </row>
    <row r="8465" spans="1:28" ht="17.100000000000001" customHeight="1" thickBot="1">
      <c r="A8465" s="227"/>
      <c r="B8465" s="27" t="s">
        <v>3367</v>
      </c>
      <c r="C8465" s="27">
        <v>60208</v>
      </c>
      <c r="D8465" s="14" t="s">
        <v>131</v>
      </c>
      <c r="E8465" s="229"/>
      <c r="F8465" s="117" t="s">
        <v>23353</v>
      </c>
      <c r="G8465" s="26">
        <v>55154</v>
      </c>
      <c r="H8465" s="231"/>
      <c r="I8465" s="221"/>
      <c r="J8465" s="221"/>
      <c r="K8465" s="221"/>
      <c r="L8465" s="221"/>
      <c r="M8465" s="221"/>
      <c r="N8465" s="221"/>
      <c r="O8465" s="225"/>
      <c r="P8465" s="118" t="s">
        <v>13107</v>
      </c>
      <c r="Q8465" s="16" t="s">
        <v>20</v>
      </c>
      <c r="R8465" s="17" t="s">
        <v>23902</v>
      </c>
      <c r="S8465" s="121" t="s">
        <v>13818</v>
      </c>
      <c r="T8465" s="122"/>
      <c r="U8465" s="22"/>
      <c r="V8465" s="123" t="s">
        <v>2472</v>
      </c>
      <c r="W8465" s="122">
        <v>205</v>
      </c>
      <c r="X8465" s="221"/>
      <c r="Y8465" s="221"/>
      <c r="Z8465" s="221"/>
      <c r="AA8465" s="221"/>
      <c r="AB8465" s="223"/>
    </row>
    <row r="8466" spans="1:28" ht="17.100000000000001" customHeight="1" thickTop="1">
      <c r="A8466" s="226" t="s">
        <v>23351</v>
      </c>
      <c r="B8466" s="28">
        <v>46134</v>
      </c>
      <c r="C8466" s="25">
        <v>1835</v>
      </c>
      <c r="D8466" s="13" t="s">
        <v>1931</v>
      </c>
      <c r="E8466" s="228"/>
      <c r="F8466" s="109" t="s">
        <v>11311</v>
      </c>
      <c r="G8466" s="24"/>
      <c r="H8466" s="230">
        <v>4.5</v>
      </c>
      <c r="I8466" s="220">
        <v>1465000</v>
      </c>
      <c r="J8466" s="220">
        <f>I8466*0.1</f>
        <v>146500</v>
      </c>
      <c r="K8466" s="220">
        <v>0</v>
      </c>
      <c r="L8466" s="220">
        <v>24360</v>
      </c>
      <c r="M8466" s="220">
        <f>18500+1850</f>
        <v>20350</v>
      </c>
      <c r="N8466" s="220">
        <f>SUM(I8466:M8467)</f>
        <v>1656210</v>
      </c>
      <c r="O8466" s="224"/>
      <c r="P8466" s="110" t="s">
        <v>23996</v>
      </c>
      <c r="Q8466" s="15" t="s">
        <v>19</v>
      </c>
      <c r="R8466" s="205"/>
      <c r="S8466" s="189"/>
      <c r="T8466" s="114"/>
      <c r="U8466" s="21"/>
      <c r="V8466" s="115">
        <v>46158</v>
      </c>
      <c r="W8466" s="116">
        <v>1300</v>
      </c>
      <c r="X8466" s="220">
        <v>1605000</v>
      </c>
      <c r="Y8466" s="220">
        <f>X8466*0.1</f>
        <v>160500</v>
      </c>
      <c r="Z8466" s="220">
        <v>24360</v>
      </c>
      <c r="AA8466" s="220">
        <f>SUM(X8466:Z8466)</f>
        <v>1789860</v>
      </c>
      <c r="AB8466" s="222">
        <v>46161</v>
      </c>
    </row>
    <row r="8467" spans="1:28" ht="17.100000000000001" customHeight="1" thickBot="1">
      <c r="A8467" s="227"/>
      <c r="B8467" s="27" t="s">
        <v>2519</v>
      </c>
      <c r="C8467" s="27">
        <v>38030</v>
      </c>
      <c r="D8467" s="14" t="s">
        <v>1797</v>
      </c>
      <c r="E8467" s="229"/>
      <c r="F8467" s="117" t="s">
        <v>23357</v>
      </c>
      <c r="G8467" s="26">
        <v>77717</v>
      </c>
      <c r="H8467" s="231"/>
      <c r="I8467" s="221"/>
      <c r="J8467" s="221"/>
      <c r="K8467" s="221"/>
      <c r="L8467" s="221"/>
      <c r="M8467" s="221"/>
      <c r="N8467" s="221"/>
      <c r="O8467" s="225"/>
      <c r="P8467" s="118" t="s">
        <v>19868</v>
      </c>
      <c r="Q8467" s="16" t="s">
        <v>20</v>
      </c>
      <c r="R8467" s="17" t="s">
        <v>1939</v>
      </c>
      <c r="S8467" s="121" t="s">
        <v>23511</v>
      </c>
      <c r="T8467" s="122"/>
      <c r="U8467" s="22"/>
      <c r="V8467" s="123" t="s">
        <v>2472</v>
      </c>
      <c r="W8467" s="122">
        <v>80058</v>
      </c>
      <c r="X8467" s="221"/>
      <c r="Y8467" s="221"/>
      <c r="Z8467" s="221"/>
      <c r="AA8467" s="221"/>
      <c r="AB8467" s="223"/>
    </row>
    <row r="8468" spans="1:28" ht="17.100000000000001" customHeight="1" thickTop="1">
      <c r="A8468" s="226" t="s">
        <v>23356</v>
      </c>
      <c r="B8468" s="28">
        <v>46134</v>
      </c>
      <c r="C8468" s="25">
        <v>1835</v>
      </c>
      <c r="D8468" s="13" t="s">
        <v>1961</v>
      </c>
      <c r="E8468" s="228"/>
      <c r="F8468" s="109" t="s">
        <v>23358</v>
      </c>
      <c r="G8468" s="24"/>
      <c r="H8468" s="230">
        <v>4</v>
      </c>
      <c r="I8468" s="220">
        <v>1130000</v>
      </c>
      <c r="J8468" s="220">
        <f>I8468*0.1</f>
        <v>113000</v>
      </c>
      <c r="K8468" s="220">
        <v>0</v>
      </c>
      <c r="L8468" s="220">
        <v>7440</v>
      </c>
      <c r="M8468" s="220">
        <f>17500+1750</f>
        <v>19250</v>
      </c>
      <c r="N8468" s="220">
        <f>SUM(I8468:M8469)</f>
        <v>1269690</v>
      </c>
      <c r="O8468" s="224"/>
      <c r="P8468" s="110" t="s">
        <v>23995</v>
      </c>
      <c r="Q8468" s="15" t="s">
        <v>19</v>
      </c>
      <c r="R8468" s="205"/>
      <c r="S8468" s="189" t="s">
        <v>758</v>
      </c>
      <c r="T8468" s="114"/>
      <c r="U8468" s="21"/>
      <c r="V8468" s="115">
        <v>46137</v>
      </c>
      <c r="W8468" s="116">
        <v>1298</v>
      </c>
      <c r="X8468" s="220">
        <v>1250000</v>
      </c>
      <c r="Y8468" s="220">
        <f>X8468*0.1</f>
        <v>125000</v>
      </c>
      <c r="Z8468" s="220">
        <v>7440</v>
      </c>
      <c r="AA8468" s="220">
        <f>SUM(X8468:Z8468)</f>
        <v>1382440</v>
      </c>
      <c r="AB8468" s="222">
        <v>46143</v>
      </c>
    </row>
    <row r="8469" spans="1:28" ht="17.100000000000001" customHeight="1" thickBot="1">
      <c r="A8469" s="227"/>
      <c r="B8469" s="27" t="s">
        <v>2519</v>
      </c>
      <c r="C8469" s="27">
        <v>40135</v>
      </c>
      <c r="D8469" s="14" t="s">
        <v>1710</v>
      </c>
      <c r="E8469" s="229"/>
      <c r="F8469" s="117" t="s">
        <v>23359</v>
      </c>
      <c r="G8469" s="26">
        <v>44495</v>
      </c>
      <c r="H8469" s="231"/>
      <c r="I8469" s="221"/>
      <c r="J8469" s="221"/>
      <c r="K8469" s="221"/>
      <c r="L8469" s="221"/>
      <c r="M8469" s="221"/>
      <c r="N8469" s="221"/>
      <c r="O8469" s="225"/>
      <c r="P8469" s="118" t="s">
        <v>8915</v>
      </c>
      <c r="Q8469" s="16" t="s">
        <v>20</v>
      </c>
      <c r="R8469" s="17" t="s">
        <v>1939</v>
      </c>
      <c r="S8469" s="121" t="s">
        <v>23991</v>
      </c>
      <c r="T8469" s="122"/>
      <c r="U8469" s="22"/>
      <c r="V8469" s="123" t="s">
        <v>6641</v>
      </c>
      <c r="W8469" s="122">
        <v>41079</v>
      </c>
      <c r="X8469" s="221"/>
      <c r="Y8469" s="221"/>
      <c r="Z8469" s="221"/>
      <c r="AA8469" s="221"/>
      <c r="AB8469" s="223"/>
    </row>
    <row r="8470" spans="1:28" ht="17.100000000000001" customHeight="1" thickTop="1">
      <c r="A8470" s="226" t="s">
        <v>23407</v>
      </c>
      <c r="B8470" s="28">
        <v>46135</v>
      </c>
      <c r="C8470" s="25">
        <v>1328</v>
      </c>
      <c r="D8470" s="13" t="s">
        <v>23413</v>
      </c>
      <c r="E8470" s="228"/>
      <c r="F8470" s="109" t="s">
        <v>23414</v>
      </c>
      <c r="G8470" s="24" t="s">
        <v>23416</v>
      </c>
      <c r="H8470" s="230">
        <v>4.5</v>
      </c>
      <c r="I8470" s="220">
        <v>2050000</v>
      </c>
      <c r="J8470" s="220">
        <f>I8470*0.1</f>
        <v>205000</v>
      </c>
      <c r="K8470" s="220">
        <f>33000+3300</f>
        <v>36300</v>
      </c>
      <c r="L8470" s="220">
        <v>17490</v>
      </c>
      <c r="M8470" s="220">
        <v>26400</v>
      </c>
      <c r="N8470" s="220">
        <f>SUM(I8470:M8471)</f>
        <v>2335190</v>
      </c>
      <c r="O8470" s="224"/>
      <c r="P8470" s="110" t="s">
        <v>23417</v>
      </c>
      <c r="Q8470" s="15" t="s">
        <v>19</v>
      </c>
      <c r="R8470" s="205"/>
      <c r="S8470" s="189" t="s">
        <v>25968</v>
      </c>
      <c r="T8470" s="114"/>
      <c r="U8470" s="21"/>
      <c r="V8470" s="115">
        <v>46137</v>
      </c>
      <c r="W8470" s="116">
        <v>1298</v>
      </c>
      <c r="X8470" s="220">
        <v>2420000</v>
      </c>
      <c r="Y8470" s="220">
        <f>X8470*0.1</f>
        <v>242000</v>
      </c>
      <c r="Z8470" s="220">
        <v>17490</v>
      </c>
      <c r="AA8470" s="220">
        <f>SUM(X8470:Z8470)</f>
        <v>2679490</v>
      </c>
      <c r="AB8470" s="222">
        <v>46154</v>
      </c>
    </row>
    <row r="8471" spans="1:28" ht="17.100000000000001" customHeight="1" thickBot="1">
      <c r="A8471" s="227"/>
      <c r="B8471" s="27" t="s">
        <v>23411</v>
      </c>
      <c r="C8471" s="27">
        <v>48</v>
      </c>
      <c r="D8471" s="14" t="s">
        <v>131</v>
      </c>
      <c r="E8471" s="229"/>
      <c r="F8471" s="117" t="s">
        <v>23415</v>
      </c>
      <c r="G8471" s="26">
        <v>55120</v>
      </c>
      <c r="H8471" s="231"/>
      <c r="I8471" s="221"/>
      <c r="J8471" s="221"/>
      <c r="K8471" s="221"/>
      <c r="L8471" s="221"/>
      <c r="M8471" s="221"/>
      <c r="N8471" s="221"/>
      <c r="O8471" s="225"/>
      <c r="P8471" s="118" t="s">
        <v>23623</v>
      </c>
      <c r="Q8471" s="16" t="s">
        <v>20</v>
      </c>
      <c r="R8471" s="17" t="s">
        <v>23596</v>
      </c>
      <c r="S8471" s="121" t="s">
        <v>23624</v>
      </c>
      <c r="T8471" s="122"/>
      <c r="U8471" s="22"/>
      <c r="V8471" s="123" t="s">
        <v>6642</v>
      </c>
      <c r="W8471" s="122">
        <v>80433</v>
      </c>
      <c r="X8471" s="221"/>
      <c r="Y8471" s="221"/>
      <c r="Z8471" s="221"/>
      <c r="AA8471" s="221"/>
      <c r="AB8471" s="223"/>
    </row>
    <row r="8472" spans="1:28" ht="17.100000000000001" customHeight="1" thickTop="1">
      <c r="A8472" s="226" t="s">
        <v>23408</v>
      </c>
      <c r="B8472" s="28">
        <v>46135</v>
      </c>
      <c r="C8472" s="25">
        <v>1328</v>
      </c>
      <c r="D8472" s="13" t="s">
        <v>23418</v>
      </c>
      <c r="E8472" s="228"/>
      <c r="F8472" s="109" t="s">
        <v>23419</v>
      </c>
      <c r="G8472" s="24"/>
      <c r="H8472" s="230">
        <v>4.5</v>
      </c>
      <c r="I8472" s="220">
        <v>1605000</v>
      </c>
      <c r="J8472" s="220">
        <f>I8472*0.1</f>
        <v>160500</v>
      </c>
      <c r="K8472" s="220">
        <v>0</v>
      </c>
      <c r="L8472" s="220">
        <v>15160</v>
      </c>
      <c r="M8472" s="220">
        <v>16500</v>
      </c>
      <c r="N8472" s="220">
        <f>SUM(I8472:M8473)</f>
        <v>1797160</v>
      </c>
      <c r="O8472" s="224"/>
      <c r="P8472" s="110" t="s">
        <v>23928</v>
      </c>
      <c r="Q8472" s="15" t="s">
        <v>19</v>
      </c>
      <c r="R8472" s="205"/>
      <c r="S8472" s="189" t="s">
        <v>25386</v>
      </c>
      <c r="T8472" s="114"/>
      <c r="U8472" s="21"/>
      <c r="V8472" s="115"/>
      <c r="W8472" s="116"/>
      <c r="X8472" s="220"/>
      <c r="Y8472" s="220">
        <f>X8472*0.1</f>
        <v>0</v>
      </c>
      <c r="Z8472" s="220"/>
      <c r="AA8472" s="220">
        <f>SUM(X8472:Z8472)</f>
        <v>0</v>
      </c>
      <c r="AB8472" s="222"/>
    </row>
    <row r="8473" spans="1:28" ht="17.100000000000001" customHeight="1" thickBot="1">
      <c r="A8473" s="227"/>
      <c r="B8473" s="27" t="s">
        <v>23411</v>
      </c>
      <c r="C8473" s="27">
        <v>546</v>
      </c>
      <c r="D8473" s="14" t="s">
        <v>2559</v>
      </c>
      <c r="E8473" s="229"/>
      <c r="F8473" s="117" t="s">
        <v>23420</v>
      </c>
      <c r="G8473" s="26">
        <v>43225</v>
      </c>
      <c r="H8473" s="231"/>
      <c r="I8473" s="221"/>
      <c r="J8473" s="221"/>
      <c r="K8473" s="221"/>
      <c r="L8473" s="221"/>
      <c r="M8473" s="221"/>
      <c r="N8473" s="221"/>
      <c r="O8473" s="225"/>
      <c r="P8473" s="118" t="s">
        <v>11562</v>
      </c>
      <c r="Q8473" s="16" t="s">
        <v>20</v>
      </c>
      <c r="R8473" s="17" t="s">
        <v>23902</v>
      </c>
      <c r="S8473" s="121" t="s">
        <v>23994</v>
      </c>
      <c r="T8473" s="122"/>
      <c r="U8473" s="22"/>
      <c r="V8473" s="123"/>
      <c r="W8473" s="122"/>
      <c r="X8473" s="221"/>
      <c r="Y8473" s="221"/>
      <c r="Z8473" s="221"/>
      <c r="AA8473" s="221"/>
      <c r="AB8473" s="223"/>
    </row>
    <row r="8474" spans="1:28" ht="17.100000000000001" customHeight="1" thickTop="1">
      <c r="A8474" s="226" t="s">
        <v>23409</v>
      </c>
      <c r="B8474" s="28">
        <v>46135</v>
      </c>
      <c r="C8474" s="25">
        <v>1328</v>
      </c>
      <c r="D8474" s="13" t="s">
        <v>23421</v>
      </c>
      <c r="E8474" s="228"/>
      <c r="F8474" s="109" t="s">
        <v>23423</v>
      </c>
      <c r="G8474" s="24"/>
      <c r="H8474" s="230">
        <v>4.5</v>
      </c>
      <c r="I8474" s="220">
        <v>1705000</v>
      </c>
      <c r="J8474" s="220">
        <f>I8474*0.1</f>
        <v>170500</v>
      </c>
      <c r="K8474" s="220">
        <v>0</v>
      </c>
      <c r="L8474" s="220">
        <v>21720</v>
      </c>
      <c r="M8474" s="220">
        <v>16500</v>
      </c>
      <c r="N8474" s="220">
        <f>SUM(I8474:M8475)</f>
        <v>1913720</v>
      </c>
      <c r="O8474" s="224"/>
      <c r="P8474" s="110" t="s">
        <v>23927</v>
      </c>
      <c r="Q8474" s="15" t="s">
        <v>19</v>
      </c>
      <c r="R8474" s="205"/>
      <c r="S8474" s="189" t="s">
        <v>25969</v>
      </c>
      <c r="T8474" s="114"/>
      <c r="U8474" s="21"/>
      <c r="V8474" s="115">
        <v>46144</v>
      </c>
      <c r="W8474" s="116">
        <v>1299</v>
      </c>
      <c r="X8474" s="220">
        <v>1860000</v>
      </c>
      <c r="Y8474" s="220">
        <f>X8474*0.1</f>
        <v>186000</v>
      </c>
      <c r="Z8474" s="220">
        <v>21720</v>
      </c>
      <c r="AA8474" s="220">
        <f>SUM(X8474:Z8474)</f>
        <v>2067720</v>
      </c>
      <c r="AB8474" s="222">
        <v>46154</v>
      </c>
    </row>
    <row r="8475" spans="1:28" ht="17.100000000000001" customHeight="1" thickBot="1">
      <c r="A8475" s="227"/>
      <c r="B8475" s="27" t="s">
        <v>23411</v>
      </c>
      <c r="C8475" s="27">
        <v>565</v>
      </c>
      <c r="D8475" s="14" t="s">
        <v>23422</v>
      </c>
      <c r="E8475" s="229"/>
      <c r="F8475" s="117" t="s">
        <v>23424</v>
      </c>
      <c r="G8475" s="26">
        <v>85523</v>
      </c>
      <c r="H8475" s="231"/>
      <c r="I8475" s="221"/>
      <c r="J8475" s="221"/>
      <c r="K8475" s="221"/>
      <c r="L8475" s="221"/>
      <c r="M8475" s="221"/>
      <c r="N8475" s="221"/>
      <c r="O8475" s="225"/>
      <c r="P8475" s="118" t="s">
        <v>11562</v>
      </c>
      <c r="Q8475" s="16" t="s">
        <v>20</v>
      </c>
      <c r="R8475" s="17" t="s">
        <v>23902</v>
      </c>
      <c r="S8475" s="121" t="s">
        <v>23994</v>
      </c>
      <c r="T8475" s="122"/>
      <c r="U8475" s="22"/>
      <c r="V8475" s="123" t="s">
        <v>24605</v>
      </c>
      <c r="W8475" s="122">
        <v>80017</v>
      </c>
      <c r="X8475" s="221"/>
      <c r="Y8475" s="221"/>
      <c r="Z8475" s="221"/>
      <c r="AA8475" s="221"/>
      <c r="AB8475" s="223"/>
    </row>
    <row r="8476" spans="1:28" ht="17.100000000000001" customHeight="1" thickTop="1">
      <c r="A8476" s="226" t="s">
        <v>23410</v>
      </c>
      <c r="B8476" s="28">
        <v>46135</v>
      </c>
      <c r="C8476" s="25">
        <v>1328</v>
      </c>
      <c r="D8476" s="13" t="s">
        <v>23425</v>
      </c>
      <c r="E8476" s="228"/>
      <c r="F8476" s="109" t="s">
        <v>23427</v>
      </c>
      <c r="G8476" s="24"/>
      <c r="H8476" s="230">
        <v>4</v>
      </c>
      <c r="I8476" s="220">
        <v>885000</v>
      </c>
      <c r="J8476" s="220">
        <f>I8476*0.1</f>
        <v>88500</v>
      </c>
      <c r="K8476" s="220">
        <v>0</v>
      </c>
      <c r="L8476" s="220">
        <v>23210</v>
      </c>
      <c r="M8476" s="220">
        <v>16500</v>
      </c>
      <c r="N8476" s="220">
        <f>SUM(I8476:M8477)</f>
        <v>1013210</v>
      </c>
      <c r="O8476" s="224"/>
      <c r="P8476" s="110" t="s">
        <v>23926</v>
      </c>
      <c r="Q8476" s="15" t="s">
        <v>19</v>
      </c>
      <c r="R8476" s="205"/>
      <c r="S8476" s="189" t="s">
        <v>25367</v>
      </c>
      <c r="T8476" s="114"/>
      <c r="U8476" s="21"/>
      <c r="V8476" s="115">
        <v>46144</v>
      </c>
      <c r="W8476" s="116">
        <v>1299</v>
      </c>
      <c r="X8476" s="220">
        <v>990000</v>
      </c>
      <c r="Y8476" s="220">
        <f>X8476*0.1</f>
        <v>99000</v>
      </c>
      <c r="Z8476" s="220">
        <v>23210</v>
      </c>
      <c r="AA8476" s="220">
        <f>SUM(X8476:Z8476)</f>
        <v>1112210</v>
      </c>
      <c r="AB8476" s="222">
        <v>46154</v>
      </c>
    </row>
    <row r="8477" spans="1:28" ht="17.100000000000001" customHeight="1" thickBot="1">
      <c r="A8477" s="227"/>
      <c r="B8477" s="27" t="s">
        <v>23411</v>
      </c>
      <c r="C8477" s="27">
        <v>566</v>
      </c>
      <c r="D8477" s="14" t="s">
        <v>23426</v>
      </c>
      <c r="E8477" s="229"/>
      <c r="F8477" s="117" t="s">
        <v>23428</v>
      </c>
      <c r="G8477" s="26">
        <v>57921</v>
      </c>
      <c r="H8477" s="231"/>
      <c r="I8477" s="221"/>
      <c r="J8477" s="221"/>
      <c r="K8477" s="221"/>
      <c r="L8477" s="221"/>
      <c r="M8477" s="221"/>
      <c r="N8477" s="221"/>
      <c r="O8477" s="225"/>
      <c r="P8477" s="118" t="s">
        <v>11562</v>
      </c>
      <c r="Q8477" s="16" t="s">
        <v>20</v>
      </c>
      <c r="R8477" s="17" t="s">
        <v>23902</v>
      </c>
      <c r="S8477" s="121" t="s">
        <v>1606</v>
      </c>
      <c r="T8477" s="122"/>
      <c r="U8477" s="22"/>
      <c r="V8477" s="123" t="s">
        <v>24346</v>
      </c>
      <c r="W8477" s="122">
        <v>80010</v>
      </c>
      <c r="X8477" s="221"/>
      <c r="Y8477" s="221"/>
      <c r="Z8477" s="221"/>
      <c r="AA8477" s="221"/>
      <c r="AB8477" s="223"/>
    </row>
    <row r="8478" spans="1:28" ht="17.100000000000001" customHeight="1" thickTop="1">
      <c r="A8478" s="226" t="s">
        <v>23412</v>
      </c>
      <c r="B8478" s="28">
        <v>46135</v>
      </c>
      <c r="C8478" s="25">
        <v>1328</v>
      </c>
      <c r="D8478" s="13" t="s">
        <v>23429</v>
      </c>
      <c r="E8478" s="228"/>
      <c r="F8478" s="109" t="s">
        <v>23430</v>
      </c>
      <c r="G8478" s="24"/>
      <c r="H8478" s="230">
        <v>4.5</v>
      </c>
      <c r="I8478" s="220">
        <v>2380000</v>
      </c>
      <c r="J8478" s="220">
        <f>I8478*0.1</f>
        <v>238000</v>
      </c>
      <c r="K8478" s="220">
        <v>0</v>
      </c>
      <c r="L8478" s="220">
        <v>17360</v>
      </c>
      <c r="M8478" s="220">
        <v>16500</v>
      </c>
      <c r="N8478" s="220">
        <f>SUM(I8478:M8479)</f>
        <v>2651860</v>
      </c>
      <c r="O8478" s="224"/>
      <c r="P8478" s="110" t="s">
        <v>23925</v>
      </c>
      <c r="Q8478" s="15" t="s">
        <v>19</v>
      </c>
      <c r="R8478" s="205"/>
      <c r="S8478" s="189" t="s">
        <v>25970</v>
      </c>
      <c r="T8478" s="114"/>
      <c r="U8478" s="21"/>
      <c r="V8478" s="115"/>
      <c r="W8478" s="116"/>
      <c r="X8478" s="220"/>
      <c r="Y8478" s="220">
        <f>X8478*0.1</f>
        <v>0</v>
      </c>
      <c r="Z8478" s="220"/>
      <c r="AA8478" s="220">
        <f>SUM(X8478:Z8478)</f>
        <v>0</v>
      </c>
      <c r="AB8478" s="222"/>
    </row>
    <row r="8479" spans="1:28" ht="17.100000000000001" customHeight="1" thickBot="1">
      <c r="A8479" s="227"/>
      <c r="B8479" s="27" t="s">
        <v>23411</v>
      </c>
      <c r="C8479" s="27">
        <v>569</v>
      </c>
      <c r="D8479" s="14" t="s">
        <v>23426</v>
      </c>
      <c r="E8479" s="229"/>
      <c r="F8479" s="117" t="s">
        <v>23431</v>
      </c>
      <c r="G8479" s="26">
        <v>49918</v>
      </c>
      <c r="H8479" s="231"/>
      <c r="I8479" s="221"/>
      <c r="J8479" s="221"/>
      <c r="K8479" s="221"/>
      <c r="L8479" s="221"/>
      <c r="M8479" s="221"/>
      <c r="N8479" s="221"/>
      <c r="O8479" s="225"/>
      <c r="P8479" s="118" t="s">
        <v>1844</v>
      </c>
      <c r="Q8479" s="16" t="s">
        <v>20</v>
      </c>
      <c r="R8479" s="17" t="s">
        <v>23902</v>
      </c>
      <c r="S8479" s="121" t="s">
        <v>11665</v>
      </c>
      <c r="T8479" s="122"/>
      <c r="U8479" s="22"/>
      <c r="V8479" s="123"/>
      <c r="W8479" s="122"/>
      <c r="X8479" s="221"/>
      <c r="Y8479" s="221"/>
      <c r="Z8479" s="221"/>
      <c r="AA8479" s="221"/>
      <c r="AB8479" s="223"/>
    </row>
    <row r="8480" spans="1:28" ht="17.100000000000001" customHeight="1" thickTop="1">
      <c r="A8480" s="233" t="s">
        <v>23434</v>
      </c>
      <c r="B8480" s="28">
        <v>46135</v>
      </c>
      <c r="C8480" s="25">
        <v>1980</v>
      </c>
      <c r="D8480" s="13" t="s">
        <v>23440</v>
      </c>
      <c r="E8480" s="228"/>
      <c r="F8480" s="109" t="s">
        <v>23441</v>
      </c>
      <c r="G8480" s="24"/>
      <c r="H8480" s="230">
        <v>4.5</v>
      </c>
      <c r="I8480" s="220">
        <v>577000</v>
      </c>
      <c r="J8480" s="220">
        <f>I8480*0.1</f>
        <v>57700</v>
      </c>
      <c r="K8480" s="220">
        <v>0</v>
      </c>
      <c r="L8480" s="220">
        <v>6550</v>
      </c>
      <c r="M8480" s="220">
        <v>17050</v>
      </c>
      <c r="N8480" s="220">
        <f>SUM(I8480:M8481)</f>
        <v>658300</v>
      </c>
      <c r="O8480" s="224"/>
      <c r="P8480" s="110"/>
      <c r="Q8480" s="15" t="s">
        <v>19</v>
      </c>
      <c r="R8480" s="205"/>
      <c r="S8480" s="189" t="s">
        <v>758</v>
      </c>
      <c r="T8480" s="114" t="s">
        <v>7899</v>
      </c>
      <c r="U8480" s="21"/>
      <c r="V8480" s="115"/>
      <c r="W8480" s="116"/>
      <c r="X8480" s="220"/>
      <c r="Y8480" s="220">
        <f>X8480*0.1</f>
        <v>0</v>
      </c>
      <c r="Z8480" s="220"/>
      <c r="AA8480" s="220">
        <f>SUM(X8480:Z8480)</f>
        <v>0</v>
      </c>
      <c r="AB8480" s="222"/>
    </row>
    <row r="8481" spans="1:28" ht="17.100000000000001" customHeight="1" thickBot="1">
      <c r="A8481" s="234"/>
      <c r="B8481" s="27" t="s">
        <v>23439</v>
      </c>
      <c r="C8481" s="27">
        <v>3055</v>
      </c>
      <c r="D8481" s="14" t="s">
        <v>1710</v>
      </c>
      <c r="E8481" s="229"/>
      <c r="F8481" s="117" t="s">
        <v>23442</v>
      </c>
      <c r="G8481" s="26">
        <v>16991</v>
      </c>
      <c r="H8481" s="231"/>
      <c r="I8481" s="221"/>
      <c r="J8481" s="221"/>
      <c r="K8481" s="221"/>
      <c r="L8481" s="221"/>
      <c r="M8481" s="221"/>
      <c r="N8481" s="221"/>
      <c r="O8481" s="225"/>
      <c r="P8481" s="118"/>
      <c r="Q8481" s="16" t="s">
        <v>20</v>
      </c>
      <c r="R8481" s="17" t="s">
        <v>10331</v>
      </c>
      <c r="S8481" s="121"/>
      <c r="T8481" s="122"/>
      <c r="U8481" s="22"/>
      <c r="V8481" s="123"/>
      <c r="W8481" s="122"/>
      <c r="X8481" s="221"/>
      <c r="Y8481" s="221"/>
      <c r="Z8481" s="221"/>
      <c r="AA8481" s="221"/>
      <c r="AB8481" s="223"/>
    </row>
    <row r="8482" spans="1:28" ht="17.100000000000001" customHeight="1" thickTop="1">
      <c r="A8482" s="226" t="s">
        <v>23435</v>
      </c>
      <c r="B8482" s="28">
        <v>46135</v>
      </c>
      <c r="C8482" s="25">
        <v>1980</v>
      </c>
      <c r="D8482" s="13" t="s">
        <v>23443</v>
      </c>
      <c r="E8482" s="228"/>
      <c r="F8482" s="109" t="s">
        <v>23444</v>
      </c>
      <c r="G8482" s="24"/>
      <c r="H8482" s="230">
        <v>4</v>
      </c>
      <c r="I8482" s="220">
        <v>721000</v>
      </c>
      <c r="J8482" s="220">
        <f>I8482*0.1</f>
        <v>72100</v>
      </c>
      <c r="K8482" s="220">
        <v>0</v>
      </c>
      <c r="L8482" s="220">
        <v>7440</v>
      </c>
      <c r="M8482" s="220">
        <v>15950</v>
      </c>
      <c r="N8482" s="220">
        <f>SUM(I8482:M8483)</f>
        <v>816490</v>
      </c>
      <c r="O8482" s="224"/>
      <c r="P8482" s="110" t="s">
        <v>23915</v>
      </c>
      <c r="Q8482" s="15" t="s">
        <v>19</v>
      </c>
      <c r="R8482" s="205"/>
      <c r="S8482" s="189"/>
      <c r="T8482" s="114"/>
      <c r="U8482" s="21"/>
      <c r="V8482" s="115"/>
      <c r="W8482" s="116"/>
      <c r="X8482" s="220"/>
      <c r="Y8482" s="220">
        <f>X8482*0.1</f>
        <v>0</v>
      </c>
      <c r="Z8482" s="220"/>
      <c r="AA8482" s="220">
        <f>SUM(X8482:Z8482)</f>
        <v>0</v>
      </c>
      <c r="AB8482" s="222"/>
    </row>
    <row r="8483" spans="1:28" ht="17.100000000000001" customHeight="1" thickBot="1">
      <c r="A8483" s="227"/>
      <c r="B8483" s="27" t="s">
        <v>23439</v>
      </c>
      <c r="C8483" s="27">
        <v>62005</v>
      </c>
      <c r="D8483" s="14" t="s">
        <v>23422</v>
      </c>
      <c r="E8483" s="229"/>
      <c r="F8483" s="117" t="s">
        <v>23445</v>
      </c>
      <c r="G8483" s="26">
        <v>46718</v>
      </c>
      <c r="H8483" s="231"/>
      <c r="I8483" s="221"/>
      <c r="J8483" s="221"/>
      <c r="K8483" s="221"/>
      <c r="L8483" s="221"/>
      <c r="M8483" s="221"/>
      <c r="N8483" s="221"/>
      <c r="O8483" s="225"/>
      <c r="P8483" s="118" t="s">
        <v>12117</v>
      </c>
      <c r="Q8483" s="16" t="s">
        <v>20</v>
      </c>
      <c r="R8483" s="17" t="s">
        <v>23902</v>
      </c>
      <c r="S8483" s="121" t="s">
        <v>10120</v>
      </c>
      <c r="T8483" s="122"/>
      <c r="U8483" s="22"/>
      <c r="V8483" s="123"/>
      <c r="W8483" s="122"/>
      <c r="X8483" s="221"/>
      <c r="Y8483" s="221"/>
      <c r="Z8483" s="221"/>
      <c r="AA8483" s="221"/>
      <c r="AB8483" s="223"/>
    </row>
    <row r="8484" spans="1:28" ht="17.100000000000001" customHeight="1" thickTop="1">
      <c r="A8484" s="226" t="s">
        <v>23436</v>
      </c>
      <c r="B8484" s="28">
        <v>46135</v>
      </c>
      <c r="C8484" s="25">
        <v>1980</v>
      </c>
      <c r="D8484" s="13" t="s">
        <v>23446</v>
      </c>
      <c r="E8484" s="228"/>
      <c r="F8484" s="109" t="s">
        <v>23444</v>
      </c>
      <c r="G8484" s="24"/>
      <c r="H8484" s="230">
        <v>4</v>
      </c>
      <c r="I8484" s="220">
        <v>778000</v>
      </c>
      <c r="J8484" s="220">
        <f>I8484*0.1</f>
        <v>77800</v>
      </c>
      <c r="K8484" s="220">
        <v>0</v>
      </c>
      <c r="L8484" s="220">
        <v>7440</v>
      </c>
      <c r="M8484" s="220">
        <v>15950</v>
      </c>
      <c r="N8484" s="220">
        <f>SUM(I8484:M8485)</f>
        <v>879190</v>
      </c>
      <c r="O8484" s="224"/>
      <c r="P8484" s="110" t="s">
        <v>23988</v>
      </c>
      <c r="Q8484" s="15" t="s">
        <v>19</v>
      </c>
      <c r="R8484" s="205"/>
      <c r="S8484" s="189"/>
      <c r="T8484" s="114"/>
      <c r="U8484" s="21"/>
      <c r="V8484" s="115">
        <v>46144</v>
      </c>
      <c r="W8484" s="116">
        <v>1299</v>
      </c>
      <c r="X8484" s="220">
        <v>845000</v>
      </c>
      <c r="Y8484" s="220">
        <f>X8484*0.1</f>
        <v>84500</v>
      </c>
      <c r="Z8484" s="220">
        <v>7440</v>
      </c>
      <c r="AA8484" s="220">
        <f>SUM(X8484:Z8484)</f>
        <v>936940</v>
      </c>
      <c r="AB8484" s="222">
        <v>46154</v>
      </c>
    </row>
    <row r="8485" spans="1:28" ht="17.100000000000001" customHeight="1" thickBot="1">
      <c r="A8485" s="227"/>
      <c r="B8485" s="27" t="s">
        <v>23439</v>
      </c>
      <c r="C8485" s="27">
        <v>62037</v>
      </c>
      <c r="D8485" s="14" t="s">
        <v>23422</v>
      </c>
      <c r="E8485" s="229"/>
      <c r="F8485" s="117" t="s">
        <v>23447</v>
      </c>
      <c r="G8485" s="26">
        <v>52365</v>
      </c>
      <c r="H8485" s="231"/>
      <c r="I8485" s="221"/>
      <c r="J8485" s="221"/>
      <c r="K8485" s="221"/>
      <c r="L8485" s="221"/>
      <c r="M8485" s="221"/>
      <c r="N8485" s="221"/>
      <c r="O8485" s="225"/>
      <c r="P8485" s="118" t="s">
        <v>23989</v>
      </c>
      <c r="Q8485" s="16" t="s">
        <v>20</v>
      </c>
      <c r="R8485" s="17" t="s">
        <v>1939</v>
      </c>
      <c r="S8485" s="121" t="s">
        <v>4843</v>
      </c>
      <c r="T8485" s="122"/>
      <c r="U8485" s="22"/>
      <c r="V8485" s="123" t="s">
        <v>24346</v>
      </c>
      <c r="W8485" s="122">
        <v>41078</v>
      </c>
      <c r="X8485" s="221"/>
      <c r="Y8485" s="221"/>
      <c r="Z8485" s="221"/>
      <c r="AA8485" s="221"/>
      <c r="AB8485" s="223"/>
    </row>
    <row r="8486" spans="1:28" ht="17.100000000000001" customHeight="1" thickTop="1">
      <c r="A8486" s="226" t="s">
        <v>23437</v>
      </c>
      <c r="B8486" s="28">
        <v>46135</v>
      </c>
      <c r="C8486" s="25">
        <v>1980</v>
      </c>
      <c r="D8486" s="13" t="s">
        <v>23446</v>
      </c>
      <c r="E8486" s="228"/>
      <c r="F8486" s="109" t="s">
        <v>23444</v>
      </c>
      <c r="G8486" s="24"/>
      <c r="H8486" s="230">
        <v>4.5</v>
      </c>
      <c r="I8486" s="220">
        <v>835000</v>
      </c>
      <c r="J8486" s="220">
        <f>I8486*0.1</f>
        <v>83500</v>
      </c>
      <c r="K8486" s="220">
        <v>0</v>
      </c>
      <c r="L8486" s="220">
        <v>7440</v>
      </c>
      <c r="M8486" s="220">
        <v>15950</v>
      </c>
      <c r="N8486" s="220">
        <f>SUM(I8486:M8487)</f>
        <v>941890</v>
      </c>
      <c r="O8486" s="224"/>
      <c r="P8486" s="110" t="s">
        <v>23916</v>
      </c>
      <c r="Q8486" s="15" t="s">
        <v>19</v>
      </c>
      <c r="R8486" s="205"/>
      <c r="S8486" s="189"/>
      <c r="T8486" s="114"/>
      <c r="U8486" s="21"/>
      <c r="V8486" s="115">
        <v>46144</v>
      </c>
      <c r="W8486" s="116">
        <v>1299</v>
      </c>
      <c r="X8486" s="220">
        <v>950000</v>
      </c>
      <c r="Y8486" s="220">
        <f>X8486*0.1</f>
        <v>95000</v>
      </c>
      <c r="Z8486" s="220">
        <v>7440</v>
      </c>
      <c r="AA8486" s="220">
        <f>SUM(X8486:Z8486)</f>
        <v>1052440</v>
      </c>
      <c r="AB8486" s="222">
        <v>46156</v>
      </c>
    </row>
    <row r="8487" spans="1:28" ht="17.100000000000001" customHeight="1" thickBot="1">
      <c r="A8487" s="227"/>
      <c r="B8487" s="27" t="s">
        <v>23439</v>
      </c>
      <c r="C8487" s="27">
        <v>62105</v>
      </c>
      <c r="D8487" s="14" t="s">
        <v>1710</v>
      </c>
      <c r="E8487" s="229"/>
      <c r="F8487" s="117" t="s">
        <v>23448</v>
      </c>
      <c r="G8487" s="26">
        <v>46587</v>
      </c>
      <c r="H8487" s="231"/>
      <c r="I8487" s="221"/>
      <c r="J8487" s="221"/>
      <c r="K8487" s="221"/>
      <c r="L8487" s="221"/>
      <c r="M8487" s="221"/>
      <c r="N8487" s="221"/>
      <c r="O8487" s="225"/>
      <c r="P8487" s="118" t="s">
        <v>12144</v>
      </c>
      <c r="Q8487" s="16" t="s">
        <v>20</v>
      </c>
      <c r="R8487" s="17" t="s">
        <v>23902</v>
      </c>
      <c r="S8487" s="121" t="s">
        <v>23917</v>
      </c>
      <c r="T8487" s="122"/>
      <c r="U8487" s="22"/>
      <c r="V8487" s="123" t="s">
        <v>24605</v>
      </c>
      <c r="W8487" s="122">
        <v>41005</v>
      </c>
      <c r="X8487" s="221"/>
      <c r="Y8487" s="221"/>
      <c r="Z8487" s="221"/>
      <c r="AA8487" s="221"/>
      <c r="AB8487" s="223"/>
    </row>
    <row r="8488" spans="1:28" ht="17.100000000000001" customHeight="1" thickTop="1">
      <c r="A8488" s="226" t="s">
        <v>23438</v>
      </c>
      <c r="B8488" s="28">
        <v>46135</v>
      </c>
      <c r="C8488" s="25">
        <v>1980</v>
      </c>
      <c r="D8488" s="13" t="s">
        <v>23446</v>
      </c>
      <c r="E8488" s="228"/>
      <c r="F8488" s="109" t="s">
        <v>23444</v>
      </c>
      <c r="G8488" s="24"/>
      <c r="H8488" s="230">
        <v>4</v>
      </c>
      <c r="I8488" s="220">
        <v>768000</v>
      </c>
      <c r="J8488" s="220">
        <f>I8488*0.1</f>
        <v>76800</v>
      </c>
      <c r="K8488" s="220">
        <v>0</v>
      </c>
      <c r="L8488" s="220">
        <v>7440</v>
      </c>
      <c r="M8488" s="220">
        <v>15950</v>
      </c>
      <c r="N8488" s="220">
        <f>SUM(I8488:M8489)</f>
        <v>868190</v>
      </c>
      <c r="O8488" s="224"/>
      <c r="P8488" s="110" t="s">
        <v>23918</v>
      </c>
      <c r="Q8488" s="15" t="s">
        <v>19</v>
      </c>
      <c r="R8488" s="205"/>
      <c r="S8488" s="189"/>
      <c r="T8488" s="114"/>
      <c r="U8488" s="21"/>
      <c r="V8488" s="115"/>
      <c r="W8488" s="116"/>
      <c r="X8488" s="220"/>
      <c r="Y8488" s="220">
        <f>X8488*0.1</f>
        <v>0</v>
      </c>
      <c r="Z8488" s="220"/>
      <c r="AA8488" s="220">
        <f>SUM(X8488:Z8488)</f>
        <v>0</v>
      </c>
      <c r="AB8488" s="222"/>
    </row>
    <row r="8489" spans="1:28" ht="17.100000000000001" customHeight="1" thickBot="1">
      <c r="A8489" s="227"/>
      <c r="B8489" s="27" t="s">
        <v>23439</v>
      </c>
      <c r="C8489" s="27">
        <v>62111</v>
      </c>
      <c r="D8489" s="14" t="s">
        <v>23422</v>
      </c>
      <c r="E8489" s="229"/>
      <c r="F8489" s="117" t="s">
        <v>23449</v>
      </c>
      <c r="G8489" s="26">
        <v>47579</v>
      </c>
      <c r="H8489" s="231"/>
      <c r="I8489" s="221"/>
      <c r="J8489" s="221"/>
      <c r="K8489" s="221"/>
      <c r="L8489" s="221"/>
      <c r="M8489" s="221"/>
      <c r="N8489" s="221"/>
      <c r="O8489" s="225"/>
      <c r="P8489" s="118" t="s">
        <v>12144</v>
      </c>
      <c r="Q8489" s="16" t="s">
        <v>20</v>
      </c>
      <c r="R8489" s="17" t="s">
        <v>23902</v>
      </c>
      <c r="S8489" s="121"/>
      <c r="T8489" s="122"/>
      <c r="U8489" s="22"/>
      <c r="V8489" s="123"/>
      <c r="W8489" s="122"/>
      <c r="X8489" s="221"/>
      <c r="Y8489" s="221"/>
      <c r="Z8489" s="221"/>
      <c r="AA8489" s="221"/>
      <c r="AB8489" s="223"/>
    </row>
    <row r="8490" spans="1:28" ht="17.100000000000001" customHeight="1" thickTop="1">
      <c r="A8490" s="226" t="s">
        <v>23552</v>
      </c>
      <c r="B8490" s="28">
        <v>46135</v>
      </c>
      <c r="C8490" s="25">
        <v>1563</v>
      </c>
      <c r="D8490" s="13" t="s">
        <v>23562</v>
      </c>
      <c r="E8490" s="228"/>
      <c r="F8490" s="109" t="s">
        <v>23561</v>
      </c>
      <c r="G8490" s="24" t="s">
        <v>23563</v>
      </c>
      <c r="H8490" s="230">
        <v>4</v>
      </c>
      <c r="I8490" s="220">
        <v>2440000</v>
      </c>
      <c r="J8490" s="220">
        <f>I8490*0.1</f>
        <v>244000</v>
      </c>
      <c r="K8490" s="220">
        <f>31600+3160</f>
        <v>34760</v>
      </c>
      <c r="L8490" s="220">
        <v>11740</v>
      </c>
      <c r="M8490" s="220">
        <v>16500</v>
      </c>
      <c r="N8490" s="220">
        <f>SUM(I8490:M8491)</f>
        <v>2747000</v>
      </c>
      <c r="O8490" s="224"/>
      <c r="P8490" s="110" t="s">
        <v>23565</v>
      </c>
      <c r="Q8490" s="15" t="s">
        <v>19</v>
      </c>
      <c r="R8490" s="205"/>
      <c r="S8490" s="189" t="s">
        <v>1276</v>
      </c>
      <c r="T8490" s="114"/>
      <c r="U8490" s="21"/>
      <c r="V8490" s="115"/>
      <c r="W8490" s="116"/>
      <c r="X8490" s="220"/>
      <c r="Y8490" s="220">
        <f>X8490*0.1</f>
        <v>0</v>
      </c>
      <c r="Z8490" s="220"/>
      <c r="AA8490" s="220">
        <f>SUM(X8490:Z8490)</f>
        <v>0</v>
      </c>
      <c r="AB8490" s="222"/>
    </row>
    <row r="8491" spans="1:28" ht="17.100000000000001" customHeight="1" thickBot="1">
      <c r="A8491" s="227"/>
      <c r="B8491" s="27" t="s">
        <v>23560</v>
      </c>
      <c r="C8491" s="27">
        <v>79067</v>
      </c>
      <c r="D8491" s="14" t="s">
        <v>131</v>
      </c>
      <c r="E8491" s="229"/>
      <c r="F8491" s="117" t="s">
        <v>23564</v>
      </c>
      <c r="G8491" s="26">
        <v>26410</v>
      </c>
      <c r="H8491" s="231"/>
      <c r="I8491" s="221"/>
      <c r="J8491" s="221"/>
      <c r="K8491" s="221"/>
      <c r="L8491" s="221"/>
      <c r="M8491" s="221"/>
      <c r="N8491" s="221"/>
      <c r="O8491" s="225"/>
      <c r="P8491" s="118" t="s">
        <v>1972</v>
      </c>
      <c r="Q8491" s="16" t="s">
        <v>20</v>
      </c>
      <c r="R8491" s="17" t="s">
        <v>2377</v>
      </c>
      <c r="S8491" s="121" t="s">
        <v>1923</v>
      </c>
      <c r="T8491" s="122"/>
      <c r="U8491" s="22"/>
      <c r="V8491" s="123"/>
      <c r="W8491" s="122"/>
      <c r="X8491" s="221"/>
      <c r="Y8491" s="221"/>
      <c r="Z8491" s="221"/>
      <c r="AA8491" s="221"/>
      <c r="AB8491" s="223"/>
    </row>
    <row r="8492" spans="1:28" ht="17.100000000000001" customHeight="1" thickTop="1">
      <c r="A8492" s="226" t="s">
        <v>23553</v>
      </c>
      <c r="B8492" s="28">
        <v>46135</v>
      </c>
      <c r="C8492" s="25">
        <v>2155</v>
      </c>
      <c r="D8492" s="13" t="s">
        <v>23567</v>
      </c>
      <c r="E8492" s="228"/>
      <c r="F8492" s="109" t="s">
        <v>23569</v>
      </c>
      <c r="G8492" s="24" t="s">
        <v>23571</v>
      </c>
      <c r="H8492" s="230">
        <v>4.5</v>
      </c>
      <c r="I8492" s="220">
        <v>1696000</v>
      </c>
      <c r="J8492" s="220">
        <f>I8492*0.1</f>
        <v>169600</v>
      </c>
      <c r="K8492" s="220">
        <f>32910+3290</f>
        <v>36200</v>
      </c>
      <c r="L8492" s="220">
        <v>12550</v>
      </c>
      <c r="M8492" s="220">
        <v>14300</v>
      </c>
      <c r="N8492" s="220">
        <f>SUM(I8492:M8493)</f>
        <v>1928650</v>
      </c>
      <c r="O8492" s="224"/>
      <c r="P8492" s="110" t="s">
        <v>24109</v>
      </c>
      <c r="Q8492" s="15" t="s">
        <v>19</v>
      </c>
      <c r="R8492" s="205"/>
      <c r="S8492" s="189" t="s">
        <v>25636</v>
      </c>
      <c r="T8492" s="114"/>
      <c r="U8492" s="21"/>
      <c r="V8492" s="115"/>
      <c r="W8492" s="116"/>
      <c r="X8492" s="220"/>
      <c r="Y8492" s="220">
        <f>X8492*0.1</f>
        <v>0</v>
      </c>
      <c r="Z8492" s="220"/>
      <c r="AA8492" s="220">
        <f>SUM(X8492:Z8492)</f>
        <v>0</v>
      </c>
      <c r="AB8492" s="222"/>
    </row>
    <row r="8493" spans="1:28" ht="17.100000000000001" customHeight="1" thickBot="1">
      <c r="A8493" s="227"/>
      <c r="B8493" s="27" t="s">
        <v>23566</v>
      </c>
      <c r="C8493" s="27">
        <v>33</v>
      </c>
      <c r="D8493" s="14" t="s">
        <v>23568</v>
      </c>
      <c r="E8493" s="229"/>
      <c r="F8493" s="117" t="s">
        <v>23570</v>
      </c>
      <c r="G8493" s="26">
        <v>49368</v>
      </c>
      <c r="H8493" s="231"/>
      <c r="I8493" s="221"/>
      <c r="J8493" s="221"/>
      <c r="K8493" s="221"/>
      <c r="L8493" s="221"/>
      <c r="M8493" s="221"/>
      <c r="N8493" s="221"/>
      <c r="O8493" s="225"/>
      <c r="P8493" s="118" t="s">
        <v>23599</v>
      </c>
      <c r="Q8493" s="16" t="s">
        <v>20</v>
      </c>
      <c r="R8493" s="17" t="s">
        <v>24061</v>
      </c>
      <c r="S8493" s="121" t="s">
        <v>24110</v>
      </c>
      <c r="T8493" s="122"/>
      <c r="U8493" s="22"/>
      <c r="V8493" s="123"/>
      <c r="W8493" s="122"/>
      <c r="X8493" s="221"/>
      <c r="Y8493" s="221"/>
      <c r="Z8493" s="221"/>
      <c r="AA8493" s="221"/>
      <c r="AB8493" s="223"/>
    </row>
    <row r="8494" spans="1:28" ht="17.100000000000001" customHeight="1" thickTop="1">
      <c r="A8494" s="226" t="s">
        <v>23554</v>
      </c>
      <c r="B8494" s="28">
        <v>46135</v>
      </c>
      <c r="C8494" s="25">
        <v>2155</v>
      </c>
      <c r="D8494" s="13" t="s">
        <v>23572</v>
      </c>
      <c r="E8494" s="228"/>
      <c r="F8494" s="109" t="s">
        <v>23574</v>
      </c>
      <c r="G8494" s="24"/>
      <c r="H8494" s="230">
        <v>3.5</v>
      </c>
      <c r="I8494" s="220">
        <v>281000</v>
      </c>
      <c r="J8494" s="220">
        <f>I8494*0.1</f>
        <v>28100</v>
      </c>
      <c r="K8494" s="220">
        <v>0</v>
      </c>
      <c r="L8494" s="220">
        <v>8140</v>
      </c>
      <c r="M8494" s="220">
        <v>14300</v>
      </c>
      <c r="N8494" s="220">
        <f>SUM(I8494:M8495)</f>
        <v>331540</v>
      </c>
      <c r="O8494" s="224"/>
      <c r="P8494" s="110" t="s">
        <v>24106</v>
      </c>
      <c r="Q8494" s="15" t="s">
        <v>19</v>
      </c>
      <c r="R8494" s="205"/>
      <c r="S8494" s="189"/>
      <c r="T8494" s="114"/>
      <c r="U8494" s="21"/>
      <c r="V8494" s="115">
        <v>46162</v>
      </c>
      <c r="W8494" s="116">
        <v>1017</v>
      </c>
      <c r="X8494" s="220">
        <v>340000</v>
      </c>
      <c r="Y8494" s="220">
        <f>X8494*0.1</f>
        <v>34000</v>
      </c>
      <c r="Z8494" s="220">
        <v>8140</v>
      </c>
      <c r="AA8494" s="220">
        <f>SUM(X8494:Z8494)</f>
        <v>382140</v>
      </c>
      <c r="AB8494" s="222">
        <v>46167</v>
      </c>
    </row>
    <row r="8495" spans="1:28" ht="17.100000000000001" customHeight="1" thickBot="1">
      <c r="A8495" s="227"/>
      <c r="B8495" s="27" t="s">
        <v>23566</v>
      </c>
      <c r="C8495" s="27">
        <v>214</v>
      </c>
      <c r="D8495" s="14" t="s">
        <v>23573</v>
      </c>
      <c r="E8495" s="229"/>
      <c r="F8495" s="117" t="s">
        <v>23575</v>
      </c>
      <c r="G8495" s="26">
        <v>49985</v>
      </c>
      <c r="H8495" s="231"/>
      <c r="I8495" s="221"/>
      <c r="J8495" s="221"/>
      <c r="K8495" s="221"/>
      <c r="L8495" s="221"/>
      <c r="M8495" s="221"/>
      <c r="N8495" s="221"/>
      <c r="O8495" s="225"/>
      <c r="P8495" s="118" t="s">
        <v>13032</v>
      </c>
      <c r="Q8495" s="16" t="s">
        <v>20</v>
      </c>
      <c r="R8495" s="17" t="s">
        <v>24061</v>
      </c>
      <c r="S8495" s="121" t="s">
        <v>169</v>
      </c>
      <c r="T8495" s="122"/>
      <c r="U8495" s="22"/>
      <c r="V8495" s="123" t="s">
        <v>2747</v>
      </c>
      <c r="W8495" s="122">
        <v>2028</v>
      </c>
      <c r="X8495" s="221"/>
      <c r="Y8495" s="221"/>
      <c r="Z8495" s="221"/>
      <c r="AA8495" s="221"/>
      <c r="AB8495" s="223"/>
    </row>
    <row r="8496" spans="1:28" ht="17.100000000000001" customHeight="1" thickTop="1">
      <c r="A8496" s="226" t="s">
        <v>23555</v>
      </c>
      <c r="B8496" s="28">
        <v>46135</v>
      </c>
      <c r="C8496" s="25">
        <v>2155</v>
      </c>
      <c r="D8496" s="13" t="s">
        <v>23576</v>
      </c>
      <c r="E8496" s="228"/>
      <c r="F8496" s="109" t="s">
        <v>23578</v>
      </c>
      <c r="G8496" s="24"/>
      <c r="H8496" s="230">
        <v>4</v>
      </c>
      <c r="I8496" s="220">
        <v>1154000</v>
      </c>
      <c r="J8496" s="220">
        <f>I8496*0.1</f>
        <v>115400</v>
      </c>
      <c r="K8496" s="220">
        <v>0</v>
      </c>
      <c r="L8496" s="220">
        <v>6850</v>
      </c>
      <c r="M8496" s="220">
        <v>14300</v>
      </c>
      <c r="N8496" s="220">
        <f>SUM(I8496:M8497)</f>
        <v>1290550</v>
      </c>
      <c r="O8496" s="224"/>
      <c r="P8496" s="110" t="s">
        <v>24418</v>
      </c>
      <c r="Q8496" s="15" t="s">
        <v>19</v>
      </c>
      <c r="R8496" s="205"/>
      <c r="S8496" s="189"/>
      <c r="T8496" s="114"/>
      <c r="U8496" s="21"/>
      <c r="V8496" s="115">
        <v>46141</v>
      </c>
      <c r="W8496" s="116">
        <v>1015</v>
      </c>
      <c r="X8496" s="220">
        <v>1240000</v>
      </c>
      <c r="Y8496" s="220">
        <f>X8496*0.1</f>
        <v>124000</v>
      </c>
      <c r="Z8496" s="220">
        <v>6850</v>
      </c>
      <c r="AA8496" s="220">
        <f>SUM(X8496:Z8496)</f>
        <v>1370850</v>
      </c>
      <c r="AB8496" s="222">
        <v>46154</v>
      </c>
    </row>
    <row r="8497" spans="1:28" ht="17.100000000000001" customHeight="1" thickBot="1">
      <c r="A8497" s="227"/>
      <c r="B8497" s="27" t="s">
        <v>23566</v>
      </c>
      <c r="C8497" s="27">
        <v>2510</v>
      </c>
      <c r="D8497" s="14" t="s">
        <v>23577</v>
      </c>
      <c r="E8497" s="229"/>
      <c r="F8497" s="117" t="s">
        <v>23579</v>
      </c>
      <c r="G8497" s="26">
        <v>34113</v>
      </c>
      <c r="H8497" s="231"/>
      <c r="I8497" s="221"/>
      <c r="J8497" s="221"/>
      <c r="K8497" s="221"/>
      <c r="L8497" s="221"/>
      <c r="M8497" s="221"/>
      <c r="N8497" s="221"/>
      <c r="O8497" s="225"/>
      <c r="P8497" s="118" t="s">
        <v>2947</v>
      </c>
      <c r="Q8497" s="16" t="s">
        <v>20</v>
      </c>
      <c r="R8497" s="17" t="s">
        <v>1983</v>
      </c>
      <c r="S8497" s="121"/>
      <c r="T8497" s="122"/>
      <c r="U8497" s="22"/>
      <c r="V8497" s="123" t="s">
        <v>24606</v>
      </c>
      <c r="W8497" s="122">
        <v>5080</v>
      </c>
      <c r="X8497" s="221"/>
      <c r="Y8497" s="221"/>
      <c r="Z8497" s="221"/>
      <c r="AA8497" s="221"/>
      <c r="AB8497" s="223"/>
    </row>
    <row r="8498" spans="1:28" ht="17.100000000000001" customHeight="1" thickTop="1">
      <c r="A8498" s="226" t="s">
        <v>23556</v>
      </c>
      <c r="B8498" s="28">
        <v>46135</v>
      </c>
      <c r="C8498" s="25">
        <v>2155</v>
      </c>
      <c r="D8498" s="13" t="s">
        <v>23440</v>
      </c>
      <c r="E8498" s="228"/>
      <c r="F8498" s="109" t="s">
        <v>23581</v>
      </c>
      <c r="G8498" s="24"/>
      <c r="H8498" s="230">
        <v>4</v>
      </c>
      <c r="I8498" s="220">
        <v>836000</v>
      </c>
      <c r="J8498" s="220">
        <f>I8498*0.1</f>
        <v>83600</v>
      </c>
      <c r="K8498" s="220">
        <v>0</v>
      </c>
      <c r="L8498" s="220">
        <v>7040</v>
      </c>
      <c r="M8498" s="220">
        <v>14300</v>
      </c>
      <c r="N8498" s="220">
        <f>SUM(I8498:M8499)</f>
        <v>940940</v>
      </c>
      <c r="O8498" s="224"/>
      <c r="P8498" s="110" t="s">
        <v>24104</v>
      </c>
      <c r="Q8498" s="15" t="s">
        <v>19</v>
      </c>
      <c r="R8498" s="205"/>
      <c r="S8498" s="189" t="s">
        <v>758</v>
      </c>
      <c r="T8498" s="114"/>
      <c r="U8498" s="21"/>
      <c r="V8498" s="115">
        <v>46141</v>
      </c>
      <c r="W8498" s="116">
        <v>1015</v>
      </c>
      <c r="X8498" s="220">
        <v>1080000</v>
      </c>
      <c r="Y8498" s="220">
        <f>X8498*0.1</f>
        <v>108000</v>
      </c>
      <c r="Z8498" s="220">
        <v>7040</v>
      </c>
      <c r="AA8498" s="220">
        <f>SUM(X8498:Z8498)</f>
        <v>1195040</v>
      </c>
      <c r="AB8498" s="222">
        <v>46154</v>
      </c>
    </row>
    <row r="8499" spans="1:28" ht="17.100000000000001" customHeight="1" thickBot="1">
      <c r="A8499" s="227"/>
      <c r="B8499" s="27" t="s">
        <v>23566</v>
      </c>
      <c r="C8499" s="27">
        <v>2582</v>
      </c>
      <c r="D8499" s="14" t="s">
        <v>23580</v>
      </c>
      <c r="E8499" s="229"/>
      <c r="F8499" s="117" t="s">
        <v>23582</v>
      </c>
      <c r="G8499" s="26">
        <v>69941</v>
      </c>
      <c r="H8499" s="231"/>
      <c r="I8499" s="221"/>
      <c r="J8499" s="221"/>
      <c r="K8499" s="221"/>
      <c r="L8499" s="221"/>
      <c r="M8499" s="221"/>
      <c r="N8499" s="221"/>
      <c r="O8499" s="225"/>
      <c r="P8499" s="118" t="s">
        <v>24105</v>
      </c>
      <c r="Q8499" s="16" t="s">
        <v>20</v>
      </c>
      <c r="R8499" s="17" t="s">
        <v>24061</v>
      </c>
      <c r="S8499" s="121" t="s">
        <v>1661</v>
      </c>
      <c r="T8499" s="122"/>
      <c r="U8499" s="22"/>
      <c r="V8499" s="123" t="s">
        <v>24607</v>
      </c>
      <c r="W8499" s="122">
        <v>5229</v>
      </c>
      <c r="X8499" s="221"/>
      <c r="Y8499" s="221"/>
      <c r="Z8499" s="221"/>
      <c r="AA8499" s="221"/>
      <c r="AB8499" s="223"/>
    </row>
    <row r="8500" spans="1:28" ht="17.100000000000001" customHeight="1" thickTop="1">
      <c r="A8500" s="226" t="s">
        <v>23557</v>
      </c>
      <c r="B8500" s="28">
        <v>46135</v>
      </c>
      <c r="C8500" s="25">
        <v>2155</v>
      </c>
      <c r="D8500" s="13" t="s">
        <v>23583</v>
      </c>
      <c r="E8500" s="228"/>
      <c r="F8500" s="109" t="s">
        <v>23584</v>
      </c>
      <c r="G8500" s="24"/>
      <c r="H8500" s="230">
        <v>4</v>
      </c>
      <c r="I8500" s="220">
        <v>1118000</v>
      </c>
      <c r="J8500" s="220">
        <f>I8500*0.1</f>
        <v>111800</v>
      </c>
      <c r="K8500" s="220">
        <v>0</v>
      </c>
      <c r="L8500" s="220">
        <v>8130</v>
      </c>
      <c r="M8500" s="220">
        <v>14300</v>
      </c>
      <c r="N8500" s="220">
        <f>SUM(I8500:M8501)</f>
        <v>1252230</v>
      </c>
      <c r="O8500" s="224"/>
      <c r="P8500" s="110" t="s">
        <v>23987</v>
      </c>
      <c r="Q8500" s="15" t="s">
        <v>19</v>
      </c>
      <c r="R8500" s="205"/>
      <c r="S8500" s="189"/>
      <c r="T8500" s="114"/>
      <c r="U8500" s="21"/>
      <c r="V8500" s="115">
        <v>46141</v>
      </c>
      <c r="W8500" s="116">
        <v>1015</v>
      </c>
      <c r="X8500" s="220">
        <v>1195000</v>
      </c>
      <c r="Y8500" s="220">
        <f>X8500*0.1</f>
        <v>119500</v>
      </c>
      <c r="Z8500" s="220">
        <v>8130</v>
      </c>
      <c r="AA8500" s="220">
        <f>SUM(X8500:Z8500)</f>
        <v>1322630</v>
      </c>
      <c r="AB8500" s="222">
        <v>46153</v>
      </c>
    </row>
    <row r="8501" spans="1:28" ht="17.100000000000001" customHeight="1" thickBot="1">
      <c r="A8501" s="227"/>
      <c r="B8501" s="27" t="s">
        <v>23566</v>
      </c>
      <c r="C8501" s="27">
        <v>2595</v>
      </c>
      <c r="D8501" s="14" t="s">
        <v>1797</v>
      </c>
      <c r="E8501" s="229"/>
      <c r="F8501" s="117" t="s">
        <v>23585</v>
      </c>
      <c r="G8501" s="26">
        <v>3929</v>
      </c>
      <c r="H8501" s="231"/>
      <c r="I8501" s="221"/>
      <c r="J8501" s="221"/>
      <c r="K8501" s="221"/>
      <c r="L8501" s="221"/>
      <c r="M8501" s="221"/>
      <c r="N8501" s="221"/>
      <c r="O8501" s="225"/>
      <c r="P8501" s="118" t="s">
        <v>2404</v>
      </c>
      <c r="Q8501" s="16" t="s">
        <v>20</v>
      </c>
      <c r="R8501" s="17" t="s">
        <v>1939</v>
      </c>
      <c r="S8501" s="121"/>
      <c r="T8501" s="122"/>
      <c r="U8501" s="22"/>
      <c r="V8501" s="123" t="s">
        <v>2747</v>
      </c>
      <c r="W8501" s="122">
        <v>5066</v>
      </c>
      <c r="X8501" s="221"/>
      <c r="Y8501" s="221"/>
      <c r="Z8501" s="221"/>
      <c r="AA8501" s="221"/>
      <c r="AB8501" s="223"/>
    </row>
    <row r="8502" spans="1:28" ht="17.100000000000001" customHeight="1" thickTop="1">
      <c r="A8502" s="226" t="s">
        <v>23558</v>
      </c>
      <c r="B8502" s="28">
        <v>46135</v>
      </c>
      <c r="C8502" s="25">
        <v>2155</v>
      </c>
      <c r="D8502" s="13" t="s">
        <v>23586</v>
      </c>
      <c r="E8502" s="228"/>
      <c r="F8502" s="109" t="s">
        <v>23587</v>
      </c>
      <c r="G8502" s="24" t="s">
        <v>23589</v>
      </c>
      <c r="H8502" s="230">
        <v>4</v>
      </c>
      <c r="I8502" s="220">
        <v>1034000</v>
      </c>
      <c r="J8502" s="220">
        <f>I8502*0.1</f>
        <v>103400</v>
      </c>
      <c r="K8502" s="220">
        <v>0</v>
      </c>
      <c r="L8502" s="220">
        <v>8110</v>
      </c>
      <c r="M8502" s="220">
        <v>14300</v>
      </c>
      <c r="N8502" s="220">
        <f>SUM(I8502:M8503)</f>
        <v>1159810</v>
      </c>
      <c r="O8502" s="224"/>
      <c r="P8502" s="110" t="s">
        <v>23590</v>
      </c>
      <c r="Q8502" s="15" t="s">
        <v>19</v>
      </c>
      <c r="R8502" s="205"/>
      <c r="S8502" s="189" t="s">
        <v>25413</v>
      </c>
      <c r="T8502" s="114"/>
      <c r="U8502" s="21"/>
      <c r="V8502" s="115">
        <v>46141</v>
      </c>
      <c r="W8502" s="116">
        <v>1015</v>
      </c>
      <c r="X8502" s="220">
        <v>1075000</v>
      </c>
      <c r="Y8502" s="220">
        <f>X8502*0.1</f>
        <v>107500</v>
      </c>
      <c r="Z8502" s="220">
        <v>8110</v>
      </c>
      <c r="AA8502" s="220">
        <f>SUM(X8502:Z8502)</f>
        <v>1190610</v>
      </c>
      <c r="AB8502" s="222">
        <v>46153</v>
      </c>
    </row>
    <row r="8503" spans="1:28" ht="17.100000000000001" customHeight="1" thickBot="1">
      <c r="A8503" s="227"/>
      <c r="B8503" s="27" t="s">
        <v>23566</v>
      </c>
      <c r="C8503" s="27">
        <v>2600</v>
      </c>
      <c r="D8503" s="14" t="s">
        <v>2559</v>
      </c>
      <c r="E8503" s="229"/>
      <c r="F8503" s="117" t="s">
        <v>23588</v>
      </c>
      <c r="G8503" s="26">
        <v>51838</v>
      </c>
      <c r="H8503" s="231"/>
      <c r="I8503" s="221"/>
      <c r="J8503" s="221"/>
      <c r="K8503" s="221"/>
      <c r="L8503" s="221"/>
      <c r="M8503" s="221"/>
      <c r="N8503" s="221"/>
      <c r="O8503" s="225"/>
      <c r="P8503" s="118" t="s">
        <v>18741</v>
      </c>
      <c r="Q8503" s="16" t="s">
        <v>20</v>
      </c>
      <c r="R8503" s="17" t="s">
        <v>1939</v>
      </c>
      <c r="S8503" s="121" t="s">
        <v>2405</v>
      </c>
      <c r="T8503" s="122"/>
      <c r="U8503" s="22"/>
      <c r="V8503" s="123" t="s">
        <v>2747</v>
      </c>
      <c r="W8503" s="122">
        <v>5155</v>
      </c>
      <c r="X8503" s="221"/>
      <c r="Y8503" s="221"/>
      <c r="Z8503" s="221"/>
      <c r="AA8503" s="221"/>
      <c r="AB8503" s="223"/>
    </row>
    <row r="8504" spans="1:28" ht="17.100000000000001" customHeight="1" thickTop="1">
      <c r="A8504" s="226" t="s">
        <v>23559</v>
      </c>
      <c r="B8504" s="28">
        <v>46135</v>
      </c>
      <c r="C8504" s="25">
        <v>2155</v>
      </c>
      <c r="D8504" s="13" t="s">
        <v>23446</v>
      </c>
      <c r="E8504" s="228"/>
      <c r="F8504" s="109" t="s">
        <v>23578</v>
      </c>
      <c r="G8504" s="24"/>
      <c r="H8504" s="230">
        <v>4.5</v>
      </c>
      <c r="I8504" s="220">
        <v>854000</v>
      </c>
      <c r="J8504" s="220">
        <f>I8504*0.1</f>
        <v>85400</v>
      </c>
      <c r="K8504" s="220">
        <v>0</v>
      </c>
      <c r="L8504" s="220">
        <v>6830</v>
      </c>
      <c r="M8504" s="220">
        <v>14300</v>
      </c>
      <c r="N8504" s="220">
        <f>SUM(I8504:M8505)</f>
        <v>960530</v>
      </c>
      <c r="O8504" s="224"/>
      <c r="P8504" s="110" t="s">
        <v>24111</v>
      </c>
      <c r="Q8504" s="15" t="s">
        <v>19</v>
      </c>
      <c r="R8504" s="205"/>
      <c r="S8504" s="189" t="s">
        <v>25617</v>
      </c>
      <c r="T8504" s="114"/>
      <c r="U8504" s="21"/>
      <c r="V8504" s="115">
        <v>46141</v>
      </c>
      <c r="W8504" s="116">
        <v>1015</v>
      </c>
      <c r="X8504" s="220">
        <v>940000</v>
      </c>
      <c r="Y8504" s="220">
        <f>X8504*0.1</f>
        <v>94000</v>
      </c>
      <c r="Z8504" s="220">
        <v>6830</v>
      </c>
      <c r="AA8504" s="220">
        <f>SUM(X8504:Z8504)</f>
        <v>1040830</v>
      </c>
      <c r="AB8504" s="222">
        <v>46156</v>
      </c>
    </row>
    <row r="8505" spans="1:28" ht="17.100000000000001" customHeight="1" thickBot="1">
      <c r="A8505" s="227"/>
      <c r="B8505" s="27" t="s">
        <v>23566</v>
      </c>
      <c r="C8505" s="27">
        <v>2606</v>
      </c>
      <c r="D8505" s="14" t="s">
        <v>1797</v>
      </c>
      <c r="E8505" s="229"/>
      <c r="F8505" s="117" t="s">
        <v>23591</v>
      </c>
      <c r="G8505" s="26">
        <v>59633</v>
      </c>
      <c r="H8505" s="231"/>
      <c r="I8505" s="221"/>
      <c r="J8505" s="221"/>
      <c r="K8505" s="221"/>
      <c r="L8505" s="221"/>
      <c r="M8505" s="221"/>
      <c r="N8505" s="221"/>
      <c r="O8505" s="225"/>
      <c r="P8505" s="118" t="s">
        <v>24112</v>
      </c>
      <c r="Q8505" s="16" t="s">
        <v>20</v>
      </c>
      <c r="R8505" s="17" t="s">
        <v>24061</v>
      </c>
      <c r="S8505" s="121" t="s">
        <v>2647</v>
      </c>
      <c r="T8505" s="122"/>
      <c r="U8505" s="22"/>
      <c r="V8505" s="123" t="s">
        <v>24607</v>
      </c>
      <c r="W8505" s="122">
        <v>5085</v>
      </c>
      <c r="X8505" s="221"/>
      <c r="Y8505" s="221"/>
      <c r="Z8505" s="221"/>
      <c r="AA8505" s="221"/>
      <c r="AB8505" s="223"/>
    </row>
    <row r="8506" spans="1:28" ht="17.100000000000001" customHeight="1" thickTop="1">
      <c r="A8506" s="226" t="s">
        <v>23630</v>
      </c>
      <c r="B8506" s="28">
        <v>46135</v>
      </c>
      <c r="C8506" s="25">
        <v>2024</v>
      </c>
      <c r="D8506" s="13" t="s">
        <v>23769</v>
      </c>
      <c r="E8506" s="228"/>
      <c r="F8506" s="109" t="s">
        <v>23569</v>
      </c>
      <c r="G8506" s="24" t="s">
        <v>23771</v>
      </c>
      <c r="H8506" s="230">
        <v>4</v>
      </c>
      <c r="I8506" s="220">
        <v>1511000</v>
      </c>
      <c r="J8506" s="220">
        <f>I8506*0.1</f>
        <v>151100</v>
      </c>
      <c r="K8506" s="220">
        <v>39820</v>
      </c>
      <c r="L8506" s="220">
        <v>12550</v>
      </c>
      <c r="M8506" s="220">
        <v>22000</v>
      </c>
      <c r="N8506" s="220">
        <f>SUM(I8506:M8507)</f>
        <v>1736470</v>
      </c>
      <c r="O8506" s="224"/>
      <c r="P8506" s="110" t="s">
        <v>23772</v>
      </c>
      <c r="Q8506" s="15" t="s">
        <v>19</v>
      </c>
      <c r="R8506" s="205"/>
      <c r="S8506" s="189"/>
      <c r="T8506" s="114"/>
      <c r="U8506" s="21"/>
      <c r="V8506" s="115">
        <v>46155</v>
      </c>
      <c r="W8506" s="116">
        <v>1016</v>
      </c>
      <c r="X8506" s="220">
        <v>1495000</v>
      </c>
      <c r="Y8506" s="220">
        <f>X8506*0.1</f>
        <v>149500</v>
      </c>
      <c r="Z8506" s="220">
        <v>12550</v>
      </c>
      <c r="AA8506" s="220">
        <f>SUM(X8506:Z8506)</f>
        <v>1657050</v>
      </c>
      <c r="AB8506" s="222">
        <v>46161</v>
      </c>
    </row>
    <row r="8507" spans="1:28" ht="17.100000000000001" customHeight="1" thickBot="1">
      <c r="A8507" s="227"/>
      <c r="B8507" s="27" t="s">
        <v>23639</v>
      </c>
      <c r="C8507" s="27">
        <v>10072</v>
      </c>
      <c r="D8507" s="14" t="s">
        <v>23770</v>
      </c>
      <c r="E8507" s="229"/>
      <c r="F8507" s="117" t="s">
        <v>23640</v>
      </c>
      <c r="G8507" s="26">
        <v>53954</v>
      </c>
      <c r="H8507" s="231"/>
      <c r="I8507" s="221"/>
      <c r="J8507" s="221"/>
      <c r="K8507" s="221"/>
      <c r="L8507" s="221"/>
      <c r="M8507" s="221"/>
      <c r="N8507" s="221"/>
      <c r="O8507" s="225"/>
      <c r="P8507" s="118" t="s">
        <v>2870</v>
      </c>
      <c r="Q8507" s="16" t="s">
        <v>20</v>
      </c>
      <c r="R8507" s="17" t="s">
        <v>1983</v>
      </c>
      <c r="S8507" s="121" t="s">
        <v>7702</v>
      </c>
      <c r="T8507" s="122"/>
      <c r="U8507" s="22"/>
      <c r="V8507" s="123" t="s">
        <v>2747</v>
      </c>
      <c r="W8507" s="122">
        <v>5107</v>
      </c>
      <c r="X8507" s="221"/>
      <c r="Y8507" s="221"/>
      <c r="Z8507" s="221"/>
      <c r="AA8507" s="221"/>
      <c r="AB8507" s="223"/>
    </row>
    <row r="8508" spans="1:28" ht="17.100000000000001" customHeight="1" thickTop="1">
      <c r="A8508" s="226" t="s">
        <v>23631</v>
      </c>
      <c r="B8508" s="28">
        <v>46135</v>
      </c>
      <c r="C8508" s="25">
        <v>2024</v>
      </c>
      <c r="D8508" s="13" t="s">
        <v>23773</v>
      </c>
      <c r="E8508" s="228"/>
      <c r="F8508" s="109" t="s">
        <v>23774</v>
      </c>
      <c r="G8508" s="24"/>
      <c r="H8508" s="230">
        <v>4</v>
      </c>
      <c r="I8508" s="220">
        <v>573000</v>
      </c>
      <c r="J8508" s="220">
        <f>I8508*0.1</f>
        <v>57300</v>
      </c>
      <c r="K8508" s="220">
        <v>0</v>
      </c>
      <c r="L8508" s="220">
        <v>9130</v>
      </c>
      <c r="M8508" s="220">
        <v>22000</v>
      </c>
      <c r="N8508" s="220">
        <f>SUM(I8508:M8509)</f>
        <v>661430</v>
      </c>
      <c r="O8508" s="224"/>
      <c r="P8508" s="110" t="s">
        <v>24067</v>
      </c>
      <c r="Q8508" s="15" t="s">
        <v>19</v>
      </c>
      <c r="R8508" s="205"/>
      <c r="S8508" s="189" t="s">
        <v>25895</v>
      </c>
      <c r="T8508" s="114"/>
      <c r="U8508" s="21"/>
      <c r="V8508" s="115">
        <v>46141</v>
      </c>
      <c r="W8508" s="116">
        <v>1015</v>
      </c>
      <c r="X8508" s="220">
        <v>655000</v>
      </c>
      <c r="Y8508" s="220">
        <f>X8508*0.1</f>
        <v>65500</v>
      </c>
      <c r="Z8508" s="220">
        <v>9130</v>
      </c>
      <c r="AA8508" s="220">
        <f>SUM(X8508:Z8508)</f>
        <v>729630</v>
      </c>
      <c r="AB8508" s="222">
        <v>46153</v>
      </c>
    </row>
    <row r="8509" spans="1:28" ht="17.100000000000001" customHeight="1" thickBot="1">
      <c r="A8509" s="227"/>
      <c r="B8509" s="27" t="s">
        <v>23639</v>
      </c>
      <c r="C8509" s="27">
        <v>30082</v>
      </c>
      <c r="D8509" s="14" t="s">
        <v>1710</v>
      </c>
      <c r="E8509" s="229"/>
      <c r="F8509" s="117" t="s">
        <v>23641</v>
      </c>
      <c r="G8509" s="26">
        <v>56245</v>
      </c>
      <c r="H8509" s="231"/>
      <c r="I8509" s="221"/>
      <c r="J8509" s="221"/>
      <c r="K8509" s="221"/>
      <c r="L8509" s="221"/>
      <c r="M8509" s="221"/>
      <c r="N8509" s="221"/>
      <c r="O8509" s="225"/>
      <c r="P8509" s="118" t="s">
        <v>11988</v>
      </c>
      <c r="Q8509" s="16" t="s">
        <v>20</v>
      </c>
      <c r="R8509" s="17" t="s">
        <v>24061</v>
      </c>
      <c r="S8509" s="121" t="s">
        <v>24068</v>
      </c>
      <c r="T8509" s="122"/>
      <c r="U8509" s="22"/>
      <c r="V8509" s="123" t="s">
        <v>2747</v>
      </c>
      <c r="W8509" s="122">
        <v>5121</v>
      </c>
      <c r="X8509" s="221"/>
      <c r="Y8509" s="221"/>
      <c r="Z8509" s="221"/>
      <c r="AA8509" s="221"/>
      <c r="AB8509" s="223"/>
    </row>
    <row r="8510" spans="1:28" ht="17.100000000000001" customHeight="1" thickTop="1">
      <c r="A8510" s="226" t="s">
        <v>23632</v>
      </c>
      <c r="B8510" s="28">
        <v>46135</v>
      </c>
      <c r="C8510" s="25">
        <v>2024</v>
      </c>
      <c r="D8510" s="13" t="s">
        <v>23775</v>
      </c>
      <c r="E8510" s="228"/>
      <c r="F8510" s="109" t="s">
        <v>23776</v>
      </c>
      <c r="G8510" s="24"/>
      <c r="H8510" s="230">
        <v>3.5</v>
      </c>
      <c r="I8510" s="220">
        <v>630000</v>
      </c>
      <c r="J8510" s="220">
        <f>I8510*0.1</f>
        <v>63000</v>
      </c>
      <c r="K8510" s="220">
        <v>0</v>
      </c>
      <c r="L8510" s="220">
        <v>8950</v>
      </c>
      <c r="M8510" s="220">
        <v>22000</v>
      </c>
      <c r="N8510" s="220">
        <f>SUM(I8510:M8511)</f>
        <v>723950</v>
      </c>
      <c r="O8510" s="224"/>
      <c r="P8510" s="110" t="s">
        <v>24168</v>
      </c>
      <c r="Q8510" s="15" t="s">
        <v>19</v>
      </c>
      <c r="R8510" s="205"/>
      <c r="S8510" s="189" t="s">
        <v>25429</v>
      </c>
      <c r="T8510" s="114"/>
      <c r="U8510" s="21"/>
      <c r="V8510" s="115">
        <v>46141</v>
      </c>
      <c r="W8510" s="116">
        <v>1015</v>
      </c>
      <c r="X8510" s="220">
        <v>750000</v>
      </c>
      <c r="Y8510" s="220">
        <f>X8510*0.1</f>
        <v>75000</v>
      </c>
      <c r="Z8510" s="220">
        <v>8950</v>
      </c>
      <c r="AA8510" s="220">
        <f>SUM(X8510:Z8510)</f>
        <v>833950</v>
      </c>
      <c r="AB8510" s="222">
        <v>46153</v>
      </c>
    </row>
    <row r="8511" spans="1:28" ht="17.100000000000001" customHeight="1" thickBot="1">
      <c r="A8511" s="227"/>
      <c r="B8511" s="27" t="s">
        <v>23639</v>
      </c>
      <c r="C8511" s="27">
        <v>30125</v>
      </c>
      <c r="D8511" s="14" t="s">
        <v>1710</v>
      </c>
      <c r="E8511" s="229"/>
      <c r="F8511" s="117" t="s">
        <v>23642</v>
      </c>
      <c r="G8511" s="26">
        <v>50616</v>
      </c>
      <c r="H8511" s="231"/>
      <c r="I8511" s="221"/>
      <c r="J8511" s="221"/>
      <c r="K8511" s="221"/>
      <c r="L8511" s="221"/>
      <c r="M8511" s="221"/>
      <c r="N8511" s="221"/>
      <c r="O8511" s="225"/>
      <c r="P8511" s="118" t="s">
        <v>24167</v>
      </c>
      <c r="Q8511" s="16" t="s">
        <v>20</v>
      </c>
      <c r="R8511" s="17" t="s">
        <v>24164</v>
      </c>
      <c r="S8511" s="121" t="s">
        <v>24428</v>
      </c>
      <c r="T8511" s="122"/>
      <c r="U8511" s="22"/>
      <c r="V8511" s="123" t="s">
        <v>2747</v>
      </c>
      <c r="W8511" s="122">
        <v>5070</v>
      </c>
      <c r="X8511" s="221"/>
      <c r="Y8511" s="221"/>
      <c r="Z8511" s="221"/>
      <c r="AA8511" s="221"/>
      <c r="AB8511" s="223"/>
    </row>
    <row r="8512" spans="1:28" ht="17.100000000000001" customHeight="1" thickTop="1">
      <c r="A8512" s="226" t="s">
        <v>23633</v>
      </c>
      <c r="B8512" s="28">
        <v>46135</v>
      </c>
      <c r="C8512" s="25">
        <v>2024</v>
      </c>
      <c r="D8512" s="13" t="s">
        <v>23777</v>
      </c>
      <c r="E8512" s="228"/>
      <c r="F8512" s="109" t="s">
        <v>23778</v>
      </c>
      <c r="G8512" s="24" t="s">
        <v>23779</v>
      </c>
      <c r="H8512" s="230">
        <v>4</v>
      </c>
      <c r="I8512" s="220">
        <v>3039000</v>
      </c>
      <c r="J8512" s="220">
        <f>I8512*0.1</f>
        <v>303900</v>
      </c>
      <c r="K8512" s="220">
        <v>43780</v>
      </c>
      <c r="L8512" s="220">
        <v>14900</v>
      </c>
      <c r="M8512" s="220">
        <v>22000</v>
      </c>
      <c r="N8512" s="220">
        <f>SUM(I8512:M8513)</f>
        <v>3423580</v>
      </c>
      <c r="O8512" s="224"/>
      <c r="P8512" s="110" t="s">
        <v>23780</v>
      </c>
      <c r="Q8512" s="15" t="s">
        <v>19</v>
      </c>
      <c r="R8512" s="205"/>
      <c r="S8512" s="189" t="s">
        <v>25429</v>
      </c>
      <c r="T8512" s="114"/>
      <c r="U8512" s="21"/>
      <c r="V8512" s="115">
        <v>46141</v>
      </c>
      <c r="W8512" s="116">
        <v>1015</v>
      </c>
      <c r="X8512" s="220">
        <v>3230000</v>
      </c>
      <c r="Y8512" s="220">
        <f>X8512*0.1</f>
        <v>323000</v>
      </c>
      <c r="Z8512" s="220">
        <v>14900</v>
      </c>
      <c r="AA8512" s="220">
        <f>SUM(X8512:Z8512)</f>
        <v>3567900</v>
      </c>
      <c r="AB8512" s="222">
        <v>46153</v>
      </c>
    </row>
    <row r="8513" spans="1:28" ht="17.100000000000001" customHeight="1" thickBot="1">
      <c r="A8513" s="227"/>
      <c r="B8513" s="27" t="s">
        <v>23639</v>
      </c>
      <c r="C8513" s="27">
        <v>30160</v>
      </c>
      <c r="D8513" s="14" t="s">
        <v>2559</v>
      </c>
      <c r="E8513" s="229"/>
      <c r="F8513" s="117" t="s">
        <v>23643</v>
      </c>
      <c r="G8513" s="26">
        <v>34787</v>
      </c>
      <c r="H8513" s="231"/>
      <c r="I8513" s="221"/>
      <c r="J8513" s="221"/>
      <c r="K8513" s="221"/>
      <c r="L8513" s="221"/>
      <c r="M8513" s="221"/>
      <c r="N8513" s="221"/>
      <c r="O8513" s="225"/>
      <c r="P8513" s="118" t="s">
        <v>16015</v>
      </c>
      <c r="Q8513" s="16" t="s">
        <v>20</v>
      </c>
      <c r="R8513" s="17" t="s">
        <v>24061</v>
      </c>
      <c r="S8513" s="121" t="s">
        <v>3071</v>
      </c>
      <c r="T8513" s="122"/>
      <c r="U8513" s="22"/>
      <c r="V8513" s="123" t="s">
        <v>2747</v>
      </c>
      <c r="W8513" s="122">
        <v>5134</v>
      </c>
      <c r="X8513" s="221"/>
      <c r="Y8513" s="221"/>
      <c r="Z8513" s="221"/>
      <c r="AA8513" s="221"/>
      <c r="AB8513" s="223"/>
    </row>
    <row r="8514" spans="1:28" ht="17.100000000000001" customHeight="1" thickTop="1">
      <c r="A8514" s="226" t="s">
        <v>23634</v>
      </c>
      <c r="B8514" s="28">
        <v>46135</v>
      </c>
      <c r="C8514" s="25">
        <v>2024</v>
      </c>
      <c r="D8514" s="13" t="s">
        <v>23781</v>
      </c>
      <c r="E8514" s="228"/>
      <c r="F8514" s="109" t="s">
        <v>23783</v>
      </c>
      <c r="G8514" s="24"/>
      <c r="H8514" s="230">
        <v>4</v>
      </c>
      <c r="I8514" s="220">
        <v>2422000</v>
      </c>
      <c r="J8514" s="220">
        <f>I8514*0.1</f>
        <v>242200</v>
      </c>
      <c r="K8514" s="220">
        <v>0</v>
      </c>
      <c r="L8514" s="220">
        <v>13180</v>
      </c>
      <c r="M8514" s="220">
        <v>22000</v>
      </c>
      <c r="N8514" s="220">
        <f>SUM(I8514:M8515)</f>
        <v>2699380</v>
      </c>
      <c r="O8514" s="224"/>
      <c r="P8514" s="110" t="s">
        <v>24072</v>
      </c>
      <c r="Q8514" s="15" t="s">
        <v>19</v>
      </c>
      <c r="R8514" s="205"/>
      <c r="S8514" s="189" t="s">
        <v>455</v>
      </c>
      <c r="T8514" s="114" t="s">
        <v>23890</v>
      </c>
      <c r="U8514" s="21"/>
      <c r="V8514" s="115">
        <v>46141</v>
      </c>
      <c r="W8514" s="116">
        <v>1015</v>
      </c>
      <c r="X8514" s="220">
        <v>2530000</v>
      </c>
      <c r="Y8514" s="220">
        <f>X8514*0.1</f>
        <v>253000</v>
      </c>
      <c r="Z8514" s="220">
        <v>13180</v>
      </c>
      <c r="AA8514" s="220">
        <f>SUM(X8514:Z8514)</f>
        <v>2796180</v>
      </c>
      <c r="AB8514" s="222">
        <v>46153</v>
      </c>
    </row>
    <row r="8515" spans="1:28" ht="17.100000000000001" customHeight="1" thickBot="1">
      <c r="A8515" s="227"/>
      <c r="B8515" s="27" t="s">
        <v>23639</v>
      </c>
      <c r="C8515" s="27">
        <v>30165</v>
      </c>
      <c r="D8515" s="14" t="s">
        <v>23782</v>
      </c>
      <c r="E8515" s="229"/>
      <c r="F8515" s="117" t="s">
        <v>23644</v>
      </c>
      <c r="G8515" s="26">
        <v>43970</v>
      </c>
      <c r="H8515" s="231"/>
      <c r="I8515" s="221"/>
      <c r="J8515" s="221"/>
      <c r="K8515" s="221"/>
      <c r="L8515" s="221"/>
      <c r="M8515" s="221"/>
      <c r="N8515" s="221"/>
      <c r="O8515" s="225"/>
      <c r="P8515" s="118" t="s">
        <v>16015</v>
      </c>
      <c r="Q8515" s="16" t="s">
        <v>20</v>
      </c>
      <c r="R8515" s="17" t="s">
        <v>24061</v>
      </c>
      <c r="S8515" s="121" t="s">
        <v>1731</v>
      </c>
      <c r="T8515" s="122"/>
      <c r="U8515" s="22"/>
      <c r="V8515" s="123" t="s">
        <v>2747</v>
      </c>
      <c r="W8515" s="122">
        <v>5073</v>
      </c>
      <c r="X8515" s="221"/>
      <c r="Y8515" s="221"/>
      <c r="Z8515" s="221"/>
      <c r="AA8515" s="221"/>
      <c r="AB8515" s="223"/>
    </row>
    <row r="8516" spans="1:28" ht="17.100000000000001" customHeight="1" thickTop="1">
      <c r="A8516" s="226" t="s">
        <v>23635</v>
      </c>
      <c r="B8516" s="28">
        <v>46135</v>
      </c>
      <c r="C8516" s="25">
        <v>2024</v>
      </c>
      <c r="D8516" s="13" t="s">
        <v>23784</v>
      </c>
      <c r="E8516" s="228"/>
      <c r="F8516" s="109" t="s">
        <v>23785</v>
      </c>
      <c r="G8516" s="24" t="s">
        <v>23786</v>
      </c>
      <c r="H8516" s="230">
        <v>4</v>
      </c>
      <c r="I8516" s="220">
        <v>1257000</v>
      </c>
      <c r="J8516" s="220">
        <f>I8516*0.1</f>
        <v>125700</v>
      </c>
      <c r="K8516" s="220">
        <v>39820</v>
      </c>
      <c r="L8516" s="220">
        <v>12470</v>
      </c>
      <c r="M8516" s="220">
        <v>22000</v>
      </c>
      <c r="N8516" s="220">
        <f>SUM(I8516:M8517)</f>
        <v>1456990</v>
      </c>
      <c r="O8516" s="224"/>
      <c r="P8516" s="110" t="s">
        <v>23787</v>
      </c>
      <c r="Q8516" s="15" t="s">
        <v>19</v>
      </c>
      <c r="R8516" s="205"/>
      <c r="S8516" s="189" t="s">
        <v>25971</v>
      </c>
      <c r="T8516" s="114"/>
      <c r="U8516" s="21"/>
      <c r="V8516" s="115">
        <v>46141</v>
      </c>
      <c r="W8516" s="116">
        <v>1015</v>
      </c>
      <c r="X8516" s="220">
        <v>1340000</v>
      </c>
      <c r="Y8516" s="220">
        <f>X8516*0.1</f>
        <v>134000</v>
      </c>
      <c r="Z8516" s="220">
        <v>12470</v>
      </c>
      <c r="AA8516" s="220">
        <f>SUM(X8516:Z8516)</f>
        <v>1486470</v>
      </c>
      <c r="AB8516" s="222">
        <v>46154</v>
      </c>
    </row>
    <row r="8517" spans="1:28" ht="17.100000000000001" customHeight="1" thickBot="1">
      <c r="A8517" s="227"/>
      <c r="B8517" s="27" t="s">
        <v>23639</v>
      </c>
      <c r="C8517" s="27">
        <v>30295</v>
      </c>
      <c r="D8517" s="14" t="s">
        <v>2559</v>
      </c>
      <c r="E8517" s="229"/>
      <c r="F8517" s="117" t="s">
        <v>23645</v>
      </c>
      <c r="G8517" s="26">
        <v>85286</v>
      </c>
      <c r="H8517" s="231"/>
      <c r="I8517" s="221"/>
      <c r="J8517" s="221"/>
      <c r="K8517" s="221"/>
      <c r="L8517" s="221"/>
      <c r="M8517" s="221"/>
      <c r="N8517" s="221"/>
      <c r="O8517" s="225"/>
      <c r="P8517" s="118" t="s">
        <v>24084</v>
      </c>
      <c r="Q8517" s="16" t="s">
        <v>20</v>
      </c>
      <c r="R8517" s="17" t="s">
        <v>24061</v>
      </c>
      <c r="S8517" s="121" t="s">
        <v>24085</v>
      </c>
      <c r="T8517" s="122"/>
      <c r="U8517" s="22"/>
      <c r="V8517" s="123" t="s">
        <v>24607</v>
      </c>
      <c r="W8517" s="122">
        <v>5084</v>
      </c>
      <c r="X8517" s="221"/>
      <c r="Y8517" s="221"/>
      <c r="Z8517" s="221"/>
      <c r="AA8517" s="221"/>
      <c r="AB8517" s="223"/>
    </row>
    <row r="8518" spans="1:28" ht="17.100000000000001" customHeight="1" thickTop="1">
      <c r="A8518" s="226" t="s">
        <v>23636</v>
      </c>
      <c r="B8518" s="28">
        <v>46135</v>
      </c>
      <c r="C8518" s="25">
        <v>2024</v>
      </c>
      <c r="D8518" s="13" t="s">
        <v>23788</v>
      </c>
      <c r="E8518" s="228"/>
      <c r="F8518" s="109" t="s">
        <v>24803</v>
      </c>
      <c r="G8518" s="24"/>
      <c r="H8518" s="230">
        <v>4</v>
      </c>
      <c r="I8518" s="220">
        <v>351000</v>
      </c>
      <c r="J8518" s="220">
        <f>I8518*0.1</f>
        <v>35100</v>
      </c>
      <c r="K8518" s="220">
        <v>0</v>
      </c>
      <c r="L8518" s="220">
        <v>8680</v>
      </c>
      <c r="M8518" s="220">
        <v>22000</v>
      </c>
      <c r="N8518" s="220">
        <f>SUM(I8518:M8519)</f>
        <v>416780</v>
      </c>
      <c r="O8518" s="224"/>
      <c r="P8518" s="110" t="s">
        <v>24103</v>
      </c>
      <c r="Q8518" s="15" t="s">
        <v>19</v>
      </c>
      <c r="R8518" s="205"/>
      <c r="S8518" s="189" t="s">
        <v>696</v>
      </c>
      <c r="T8518" s="114"/>
      <c r="U8518" s="21"/>
      <c r="V8518" s="115">
        <v>46155</v>
      </c>
      <c r="W8518" s="116">
        <v>1016</v>
      </c>
      <c r="X8518" s="220">
        <v>445000</v>
      </c>
      <c r="Y8518" s="220">
        <f>X8518*0.1</f>
        <v>44500</v>
      </c>
      <c r="Z8518" s="220">
        <v>8680</v>
      </c>
      <c r="AA8518" s="220">
        <f>SUM(X8518:Z8518)</f>
        <v>498180</v>
      </c>
      <c r="AB8518" s="222">
        <v>46160</v>
      </c>
    </row>
    <row r="8519" spans="1:28" ht="17.100000000000001" customHeight="1" thickBot="1">
      <c r="A8519" s="227"/>
      <c r="B8519" s="27" t="s">
        <v>23639</v>
      </c>
      <c r="C8519" s="27">
        <v>50008</v>
      </c>
      <c r="D8519" s="14" t="s">
        <v>1710</v>
      </c>
      <c r="E8519" s="229"/>
      <c r="F8519" s="117" t="s">
        <v>23646</v>
      </c>
      <c r="G8519" s="26">
        <v>55660</v>
      </c>
      <c r="H8519" s="231"/>
      <c r="I8519" s="221"/>
      <c r="J8519" s="221"/>
      <c r="K8519" s="221"/>
      <c r="L8519" s="221"/>
      <c r="M8519" s="221"/>
      <c r="N8519" s="221"/>
      <c r="O8519" s="225"/>
      <c r="P8519" s="118" t="s">
        <v>11653</v>
      </c>
      <c r="Q8519" s="16" t="s">
        <v>20</v>
      </c>
      <c r="R8519" s="17" t="s">
        <v>24061</v>
      </c>
      <c r="S8519" s="121" t="s">
        <v>8934</v>
      </c>
      <c r="T8519" s="122"/>
      <c r="U8519" s="22"/>
      <c r="V8519" s="123" t="s">
        <v>2747</v>
      </c>
      <c r="W8519" s="122">
        <v>2068</v>
      </c>
      <c r="X8519" s="221"/>
      <c r="Y8519" s="221"/>
      <c r="Z8519" s="221"/>
      <c r="AA8519" s="221"/>
      <c r="AB8519" s="223"/>
    </row>
    <row r="8520" spans="1:28" ht="17.100000000000001" customHeight="1" thickTop="1">
      <c r="A8520" s="226" t="s">
        <v>23637</v>
      </c>
      <c r="B8520" s="28">
        <v>46135</v>
      </c>
      <c r="C8520" s="25">
        <v>2024</v>
      </c>
      <c r="D8520" s="13" t="s">
        <v>23789</v>
      </c>
      <c r="E8520" s="228"/>
      <c r="F8520" s="109" t="s">
        <v>16310</v>
      </c>
      <c r="G8520" s="24" t="s">
        <v>23790</v>
      </c>
      <c r="H8520" s="230">
        <v>4</v>
      </c>
      <c r="I8520" s="220">
        <v>875000</v>
      </c>
      <c r="J8520" s="220">
        <f>I8520*0.1</f>
        <v>87500</v>
      </c>
      <c r="K8520" s="220">
        <v>0</v>
      </c>
      <c r="L8520" s="220">
        <v>8990</v>
      </c>
      <c r="M8520" s="220">
        <v>22000</v>
      </c>
      <c r="N8520" s="220">
        <f>SUM(I8520:M8521)</f>
        <v>993490</v>
      </c>
      <c r="O8520" s="224"/>
      <c r="P8520" s="110" t="s">
        <v>23791</v>
      </c>
      <c r="Q8520" s="15" t="s">
        <v>19</v>
      </c>
      <c r="R8520" s="205"/>
      <c r="S8520" s="189" t="s">
        <v>25972</v>
      </c>
      <c r="T8520" s="114"/>
      <c r="U8520" s="85" t="s">
        <v>26024</v>
      </c>
      <c r="V8520" s="115">
        <v>46155</v>
      </c>
      <c r="W8520" s="116">
        <v>1016</v>
      </c>
      <c r="X8520" s="220">
        <v>980000</v>
      </c>
      <c r="Y8520" s="220">
        <f>X8520*0.1</f>
        <v>98000</v>
      </c>
      <c r="Z8520" s="220">
        <v>8990</v>
      </c>
      <c r="AA8520" s="220">
        <f>SUM(X8520:Z8520)</f>
        <v>1086990</v>
      </c>
      <c r="AB8520" s="222">
        <v>46161</v>
      </c>
    </row>
    <row r="8521" spans="1:28" ht="17.100000000000001" customHeight="1" thickBot="1">
      <c r="A8521" s="227"/>
      <c r="B8521" s="27" t="s">
        <v>23639</v>
      </c>
      <c r="C8521" s="27">
        <v>50106</v>
      </c>
      <c r="D8521" s="14" t="s">
        <v>14913</v>
      </c>
      <c r="E8521" s="229"/>
      <c r="F8521" s="117" t="s">
        <v>23647</v>
      </c>
      <c r="G8521" s="26">
        <v>52340</v>
      </c>
      <c r="H8521" s="231"/>
      <c r="I8521" s="221"/>
      <c r="J8521" s="221"/>
      <c r="K8521" s="221"/>
      <c r="L8521" s="221"/>
      <c r="M8521" s="221"/>
      <c r="N8521" s="221"/>
      <c r="O8521" s="225"/>
      <c r="P8521" s="118" t="s">
        <v>24100</v>
      </c>
      <c r="Q8521" s="16" t="s">
        <v>20</v>
      </c>
      <c r="R8521" s="17" t="s">
        <v>24061</v>
      </c>
      <c r="S8521" s="121" t="s">
        <v>9453</v>
      </c>
      <c r="T8521" s="122"/>
      <c r="U8521" s="22"/>
      <c r="V8521" s="123" t="s">
        <v>8877</v>
      </c>
      <c r="W8521" s="122">
        <v>2067</v>
      </c>
      <c r="X8521" s="221"/>
      <c r="Y8521" s="221"/>
      <c r="Z8521" s="221"/>
      <c r="AA8521" s="221"/>
      <c r="AB8521" s="223"/>
    </row>
    <row r="8522" spans="1:28" ht="17.100000000000001" customHeight="1" thickTop="1">
      <c r="A8522" s="226" t="s">
        <v>23638</v>
      </c>
      <c r="B8522" s="28">
        <v>46135</v>
      </c>
      <c r="C8522" s="25">
        <v>2024</v>
      </c>
      <c r="D8522" s="13" t="s">
        <v>23792</v>
      </c>
      <c r="E8522" s="228"/>
      <c r="F8522" s="109" t="s">
        <v>15197</v>
      </c>
      <c r="G8522" s="24"/>
      <c r="H8522" s="230">
        <v>3.5</v>
      </c>
      <c r="I8522" s="220">
        <v>390000</v>
      </c>
      <c r="J8522" s="220">
        <f>I8522*0.1</f>
        <v>39000</v>
      </c>
      <c r="K8522" s="220">
        <v>0</v>
      </c>
      <c r="L8522" s="220">
        <v>7140</v>
      </c>
      <c r="M8522" s="220">
        <v>22000</v>
      </c>
      <c r="N8522" s="220">
        <f>SUM(I8522:M8523)</f>
        <v>458140</v>
      </c>
      <c r="O8522" s="224"/>
      <c r="P8522" s="110" t="s">
        <v>24063</v>
      </c>
      <c r="Q8522" s="15" t="s">
        <v>19</v>
      </c>
      <c r="R8522" s="205"/>
      <c r="S8522" s="189"/>
      <c r="T8522" s="114"/>
      <c r="U8522" s="21"/>
      <c r="V8522" s="115">
        <v>46141</v>
      </c>
      <c r="W8522" s="116">
        <v>1015</v>
      </c>
      <c r="X8522" s="220">
        <v>405000</v>
      </c>
      <c r="Y8522" s="220">
        <f>X8522*0.1</f>
        <v>40500</v>
      </c>
      <c r="Z8522" s="220">
        <v>7140</v>
      </c>
      <c r="AA8522" s="220">
        <f>SUM(X8522:Z8522)</f>
        <v>452640</v>
      </c>
      <c r="AB8522" s="222">
        <v>46153</v>
      </c>
    </row>
    <row r="8523" spans="1:28" ht="17.100000000000001" customHeight="1" thickBot="1">
      <c r="A8523" s="227"/>
      <c r="B8523" s="27" t="s">
        <v>23639</v>
      </c>
      <c r="C8523" s="27">
        <v>50112</v>
      </c>
      <c r="D8523" s="14" t="s">
        <v>1710</v>
      </c>
      <c r="E8523" s="229"/>
      <c r="F8523" s="117" t="s">
        <v>23648</v>
      </c>
      <c r="G8523" s="26">
        <v>40163</v>
      </c>
      <c r="H8523" s="231"/>
      <c r="I8523" s="221"/>
      <c r="J8523" s="221"/>
      <c r="K8523" s="221"/>
      <c r="L8523" s="221"/>
      <c r="M8523" s="221"/>
      <c r="N8523" s="221"/>
      <c r="O8523" s="225"/>
      <c r="P8523" s="118" t="s">
        <v>7323</v>
      </c>
      <c r="Q8523" s="16" t="s">
        <v>20</v>
      </c>
      <c r="R8523" s="17" t="s">
        <v>24061</v>
      </c>
      <c r="S8523" s="121"/>
      <c r="T8523" s="122"/>
      <c r="U8523" s="22"/>
      <c r="V8523" s="123" t="s">
        <v>2747</v>
      </c>
      <c r="W8523" s="122">
        <v>5128</v>
      </c>
      <c r="X8523" s="221"/>
      <c r="Y8523" s="221"/>
      <c r="Z8523" s="221"/>
      <c r="AA8523" s="221"/>
      <c r="AB8523" s="223"/>
    </row>
    <row r="8524" spans="1:28" ht="17.100000000000001" customHeight="1" thickTop="1">
      <c r="A8524" s="226" t="s">
        <v>23649</v>
      </c>
      <c r="B8524" s="28">
        <v>46135</v>
      </c>
      <c r="C8524" s="25">
        <v>2024</v>
      </c>
      <c r="D8524" s="13" t="s">
        <v>23793</v>
      </c>
      <c r="E8524" s="228"/>
      <c r="F8524" s="109" t="s">
        <v>22978</v>
      </c>
      <c r="G8524" s="24" t="s">
        <v>23795</v>
      </c>
      <c r="H8524" s="230">
        <v>4</v>
      </c>
      <c r="I8524" s="220">
        <v>876000</v>
      </c>
      <c r="J8524" s="220">
        <f>I8524*0.1</f>
        <v>87600</v>
      </c>
      <c r="K8524" s="220">
        <v>0</v>
      </c>
      <c r="L8524" s="220">
        <v>6850</v>
      </c>
      <c r="M8524" s="220">
        <v>22000</v>
      </c>
      <c r="N8524" s="220">
        <f>SUM(I8524:M8525)</f>
        <v>992450</v>
      </c>
      <c r="O8524" s="224"/>
      <c r="P8524" s="110" t="s">
        <v>23796</v>
      </c>
      <c r="Q8524" s="15" t="s">
        <v>19</v>
      </c>
      <c r="R8524" s="205"/>
      <c r="S8524" s="189" t="s">
        <v>25973</v>
      </c>
      <c r="T8524" s="114"/>
      <c r="U8524" s="21"/>
      <c r="V8524" s="115">
        <v>46141</v>
      </c>
      <c r="W8524" s="116">
        <v>1015</v>
      </c>
      <c r="X8524" s="220">
        <v>1040000</v>
      </c>
      <c r="Y8524" s="220">
        <f>X8524*0.1</f>
        <v>104000</v>
      </c>
      <c r="Z8524" s="220">
        <v>6850</v>
      </c>
      <c r="AA8524" s="220">
        <f>SUM(X8524:Z8524)</f>
        <v>1150850</v>
      </c>
      <c r="AB8524" s="222">
        <v>46154</v>
      </c>
    </row>
    <row r="8525" spans="1:28" ht="17.100000000000001" customHeight="1" thickBot="1">
      <c r="A8525" s="227"/>
      <c r="B8525" s="27" t="s">
        <v>23639</v>
      </c>
      <c r="C8525" s="27">
        <v>50124</v>
      </c>
      <c r="D8525" s="14" t="s">
        <v>23794</v>
      </c>
      <c r="E8525" s="229"/>
      <c r="F8525" s="117" t="s">
        <v>23688</v>
      </c>
      <c r="G8525" s="26">
        <v>40084</v>
      </c>
      <c r="H8525" s="231"/>
      <c r="I8525" s="221"/>
      <c r="J8525" s="221"/>
      <c r="K8525" s="221"/>
      <c r="L8525" s="221"/>
      <c r="M8525" s="221"/>
      <c r="N8525" s="221"/>
      <c r="O8525" s="225"/>
      <c r="P8525" s="118" t="s">
        <v>24090</v>
      </c>
      <c r="Q8525" s="16" t="s">
        <v>20</v>
      </c>
      <c r="R8525" s="17" t="s">
        <v>24061</v>
      </c>
      <c r="S8525" s="121" t="s">
        <v>24091</v>
      </c>
      <c r="T8525" s="122"/>
      <c r="U8525" s="22"/>
      <c r="V8525" s="123" t="s">
        <v>24607</v>
      </c>
      <c r="W8525" s="122">
        <v>5089</v>
      </c>
      <c r="X8525" s="221"/>
      <c r="Y8525" s="221"/>
      <c r="Z8525" s="221"/>
      <c r="AA8525" s="221"/>
      <c r="AB8525" s="223"/>
    </row>
    <row r="8526" spans="1:28" ht="17.100000000000001" customHeight="1" thickTop="1">
      <c r="A8526" s="226" t="s">
        <v>23650</v>
      </c>
      <c r="B8526" s="28">
        <v>46135</v>
      </c>
      <c r="C8526" s="25">
        <v>2024</v>
      </c>
      <c r="D8526" s="13" t="s">
        <v>23797</v>
      </c>
      <c r="E8526" s="228"/>
      <c r="F8526" s="109" t="s">
        <v>15904</v>
      </c>
      <c r="G8526" s="24"/>
      <c r="H8526" s="230">
        <v>4</v>
      </c>
      <c r="I8526" s="220">
        <v>703000</v>
      </c>
      <c r="J8526" s="220">
        <f>I8526*0.1</f>
        <v>70300</v>
      </c>
      <c r="K8526" s="220">
        <v>0</v>
      </c>
      <c r="L8526" s="220">
        <v>6470</v>
      </c>
      <c r="M8526" s="220">
        <v>22000</v>
      </c>
      <c r="N8526" s="220">
        <f>SUM(I8526:M8527)</f>
        <v>801770</v>
      </c>
      <c r="O8526" s="224"/>
      <c r="P8526" s="110" t="s">
        <v>24064</v>
      </c>
      <c r="Q8526" s="15" t="s">
        <v>19</v>
      </c>
      <c r="R8526" s="205"/>
      <c r="S8526" s="189" t="s">
        <v>25973</v>
      </c>
      <c r="T8526" s="114"/>
      <c r="U8526" s="21"/>
      <c r="V8526" s="115">
        <v>46141</v>
      </c>
      <c r="W8526" s="116">
        <v>1015</v>
      </c>
      <c r="X8526" s="220">
        <v>815000</v>
      </c>
      <c r="Y8526" s="220">
        <f>X8526*0.1</f>
        <v>81500</v>
      </c>
      <c r="Z8526" s="220">
        <v>6470</v>
      </c>
      <c r="AA8526" s="220">
        <f>SUM(X8526:Z8526)</f>
        <v>902970</v>
      </c>
      <c r="AB8526" s="222">
        <v>46153</v>
      </c>
    </row>
    <row r="8527" spans="1:28" ht="17.100000000000001" customHeight="1" thickBot="1">
      <c r="A8527" s="227"/>
      <c r="B8527" s="27" t="s">
        <v>23639</v>
      </c>
      <c r="C8527" s="27">
        <v>50154</v>
      </c>
      <c r="D8527" s="14" t="s">
        <v>1710</v>
      </c>
      <c r="E8527" s="229"/>
      <c r="F8527" s="117" t="s">
        <v>23689</v>
      </c>
      <c r="G8527" s="26">
        <v>9409</v>
      </c>
      <c r="H8527" s="231"/>
      <c r="I8527" s="221"/>
      <c r="J8527" s="221"/>
      <c r="K8527" s="221"/>
      <c r="L8527" s="221"/>
      <c r="M8527" s="221"/>
      <c r="N8527" s="221"/>
      <c r="O8527" s="225"/>
      <c r="P8527" s="118" t="s">
        <v>24065</v>
      </c>
      <c r="Q8527" s="16" t="s">
        <v>20</v>
      </c>
      <c r="R8527" s="17" t="s">
        <v>24061</v>
      </c>
      <c r="S8527" s="121" t="s">
        <v>10350</v>
      </c>
      <c r="T8527" s="122"/>
      <c r="U8527" s="22"/>
      <c r="V8527" s="123" t="s">
        <v>2747</v>
      </c>
      <c r="W8527" s="122">
        <v>5136</v>
      </c>
      <c r="X8527" s="221"/>
      <c r="Y8527" s="221"/>
      <c r="Z8527" s="221"/>
      <c r="AA8527" s="221"/>
      <c r="AB8527" s="223"/>
    </row>
    <row r="8528" spans="1:28" ht="17.100000000000001" customHeight="1" thickTop="1">
      <c r="A8528" s="226" t="s">
        <v>23651</v>
      </c>
      <c r="B8528" s="28">
        <v>46135</v>
      </c>
      <c r="C8528" s="25">
        <v>2024</v>
      </c>
      <c r="D8528" s="13" t="s">
        <v>23777</v>
      </c>
      <c r="E8528" s="228"/>
      <c r="F8528" s="109" t="s">
        <v>23798</v>
      </c>
      <c r="G8528" s="24"/>
      <c r="H8528" s="230">
        <v>4</v>
      </c>
      <c r="I8528" s="220">
        <v>634000</v>
      </c>
      <c r="J8528" s="220">
        <f>I8528*0.1</f>
        <v>63400</v>
      </c>
      <c r="K8528" s="220">
        <v>0</v>
      </c>
      <c r="L8528" s="220">
        <v>7140</v>
      </c>
      <c r="M8528" s="220">
        <v>22000</v>
      </c>
      <c r="N8528" s="220">
        <f>SUM(I8528:M8529)</f>
        <v>726540</v>
      </c>
      <c r="O8528" s="224"/>
      <c r="P8528" s="110" t="s">
        <v>24107</v>
      </c>
      <c r="Q8528" s="15" t="s">
        <v>19</v>
      </c>
      <c r="R8528" s="205"/>
      <c r="S8528" s="189"/>
      <c r="T8528" s="114"/>
      <c r="U8528" s="21"/>
      <c r="V8528" s="115">
        <v>46155</v>
      </c>
      <c r="W8528" s="116">
        <v>1016</v>
      </c>
      <c r="X8528" s="220">
        <v>700000</v>
      </c>
      <c r="Y8528" s="220">
        <f>X8528*0.1</f>
        <v>70000</v>
      </c>
      <c r="Z8528" s="220">
        <v>7140</v>
      </c>
      <c r="AA8528" s="220">
        <f>SUM(X8528:Z8528)</f>
        <v>777140</v>
      </c>
      <c r="AB8528" s="222">
        <v>46161</v>
      </c>
    </row>
    <row r="8529" spans="1:28" ht="17.100000000000001" customHeight="1" thickBot="1">
      <c r="A8529" s="227"/>
      <c r="B8529" s="27" t="s">
        <v>23639</v>
      </c>
      <c r="C8529" s="27">
        <v>50178</v>
      </c>
      <c r="D8529" s="14" t="s">
        <v>23770</v>
      </c>
      <c r="E8529" s="229"/>
      <c r="F8529" s="117" t="s">
        <v>23690</v>
      </c>
      <c r="G8529" s="26">
        <v>22671</v>
      </c>
      <c r="H8529" s="231"/>
      <c r="I8529" s="221"/>
      <c r="J8529" s="221"/>
      <c r="K8529" s="221"/>
      <c r="L8529" s="221"/>
      <c r="M8529" s="221"/>
      <c r="N8529" s="221"/>
      <c r="O8529" s="225"/>
      <c r="P8529" s="118" t="s">
        <v>24108</v>
      </c>
      <c r="Q8529" s="16" t="s">
        <v>20</v>
      </c>
      <c r="R8529" s="17" t="s">
        <v>24061</v>
      </c>
      <c r="S8529" s="121"/>
      <c r="T8529" s="122"/>
      <c r="U8529" s="22"/>
      <c r="V8529" s="123" t="s">
        <v>7161</v>
      </c>
      <c r="W8529" s="122">
        <v>2035</v>
      </c>
      <c r="X8529" s="221"/>
      <c r="Y8529" s="221"/>
      <c r="Z8529" s="221"/>
      <c r="AA8529" s="221"/>
      <c r="AB8529" s="223"/>
    </row>
    <row r="8530" spans="1:28" ht="17.100000000000001" customHeight="1" thickTop="1">
      <c r="A8530" s="226" t="s">
        <v>23652</v>
      </c>
      <c r="B8530" s="28">
        <v>46135</v>
      </c>
      <c r="C8530" s="25">
        <v>2024</v>
      </c>
      <c r="D8530" s="13" t="s">
        <v>23799</v>
      </c>
      <c r="E8530" s="228"/>
      <c r="F8530" s="109" t="s">
        <v>23800</v>
      </c>
      <c r="G8530" s="24"/>
      <c r="H8530" s="230">
        <v>4</v>
      </c>
      <c r="I8530" s="220">
        <v>882000</v>
      </c>
      <c r="J8530" s="220">
        <f>I8530*0.1</f>
        <v>88200</v>
      </c>
      <c r="K8530" s="220">
        <v>0</v>
      </c>
      <c r="L8530" s="220">
        <v>8110</v>
      </c>
      <c r="M8530" s="220">
        <v>22000</v>
      </c>
      <c r="N8530" s="220">
        <f>SUM(I8530:M8531)</f>
        <v>1000310</v>
      </c>
      <c r="O8530" s="224"/>
      <c r="P8530" s="110" t="s">
        <v>24080</v>
      </c>
      <c r="Q8530" s="15" t="s">
        <v>19</v>
      </c>
      <c r="R8530" s="205"/>
      <c r="S8530" s="189"/>
      <c r="T8530" s="114"/>
      <c r="U8530" s="21"/>
      <c r="V8530" s="115">
        <v>46141</v>
      </c>
      <c r="W8530" s="116">
        <v>1015</v>
      </c>
      <c r="X8530" s="220">
        <v>970000</v>
      </c>
      <c r="Y8530" s="220">
        <f>X8530*0.1</f>
        <v>97000</v>
      </c>
      <c r="Z8530" s="220">
        <v>8110</v>
      </c>
      <c r="AA8530" s="220">
        <f>SUM(X8530:Z8530)</f>
        <v>1075110</v>
      </c>
      <c r="AB8530" s="222">
        <v>46154</v>
      </c>
    </row>
    <row r="8531" spans="1:28" ht="17.100000000000001" customHeight="1" thickBot="1">
      <c r="A8531" s="227"/>
      <c r="B8531" s="27" t="s">
        <v>23639</v>
      </c>
      <c r="C8531" s="27">
        <v>50187</v>
      </c>
      <c r="D8531" s="14" t="s">
        <v>23794</v>
      </c>
      <c r="E8531" s="229"/>
      <c r="F8531" s="117" t="s">
        <v>23691</v>
      </c>
      <c r="G8531" s="26">
        <v>55984</v>
      </c>
      <c r="H8531" s="231"/>
      <c r="I8531" s="221"/>
      <c r="J8531" s="221"/>
      <c r="K8531" s="221"/>
      <c r="L8531" s="221"/>
      <c r="M8531" s="221"/>
      <c r="N8531" s="221"/>
      <c r="O8531" s="225"/>
      <c r="P8531" s="118" t="s">
        <v>11653</v>
      </c>
      <c r="Q8531" s="16" t="s">
        <v>20</v>
      </c>
      <c r="R8531" s="17" t="s">
        <v>24061</v>
      </c>
      <c r="S8531" s="121" t="s">
        <v>24081</v>
      </c>
      <c r="T8531" s="122"/>
      <c r="U8531" s="22"/>
      <c r="V8531" s="123" t="s">
        <v>24607</v>
      </c>
      <c r="W8531" s="122">
        <v>5069</v>
      </c>
      <c r="X8531" s="221"/>
      <c r="Y8531" s="221"/>
      <c r="Z8531" s="221"/>
      <c r="AA8531" s="221"/>
      <c r="AB8531" s="223"/>
    </row>
    <row r="8532" spans="1:28" ht="17.100000000000001" customHeight="1" thickTop="1">
      <c r="A8532" s="226" t="s">
        <v>23653</v>
      </c>
      <c r="B8532" s="28">
        <v>46135</v>
      </c>
      <c r="C8532" s="25">
        <v>2024</v>
      </c>
      <c r="D8532" s="13" t="s">
        <v>23799</v>
      </c>
      <c r="E8532" s="228"/>
      <c r="F8532" s="109" t="s">
        <v>23802</v>
      </c>
      <c r="G8532" s="24"/>
      <c r="H8532" s="230">
        <v>4</v>
      </c>
      <c r="I8532" s="220">
        <v>803000</v>
      </c>
      <c r="J8532" s="220">
        <f>I8532*0.1</f>
        <v>80300</v>
      </c>
      <c r="K8532" s="220">
        <v>0</v>
      </c>
      <c r="L8532" s="220">
        <v>9120</v>
      </c>
      <c r="M8532" s="220">
        <v>22000</v>
      </c>
      <c r="N8532" s="220">
        <f>SUM(I8532:M8533)</f>
        <v>914420</v>
      </c>
      <c r="O8532" s="224"/>
      <c r="P8532" s="110" t="s">
        <v>24086</v>
      </c>
      <c r="Q8532" s="15" t="s">
        <v>19</v>
      </c>
      <c r="R8532" s="205"/>
      <c r="S8532" s="189" t="s">
        <v>283</v>
      </c>
      <c r="T8532" s="114"/>
      <c r="U8532" s="21"/>
      <c r="V8532" s="115">
        <v>46141</v>
      </c>
      <c r="W8532" s="116">
        <v>1015</v>
      </c>
      <c r="X8532" s="220">
        <v>900000</v>
      </c>
      <c r="Y8532" s="220">
        <f>X8532*0.1</f>
        <v>90000</v>
      </c>
      <c r="Z8532" s="220">
        <v>9120</v>
      </c>
      <c r="AA8532" s="220">
        <f>SUM(X8532:Z8532)</f>
        <v>999120</v>
      </c>
      <c r="AB8532" s="222">
        <v>46154</v>
      </c>
    </row>
    <row r="8533" spans="1:28" ht="17.100000000000001" customHeight="1" thickBot="1">
      <c r="A8533" s="227"/>
      <c r="B8533" s="27" t="s">
        <v>23639</v>
      </c>
      <c r="C8533" s="27">
        <v>50195</v>
      </c>
      <c r="D8533" s="14" t="s">
        <v>23801</v>
      </c>
      <c r="E8533" s="229"/>
      <c r="F8533" s="117" t="s">
        <v>23692</v>
      </c>
      <c r="G8533" s="26">
        <v>44940</v>
      </c>
      <c r="H8533" s="231"/>
      <c r="I8533" s="221"/>
      <c r="J8533" s="221"/>
      <c r="K8533" s="221"/>
      <c r="L8533" s="221"/>
      <c r="M8533" s="221"/>
      <c r="N8533" s="221"/>
      <c r="O8533" s="225"/>
      <c r="P8533" s="118" t="s">
        <v>16015</v>
      </c>
      <c r="Q8533" s="16" t="s">
        <v>20</v>
      </c>
      <c r="R8533" s="17" t="s">
        <v>24061</v>
      </c>
      <c r="S8533" s="121" t="s">
        <v>169</v>
      </c>
      <c r="T8533" s="122"/>
      <c r="U8533" s="22"/>
      <c r="V8533" s="123" t="s">
        <v>24607</v>
      </c>
      <c r="W8533" s="122">
        <v>5123</v>
      </c>
      <c r="X8533" s="221"/>
      <c r="Y8533" s="221"/>
      <c r="Z8533" s="221"/>
      <c r="AA8533" s="221"/>
      <c r="AB8533" s="223"/>
    </row>
    <row r="8534" spans="1:28" ht="17.100000000000001" customHeight="1" thickTop="1">
      <c r="A8534" s="226" t="s">
        <v>23654</v>
      </c>
      <c r="B8534" s="28">
        <v>46135</v>
      </c>
      <c r="C8534" s="25">
        <v>2024</v>
      </c>
      <c r="D8534" s="13" t="s">
        <v>23803</v>
      </c>
      <c r="E8534" s="228"/>
      <c r="F8534" s="109" t="s">
        <v>23804</v>
      </c>
      <c r="G8534" s="24"/>
      <c r="H8534" s="230">
        <v>3.5</v>
      </c>
      <c r="I8534" s="220">
        <v>491000</v>
      </c>
      <c r="J8534" s="220">
        <f>I8534*0.1</f>
        <v>49100</v>
      </c>
      <c r="K8534" s="220">
        <v>0</v>
      </c>
      <c r="L8534" s="220">
        <v>8400</v>
      </c>
      <c r="M8534" s="220">
        <v>22000</v>
      </c>
      <c r="N8534" s="220">
        <f>SUM(I8534:M8535)</f>
        <v>570500</v>
      </c>
      <c r="O8534" s="224"/>
      <c r="P8534" s="110" t="s">
        <v>24166</v>
      </c>
      <c r="Q8534" s="15" t="s">
        <v>19</v>
      </c>
      <c r="R8534" s="205"/>
      <c r="S8534" s="189" t="s">
        <v>758</v>
      </c>
      <c r="T8534" s="114"/>
      <c r="U8534" s="21"/>
      <c r="V8534" s="115">
        <v>46141</v>
      </c>
      <c r="W8534" s="116">
        <v>1015</v>
      </c>
      <c r="X8534" s="220">
        <v>560000</v>
      </c>
      <c r="Y8534" s="220">
        <f>X8534*0.1</f>
        <v>56000</v>
      </c>
      <c r="Z8534" s="220">
        <v>8400</v>
      </c>
      <c r="AA8534" s="220">
        <f>SUM(X8534:Z8534)</f>
        <v>624400</v>
      </c>
      <c r="AB8534" s="222">
        <v>46154</v>
      </c>
    </row>
    <row r="8535" spans="1:28" ht="17.100000000000001" customHeight="1" thickBot="1">
      <c r="A8535" s="227"/>
      <c r="B8535" s="27" t="s">
        <v>23639</v>
      </c>
      <c r="C8535" s="27">
        <v>50225</v>
      </c>
      <c r="D8535" s="14" t="s">
        <v>23782</v>
      </c>
      <c r="E8535" s="229"/>
      <c r="F8535" s="117" t="s">
        <v>23693</v>
      </c>
      <c r="G8535" s="26">
        <v>54335</v>
      </c>
      <c r="H8535" s="231"/>
      <c r="I8535" s="221"/>
      <c r="J8535" s="221"/>
      <c r="K8535" s="221"/>
      <c r="L8535" s="221"/>
      <c r="M8535" s="221"/>
      <c r="N8535" s="221"/>
      <c r="O8535" s="225"/>
      <c r="P8535" s="118" t="s">
        <v>24167</v>
      </c>
      <c r="Q8535" s="16" t="s">
        <v>20</v>
      </c>
      <c r="R8535" s="17" t="s">
        <v>24164</v>
      </c>
      <c r="S8535" s="121" t="s">
        <v>24146</v>
      </c>
      <c r="T8535" s="122"/>
      <c r="U8535" s="22"/>
      <c r="V8535" s="123" t="s">
        <v>7161</v>
      </c>
      <c r="W8535" s="122">
        <v>5148</v>
      </c>
      <c r="X8535" s="221"/>
      <c r="Y8535" s="221"/>
      <c r="Z8535" s="221"/>
      <c r="AA8535" s="221"/>
      <c r="AB8535" s="223"/>
    </row>
    <row r="8536" spans="1:28" ht="17.100000000000001" customHeight="1" thickTop="1">
      <c r="A8536" s="226" t="s">
        <v>23655</v>
      </c>
      <c r="B8536" s="28">
        <v>46135</v>
      </c>
      <c r="C8536" s="25">
        <v>2024</v>
      </c>
      <c r="D8536" s="13" t="s">
        <v>23775</v>
      </c>
      <c r="E8536" s="228"/>
      <c r="F8536" s="109" t="s">
        <v>15607</v>
      </c>
      <c r="G8536" s="24"/>
      <c r="H8536" s="230">
        <v>4</v>
      </c>
      <c r="I8536" s="220">
        <v>401000</v>
      </c>
      <c r="J8536" s="220">
        <f>I8536*0.1</f>
        <v>40100</v>
      </c>
      <c r="K8536" s="220">
        <v>0</v>
      </c>
      <c r="L8536" s="220">
        <v>7140</v>
      </c>
      <c r="M8536" s="220">
        <v>22000</v>
      </c>
      <c r="N8536" s="220">
        <f>SUM(I8536:M8537)</f>
        <v>470240</v>
      </c>
      <c r="O8536" s="224"/>
      <c r="P8536" s="110" t="s">
        <v>24073</v>
      </c>
      <c r="Q8536" s="15" t="s">
        <v>19</v>
      </c>
      <c r="R8536" s="205"/>
      <c r="S8536" s="189" t="s">
        <v>455</v>
      </c>
      <c r="T8536" s="114"/>
      <c r="U8536" s="21"/>
      <c r="V8536" s="115">
        <v>46141</v>
      </c>
      <c r="W8536" s="116">
        <v>1015</v>
      </c>
      <c r="X8536" s="220">
        <v>480000</v>
      </c>
      <c r="Y8536" s="220">
        <f>X8536*0.1</f>
        <v>48000</v>
      </c>
      <c r="Z8536" s="220">
        <v>7140</v>
      </c>
      <c r="AA8536" s="220">
        <f>SUM(X8536:Z8536)</f>
        <v>535140</v>
      </c>
      <c r="AB8536" s="222">
        <v>46153</v>
      </c>
    </row>
    <row r="8537" spans="1:28" ht="17.100000000000001" customHeight="1" thickBot="1">
      <c r="A8537" s="227"/>
      <c r="B8537" s="27" t="s">
        <v>23639</v>
      </c>
      <c r="C8537" s="27">
        <v>50231</v>
      </c>
      <c r="D8537" s="14" t="s">
        <v>23782</v>
      </c>
      <c r="E8537" s="229"/>
      <c r="F8537" s="117" t="s">
        <v>23694</v>
      </c>
      <c r="G8537" s="26">
        <v>23250</v>
      </c>
      <c r="H8537" s="231"/>
      <c r="I8537" s="221"/>
      <c r="J8537" s="221"/>
      <c r="K8537" s="221"/>
      <c r="L8537" s="221"/>
      <c r="M8537" s="221"/>
      <c r="N8537" s="221"/>
      <c r="O8537" s="225"/>
      <c r="P8537" s="118" t="s">
        <v>2446</v>
      </c>
      <c r="Q8537" s="16" t="s">
        <v>20</v>
      </c>
      <c r="R8537" s="17" t="s">
        <v>24061</v>
      </c>
      <c r="S8537" s="121" t="s">
        <v>1625</v>
      </c>
      <c r="T8537" s="122"/>
      <c r="U8537" s="22"/>
      <c r="V8537" s="123" t="s">
        <v>2747</v>
      </c>
      <c r="W8537" s="122">
        <v>5067</v>
      </c>
      <c r="X8537" s="221"/>
      <c r="Y8537" s="221"/>
      <c r="Z8537" s="221"/>
      <c r="AA8537" s="221"/>
      <c r="AB8537" s="223"/>
    </row>
    <row r="8538" spans="1:28" ht="17.100000000000001" customHeight="1" thickTop="1">
      <c r="A8538" s="226" t="s">
        <v>23656</v>
      </c>
      <c r="B8538" s="28">
        <v>46135</v>
      </c>
      <c r="C8538" s="25">
        <v>2024</v>
      </c>
      <c r="D8538" s="13" t="s">
        <v>23805</v>
      </c>
      <c r="E8538" s="228"/>
      <c r="F8538" s="109" t="s">
        <v>23807</v>
      </c>
      <c r="G8538" s="24" t="s">
        <v>23808</v>
      </c>
      <c r="H8538" s="230">
        <v>4</v>
      </c>
      <c r="I8538" s="220">
        <v>660000</v>
      </c>
      <c r="J8538" s="220">
        <f>I8538*0.1</f>
        <v>66000</v>
      </c>
      <c r="K8538" s="220">
        <v>0</v>
      </c>
      <c r="L8538" s="220">
        <v>8400</v>
      </c>
      <c r="M8538" s="220">
        <v>22000</v>
      </c>
      <c r="N8538" s="220">
        <f>SUM(I8538:M8539)</f>
        <v>756400</v>
      </c>
      <c r="O8538" s="224"/>
      <c r="P8538" s="110" t="s">
        <v>23809</v>
      </c>
      <c r="Q8538" s="15" t="s">
        <v>19</v>
      </c>
      <c r="R8538" s="205"/>
      <c r="S8538" s="189" t="s">
        <v>25934</v>
      </c>
      <c r="T8538" s="114"/>
      <c r="U8538" s="21"/>
      <c r="V8538" s="115">
        <v>46141</v>
      </c>
      <c r="W8538" s="116">
        <v>1015</v>
      </c>
      <c r="X8538" s="220">
        <v>780000</v>
      </c>
      <c r="Y8538" s="220">
        <f>X8538*0.1</f>
        <v>78000</v>
      </c>
      <c r="Z8538" s="220">
        <v>8400</v>
      </c>
      <c r="AA8538" s="220">
        <f>SUM(X8538:Z8538)</f>
        <v>866400</v>
      </c>
      <c r="AB8538" s="222">
        <v>46156</v>
      </c>
    </row>
    <row r="8539" spans="1:28" ht="17.100000000000001" customHeight="1" thickBot="1">
      <c r="A8539" s="227"/>
      <c r="B8539" s="27" t="s">
        <v>23639</v>
      </c>
      <c r="C8539" s="27">
        <v>50258</v>
      </c>
      <c r="D8539" s="14" t="s">
        <v>23806</v>
      </c>
      <c r="E8539" s="229"/>
      <c r="F8539" s="117" t="s">
        <v>23695</v>
      </c>
      <c r="G8539" s="26">
        <v>31820</v>
      </c>
      <c r="H8539" s="231"/>
      <c r="I8539" s="221"/>
      <c r="J8539" s="221"/>
      <c r="K8539" s="221"/>
      <c r="L8539" s="221"/>
      <c r="M8539" s="221"/>
      <c r="N8539" s="221"/>
      <c r="O8539" s="225"/>
      <c r="P8539" s="118" t="s">
        <v>24100</v>
      </c>
      <c r="Q8539" s="16" t="s">
        <v>20</v>
      </c>
      <c r="R8539" s="17" t="s">
        <v>24061</v>
      </c>
      <c r="S8539" s="121" t="s">
        <v>24101</v>
      </c>
      <c r="T8539" s="122"/>
      <c r="U8539" s="22"/>
      <c r="V8539" s="123" t="s">
        <v>8648</v>
      </c>
      <c r="W8539" s="122">
        <v>5064</v>
      </c>
      <c r="X8539" s="221"/>
      <c r="Y8539" s="221"/>
      <c r="Z8539" s="221"/>
      <c r="AA8539" s="221"/>
      <c r="AB8539" s="223"/>
    </row>
    <row r="8540" spans="1:28" ht="17.100000000000001" customHeight="1" thickTop="1">
      <c r="A8540" s="226" t="s">
        <v>23657</v>
      </c>
      <c r="B8540" s="28">
        <v>46135</v>
      </c>
      <c r="C8540" s="25">
        <v>2024</v>
      </c>
      <c r="D8540" s="13" t="s">
        <v>23810</v>
      </c>
      <c r="E8540" s="228"/>
      <c r="F8540" s="109" t="s">
        <v>19232</v>
      </c>
      <c r="G8540" s="24" t="s">
        <v>23811</v>
      </c>
      <c r="H8540" s="230">
        <v>4.5</v>
      </c>
      <c r="I8540" s="220">
        <v>1058000</v>
      </c>
      <c r="J8540" s="220">
        <f>I8540*0.1</f>
        <v>105800</v>
      </c>
      <c r="K8540" s="220">
        <v>0</v>
      </c>
      <c r="L8540" s="220">
        <v>8640</v>
      </c>
      <c r="M8540" s="220">
        <v>22000</v>
      </c>
      <c r="N8540" s="220">
        <f>SUM(I8540:M8541)</f>
        <v>1194440</v>
      </c>
      <c r="O8540" s="224"/>
      <c r="P8540" s="110" t="s">
        <v>23812</v>
      </c>
      <c r="Q8540" s="15" t="s">
        <v>19</v>
      </c>
      <c r="R8540" s="205"/>
      <c r="S8540" s="189" t="s">
        <v>25974</v>
      </c>
      <c r="T8540" s="114"/>
      <c r="U8540" s="21" t="s">
        <v>26506</v>
      </c>
      <c r="V8540" s="115"/>
      <c r="W8540" s="116"/>
      <c r="X8540" s="220"/>
      <c r="Y8540" s="220">
        <f>X8540*0.1</f>
        <v>0</v>
      </c>
      <c r="Z8540" s="220"/>
      <c r="AA8540" s="220">
        <f>SUM(X8540:Z8540)</f>
        <v>0</v>
      </c>
      <c r="AB8540" s="222"/>
    </row>
    <row r="8541" spans="1:28" ht="17.100000000000001" customHeight="1" thickBot="1">
      <c r="A8541" s="227"/>
      <c r="B8541" s="27" t="s">
        <v>23639</v>
      </c>
      <c r="C8541" s="27">
        <v>50268</v>
      </c>
      <c r="D8541" s="14" t="s">
        <v>1797</v>
      </c>
      <c r="E8541" s="229"/>
      <c r="F8541" s="117" t="s">
        <v>23696</v>
      </c>
      <c r="G8541" s="26">
        <v>14865</v>
      </c>
      <c r="H8541" s="231"/>
      <c r="I8541" s="221"/>
      <c r="J8541" s="221"/>
      <c r="K8541" s="221"/>
      <c r="L8541" s="221"/>
      <c r="M8541" s="221"/>
      <c r="N8541" s="221"/>
      <c r="O8541" s="225"/>
      <c r="P8541" s="118" t="s">
        <v>24092</v>
      </c>
      <c r="Q8541" s="16" t="s">
        <v>20</v>
      </c>
      <c r="R8541" s="17" t="s">
        <v>24061</v>
      </c>
      <c r="S8541" s="121" t="s">
        <v>12796</v>
      </c>
      <c r="T8541" s="122"/>
      <c r="U8541" s="22"/>
      <c r="V8541" s="123"/>
      <c r="W8541" s="122"/>
      <c r="X8541" s="221"/>
      <c r="Y8541" s="221"/>
      <c r="Z8541" s="221"/>
      <c r="AA8541" s="221"/>
      <c r="AB8541" s="223"/>
    </row>
    <row r="8542" spans="1:28" ht="17.100000000000001" customHeight="1" thickTop="1">
      <c r="A8542" s="226" t="s">
        <v>23658</v>
      </c>
      <c r="B8542" s="28">
        <v>46135</v>
      </c>
      <c r="C8542" s="25">
        <v>2024</v>
      </c>
      <c r="D8542" s="13" t="s">
        <v>23813</v>
      </c>
      <c r="E8542" s="228"/>
      <c r="F8542" s="109" t="s">
        <v>23814</v>
      </c>
      <c r="G8542" s="24" t="s">
        <v>23815</v>
      </c>
      <c r="H8542" s="230">
        <v>4</v>
      </c>
      <c r="I8542" s="220">
        <v>354000</v>
      </c>
      <c r="J8542" s="220">
        <f>I8542*0.1</f>
        <v>35400</v>
      </c>
      <c r="K8542" s="220">
        <v>0</v>
      </c>
      <c r="L8542" s="220">
        <v>10070</v>
      </c>
      <c r="M8542" s="220">
        <v>22000</v>
      </c>
      <c r="N8542" s="220">
        <f>SUM(I8542:M8543)</f>
        <v>421470</v>
      </c>
      <c r="O8542" s="224"/>
      <c r="P8542" s="110" t="s">
        <v>23816</v>
      </c>
      <c r="Q8542" s="15" t="s">
        <v>19</v>
      </c>
      <c r="R8542" s="205"/>
      <c r="S8542" s="189" t="s">
        <v>1072</v>
      </c>
      <c r="T8542" s="114"/>
      <c r="U8542" s="21"/>
      <c r="V8542" s="115">
        <v>46141</v>
      </c>
      <c r="W8542" s="116">
        <v>1015</v>
      </c>
      <c r="X8542" s="220">
        <v>430000</v>
      </c>
      <c r="Y8542" s="220">
        <f>X8542*0.1</f>
        <v>43000</v>
      </c>
      <c r="Z8542" s="220">
        <v>10070</v>
      </c>
      <c r="AA8542" s="220">
        <f>SUM(X8542:Z8542)</f>
        <v>483070</v>
      </c>
      <c r="AB8542" s="222">
        <v>46156</v>
      </c>
    </row>
    <row r="8543" spans="1:28" ht="17.100000000000001" customHeight="1" thickBot="1">
      <c r="A8543" s="227"/>
      <c r="B8543" s="27" t="s">
        <v>23639</v>
      </c>
      <c r="C8543" s="27">
        <v>70002</v>
      </c>
      <c r="D8543" s="14" t="s">
        <v>1710</v>
      </c>
      <c r="E8543" s="229"/>
      <c r="F8543" s="117" t="s">
        <v>23697</v>
      </c>
      <c r="G8543" s="26">
        <v>64547</v>
      </c>
      <c r="H8543" s="231"/>
      <c r="I8543" s="221"/>
      <c r="J8543" s="221"/>
      <c r="K8543" s="221"/>
      <c r="L8543" s="221"/>
      <c r="M8543" s="221"/>
      <c r="N8543" s="221"/>
      <c r="O8543" s="225"/>
      <c r="P8543" s="118" t="s">
        <v>24099</v>
      </c>
      <c r="Q8543" s="16" t="s">
        <v>20</v>
      </c>
      <c r="R8543" s="17" t="s">
        <v>24061</v>
      </c>
      <c r="S8543" s="121" t="s">
        <v>1573</v>
      </c>
      <c r="T8543" s="122"/>
      <c r="U8543" s="22"/>
      <c r="V8543" s="123" t="s">
        <v>24607</v>
      </c>
      <c r="W8543" s="122">
        <v>5152</v>
      </c>
      <c r="X8543" s="221"/>
      <c r="Y8543" s="221"/>
      <c r="Z8543" s="221"/>
      <c r="AA8543" s="221"/>
      <c r="AB8543" s="223"/>
    </row>
    <row r="8544" spans="1:28" ht="17.100000000000001" customHeight="1" thickTop="1">
      <c r="A8544" s="226" t="s">
        <v>23659</v>
      </c>
      <c r="B8544" s="28">
        <v>46135</v>
      </c>
      <c r="C8544" s="25">
        <v>2024</v>
      </c>
      <c r="D8544" s="13" t="s">
        <v>23817</v>
      </c>
      <c r="E8544" s="228"/>
      <c r="F8544" s="109" t="s">
        <v>23818</v>
      </c>
      <c r="G8544" s="24" t="s">
        <v>23779</v>
      </c>
      <c r="H8544" s="230">
        <v>4</v>
      </c>
      <c r="I8544" s="220">
        <v>516000</v>
      </c>
      <c r="J8544" s="220">
        <f>I8544*0.1</f>
        <v>51600</v>
      </c>
      <c r="K8544" s="220">
        <v>34760</v>
      </c>
      <c r="L8544" s="220">
        <v>9730</v>
      </c>
      <c r="M8544" s="220">
        <v>22000</v>
      </c>
      <c r="N8544" s="220">
        <f>SUM(I8544:M8545)</f>
        <v>634090</v>
      </c>
      <c r="O8544" s="224"/>
      <c r="P8544" s="110" t="s">
        <v>23819</v>
      </c>
      <c r="Q8544" s="15" t="s">
        <v>19</v>
      </c>
      <c r="R8544" s="205"/>
      <c r="S8544" s="189" t="s">
        <v>25975</v>
      </c>
      <c r="T8544" s="114"/>
      <c r="U8544" s="21" t="s">
        <v>24878</v>
      </c>
      <c r="V8544" s="115">
        <v>46162</v>
      </c>
      <c r="W8544" s="116">
        <v>1017</v>
      </c>
      <c r="X8544" s="220">
        <v>510000</v>
      </c>
      <c r="Y8544" s="220">
        <f>X8544*0.1</f>
        <v>51000</v>
      </c>
      <c r="Z8544" s="220">
        <v>9730</v>
      </c>
      <c r="AA8544" s="220">
        <f>SUM(X8544:Z8544)</f>
        <v>570730</v>
      </c>
      <c r="AB8544" s="222">
        <v>46167</v>
      </c>
    </row>
    <row r="8545" spans="1:28" ht="17.100000000000001" customHeight="1" thickBot="1">
      <c r="A8545" s="227"/>
      <c r="B8545" s="27" t="s">
        <v>23639</v>
      </c>
      <c r="C8545" s="27">
        <v>70192</v>
      </c>
      <c r="D8545" s="14" t="s">
        <v>131</v>
      </c>
      <c r="E8545" s="229"/>
      <c r="F8545" s="117" t="s">
        <v>23698</v>
      </c>
      <c r="G8545" s="26">
        <v>59320</v>
      </c>
      <c r="H8545" s="231"/>
      <c r="I8545" s="221"/>
      <c r="J8545" s="221"/>
      <c r="K8545" s="221"/>
      <c r="L8545" s="221"/>
      <c r="M8545" s="221"/>
      <c r="N8545" s="221"/>
      <c r="O8545" s="225"/>
      <c r="P8545" s="118" t="s">
        <v>24163</v>
      </c>
      <c r="Q8545" s="16" t="s">
        <v>20</v>
      </c>
      <c r="R8545" s="17" t="s">
        <v>24164</v>
      </c>
      <c r="S8545" s="121" t="s">
        <v>24165</v>
      </c>
      <c r="T8545" s="122"/>
      <c r="U8545" s="22"/>
      <c r="V8545" s="123" t="s">
        <v>2747</v>
      </c>
      <c r="W8545" s="122">
        <v>5146</v>
      </c>
      <c r="X8545" s="221"/>
      <c r="Y8545" s="221"/>
      <c r="Z8545" s="221"/>
      <c r="AA8545" s="221"/>
      <c r="AB8545" s="223"/>
    </row>
    <row r="8546" spans="1:28" ht="17.100000000000001" customHeight="1" thickTop="1">
      <c r="A8546" s="226" t="s">
        <v>23660</v>
      </c>
      <c r="B8546" s="28">
        <v>46135</v>
      </c>
      <c r="C8546" s="25">
        <v>2024</v>
      </c>
      <c r="D8546" s="13" t="s">
        <v>23820</v>
      </c>
      <c r="E8546" s="228"/>
      <c r="F8546" s="109" t="s">
        <v>23822</v>
      </c>
      <c r="G8546" s="24"/>
      <c r="H8546" s="230">
        <v>4</v>
      </c>
      <c r="I8546" s="220">
        <v>360000</v>
      </c>
      <c r="J8546" s="220">
        <f>I8546*0.1</f>
        <v>36000</v>
      </c>
      <c r="K8546" s="220">
        <v>0</v>
      </c>
      <c r="L8546" s="220">
        <v>9190</v>
      </c>
      <c r="M8546" s="220">
        <v>22000</v>
      </c>
      <c r="N8546" s="220">
        <f>SUM(I8546:M8547)</f>
        <v>427190</v>
      </c>
      <c r="O8546" s="224"/>
      <c r="P8546" s="110" t="s">
        <v>24426</v>
      </c>
      <c r="Q8546" s="15" t="s">
        <v>19</v>
      </c>
      <c r="R8546" s="205"/>
      <c r="S8546" s="189"/>
      <c r="T8546" s="114"/>
      <c r="U8546" s="21"/>
      <c r="V8546" s="115">
        <v>46144</v>
      </c>
      <c r="W8546" s="116">
        <v>1299</v>
      </c>
      <c r="X8546" s="220">
        <v>450000</v>
      </c>
      <c r="Y8546" s="220">
        <f>X8546*0.1</f>
        <v>45000</v>
      </c>
      <c r="Z8546" s="220">
        <v>9190</v>
      </c>
      <c r="AA8546" s="220">
        <f>SUM(X8546:Z8546)</f>
        <v>504190</v>
      </c>
      <c r="AB8546" s="222">
        <v>46154</v>
      </c>
    </row>
    <row r="8547" spans="1:28" ht="17.100000000000001" customHeight="1" thickBot="1">
      <c r="A8547" s="227"/>
      <c r="B8547" s="27" t="s">
        <v>23639</v>
      </c>
      <c r="C8547" s="27">
        <v>70283</v>
      </c>
      <c r="D8547" s="14" t="s">
        <v>23821</v>
      </c>
      <c r="E8547" s="229"/>
      <c r="F8547" s="117" t="s">
        <v>23699</v>
      </c>
      <c r="G8547" s="26">
        <v>30374</v>
      </c>
      <c r="H8547" s="231"/>
      <c r="I8547" s="221"/>
      <c r="J8547" s="221"/>
      <c r="K8547" s="221"/>
      <c r="L8547" s="221"/>
      <c r="M8547" s="221"/>
      <c r="N8547" s="221"/>
      <c r="O8547" s="225"/>
      <c r="P8547" s="118" t="s">
        <v>13936</v>
      </c>
      <c r="Q8547" s="16" t="s">
        <v>20</v>
      </c>
      <c r="R8547" s="17" t="s">
        <v>1983</v>
      </c>
      <c r="S8547" s="121" t="s">
        <v>169</v>
      </c>
      <c r="T8547" s="122"/>
      <c r="U8547" s="22"/>
      <c r="V8547" s="123" t="s">
        <v>24604</v>
      </c>
      <c r="W8547" s="122">
        <v>60391</v>
      </c>
      <c r="X8547" s="221"/>
      <c r="Y8547" s="221"/>
      <c r="Z8547" s="221"/>
      <c r="AA8547" s="221"/>
      <c r="AB8547" s="223"/>
    </row>
    <row r="8548" spans="1:28" ht="17.100000000000001" customHeight="1" thickTop="1">
      <c r="A8548" s="226" t="s">
        <v>23661</v>
      </c>
      <c r="B8548" s="28">
        <v>46135</v>
      </c>
      <c r="C8548" s="25">
        <v>2024</v>
      </c>
      <c r="D8548" s="13" t="s">
        <v>23823</v>
      </c>
      <c r="E8548" s="228"/>
      <c r="F8548" s="109" t="s">
        <v>23824</v>
      </c>
      <c r="G8548" s="24" t="s">
        <v>23771</v>
      </c>
      <c r="H8548" s="230">
        <v>4</v>
      </c>
      <c r="I8548" s="220">
        <v>506000</v>
      </c>
      <c r="J8548" s="220">
        <f>I8548*0.1</f>
        <v>50600</v>
      </c>
      <c r="K8548" s="220">
        <v>29700</v>
      </c>
      <c r="L8548" s="220">
        <v>8190</v>
      </c>
      <c r="M8548" s="220">
        <v>22000</v>
      </c>
      <c r="N8548" s="220">
        <f>SUM(I8548:M8549)</f>
        <v>616490</v>
      </c>
      <c r="O8548" s="224"/>
      <c r="P8548" s="110" t="s">
        <v>23825</v>
      </c>
      <c r="Q8548" s="15" t="s">
        <v>19</v>
      </c>
      <c r="R8548" s="205"/>
      <c r="S8548" s="189" t="s">
        <v>25976</v>
      </c>
      <c r="T8548" s="114"/>
      <c r="U8548" s="21" t="s">
        <v>24876</v>
      </c>
      <c r="V8548" s="115"/>
      <c r="W8548" s="116"/>
      <c r="X8548" s="220"/>
      <c r="Y8548" s="220">
        <f>X8548*0.1</f>
        <v>0</v>
      </c>
      <c r="Z8548" s="220"/>
      <c r="AA8548" s="220">
        <f>SUM(X8548:Z8548)</f>
        <v>0</v>
      </c>
      <c r="AB8548" s="222"/>
    </row>
    <row r="8549" spans="1:28" ht="17.100000000000001" customHeight="1" thickBot="1">
      <c r="A8549" s="227"/>
      <c r="B8549" s="27" t="s">
        <v>23639</v>
      </c>
      <c r="C8549" s="27">
        <v>75086</v>
      </c>
      <c r="D8549" s="14" t="s">
        <v>1797</v>
      </c>
      <c r="E8549" s="229"/>
      <c r="F8549" s="117" t="s">
        <v>23700</v>
      </c>
      <c r="G8549" s="26">
        <v>47621</v>
      </c>
      <c r="H8549" s="231"/>
      <c r="I8549" s="221"/>
      <c r="J8549" s="221"/>
      <c r="K8549" s="221"/>
      <c r="L8549" s="221"/>
      <c r="M8549" s="221"/>
      <c r="N8549" s="221"/>
      <c r="O8549" s="225"/>
      <c r="P8549" s="118" t="s">
        <v>24095</v>
      </c>
      <c r="Q8549" s="16" t="s">
        <v>20</v>
      </c>
      <c r="R8549" s="17" t="s">
        <v>24061</v>
      </c>
      <c r="S8549" s="121" t="s">
        <v>24096</v>
      </c>
      <c r="T8549" s="122"/>
      <c r="U8549" s="22"/>
      <c r="V8549" s="123"/>
      <c r="W8549" s="122"/>
      <c r="X8549" s="221"/>
      <c r="Y8549" s="221"/>
      <c r="Z8549" s="221"/>
      <c r="AA8549" s="221"/>
      <c r="AB8549" s="223"/>
    </row>
    <row r="8550" spans="1:28" ht="17.100000000000001" customHeight="1" thickTop="1">
      <c r="A8550" s="226" t="s">
        <v>23662</v>
      </c>
      <c r="B8550" s="28">
        <v>46135</v>
      </c>
      <c r="C8550" s="25">
        <v>2024</v>
      </c>
      <c r="D8550" s="13" t="s">
        <v>23826</v>
      </c>
      <c r="E8550" s="228"/>
      <c r="F8550" s="109" t="s">
        <v>23827</v>
      </c>
      <c r="G8550" s="24"/>
      <c r="H8550" s="230">
        <v>4</v>
      </c>
      <c r="I8550" s="220">
        <v>261000</v>
      </c>
      <c r="J8550" s="220">
        <f>I8550*0.1</f>
        <v>26100</v>
      </c>
      <c r="K8550" s="220">
        <v>0</v>
      </c>
      <c r="L8550" s="220">
        <v>8060</v>
      </c>
      <c r="M8550" s="220">
        <v>22000</v>
      </c>
      <c r="N8550" s="220">
        <f>SUM(I8550:M8551)</f>
        <v>317160</v>
      </c>
      <c r="O8550" s="224"/>
      <c r="P8550" s="110" t="s">
        <v>9519</v>
      </c>
      <c r="Q8550" s="15" t="s">
        <v>19</v>
      </c>
      <c r="R8550" s="205"/>
      <c r="S8550" s="189" t="s">
        <v>25895</v>
      </c>
      <c r="T8550" s="114"/>
      <c r="U8550" s="21"/>
      <c r="V8550" s="115">
        <v>46162</v>
      </c>
      <c r="W8550" s="116">
        <v>1017</v>
      </c>
      <c r="X8550" s="220">
        <v>380000</v>
      </c>
      <c r="Y8550" s="220">
        <f>X8550*0.1</f>
        <v>38000</v>
      </c>
      <c r="Z8550" s="220">
        <v>8060</v>
      </c>
      <c r="AA8550" s="220">
        <f>SUM(X8550:Z8550)</f>
        <v>426060</v>
      </c>
      <c r="AB8550" s="222">
        <v>46167</v>
      </c>
    </row>
    <row r="8551" spans="1:28" ht="17.100000000000001" customHeight="1" thickBot="1">
      <c r="A8551" s="227"/>
      <c r="B8551" s="27" t="s">
        <v>23639</v>
      </c>
      <c r="C8551" s="27">
        <v>75286</v>
      </c>
      <c r="D8551" s="14" t="s">
        <v>23801</v>
      </c>
      <c r="E8551" s="229"/>
      <c r="F8551" s="117" t="s">
        <v>23701</v>
      </c>
      <c r="G8551" s="26">
        <v>36331</v>
      </c>
      <c r="H8551" s="231"/>
      <c r="I8551" s="221"/>
      <c r="J8551" s="221"/>
      <c r="K8551" s="221"/>
      <c r="L8551" s="221"/>
      <c r="M8551" s="221"/>
      <c r="N8551" s="221"/>
      <c r="O8551" s="225"/>
      <c r="P8551" s="118" t="s">
        <v>2446</v>
      </c>
      <c r="Q8551" s="16" t="s">
        <v>20</v>
      </c>
      <c r="R8551" s="17" t="s">
        <v>1983</v>
      </c>
      <c r="S8551" s="121" t="s">
        <v>5047</v>
      </c>
      <c r="T8551" s="122"/>
      <c r="U8551" s="22"/>
      <c r="V8551" s="123" t="s">
        <v>2747</v>
      </c>
      <c r="W8551" s="122">
        <v>2019</v>
      </c>
      <c r="X8551" s="221"/>
      <c r="Y8551" s="221"/>
      <c r="Z8551" s="221"/>
      <c r="AA8551" s="221"/>
      <c r="AB8551" s="223"/>
    </row>
    <row r="8552" spans="1:28" ht="17.100000000000001" customHeight="1" thickTop="1">
      <c r="A8552" s="226" t="s">
        <v>23663</v>
      </c>
      <c r="B8552" s="28">
        <v>46135</v>
      </c>
      <c r="C8552" s="25">
        <v>2024</v>
      </c>
      <c r="D8552" s="13" t="s">
        <v>23828</v>
      </c>
      <c r="E8552" s="228"/>
      <c r="F8552" s="109" t="s">
        <v>23829</v>
      </c>
      <c r="G8552" s="24"/>
      <c r="H8552" s="232" t="s">
        <v>23830</v>
      </c>
      <c r="I8552" s="220">
        <v>228000</v>
      </c>
      <c r="J8552" s="220">
        <f>I8552*0.1</f>
        <v>22800</v>
      </c>
      <c r="K8552" s="220">
        <v>0</v>
      </c>
      <c r="L8552" s="220">
        <v>10830</v>
      </c>
      <c r="M8552" s="220">
        <v>22000</v>
      </c>
      <c r="N8552" s="220">
        <f>SUM(I8552:M8553)</f>
        <v>283630</v>
      </c>
      <c r="O8552" s="224"/>
      <c r="P8552" s="110" t="s">
        <v>24066</v>
      </c>
      <c r="Q8552" s="15" t="s">
        <v>19</v>
      </c>
      <c r="R8552" s="205"/>
      <c r="S8552" s="189" t="s">
        <v>25977</v>
      </c>
      <c r="T8552" s="114"/>
      <c r="U8552" s="21"/>
      <c r="V8552" s="115">
        <v>46141</v>
      </c>
      <c r="W8552" s="116">
        <v>1015</v>
      </c>
      <c r="X8552" s="220">
        <v>280000</v>
      </c>
      <c r="Y8552" s="220">
        <f>X8552*0.1</f>
        <v>28000</v>
      </c>
      <c r="Z8552" s="220">
        <v>10830</v>
      </c>
      <c r="AA8552" s="220">
        <f>SUM(X8552:Z8552)</f>
        <v>318830</v>
      </c>
      <c r="AB8552" s="222">
        <v>46153</v>
      </c>
    </row>
    <row r="8553" spans="1:28" ht="17.100000000000001" customHeight="1" thickBot="1">
      <c r="A8553" s="227"/>
      <c r="B8553" s="27" t="s">
        <v>23639</v>
      </c>
      <c r="C8553" s="27">
        <v>90037</v>
      </c>
      <c r="D8553" s="14" t="s">
        <v>23770</v>
      </c>
      <c r="E8553" s="229"/>
      <c r="F8553" s="117" t="s">
        <v>23702</v>
      </c>
      <c r="G8553" s="26">
        <v>157450</v>
      </c>
      <c r="H8553" s="231"/>
      <c r="I8553" s="221"/>
      <c r="J8553" s="221"/>
      <c r="K8553" s="221"/>
      <c r="L8553" s="221"/>
      <c r="M8553" s="221"/>
      <c r="N8553" s="221"/>
      <c r="O8553" s="225"/>
      <c r="P8553" s="118" t="s">
        <v>2957</v>
      </c>
      <c r="Q8553" s="16" t="s">
        <v>20</v>
      </c>
      <c r="R8553" s="17" t="s">
        <v>24061</v>
      </c>
      <c r="S8553" s="121" t="s">
        <v>24427</v>
      </c>
      <c r="T8553" s="122"/>
      <c r="U8553" s="22"/>
      <c r="V8553" s="123" t="s">
        <v>2747</v>
      </c>
      <c r="W8553" s="122">
        <v>5099</v>
      </c>
      <c r="X8553" s="221"/>
      <c r="Y8553" s="221"/>
      <c r="Z8553" s="221"/>
      <c r="AA8553" s="221"/>
      <c r="AB8553" s="223"/>
    </row>
    <row r="8554" spans="1:28" ht="17.100000000000001" customHeight="1" thickTop="1">
      <c r="A8554" s="226" t="s">
        <v>23664</v>
      </c>
      <c r="B8554" s="28">
        <v>46135</v>
      </c>
      <c r="C8554" s="25">
        <v>2024</v>
      </c>
      <c r="D8554" s="13" t="s">
        <v>23831</v>
      </c>
      <c r="E8554" s="228"/>
      <c r="F8554" s="109" t="s">
        <v>23832</v>
      </c>
      <c r="G8554" s="24"/>
      <c r="H8554" s="230">
        <v>4</v>
      </c>
      <c r="I8554" s="220">
        <v>576000</v>
      </c>
      <c r="J8554" s="220">
        <f>I8554*0.1</f>
        <v>57600</v>
      </c>
      <c r="K8554" s="220">
        <v>0</v>
      </c>
      <c r="L8554" s="220">
        <v>11810</v>
      </c>
      <c r="M8554" s="220">
        <v>22000</v>
      </c>
      <c r="N8554" s="220">
        <f>SUM(I8554:M8555)</f>
        <v>667410</v>
      </c>
      <c r="O8554" s="224"/>
      <c r="P8554" s="110" t="s">
        <v>24093</v>
      </c>
      <c r="Q8554" s="15" t="s">
        <v>19</v>
      </c>
      <c r="R8554" s="205"/>
      <c r="S8554" s="189"/>
      <c r="T8554" s="114"/>
      <c r="U8554" s="21"/>
      <c r="V8554" s="115">
        <v>46155</v>
      </c>
      <c r="W8554" s="116">
        <v>1016</v>
      </c>
      <c r="X8554" s="220">
        <v>580000</v>
      </c>
      <c r="Y8554" s="220">
        <f>X8554*0.1</f>
        <v>58000</v>
      </c>
      <c r="Z8554" s="220">
        <v>11810</v>
      </c>
      <c r="AA8554" s="220">
        <f>SUM(X8554:Z8554)</f>
        <v>649810</v>
      </c>
      <c r="AB8554" s="222">
        <v>46160</v>
      </c>
    </row>
    <row r="8555" spans="1:28" ht="17.100000000000001" customHeight="1" thickBot="1">
      <c r="A8555" s="227"/>
      <c r="B8555" s="27" t="s">
        <v>23639</v>
      </c>
      <c r="C8555" s="27">
        <v>90105</v>
      </c>
      <c r="D8555" s="14" t="s">
        <v>23770</v>
      </c>
      <c r="E8555" s="229"/>
      <c r="F8555" s="117" t="s">
        <v>23703</v>
      </c>
      <c r="G8555" s="26">
        <v>81673</v>
      </c>
      <c r="H8555" s="231"/>
      <c r="I8555" s="221"/>
      <c r="J8555" s="221"/>
      <c r="K8555" s="221"/>
      <c r="L8555" s="221"/>
      <c r="M8555" s="221"/>
      <c r="N8555" s="221"/>
      <c r="O8555" s="225"/>
      <c r="P8555" s="118" t="s">
        <v>24094</v>
      </c>
      <c r="Q8555" s="16" t="s">
        <v>20</v>
      </c>
      <c r="R8555" s="17" t="s">
        <v>24061</v>
      </c>
      <c r="S8555" s="121" t="s">
        <v>9008</v>
      </c>
      <c r="T8555" s="122" t="s">
        <v>23937</v>
      </c>
      <c r="U8555" s="22"/>
      <c r="V8555" s="123" t="s">
        <v>2747</v>
      </c>
      <c r="W8555" s="122">
        <v>6099</v>
      </c>
      <c r="X8555" s="221"/>
      <c r="Y8555" s="221"/>
      <c r="Z8555" s="221"/>
      <c r="AA8555" s="221"/>
      <c r="AB8555" s="223"/>
    </row>
    <row r="8556" spans="1:28" ht="17.100000000000001" customHeight="1" thickTop="1">
      <c r="A8556" s="226" t="s">
        <v>23665</v>
      </c>
      <c r="B8556" s="28">
        <v>46135</v>
      </c>
      <c r="C8556" s="25">
        <v>2024</v>
      </c>
      <c r="D8556" s="13" t="s">
        <v>23833</v>
      </c>
      <c r="E8556" s="228"/>
      <c r="F8556" s="109" t="s">
        <v>23834</v>
      </c>
      <c r="G8556" s="24"/>
      <c r="H8556" s="230">
        <v>4</v>
      </c>
      <c r="I8556" s="220">
        <v>396000</v>
      </c>
      <c r="J8556" s="220">
        <f>I8556*0.1</f>
        <v>39600</v>
      </c>
      <c r="K8556" s="220">
        <v>0</v>
      </c>
      <c r="L8556" s="220">
        <v>9380</v>
      </c>
      <c r="M8556" s="220">
        <v>22000</v>
      </c>
      <c r="N8556" s="220">
        <f>SUM(I8556:M8557)</f>
        <v>466980</v>
      </c>
      <c r="O8556" s="224"/>
      <c r="P8556" s="110" t="s">
        <v>24098</v>
      </c>
      <c r="Q8556" s="15" t="s">
        <v>19</v>
      </c>
      <c r="R8556" s="205"/>
      <c r="S8556" s="189"/>
      <c r="T8556" s="114"/>
      <c r="U8556" s="21"/>
      <c r="V8556" s="115">
        <v>46162</v>
      </c>
      <c r="W8556" s="116">
        <v>1017</v>
      </c>
      <c r="X8556" s="220">
        <v>540000</v>
      </c>
      <c r="Y8556" s="220">
        <f>X8556*0.1</f>
        <v>54000</v>
      </c>
      <c r="Z8556" s="220">
        <v>9380</v>
      </c>
      <c r="AA8556" s="220">
        <f>SUM(X8556:Z8556)</f>
        <v>603380</v>
      </c>
      <c r="AB8556" s="222">
        <v>46167</v>
      </c>
    </row>
    <row r="8557" spans="1:28" ht="17.100000000000001" customHeight="1" thickBot="1">
      <c r="A8557" s="227"/>
      <c r="B8557" s="27" t="s">
        <v>23639</v>
      </c>
      <c r="C8557" s="27">
        <v>90209</v>
      </c>
      <c r="D8557" s="14" t="s">
        <v>1710</v>
      </c>
      <c r="E8557" s="229"/>
      <c r="F8557" s="117" t="s">
        <v>23704</v>
      </c>
      <c r="G8557" s="26">
        <v>141310</v>
      </c>
      <c r="H8557" s="231"/>
      <c r="I8557" s="221"/>
      <c r="J8557" s="221"/>
      <c r="K8557" s="221"/>
      <c r="L8557" s="221"/>
      <c r="M8557" s="221"/>
      <c r="N8557" s="221"/>
      <c r="O8557" s="225"/>
      <c r="P8557" s="118" t="s">
        <v>2682</v>
      </c>
      <c r="Q8557" s="16" t="s">
        <v>20</v>
      </c>
      <c r="R8557" s="17" t="s">
        <v>24061</v>
      </c>
      <c r="S8557" s="121" t="s">
        <v>4413</v>
      </c>
      <c r="T8557" s="122"/>
      <c r="U8557" s="22"/>
      <c r="V8557" s="123" t="s">
        <v>2747</v>
      </c>
      <c r="W8557" s="122">
        <v>6073</v>
      </c>
      <c r="X8557" s="221"/>
      <c r="Y8557" s="221"/>
      <c r="Z8557" s="221"/>
      <c r="AA8557" s="221"/>
      <c r="AB8557" s="223"/>
    </row>
    <row r="8558" spans="1:28" ht="17.100000000000001" customHeight="1" thickTop="1">
      <c r="A8558" s="226" t="s">
        <v>23666</v>
      </c>
      <c r="B8558" s="28">
        <v>46136</v>
      </c>
      <c r="C8558" s="25">
        <v>1416</v>
      </c>
      <c r="D8558" s="13" t="s">
        <v>23835</v>
      </c>
      <c r="E8558" s="228"/>
      <c r="F8558" s="109" t="s">
        <v>23706</v>
      </c>
      <c r="G8558" s="24" t="s">
        <v>23836</v>
      </c>
      <c r="H8558" s="230">
        <v>4</v>
      </c>
      <c r="I8558" s="220">
        <v>801000</v>
      </c>
      <c r="J8558" s="220">
        <f>I8558*0.1</f>
        <v>80100</v>
      </c>
      <c r="K8558" s="220">
        <v>39820</v>
      </c>
      <c r="L8558" s="220">
        <v>11820</v>
      </c>
      <c r="M8558" s="220">
        <v>15400</v>
      </c>
      <c r="N8558" s="220">
        <f>SUM(I8558:M8559)</f>
        <v>948140</v>
      </c>
      <c r="O8558" s="224"/>
      <c r="P8558" s="110" t="s">
        <v>24070</v>
      </c>
      <c r="Q8558" s="15" t="s">
        <v>19</v>
      </c>
      <c r="R8558" s="205"/>
      <c r="S8558" s="189" t="s">
        <v>25701</v>
      </c>
      <c r="T8558" s="114"/>
      <c r="U8558" s="21"/>
      <c r="V8558" s="115">
        <v>46141</v>
      </c>
      <c r="W8558" s="116">
        <v>1015</v>
      </c>
      <c r="X8558" s="220">
        <v>910000</v>
      </c>
      <c r="Y8558" s="220">
        <f>X8558*0.1</f>
        <v>91000</v>
      </c>
      <c r="Z8558" s="220">
        <v>11820</v>
      </c>
      <c r="AA8558" s="220">
        <f>SUM(X8558:Z8558)</f>
        <v>1012820</v>
      </c>
      <c r="AB8558" s="222">
        <v>46153</v>
      </c>
    </row>
    <row r="8559" spans="1:28" ht="17.100000000000001" customHeight="1" thickBot="1">
      <c r="A8559" s="227"/>
      <c r="B8559" s="27" t="s">
        <v>23705</v>
      </c>
      <c r="C8559" s="27">
        <v>3023</v>
      </c>
      <c r="D8559" s="14" t="s">
        <v>23794</v>
      </c>
      <c r="E8559" s="229"/>
      <c r="F8559" s="117" t="s">
        <v>23707</v>
      </c>
      <c r="G8559" s="26">
        <v>66788</v>
      </c>
      <c r="H8559" s="231"/>
      <c r="I8559" s="221"/>
      <c r="J8559" s="221"/>
      <c r="K8559" s="221"/>
      <c r="L8559" s="221"/>
      <c r="M8559" s="221"/>
      <c r="N8559" s="221"/>
      <c r="O8559" s="225"/>
      <c r="P8559" s="118" t="s">
        <v>24071</v>
      </c>
      <c r="Q8559" s="16" t="s">
        <v>20</v>
      </c>
      <c r="R8559" s="17" t="s">
        <v>24061</v>
      </c>
      <c r="S8559" s="121" t="s">
        <v>10516</v>
      </c>
      <c r="T8559" s="122"/>
      <c r="U8559" s="22"/>
      <c r="V8559" s="123" t="s">
        <v>2747</v>
      </c>
      <c r="W8559" s="122">
        <v>5140</v>
      </c>
      <c r="X8559" s="221"/>
      <c r="Y8559" s="221"/>
      <c r="Z8559" s="221"/>
      <c r="AA8559" s="221"/>
      <c r="AB8559" s="223"/>
    </row>
    <row r="8560" spans="1:28" ht="17.100000000000001" customHeight="1" thickTop="1">
      <c r="A8560" s="226" t="s">
        <v>23667</v>
      </c>
      <c r="B8560" s="28">
        <v>46136</v>
      </c>
      <c r="C8560" s="25">
        <v>1416</v>
      </c>
      <c r="D8560" s="13" t="s">
        <v>23837</v>
      </c>
      <c r="E8560" s="228"/>
      <c r="F8560" s="109" t="s">
        <v>23839</v>
      </c>
      <c r="G8560" s="24"/>
      <c r="H8560" s="230">
        <v>4.5</v>
      </c>
      <c r="I8560" s="220">
        <v>1261000</v>
      </c>
      <c r="J8560" s="220">
        <f>I8560*0.1</f>
        <v>126100</v>
      </c>
      <c r="K8560" s="220">
        <v>0</v>
      </c>
      <c r="L8560" s="220">
        <v>9490</v>
      </c>
      <c r="M8560" s="220">
        <v>15400</v>
      </c>
      <c r="N8560" s="220">
        <f>SUM(I8560:M8561)</f>
        <v>1411990</v>
      </c>
      <c r="O8560" s="224"/>
      <c r="P8560" s="110" t="s">
        <v>24801</v>
      </c>
      <c r="Q8560" s="15" t="s">
        <v>19</v>
      </c>
      <c r="R8560" s="205"/>
      <c r="S8560" s="189" t="s">
        <v>283</v>
      </c>
      <c r="T8560" s="114"/>
      <c r="U8560" s="21"/>
      <c r="V8560" s="115">
        <v>46141</v>
      </c>
      <c r="W8560" s="116">
        <v>1015</v>
      </c>
      <c r="X8560" s="220">
        <v>1350000</v>
      </c>
      <c r="Y8560" s="220">
        <f>X8560*0.1</f>
        <v>135000</v>
      </c>
      <c r="Z8560" s="220">
        <v>9490</v>
      </c>
      <c r="AA8560" s="220">
        <f>SUM(X8560:Z8560)</f>
        <v>1494490</v>
      </c>
      <c r="AB8560" s="222">
        <v>46156</v>
      </c>
    </row>
    <row r="8561" spans="1:28" ht="17.100000000000001" customHeight="1" thickBot="1">
      <c r="A8561" s="227"/>
      <c r="B8561" s="27" t="s">
        <v>23705</v>
      </c>
      <c r="C8561" s="27">
        <v>3148</v>
      </c>
      <c r="D8561" s="14" t="s">
        <v>23838</v>
      </c>
      <c r="E8561" s="229"/>
      <c r="F8561" s="117" t="s">
        <v>23708</v>
      </c>
      <c r="G8561" s="26">
        <v>29731</v>
      </c>
      <c r="H8561" s="231"/>
      <c r="I8561" s="221"/>
      <c r="J8561" s="221"/>
      <c r="K8561" s="221"/>
      <c r="L8561" s="221"/>
      <c r="M8561" s="221"/>
      <c r="N8561" s="221"/>
      <c r="O8561" s="225"/>
      <c r="P8561" s="118" t="s">
        <v>24802</v>
      </c>
      <c r="Q8561" s="16" t="s">
        <v>20</v>
      </c>
      <c r="R8561" s="17" t="s">
        <v>24800</v>
      </c>
      <c r="S8561" s="121" t="s">
        <v>4413</v>
      </c>
      <c r="T8561" s="122"/>
      <c r="U8561" s="22"/>
      <c r="V8561" s="123" t="s">
        <v>24607</v>
      </c>
      <c r="W8561" s="122">
        <v>5091</v>
      </c>
      <c r="X8561" s="221"/>
      <c r="Y8561" s="221"/>
      <c r="Z8561" s="221"/>
      <c r="AA8561" s="221"/>
      <c r="AB8561" s="223"/>
    </row>
    <row r="8562" spans="1:28" ht="17.100000000000001" customHeight="1" thickTop="1">
      <c r="A8562" s="226" t="s">
        <v>23668</v>
      </c>
      <c r="B8562" s="28">
        <v>46136</v>
      </c>
      <c r="C8562" s="25">
        <v>1416</v>
      </c>
      <c r="D8562" s="13" t="s">
        <v>23840</v>
      </c>
      <c r="E8562" s="228"/>
      <c r="F8562" s="109" t="s">
        <v>23709</v>
      </c>
      <c r="G8562" s="24"/>
      <c r="H8562" s="230">
        <v>4</v>
      </c>
      <c r="I8562" s="220">
        <v>2152000</v>
      </c>
      <c r="J8562" s="220">
        <f>I8562*0.1</f>
        <v>215200</v>
      </c>
      <c r="K8562" s="220">
        <v>0</v>
      </c>
      <c r="L8562" s="220">
        <v>15890</v>
      </c>
      <c r="M8562" s="220">
        <v>15400</v>
      </c>
      <c r="N8562" s="220">
        <f>SUM(I8562:M8563)</f>
        <v>2398490</v>
      </c>
      <c r="O8562" s="224"/>
      <c r="P8562" s="110" t="s">
        <v>24069</v>
      </c>
      <c r="Q8562" s="15" t="s">
        <v>19</v>
      </c>
      <c r="R8562" s="205"/>
      <c r="S8562" s="189" t="s">
        <v>283</v>
      </c>
      <c r="T8562" s="114"/>
      <c r="U8562" s="21"/>
      <c r="V8562" s="115">
        <v>46141</v>
      </c>
      <c r="W8562" s="116">
        <v>1015</v>
      </c>
      <c r="X8562" s="220">
        <v>2240000</v>
      </c>
      <c r="Y8562" s="220">
        <f>X8562*0.1</f>
        <v>224000</v>
      </c>
      <c r="Z8562" s="220">
        <v>15890</v>
      </c>
      <c r="AA8562" s="220">
        <f>SUM(X8562:Z8562)</f>
        <v>2479890</v>
      </c>
      <c r="AB8562" s="222">
        <v>46153</v>
      </c>
    </row>
    <row r="8563" spans="1:28" ht="17.100000000000001" customHeight="1" thickBot="1">
      <c r="A8563" s="227"/>
      <c r="B8563" s="27" t="s">
        <v>23705</v>
      </c>
      <c r="C8563" s="27">
        <v>3150</v>
      </c>
      <c r="D8563" s="14" t="s">
        <v>23770</v>
      </c>
      <c r="E8563" s="229"/>
      <c r="F8563" s="117" t="s">
        <v>23710</v>
      </c>
      <c r="G8563" s="26">
        <v>37218</v>
      </c>
      <c r="H8563" s="231"/>
      <c r="I8563" s="221"/>
      <c r="J8563" s="221"/>
      <c r="K8563" s="221"/>
      <c r="L8563" s="221"/>
      <c r="M8563" s="221"/>
      <c r="N8563" s="221"/>
      <c r="O8563" s="225"/>
      <c r="P8563" s="118" t="s">
        <v>2359</v>
      </c>
      <c r="Q8563" s="16" t="s">
        <v>20</v>
      </c>
      <c r="R8563" s="17" t="s">
        <v>24061</v>
      </c>
      <c r="S8563" s="121" t="s">
        <v>169</v>
      </c>
      <c r="T8563" s="122"/>
      <c r="U8563" s="22"/>
      <c r="V8563" s="123" t="s">
        <v>2747</v>
      </c>
      <c r="W8563" s="122">
        <v>5100</v>
      </c>
      <c r="X8563" s="221"/>
      <c r="Y8563" s="221"/>
      <c r="Z8563" s="221"/>
      <c r="AA8563" s="221"/>
      <c r="AB8563" s="223"/>
    </row>
    <row r="8564" spans="1:28" ht="17.100000000000001" customHeight="1" thickTop="1">
      <c r="A8564" s="226" t="s">
        <v>23669</v>
      </c>
      <c r="B8564" s="28">
        <v>46136</v>
      </c>
      <c r="C8564" s="25">
        <v>1416</v>
      </c>
      <c r="D8564" s="13" t="s">
        <v>23841</v>
      </c>
      <c r="E8564" s="228"/>
      <c r="F8564" s="109" t="s">
        <v>23711</v>
      </c>
      <c r="G8564" s="24"/>
      <c r="H8564" s="230">
        <v>4</v>
      </c>
      <c r="I8564" s="220">
        <v>1270000</v>
      </c>
      <c r="J8564" s="220">
        <f>I8564*0.1</f>
        <v>127000</v>
      </c>
      <c r="K8564" s="220">
        <v>0</v>
      </c>
      <c r="L8564" s="220">
        <v>12710</v>
      </c>
      <c r="M8564" s="220">
        <v>15400</v>
      </c>
      <c r="N8564" s="220">
        <f>SUM(I8564:M8565)</f>
        <v>1425110</v>
      </c>
      <c r="O8564" s="224"/>
      <c r="P8564" s="110" t="s">
        <v>24425</v>
      </c>
      <c r="Q8564" s="15" t="s">
        <v>19</v>
      </c>
      <c r="R8564" s="205"/>
      <c r="S8564" s="189" t="s">
        <v>455</v>
      </c>
      <c r="T8564" s="114"/>
      <c r="U8564" s="21"/>
      <c r="V8564" s="115">
        <v>46141</v>
      </c>
      <c r="W8564" s="116">
        <v>1015</v>
      </c>
      <c r="X8564" s="220">
        <v>1325000</v>
      </c>
      <c r="Y8564" s="220">
        <f>X8564*0.1</f>
        <v>132500</v>
      </c>
      <c r="Z8564" s="220">
        <v>12710</v>
      </c>
      <c r="AA8564" s="220">
        <f>SUM(X8564:Z8564)</f>
        <v>1470210</v>
      </c>
      <c r="AB8564" s="222">
        <v>46153</v>
      </c>
    </row>
    <row r="8565" spans="1:28" ht="17.100000000000001" customHeight="1" thickBot="1">
      <c r="A8565" s="227"/>
      <c r="B8565" s="27" t="s">
        <v>23705</v>
      </c>
      <c r="C8565" s="27">
        <v>3221</v>
      </c>
      <c r="D8565" s="14" t="s">
        <v>23794</v>
      </c>
      <c r="E8565" s="229"/>
      <c r="F8565" s="117" t="s">
        <v>23712</v>
      </c>
      <c r="G8565" s="26">
        <v>122170</v>
      </c>
      <c r="H8565" s="231"/>
      <c r="I8565" s="221"/>
      <c r="J8565" s="221"/>
      <c r="K8565" s="221"/>
      <c r="L8565" s="221"/>
      <c r="M8565" s="221"/>
      <c r="N8565" s="221"/>
      <c r="O8565" s="225"/>
      <c r="P8565" s="118" t="s">
        <v>3281</v>
      </c>
      <c r="Q8565" s="16" t="s">
        <v>20</v>
      </c>
      <c r="R8565" s="17" t="s">
        <v>1983</v>
      </c>
      <c r="S8565" s="121" t="s">
        <v>1731</v>
      </c>
      <c r="T8565" s="122"/>
      <c r="U8565" s="22"/>
      <c r="V8565" s="123" t="s">
        <v>2747</v>
      </c>
      <c r="W8565" s="122">
        <v>5087</v>
      </c>
      <c r="X8565" s="221"/>
      <c r="Y8565" s="221"/>
      <c r="Z8565" s="221"/>
      <c r="AA8565" s="221"/>
      <c r="AB8565" s="223"/>
    </row>
    <row r="8566" spans="1:28" ht="17.100000000000001" customHeight="1" thickTop="1">
      <c r="A8566" s="226" t="s">
        <v>23670</v>
      </c>
      <c r="B8566" s="28">
        <v>46136</v>
      </c>
      <c r="C8566" s="25">
        <v>1416</v>
      </c>
      <c r="D8566" s="13" t="s">
        <v>23828</v>
      </c>
      <c r="E8566" s="228"/>
      <c r="F8566" s="109" t="s">
        <v>23713</v>
      </c>
      <c r="G8566" s="24" t="s">
        <v>23842</v>
      </c>
      <c r="H8566" s="230">
        <v>4</v>
      </c>
      <c r="I8566" s="220">
        <v>491000</v>
      </c>
      <c r="J8566" s="220">
        <f>I8566*0.1</f>
        <v>49100</v>
      </c>
      <c r="K8566" s="220">
        <v>0</v>
      </c>
      <c r="L8566" s="220">
        <v>9770</v>
      </c>
      <c r="M8566" s="220">
        <v>15400</v>
      </c>
      <c r="N8566" s="220">
        <f>SUM(I8566:M8567)</f>
        <v>565270</v>
      </c>
      <c r="O8566" s="224"/>
      <c r="P8566" s="110" t="s">
        <v>24799</v>
      </c>
      <c r="Q8566" s="15" t="s">
        <v>19</v>
      </c>
      <c r="R8566" s="205"/>
      <c r="S8566" s="189"/>
      <c r="T8566" s="114"/>
      <c r="U8566" s="21"/>
      <c r="V8566" s="115">
        <v>46141</v>
      </c>
      <c r="W8566" s="116">
        <v>1015</v>
      </c>
      <c r="X8566" s="220">
        <v>550000</v>
      </c>
      <c r="Y8566" s="220">
        <f>X8566*0.1</f>
        <v>55000</v>
      </c>
      <c r="Z8566" s="220">
        <v>9770</v>
      </c>
      <c r="AA8566" s="220">
        <f>SUM(X8566:Z8566)</f>
        <v>614770</v>
      </c>
      <c r="AB8566" s="222">
        <v>46156</v>
      </c>
    </row>
    <row r="8567" spans="1:28" ht="17.100000000000001" customHeight="1" thickBot="1">
      <c r="A8567" s="227"/>
      <c r="B8567" s="27" t="s">
        <v>23705</v>
      </c>
      <c r="C8567" s="27">
        <v>7005</v>
      </c>
      <c r="D8567" s="14" t="s">
        <v>23801</v>
      </c>
      <c r="E8567" s="229"/>
      <c r="F8567" s="117" t="s">
        <v>23714</v>
      </c>
      <c r="G8567" s="26">
        <v>37969</v>
      </c>
      <c r="H8567" s="231"/>
      <c r="I8567" s="221"/>
      <c r="J8567" s="221"/>
      <c r="K8567" s="221"/>
      <c r="L8567" s="221"/>
      <c r="M8567" s="221"/>
      <c r="N8567" s="221"/>
      <c r="O8567" s="225"/>
      <c r="P8567" s="118" t="s">
        <v>7826</v>
      </c>
      <c r="Q8567" s="16" t="s">
        <v>20</v>
      </c>
      <c r="R8567" s="17" t="s">
        <v>24800</v>
      </c>
      <c r="S8567" s="121" t="s">
        <v>7702</v>
      </c>
      <c r="T8567" s="122"/>
      <c r="U8567" s="22"/>
      <c r="V8567" s="123" t="s">
        <v>2747</v>
      </c>
      <c r="W8567" s="122">
        <v>5081</v>
      </c>
      <c r="X8567" s="221"/>
      <c r="Y8567" s="221"/>
      <c r="Z8567" s="221"/>
      <c r="AA8567" s="221"/>
      <c r="AB8567" s="223"/>
    </row>
    <row r="8568" spans="1:28" ht="17.100000000000001" customHeight="1" thickTop="1">
      <c r="A8568" s="226" t="s">
        <v>23671</v>
      </c>
      <c r="B8568" s="28">
        <v>46136</v>
      </c>
      <c r="C8568" s="25">
        <v>1416</v>
      </c>
      <c r="D8568" s="13" t="s">
        <v>23843</v>
      </c>
      <c r="E8568" s="228"/>
      <c r="F8568" s="109" t="s">
        <v>23715</v>
      </c>
      <c r="G8568" s="24" t="s">
        <v>23844</v>
      </c>
      <c r="H8568" s="230">
        <v>4</v>
      </c>
      <c r="I8568" s="220">
        <v>481000</v>
      </c>
      <c r="J8568" s="220">
        <f>I8568*0.1</f>
        <v>48100</v>
      </c>
      <c r="K8568" s="220">
        <v>0</v>
      </c>
      <c r="L8568" s="220">
        <v>7140</v>
      </c>
      <c r="M8568" s="220">
        <v>15400</v>
      </c>
      <c r="N8568" s="220">
        <f>SUM(I8568:M8569)</f>
        <v>551640</v>
      </c>
      <c r="O8568" s="224"/>
      <c r="P8568" s="110" t="s">
        <v>24673</v>
      </c>
      <c r="Q8568" s="15" t="s">
        <v>19</v>
      </c>
      <c r="R8568" s="205"/>
      <c r="S8568" s="189"/>
      <c r="T8568" s="114"/>
      <c r="U8568" s="21"/>
      <c r="V8568" s="115">
        <v>46141</v>
      </c>
      <c r="W8568" s="116">
        <v>1015</v>
      </c>
      <c r="X8568" s="220">
        <v>515000</v>
      </c>
      <c r="Y8568" s="220">
        <f>X8568*0.1</f>
        <v>51500</v>
      </c>
      <c r="Z8568" s="220">
        <v>7140</v>
      </c>
      <c r="AA8568" s="220">
        <f>SUM(X8568:Z8568)</f>
        <v>573640</v>
      </c>
      <c r="AB8568" s="222">
        <v>46156</v>
      </c>
    </row>
    <row r="8569" spans="1:28" ht="17.100000000000001" customHeight="1" thickBot="1">
      <c r="A8569" s="227"/>
      <c r="B8569" s="27" t="s">
        <v>23705</v>
      </c>
      <c r="C8569" s="27">
        <v>7009</v>
      </c>
      <c r="D8569" s="14" t="s">
        <v>23794</v>
      </c>
      <c r="E8569" s="229"/>
      <c r="F8569" s="117" t="s">
        <v>23716</v>
      </c>
      <c r="G8569" s="26">
        <v>31010</v>
      </c>
      <c r="H8569" s="231"/>
      <c r="I8569" s="221"/>
      <c r="J8569" s="221"/>
      <c r="K8569" s="221"/>
      <c r="L8569" s="221"/>
      <c r="M8569" s="221"/>
      <c r="N8569" s="221"/>
      <c r="O8569" s="225"/>
      <c r="P8569" s="118" t="s">
        <v>7826</v>
      </c>
      <c r="Q8569" s="16" t="s">
        <v>20</v>
      </c>
      <c r="R8569" s="17" t="s">
        <v>1831</v>
      </c>
      <c r="S8569" s="121" t="s">
        <v>16667</v>
      </c>
      <c r="T8569" s="122"/>
      <c r="U8569" s="22"/>
      <c r="V8569" s="123" t="s">
        <v>2747</v>
      </c>
      <c r="W8569" s="122">
        <v>5131</v>
      </c>
      <c r="X8569" s="221"/>
      <c r="Y8569" s="221"/>
      <c r="Z8569" s="221"/>
      <c r="AA8569" s="221"/>
      <c r="AB8569" s="223"/>
    </row>
    <row r="8570" spans="1:28" ht="17.100000000000001" customHeight="1" thickTop="1">
      <c r="A8570" s="226" t="s">
        <v>23672</v>
      </c>
      <c r="B8570" s="28">
        <v>46136</v>
      </c>
      <c r="C8570" s="25">
        <v>1416</v>
      </c>
      <c r="D8570" s="13" t="s">
        <v>23773</v>
      </c>
      <c r="E8570" s="228"/>
      <c r="F8570" s="109" t="s">
        <v>23717</v>
      </c>
      <c r="G8570" s="24"/>
      <c r="H8570" s="230">
        <v>4</v>
      </c>
      <c r="I8570" s="220">
        <v>462000</v>
      </c>
      <c r="J8570" s="220">
        <f>I8570*0.1</f>
        <v>46200</v>
      </c>
      <c r="K8570" s="220">
        <v>0</v>
      </c>
      <c r="L8570" s="220">
        <v>7510</v>
      </c>
      <c r="M8570" s="220">
        <v>15400</v>
      </c>
      <c r="N8570" s="220">
        <f>SUM(I8570:M8571)</f>
        <v>531110</v>
      </c>
      <c r="O8570" s="224"/>
      <c r="P8570" s="110" t="s">
        <v>24677</v>
      </c>
      <c r="Q8570" s="15" t="s">
        <v>19</v>
      </c>
      <c r="R8570" s="205"/>
      <c r="S8570" s="189"/>
      <c r="T8570" s="114"/>
      <c r="U8570" s="21"/>
      <c r="V8570" s="115">
        <v>46155</v>
      </c>
      <c r="W8570" s="116">
        <v>1016</v>
      </c>
      <c r="X8570" s="220">
        <v>550000</v>
      </c>
      <c r="Y8570" s="220">
        <f>X8570*0.1</f>
        <v>55000</v>
      </c>
      <c r="Z8570" s="220">
        <v>7510</v>
      </c>
      <c r="AA8570" s="220">
        <f>SUM(X8570:Z8570)</f>
        <v>612510</v>
      </c>
      <c r="AB8570" s="222">
        <v>46161</v>
      </c>
    </row>
    <row r="8571" spans="1:28" ht="17.100000000000001" customHeight="1" thickBot="1">
      <c r="A8571" s="227"/>
      <c r="B8571" s="27" t="s">
        <v>23705</v>
      </c>
      <c r="C8571" s="27">
        <v>7143</v>
      </c>
      <c r="D8571" s="14" t="s">
        <v>1710</v>
      </c>
      <c r="E8571" s="229"/>
      <c r="F8571" s="117" t="s">
        <v>23718</v>
      </c>
      <c r="G8571" s="26">
        <v>52690</v>
      </c>
      <c r="H8571" s="231"/>
      <c r="I8571" s="221"/>
      <c r="J8571" s="221"/>
      <c r="K8571" s="221"/>
      <c r="L8571" s="221"/>
      <c r="M8571" s="221"/>
      <c r="N8571" s="221"/>
      <c r="O8571" s="225"/>
      <c r="P8571" s="118" t="s">
        <v>7826</v>
      </c>
      <c r="Q8571" s="16" t="s">
        <v>20</v>
      </c>
      <c r="R8571" s="17" t="s">
        <v>1831</v>
      </c>
      <c r="S8571" s="121" t="s">
        <v>169</v>
      </c>
      <c r="T8571" s="122"/>
      <c r="U8571" s="22"/>
      <c r="V8571" s="123" t="s">
        <v>7161</v>
      </c>
      <c r="W8571" s="122">
        <v>2069</v>
      </c>
      <c r="X8571" s="221"/>
      <c r="Y8571" s="221"/>
      <c r="Z8571" s="221"/>
      <c r="AA8571" s="221"/>
      <c r="AB8571" s="223"/>
    </row>
    <row r="8572" spans="1:28" ht="17.100000000000001" customHeight="1" thickTop="1">
      <c r="A8572" s="226" t="s">
        <v>23673</v>
      </c>
      <c r="B8572" s="28">
        <v>46136</v>
      </c>
      <c r="C8572" s="25">
        <v>1416</v>
      </c>
      <c r="D8572" s="13" t="s">
        <v>23792</v>
      </c>
      <c r="E8572" s="228"/>
      <c r="F8572" s="109" t="s">
        <v>23719</v>
      </c>
      <c r="G8572" s="24"/>
      <c r="H8572" s="230">
        <v>4.5</v>
      </c>
      <c r="I8572" s="220">
        <v>1438000</v>
      </c>
      <c r="J8572" s="220">
        <f>I8572*0.1</f>
        <v>143800</v>
      </c>
      <c r="K8572" s="220">
        <v>0</v>
      </c>
      <c r="L8572" s="220">
        <v>19180</v>
      </c>
      <c r="M8572" s="220">
        <v>15400</v>
      </c>
      <c r="N8572" s="220">
        <f>SUM(I8572:M8573)</f>
        <v>1616380</v>
      </c>
      <c r="O8572" s="224"/>
      <c r="P8572" s="110" t="s">
        <v>24124</v>
      </c>
      <c r="Q8572" s="15" t="s">
        <v>19</v>
      </c>
      <c r="R8572" s="205"/>
      <c r="S8572" s="189" t="s">
        <v>25978</v>
      </c>
      <c r="T8572" s="114"/>
      <c r="U8572" s="21"/>
      <c r="V8572" s="115">
        <v>46156</v>
      </c>
      <c r="W8572" s="116">
        <v>1330</v>
      </c>
      <c r="X8572" s="220">
        <v>1495000</v>
      </c>
      <c r="Y8572" s="220">
        <f>X8572*0.1</f>
        <v>149500</v>
      </c>
      <c r="Z8572" s="220">
        <v>19180</v>
      </c>
      <c r="AA8572" s="220">
        <f>SUM(X8572:Z8572)</f>
        <v>1663680</v>
      </c>
      <c r="AB8572" s="222">
        <v>46157</v>
      </c>
    </row>
    <row r="8573" spans="1:28" ht="17.100000000000001" customHeight="1" thickBot="1">
      <c r="A8573" s="227"/>
      <c r="B8573" s="27" t="s">
        <v>23705</v>
      </c>
      <c r="C8573" s="27">
        <v>7147</v>
      </c>
      <c r="D8573" s="14" t="s">
        <v>23782</v>
      </c>
      <c r="E8573" s="229"/>
      <c r="F8573" s="117" t="s">
        <v>23720</v>
      </c>
      <c r="G8573" s="26">
        <v>98697</v>
      </c>
      <c r="H8573" s="231"/>
      <c r="I8573" s="221"/>
      <c r="J8573" s="221"/>
      <c r="K8573" s="221"/>
      <c r="L8573" s="221"/>
      <c r="M8573" s="221"/>
      <c r="N8573" s="221"/>
      <c r="O8573" s="225"/>
      <c r="P8573" s="118" t="s">
        <v>23469</v>
      </c>
      <c r="Q8573" s="16" t="s">
        <v>20</v>
      </c>
      <c r="R8573" s="17" t="s">
        <v>24115</v>
      </c>
      <c r="S8573" s="121" t="s">
        <v>24122</v>
      </c>
      <c r="T8573" s="122"/>
      <c r="U8573" s="22"/>
      <c r="V8573" s="123" t="s">
        <v>1735</v>
      </c>
      <c r="W8573" s="122">
        <v>513</v>
      </c>
      <c r="X8573" s="221"/>
      <c r="Y8573" s="221"/>
      <c r="Z8573" s="221"/>
      <c r="AA8573" s="221"/>
      <c r="AB8573" s="223"/>
    </row>
    <row r="8574" spans="1:28" ht="17.100000000000001" customHeight="1" thickTop="1">
      <c r="A8574" s="226" t="s">
        <v>23674</v>
      </c>
      <c r="B8574" s="28">
        <v>46136</v>
      </c>
      <c r="C8574" s="25">
        <v>1416</v>
      </c>
      <c r="D8574" s="13" t="s">
        <v>23841</v>
      </c>
      <c r="E8574" s="228"/>
      <c r="F8574" s="109" t="s">
        <v>23721</v>
      </c>
      <c r="G8574" s="24"/>
      <c r="H8574" s="230">
        <v>4</v>
      </c>
      <c r="I8574" s="220">
        <v>474000</v>
      </c>
      <c r="J8574" s="220">
        <f>I8574*0.1</f>
        <v>47400</v>
      </c>
      <c r="K8574" s="220">
        <v>0</v>
      </c>
      <c r="L8574" s="220">
        <v>8400</v>
      </c>
      <c r="M8574" s="220">
        <v>15400</v>
      </c>
      <c r="N8574" s="220">
        <f>SUM(I8574:M8575)</f>
        <v>545200</v>
      </c>
      <c r="O8574" s="224"/>
      <c r="P8574" s="110" t="s">
        <v>24847</v>
      </c>
      <c r="Q8574" s="15" t="s">
        <v>19</v>
      </c>
      <c r="R8574" s="205"/>
      <c r="S8574" s="189"/>
      <c r="T8574" s="114"/>
      <c r="U8574" s="21"/>
      <c r="V8574" s="115">
        <v>46155</v>
      </c>
      <c r="W8574" s="116">
        <v>1016</v>
      </c>
      <c r="X8574" s="220">
        <v>600000</v>
      </c>
      <c r="Y8574" s="220">
        <f>X8574*0.1</f>
        <v>60000</v>
      </c>
      <c r="Z8574" s="220">
        <v>8400</v>
      </c>
      <c r="AA8574" s="220">
        <f>SUM(X8574:Z8574)</f>
        <v>668400</v>
      </c>
      <c r="AB8574" s="222">
        <v>46161</v>
      </c>
    </row>
    <row r="8575" spans="1:28" ht="17.100000000000001" customHeight="1" thickBot="1">
      <c r="A8575" s="227"/>
      <c r="B8575" s="27" t="s">
        <v>23705</v>
      </c>
      <c r="C8575" s="27">
        <v>7156</v>
      </c>
      <c r="D8575" s="14" t="s">
        <v>1710</v>
      </c>
      <c r="E8575" s="229"/>
      <c r="F8575" s="117" t="s">
        <v>23722</v>
      </c>
      <c r="G8575" s="26">
        <v>15016</v>
      </c>
      <c r="H8575" s="231"/>
      <c r="I8575" s="221"/>
      <c r="J8575" s="221"/>
      <c r="K8575" s="221"/>
      <c r="L8575" s="221"/>
      <c r="M8575" s="221"/>
      <c r="N8575" s="221"/>
      <c r="O8575" s="225"/>
      <c r="P8575" s="118" t="s">
        <v>8735</v>
      </c>
      <c r="Q8575" s="16" t="s">
        <v>20</v>
      </c>
      <c r="R8575" s="17" t="s">
        <v>2377</v>
      </c>
      <c r="S8575" s="121" t="s">
        <v>3566</v>
      </c>
      <c r="T8575" s="122"/>
      <c r="U8575" s="22"/>
      <c r="V8575" s="123" t="s">
        <v>7161</v>
      </c>
      <c r="W8575" s="122">
        <v>2065</v>
      </c>
      <c r="X8575" s="221"/>
      <c r="Y8575" s="221"/>
      <c r="Z8575" s="221"/>
      <c r="AA8575" s="221"/>
      <c r="AB8575" s="223"/>
    </row>
    <row r="8576" spans="1:28" ht="17.100000000000001" customHeight="1" thickTop="1">
      <c r="A8576" s="226" t="s">
        <v>23675</v>
      </c>
      <c r="B8576" s="28">
        <v>46136</v>
      </c>
      <c r="C8576" s="25">
        <v>1203</v>
      </c>
      <c r="D8576" s="13" t="s">
        <v>23803</v>
      </c>
      <c r="E8576" s="228"/>
      <c r="F8576" s="109" t="s">
        <v>23845</v>
      </c>
      <c r="G8576" s="24" t="s">
        <v>23811</v>
      </c>
      <c r="H8576" s="230">
        <v>4.5</v>
      </c>
      <c r="I8576" s="220">
        <v>1240000</v>
      </c>
      <c r="J8576" s="220">
        <f>I8576*0.1</f>
        <v>124000</v>
      </c>
      <c r="K8576" s="220">
        <v>36300</v>
      </c>
      <c r="L8576" s="220">
        <v>20630</v>
      </c>
      <c r="M8576" s="220">
        <v>16500</v>
      </c>
      <c r="N8576" s="220">
        <f>SUM(I8576:M8577)</f>
        <v>1437430</v>
      </c>
      <c r="O8576" s="224"/>
      <c r="P8576" s="110" t="s">
        <v>23847</v>
      </c>
      <c r="Q8576" s="15" t="s">
        <v>19</v>
      </c>
      <c r="R8576" s="205"/>
      <c r="S8576" s="189" t="s">
        <v>758</v>
      </c>
      <c r="T8576" s="114"/>
      <c r="U8576" s="21"/>
      <c r="V8576" s="115">
        <v>46163</v>
      </c>
      <c r="W8576" s="116">
        <v>1331</v>
      </c>
      <c r="X8576" s="220">
        <v>1395000</v>
      </c>
      <c r="Y8576" s="220">
        <f>X8576*0.1</f>
        <v>139500</v>
      </c>
      <c r="Z8576" s="220">
        <v>20630</v>
      </c>
      <c r="AA8576" s="220">
        <v>1555130</v>
      </c>
      <c r="AB8576" s="222">
        <v>46164</v>
      </c>
    </row>
    <row r="8577" spans="1:28" ht="17.100000000000001" customHeight="1" thickBot="1">
      <c r="A8577" s="227"/>
      <c r="B8577" s="27" t="s">
        <v>23723</v>
      </c>
      <c r="C8577" s="27">
        <v>88125</v>
      </c>
      <c r="D8577" s="14" t="s">
        <v>1584</v>
      </c>
      <c r="E8577" s="229"/>
      <c r="F8577" s="117" t="s">
        <v>23846</v>
      </c>
      <c r="G8577" s="26">
        <v>67719</v>
      </c>
      <c r="H8577" s="231"/>
      <c r="I8577" s="221"/>
      <c r="J8577" s="221"/>
      <c r="K8577" s="221"/>
      <c r="L8577" s="221"/>
      <c r="M8577" s="221"/>
      <c r="N8577" s="221"/>
      <c r="O8577" s="225"/>
      <c r="P8577" s="118" t="s">
        <v>24121</v>
      </c>
      <c r="Q8577" s="16" t="s">
        <v>20</v>
      </c>
      <c r="R8577" s="17" t="s">
        <v>24115</v>
      </c>
      <c r="S8577" s="121" t="s">
        <v>24122</v>
      </c>
      <c r="T8577" s="122"/>
      <c r="U8577" s="22"/>
      <c r="V8577" s="123" t="s">
        <v>1735</v>
      </c>
      <c r="W8577" s="122">
        <v>96</v>
      </c>
      <c r="X8577" s="221"/>
      <c r="Y8577" s="221"/>
      <c r="Z8577" s="221"/>
      <c r="AA8577" s="221"/>
      <c r="AB8577" s="223"/>
    </row>
    <row r="8578" spans="1:28" ht="17.100000000000001" customHeight="1" thickTop="1">
      <c r="A8578" s="226" t="s">
        <v>23676</v>
      </c>
      <c r="B8578" s="28">
        <v>46136</v>
      </c>
      <c r="C8578" s="25">
        <v>2132</v>
      </c>
      <c r="D8578" s="13" t="s">
        <v>23805</v>
      </c>
      <c r="E8578" s="228"/>
      <c r="F8578" s="109" t="s">
        <v>23725</v>
      </c>
      <c r="G8578" s="24" t="s">
        <v>23849</v>
      </c>
      <c r="H8578" s="230">
        <v>4</v>
      </c>
      <c r="I8578" s="220">
        <v>1340000</v>
      </c>
      <c r="J8578" s="220">
        <f>I8578*0.1</f>
        <v>134000</v>
      </c>
      <c r="K8578" s="220">
        <v>34760</v>
      </c>
      <c r="L8578" s="220">
        <v>17600</v>
      </c>
      <c r="M8578" s="220">
        <v>16500</v>
      </c>
      <c r="N8578" s="220">
        <f>SUM(I8578:M8579)</f>
        <v>1542860</v>
      </c>
      <c r="O8578" s="224"/>
      <c r="P8578" s="110" t="s">
        <v>23850</v>
      </c>
      <c r="Q8578" s="15" t="s">
        <v>19</v>
      </c>
      <c r="R8578" s="205"/>
      <c r="S8578" s="189"/>
      <c r="T8578" s="114"/>
      <c r="U8578" s="21" t="s">
        <v>25212</v>
      </c>
      <c r="V8578" s="115">
        <v>46163</v>
      </c>
      <c r="W8578" s="116">
        <v>1331</v>
      </c>
      <c r="X8578" s="220">
        <v>1480000</v>
      </c>
      <c r="Y8578" s="220">
        <f>X8578*0.1</f>
        <v>148000</v>
      </c>
      <c r="Z8578" s="220">
        <v>17600</v>
      </c>
      <c r="AA8578" s="220">
        <f>SUM(X8578:Z8578)</f>
        <v>1645600</v>
      </c>
      <c r="AB8578" s="222">
        <v>46164</v>
      </c>
    </row>
    <row r="8579" spans="1:28" ht="17.100000000000001" customHeight="1" thickBot="1">
      <c r="A8579" s="227"/>
      <c r="B8579" s="27" t="s">
        <v>23724</v>
      </c>
      <c r="C8579" s="27">
        <v>58483</v>
      </c>
      <c r="D8579" s="14" t="s">
        <v>1797</v>
      </c>
      <c r="E8579" s="229"/>
      <c r="F8579" s="117" t="s">
        <v>23848</v>
      </c>
      <c r="G8579" s="26">
        <v>37071</v>
      </c>
      <c r="H8579" s="231"/>
      <c r="I8579" s="221"/>
      <c r="J8579" s="221"/>
      <c r="K8579" s="221"/>
      <c r="L8579" s="221"/>
      <c r="M8579" s="221"/>
      <c r="N8579" s="221"/>
      <c r="O8579" s="225"/>
      <c r="P8579" s="118" t="s">
        <v>24120</v>
      </c>
      <c r="Q8579" s="16" t="s">
        <v>20</v>
      </c>
      <c r="R8579" s="17" t="s">
        <v>24115</v>
      </c>
      <c r="S8579" s="121" t="s">
        <v>13169</v>
      </c>
      <c r="T8579" s="122"/>
      <c r="U8579" s="22"/>
      <c r="V8579" s="123" t="s">
        <v>1735</v>
      </c>
      <c r="W8579" s="122">
        <v>123</v>
      </c>
      <c r="X8579" s="221"/>
      <c r="Y8579" s="221"/>
      <c r="Z8579" s="221"/>
      <c r="AA8579" s="221"/>
      <c r="AB8579" s="223"/>
    </row>
    <row r="8580" spans="1:28" ht="17.100000000000001" customHeight="1" thickTop="1">
      <c r="A8580" s="226" t="s">
        <v>23677</v>
      </c>
      <c r="B8580" s="28">
        <v>46136</v>
      </c>
      <c r="C8580" s="25"/>
      <c r="D8580" s="13" t="s">
        <v>23775</v>
      </c>
      <c r="E8580" s="228"/>
      <c r="F8580" s="109" t="s">
        <v>13991</v>
      </c>
      <c r="G8580" s="24" t="s">
        <v>23851</v>
      </c>
      <c r="H8580" s="230">
        <v>4</v>
      </c>
      <c r="I8580" s="220">
        <v>1405000</v>
      </c>
      <c r="J8580" s="220">
        <f>I8580*0.1</f>
        <v>140500</v>
      </c>
      <c r="K8580" s="220">
        <v>22800</v>
      </c>
      <c r="L8580" s="220">
        <v>7760</v>
      </c>
      <c r="M8580" s="220">
        <v>0</v>
      </c>
      <c r="N8580" s="220">
        <f>SUM(I8580:M8581)</f>
        <v>1576060</v>
      </c>
      <c r="O8580" s="224"/>
      <c r="P8580" s="110"/>
      <c r="Q8580" s="15" t="s">
        <v>19</v>
      </c>
      <c r="R8580" s="205"/>
      <c r="S8580" s="189" t="s">
        <v>25507</v>
      </c>
      <c r="T8580" s="114"/>
      <c r="U8580" s="21"/>
      <c r="V8580" s="115"/>
      <c r="W8580" s="116"/>
      <c r="X8580" s="220"/>
      <c r="Y8580" s="220">
        <f>X8580*0.1</f>
        <v>0</v>
      </c>
      <c r="Z8580" s="220"/>
      <c r="AA8580" s="220">
        <f>SUM(X8580:Z8580)</f>
        <v>0</v>
      </c>
      <c r="AB8580" s="222"/>
    </row>
    <row r="8581" spans="1:28" ht="17.100000000000001" customHeight="1" thickBot="1">
      <c r="A8581" s="227"/>
      <c r="B8581" s="27" t="s">
        <v>23726</v>
      </c>
      <c r="C8581" s="27" t="s">
        <v>23727</v>
      </c>
      <c r="D8581" s="14" t="s">
        <v>23770</v>
      </c>
      <c r="E8581" s="229"/>
      <c r="F8581" s="117" t="s">
        <v>23728</v>
      </c>
      <c r="G8581" s="26">
        <v>19939</v>
      </c>
      <c r="H8581" s="231"/>
      <c r="I8581" s="221"/>
      <c r="J8581" s="221"/>
      <c r="K8581" s="221"/>
      <c r="L8581" s="221"/>
      <c r="M8581" s="221"/>
      <c r="N8581" s="221"/>
      <c r="O8581" s="225"/>
      <c r="P8581" s="118"/>
      <c r="Q8581" s="16" t="s">
        <v>20</v>
      </c>
      <c r="R8581" s="17"/>
      <c r="S8581" s="121"/>
      <c r="T8581" s="122"/>
      <c r="U8581" s="22"/>
      <c r="V8581" s="123"/>
      <c r="W8581" s="122"/>
      <c r="X8581" s="221"/>
      <c r="Y8581" s="221"/>
      <c r="Z8581" s="221"/>
      <c r="AA8581" s="221"/>
      <c r="AB8581" s="223"/>
    </row>
    <row r="8582" spans="1:28" ht="17.100000000000001" customHeight="1" thickTop="1">
      <c r="A8582" s="226" t="s">
        <v>23678</v>
      </c>
      <c r="B8582" s="28">
        <v>46136</v>
      </c>
      <c r="C8582" s="25"/>
      <c r="D8582" s="13" t="s">
        <v>23852</v>
      </c>
      <c r="E8582" s="228"/>
      <c r="F8582" s="109" t="s">
        <v>14852</v>
      </c>
      <c r="G8582" s="24" t="s">
        <v>23853</v>
      </c>
      <c r="H8582" s="230">
        <v>4.5</v>
      </c>
      <c r="I8582" s="220">
        <v>3500000</v>
      </c>
      <c r="J8582" s="220">
        <f>I8582*0.1</f>
        <v>350000</v>
      </c>
      <c r="K8582" s="220">
        <v>41600</v>
      </c>
      <c r="L8582" s="220">
        <v>15540</v>
      </c>
      <c r="M8582" s="220">
        <v>0</v>
      </c>
      <c r="N8582" s="220">
        <f>SUM(I8582:M8583)</f>
        <v>3907140</v>
      </c>
      <c r="O8582" s="224"/>
      <c r="P8582" s="110"/>
      <c r="Q8582" s="15" t="s">
        <v>19</v>
      </c>
      <c r="R8582" s="205"/>
      <c r="S8582" s="189" t="s">
        <v>25507</v>
      </c>
      <c r="T8582" s="114"/>
      <c r="U8582" s="21"/>
      <c r="V8582" s="115"/>
      <c r="W8582" s="116"/>
      <c r="X8582" s="220"/>
      <c r="Y8582" s="220">
        <f>X8582*0.1</f>
        <v>0</v>
      </c>
      <c r="Z8582" s="220"/>
      <c r="AA8582" s="220">
        <f>SUM(X8582:Z8582)</f>
        <v>0</v>
      </c>
      <c r="AB8582" s="222"/>
    </row>
    <row r="8583" spans="1:28" ht="17.100000000000001" customHeight="1" thickBot="1">
      <c r="A8583" s="227"/>
      <c r="B8583" s="27" t="s">
        <v>23726</v>
      </c>
      <c r="C8583" s="27" t="s">
        <v>23729</v>
      </c>
      <c r="D8583" s="14" t="s">
        <v>23782</v>
      </c>
      <c r="E8583" s="229"/>
      <c r="F8583" s="117" t="s">
        <v>23730</v>
      </c>
      <c r="G8583" s="26">
        <v>55893</v>
      </c>
      <c r="H8583" s="231"/>
      <c r="I8583" s="221"/>
      <c r="J8583" s="221"/>
      <c r="K8583" s="221"/>
      <c r="L8583" s="221"/>
      <c r="M8583" s="221"/>
      <c r="N8583" s="221"/>
      <c r="O8583" s="225"/>
      <c r="P8583" s="118"/>
      <c r="Q8583" s="16" t="s">
        <v>20</v>
      </c>
      <c r="R8583" s="17"/>
      <c r="S8583" s="121"/>
      <c r="T8583" s="122"/>
      <c r="U8583" s="22"/>
      <c r="V8583" s="123"/>
      <c r="W8583" s="122"/>
      <c r="X8583" s="221"/>
      <c r="Y8583" s="221"/>
      <c r="Z8583" s="221"/>
      <c r="AA8583" s="221"/>
      <c r="AB8583" s="223"/>
    </row>
    <row r="8584" spans="1:28" ht="17.100000000000001" customHeight="1" thickTop="1">
      <c r="A8584" s="226" t="s">
        <v>23679</v>
      </c>
      <c r="B8584" s="28">
        <v>46136</v>
      </c>
      <c r="C8584" s="25"/>
      <c r="D8584" s="13" t="s">
        <v>23854</v>
      </c>
      <c r="E8584" s="228"/>
      <c r="F8584" s="109" t="s">
        <v>23855</v>
      </c>
      <c r="G8584" s="24" t="s">
        <v>23856</v>
      </c>
      <c r="H8584" s="230">
        <v>4.5</v>
      </c>
      <c r="I8584" s="220">
        <v>4345000</v>
      </c>
      <c r="J8584" s="220">
        <f>I8584*0.1</f>
        <v>434500</v>
      </c>
      <c r="K8584" s="220">
        <v>36200</v>
      </c>
      <c r="L8584" s="220">
        <v>15220</v>
      </c>
      <c r="M8584" s="220">
        <v>0</v>
      </c>
      <c r="N8584" s="220">
        <f>SUM(I8584:M8585)</f>
        <v>4830920</v>
      </c>
      <c r="O8584" s="224"/>
      <c r="P8584" s="110"/>
      <c r="Q8584" s="15" t="s">
        <v>19</v>
      </c>
      <c r="R8584" s="205"/>
      <c r="S8584" s="189" t="s">
        <v>529</v>
      </c>
      <c r="T8584" s="114"/>
      <c r="U8584" s="21"/>
      <c r="V8584" s="115"/>
      <c r="W8584" s="116"/>
      <c r="X8584" s="220"/>
      <c r="Y8584" s="220">
        <f>X8584*0.1</f>
        <v>0</v>
      </c>
      <c r="Z8584" s="220"/>
      <c r="AA8584" s="220">
        <f>SUM(X8584:Z8584)</f>
        <v>0</v>
      </c>
      <c r="AB8584" s="222"/>
    </row>
    <row r="8585" spans="1:28" ht="17.100000000000001" customHeight="1" thickBot="1">
      <c r="A8585" s="227"/>
      <c r="B8585" s="27" t="s">
        <v>23726</v>
      </c>
      <c r="C8585" s="27" t="s">
        <v>23731</v>
      </c>
      <c r="D8585" s="14" t="s">
        <v>23838</v>
      </c>
      <c r="E8585" s="229"/>
      <c r="F8585" s="117" t="s">
        <v>23732</v>
      </c>
      <c r="G8585" s="26">
        <v>38095</v>
      </c>
      <c r="H8585" s="231"/>
      <c r="I8585" s="221"/>
      <c r="J8585" s="221"/>
      <c r="K8585" s="221"/>
      <c r="L8585" s="221"/>
      <c r="M8585" s="221"/>
      <c r="N8585" s="221"/>
      <c r="O8585" s="225"/>
      <c r="P8585" s="118"/>
      <c r="Q8585" s="16" t="s">
        <v>20</v>
      </c>
      <c r="R8585" s="17"/>
      <c r="S8585" s="121"/>
      <c r="T8585" s="122"/>
      <c r="U8585" s="22"/>
      <c r="V8585" s="123"/>
      <c r="W8585" s="122"/>
      <c r="X8585" s="221"/>
      <c r="Y8585" s="221"/>
      <c r="Z8585" s="221"/>
      <c r="AA8585" s="221"/>
      <c r="AB8585" s="223"/>
    </row>
    <row r="8586" spans="1:28" ht="17.100000000000001" customHeight="1" thickTop="1">
      <c r="A8586" s="226" t="s">
        <v>23680</v>
      </c>
      <c r="B8586" s="28">
        <v>46137</v>
      </c>
      <c r="C8586" s="25">
        <v>1541</v>
      </c>
      <c r="D8586" s="13" t="s">
        <v>23775</v>
      </c>
      <c r="E8586" s="228"/>
      <c r="F8586" s="109" t="s">
        <v>23734</v>
      </c>
      <c r="G8586" s="24"/>
      <c r="H8586" s="230">
        <v>4.5</v>
      </c>
      <c r="I8586" s="220">
        <v>1700000</v>
      </c>
      <c r="J8586" s="220">
        <f>I8586*0.1</f>
        <v>170000</v>
      </c>
      <c r="K8586" s="220">
        <v>0</v>
      </c>
      <c r="L8586" s="220">
        <v>18170</v>
      </c>
      <c r="M8586" s="220">
        <v>27500</v>
      </c>
      <c r="N8586" s="220">
        <f>SUM(I8586:M8587)</f>
        <v>1915670</v>
      </c>
      <c r="O8586" s="224"/>
      <c r="P8586" s="110" t="s">
        <v>24451</v>
      </c>
      <c r="Q8586" s="15" t="s">
        <v>19</v>
      </c>
      <c r="R8586" s="205"/>
      <c r="S8586" s="189" t="s">
        <v>455</v>
      </c>
      <c r="T8586" s="114" t="s">
        <v>24584</v>
      </c>
      <c r="U8586" s="21"/>
      <c r="V8586" s="115">
        <v>46156</v>
      </c>
      <c r="W8586" s="116">
        <v>1330</v>
      </c>
      <c r="X8586" s="220">
        <v>1855000</v>
      </c>
      <c r="Y8586" s="220">
        <f>X8586*0.1</f>
        <v>185500</v>
      </c>
      <c r="Z8586" s="220">
        <v>18170</v>
      </c>
      <c r="AA8586" s="220">
        <f>SUM(X8586:Z8586)</f>
        <v>2058670</v>
      </c>
      <c r="AB8586" s="222">
        <v>46157</v>
      </c>
    </row>
    <row r="8587" spans="1:28" ht="17.100000000000001" customHeight="1" thickBot="1">
      <c r="A8587" s="227"/>
      <c r="B8587" s="27" t="s">
        <v>23733</v>
      </c>
      <c r="C8587" s="27">
        <v>83077</v>
      </c>
      <c r="D8587" s="14" t="s">
        <v>23821</v>
      </c>
      <c r="E8587" s="229"/>
      <c r="F8587" s="117" t="s">
        <v>23889</v>
      </c>
      <c r="G8587" s="26">
        <v>40600</v>
      </c>
      <c r="H8587" s="231"/>
      <c r="I8587" s="221"/>
      <c r="J8587" s="221"/>
      <c r="K8587" s="221"/>
      <c r="L8587" s="221"/>
      <c r="M8587" s="221"/>
      <c r="N8587" s="221"/>
      <c r="O8587" s="225"/>
      <c r="P8587" s="118" t="s">
        <v>24452</v>
      </c>
      <c r="Q8587" s="16" t="s">
        <v>20</v>
      </c>
      <c r="R8587" s="17" t="s">
        <v>1983</v>
      </c>
      <c r="S8587" s="121" t="s">
        <v>24583</v>
      </c>
      <c r="T8587" s="122"/>
      <c r="U8587" s="22"/>
      <c r="V8587" s="123" t="s">
        <v>1735</v>
      </c>
      <c r="W8587" s="122">
        <v>514</v>
      </c>
      <c r="X8587" s="221"/>
      <c r="Y8587" s="221"/>
      <c r="Z8587" s="221"/>
      <c r="AA8587" s="221"/>
      <c r="AB8587" s="223"/>
    </row>
    <row r="8588" spans="1:28" ht="17.100000000000001" customHeight="1" thickTop="1">
      <c r="A8588" s="226" t="s">
        <v>23681</v>
      </c>
      <c r="B8588" s="28">
        <v>46137</v>
      </c>
      <c r="C8588" s="25">
        <v>1541</v>
      </c>
      <c r="D8588" s="13" t="s">
        <v>23861</v>
      </c>
      <c r="E8588" s="228"/>
      <c r="F8588" s="109" t="s">
        <v>23735</v>
      </c>
      <c r="G8588" s="24" t="s">
        <v>23863</v>
      </c>
      <c r="H8588" s="230">
        <v>4.5</v>
      </c>
      <c r="I8588" s="220">
        <v>805000</v>
      </c>
      <c r="J8588" s="220">
        <f>I8588*0.1</f>
        <v>80500</v>
      </c>
      <c r="K8588" s="220">
        <v>34760</v>
      </c>
      <c r="L8588" s="220">
        <v>19440</v>
      </c>
      <c r="M8588" s="220">
        <v>16500</v>
      </c>
      <c r="N8588" s="220">
        <f>SUM(I8588:M8589)</f>
        <v>956200</v>
      </c>
      <c r="O8588" s="224"/>
      <c r="P8588" s="110" t="s">
        <v>23864</v>
      </c>
      <c r="Q8588" s="15" t="s">
        <v>19</v>
      </c>
      <c r="R8588" s="205"/>
      <c r="S8588" s="189" t="s">
        <v>283</v>
      </c>
      <c r="T8588" s="114"/>
      <c r="U8588" s="21"/>
      <c r="V8588" s="115">
        <v>46142</v>
      </c>
      <c r="W8588" s="116">
        <v>1329</v>
      </c>
      <c r="X8588" s="220">
        <v>965000</v>
      </c>
      <c r="Y8588" s="220">
        <f>X8588*0.1</f>
        <v>96500</v>
      </c>
      <c r="Z8588" s="220">
        <v>19440</v>
      </c>
      <c r="AA8588" s="220">
        <f>SUM(X8588:Z8588)</f>
        <v>1080940</v>
      </c>
      <c r="AB8588" s="222">
        <v>46143</v>
      </c>
    </row>
    <row r="8589" spans="1:28" ht="17.100000000000001" customHeight="1" thickBot="1">
      <c r="A8589" s="227"/>
      <c r="B8589" s="27" t="s">
        <v>23733</v>
      </c>
      <c r="C8589" s="27">
        <v>83214</v>
      </c>
      <c r="D8589" s="14" t="s">
        <v>23782</v>
      </c>
      <c r="E8589" s="229"/>
      <c r="F8589" s="117" t="s">
        <v>23862</v>
      </c>
      <c r="G8589" s="26">
        <v>58264</v>
      </c>
      <c r="H8589" s="231"/>
      <c r="I8589" s="221"/>
      <c r="J8589" s="221"/>
      <c r="K8589" s="221"/>
      <c r="L8589" s="221"/>
      <c r="M8589" s="221"/>
      <c r="N8589" s="221"/>
      <c r="O8589" s="225"/>
      <c r="P8589" s="118" t="s">
        <v>2870</v>
      </c>
      <c r="Q8589" s="16" t="s">
        <v>20</v>
      </c>
      <c r="R8589" s="17" t="s">
        <v>1983</v>
      </c>
      <c r="S8589" s="121" t="s">
        <v>9618</v>
      </c>
      <c r="T8589" s="122"/>
      <c r="U8589" s="22"/>
      <c r="V8589" s="123" t="s">
        <v>1735</v>
      </c>
      <c r="W8589" s="122">
        <v>124</v>
      </c>
      <c r="X8589" s="221"/>
      <c r="Y8589" s="221"/>
      <c r="Z8589" s="221"/>
      <c r="AA8589" s="221"/>
      <c r="AB8589" s="223"/>
    </row>
    <row r="8590" spans="1:28" ht="17.100000000000001" customHeight="1" thickTop="1">
      <c r="A8590" s="226" t="s">
        <v>23682</v>
      </c>
      <c r="B8590" s="28">
        <v>46137</v>
      </c>
      <c r="C8590" s="25">
        <v>1020</v>
      </c>
      <c r="D8590" s="13" t="s">
        <v>23857</v>
      </c>
      <c r="E8590" s="228"/>
      <c r="F8590" s="109" t="s">
        <v>23737</v>
      </c>
      <c r="G8590" s="24"/>
      <c r="H8590" s="230">
        <v>4.5</v>
      </c>
      <c r="I8590" s="220">
        <v>540000</v>
      </c>
      <c r="J8590" s="220">
        <f>I8590*0.1</f>
        <v>54000</v>
      </c>
      <c r="K8590" s="220">
        <v>0</v>
      </c>
      <c r="L8590" s="220">
        <v>12470</v>
      </c>
      <c r="M8590" s="220">
        <v>20900</v>
      </c>
      <c r="N8590" s="220">
        <f>SUM(I8590:M8591)</f>
        <v>627370</v>
      </c>
      <c r="O8590" s="224"/>
      <c r="P8590" s="110" t="s">
        <v>24521</v>
      </c>
      <c r="Q8590" s="15" t="s">
        <v>19</v>
      </c>
      <c r="R8590" s="205"/>
      <c r="S8590" s="189" t="s">
        <v>283</v>
      </c>
      <c r="T8590" s="114"/>
      <c r="U8590" s="21"/>
      <c r="V8590" s="115">
        <v>46144</v>
      </c>
      <c r="W8590" s="116">
        <v>1299</v>
      </c>
      <c r="X8590" s="220">
        <v>875000</v>
      </c>
      <c r="Y8590" s="220">
        <f>X8590*0.1</f>
        <v>87500</v>
      </c>
      <c r="Z8590" s="220">
        <v>12470</v>
      </c>
      <c r="AA8590" s="220">
        <f>SUM(X8590:Z8590)</f>
        <v>974970</v>
      </c>
      <c r="AB8590" s="222">
        <v>46154</v>
      </c>
    </row>
    <row r="8591" spans="1:28" ht="17.100000000000001" customHeight="1" thickBot="1">
      <c r="A8591" s="227"/>
      <c r="B8591" s="27" t="s">
        <v>23736</v>
      </c>
      <c r="C8591" s="27">
        <v>5036</v>
      </c>
      <c r="D8591" s="14" t="s">
        <v>23806</v>
      </c>
      <c r="E8591" s="229"/>
      <c r="F8591" s="117" t="s">
        <v>23858</v>
      </c>
      <c r="G8591" s="26">
        <v>56902</v>
      </c>
      <c r="H8591" s="231"/>
      <c r="I8591" s="221"/>
      <c r="J8591" s="221"/>
      <c r="K8591" s="221"/>
      <c r="L8591" s="221"/>
      <c r="M8591" s="221"/>
      <c r="N8591" s="221"/>
      <c r="O8591" s="225"/>
      <c r="P8591" s="118" t="s">
        <v>9714</v>
      </c>
      <c r="Q8591" s="16" t="s">
        <v>20</v>
      </c>
      <c r="R8591" s="17" t="s">
        <v>4213</v>
      </c>
      <c r="S8591" s="121" t="s">
        <v>5180</v>
      </c>
      <c r="T8591" s="122"/>
      <c r="U8591" s="22"/>
      <c r="V8591" s="123" t="s">
        <v>24346</v>
      </c>
      <c r="W8591" s="122">
        <v>80293</v>
      </c>
      <c r="X8591" s="221"/>
      <c r="Y8591" s="221"/>
      <c r="Z8591" s="221"/>
      <c r="AA8591" s="221"/>
      <c r="AB8591" s="223"/>
    </row>
    <row r="8592" spans="1:28" ht="17.100000000000001" customHeight="1" thickTop="1">
      <c r="A8592" s="226" t="s">
        <v>23683</v>
      </c>
      <c r="B8592" s="28">
        <v>46137</v>
      </c>
      <c r="C8592" s="25">
        <v>1020</v>
      </c>
      <c r="D8592" s="13" t="s">
        <v>23859</v>
      </c>
      <c r="E8592" s="228"/>
      <c r="F8592" s="109" t="s">
        <v>23725</v>
      </c>
      <c r="G8592" s="24"/>
      <c r="H8592" s="230">
        <v>4</v>
      </c>
      <c r="I8592" s="220">
        <v>640000</v>
      </c>
      <c r="J8592" s="220">
        <f>I8592*0.1</f>
        <v>64000</v>
      </c>
      <c r="K8592" s="220">
        <v>0</v>
      </c>
      <c r="L8592" s="220">
        <v>17700</v>
      </c>
      <c r="M8592" s="220">
        <v>15950</v>
      </c>
      <c r="N8592" s="220">
        <f>SUM(I8592:M8593)</f>
        <v>737650</v>
      </c>
      <c r="O8592" s="224"/>
      <c r="P8592" s="110" t="s">
        <v>24460</v>
      </c>
      <c r="Q8592" s="15" t="s">
        <v>19</v>
      </c>
      <c r="R8592" s="205"/>
      <c r="S8592" s="189"/>
      <c r="T8592" s="114"/>
      <c r="U8592" s="21"/>
      <c r="V8592" s="115">
        <v>46158</v>
      </c>
      <c r="W8592" s="116">
        <v>1300</v>
      </c>
      <c r="X8592" s="220">
        <v>730000</v>
      </c>
      <c r="Y8592" s="220">
        <f>X8592*0.1</f>
        <v>73000</v>
      </c>
      <c r="Z8592" s="220">
        <v>17700</v>
      </c>
      <c r="AA8592" s="220">
        <f>SUM(X8592:Z8592)</f>
        <v>820700</v>
      </c>
      <c r="AB8592" s="222">
        <v>46161</v>
      </c>
    </row>
    <row r="8593" spans="1:28" ht="17.100000000000001" customHeight="1" thickBot="1">
      <c r="A8593" s="227"/>
      <c r="B8593" s="27" t="s">
        <v>23736</v>
      </c>
      <c r="C8593" s="27">
        <v>5101</v>
      </c>
      <c r="D8593" s="14" t="s">
        <v>131</v>
      </c>
      <c r="E8593" s="229"/>
      <c r="F8593" s="117" t="s">
        <v>23860</v>
      </c>
      <c r="G8593" s="26">
        <v>37352</v>
      </c>
      <c r="H8593" s="231"/>
      <c r="I8593" s="221"/>
      <c r="J8593" s="221"/>
      <c r="K8593" s="221"/>
      <c r="L8593" s="221"/>
      <c r="M8593" s="221"/>
      <c r="N8593" s="221"/>
      <c r="O8593" s="225"/>
      <c r="P8593" s="118" t="s">
        <v>5068</v>
      </c>
      <c r="Q8593" s="16" t="s">
        <v>20</v>
      </c>
      <c r="R8593" s="17" t="s">
        <v>2040</v>
      </c>
      <c r="S8593" s="121"/>
      <c r="T8593" s="122"/>
      <c r="U8593" s="22"/>
      <c r="V8593" s="123" t="s">
        <v>2472</v>
      </c>
      <c r="W8593" s="122">
        <v>80053</v>
      </c>
      <c r="X8593" s="221"/>
      <c r="Y8593" s="221"/>
      <c r="Z8593" s="221"/>
      <c r="AA8593" s="221"/>
      <c r="AB8593" s="223"/>
    </row>
    <row r="8594" spans="1:28" ht="17.100000000000001" customHeight="1" thickTop="1">
      <c r="A8594" s="233" t="s">
        <v>23684</v>
      </c>
      <c r="B8594" s="28">
        <v>46137</v>
      </c>
      <c r="C8594" s="25">
        <v>1298</v>
      </c>
      <c r="D8594" s="13" t="s">
        <v>23865</v>
      </c>
      <c r="E8594" s="228"/>
      <c r="F8594" s="109" t="s">
        <v>23739</v>
      </c>
      <c r="G8594" s="24"/>
      <c r="H8594" s="230">
        <v>4</v>
      </c>
      <c r="I8594" s="220">
        <v>1050000</v>
      </c>
      <c r="J8594" s="220">
        <f>I8594*0.1</f>
        <v>105000</v>
      </c>
      <c r="K8594" s="220">
        <v>0</v>
      </c>
      <c r="L8594" s="220">
        <v>13860</v>
      </c>
      <c r="M8594" s="220">
        <v>12100</v>
      </c>
      <c r="N8594" s="220">
        <f>SUM(I8594:M8595)</f>
        <v>1180960</v>
      </c>
      <c r="O8594" s="224"/>
      <c r="P8594" s="110"/>
      <c r="Q8594" s="15" t="s">
        <v>19</v>
      </c>
      <c r="R8594" s="205"/>
      <c r="S8594" s="189" t="s">
        <v>283</v>
      </c>
      <c r="T8594" s="114" t="s">
        <v>24159</v>
      </c>
      <c r="U8594" s="21"/>
      <c r="V8594" s="115"/>
      <c r="W8594" s="116"/>
      <c r="X8594" s="220"/>
      <c r="Y8594" s="220">
        <f>X8594*0.1</f>
        <v>0</v>
      </c>
      <c r="Z8594" s="220"/>
      <c r="AA8594" s="220">
        <f>SUM(X8594:Z8594)</f>
        <v>0</v>
      </c>
      <c r="AB8594" s="222"/>
    </row>
    <row r="8595" spans="1:28" ht="17.100000000000001" customHeight="1" thickBot="1">
      <c r="A8595" s="234"/>
      <c r="B8595" s="27" t="s">
        <v>23738</v>
      </c>
      <c r="C8595" s="27">
        <v>31285</v>
      </c>
      <c r="D8595" s="14" t="s">
        <v>23770</v>
      </c>
      <c r="E8595" s="229"/>
      <c r="F8595" s="117" t="s">
        <v>23740</v>
      </c>
      <c r="G8595" s="26">
        <v>135050</v>
      </c>
      <c r="H8595" s="231"/>
      <c r="I8595" s="221"/>
      <c r="J8595" s="221"/>
      <c r="K8595" s="221"/>
      <c r="L8595" s="221"/>
      <c r="M8595" s="221"/>
      <c r="N8595" s="221"/>
      <c r="O8595" s="225"/>
      <c r="P8595" s="118"/>
      <c r="Q8595" s="16" t="s">
        <v>20</v>
      </c>
      <c r="R8595" s="17" t="s">
        <v>24158</v>
      </c>
      <c r="S8595" s="121"/>
      <c r="T8595" s="122"/>
      <c r="U8595" s="22"/>
      <c r="V8595" s="123"/>
      <c r="W8595" s="122"/>
      <c r="X8595" s="221"/>
      <c r="Y8595" s="221"/>
      <c r="Z8595" s="221"/>
      <c r="AA8595" s="221"/>
      <c r="AB8595" s="223"/>
    </row>
    <row r="8596" spans="1:28" ht="17.100000000000001" customHeight="1" thickTop="1">
      <c r="A8596" s="226" t="s">
        <v>23685</v>
      </c>
      <c r="B8596" s="28">
        <v>46137</v>
      </c>
      <c r="C8596" s="25">
        <v>1298</v>
      </c>
      <c r="D8596" s="13" t="s">
        <v>23866</v>
      </c>
      <c r="E8596" s="228"/>
      <c r="F8596" s="109" t="s">
        <v>23741</v>
      </c>
      <c r="G8596" s="24" t="s">
        <v>23867</v>
      </c>
      <c r="H8596" s="230">
        <v>4.5</v>
      </c>
      <c r="I8596" s="220">
        <v>1100000</v>
      </c>
      <c r="J8596" s="220">
        <f>I8596*0.1</f>
        <v>110000</v>
      </c>
      <c r="K8596" s="220">
        <v>0</v>
      </c>
      <c r="L8596" s="220">
        <v>8200</v>
      </c>
      <c r="M8596" s="220">
        <v>12100</v>
      </c>
      <c r="N8596" s="220">
        <f>SUM(I8596:M8597)</f>
        <v>1230300</v>
      </c>
      <c r="O8596" s="224"/>
      <c r="P8596" s="110" t="s">
        <v>23868</v>
      </c>
      <c r="Q8596" s="15" t="s">
        <v>19</v>
      </c>
      <c r="R8596" s="205"/>
      <c r="S8596" s="189"/>
      <c r="T8596" s="114"/>
      <c r="U8596" s="21" t="s">
        <v>26108</v>
      </c>
      <c r="V8596" s="115">
        <v>46162</v>
      </c>
      <c r="W8596" s="116">
        <v>1017</v>
      </c>
      <c r="X8596" s="220">
        <v>1150000</v>
      </c>
      <c r="Y8596" s="220">
        <f>X8596*0.1</f>
        <v>115000</v>
      </c>
      <c r="Z8596" s="220">
        <v>8200</v>
      </c>
      <c r="AA8596" s="220">
        <f>SUM(X8596:Z8596)</f>
        <v>1273200</v>
      </c>
      <c r="AB8596" s="222">
        <v>46167</v>
      </c>
    </row>
    <row r="8597" spans="1:28" ht="17.100000000000001" customHeight="1" thickBot="1">
      <c r="A8597" s="227"/>
      <c r="B8597" s="27" t="s">
        <v>2472</v>
      </c>
      <c r="C8597" s="27">
        <v>31305</v>
      </c>
      <c r="D8597" s="14" t="s">
        <v>23821</v>
      </c>
      <c r="E8597" s="229"/>
      <c r="F8597" s="117" t="s">
        <v>23742</v>
      </c>
      <c r="G8597" s="26">
        <v>25922</v>
      </c>
      <c r="H8597" s="231"/>
      <c r="I8597" s="221"/>
      <c r="J8597" s="221"/>
      <c r="K8597" s="221"/>
      <c r="L8597" s="221"/>
      <c r="M8597" s="221"/>
      <c r="N8597" s="221"/>
      <c r="O8597" s="225"/>
      <c r="P8597" s="118" t="s">
        <v>24457</v>
      </c>
      <c r="Q8597" s="16" t="s">
        <v>20</v>
      </c>
      <c r="R8597" s="17" t="s">
        <v>1983</v>
      </c>
      <c r="S8597" s="121" t="s">
        <v>8657</v>
      </c>
      <c r="T8597" s="122"/>
      <c r="U8597" s="22"/>
      <c r="V8597" s="123" t="s">
        <v>2747</v>
      </c>
      <c r="W8597" s="122">
        <v>2049</v>
      </c>
      <c r="X8597" s="221"/>
      <c r="Y8597" s="221"/>
      <c r="Z8597" s="221"/>
      <c r="AA8597" s="221"/>
      <c r="AB8597" s="223"/>
    </row>
    <row r="8598" spans="1:28" ht="17.100000000000001" customHeight="1" thickTop="1">
      <c r="A8598" s="226" t="s">
        <v>23686</v>
      </c>
      <c r="B8598" s="28">
        <v>46137</v>
      </c>
      <c r="C8598" s="25">
        <v>1298</v>
      </c>
      <c r="D8598" s="13" t="s">
        <v>23869</v>
      </c>
      <c r="E8598" s="228"/>
      <c r="F8598" s="109" t="s">
        <v>23743</v>
      </c>
      <c r="G8598" s="24" t="s">
        <v>23871</v>
      </c>
      <c r="H8598" s="230">
        <v>4</v>
      </c>
      <c r="I8598" s="220">
        <v>1105000</v>
      </c>
      <c r="J8598" s="220">
        <f>I8598*0.1</f>
        <v>110500</v>
      </c>
      <c r="K8598" s="220">
        <v>0</v>
      </c>
      <c r="L8598" s="220">
        <v>6850</v>
      </c>
      <c r="M8598" s="220">
        <v>12100</v>
      </c>
      <c r="N8598" s="220">
        <f>SUM(I8598:M8599)</f>
        <v>1234450</v>
      </c>
      <c r="O8598" s="224"/>
      <c r="P8598" s="110" t="s">
        <v>23872</v>
      </c>
      <c r="Q8598" s="15" t="s">
        <v>19</v>
      </c>
      <c r="R8598" s="205"/>
      <c r="S8598" s="189" t="s">
        <v>25386</v>
      </c>
      <c r="T8598" s="114"/>
      <c r="U8598" s="21"/>
      <c r="V8598" s="115"/>
      <c r="W8598" s="116"/>
      <c r="X8598" s="220"/>
      <c r="Y8598" s="220">
        <f>X8598*0.1</f>
        <v>0</v>
      </c>
      <c r="Z8598" s="220"/>
      <c r="AA8598" s="220">
        <f>SUM(X8598:Z8598)</f>
        <v>0</v>
      </c>
      <c r="AB8598" s="222"/>
    </row>
    <row r="8599" spans="1:28" ht="17.100000000000001" customHeight="1" thickBot="1">
      <c r="A8599" s="227"/>
      <c r="B8599" s="27" t="s">
        <v>2472</v>
      </c>
      <c r="C8599" s="27">
        <v>31325</v>
      </c>
      <c r="D8599" s="14" t="s">
        <v>23870</v>
      </c>
      <c r="E8599" s="229"/>
      <c r="F8599" s="117" t="s">
        <v>23744</v>
      </c>
      <c r="G8599" s="26">
        <v>29560</v>
      </c>
      <c r="H8599" s="231"/>
      <c r="I8599" s="221"/>
      <c r="J8599" s="221"/>
      <c r="K8599" s="221"/>
      <c r="L8599" s="221"/>
      <c r="M8599" s="221"/>
      <c r="N8599" s="221"/>
      <c r="O8599" s="225"/>
      <c r="P8599" s="118" t="s">
        <v>24455</v>
      </c>
      <c r="Q8599" s="16" t="s">
        <v>20</v>
      </c>
      <c r="R8599" s="17" t="s">
        <v>1983</v>
      </c>
      <c r="S8599" s="121" t="s">
        <v>24456</v>
      </c>
      <c r="T8599" s="122"/>
      <c r="U8599" s="22"/>
      <c r="V8599" s="123"/>
      <c r="W8599" s="122"/>
      <c r="X8599" s="221"/>
      <c r="Y8599" s="221"/>
      <c r="Z8599" s="221"/>
      <c r="AA8599" s="221"/>
      <c r="AB8599" s="223"/>
    </row>
    <row r="8600" spans="1:28" ht="17.100000000000001" customHeight="1" thickTop="1">
      <c r="A8600" s="226" t="s">
        <v>23687</v>
      </c>
      <c r="B8600" s="28">
        <v>46137</v>
      </c>
      <c r="C8600" s="25">
        <v>1298</v>
      </c>
      <c r="D8600" s="13" t="s">
        <v>23873</v>
      </c>
      <c r="E8600" s="228"/>
      <c r="F8600" s="109" t="s">
        <v>23745</v>
      </c>
      <c r="G8600" s="24"/>
      <c r="H8600" s="230">
        <v>4</v>
      </c>
      <c r="I8600" s="220">
        <v>945000</v>
      </c>
      <c r="J8600" s="220">
        <f>I8600*0.1</f>
        <v>94500</v>
      </c>
      <c r="K8600" s="220">
        <v>0</v>
      </c>
      <c r="L8600" s="220">
        <v>7440</v>
      </c>
      <c r="M8600" s="220">
        <v>11000</v>
      </c>
      <c r="N8600" s="220">
        <f>SUM(I8600:M8601)</f>
        <v>1057940</v>
      </c>
      <c r="O8600" s="224"/>
      <c r="P8600" s="110" t="s">
        <v>24453</v>
      </c>
      <c r="Q8600" s="15" t="s">
        <v>19</v>
      </c>
      <c r="R8600" s="205"/>
      <c r="S8600" s="189" t="s">
        <v>25979</v>
      </c>
      <c r="T8600" s="114"/>
      <c r="U8600" s="21"/>
      <c r="V8600" s="115"/>
      <c r="W8600" s="116"/>
      <c r="X8600" s="220"/>
      <c r="Y8600" s="220">
        <f>X8600*0.1</f>
        <v>0</v>
      </c>
      <c r="Z8600" s="220"/>
      <c r="AA8600" s="220">
        <f>SUM(X8600:Z8600)</f>
        <v>0</v>
      </c>
      <c r="AB8600" s="222"/>
    </row>
    <row r="8601" spans="1:28" ht="17.100000000000001" customHeight="1" thickBot="1">
      <c r="A8601" s="227"/>
      <c r="B8601" s="27" t="s">
        <v>2472</v>
      </c>
      <c r="C8601" s="27">
        <v>40031</v>
      </c>
      <c r="D8601" s="14" t="s">
        <v>23782</v>
      </c>
      <c r="E8601" s="229"/>
      <c r="F8601" s="117" t="s">
        <v>23746</v>
      </c>
      <c r="G8601" s="26">
        <v>50455</v>
      </c>
      <c r="H8601" s="231"/>
      <c r="I8601" s="221"/>
      <c r="J8601" s="221"/>
      <c r="K8601" s="221"/>
      <c r="L8601" s="221"/>
      <c r="M8601" s="221"/>
      <c r="N8601" s="221"/>
      <c r="O8601" s="225"/>
      <c r="P8601" s="118" t="s">
        <v>15065</v>
      </c>
      <c r="Q8601" s="16" t="s">
        <v>20</v>
      </c>
      <c r="R8601" s="17" t="s">
        <v>1983</v>
      </c>
      <c r="S8601" s="121" t="s">
        <v>24454</v>
      </c>
      <c r="T8601" s="122"/>
      <c r="U8601" s="22"/>
      <c r="V8601" s="123"/>
      <c r="W8601" s="122"/>
      <c r="X8601" s="221"/>
      <c r="Y8601" s="221"/>
      <c r="Z8601" s="221"/>
      <c r="AA8601" s="221"/>
      <c r="AB8601" s="223"/>
    </row>
    <row r="8602" spans="1:28" ht="17.100000000000001" customHeight="1" thickTop="1">
      <c r="A8602" s="226" t="s">
        <v>23760</v>
      </c>
      <c r="B8602" s="28">
        <v>46137</v>
      </c>
      <c r="C8602" s="25">
        <v>1298</v>
      </c>
      <c r="D8602" s="13" t="s">
        <v>23873</v>
      </c>
      <c r="E8602" s="228"/>
      <c r="F8602" s="109" t="s">
        <v>23745</v>
      </c>
      <c r="G8602" s="24"/>
      <c r="H8602" s="230">
        <v>4</v>
      </c>
      <c r="I8602" s="220">
        <v>990000</v>
      </c>
      <c r="J8602" s="220">
        <f>I8602*0.1</f>
        <v>99000</v>
      </c>
      <c r="K8602" s="220">
        <v>0</v>
      </c>
      <c r="L8602" s="220">
        <v>7440</v>
      </c>
      <c r="M8602" s="220">
        <v>11000</v>
      </c>
      <c r="N8602" s="220">
        <f>SUM(I8602:M8603)</f>
        <v>1107440</v>
      </c>
      <c r="O8602" s="224"/>
      <c r="P8602" s="110" t="s">
        <v>24423</v>
      </c>
      <c r="Q8602" s="15" t="s">
        <v>19</v>
      </c>
      <c r="R8602" s="205"/>
      <c r="S8602" s="189" t="s">
        <v>25979</v>
      </c>
      <c r="T8602" s="114"/>
      <c r="U8602" s="21"/>
      <c r="V8602" s="115">
        <v>46144</v>
      </c>
      <c r="W8602" s="116">
        <v>1299</v>
      </c>
      <c r="X8602" s="220">
        <v>1095000</v>
      </c>
      <c r="Y8602" s="220">
        <f>X8602*0.1</f>
        <v>109500</v>
      </c>
      <c r="Z8602" s="220">
        <v>7440</v>
      </c>
      <c r="AA8602" s="220">
        <f>SUM(X8602:Z8602)</f>
        <v>1211940</v>
      </c>
      <c r="AB8602" s="222">
        <v>46154</v>
      </c>
    </row>
    <row r="8603" spans="1:28" ht="17.100000000000001" customHeight="1" thickBot="1">
      <c r="A8603" s="227"/>
      <c r="B8603" s="27" t="s">
        <v>2472</v>
      </c>
      <c r="C8603" s="27">
        <v>40035</v>
      </c>
      <c r="D8603" s="14" t="s">
        <v>23782</v>
      </c>
      <c r="E8603" s="229"/>
      <c r="F8603" s="117" t="s">
        <v>23747</v>
      </c>
      <c r="G8603" s="26">
        <v>48990</v>
      </c>
      <c r="H8603" s="231"/>
      <c r="I8603" s="221"/>
      <c r="J8603" s="221"/>
      <c r="K8603" s="221"/>
      <c r="L8603" s="221"/>
      <c r="M8603" s="221"/>
      <c r="N8603" s="221"/>
      <c r="O8603" s="225"/>
      <c r="P8603" s="118" t="s">
        <v>15065</v>
      </c>
      <c r="Q8603" s="16" t="s">
        <v>20</v>
      </c>
      <c r="R8603" s="17" t="s">
        <v>1983</v>
      </c>
      <c r="S8603" s="121" t="s">
        <v>24424</v>
      </c>
      <c r="T8603" s="122"/>
      <c r="U8603" s="22"/>
      <c r="V8603" s="123" t="s">
        <v>24346</v>
      </c>
      <c r="W8603" s="122">
        <v>41015</v>
      </c>
      <c r="X8603" s="221"/>
      <c r="Y8603" s="221"/>
      <c r="Z8603" s="221"/>
      <c r="AA8603" s="221"/>
      <c r="AB8603" s="223"/>
    </row>
    <row r="8604" spans="1:28" ht="17.100000000000001" customHeight="1" thickTop="1">
      <c r="A8604" s="226" t="s">
        <v>23761</v>
      </c>
      <c r="B8604" s="28">
        <v>46137</v>
      </c>
      <c r="C8604" s="25">
        <v>1298</v>
      </c>
      <c r="D8604" s="13" t="s">
        <v>23874</v>
      </c>
      <c r="E8604" s="228"/>
      <c r="F8604" s="109" t="s">
        <v>23748</v>
      </c>
      <c r="G8604" s="24"/>
      <c r="H8604" s="230">
        <v>4.5</v>
      </c>
      <c r="I8604" s="220">
        <v>307000</v>
      </c>
      <c r="J8604" s="220">
        <f>I8604*0.1</f>
        <v>30700</v>
      </c>
      <c r="K8604" s="220">
        <v>0</v>
      </c>
      <c r="L8604" s="220">
        <v>12470</v>
      </c>
      <c r="M8604" s="220">
        <v>16500</v>
      </c>
      <c r="N8604" s="220">
        <f>SUM(I8604:M8605)</f>
        <v>366670</v>
      </c>
      <c r="O8604" s="224"/>
      <c r="P8604" s="110" t="s">
        <v>24422</v>
      </c>
      <c r="Q8604" s="15" t="s">
        <v>19</v>
      </c>
      <c r="R8604" s="205"/>
      <c r="S8604" s="189"/>
      <c r="T8604" s="114"/>
      <c r="U8604" s="21"/>
      <c r="V8604" s="115">
        <v>46144</v>
      </c>
      <c r="W8604" s="116">
        <v>1299</v>
      </c>
      <c r="X8604" s="220">
        <v>460000</v>
      </c>
      <c r="Y8604" s="220">
        <f>X8604*0.1</f>
        <v>46000</v>
      </c>
      <c r="Z8604" s="220">
        <v>12470</v>
      </c>
      <c r="AA8604" s="220">
        <f>SUM(X8604:Z8604)</f>
        <v>518470</v>
      </c>
      <c r="AB8604" s="222">
        <v>46154</v>
      </c>
    </row>
    <row r="8605" spans="1:28" ht="17.100000000000001" customHeight="1" thickBot="1">
      <c r="A8605" s="227"/>
      <c r="B8605" s="27" t="s">
        <v>2472</v>
      </c>
      <c r="C8605" s="27">
        <v>53403</v>
      </c>
      <c r="D8605" s="14" t="s">
        <v>23875</v>
      </c>
      <c r="E8605" s="229"/>
      <c r="F8605" s="117" t="s">
        <v>24421</v>
      </c>
      <c r="G8605" s="26">
        <v>77787</v>
      </c>
      <c r="H8605" s="231"/>
      <c r="I8605" s="221"/>
      <c r="J8605" s="221"/>
      <c r="K8605" s="221"/>
      <c r="L8605" s="221"/>
      <c r="M8605" s="221"/>
      <c r="N8605" s="221"/>
      <c r="O8605" s="225"/>
      <c r="P8605" s="118" t="s">
        <v>17107</v>
      </c>
      <c r="Q8605" s="16" t="s">
        <v>20</v>
      </c>
      <c r="R8605" s="17" t="s">
        <v>1983</v>
      </c>
      <c r="S8605" s="121" t="s">
        <v>23992</v>
      </c>
      <c r="T8605" s="122"/>
      <c r="U8605" s="22"/>
      <c r="V8605" s="123" t="s">
        <v>24346</v>
      </c>
      <c r="W8605" s="122">
        <v>80002</v>
      </c>
      <c r="X8605" s="221"/>
      <c r="Y8605" s="221"/>
      <c r="Z8605" s="221"/>
      <c r="AA8605" s="221"/>
      <c r="AB8605" s="223"/>
    </row>
    <row r="8606" spans="1:28" ht="17.100000000000001" customHeight="1" thickTop="1">
      <c r="A8606" s="233" t="s">
        <v>23762</v>
      </c>
      <c r="B8606" s="28">
        <v>46137</v>
      </c>
      <c r="C8606" s="25">
        <v>1298</v>
      </c>
      <c r="D8606" s="13" t="s">
        <v>23876</v>
      </c>
      <c r="E8606" s="228"/>
      <c r="F8606" s="109" t="s">
        <v>23749</v>
      </c>
      <c r="G8606" s="24"/>
      <c r="H8606" s="230">
        <v>4</v>
      </c>
      <c r="I8606" s="220">
        <v>1033000</v>
      </c>
      <c r="J8606" s="220">
        <f>I8606*0.1</f>
        <v>103300</v>
      </c>
      <c r="K8606" s="220">
        <v>0</v>
      </c>
      <c r="L8606" s="220">
        <v>10360</v>
      </c>
      <c r="M8606" s="220">
        <v>13200</v>
      </c>
      <c r="N8606" s="220">
        <f>SUM(I8606:M8607)</f>
        <v>1159860</v>
      </c>
      <c r="O8606" s="224"/>
      <c r="P8606" s="110"/>
      <c r="Q8606" s="15" t="s">
        <v>19</v>
      </c>
      <c r="R8606" s="205"/>
      <c r="S8606" s="189"/>
      <c r="T8606" s="114" t="s">
        <v>7899</v>
      </c>
      <c r="U8606" s="21"/>
      <c r="V8606" s="115"/>
      <c r="W8606" s="116"/>
      <c r="X8606" s="220"/>
      <c r="Y8606" s="220">
        <f>X8606*0.1</f>
        <v>0</v>
      </c>
      <c r="Z8606" s="220"/>
      <c r="AA8606" s="220">
        <f>SUM(X8606:Z8606)</f>
        <v>0</v>
      </c>
      <c r="AB8606" s="222"/>
    </row>
    <row r="8607" spans="1:28" ht="17.100000000000001" customHeight="1" thickBot="1">
      <c r="A8607" s="234"/>
      <c r="B8607" s="27" t="s">
        <v>2472</v>
      </c>
      <c r="C8607" s="27">
        <v>53503</v>
      </c>
      <c r="D8607" s="14" t="s">
        <v>23794</v>
      </c>
      <c r="E8607" s="229"/>
      <c r="F8607" s="117" t="s">
        <v>23750</v>
      </c>
      <c r="G8607" s="26">
        <v>37843</v>
      </c>
      <c r="H8607" s="231"/>
      <c r="I8607" s="221"/>
      <c r="J8607" s="221"/>
      <c r="K8607" s="221"/>
      <c r="L8607" s="221"/>
      <c r="M8607" s="221"/>
      <c r="N8607" s="221"/>
      <c r="O8607" s="225"/>
      <c r="P8607" s="118"/>
      <c r="Q8607" s="16" t="s">
        <v>20</v>
      </c>
      <c r="R8607" s="17" t="s">
        <v>10331</v>
      </c>
      <c r="S8607" s="121"/>
      <c r="T8607" s="122"/>
      <c r="U8607" s="22"/>
      <c r="V8607" s="123"/>
      <c r="W8607" s="122"/>
      <c r="X8607" s="221"/>
      <c r="Y8607" s="221"/>
      <c r="Z8607" s="221"/>
      <c r="AA8607" s="221"/>
      <c r="AB8607" s="223"/>
    </row>
    <row r="8608" spans="1:28" ht="17.100000000000001" customHeight="1" thickTop="1">
      <c r="A8608" s="226" t="s">
        <v>23763</v>
      </c>
      <c r="B8608" s="28">
        <v>46137</v>
      </c>
      <c r="C8608" s="25">
        <v>1298</v>
      </c>
      <c r="D8608" s="13" t="s">
        <v>23877</v>
      </c>
      <c r="E8608" s="228"/>
      <c r="F8608" s="109" t="s">
        <v>23751</v>
      </c>
      <c r="G8608" s="24" t="s">
        <v>23786</v>
      </c>
      <c r="H8608" s="230">
        <v>4.5</v>
      </c>
      <c r="I8608" s="220">
        <v>500000</v>
      </c>
      <c r="J8608" s="220">
        <f>I8608*0.1</f>
        <v>50000</v>
      </c>
      <c r="K8608" s="220">
        <v>0</v>
      </c>
      <c r="L8608" s="220">
        <v>5870</v>
      </c>
      <c r="M8608" s="220">
        <v>23100</v>
      </c>
      <c r="N8608" s="220">
        <f>SUM(I8608:M8609)</f>
        <v>578970</v>
      </c>
      <c r="O8608" s="224"/>
      <c r="P8608" s="110" t="s">
        <v>23878</v>
      </c>
      <c r="Q8608" s="15" t="s">
        <v>19</v>
      </c>
      <c r="R8608" s="205"/>
      <c r="S8608" s="189"/>
      <c r="T8608" s="114"/>
      <c r="U8608" s="21"/>
      <c r="V8608" s="115">
        <v>46141</v>
      </c>
      <c r="W8608" s="116">
        <v>1015</v>
      </c>
      <c r="X8608" s="220">
        <v>650000</v>
      </c>
      <c r="Y8608" s="220">
        <f>X8608*0.1</f>
        <v>65000</v>
      </c>
      <c r="Z8608" s="220">
        <v>5870</v>
      </c>
      <c r="AA8608" s="220">
        <f>SUM(X8608:Z8608)</f>
        <v>720870</v>
      </c>
      <c r="AB8608" s="222">
        <v>46154</v>
      </c>
    </row>
    <row r="8609" spans="1:28" ht="17.100000000000001" customHeight="1" thickBot="1">
      <c r="A8609" s="227"/>
      <c r="B8609" s="27" t="s">
        <v>2472</v>
      </c>
      <c r="C8609" s="27">
        <v>65038</v>
      </c>
      <c r="D8609" s="14" t="s">
        <v>23782</v>
      </c>
      <c r="E8609" s="229"/>
      <c r="F8609" s="117" t="s">
        <v>23752</v>
      </c>
      <c r="G8609" s="26">
        <v>23770</v>
      </c>
      <c r="H8609" s="231"/>
      <c r="I8609" s="221"/>
      <c r="J8609" s="221"/>
      <c r="K8609" s="221"/>
      <c r="L8609" s="221"/>
      <c r="M8609" s="221"/>
      <c r="N8609" s="221"/>
      <c r="O8609" s="225"/>
      <c r="P8609" s="118" t="s">
        <v>24420</v>
      </c>
      <c r="Q8609" s="16" t="s">
        <v>20</v>
      </c>
      <c r="R8609" s="17" t="s">
        <v>1983</v>
      </c>
      <c r="S8609" s="121" t="s">
        <v>169</v>
      </c>
      <c r="T8609" s="122"/>
      <c r="U8609" s="22"/>
      <c r="V8609" s="123" t="s">
        <v>24607</v>
      </c>
      <c r="W8609" s="122">
        <v>2114</v>
      </c>
      <c r="X8609" s="221"/>
      <c r="Y8609" s="221"/>
      <c r="Z8609" s="221"/>
      <c r="AA8609" s="221"/>
      <c r="AB8609" s="223"/>
    </row>
    <row r="8610" spans="1:28" ht="17.100000000000001" customHeight="1" thickTop="1">
      <c r="A8610" s="226" t="s">
        <v>23764</v>
      </c>
      <c r="B8610" s="28">
        <v>46137</v>
      </c>
      <c r="C8610" s="25">
        <v>1298</v>
      </c>
      <c r="D8610" s="13" t="s">
        <v>23879</v>
      </c>
      <c r="E8610" s="228"/>
      <c r="F8610" s="109" t="s">
        <v>23753</v>
      </c>
      <c r="G8610" s="24"/>
      <c r="H8610" s="230">
        <v>4.5</v>
      </c>
      <c r="I8610" s="220">
        <v>830000</v>
      </c>
      <c r="J8610" s="220">
        <f>I8610*0.1</f>
        <v>83000</v>
      </c>
      <c r="K8610" s="220">
        <v>0</v>
      </c>
      <c r="L8610" s="220">
        <v>8740</v>
      </c>
      <c r="M8610" s="220">
        <v>12100</v>
      </c>
      <c r="N8610" s="220">
        <f>SUM(I8610:M8611)</f>
        <v>933840</v>
      </c>
      <c r="O8610" s="224"/>
      <c r="P8610" s="110" t="s">
        <v>24434</v>
      </c>
      <c r="Q8610" s="15" t="s">
        <v>19</v>
      </c>
      <c r="R8610" s="205"/>
      <c r="S8610" s="189" t="s">
        <v>25980</v>
      </c>
      <c r="T8610" s="114"/>
      <c r="U8610" s="21"/>
      <c r="V8610" s="115">
        <v>46162</v>
      </c>
      <c r="W8610" s="116">
        <v>1017</v>
      </c>
      <c r="X8610" s="220">
        <v>915000</v>
      </c>
      <c r="Y8610" s="220">
        <f>X8610*0.1</f>
        <v>91500</v>
      </c>
      <c r="Z8610" s="220">
        <v>8740</v>
      </c>
      <c r="AA8610" s="220">
        <f>SUM(X8610:Z8610)</f>
        <v>1015240</v>
      </c>
      <c r="AB8610" s="222">
        <v>46167</v>
      </c>
    </row>
    <row r="8611" spans="1:28" ht="17.100000000000001" customHeight="1" thickBot="1">
      <c r="A8611" s="227"/>
      <c r="B8611" s="27" t="s">
        <v>2472</v>
      </c>
      <c r="C8611" s="27">
        <v>65145</v>
      </c>
      <c r="D8611" s="14" t="s">
        <v>23880</v>
      </c>
      <c r="E8611" s="229"/>
      <c r="F8611" s="117" t="s">
        <v>23754</v>
      </c>
      <c r="G8611" s="26">
        <v>49171</v>
      </c>
      <c r="H8611" s="231"/>
      <c r="I8611" s="221"/>
      <c r="J8611" s="221"/>
      <c r="K8611" s="221"/>
      <c r="L8611" s="221"/>
      <c r="M8611" s="221"/>
      <c r="N8611" s="221"/>
      <c r="O8611" s="225"/>
      <c r="P8611" s="118" t="s">
        <v>2870</v>
      </c>
      <c r="Q8611" s="16" t="s">
        <v>20</v>
      </c>
      <c r="R8611" s="17" t="s">
        <v>1983</v>
      </c>
      <c r="S8611" s="121" t="s">
        <v>24435</v>
      </c>
      <c r="T8611" s="122"/>
      <c r="U8611" s="22"/>
      <c r="V8611" s="123" t="s">
        <v>8877</v>
      </c>
      <c r="W8611" s="122">
        <v>2032</v>
      </c>
      <c r="X8611" s="221"/>
      <c r="Y8611" s="221"/>
      <c r="Z8611" s="221"/>
      <c r="AA8611" s="221"/>
      <c r="AB8611" s="223"/>
    </row>
    <row r="8612" spans="1:28" ht="17.100000000000001" customHeight="1" thickTop="1">
      <c r="A8612" s="226" t="s">
        <v>23765</v>
      </c>
      <c r="B8612" s="28">
        <v>46137</v>
      </c>
      <c r="C8612" s="25">
        <v>1298</v>
      </c>
      <c r="D8612" s="13" t="s">
        <v>23820</v>
      </c>
      <c r="E8612" s="228"/>
      <c r="F8612" s="109" t="s">
        <v>23755</v>
      </c>
      <c r="G8612" s="24" t="s">
        <v>23881</v>
      </c>
      <c r="H8612" s="230">
        <v>4</v>
      </c>
      <c r="I8612" s="220">
        <v>525000</v>
      </c>
      <c r="J8612" s="220">
        <f>I8612*0.1</f>
        <v>52500</v>
      </c>
      <c r="K8612" s="220">
        <v>0</v>
      </c>
      <c r="L8612" s="220">
        <v>9790</v>
      </c>
      <c r="M8612" s="220">
        <v>12100</v>
      </c>
      <c r="N8612" s="220">
        <f>SUM(I8612:M8613)</f>
        <v>599390</v>
      </c>
      <c r="O8612" s="224"/>
      <c r="P8612" s="110" t="s">
        <v>23882</v>
      </c>
      <c r="Q8612" s="15" t="s">
        <v>19</v>
      </c>
      <c r="R8612" s="205"/>
      <c r="S8612" s="189"/>
      <c r="T8612" s="114"/>
      <c r="U8612" s="21"/>
      <c r="V8612" s="115"/>
      <c r="W8612" s="116"/>
      <c r="X8612" s="220"/>
      <c r="Y8612" s="220">
        <f>X8612*0.1</f>
        <v>0</v>
      </c>
      <c r="Z8612" s="220"/>
      <c r="AA8612" s="220">
        <f>SUM(X8612:Z8612)</f>
        <v>0</v>
      </c>
      <c r="AB8612" s="222"/>
    </row>
    <row r="8613" spans="1:28" ht="17.100000000000001" customHeight="1" thickBot="1">
      <c r="A8613" s="227"/>
      <c r="B8613" s="27" t="s">
        <v>2472</v>
      </c>
      <c r="C8613" s="27">
        <v>65197</v>
      </c>
      <c r="D8613" s="14" t="s">
        <v>23821</v>
      </c>
      <c r="E8613" s="229"/>
      <c r="F8613" s="117" t="s">
        <v>23756</v>
      </c>
      <c r="G8613" s="26">
        <v>62088</v>
      </c>
      <c r="H8613" s="231"/>
      <c r="I8613" s="221"/>
      <c r="J8613" s="221"/>
      <c r="K8613" s="221"/>
      <c r="L8613" s="221"/>
      <c r="M8613" s="221"/>
      <c r="N8613" s="221"/>
      <c r="O8613" s="225"/>
      <c r="P8613" s="118" t="s">
        <v>2870</v>
      </c>
      <c r="Q8613" s="16" t="s">
        <v>20</v>
      </c>
      <c r="R8613" s="17" t="s">
        <v>1983</v>
      </c>
      <c r="S8613" s="121" t="s">
        <v>24433</v>
      </c>
      <c r="T8613" s="122" t="s">
        <v>23936</v>
      </c>
      <c r="U8613" s="22"/>
      <c r="V8613" s="123"/>
      <c r="W8613" s="122"/>
      <c r="X8613" s="221"/>
      <c r="Y8613" s="221"/>
      <c r="Z8613" s="221"/>
      <c r="AA8613" s="221"/>
      <c r="AB8613" s="223"/>
    </row>
    <row r="8614" spans="1:28" ht="17.100000000000001" customHeight="1" thickTop="1">
      <c r="A8614" s="226" t="s">
        <v>23766</v>
      </c>
      <c r="B8614" s="28">
        <v>46137</v>
      </c>
      <c r="C8614" s="25">
        <v>1298</v>
      </c>
      <c r="D8614" s="13" t="s">
        <v>23792</v>
      </c>
      <c r="E8614" s="228"/>
      <c r="F8614" s="109" t="s">
        <v>23254</v>
      </c>
      <c r="G8614" s="24" t="s">
        <v>23883</v>
      </c>
      <c r="H8614" s="230">
        <v>4.5</v>
      </c>
      <c r="I8614" s="220">
        <v>1165000</v>
      </c>
      <c r="J8614" s="220">
        <f>I8614*0.1</f>
        <v>116500</v>
      </c>
      <c r="K8614" s="220">
        <v>0</v>
      </c>
      <c r="L8614" s="220">
        <v>8390</v>
      </c>
      <c r="M8614" s="220">
        <v>12100</v>
      </c>
      <c r="N8614" s="220">
        <f>SUM(I8614:M8615)</f>
        <v>1301990</v>
      </c>
      <c r="O8614" s="224"/>
      <c r="P8614" s="110" t="s">
        <v>23884</v>
      </c>
      <c r="Q8614" s="15" t="s">
        <v>19</v>
      </c>
      <c r="R8614" s="205"/>
      <c r="S8614" s="189" t="s">
        <v>758</v>
      </c>
      <c r="T8614" s="114"/>
      <c r="U8614" s="21" t="s">
        <v>26507</v>
      </c>
      <c r="V8614" s="115"/>
      <c r="W8614" s="116"/>
      <c r="X8614" s="220"/>
      <c r="Y8614" s="220">
        <f>X8614*0.1</f>
        <v>0</v>
      </c>
      <c r="Z8614" s="220"/>
      <c r="AA8614" s="220">
        <f>SUM(X8614:Z8614)</f>
        <v>0</v>
      </c>
      <c r="AB8614" s="222"/>
    </row>
    <row r="8615" spans="1:28" ht="17.100000000000001" customHeight="1" thickBot="1">
      <c r="A8615" s="227"/>
      <c r="B8615" s="27" t="s">
        <v>2472</v>
      </c>
      <c r="C8615" s="27">
        <v>65286</v>
      </c>
      <c r="D8615" s="14" t="s">
        <v>23794</v>
      </c>
      <c r="E8615" s="229"/>
      <c r="F8615" s="117" t="s">
        <v>23757</v>
      </c>
      <c r="G8615" s="26">
        <v>46340</v>
      </c>
      <c r="H8615" s="231"/>
      <c r="I8615" s="221"/>
      <c r="J8615" s="221"/>
      <c r="K8615" s="221"/>
      <c r="L8615" s="221"/>
      <c r="M8615" s="221"/>
      <c r="N8615" s="221"/>
      <c r="O8615" s="225"/>
      <c r="P8615" s="118" t="s">
        <v>24432</v>
      </c>
      <c r="Q8615" s="16" t="s">
        <v>20</v>
      </c>
      <c r="R8615" s="17" t="s">
        <v>1983</v>
      </c>
      <c r="S8615" s="121" t="s">
        <v>5180</v>
      </c>
      <c r="T8615" s="122"/>
      <c r="U8615" s="22"/>
      <c r="V8615" s="123"/>
      <c r="W8615" s="122"/>
      <c r="X8615" s="221"/>
      <c r="Y8615" s="221"/>
      <c r="Z8615" s="221"/>
      <c r="AA8615" s="221"/>
      <c r="AB8615" s="223"/>
    </row>
    <row r="8616" spans="1:28" ht="17.100000000000001" customHeight="1" thickTop="1">
      <c r="A8616" s="226" t="s">
        <v>23767</v>
      </c>
      <c r="B8616" s="28">
        <v>46137</v>
      </c>
      <c r="C8616" s="25">
        <v>1298</v>
      </c>
      <c r="D8616" s="13" t="s">
        <v>23885</v>
      </c>
      <c r="E8616" s="228"/>
      <c r="F8616" s="109" t="s">
        <v>23758</v>
      </c>
      <c r="G8616" s="24" t="s">
        <v>23771</v>
      </c>
      <c r="H8616" s="230">
        <v>4</v>
      </c>
      <c r="I8616" s="220">
        <v>455000</v>
      </c>
      <c r="J8616" s="220">
        <f>I8616*0.1</f>
        <v>45500</v>
      </c>
      <c r="K8616" s="220">
        <v>0</v>
      </c>
      <c r="L8616" s="220">
        <v>7950</v>
      </c>
      <c r="M8616" s="220">
        <v>12100</v>
      </c>
      <c r="N8616" s="220">
        <f>SUM(I8616:M8617)</f>
        <v>520550</v>
      </c>
      <c r="O8616" s="224"/>
      <c r="P8616" s="110" t="s">
        <v>23886</v>
      </c>
      <c r="Q8616" s="15" t="s">
        <v>19</v>
      </c>
      <c r="R8616" s="205"/>
      <c r="S8616" s="189"/>
      <c r="T8616" s="114"/>
      <c r="U8616" s="21"/>
      <c r="V8616" s="115"/>
      <c r="W8616" s="116"/>
      <c r="X8616" s="220"/>
      <c r="Y8616" s="220">
        <f>X8616*0.1</f>
        <v>0</v>
      </c>
      <c r="Z8616" s="220"/>
      <c r="AA8616" s="220">
        <f>SUM(X8616:Z8616)</f>
        <v>0</v>
      </c>
      <c r="AB8616" s="222"/>
    </row>
    <row r="8617" spans="1:28" ht="17.100000000000001" customHeight="1" thickBot="1">
      <c r="A8617" s="227"/>
      <c r="B8617" s="27" t="s">
        <v>2472</v>
      </c>
      <c r="C8617" s="27">
        <v>65368</v>
      </c>
      <c r="D8617" s="14" t="s">
        <v>23880</v>
      </c>
      <c r="E8617" s="229"/>
      <c r="F8617" s="117" t="s">
        <v>23759</v>
      </c>
      <c r="G8617" s="26">
        <v>62500</v>
      </c>
      <c r="H8617" s="231"/>
      <c r="I8617" s="221"/>
      <c r="J8617" s="221"/>
      <c r="K8617" s="221"/>
      <c r="L8617" s="221"/>
      <c r="M8617" s="221"/>
      <c r="N8617" s="221"/>
      <c r="O8617" s="225"/>
      <c r="P8617" s="118" t="s">
        <v>24436</v>
      </c>
      <c r="Q8617" s="16" t="s">
        <v>20</v>
      </c>
      <c r="R8617" s="17" t="s">
        <v>1983</v>
      </c>
      <c r="S8617" s="121" t="s">
        <v>1731</v>
      </c>
      <c r="T8617" s="122"/>
      <c r="U8617" s="22"/>
      <c r="V8617" s="123"/>
      <c r="W8617" s="122"/>
      <c r="X8617" s="221"/>
      <c r="Y8617" s="221"/>
      <c r="Z8617" s="221"/>
      <c r="AA8617" s="221"/>
      <c r="AB8617" s="223"/>
    </row>
    <row r="8618" spans="1:28" ht="17.100000000000001" customHeight="1" thickTop="1">
      <c r="A8618" s="226" t="s">
        <v>23768</v>
      </c>
      <c r="B8618" s="28">
        <v>46137</v>
      </c>
      <c r="C8618" s="25">
        <v>1298</v>
      </c>
      <c r="D8618" s="13" t="s">
        <v>23887</v>
      </c>
      <c r="E8618" s="228"/>
      <c r="F8618" s="109" t="s">
        <v>23725</v>
      </c>
      <c r="G8618" s="24"/>
      <c r="H8618" s="230">
        <v>4.5</v>
      </c>
      <c r="I8618" s="220">
        <v>1495000</v>
      </c>
      <c r="J8618" s="220">
        <f>I8618*0.1</f>
        <v>149500</v>
      </c>
      <c r="K8618" s="220">
        <v>0</v>
      </c>
      <c r="L8618" s="220">
        <v>14390</v>
      </c>
      <c r="M8618" s="220">
        <v>16500</v>
      </c>
      <c r="N8618" s="220">
        <f>SUM(I8618:M8619)</f>
        <v>1675390</v>
      </c>
      <c r="O8618" s="224"/>
      <c r="P8618" s="110" t="s">
        <v>24419</v>
      </c>
      <c r="Q8618" s="15" t="s">
        <v>19</v>
      </c>
      <c r="R8618" s="205"/>
      <c r="S8618" s="189" t="s">
        <v>529</v>
      </c>
      <c r="T8618" s="114"/>
      <c r="U8618" s="21"/>
      <c r="V8618" s="115">
        <v>46142</v>
      </c>
      <c r="W8618" s="116">
        <v>1329</v>
      </c>
      <c r="X8618" s="220">
        <v>1660000</v>
      </c>
      <c r="Y8618" s="220">
        <f>X8618*0.1</f>
        <v>166000</v>
      </c>
      <c r="Z8618" s="220">
        <v>14390</v>
      </c>
      <c r="AA8618" s="220">
        <f>SUM(X8618:Z8618)</f>
        <v>1840390</v>
      </c>
      <c r="AB8618" s="222">
        <v>46143</v>
      </c>
    </row>
    <row r="8619" spans="1:28" ht="17.100000000000001" customHeight="1" thickBot="1">
      <c r="A8619" s="227"/>
      <c r="B8619" s="27" t="s">
        <v>2472</v>
      </c>
      <c r="C8619" s="27">
        <v>81077</v>
      </c>
      <c r="D8619" s="14" t="s">
        <v>23770</v>
      </c>
      <c r="E8619" s="229"/>
      <c r="F8619" s="117" t="s">
        <v>23888</v>
      </c>
      <c r="G8619" s="26">
        <v>45480</v>
      </c>
      <c r="H8619" s="231"/>
      <c r="I8619" s="221"/>
      <c r="J8619" s="221"/>
      <c r="K8619" s="221"/>
      <c r="L8619" s="221"/>
      <c r="M8619" s="221"/>
      <c r="N8619" s="221"/>
      <c r="O8619" s="225"/>
      <c r="P8619" s="118" t="s">
        <v>1586</v>
      </c>
      <c r="Q8619" s="16" t="s">
        <v>20</v>
      </c>
      <c r="R8619" s="17" t="s">
        <v>1983</v>
      </c>
      <c r="S8619" s="121" t="s">
        <v>4798</v>
      </c>
      <c r="T8619" s="122"/>
      <c r="U8619" s="22"/>
      <c r="V8619" s="123" t="s">
        <v>1735</v>
      </c>
      <c r="W8619" s="122">
        <v>504</v>
      </c>
      <c r="X8619" s="221"/>
      <c r="Y8619" s="221"/>
      <c r="Z8619" s="221"/>
      <c r="AA8619" s="221"/>
      <c r="AB8619" s="223"/>
    </row>
    <row r="8620" spans="1:28" ht="17.100000000000001" customHeight="1" thickTop="1">
      <c r="A8620" s="226" t="s">
        <v>23892</v>
      </c>
      <c r="B8620" s="28">
        <v>46137</v>
      </c>
      <c r="C8620" s="25">
        <v>1716</v>
      </c>
      <c r="D8620" s="13" t="s">
        <v>1887</v>
      </c>
      <c r="E8620" s="228"/>
      <c r="F8620" s="109" t="s">
        <v>1854</v>
      </c>
      <c r="G8620" s="24"/>
      <c r="H8620" s="230">
        <v>3.5</v>
      </c>
      <c r="I8620" s="220">
        <v>1725000</v>
      </c>
      <c r="J8620" s="220">
        <f>I8620*0.1</f>
        <v>172500</v>
      </c>
      <c r="K8620" s="220">
        <v>0</v>
      </c>
      <c r="L8620" s="220">
        <v>16240</v>
      </c>
      <c r="M8620" s="220">
        <v>16500</v>
      </c>
      <c r="N8620" s="220">
        <f>SUM(I8620:M8621)</f>
        <v>1930240</v>
      </c>
      <c r="O8620" s="224"/>
      <c r="P8620" s="110" t="s">
        <v>23986</v>
      </c>
      <c r="Q8620" s="15" t="s">
        <v>19</v>
      </c>
      <c r="R8620" s="205"/>
      <c r="S8620" s="189" t="s">
        <v>1422</v>
      </c>
      <c r="T8620" s="114"/>
      <c r="U8620" s="21"/>
      <c r="V8620" s="115"/>
      <c r="W8620" s="116"/>
      <c r="X8620" s="220"/>
      <c r="Y8620" s="220">
        <f>X8620*0.1</f>
        <v>0</v>
      </c>
      <c r="Z8620" s="220"/>
      <c r="AA8620" s="220">
        <f>SUM(X8620:Z8620)</f>
        <v>0</v>
      </c>
      <c r="AB8620" s="222"/>
    </row>
    <row r="8621" spans="1:28" ht="17.100000000000001" customHeight="1" thickBot="1">
      <c r="A8621" s="227"/>
      <c r="B8621" s="27" t="s">
        <v>23891</v>
      </c>
      <c r="C8621" s="27">
        <v>217</v>
      </c>
      <c r="D8621" s="14" t="s">
        <v>273</v>
      </c>
      <c r="E8621" s="229"/>
      <c r="F8621" s="117" t="s">
        <v>23894</v>
      </c>
      <c r="G8621" s="26">
        <v>33637</v>
      </c>
      <c r="H8621" s="231"/>
      <c r="I8621" s="221"/>
      <c r="J8621" s="221"/>
      <c r="K8621" s="221"/>
      <c r="L8621" s="221"/>
      <c r="M8621" s="221"/>
      <c r="N8621" s="221"/>
      <c r="O8621" s="225"/>
      <c r="P8621" s="118" t="s">
        <v>18368</v>
      </c>
      <c r="Q8621" s="16" t="s">
        <v>20</v>
      </c>
      <c r="R8621" s="17" t="s">
        <v>1939</v>
      </c>
      <c r="S8621" s="121" t="s">
        <v>1923</v>
      </c>
      <c r="T8621" s="122"/>
      <c r="U8621" s="22"/>
      <c r="V8621" s="123"/>
      <c r="W8621" s="122"/>
      <c r="X8621" s="221"/>
      <c r="Y8621" s="221"/>
      <c r="Z8621" s="221"/>
      <c r="AA8621" s="221"/>
      <c r="AB8621" s="223"/>
    </row>
    <row r="8622" spans="1:28" ht="17.100000000000001" customHeight="1" thickTop="1">
      <c r="A8622" s="226" t="s">
        <v>23893</v>
      </c>
      <c r="B8622" s="28">
        <v>46137</v>
      </c>
      <c r="C8622" s="25">
        <v>1716</v>
      </c>
      <c r="D8622" s="13" t="s">
        <v>2920</v>
      </c>
      <c r="E8622" s="228"/>
      <c r="F8622" s="109" t="s">
        <v>16050</v>
      </c>
      <c r="G8622" s="24"/>
      <c r="H8622" s="230">
        <v>4</v>
      </c>
      <c r="I8622" s="220">
        <v>2425000</v>
      </c>
      <c r="J8622" s="220">
        <f>I8622*0.1</f>
        <v>242500</v>
      </c>
      <c r="K8622" s="220">
        <v>0</v>
      </c>
      <c r="L8622" s="220">
        <v>22030</v>
      </c>
      <c r="M8622" s="220">
        <v>16500</v>
      </c>
      <c r="N8622" s="220">
        <f>SUM(I8622:M8623)</f>
        <v>2706030</v>
      </c>
      <c r="O8622" s="224"/>
      <c r="P8622" s="110" t="s">
        <v>24522</v>
      </c>
      <c r="Q8622" s="15" t="s">
        <v>19</v>
      </c>
      <c r="R8622" s="205"/>
      <c r="S8622" s="189" t="s">
        <v>25391</v>
      </c>
      <c r="T8622" s="114"/>
      <c r="U8622" s="21"/>
      <c r="V8622" s="115">
        <v>46158</v>
      </c>
      <c r="W8622" s="116">
        <v>1300</v>
      </c>
      <c r="X8622" s="220">
        <v>2640000</v>
      </c>
      <c r="Y8622" s="220">
        <f>X8622*0.1</f>
        <v>264000</v>
      </c>
      <c r="Z8622" s="220">
        <v>22030</v>
      </c>
      <c r="AA8622" s="220">
        <f>SUM(X8622:Z8622)</f>
        <v>2926030</v>
      </c>
      <c r="AB8622" s="222">
        <v>46161</v>
      </c>
    </row>
    <row r="8623" spans="1:28" ht="17.100000000000001" customHeight="1" thickBot="1">
      <c r="A8623" s="227"/>
      <c r="B8623" s="27" t="s">
        <v>23891</v>
      </c>
      <c r="C8623" s="27">
        <v>576</v>
      </c>
      <c r="D8623" s="14" t="s">
        <v>131</v>
      </c>
      <c r="E8623" s="229"/>
      <c r="F8623" s="117" t="s">
        <v>23895</v>
      </c>
      <c r="G8623" s="26">
        <v>60465</v>
      </c>
      <c r="H8623" s="231"/>
      <c r="I8623" s="221"/>
      <c r="J8623" s="221"/>
      <c r="K8623" s="221"/>
      <c r="L8623" s="221"/>
      <c r="M8623" s="221"/>
      <c r="N8623" s="221"/>
      <c r="O8623" s="225"/>
      <c r="P8623" s="118" t="s">
        <v>2187</v>
      </c>
      <c r="Q8623" s="16" t="s">
        <v>20</v>
      </c>
      <c r="R8623" s="17" t="s">
        <v>4213</v>
      </c>
      <c r="S8623" s="121" t="s">
        <v>1606</v>
      </c>
      <c r="T8623" s="122"/>
      <c r="U8623" s="22"/>
      <c r="V8623" s="123" t="s">
        <v>2472</v>
      </c>
      <c r="W8623" s="122">
        <v>80051</v>
      </c>
      <c r="X8623" s="221"/>
      <c r="Y8623" s="221"/>
      <c r="Z8623" s="221"/>
      <c r="AA8623" s="221"/>
      <c r="AB8623" s="223"/>
    </row>
    <row r="8624" spans="1:28" ht="17.100000000000001" customHeight="1" thickTop="1">
      <c r="A8624" s="226" t="s">
        <v>23896</v>
      </c>
      <c r="B8624" s="28">
        <v>46138</v>
      </c>
      <c r="C8624" s="25"/>
      <c r="D8624" s="13" t="s">
        <v>3327</v>
      </c>
      <c r="E8624" s="228"/>
      <c r="F8624" s="109" t="s">
        <v>23898</v>
      </c>
      <c r="G8624" s="24" t="s">
        <v>9243</v>
      </c>
      <c r="H8624" s="230"/>
      <c r="I8624" s="220"/>
      <c r="J8624" s="220">
        <f>I8624*0.1</f>
        <v>0</v>
      </c>
      <c r="K8624" s="220">
        <v>0</v>
      </c>
      <c r="L8624" s="220"/>
      <c r="M8624" s="220"/>
      <c r="N8624" s="220">
        <f>SUM(I8624:M8625)</f>
        <v>0</v>
      </c>
      <c r="O8624" s="224"/>
      <c r="P8624" s="110" t="s">
        <v>23900</v>
      </c>
      <c r="Q8624" s="15" t="s">
        <v>19</v>
      </c>
      <c r="R8624" s="205"/>
      <c r="S8624" s="189"/>
      <c r="T8624" s="114"/>
      <c r="U8624" s="21"/>
      <c r="V8624" s="115"/>
      <c r="W8624" s="116"/>
      <c r="X8624" s="220"/>
      <c r="Y8624" s="220">
        <f>X8624*0.1</f>
        <v>0</v>
      </c>
      <c r="Z8624" s="220"/>
      <c r="AA8624" s="220">
        <f>SUM(X8624:Z8624)</f>
        <v>0</v>
      </c>
      <c r="AB8624" s="222"/>
    </row>
    <row r="8625" spans="1:28" ht="17.100000000000001" customHeight="1" thickBot="1">
      <c r="A8625" s="227"/>
      <c r="B8625" s="27" t="s">
        <v>23897</v>
      </c>
      <c r="C8625" s="27"/>
      <c r="D8625" s="14"/>
      <c r="E8625" s="229"/>
      <c r="F8625" s="117" t="s">
        <v>23899</v>
      </c>
      <c r="G8625" s="26"/>
      <c r="H8625" s="231"/>
      <c r="I8625" s="221"/>
      <c r="J8625" s="221"/>
      <c r="K8625" s="221"/>
      <c r="L8625" s="221"/>
      <c r="M8625" s="221"/>
      <c r="N8625" s="221"/>
      <c r="O8625" s="225"/>
      <c r="P8625" s="118" t="s">
        <v>23901</v>
      </c>
      <c r="Q8625" s="16" t="s">
        <v>20</v>
      </c>
      <c r="R8625" s="17" t="s">
        <v>23902</v>
      </c>
      <c r="S8625" s="121" t="s">
        <v>3071</v>
      </c>
      <c r="T8625" s="122"/>
      <c r="U8625" s="22"/>
      <c r="V8625" s="123"/>
      <c r="W8625" s="122"/>
      <c r="X8625" s="221"/>
      <c r="Y8625" s="221"/>
      <c r="Z8625" s="221"/>
      <c r="AA8625" s="221"/>
      <c r="AB8625" s="223"/>
    </row>
    <row r="8626" spans="1:28" ht="17.100000000000001" customHeight="1" thickTop="1">
      <c r="A8626" s="226" t="s">
        <v>23948</v>
      </c>
      <c r="B8626" s="28">
        <v>46139</v>
      </c>
      <c r="C8626" s="25">
        <v>2091</v>
      </c>
      <c r="D8626" s="13" t="s">
        <v>2267</v>
      </c>
      <c r="E8626" s="228"/>
      <c r="F8626" s="109" t="s">
        <v>23953</v>
      </c>
      <c r="G8626" s="24" t="s">
        <v>1540</v>
      </c>
      <c r="H8626" s="230">
        <v>4</v>
      </c>
      <c r="I8626" s="220">
        <v>835000</v>
      </c>
      <c r="J8626" s="220">
        <f>I8626*0.1</f>
        <v>83500</v>
      </c>
      <c r="K8626" s="220">
        <f>36200+3620</f>
        <v>39820</v>
      </c>
      <c r="L8626" s="220">
        <v>21440</v>
      </c>
      <c r="M8626" s="220">
        <v>11000</v>
      </c>
      <c r="N8626" s="220">
        <f>SUM(I8626:M8627)</f>
        <v>990760</v>
      </c>
      <c r="O8626" s="224"/>
      <c r="P8626" s="110" t="s">
        <v>23955</v>
      </c>
      <c r="Q8626" s="15" t="s">
        <v>19</v>
      </c>
      <c r="R8626" s="205"/>
      <c r="S8626" s="189" t="s">
        <v>25371</v>
      </c>
      <c r="T8626" s="114"/>
      <c r="U8626" s="21"/>
      <c r="V8626" s="115">
        <v>46158</v>
      </c>
      <c r="W8626" s="116">
        <v>1300</v>
      </c>
      <c r="X8626" s="220">
        <v>950000</v>
      </c>
      <c r="Y8626" s="220">
        <f>X8626*0.1</f>
        <v>95000</v>
      </c>
      <c r="Z8626" s="220">
        <v>21440</v>
      </c>
      <c r="AA8626" s="220">
        <f>SUM(X8626:Z8626)</f>
        <v>1066440</v>
      </c>
      <c r="AB8626" s="222">
        <v>46167</v>
      </c>
    </row>
    <row r="8627" spans="1:28" ht="17.100000000000001" customHeight="1" thickBot="1">
      <c r="A8627" s="227"/>
      <c r="B8627" s="27" t="s">
        <v>82</v>
      </c>
      <c r="C8627" s="27">
        <v>36004</v>
      </c>
      <c r="D8627" s="14" t="s">
        <v>1584</v>
      </c>
      <c r="E8627" s="229"/>
      <c r="F8627" s="117" t="s">
        <v>23954</v>
      </c>
      <c r="G8627" s="26">
        <v>78046</v>
      </c>
      <c r="H8627" s="231"/>
      <c r="I8627" s="221"/>
      <c r="J8627" s="221"/>
      <c r="K8627" s="221"/>
      <c r="L8627" s="221"/>
      <c r="M8627" s="221"/>
      <c r="N8627" s="221"/>
      <c r="O8627" s="225"/>
      <c r="P8627" s="118" t="s">
        <v>24123</v>
      </c>
      <c r="Q8627" s="16" t="s">
        <v>20</v>
      </c>
      <c r="R8627" s="17" t="s">
        <v>24115</v>
      </c>
      <c r="S8627" s="121" t="s">
        <v>2872</v>
      </c>
      <c r="T8627" s="122"/>
      <c r="U8627" s="22"/>
      <c r="V8627" s="123" t="s">
        <v>6641</v>
      </c>
      <c r="W8627" s="122">
        <v>80046</v>
      </c>
      <c r="X8627" s="221"/>
      <c r="Y8627" s="221"/>
      <c r="Z8627" s="221"/>
      <c r="AA8627" s="221"/>
      <c r="AB8627" s="223"/>
    </row>
    <row r="8628" spans="1:28" ht="17.100000000000001" customHeight="1" thickTop="1">
      <c r="A8628" s="226" t="s">
        <v>23949</v>
      </c>
      <c r="B8628" s="28">
        <v>46139</v>
      </c>
      <c r="C8628" s="25"/>
      <c r="D8628" s="13" t="s">
        <v>4750</v>
      </c>
      <c r="E8628" s="228"/>
      <c r="F8628" s="109" t="s">
        <v>23956</v>
      </c>
      <c r="G8628" s="24"/>
      <c r="H8628" s="230">
        <v>4</v>
      </c>
      <c r="I8628" s="220">
        <v>561000</v>
      </c>
      <c r="J8628" s="220">
        <f>I8628*0.1</f>
        <v>56100</v>
      </c>
      <c r="K8628" s="220">
        <v>0</v>
      </c>
      <c r="L8628" s="220">
        <v>14520</v>
      </c>
      <c r="M8628" s="220">
        <v>14850</v>
      </c>
      <c r="N8628" s="220">
        <f>SUM(I8628:M8629)</f>
        <v>646470</v>
      </c>
      <c r="O8628" s="224"/>
      <c r="P8628" s="110" t="s">
        <v>24565</v>
      </c>
      <c r="Q8628" s="15" t="s">
        <v>19</v>
      </c>
      <c r="R8628" s="205"/>
      <c r="S8628" s="189"/>
      <c r="T8628" s="114"/>
      <c r="U8628" s="21"/>
      <c r="V8628" s="115">
        <v>46144</v>
      </c>
      <c r="W8628" s="116">
        <v>1299</v>
      </c>
      <c r="X8628" s="220">
        <v>720000</v>
      </c>
      <c r="Y8628" s="220">
        <f>X8628*0.1</f>
        <v>72000</v>
      </c>
      <c r="Z8628" s="220">
        <v>14520</v>
      </c>
      <c r="AA8628" s="220">
        <f>SUM(X8628:Z8628)</f>
        <v>806520</v>
      </c>
      <c r="AB8628" s="222">
        <v>46154</v>
      </c>
    </row>
    <row r="8629" spans="1:28" ht="17.100000000000001" customHeight="1" thickBot="1">
      <c r="A8629" s="227"/>
      <c r="B8629" s="27" t="s">
        <v>2727</v>
      </c>
      <c r="C8629" s="27">
        <v>70133</v>
      </c>
      <c r="D8629" s="14" t="s">
        <v>1568</v>
      </c>
      <c r="E8629" s="229"/>
      <c r="F8629" s="117" t="s">
        <v>24564</v>
      </c>
      <c r="G8629" s="26">
        <v>43073</v>
      </c>
      <c r="H8629" s="231"/>
      <c r="I8629" s="221"/>
      <c r="J8629" s="221"/>
      <c r="K8629" s="221"/>
      <c r="L8629" s="221"/>
      <c r="M8629" s="221"/>
      <c r="N8629" s="221"/>
      <c r="O8629" s="225"/>
      <c r="P8629" s="118" t="s">
        <v>24566</v>
      </c>
      <c r="Q8629" s="16" t="s">
        <v>20</v>
      </c>
      <c r="R8629" s="17" t="s">
        <v>24555</v>
      </c>
      <c r="S8629" s="121" t="s">
        <v>23993</v>
      </c>
      <c r="T8629" s="122"/>
      <c r="U8629" s="22"/>
      <c r="V8629" s="123" t="s">
        <v>24346</v>
      </c>
      <c r="W8629" s="122">
        <v>80062</v>
      </c>
      <c r="X8629" s="221"/>
      <c r="Y8629" s="221"/>
      <c r="Z8629" s="221"/>
      <c r="AA8629" s="221"/>
      <c r="AB8629" s="223"/>
    </row>
    <row r="8630" spans="1:28" ht="17.100000000000001" customHeight="1" thickTop="1">
      <c r="A8630" s="226" t="s">
        <v>23950</v>
      </c>
      <c r="B8630" s="28">
        <v>46139</v>
      </c>
      <c r="C8630" s="25"/>
      <c r="D8630" s="13" t="s">
        <v>1607</v>
      </c>
      <c r="E8630" s="228"/>
      <c r="F8630" s="109" t="s">
        <v>23957</v>
      </c>
      <c r="G8630" s="24" t="s">
        <v>3867</v>
      </c>
      <c r="H8630" s="230">
        <v>4.5</v>
      </c>
      <c r="I8630" s="220">
        <v>1100000</v>
      </c>
      <c r="J8630" s="220">
        <f>I8630*0.1</f>
        <v>110000</v>
      </c>
      <c r="K8630" s="220">
        <f>36200+3620</f>
        <v>39820</v>
      </c>
      <c r="L8630" s="220">
        <v>18980</v>
      </c>
      <c r="M8630" s="220">
        <v>14850</v>
      </c>
      <c r="N8630" s="220">
        <f>SUM(I8630:M8631)</f>
        <v>1283650</v>
      </c>
      <c r="O8630" s="224"/>
      <c r="P8630" s="110" t="s">
        <v>23958</v>
      </c>
      <c r="Q8630" s="15" t="s">
        <v>19</v>
      </c>
      <c r="R8630" s="205"/>
      <c r="S8630" s="189"/>
      <c r="T8630" s="114"/>
      <c r="U8630" s="21"/>
      <c r="V8630" s="115"/>
      <c r="W8630" s="116"/>
      <c r="X8630" s="220"/>
      <c r="Y8630" s="220">
        <f>X8630*0.1</f>
        <v>0</v>
      </c>
      <c r="Z8630" s="220"/>
      <c r="AA8630" s="220">
        <f>SUM(X8630:Z8630)</f>
        <v>0</v>
      </c>
      <c r="AB8630" s="222"/>
    </row>
    <row r="8631" spans="1:28" ht="17.100000000000001" customHeight="1" thickBot="1">
      <c r="A8631" s="227"/>
      <c r="B8631" s="27" t="s">
        <v>2727</v>
      </c>
      <c r="C8631" s="27">
        <v>80255</v>
      </c>
      <c r="D8631" s="14" t="s">
        <v>1548</v>
      </c>
      <c r="E8631" s="229"/>
      <c r="F8631" s="117" t="s">
        <v>24553</v>
      </c>
      <c r="G8631" s="26">
        <v>61064</v>
      </c>
      <c r="H8631" s="231"/>
      <c r="I8631" s="221"/>
      <c r="J8631" s="221"/>
      <c r="K8631" s="221"/>
      <c r="L8631" s="221"/>
      <c r="M8631" s="221"/>
      <c r="N8631" s="221"/>
      <c r="O8631" s="225"/>
      <c r="P8631" s="118" t="s">
        <v>24554</v>
      </c>
      <c r="Q8631" s="16" t="s">
        <v>20</v>
      </c>
      <c r="R8631" s="17" t="s">
        <v>24555</v>
      </c>
      <c r="S8631" s="121" t="s">
        <v>7720</v>
      </c>
      <c r="T8631" s="122"/>
      <c r="U8631" s="22"/>
      <c r="V8631" s="123"/>
      <c r="W8631" s="122"/>
      <c r="X8631" s="221"/>
      <c r="Y8631" s="221"/>
      <c r="Z8631" s="221"/>
      <c r="AA8631" s="221"/>
      <c r="AB8631" s="223"/>
    </row>
    <row r="8632" spans="1:28" ht="17.100000000000001" customHeight="1" thickTop="1">
      <c r="A8632" s="226" t="s">
        <v>23951</v>
      </c>
      <c r="B8632" s="28">
        <v>46139</v>
      </c>
      <c r="C8632" s="25"/>
      <c r="D8632" s="13" t="s">
        <v>2057</v>
      </c>
      <c r="E8632" s="228"/>
      <c r="F8632" s="109" t="s">
        <v>23959</v>
      </c>
      <c r="G8632" s="24"/>
      <c r="H8632" s="230">
        <v>4</v>
      </c>
      <c r="I8632" s="220">
        <v>1953000</v>
      </c>
      <c r="J8632" s="220">
        <f>I8632*0.1</f>
        <v>195300</v>
      </c>
      <c r="K8632" s="220">
        <v>0</v>
      </c>
      <c r="L8632" s="220">
        <v>15910</v>
      </c>
      <c r="M8632" s="220">
        <v>14850</v>
      </c>
      <c r="N8632" s="220">
        <f>SUM(I8632:M8633)</f>
        <v>2179060</v>
      </c>
      <c r="O8632" s="224"/>
      <c r="P8632" s="110" t="s">
        <v>24568</v>
      </c>
      <c r="Q8632" s="15" t="s">
        <v>19</v>
      </c>
      <c r="R8632" s="205"/>
      <c r="S8632" s="189" t="s">
        <v>758</v>
      </c>
      <c r="T8632" s="114"/>
      <c r="U8632" s="21"/>
      <c r="V8632" s="115">
        <v>46144</v>
      </c>
      <c r="W8632" s="116">
        <v>1299</v>
      </c>
      <c r="X8632" s="220">
        <v>2250000</v>
      </c>
      <c r="Y8632" s="220">
        <f>X8632*0.1</f>
        <v>225000</v>
      </c>
      <c r="Z8632" s="220">
        <v>15910</v>
      </c>
      <c r="AA8632" s="220">
        <f>SUM(X8632:Z8632)</f>
        <v>2490910</v>
      </c>
      <c r="AB8632" s="222">
        <v>46154</v>
      </c>
    </row>
    <row r="8633" spans="1:28" ht="17.100000000000001" customHeight="1" thickBot="1">
      <c r="A8633" s="227"/>
      <c r="B8633" s="27" t="s">
        <v>2727</v>
      </c>
      <c r="C8633" s="27">
        <v>80257</v>
      </c>
      <c r="D8633" s="14" t="s">
        <v>1710</v>
      </c>
      <c r="E8633" s="229"/>
      <c r="F8633" s="117" t="s">
        <v>24567</v>
      </c>
      <c r="G8633" s="26">
        <v>21785</v>
      </c>
      <c r="H8633" s="231"/>
      <c r="I8633" s="221"/>
      <c r="J8633" s="221"/>
      <c r="K8633" s="221"/>
      <c r="L8633" s="221"/>
      <c r="M8633" s="221"/>
      <c r="N8633" s="221"/>
      <c r="O8633" s="225"/>
      <c r="P8633" s="118" t="s">
        <v>24569</v>
      </c>
      <c r="Q8633" s="16" t="s">
        <v>20</v>
      </c>
      <c r="R8633" s="17" t="s">
        <v>24555</v>
      </c>
      <c r="S8633" s="121" t="s">
        <v>8880</v>
      </c>
      <c r="T8633" s="122"/>
      <c r="U8633" s="22"/>
      <c r="V8633" s="123" t="s">
        <v>24346</v>
      </c>
      <c r="W8633" s="122">
        <v>80066</v>
      </c>
      <c r="X8633" s="221"/>
      <c r="Y8633" s="221"/>
      <c r="Z8633" s="221"/>
      <c r="AA8633" s="221"/>
      <c r="AB8633" s="223"/>
    </row>
    <row r="8634" spans="1:28" ht="17.100000000000001" customHeight="1" thickTop="1">
      <c r="A8634" s="226" t="s">
        <v>23952</v>
      </c>
      <c r="B8634" s="28">
        <v>46139</v>
      </c>
      <c r="C8634" s="25"/>
      <c r="D8634" s="13" t="s">
        <v>1053</v>
      </c>
      <c r="E8634" s="228"/>
      <c r="F8634" s="109" t="s">
        <v>11790</v>
      </c>
      <c r="G8634" s="24"/>
      <c r="H8634" s="230">
        <v>4</v>
      </c>
      <c r="I8634" s="220">
        <v>1663000</v>
      </c>
      <c r="J8634" s="220">
        <f>I8634*0.1</f>
        <v>166300</v>
      </c>
      <c r="K8634" s="220">
        <v>0</v>
      </c>
      <c r="L8634" s="220">
        <v>17930</v>
      </c>
      <c r="M8634" s="220">
        <v>14850</v>
      </c>
      <c r="N8634" s="220">
        <f>SUM(I8634:M8635)</f>
        <v>1862080</v>
      </c>
      <c r="O8634" s="224"/>
      <c r="P8634" s="110" t="s">
        <v>24561</v>
      </c>
      <c r="Q8634" s="15" t="s">
        <v>19</v>
      </c>
      <c r="R8634" s="205"/>
      <c r="S8634" s="189"/>
      <c r="T8634" s="114"/>
      <c r="U8634" s="21"/>
      <c r="V8634" s="115">
        <v>46144</v>
      </c>
      <c r="W8634" s="116">
        <v>1299</v>
      </c>
      <c r="X8634" s="220">
        <v>1820000</v>
      </c>
      <c r="Y8634" s="220">
        <f>X8634*0.1</f>
        <v>182000</v>
      </c>
      <c r="Z8634" s="220">
        <v>17930</v>
      </c>
      <c r="AA8634" s="220">
        <f>SUM(X8634:Z8634)</f>
        <v>2019930</v>
      </c>
      <c r="AB8634" s="222">
        <v>46154</v>
      </c>
    </row>
    <row r="8635" spans="1:28" ht="17.100000000000001" customHeight="1" thickBot="1">
      <c r="A8635" s="227"/>
      <c r="B8635" s="27" t="s">
        <v>2727</v>
      </c>
      <c r="C8635" s="27">
        <v>80259</v>
      </c>
      <c r="D8635" s="14" t="s">
        <v>1584</v>
      </c>
      <c r="E8635" s="229"/>
      <c r="F8635" s="117" t="s">
        <v>24560</v>
      </c>
      <c r="G8635" s="26">
        <v>49109</v>
      </c>
      <c r="H8635" s="231"/>
      <c r="I8635" s="221"/>
      <c r="J8635" s="221"/>
      <c r="K8635" s="221"/>
      <c r="L8635" s="221"/>
      <c r="M8635" s="221"/>
      <c r="N8635" s="221"/>
      <c r="O8635" s="225"/>
      <c r="P8635" s="118" t="s">
        <v>24554</v>
      </c>
      <c r="Q8635" s="16" t="s">
        <v>20</v>
      </c>
      <c r="R8635" s="17" t="s">
        <v>24555</v>
      </c>
      <c r="S8635" s="121"/>
      <c r="T8635" s="122"/>
      <c r="U8635" s="22"/>
      <c r="V8635" s="123" t="s">
        <v>24346</v>
      </c>
      <c r="W8635" s="122">
        <v>80064</v>
      </c>
      <c r="X8635" s="221"/>
      <c r="Y8635" s="221"/>
      <c r="Z8635" s="221"/>
      <c r="AA8635" s="221"/>
      <c r="AB8635" s="223"/>
    </row>
    <row r="8636" spans="1:28" ht="17.100000000000001" customHeight="1" thickTop="1">
      <c r="A8636" s="226" t="s">
        <v>23960</v>
      </c>
      <c r="B8636" s="28">
        <v>46139</v>
      </c>
      <c r="C8636" s="25"/>
      <c r="D8636" s="13" t="s">
        <v>2429</v>
      </c>
      <c r="E8636" s="228"/>
      <c r="F8636" s="109" t="s">
        <v>4483</v>
      </c>
      <c r="G8636" s="24"/>
      <c r="H8636" s="230">
        <v>4</v>
      </c>
      <c r="I8636" s="220">
        <v>329000</v>
      </c>
      <c r="J8636" s="220">
        <f>I8636*0.1</f>
        <v>32900</v>
      </c>
      <c r="K8636" s="220">
        <v>0</v>
      </c>
      <c r="L8636" s="220">
        <v>18960</v>
      </c>
      <c r="M8636" s="220">
        <v>14850</v>
      </c>
      <c r="N8636" s="220">
        <f>SUM(I8636:M8637)</f>
        <v>395710</v>
      </c>
      <c r="O8636" s="224"/>
      <c r="P8636" s="110" t="s">
        <v>24562</v>
      </c>
      <c r="Q8636" s="15" t="s">
        <v>19</v>
      </c>
      <c r="R8636" s="205"/>
      <c r="S8636" s="189"/>
      <c r="T8636" s="114"/>
      <c r="U8636" s="21"/>
      <c r="V8636" s="115">
        <v>46144</v>
      </c>
      <c r="W8636" s="116">
        <v>1299</v>
      </c>
      <c r="X8636" s="220">
        <v>480000</v>
      </c>
      <c r="Y8636" s="220">
        <f>X8636*0.1</f>
        <v>48000</v>
      </c>
      <c r="Z8636" s="220">
        <v>18960</v>
      </c>
      <c r="AA8636" s="220">
        <f>SUM(X8636:Z8636)</f>
        <v>546960</v>
      </c>
      <c r="AB8636" s="222">
        <v>46154</v>
      </c>
    </row>
    <row r="8637" spans="1:28" ht="17.100000000000001" customHeight="1" thickBot="1">
      <c r="A8637" s="227"/>
      <c r="B8637" s="27" t="s">
        <v>8691</v>
      </c>
      <c r="C8637" s="27">
        <v>60106</v>
      </c>
      <c r="D8637" s="14" t="s">
        <v>273</v>
      </c>
      <c r="E8637" s="229"/>
      <c r="F8637" s="117" t="s">
        <v>23961</v>
      </c>
      <c r="G8637" s="26">
        <v>74754</v>
      </c>
      <c r="H8637" s="231"/>
      <c r="I8637" s="221"/>
      <c r="J8637" s="221"/>
      <c r="K8637" s="221"/>
      <c r="L8637" s="221"/>
      <c r="M8637" s="221"/>
      <c r="N8637" s="221"/>
      <c r="O8637" s="225"/>
      <c r="P8637" s="118" t="s">
        <v>24563</v>
      </c>
      <c r="Q8637" s="16" t="s">
        <v>20</v>
      </c>
      <c r="R8637" s="17" t="s">
        <v>24555</v>
      </c>
      <c r="S8637" s="121" t="s">
        <v>7720</v>
      </c>
      <c r="T8637" s="122"/>
      <c r="U8637" s="22"/>
      <c r="V8637" s="123" t="s">
        <v>24346</v>
      </c>
      <c r="W8637" s="122">
        <v>80372</v>
      </c>
      <c r="X8637" s="221"/>
      <c r="Y8637" s="221"/>
      <c r="Z8637" s="221"/>
      <c r="AA8637" s="221"/>
      <c r="AB8637" s="223"/>
    </row>
    <row r="8638" spans="1:28" ht="17.100000000000001" customHeight="1" thickTop="1">
      <c r="A8638" s="226" t="s">
        <v>23974</v>
      </c>
      <c r="B8638" s="28">
        <v>46139</v>
      </c>
      <c r="C8638" s="25"/>
      <c r="D8638" s="13" t="s">
        <v>1953</v>
      </c>
      <c r="E8638" s="228"/>
      <c r="F8638" s="109" t="s">
        <v>23964</v>
      </c>
      <c r="G8638" s="24" t="s">
        <v>17527</v>
      </c>
      <c r="H8638" s="230">
        <v>4</v>
      </c>
      <c r="I8638" s="220">
        <f>1853500/1.1</f>
        <v>1684999.9999999998</v>
      </c>
      <c r="J8638" s="220">
        <f>I8638*0.1</f>
        <v>168500</v>
      </c>
      <c r="K8638" s="220">
        <v>32900</v>
      </c>
      <c r="L8638" s="220">
        <v>12470</v>
      </c>
      <c r="M8638" s="220">
        <v>0</v>
      </c>
      <c r="N8638" s="220">
        <f>SUM(I8638:M8639)</f>
        <v>1898869.9999999998</v>
      </c>
      <c r="O8638" s="224"/>
      <c r="P8638" s="110"/>
      <c r="Q8638" s="15" t="s">
        <v>19</v>
      </c>
      <c r="R8638" s="205"/>
      <c r="S8638" s="189" t="s">
        <v>1361</v>
      </c>
      <c r="T8638" s="114"/>
      <c r="U8638" s="21"/>
      <c r="V8638" s="115"/>
      <c r="W8638" s="116"/>
      <c r="X8638" s="220"/>
      <c r="Y8638" s="220">
        <f>X8638*0.1</f>
        <v>0</v>
      </c>
      <c r="Z8638" s="220"/>
      <c r="AA8638" s="220">
        <f>SUM(X8638:Z8638)</f>
        <v>0</v>
      </c>
      <c r="AB8638" s="222"/>
    </row>
    <row r="8639" spans="1:28" ht="17.100000000000001" customHeight="1" thickBot="1">
      <c r="A8639" s="227"/>
      <c r="B8639" s="27" t="s">
        <v>1708</v>
      </c>
      <c r="C8639" s="27" t="s">
        <v>23963</v>
      </c>
      <c r="D8639" s="14" t="s">
        <v>273</v>
      </c>
      <c r="E8639" s="229"/>
      <c r="F8639" s="117" t="s">
        <v>23965</v>
      </c>
      <c r="G8639" s="26">
        <v>55320</v>
      </c>
      <c r="H8639" s="231"/>
      <c r="I8639" s="221"/>
      <c r="J8639" s="221"/>
      <c r="K8639" s="221"/>
      <c r="L8639" s="221"/>
      <c r="M8639" s="221"/>
      <c r="N8639" s="221"/>
      <c r="O8639" s="225"/>
      <c r="P8639" s="118"/>
      <c r="Q8639" s="16" t="s">
        <v>20</v>
      </c>
      <c r="R8639" s="17"/>
      <c r="S8639" s="121"/>
      <c r="T8639" s="122"/>
      <c r="U8639" s="22"/>
      <c r="V8639" s="123"/>
      <c r="W8639" s="122"/>
      <c r="X8639" s="221"/>
      <c r="Y8639" s="221"/>
      <c r="Z8639" s="221"/>
      <c r="AA8639" s="221"/>
      <c r="AB8639" s="223"/>
    </row>
    <row r="8640" spans="1:28" ht="17.100000000000001" customHeight="1" thickTop="1">
      <c r="A8640" s="226" t="s">
        <v>23975</v>
      </c>
      <c r="B8640" s="28">
        <v>46139</v>
      </c>
      <c r="C8640" s="25"/>
      <c r="D8640" s="13" t="s">
        <v>1901</v>
      </c>
      <c r="E8640" s="228"/>
      <c r="F8640" s="109" t="s">
        <v>11142</v>
      </c>
      <c r="G8640" s="24" t="s">
        <v>23968</v>
      </c>
      <c r="H8640" s="230">
        <v>4</v>
      </c>
      <c r="I8640" s="220">
        <f>1919500/1.1</f>
        <v>1744999.9999999998</v>
      </c>
      <c r="J8640" s="220">
        <f>I8640*0.1</f>
        <v>174500</v>
      </c>
      <c r="K8640" s="220">
        <v>25400</v>
      </c>
      <c r="L8640" s="220">
        <v>8600</v>
      </c>
      <c r="M8640" s="220">
        <v>0</v>
      </c>
      <c r="N8640" s="220">
        <f>SUM(I8640:M8641)</f>
        <v>1953499.9999999998</v>
      </c>
      <c r="O8640" s="224"/>
      <c r="P8640" s="110"/>
      <c r="Q8640" s="15" t="s">
        <v>19</v>
      </c>
      <c r="R8640" s="205"/>
      <c r="S8640" s="189" t="s">
        <v>25981</v>
      </c>
      <c r="T8640" s="114"/>
      <c r="U8640" s="21"/>
      <c r="V8640" s="115"/>
      <c r="W8640" s="116"/>
      <c r="X8640" s="220"/>
      <c r="Y8640" s="220">
        <f>X8640*0.1</f>
        <v>0</v>
      </c>
      <c r="Z8640" s="220"/>
      <c r="AA8640" s="220">
        <f>SUM(X8640:Z8640)</f>
        <v>0</v>
      </c>
      <c r="AB8640" s="222"/>
    </row>
    <row r="8641" spans="1:28" ht="17.100000000000001" customHeight="1" thickBot="1">
      <c r="A8641" s="227"/>
      <c r="B8641" s="27" t="s">
        <v>1708</v>
      </c>
      <c r="C8641" s="27" t="s">
        <v>23966</v>
      </c>
      <c r="D8641" s="14" t="s">
        <v>2559</v>
      </c>
      <c r="E8641" s="229"/>
      <c r="F8641" s="117" t="s">
        <v>23967</v>
      </c>
      <c r="G8641" s="26">
        <v>35699</v>
      </c>
      <c r="H8641" s="231"/>
      <c r="I8641" s="221"/>
      <c r="J8641" s="221"/>
      <c r="K8641" s="221"/>
      <c r="L8641" s="221"/>
      <c r="M8641" s="221"/>
      <c r="N8641" s="221"/>
      <c r="O8641" s="225"/>
      <c r="P8641" s="118"/>
      <c r="Q8641" s="16" t="s">
        <v>20</v>
      </c>
      <c r="R8641" s="17"/>
      <c r="S8641" s="121"/>
      <c r="T8641" s="122"/>
      <c r="U8641" s="22"/>
      <c r="V8641" s="123"/>
      <c r="W8641" s="122"/>
      <c r="X8641" s="221"/>
      <c r="Y8641" s="221"/>
      <c r="Z8641" s="221"/>
      <c r="AA8641" s="221"/>
      <c r="AB8641" s="223"/>
    </row>
    <row r="8642" spans="1:28" ht="17.100000000000001" customHeight="1" thickTop="1">
      <c r="A8642" s="226" t="s">
        <v>23976</v>
      </c>
      <c r="B8642" s="28">
        <v>46139</v>
      </c>
      <c r="C8642" s="25"/>
      <c r="D8642" s="13" t="s">
        <v>2790</v>
      </c>
      <c r="E8642" s="228"/>
      <c r="F8642" s="109" t="s">
        <v>23971</v>
      </c>
      <c r="G8642" s="24" t="s">
        <v>23973</v>
      </c>
      <c r="H8642" s="230">
        <v>4.5</v>
      </c>
      <c r="I8642" s="220">
        <f>5731000/1.1</f>
        <v>5210000</v>
      </c>
      <c r="J8642" s="220">
        <f>I8642*0.1</f>
        <v>521000</v>
      </c>
      <c r="K8642" s="220">
        <v>37500</v>
      </c>
      <c r="L8642" s="220">
        <v>14230</v>
      </c>
      <c r="M8642" s="220">
        <v>0</v>
      </c>
      <c r="N8642" s="220">
        <f>SUM(I8642:M8643)</f>
        <v>5782730</v>
      </c>
      <c r="O8642" s="224"/>
      <c r="P8642" s="110"/>
      <c r="Q8642" s="15" t="s">
        <v>19</v>
      </c>
      <c r="R8642" s="205"/>
      <c r="S8642" s="189" t="s">
        <v>1306</v>
      </c>
      <c r="T8642" s="114"/>
      <c r="U8642" s="21"/>
      <c r="V8642" s="115"/>
      <c r="W8642" s="116"/>
      <c r="X8642" s="220"/>
      <c r="Y8642" s="220">
        <f>X8642*0.1</f>
        <v>0</v>
      </c>
      <c r="Z8642" s="220"/>
      <c r="AA8642" s="220">
        <f>SUM(X8642:Z8642)</f>
        <v>0</v>
      </c>
      <c r="AB8642" s="222"/>
    </row>
    <row r="8643" spans="1:28" ht="17.100000000000001" customHeight="1" thickBot="1">
      <c r="A8643" s="227"/>
      <c r="B8643" s="27" t="s">
        <v>1708</v>
      </c>
      <c r="C8643" s="27" t="s">
        <v>23970</v>
      </c>
      <c r="D8643" s="14" t="s">
        <v>1584</v>
      </c>
      <c r="E8643" s="229"/>
      <c r="F8643" s="117" t="s">
        <v>23972</v>
      </c>
      <c r="G8643" s="26">
        <v>4263</v>
      </c>
      <c r="H8643" s="231"/>
      <c r="I8643" s="221"/>
      <c r="J8643" s="221"/>
      <c r="K8643" s="221"/>
      <c r="L8643" s="221"/>
      <c r="M8643" s="221"/>
      <c r="N8643" s="221"/>
      <c r="O8643" s="225"/>
      <c r="P8643" s="118"/>
      <c r="Q8643" s="16" t="s">
        <v>20</v>
      </c>
      <c r="R8643" s="17"/>
      <c r="S8643" s="121"/>
      <c r="T8643" s="122"/>
      <c r="U8643" s="22"/>
      <c r="V8643" s="123"/>
      <c r="W8643" s="122"/>
      <c r="X8643" s="221"/>
      <c r="Y8643" s="221"/>
      <c r="Z8643" s="221"/>
      <c r="AA8643" s="221"/>
      <c r="AB8643" s="223"/>
    </row>
    <row r="8644" spans="1:28" ht="17.100000000000001" customHeight="1" thickTop="1">
      <c r="A8644" s="226" t="s">
        <v>23978</v>
      </c>
      <c r="B8644" s="28">
        <v>46139</v>
      </c>
      <c r="C8644" s="25"/>
      <c r="D8644" s="13" t="s">
        <v>3494</v>
      </c>
      <c r="E8644" s="228"/>
      <c r="F8644" s="109" t="s">
        <v>16471</v>
      </c>
      <c r="G8644" s="24" t="s">
        <v>14380</v>
      </c>
      <c r="H8644" s="230">
        <v>4</v>
      </c>
      <c r="I8644" s="220">
        <f>863500/1.1</f>
        <v>784999.99999999988</v>
      </c>
      <c r="J8644" s="220">
        <f>I8644*0.1</f>
        <v>78499.999999999985</v>
      </c>
      <c r="K8644" s="220">
        <v>0</v>
      </c>
      <c r="L8644" s="220">
        <v>9310</v>
      </c>
      <c r="M8644" s="220">
        <v>0</v>
      </c>
      <c r="N8644" s="220">
        <f>SUM(I8644:M8645)</f>
        <v>872809.99999999988</v>
      </c>
      <c r="O8644" s="224"/>
      <c r="P8644" s="110"/>
      <c r="Q8644" s="15" t="s">
        <v>19</v>
      </c>
      <c r="R8644" s="205"/>
      <c r="S8644" s="189" t="s">
        <v>1361</v>
      </c>
      <c r="T8644" s="114"/>
      <c r="U8644" s="21"/>
      <c r="V8644" s="115"/>
      <c r="W8644" s="116"/>
      <c r="X8644" s="220"/>
      <c r="Y8644" s="220">
        <f>X8644*0.1</f>
        <v>0</v>
      </c>
      <c r="Z8644" s="220"/>
      <c r="AA8644" s="220">
        <f>SUM(X8644:Z8644)</f>
        <v>0</v>
      </c>
      <c r="AB8644" s="222"/>
    </row>
    <row r="8645" spans="1:28" ht="17.100000000000001" customHeight="1" thickBot="1">
      <c r="A8645" s="227"/>
      <c r="B8645" s="27" t="s">
        <v>1708</v>
      </c>
      <c r="C8645" s="27" t="s">
        <v>23979</v>
      </c>
      <c r="D8645" s="14" t="s">
        <v>1568</v>
      </c>
      <c r="E8645" s="229"/>
      <c r="F8645" s="117" t="s">
        <v>23980</v>
      </c>
      <c r="G8645" s="26">
        <v>42513</v>
      </c>
      <c r="H8645" s="231"/>
      <c r="I8645" s="221"/>
      <c r="J8645" s="221"/>
      <c r="K8645" s="221"/>
      <c r="L8645" s="221"/>
      <c r="M8645" s="221"/>
      <c r="N8645" s="221"/>
      <c r="O8645" s="225"/>
      <c r="P8645" s="118"/>
      <c r="Q8645" s="16" t="s">
        <v>20</v>
      </c>
      <c r="R8645" s="17"/>
      <c r="S8645" s="121"/>
      <c r="T8645" s="122"/>
      <c r="U8645" s="22"/>
      <c r="V8645" s="123"/>
      <c r="W8645" s="122"/>
      <c r="X8645" s="221"/>
      <c r="Y8645" s="221"/>
      <c r="Z8645" s="221"/>
      <c r="AA8645" s="221"/>
      <c r="AB8645" s="223"/>
    </row>
    <row r="8646" spans="1:28" ht="17.100000000000001" customHeight="1" thickTop="1">
      <c r="A8646" s="226" t="s">
        <v>23997</v>
      </c>
      <c r="B8646" s="28">
        <v>46140</v>
      </c>
      <c r="C8646" s="25">
        <v>1939</v>
      </c>
      <c r="D8646" s="13" t="s">
        <v>1961</v>
      </c>
      <c r="E8646" s="228"/>
      <c r="F8646" s="109" t="s">
        <v>19429</v>
      </c>
      <c r="G8646" s="24" t="s">
        <v>2084</v>
      </c>
      <c r="H8646" s="230">
        <v>4</v>
      </c>
      <c r="I8646" s="220">
        <v>611000</v>
      </c>
      <c r="J8646" s="220">
        <f>I8646*0.1</f>
        <v>61100</v>
      </c>
      <c r="K8646" s="220">
        <v>0</v>
      </c>
      <c r="L8646" s="220">
        <v>7510</v>
      </c>
      <c r="M8646" s="220">
        <v>15950</v>
      </c>
      <c r="N8646" s="220">
        <f>SUM(I8646:M8647)</f>
        <v>695560</v>
      </c>
      <c r="O8646" s="224"/>
      <c r="P8646" s="110" t="s">
        <v>24039</v>
      </c>
      <c r="Q8646" s="15" t="s">
        <v>19</v>
      </c>
      <c r="R8646" s="205"/>
      <c r="S8646" s="189"/>
      <c r="T8646" s="114"/>
      <c r="U8646" s="21" t="s">
        <v>24640</v>
      </c>
      <c r="V8646" s="115">
        <v>46144</v>
      </c>
      <c r="W8646" s="116">
        <v>1299</v>
      </c>
      <c r="X8646" s="220">
        <v>705000</v>
      </c>
      <c r="Y8646" s="220">
        <f>X8646*0.1</f>
        <v>70500</v>
      </c>
      <c r="Z8646" s="220">
        <v>7510</v>
      </c>
      <c r="AA8646" s="220">
        <f>SUM(X8646:Z8646)</f>
        <v>783010</v>
      </c>
      <c r="AB8646" s="222">
        <v>46156</v>
      </c>
    </row>
    <row r="8647" spans="1:28" ht="17.100000000000001" customHeight="1" thickBot="1">
      <c r="A8647" s="227"/>
      <c r="B8647" s="27" t="s">
        <v>2103</v>
      </c>
      <c r="C8647" s="27">
        <v>3009</v>
      </c>
      <c r="D8647" s="14" t="s">
        <v>1710</v>
      </c>
      <c r="E8647" s="229"/>
      <c r="F8647" s="117" t="s">
        <v>24011</v>
      </c>
      <c r="G8647" s="26">
        <v>36958</v>
      </c>
      <c r="H8647" s="231"/>
      <c r="I8647" s="221"/>
      <c r="J8647" s="221"/>
      <c r="K8647" s="221"/>
      <c r="L8647" s="221"/>
      <c r="M8647" s="221"/>
      <c r="N8647" s="221"/>
      <c r="O8647" s="225"/>
      <c r="P8647" s="118" t="s">
        <v>7323</v>
      </c>
      <c r="Q8647" s="16" t="s">
        <v>20</v>
      </c>
      <c r="R8647" s="17" t="s">
        <v>4213</v>
      </c>
      <c r="S8647" s="121" t="s">
        <v>24161</v>
      </c>
      <c r="T8647" s="122"/>
      <c r="U8647" s="22"/>
      <c r="V8647" s="123" t="s">
        <v>24346</v>
      </c>
      <c r="W8647" s="122">
        <v>60378</v>
      </c>
      <c r="X8647" s="221"/>
      <c r="Y8647" s="221"/>
      <c r="Z8647" s="221"/>
      <c r="AA8647" s="221"/>
      <c r="AB8647" s="223"/>
    </row>
    <row r="8648" spans="1:28" ht="17.100000000000001" customHeight="1" thickTop="1">
      <c r="A8648" s="233" t="s">
        <v>23998</v>
      </c>
      <c r="B8648" s="28">
        <v>46140</v>
      </c>
      <c r="C8648" s="25">
        <v>1939</v>
      </c>
      <c r="D8648" s="13" t="s">
        <v>1642</v>
      </c>
      <c r="E8648" s="228"/>
      <c r="F8648" s="109" t="s">
        <v>15197</v>
      </c>
      <c r="G8648" s="24"/>
      <c r="H8648" s="230">
        <v>4.5</v>
      </c>
      <c r="I8648" s="220">
        <v>495000</v>
      </c>
      <c r="J8648" s="220">
        <f>I8648*0.1</f>
        <v>49500</v>
      </c>
      <c r="K8648" s="220">
        <v>0</v>
      </c>
      <c r="L8648" s="220">
        <v>6550</v>
      </c>
      <c r="M8648" s="220">
        <v>15950</v>
      </c>
      <c r="N8648" s="220">
        <f>SUM(I8648:M8649)</f>
        <v>567000</v>
      </c>
      <c r="O8648" s="224"/>
      <c r="P8648" s="110" t="s">
        <v>24519</v>
      </c>
      <c r="Q8648" s="15" t="s">
        <v>19</v>
      </c>
      <c r="R8648" s="205"/>
      <c r="S8648" s="189" t="s">
        <v>758</v>
      </c>
      <c r="T8648" s="114" t="s">
        <v>24822</v>
      </c>
      <c r="U8648" s="21"/>
      <c r="V8648" s="115"/>
      <c r="W8648" s="116"/>
      <c r="X8648" s="220"/>
      <c r="Y8648" s="220">
        <f>X8648*0.1</f>
        <v>0</v>
      </c>
      <c r="Z8648" s="220"/>
      <c r="AA8648" s="220">
        <f>SUM(X8648:Z8648)</f>
        <v>0</v>
      </c>
      <c r="AB8648" s="222"/>
    </row>
    <row r="8649" spans="1:28" ht="17.100000000000001" customHeight="1" thickBot="1">
      <c r="A8649" s="234"/>
      <c r="B8649" s="27" t="s">
        <v>2103</v>
      </c>
      <c r="C8649" s="27">
        <v>3043</v>
      </c>
      <c r="D8649" s="14" t="s">
        <v>1710</v>
      </c>
      <c r="E8649" s="229"/>
      <c r="F8649" s="117" t="s">
        <v>24012</v>
      </c>
      <c r="G8649" s="26">
        <v>41210</v>
      </c>
      <c r="H8649" s="231"/>
      <c r="I8649" s="221"/>
      <c r="J8649" s="221"/>
      <c r="K8649" s="221"/>
      <c r="L8649" s="221"/>
      <c r="M8649" s="221"/>
      <c r="N8649" s="221"/>
      <c r="O8649" s="225"/>
      <c r="P8649" s="118" t="s">
        <v>7323</v>
      </c>
      <c r="Q8649" s="16" t="s">
        <v>20</v>
      </c>
      <c r="R8649" s="17" t="s">
        <v>4213</v>
      </c>
      <c r="S8649" s="121" t="s">
        <v>11197</v>
      </c>
      <c r="T8649" s="122"/>
      <c r="U8649" s="22"/>
      <c r="V8649" s="123"/>
      <c r="W8649" s="122"/>
      <c r="X8649" s="221"/>
      <c r="Y8649" s="221"/>
      <c r="Z8649" s="221"/>
      <c r="AA8649" s="221"/>
      <c r="AB8649" s="223"/>
    </row>
    <row r="8650" spans="1:28" ht="17.100000000000001" customHeight="1" thickTop="1">
      <c r="A8650" s="226" t="s">
        <v>23999</v>
      </c>
      <c r="B8650" s="28">
        <v>46140</v>
      </c>
      <c r="C8650" s="25">
        <v>1939</v>
      </c>
      <c r="D8650" s="13" t="s">
        <v>1642</v>
      </c>
      <c r="E8650" s="228"/>
      <c r="F8650" s="109" t="s">
        <v>15197</v>
      </c>
      <c r="G8650" s="24"/>
      <c r="H8650" s="230">
        <v>4</v>
      </c>
      <c r="I8650" s="220">
        <v>495000</v>
      </c>
      <c r="J8650" s="220">
        <f>I8650*0.1</f>
        <v>49500</v>
      </c>
      <c r="K8650" s="220">
        <v>0</v>
      </c>
      <c r="L8650" s="220">
        <v>6550</v>
      </c>
      <c r="M8650" s="220">
        <v>15950</v>
      </c>
      <c r="N8650" s="220">
        <f>SUM(I8650:M8651)</f>
        <v>567000</v>
      </c>
      <c r="O8650" s="224"/>
      <c r="P8650" s="110" t="s">
        <v>24520</v>
      </c>
      <c r="Q8650" s="15" t="s">
        <v>19</v>
      </c>
      <c r="R8650" s="205"/>
      <c r="S8650" s="189" t="s">
        <v>758</v>
      </c>
      <c r="T8650" s="114"/>
      <c r="U8650" s="21"/>
      <c r="V8650" s="115">
        <v>46144</v>
      </c>
      <c r="W8650" s="116">
        <v>1299</v>
      </c>
      <c r="X8650" s="220">
        <v>605000</v>
      </c>
      <c r="Y8650" s="220">
        <f>X8650*0.1</f>
        <v>60500</v>
      </c>
      <c r="Z8650" s="220">
        <v>6550</v>
      </c>
      <c r="AA8650" s="220">
        <f>SUM(X8650:Z8650)</f>
        <v>672050</v>
      </c>
      <c r="AB8650" s="222">
        <v>46154</v>
      </c>
    </row>
    <row r="8651" spans="1:28" ht="17.100000000000001" customHeight="1" thickBot="1">
      <c r="A8651" s="227"/>
      <c r="B8651" s="27" t="s">
        <v>2103</v>
      </c>
      <c r="C8651" s="27">
        <v>3059</v>
      </c>
      <c r="D8651" s="14" t="s">
        <v>1710</v>
      </c>
      <c r="E8651" s="229"/>
      <c r="F8651" s="117" t="s">
        <v>24013</v>
      </c>
      <c r="G8651" s="26">
        <v>26158</v>
      </c>
      <c r="H8651" s="231"/>
      <c r="I8651" s="221"/>
      <c r="J8651" s="221"/>
      <c r="K8651" s="221"/>
      <c r="L8651" s="221"/>
      <c r="M8651" s="221"/>
      <c r="N8651" s="221"/>
      <c r="O8651" s="225"/>
      <c r="P8651" s="118" t="s">
        <v>7323</v>
      </c>
      <c r="Q8651" s="16" t="s">
        <v>20</v>
      </c>
      <c r="R8651" s="17" t="s">
        <v>4213</v>
      </c>
      <c r="S8651" s="121" t="s">
        <v>169</v>
      </c>
      <c r="T8651" s="122"/>
      <c r="U8651" s="22"/>
      <c r="V8651" s="123" t="s">
        <v>24346</v>
      </c>
      <c r="W8651" s="122">
        <v>60388</v>
      </c>
      <c r="X8651" s="221"/>
      <c r="Y8651" s="221"/>
      <c r="Z8651" s="221"/>
      <c r="AA8651" s="221"/>
      <c r="AB8651" s="223"/>
    </row>
    <row r="8652" spans="1:28" ht="17.100000000000001" customHeight="1" thickTop="1">
      <c r="A8652" s="226" t="s">
        <v>24000</v>
      </c>
      <c r="B8652" s="28">
        <v>46140</v>
      </c>
      <c r="C8652" s="25">
        <v>1939</v>
      </c>
      <c r="D8652" s="13" t="s">
        <v>1953</v>
      </c>
      <c r="E8652" s="228"/>
      <c r="F8652" s="109" t="s">
        <v>17777</v>
      </c>
      <c r="G8652" s="24"/>
      <c r="H8652" s="230">
        <v>4</v>
      </c>
      <c r="I8652" s="220">
        <v>775000</v>
      </c>
      <c r="J8652" s="220">
        <f>I8652*0.1</f>
        <v>77500</v>
      </c>
      <c r="K8652" s="220">
        <v>0</v>
      </c>
      <c r="L8652" s="220">
        <v>9140</v>
      </c>
      <c r="M8652" s="220">
        <v>15950</v>
      </c>
      <c r="N8652" s="220">
        <f>SUM(I8652:M8653)</f>
        <v>877590</v>
      </c>
      <c r="O8652" s="224"/>
      <c r="P8652" s="110" t="s">
        <v>24447</v>
      </c>
      <c r="Q8652" s="15" t="s">
        <v>19</v>
      </c>
      <c r="R8652" s="205"/>
      <c r="S8652" s="189" t="s">
        <v>25982</v>
      </c>
      <c r="T8652" s="114"/>
      <c r="U8652" s="21"/>
      <c r="V8652" s="115"/>
      <c r="W8652" s="116"/>
      <c r="X8652" s="220"/>
      <c r="Y8652" s="220">
        <f>X8652*0.1</f>
        <v>0</v>
      </c>
      <c r="Z8652" s="220"/>
      <c r="AA8652" s="220">
        <f>SUM(X8652:Z8652)</f>
        <v>0</v>
      </c>
      <c r="AB8652" s="222"/>
    </row>
    <row r="8653" spans="1:28" ht="17.100000000000001" customHeight="1" thickBot="1">
      <c r="A8653" s="227"/>
      <c r="B8653" s="27" t="s">
        <v>2103</v>
      </c>
      <c r="C8653" s="27">
        <v>3202</v>
      </c>
      <c r="D8653" s="14" t="s">
        <v>273</v>
      </c>
      <c r="E8653" s="229"/>
      <c r="F8653" s="117" t="s">
        <v>24014</v>
      </c>
      <c r="G8653" s="26">
        <v>52186</v>
      </c>
      <c r="H8653" s="231"/>
      <c r="I8653" s="221"/>
      <c r="J8653" s="221"/>
      <c r="K8653" s="221"/>
      <c r="L8653" s="221"/>
      <c r="M8653" s="221"/>
      <c r="N8653" s="221"/>
      <c r="O8653" s="225"/>
      <c r="P8653" s="118" t="s">
        <v>4926</v>
      </c>
      <c r="Q8653" s="16" t="s">
        <v>20</v>
      </c>
      <c r="R8653" s="17" t="s">
        <v>1983</v>
      </c>
      <c r="S8653" s="121" t="s">
        <v>24448</v>
      </c>
      <c r="T8653" s="122"/>
      <c r="U8653" s="22"/>
      <c r="V8653" s="123"/>
      <c r="W8653" s="122"/>
      <c r="X8653" s="221"/>
      <c r="Y8653" s="221"/>
      <c r="Z8653" s="221"/>
      <c r="AA8653" s="221"/>
      <c r="AB8653" s="223"/>
    </row>
    <row r="8654" spans="1:28" ht="17.100000000000001" customHeight="1" thickTop="1">
      <c r="A8654" s="226" t="s">
        <v>24001</v>
      </c>
      <c r="B8654" s="28">
        <v>46140</v>
      </c>
      <c r="C8654" s="25">
        <v>1939</v>
      </c>
      <c r="D8654" s="13" t="s">
        <v>2336</v>
      </c>
      <c r="E8654" s="228"/>
      <c r="F8654" s="109" t="s">
        <v>14903</v>
      </c>
      <c r="G8654" s="24"/>
      <c r="H8654" s="230">
        <v>2</v>
      </c>
      <c r="I8654" s="220">
        <v>97000</v>
      </c>
      <c r="J8654" s="220">
        <f>I8654*0.1</f>
        <v>9700</v>
      </c>
      <c r="K8654" s="220">
        <v>0</v>
      </c>
      <c r="L8654" s="220">
        <v>9790</v>
      </c>
      <c r="M8654" s="220">
        <v>15950</v>
      </c>
      <c r="N8654" s="220">
        <f>SUM(I8654:M8655)</f>
        <v>132440</v>
      </c>
      <c r="O8654" s="224"/>
      <c r="P8654" s="110" t="s">
        <v>24445</v>
      </c>
      <c r="Q8654" s="15" t="s">
        <v>19</v>
      </c>
      <c r="R8654" s="205"/>
      <c r="S8654" s="189"/>
      <c r="T8654" s="114"/>
      <c r="U8654" s="21"/>
      <c r="V8654" s="115">
        <v>46158</v>
      </c>
      <c r="W8654" s="116">
        <v>1300</v>
      </c>
      <c r="X8654" s="220">
        <v>220000</v>
      </c>
      <c r="Y8654" s="220">
        <f>X8654*0.1</f>
        <v>22000</v>
      </c>
      <c r="Z8654" s="220">
        <v>9790</v>
      </c>
      <c r="AA8654" s="220">
        <f>SUM(X8654:Z8654)</f>
        <v>251790</v>
      </c>
      <c r="AB8654" s="222">
        <v>46161</v>
      </c>
    </row>
    <row r="8655" spans="1:28" ht="17.100000000000001" customHeight="1" thickBot="1">
      <c r="A8655" s="227"/>
      <c r="B8655" s="27" t="s">
        <v>2103</v>
      </c>
      <c r="C8655" s="27">
        <v>3243</v>
      </c>
      <c r="D8655" s="14" t="s">
        <v>2753</v>
      </c>
      <c r="E8655" s="229"/>
      <c r="F8655" s="117" t="s">
        <v>24015</v>
      </c>
      <c r="G8655" s="26">
        <v>47734</v>
      </c>
      <c r="H8655" s="231"/>
      <c r="I8655" s="221"/>
      <c r="J8655" s="221"/>
      <c r="K8655" s="221"/>
      <c r="L8655" s="221"/>
      <c r="M8655" s="221"/>
      <c r="N8655" s="221"/>
      <c r="O8655" s="225"/>
      <c r="P8655" s="118" t="s">
        <v>24446</v>
      </c>
      <c r="Q8655" s="16" t="s">
        <v>20</v>
      </c>
      <c r="R8655" s="17" t="s">
        <v>1983</v>
      </c>
      <c r="S8655" s="121" t="s">
        <v>24169</v>
      </c>
      <c r="T8655" s="122"/>
      <c r="U8655" s="22"/>
      <c r="V8655" s="123" t="s">
        <v>2472</v>
      </c>
      <c r="W8655" s="122">
        <v>60150</v>
      </c>
      <c r="X8655" s="221"/>
      <c r="Y8655" s="221"/>
      <c r="Z8655" s="221"/>
      <c r="AA8655" s="221"/>
      <c r="AB8655" s="223"/>
    </row>
    <row r="8656" spans="1:28" ht="17.100000000000001" customHeight="1" thickTop="1">
      <c r="A8656" s="226" t="s">
        <v>24002</v>
      </c>
      <c r="B8656" s="28">
        <v>46140</v>
      </c>
      <c r="C8656" s="25">
        <v>1939</v>
      </c>
      <c r="D8656" s="13" t="s">
        <v>3494</v>
      </c>
      <c r="E8656" s="228"/>
      <c r="F8656" s="109" t="s">
        <v>17752</v>
      </c>
      <c r="G8656" s="24"/>
      <c r="H8656" s="230">
        <v>4</v>
      </c>
      <c r="I8656" s="220">
        <v>1023000</v>
      </c>
      <c r="J8656" s="220">
        <f>I8656*0.1</f>
        <v>102300</v>
      </c>
      <c r="K8656" s="220">
        <v>0</v>
      </c>
      <c r="L8656" s="220">
        <v>15180</v>
      </c>
      <c r="M8656" s="220">
        <v>15950</v>
      </c>
      <c r="N8656" s="220">
        <f>SUM(I8656:M8657)</f>
        <v>1156430</v>
      </c>
      <c r="O8656" s="224"/>
      <c r="P8656" s="110" t="s">
        <v>24450</v>
      </c>
      <c r="Q8656" s="15" t="s">
        <v>19</v>
      </c>
      <c r="R8656" s="205"/>
      <c r="S8656" s="189"/>
      <c r="T8656" s="114"/>
      <c r="U8656" s="21"/>
      <c r="V8656" s="115">
        <v>46165</v>
      </c>
      <c r="W8656" s="116">
        <v>1301</v>
      </c>
      <c r="X8656" s="220">
        <v>1195000</v>
      </c>
      <c r="Y8656" s="220">
        <f>X8656*0.1</f>
        <v>119500</v>
      </c>
      <c r="Z8656" s="220">
        <v>15180</v>
      </c>
      <c r="AA8656" s="220">
        <f>SUM(X8656:Z8656)</f>
        <v>1329680</v>
      </c>
      <c r="AB8656" s="222">
        <v>46168</v>
      </c>
    </row>
    <row r="8657" spans="1:28" ht="17.100000000000001" customHeight="1" thickBot="1">
      <c r="A8657" s="227"/>
      <c r="B8657" s="27" t="s">
        <v>2103</v>
      </c>
      <c r="C8657" s="27">
        <v>5034</v>
      </c>
      <c r="D8657" s="14" t="s">
        <v>898</v>
      </c>
      <c r="E8657" s="229"/>
      <c r="F8657" s="117" t="s">
        <v>24040</v>
      </c>
      <c r="G8657" s="26">
        <v>68574</v>
      </c>
      <c r="H8657" s="231"/>
      <c r="I8657" s="221"/>
      <c r="J8657" s="221"/>
      <c r="K8657" s="221"/>
      <c r="L8657" s="221"/>
      <c r="M8657" s="221"/>
      <c r="N8657" s="221"/>
      <c r="O8657" s="225"/>
      <c r="P8657" s="118" t="s">
        <v>9366</v>
      </c>
      <c r="Q8657" s="16" t="s">
        <v>20</v>
      </c>
      <c r="R8657" s="17" t="s">
        <v>1983</v>
      </c>
      <c r="S8657" s="121" t="s">
        <v>24170</v>
      </c>
      <c r="T8657" s="122"/>
      <c r="U8657" s="22"/>
      <c r="V8657" s="123" t="s">
        <v>2472</v>
      </c>
      <c r="W8657" s="122">
        <v>80029</v>
      </c>
      <c r="X8657" s="221"/>
      <c r="Y8657" s="221"/>
      <c r="Z8657" s="221"/>
      <c r="AA8657" s="221"/>
      <c r="AB8657" s="223"/>
    </row>
    <row r="8658" spans="1:28" ht="17.100000000000001" customHeight="1" thickTop="1">
      <c r="A8658" s="226" t="s">
        <v>24003</v>
      </c>
      <c r="B8658" s="28">
        <v>46140</v>
      </c>
      <c r="C8658" s="25">
        <v>1939</v>
      </c>
      <c r="D8658" s="13" t="s">
        <v>2010</v>
      </c>
      <c r="E8658" s="228"/>
      <c r="F8658" s="109" t="s">
        <v>24016</v>
      </c>
      <c r="G8658" s="24"/>
      <c r="H8658" s="230">
        <v>4</v>
      </c>
      <c r="I8658" s="220">
        <v>4760000</v>
      </c>
      <c r="J8658" s="220">
        <f>I8658*0.1</f>
        <v>476000</v>
      </c>
      <c r="K8658" s="220">
        <v>0</v>
      </c>
      <c r="L8658" s="220">
        <v>19560</v>
      </c>
      <c r="M8658" s="220">
        <v>15950</v>
      </c>
      <c r="N8658" s="220">
        <f>SUM(I8658:M8659)</f>
        <v>5271510</v>
      </c>
      <c r="O8658" s="224"/>
      <c r="P8658" s="110" t="s">
        <v>24462</v>
      </c>
      <c r="Q8658" s="15" t="s">
        <v>19</v>
      </c>
      <c r="R8658" s="205"/>
      <c r="S8658" s="189" t="s">
        <v>758</v>
      </c>
      <c r="T8658" s="114"/>
      <c r="U8658" s="21"/>
      <c r="V8658" s="115"/>
      <c r="W8658" s="116"/>
      <c r="X8658" s="220"/>
      <c r="Y8658" s="220">
        <f>X8658*0.1</f>
        <v>0</v>
      </c>
      <c r="Z8658" s="220"/>
      <c r="AA8658" s="220">
        <f>SUM(X8658:Z8658)</f>
        <v>0</v>
      </c>
      <c r="AB8658" s="222"/>
    </row>
    <row r="8659" spans="1:28" ht="17.100000000000001" customHeight="1" thickBot="1">
      <c r="A8659" s="227"/>
      <c r="B8659" s="27" t="s">
        <v>2103</v>
      </c>
      <c r="C8659" s="27">
        <v>79231</v>
      </c>
      <c r="D8659" s="14" t="s">
        <v>2559</v>
      </c>
      <c r="E8659" s="229"/>
      <c r="F8659" s="117" t="s">
        <v>24017</v>
      </c>
      <c r="G8659" s="26">
        <v>35578</v>
      </c>
      <c r="H8659" s="231"/>
      <c r="I8659" s="221"/>
      <c r="J8659" s="221"/>
      <c r="K8659" s="221"/>
      <c r="L8659" s="221"/>
      <c r="M8659" s="221"/>
      <c r="N8659" s="221"/>
      <c r="O8659" s="225"/>
      <c r="P8659" s="118" t="s">
        <v>5155</v>
      </c>
      <c r="Q8659" s="16" t="s">
        <v>20</v>
      </c>
      <c r="R8659" s="17" t="s">
        <v>2040</v>
      </c>
      <c r="S8659" s="121" t="s">
        <v>24463</v>
      </c>
      <c r="T8659" s="122"/>
      <c r="U8659" s="22"/>
      <c r="V8659" s="123"/>
      <c r="W8659" s="122"/>
      <c r="X8659" s="221"/>
      <c r="Y8659" s="221"/>
      <c r="Z8659" s="221"/>
      <c r="AA8659" s="221"/>
      <c r="AB8659" s="223"/>
    </row>
    <row r="8660" spans="1:28" ht="17.100000000000001" customHeight="1" thickTop="1">
      <c r="A8660" s="226" t="s">
        <v>24004</v>
      </c>
      <c r="B8660" s="28">
        <v>46140</v>
      </c>
      <c r="C8660" s="25">
        <v>817</v>
      </c>
      <c r="D8660" s="13" t="s">
        <v>1961</v>
      </c>
      <c r="E8660" s="228"/>
      <c r="F8660" s="109" t="s">
        <v>15197</v>
      </c>
      <c r="G8660" s="24" t="s">
        <v>3672</v>
      </c>
      <c r="H8660" s="230">
        <v>4</v>
      </c>
      <c r="I8660" s="220">
        <v>425000</v>
      </c>
      <c r="J8660" s="220">
        <f>I8660*0.1</f>
        <v>42500</v>
      </c>
      <c r="K8660" s="220">
        <v>0</v>
      </c>
      <c r="L8660" s="220">
        <v>7140</v>
      </c>
      <c r="M8660" s="220">
        <v>15950</v>
      </c>
      <c r="N8660" s="220">
        <f>SUM(I8660:M8661)</f>
        <v>490590</v>
      </c>
      <c r="O8660" s="224"/>
      <c r="P8660" s="110" t="s">
        <v>24041</v>
      </c>
      <c r="Q8660" s="15" t="s">
        <v>19</v>
      </c>
      <c r="R8660" s="205"/>
      <c r="S8660" s="189"/>
      <c r="T8660" s="114"/>
      <c r="U8660" s="21" t="s">
        <v>24683</v>
      </c>
      <c r="V8660" s="115">
        <v>46144</v>
      </c>
      <c r="W8660" s="116">
        <v>1299</v>
      </c>
      <c r="X8660" s="220">
        <v>445000</v>
      </c>
      <c r="Y8660" s="220">
        <f>X8660*0.1</f>
        <v>44500</v>
      </c>
      <c r="Z8660" s="220">
        <v>7140</v>
      </c>
      <c r="AA8660" s="220">
        <f>SUM(X8660:Z8660)</f>
        <v>496640</v>
      </c>
      <c r="AB8660" s="222">
        <v>46161</v>
      </c>
    </row>
    <row r="8661" spans="1:28" ht="17.100000000000001" customHeight="1" thickBot="1">
      <c r="A8661" s="227"/>
      <c r="B8661" s="27" t="s">
        <v>3314</v>
      </c>
      <c r="C8661" s="27">
        <v>3032</v>
      </c>
      <c r="D8661" s="14" t="s">
        <v>1568</v>
      </c>
      <c r="E8661" s="229"/>
      <c r="F8661" s="117" t="s">
        <v>24018</v>
      </c>
      <c r="G8661" s="26">
        <v>34117</v>
      </c>
      <c r="H8661" s="231"/>
      <c r="I8661" s="221"/>
      <c r="J8661" s="221"/>
      <c r="K8661" s="221"/>
      <c r="L8661" s="221"/>
      <c r="M8661" s="221"/>
      <c r="N8661" s="221"/>
      <c r="O8661" s="225"/>
      <c r="P8661" s="118" t="s">
        <v>24656</v>
      </c>
      <c r="Q8661" s="16" t="s">
        <v>20</v>
      </c>
      <c r="R8661" s="17" t="s">
        <v>1831</v>
      </c>
      <c r="S8661" s="121"/>
      <c r="T8661" s="122"/>
      <c r="U8661" s="22"/>
      <c r="V8661" s="123" t="s">
        <v>24346</v>
      </c>
      <c r="W8661" s="122">
        <v>60384</v>
      </c>
      <c r="X8661" s="221"/>
      <c r="Y8661" s="221"/>
      <c r="Z8661" s="221"/>
      <c r="AA8661" s="221"/>
      <c r="AB8661" s="223"/>
    </row>
    <row r="8662" spans="1:28" ht="17.100000000000001" customHeight="1" thickTop="1">
      <c r="A8662" s="226" t="s">
        <v>24005</v>
      </c>
      <c r="B8662" s="28">
        <v>46140</v>
      </c>
      <c r="C8662" s="25">
        <v>817</v>
      </c>
      <c r="D8662" s="13" t="s">
        <v>1676</v>
      </c>
      <c r="E8662" s="228"/>
      <c r="F8662" s="109" t="s">
        <v>17151</v>
      </c>
      <c r="G8662" s="24"/>
      <c r="H8662" s="230">
        <v>3.5</v>
      </c>
      <c r="I8662" s="220">
        <v>440000</v>
      </c>
      <c r="J8662" s="220">
        <f>I8662*0.1</f>
        <v>44000</v>
      </c>
      <c r="K8662" s="220">
        <v>0</v>
      </c>
      <c r="L8662" s="220">
        <v>9790</v>
      </c>
      <c r="M8662" s="220">
        <v>15950</v>
      </c>
      <c r="N8662" s="220">
        <f>SUM(I8662:M8663)</f>
        <v>509740</v>
      </c>
      <c r="O8662" s="224"/>
      <c r="P8662" s="110" t="s">
        <v>24570</v>
      </c>
      <c r="Q8662" s="15" t="s">
        <v>19</v>
      </c>
      <c r="R8662" s="205"/>
      <c r="S8662" s="189"/>
      <c r="T8662" s="114"/>
      <c r="U8662" s="21"/>
      <c r="V8662" s="115">
        <v>46144</v>
      </c>
      <c r="W8662" s="116">
        <v>1299</v>
      </c>
      <c r="X8662" s="220">
        <v>575000</v>
      </c>
      <c r="Y8662" s="220">
        <f>X8662*0.1</f>
        <v>57500</v>
      </c>
      <c r="Z8662" s="220">
        <v>9790</v>
      </c>
      <c r="AA8662" s="220">
        <f>SUM(X8662:Z8662)</f>
        <v>642290</v>
      </c>
      <c r="AB8662" s="222">
        <v>46154</v>
      </c>
    </row>
    <row r="8663" spans="1:28" ht="17.100000000000001" customHeight="1" thickBot="1">
      <c r="A8663" s="227"/>
      <c r="B8663" s="27" t="s">
        <v>3314</v>
      </c>
      <c r="C8663" s="27">
        <v>3052</v>
      </c>
      <c r="D8663" s="14" t="s">
        <v>2014</v>
      </c>
      <c r="E8663" s="229"/>
      <c r="F8663" s="117" t="s">
        <v>24019</v>
      </c>
      <c r="G8663" s="26">
        <v>68682</v>
      </c>
      <c r="H8663" s="231"/>
      <c r="I8663" s="221"/>
      <c r="J8663" s="221"/>
      <c r="K8663" s="221"/>
      <c r="L8663" s="221"/>
      <c r="M8663" s="221"/>
      <c r="N8663" s="221"/>
      <c r="O8663" s="225"/>
      <c r="P8663" s="118" t="s">
        <v>24571</v>
      </c>
      <c r="Q8663" s="16" t="s">
        <v>20</v>
      </c>
      <c r="R8663" s="17" t="s">
        <v>24555</v>
      </c>
      <c r="S8663" s="121"/>
      <c r="T8663" s="122"/>
      <c r="U8663" s="22"/>
      <c r="V8663" s="123" t="s">
        <v>24346</v>
      </c>
      <c r="W8663" s="122">
        <v>60387</v>
      </c>
      <c r="X8663" s="221"/>
      <c r="Y8663" s="221"/>
      <c r="Z8663" s="221"/>
      <c r="AA8663" s="221"/>
      <c r="AB8663" s="223"/>
    </row>
    <row r="8664" spans="1:28" ht="17.100000000000001" customHeight="1" thickTop="1">
      <c r="A8664" s="226" t="s">
        <v>24006</v>
      </c>
      <c r="B8664" s="28">
        <v>46140</v>
      </c>
      <c r="C8664" s="25">
        <v>937</v>
      </c>
      <c r="D8664" s="13" t="s">
        <v>24042</v>
      </c>
      <c r="E8664" s="228"/>
      <c r="F8664" s="109" t="s">
        <v>24020</v>
      </c>
      <c r="G8664" s="24"/>
      <c r="H8664" s="230">
        <v>4</v>
      </c>
      <c r="I8664" s="220">
        <v>421000</v>
      </c>
      <c r="J8664" s="220">
        <f>I8664*0.1</f>
        <v>42100</v>
      </c>
      <c r="K8664" s="220">
        <v>0</v>
      </c>
      <c r="L8664" s="220">
        <v>17080</v>
      </c>
      <c r="M8664" s="220">
        <v>15950</v>
      </c>
      <c r="N8664" s="220">
        <f>SUM(I8664:M8665)</f>
        <v>496130</v>
      </c>
      <c r="O8664" s="224"/>
      <c r="P8664" s="110" t="s">
        <v>24443</v>
      </c>
      <c r="Q8664" s="15" t="s">
        <v>19</v>
      </c>
      <c r="R8664" s="205"/>
      <c r="S8664" s="189" t="s">
        <v>25512</v>
      </c>
      <c r="T8664" s="114"/>
      <c r="U8664" s="21"/>
      <c r="V8664" s="115"/>
      <c r="W8664" s="116"/>
      <c r="X8664" s="220"/>
      <c r="Y8664" s="220">
        <f>X8664*0.1</f>
        <v>0</v>
      </c>
      <c r="Z8664" s="220"/>
      <c r="AA8664" s="220">
        <f>SUM(X8664:Z8664)</f>
        <v>0</v>
      </c>
      <c r="AB8664" s="222"/>
    </row>
    <row r="8665" spans="1:28" ht="17.100000000000001" customHeight="1" thickBot="1">
      <c r="A8665" s="227"/>
      <c r="B8665" s="27" t="s">
        <v>2654</v>
      </c>
      <c r="C8665" s="27">
        <v>4001</v>
      </c>
      <c r="D8665" s="14" t="s">
        <v>1710</v>
      </c>
      <c r="E8665" s="229"/>
      <c r="F8665" s="117" t="s">
        <v>24021</v>
      </c>
      <c r="G8665" s="26">
        <v>33121</v>
      </c>
      <c r="H8665" s="231"/>
      <c r="I8665" s="221"/>
      <c r="J8665" s="221"/>
      <c r="K8665" s="221"/>
      <c r="L8665" s="221"/>
      <c r="M8665" s="221"/>
      <c r="N8665" s="221"/>
      <c r="O8665" s="225"/>
      <c r="P8665" s="118" t="s">
        <v>24444</v>
      </c>
      <c r="Q8665" s="16" t="s">
        <v>20</v>
      </c>
      <c r="R8665" s="17" t="s">
        <v>1983</v>
      </c>
      <c r="S8665" s="121" t="s">
        <v>2405</v>
      </c>
      <c r="T8665" s="122"/>
      <c r="U8665" s="22"/>
      <c r="V8665" s="123"/>
      <c r="W8665" s="122"/>
      <c r="X8665" s="221"/>
      <c r="Y8665" s="221"/>
      <c r="Z8665" s="221"/>
      <c r="AA8665" s="221"/>
      <c r="AB8665" s="223"/>
    </row>
    <row r="8666" spans="1:28" ht="17.100000000000001" customHeight="1" thickTop="1">
      <c r="A8666" s="226" t="s">
        <v>24007</v>
      </c>
      <c r="B8666" s="28">
        <v>46140</v>
      </c>
      <c r="C8666" s="25">
        <v>937</v>
      </c>
      <c r="D8666" s="13" t="s">
        <v>1963</v>
      </c>
      <c r="E8666" s="228"/>
      <c r="F8666" s="109" t="s">
        <v>19438</v>
      </c>
      <c r="G8666" s="24"/>
      <c r="H8666" s="230">
        <v>4</v>
      </c>
      <c r="I8666" s="220">
        <v>1294000</v>
      </c>
      <c r="J8666" s="220">
        <f>I8666*0.1</f>
        <v>129400</v>
      </c>
      <c r="K8666" s="220">
        <v>0</v>
      </c>
      <c r="L8666" s="220">
        <v>8990</v>
      </c>
      <c r="M8666" s="220">
        <v>15950</v>
      </c>
      <c r="N8666" s="220">
        <f>SUM(I8666:M8667)</f>
        <v>1448340</v>
      </c>
      <c r="O8666" s="224"/>
      <c r="P8666" s="110" t="s">
        <v>24572</v>
      </c>
      <c r="Q8666" s="15" t="s">
        <v>19</v>
      </c>
      <c r="R8666" s="205"/>
      <c r="S8666" s="189" t="s">
        <v>758</v>
      </c>
      <c r="T8666" s="114"/>
      <c r="U8666" s="21"/>
      <c r="V8666" s="115">
        <v>46144</v>
      </c>
      <c r="W8666" s="116">
        <v>1299</v>
      </c>
      <c r="X8666" s="220">
        <v>1395000</v>
      </c>
      <c r="Y8666" s="220">
        <f>X8666*0.1</f>
        <v>139500</v>
      </c>
      <c r="Z8666" s="220">
        <v>8990</v>
      </c>
      <c r="AA8666" s="220">
        <f>SUM(X8666:Z8666)</f>
        <v>1543490</v>
      </c>
      <c r="AB8666" s="222">
        <v>46154</v>
      </c>
    </row>
    <row r="8667" spans="1:28" ht="17.100000000000001" customHeight="1" thickBot="1">
      <c r="A8667" s="227"/>
      <c r="B8667" s="27" t="s">
        <v>2654</v>
      </c>
      <c r="C8667" s="27">
        <v>62013</v>
      </c>
      <c r="D8667" s="14" t="s">
        <v>1584</v>
      </c>
      <c r="E8667" s="229"/>
      <c r="F8667" s="117" t="s">
        <v>24022</v>
      </c>
      <c r="G8667" s="26">
        <v>26936</v>
      </c>
      <c r="H8667" s="231"/>
      <c r="I8667" s="221"/>
      <c r="J8667" s="221"/>
      <c r="K8667" s="221"/>
      <c r="L8667" s="221"/>
      <c r="M8667" s="221"/>
      <c r="N8667" s="221"/>
      <c r="O8667" s="225"/>
      <c r="P8667" s="118" t="s">
        <v>24557</v>
      </c>
      <c r="Q8667" s="16" t="s">
        <v>20</v>
      </c>
      <c r="R8667" s="17" t="s">
        <v>24555</v>
      </c>
      <c r="S8667" s="121" t="s">
        <v>11197</v>
      </c>
      <c r="T8667" s="122"/>
      <c r="U8667" s="22"/>
      <c r="V8667" s="123" t="s">
        <v>24605</v>
      </c>
      <c r="W8667" s="122">
        <v>41075</v>
      </c>
      <c r="X8667" s="221"/>
      <c r="Y8667" s="221"/>
      <c r="Z8667" s="221"/>
      <c r="AA8667" s="221"/>
      <c r="AB8667" s="223"/>
    </row>
    <row r="8668" spans="1:28" ht="17.100000000000001" customHeight="1" thickTop="1">
      <c r="A8668" s="226" t="s">
        <v>24008</v>
      </c>
      <c r="B8668" s="28">
        <v>46140</v>
      </c>
      <c r="C8668" s="25">
        <v>937</v>
      </c>
      <c r="D8668" s="13" t="s">
        <v>1883</v>
      </c>
      <c r="E8668" s="228"/>
      <c r="F8668" s="109" t="s">
        <v>17749</v>
      </c>
      <c r="G8668" s="24"/>
      <c r="H8668" s="230">
        <v>4</v>
      </c>
      <c r="I8668" s="220">
        <v>1053000</v>
      </c>
      <c r="J8668" s="220">
        <f>I8668*0.1</f>
        <v>105300</v>
      </c>
      <c r="K8668" s="220">
        <v>0</v>
      </c>
      <c r="L8668" s="220">
        <v>7440</v>
      </c>
      <c r="M8668" s="220">
        <v>15950</v>
      </c>
      <c r="N8668" s="220">
        <f>SUM(I8668:M8669)</f>
        <v>1181690</v>
      </c>
      <c r="O8668" s="224"/>
      <c r="P8668" s="110" t="s">
        <v>24556</v>
      </c>
      <c r="Q8668" s="15" t="s">
        <v>19</v>
      </c>
      <c r="R8668" s="205"/>
      <c r="S8668" s="189"/>
      <c r="T8668" s="114"/>
      <c r="U8668" s="21"/>
      <c r="V8668" s="115"/>
      <c r="W8668" s="116"/>
      <c r="X8668" s="220"/>
      <c r="Y8668" s="220">
        <f>X8668*0.1</f>
        <v>0</v>
      </c>
      <c r="Z8668" s="220"/>
      <c r="AA8668" s="220">
        <f>SUM(X8668:Z8668)</f>
        <v>0</v>
      </c>
      <c r="AB8668" s="222"/>
    </row>
    <row r="8669" spans="1:28" ht="17.100000000000001" customHeight="1" thickBot="1">
      <c r="A8669" s="227"/>
      <c r="B8669" s="27" t="s">
        <v>2654</v>
      </c>
      <c r="C8669" s="27">
        <v>62029</v>
      </c>
      <c r="D8669" s="14" t="s">
        <v>1584</v>
      </c>
      <c r="E8669" s="229"/>
      <c r="F8669" s="117" t="s">
        <v>24023</v>
      </c>
      <c r="G8669" s="26">
        <v>34536</v>
      </c>
      <c r="H8669" s="231"/>
      <c r="I8669" s="221"/>
      <c r="J8669" s="221"/>
      <c r="K8669" s="221"/>
      <c r="L8669" s="221"/>
      <c r="M8669" s="221"/>
      <c r="N8669" s="221"/>
      <c r="O8669" s="225"/>
      <c r="P8669" s="118" t="s">
        <v>24557</v>
      </c>
      <c r="Q8669" s="16" t="s">
        <v>20</v>
      </c>
      <c r="R8669" s="17" t="s">
        <v>24555</v>
      </c>
      <c r="S8669" s="121"/>
      <c r="T8669" s="122"/>
      <c r="U8669" s="22"/>
      <c r="V8669" s="123"/>
      <c r="W8669" s="122"/>
      <c r="X8669" s="221"/>
      <c r="Y8669" s="221"/>
      <c r="Z8669" s="221"/>
      <c r="AA8669" s="221"/>
      <c r="AB8669" s="223"/>
    </row>
    <row r="8670" spans="1:28" ht="17.100000000000001" customHeight="1" thickTop="1">
      <c r="A8670" s="226" t="s">
        <v>24009</v>
      </c>
      <c r="B8670" s="28">
        <v>46140</v>
      </c>
      <c r="C8670" s="25">
        <v>1091</v>
      </c>
      <c r="D8670" s="13" t="s">
        <v>2429</v>
      </c>
      <c r="E8670" s="228"/>
      <c r="F8670" s="109" t="s">
        <v>24024</v>
      </c>
      <c r="G8670" s="24" t="s">
        <v>5351</v>
      </c>
      <c r="H8670" s="230">
        <v>4.5</v>
      </c>
      <c r="I8670" s="220">
        <v>19200000</v>
      </c>
      <c r="J8670" s="220">
        <f>I8670*0.1</f>
        <v>1920000</v>
      </c>
      <c r="K8670" s="220">
        <v>51370</v>
      </c>
      <c r="L8670" s="220">
        <v>22640</v>
      </c>
      <c r="M8670" s="220">
        <v>16500</v>
      </c>
      <c r="N8670" s="220">
        <f>SUM(I8670:M8671)</f>
        <v>21210510</v>
      </c>
      <c r="O8670" s="224"/>
      <c r="P8670" s="110" t="s">
        <v>24044</v>
      </c>
      <c r="Q8670" s="15" t="s">
        <v>19</v>
      </c>
      <c r="R8670" s="205"/>
      <c r="S8670" s="189" t="s">
        <v>25983</v>
      </c>
      <c r="T8670" s="114"/>
      <c r="U8670" s="21"/>
      <c r="V8670" s="115"/>
      <c r="W8670" s="116"/>
      <c r="X8670" s="220"/>
      <c r="Y8670" s="220">
        <f>X8670*0.1</f>
        <v>0</v>
      </c>
      <c r="Z8670" s="220"/>
      <c r="AA8670" s="220">
        <f>SUM(X8670:Z8670)</f>
        <v>0</v>
      </c>
      <c r="AB8670" s="222"/>
    </row>
    <row r="8671" spans="1:28" ht="17.100000000000001" customHeight="1" thickBot="1">
      <c r="A8671" s="227"/>
      <c r="B8671" s="27" t="s">
        <v>1583</v>
      </c>
      <c r="C8671" s="27">
        <v>84246</v>
      </c>
      <c r="D8671" s="14" t="s">
        <v>1584</v>
      </c>
      <c r="E8671" s="229"/>
      <c r="F8671" s="117" t="s">
        <v>24043</v>
      </c>
      <c r="G8671" s="26">
        <v>35821</v>
      </c>
      <c r="H8671" s="231"/>
      <c r="I8671" s="221"/>
      <c r="J8671" s="221"/>
      <c r="K8671" s="221"/>
      <c r="L8671" s="221"/>
      <c r="M8671" s="221"/>
      <c r="N8671" s="221"/>
      <c r="O8671" s="225"/>
      <c r="P8671" s="118" t="s">
        <v>1647</v>
      </c>
      <c r="Q8671" s="16" t="s">
        <v>20</v>
      </c>
      <c r="R8671" s="17" t="s">
        <v>4213</v>
      </c>
      <c r="S8671" s="121" t="s">
        <v>1731</v>
      </c>
      <c r="T8671" s="122"/>
      <c r="U8671" s="22"/>
      <c r="V8671" s="123"/>
      <c r="W8671" s="122"/>
      <c r="X8671" s="221"/>
      <c r="Y8671" s="221"/>
      <c r="Z8671" s="221"/>
      <c r="AA8671" s="221"/>
      <c r="AB8671" s="223"/>
    </row>
    <row r="8672" spans="1:28" ht="17.100000000000001" customHeight="1" thickTop="1">
      <c r="A8672" s="226" t="s">
        <v>24010</v>
      </c>
      <c r="B8672" s="28">
        <v>46140</v>
      </c>
      <c r="C8672" s="25">
        <v>988</v>
      </c>
      <c r="D8672" s="13" t="s">
        <v>1963</v>
      </c>
      <c r="E8672" s="228"/>
      <c r="F8672" s="109" t="s">
        <v>24045</v>
      </c>
      <c r="G8672" s="24"/>
      <c r="H8672" s="230">
        <v>3.5</v>
      </c>
      <c r="I8672" s="220">
        <v>713000</v>
      </c>
      <c r="J8672" s="220">
        <f>I8672*0.1</f>
        <v>71300</v>
      </c>
      <c r="K8672" s="220">
        <v>0</v>
      </c>
      <c r="L8672" s="220">
        <v>8200</v>
      </c>
      <c r="M8672" s="220">
        <v>22000</v>
      </c>
      <c r="N8672" s="220">
        <f>SUM(I8672:M8673)</f>
        <v>814500</v>
      </c>
      <c r="O8672" s="224"/>
      <c r="P8672" s="110" t="s">
        <v>24866</v>
      </c>
      <c r="Q8672" s="15" t="s">
        <v>19</v>
      </c>
      <c r="R8672" s="205"/>
      <c r="S8672" s="189" t="s">
        <v>758</v>
      </c>
      <c r="T8672" s="114"/>
      <c r="U8672" s="21"/>
      <c r="V8672" s="115">
        <v>46158</v>
      </c>
      <c r="W8672" s="116">
        <v>1300</v>
      </c>
      <c r="X8672" s="220">
        <v>790000</v>
      </c>
      <c r="Y8672" s="220">
        <f>X8672*0.1</f>
        <v>79000</v>
      </c>
      <c r="Z8672" s="220">
        <v>8200</v>
      </c>
      <c r="AA8672" s="220">
        <f>SUM(X8672:Z8672)</f>
        <v>877200</v>
      </c>
      <c r="AB8672" s="222">
        <v>46161</v>
      </c>
    </row>
    <row r="8673" spans="1:28" ht="17.100000000000001" customHeight="1" thickBot="1">
      <c r="A8673" s="227"/>
      <c r="B8673" s="27" t="s">
        <v>17765</v>
      </c>
      <c r="C8673" s="27">
        <v>9</v>
      </c>
      <c r="D8673" s="14" t="s">
        <v>1584</v>
      </c>
      <c r="E8673" s="229"/>
      <c r="F8673" s="117" t="s">
        <v>24046</v>
      </c>
      <c r="G8673" s="26">
        <v>48231</v>
      </c>
      <c r="H8673" s="231"/>
      <c r="I8673" s="221"/>
      <c r="J8673" s="221"/>
      <c r="K8673" s="221"/>
      <c r="L8673" s="221"/>
      <c r="M8673" s="221"/>
      <c r="N8673" s="221"/>
      <c r="O8673" s="225"/>
      <c r="P8673" s="118" t="s">
        <v>2446</v>
      </c>
      <c r="Q8673" s="16" t="s">
        <v>20</v>
      </c>
      <c r="R8673" s="17" t="s">
        <v>2377</v>
      </c>
      <c r="S8673" s="121" t="s">
        <v>11197</v>
      </c>
      <c r="T8673" s="122"/>
      <c r="U8673" s="22"/>
      <c r="V8673" s="123" t="s">
        <v>2472</v>
      </c>
      <c r="W8673" s="122">
        <v>62094</v>
      </c>
      <c r="X8673" s="221"/>
      <c r="Y8673" s="221"/>
      <c r="Z8673" s="221"/>
      <c r="AA8673" s="221"/>
      <c r="AB8673" s="223"/>
    </row>
    <row r="8674" spans="1:28" ht="17.100000000000001" customHeight="1" thickTop="1">
      <c r="A8674" s="226" t="s">
        <v>24025</v>
      </c>
      <c r="B8674" s="28">
        <v>46140</v>
      </c>
      <c r="C8674" s="25">
        <v>988</v>
      </c>
      <c r="D8674" s="13" t="s">
        <v>1961</v>
      </c>
      <c r="E8674" s="228"/>
      <c r="F8674" s="109" t="s">
        <v>17162</v>
      </c>
      <c r="G8674" s="24"/>
      <c r="H8674" s="230">
        <v>3.5</v>
      </c>
      <c r="I8674" s="220">
        <v>743000</v>
      </c>
      <c r="J8674" s="220">
        <f>I8674*0.1</f>
        <v>74300</v>
      </c>
      <c r="K8674" s="220">
        <v>0</v>
      </c>
      <c r="L8674" s="220">
        <v>7440</v>
      </c>
      <c r="M8674" s="220">
        <v>22000</v>
      </c>
      <c r="N8674" s="220">
        <f>SUM(I8674:M8675)</f>
        <v>846740</v>
      </c>
      <c r="O8674" s="224"/>
      <c r="P8674" s="110" t="s">
        <v>24865</v>
      </c>
      <c r="Q8674" s="15" t="s">
        <v>19</v>
      </c>
      <c r="R8674" s="205"/>
      <c r="S8674" s="189" t="s">
        <v>25387</v>
      </c>
      <c r="T8674" s="114"/>
      <c r="U8674" s="21"/>
      <c r="V8674" s="115">
        <v>46165</v>
      </c>
      <c r="W8674" s="116">
        <v>1301</v>
      </c>
      <c r="X8674" s="220">
        <v>850000</v>
      </c>
      <c r="Y8674" s="220">
        <f>X8674*0.1</f>
        <v>85000</v>
      </c>
      <c r="Z8674" s="220">
        <v>7440</v>
      </c>
      <c r="AA8674" s="220">
        <f>SUM(X8674:Z8674)</f>
        <v>942440</v>
      </c>
      <c r="AB8674" s="222">
        <v>46168</v>
      </c>
    </row>
    <row r="8675" spans="1:28" ht="17.100000000000001" customHeight="1" thickBot="1">
      <c r="A8675" s="227"/>
      <c r="B8675" s="27" t="s">
        <v>17765</v>
      </c>
      <c r="C8675" s="27">
        <v>101</v>
      </c>
      <c r="D8675" s="14" t="s">
        <v>1584</v>
      </c>
      <c r="E8675" s="229"/>
      <c r="F8675" s="117" t="s">
        <v>24047</v>
      </c>
      <c r="G8675" s="26">
        <v>42058</v>
      </c>
      <c r="H8675" s="231"/>
      <c r="I8675" s="221"/>
      <c r="J8675" s="221"/>
      <c r="K8675" s="221"/>
      <c r="L8675" s="221"/>
      <c r="M8675" s="221"/>
      <c r="N8675" s="221"/>
      <c r="O8675" s="225"/>
      <c r="P8675" s="118" t="s">
        <v>2446</v>
      </c>
      <c r="Q8675" s="16" t="s">
        <v>20</v>
      </c>
      <c r="R8675" s="17" t="s">
        <v>2377</v>
      </c>
      <c r="S8675" s="121" t="s">
        <v>24885</v>
      </c>
      <c r="T8675" s="122"/>
      <c r="U8675" s="22"/>
      <c r="V8675" s="123" t="s">
        <v>2472</v>
      </c>
      <c r="W8675" s="122">
        <v>40016</v>
      </c>
      <c r="X8675" s="221"/>
      <c r="Y8675" s="221"/>
      <c r="Z8675" s="221"/>
      <c r="AA8675" s="221"/>
      <c r="AB8675" s="223"/>
    </row>
    <row r="8676" spans="1:28" ht="17.100000000000001" customHeight="1" thickTop="1">
      <c r="A8676" s="226" t="s">
        <v>24026</v>
      </c>
      <c r="B8676" s="28">
        <v>46140</v>
      </c>
      <c r="C8676" s="25">
        <v>988</v>
      </c>
      <c r="D8676" s="13" t="s">
        <v>1642</v>
      </c>
      <c r="E8676" s="228"/>
      <c r="F8676" s="109" t="s">
        <v>14779</v>
      </c>
      <c r="G8676" s="24"/>
      <c r="H8676" s="230">
        <v>3.5</v>
      </c>
      <c r="I8676" s="220">
        <v>1183000</v>
      </c>
      <c r="J8676" s="220">
        <f>I8676*0.1</f>
        <v>118300</v>
      </c>
      <c r="K8676" s="220">
        <v>0</v>
      </c>
      <c r="L8676" s="220">
        <v>8990</v>
      </c>
      <c r="M8676" s="220">
        <v>22000</v>
      </c>
      <c r="N8676" s="220">
        <f>SUM(I8676:M8677)</f>
        <v>1332290</v>
      </c>
      <c r="O8676" s="224"/>
      <c r="P8676" s="110" t="s">
        <v>24864</v>
      </c>
      <c r="Q8676" s="15" t="s">
        <v>19</v>
      </c>
      <c r="R8676" s="205"/>
      <c r="S8676" s="189" t="s">
        <v>758</v>
      </c>
      <c r="T8676" s="114"/>
      <c r="U8676" s="21"/>
      <c r="V8676" s="115"/>
      <c r="W8676" s="116"/>
      <c r="X8676" s="220"/>
      <c r="Y8676" s="220">
        <f>X8676*0.1</f>
        <v>0</v>
      </c>
      <c r="Z8676" s="220"/>
      <c r="AA8676" s="220">
        <f>SUM(X8676:Z8676)</f>
        <v>0</v>
      </c>
      <c r="AB8676" s="222"/>
    </row>
    <row r="8677" spans="1:28" ht="17.100000000000001" customHeight="1" thickBot="1">
      <c r="A8677" s="227"/>
      <c r="B8677" s="27" t="s">
        <v>17765</v>
      </c>
      <c r="C8677" s="27">
        <v>102</v>
      </c>
      <c r="D8677" s="14" t="s">
        <v>1584</v>
      </c>
      <c r="E8677" s="229"/>
      <c r="F8677" s="117" t="s">
        <v>24048</v>
      </c>
      <c r="G8677" s="26">
        <v>39307</v>
      </c>
      <c r="H8677" s="231"/>
      <c r="I8677" s="221"/>
      <c r="J8677" s="221"/>
      <c r="K8677" s="221"/>
      <c r="L8677" s="221"/>
      <c r="M8677" s="221"/>
      <c r="N8677" s="221"/>
      <c r="O8677" s="225"/>
      <c r="P8677" s="118" t="s">
        <v>2446</v>
      </c>
      <c r="Q8677" s="16" t="s">
        <v>20</v>
      </c>
      <c r="R8677" s="17" t="s">
        <v>2377</v>
      </c>
      <c r="S8677" s="121" t="s">
        <v>10124</v>
      </c>
      <c r="T8677" s="122"/>
      <c r="U8677" s="22"/>
      <c r="V8677" s="123"/>
      <c r="W8677" s="122"/>
      <c r="X8677" s="221"/>
      <c r="Y8677" s="221"/>
      <c r="Z8677" s="221"/>
      <c r="AA8677" s="221"/>
      <c r="AB8677" s="223"/>
    </row>
    <row r="8678" spans="1:28" ht="17.100000000000001" customHeight="1" thickTop="1">
      <c r="A8678" s="226" t="s">
        <v>24027</v>
      </c>
      <c r="B8678" s="28">
        <v>46140</v>
      </c>
      <c r="C8678" s="25">
        <v>988</v>
      </c>
      <c r="D8678" s="13" t="s">
        <v>1908</v>
      </c>
      <c r="E8678" s="228"/>
      <c r="F8678" s="109" t="s">
        <v>24160</v>
      </c>
      <c r="G8678" s="24"/>
      <c r="H8678" s="230">
        <v>4</v>
      </c>
      <c r="I8678" s="220">
        <v>1735000</v>
      </c>
      <c r="J8678" s="220">
        <f>I8678*0.1</f>
        <v>173500</v>
      </c>
      <c r="K8678" s="220">
        <v>0</v>
      </c>
      <c r="L8678" s="220">
        <v>9550</v>
      </c>
      <c r="M8678" s="220">
        <v>22000</v>
      </c>
      <c r="N8678" s="220">
        <f>SUM(I8678:M8679)</f>
        <v>1940050</v>
      </c>
      <c r="O8678" s="224"/>
      <c r="P8678" s="110" t="s">
        <v>24863</v>
      </c>
      <c r="Q8678" s="15" t="s">
        <v>19</v>
      </c>
      <c r="R8678" s="205"/>
      <c r="S8678" s="189" t="s">
        <v>25387</v>
      </c>
      <c r="T8678" s="114"/>
      <c r="U8678" s="21"/>
      <c r="V8678" s="115"/>
      <c r="W8678" s="116"/>
      <c r="X8678" s="220"/>
      <c r="Y8678" s="220">
        <f>X8678*0.1</f>
        <v>0</v>
      </c>
      <c r="Z8678" s="220"/>
      <c r="AA8678" s="220">
        <f>SUM(X8678:Z8678)</f>
        <v>0</v>
      </c>
      <c r="AB8678" s="222"/>
    </row>
    <row r="8679" spans="1:28" ht="17.100000000000001" customHeight="1" thickBot="1">
      <c r="A8679" s="227"/>
      <c r="B8679" s="27" t="s">
        <v>17765</v>
      </c>
      <c r="C8679" s="27">
        <v>239</v>
      </c>
      <c r="D8679" s="14" t="s">
        <v>2559</v>
      </c>
      <c r="E8679" s="229"/>
      <c r="F8679" s="117" t="s">
        <v>24049</v>
      </c>
      <c r="G8679" s="26">
        <v>70129</v>
      </c>
      <c r="H8679" s="231"/>
      <c r="I8679" s="221"/>
      <c r="J8679" s="221"/>
      <c r="K8679" s="221"/>
      <c r="L8679" s="221"/>
      <c r="M8679" s="221"/>
      <c r="N8679" s="221"/>
      <c r="O8679" s="225"/>
      <c r="P8679" s="118" t="s">
        <v>20651</v>
      </c>
      <c r="Q8679" s="16" t="s">
        <v>20</v>
      </c>
      <c r="R8679" s="17" t="s">
        <v>2377</v>
      </c>
      <c r="S8679" s="121" t="s">
        <v>24431</v>
      </c>
      <c r="T8679" s="122"/>
      <c r="U8679" s="22"/>
      <c r="V8679" s="123"/>
      <c r="W8679" s="122"/>
      <c r="X8679" s="221"/>
      <c r="Y8679" s="221"/>
      <c r="Z8679" s="221"/>
      <c r="AA8679" s="221"/>
      <c r="AB8679" s="223"/>
    </row>
    <row r="8680" spans="1:28" ht="17.100000000000001" customHeight="1" thickTop="1">
      <c r="A8680" s="226" t="s">
        <v>24028</v>
      </c>
      <c r="B8680" s="28">
        <v>46140</v>
      </c>
      <c r="C8680" s="25">
        <v>988</v>
      </c>
      <c r="D8680" s="13" t="s">
        <v>2295</v>
      </c>
      <c r="E8680" s="228"/>
      <c r="F8680" s="109" t="s">
        <v>18257</v>
      </c>
      <c r="G8680" s="24"/>
      <c r="H8680" s="230">
        <v>4</v>
      </c>
      <c r="I8680" s="220">
        <v>803000</v>
      </c>
      <c r="J8680" s="220">
        <f>I8680*0.1</f>
        <v>80300</v>
      </c>
      <c r="K8680" s="220">
        <v>0</v>
      </c>
      <c r="L8680" s="220">
        <v>8110</v>
      </c>
      <c r="M8680" s="220">
        <v>22000</v>
      </c>
      <c r="N8680" s="220">
        <f>SUM(I8680:M8681)</f>
        <v>913410</v>
      </c>
      <c r="O8680" s="224"/>
      <c r="P8680" s="110" t="s">
        <v>24861</v>
      </c>
      <c r="Q8680" s="15" t="s">
        <v>19</v>
      </c>
      <c r="R8680" s="205"/>
      <c r="S8680" s="189" t="s">
        <v>696</v>
      </c>
      <c r="T8680" s="114"/>
      <c r="U8680" s="21"/>
      <c r="V8680" s="115"/>
      <c r="W8680" s="116"/>
      <c r="X8680" s="220"/>
      <c r="Y8680" s="220">
        <f>X8680*0.1</f>
        <v>0</v>
      </c>
      <c r="Z8680" s="220"/>
      <c r="AA8680" s="220">
        <f>SUM(X8680:Z8680)</f>
        <v>0</v>
      </c>
      <c r="AB8680" s="222"/>
    </row>
    <row r="8681" spans="1:28" ht="17.100000000000001" customHeight="1" thickBot="1">
      <c r="A8681" s="227"/>
      <c r="B8681" s="27" t="s">
        <v>17765</v>
      </c>
      <c r="C8681" s="27">
        <v>1009</v>
      </c>
      <c r="D8681" s="14" t="s">
        <v>1710</v>
      </c>
      <c r="E8681" s="229"/>
      <c r="F8681" s="117" t="s">
        <v>24050</v>
      </c>
      <c r="G8681" s="26">
        <v>53621</v>
      </c>
      <c r="H8681" s="231"/>
      <c r="I8681" s="221"/>
      <c r="J8681" s="221"/>
      <c r="K8681" s="221"/>
      <c r="L8681" s="221"/>
      <c r="M8681" s="221"/>
      <c r="N8681" s="221"/>
      <c r="O8681" s="225"/>
      <c r="P8681" s="118" t="s">
        <v>24862</v>
      </c>
      <c r="Q8681" s="16" t="s">
        <v>20</v>
      </c>
      <c r="R8681" s="17" t="s">
        <v>2377</v>
      </c>
      <c r="S8681" s="121" t="s">
        <v>9617</v>
      </c>
      <c r="T8681" s="122"/>
      <c r="U8681" s="22"/>
      <c r="V8681" s="123"/>
      <c r="W8681" s="122"/>
      <c r="X8681" s="221"/>
      <c r="Y8681" s="221"/>
      <c r="Z8681" s="221"/>
      <c r="AA8681" s="221"/>
      <c r="AB8681" s="223"/>
    </row>
    <row r="8682" spans="1:28" ht="17.100000000000001" customHeight="1" thickTop="1">
      <c r="A8682" s="226" t="s">
        <v>24029</v>
      </c>
      <c r="B8682" s="28">
        <v>46140</v>
      </c>
      <c r="C8682" s="25"/>
      <c r="D8682" s="13" t="s">
        <v>2790</v>
      </c>
      <c r="E8682" s="228"/>
      <c r="F8682" s="109" t="s">
        <v>17447</v>
      </c>
      <c r="G8682" s="24" t="s">
        <v>24051</v>
      </c>
      <c r="H8682" s="230">
        <v>4.5</v>
      </c>
      <c r="I8682" s="220">
        <v>5200000</v>
      </c>
      <c r="J8682" s="220">
        <f>I8682*0.1</f>
        <v>520000</v>
      </c>
      <c r="K8682" s="220">
        <v>41600</v>
      </c>
      <c r="L8682" s="220">
        <v>14230</v>
      </c>
      <c r="M8682" s="220">
        <v>0</v>
      </c>
      <c r="N8682" s="220">
        <f>SUM(I8682:M8683)</f>
        <v>5775830</v>
      </c>
      <c r="O8682" s="224"/>
      <c r="P8682" s="110" t="s">
        <v>24835</v>
      </c>
      <c r="Q8682" s="15" t="s">
        <v>19</v>
      </c>
      <c r="R8682" s="205"/>
      <c r="S8682" s="189" t="s">
        <v>25691</v>
      </c>
      <c r="T8682" s="114"/>
      <c r="U8682" s="21"/>
      <c r="V8682" s="115">
        <v>46162</v>
      </c>
      <c r="W8682" s="116">
        <v>1017</v>
      </c>
      <c r="X8682" s="220">
        <v>5215000</v>
      </c>
      <c r="Y8682" s="220">
        <f>X8682*0.1</f>
        <v>521500</v>
      </c>
      <c r="Z8682" s="220">
        <v>14230</v>
      </c>
      <c r="AA8682" s="220">
        <f>SUM(X8682:Z8682)</f>
        <v>5750730</v>
      </c>
      <c r="AB8682" s="222">
        <v>46167</v>
      </c>
    </row>
    <row r="8683" spans="1:28" ht="17.100000000000001" customHeight="1" thickBot="1">
      <c r="A8683" s="227"/>
      <c r="B8683" s="27" t="s">
        <v>1708</v>
      </c>
      <c r="C8683" s="27" t="s">
        <v>24033</v>
      </c>
      <c r="D8683" s="14" t="s">
        <v>1584</v>
      </c>
      <c r="E8683" s="229"/>
      <c r="F8683" s="117" t="s">
        <v>24034</v>
      </c>
      <c r="G8683" s="26">
        <v>4139</v>
      </c>
      <c r="H8683" s="231"/>
      <c r="I8683" s="221"/>
      <c r="J8683" s="221"/>
      <c r="K8683" s="221"/>
      <c r="L8683" s="221"/>
      <c r="M8683" s="221"/>
      <c r="N8683" s="221"/>
      <c r="O8683" s="225"/>
      <c r="P8683" s="118" t="s">
        <v>24836</v>
      </c>
      <c r="Q8683" s="16" t="s">
        <v>20</v>
      </c>
      <c r="R8683" s="17" t="s">
        <v>2377</v>
      </c>
      <c r="S8683" s="121" t="s">
        <v>24837</v>
      </c>
      <c r="T8683" s="122"/>
      <c r="U8683" s="22"/>
      <c r="V8683" s="123" t="s">
        <v>2747</v>
      </c>
      <c r="W8683" s="122">
        <v>1065</v>
      </c>
      <c r="X8683" s="221"/>
      <c r="Y8683" s="221"/>
      <c r="Z8683" s="221"/>
      <c r="AA8683" s="221"/>
      <c r="AB8683" s="223"/>
    </row>
    <row r="8684" spans="1:28" ht="17.100000000000001" customHeight="1" thickTop="1">
      <c r="A8684" s="226" t="s">
        <v>24030</v>
      </c>
      <c r="B8684" s="28">
        <v>46141</v>
      </c>
      <c r="C8684" s="25">
        <v>1015</v>
      </c>
      <c r="D8684" s="13" t="s">
        <v>4531</v>
      </c>
      <c r="E8684" s="228"/>
      <c r="F8684" s="109" t="s">
        <v>24035</v>
      </c>
      <c r="G8684" s="24"/>
      <c r="H8684" s="230">
        <v>4</v>
      </c>
      <c r="I8684" s="220">
        <v>970000</v>
      </c>
      <c r="J8684" s="220">
        <f>I8684*0.1</f>
        <v>97000</v>
      </c>
      <c r="K8684" s="220">
        <v>0</v>
      </c>
      <c r="L8684" s="220">
        <v>13860</v>
      </c>
      <c r="M8684" s="220">
        <v>12100</v>
      </c>
      <c r="N8684" s="220">
        <f>SUM(I8684:M8685)</f>
        <v>1092960</v>
      </c>
      <c r="O8684" s="224"/>
      <c r="P8684" s="110" t="s">
        <v>24830</v>
      </c>
      <c r="Q8684" s="15" t="s">
        <v>19</v>
      </c>
      <c r="R8684" s="205"/>
      <c r="S8684" s="189"/>
      <c r="T8684" s="114"/>
      <c r="U8684" s="21"/>
      <c r="V8684" s="115"/>
      <c r="W8684" s="116"/>
      <c r="X8684" s="220"/>
      <c r="Y8684" s="220">
        <f>X8684*0.1</f>
        <v>0</v>
      </c>
      <c r="Z8684" s="220"/>
      <c r="AA8684" s="220">
        <f>SUM(X8684:Z8684)</f>
        <v>0</v>
      </c>
      <c r="AB8684" s="222"/>
    </row>
    <row r="8685" spans="1:28" ht="17.100000000000001" customHeight="1" thickBot="1">
      <c r="A8685" s="227"/>
      <c r="B8685" s="27" t="s">
        <v>2747</v>
      </c>
      <c r="C8685" s="27">
        <v>1187</v>
      </c>
      <c r="D8685" s="14" t="s">
        <v>2559</v>
      </c>
      <c r="E8685" s="229"/>
      <c r="F8685" s="117" t="s">
        <v>24036</v>
      </c>
      <c r="G8685" s="26">
        <v>147734</v>
      </c>
      <c r="H8685" s="231"/>
      <c r="I8685" s="221"/>
      <c r="J8685" s="221"/>
      <c r="K8685" s="221"/>
      <c r="L8685" s="221"/>
      <c r="M8685" s="221"/>
      <c r="N8685" s="221"/>
      <c r="O8685" s="225"/>
      <c r="P8685" s="118" t="s">
        <v>1972</v>
      </c>
      <c r="Q8685" s="16" t="s">
        <v>20</v>
      </c>
      <c r="R8685" s="17" t="s">
        <v>2377</v>
      </c>
      <c r="S8685" s="121" t="s">
        <v>2025</v>
      </c>
      <c r="T8685" s="122"/>
      <c r="U8685" s="22"/>
      <c r="V8685" s="123"/>
      <c r="W8685" s="122"/>
      <c r="X8685" s="221"/>
      <c r="Y8685" s="221"/>
      <c r="Z8685" s="221"/>
      <c r="AA8685" s="221"/>
      <c r="AB8685" s="223"/>
    </row>
    <row r="8686" spans="1:28" ht="17.100000000000001" customHeight="1" thickTop="1">
      <c r="A8686" s="226" t="s">
        <v>24031</v>
      </c>
      <c r="B8686" s="28">
        <v>46141</v>
      </c>
      <c r="C8686" s="25">
        <v>1015</v>
      </c>
      <c r="D8686" s="13" t="s">
        <v>2429</v>
      </c>
      <c r="E8686" s="228"/>
      <c r="F8686" s="109" t="s">
        <v>15707</v>
      </c>
      <c r="G8686" s="24"/>
      <c r="H8686" s="230">
        <v>4.5</v>
      </c>
      <c r="I8686" s="220">
        <v>1980000</v>
      </c>
      <c r="J8686" s="220">
        <f>I8686*0.1</f>
        <v>198000</v>
      </c>
      <c r="K8686" s="220">
        <v>0</v>
      </c>
      <c r="L8686" s="220">
        <v>17700</v>
      </c>
      <c r="M8686" s="220">
        <v>12100</v>
      </c>
      <c r="N8686" s="220">
        <f>SUM(I8686:M8687)</f>
        <v>2207800</v>
      </c>
      <c r="O8686" s="224"/>
      <c r="P8686" s="110" t="s">
        <v>24823</v>
      </c>
      <c r="Q8686" s="15" t="s">
        <v>19</v>
      </c>
      <c r="R8686" s="205"/>
      <c r="S8686" s="189" t="s">
        <v>25984</v>
      </c>
      <c r="T8686" s="114"/>
      <c r="U8686" s="21"/>
      <c r="V8686" s="115"/>
      <c r="W8686" s="116"/>
      <c r="X8686" s="220"/>
      <c r="Y8686" s="220">
        <f>X8686*0.1</f>
        <v>0</v>
      </c>
      <c r="Z8686" s="220"/>
      <c r="AA8686" s="220">
        <f>SUM(X8686:Z8686)</f>
        <v>0</v>
      </c>
      <c r="AB8686" s="222"/>
    </row>
    <row r="8687" spans="1:28" ht="17.100000000000001" customHeight="1" thickBot="1">
      <c r="A8687" s="227"/>
      <c r="B8687" s="27" t="s">
        <v>2747</v>
      </c>
      <c r="C8687" s="27">
        <v>1328</v>
      </c>
      <c r="D8687" s="14" t="s">
        <v>131</v>
      </c>
      <c r="E8687" s="229"/>
      <c r="F8687" s="117" t="s">
        <v>24052</v>
      </c>
      <c r="G8687" s="26">
        <v>35470</v>
      </c>
      <c r="H8687" s="231"/>
      <c r="I8687" s="221"/>
      <c r="J8687" s="221"/>
      <c r="K8687" s="221"/>
      <c r="L8687" s="221"/>
      <c r="M8687" s="221"/>
      <c r="N8687" s="221"/>
      <c r="O8687" s="225"/>
      <c r="P8687" s="118" t="s">
        <v>24824</v>
      </c>
      <c r="Q8687" s="16" t="s">
        <v>20</v>
      </c>
      <c r="R8687" s="17" t="s">
        <v>2377</v>
      </c>
      <c r="S8687" s="121" t="s">
        <v>24825</v>
      </c>
      <c r="T8687" s="122"/>
      <c r="U8687" s="22"/>
      <c r="V8687" s="123"/>
      <c r="W8687" s="122"/>
      <c r="X8687" s="221"/>
      <c r="Y8687" s="221"/>
      <c r="Z8687" s="221"/>
      <c r="AA8687" s="221"/>
      <c r="AB8687" s="223"/>
    </row>
    <row r="8688" spans="1:28" ht="17.100000000000001" customHeight="1" thickTop="1">
      <c r="A8688" s="226" t="s">
        <v>24032</v>
      </c>
      <c r="B8688" s="28">
        <v>46141</v>
      </c>
      <c r="C8688" s="25"/>
      <c r="D8688" s="13" t="s">
        <v>2712</v>
      </c>
      <c r="E8688" s="228"/>
      <c r="F8688" s="109" t="s">
        <v>24053</v>
      </c>
      <c r="G8688" s="24" t="s">
        <v>5031</v>
      </c>
      <c r="H8688" s="230">
        <v>4</v>
      </c>
      <c r="I8688" s="220">
        <v>2005000</v>
      </c>
      <c r="J8688" s="220">
        <f>I8688*0.1</f>
        <v>200500</v>
      </c>
      <c r="K8688" s="220">
        <v>30000</v>
      </c>
      <c r="L8688" s="220">
        <v>12470</v>
      </c>
      <c r="M8688" s="220">
        <v>0</v>
      </c>
      <c r="N8688" s="220">
        <f>SUM(I8688:M8689)</f>
        <v>2247970</v>
      </c>
      <c r="O8688" s="224"/>
      <c r="P8688" s="110" t="s">
        <v>26568</v>
      </c>
      <c r="Q8688" s="15" t="s">
        <v>19</v>
      </c>
      <c r="R8688" s="205"/>
      <c r="S8688" s="189" t="s">
        <v>25691</v>
      </c>
      <c r="T8688" s="114"/>
      <c r="U8688" s="21"/>
      <c r="V8688" s="115"/>
      <c r="W8688" s="116"/>
      <c r="X8688" s="220"/>
      <c r="Y8688" s="220">
        <f>X8688*0.1</f>
        <v>0</v>
      </c>
      <c r="Z8688" s="220"/>
      <c r="AA8688" s="220">
        <f>SUM(X8688:Z8688)</f>
        <v>0</v>
      </c>
      <c r="AB8688" s="222"/>
    </row>
    <row r="8689" spans="1:28" ht="17.100000000000001" customHeight="1" thickBot="1">
      <c r="A8689" s="227"/>
      <c r="B8689" s="27" t="s">
        <v>1708</v>
      </c>
      <c r="C8689" s="27" t="s">
        <v>24037</v>
      </c>
      <c r="D8689" s="14" t="s">
        <v>2559</v>
      </c>
      <c r="E8689" s="229"/>
      <c r="F8689" s="117" t="s">
        <v>24038</v>
      </c>
      <c r="G8689" s="26">
        <v>46107</v>
      </c>
      <c r="H8689" s="231"/>
      <c r="I8689" s="221"/>
      <c r="J8689" s="221"/>
      <c r="K8689" s="221"/>
      <c r="L8689" s="221"/>
      <c r="M8689" s="221"/>
      <c r="N8689" s="221"/>
      <c r="O8689" s="225"/>
      <c r="P8689" s="118" t="s">
        <v>26569</v>
      </c>
      <c r="Q8689" s="16" t="s">
        <v>20</v>
      </c>
      <c r="R8689" s="17" t="s">
        <v>3717</v>
      </c>
      <c r="S8689" s="121" t="s">
        <v>26570</v>
      </c>
      <c r="T8689" s="122"/>
      <c r="U8689" s="22"/>
      <c r="V8689" s="123"/>
      <c r="W8689" s="122"/>
      <c r="X8689" s="221"/>
      <c r="Y8689" s="221"/>
      <c r="Z8689" s="221"/>
      <c r="AA8689" s="221"/>
      <c r="AB8689" s="223"/>
    </row>
    <row r="8690" spans="1:28" ht="17.100000000000001" customHeight="1" thickTop="1">
      <c r="A8690" s="226" t="s">
        <v>24055</v>
      </c>
      <c r="B8690" s="28">
        <v>46141</v>
      </c>
      <c r="C8690" s="25">
        <v>1329</v>
      </c>
      <c r="D8690" s="13" t="s">
        <v>3494</v>
      </c>
      <c r="E8690" s="228"/>
      <c r="F8690" s="109" t="s">
        <v>24057</v>
      </c>
      <c r="G8690" s="24" t="s">
        <v>8081</v>
      </c>
      <c r="H8690" s="230">
        <v>4</v>
      </c>
      <c r="I8690" s="220">
        <v>3127000</v>
      </c>
      <c r="J8690" s="220">
        <f>I8690*0.1</f>
        <v>312700</v>
      </c>
      <c r="K8690" s="220">
        <f>45800+4580</f>
        <v>50380</v>
      </c>
      <c r="L8690" s="220">
        <v>26470</v>
      </c>
      <c r="M8690" s="220">
        <v>15400</v>
      </c>
      <c r="N8690" s="220">
        <f>SUM(I8690:M8691)</f>
        <v>3531950</v>
      </c>
      <c r="O8690" s="224"/>
      <c r="P8690" s="110" t="s">
        <v>24449</v>
      </c>
      <c r="Q8690" s="15" t="s">
        <v>19</v>
      </c>
      <c r="R8690" s="205"/>
      <c r="S8690" s="189"/>
      <c r="T8690" s="114"/>
      <c r="U8690" s="21" t="s">
        <v>25213</v>
      </c>
      <c r="V8690" s="115"/>
      <c r="W8690" s="116"/>
      <c r="X8690" s="220"/>
      <c r="Y8690" s="220">
        <f>X8690*0.1</f>
        <v>0</v>
      </c>
      <c r="Z8690" s="220"/>
      <c r="AA8690" s="220">
        <f>SUM(X8690:Z8690)</f>
        <v>0</v>
      </c>
      <c r="AB8690" s="222"/>
    </row>
    <row r="8691" spans="1:28" ht="17.100000000000001" customHeight="1" thickBot="1">
      <c r="A8691" s="227"/>
      <c r="B8691" s="27" t="s">
        <v>5197</v>
      </c>
      <c r="C8691" s="27">
        <v>3097</v>
      </c>
      <c r="D8691" s="14" t="s">
        <v>131</v>
      </c>
      <c r="E8691" s="229"/>
      <c r="F8691" s="117" t="s">
        <v>24056</v>
      </c>
      <c r="G8691" s="26">
        <v>44287</v>
      </c>
      <c r="H8691" s="231"/>
      <c r="I8691" s="221"/>
      <c r="J8691" s="221"/>
      <c r="K8691" s="221"/>
      <c r="L8691" s="221"/>
      <c r="M8691" s="221"/>
      <c r="N8691" s="221"/>
      <c r="O8691" s="225"/>
      <c r="P8691" s="118" t="s">
        <v>2287</v>
      </c>
      <c r="Q8691" s="16" t="s">
        <v>20</v>
      </c>
      <c r="R8691" s="17" t="s">
        <v>1983</v>
      </c>
      <c r="S8691" s="121" t="s">
        <v>24883</v>
      </c>
      <c r="T8691" s="122"/>
      <c r="U8691" s="22"/>
      <c r="V8691" s="123"/>
      <c r="W8691" s="122"/>
      <c r="X8691" s="221"/>
      <c r="Y8691" s="221"/>
      <c r="Z8691" s="221"/>
      <c r="AA8691" s="221"/>
      <c r="AB8691" s="223"/>
    </row>
    <row r="8692" spans="1:28" ht="17.100000000000001" customHeight="1" thickTop="1">
      <c r="A8692" s="226" t="s">
        <v>24074</v>
      </c>
      <c r="B8692" s="28">
        <v>46141</v>
      </c>
      <c r="C8692" s="25"/>
      <c r="D8692" s="13" t="s">
        <v>2913</v>
      </c>
      <c r="E8692" s="228"/>
      <c r="F8692" s="109" t="s">
        <v>24075</v>
      </c>
      <c r="G8692" s="24" t="s">
        <v>5007</v>
      </c>
      <c r="H8692" s="230"/>
      <c r="I8692" s="220">
        <v>3200000</v>
      </c>
      <c r="J8692" s="220">
        <v>0</v>
      </c>
      <c r="K8692" s="220">
        <v>0</v>
      </c>
      <c r="L8692" s="220">
        <v>0</v>
      </c>
      <c r="M8692" s="220">
        <v>0</v>
      </c>
      <c r="N8692" s="220">
        <f>SUM(I8692:M8693)</f>
        <v>3200000</v>
      </c>
      <c r="O8692" s="224"/>
      <c r="P8692" s="110" t="s">
        <v>24077</v>
      </c>
      <c r="Q8692" s="15" t="s">
        <v>19</v>
      </c>
      <c r="R8692" s="205"/>
      <c r="S8692" s="189"/>
      <c r="T8692" s="114"/>
      <c r="U8692" s="21"/>
      <c r="V8692" s="115"/>
      <c r="W8692" s="116"/>
      <c r="X8692" s="220"/>
      <c r="Y8692" s="220">
        <f>X8692*0.1</f>
        <v>0</v>
      </c>
      <c r="Z8692" s="220"/>
      <c r="AA8692" s="220">
        <f>SUM(X8692:Z8692)</f>
        <v>0</v>
      </c>
      <c r="AB8692" s="222"/>
    </row>
    <row r="8693" spans="1:28" ht="17.100000000000001" customHeight="1" thickBot="1">
      <c r="A8693" s="227"/>
      <c r="B8693" s="27" t="s">
        <v>8305</v>
      </c>
      <c r="C8693" s="27"/>
      <c r="D8693" s="14"/>
      <c r="E8693" s="229"/>
      <c r="F8693" s="117" t="s">
        <v>24076</v>
      </c>
      <c r="G8693" s="26"/>
      <c r="H8693" s="231"/>
      <c r="I8693" s="221"/>
      <c r="J8693" s="221"/>
      <c r="K8693" s="221"/>
      <c r="L8693" s="221"/>
      <c r="M8693" s="221"/>
      <c r="N8693" s="221"/>
      <c r="O8693" s="225"/>
      <c r="P8693" s="118" t="s">
        <v>24078</v>
      </c>
      <c r="Q8693" s="16" t="s">
        <v>20</v>
      </c>
      <c r="R8693" s="17" t="s">
        <v>1934</v>
      </c>
      <c r="S8693" s="121" t="s">
        <v>1923</v>
      </c>
      <c r="T8693" s="122"/>
      <c r="U8693" s="22"/>
      <c r="V8693" s="123"/>
      <c r="W8693" s="122"/>
      <c r="X8693" s="221"/>
      <c r="Y8693" s="221"/>
      <c r="Z8693" s="221"/>
      <c r="AA8693" s="221"/>
      <c r="AB8693" s="223"/>
    </row>
    <row r="8694" spans="1:28" ht="17.100000000000001" customHeight="1" thickTop="1">
      <c r="A8694" s="226" t="s">
        <v>24125</v>
      </c>
      <c r="B8694" s="28">
        <v>46141</v>
      </c>
      <c r="C8694" s="25">
        <v>1836</v>
      </c>
      <c r="D8694" s="13" t="s">
        <v>24134</v>
      </c>
      <c r="E8694" s="228"/>
      <c r="F8694" s="109" t="s">
        <v>24135</v>
      </c>
      <c r="G8694" s="24" t="s">
        <v>24136</v>
      </c>
      <c r="H8694" s="230">
        <v>4</v>
      </c>
      <c r="I8694" s="220">
        <v>1085000</v>
      </c>
      <c r="J8694" s="220">
        <f>I8694*0.1</f>
        <v>108500</v>
      </c>
      <c r="K8694" s="220">
        <f>36200+3620</f>
        <v>39820</v>
      </c>
      <c r="L8694" s="220">
        <v>12470</v>
      </c>
      <c r="M8694" s="220">
        <f>18500+1850</f>
        <v>20350</v>
      </c>
      <c r="N8694" s="220">
        <f>SUM(I8694:M8695)</f>
        <v>1266140</v>
      </c>
      <c r="O8694" s="224"/>
      <c r="P8694" s="110" t="s">
        <v>24137</v>
      </c>
      <c r="Q8694" s="15" t="s">
        <v>19</v>
      </c>
      <c r="R8694" s="205"/>
      <c r="S8694" s="189"/>
      <c r="T8694" s="114"/>
      <c r="U8694" s="21" t="s">
        <v>25215</v>
      </c>
      <c r="V8694" s="115"/>
      <c r="W8694" s="116"/>
      <c r="X8694" s="220"/>
      <c r="Y8694" s="220">
        <f>X8694*0.1</f>
        <v>0</v>
      </c>
      <c r="Z8694" s="220"/>
      <c r="AA8694" s="220">
        <f>SUM(X8694:Z8694)</f>
        <v>0</v>
      </c>
      <c r="AB8694" s="222"/>
    </row>
    <row r="8695" spans="1:28" ht="17.100000000000001" customHeight="1" thickBot="1">
      <c r="A8695" s="227"/>
      <c r="B8695" s="27" t="s">
        <v>24147</v>
      </c>
      <c r="C8695" s="27">
        <v>30227</v>
      </c>
      <c r="D8695" s="14" t="s">
        <v>2559</v>
      </c>
      <c r="E8695" s="229"/>
      <c r="F8695" s="117" t="s">
        <v>24130</v>
      </c>
      <c r="G8695" s="26">
        <v>100168</v>
      </c>
      <c r="H8695" s="231"/>
      <c r="I8695" s="221"/>
      <c r="J8695" s="221"/>
      <c r="K8695" s="221"/>
      <c r="L8695" s="221"/>
      <c r="M8695" s="221"/>
      <c r="N8695" s="221"/>
      <c r="O8695" s="225"/>
      <c r="P8695" s="118" t="s">
        <v>1972</v>
      </c>
      <c r="Q8695" s="16" t="s">
        <v>20</v>
      </c>
      <c r="R8695" s="17" t="s">
        <v>2040</v>
      </c>
      <c r="S8695" s="121"/>
      <c r="T8695" s="122"/>
      <c r="U8695" s="22"/>
      <c r="V8695" s="123"/>
      <c r="W8695" s="122"/>
      <c r="X8695" s="221"/>
      <c r="Y8695" s="221"/>
      <c r="Z8695" s="221"/>
      <c r="AA8695" s="221"/>
      <c r="AB8695" s="223"/>
    </row>
    <row r="8696" spans="1:28" ht="17.100000000000001" customHeight="1" thickTop="1">
      <c r="A8696" s="226" t="s">
        <v>24126</v>
      </c>
      <c r="B8696" s="28">
        <v>46141</v>
      </c>
      <c r="C8696" s="25">
        <v>1836</v>
      </c>
      <c r="D8696" s="13" t="s">
        <v>24138</v>
      </c>
      <c r="E8696" s="228"/>
      <c r="F8696" s="109" t="s">
        <v>24140</v>
      </c>
      <c r="G8696" s="24"/>
      <c r="H8696" s="230">
        <v>4</v>
      </c>
      <c r="I8696" s="220">
        <v>985000</v>
      </c>
      <c r="J8696" s="220">
        <f>I8696*0.1</f>
        <v>98500</v>
      </c>
      <c r="K8696" s="220">
        <v>0</v>
      </c>
      <c r="L8696" s="220">
        <v>9750</v>
      </c>
      <c r="M8696" s="220">
        <v>20350</v>
      </c>
      <c r="N8696" s="220">
        <f>SUM(I8696:M8697)</f>
        <v>1113600</v>
      </c>
      <c r="O8696" s="224"/>
      <c r="P8696" s="110" t="s">
        <v>24442</v>
      </c>
      <c r="Q8696" s="15" t="s">
        <v>19</v>
      </c>
      <c r="R8696" s="205"/>
      <c r="S8696" s="189" t="s">
        <v>25615</v>
      </c>
      <c r="T8696" s="114"/>
      <c r="U8696" s="21"/>
      <c r="V8696" s="115"/>
      <c r="W8696" s="116"/>
      <c r="X8696" s="220"/>
      <c r="Y8696" s="220">
        <f>X8696*0.1</f>
        <v>0</v>
      </c>
      <c r="Z8696" s="220"/>
      <c r="AA8696" s="220">
        <f>SUM(X8696:Z8696)</f>
        <v>0</v>
      </c>
      <c r="AB8696" s="222"/>
    </row>
    <row r="8697" spans="1:28" ht="17.100000000000001" customHeight="1" thickBot="1">
      <c r="A8697" s="227"/>
      <c r="B8697" s="27" t="s">
        <v>24147</v>
      </c>
      <c r="C8697" s="27">
        <v>36209</v>
      </c>
      <c r="D8697" s="14" t="s">
        <v>24139</v>
      </c>
      <c r="E8697" s="229"/>
      <c r="F8697" s="117" t="s">
        <v>24131</v>
      </c>
      <c r="G8697" s="26">
        <v>58771</v>
      </c>
      <c r="H8697" s="231"/>
      <c r="I8697" s="221"/>
      <c r="J8697" s="221"/>
      <c r="K8697" s="221"/>
      <c r="L8697" s="221"/>
      <c r="M8697" s="221"/>
      <c r="N8697" s="221"/>
      <c r="O8697" s="225"/>
      <c r="P8697" s="118" t="s">
        <v>8271</v>
      </c>
      <c r="Q8697" s="16" t="s">
        <v>20</v>
      </c>
      <c r="R8697" s="17" t="s">
        <v>1983</v>
      </c>
      <c r="S8697" s="121" t="s">
        <v>6802</v>
      </c>
      <c r="T8697" s="122"/>
      <c r="U8697" s="22"/>
      <c r="V8697" s="123"/>
      <c r="W8697" s="122"/>
      <c r="X8697" s="221"/>
      <c r="Y8697" s="221"/>
      <c r="Z8697" s="221"/>
      <c r="AA8697" s="221"/>
      <c r="AB8697" s="223"/>
    </row>
    <row r="8698" spans="1:28" ht="17.100000000000001" customHeight="1" thickTop="1">
      <c r="A8698" s="226" t="s">
        <v>24127</v>
      </c>
      <c r="B8698" s="28">
        <v>46141</v>
      </c>
      <c r="C8698" s="25">
        <v>1836</v>
      </c>
      <c r="D8698" s="13" t="s">
        <v>24141</v>
      </c>
      <c r="E8698" s="228"/>
      <c r="F8698" s="109" t="s">
        <v>3168</v>
      </c>
      <c r="G8698" s="24"/>
      <c r="H8698" s="230">
        <v>4.5</v>
      </c>
      <c r="I8698" s="220">
        <v>1105000</v>
      </c>
      <c r="J8698" s="220">
        <f>I8698*0.1</f>
        <v>110500</v>
      </c>
      <c r="K8698" s="220">
        <v>0</v>
      </c>
      <c r="L8698" s="220">
        <v>19090</v>
      </c>
      <c r="M8698" s="220">
        <v>20350</v>
      </c>
      <c r="N8698" s="220">
        <f>SUM(I8698:M8699)</f>
        <v>1254940</v>
      </c>
      <c r="O8698" s="224"/>
      <c r="P8698" s="110" t="s">
        <v>24461</v>
      </c>
      <c r="Q8698" s="15" t="s">
        <v>19</v>
      </c>
      <c r="R8698" s="205"/>
      <c r="S8698" s="189"/>
      <c r="T8698" s="114"/>
      <c r="U8698" s="21"/>
      <c r="V8698" s="115"/>
      <c r="W8698" s="116"/>
      <c r="X8698" s="220"/>
      <c r="Y8698" s="220">
        <f>X8698*0.1</f>
        <v>0</v>
      </c>
      <c r="Z8698" s="220"/>
      <c r="AA8698" s="220">
        <f>SUM(X8698:Z8698)</f>
        <v>0</v>
      </c>
      <c r="AB8698" s="222"/>
    </row>
    <row r="8699" spans="1:28" ht="17.100000000000001" customHeight="1" thickBot="1">
      <c r="A8699" s="227"/>
      <c r="B8699" s="27" t="s">
        <v>24147</v>
      </c>
      <c r="C8699" s="27">
        <v>38167</v>
      </c>
      <c r="D8699" s="14" t="s">
        <v>24142</v>
      </c>
      <c r="E8699" s="229"/>
      <c r="F8699" s="117" t="s">
        <v>24132</v>
      </c>
      <c r="G8699" s="26">
        <v>65546</v>
      </c>
      <c r="H8699" s="231"/>
      <c r="I8699" s="221"/>
      <c r="J8699" s="221"/>
      <c r="K8699" s="221"/>
      <c r="L8699" s="221"/>
      <c r="M8699" s="221"/>
      <c r="N8699" s="221"/>
      <c r="O8699" s="225"/>
      <c r="P8699" s="118" t="s">
        <v>1972</v>
      </c>
      <c r="Q8699" s="16" t="s">
        <v>20</v>
      </c>
      <c r="R8699" s="17" t="s">
        <v>2040</v>
      </c>
      <c r="S8699" s="121" t="s">
        <v>1731</v>
      </c>
      <c r="T8699" s="122"/>
      <c r="U8699" s="22"/>
      <c r="V8699" s="123"/>
      <c r="W8699" s="122"/>
      <c r="X8699" s="221"/>
      <c r="Y8699" s="221"/>
      <c r="Z8699" s="221"/>
      <c r="AA8699" s="221"/>
      <c r="AB8699" s="223"/>
    </row>
    <row r="8700" spans="1:28" ht="17.100000000000001" customHeight="1" thickTop="1">
      <c r="A8700" s="226" t="s">
        <v>24128</v>
      </c>
      <c r="B8700" s="28">
        <v>46141</v>
      </c>
      <c r="C8700" s="25">
        <v>1836</v>
      </c>
      <c r="D8700" s="13" t="s">
        <v>24143</v>
      </c>
      <c r="E8700" s="228"/>
      <c r="F8700" s="109" t="s">
        <v>24145</v>
      </c>
      <c r="G8700" s="24"/>
      <c r="H8700" s="230">
        <v>4.5</v>
      </c>
      <c r="I8700" s="220">
        <v>770000</v>
      </c>
      <c r="J8700" s="220">
        <f>I8700*0.1</f>
        <v>77000</v>
      </c>
      <c r="K8700" s="220">
        <v>0</v>
      </c>
      <c r="L8700" s="220">
        <v>7440</v>
      </c>
      <c r="M8700" s="220">
        <f>17500+1750</f>
        <v>19250</v>
      </c>
      <c r="N8700" s="220">
        <f>SUM(I8700:M8701)</f>
        <v>873690</v>
      </c>
      <c r="O8700" s="224"/>
      <c r="P8700" s="110" t="s">
        <v>24573</v>
      </c>
      <c r="Q8700" s="15" t="s">
        <v>19</v>
      </c>
      <c r="R8700" s="205"/>
      <c r="S8700" s="189" t="s">
        <v>758</v>
      </c>
      <c r="T8700" s="114"/>
      <c r="U8700" s="21"/>
      <c r="V8700" s="115">
        <v>46144</v>
      </c>
      <c r="W8700" s="116">
        <v>1299</v>
      </c>
      <c r="X8700" s="220">
        <v>850000</v>
      </c>
      <c r="Y8700" s="220">
        <f>X8700*0.1</f>
        <v>85000</v>
      </c>
      <c r="Z8700" s="220">
        <v>7440</v>
      </c>
      <c r="AA8700" s="220">
        <f>SUM(X8700:Z8700)</f>
        <v>942440</v>
      </c>
      <c r="AB8700" s="222">
        <v>46154</v>
      </c>
    </row>
    <row r="8701" spans="1:28" ht="17.100000000000001" customHeight="1" thickBot="1">
      <c r="A8701" s="227"/>
      <c r="B8701" s="27" t="s">
        <v>24147</v>
      </c>
      <c r="C8701" s="27">
        <v>40022</v>
      </c>
      <c r="D8701" s="14" t="s">
        <v>24144</v>
      </c>
      <c r="E8701" s="229"/>
      <c r="F8701" s="117" t="s">
        <v>24133</v>
      </c>
      <c r="G8701" s="26">
        <v>40194</v>
      </c>
      <c r="H8701" s="231"/>
      <c r="I8701" s="221"/>
      <c r="J8701" s="221"/>
      <c r="K8701" s="221"/>
      <c r="L8701" s="221"/>
      <c r="M8701" s="221"/>
      <c r="N8701" s="221"/>
      <c r="O8701" s="225"/>
      <c r="P8701" s="118" t="s">
        <v>24557</v>
      </c>
      <c r="Q8701" s="16" t="s">
        <v>20</v>
      </c>
      <c r="R8701" s="17" t="s">
        <v>24555</v>
      </c>
      <c r="S8701" s="121" t="s">
        <v>11197</v>
      </c>
      <c r="T8701" s="122"/>
      <c r="U8701" s="22"/>
      <c r="V8701" s="123" t="s">
        <v>24346</v>
      </c>
      <c r="W8701" s="122">
        <v>41079</v>
      </c>
      <c r="X8701" s="221"/>
      <c r="Y8701" s="221"/>
      <c r="Z8701" s="221"/>
      <c r="AA8701" s="221"/>
      <c r="AB8701" s="223"/>
    </row>
    <row r="8702" spans="1:28" ht="17.100000000000001" customHeight="1" thickTop="1">
      <c r="A8702" s="226" t="s">
        <v>24148</v>
      </c>
      <c r="B8702" s="28">
        <v>46142</v>
      </c>
      <c r="C8702" s="25">
        <v>1981</v>
      </c>
      <c r="D8702" s="13" t="s">
        <v>24152</v>
      </c>
      <c r="E8702" s="228"/>
      <c r="F8702" s="109" t="s">
        <v>24153</v>
      </c>
      <c r="G8702" s="24"/>
      <c r="H8702" s="230">
        <v>4.5</v>
      </c>
      <c r="I8702" s="220">
        <v>559000</v>
      </c>
      <c r="J8702" s="220">
        <f>I8702*0.1</f>
        <v>55900</v>
      </c>
      <c r="K8702" s="220">
        <v>0</v>
      </c>
      <c r="L8702" s="220">
        <v>6550</v>
      </c>
      <c r="M8702" s="220">
        <f>15500+1550</f>
        <v>17050</v>
      </c>
      <c r="N8702" s="220">
        <f>SUM(I8702:M8703)</f>
        <v>638500</v>
      </c>
      <c r="O8702" s="224"/>
      <c r="P8702" s="110" t="s">
        <v>24872</v>
      </c>
      <c r="Q8702" s="15" t="s">
        <v>19</v>
      </c>
      <c r="R8702" s="205"/>
      <c r="S8702" s="189" t="s">
        <v>758</v>
      </c>
      <c r="T8702" s="114"/>
      <c r="U8702" s="21"/>
      <c r="V8702" s="115"/>
      <c r="W8702" s="116"/>
      <c r="X8702" s="220"/>
      <c r="Y8702" s="220">
        <f>X8702*0.1</f>
        <v>0</v>
      </c>
      <c r="Z8702" s="220"/>
      <c r="AA8702" s="220">
        <f>SUM(X8702:Z8702)</f>
        <v>0</v>
      </c>
      <c r="AB8702" s="222"/>
    </row>
    <row r="8703" spans="1:28" ht="17.100000000000001" customHeight="1" thickBot="1">
      <c r="A8703" s="227"/>
      <c r="B8703" s="27" t="s">
        <v>24129</v>
      </c>
      <c r="C8703" s="27">
        <v>3027</v>
      </c>
      <c r="D8703" s="14" t="s">
        <v>1710</v>
      </c>
      <c r="E8703" s="229"/>
      <c r="F8703" s="117" t="s">
        <v>24154</v>
      </c>
      <c r="G8703" s="26">
        <v>9083</v>
      </c>
      <c r="H8703" s="231"/>
      <c r="I8703" s="221"/>
      <c r="J8703" s="221"/>
      <c r="K8703" s="221"/>
      <c r="L8703" s="221"/>
      <c r="M8703" s="221"/>
      <c r="N8703" s="221"/>
      <c r="O8703" s="225"/>
      <c r="P8703" s="118" t="s">
        <v>7323</v>
      </c>
      <c r="Q8703" s="16" t="s">
        <v>20</v>
      </c>
      <c r="R8703" s="17" t="s">
        <v>2377</v>
      </c>
      <c r="S8703" s="121" t="s">
        <v>4852</v>
      </c>
      <c r="T8703" s="122"/>
      <c r="U8703" s="22"/>
      <c r="V8703" s="123"/>
      <c r="W8703" s="122"/>
      <c r="X8703" s="221"/>
      <c r="Y8703" s="221"/>
      <c r="Z8703" s="221"/>
      <c r="AA8703" s="221"/>
      <c r="AB8703" s="223"/>
    </row>
    <row r="8704" spans="1:28" ht="17.100000000000001" customHeight="1" thickTop="1">
      <c r="A8704" s="226" t="s">
        <v>24149</v>
      </c>
      <c r="B8704" s="28">
        <v>46142</v>
      </c>
      <c r="C8704" s="25">
        <v>1981</v>
      </c>
      <c r="D8704" s="13" t="s">
        <v>24143</v>
      </c>
      <c r="E8704" s="228"/>
      <c r="F8704" s="109" t="s">
        <v>24155</v>
      </c>
      <c r="G8704" s="24"/>
      <c r="H8704" s="230">
        <v>4.5</v>
      </c>
      <c r="I8704" s="220">
        <v>1276000</v>
      </c>
      <c r="J8704" s="220">
        <f>I8704*0.1</f>
        <v>127600</v>
      </c>
      <c r="K8704" s="220">
        <v>0</v>
      </c>
      <c r="L8704" s="220">
        <v>7440</v>
      </c>
      <c r="M8704" s="220">
        <v>15950</v>
      </c>
      <c r="N8704" s="220">
        <f>SUM(I8704:M8705)</f>
        <v>1426990</v>
      </c>
      <c r="O8704" s="224"/>
      <c r="P8704" s="110" t="s">
        <v>24871</v>
      </c>
      <c r="Q8704" s="15" t="s">
        <v>19</v>
      </c>
      <c r="R8704" s="205"/>
      <c r="S8704" s="189"/>
      <c r="T8704" s="114"/>
      <c r="U8704" s="21"/>
      <c r="V8704" s="115"/>
      <c r="W8704" s="116"/>
      <c r="X8704" s="220"/>
      <c r="Y8704" s="220">
        <f>X8704*0.1</f>
        <v>0</v>
      </c>
      <c r="Z8704" s="220"/>
      <c r="AA8704" s="220">
        <f>SUM(X8704:Z8704)</f>
        <v>0</v>
      </c>
      <c r="AB8704" s="222"/>
    </row>
    <row r="8705" spans="1:28" ht="17.100000000000001" customHeight="1" thickBot="1">
      <c r="A8705" s="227"/>
      <c r="B8705" s="27" t="s">
        <v>24129</v>
      </c>
      <c r="C8705" s="27">
        <v>62007</v>
      </c>
      <c r="D8705" s="14" t="s">
        <v>24144</v>
      </c>
      <c r="E8705" s="229"/>
      <c r="F8705" s="117" t="s">
        <v>24156</v>
      </c>
      <c r="G8705" s="26">
        <v>22380</v>
      </c>
      <c r="H8705" s="231"/>
      <c r="I8705" s="221"/>
      <c r="J8705" s="221"/>
      <c r="K8705" s="221"/>
      <c r="L8705" s="221"/>
      <c r="M8705" s="221"/>
      <c r="N8705" s="221"/>
      <c r="O8705" s="225"/>
      <c r="P8705" s="118" t="s">
        <v>7323</v>
      </c>
      <c r="Q8705" s="16" t="s">
        <v>20</v>
      </c>
      <c r="R8705" s="17" t="s">
        <v>2377</v>
      </c>
      <c r="S8705" s="121"/>
      <c r="T8705" s="122"/>
      <c r="U8705" s="22"/>
      <c r="V8705" s="123"/>
      <c r="W8705" s="122"/>
      <c r="X8705" s="221"/>
      <c r="Y8705" s="221"/>
      <c r="Z8705" s="221"/>
      <c r="AA8705" s="221"/>
      <c r="AB8705" s="223"/>
    </row>
    <row r="8706" spans="1:28" ht="17.100000000000001" customHeight="1" thickTop="1">
      <c r="A8706" s="226" t="s">
        <v>24150</v>
      </c>
      <c r="B8706" s="28">
        <v>46142</v>
      </c>
      <c r="C8706" s="25">
        <v>1981</v>
      </c>
      <c r="D8706" s="13" t="s">
        <v>24143</v>
      </c>
      <c r="E8706" s="228"/>
      <c r="F8706" s="109" t="s">
        <v>24155</v>
      </c>
      <c r="G8706" s="24"/>
      <c r="H8706" s="230">
        <v>4.5</v>
      </c>
      <c r="I8706" s="220">
        <v>1294000</v>
      </c>
      <c r="J8706" s="220">
        <f>I8706*0.1</f>
        <v>129400</v>
      </c>
      <c r="K8706" s="220">
        <v>0</v>
      </c>
      <c r="L8706" s="220">
        <v>7440</v>
      </c>
      <c r="M8706" s="220">
        <v>15950</v>
      </c>
      <c r="N8706" s="220">
        <f>SUM(I8706:M8707)</f>
        <v>1446790</v>
      </c>
      <c r="O8706" s="224"/>
      <c r="P8706" s="110" t="s">
        <v>24870</v>
      </c>
      <c r="Q8706" s="15" t="s">
        <v>19</v>
      </c>
      <c r="R8706" s="205"/>
      <c r="S8706" s="189"/>
      <c r="T8706" s="114"/>
      <c r="U8706" s="21"/>
      <c r="V8706" s="115"/>
      <c r="W8706" s="116"/>
      <c r="X8706" s="220"/>
      <c r="Y8706" s="220">
        <f>X8706*0.1</f>
        <v>0</v>
      </c>
      <c r="Z8706" s="220"/>
      <c r="AA8706" s="220">
        <f>SUM(X8706:Z8706)</f>
        <v>0</v>
      </c>
      <c r="AB8706" s="222"/>
    </row>
    <row r="8707" spans="1:28" ht="17.100000000000001" customHeight="1" thickBot="1">
      <c r="A8707" s="227"/>
      <c r="B8707" s="27" t="s">
        <v>24129</v>
      </c>
      <c r="C8707" s="27">
        <v>62015</v>
      </c>
      <c r="D8707" s="14" t="s">
        <v>24144</v>
      </c>
      <c r="E8707" s="229"/>
      <c r="F8707" s="117" t="s">
        <v>24157</v>
      </c>
      <c r="G8707" s="26">
        <v>21420</v>
      </c>
      <c r="H8707" s="231"/>
      <c r="I8707" s="221"/>
      <c r="J8707" s="221"/>
      <c r="K8707" s="221"/>
      <c r="L8707" s="221"/>
      <c r="M8707" s="221"/>
      <c r="N8707" s="221"/>
      <c r="O8707" s="225"/>
      <c r="P8707" s="118" t="s">
        <v>7323</v>
      </c>
      <c r="Q8707" s="16" t="s">
        <v>20</v>
      </c>
      <c r="R8707" s="17" t="s">
        <v>2377</v>
      </c>
      <c r="S8707" s="121"/>
      <c r="T8707" s="122"/>
      <c r="U8707" s="22"/>
      <c r="V8707" s="123"/>
      <c r="W8707" s="122"/>
      <c r="X8707" s="221"/>
      <c r="Y8707" s="221"/>
      <c r="Z8707" s="221"/>
      <c r="AA8707" s="221"/>
      <c r="AB8707" s="223"/>
    </row>
    <row r="8708" spans="1:28" ht="17.100000000000001" customHeight="1" thickTop="1">
      <c r="A8708" s="226" t="s">
        <v>24151</v>
      </c>
      <c r="B8708" s="28">
        <v>46142</v>
      </c>
      <c r="C8708" s="25">
        <v>2156</v>
      </c>
      <c r="D8708" s="13" t="s">
        <v>24187</v>
      </c>
      <c r="E8708" s="228"/>
      <c r="F8708" s="109" t="s">
        <v>24188</v>
      </c>
      <c r="G8708" s="24"/>
      <c r="H8708" s="230">
        <v>4</v>
      </c>
      <c r="I8708" s="220">
        <v>408000</v>
      </c>
      <c r="J8708" s="220">
        <f>I8708*0.1</f>
        <v>40800</v>
      </c>
      <c r="K8708" s="220">
        <v>0</v>
      </c>
      <c r="L8708" s="220">
        <v>9790</v>
      </c>
      <c r="M8708" s="220">
        <v>14300</v>
      </c>
      <c r="N8708" s="220">
        <f>SUM(I8708:M8709)</f>
        <v>472890</v>
      </c>
      <c r="O8708" s="224"/>
      <c r="P8708" s="110" t="s">
        <v>24840</v>
      </c>
      <c r="Q8708" s="15" t="s">
        <v>19</v>
      </c>
      <c r="R8708" s="205"/>
      <c r="S8708" s="189"/>
      <c r="T8708" s="114"/>
      <c r="U8708" s="21"/>
      <c r="V8708" s="115"/>
      <c r="W8708" s="116"/>
      <c r="X8708" s="220"/>
      <c r="Y8708" s="220">
        <f>X8708*0.1</f>
        <v>0</v>
      </c>
      <c r="Z8708" s="220"/>
      <c r="AA8708" s="220">
        <f>SUM(X8708:Z8708)</f>
        <v>0</v>
      </c>
      <c r="AB8708" s="222"/>
    </row>
    <row r="8709" spans="1:28" ht="17.100000000000001" customHeight="1" thickBot="1">
      <c r="A8709" s="227"/>
      <c r="B8709" s="27" t="s">
        <v>24177</v>
      </c>
      <c r="C8709" s="27">
        <v>140</v>
      </c>
      <c r="D8709" s="14" t="s">
        <v>1710</v>
      </c>
      <c r="E8709" s="229"/>
      <c r="F8709" s="117" t="s">
        <v>24179</v>
      </c>
      <c r="G8709" s="26">
        <v>54595</v>
      </c>
      <c r="H8709" s="231"/>
      <c r="I8709" s="221"/>
      <c r="J8709" s="221"/>
      <c r="K8709" s="221"/>
      <c r="L8709" s="221"/>
      <c r="M8709" s="221"/>
      <c r="N8709" s="221"/>
      <c r="O8709" s="225"/>
      <c r="P8709" s="118" t="s">
        <v>3355</v>
      </c>
      <c r="Q8709" s="16" t="s">
        <v>20</v>
      </c>
      <c r="R8709" s="17" t="s">
        <v>2377</v>
      </c>
      <c r="S8709" s="121" t="s">
        <v>2025</v>
      </c>
      <c r="T8709" s="122"/>
      <c r="U8709" s="22"/>
      <c r="V8709" s="123"/>
      <c r="W8709" s="122"/>
      <c r="X8709" s="221"/>
      <c r="Y8709" s="221"/>
      <c r="Z8709" s="221"/>
      <c r="AA8709" s="221"/>
      <c r="AB8709" s="223"/>
    </row>
    <row r="8710" spans="1:28" ht="17.100000000000001" customHeight="1" thickTop="1">
      <c r="A8710" s="226" t="s">
        <v>24171</v>
      </c>
      <c r="B8710" s="28">
        <v>46142</v>
      </c>
      <c r="C8710" s="25">
        <v>2156</v>
      </c>
      <c r="D8710" s="13" t="s">
        <v>24189</v>
      </c>
      <c r="E8710" s="228"/>
      <c r="F8710" s="109" t="s">
        <v>14891</v>
      </c>
      <c r="G8710" s="24"/>
      <c r="H8710" s="230">
        <v>5</v>
      </c>
      <c r="I8710" s="220">
        <v>611000</v>
      </c>
      <c r="J8710" s="220">
        <f>I8710*0.1</f>
        <v>61100</v>
      </c>
      <c r="K8710" s="220">
        <v>0</v>
      </c>
      <c r="L8710" s="220">
        <v>7950</v>
      </c>
      <c r="M8710" s="220">
        <v>14300</v>
      </c>
      <c r="N8710" s="220">
        <f>SUM(I8710:M8711)</f>
        <v>694350</v>
      </c>
      <c r="O8710" s="224"/>
      <c r="P8710" s="110" t="s">
        <v>24668</v>
      </c>
      <c r="Q8710" s="15" t="s">
        <v>19</v>
      </c>
      <c r="R8710" s="205"/>
      <c r="S8710" s="189"/>
      <c r="T8710" s="114"/>
      <c r="U8710" s="21"/>
      <c r="V8710" s="115"/>
      <c r="W8710" s="116"/>
      <c r="X8710" s="220"/>
      <c r="Y8710" s="220">
        <f>X8710*0.1</f>
        <v>0</v>
      </c>
      <c r="Z8710" s="220"/>
      <c r="AA8710" s="220">
        <f>SUM(X8710:Z8710)</f>
        <v>0</v>
      </c>
      <c r="AB8710" s="222"/>
    </row>
    <row r="8711" spans="1:28" ht="17.100000000000001" customHeight="1" thickBot="1">
      <c r="A8711" s="227"/>
      <c r="B8711" s="27" t="s">
        <v>24177</v>
      </c>
      <c r="C8711" s="27">
        <v>2005</v>
      </c>
      <c r="D8711" s="14" t="s">
        <v>24190</v>
      </c>
      <c r="E8711" s="229"/>
      <c r="F8711" s="117" t="s">
        <v>24180</v>
      </c>
      <c r="G8711" s="26">
        <v>20934</v>
      </c>
      <c r="H8711" s="231"/>
      <c r="I8711" s="221"/>
      <c r="J8711" s="221"/>
      <c r="K8711" s="221"/>
      <c r="L8711" s="221"/>
      <c r="M8711" s="221"/>
      <c r="N8711" s="221"/>
      <c r="O8711" s="225"/>
      <c r="P8711" s="118" t="s">
        <v>24669</v>
      </c>
      <c r="Q8711" s="16" t="s">
        <v>20</v>
      </c>
      <c r="R8711" s="17" t="s">
        <v>1831</v>
      </c>
      <c r="S8711" s="121"/>
      <c r="T8711" s="122"/>
      <c r="U8711" s="22"/>
      <c r="V8711" s="123"/>
      <c r="W8711" s="122"/>
      <c r="X8711" s="221"/>
      <c r="Y8711" s="221"/>
      <c r="Z8711" s="221"/>
      <c r="AA8711" s="221"/>
      <c r="AB8711" s="223"/>
    </row>
    <row r="8712" spans="1:28" ht="17.100000000000001" customHeight="1" thickTop="1">
      <c r="A8712" s="226" t="s">
        <v>24172</v>
      </c>
      <c r="B8712" s="28">
        <v>46142</v>
      </c>
      <c r="C8712" s="25">
        <v>2156</v>
      </c>
      <c r="D8712" s="13" t="s">
        <v>24191</v>
      </c>
      <c r="E8712" s="228"/>
      <c r="F8712" s="109" t="s">
        <v>24192</v>
      </c>
      <c r="G8712" s="24" t="s">
        <v>24193</v>
      </c>
      <c r="H8712" s="230">
        <v>4</v>
      </c>
      <c r="I8712" s="220">
        <v>854000</v>
      </c>
      <c r="J8712" s="220">
        <f>I8712*0.1</f>
        <v>85400</v>
      </c>
      <c r="K8712" s="220">
        <v>0</v>
      </c>
      <c r="L8712" s="220">
        <v>8550</v>
      </c>
      <c r="M8712" s="220">
        <v>14300</v>
      </c>
      <c r="N8712" s="220">
        <f>SUM(I8712:M8713)</f>
        <v>962250</v>
      </c>
      <c r="O8712" s="224"/>
      <c r="P8712" s="110" t="s">
        <v>24195</v>
      </c>
      <c r="Q8712" s="15" t="s">
        <v>19</v>
      </c>
      <c r="R8712" s="205"/>
      <c r="S8712" s="189" t="s">
        <v>758</v>
      </c>
      <c r="T8712" s="114"/>
      <c r="U8712" s="21" t="s">
        <v>26502</v>
      </c>
      <c r="V8712" s="115"/>
      <c r="W8712" s="116"/>
      <c r="X8712" s="220"/>
      <c r="Y8712" s="220">
        <f>X8712*0.1</f>
        <v>0</v>
      </c>
      <c r="Z8712" s="220"/>
      <c r="AA8712" s="220">
        <f>SUM(X8712:Z8712)</f>
        <v>0</v>
      </c>
      <c r="AB8712" s="222"/>
    </row>
    <row r="8713" spans="1:28" ht="17.100000000000001" customHeight="1" thickBot="1">
      <c r="A8713" s="227"/>
      <c r="B8713" s="27" t="s">
        <v>24177</v>
      </c>
      <c r="C8713" s="27">
        <v>2093</v>
      </c>
      <c r="D8713" s="14" t="s">
        <v>24139</v>
      </c>
      <c r="E8713" s="229"/>
      <c r="F8713" s="117" t="s">
        <v>24181</v>
      </c>
      <c r="G8713" s="26">
        <v>50548</v>
      </c>
      <c r="H8713" s="231"/>
      <c r="I8713" s="221"/>
      <c r="J8713" s="221"/>
      <c r="K8713" s="221"/>
      <c r="L8713" s="221"/>
      <c r="M8713" s="221"/>
      <c r="N8713" s="221"/>
      <c r="O8713" s="225"/>
      <c r="P8713" s="118" t="s">
        <v>24667</v>
      </c>
      <c r="Q8713" s="16" t="s">
        <v>20</v>
      </c>
      <c r="R8713" s="17" t="s">
        <v>1831</v>
      </c>
      <c r="S8713" s="121" t="s">
        <v>3071</v>
      </c>
      <c r="T8713" s="122"/>
      <c r="U8713" s="22"/>
      <c r="V8713" s="123"/>
      <c r="W8713" s="122"/>
      <c r="X8713" s="221"/>
      <c r="Y8713" s="221"/>
      <c r="Z8713" s="221"/>
      <c r="AA8713" s="221"/>
      <c r="AB8713" s="223"/>
    </row>
    <row r="8714" spans="1:28" ht="17.100000000000001" customHeight="1" thickTop="1">
      <c r="A8714" s="226" t="s">
        <v>24173</v>
      </c>
      <c r="B8714" s="28">
        <v>46142</v>
      </c>
      <c r="C8714" s="25">
        <v>2156</v>
      </c>
      <c r="D8714" s="13" t="s">
        <v>2150</v>
      </c>
      <c r="E8714" s="228"/>
      <c r="F8714" s="109" t="s">
        <v>24194</v>
      </c>
      <c r="G8714" s="24"/>
      <c r="H8714" s="230">
        <v>4</v>
      </c>
      <c r="I8714" s="220">
        <v>489000</v>
      </c>
      <c r="J8714" s="220">
        <f>I8714*0.1</f>
        <v>48900</v>
      </c>
      <c r="K8714" s="220">
        <v>0</v>
      </c>
      <c r="L8714" s="220">
        <v>9080</v>
      </c>
      <c r="M8714" s="220">
        <v>14300</v>
      </c>
      <c r="N8714" s="220">
        <f>SUM(I8714:M8715)</f>
        <v>561280</v>
      </c>
      <c r="O8714" s="224"/>
      <c r="P8714" s="110" t="s">
        <v>24665</v>
      </c>
      <c r="Q8714" s="15" t="s">
        <v>19</v>
      </c>
      <c r="R8714" s="205"/>
      <c r="S8714" s="189"/>
      <c r="T8714" s="114"/>
      <c r="U8714" s="21"/>
      <c r="V8714" s="115">
        <v>46155</v>
      </c>
      <c r="W8714" s="116">
        <v>1016</v>
      </c>
      <c r="X8714" s="220">
        <v>550000</v>
      </c>
      <c r="Y8714" s="220">
        <f>X8714*0.1</f>
        <v>55000</v>
      </c>
      <c r="Z8714" s="220">
        <v>9080</v>
      </c>
      <c r="AA8714" s="220">
        <f>SUM(X8714:Z8714)</f>
        <v>614080</v>
      </c>
      <c r="AB8714" s="222">
        <v>46160</v>
      </c>
    </row>
    <row r="8715" spans="1:28" ht="17.100000000000001" customHeight="1" thickBot="1">
      <c r="A8715" s="227"/>
      <c r="B8715" s="27" t="s">
        <v>24177</v>
      </c>
      <c r="C8715" s="27">
        <v>2541</v>
      </c>
      <c r="D8715" s="14" t="s">
        <v>1710</v>
      </c>
      <c r="E8715" s="229"/>
      <c r="F8715" s="117" t="s">
        <v>24182</v>
      </c>
      <c r="G8715" s="26">
        <v>54343</v>
      </c>
      <c r="H8715" s="231"/>
      <c r="I8715" s="221"/>
      <c r="J8715" s="221"/>
      <c r="K8715" s="221"/>
      <c r="L8715" s="221"/>
      <c r="M8715" s="221"/>
      <c r="N8715" s="221"/>
      <c r="O8715" s="225"/>
      <c r="P8715" s="118" t="s">
        <v>24666</v>
      </c>
      <c r="Q8715" s="16" t="s">
        <v>20</v>
      </c>
      <c r="R8715" s="17" t="s">
        <v>1831</v>
      </c>
      <c r="S8715" s="121"/>
      <c r="T8715" s="122"/>
      <c r="U8715" s="22"/>
      <c r="V8715" s="123" t="s">
        <v>2747</v>
      </c>
      <c r="W8715" s="122">
        <v>5049</v>
      </c>
      <c r="X8715" s="221"/>
      <c r="Y8715" s="221"/>
      <c r="Z8715" s="221"/>
      <c r="AA8715" s="221"/>
      <c r="AB8715" s="223"/>
    </row>
    <row r="8716" spans="1:28" ht="17.100000000000001" customHeight="1" thickTop="1">
      <c r="A8716" s="226" t="s">
        <v>24174</v>
      </c>
      <c r="B8716" s="28">
        <v>46142</v>
      </c>
      <c r="C8716" s="25">
        <v>2156</v>
      </c>
      <c r="D8716" s="13" t="s">
        <v>1829</v>
      </c>
      <c r="E8716" s="228"/>
      <c r="F8716" s="109" t="s">
        <v>24196</v>
      </c>
      <c r="G8716" s="24"/>
      <c r="H8716" s="230">
        <v>4.5</v>
      </c>
      <c r="I8716" s="220">
        <v>1145000</v>
      </c>
      <c r="J8716" s="220">
        <f>I8716*0.1</f>
        <v>114500</v>
      </c>
      <c r="K8716" s="220">
        <v>0</v>
      </c>
      <c r="L8716" s="220">
        <v>7510</v>
      </c>
      <c r="M8716" s="220">
        <v>14300</v>
      </c>
      <c r="N8716" s="220">
        <f>SUM(I8716:M8717)</f>
        <v>1281310</v>
      </c>
      <c r="O8716" s="224"/>
      <c r="P8716" s="110" t="s">
        <v>24659</v>
      </c>
      <c r="Q8716" s="15" t="s">
        <v>19</v>
      </c>
      <c r="R8716" s="205"/>
      <c r="S8716" s="189"/>
      <c r="T8716" s="114" t="s">
        <v>24918</v>
      </c>
      <c r="U8716" s="21"/>
      <c r="V8716" s="115">
        <v>46144</v>
      </c>
      <c r="W8716" s="116">
        <v>1299</v>
      </c>
      <c r="X8716" s="220">
        <v>1215000</v>
      </c>
      <c r="Y8716" s="220">
        <f>X8716*0.1</f>
        <v>121500</v>
      </c>
      <c r="Z8716" s="220">
        <v>7510</v>
      </c>
      <c r="AA8716" s="220">
        <f>SUM(X8716:Z8716)</f>
        <v>1344010</v>
      </c>
      <c r="AB8716" s="222">
        <v>46156</v>
      </c>
    </row>
    <row r="8717" spans="1:28" ht="17.100000000000001" customHeight="1" thickBot="1">
      <c r="A8717" s="227"/>
      <c r="B8717" s="27" t="s">
        <v>24177</v>
      </c>
      <c r="C8717" s="27">
        <v>4020</v>
      </c>
      <c r="D8717" s="14" t="s">
        <v>1710</v>
      </c>
      <c r="E8717" s="229"/>
      <c r="F8717" s="117" t="s">
        <v>24183</v>
      </c>
      <c r="G8717" s="26">
        <v>24630</v>
      </c>
      <c r="H8717" s="231"/>
      <c r="I8717" s="221"/>
      <c r="J8717" s="221"/>
      <c r="K8717" s="221"/>
      <c r="L8717" s="221"/>
      <c r="M8717" s="221"/>
      <c r="N8717" s="221"/>
      <c r="O8717" s="225"/>
      <c r="P8717" s="118" t="s">
        <v>24660</v>
      </c>
      <c r="Q8717" s="16" t="s">
        <v>20</v>
      </c>
      <c r="R8717" s="17" t="s">
        <v>1831</v>
      </c>
      <c r="S8717" s="121"/>
      <c r="T8717" s="122"/>
      <c r="U8717" s="22"/>
      <c r="V8717" s="123" t="s">
        <v>24346</v>
      </c>
      <c r="W8717" s="122">
        <v>162</v>
      </c>
      <c r="X8717" s="221"/>
      <c r="Y8717" s="221"/>
      <c r="Z8717" s="221"/>
      <c r="AA8717" s="221"/>
      <c r="AB8717" s="223"/>
    </row>
    <row r="8718" spans="1:28" ht="17.100000000000001" customHeight="1" thickTop="1">
      <c r="A8718" s="226" t="s">
        <v>24175</v>
      </c>
      <c r="B8718" s="28">
        <v>46142</v>
      </c>
      <c r="C8718" s="25">
        <v>2156</v>
      </c>
      <c r="D8718" s="13" t="s">
        <v>24197</v>
      </c>
      <c r="E8718" s="228"/>
      <c r="F8718" s="109" t="s">
        <v>24199</v>
      </c>
      <c r="G8718" s="24" t="s">
        <v>24200</v>
      </c>
      <c r="H8718" s="230">
        <v>3.5</v>
      </c>
      <c r="I8718" s="220">
        <v>2503000</v>
      </c>
      <c r="J8718" s="220">
        <f>I8718*0.1</f>
        <v>250300</v>
      </c>
      <c r="K8718" s="220">
        <f>37819+3781</f>
        <v>41600</v>
      </c>
      <c r="L8718" s="220">
        <v>10980</v>
      </c>
      <c r="M8718" s="220">
        <v>14300</v>
      </c>
      <c r="N8718" s="220">
        <f>SUM(I8718:M8719)</f>
        <v>2820180</v>
      </c>
      <c r="O8718" s="224"/>
      <c r="P8718" s="110" t="s">
        <v>24201</v>
      </c>
      <c r="Q8718" s="15" t="s">
        <v>19</v>
      </c>
      <c r="R8718" s="205"/>
      <c r="S8718" s="189" t="s">
        <v>25985</v>
      </c>
      <c r="T8718" s="114"/>
      <c r="U8718" s="21" t="s">
        <v>25214</v>
      </c>
      <c r="V8718" s="115"/>
      <c r="W8718" s="116"/>
      <c r="X8718" s="220"/>
      <c r="Y8718" s="220">
        <f>X8718*0.1</f>
        <v>0</v>
      </c>
      <c r="Z8718" s="220"/>
      <c r="AA8718" s="220">
        <f>SUM(X8718:Z8718)</f>
        <v>0</v>
      </c>
      <c r="AB8718" s="222"/>
    </row>
    <row r="8719" spans="1:28" ht="17.100000000000001" customHeight="1" thickBot="1">
      <c r="A8719" s="227"/>
      <c r="B8719" s="27" t="s">
        <v>24177</v>
      </c>
      <c r="C8719" s="27">
        <v>4077</v>
      </c>
      <c r="D8719" s="14" t="s">
        <v>24198</v>
      </c>
      <c r="E8719" s="229"/>
      <c r="F8719" s="117" t="s">
        <v>24184</v>
      </c>
      <c r="G8719" s="26">
        <v>49688</v>
      </c>
      <c r="H8719" s="231"/>
      <c r="I8719" s="221"/>
      <c r="J8719" s="221"/>
      <c r="K8719" s="221"/>
      <c r="L8719" s="221"/>
      <c r="M8719" s="221"/>
      <c r="N8719" s="221"/>
      <c r="O8719" s="225"/>
      <c r="P8719" s="118" t="s">
        <v>24663</v>
      </c>
      <c r="Q8719" s="16" t="s">
        <v>20</v>
      </c>
      <c r="R8719" s="17" t="s">
        <v>1831</v>
      </c>
      <c r="S8719" s="121" t="s">
        <v>24664</v>
      </c>
      <c r="T8719" s="122"/>
      <c r="U8719" s="22"/>
      <c r="V8719" s="123"/>
      <c r="W8719" s="122"/>
      <c r="X8719" s="221"/>
      <c r="Y8719" s="221"/>
      <c r="Z8719" s="221"/>
      <c r="AA8719" s="221"/>
      <c r="AB8719" s="223"/>
    </row>
    <row r="8720" spans="1:28" ht="17.100000000000001" customHeight="1" thickTop="1">
      <c r="A8720" s="226" t="s">
        <v>24176</v>
      </c>
      <c r="B8720" s="28">
        <v>46142</v>
      </c>
      <c r="C8720" s="25">
        <v>2156</v>
      </c>
      <c r="D8720" s="13" t="s">
        <v>24202</v>
      </c>
      <c r="E8720" s="228"/>
      <c r="F8720" s="109" t="s">
        <v>24203</v>
      </c>
      <c r="G8720" s="24"/>
      <c r="H8720" s="230">
        <v>4</v>
      </c>
      <c r="I8720" s="220">
        <v>2029000</v>
      </c>
      <c r="J8720" s="220">
        <f>I8720*0.1</f>
        <v>202900</v>
      </c>
      <c r="K8720" s="220">
        <v>0</v>
      </c>
      <c r="L8720" s="220">
        <v>13860</v>
      </c>
      <c r="M8720" s="220">
        <v>14300</v>
      </c>
      <c r="N8720" s="220">
        <f>SUM(I8720:M8721)</f>
        <v>2260060</v>
      </c>
      <c r="O8720" s="224"/>
      <c r="P8720" s="110" t="s">
        <v>24657</v>
      </c>
      <c r="Q8720" s="15" t="s">
        <v>19</v>
      </c>
      <c r="R8720" s="205"/>
      <c r="S8720" s="189"/>
      <c r="T8720" s="114"/>
      <c r="U8720" s="21"/>
      <c r="V8720" s="115">
        <v>46144</v>
      </c>
      <c r="W8720" s="116">
        <v>1299</v>
      </c>
      <c r="X8720" s="220">
        <v>2180000</v>
      </c>
      <c r="Y8720" s="220">
        <f>X8720*0.1</f>
        <v>218000</v>
      </c>
      <c r="Z8720" s="220">
        <v>13860</v>
      </c>
      <c r="AA8720" s="220">
        <f>SUM(X8720:Z8720)</f>
        <v>2411860</v>
      </c>
      <c r="AB8720" s="222">
        <v>46156</v>
      </c>
    </row>
    <row r="8721" spans="1:28" ht="17.100000000000001" customHeight="1" thickBot="1">
      <c r="A8721" s="227"/>
      <c r="B8721" s="27" t="s">
        <v>24177</v>
      </c>
      <c r="C8721" s="27">
        <v>4211</v>
      </c>
      <c r="D8721" s="14" t="s">
        <v>24139</v>
      </c>
      <c r="E8721" s="229"/>
      <c r="F8721" s="117" t="s">
        <v>24185</v>
      </c>
      <c r="G8721" s="26">
        <v>38686</v>
      </c>
      <c r="H8721" s="231"/>
      <c r="I8721" s="221"/>
      <c r="J8721" s="221"/>
      <c r="K8721" s="221"/>
      <c r="L8721" s="221"/>
      <c r="M8721" s="221"/>
      <c r="N8721" s="221"/>
      <c r="O8721" s="225"/>
      <c r="P8721" s="118" t="s">
        <v>24658</v>
      </c>
      <c r="Q8721" s="16" t="s">
        <v>20</v>
      </c>
      <c r="R8721" s="17" t="s">
        <v>1831</v>
      </c>
      <c r="S8721" s="121" t="s">
        <v>24459</v>
      </c>
      <c r="T8721" s="122"/>
      <c r="U8721" s="22"/>
      <c r="V8721" s="123" t="s">
        <v>24346</v>
      </c>
      <c r="W8721" s="122">
        <v>175</v>
      </c>
      <c r="X8721" s="221"/>
      <c r="Y8721" s="221"/>
      <c r="Z8721" s="221"/>
      <c r="AA8721" s="221"/>
      <c r="AB8721" s="223"/>
    </row>
    <row r="8722" spans="1:28" ht="17.100000000000001" customHeight="1" thickTop="1">
      <c r="A8722" s="226" t="s">
        <v>24178</v>
      </c>
      <c r="B8722" s="28">
        <v>46142</v>
      </c>
      <c r="C8722" s="25">
        <v>2156</v>
      </c>
      <c r="D8722" s="13" t="s">
        <v>24138</v>
      </c>
      <c r="E8722" s="228"/>
      <c r="F8722" s="109" t="s">
        <v>24204</v>
      </c>
      <c r="G8722" s="24"/>
      <c r="H8722" s="230">
        <v>4.5</v>
      </c>
      <c r="I8722" s="220">
        <v>864000</v>
      </c>
      <c r="J8722" s="220">
        <f>I8722*0.1</f>
        <v>86400</v>
      </c>
      <c r="K8722" s="220">
        <v>0</v>
      </c>
      <c r="L8722" s="220">
        <v>8110</v>
      </c>
      <c r="M8722" s="220">
        <v>14300</v>
      </c>
      <c r="N8722" s="220">
        <f>SUM(I8722:M8723)</f>
        <v>972810</v>
      </c>
      <c r="O8722" s="224"/>
      <c r="P8722" s="110" t="s">
        <v>24661</v>
      </c>
      <c r="Q8722" s="15" t="s">
        <v>19</v>
      </c>
      <c r="R8722" s="205"/>
      <c r="S8722" s="189"/>
      <c r="T8722" s="114"/>
      <c r="U8722" s="21"/>
      <c r="V8722" s="115"/>
      <c r="W8722" s="116"/>
      <c r="X8722" s="220"/>
      <c r="Y8722" s="220">
        <f>X8722*0.1</f>
        <v>0</v>
      </c>
      <c r="Z8722" s="220"/>
      <c r="AA8722" s="220">
        <f>SUM(X8722:Z8722)</f>
        <v>0</v>
      </c>
      <c r="AB8722" s="222"/>
    </row>
    <row r="8723" spans="1:28" ht="17.100000000000001" customHeight="1" thickBot="1">
      <c r="A8723" s="227"/>
      <c r="B8723" s="27" t="s">
        <v>24177</v>
      </c>
      <c r="C8723" s="27">
        <v>35085</v>
      </c>
      <c r="D8723" s="14" t="s">
        <v>24139</v>
      </c>
      <c r="E8723" s="229"/>
      <c r="F8723" s="117" t="s">
        <v>24186</v>
      </c>
      <c r="G8723" s="26">
        <v>58061</v>
      </c>
      <c r="H8723" s="231"/>
      <c r="I8723" s="221"/>
      <c r="J8723" s="221"/>
      <c r="K8723" s="221"/>
      <c r="L8723" s="221"/>
      <c r="M8723" s="221"/>
      <c r="N8723" s="221"/>
      <c r="O8723" s="225"/>
      <c r="P8723" s="118" t="s">
        <v>24465</v>
      </c>
      <c r="Q8723" s="16" t="s">
        <v>20</v>
      </c>
      <c r="R8723" s="17" t="s">
        <v>1831</v>
      </c>
      <c r="S8723" s="121" t="s">
        <v>24662</v>
      </c>
      <c r="T8723" s="122"/>
      <c r="U8723" s="22"/>
      <c r="V8723" s="123"/>
      <c r="W8723" s="122"/>
      <c r="X8723" s="221"/>
      <c r="Y8723" s="221"/>
      <c r="Z8723" s="221"/>
      <c r="AA8723" s="221"/>
      <c r="AB8723" s="223"/>
    </row>
    <row r="8724" spans="1:28" ht="17.100000000000001" customHeight="1" thickTop="1">
      <c r="A8724" s="226" t="s">
        <v>24205</v>
      </c>
      <c r="B8724" s="28">
        <v>46142</v>
      </c>
      <c r="C8724" s="25">
        <v>2025</v>
      </c>
      <c r="D8724" s="13" t="s">
        <v>24228</v>
      </c>
      <c r="E8724" s="228"/>
      <c r="F8724" s="109" t="s">
        <v>24229</v>
      </c>
      <c r="G8724" s="24"/>
      <c r="H8724" s="232" t="s">
        <v>24230</v>
      </c>
      <c r="I8724" s="220">
        <v>1517000</v>
      </c>
      <c r="J8724" s="220">
        <f>I8724*0.1</f>
        <v>151700</v>
      </c>
      <c r="K8724" s="220">
        <v>0</v>
      </c>
      <c r="L8724" s="220">
        <v>16550</v>
      </c>
      <c r="M8724" s="220">
        <v>22000</v>
      </c>
      <c r="N8724" s="220">
        <f>SUM(I8724:M8725)</f>
        <v>1707250</v>
      </c>
      <c r="O8724" s="224"/>
      <c r="P8724" s="110" t="s">
        <v>24860</v>
      </c>
      <c r="Q8724" s="15" t="s">
        <v>19</v>
      </c>
      <c r="R8724" s="205"/>
      <c r="S8724" s="189" t="s">
        <v>1361</v>
      </c>
      <c r="T8724" s="114"/>
      <c r="U8724" s="21"/>
      <c r="V8724" s="115">
        <v>46162</v>
      </c>
      <c r="W8724" s="116">
        <v>1017</v>
      </c>
      <c r="X8724" s="220">
        <v>1705000</v>
      </c>
      <c r="Y8724" s="220">
        <f>X8724*0.1</f>
        <v>170500</v>
      </c>
      <c r="Z8724" s="220">
        <v>16550</v>
      </c>
      <c r="AA8724" s="220">
        <f>SUM(X8724:Z8724)</f>
        <v>1892050</v>
      </c>
      <c r="AB8724" s="222">
        <v>46167</v>
      </c>
    </row>
    <row r="8725" spans="1:28" ht="17.100000000000001" customHeight="1" thickBot="1">
      <c r="A8725" s="227"/>
      <c r="B8725" s="27" t="s">
        <v>24215</v>
      </c>
      <c r="C8725" s="27">
        <v>30170</v>
      </c>
      <c r="D8725" s="14" t="s">
        <v>2559</v>
      </c>
      <c r="E8725" s="229"/>
      <c r="F8725" s="117" t="s">
        <v>24217</v>
      </c>
      <c r="G8725" s="26">
        <v>59743</v>
      </c>
      <c r="H8725" s="231"/>
      <c r="I8725" s="221"/>
      <c r="J8725" s="221"/>
      <c r="K8725" s="221"/>
      <c r="L8725" s="221"/>
      <c r="M8725" s="221"/>
      <c r="N8725" s="221"/>
      <c r="O8725" s="225"/>
      <c r="P8725" s="118" t="s">
        <v>14723</v>
      </c>
      <c r="Q8725" s="16" t="s">
        <v>20</v>
      </c>
      <c r="R8725" s="17" t="s">
        <v>3680</v>
      </c>
      <c r="S8725" s="121" t="s">
        <v>3547</v>
      </c>
      <c r="T8725" s="122"/>
      <c r="U8725" s="22"/>
      <c r="V8725" s="123" t="s">
        <v>2747</v>
      </c>
      <c r="W8725" s="122">
        <v>6013</v>
      </c>
      <c r="X8725" s="221"/>
      <c r="Y8725" s="221"/>
      <c r="Z8725" s="221"/>
      <c r="AA8725" s="221"/>
      <c r="AB8725" s="223"/>
    </row>
    <row r="8726" spans="1:28" ht="17.100000000000001" customHeight="1" thickTop="1">
      <c r="A8726" s="226" t="s">
        <v>24206</v>
      </c>
      <c r="B8726" s="28">
        <v>46142</v>
      </c>
      <c r="C8726" s="25">
        <v>2025</v>
      </c>
      <c r="D8726" s="13" t="s">
        <v>24235</v>
      </c>
      <c r="E8726" s="228"/>
      <c r="F8726" s="109" t="s">
        <v>24236</v>
      </c>
      <c r="G8726" s="24" t="s">
        <v>24237</v>
      </c>
      <c r="H8726" s="230">
        <v>3.5</v>
      </c>
      <c r="I8726" s="220">
        <v>2881000</v>
      </c>
      <c r="J8726" s="220">
        <f>I8726*0.1</f>
        <v>288100</v>
      </c>
      <c r="K8726" s="220">
        <f>39800+3980</f>
        <v>43780</v>
      </c>
      <c r="L8726" s="220">
        <v>14900</v>
      </c>
      <c r="M8726" s="220">
        <v>22000</v>
      </c>
      <c r="N8726" s="220">
        <f>SUM(I8726:M8727)</f>
        <v>3249780</v>
      </c>
      <c r="O8726" s="224"/>
      <c r="P8726" s="110" t="s">
        <v>24238</v>
      </c>
      <c r="Q8726" s="15" t="s">
        <v>19</v>
      </c>
      <c r="R8726" s="205"/>
      <c r="S8726" s="189" t="s">
        <v>1361</v>
      </c>
      <c r="T8726" s="114"/>
      <c r="U8726" s="21"/>
      <c r="V8726" s="115">
        <v>46144</v>
      </c>
      <c r="W8726" s="116">
        <v>1299</v>
      </c>
      <c r="X8726" s="220">
        <v>3165000</v>
      </c>
      <c r="Y8726" s="220">
        <f>X8726*0.1</f>
        <v>316500</v>
      </c>
      <c r="Z8726" s="220">
        <v>14900</v>
      </c>
      <c r="AA8726" s="220">
        <f>SUM(X8726:Z8726)</f>
        <v>3496400</v>
      </c>
      <c r="AB8726" s="222">
        <v>46161</v>
      </c>
    </row>
    <row r="8727" spans="1:28" ht="17.100000000000001" customHeight="1" thickBot="1">
      <c r="A8727" s="227"/>
      <c r="B8727" s="27" t="s">
        <v>24215</v>
      </c>
      <c r="C8727" s="27">
        <v>30176</v>
      </c>
      <c r="D8727" s="14" t="s">
        <v>2559</v>
      </c>
      <c r="E8727" s="229"/>
      <c r="F8727" s="117" t="s">
        <v>24218</v>
      </c>
      <c r="G8727" s="26">
        <v>37242</v>
      </c>
      <c r="H8727" s="231"/>
      <c r="I8727" s="221"/>
      <c r="J8727" s="221"/>
      <c r="K8727" s="221"/>
      <c r="L8727" s="221"/>
      <c r="M8727" s="221"/>
      <c r="N8727" s="221"/>
      <c r="O8727" s="225"/>
      <c r="P8727" s="118" t="s">
        <v>2287</v>
      </c>
      <c r="Q8727" s="16" t="s">
        <v>20</v>
      </c>
      <c r="R8727" s="17" t="s">
        <v>2377</v>
      </c>
      <c r="S8727" s="121" t="s">
        <v>4984</v>
      </c>
      <c r="T8727" s="122"/>
      <c r="U8727" s="22"/>
      <c r="V8727" s="123" t="s">
        <v>24346</v>
      </c>
      <c r="W8727" s="122">
        <v>195</v>
      </c>
      <c r="X8727" s="221"/>
      <c r="Y8727" s="221"/>
      <c r="Z8727" s="221"/>
      <c r="AA8727" s="221"/>
      <c r="AB8727" s="223"/>
    </row>
    <row r="8728" spans="1:28" ht="17.100000000000001" customHeight="1" thickTop="1">
      <c r="A8728" s="226" t="s">
        <v>24207</v>
      </c>
      <c r="B8728" s="28">
        <v>46142</v>
      </c>
      <c r="C8728" s="25">
        <v>2025</v>
      </c>
      <c r="D8728" s="13" t="s">
        <v>24233</v>
      </c>
      <c r="E8728" s="228"/>
      <c r="F8728" s="109" t="s">
        <v>24234</v>
      </c>
      <c r="G8728" s="24"/>
      <c r="H8728" s="230">
        <v>4</v>
      </c>
      <c r="I8728" s="220">
        <v>1196000</v>
      </c>
      <c r="J8728" s="220">
        <f>I8728*0.1</f>
        <v>119600</v>
      </c>
      <c r="K8728" s="220">
        <v>0</v>
      </c>
      <c r="L8728" s="220">
        <v>12710</v>
      </c>
      <c r="M8728" s="220">
        <v>22000</v>
      </c>
      <c r="N8728" s="220">
        <f>SUM(I8728:M8729)</f>
        <v>1350310</v>
      </c>
      <c r="O8728" s="224"/>
      <c r="P8728" s="110" t="s">
        <v>24867</v>
      </c>
      <c r="Q8728" s="15" t="s">
        <v>19</v>
      </c>
      <c r="R8728" s="205"/>
      <c r="S8728" s="189" t="s">
        <v>25383</v>
      </c>
      <c r="T8728" s="114"/>
      <c r="U8728" s="21"/>
      <c r="V8728" s="115">
        <v>46165</v>
      </c>
      <c r="W8728" s="116">
        <v>1301</v>
      </c>
      <c r="X8728" s="220">
        <v>1395000</v>
      </c>
      <c r="Y8728" s="220">
        <f>X8728*0.1</f>
        <v>139500</v>
      </c>
      <c r="Z8728" s="220">
        <v>12710</v>
      </c>
      <c r="AA8728" s="220">
        <f>SUM(X8728:Z8728)</f>
        <v>1547210</v>
      </c>
      <c r="AB8728" s="222">
        <v>46168</v>
      </c>
    </row>
    <row r="8729" spans="1:28" ht="17.100000000000001" customHeight="1" thickBot="1">
      <c r="A8729" s="227"/>
      <c r="B8729" s="27" t="s">
        <v>24215</v>
      </c>
      <c r="C8729" s="27">
        <v>30248</v>
      </c>
      <c r="D8729" s="14" t="s">
        <v>1710</v>
      </c>
      <c r="E8729" s="229"/>
      <c r="F8729" s="117" t="s">
        <v>24219</v>
      </c>
      <c r="G8729" s="26">
        <v>73120</v>
      </c>
      <c r="H8729" s="231"/>
      <c r="I8729" s="221"/>
      <c r="J8729" s="221"/>
      <c r="K8729" s="221"/>
      <c r="L8729" s="221"/>
      <c r="M8729" s="221"/>
      <c r="N8729" s="221"/>
      <c r="O8729" s="225"/>
      <c r="P8729" s="118" t="s">
        <v>21396</v>
      </c>
      <c r="Q8729" s="16" t="s">
        <v>20</v>
      </c>
      <c r="R8729" s="17" t="s">
        <v>2377</v>
      </c>
      <c r="S8729" s="121" t="s">
        <v>1731</v>
      </c>
      <c r="T8729" s="122"/>
      <c r="U8729" s="22"/>
      <c r="V8729" s="123" t="s">
        <v>7160</v>
      </c>
      <c r="W8729" s="122">
        <v>50103</v>
      </c>
      <c r="X8729" s="221"/>
      <c r="Y8729" s="221"/>
      <c r="Z8729" s="221"/>
      <c r="AA8729" s="221"/>
      <c r="AB8729" s="223"/>
    </row>
    <row r="8730" spans="1:28" ht="17.100000000000001" customHeight="1" thickTop="1">
      <c r="A8730" s="226" t="s">
        <v>24208</v>
      </c>
      <c r="B8730" s="28">
        <v>46142</v>
      </c>
      <c r="C8730" s="25">
        <v>2025</v>
      </c>
      <c r="D8730" s="13" t="s">
        <v>24231</v>
      </c>
      <c r="E8730" s="228"/>
      <c r="F8730" s="109" t="s">
        <v>24232</v>
      </c>
      <c r="G8730" s="24"/>
      <c r="H8730" s="230">
        <v>4.5</v>
      </c>
      <c r="I8730" s="220">
        <v>2963000</v>
      </c>
      <c r="J8730" s="220">
        <f>I8730*0.1</f>
        <v>296300</v>
      </c>
      <c r="K8730" s="220">
        <v>0</v>
      </c>
      <c r="L8730" s="220">
        <v>13370</v>
      </c>
      <c r="M8730" s="220">
        <v>22000</v>
      </c>
      <c r="N8730" s="220">
        <f>SUM(I8730:M8731)</f>
        <v>3294670</v>
      </c>
      <c r="O8730" s="224"/>
      <c r="P8730" s="110" t="s">
        <v>24841</v>
      </c>
      <c r="Q8730" s="15" t="s">
        <v>19</v>
      </c>
      <c r="R8730" s="205"/>
      <c r="S8730" s="189" t="s">
        <v>1361</v>
      </c>
      <c r="T8730" s="114"/>
      <c r="U8730" s="21"/>
      <c r="V8730" s="115">
        <v>46158</v>
      </c>
      <c r="W8730" s="116">
        <v>1300</v>
      </c>
      <c r="X8730" s="220">
        <v>3100000</v>
      </c>
      <c r="Y8730" s="220">
        <f>X8730*0.1</f>
        <v>310000</v>
      </c>
      <c r="Z8730" s="220">
        <v>13370</v>
      </c>
      <c r="AA8730" s="220">
        <f>SUM(X8730:Z8730)</f>
        <v>3423370</v>
      </c>
      <c r="AB8730" s="222">
        <v>46161</v>
      </c>
    </row>
    <row r="8731" spans="1:28" ht="17.100000000000001" customHeight="1" thickBot="1">
      <c r="A8731" s="227"/>
      <c r="B8731" s="27" t="s">
        <v>24215</v>
      </c>
      <c r="C8731" s="27">
        <v>30264</v>
      </c>
      <c r="D8731" s="14" t="s">
        <v>24139</v>
      </c>
      <c r="E8731" s="229"/>
      <c r="F8731" s="117" t="s">
        <v>24220</v>
      </c>
      <c r="G8731" s="26">
        <v>32266</v>
      </c>
      <c r="H8731" s="231"/>
      <c r="I8731" s="221"/>
      <c r="J8731" s="221"/>
      <c r="K8731" s="221"/>
      <c r="L8731" s="221"/>
      <c r="M8731" s="221"/>
      <c r="N8731" s="221"/>
      <c r="O8731" s="225"/>
      <c r="P8731" s="118" t="s">
        <v>24842</v>
      </c>
      <c r="Q8731" s="16" t="s">
        <v>20</v>
      </c>
      <c r="R8731" s="17" t="s">
        <v>2377</v>
      </c>
      <c r="S8731" s="121" t="s">
        <v>25230</v>
      </c>
      <c r="T8731" s="122"/>
      <c r="U8731" s="22"/>
      <c r="V8731" s="123" t="s">
        <v>2472</v>
      </c>
      <c r="W8731" s="122">
        <v>13089</v>
      </c>
      <c r="X8731" s="221"/>
      <c r="Y8731" s="221"/>
      <c r="Z8731" s="221"/>
      <c r="AA8731" s="221"/>
      <c r="AB8731" s="223"/>
    </row>
    <row r="8732" spans="1:28" ht="17.100000000000001" customHeight="1" thickTop="1">
      <c r="A8732" s="226" t="s">
        <v>24209</v>
      </c>
      <c r="B8732" s="28">
        <v>46142</v>
      </c>
      <c r="C8732" s="25">
        <v>2025</v>
      </c>
      <c r="D8732" s="13" t="s">
        <v>24255</v>
      </c>
      <c r="E8732" s="228"/>
      <c r="F8732" s="109" t="s">
        <v>24256</v>
      </c>
      <c r="G8732" s="24" t="s">
        <v>24257</v>
      </c>
      <c r="H8732" s="230">
        <v>4</v>
      </c>
      <c r="I8732" s="220">
        <v>721000</v>
      </c>
      <c r="J8732" s="220">
        <f>I8732*0.1</f>
        <v>72100</v>
      </c>
      <c r="K8732" s="220">
        <v>0</v>
      </c>
      <c r="L8732" s="220">
        <v>6590</v>
      </c>
      <c r="M8732" s="220">
        <v>22000</v>
      </c>
      <c r="N8732" s="220">
        <f>SUM(I8732:M8733)</f>
        <v>821690</v>
      </c>
      <c r="O8732" s="224"/>
      <c r="P8732" s="110" t="s">
        <v>24258</v>
      </c>
      <c r="Q8732" s="15" t="s">
        <v>19</v>
      </c>
      <c r="R8732" s="205"/>
      <c r="S8732" s="189" t="s">
        <v>25495</v>
      </c>
      <c r="T8732" s="114"/>
      <c r="U8732" s="21" t="s">
        <v>26503</v>
      </c>
      <c r="V8732" s="115"/>
      <c r="W8732" s="116"/>
      <c r="X8732" s="220"/>
      <c r="Y8732" s="220">
        <f>X8732*0.1</f>
        <v>0</v>
      </c>
      <c r="Z8732" s="220"/>
      <c r="AA8732" s="220">
        <f>SUM(X8732:Z8732)</f>
        <v>0</v>
      </c>
      <c r="AB8732" s="222"/>
    </row>
    <row r="8733" spans="1:28" ht="17.100000000000001" customHeight="1" thickBot="1">
      <c r="A8733" s="227"/>
      <c r="B8733" s="27" t="s">
        <v>24215</v>
      </c>
      <c r="C8733" s="27">
        <v>50018</v>
      </c>
      <c r="D8733" s="14" t="s">
        <v>24198</v>
      </c>
      <c r="E8733" s="229"/>
      <c r="F8733" s="117" t="s">
        <v>24221</v>
      </c>
      <c r="G8733" s="26">
        <v>58255</v>
      </c>
      <c r="H8733" s="231"/>
      <c r="I8733" s="221"/>
      <c r="J8733" s="221"/>
      <c r="K8733" s="221"/>
      <c r="L8733" s="221"/>
      <c r="M8733" s="221"/>
      <c r="N8733" s="221"/>
      <c r="O8733" s="225"/>
      <c r="P8733" s="118" t="s">
        <v>13449</v>
      </c>
      <c r="Q8733" s="16" t="s">
        <v>20</v>
      </c>
      <c r="R8733" s="17" t="s">
        <v>2377</v>
      </c>
      <c r="S8733" s="121" t="s">
        <v>7844</v>
      </c>
      <c r="T8733" s="122"/>
      <c r="U8733" s="22"/>
      <c r="V8733" s="123"/>
      <c r="W8733" s="122"/>
      <c r="X8733" s="221"/>
      <c r="Y8733" s="221"/>
      <c r="Z8733" s="221"/>
      <c r="AA8733" s="221"/>
      <c r="AB8733" s="223"/>
    </row>
    <row r="8734" spans="1:28" ht="17.100000000000001" customHeight="1" thickTop="1">
      <c r="A8734" s="226" t="s">
        <v>24210</v>
      </c>
      <c r="B8734" s="28">
        <v>46142</v>
      </c>
      <c r="C8734" s="25">
        <v>2025</v>
      </c>
      <c r="D8734" s="13" t="s">
        <v>24228</v>
      </c>
      <c r="E8734" s="228"/>
      <c r="F8734" s="109" t="s">
        <v>24254</v>
      </c>
      <c r="G8734" s="24"/>
      <c r="H8734" s="230">
        <v>4</v>
      </c>
      <c r="I8734" s="220">
        <v>656000</v>
      </c>
      <c r="J8734" s="220">
        <f>I8734*0.1</f>
        <v>65600</v>
      </c>
      <c r="K8734" s="220">
        <v>0</v>
      </c>
      <c r="L8734" s="220">
        <v>9200</v>
      </c>
      <c r="M8734" s="220">
        <v>22000</v>
      </c>
      <c r="N8734" s="220">
        <f>SUM(I8734:M8735)</f>
        <v>752800</v>
      </c>
      <c r="O8734" s="224"/>
      <c r="P8734" s="110" t="s">
        <v>24868</v>
      </c>
      <c r="Q8734" s="15" t="s">
        <v>19</v>
      </c>
      <c r="R8734" s="205"/>
      <c r="S8734" s="189"/>
      <c r="T8734" s="114"/>
      <c r="U8734" s="21"/>
      <c r="V8734" s="115"/>
      <c r="W8734" s="116"/>
      <c r="X8734" s="220"/>
      <c r="Y8734" s="220">
        <f>X8734*0.1</f>
        <v>0</v>
      </c>
      <c r="Z8734" s="220"/>
      <c r="AA8734" s="220">
        <f>SUM(X8734:Z8734)</f>
        <v>0</v>
      </c>
      <c r="AB8734" s="222"/>
    </row>
    <row r="8735" spans="1:28" ht="17.100000000000001" customHeight="1" thickBot="1">
      <c r="A8735" s="227"/>
      <c r="B8735" s="27" t="s">
        <v>24215</v>
      </c>
      <c r="C8735" s="27">
        <v>50019</v>
      </c>
      <c r="D8735" s="14" t="s">
        <v>24139</v>
      </c>
      <c r="E8735" s="229"/>
      <c r="F8735" s="117" t="s">
        <v>24222</v>
      </c>
      <c r="G8735" s="26">
        <v>56911</v>
      </c>
      <c r="H8735" s="231"/>
      <c r="I8735" s="221"/>
      <c r="J8735" s="221"/>
      <c r="K8735" s="221"/>
      <c r="L8735" s="221"/>
      <c r="M8735" s="221"/>
      <c r="N8735" s="221"/>
      <c r="O8735" s="225"/>
      <c r="P8735" s="118" t="s">
        <v>6729</v>
      </c>
      <c r="Q8735" s="16" t="s">
        <v>20</v>
      </c>
      <c r="R8735" s="17" t="s">
        <v>2377</v>
      </c>
      <c r="S8735" s="121" t="s">
        <v>7844</v>
      </c>
      <c r="T8735" s="122"/>
      <c r="U8735" s="22"/>
      <c r="V8735" s="123"/>
      <c r="W8735" s="122"/>
      <c r="X8735" s="221"/>
      <c r="Y8735" s="221"/>
      <c r="Z8735" s="221"/>
      <c r="AA8735" s="221"/>
      <c r="AB8735" s="223"/>
    </row>
    <row r="8736" spans="1:28" ht="17.100000000000001" customHeight="1" thickTop="1">
      <c r="A8736" s="226" t="s">
        <v>24211</v>
      </c>
      <c r="B8736" s="28">
        <v>46142</v>
      </c>
      <c r="C8736" s="25">
        <v>2025</v>
      </c>
      <c r="D8736" s="13" t="s">
        <v>24251</v>
      </c>
      <c r="E8736" s="228"/>
      <c r="F8736" s="109" t="s">
        <v>24252</v>
      </c>
      <c r="G8736" s="24" t="s">
        <v>24253</v>
      </c>
      <c r="H8736" s="230">
        <v>4</v>
      </c>
      <c r="I8736" s="220">
        <v>279000</v>
      </c>
      <c r="J8736" s="220">
        <f>I8736*0.1</f>
        <v>27900</v>
      </c>
      <c r="K8736" s="220">
        <v>0</v>
      </c>
      <c r="L8736" s="220">
        <v>8460</v>
      </c>
      <c r="M8736" s="220">
        <v>22000</v>
      </c>
      <c r="N8736" s="220">
        <f>SUM(I8736:M8737)</f>
        <v>337360</v>
      </c>
      <c r="O8736" s="224"/>
      <c r="P8736" s="110" t="s">
        <v>25003</v>
      </c>
      <c r="Q8736" s="15" t="s">
        <v>19</v>
      </c>
      <c r="R8736" s="205"/>
      <c r="S8736" s="189" t="s">
        <v>25432</v>
      </c>
      <c r="T8736" s="114"/>
      <c r="U8736" s="21" t="s">
        <v>26508</v>
      </c>
      <c r="V8736" s="115"/>
      <c r="W8736" s="116"/>
      <c r="X8736" s="220"/>
      <c r="Y8736" s="220">
        <f>X8736*0.1</f>
        <v>0</v>
      </c>
      <c r="Z8736" s="220"/>
      <c r="AA8736" s="220">
        <f>SUM(X8736:Z8736)</f>
        <v>0</v>
      </c>
      <c r="AB8736" s="222"/>
    </row>
    <row r="8737" spans="1:28" ht="17.100000000000001" customHeight="1" thickBot="1">
      <c r="A8737" s="227"/>
      <c r="B8737" s="27" t="s">
        <v>24215</v>
      </c>
      <c r="C8737" s="27">
        <v>50121</v>
      </c>
      <c r="D8737" s="14" t="s">
        <v>1710</v>
      </c>
      <c r="E8737" s="229"/>
      <c r="F8737" s="117" t="s">
        <v>24223</v>
      </c>
      <c r="G8737" s="26">
        <v>34266</v>
      </c>
      <c r="H8737" s="231"/>
      <c r="I8737" s="221"/>
      <c r="J8737" s="221"/>
      <c r="K8737" s="221"/>
      <c r="L8737" s="221"/>
      <c r="M8737" s="221"/>
      <c r="N8737" s="221"/>
      <c r="O8737" s="225"/>
      <c r="P8737" s="118" t="s">
        <v>25004</v>
      </c>
      <c r="Q8737" s="16" t="s">
        <v>20</v>
      </c>
      <c r="R8737" s="17" t="s">
        <v>24991</v>
      </c>
      <c r="S8737" s="121" t="s">
        <v>3832</v>
      </c>
      <c r="T8737" s="122"/>
      <c r="U8737" s="22"/>
      <c r="V8737" s="123"/>
      <c r="W8737" s="122"/>
      <c r="X8737" s="221"/>
      <c r="Y8737" s="221"/>
      <c r="Z8737" s="221"/>
      <c r="AA8737" s="221"/>
      <c r="AB8737" s="223"/>
    </row>
    <row r="8738" spans="1:28" ht="17.100000000000001" customHeight="1" thickTop="1">
      <c r="A8738" s="226" t="s">
        <v>24212</v>
      </c>
      <c r="B8738" s="28">
        <v>46142</v>
      </c>
      <c r="C8738" s="25">
        <v>2025</v>
      </c>
      <c r="D8738" s="13" t="s">
        <v>24241</v>
      </c>
      <c r="E8738" s="228"/>
      <c r="F8738" s="109" t="s">
        <v>24248</v>
      </c>
      <c r="G8738" s="24" t="s">
        <v>24249</v>
      </c>
      <c r="H8738" s="230">
        <v>4</v>
      </c>
      <c r="I8738" s="220">
        <v>748000</v>
      </c>
      <c r="J8738" s="220">
        <f>I8738*0.1</f>
        <v>74800</v>
      </c>
      <c r="K8738" s="220">
        <v>0</v>
      </c>
      <c r="L8738" s="220">
        <v>8740</v>
      </c>
      <c r="M8738" s="220">
        <v>22000</v>
      </c>
      <c r="N8738" s="220">
        <f>SUM(I8738:M8739)</f>
        <v>853540</v>
      </c>
      <c r="O8738" s="224"/>
      <c r="P8738" s="110" t="s">
        <v>24250</v>
      </c>
      <c r="Q8738" s="15" t="s">
        <v>19</v>
      </c>
      <c r="R8738" s="205"/>
      <c r="S8738" s="189" t="s">
        <v>25617</v>
      </c>
      <c r="T8738" s="114"/>
      <c r="U8738" s="21" t="s">
        <v>26509</v>
      </c>
      <c r="V8738" s="115">
        <v>46165</v>
      </c>
      <c r="W8738" s="116">
        <v>1301</v>
      </c>
      <c r="X8738" s="220">
        <v>860000</v>
      </c>
      <c r="Y8738" s="220">
        <f>X8738*0.1</f>
        <v>86000</v>
      </c>
      <c r="Z8738" s="220">
        <v>8740</v>
      </c>
      <c r="AA8738" s="220">
        <f>SUM(X8738:Z8738)</f>
        <v>954740</v>
      </c>
      <c r="AB8738" s="222"/>
    </row>
    <row r="8739" spans="1:28" ht="17.100000000000001" customHeight="1" thickBot="1">
      <c r="A8739" s="227"/>
      <c r="B8739" s="27" t="s">
        <v>24215</v>
      </c>
      <c r="C8739" s="27">
        <v>50137</v>
      </c>
      <c r="D8739" s="14" t="s">
        <v>24247</v>
      </c>
      <c r="E8739" s="229"/>
      <c r="F8739" s="117" t="s">
        <v>24224</v>
      </c>
      <c r="G8739" s="26">
        <v>15436</v>
      </c>
      <c r="H8739" s="231"/>
      <c r="I8739" s="221"/>
      <c r="J8739" s="221"/>
      <c r="K8739" s="221"/>
      <c r="L8739" s="221"/>
      <c r="M8739" s="221"/>
      <c r="N8739" s="221"/>
      <c r="O8739" s="225"/>
      <c r="P8739" s="118" t="s">
        <v>4045</v>
      </c>
      <c r="Q8739" s="16" t="s">
        <v>20</v>
      </c>
      <c r="R8739" s="17" t="s">
        <v>2377</v>
      </c>
      <c r="S8739" s="121" t="s">
        <v>2350</v>
      </c>
      <c r="T8739" s="122"/>
      <c r="U8739" s="22"/>
      <c r="V8739" s="123" t="s">
        <v>2472</v>
      </c>
      <c r="W8739" s="122">
        <v>60052</v>
      </c>
      <c r="X8739" s="221"/>
      <c r="Y8739" s="221"/>
      <c r="Z8739" s="221"/>
      <c r="AA8739" s="221"/>
      <c r="AB8739" s="223"/>
    </row>
    <row r="8740" spans="1:28" ht="17.100000000000001" customHeight="1" thickTop="1">
      <c r="A8740" s="226" t="s">
        <v>24213</v>
      </c>
      <c r="B8740" s="28">
        <v>46142</v>
      </c>
      <c r="C8740" s="25">
        <v>2025</v>
      </c>
      <c r="D8740" s="13" t="s">
        <v>24243</v>
      </c>
      <c r="E8740" s="228"/>
      <c r="F8740" s="109" t="s">
        <v>24244</v>
      </c>
      <c r="G8740" s="24" t="s">
        <v>24245</v>
      </c>
      <c r="H8740" s="230">
        <v>4</v>
      </c>
      <c r="I8740" s="220">
        <v>689000</v>
      </c>
      <c r="J8740" s="220">
        <f>I8740*0.1</f>
        <v>68900</v>
      </c>
      <c r="K8740" s="220">
        <v>0</v>
      </c>
      <c r="L8740" s="220">
        <v>9790</v>
      </c>
      <c r="M8740" s="220">
        <v>22000</v>
      </c>
      <c r="N8740" s="220">
        <f>SUM(I8740:M8741)</f>
        <v>789690</v>
      </c>
      <c r="O8740" s="224"/>
      <c r="P8740" s="110" t="s">
        <v>24246</v>
      </c>
      <c r="Q8740" s="15" t="s">
        <v>19</v>
      </c>
      <c r="R8740" s="205"/>
      <c r="S8740" s="189" t="s">
        <v>1361</v>
      </c>
      <c r="T8740" s="114"/>
      <c r="U8740" s="21" t="s">
        <v>26510</v>
      </c>
      <c r="V8740" s="115">
        <v>46165</v>
      </c>
      <c r="W8740" s="116">
        <v>1301</v>
      </c>
      <c r="X8740" s="220">
        <v>790000</v>
      </c>
      <c r="Y8740" s="220">
        <f>X8740*0.1</f>
        <v>79000</v>
      </c>
      <c r="Z8740" s="220">
        <v>9790</v>
      </c>
      <c r="AA8740" s="220">
        <f>SUM(X8740:Z8740)</f>
        <v>878790</v>
      </c>
      <c r="AB8740" s="222"/>
    </row>
    <row r="8741" spans="1:28" ht="17.100000000000001" customHeight="1" thickBot="1">
      <c r="A8741" s="227"/>
      <c r="B8741" s="27" t="s">
        <v>24215</v>
      </c>
      <c r="C8741" s="27">
        <v>50203</v>
      </c>
      <c r="D8741" s="14" t="s">
        <v>131</v>
      </c>
      <c r="E8741" s="229"/>
      <c r="F8741" s="117" t="s">
        <v>24225</v>
      </c>
      <c r="G8741" s="26">
        <v>34789</v>
      </c>
      <c r="H8741" s="231"/>
      <c r="I8741" s="221"/>
      <c r="J8741" s="221"/>
      <c r="K8741" s="221"/>
      <c r="L8741" s="221"/>
      <c r="M8741" s="221"/>
      <c r="N8741" s="221"/>
      <c r="O8741" s="225"/>
      <c r="P8741" s="118" t="s">
        <v>24869</v>
      </c>
      <c r="Q8741" s="16" t="s">
        <v>20</v>
      </c>
      <c r="R8741" s="17" t="s">
        <v>2377</v>
      </c>
      <c r="S8741" s="121" t="s">
        <v>2350</v>
      </c>
      <c r="T8741" s="122"/>
      <c r="U8741" s="22"/>
      <c r="V8741" s="123" t="s">
        <v>7160</v>
      </c>
      <c r="W8741" s="122">
        <v>60069</v>
      </c>
      <c r="X8741" s="221"/>
      <c r="Y8741" s="221"/>
      <c r="Z8741" s="221"/>
      <c r="AA8741" s="221"/>
      <c r="AB8741" s="223"/>
    </row>
    <row r="8742" spans="1:28" ht="17.100000000000001" customHeight="1" thickTop="1">
      <c r="A8742" s="226" t="s">
        <v>24214</v>
      </c>
      <c r="B8742" s="28">
        <v>46142</v>
      </c>
      <c r="C8742" s="25">
        <v>2025</v>
      </c>
      <c r="D8742" s="13" t="s">
        <v>24241</v>
      </c>
      <c r="E8742" s="228"/>
      <c r="F8742" s="109" t="s">
        <v>24242</v>
      </c>
      <c r="G8742" s="24"/>
      <c r="H8742" s="230">
        <v>4</v>
      </c>
      <c r="I8742" s="220">
        <v>1004000</v>
      </c>
      <c r="J8742" s="220">
        <f>I8742*0.1</f>
        <v>100400</v>
      </c>
      <c r="K8742" s="220">
        <v>0</v>
      </c>
      <c r="L8742" s="220">
        <v>7150</v>
      </c>
      <c r="M8742" s="220">
        <v>22000</v>
      </c>
      <c r="N8742" s="220">
        <f>SUM(I8742:M8743)</f>
        <v>1133550</v>
      </c>
      <c r="O8742" s="224"/>
      <c r="P8742" s="110" t="s">
        <v>24805</v>
      </c>
      <c r="Q8742" s="15" t="s">
        <v>19</v>
      </c>
      <c r="R8742" s="205"/>
      <c r="S8742" s="189" t="s">
        <v>25617</v>
      </c>
      <c r="T8742" s="114"/>
      <c r="U8742" s="21"/>
      <c r="V8742" s="115">
        <v>46144</v>
      </c>
      <c r="W8742" s="116">
        <v>1299</v>
      </c>
      <c r="X8742" s="220">
        <v>1075000</v>
      </c>
      <c r="Y8742" s="220">
        <f>X8742*0.1</f>
        <v>107500</v>
      </c>
      <c r="Z8742" s="220">
        <v>7150</v>
      </c>
      <c r="AA8742" s="220">
        <f>SUM(X8742:Z8742)</f>
        <v>1189650</v>
      </c>
      <c r="AB8742" s="222">
        <v>46161</v>
      </c>
    </row>
    <row r="8743" spans="1:28" ht="17.100000000000001" customHeight="1" thickBot="1">
      <c r="A8743" s="227"/>
      <c r="B8743" s="27" t="s">
        <v>24215</v>
      </c>
      <c r="C8743" s="27">
        <v>50227</v>
      </c>
      <c r="D8743" s="14" t="s">
        <v>24139</v>
      </c>
      <c r="E8743" s="229"/>
      <c r="F8743" s="117" t="s">
        <v>24226</v>
      </c>
      <c r="G8743" s="26">
        <v>44280</v>
      </c>
      <c r="H8743" s="231"/>
      <c r="I8743" s="221"/>
      <c r="J8743" s="221"/>
      <c r="K8743" s="221"/>
      <c r="L8743" s="221"/>
      <c r="M8743" s="221"/>
      <c r="N8743" s="221"/>
      <c r="O8743" s="225"/>
      <c r="P8743" s="118" t="s">
        <v>5159</v>
      </c>
      <c r="Q8743" s="16" t="s">
        <v>20</v>
      </c>
      <c r="R8743" s="17" t="s">
        <v>2377</v>
      </c>
      <c r="S8743" s="121" t="s">
        <v>2025</v>
      </c>
      <c r="T8743" s="122"/>
      <c r="U8743" s="22"/>
      <c r="V8743" s="123" t="s">
        <v>24346</v>
      </c>
      <c r="W8743" s="122">
        <v>60423</v>
      </c>
      <c r="X8743" s="221"/>
      <c r="Y8743" s="221"/>
      <c r="Z8743" s="221"/>
      <c r="AA8743" s="221"/>
      <c r="AB8743" s="223"/>
    </row>
    <row r="8744" spans="1:28" ht="17.100000000000001" customHeight="1" thickTop="1">
      <c r="A8744" s="226" t="s">
        <v>24216</v>
      </c>
      <c r="B8744" s="28">
        <v>46142</v>
      </c>
      <c r="C8744" s="25">
        <v>2025</v>
      </c>
      <c r="D8744" s="13" t="s">
        <v>24239</v>
      </c>
      <c r="E8744" s="228"/>
      <c r="F8744" s="109" t="s">
        <v>24240</v>
      </c>
      <c r="G8744" s="24"/>
      <c r="H8744" s="230">
        <v>4</v>
      </c>
      <c r="I8744" s="220">
        <v>360000</v>
      </c>
      <c r="J8744" s="220">
        <f>I8744*0.1</f>
        <v>36000</v>
      </c>
      <c r="K8744" s="220">
        <v>0</v>
      </c>
      <c r="L8744" s="220">
        <v>8460</v>
      </c>
      <c r="M8744" s="220">
        <v>22000</v>
      </c>
      <c r="N8744" s="220">
        <f>SUM(I8744:M8745)</f>
        <v>426460</v>
      </c>
      <c r="O8744" s="224"/>
      <c r="P8744" s="110" t="s">
        <v>25005</v>
      </c>
      <c r="Q8744" s="15" t="s">
        <v>19</v>
      </c>
      <c r="R8744" s="205"/>
      <c r="S8744" s="189" t="s">
        <v>25559</v>
      </c>
      <c r="T8744" s="114"/>
      <c r="U8744" s="21"/>
      <c r="V8744" s="115"/>
      <c r="W8744" s="116"/>
      <c r="X8744" s="220"/>
      <c r="Y8744" s="220">
        <f>X8744*0.1</f>
        <v>0</v>
      </c>
      <c r="Z8744" s="220"/>
      <c r="AA8744" s="220">
        <f>SUM(X8744:Z8744)</f>
        <v>0</v>
      </c>
      <c r="AB8744" s="222"/>
    </row>
    <row r="8745" spans="1:28" ht="17.100000000000001" customHeight="1" thickBot="1">
      <c r="A8745" s="227"/>
      <c r="B8745" s="27" t="s">
        <v>24215</v>
      </c>
      <c r="C8745" s="27">
        <v>50232</v>
      </c>
      <c r="D8745" s="14" t="s">
        <v>2559</v>
      </c>
      <c r="E8745" s="229"/>
      <c r="F8745" s="117" t="s">
        <v>24227</v>
      </c>
      <c r="G8745" s="26">
        <v>58960</v>
      </c>
      <c r="H8745" s="231"/>
      <c r="I8745" s="221"/>
      <c r="J8745" s="221"/>
      <c r="K8745" s="221"/>
      <c r="L8745" s="221"/>
      <c r="M8745" s="221"/>
      <c r="N8745" s="221"/>
      <c r="O8745" s="225"/>
      <c r="P8745" s="118" t="s">
        <v>25006</v>
      </c>
      <c r="Q8745" s="16" t="s">
        <v>20</v>
      </c>
      <c r="R8745" s="17" t="s">
        <v>24991</v>
      </c>
      <c r="S8745" s="121" t="s">
        <v>23917</v>
      </c>
      <c r="T8745" s="122"/>
      <c r="U8745" s="22"/>
      <c r="V8745" s="123"/>
      <c r="W8745" s="122"/>
      <c r="X8745" s="221"/>
      <c r="Y8745" s="221"/>
      <c r="Z8745" s="221"/>
      <c r="AA8745" s="221"/>
      <c r="AB8745" s="223"/>
    </row>
    <row r="8746" spans="1:28" ht="17.100000000000001" customHeight="1" thickTop="1">
      <c r="A8746" s="226" t="s">
        <v>24292</v>
      </c>
      <c r="B8746" s="28">
        <v>46143</v>
      </c>
      <c r="C8746" s="25">
        <v>2133</v>
      </c>
      <c r="D8746" s="13" t="s">
        <v>24260</v>
      </c>
      <c r="E8746" s="228"/>
      <c r="F8746" s="109" t="s">
        <v>24261</v>
      </c>
      <c r="G8746" s="24" t="s">
        <v>24263</v>
      </c>
      <c r="H8746" s="230">
        <v>4.5</v>
      </c>
      <c r="I8746" s="220">
        <v>490000</v>
      </c>
      <c r="J8746" s="220">
        <f>I8746*0.1</f>
        <v>49000</v>
      </c>
      <c r="K8746" s="220">
        <f>32900+3290</f>
        <v>36190</v>
      </c>
      <c r="L8746" s="220">
        <v>19120</v>
      </c>
      <c r="M8746" s="220">
        <v>22000</v>
      </c>
      <c r="N8746" s="220">
        <f>SUM(I8746:M8747)</f>
        <v>616310</v>
      </c>
      <c r="O8746" s="224"/>
      <c r="P8746" s="110" t="s">
        <v>24264</v>
      </c>
      <c r="Q8746" s="15" t="s">
        <v>19</v>
      </c>
      <c r="R8746" s="205"/>
      <c r="S8746" s="189" t="s">
        <v>25371</v>
      </c>
      <c r="T8746" s="114"/>
      <c r="U8746" s="21"/>
      <c r="V8746" s="115">
        <v>46156</v>
      </c>
      <c r="W8746" s="116">
        <v>1330</v>
      </c>
      <c r="X8746" s="220">
        <v>665000</v>
      </c>
      <c r="Y8746" s="220">
        <f>X8746*0.1</f>
        <v>66500</v>
      </c>
      <c r="Z8746" s="220">
        <v>19120</v>
      </c>
      <c r="AA8746" s="220">
        <f>SUM(X8746:Z8746)</f>
        <v>750620</v>
      </c>
      <c r="AB8746" s="222">
        <v>46157</v>
      </c>
    </row>
    <row r="8747" spans="1:28" ht="17.100000000000001" customHeight="1" thickBot="1">
      <c r="A8747" s="227"/>
      <c r="B8747" s="27" t="s">
        <v>24259</v>
      </c>
      <c r="C8747" s="27">
        <v>58236</v>
      </c>
      <c r="D8747" s="14" t="s">
        <v>1710</v>
      </c>
      <c r="E8747" s="229"/>
      <c r="F8747" s="117" t="s">
        <v>24262</v>
      </c>
      <c r="G8747" s="26">
        <v>44311</v>
      </c>
      <c r="H8747" s="231"/>
      <c r="I8747" s="221"/>
      <c r="J8747" s="221"/>
      <c r="K8747" s="221"/>
      <c r="L8747" s="221"/>
      <c r="M8747" s="221"/>
      <c r="N8747" s="221"/>
      <c r="O8747" s="225"/>
      <c r="P8747" s="118" t="s">
        <v>3355</v>
      </c>
      <c r="Q8747" s="16" t="s">
        <v>20</v>
      </c>
      <c r="R8747" s="17" t="s">
        <v>2377</v>
      </c>
      <c r="S8747" s="121" t="s">
        <v>1680</v>
      </c>
      <c r="T8747" s="122"/>
      <c r="U8747" s="22"/>
      <c r="V8747" s="123" t="s">
        <v>1735</v>
      </c>
      <c r="W8747" s="122">
        <v>150</v>
      </c>
      <c r="X8747" s="221"/>
      <c r="Y8747" s="221"/>
      <c r="Z8747" s="221"/>
      <c r="AA8747" s="221"/>
      <c r="AB8747" s="223"/>
    </row>
    <row r="8748" spans="1:28" ht="17.100000000000001" customHeight="1" thickTop="1">
      <c r="A8748" s="226" t="s">
        <v>24293</v>
      </c>
      <c r="B8748" s="28">
        <v>46143</v>
      </c>
      <c r="C8748" s="25">
        <v>2133</v>
      </c>
      <c r="D8748" s="13" t="s">
        <v>24265</v>
      </c>
      <c r="E8748" s="228"/>
      <c r="F8748" s="109" t="s">
        <v>24267</v>
      </c>
      <c r="G8748" s="24"/>
      <c r="H8748" s="230">
        <v>4.5</v>
      </c>
      <c r="I8748" s="220">
        <v>1250000</v>
      </c>
      <c r="J8748" s="220">
        <f>I8748*0.1</f>
        <v>125000</v>
      </c>
      <c r="K8748" s="220">
        <v>0</v>
      </c>
      <c r="L8748" s="220">
        <v>16250</v>
      </c>
      <c r="M8748" s="220">
        <v>22000</v>
      </c>
      <c r="N8748" s="220">
        <f>SUM(I8748:M8749)</f>
        <v>1413250</v>
      </c>
      <c r="O8748" s="224"/>
      <c r="P8748" s="110" t="s">
        <v>24670</v>
      </c>
      <c r="Q8748" s="15" t="s">
        <v>19</v>
      </c>
      <c r="R8748" s="205"/>
      <c r="S8748" s="189"/>
      <c r="T8748" s="114"/>
      <c r="U8748" s="21"/>
      <c r="V8748" s="115">
        <v>46156</v>
      </c>
      <c r="W8748" s="116">
        <v>1330</v>
      </c>
      <c r="X8748" s="220">
        <v>1375000</v>
      </c>
      <c r="Y8748" s="220">
        <f>X8748*0.1</f>
        <v>137500</v>
      </c>
      <c r="Z8748" s="220">
        <v>16250</v>
      </c>
      <c r="AA8748" s="220">
        <f>SUM(X8748:Z8748)</f>
        <v>1528750</v>
      </c>
      <c r="AB8748" s="222">
        <v>46157</v>
      </c>
    </row>
    <row r="8749" spans="1:28" ht="17.100000000000001" customHeight="1" thickBot="1">
      <c r="A8749" s="227"/>
      <c r="B8749" s="27" t="s">
        <v>24259</v>
      </c>
      <c r="C8749" s="27">
        <v>58370</v>
      </c>
      <c r="D8749" s="14" t="s">
        <v>24266</v>
      </c>
      <c r="E8749" s="229"/>
      <c r="F8749" s="117" t="s">
        <v>24268</v>
      </c>
      <c r="G8749" s="26">
        <v>39494</v>
      </c>
      <c r="H8749" s="231"/>
      <c r="I8749" s="221"/>
      <c r="J8749" s="221"/>
      <c r="K8749" s="221"/>
      <c r="L8749" s="221"/>
      <c r="M8749" s="221"/>
      <c r="N8749" s="221"/>
      <c r="O8749" s="225"/>
      <c r="P8749" s="118" t="s">
        <v>24671</v>
      </c>
      <c r="Q8749" s="16" t="s">
        <v>20</v>
      </c>
      <c r="R8749" s="17" t="s">
        <v>24672</v>
      </c>
      <c r="S8749" s="121"/>
      <c r="T8749" s="122"/>
      <c r="U8749" s="22"/>
      <c r="V8749" s="123" t="s">
        <v>1735</v>
      </c>
      <c r="W8749" s="122">
        <v>142</v>
      </c>
      <c r="X8749" s="221"/>
      <c r="Y8749" s="221"/>
      <c r="Z8749" s="221"/>
      <c r="AA8749" s="221"/>
      <c r="AB8749" s="223"/>
    </row>
    <row r="8750" spans="1:28" ht="17.100000000000001" customHeight="1" thickTop="1">
      <c r="A8750" s="226" t="s">
        <v>24294</v>
      </c>
      <c r="B8750" s="28">
        <v>46143</v>
      </c>
      <c r="C8750" s="25">
        <v>2133</v>
      </c>
      <c r="D8750" s="13" t="s">
        <v>24269</v>
      </c>
      <c r="E8750" s="228"/>
      <c r="F8750" s="109" t="s">
        <v>24270</v>
      </c>
      <c r="G8750" s="24"/>
      <c r="H8750" s="230">
        <v>4.5</v>
      </c>
      <c r="I8750" s="220">
        <v>1700000</v>
      </c>
      <c r="J8750" s="220">
        <f>I8750*0.1</f>
        <v>170000</v>
      </c>
      <c r="K8750" s="220">
        <v>0</v>
      </c>
      <c r="L8750" s="220">
        <v>12370</v>
      </c>
      <c r="M8750" s="220">
        <v>22000</v>
      </c>
      <c r="N8750" s="220">
        <f>SUM(I8750:M8751)</f>
        <v>1904370</v>
      </c>
      <c r="O8750" s="224"/>
      <c r="P8750" s="110" t="s">
        <v>24821</v>
      </c>
      <c r="Q8750" s="15" t="s">
        <v>19</v>
      </c>
      <c r="R8750" s="205"/>
      <c r="S8750" s="189" t="s">
        <v>25565</v>
      </c>
      <c r="T8750" s="114"/>
      <c r="U8750" s="21"/>
      <c r="V8750" s="115"/>
      <c r="W8750" s="116"/>
      <c r="X8750" s="220"/>
      <c r="Y8750" s="220">
        <f>X8750*0.1</f>
        <v>0</v>
      </c>
      <c r="Z8750" s="220"/>
      <c r="AA8750" s="220">
        <f>SUM(X8750:Z8750)</f>
        <v>0</v>
      </c>
      <c r="AB8750" s="222"/>
    </row>
    <row r="8751" spans="1:28" ht="17.100000000000001" customHeight="1" thickBot="1">
      <c r="A8751" s="227"/>
      <c r="B8751" s="27" t="s">
        <v>24259</v>
      </c>
      <c r="C8751" s="27">
        <v>58373</v>
      </c>
      <c r="D8751" s="14" t="s">
        <v>24144</v>
      </c>
      <c r="E8751" s="229"/>
      <c r="F8751" s="117" t="s">
        <v>24271</v>
      </c>
      <c r="G8751" s="26">
        <v>53000</v>
      </c>
      <c r="H8751" s="231"/>
      <c r="I8751" s="221"/>
      <c r="J8751" s="221"/>
      <c r="K8751" s="221"/>
      <c r="L8751" s="221"/>
      <c r="M8751" s="221"/>
      <c r="N8751" s="221"/>
      <c r="O8751" s="225"/>
      <c r="P8751" s="118" t="s">
        <v>1972</v>
      </c>
      <c r="Q8751" s="16" t="s">
        <v>20</v>
      </c>
      <c r="R8751" s="17" t="s">
        <v>2377</v>
      </c>
      <c r="S8751" s="121" t="s">
        <v>1722</v>
      </c>
      <c r="T8751" s="122"/>
      <c r="U8751" s="22"/>
      <c r="V8751" s="123"/>
      <c r="W8751" s="122"/>
      <c r="X8751" s="221"/>
      <c r="Y8751" s="221"/>
      <c r="Z8751" s="221"/>
      <c r="AA8751" s="221"/>
      <c r="AB8751" s="223"/>
    </row>
    <row r="8752" spans="1:28" ht="17.100000000000001" customHeight="1" thickTop="1">
      <c r="A8752" s="226" t="s">
        <v>24295</v>
      </c>
      <c r="B8752" s="28">
        <v>46143</v>
      </c>
      <c r="C8752" s="25">
        <v>1204</v>
      </c>
      <c r="D8752" s="13" t="s">
        <v>24273</v>
      </c>
      <c r="E8752" s="228"/>
      <c r="F8752" s="109" t="s">
        <v>24274</v>
      </c>
      <c r="G8752" s="24"/>
      <c r="H8752" s="230">
        <v>4</v>
      </c>
      <c r="I8752" s="220">
        <v>1230000</v>
      </c>
      <c r="J8752" s="220">
        <f>I8752*0.1</f>
        <v>123000</v>
      </c>
      <c r="K8752" s="220">
        <v>0</v>
      </c>
      <c r="L8752" s="220">
        <v>13860</v>
      </c>
      <c r="M8752" s="220">
        <v>16500</v>
      </c>
      <c r="N8752" s="220">
        <f>SUM(I8752:M8753)</f>
        <v>1383360</v>
      </c>
      <c r="O8752" s="224"/>
      <c r="P8752" s="110" t="s">
        <v>24831</v>
      </c>
      <c r="Q8752" s="15" t="s">
        <v>19</v>
      </c>
      <c r="R8752" s="205"/>
      <c r="S8752" s="189" t="s">
        <v>1341</v>
      </c>
      <c r="T8752" s="114"/>
      <c r="U8752" s="21"/>
      <c r="V8752" s="115"/>
      <c r="W8752" s="116"/>
      <c r="X8752" s="220"/>
      <c r="Y8752" s="220">
        <f>X8752*0.1</f>
        <v>0</v>
      </c>
      <c r="Z8752" s="220"/>
      <c r="AA8752" s="220">
        <f>SUM(X8752:Z8752)</f>
        <v>0</v>
      </c>
      <c r="AB8752" s="222"/>
    </row>
    <row r="8753" spans="1:28" ht="17.100000000000001" customHeight="1" thickBot="1">
      <c r="A8753" s="227"/>
      <c r="B8753" s="27" t="s">
        <v>24272</v>
      </c>
      <c r="C8753" s="27">
        <v>20229</v>
      </c>
      <c r="D8753" s="14" t="s">
        <v>24139</v>
      </c>
      <c r="E8753" s="229"/>
      <c r="F8753" s="117" t="s">
        <v>24275</v>
      </c>
      <c r="G8753" s="26">
        <v>144600</v>
      </c>
      <c r="H8753" s="231"/>
      <c r="I8753" s="221"/>
      <c r="J8753" s="221"/>
      <c r="K8753" s="221"/>
      <c r="L8753" s="221"/>
      <c r="M8753" s="221"/>
      <c r="N8753" s="221"/>
      <c r="O8753" s="225"/>
      <c r="P8753" s="118" t="s">
        <v>24832</v>
      </c>
      <c r="Q8753" s="16" t="s">
        <v>20</v>
      </c>
      <c r="R8753" s="17" t="s">
        <v>2377</v>
      </c>
      <c r="S8753" s="121"/>
      <c r="T8753" s="122"/>
      <c r="U8753" s="22"/>
      <c r="V8753" s="123"/>
      <c r="W8753" s="122"/>
      <c r="X8753" s="221"/>
      <c r="Y8753" s="221"/>
      <c r="Z8753" s="221"/>
      <c r="AA8753" s="221"/>
      <c r="AB8753" s="223"/>
    </row>
    <row r="8754" spans="1:28" ht="17.100000000000001" customHeight="1" thickTop="1">
      <c r="A8754" s="226" t="s">
        <v>24296</v>
      </c>
      <c r="B8754" s="28">
        <v>46143</v>
      </c>
      <c r="C8754" s="25">
        <v>289</v>
      </c>
      <c r="D8754" s="13" t="s">
        <v>24277</v>
      </c>
      <c r="E8754" s="228"/>
      <c r="F8754" s="109" t="s">
        <v>24278</v>
      </c>
      <c r="G8754" s="24" t="s">
        <v>24280</v>
      </c>
      <c r="H8754" s="232" t="s">
        <v>24281</v>
      </c>
      <c r="I8754" s="220">
        <v>1398000</v>
      </c>
      <c r="J8754" s="220">
        <f>I8754*0.1</f>
        <v>139800</v>
      </c>
      <c r="K8754" s="220">
        <v>0</v>
      </c>
      <c r="L8754" s="220">
        <v>7360</v>
      </c>
      <c r="M8754" s="220">
        <v>22000</v>
      </c>
      <c r="N8754" s="220">
        <f>SUM(I8754:M8755)</f>
        <v>1567160</v>
      </c>
      <c r="O8754" s="224"/>
      <c r="P8754" s="110" t="s">
        <v>24282</v>
      </c>
      <c r="Q8754" s="15" t="s">
        <v>19</v>
      </c>
      <c r="R8754" s="205"/>
      <c r="S8754" s="189" t="s">
        <v>758</v>
      </c>
      <c r="T8754" s="114"/>
      <c r="U8754" s="21"/>
      <c r="V8754" s="115"/>
      <c r="W8754" s="116"/>
      <c r="X8754" s="220"/>
      <c r="Y8754" s="220">
        <f>X8754*0.1</f>
        <v>0</v>
      </c>
      <c r="Z8754" s="220"/>
      <c r="AA8754" s="220">
        <f>SUM(X8754:Z8754)</f>
        <v>0</v>
      </c>
      <c r="AB8754" s="222"/>
    </row>
    <row r="8755" spans="1:28" ht="17.100000000000001" customHeight="1" thickBot="1">
      <c r="A8755" s="227"/>
      <c r="B8755" s="27" t="s">
        <v>24276</v>
      </c>
      <c r="C8755" s="27">
        <v>51</v>
      </c>
      <c r="D8755" s="14" t="s">
        <v>24144</v>
      </c>
      <c r="E8755" s="229"/>
      <c r="F8755" s="117" t="s">
        <v>24279</v>
      </c>
      <c r="G8755" s="26">
        <v>14</v>
      </c>
      <c r="H8755" s="231"/>
      <c r="I8755" s="221"/>
      <c r="J8755" s="221"/>
      <c r="K8755" s="221"/>
      <c r="L8755" s="221"/>
      <c r="M8755" s="221"/>
      <c r="N8755" s="221"/>
      <c r="O8755" s="225"/>
      <c r="P8755" s="118" t="s">
        <v>24465</v>
      </c>
      <c r="Q8755" s="16" t="s">
        <v>20</v>
      </c>
      <c r="R8755" s="17" t="s">
        <v>2040</v>
      </c>
      <c r="S8755" s="121" t="s">
        <v>1625</v>
      </c>
      <c r="T8755" s="122"/>
      <c r="U8755" s="22"/>
      <c r="V8755" s="123"/>
      <c r="W8755" s="122"/>
      <c r="X8755" s="221"/>
      <c r="Y8755" s="221"/>
      <c r="Z8755" s="221"/>
      <c r="AA8755" s="221"/>
      <c r="AB8755" s="223"/>
    </row>
    <row r="8756" spans="1:28" ht="17.100000000000001" customHeight="1" thickTop="1">
      <c r="A8756" s="226" t="s">
        <v>24297</v>
      </c>
      <c r="B8756" s="28">
        <v>46143</v>
      </c>
      <c r="C8756" s="25">
        <v>289</v>
      </c>
      <c r="D8756" s="13" t="s">
        <v>24283</v>
      </c>
      <c r="E8756" s="228"/>
      <c r="F8756" s="109" t="s">
        <v>24284</v>
      </c>
      <c r="G8756" s="24"/>
      <c r="H8756" s="230">
        <v>4.5</v>
      </c>
      <c r="I8756" s="220">
        <v>545000</v>
      </c>
      <c r="J8756" s="220">
        <f>I8756*0.1</f>
        <v>54500</v>
      </c>
      <c r="K8756" s="220">
        <v>0</v>
      </c>
      <c r="L8756" s="220">
        <v>10060</v>
      </c>
      <c r="M8756" s="220">
        <v>22000</v>
      </c>
      <c r="N8756" s="220">
        <f>SUM(I8756:M8757)</f>
        <v>631560</v>
      </c>
      <c r="O8756" s="224"/>
      <c r="P8756" s="110" t="s">
        <v>24464</v>
      </c>
      <c r="Q8756" s="15" t="s">
        <v>19</v>
      </c>
      <c r="R8756" s="205"/>
      <c r="S8756" s="189"/>
      <c r="T8756" s="114"/>
      <c r="U8756" s="21"/>
      <c r="V8756" s="115">
        <v>46155</v>
      </c>
      <c r="W8756" s="116">
        <v>1016</v>
      </c>
      <c r="X8756" s="220">
        <v>650000</v>
      </c>
      <c r="Y8756" s="220">
        <f>X8756*0.1</f>
        <v>65000</v>
      </c>
      <c r="Z8756" s="220">
        <v>10060</v>
      </c>
      <c r="AA8756" s="220">
        <f>SUM(X8756:Z8756)</f>
        <v>725060</v>
      </c>
      <c r="AB8756" s="222">
        <v>46161</v>
      </c>
    </row>
    <row r="8757" spans="1:28" ht="17.100000000000001" customHeight="1" thickBot="1">
      <c r="A8757" s="227"/>
      <c r="B8757" s="27" t="s">
        <v>24276</v>
      </c>
      <c r="C8757" s="27">
        <v>73</v>
      </c>
      <c r="D8757" s="14" t="s">
        <v>24139</v>
      </c>
      <c r="E8757" s="229"/>
      <c r="F8757" s="117" t="s">
        <v>24285</v>
      </c>
      <c r="G8757" s="26">
        <v>20090</v>
      </c>
      <c r="H8757" s="231"/>
      <c r="I8757" s="221"/>
      <c r="J8757" s="221"/>
      <c r="K8757" s="221"/>
      <c r="L8757" s="221"/>
      <c r="M8757" s="221"/>
      <c r="N8757" s="221"/>
      <c r="O8757" s="225"/>
      <c r="P8757" s="118" t="s">
        <v>4306</v>
      </c>
      <c r="Q8757" s="16" t="s">
        <v>20</v>
      </c>
      <c r="R8757" s="17" t="s">
        <v>2040</v>
      </c>
      <c r="S8757" s="121" t="s">
        <v>7302</v>
      </c>
      <c r="T8757" s="122"/>
      <c r="U8757" s="22"/>
      <c r="V8757" s="123" t="s">
        <v>7161</v>
      </c>
      <c r="W8757" s="122">
        <v>5064</v>
      </c>
      <c r="X8757" s="221"/>
      <c r="Y8757" s="221"/>
      <c r="Z8757" s="221"/>
      <c r="AA8757" s="221"/>
      <c r="AB8757" s="223"/>
    </row>
    <row r="8758" spans="1:28" ht="17.100000000000001" customHeight="1" thickTop="1">
      <c r="A8758" s="233" t="s">
        <v>24298</v>
      </c>
      <c r="B8758" s="28">
        <v>46143</v>
      </c>
      <c r="C8758" s="25">
        <v>1417</v>
      </c>
      <c r="D8758" s="13" t="s">
        <v>24360</v>
      </c>
      <c r="E8758" s="228"/>
      <c r="F8758" s="109" t="s">
        <v>24323</v>
      </c>
      <c r="G8758" s="24"/>
      <c r="H8758" s="230">
        <v>4.5</v>
      </c>
      <c r="I8758" s="220">
        <v>2171000</v>
      </c>
      <c r="J8758" s="220">
        <f>I8758*0.1</f>
        <v>217100</v>
      </c>
      <c r="K8758" s="220">
        <v>0</v>
      </c>
      <c r="L8758" s="220">
        <v>10660</v>
      </c>
      <c r="M8758" s="220">
        <v>15400</v>
      </c>
      <c r="N8758" s="220">
        <f>SUM(I8758:M8759)</f>
        <v>2414160</v>
      </c>
      <c r="O8758" s="224"/>
      <c r="P8758" s="110" t="s">
        <v>24676</v>
      </c>
      <c r="Q8758" s="15" t="s">
        <v>19</v>
      </c>
      <c r="R8758" s="205"/>
      <c r="S8758" s="189" t="s">
        <v>455</v>
      </c>
      <c r="T8758" s="114" t="s">
        <v>25237</v>
      </c>
      <c r="U8758" s="21"/>
      <c r="V8758" s="115"/>
      <c r="W8758" s="116"/>
      <c r="X8758" s="220"/>
      <c r="Y8758" s="220">
        <f>X8758*0.1</f>
        <v>0</v>
      </c>
      <c r="Z8758" s="220"/>
      <c r="AA8758" s="220">
        <f>SUM(X8758:Z8758)</f>
        <v>0</v>
      </c>
      <c r="AB8758" s="222"/>
    </row>
    <row r="8759" spans="1:28" ht="17.100000000000001" customHeight="1" thickBot="1">
      <c r="A8759" s="234"/>
      <c r="B8759" s="27" t="s">
        <v>24322</v>
      </c>
      <c r="C8759" s="27">
        <v>1279</v>
      </c>
      <c r="D8759" s="14" t="s">
        <v>24361</v>
      </c>
      <c r="E8759" s="229"/>
      <c r="F8759" s="117" t="s">
        <v>24324</v>
      </c>
      <c r="G8759" s="26">
        <v>19825</v>
      </c>
      <c r="H8759" s="231"/>
      <c r="I8759" s="221"/>
      <c r="J8759" s="221"/>
      <c r="K8759" s="221"/>
      <c r="L8759" s="221"/>
      <c r="M8759" s="221"/>
      <c r="N8759" s="221"/>
      <c r="O8759" s="225"/>
      <c r="P8759" s="118" t="s">
        <v>22326</v>
      </c>
      <c r="Q8759" s="16" t="s">
        <v>20</v>
      </c>
      <c r="R8759" s="17" t="s">
        <v>1831</v>
      </c>
      <c r="S8759" s="121" t="s">
        <v>1731</v>
      </c>
      <c r="T8759" s="122"/>
      <c r="U8759" s="22"/>
      <c r="V8759" s="123"/>
      <c r="W8759" s="122"/>
      <c r="X8759" s="221"/>
      <c r="Y8759" s="221"/>
      <c r="Z8759" s="221"/>
      <c r="AA8759" s="221"/>
      <c r="AB8759" s="223"/>
    </row>
    <row r="8760" spans="1:28" ht="17.100000000000001" customHeight="1" thickTop="1">
      <c r="A8760" s="226" t="s">
        <v>24299</v>
      </c>
      <c r="B8760" s="28">
        <v>46143</v>
      </c>
      <c r="C8760" s="25">
        <v>1417</v>
      </c>
      <c r="D8760" s="13" t="s">
        <v>24362</v>
      </c>
      <c r="E8760" s="228"/>
      <c r="F8760" s="109" t="s">
        <v>24325</v>
      </c>
      <c r="G8760" s="24" t="s">
        <v>24363</v>
      </c>
      <c r="H8760" s="230">
        <v>6</v>
      </c>
      <c r="I8760" s="220">
        <v>5414000</v>
      </c>
      <c r="J8760" s="220">
        <f>I8760*0.1</f>
        <v>541400</v>
      </c>
      <c r="K8760" s="220">
        <v>39820</v>
      </c>
      <c r="L8760" s="220">
        <v>16370</v>
      </c>
      <c r="M8760" s="220">
        <v>15400</v>
      </c>
      <c r="N8760" s="220">
        <f>SUM(I8760:M8761)</f>
        <v>6026990</v>
      </c>
      <c r="O8760" s="224"/>
      <c r="P8760" s="110" t="s">
        <v>24678</v>
      </c>
      <c r="Q8760" s="15" t="s">
        <v>19</v>
      </c>
      <c r="R8760" s="205"/>
      <c r="S8760" s="189" t="s">
        <v>25986</v>
      </c>
      <c r="T8760" s="114"/>
      <c r="U8760" s="21"/>
      <c r="V8760" s="115">
        <v>46155</v>
      </c>
      <c r="W8760" s="116">
        <v>1016</v>
      </c>
      <c r="X8760" s="220">
        <v>5905000</v>
      </c>
      <c r="Y8760" s="220">
        <f>X8760*0.1</f>
        <v>590500</v>
      </c>
      <c r="Z8760" s="220">
        <v>16370</v>
      </c>
      <c r="AA8760" s="220">
        <f>SUM(X8760:Z8760)</f>
        <v>6511870</v>
      </c>
      <c r="AB8760" s="222">
        <v>46160</v>
      </c>
    </row>
    <row r="8761" spans="1:28" ht="17.100000000000001" customHeight="1" thickBot="1">
      <c r="A8761" s="227"/>
      <c r="B8761" s="27" t="s">
        <v>24322</v>
      </c>
      <c r="C8761" s="27">
        <v>3002</v>
      </c>
      <c r="D8761" s="14" t="s">
        <v>2559</v>
      </c>
      <c r="E8761" s="229"/>
      <c r="F8761" s="117" t="s">
        <v>24326</v>
      </c>
      <c r="G8761" s="26">
        <v>4750</v>
      </c>
      <c r="H8761" s="231"/>
      <c r="I8761" s="221"/>
      <c r="J8761" s="221"/>
      <c r="K8761" s="221"/>
      <c r="L8761" s="221"/>
      <c r="M8761" s="221"/>
      <c r="N8761" s="221"/>
      <c r="O8761" s="225"/>
      <c r="P8761" s="118" t="s">
        <v>24679</v>
      </c>
      <c r="Q8761" s="16" t="s">
        <v>20</v>
      </c>
      <c r="R8761" s="17" t="s">
        <v>1831</v>
      </c>
      <c r="S8761" s="121" t="s">
        <v>2703</v>
      </c>
      <c r="T8761" s="122"/>
      <c r="U8761" s="22"/>
      <c r="V8761" s="123" t="s">
        <v>2747</v>
      </c>
      <c r="W8761" s="122">
        <v>5057</v>
      </c>
      <c r="X8761" s="221"/>
      <c r="Y8761" s="221"/>
      <c r="Z8761" s="221"/>
      <c r="AA8761" s="221"/>
      <c r="AB8761" s="223"/>
    </row>
    <row r="8762" spans="1:28" ht="17.100000000000001" customHeight="1" thickTop="1">
      <c r="A8762" s="226" t="s">
        <v>24300</v>
      </c>
      <c r="B8762" s="28">
        <v>46143</v>
      </c>
      <c r="C8762" s="25">
        <v>1417</v>
      </c>
      <c r="D8762" s="13" t="s">
        <v>24364</v>
      </c>
      <c r="E8762" s="228"/>
      <c r="F8762" s="109" t="s">
        <v>24327</v>
      </c>
      <c r="G8762" s="24" t="s">
        <v>24366</v>
      </c>
      <c r="H8762" s="230">
        <v>45</v>
      </c>
      <c r="I8762" s="220">
        <v>600000</v>
      </c>
      <c r="J8762" s="220">
        <f>I8762*0.1</f>
        <v>60000</v>
      </c>
      <c r="K8762" s="220">
        <v>0</v>
      </c>
      <c r="L8762" s="220">
        <v>9290</v>
      </c>
      <c r="M8762" s="220">
        <v>15400</v>
      </c>
      <c r="N8762" s="220">
        <f>SUM(I8762:M8763)</f>
        <v>684690</v>
      </c>
      <c r="O8762" s="224"/>
      <c r="P8762" s="110" t="s">
        <v>24810</v>
      </c>
      <c r="Q8762" s="15" t="s">
        <v>19</v>
      </c>
      <c r="R8762" s="205"/>
      <c r="S8762" s="189"/>
      <c r="T8762" s="114"/>
      <c r="U8762" s="21"/>
      <c r="V8762" s="115">
        <v>46155</v>
      </c>
      <c r="W8762" s="116">
        <v>1016</v>
      </c>
      <c r="X8762" s="220">
        <v>665000</v>
      </c>
      <c r="Y8762" s="220">
        <f>X8762*0.1</f>
        <v>66500</v>
      </c>
      <c r="Z8762" s="220">
        <v>9290</v>
      </c>
      <c r="AA8762" s="220">
        <f>SUM(X8762:Z8762)</f>
        <v>740790</v>
      </c>
      <c r="AB8762" s="222">
        <v>46160</v>
      </c>
    </row>
    <row r="8763" spans="1:28" ht="17.100000000000001" customHeight="1" thickBot="1">
      <c r="A8763" s="227"/>
      <c r="B8763" s="27" t="s">
        <v>24322</v>
      </c>
      <c r="C8763" s="27">
        <v>3008</v>
      </c>
      <c r="D8763" s="14" t="s">
        <v>24365</v>
      </c>
      <c r="E8763" s="229"/>
      <c r="F8763" s="117" t="s">
        <v>24328</v>
      </c>
      <c r="G8763" s="26">
        <v>39320</v>
      </c>
      <c r="H8763" s="231"/>
      <c r="I8763" s="221"/>
      <c r="J8763" s="221"/>
      <c r="K8763" s="221"/>
      <c r="L8763" s="221"/>
      <c r="M8763" s="221"/>
      <c r="N8763" s="221"/>
      <c r="O8763" s="225"/>
      <c r="P8763" s="118" t="s">
        <v>1972</v>
      </c>
      <c r="Q8763" s="16" t="s">
        <v>20</v>
      </c>
      <c r="R8763" s="17" t="s">
        <v>2377</v>
      </c>
      <c r="S8763" s="121" t="s">
        <v>1573</v>
      </c>
      <c r="T8763" s="122"/>
      <c r="U8763" s="22"/>
      <c r="V8763" s="123" t="s">
        <v>2747</v>
      </c>
      <c r="W8763" s="122">
        <v>5053</v>
      </c>
      <c r="X8763" s="221"/>
      <c r="Y8763" s="221"/>
      <c r="Z8763" s="221"/>
      <c r="AA8763" s="221"/>
      <c r="AB8763" s="223"/>
    </row>
    <row r="8764" spans="1:28" ht="17.100000000000001" customHeight="1" thickTop="1">
      <c r="A8764" s="233" t="s">
        <v>24301</v>
      </c>
      <c r="B8764" s="28">
        <v>46143</v>
      </c>
      <c r="C8764" s="25">
        <v>1417</v>
      </c>
      <c r="D8764" s="13" t="s">
        <v>24362</v>
      </c>
      <c r="E8764" s="228"/>
      <c r="F8764" s="109" t="s">
        <v>24367</v>
      </c>
      <c r="G8764" s="24" t="s">
        <v>24368</v>
      </c>
      <c r="H8764" s="230">
        <v>4.5</v>
      </c>
      <c r="I8764" s="220">
        <v>2902000</v>
      </c>
      <c r="J8764" s="220">
        <f>I8764*0.1</f>
        <v>290200</v>
      </c>
      <c r="K8764" s="220">
        <v>27940</v>
      </c>
      <c r="L8764" s="220">
        <v>9300</v>
      </c>
      <c r="M8764" s="220">
        <v>15400</v>
      </c>
      <c r="N8764" s="220">
        <f>SUM(I8764:M8765)</f>
        <v>3244840</v>
      </c>
      <c r="O8764" s="224"/>
      <c r="P8764" s="110" t="s">
        <v>24852</v>
      </c>
      <c r="Q8764" s="15" t="s">
        <v>19</v>
      </c>
      <c r="R8764" s="205"/>
      <c r="S8764" s="189" t="s">
        <v>529</v>
      </c>
      <c r="T8764" s="114" t="s">
        <v>24917</v>
      </c>
      <c r="U8764" s="21"/>
      <c r="V8764" s="115"/>
      <c r="W8764" s="116"/>
      <c r="X8764" s="220"/>
      <c r="Y8764" s="220">
        <f>X8764*0.1</f>
        <v>0</v>
      </c>
      <c r="Z8764" s="220"/>
      <c r="AA8764" s="220">
        <f>SUM(X8764:Z8764)</f>
        <v>0</v>
      </c>
      <c r="AB8764" s="222"/>
    </row>
    <row r="8765" spans="1:28" ht="17.100000000000001" customHeight="1" thickBot="1">
      <c r="A8765" s="234"/>
      <c r="B8765" s="27" t="s">
        <v>24322</v>
      </c>
      <c r="C8765" s="27">
        <v>3047</v>
      </c>
      <c r="D8765" s="14" t="s">
        <v>2559</v>
      </c>
      <c r="E8765" s="229"/>
      <c r="F8765" s="117" t="s">
        <v>24329</v>
      </c>
      <c r="G8765" s="26">
        <v>6203</v>
      </c>
      <c r="H8765" s="231"/>
      <c r="I8765" s="221"/>
      <c r="J8765" s="221"/>
      <c r="K8765" s="221"/>
      <c r="L8765" s="221"/>
      <c r="M8765" s="221"/>
      <c r="N8765" s="221"/>
      <c r="O8765" s="225"/>
      <c r="P8765" s="118" t="s">
        <v>4161</v>
      </c>
      <c r="Q8765" s="16" t="s">
        <v>20</v>
      </c>
      <c r="R8765" s="17" t="s">
        <v>2377</v>
      </c>
      <c r="S8765" s="121" t="s">
        <v>2312</v>
      </c>
      <c r="T8765" s="122"/>
      <c r="U8765" s="22"/>
      <c r="V8765" s="123"/>
      <c r="W8765" s="122"/>
      <c r="X8765" s="221"/>
      <c r="Y8765" s="221"/>
      <c r="Z8765" s="221"/>
      <c r="AA8765" s="221"/>
      <c r="AB8765" s="223"/>
    </row>
    <row r="8766" spans="1:28" ht="17.100000000000001" customHeight="1" thickTop="1">
      <c r="A8766" s="233" t="s">
        <v>24302</v>
      </c>
      <c r="B8766" s="28">
        <v>46143</v>
      </c>
      <c r="C8766" s="25">
        <v>1417</v>
      </c>
      <c r="D8766" s="13" t="s">
        <v>24369</v>
      </c>
      <c r="E8766" s="228"/>
      <c r="F8766" s="109" t="s">
        <v>24330</v>
      </c>
      <c r="G8766" s="24"/>
      <c r="H8766" s="230">
        <v>4</v>
      </c>
      <c r="I8766" s="220">
        <v>868000</v>
      </c>
      <c r="J8766" s="220">
        <f>I8766*0.1</f>
        <v>86800</v>
      </c>
      <c r="K8766" s="220">
        <v>0</v>
      </c>
      <c r="L8766" s="220">
        <v>7860</v>
      </c>
      <c r="M8766" s="220">
        <v>15400</v>
      </c>
      <c r="N8766" s="220">
        <f>SUM(I8766:M8767)</f>
        <v>978060</v>
      </c>
      <c r="O8766" s="224"/>
      <c r="P8766" s="110" t="s">
        <v>24848</v>
      </c>
      <c r="Q8766" s="15" t="s">
        <v>19</v>
      </c>
      <c r="R8766" s="205"/>
      <c r="S8766" s="189"/>
      <c r="T8766" s="114" t="s">
        <v>26471</v>
      </c>
      <c r="U8766" s="21"/>
      <c r="V8766" s="115"/>
      <c r="W8766" s="116"/>
      <c r="X8766" s="220"/>
      <c r="Y8766" s="220">
        <f>X8766*0.1</f>
        <v>0</v>
      </c>
      <c r="Z8766" s="220"/>
      <c r="AA8766" s="220">
        <f>SUM(X8766:Z8766)</f>
        <v>0</v>
      </c>
      <c r="AB8766" s="222"/>
    </row>
    <row r="8767" spans="1:28" ht="17.100000000000001" customHeight="1" thickBot="1">
      <c r="A8767" s="234"/>
      <c r="B8767" s="27" t="s">
        <v>24322</v>
      </c>
      <c r="C8767" s="27">
        <v>3087</v>
      </c>
      <c r="D8767" s="14" t="s">
        <v>1710</v>
      </c>
      <c r="E8767" s="229"/>
      <c r="F8767" s="117" t="s">
        <v>24331</v>
      </c>
      <c r="G8767" s="26">
        <v>16856</v>
      </c>
      <c r="H8767" s="231"/>
      <c r="I8767" s="221"/>
      <c r="J8767" s="221"/>
      <c r="K8767" s="221"/>
      <c r="L8767" s="221"/>
      <c r="M8767" s="221"/>
      <c r="N8767" s="221"/>
      <c r="O8767" s="225"/>
      <c r="P8767" s="118" t="s">
        <v>4222</v>
      </c>
      <c r="Q8767" s="16" t="s">
        <v>20</v>
      </c>
      <c r="R8767" s="17" t="s">
        <v>2377</v>
      </c>
      <c r="S8767" s="121" t="s">
        <v>169</v>
      </c>
      <c r="T8767" s="122"/>
      <c r="U8767" s="22"/>
      <c r="V8767" s="123"/>
      <c r="W8767" s="122"/>
      <c r="X8767" s="221"/>
      <c r="Y8767" s="221"/>
      <c r="Z8767" s="221"/>
      <c r="AA8767" s="221"/>
      <c r="AB8767" s="223"/>
    </row>
    <row r="8768" spans="1:28" ht="17.100000000000001" customHeight="1" thickTop="1">
      <c r="A8768" s="226" t="s">
        <v>24303</v>
      </c>
      <c r="B8768" s="28">
        <v>46143</v>
      </c>
      <c r="C8768" s="25">
        <v>1417</v>
      </c>
      <c r="D8768" s="13" t="s">
        <v>24370</v>
      </c>
      <c r="E8768" s="228"/>
      <c r="F8768" s="109" t="s">
        <v>24332</v>
      </c>
      <c r="G8768" s="24" t="s">
        <v>24371</v>
      </c>
      <c r="H8768" s="230">
        <v>3.5</v>
      </c>
      <c r="I8768" s="220">
        <v>445000</v>
      </c>
      <c r="J8768" s="220">
        <f>I8768*0.1</f>
        <v>44500</v>
      </c>
      <c r="K8768" s="220">
        <v>0</v>
      </c>
      <c r="L8768" s="220">
        <v>8680</v>
      </c>
      <c r="M8768" s="220">
        <v>15400</v>
      </c>
      <c r="N8768" s="220">
        <f>SUM(I8768:M8769)</f>
        <v>513580</v>
      </c>
      <c r="O8768" s="224"/>
      <c r="P8768" s="110" t="s">
        <v>24674</v>
      </c>
      <c r="Q8768" s="15" t="s">
        <v>19</v>
      </c>
      <c r="R8768" s="205"/>
      <c r="S8768" s="189"/>
      <c r="T8768" s="114"/>
      <c r="U8768" s="21"/>
      <c r="V8768" s="115"/>
      <c r="W8768" s="116"/>
      <c r="X8768" s="220"/>
      <c r="Y8768" s="220">
        <f>X8768*0.1</f>
        <v>0</v>
      </c>
      <c r="Z8768" s="220"/>
      <c r="AA8768" s="220">
        <f>SUM(X8768:Z8768)</f>
        <v>0</v>
      </c>
      <c r="AB8768" s="222"/>
    </row>
    <row r="8769" spans="1:28" ht="17.100000000000001" customHeight="1" thickBot="1">
      <c r="A8769" s="227"/>
      <c r="B8769" s="27" t="s">
        <v>24322</v>
      </c>
      <c r="C8769" s="27">
        <v>3100</v>
      </c>
      <c r="D8769" s="14" t="s">
        <v>2014</v>
      </c>
      <c r="E8769" s="229"/>
      <c r="F8769" s="117" t="s">
        <v>24333</v>
      </c>
      <c r="G8769" s="26">
        <v>64737</v>
      </c>
      <c r="H8769" s="231"/>
      <c r="I8769" s="221"/>
      <c r="J8769" s="221"/>
      <c r="K8769" s="221"/>
      <c r="L8769" s="221"/>
      <c r="M8769" s="221"/>
      <c r="N8769" s="221"/>
      <c r="O8769" s="225"/>
      <c r="P8769" s="118" t="s">
        <v>1972</v>
      </c>
      <c r="Q8769" s="16" t="s">
        <v>20</v>
      </c>
      <c r="R8769" s="17" t="s">
        <v>1831</v>
      </c>
      <c r="S8769" s="121" t="s">
        <v>2405</v>
      </c>
      <c r="T8769" s="122"/>
      <c r="U8769" s="22"/>
      <c r="V8769" s="123"/>
      <c r="W8769" s="122"/>
      <c r="X8769" s="221"/>
      <c r="Y8769" s="221"/>
      <c r="Z8769" s="221"/>
      <c r="AA8769" s="221"/>
      <c r="AB8769" s="223"/>
    </row>
    <row r="8770" spans="1:28" ht="17.100000000000001" customHeight="1" thickTop="1">
      <c r="A8770" s="226" t="s">
        <v>24304</v>
      </c>
      <c r="B8770" s="28">
        <v>46143</v>
      </c>
      <c r="C8770" s="25">
        <v>1417</v>
      </c>
      <c r="D8770" s="13" t="s">
        <v>24372</v>
      </c>
      <c r="E8770" s="228"/>
      <c r="F8770" s="109" t="s">
        <v>24334</v>
      </c>
      <c r="G8770" s="24" t="s">
        <v>24373</v>
      </c>
      <c r="H8770" s="230">
        <v>4</v>
      </c>
      <c r="I8770" s="220">
        <v>1617000</v>
      </c>
      <c r="J8770" s="220">
        <f>I8770*0.1</f>
        <v>161700</v>
      </c>
      <c r="K8770" s="220">
        <v>41250</v>
      </c>
      <c r="L8770" s="220">
        <v>12980</v>
      </c>
      <c r="M8770" s="220">
        <v>15400</v>
      </c>
      <c r="N8770" s="220">
        <f>SUM(I8770:M8771)</f>
        <v>1848330</v>
      </c>
      <c r="O8770" s="224"/>
      <c r="P8770" s="110" t="s">
        <v>24806</v>
      </c>
      <c r="Q8770" s="15" t="s">
        <v>19</v>
      </c>
      <c r="R8770" s="205"/>
      <c r="S8770" s="189" t="s">
        <v>25987</v>
      </c>
      <c r="T8770" s="114"/>
      <c r="U8770" s="21"/>
      <c r="V8770" s="115">
        <v>46155</v>
      </c>
      <c r="W8770" s="116">
        <v>1016</v>
      </c>
      <c r="X8770" s="220">
        <v>1745000</v>
      </c>
      <c r="Y8770" s="220">
        <f>X8770*0.1</f>
        <v>174500</v>
      </c>
      <c r="Z8770" s="220">
        <v>12980</v>
      </c>
      <c r="AA8770" s="220">
        <f>SUM(X8770:Z8770)</f>
        <v>1932480</v>
      </c>
      <c r="AB8770" s="222">
        <v>46160</v>
      </c>
    </row>
    <row r="8771" spans="1:28" ht="17.100000000000001" customHeight="1" thickBot="1">
      <c r="A8771" s="227"/>
      <c r="B8771" s="27" t="s">
        <v>24322</v>
      </c>
      <c r="C8771" s="27">
        <v>3159</v>
      </c>
      <c r="D8771" s="14" t="s">
        <v>24365</v>
      </c>
      <c r="E8771" s="229"/>
      <c r="F8771" s="117" t="s">
        <v>24335</v>
      </c>
      <c r="G8771" s="26">
        <v>64661</v>
      </c>
      <c r="H8771" s="231"/>
      <c r="I8771" s="221"/>
      <c r="J8771" s="221"/>
      <c r="K8771" s="221"/>
      <c r="L8771" s="221"/>
      <c r="M8771" s="221"/>
      <c r="N8771" s="221"/>
      <c r="O8771" s="225"/>
      <c r="P8771" s="118" t="s">
        <v>24807</v>
      </c>
      <c r="Q8771" s="16" t="s">
        <v>20</v>
      </c>
      <c r="R8771" s="17" t="s">
        <v>2377</v>
      </c>
      <c r="S8771" s="121" t="s">
        <v>24884</v>
      </c>
      <c r="T8771" s="122"/>
      <c r="U8771" s="22"/>
      <c r="V8771" s="123" t="s">
        <v>2747</v>
      </c>
      <c r="W8771" s="122">
        <v>5042</v>
      </c>
      <c r="X8771" s="221"/>
      <c r="Y8771" s="221"/>
      <c r="Z8771" s="221"/>
      <c r="AA8771" s="221"/>
      <c r="AB8771" s="223"/>
    </row>
    <row r="8772" spans="1:28" ht="17.100000000000001" customHeight="1" thickTop="1">
      <c r="A8772" s="226" t="s">
        <v>24305</v>
      </c>
      <c r="B8772" s="28">
        <v>46143</v>
      </c>
      <c r="C8772" s="25">
        <v>1417</v>
      </c>
      <c r="D8772" s="13" t="s">
        <v>24374</v>
      </c>
      <c r="E8772" s="228"/>
      <c r="F8772" s="109" t="s">
        <v>24336</v>
      </c>
      <c r="G8772" s="24" t="s">
        <v>24375</v>
      </c>
      <c r="H8772" s="230">
        <v>4.5</v>
      </c>
      <c r="I8772" s="220">
        <v>797000</v>
      </c>
      <c r="J8772" s="220">
        <f>I8772*0.1</f>
        <v>79700</v>
      </c>
      <c r="K8772" s="220">
        <v>0</v>
      </c>
      <c r="L8772" s="220">
        <v>5690</v>
      </c>
      <c r="M8772" s="220">
        <v>15400</v>
      </c>
      <c r="N8772" s="220">
        <f>SUM(I8772:M8773)</f>
        <v>897790</v>
      </c>
      <c r="O8772" s="224"/>
      <c r="P8772" s="110" t="s">
        <v>24808</v>
      </c>
      <c r="Q8772" s="15" t="s">
        <v>19</v>
      </c>
      <c r="R8772" s="205"/>
      <c r="S8772" s="189"/>
      <c r="T8772" s="114"/>
      <c r="U8772" s="21"/>
      <c r="V8772" s="115">
        <v>46155</v>
      </c>
      <c r="W8772" s="116">
        <v>1016</v>
      </c>
      <c r="X8772" s="220">
        <v>940000</v>
      </c>
      <c r="Y8772" s="220">
        <f>X8772*0.1</f>
        <v>94000</v>
      </c>
      <c r="Z8772" s="220">
        <v>5690</v>
      </c>
      <c r="AA8772" s="220">
        <f>SUM(X8772:Z8772)</f>
        <v>1039690</v>
      </c>
      <c r="AB8772" s="222">
        <v>46160</v>
      </c>
    </row>
    <row r="8773" spans="1:28" ht="17.100000000000001" customHeight="1" thickBot="1">
      <c r="A8773" s="227"/>
      <c r="B8773" s="27" t="s">
        <v>24322</v>
      </c>
      <c r="C8773" s="27">
        <v>4557</v>
      </c>
      <c r="D8773" s="14" t="s">
        <v>1710</v>
      </c>
      <c r="E8773" s="229"/>
      <c r="F8773" s="117" t="s">
        <v>24337</v>
      </c>
      <c r="G8773" s="26">
        <v>4072</v>
      </c>
      <c r="H8773" s="231"/>
      <c r="I8773" s="221"/>
      <c r="J8773" s="221"/>
      <c r="K8773" s="221"/>
      <c r="L8773" s="221"/>
      <c r="M8773" s="221"/>
      <c r="N8773" s="221"/>
      <c r="O8773" s="225"/>
      <c r="P8773" s="118" t="s">
        <v>24809</v>
      </c>
      <c r="Q8773" s="16" t="s">
        <v>20</v>
      </c>
      <c r="R8773" s="17" t="s">
        <v>2377</v>
      </c>
      <c r="S8773" s="121"/>
      <c r="T8773" s="122"/>
      <c r="U8773" s="22"/>
      <c r="V8773" s="123" t="s">
        <v>2747</v>
      </c>
      <c r="W8773" s="122">
        <v>5045</v>
      </c>
      <c r="X8773" s="221"/>
      <c r="Y8773" s="221"/>
      <c r="Z8773" s="221"/>
      <c r="AA8773" s="221"/>
      <c r="AB8773" s="223"/>
    </row>
    <row r="8774" spans="1:28" ht="17.100000000000001" customHeight="1" thickTop="1">
      <c r="A8774" s="226" t="s">
        <v>24306</v>
      </c>
      <c r="B8774" s="28">
        <v>46143</v>
      </c>
      <c r="C8774" s="25">
        <v>1417</v>
      </c>
      <c r="D8774" s="13" t="s">
        <v>24376</v>
      </c>
      <c r="E8774" s="228"/>
      <c r="F8774" s="109" t="s">
        <v>23839</v>
      </c>
      <c r="G8774" s="24"/>
      <c r="H8774" s="230">
        <v>4</v>
      </c>
      <c r="I8774" s="220">
        <v>1136000</v>
      </c>
      <c r="J8774" s="220">
        <f>I8774*0.1</f>
        <v>113600</v>
      </c>
      <c r="K8774" s="220">
        <v>0</v>
      </c>
      <c r="L8774" s="220">
        <v>9490</v>
      </c>
      <c r="M8774" s="220">
        <v>15400</v>
      </c>
      <c r="N8774" s="220">
        <f>SUM(I8774:M8775)</f>
        <v>1274490</v>
      </c>
      <c r="O8774" s="224"/>
      <c r="P8774" s="110" t="s">
        <v>24849</v>
      </c>
      <c r="Q8774" s="15" t="s">
        <v>19</v>
      </c>
      <c r="R8774" s="205"/>
      <c r="S8774" s="189" t="s">
        <v>25988</v>
      </c>
      <c r="T8774" s="114" t="s">
        <v>26238</v>
      </c>
      <c r="U8774" s="21"/>
      <c r="V8774" s="115">
        <v>46162</v>
      </c>
      <c r="W8774" s="116">
        <v>1017</v>
      </c>
      <c r="X8774" s="220">
        <v>1165000</v>
      </c>
      <c r="Y8774" s="220">
        <f>X8774*0.1</f>
        <v>116500</v>
      </c>
      <c r="Z8774" s="220">
        <v>9490</v>
      </c>
      <c r="AA8774" s="220">
        <f>SUM(X8774:Z8774)</f>
        <v>1290990</v>
      </c>
      <c r="AB8774" s="222">
        <v>46167</v>
      </c>
    </row>
    <row r="8775" spans="1:28" ht="17.100000000000001" customHeight="1" thickBot="1">
      <c r="A8775" s="227"/>
      <c r="B8775" s="27" t="s">
        <v>24322</v>
      </c>
      <c r="C8775" s="27">
        <v>7061</v>
      </c>
      <c r="D8775" s="14" t="s">
        <v>24377</v>
      </c>
      <c r="E8775" s="229"/>
      <c r="F8775" s="117" t="s">
        <v>24338</v>
      </c>
      <c r="G8775" s="26">
        <v>64865</v>
      </c>
      <c r="H8775" s="231"/>
      <c r="I8775" s="221"/>
      <c r="J8775" s="221"/>
      <c r="K8775" s="221"/>
      <c r="L8775" s="221"/>
      <c r="M8775" s="221"/>
      <c r="N8775" s="221"/>
      <c r="O8775" s="225"/>
      <c r="P8775" s="118" t="s">
        <v>8646</v>
      </c>
      <c r="Q8775" s="16" t="s">
        <v>20</v>
      </c>
      <c r="R8775" s="17" t="s">
        <v>2377</v>
      </c>
      <c r="S8775" s="121" t="s">
        <v>10516</v>
      </c>
      <c r="T8775" s="122"/>
      <c r="U8775" s="22"/>
      <c r="V8775" s="123" t="s">
        <v>2747</v>
      </c>
      <c r="W8775" s="122">
        <v>6025</v>
      </c>
      <c r="X8775" s="221"/>
      <c r="Y8775" s="221"/>
      <c r="Z8775" s="221"/>
      <c r="AA8775" s="221"/>
      <c r="AB8775" s="223"/>
    </row>
    <row r="8776" spans="1:28" ht="17.100000000000001" customHeight="1" thickTop="1">
      <c r="A8776" s="226" t="s">
        <v>24307</v>
      </c>
      <c r="B8776" s="28">
        <v>46143</v>
      </c>
      <c r="C8776" s="25">
        <v>1417</v>
      </c>
      <c r="D8776" s="13" t="s">
        <v>24378</v>
      </c>
      <c r="E8776" s="228"/>
      <c r="F8776" s="109" t="s">
        <v>24380</v>
      </c>
      <c r="G8776" s="24" t="s">
        <v>24381</v>
      </c>
      <c r="H8776" s="232" t="s">
        <v>24382</v>
      </c>
      <c r="I8776" s="220">
        <v>615000</v>
      </c>
      <c r="J8776" s="220">
        <f>I8776*0.1</f>
        <v>61500</v>
      </c>
      <c r="K8776" s="220">
        <v>0</v>
      </c>
      <c r="L8776" s="220">
        <v>8790</v>
      </c>
      <c r="M8776" s="220">
        <v>15400</v>
      </c>
      <c r="N8776" s="220">
        <f>SUM(I8776:M8777)</f>
        <v>700690</v>
      </c>
      <c r="O8776" s="224"/>
      <c r="P8776" s="110" t="s">
        <v>24850</v>
      </c>
      <c r="Q8776" s="15" t="s">
        <v>19</v>
      </c>
      <c r="R8776" s="205"/>
      <c r="S8776" s="189"/>
      <c r="T8776" s="114"/>
      <c r="U8776" s="21"/>
      <c r="V8776" s="115">
        <v>46155</v>
      </c>
      <c r="W8776" s="116">
        <v>1016</v>
      </c>
      <c r="X8776" s="220">
        <v>750000</v>
      </c>
      <c r="Y8776" s="220">
        <f>X8776*0.1</f>
        <v>75000</v>
      </c>
      <c r="Z8776" s="220">
        <v>8790</v>
      </c>
      <c r="AA8776" s="220">
        <f>SUM(X8776:Z8776)</f>
        <v>833790</v>
      </c>
      <c r="AB8776" s="222">
        <v>46161</v>
      </c>
    </row>
    <row r="8777" spans="1:28" ht="17.100000000000001" customHeight="1" thickBot="1">
      <c r="A8777" s="227"/>
      <c r="B8777" s="27" t="s">
        <v>24322</v>
      </c>
      <c r="C8777" s="27">
        <v>7071</v>
      </c>
      <c r="D8777" s="14" t="s">
        <v>24379</v>
      </c>
      <c r="E8777" s="229"/>
      <c r="F8777" s="117" t="s">
        <v>24339</v>
      </c>
      <c r="G8777" s="26">
        <v>56488</v>
      </c>
      <c r="H8777" s="231"/>
      <c r="I8777" s="221"/>
      <c r="J8777" s="221"/>
      <c r="K8777" s="221"/>
      <c r="L8777" s="221"/>
      <c r="M8777" s="221"/>
      <c r="N8777" s="221"/>
      <c r="O8777" s="225"/>
      <c r="P8777" s="118" t="s">
        <v>24851</v>
      </c>
      <c r="Q8777" s="16" t="s">
        <v>20</v>
      </c>
      <c r="R8777" s="17" t="s">
        <v>2377</v>
      </c>
      <c r="S8777" s="121" t="s">
        <v>10515</v>
      </c>
      <c r="T8777" s="122"/>
      <c r="U8777" s="22"/>
      <c r="V8777" s="123" t="s">
        <v>8648</v>
      </c>
      <c r="W8777" s="122">
        <v>5038</v>
      </c>
      <c r="X8777" s="221"/>
      <c r="Y8777" s="221"/>
      <c r="Z8777" s="221"/>
      <c r="AA8777" s="221"/>
      <c r="AB8777" s="223"/>
    </row>
    <row r="8778" spans="1:28" ht="17.100000000000001" customHeight="1" thickTop="1">
      <c r="A8778" s="226" t="s">
        <v>24308</v>
      </c>
      <c r="B8778" s="28">
        <v>46143</v>
      </c>
      <c r="C8778" s="25">
        <v>1417</v>
      </c>
      <c r="D8778" s="13" t="s">
        <v>24383</v>
      </c>
      <c r="E8778" s="228"/>
      <c r="F8778" s="109" t="s">
        <v>24340</v>
      </c>
      <c r="G8778" s="24"/>
      <c r="H8778" s="230">
        <v>3.5</v>
      </c>
      <c r="I8778" s="220">
        <v>544000</v>
      </c>
      <c r="J8778" s="220">
        <f>I8778*0.1</f>
        <v>54400</v>
      </c>
      <c r="K8778" s="220">
        <v>0</v>
      </c>
      <c r="L8778" s="220">
        <v>15390</v>
      </c>
      <c r="M8778" s="220">
        <v>15400</v>
      </c>
      <c r="N8778" s="220">
        <f>SUM(I8778:M8779)</f>
        <v>629190</v>
      </c>
      <c r="O8778" s="224"/>
      <c r="P8778" s="110" t="s">
        <v>24846</v>
      </c>
      <c r="Q8778" s="15" t="s">
        <v>19</v>
      </c>
      <c r="R8778" s="205"/>
      <c r="S8778" s="189"/>
      <c r="T8778" s="114"/>
      <c r="U8778" s="21"/>
      <c r="V8778" s="115"/>
      <c r="W8778" s="116"/>
      <c r="X8778" s="220"/>
      <c r="Y8778" s="220">
        <f>X8778*0.1</f>
        <v>0</v>
      </c>
      <c r="Z8778" s="220"/>
      <c r="AA8778" s="220">
        <f>SUM(X8778:Z8778)</f>
        <v>0</v>
      </c>
      <c r="AB8778" s="222"/>
    </row>
    <row r="8779" spans="1:28" ht="17.100000000000001" customHeight="1" thickBot="1">
      <c r="A8779" s="227"/>
      <c r="B8779" s="27" t="s">
        <v>24322</v>
      </c>
      <c r="C8779" s="27">
        <v>7097</v>
      </c>
      <c r="D8779" s="14" t="s">
        <v>2559</v>
      </c>
      <c r="E8779" s="229"/>
      <c r="F8779" s="117" t="s">
        <v>24341</v>
      </c>
      <c r="G8779" s="26">
        <v>148856</v>
      </c>
      <c r="H8779" s="231"/>
      <c r="I8779" s="221"/>
      <c r="J8779" s="221"/>
      <c r="K8779" s="221"/>
      <c r="L8779" s="221"/>
      <c r="M8779" s="221"/>
      <c r="N8779" s="221"/>
      <c r="O8779" s="225"/>
      <c r="P8779" s="118" t="s">
        <v>13449</v>
      </c>
      <c r="Q8779" s="16" t="s">
        <v>20</v>
      </c>
      <c r="R8779" s="17" t="s">
        <v>2377</v>
      </c>
      <c r="S8779" s="121" t="s">
        <v>13871</v>
      </c>
      <c r="T8779" s="122"/>
      <c r="U8779" s="22"/>
      <c r="V8779" s="123"/>
      <c r="W8779" s="122"/>
      <c r="X8779" s="221"/>
      <c r="Y8779" s="221"/>
      <c r="Z8779" s="221"/>
      <c r="AA8779" s="221"/>
      <c r="AB8779" s="223"/>
    </row>
    <row r="8780" spans="1:28" ht="17.100000000000001" customHeight="1" thickTop="1">
      <c r="A8780" s="226" t="s">
        <v>24309</v>
      </c>
      <c r="B8780" s="28">
        <v>46143</v>
      </c>
      <c r="C8780" s="25">
        <v>1417</v>
      </c>
      <c r="D8780" s="13" t="s">
        <v>24384</v>
      </c>
      <c r="E8780" s="228"/>
      <c r="F8780" s="109" t="s">
        <v>24342</v>
      </c>
      <c r="G8780" s="24" t="s">
        <v>24385</v>
      </c>
      <c r="H8780" s="230">
        <v>4</v>
      </c>
      <c r="I8780" s="220">
        <v>183000</v>
      </c>
      <c r="J8780" s="220">
        <f>I8780*0.1</f>
        <v>18300</v>
      </c>
      <c r="K8780" s="220">
        <v>0</v>
      </c>
      <c r="L8780" s="220">
        <v>10000</v>
      </c>
      <c r="M8780" s="220">
        <v>15400</v>
      </c>
      <c r="N8780" s="220">
        <f>SUM(I8780:M8781)</f>
        <v>226700</v>
      </c>
      <c r="O8780" s="224"/>
      <c r="P8780" s="110" t="s">
        <v>24675</v>
      </c>
      <c r="Q8780" s="15" t="s">
        <v>19</v>
      </c>
      <c r="R8780" s="205"/>
      <c r="S8780" s="189" t="s">
        <v>25431</v>
      </c>
      <c r="T8780" s="114"/>
      <c r="U8780" s="21"/>
      <c r="V8780" s="115">
        <v>46162</v>
      </c>
      <c r="W8780" s="116">
        <v>1017</v>
      </c>
      <c r="X8780" s="220">
        <v>260000</v>
      </c>
      <c r="Y8780" s="220">
        <f>X8780*0.1</f>
        <v>26000</v>
      </c>
      <c r="Z8780" s="220">
        <v>10000</v>
      </c>
      <c r="AA8780" s="220">
        <f>SUM(X8780:Z8780)</f>
        <v>296000</v>
      </c>
      <c r="AB8780" s="222">
        <v>46167</v>
      </c>
    </row>
    <row r="8781" spans="1:28" ht="17.100000000000001" customHeight="1" thickBot="1">
      <c r="A8781" s="227"/>
      <c r="B8781" s="27" t="s">
        <v>24322</v>
      </c>
      <c r="C8781" s="27">
        <v>9052</v>
      </c>
      <c r="D8781" s="14" t="s">
        <v>2559</v>
      </c>
      <c r="E8781" s="229"/>
      <c r="F8781" s="117" t="s">
        <v>24343</v>
      </c>
      <c r="G8781" s="26">
        <v>40317</v>
      </c>
      <c r="H8781" s="231"/>
      <c r="I8781" s="221"/>
      <c r="J8781" s="221"/>
      <c r="K8781" s="221"/>
      <c r="L8781" s="221"/>
      <c r="M8781" s="221"/>
      <c r="N8781" s="221"/>
      <c r="O8781" s="225"/>
      <c r="P8781" s="118" t="s">
        <v>8900</v>
      </c>
      <c r="Q8781" s="16" t="s">
        <v>20</v>
      </c>
      <c r="R8781" s="17" t="s">
        <v>1831</v>
      </c>
      <c r="S8781" s="121" t="s">
        <v>169</v>
      </c>
      <c r="T8781" s="122"/>
      <c r="U8781" s="22"/>
      <c r="V8781" s="123" t="s">
        <v>8877</v>
      </c>
      <c r="W8781" s="122">
        <v>2056</v>
      </c>
      <c r="X8781" s="221"/>
      <c r="Y8781" s="221"/>
      <c r="Z8781" s="221"/>
      <c r="AA8781" s="221"/>
      <c r="AB8781" s="223"/>
    </row>
    <row r="8782" spans="1:28" ht="17.100000000000001" customHeight="1" thickTop="1">
      <c r="A8782" s="226" t="s">
        <v>24310</v>
      </c>
      <c r="B8782" s="28">
        <v>46144</v>
      </c>
      <c r="C8782" s="25">
        <v>1542</v>
      </c>
      <c r="D8782" s="13" t="s">
        <v>24386</v>
      </c>
      <c r="E8782" s="228"/>
      <c r="F8782" s="109" t="s">
        <v>4700</v>
      </c>
      <c r="G8782" s="24" t="s">
        <v>24388</v>
      </c>
      <c r="H8782" s="230">
        <v>4.5</v>
      </c>
      <c r="I8782" s="220">
        <v>1365000</v>
      </c>
      <c r="J8782" s="220">
        <f>I8782*0.1</f>
        <v>136500</v>
      </c>
      <c r="K8782" s="220">
        <v>31570</v>
      </c>
      <c r="L8782" s="220">
        <v>11740</v>
      </c>
      <c r="M8782" s="220">
        <v>22000</v>
      </c>
      <c r="N8782" s="220">
        <f>SUM(I8782:M8783)</f>
        <v>1566810</v>
      </c>
      <c r="O8782" s="224"/>
      <c r="P8782" s="110" t="s">
        <v>24389</v>
      </c>
      <c r="Q8782" s="15" t="s">
        <v>19</v>
      </c>
      <c r="R8782" s="205"/>
      <c r="S8782" s="189"/>
      <c r="T8782" s="114"/>
      <c r="U8782" s="21"/>
      <c r="V8782" s="115">
        <v>46158</v>
      </c>
      <c r="W8782" s="116">
        <v>1300</v>
      </c>
      <c r="X8782" s="220">
        <v>1530000</v>
      </c>
      <c r="Y8782" s="220">
        <f>X8782*0.1</f>
        <v>153000</v>
      </c>
      <c r="Z8782" s="220">
        <v>11740</v>
      </c>
      <c r="AA8782" s="220">
        <f>SUM(X8782:Z8782)</f>
        <v>1694740</v>
      </c>
      <c r="AB8782" s="222">
        <v>46161</v>
      </c>
    </row>
    <row r="8783" spans="1:28" ht="17.100000000000001" customHeight="1" thickBot="1">
      <c r="A8783" s="227"/>
      <c r="B8783" s="27" t="s">
        <v>24344</v>
      </c>
      <c r="C8783" s="27">
        <v>83012</v>
      </c>
      <c r="D8783" s="14" t="s">
        <v>24387</v>
      </c>
      <c r="E8783" s="229"/>
      <c r="F8783" s="117" t="s">
        <v>24853</v>
      </c>
      <c r="G8783" s="26">
        <v>39964</v>
      </c>
      <c r="H8783" s="231"/>
      <c r="I8783" s="221"/>
      <c r="J8783" s="221"/>
      <c r="K8783" s="221"/>
      <c r="L8783" s="221"/>
      <c r="M8783" s="221"/>
      <c r="N8783" s="221"/>
      <c r="O8783" s="225"/>
      <c r="P8783" s="118" t="s">
        <v>24854</v>
      </c>
      <c r="Q8783" s="16" t="s">
        <v>20</v>
      </c>
      <c r="R8783" s="17" t="s">
        <v>3680</v>
      </c>
      <c r="S8783" s="121" t="s">
        <v>1625</v>
      </c>
      <c r="T8783" s="122"/>
      <c r="U8783" s="22"/>
      <c r="V8783" s="123" t="s">
        <v>2472</v>
      </c>
      <c r="W8783" s="122">
        <v>80351</v>
      </c>
      <c r="X8783" s="221"/>
      <c r="Y8783" s="221"/>
      <c r="Z8783" s="221"/>
      <c r="AA8783" s="221"/>
      <c r="AB8783" s="223"/>
    </row>
    <row r="8784" spans="1:28" ht="17.100000000000001" customHeight="1" thickTop="1">
      <c r="A8784" s="226" t="s">
        <v>24311</v>
      </c>
      <c r="B8784" s="28">
        <v>46144</v>
      </c>
      <c r="C8784" s="25">
        <v>1542</v>
      </c>
      <c r="D8784" s="13" t="s">
        <v>24390</v>
      </c>
      <c r="E8784" s="228"/>
      <c r="F8784" s="109" t="s">
        <v>24345</v>
      </c>
      <c r="G8784" s="24" t="s">
        <v>24392</v>
      </c>
      <c r="H8784" s="230">
        <v>4.5</v>
      </c>
      <c r="I8784" s="220">
        <v>1725000</v>
      </c>
      <c r="J8784" s="220">
        <f>I8784*0.1</f>
        <v>172500</v>
      </c>
      <c r="K8784" s="220">
        <v>27940</v>
      </c>
      <c r="L8784" s="220">
        <v>19090</v>
      </c>
      <c r="M8784" s="220">
        <v>22000</v>
      </c>
      <c r="N8784" s="220">
        <f>SUM(I8784:M8785)</f>
        <v>1966530</v>
      </c>
      <c r="O8784" s="224"/>
      <c r="P8784" s="110" t="s">
        <v>24393</v>
      </c>
      <c r="Q8784" s="15" t="s">
        <v>19</v>
      </c>
      <c r="R8784" s="205"/>
      <c r="S8784" s="189"/>
      <c r="T8784" s="114"/>
      <c r="U8784" s="21"/>
      <c r="V8784" s="115"/>
      <c r="W8784" s="116"/>
      <c r="X8784" s="220"/>
      <c r="Y8784" s="220">
        <f>X8784*0.1</f>
        <v>0</v>
      </c>
      <c r="Z8784" s="220"/>
      <c r="AA8784" s="220">
        <f>SUM(X8784:Z8784)</f>
        <v>0</v>
      </c>
      <c r="AB8784" s="222"/>
    </row>
    <row r="8785" spans="1:28" ht="17.100000000000001" customHeight="1" thickBot="1">
      <c r="A8785" s="227"/>
      <c r="B8785" s="27" t="s">
        <v>24344</v>
      </c>
      <c r="C8785" s="27">
        <v>83019</v>
      </c>
      <c r="D8785" s="14" t="s">
        <v>24387</v>
      </c>
      <c r="E8785" s="229"/>
      <c r="F8785" s="117" t="s">
        <v>24391</v>
      </c>
      <c r="G8785" s="26">
        <v>23067</v>
      </c>
      <c r="H8785" s="231"/>
      <c r="I8785" s="221"/>
      <c r="J8785" s="221"/>
      <c r="K8785" s="221"/>
      <c r="L8785" s="221"/>
      <c r="M8785" s="221"/>
      <c r="N8785" s="221"/>
      <c r="O8785" s="225"/>
      <c r="P8785" s="118" t="s">
        <v>24829</v>
      </c>
      <c r="Q8785" s="16" t="s">
        <v>20</v>
      </c>
      <c r="R8785" s="17" t="s">
        <v>2377</v>
      </c>
      <c r="S8785" s="121"/>
      <c r="T8785" s="122"/>
      <c r="U8785" s="22"/>
      <c r="V8785" s="123"/>
      <c r="W8785" s="122"/>
      <c r="X8785" s="221"/>
      <c r="Y8785" s="221"/>
      <c r="Z8785" s="221"/>
      <c r="AA8785" s="221"/>
      <c r="AB8785" s="223"/>
    </row>
    <row r="8786" spans="1:28" ht="17.100000000000001" customHeight="1" thickTop="1">
      <c r="A8786" s="233" t="s">
        <v>24312</v>
      </c>
      <c r="B8786" s="28">
        <v>46144</v>
      </c>
      <c r="C8786" s="25">
        <v>1299</v>
      </c>
      <c r="D8786" s="13" t="s">
        <v>24394</v>
      </c>
      <c r="E8786" s="228"/>
      <c r="F8786" s="109" t="s">
        <v>24347</v>
      </c>
      <c r="G8786" s="24"/>
      <c r="H8786" s="230">
        <v>4.5</v>
      </c>
      <c r="I8786" s="220">
        <v>2130000</v>
      </c>
      <c r="J8786" s="220">
        <f>I8786*0.1</f>
        <v>213000</v>
      </c>
      <c r="K8786" s="220">
        <v>0</v>
      </c>
      <c r="L8786" s="220">
        <v>15890</v>
      </c>
      <c r="M8786" s="220">
        <v>12100</v>
      </c>
      <c r="N8786" s="220">
        <f>SUM(I8786:M8787)</f>
        <v>2370990</v>
      </c>
      <c r="O8786" s="224"/>
      <c r="P8786" s="110" t="s">
        <v>24942</v>
      </c>
      <c r="Q8786" s="15" t="s">
        <v>19</v>
      </c>
      <c r="R8786" s="205"/>
      <c r="S8786" s="189" t="s">
        <v>25505</v>
      </c>
      <c r="T8786" s="114" t="s">
        <v>26026</v>
      </c>
      <c r="U8786" s="21"/>
      <c r="V8786" s="115"/>
      <c r="W8786" s="116"/>
      <c r="X8786" s="220"/>
      <c r="Y8786" s="220">
        <f>X8786*0.1</f>
        <v>0</v>
      </c>
      <c r="Z8786" s="220"/>
      <c r="AA8786" s="220">
        <f>SUM(X8786:Z8786)</f>
        <v>0</v>
      </c>
      <c r="AB8786" s="222"/>
    </row>
    <row r="8787" spans="1:28" ht="17.100000000000001" customHeight="1" thickBot="1">
      <c r="A8787" s="234"/>
      <c r="B8787" s="27" t="s">
        <v>24346</v>
      </c>
      <c r="C8787" s="27">
        <v>31154</v>
      </c>
      <c r="D8787" s="14" t="s">
        <v>2559</v>
      </c>
      <c r="E8787" s="229"/>
      <c r="F8787" s="117" t="s">
        <v>24395</v>
      </c>
      <c r="G8787" s="26">
        <v>45099</v>
      </c>
      <c r="H8787" s="231"/>
      <c r="I8787" s="221"/>
      <c r="J8787" s="221"/>
      <c r="K8787" s="221"/>
      <c r="L8787" s="221"/>
      <c r="M8787" s="221"/>
      <c r="N8787" s="221"/>
      <c r="O8787" s="225"/>
      <c r="P8787" s="118" t="s">
        <v>3355</v>
      </c>
      <c r="Q8787" s="16" t="s">
        <v>20</v>
      </c>
      <c r="R8787" s="17" t="s">
        <v>2683</v>
      </c>
      <c r="S8787" s="121" t="s">
        <v>10516</v>
      </c>
      <c r="T8787" s="122"/>
      <c r="U8787" s="22"/>
      <c r="V8787" s="123"/>
      <c r="W8787" s="122"/>
      <c r="X8787" s="221"/>
      <c r="Y8787" s="221"/>
      <c r="Z8787" s="221"/>
      <c r="AA8787" s="221"/>
      <c r="AB8787" s="223"/>
    </row>
    <row r="8788" spans="1:28" ht="17.100000000000001" customHeight="1" thickTop="1">
      <c r="A8788" s="226" t="s">
        <v>24313</v>
      </c>
      <c r="B8788" s="28">
        <v>46144</v>
      </c>
      <c r="C8788" s="25">
        <v>1299</v>
      </c>
      <c r="D8788" s="13" t="s">
        <v>24396</v>
      </c>
      <c r="E8788" s="228"/>
      <c r="F8788" s="109" t="s">
        <v>24348</v>
      </c>
      <c r="G8788" s="24"/>
      <c r="H8788" s="230">
        <v>4</v>
      </c>
      <c r="I8788" s="220">
        <v>1155000</v>
      </c>
      <c r="J8788" s="220">
        <f>I8788*0.1</f>
        <v>115500</v>
      </c>
      <c r="K8788" s="220">
        <v>0</v>
      </c>
      <c r="L8788" s="220">
        <v>8190</v>
      </c>
      <c r="M8788" s="220">
        <v>12100</v>
      </c>
      <c r="N8788" s="220">
        <f>SUM(I8788:M8789)</f>
        <v>1290790</v>
      </c>
      <c r="O8788" s="224"/>
      <c r="P8788" s="110" t="s">
        <v>24939</v>
      </c>
      <c r="Q8788" s="15" t="s">
        <v>19</v>
      </c>
      <c r="R8788" s="205"/>
      <c r="S8788" s="189" t="s">
        <v>25691</v>
      </c>
      <c r="T8788" s="114"/>
      <c r="U8788" s="21"/>
      <c r="V8788" s="115"/>
      <c r="W8788" s="116"/>
      <c r="X8788" s="220"/>
      <c r="Y8788" s="220">
        <f>X8788*0.1</f>
        <v>0</v>
      </c>
      <c r="Z8788" s="220"/>
      <c r="AA8788" s="220">
        <f>SUM(X8788:Z8788)</f>
        <v>0</v>
      </c>
      <c r="AB8788" s="222"/>
    </row>
    <row r="8789" spans="1:28" ht="17.100000000000001" customHeight="1" thickBot="1">
      <c r="A8789" s="227"/>
      <c r="B8789" s="27" t="s">
        <v>24346</v>
      </c>
      <c r="C8789" s="27">
        <v>31297</v>
      </c>
      <c r="D8789" s="14" t="s">
        <v>24365</v>
      </c>
      <c r="E8789" s="229"/>
      <c r="F8789" s="117" t="s">
        <v>24349</v>
      </c>
      <c r="G8789" s="26">
        <v>43042</v>
      </c>
      <c r="H8789" s="231"/>
      <c r="I8789" s="221"/>
      <c r="J8789" s="221"/>
      <c r="K8789" s="221"/>
      <c r="L8789" s="221"/>
      <c r="M8789" s="221"/>
      <c r="N8789" s="221"/>
      <c r="O8789" s="225"/>
      <c r="P8789" s="118" t="s">
        <v>24940</v>
      </c>
      <c r="Q8789" s="16" t="s">
        <v>20</v>
      </c>
      <c r="R8789" s="17" t="s">
        <v>2683</v>
      </c>
      <c r="S8789" s="121" t="s">
        <v>24941</v>
      </c>
      <c r="T8789" s="122"/>
      <c r="U8789" s="22"/>
      <c r="V8789" s="123"/>
      <c r="W8789" s="122"/>
      <c r="X8789" s="221"/>
      <c r="Y8789" s="221"/>
      <c r="Z8789" s="221"/>
      <c r="AA8789" s="221"/>
      <c r="AB8789" s="223"/>
    </row>
    <row r="8790" spans="1:28" ht="17.100000000000001" customHeight="1" thickTop="1">
      <c r="A8790" s="226" t="s">
        <v>24314</v>
      </c>
      <c r="B8790" s="28">
        <v>46144</v>
      </c>
      <c r="C8790" s="25">
        <v>1299</v>
      </c>
      <c r="D8790" s="13" t="s">
        <v>24397</v>
      </c>
      <c r="E8790" s="228"/>
      <c r="F8790" s="109" t="s">
        <v>24350</v>
      </c>
      <c r="G8790" s="24"/>
      <c r="H8790" s="230">
        <v>4</v>
      </c>
      <c r="I8790" s="220">
        <v>2830000</v>
      </c>
      <c r="J8790" s="220">
        <f>I8790*0.1</f>
        <v>283000</v>
      </c>
      <c r="K8790" s="220">
        <v>0</v>
      </c>
      <c r="L8790" s="220">
        <v>10510</v>
      </c>
      <c r="M8790" s="220">
        <v>12100</v>
      </c>
      <c r="N8790" s="220">
        <f>SUM(I8790:M8791)</f>
        <v>3135610</v>
      </c>
      <c r="O8790" s="224"/>
      <c r="P8790" s="110" t="s">
        <v>24937</v>
      </c>
      <c r="Q8790" s="15" t="s">
        <v>19</v>
      </c>
      <c r="R8790" s="205"/>
      <c r="S8790" s="189" t="s">
        <v>529</v>
      </c>
      <c r="T8790" s="114" t="s">
        <v>24938</v>
      </c>
      <c r="U8790" s="21"/>
      <c r="V8790" s="115">
        <v>46155</v>
      </c>
      <c r="W8790" s="116">
        <v>1016</v>
      </c>
      <c r="X8790" s="220">
        <v>3035000</v>
      </c>
      <c r="Y8790" s="220">
        <f>X8790*0.1</f>
        <v>303500</v>
      </c>
      <c r="Z8790" s="220">
        <v>10510</v>
      </c>
      <c r="AA8790" s="220">
        <f>SUM(X8790:Z8790)</f>
        <v>3349010</v>
      </c>
      <c r="AB8790" s="222">
        <v>46161</v>
      </c>
    </row>
    <row r="8791" spans="1:28" ht="17.100000000000001" customHeight="1" thickBot="1">
      <c r="A8791" s="227"/>
      <c r="B8791" s="27" t="s">
        <v>24346</v>
      </c>
      <c r="C8791" s="27">
        <v>31345</v>
      </c>
      <c r="D8791" s="14" t="s">
        <v>24365</v>
      </c>
      <c r="E8791" s="229"/>
      <c r="F8791" s="117" t="s">
        <v>24351</v>
      </c>
      <c r="G8791" s="26">
        <v>45490</v>
      </c>
      <c r="H8791" s="231"/>
      <c r="I8791" s="221"/>
      <c r="J8791" s="221"/>
      <c r="K8791" s="221"/>
      <c r="L8791" s="221"/>
      <c r="M8791" s="221"/>
      <c r="N8791" s="221"/>
      <c r="O8791" s="225"/>
      <c r="P8791" s="118" t="s">
        <v>2615</v>
      </c>
      <c r="Q8791" s="16" t="s">
        <v>20</v>
      </c>
      <c r="R8791" s="17" t="s">
        <v>2683</v>
      </c>
      <c r="S8791" s="121" t="s">
        <v>26223</v>
      </c>
      <c r="T8791" s="122"/>
      <c r="U8791" s="22"/>
      <c r="V8791" s="123" t="s">
        <v>2747</v>
      </c>
      <c r="W8791" s="122">
        <v>5041</v>
      </c>
      <c r="X8791" s="221"/>
      <c r="Y8791" s="221"/>
      <c r="Z8791" s="221"/>
      <c r="AA8791" s="221"/>
      <c r="AB8791" s="223"/>
    </row>
    <row r="8792" spans="1:28" ht="17.100000000000001" customHeight="1" thickTop="1">
      <c r="A8792" s="226" t="s">
        <v>24315</v>
      </c>
      <c r="B8792" s="28">
        <v>46144</v>
      </c>
      <c r="C8792" s="25">
        <v>1299</v>
      </c>
      <c r="D8792" s="13" t="s">
        <v>24398</v>
      </c>
      <c r="E8792" s="228"/>
      <c r="F8792" s="109" t="s">
        <v>24352</v>
      </c>
      <c r="G8792" s="24"/>
      <c r="H8792" s="230">
        <v>4.5</v>
      </c>
      <c r="I8792" s="220">
        <v>1105000</v>
      </c>
      <c r="J8792" s="220">
        <f>I8792*0.1</f>
        <v>110500</v>
      </c>
      <c r="K8792" s="220">
        <v>0</v>
      </c>
      <c r="L8792" s="220">
        <v>9810</v>
      </c>
      <c r="M8792" s="220">
        <v>13200</v>
      </c>
      <c r="N8792" s="220">
        <f>SUM(I8792:M8793)</f>
        <v>1238510</v>
      </c>
      <c r="O8792" s="224"/>
      <c r="P8792" s="110" t="s">
        <v>24945</v>
      </c>
      <c r="Q8792" s="15" t="s">
        <v>19</v>
      </c>
      <c r="R8792" s="205"/>
      <c r="S8792" s="189" t="s">
        <v>25989</v>
      </c>
      <c r="T8792" s="114"/>
      <c r="U8792" s="21"/>
      <c r="V8792" s="115">
        <v>46158</v>
      </c>
      <c r="W8792" s="116">
        <v>1300</v>
      </c>
      <c r="X8792" s="220">
        <v>1195000</v>
      </c>
      <c r="Y8792" s="220">
        <f>X8792*0.1</f>
        <v>119500</v>
      </c>
      <c r="Z8792" s="220">
        <v>9810</v>
      </c>
      <c r="AA8792" s="220">
        <f>SUM(X8792:Z8792)</f>
        <v>1324310</v>
      </c>
      <c r="AB8792" s="222">
        <v>46161</v>
      </c>
    </row>
    <row r="8793" spans="1:28" ht="17.100000000000001" customHeight="1" thickBot="1">
      <c r="A8793" s="227"/>
      <c r="B8793" s="27" t="s">
        <v>24346</v>
      </c>
      <c r="C8793" s="27">
        <v>35018</v>
      </c>
      <c r="D8793" s="14" t="s">
        <v>2559</v>
      </c>
      <c r="E8793" s="229"/>
      <c r="F8793" s="117" t="s">
        <v>24353</v>
      </c>
      <c r="G8793" s="26">
        <v>37797</v>
      </c>
      <c r="H8793" s="231"/>
      <c r="I8793" s="221"/>
      <c r="J8793" s="221"/>
      <c r="K8793" s="221"/>
      <c r="L8793" s="221"/>
      <c r="M8793" s="221"/>
      <c r="N8793" s="221"/>
      <c r="O8793" s="225"/>
      <c r="P8793" s="118" t="s">
        <v>24946</v>
      </c>
      <c r="Q8793" s="16" t="s">
        <v>20</v>
      </c>
      <c r="R8793" s="17" t="s">
        <v>2683</v>
      </c>
      <c r="S8793" s="121" t="s">
        <v>24947</v>
      </c>
      <c r="T8793" s="122"/>
      <c r="U8793" s="22"/>
      <c r="V8793" s="123" t="s">
        <v>2472</v>
      </c>
      <c r="W8793" s="122">
        <v>55112</v>
      </c>
      <c r="X8793" s="221"/>
      <c r="Y8793" s="221"/>
      <c r="Z8793" s="221"/>
      <c r="AA8793" s="221"/>
      <c r="AB8793" s="223"/>
    </row>
    <row r="8794" spans="1:28" ht="17.100000000000001" customHeight="1" thickTop="1">
      <c r="A8794" s="226" t="s">
        <v>24316</v>
      </c>
      <c r="B8794" s="28">
        <v>46144</v>
      </c>
      <c r="C8794" s="25">
        <v>1299</v>
      </c>
      <c r="D8794" s="13" t="s">
        <v>24399</v>
      </c>
      <c r="E8794" s="228"/>
      <c r="F8794" s="109" t="s">
        <v>24354</v>
      </c>
      <c r="G8794" s="24" t="s">
        <v>24400</v>
      </c>
      <c r="H8794" s="230">
        <v>4</v>
      </c>
      <c r="I8794" s="220">
        <v>3415000</v>
      </c>
      <c r="J8794" s="220">
        <f>I8794*0.1</f>
        <v>341500</v>
      </c>
      <c r="K8794" s="220">
        <v>53130</v>
      </c>
      <c r="L8794" s="220">
        <v>15210</v>
      </c>
      <c r="M8794" s="220">
        <v>12100</v>
      </c>
      <c r="N8794" s="220">
        <f>SUM(I8794:M8795)</f>
        <v>3836940</v>
      </c>
      <c r="O8794" s="224"/>
      <c r="P8794" s="110" t="s">
        <v>24401</v>
      </c>
      <c r="Q8794" s="15" t="s">
        <v>19</v>
      </c>
      <c r="R8794" s="205"/>
      <c r="S8794" s="189" t="s">
        <v>25990</v>
      </c>
      <c r="T8794" s="114"/>
      <c r="U8794" s="21" t="s">
        <v>26258</v>
      </c>
      <c r="V8794" s="115"/>
      <c r="W8794" s="116"/>
      <c r="X8794" s="220"/>
      <c r="Y8794" s="220">
        <f>X8794*0.1</f>
        <v>0</v>
      </c>
      <c r="Z8794" s="220"/>
      <c r="AA8794" s="220">
        <f>SUM(X8794:Z8794)</f>
        <v>0</v>
      </c>
      <c r="AB8794" s="222"/>
    </row>
    <row r="8795" spans="1:28" ht="17.100000000000001" customHeight="1" thickBot="1">
      <c r="A8795" s="227"/>
      <c r="B8795" s="27" t="s">
        <v>24346</v>
      </c>
      <c r="C8795" s="27">
        <v>37301</v>
      </c>
      <c r="D8795" s="14" t="s">
        <v>24365</v>
      </c>
      <c r="E8795" s="229"/>
      <c r="F8795" s="117" t="s">
        <v>24355</v>
      </c>
      <c r="G8795" s="26">
        <v>112831</v>
      </c>
      <c r="H8795" s="231"/>
      <c r="I8795" s="221"/>
      <c r="J8795" s="221"/>
      <c r="K8795" s="221"/>
      <c r="L8795" s="221"/>
      <c r="M8795" s="221"/>
      <c r="N8795" s="221"/>
      <c r="O8795" s="225"/>
      <c r="P8795" s="118" t="s">
        <v>24943</v>
      </c>
      <c r="Q8795" s="16" t="s">
        <v>20</v>
      </c>
      <c r="R8795" s="17" t="s">
        <v>2683</v>
      </c>
      <c r="S8795" s="121" t="s">
        <v>24944</v>
      </c>
      <c r="T8795" s="122"/>
      <c r="U8795" s="22"/>
      <c r="V8795" s="123"/>
      <c r="W8795" s="122"/>
      <c r="X8795" s="221"/>
      <c r="Y8795" s="221"/>
      <c r="Z8795" s="221"/>
      <c r="AA8795" s="221"/>
      <c r="AB8795" s="223"/>
    </row>
    <row r="8796" spans="1:28" ht="17.100000000000001" customHeight="1" thickTop="1">
      <c r="A8796" s="226" t="s">
        <v>24317</v>
      </c>
      <c r="B8796" s="28">
        <v>46144</v>
      </c>
      <c r="C8796" s="25">
        <v>1299</v>
      </c>
      <c r="D8796" s="13" t="s">
        <v>24402</v>
      </c>
      <c r="E8796" s="228"/>
      <c r="F8796" s="109" t="s">
        <v>24403</v>
      </c>
      <c r="G8796" s="24"/>
      <c r="H8796" s="230">
        <v>4</v>
      </c>
      <c r="I8796" s="220">
        <v>1240000</v>
      </c>
      <c r="J8796" s="220">
        <f>I8796*0.1</f>
        <v>124000</v>
      </c>
      <c r="K8796" s="220">
        <v>0</v>
      </c>
      <c r="L8796" s="220">
        <v>22240</v>
      </c>
      <c r="M8796" s="220">
        <v>22000</v>
      </c>
      <c r="N8796" s="220">
        <f>SUM(I8796:M8797)</f>
        <v>1408240</v>
      </c>
      <c r="O8796" s="224"/>
      <c r="P8796" s="110" t="s">
        <v>24948</v>
      </c>
      <c r="Q8796" s="15" t="s">
        <v>19</v>
      </c>
      <c r="R8796" s="205"/>
      <c r="S8796" s="189" t="s">
        <v>25386</v>
      </c>
      <c r="T8796" s="114"/>
      <c r="U8796" s="21"/>
      <c r="V8796" s="115"/>
      <c r="W8796" s="116"/>
      <c r="X8796" s="220"/>
      <c r="Y8796" s="220">
        <f>X8796*0.1</f>
        <v>0</v>
      </c>
      <c r="Z8796" s="220"/>
      <c r="AA8796" s="220">
        <f>SUM(X8796:Z8796)</f>
        <v>0</v>
      </c>
      <c r="AB8796" s="222"/>
    </row>
    <row r="8797" spans="1:28" ht="17.100000000000001" customHeight="1" thickBot="1">
      <c r="A8797" s="227"/>
      <c r="B8797" s="27" t="s">
        <v>24346</v>
      </c>
      <c r="C8797" s="27">
        <v>81042</v>
      </c>
      <c r="D8797" s="14" t="s">
        <v>24379</v>
      </c>
      <c r="E8797" s="229"/>
      <c r="F8797" s="117" t="s">
        <v>24404</v>
      </c>
      <c r="G8797" s="26">
        <v>29427</v>
      </c>
      <c r="H8797" s="231"/>
      <c r="I8797" s="221"/>
      <c r="J8797" s="221"/>
      <c r="K8797" s="221"/>
      <c r="L8797" s="221"/>
      <c r="M8797" s="221"/>
      <c r="N8797" s="221"/>
      <c r="O8797" s="225"/>
      <c r="P8797" s="118" t="s">
        <v>3355</v>
      </c>
      <c r="Q8797" s="16" t="s">
        <v>20</v>
      </c>
      <c r="R8797" s="17" t="s">
        <v>2683</v>
      </c>
      <c r="S8797" s="121" t="s">
        <v>24949</v>
      </c>
      <c r="T8797" s="122"/>
      <c r="U8797" s="22"/>
      <c r="V8797" s="123"/>
      <c r="W8797" s="122"/>
      <c r="X8797" s="221"/>
      <c r="Y8797" s="221"/>
      <c r="Z8797" s="221"/>
      <c r="AA8797" s="221"/>
      <c r="AB8797" s="223"/>
    </row>
    <row r="8798" spans="1:28" ht="17.100000000000001" customHeight="1" thickTop="1">
      <c r="A8798" s="226" t="s">
        <v>24318</v>
      </c>
      <c r="B8798" s="28">
        <v>46144</v>
      </c>
      <c r="C8798" s="25">
        <v>1299</v>
      </c>
      <c r="D8798" s="13" t="s">
        <v>24405</v>
      </c>
      <c r="E8798" s="228"/>
      <c r="F8798" s="109" t="s">
        <v>24356</v>
      </c>
      <c r="G8798" s="24" t="s">
        <v>24407</v>
      </c>
      <c r="H8798" s="230">
        <v>4</v>
      </c>
      <c r="I8798" s="220">
        <v>1715000</v>
      </c>
      <c r="J8798" s="220">
        <f>I8798*0.1</f>
        <v>171500</v>
      </c>
      <c r="K8798" s="220">
        <v>33000</v>
      </c>
      <c r="L8798" s="220">
        <v>18890</v>
      </c>
      <c r="M8798" s="220">
        <v>22000</v>
      </c>
      <c r="N8798" s="220">
        <f>SUM(I8798:M8799)</f>
        <v>1960390</v>
      </c>
      <c r="O8798" s="224"/>
      <c r="P8798" s="110" t="s">
        <v>24408</v>
      </c>
      <c r="Q8798" s="15" t="s">
        <v>19</v>
      </c>
      <c r="R8798" s="205"/>
      <c r="S8798" s="189" t="s">
        <v>25991</v>
      </c>
      <c r="T8798" s="114"/>
      <c r="U8798" s="21" t="s">
        <v>25211</v>
      </c>
      <c r="V8798" s="115"/>
      <c r="W8798" s="116"/>
      <c r="X8798" s="220"/>
      <c r="Y8798" s="220">
        <f>X8798*0.1</f>
        <v>0</v>
      </c>
      <c r="Z8798" s="220"/>
      <c r="AA8798" s="220">
        <f>SUM(X8798:Z8798)</f>
        <v>0</v>
      </c>
      <c r="AB8798" s="222"/>
    </row>
    <row r="8799" spans="1:28" ht="17.100000000000001" customHeight="1" thickBot="1">
      <c r="A8799" s="227"/>
      <c r="B8799" s="27" t="s">
        <v>24346</v>
      </c>
      <c r="C8799" s="27">
        <v>81058</v>
      </c>
      <c r="D8799" s="14" t="s">
        <v>24387</v>
      </c>
      <c r="E8799" s="229"/>
      <c r="F8799" s="117" t="s">
        <v>24406</v>
      </c>
      <c r="G8799" s="26">
        <v>60273</v>
      </c>
      <c r="H8799" s="231"/>
      <c r="I8799" s="221"/>
      <c r="J8799" s="221"/>
      <c r="K8799" s="221"/>
      <c r="L8799" s="221"/>
      <c r="M8799" s="221"/>
      <c r="N8799" s="221"/>
      <c r="O8799" s="225"/>
      <c r="P8799" s="118" t="s">
        <v>2287</v>
      </c>
      <c r="Q8799" s="16" t="s">
        <v>20</v>
      </c>
      <c r="R8799" s="17" t="s">
        <v>2683</v>
      </c>
      <c r="S8799" s="121" t="s">
        <v>24950</v>
      </c>
      <c r="T8799" s="122"/>
      <c r="U8799" s="22"/>
      <c r="V8799" s="123"/>
      <c r="W8799" s="122"/>
      <c r="X8799" s="221"/>
      <c r="Y8799" s="221"/>
      <c r="Z8799" s="221"/>
      <c r="AA8799" s="221"/>
      <c r="AB8799" s="223"/>
    </row>
    <row r="8800" spans="1:28" ht="17.100000000000001" customHeight="1" thickTop="1">
      <c r="A8800" s="226" t="s">
        <v>24319</v>
      </c>
      <c r="B8800" s="28">
        <v>46144</v>
      </c>
      <c r="C8800" s="25">
        <v>1299</v>
      </c>
      <c r="D8800" s="13" t="s">
        <v>24399</v>
      </c>
      <c r="E8800" s="228"/>
      <c r="F8800" s="109" t="s">
        <v>24357</v>
      </c>
      <c r="G8800" s="24" t="s">
        <v>24400</v>
      </c>
      <c r="H8800" s="230">
        <v>4</v>
      </c>
      <c r="I8800" s="220">
        <v>1760000</v>
      </c>
      <c r="J8800" s="220">
        <f>I8800*0.1</f>
        <v>176000</v>
      </c>
      <c r="K8800" s="220">
        <v>60940</v>
      </c>
      <c r="L8800" s="220">
        <v>14840</v>
      </c>
      <c r="M8800" s="220">
        <v>22000</v>
      </c>
      <c r="N8800" s="220">
        <f>SUM(I8800:M8801)</f>
        <v>2033780</v>
      </c>
      <c r="O8800" s="224"/>
      <c r="P8800" s="110" t="s">
        <v>24410</v>
      </c>
      <c r="Q8800" s="15" t="s">
        <v>19</v>
      </c>
      <c r="R8800" s="205"/>
      <c r="S8800" s="189" t="s">
        <v>25992</v>
      </c>
      <c r="T8800" s="114"/>
      <c r="U8800" s="21" t="s">
        <v>25210</v>
      </c>
      <c r="V8800" s="115"/>
      <c r="W8800" s="116"/>
      <c r="X8800" s="220"/>
      <c r="Y8800" s="220">
        <f>X8800*0.1</f>
        <v>0</v>
      </c>
      <c r="Z8800" s="220"/>
      <c r="AA8800" s="220">
        <f>SUM(X8800:Z8800)</f>
        <v>0</v>
      </c>
      <c r="AB8800" s="222"/>
    </row>
    <row r="8801" spans="1:28" ht="17.100000000000001" customHeight="1" thickBot="1">
      <c r="A8801" s="227"/>
      <c r="B8801" s="27" t="s">
        <v>24346</v>
      </c>
      <c r="C8801" s="27">
        <v>82138</v>
      </c>
      <c r="D8801" s="14" t="s">
        <v>1710</v>
      </c>
      <c r="E8801" s="229"/>
      <c r="F8801" s="117" t="s">
        <v>24409</v>
      </c>
      <c r="G8801" s="26">
        <v>72183</v>
      </c>
      <c r="H8801" s="231"/>
      <c r="I8801" s="221"/>
      <c r="J8801" s="221"/>
      <c r="K8801" s="221"/>
      <c r="L8801" s="221"/>
      <c r="M8801" s="221"/>
      <c r="N8801" s="221"/>
      <c r="O8801" s="225"/>
      <c r="P8801" s="118" t="s">
        <v>24951</v>
      </c>
      <c r="Q8801" s="16" t="s">
        <v>20</v>
      </c>
      <c r="R8801" s="17" t="s">
        <v>2683</v>
      </c>
      <c r="S8801" s="121" t="s">
        <v>24952</v>
      </c>
      <c r="T8801" s="122"/>
      <c r="U8801" s="22"/>
      <c r="V8801" s="123"/>
      <c r="W8801" s="122"/>
      <c r="X8801" s="221"/>
      <c r="Y8801" s="221"/>
      <c r="Z8801" s="221"/>
      <c r="AA8801" s="221"/>
      <c r="AB8801" s="223"/>
    </row>
    <row r="8802" spans="1:28" ht="17.100000000000001" customHeight="1" thickTop="1">
      <c r="A8802" s="226" t="s">
        <v>24320</v>
      </c>
      <c r="B8802" s="28">
        <v>46144</v>
      </c>
      <c r="C8802" s="25">
        <v>1299</v>
      </c>
      <c r="D8802" s="13" t="s">
        <v>24396</v>
      </c>
      <c r="E8802" s="228"/>
      <c r="F8802" s="109" t="s">
        <v>24358</v>
      </c>
      <c r="G8802" s="24" t="s">
        <v>24412</v>
      </c>
      <c r="H8802" s="230">
        <v>4.5</v>
      </c>
      <c r="I8802" s="220">
        <v>1935000</v>
      </c>
      <c r="J8802" s="220">
        <f>I8802*0.1</f>
        <v>193500</v>
      </c>
      <c r="K8802" s="220">
        <v>33000</v>
      </c>
      <c r="L8802" s="220">
        <v>20150</v>
      </c>
      <c r="M8802" s="220">
        <v>22000</v>
      </c>
      <c r="N8802" s="220">
        <f>SUM(I8802:M8803)</f>
        <v>2203650</v>
      </c>
      <c r="O8802" s="224"/>
      <c r="P8802" s="110" t="s">
        <v>24413</v>
      </c>
      <c r="Q8802" s="15" t="s">
        <v>19</v>
      </c>
      <c r="R8802" s="205"/>
      <c r="S8802" s="189" t="s">
        <v>25993</v>
      </c>
      <c r="T8802" s="114"/>
      <c r="U8802" s="21"/>
      <c r="V8802" s="115">
        <v>46158</v>
      </c>
      <c r="W8802" s="116">
        <v>1300</v>
      </c>
      <c r="X8802" s="220">
        <v>2045000</v>
      </c>
      <c r="Y8802" s="220">
        <f>X8802*0.1</f>
        <v>204500</v>
      </c>
      <c r="Z8802" s="220">
        <v>20150</v>
      </c>
      <c r="AA8802" s="220">
        <f>SUM(X8802:Z8802)</f>
        <v>2269650</v>
      </c>
      <c r="AB8802" s="222">
        <v>46161</v>
      </c>
    </row>
    <row r="8803" spans="1:28" ht="17.100000000000001" customHeight="1" thickBot="1">
      <c r="A8803" s="227"/>
      <c r="B8803" s="27" t="s">
        <v>24346</v>
      </c>
      <c r="C8803" s="27">
        <v>82228</v>
      </c>
      <c r="D8803" s="14" t="s">
        <v>24379</v>
      </c>
      <c r="E8803" s="229"/>
      <c r="F8803" s="117" t="s">
        <v>24411</v>
      </c>
      <c r="G8803" s="26">
        <v>47670</v>
      </c>
      <c r="H8803" s="231"/>
      <c r="I8803" s="221"/>
      <c r="J8803" s="221"/>
      <c r="K8803" s="221"/>
      <c r="L8803" s="221"/>
      <c r="M8803" s="221"/>
      <c r="N8803" s="221"/>
      <c r="O8803" s="225"/>
      <c r="P8803" s="118" t="s">
        <v>1647</v>
      </c>
      <c r="Q8803" s="16" t="s">
        <v>20</v>
      </c>
      <c r="R8803" s="17" t="s">
        <v>2683</v>
      </c>
      <c r="S8803" s="121" t="s">
        <v>2166</v>
      </c>
      <c r="T8803" s="122"/>
      <c r="U8803" s="22"/>
      <c r="V8803" s="123" t="s">
        <v>2472</v>
      </c>
      <c r="W8803" s="122">
        <v>80124</v>
      </c>
      <c r="X8803" s="221"/>
      <c r="Y8803" s="221"/>
      <c r="Z8803" s="221"/>
      <c r="AA8803" s="221"/>
      <c r="AB8803" s="223"/>
    </row>
    <row r="8804" spans="1:28" ht="17.100000000000001" customHeight="1" thickTop="1">
      <c r="A8804" s="226" t="s">
        <v>24321</v>
      </c>
      <c r="B8804" s="28">
        <v>46144</v>
      </c>
      <c r="C8804" s="25">
        <v>1299</v>
      </c>
      <c r="D8804" s="13" t="s">
        <v>24414</v>
      </c>
      <c r="E8804" s="228"/>
      <c r="F8804" s="109" t="s">
        <v>24359</v>
      </c>
      <c r="G8804" s="24" t="s">
        <v>24407</v>
      </c>
      <c r="H8804" s="230">
        <v>4.5</v>
      </c>
      <c r="I8804" s="220">
        <v>505000</v>
      </c>
      <c r="J8804" s="220">
        <f>I8804*0.1</f>
        <v>50500</v>
      </c>
      <c r="K8804" s="220">
        <v>31570</v>
      </c>
      <c r="L8804" s="220">
        <v>17940</v>
      </c>
      <c r="M8804" s="220">
        <v>22000</v>
      </c>
      <c r="N8804" s="220">
        <f>SUM(I8804:M8805)</f>
        <v>627010</v>
      </c>
      <c r="O8804" s="224"/>
      <c r="P8804" s="110" t="s">
        <v>24416</v>
      </c>
      <c r="Q8804" s="15" t="s">
        <v>19</v>
      </c>
      <c r="R8804" s="205"/>
      <c r="S8804" s="189" t="s">
        <v>25507</v>
      </c>
      <c r="T8804" s="114"/>
      <c r="U8804" s="21"/>
      <c r="V8804" s="115">
        <v>46165</v>
      </c>
      <c r="W8804" s="116">
        <v>1301</v>
      </c>
      <c r="X8804" s="220">
        <v>700000</v>
      </c>
      <c r="Y8804" s="220">
        <f>X8804*0.1</f>
        <v>70000</v>
      </c>
      <c r="Z8804" s="220">
        <v>179400</v>
      </c>
      <c r="AA8804" s="220">
        <f>SUM(X8804:Z8804)</f>
        <v>949400</v>
      </c>
      <c r="AB8804" s="222">
        <v>46168</v>
      </c>
    </row>
    <row r="8805" spans="1:28" ht="17.100000000000001" customHeight="1" thickBot="1">
      <c r="A8805" s="227"/>
      <c r="B8805" s="27" t="s">
        <v>24346</v>
      </c>
      <c r="C8805" s="27">
        <v>82229</v>
      </c>
      <c r="D8805" s="14" t="s">
        <v>24377</v>
      </c>
      <c r="E8805" s="229"/>
      <c r="F8805" s="117" t="s">
        <v>24415</v>
      </c>
      <c r="G8805" s="26">
        <v>14897</v>
      </c>
      <c r="H8805" s="231"/>
      <c r="I8805" s="221"/>
      <c r="J8805" s="221"/>
      <c r="K8805" s="221"/>
      <c r="L8805" s="221"/>
      <c r="M8805" s="221"/>
      <c r="N8805" s="221"/>
      <c r="O8805" s="225"/>
      <c r="P8805" s="118" t="s">
        <v>24953</v>
      </c>
      <c r="Q8805" s="16" t="s">
        <v>20</v>
      </c>
      <c r="R8805" s="17" t="s">
        <v>2683</v>
      </c>
      <c r="S8805" s="121" t="s">
        <v>24954</v>
      </c>
      <c r="T8805" s="122"/>
      <c r="U8805" s="22"/>
      <c r="V8805" s="123" t="s">
        <v>2472</v>
      </c>
      <c r="W8805" s="122">
        <v>80060</v>
      </c>
      <c r="X8805" s="221"/>
      <c r="Y8805" s="221"/>
      <c r="Z8805" s="221"/>
      <c r="AA8805" s="221"/>
      <c r="AB8805" s="223"/>
    </row>
    <row r="8806" spans="1:28" ht="17.100000000000001" customHeight="1" thickTop="1">
      <c r="A8806" s="226" t="s">
        <v>24504</v>
      </c>
      <c r="B8806" s="28">
        <v>46150</v>
      </c>
      <c r="C8806" s="25"/>
      <c r="D8806" s="13" t="s">
        <v>894</v>
      </c>
      <c r="E8806" s="228"/>
      <c r="F8806" s="109" t="s">
        <v>24496</v>
      </c>
      <c r="G8806" s="24" t="s">
        <v>4038</v>
      </c>
      <c r="H8806" s="230">
        <v>4</v>
      </c>
      <c r="I8806" s="220">
        <v>574000</v>
      </c>
      <c r="J8806" s="220">
        <f>I8806*0.1</f>
        <v>57400</v>
      </c>
      <c r="K8806" s="220">
        <v>29600</v>
      </c>
      <c r="L8806" s="220">
        <v>13010</v>
      </c>
      <c r="M8806" s="220">
        <v>0</v>
      </c>
      <c r="N8806" s="220">
        <f>SUM(I8806:M8807)</f>
        <v>674010</v>
      </c>
      <c r="O8806" s="224"/>
      <c r="P8806" s="110"/>
      <c r="Q8806" s="15" t="s">
        <v>19</v>
      </c>
      <c r="R8806" s="205"/>
      <c r="S8806" s="189" t="s">
        <v>25421</v>
      </c>
      <c r="T8806" s="114"/>
      <c r="U8806" s="21"/>
      <c r="V8806" s="115"/>
      <c r="W8806" s="116"/>
      <c r="X8806" s="220"/>
      <c r="Y8806" s="220">
        <f>X8806*0.1</f>
        <v>0</v>
      </c>
      <c r="Z8806" s="220"/>
      <c r="AA8806" s="220">
        <f>SUM(X8806:Z8806)</f>
        <v>0</v>
      </c>
      <c r="AB8806" s="222"/>
    </row>
    <row r="8807" spans="1:28" ht="17.100000000000001" customHeight="1" thickBot="1">
      <c r="A8807" s="227"/>
      <c r="B8807" s="27" t="s">
        <v>1708</v>
      </c>
      <c r="C8807" s="27" t="s">
        <v>24495</v>
      </c>
      <c r="D8807" s="14" t="s">
        <v>1584</v>
      </c>
      <c r="E8807" s="229"/>
      <c r="F8807" s="117" t="s">
        <v>24497</v>
      </c>
      <c r="G8807" s="26">
        <v>71771</v>
      </c>
      <c r="H8807" s="231"/>
      <c r="I8807" s="221"/>
      <c r="J8807" s="221"/>
      <c r="K8807" s="221"/>
      <c r="L8807" s="221"/>
      <c r="M8807" s="221"/>
      <c r="N8807" s="221"/>
      <c r="O8807" s="225"/>
      <c r="P8807" s="118"/>
      <c r="Q8807" s="16" t="s">
        <v>20</v>
      </c>
      <c r="R8807" s="17"/>
      <c r="S8807" s="121"/>
      <c r="T8807" s="122"/>
      <c r="U8807" s="22"/>
      <c r="V8807" s="123"/>
      <c r="W8807" s="122"/>
      <c r="X8807" s="221"/>
      <c r="Y8807" s="221"/>
      <c r="Z8807" s="221"/>
      <c r="AA8807" s="221"/>
      <c r="AB8807" s="223"/>
    </row>
    <row r="8808" spans="1:28" ht="17.100000000000001" customHeight="1" thickTop="1">
      <c r="A8808" s="226" t="s">
        <v>24505</v>
      </c>
      <c r="B8808" s="28">
        <v>46150</v>
      </c>
      <c r="C8808" s="25"/>
      <c r="D8808" s="13" t="s">
        <v>2652</v>
      </c>
      <c r="E8808" s="228"/>
      <c r="F8808" s="109" t="s">
        <v>12996</v>
      </c>
      <c r="G8808" s="24" t="s">
        <v>2652</v>
      </c>
      <c r="H8808" s="230">
        <v>4.5</v>
      </c>
      <c r="I8808" s="220">
        <v>1965000</v>
      </c>
      <c r="J8808" s="220">
        <f>I8808*0.1</f>
        <v>196500</v>
      </c>
      <c r="K8808" s="220">
        <v>25400</v>
      </c>
      <c r="L8808" s="220">
        <v>6450</v>
      </c>
      <c r="M8808" s="220">
        <v>0</v>
      </c>
      <c r="N8808" s="220">
        <f>SUM(I8808:M8809)</f>
        <v>2193350</v>
      </c>
      <c r="O8808" s="224"/>
      <c r="P8808" s="110"/>
      <c r="Q8808" s="15" t="s">
        <v>19</v>
      </c>
      <c r="R8808" s="205"/>
      <c r="S8808" s="189" t="s">
        <v>25994</v>
      </c>
      <c r="T8808" s="114"/>
      <c r="U8808" s="21"/>
      <c r="V8808" s="115"/>
      <c r="W8808" s="116"/>
      <c r="X8808" s="220"/>
      <c r="Y8808" s="220">
        <f>X8808*0.1</f>
        <v>0</v>
      </c>
      <c r="Z8808" s="220"/>
      <c r="AA8808" s="220">
        <f>SUM(X8808:Z8808)</f>
        <v>0</v>
      </c>
      <c r="AB8808" s="222"/>
    </row>
    <row r="8809" spans="1:28" ht="17.100000000000001" customHeight="1" thickBot="1">
      <c r="A8809" s="227"/>
      <c r="B8809" s="27" t="s">
        <v>1708</v>
      </c>
      <c r="C8809" s="27" t="s">
        <v>24469</v>
      </c>
      <c r="D8809" s="14" t="s">
        <v>2753</v>
      </c>
      <c r="E8809" s="229"/>
      <c r="F8809" s="117" t="s">
        <v>24470</v>
      </c>
      <c r="G8809" s="26">
        <v>12691</v>
      </c>
      <c r="H8809" s="231"/>
      <c r="I8809" s="221"/>
      <c r="J8809" s="221"/>
      <c r="K8809" s="221"/>
      <c r="L8809" s="221"/>
      <c r="M8809" s="221"/>
      <c r="N8809" s="221"/>
      <c r="O8809" s="225"/>
      <c r="P8809" s="118"/>
      <c r="Q8809" s="16" t="s">
        <v>20</v>
      </c>
      <c r="R8809" s="17"/>
      <c r="S8809" s="121"/>
      <c r="T8809" s="122"/>
      <c r="U8809" s="22"/>
      <c r="V8809" s="123"/>
      <c r="W8809" s="122"/>
      <c r="X8809" s="221"/>
      <c r="Y8809" s="221"/>
      <c r="Z8809" s="221"/>
      <c r="AA8809" s="221"/>
      <c r="AB8809" s="223"/>
    </row>
    <row r="8810" spans="1:28" ht="17.100000000000001" customHeight="1" thickTop="1">
      <c r="A8810" s="226" t="s">
        <v>24506</v>
      </c>
      <c r="B8810" s="28">
        <v>46150</v>
      </c>
      <c r="C8810" s="25"/>
      <c r="D8810" s="13" t="s">
        <v>2422</v>
      </c>
      <c r="E8810" s="228"/>
      <c r="F8810" s="109" t="s">
        <v>24472</v>
      </c>
      <c r="G8810" s="24" t="s">
        <v>4025</v>
      </c>
      <c r="H8810" s="230">
        <v>4</v>
      </c>
      <c r="I8810" s="220">
        <v>1630000</v>
      </c>
      <c r="J8810" s="220">
        <f>I8810*0.1</f>
        <v>163000</v>
      </c>
      <c r="K8810" s="220">
        <v>37500</v>
      </c>
      <c r="L8810" s="220">
        <v>12860</v>
      </c>
      <c r="M8810" s="220">
        <v>0</v>
      </c>
      <c r="N8810" s="220">
        <f>SUM(I8810:M8811)</f>
        <v>1843360</v>
      </c>
      <c r="O8810" s="224"/>
      <c r="P8810" s="110"/>
      <c r="Q8810" s="15" t="s">
        <v>19</v>
      </c>
      <c r="R8810" s="205"/>
      <c r="S8810" s="189" t="s">
        <v>25446</v>
      </c>
      <c r="T8810" s="114"/>
      <c r="U8810" s="21"/>
      <c r="V8810" s="115"/>
      <c r="W8810" s="116"/>
      <c r="X8810" s="220"/>
      <c r="Y8810" s="220">
        <f>X8810*0.1</f>
        <v>0</v>
      </c>
      <c r="Z8810" s="220"/>
      <c r="AA8810" s="220">
        <f>SUM(X8810:Z8810)</f>
        <v>0</v>
      </c>
      <c r="AB8810" s="222"/>
    </row>
    <row r="8811" spans="1:28" ht="17.100000000000001" customHeight="1" thickBot="1">
      <c r="A8811" s="227"/>
      <c r="B8811" s="27" t="s">
        <v>1708</v>
      </c>
      <c r="C8811" s="27" t="s">
        <v>24471</v>
      </c>
      <c r="D8811" s="14" t="s">
        <v>24498</v>
      </c>
      <c r="E8811" s="229"/>
      <c r="F8811" s="117" t="s">
        <v>24473</v>
      </c>
      <c r="G8811" s="26">
        <v>48094</v>
      </c>
      <c r="H8811" s="231"/>
      <c r="I8811" s="221"/>
      <c r="J8811" s="221"/>
      <c r="K8811" s="221"/>
      <c r="L8811" s="221"/>
      <c r="M8811" s="221"/>
      <c r="N8811" s="221"/>
      <c r="O8811" s="225"/>
      <c r="P8811" s="118"/>
      <c r="Q8811" s="16" t="s">
        <v>20</v>
      </c>
      <c r="R8811" s="17"/>
      <c r="S8811" s="121"/>
      <c r="T8811" s="122"/>
      <c r="U8811" s="22"/>
      <c r="V8811" s="123"/>
      <c r="W8811" s="122"/>
      <c r="X8811" s="221"/>
      <c r="Y8811" s="221"/>
      <c r="Z8811" s="221"/>
      <c r="AA8811" s="221"/>
      <c r="AB8811" s="223"/>
    </row>
    <row r="8812" spans="1:28" ht="17.100000000000001" customHeight="1" thickTop="1">
      <c r="A8812" s="226" t="s">
        <v>24507</v>
      </c>
      <c r="B8812" s="28">
        <v>46150</v>
      </c>
      <c r="C8812" s="25"/>
      <c r="D8812" s="13" t="s">
        <v>2866</v>
      </c>
      <c r="E8812" s="228"/>
      <c r="F8812" s="109" t="s">
        <v>24475</v>
      </c>
      <c r="G8812" s="24" t="s">
        <v>2038</v>
      </c>
      <c r="H8812" s="230">
        <v>4</v>
      </c>
      <c r="I8812" s="220">
        <v>3505000</v>
      </c>
      <c r="J8812" s="220">
        <f>I8812*0.1</f>
        <v>350500</v>
      </c>
      <c r="K8812" s="220">
        <v>37500</v>
      </c>
      <c r="L8812" s="220">
        <v>16550</v>
      </c>
      <c r="M8812" s="220">
        <v>0</v>
      </c>
      <c r="N8812" s="220">
        <f>SUM(I8812:M8813)</f>
        <v>3909550</v>
      </c>
      <c r="O8812" s="224"/>
      <c r="P8812" s="110" t="s">
        <v>26183</v>
      </c>
      <c r="Q8812" s="15" t="s">
        <v>19</v>
      </c>
      <c r="R8812" s="205"/>
      <c r="S8812" s="189" t="s">
        <v>25386</v>
      </c>
      <c r="T8812" s="114"/>
      <c r="U8812" s="21"/>
      <c r="V8812" s="115"/>
      <c r="W8812" s="116"/>
      <c r="X8812" s="220"/>
      <c r="Y8812" s="220">
        <f>X8812*0.1</f>
        <v>0</v>
      </c>
      <c r="Z8812" s="220"/>
      <c r="AA8812" s="220">
        <f>SUM(X8812:Z8812)</f>
        <v>0</v>
      </c>
      <c r="AB8812" s="222"/>
    </row>
    <row r="8813" spans="1:28" ht="17.100000000000001" customHeight="1" thickBot="1">
      <c r="A8813" s="227"/>
      <c r="B8813" s="27" t="s">
        <v>1708</v>
      </c>
      <c r="C8813" s="27" t="s">
        <v>24474</v>
      </c>
      <c r="D8813" s="14" t="s">
        <v>273</v>
      </c>
      <c r="E8813" s="229"/>
      <c r="F8813" s="117" t="s">
        <v>24476</v>
      </c>
      <c r="G8813" s="26">
        <v>38217</v>
      </c>
      <c r="H8813" s="231"/>
      <c r="I8813" s="221"/>
      <c r="J8813" s="221"/>
      <c r="K8813" s="221"/>
      <c r="L8813" s="221"/>
      <c r="M8813" s="221"/>
      <c r="N8813" s="221"/>
      <c r="O8813" s="225"/>
      <c r="P8813" s="118" t="s">
        <v>26184</v>
      </c>
      <c r="Q8813" s="16" t="s">
        <v>20</v>
      </c>
      <c r="R8813" s="17" t="s">
        <v>2702</v>
      </c>
      <c r="S8813" s="121" t="s">
        <v>26185</v>
      </c>
      <c r="T8813" s="122"/>
      <c r="U8813" s="22"/>
      <c r="V8813" s="123"/>
      <c r="W8813" s="122"/>
      <c r="X8813" s="221"/>
      <c r="Y8813" s="221"/>
      <c r="Z8813" s="221"/>
      <c r="AA8813" s="221"/>
      <c r="AB8813" s="223"/>
    </row>
    <row r="8814" spans="1:28" ht="17.100000000000001" customHeight="1" thickTop="1">
      <c r="A8814" s="226" t="s">
        <v>24508</v>
      </c>
      <c r="B8814" s="28">
        <v>46150</v>
      </c>
      <c r="C8814" s="25"/>
      <c r="D8814" s="13" t="s">
        <v>1704</v>
      </c>
      <c r="E8814" s="228"/>
      <c r="F8814" s="109" t="s">
        <v>24478</v>
      </c>
      <c r="G8814" s="24" t="s">
        <v>6726</v>
      </c>
      <c r="H8814" s="230">
        <v>4</v>
      </c>
      <c r="I8814" s="220">
        <v>2075000</v>
      </c>
      <c r="J8814" s="220">
        <f>I8814*0.1</f>
        <v>207500</v>
      </c>
      <c r="K8814" s="220">
        <v>29000</v>
      </c>
      <c r="L8814" s="220">
        <v>0</v>
      </c>
      <c r="M8814" s="220">
        <v>0</v>
      </c>
      <c r="N8814" s="220">
        <f>SUM(I8814:M8815)</f>
        <v>2311500</v>
      </c>
      <c r="O8814" s="224"/>
      <c r="P8814" s="110"/>
      <c r="Q8814" s="15" t="s">
        <v>19</v>
      </c>
      <c r="R8814" s="205"/>
      <c r="S8814" s="189" t="s">
        <v>25386</v>
      </c>
      <c r="T8814" s="114"/>
      <c r="U8814" s="21"/>
      <c r="V8814" s="115"/>
      <c r="W8814" s="116"/>
      <c r="X8814" s="220"/>
      <c r="Y8814" s="220">
        <f>X8814*0.1</f>
        <v>0</v>
      </c>
      <c r="Z8814" s="220"/>
      <c r="AA8814" s="220">
        <f>SUM(X8814:Z8814)</f>
        <v>0</v>
      </c>
      <c r="AB8814" s="222"/>
    </row>
    <row r="8815" spans="1:28" ht="17.100000000000001" customHeight="1" thickBot="1">
      <c r="A8815" s="227"/>
      <c r="B8815" s="27" t="s">
        <v>1708</v>
      </c>
      <c r="C8815" s="27" t="s">
        <v>24477</v>
      </c>
      <c r="D8815" s="14" t="s">
        <v>21582</v>
      </c>
      <c r="E8815" s="229"/>
      <c r="F8815" s="117" t="s">
        <v>24479</v>
      </c>
      <c r="G8815" s="26">
        <v>45495</v>
      </c>
      <c r="H8815" s="231"/>
      <c r="I8815" s="221"/>
      <c r="J8815" s="221"/>
      <c r="K8815" s="221"/>
      <c r="L8815" s="221"/>
      <c r="M8815" s="221"/>
      <c r="N8815" s="221"/>
      <c r="O8815" s="225"/>
      <c r="P8815" s="118"/>
      <c r="Q8815" s="16" t="s">
        <v>20</v>
      </c>
      <c r="R8815" s="17"/>
      <c r="S8815" s="121"/>
      <c r="T8815" s="122"/>
      <c r="U8815" s="22"/>
      <c r="V8815" s="123"/>
      <c r="W8815" s="122"/>
      <c r="X8815" s="221"/>
      <c r="Y8815" s="221"/>
      <c r="Z8815" s="221"/>
      <c r="AA8815" s="221"/>
      <c r="AB8815" s="223"/>
    </row>
    <row r="8816" spans="1:28" ht="17.100000000000001" customHeight="1" thickTop="1">
      <c r="A8816" s="226" t="s">
        <v>24509</v>
      </c>
      <c r="B8816" s="28">
        <v>46150</v>
      </c>
      <c r="C8816" s="25"/>
      <c r="D8816" s="13" t="s">
        <v>1829</v>
      </c>
      <c r="E8816" s="228"/>
      <c r="F8816" s="109" t="s">
        <v>24481</v>
      </c>
      <c r="G8816" s="24" t="s">
        <v>4315</v>
      </c>
      <c r="H8816" s="230">
        <v>4.5</v>
      </c>
      <c r="I8816" s="220">
        <v>855000</v>
      </c>
      <c r="J8816" s="220">
        <f>I8816*0.1</f>
        <v>85500</v>
      </c>
      <c r="K8816" s="220">
        <v>25400</v>
      </c>
      <c r="L8816" s="220">
        <v>9770</v>
      </c>
      <c r="M8816" s="220">
        <v>0</v>
      </c>
      <c r="N8816" s="220">
        <f>SUM(I8816:M8817)</f>
        <v>975670</v>
      </c>
      <c r="O8816" s="224"/>
      <c r="P8816" s="110" t="s">
        <v>26291</v>
      </c>
      <c r="Q8816" s="15" t="s">
        <v>19</v>
      </c>
      <c r="R8816" s="205"/>
      <c r="S8816" s="189"/>
      <c r="T8816" s="114"/>
      <c r="U8816" s="21"/>
      <c r="V8816" s="115"/>
      <c r="W8816" s="116"/>
      <c r="X8816" s="220"/>
      <c r="Y8816" s="220">
        <f>X8816*0.1</f>
        <v>0</v>
      </c>
      <c r="Z8816" s="220"/>
      <c r="AA8816" s="220">
        <f>SUM(X8816:Z8816)</f>
        <v>0</v>
      </c>
      <c r="AB8816" s="222"/>
    </row>
    <row r="8817" spans="1:28" ht="17.100000000000001" customHeight="1" thickBot="1">
      <c r="A8817" s="227"/>
      <c r="B8817" s="27" t="s">
        <v>1708</v>
      </c>
      <c r="C8817" s="27" t="s">
        <v>24480</v>
      </c>
      <c r="D8817" s="14" t="s">
        <v>1568</v>
      </c>
      <c r="E8817" s="229"/>
      <c r="F8817" s="117" t="s">
        <v>24482</v>
      </c>
      <c r="G8817" s="26">
        <v>56234</v>
      </c>
      <c r="H8817" s="231"/>
      <c r="I8817" s="221"/>
      <c r="J8817" s="221"/>
      <c r="K8817" s="221"/>
      <c r="L8817" s="221"/>
      <c r="M8817" s="221"/>
      <c r="N8817" s="221"/>
      <c r="O8817" s="225"/>
      <c r="P8817" s="118" t="s">
        <v>26292</v>
      </c>
      <c r="Q8817" s="16" t="s">
        <v>20</v>
      </c>
      <c r="R8817" s="17" t="s">
        <v>26278</v>
      </c>
      <c r="S8817" s="121" t="s">
        <v>1731</v>
      </c>
      <c r="T8817" s="122"/>
      <c r="U8817" s="22"/>
      <c r="V8817" s="123"/>
      <c r="W8817" s="122"/>
      <c r="X8817" s="221"/>
      <c r="Y8817" s="221"/>
      <c r="Z8817" s="221"/>
      <c r="AA8817" s="221"/>
      <c r="AB8817" s="223"/>
    </row>
    <row r="8818" spans="1:28" ht="17.100000000000001" customHeight="1" thickTop="1">
      <c r="A8818" s="226" t="s">
        <v>24510</v>
      </c>
      <c r="B8818" s="28">
        <v>46150</v>
      </c>
      <c r="C8818" s="25"/>
      <c r="D8818" s="13" t="s">
        <v>2267</v>
      </c>
      <c r="E8818" s="228"/>
      <c r="F8818" s="109" t="s">
        <v>24484</v>
      </c>
      <c r="G8818" s="24" t="s">
        <v>2530</v>
      </c>
      <c r="H8818" s="230">
        <v>4</v>
      </c>
      <c r="I8818" s="220">
        <v>735000</v>
      </c>
      <c r="J8818" s="220">
        <f>I8818*0.1</f>
        <v>73500</v>
      </c>
      <c r="K8818" s="220">
        <v>0</v>
      </c>
      <c r="L8818" s="220">
        <v>0</v>
      </c>
      <c r="M8818" s="220">
        <v>0</v>
      </c>
      <c r="N8818" s="220">
        <f>SUM(I8818:M8819)</f>
        <v>808500</v>
      </c>
      <c r="O8818" s="224"/>
      <c r="P8818" s="110" t="s">
        <v>26186</v>
      </c>
      <c r="Q8818" s="15" t="s">
        <v>19</v>
      </c>
      <c r="R8818" s="205"/>
      <c r="S8818" s="189" t="s">
        <v>25386</v>
      </c>
      <c r="T8818" s="114"/>
      <c r="U8818" s="21"/>
      <c r="V8818" s="115"/>
      <c r="W8818" s="116"/>
      <c r="X8818" s="220"/>
      <c r="Y8818" s="220">
        <f>X8818*0.1</f>
        <v>0</v>
      </c>
      <c r="Z8818" s="220"/>
      <c r="AA8818" s="220">
        <f>SUM(X8818:Z8818)</f>
        <v>0</v>
      </c>
      <c r="AB8818" s="222"/>
    </row>
    <row r="8819" spans="1:28" ht="17.100000000000001" customHeight="1" thickBot="1">
      <c r="A8819" s="227"/>
      <c r="B8819" s="27" t="s">
        <v>1708</v>
      </c>
      <c r="C8819" s="27" t="s">
        <v>24483</v>
      </c>
      <c r="D8819" s="14" t="s">
        <v>1710</v>
      </c>
      <c r="E8819" s="229"/>
      <c r="F8819" s="117" t="s">
        <v>24485</v>
      </c>
      <c r="G8819" s="26">
        <v>89944</v>
      </c>
      <c r="H8819" s="231"/>
      <c r="I8819" s="221"/>
      <c r="J8819" s="221"/>
      <c r="K8819" s="221"/>
      <c r="L8819" s="221"/>
      <c r="M8819" s="221"/>
      <c r="N8819" s="221"/>
      <c r="O8819" s="225"/>
      <c r="P8819" s="118" t="s">
        <v>26187</v>
      </c>
      <c r="Q8819" s="16" t="s">
        <v>20</v>
      </c>
      <c r="R8819" s="17" t="s">
        <v>2702</v>
      </c>
      <c r="S8819" s="121" t="s">
        <v>1722</v>
      </c>
      <c r="T8819" s="122"/>
      <c r="U8819" s="22"/>
      <c r="V8819" s="123"/>
      <c r="W8819" s="122"/>
      <c r="X8819" s="221"/>
      <c r="Y8819" s="221"/>
      <c r="Z8819" s="221"/>
      <c r="AA8819" s="221"/>
      <c r="AB8819" s="223"/>
    </row>
    <row r="8820" spans="1:28" ht="17.100000000000001" customHeight="1" thickTop="1">
      <c r="A8820" s="226" t="s">
        <v>24511</v>
      </c>
      <c r="B8820" s="28">
        <v>46150</v>
      </c>
      <c r="C8820" s="25"/>
      <c r="D8820" s="13" t="s">
        <v>1685</v>
      </c>
      <c r="E8820" s="228"/>
      <c r="F8820" s="109" t="s">
        <v>6943</v>
      </c>
      <c r="G8820" s="24" t="s">
        <v>3867</v>
      </c>
      <c r="H8820" s="230">
        <v>4.5</v>
      </c>
      <c r="I8820" s="220">
        <v>1940000</v>
      </c>
      <c r="J8820" s="220">
        <f>I8820*0.1</f>
        <v>194000</v>
      </c>
      <c r="K8820" s="220">
        <v>32900</v>
      </c>
      <c r="L8820" s="220">
        <v>0</v>
      </c>
      <c r="M8820" s="220">
        <v>0</v>
      </c>
      <c r="N8820" s="220">
        <f>SUM(I8820:M8821)</f>
        <v>2166900</v>
      </c>
      <c r="O8820" s="224"/>
      <c r="P8820" s="110"/>
      <c r="Q8820" s="15" t="s">
        <v>19</v>
      </c>
      <c r="R8820" s="205"/>
      <c r="S8820" s="189" t="s">
        <v>25386</v>
      </c>
      <c r="T8820" s="114"/>
      <c r="U8820" s="21"/>
      <c r="V8820" s="115"/>
      <c r="W8820" s="116"/>
      <c r="X8820" s="220"/>
      <c r="Y8820" s="220">
        <f>X8820*0.1</f>
        <v>0</v>
      </c>
      <c r="Z8820" s="220"/>
      <c r="AA8820" s="220">
        <f>SUM(X8820:Z8820)</f>
        <v>0</v>
      </c>
      <c r="AB8820" s="222"/>
    </row>
    <row r="8821" spans="1:28" ht="17.100000000000001" customHeight="1" thickBot="1">
      <c r="A8821" s="227"/>
      <c r="B8821" s="27" t="s">
        <v>1708</v>
      </c>
      <c r="C8821" s="27" t="s">
        <v>24486</v>
      </c>
      <c r="D8821" s="14" t="s">
        <v>3731</v>
      </c>
      <c r="E8821" s="229"/>
      <c r="F8821" s="117" t="s">
        <v>24487</v>
      </c>
      <c r="G8821" s="26">
        <v>47693</v>
      </c>
      <c r="H8821" s="231"/>
      <c r="I8821" s="221"/>
      <c r="J8821" s="221"/>
      <c r="K8821" s="221"/>
      <c r="L8821" s="221"/>
      <c r="M8821" s="221"/>
      <c r="N8821" s="221"/>
      <c r="O8821" s="225"/>
      <c r="P8821" s="118"/>
      <c r="Q8821" s="16" t="s">
        <v>20</v>
      </c>
      <c r="R8821" s="17"/>
      <c r="S8821" s="121"/>
      <c r="T8821" s="122"/>
      <c r="U8821" s="22"/>
      <c r="V8821" s="123"/>
      <c r="W8821" s="122"/>
      <c r="X8821" s="221"/>
      <c r="Y8821" s="221"/>
      <c r="Z8821" s="221"/>
      <c r="AA8821" s="221"/>
      <c r="AB8821" s="223"/>
    </row>
    <row r="8822" spans="1:28" ht="17.100000000000001" customHeight="1" thickTop="1">
      <c r="A8822" s="226" t="s">
        <v>24512</v>
      </c>
      <c r="B8822" s="28">
        <v>46150</v>
      </c>
      <c r="C8822" s="25"/>
      <c r="D8822" s="13" t="s">
        <v>1961</v>
      </c>
      <c r="E8822" s="228"/>
      <c r="F8822" s="109" t="s">
        <v>24489</v>
      </c>
      <c r="G8822" s="24" t="s">
        <v>2084</v>
      </c>
      <c r="H8822" s="230">
        <v>4</v>
      </c>
      <c r="I8822" s="220">
        <v>810000</v>
      </c>
      <c r="J8822" s="220">
        <f>I8822*0.1</f>
        <v>81000</v>
      </c>
      <c r="K8822" s="220">
        <v>0</v>
      </c>
      <c r="L8822" s="220">
        <v>7860</v>
      </c>
      <c r="M8822" s="220">
        <v>0</v>
      </c>
      <c r="N8822" s="220">
        <f>SUM(I8822:M8823)</f>
        <v>898860</v>
      </c>
      <c r="O8822" s="224"/>
      <c r="P8822" s="110"/>
      <c r="Q8822" s="15" t="s">
        <v>19</v>
      </c>
      <c r="R8822" s="205"/>
      <c r="S8822" s="189" t="s">
        <v>25386</v>
      </c>
      <c r="T8822" s="114"/>
      <c r="U8822" s="21"/>
      <c r="V8822" s="115"/>
      <c r="W8822" s="116"/>
      <c r="X8822" s="220"/>
      <c r="Y8822" s="220">
        <f>X8822*0.1</f>
        <v>0</v>
      </c>
      <c r="Z8822" s="220"/>
      <c r="AA8822" s="220">
        <f>SUM(X8822:Z8822)</f>
        <v>0</v>
      </c>
      <c r="AB8822" s="222"/>
    </row>
    <row r="8823" spans="1:28" ht="17.100000000000001" customHeight="1" thickBot="1">
      <c r="A8823" s="227"/>
      <c r="B8823" s="27" t="s">
        <v>1708</v>
      </c>
      <c r="C8823" s="27" t="s">
        <v>24488</v>
      </c>
      <c r="D8823" s="14" t="s">
        <v>273</v>
      </c>
      <c r="E8823" s="229"/>
      <c r="F8823" s="117" t="s">
        <v>24490</v>
      </c>
      <c r="G8823" s="26">
        <v>38059</v>
      </c>
      <c r="H8823" s="231"/>
      <c r="I8823" s="221"/>
      <c r="J8823" s="221"/>
      <c r="K8823" s="221"/>
      <c r="L8823" s="221"/>
      <c r="M8823" s="221"/>
      <c r="N8823" s="221"/>
      <c r="O8823" s="225"/>
      <c r="P8823" s="118"/>
      <c r="Q8823" s="16" t="s">
        <v>20</v>
      </c>
      <c r="R8823" s="17"/>
      <c r="S8823" s="121"/>
      <c r="T8823" s="122"/>
      <c r="U8823" s="22"/>
      <c r="V8823" s="123"/>
      <c r="W8823" s="122"/>
      <c r="X8823" s="221"/>
      <c r="Y8823" s="221"/>
      <c r="Z8823" s="221"/>
      <c r="AA8823" s="221"/>
      <c r="AB8823" s="223"/>
    </row>
    <row r="8824" spans="1:28" ht="17.100000000000001" customHeight="1" thickTop="1">
      <c r="A8824" s="226" t="s">
        <v>24513</v>
      </c>
      <c r="B8824" s="28">
        <v>46150</v>
      </c>
      <c r="C8824" s="25"/>
      <c r="D8824" s="13" t="s">
        <v>1687</v>
      </c>
      <c r="E8824" s="228"/>
      <c r="F8824" s="109" t="s">
        <v>7049</v>
      </c>
      <c r="G8824" s="24" t="s">
        <v>4038</v>
      </c>
      <c r="H8824" s="230">
        <v>4.5</v>
      </c>
      <c r="I8824" s="220">
        <v>1195000</v>
      </c>
      <c r="J8824" s="220">
        <f>I8824*0.1</f>
        <v>119500</v>
      </c>
      <c r="K8824" s="220">
        <v>0</v>
      </c>
      <c r="L8824" s="220">
        <v>8630</v>
      </c>
      <c r="M8824" s="220">
        <v>0</v>
      </c>
      <c r="N8824" s="220">
        <f>SUM(I8824:M8825)</f>
        <v>1323130</v>
      </c>
      <c r="O8824" s="224"/>
      <c r="P8824" s="110"/>
      <c r="Q8824" s="15" t="s">
        <v>19</v>
      </c>
      <c r="R8824" s="205"/>
      <c r="S8824" s="189"/>
      <c r="T8824" s="114"/>
      <c r="U8824" s="21"/>
      <c r="V8824" s="115"/>
      <c r="W8824" s="116"/>
      <c r="X8824" s="220"/>
      <c r="Y8824" s="220">
        <f>X8824*0.1</f>
        <v>0</v>
      </c>
      <c r="Z8824" s="220"/>
      <c r="AA8824" s="220">
        <f>SUM(X8824:Z8824)</f>
        <v>0</v>
      </c>
      <c r="AB8824" s="222"/>
    </row>
    <row r="8825" spans="1:28" ht="17.100000000000001" customHeight="1" thickBot="1">
      <c r="A8825" s="227"/>
      <c r="B8825" s="27" t="s">
        <v>1708</v>
      </c>
      <c r="C8825" s="27" t="s">
        <v>24491</v>
      </c>
      <c r="D8825" s="14" t="s">
        <v>273</v>
      </c>
      <c r="E8825" s="229"/>
      <c r="F8825" s="117" t="s">
        <v>24492</v>
      </c>
      <c r="G8825" s="26">
        <v>31619</v>
      </c>
      <c r="H8825" s="231"/>
      <c r="I8825" s="221"/>
      <c r="J8825" s="221"/>
      <c r="K8825" s="221"/>
      <c r="L8825" s="221"/>
      <c r="M8825" s="221"/>
      <c r="N8825" s="221"/>
      <c r="O8825" s="225"/>
      <c r="P8825" s="118"/>
      <c r="Q8825" s="16" t="s">
        <v>20</v>
      </c>
      <c r="R8825" s="17"/>
      <c r="S8825" s="121"/>
      <c r="T8825" s="122"/>
      <c r="U8825" s="22"/>
      <c r="V8825" s="123"/>
      <c r="W8825" s="122"/>
      <c r="X8825" s="221"/>
      <c r="Y8825" s="221"/>
      <c r="Z8825" s="221"/>
      <c r="AA8825" s="221"/>
      <c r="AB8825" s="223"/>
    </row>
    <row r="8826" spans="1:28" ht="17.100000000000001" customHeight="1" thickTop="1">
      <c r="A8826" s="226" t="s">
        <v>24514</v>
      </c>
      <c r="B8826" s="28">
        <v>46150</v>
      </c>
      <c r="C8826" s="25"/>
      <c r="D8826" s="13" t="s">
        <v>1961</v>
      </c>
      <c r="E8826" s="228"/>
      <c r="F8826" s="109" t="s">
        <v>24494</v>
      </c>
      <c r="G8826" s="24" t="s">
        <v>2038</v>
      </c>
      <c r="H8826" s="230">
        <v>4</v>
      </c>
      <c r="I8826" s="220">
        <v>1475000</v>
      </c>
      <c r="J8826" s="220">
        <f>I8826*0.1</f>
        <v>147500</v>
      </c>
      <c r="K8826" s="220">
        <v>20800</v>
      </c>
      <c r="L8826" s="220">
        <v>9300</v>
      </c>
      <c r="M8826" s="220">
        <v>0</v>
      </c>
      <c r="N8826" s="220">
        <f>SUM(I8826:M8827)</f>
        <v>1652600</v>
      </c>
      <c r="O8826" s="224"/>
      <c r="P8826" s="110" t="s">
        <v>25255</v>
      </c>
      <c r="Q8826" s="15" t="s">
        <v>19</v>
      </c>
      <c r="R8826" s="205"/>
      <c r="S8826" s="189"/>
      <c r="T8826" s="114"/>
      <c r="U8826" s="21"/>
      <c r="V8826" s="115"/>
      <c r="W8826" s="116"/>
      <c r="X8826" s="220"/>
      <c r="Y8826" s="220">
        <f>X8826*0.1</f>
        <v>0</v>
      </c>
      <c r="Z8826" s="220"/>
      <c r="AA8826" s="220">
        <f>SUM(X8826:Z8826)</f>
        <v>0</v>
      </c>
      <c r="AB8826" s="222"/>
    </row>
    <row r="8827" spans="1:28" ht="17.100000000000001" customHeight="1" thickBot="1">
      <c r="A8827" s="227"/>
      <c r="B8827" s="27" t="s">
        <v>1708</v>
      </c>
      <c r="C8827" s="27" t="s">
        <v>24493</v>
      </c>
      <c r="D8827" s="14" t="s">
        <v>131</v>
      </c>
      <c r="E8827" s="229"/>
      <c r="F8827" s="117" t="s">
        <v>25254</v>
      </c>
      <c r="G8827" s="26">
        <v>47808</v>
      </c>
      <c r="H8827" s="231"/>
      <c r="I8827" s="221"/>
      <c r="J8827" s="221"/>
      <c r="K8827" s="221"/>
      <c r="L8827" s="221"/>
      <c r="M8827" s="221"/>
      <c r="N8827" s="221"/>
      <c r="O8827" s="225"/>
      <c r="P8827" s="118" t="s">
        <v>25256</v>
      </c>
      <c r="Q8827" s="16" t="s">
        <v>20</v>
      </c>
      <c r="R8827" s="17" t="s">
        <v>1952</v>
      </c>
      <c r="S8827" s="121" t="s">
        <v>26540</v>
      </c>
      <c r="T8827" s="122"/>
      <c r="U8827" s="22"/>
      <c r="V8827" s="123"/>
      <c r="W8827" s="122"/>
      <c r="X8827" s="221"/>
      <c r="Y8827" s="221"/>
      <c r="Z8827" s="221"/>
      <c r="AA8827" s="221"/>
      <c r="AB8827" s="223"/>
    </row>
    <row r="8828" spans="1:28" ht="17.100000000000001" customHeight="1" thickTop="1">
      <c r="A8828" s="226" t="s">
        <v>24515</v>
      </c>
      <c r="B8828" s="28">
        <v>46150</v>
      </c>
      <c r="C8828" s="25"/>
      <c r="D8828" s="13" t="s">
        <v>2313</v>
      </c>
      <c r="E8828" s="228"/>
      <c r="F8828" s="109" t="s">
        <v>24517</v>
      </c>
      <c r="G8828" s="24" t="s">
        <v>3867</v>
      </c>
      <c r="H8828" s="230">
        <v>4.5</v>
      </c>
      <c r="I8828" s="220">
        <v>905000</v>
      </c>
      <c r="J8828" s="220">
        <f>I8828*0.1</f>
        <v>90500</v>
      </c>
      <c r="K8828" s="220">
        <v>0</v>
      </c>
      <c r="L8828" s="220">
        <v>8110</v>
      </c>
      <c r="M8828" s="220">
        <v>0</v>
      </c>
      <c r="N8828" s="220">
        <f>SUM(I8828:M8829)</f>
        <v>1003610</v>
      </c>
      <c r="O8828" s="224"/>
      <c r="P8828" s="110"/>
      <c r="Q8828" s="15" t="s">
        <v>19</v>
      </c>
      <c r="R8828" s="205"/>
      <c r="S8828" s="189" t="s">
        <v>25386</v>
      </c>
      <c r="T8828" s="114"/>
      <c r="U8828" s="21"/>
      <c r="V8828" s="115"/>
      <c r="W8828" s="116"/>
      <c r="X8828" s="220"/>
      <c r="Y8828" s="220">
        <f>X8828*0.1</f>
        <v>0</v>
      </c>
      <c r="Z8828" s="220"/>
      <c r="AA8828" s="220">
        <f>SUM(X8828:Z8828)</f>
        <v>0</v>
      </c>
      <c r="AB8828" s="222"/>
    </row>
    <row r="8829" spans="1:28" ht="17.100000000000001" customHeight="1" thickBot="1">
      <c r="A8829" s="227"/>
      <c r="B8829" s="27" t="s">
        <v>1708</v>
      </c>
      <c r="C8829" s="27" t="s">
        <v>24503</v>
      </c>
      <c r="D8829" s="14" t="s">
        <v>2559</v>
      </c>
      <c r="E8829" s="229"/>
      <c r="F8829" s="117" t="s">
        <v>24516</v>
      </c>
      <c r="G8829" s="26">
        <v>40138</v>
      </c>
      <c r="H8829" s="231"/>
      <c r="I8829" s="221"/>
      <c r="J8829" s="221"/>
      <c r="K8829" s="221"/>
      <c r="L8829" s="221"/>
      <c r="M8829" s="221"/>
      <c r="N8829" s="221"/>
      <c r="O8829" s="225"/>
      <c r="P8829" s="118"/>
      <c r="Q8829" s="16" t="s">
        <v>20</v>
      </c>
      <c r="R8829" s="17"/>
      <c r="S8829" s="121"/>
      <c r="T8829" s="122"/>
      <c r="U8829" s="22"/>
      <c r="V8829" s="123"/>
      <c r="W8829" s="122"/>
      <c r="X8829" s="221"/>
      <c r="Y8829" s="221"/>
      <c r="Z8829" s="221"/>
      <c r="AA8829" s="221"/>
      <c r="AB8829" s="223"/>
    </row>
    <row r="8830" spans="1:28" ht="17.100000000000001" customHeight="1" thickTop="1">
      <c r="A8830" s="226" t="s">
        <v>24539</v>
      </c>
      <c r="B8830" s="28">
        <v>46151</v>
      </c>
      <c r="C8830" s="25">
        <v>1717</v>
      </c>
      <c r="D8830" s="13" t="s">
        <v>2158</v>
      </c>
      <c r="E8830" s="228"/>
      <c r="F8830" s="109" t="s">
        <v>24540</v>
      </c>
      <c r="G8830" s="24"/>
      <c r="H8830" s="230">
        <v>4.5</v>
      </c>
      <c r="I8830" s="220">
        <v>2185000</v>
      </c>
      <c r="J8830" s="220">
        <f>I8830*0.1</f>
        <v>218500</v>
      </c>
      <c r="K8830" s="220">
        <v>0</v>
      </c>
      <c r="L8830" s="220">
        <v>17800</v>
      </c>
      <c r="M8830" s="220">
        <v>16500</v>
      </c>
      <c r="N8830" s="220">
        <f>SUM(I8830:M8831)</f>
        <v>2437800</v>
      </c>
      <c r="O8830" s="224"/>
      <c r="P8830" s="110" t="s">
        <v>24826</v>
      </c>
      <c r="Q8830" s="15" t="s">
        <v>19</v>
      </c>
      <c r="R8830" s="205"/>
      <c r="S8830" s="189" t="s">
        <v>25367</v>
      </c>
      <c r="T8830" s="114"/>
      <c r="U8830" s="21"/>
      <c r="V8830" s="115">
        <v>46158</v>
      </c>
      <c r="W8830" s="116">
        <v>1300</v>
      </c>
      <c r="X8830" s="220">
        <v>2400000</v>
      </c>
      <c r="Y8830" s="220">
        <f>X8830*0.1</f>
        <v>240000</v>
      </c>
      <c r="Z8830" s="220">
        <v>17800</v>
      </c>
      <c r="AA8830" s="220">
        <f>SUM(X8830:Z8830)</f>
        <v>2657800</v>
      </c>
      <c r="AB8830" s="222">
        <v>46161</v>
      </c>
    </row>
    <row r="8831" spans="1:28" ht="17.100000000000001" customHeight="1" thickBot="1">
      <c r="A8831" s="227"/>
      <c r="B8831" s="27" t="s">
        <v>23891</v>
      </c>
      <c r="C8831" s="27">
        <v>582</v>
      </c>
      <c r="D8831" s="14" t="s">
        <v>131</v>
      </c>
      <c r="E8831" s="229"/>
      <c r="F8831" s="117" t="s">
        <v>24541</v>
      </c>
      <c r="G8831" s="26">
        <v>67958</v>
      </c>
      <c r="H8831" s="231"/>
      <c r="I8831" s="221"/>
      <c r="J8831" s="221"/>
      <c r="K8831" s="221"/>
      <c r="L8831" s="221"/>
      <c r="M8831" s="221"/>
      <c r="N8831" s="221"/>
      <c r="O8831" s="225"/>
      <c r="P8831" s="118" t="s">
        <v>1946</v>
      </c>
      <c r="Q8831" s="16" t="s">
        <v>20</v>
      </c>
      <c r="R8831" s="17" t="s">
        <v>2377</v>
      </c>
      <c r="S8831" s="121" t="s">
        <v>3071</v>
      </c>
      <c r="T8831" s="122"/>
      <c r="U8831" s="22"/>
      <c r="V8831" s="123" t="s">
        <v>2472</v>
      </c>
      <c r="W8831" s="122">
        <v>80291</v>
      </c>
      <c r="X8831" s="221"/>
      <c r="Y8831" s="221"/>
      <c r="Z8831" s="221"/>
      <c r="AA8831" s="221"/>
      <c r="AB8831" s="223"/>
    </row>
    <row r="8832" spans="1:28" ht="17.100000000000001" customHeight="1" thickTop="1">
      <c r="A8832" s="226" t="s">
        <v>24542</v>
      </c>
      <c r="B8832" s="28">
        <v>46151</v>
      </c>
      <c r="C8832" s="25">
        <v>310</v>
      </c>
      <c r="D8832" s="13" t="s">
        <v>2113</v>
      </c>
      <c r="E8832" s="228"/>
      <c r="F8832" s="109" t="s">
        <v>24523</v>
      </c>
      <c r="G8832" s="24"/>
      <c r="H8832" s="230">
        <v>3.5</v>
      </c>
      <c r="I8832" s="220">
        <v>731000</v>
      </c>
      <c r="J8832" s="220">
        <f>I8832*0.1</f>
        <v>73100</v>
      </c>
      <c r="K8832" s="220">
        <v>0</v>
      </c>
      <c r="L8832" s="220">
        <v>11530</v>
      </c>
      <c r="M8832" s="220">
        <v>12100</v>
      </c>
      <c r="N8832" s="220">
        <f>SUM(I8832:M8833)</f>
        <v>827730</v>
      </c>
      <c r="O8832" s="224"/>
      <c r="P8832" s="110" t="s">
        <v>24814</v>
      </c>
      <c r="Q8832" s="15" t="s">
        <v>19</v>
      </c>
      <c r="R8832" s="205"/>
      <c r="S8832" s="189"/>
      <c r="T8832" s="114"/>
      <c r="U8832" s="21"/>
      <c r="V8832" s="115">
        <v>46155</v>
      </c>
      <c r="W8832" s="116">
        <v>1016</v>
      </c>
      <c r="X8832" s="220">
        <v>810000</v>
      </c>
      <c r="Y8832" s="220">
        <f>X8832*0.1</f>
        <v>81000</v>
      </c>
      <c r="Z8832" s="220">
        <v>11530</v>
      </c>
      <c r="AA8832" s="220">
        <f>SUM(X8832:Z8832)</f>
        <v>902530</v>
      </c>
      <c r="AB8832" s="222">
        <v>46160</v>
      </c>
    </row>
    <row r="8833" spans="1:28" ht="17.100000000000001" customHeight="1" thickBot="1">
      <c r="A8833" s="227"/>
      <c r="B8833" s="27" t="s">
        <v>3518</v>
      </c>
      <c r="C8833" s="27">
        <v>249</v>
      </c>
      <c r="D8833" s="14" t="s">
        <v>2559</v>
      </c>
      <c r="E8833" s="229"/>
      <c r="F8833" s="117" t="s">
        <v>24524</v>
      </c>
      <c r="G8833" s="26">
        <v>111228</v>
      </c>
      <c r="H8833" s="231"/>
      <c r="I8833" s="221"/>
      <c r="J8833" s="221"/>
      <c r="K8833" s="221"/>
      <c r="L8833" s="221"/>
      <c r="M8833" s="221"/>
      <c r="N8833" s="221"/>
      <c r="O8833" s="225"/>
      <c r="P8833" s="118" t="s">
        <v>20651</v>
      </c>
      <c r="Q8833" s="16" t="s">
        <v>20</v>
      </c>
      <c r="R8833" s="17" t="s">
        <v>2377</v>
      </c>
      <c r="S8833" s="121" t="s">
        <v>4530</v>
      </c>
      <c r="T8833" s="122"/>
      <c r="U8833" s="22"/>
      <c r="V8833" s="123" t="s">
        <v>2747</v>
      </c>
      <c r="W8833" s="122">
        <v>5131</v>
      </c>
      <c r="X8833" s="221"/>
      <c r="Y8833" s="221"/>
      <c r="Z8833" s="221"/>
      <c r="AA8833" s="221"/>
      <c r="AB8833" s="223"/>
    </row>
    <row r="8834" spans="1:28" ht="16.5" customHeight="1" thickTop="1">
      <c r="A8834" s="226" t="s">
        <v>24543</v>
      </c>
      <c r="B8834" s="28">
        <v>46151</v>
      </c>
      <c r="C8834" s="25">
        <v>310</v>
      </c>
      <c r="D8834" s="13" t="s">
        <v>1607</v>
      </c>
      <c r="E8834" s="228"/>
      <c r="F8834" s="109" t="s">
        <v>24525</v>
      </c>
      <c r="G8834" s="24"/>
      <c r="H8834" s="230">
        <v>4</v>
      </c>
      <c r="I8834" s="220">
        <v>2668000</v>
      </c>
      <c r="J8834" s="220">
        <f>I8834*0.1</f>
        <v>266800</v>
      </c>
      <c r="K8834" s="220">
        <v>0</v>
      </c>
      <c r="L8834" s="220">
        <v>16550</v>
      </c>
      <c r="M8834" s="220">
        <v>12100</v>
      </c>
      <c r="N8834" s="220">
        <f>SUM(I8834:M8835)</f>
        <v>2963450</v>
      </c>
      <c r="O8834" s="224"/>
      <c r="P8834" s="110" t="s">
        <v>24844</v>
      </c>
      <c r="Q8834" s="15" t="s">
        <v>19</v>
      </c>
      <c r="R8834" s="205"/>
      <c r="S8834" s="189" t="s">
        <v>758</v>
      </c>
      <c r="T8834" s="114"/>
      <c r="U8834" s="21"/>
      <c r="V8834" s="115"/>
      <c r="W8834" s="116"/>
      <c r="X8834" s="220"/>
      <c r="Y8834" s="220">
        <f>X8834*0.1</f>
        <v>0</v>
      </c>
      <c r="Z8834" s="220"/>
      <c r="AA8834" s="220">
        <f>SUM(X8834:Z8834)</f>
        <v>0</v>
      </c>
      <c r="AB8834" s="222"/>
    </row>
    <row r="8835" spans="1:28" ht="17.100000000000001" customHeight="1" thickBot="1">
      <c r="A8835" s="227"/>
      <c r="B8835" s="27" t="s">
        <v>3518</v>
      </c>
      <c r="C8835" s="27">
        <v>280</v>
      </c>
      <c r="D8835" s="14" t="s">
        <v>2559</v>
      </c>
      <c r="E8835" s="229"/>
      <c r="F8835" s="117" t="s">
        <v>24526</v>
      </c>
      <c r="G8835" s="26">
        <v>97091</v>
      </c>
      <c r="H8835" s="231"/>
      <c r="I8835" s="221"/>
      <c r="J8835" s="221"/>
      <c r="K8835" s="221"/>
      <c r="L8835" s="221"/>
      <c r="M8835" s="221"/>
      <c r="N8835" s="221"/>
      <c r="O8835" s="225"/>
      <c r="P8835" s="118" t="s">
        <v>10934</v>
      </c>
      <c r="Q8835" s="16" t="s">
        <v>20</v>
      </c>
      <c r="R8835" s="17" t="s">
        <v>2377</v>
      </c>
      <c r="S8835" s="121" t="s">
        <v>24888</v>
      </c>
      <c r="T8835" s="122"/>
      <c r="U8835" s="22"/>
      <c r="V8835" s="123"/>
      <c r="W8835" s="122"/>
      <c r="X8835" s="221"/>
      <c r="Y8835" s="221"/>
      <c r="Z8835" s="221"/>
      <c r="AA8835" s="221"/>
      <c r="AB8835" s="223"/>
    </row>
    <row r="8836" spans="1:28" ht="17.100000000000001" customHeight="1" thickTop="1">
      <c r="A8836" s="226" t="s">
        <v>24544</v>
      </c>
      <c r="B8836" s="28">
        <v>46151</v>
      </c>
      <c r="C8836" s="25">
        <v>310</v>
      </c>
      <c r="D8836" s="13" t="s">
        <v>2267</v>
      </c>
      <c r="E8836" s="228"/>
      <c r="F8836" s="109" t="s">
        <v>24525</v>
      </c>
      <c r="G8836" s="24"/>
      <c r="H8836" s="230">
        <v>4</v>
      </c>
      <c r="I8836" s="220">
        <v>2132000</v>
      </c>
      <c r="J8836" s="220">
        <f>I8836*0.1</f>
        <v>213200</v>
      </c>
      <c r="K8836" s="220">
        <v>0</v>
      </c>
      <c r="L8836" s="220">
        <v>16550</v>
      </c>
      <c r="M8836" s="220">
        <v>12100</v>
      </c>
      <c r="N8836" s="220">
        <f>SUM(I8836:M8837)</f>
        <v>2373850</v>
      </c>
      <c r="O8836" s="224"/>
      <c r="P8836" s="110" t="s">
        <v>24811</v>
      </c>
      <c r="Q8836" s="15" t="s">
        <v>19</v>
      </c>
      <c r="R8836" s="205"/>
      <c r="S8836" s="189"/>
      <c r="T8836" s="114"/>
      <c r="U8836" s="21"/>
      <c r="V8836" s="115">
        <v>46155</v>
      </c>
      <c r="W8836" s="116">
        <v>1016</v>
      </c>
      <c r="X8836" s="220">
        <v>2220000</v>
      </c>
      <c r="Y8836" s="220">
        <f>X8836*0.1</f>
        <v>222000</v>
      </c>
      <c r="Z8836" s="220">
        <v>16550</v>
      </c>
      <c r="AA8836" s="220">
        <f>SUM(X8836:Z8836)</f>
        <v>2458550</v>
      </c>
      <c r="AB8836" s="222">
        <v>46160</v>
      </c>
    </row>
    <row r="8837" spans="1:28" ht="17.100000000000001" customHeight="1" thickBot="1">
      <c r="A8837" s="227"/>
      <c r="B8837" s="27" t="s">
        <v>3518</v>
      </c>
      <c r="C8837" s="27">
        <v>360</v>
      </c>
      <c r="D8837" s="14" t="s">
        <v>2559</v>
      </c>
      <c r="E8837" s="229"/>
      <c r="F8837" s="117" t="s">
        <v>24527</v>
      </c>
      <c r="G8837" s="26">
        <v>126823</v>
      </c>
      <c r="H8837" s="231"/>
      <c r="I8837" s="221"/>
      <c r="J8837" s="221"/>
      <c r="K8837" s="221"/>
      <c r="L8837" s="221"/>
      <c r="M8837" s="221"/>
      <c r="N8837" s="221"/>
      <c r="O8837" s="225"/>
      <c r="P8837" s="118" t="s">
        <v>24812</v>
      </c>
      <c r="Q8837" s="16" t="s">
        <v>20</v>
      </c>
      <c r="R8837" s="17" t="s">
        <v>2377</v>
      </c>
      <c r="S8837" s="121" t="s">
        <v>24817</v>
      </c>
      <c r="T8837" s="122"/>
      <c r="U8837" s="22"/>
      <c r="V8837" s="123" t="s">
        <v>2747</v>
      </c>
      <c r="W8837" s="122">
        <v>5112</v>
      </c>
      <c r="X8837" s="221"/>
      <c r="Y8837" s="221"/>
      <c r="Z8837" s="221"/>
      <c r="AA8837" s="221"/>
      <c r="AB8837" s="223"/>
    </row>
    <row r="8838" spans="1:28" ht="17.100000000000001" customHeight="1" thickTop="1">
      <c r="A8838" s="226" t="s">
        <v>24545</v>
      </c>
      <c r="B8838" s="28">
        <v>46151</v>
      </c>
      <c r="C8838" s="25">
        <v>310</v>
      </c>
      <c r="D8838" s="13" t="s">
        <v>1931</v>
      </c>
      <c r="E8838" s="228"/>
      <c r="F8838" s="109" t="s">
        <v>11513</v>
      </c>
      <c r="G8838" s="24"/>
      <c r="H8838" s="230">
        <v>4</v>
      </c>
      <c r="I8838" s="220">
        <v>1369000</v>
      </c>
      <c r="J8838" s="220">
        <f>I8838*0.1</f>
        <v>136900</v>
      </c>
      <c r="K8838" s="220">
        <v>0</v>
      </c>
      <c r="L8838" s="220">
        <v>9950</v>
      </c>
      <c r="M8838" s="220">
        <v>13200</v>
      </c>
      <c r="N8838" s="220">
        <f>SUM(I8838:M8839)</f>
        <v>1529050</v>
      </c>
      <c r="O8838" s="224"/>
      <c r="P8838" s="110" t="s">
        <v>24857</v>
      </c>
      <c r="Q8838" s="15" t="s">
        <v>19</v>
      </c>
      <c r="R8838" s="205"/>
      <c r="S8838" s="189" t="s">
        <v>25636</v>
      </c>
      <c r="T8838" s="114"/>
      <c r="U8838" s="21"/>
      <c r="V8838" s="115">
        <v>46162</v>
      </c>
      <c r="W8838" s="116">
        <v>1017</v>
      </c>
      <c r="X8838" s="220">
        <v>1440000</v>
      </c>
      <c r="Y8838" s="220">
        <f>X8838*0.1</f>
        <v>144000</v>
      </c>
      <c r="Z8838" s="220">
        <v>9950</v>
      </c>
      <c r="AA8838" s="220">
        <f>SUM(X8838:Z8838)</f>
        <v>1593950</v>
      </c>
      <c r="AB8838" s="222">
        <v>46167</v>
      </c>
    </row>
    <row r="8839" spans="1:28" ht="17.100000000000001" customHeight="1" thickBot="1">
      <c r="A8839" s="227"/>
      <c r="B8839" s="27" t="s">
        <v>3518</v>
      </c>
      <c r="C8839" s="27">
        <v>2029</v>
      </c>
      <c r="D8839" s="14" t="s">
        <v>2559</v>
      </c>
      <c r="E8839" s="229"/>
      <c r="F8839" s="117" t="s">
        <v>24528</v>
      </c>
      <c r="G8839" s="26">
        <v>24065</v>
      </c>
      <c r="H8839" s="231"/>
      <c r="I8839" s="221"/>
      <c r="J8839" s="221"/>
      <c r="K8839" s="221"/>
      <c r="L8839" s="221"/>
      <c r="M8839" s="221"/>
      <c r="N8839" s="221"/>
      <c r="O8839" s="225"/>
      <c r="P8839" s="118" t="s">
        <v>21336</v>
      </c>
      <c r="Q8839" s="16" t="s">
        <v>20</v>
      </c>
      <c r="R8839" s="17" t="s">
        <v>3680</v>
      </c>
      <c r="S8839" s="121" t="s">
        <v>24858</v>
      </c>
      <c r="T8839" s="122"/>
      <c r="U8839" s="22"/>
      <c r="V8839" s="123" t="s">
        <v>2747</v>
      </c>
      <c r="W8839" s="122">
        <v>6035</v>
      </c>
      <c r="X8839" s="221"/>
      <c r="Y8839" s="221"/>
      <c r="Z8839" s="221"/>
      <c r="AA8839" s="221"/>
      <c r="AB8839" s="223"/>
    </row>
    <row r="8840" spans="1:28" ht="17.100000000000001" customHeight="1" thickTop="1">
      <c r="A8840" s="226" t="s">
        <v>24546</v>
      </c>
      <c r="B8840" s="28">
        <v>46151</v>
      </c>
      <c r="C8840" s="25">
        <v>310</v>
      </c>
      <c r="D8840" s="13" t="s">
        <v>4050</v>
      </c>
      <c r="E8840" s="228"/>
      <c r="F8840" s="109" t="s">
        <v>3606</v>
      </c>
      <c r="G8840" s="24"/>
      <c r="H8840" s="230">
        <v>4</v>
      </c>
      <c r="I8840" s="220">
        <v>1116000</v>
      </c>
      <c r="J8840" s="220">
        <f>I8840*0.1</f>
        <v>111600</v>
      </c>
      <c r="K8840" s="220">
        <v>0</v>
      </c>
      <c r="L8840" s="220">
        <v>9750</v>
      </c>
      <c r="M8840" s="220">
        <v>13200</v>
      </c>
      <c r="N8840" s="220">
        <f>SUM(I8840:M8841)</f>
        <v>1250550</v>
      </c>
      <c r="O8840" s="224"/>
      <c r="P8840" s="110" t="s">
        <v>24813</v>
      </c>
      <c r="Q8840" s="15" t="s">
        <v>19</v>
      </c>
      <c r="R8840" s="205"/>
      <c r="S8840" s="189"/>
      <c r="T8840" s="114"/>
      <c r="U8840" s="21"/>
      <c r="V8840" s="115">
        <v>46155</v>
      </c>
      <c r="W8840" s="116">
        <v>1016</v>
      </c>
      <c r="X8840" s="220">
        <v>1180000</v>
      </c>
      <c r="Y8840" s="220">
        <f>X8840*0.1</f>
        <v>118000</v>
      </c>
      <c r="Z8840" s="220">
        <v>9750</v>
      </c>
      <c r="AA8840" s="220">
        <f>SUM(X8840:Z8840)</f>
        <v>1307750</v>
      </c>
      <c r="AB8840" s="222">
        <v>46160</v>
      </c>
    </row>
    <row r="8841" spans="1:28" ht="17.100000000000001" customHeight="1" thickBot="1">
      <c r="A8841" s="227"/>
      <c r="B8841" s="27" t="s">
        <v>3518</v>
      </c>
      <c r="C8841" s="27">
        <v>2054</v>
      </c>
      <c r="D8841" s="14" t="s">
        <v>2559</v>
      </c>
      <c r="E8841" s="229"/>
      <c r="F8841" s="117" t="s">
        <v>24529</v>
      </c>
      <c r="G8841" s="26">
        <v>50135</v>
      </c>
      <c r="H8841" s="231"/>
      <c r="I8841" s="221"/>
      <c r="J8841" s="221"/>
      <c r="K8841" s="221"/>
      <c r="L8841" s="221"/>
      <c r="M8841" s="221"/>
      <c r="N8841" s="221"/>
      <c r="O8841" s="225"/>
      <c r="P8841" s="118" t="s">
        <v>20525</v>
      </c>
      <c r="Q8841" s="16" t="s">
        <v>20</v>
      </c>
      <c r="R8841" s="17" t="s">
        <v>2377</v>
      </c>
      <c r="S8841" s="121" t="s">
        <v>4530</v>
      </c>
      <c r="T8841" s="122"/>
      <c r="U8841" s="22"/>
      <c r="V8841" s="123" t="s">
        <v>2747</v>
      </c>
      <c r="W8841" s="122">
        <v>5114</v>
      </c>
      <c r="X8841" s="221"/>
      <c r="Y8841" s="221"/>
      <c r="Z8841" s="221"/>
      <c r="AA8841" s="221"/>
      <c r="AB8841" s="223"/>
    </row>
    <row r="8842" spans="1:28" ht="17.100000000000001" customHeight="1" thickTop="1">
      <c r="A8842" s="226" t="s">
        <v>24547</v>
      </c>
      <c r="B8842" s="28">
        <v>46151</v>
      </c>
      <c r="C8842" s="25">
        <v>310</v>
      </c>
      <c r="D8842" s="13" t="s">
        <v>1642</v>
      </c>
      <c r="E8842" s="228"/>
      <c r="F8842" s="109" t="s">
        <v>24530</v>
      </c>
      <c r="G8842" s="24"/>
      <c r="H8842" s="230">
        <v>4</v>
      </c>
      <c r="I8842" s="220">
        <v>2119000</v>
      </c>
      <c r="J8842" s="220">
        <f>I8842*0.1</f>
        <v>211900</v>
      </c>
      <c r="K8842" s="220">
        <v>0</v>
      </c>
      <c r="L8842" s="220">
        <v>12250</v>
      </c>
      <c r="M8842" s="220">
        <v>13200</v>
      </c>
      <c r="N8842" s="220">
        <f>SUM(I8842:M8843)</f>
        <v>2356350</v>
      </c>
      <c r="O8842" s="224"/>
      <c r="P8842" s="110" t="s">
        <v>24815</v>
      </c>
      <c r="Q8842" s="15" t="s">
        <v>19</v>
      </c>
      <c r="R8842" s="205"/>
      <c r="S8842" s="189" t="s">
        <v>758</v>
      </c>
      <c r="T8842" s="114"/>
      <c r="U8842" s="21"/>
      <c r="V8842" s="115">
        <v>46155</v>
      </c>
      <c r="W8842" s="116">
        <v>1016</v>
      </c>
      <c r="X8842" s="220">
        <v>2350000</v>
      </c>
      <c r="Y8842" s="220">
        <f>X8842*0.1</f>
        <v>235000</v>
      </c>
      <c r="Z8842" s="220">
        <v>12250</v>
      </c>
      <c r="AA8842" s="220">
        <f>SUM(X8842:Z8842)</f>
        <v>2597250</v>
      </c>
      <c r="AB8842" s="222">
        <v>46160</v>
      </c>
    </row>
    <row r="8843" spans="1:28" ht="17.100000000000001" customHeight="1" thickBot="1">
      <c r="A8843" s="227"/>
      <c r="B8843" s="27" t="s">
        <v>3518</v>
      </c>
      <c r="C8843" s="27">
        <v>2128</v>
      </c>
      <c r="D8843" s="14" t="s">
        <v>131</v>
      </c>
      <c r="E8843" s="229"/>
      <c r="F8843" s="117" t="s">
        <v>24531</v>
      </c>
      <c r="G8843" s="26">
        <v>46608</v>
      </c>
      <c r="H8843" s="231"/>
      <c r="I8843" s="221"/>
      <c r="J8843" s="221"/>
      <c r="K8843" s="221"/>
      <c r="L8843" s="221"/>
      <c r="M8843" s="221"/>
      <c r="N8843" s="221"/>
      <c r="O8843" s="225"/>
      <c r="P8843" s="118" t="s">
        <v>24816</v>
      </c>
      <c r="Q8843" s="16" t="s">
        <v>20</v>
      </c>
      <c r="R8843" s="17" t="s">
        <v>2377</v>
      </c>
      <c r="S8843" s="121" t="s">
        <v>1557</v>
      </c>
      <c r="T8843" s="122"/>
      <c r="U8843" s="22"/>
      <c r="V8843" s="123" t="s">
        <v>7161</v>
      </c>
      <c r="W8843" s="122">
        <v>5133</v>
      </c>
      <c r="X8843" s="221"/>
      <c r="Y8843" s="221"/>
      <c r="Z8843" s="221"/>
      <c r="AA8843" s="221"/>
      <c r="AB8843" s="223"/>
    </row>
    <row r="8844" spans="1:28" ht="17.100000000000001" customHeight="1" thickTop="1">
      <c r="A8844" s="226" t="s">
        <v>24548</v>
      </c>
      <c r="B8844" s="28">
        <v>46151</v>
      </c>
      <c r="C8844" s="25">
        <v>310</v>
      </c>
      <c r="D8844" s="13" t="s">
        <v>1678</v>
      </c>
      <c r="E8844" s="228"/>
      <c r="F8844" s="109" t="s">
        <v>5122</v>
      </c>
      <c r="G8844" s="24"/>
      <c r="H8844" s="230">
        <v>4</v>
      </c>
      <c r="I8844" s="220">
        <v>2553000</v>
      </c>
      <c r="J8844" s="220">
        <f>I8844*0.1</f>
        <v>255300</v>
      </c>
      <c r="K8844" s="220">
        <v>0</v>
      </c>
      <c r="L8844" s="220">
        <v>12250</v>
      </c>
      <c r="M8844" s="220">
        <v>13200</v>
      </c>
      <c r="N8844" s="220">
        <f>SUM(I8844:M8845)</f>
        <v>2833750</v>
      </c>
      <c r="O8844" s="224"/>
      <c r="P8844" s="110" t="s">
        <v>24845</v>
      </c>
      <c r="Q8844" s="15" t="s">
        <v>19</v>
      </c>
      <c r="R8844" s="205"/>
      <c r="S8844" s="189"/>
      <c r="T8844" s="114"/>
      <c r="U8844" s="21"/>
      <c r="V8844" s="115"/>
      <c r="W8844" s="116"/>
      <c r="X8844" s="220"/>
      <c r="Y8844" s="220">
        <f>X8844*0.1</f>
        <v>0</v>
      </c>
      <c r="Z8844" s="220"/>
      <c r="AA8844" s="220">
        <f>SUM(X8844:Z8844)</f>
        <v>0</v>
      </c>
      <c r="AB8844" s="222"/>
    </row>
    <row r="8845" spans="1:28" ht="17.100000000000001" customHeight="1" thickBot="1">
      <c r="A8845" s="227"/>
      <c r="B8845" s="27" t="s">
        <v>3518</v>
      </c>
      <c r="C8845" s="27">
        <v>2186</v>
      </c>
      <c r="D8845" s="14" t="s">
        <v>2559</v>
      </c>
      <c r="E8845" s="229"/>
      <c r="F8845" s="117" t="s">
        <v>24532</v>
      </c>
      <c r="G8845" s="26">
        <v>52080</v>
      </c>
      <c r="H8845" s="231"/>
      <c r="I8845" s="221"/>
      <c r="J8845" s="221"/>
      <c r="K8845" s="221"/>
      <c r="L8845" s="221"/>
      <c r="M8845" s="221"/>
      <c r="N8845" s="221"/>
      <c r="O8845" s="225"/>
      <c r="P8845" s="118" t="s">
        <v>5155</v>
      </c>
      <c r="Q8845" s="16" t="s">
        <v>20</v>
      </c>
      <c r="R8845" s="17" t="s">
        <v>2377</v>
      </c>
      <c r="S8845" s="121" t="s">
        <v>11872</v>
      </c>
      <c r="T8845" s="122"/>
      <c r="U8845" s="22"/>
      <c r="V8845" s="123"/>
      <c r="W8845" s="122"/>
      <c r="X8845" s="221"/>
      <c r="Y8845" s="221"/>
      <c r="Z8845" s="221"/>
      <c r="AA8845" s="221"/>
      <c r="AB8845" s="223"/>
    </row>
    <row r="8846" spans="1:28" ht="17.100000000000001" customHeight="1" thickTop="1">
      <c r="A8846" s="226" t="s">
        <v>24549</v>
      </c>
      <c r="B8846" s="28">
        <v>46151</v>
      </c>
      <c r="C8846" s="25">
        <v>310</v>
      </c>
      <c r="D8846" s="13" t="s">
        <v>2920</v>
      </c>
      <c r="E8846" s="228"/>
      <c r="F8846" s="109" t="s">
        <v>23581</v>
      </c>
      <c r="G8846" s="24"/>
      <c r="H8846" s="230">
        <v>4</v>
      </c>
      <c r="I8846" s="220">
        <v>1232000</v>
      </c>
      <c r="J8846" s="220">
        <f>I8846*0.1</f>
        <v>123200</v>
      </c>
      <c r="K8846" s="220">
        <v>0</v>
      </c>
      <c r="L8846" s="220">
        <v>8740</v>
      </c>
      <c r="M8846" s="220">
        <v>15950</v>
      </c>
      <c r="N8846" s="220">
        <f>SUM(I8846:M8847)</f>
        <v>1379890</v>
      </c>
      <c r="O8846" s="224"/>
      <c r="P8846" s="110" t="s">
        <v>24843</v>
      </c>
      <c r="Q8846" s="15" t="s">
        <v>19</v>
      </c>
      <c r="R8846" s="205"/>
      <c r="S8846" s="189"/>
      <c r="T8846" s="114"/>
      <c r="U8846" s="21"/>
      <c r="V8846" s="115"/>
      <c r="W8846" s="116"/>
      <c r="X8846" s="220"/>
      <c r="Y8846" s="220">
        <f>X8846*0.1</f>
        <v>0</v>
      </c>
      <c r="Z8846" s="220"/>
      <c r="AA8846" s="220">
        <f>SUM(X8846:Z8846)</f>
        <v>0</v>
      </c>
      <c r="AB8846" s="222"/>
    </row>
    <row r="8847" spans="1:28" ht="17.100000000000001" customHeight="1" thickBot="1">
      <c r="A8847" s="227"/>
      <c r="B8847" s="27" t="s">
        <v>3518</v>
      </c>
      <c r="C8847" s="27">
        <v>3026</v>
      </c>
      <c r="D8847" s="14" t="s">
        <v>2559</v>
      </c>
      <c r="E8847" s="229"/>
      <c r="F8847" s="117" t="s">
        <v>24518</v>
      </c>
      <c r="G8847" s="26">
        <v>43862</v>
      </c>
      <c r="H8847" s="231"/>
      <c r="I8847" s="221"/>
      <c r="J8847" s="221"/>
      <c r="K8847" s="221"/>
      <c r="L8847" s="221"/>
      <c r="M8847" s="221"/>
      <c r="N8847" s="221"/>
      <c r="O8847" s="225"/>
      <c r="P8847" s="118" t="s">
        <v>2105</v>
      </c>
      <c r="Q8847" s="16" t="s">
        <v>20</v>
      </c>
      <c r="R8847" s="17" t="s">
        <v>2377</v>
      </c>
      <c r="S8847" s="121" t="s">
        <v>24887</v>
      </c>
      <c r="T8847" s="122"/>
      <c r="U8847" s="22"/>
      <c r="V8847" s="123"/>
      <c r="W8847" s="122"/>
      <c r="X8847" s="221"/>
      <c r="Y8847" s="221"/>
      <c r="Z8847" s="221"/>
      <c r="AA8847" s="221"/>
      <c r="AB8847" s="223"/>
    </row>
    <row r="8848" spans="1:28" ht="17.100000000000001" customHeight="1" thickTop="1">
      <c r="A8848" s="226" t="s">
        <v>24550</v>
      </c>
      <c r="B8848" s="28">
        <v>46151</v>
      </c>
      <c r="C8848" s="25">
        <v>310</v>
      </c>
      <c r="D8848" s="13" t="s">
        <v>1961</v>
      </c>
      <c r="E8848" s="228"/>
      <c r="F8848" s="109" t="s">
        <v>9664</v>
      </c>
      <c r="G8848" s="24" t="s">
        <v>2084</v>
      </c>
      <c r="H8848" s="230">
        <v>4</v>
      </c>
      <c r="I8848" s="220">
        <v>638000</v>
      </c>
      <c r="J8848" s="220">
        <f>I8848*0.1</f>
        <v>63800</v>
      </c>
      <c r="K8848" s="220">
        <v>0</v>
      </c>
      <c r="L8848" s="220">
        <v>7510</v>
      </c>
      <c r="M8848" s="220">
        <v>12100</v>
      </c>
      <c r="N8848" s="220">
        <f>SUM(I8848:M8849)</f>
        <v>721410</v>
      </c>
      <c r="O8848" s="224"/>
      <c r="P8848" s="110" t="s">
        <v>24534</v>
      </c>
      <c r="Q8848" s="15" t="s">
        <v>19</v>
      </c>
      <c r="R8848" s="205"/>
      <c r="S8848" s="189"/>
      <c r="T8848" s="114"/>
      <c r="U8848" s="21"/>
      <c r="V8848" s="115"/>
      <c r="W8848" s="116"/>
      <c r="X8848" s="220"/>
      <c r="Y8848" s="220">
        <f>X8848*0.1</f>
        <v>0</v>
      </c>
      <c r="Z8848" s="220"/>
      <c r="AA8848" s="220">
        <f>SUM(X8848:Z8848)</f>
        <v>0</v>
      </c>
      <c r="AB8848" s="222"/>
    </row>
    <row r="8849" spans="1:28" ht="17.100000000000001" customHeight="1" thickBot="1">
      <c r="A8849" s="227"/>
      <c r="B8849" s="27" t="s">
        <v>3518</v>
      </c>
      <c r="C8849" s="27">
        <v>3057</v>
      </c>
      <c r="D8849" s="14" t="s">
        <v>1710</v>
      </c>
      <c r="E8849" s="229"/>
      <c r="F8849" s="117" t="s">
        <v>24533</v>
      </c>
      <c r="G8849" s="26">
        <v>53545</v>
      </c>
      <c r="H8849" s="231"/>
      <c r="I8849" s="221"/>
      <c r="J8849" s="221"/>
      <c r="K8849" s="221"/>
      <c r="L8849" s="221"/>
      <c r="M8849" s="221"/>
      <c r="N8849" s="221"/>
      <c r="O8849" s="225"/>
      <c r="P8849" s="118" t="s">
        <v>7323</v>
      </c>
      <c r="Q8849" s="16" t="s">
        <v>20</v>
      </c>
      <c r="R8849" s="17" t="s">
        <v>3680</v>
      </c>
      <c r="S8849" s="121"/>
      <c r="T8849" s="122"/>
      <c r="U8849" s="22"/>
      <c r="V8849" s="123"/>
      <c r="W8849" s="122"/>
      <c r="X8849" s="221"/>
      <c r="Y8849" s="221"/>
      <c r="Z8849" s="221"/>
      <c r="AA8849" s="221"/>
      <c r="AB8849" s="223"/>
    </row>
    <row r="8850" spans="1:28" ht="17.100000000000001" customHeight="1" thickTop="1">
      <c r="A8850" s="226" t="s">
        <v>24551</v>
      </c>
      <c r="B8850" s="28">
        <v>46151</v>
      </c>
      <c r="C8850" s="25">
        <v>310</v>
      </c>
      <c r="D8850" s="13" t="s">
        <v>2324</v>
      </c>
      <c r="E8850" s="228"/>
      <c r="F8850" s="109" t="s">
        <v>24535</v>
      </c>
      <c r="G8850" s="24" t="s">
        <v>1551</v>
      </c>
      <c r="H8850" s="230">
        <v>4</v>
      </c>
      <c r="I8850" s="220">
        <v>644000</v>
      </c>
      <c r="J8850" s="220">
        <f>I8850*0.1</f>
        <v>64400</v>
      </c>
      <c r="K8850" s="220">
        <v>0</v>
      </c>
      <c r="L8850" s="220">
        <v>7510</v>
      </c>
      <c r="M8850" s="220">
        <v>12100</v>
      </c>
      <c r="N8850" s="220">
        <f>SUM(I8850:M8851)</f>
        <v>728010</v>
      </c>
      <c r="O8850" s="224"/>
      <c r="P8850" s="110" t="s">
        <v>24537</v>
      </c>
      <c r="Q8850" s="15" t="s">
        <v>19</v>
      </c>
      <c r="R8850" s="205"/>
      <c r="S8850" s="189"/>
      <c r="T8850" s="114"/>
      <c r="U8850" s="21"/>
      <c r="V8850" s="115"/>
      <c r="W8850" s="116"/>
      <c r="X8850" s="220"/>
      <c r="Y8850" s="220">
        <f>X8850*0.1</f>
        <v>0</v>
      </c>
      <c r="Z8850" s="220"/>
      <c r="AA8850" s="220">
        <f>SUM(X8850:Z8850)</f>
        <v>0</v>
      </c>
      <c r="AB8850" s="222"/>
    </row>
    <row r="8851" spans="1:28" ht="17.100000000000001" customHeight="1" thickBot="1">
      <c r="A8851" s="227"/>
      <c r="B8851" s="27" t="s">
        <v>3518</v>
      </c>
      <c r="C8851" s="27">
        <v>3109</v>
      </c>
      <c r="D8851" s="14" t="s">
        <v>1710</v>
      </c>
      <c r="E8851" s="229"/>
      <c r="F8851" s="117" t="s">
        <v>24536</v>
      </c>
      <c r="G8851" s="26">
        <v>55692</v>
      </c>
      <c r="H8851" s="231"/>
      <c r="I8851" s="221"/>
      <c r="J8851" s="221"/>
      <c r="K8851" s="221"/>
      <c r="L8851" s="221"/>
      <c r="M8851" s="221"/>
      <c r="N8851" s="221"/>
      <c r="O8851" s="225"/>
      <c r="P8851" s="118" t="s">
        <v>7323</v>
      </c>
      <c r="Q8851" s="16" t="s">
        <v>20</v>
      </c>
      <c r="R8851" s="17" t="s">
        <v>2683</v>
      </c>
      <c r="S8851" s="121"/>
      <c r="T8851" s="122"/>
      <c r="U8851" s="22"/>
      <c r="V8851" s="123"/>
      <c r="W8851" s="122"/>
      <c r="X8851" s="221"/>
      <c r="Y8851" s="221"/>
      <c r="Z8851" s="221"/>
      <c r="AA8851" s="221"/>
      <c r="AB8851" s="223"/>
    </row>
    <row r="8852" spans="1:28" ht="17.100000000000001" customHeight="1" thickTop="1">
      <c r="A8852" s="226" t="s">
        <v>24552</v>
      </c>
      <c r="B8852" s="28">
        <v>46151</v>
      </c>
      <c r="C8852" s="25">
        <v>310</v>
      </c>
      <c r="D8852" s="13" t="s">
        <v>2463</v>
      </c>
      <c r="E8852" s="228"/>
      <c r="F8852" s="109" t="s">
        <v>7061</v>
      </c>
      <c r="G8852" s="24"/>
      <c r="H8852" s="230">
        <v>4</v>
      </c>
      <c r="I8852" s="220">
        <v>653000</v>
      </c>
      <c r="J8852" s="220">
        <f>I8852*0.1</f>
        <v>65300</v>
      </c>
      <c r="K8852" s="220">
        <v>0</v>
      </c>
      <c r="L8852" s="220">
        <v>12450</v>
      </c>
      <c r="M8852" s="220">
        <v>15950</v>
      </c>
      <c r="N8852" s="220">
        <f>SUM(I8852:M8853)</f>
        <v>746700</v>
      </c>
      <c r="O8852" s="224"/>
      <c r="P8852" s="110" t="s">
        <v>24828</v>
      </c>
      <c r="Q8852" s="15" t="s">
        <v>19</v>
      </c>
      <c r="R8852" s="205"/>
      <c r="S8852" s="189"/>
      <c r="T8852" s="114"/>
      <c r="U8852" s="21"/>
      <c r="V8852" s="115">
        <v>46165</v>
      </c>
      <c r="W8852" s="116">
        <v>1301</v>
      </c>
      <c r="X8852" s="220">
        <v>795000</v>
      </c>
      <c r="Y8852" s="220">
        <f>X8852*0.1</f>
        <v>79500</v>
      </c>
      <c r="Z8852" s="220">
        <v>12450</v>
      </c>
      <c r="AA8852" s="220">
        <f>SUM(X8852:Z8852)</f>
        <v>886950</v>
      </c>
      <c r="AB8852" s="222">
        <v>46168</v>
      </c>
    </row>
    <row r="8853" spans="1:28" ht="17.100000000000001" customHeight="1" thickBot="1">
      <c r="A8853" s="227"/>
      <c r="B8853" s="27" t="s">
        <v>3518</v>
      </c>
      <c r="C8853" s="27">
        <v>5030</v>
      </c>
      <c r="D8853" s="14" t="s">
        <v>1584</v>
      </c>
      <c r="E8853" s="229"/>
      <c r="F8853" s="117" t="s">
        <v>24538</v>
      </c>
      <c r="G8853" s="26">
        <v>73286</v>
      </c>
      <c r="H8853" s="231"/>
      <c r="I8853" s="221"/>
      <c r="J8853" s="221"/>
      <c r="K8853" s="221"/>
      <c r="L8853" s="221"/>
      <c r="M8853" s="221"/>
      <c r="N8853" s="221"/>
      <c r="O8853" s="225"/>
      <c r="P8853" s="118" t="s">
        <v>20038</v>
      </c>
      <c r="Q8853" s="16" t="s">
        <v>20</v>
      </c>
      <c r="R8853" s="17" t="s">
        <v>2377</v>
      </c>
      <c r="S8853" s="121" t="s">
        <v>22308</v>
      </c>
      <c r="T8853" s="122"/>
      <c r="U8853" s="22"/>
      <c r="V8853" s="123" t="s">
        <v>2472</v>
      </c>
      <c r="W8853" s="122">
        <v>80061</v>
      </c>
      <c r="X8853" s="221"/>
      <c r="Y8853" s="221"/>
      <c r="Z8853" s="221"/>
      <c r="AA8853" s="221"/>
      <c r="AB8853" s="223"/>
    </row>
    <row r="8854" spans="1:28" ht="17.100000000000001" customHeight="1" thickTop="1">
      <c r="A8854" s="226" t="s">
        <v>24643</v>
      </c>
      <c r="B8854" s="28">
        <v>46153</v>
      </c>
      <c r="C8854" s="25">
        <v>2092</v>
      </c>
      <c r="D8854" s="13" t="s">
        <v>24587</v>
      </c>
      <c r="E8854" s="228"/>
      <c r="F8854" s="109" t="s">
        <v>24589</v>
      </c>
      <c r="G8854" s="24" t="s">
        <v>24591</v>
      </c>
      <c r="H8854" s="230">
        <v>4</v>
      </c>
      <c r="I8854" s="220">
        <v>604000</v>
      </c>
      <c r="J8854" s="220">
        <f>I8854*0.1</f>
        <v>60400</v>
      </c>
      <c r="K8854" s="220">
        <v>0</v>
      </c>
      <c r="L8854" s="220">
        <v>7140</v>
      </c>
      <c r="M8854" s="220">
        <v>8800</v>
      </c>
      <c r="N8854" s="220">
        <f>SUM(I8854:M8855)</f>
        <v>680340</v>
      </c>
      <c r="O8854" s="224"/>
      <c r="P8854" s="110" t="s">
        <v>24592</v>
      </c>
      <c r="Q8854" s="15" t="s">
        <v>19</v>
      </c>
      <c r="R8854" s="205"/>
      <c r="S8854" s="189" t="s">
        <v>1361</v>
      </c>
      <c r="T8854" s="114"/>
      <c r="U8854" s="21"/>
      <c r="V8854" s="115">
        <v>46158</v>
      </c>
      <c r="W8854" s="116">
        <v>1300</v>
      </c>
      <c r="X8854" s="220">
        <v>705000</v>
      </c>
      <c r="Y8854" s="220">
        <f>X8854*0.1</f>
        <v>70500</v>
      </c>
      <c r="Z8854" s="220">
        <v>7140</v>
      </c>
      <c r="AA8854" s="220">
        <f>SUM(X8854:Z8854)</f>
        <v>782640</v>
      </c>
      <c r="AB8854" s="222">
        <v>46161</v>
      </c>
    </row>
    <row r="8855" spans="1:28" ht="17.100000000000001" customHeight="1" thickBot="1">
      <c r="A8855" s="227"/>
      <c r="B8855" s="27" t="s">
        <v>24586</v>
      </c>
      <c r="C8855" s="27">
        <v>11047</v>
      </c>
      <c r="D8855" s="14" t="s">
        <v>24588</v>
      </c>
      <c r="E8855" s="229"/>
      <c r="F8855" s="117" t="s">
        <v>24590</v>
      </c>
      <c r="G8855" s="26">
        <v>25002</v>
      </c>
      <c r="H8855" s="231"/>
      <c r="I8855" s="221"/>
      <c r="J8855" s="221"/>
      <c r="K8855" s="221"/>
      <c r="L8855" s="221"/>
      <c r="M8855" s="221"/>
      <c r="N8855" s="221"/>
      <c r="O8855" s="225"/>
      <c r="P8855" s="118" t="s">
        <v>2287</v>
      </c>
      <c r="Q8855" s="16" t="s">
        <v>20</v>
      </c>
      <c r="R8855" s="17" t="s">
        <v>2377</v>
      </c>
      <c r="S8855" s="121" t="s">
        <v>2350</v>
      </c>
      <c r="T8855" s="122"/>
      <c r="U8855" s="22"/>
      <c r="V8855" s="123" t="s">
        <v>2472</v>
      </c>
      <c r="W8855" s="122">
        <v>60337</v>
      </c>
      <c r="X8855" s="221"/>
      <c r="Y8855" s="221"/>
      <c r="Z8855" s="221"/>
      <c r="AA8855" s="221"/>
      <c r="AB8855" s="223"/>
    </row>
    <row r="8856" spans="1:28" ht="17.100000000000001" customHeight="1" thickTop="1">
      <c r="A8856" s="226" t="s">
        <v>24644</v>
      </c>
      <c r="B8856" s="28">
        <v>46153</v>
      </c>
      <c r="C8856" s="25">
        <v>2092</v>
      </c>
      <c r="D8856" s="13" t="s">
        <v>24600</v>
      </c>
      <c r="E8856" s="228"/>
      <c r="F8856" s="109" t="s">
        <v>24602</v>
      </c>
      <c r="G8856" s="24"/>
      <c r="H8856" s="230">
        <v>4</v>
      </c>
      <c r="I8856" s="220">
        <v>821000</v>
      </c>
      <c r="J8856" s="220">
        <f>I8856*0.1</f>
        <v>82100</v>
      </c>
      <c r="K8856" s="220">
        <v>0</v>
      </c>
      <c r="L8856" s="220">
        <v>15180</v>
      </c>
      <c r="M8856" s="220">
        <v>11000</v>
      </c>
      <c r="N8856" s="220">
        <f>SUM(I8856:M8857)</f>
        <v>929280</v>
      </c>
      <c r="O8856" s="224"/>
      <c r="P8856" s="110" t="s">
        <v>24855</v>
      </c>
      <c r="Q8856" s="15" t="s">
        <v>19</v>
      </c>
      <c r="R8856" s="205"/>
      <c r="S8856" s="189" t="s">
        <v>25446</v>
      </c>
      <c r="T8856" s="114"/>
      <c r="U8856" s="21"/>
      <c r="V8856" s="115"/>
      <c r="W8856" s="116"/>
      <c r="X8856" s="220"/>
      <c r="Y8856" s="220">
        <f>X8856*0.1</f>
        <v>0</v>
      </c>
      <c r="Z8856" s="220"/>
      <c r="AA8856" s="220">
        <f>SUM(X8856:Z8856)</f>
        <v>0</v>
      </c>
      <c r="AB8856" s="222"/>
    </row>
    <row r="8857" spans="1:28" ht="17.100000000000001" customHeight="1" thickBot="1">
      <c r="A8857" s="227"/>
      <c r="B8857" s="27" t="s">
        <v>24586</v>
      </c>
      <c r="C8857" s="27">
        <v>11064</v>
      </c>
      <c r="D8857" s="14" t="s">
        <v>24601</v>
      </c>
      <c r="E8857" s="229"/>
      <c r="F8857" s="117" t="s">
        <v>24603</v>
      </c>
      <c r="G8857" s="26">
        <v>89711</v>
      </c>
      <c r="H8857" s="231"/>
      <c r="I8857" s="221"/>
      <c r="J8857" s="221"/>
      <c r="K8857" s="221"/>
      <c r="L8857" s="221"/>
      <c r="M8857" s="221"/>
      <c r="N8857" s="221"/>
      <c r="O8857" s="225"/>
      <c r="P8857" s="118" t="s">
        <v>4389</v>
      </c>
      <c r="Q8857" s="16" t="s">
        <v>20</v>
      </c>
      <c r="R8857" s="17" t="s">
        <v>3680</v>
      </c>
      <c r="S8857" s="121" t="s">
        <v>1731</v>
      </c>
      <c r="T8857" s="122"/>
      <c r="U8857" s="22"/>
      <c r="V8857" s="123"/>
      <c r="W8857" s="122"/>
      <c r="X8857" s="221"/>
      <c r="Y8857" s="221"/>
      <c r="Z8857" s="221"/>
      <c r="AA8857" s="221"/>
      <c r="AB8857" s="223"/>
    </row>
    <row r="8858" spans="1:28" ht="17.100000000000001" customHeight="1" thickTop="1">
      <c r="A8858" s="226" t="s">
        <v>24645</v>
      </c>
      <c r="B8858" s="28">
        <v>46153</v>
      </c>
      <c r="C8858" s="25">
        <v>2092</v>
      </c>
      <c r="D8858" s="13" t="s">
        <v>24608</v>
      </c>
      <c r="E8858" s="228"/>
      <c r="F8858" s="109" t="s">
        <v>24610</v>
      </c>
      <c r="G8858" s="24"/>
      <c r="H8858" s="230">
        <v>4</v>
      </c>
      <c r="I8858" s="220">
        <v>825000</v>
      </c>
      <c r="J8858" s="220">
        <f>I8858*0.1</f>
        <v>82500</v>
      </c>
      <c r="K8858" s="220">
        <v>0</v>
      </c>
      <c r="L8858" s="220">
        <v>6830</v>
      </c>
      <c r="M8858" s="220">
        <f>19000+1900</f>
        <v>20900</v>
      </c>
      <c r="N8858" s="220">
        <f>SUM(I8858:M8859)</f>
        <v>935230</v>
      </c>
      <c r="O8858" s="224"/>
      <c r="P8858" s="110" t="s">
        <v>24930</v>
      </c>
      <c r="Q8858" s="15" t="s">
        <v>19</v>
      </c>
      <c r="R8858" s="205"/>
      <c r="S8858" s="189" t="s">
        <v>696</v>
      </c>
      <c r="T8858" s="114"/>
      <c r="U8858" s="21"/>
      <c r="V8858" s="115"/>
      <c r="W8858" s="116"/>
      <c r="X8858" s="220"/>
      <c r="Y8858" s="220">
        <f>X8858*0.1</f>
        <v>0</v>
      </c>
      <c r="Z8858" s="220"/>
      <c r="AA8858" s="220">
        <f>SUM(X8858:Z8858)</f>
        <v>0</v>
      </c>
      <c r="AB8858" s="222"/>
    </row>
    <row r="8859" spans="1:28" ht="17.100000000000001" customHeight="1" thickBot="1">
      <c r="A8859" s="227"/>
      <c r="B8859" s="27" t="s">
        <v>24586</v>
      </c>
      <c r="C8859" s="27">
        <v>25134</v>
      </c>
      <c r="D8859" s="14" t="s">
        <v>24609</v>
      </c>
      <c r="E8859" s="229"/>
      <c r="F8859" s="117" t="s">
        <v>24611</v>
      </c>
      <c r="G8859" s="26">
        <v>56923</v>
      </c>
      <c r="H8859" s="231"/>
      <c r="I8859" s="221"/>
      <c r="J8859" s="221"/>
      <c r="K8859" s="221"/>
      <c r="L8859" s="221"/>
      <c r="M8859" s="221"/>
      <c r="N8859" s="221"/>
      <c r="O8859" s="225"/>
      <c r="P8859" s="118" t="s">
        <v>2446</v>
      </c>
      <c r="Q8859" s="16" t="s">
        <v>20</v>
      </c>
      <c r="R8859" s="17" t="s">
        <v>2683</v>
      </c>
      <c r="S8859" s="121"/>
      <c r="T8859" s="122"/>
      <c r="U8859" s="22"/>
      <c r="V8859" s="123"/>
      <c r="W8859" s="122"/>
      <c r="X8859" s="221"/>
      <c r="Y8859" s="221"/>
      <c r="Z8859" s="221"/>
      <c r="AA8859" s="221"/>
      <c r="AB8859" s="223"/>
    </row>
    <row r="8860" spans="1:28" ht="17.100000000000001" customHeight="1" thickTop="1">
      <c r="A8860" s="226" t="s">
        <v>24646</v>
      </c>
      <c r="B8860" s="28">
        <v>46153</v>
      </c>
      <c r="C8860" s="25">
        <v>2092</v>
      </c>
      <c r="D8860" s="13" t="s">
        <v>24593</v>
      </c>
      <c r="E8860" s="228"/>
      <c r="F8860" s="109" t="s">
        <v>24595</v>
      </c>
      <c r="G8860" s="24"/>
      <c r="H8860" s="230">
        <v>4.5</v>
      </c>
      <c r="I8860" s="220">
        <v>1076000</v>
      </c>
      <c r="J8860" s="220">
        <f>I8860*0.1</f>
        <v>107600</v>
      </c>
      <c r="K8860" s="220">
        <v>0</v>
      </c>
      <c r="L8860" s="220">
        <v>14760</v>
      </c>
      <c r="M8860" s="220">
        <v>11000</v>
      </c>
      <c r="N8860" s="220">
        <f>SUM(I8860:M8861)</f>
        <v>1209360</v>
      </c>
      <c r="O8860" s="224"/>
      <c r="P8860" s="110" t="s">
        <v>24994</v>
      </c>
      <c r="Q8860" s="15" t="s">
        <v>19</v>
      </c>
      <c r="R8860" s="205"/>
      <c r="S8860" s="189" t="s">
        <v>25995</v>
      </c>
      <c r="T8860" s="114"/>
      <c r="U8860" s="21"/>
      <c r="V8860" s="115">
        <v>46158</v>
      </c>
      <c r="W8860" s="116">
        <v>1300</v>
      </c>
      <c r="X8860" s="220">
        <v>1255000</v>
      </c>
      <c r="Y8860" s="220">
        <f>X8860*0.1</f>
        <v>125500</v>
      </c>
      <c r="Z8860" s="220">
        <v>14760</v>
      </c>
      <c r="AA8860" s="220">
        <f>SUM(X8860:Z8860)</f>
        <v>1395260</v>
      </c>
      <c r="AB8860" s="222">
        <v>46161</v>
      </c>
    </row>
    <row r="8861" spans="1:28" ht="17.100000000000001" customHeight="1" thickBot="1">
      <c r="A8861" s="227"/>
      <c r="B8861" s="27" t="s">
        <v>24586</v>
      </c>
      <c r="C8861" s="27">
        <v>33503</v>
      </c>
      <c r="D8861" s="14" t="s">
        <v>24594</v>
      </c>
      <c r="E8861" s="229"/>
      <c r="F8861" s="117" t="s">
        <v>24596</v>
      </c>
      <c r="G8861" s="26">
        <v>54065</v>
      </c>
      <c r="H8861" s="231"/>
      <c r="I8861" s="221"/>
      <c r="J8861" s="221"/>
      <c r="K8861" s="221"/>
      <c r="L8861" s="221"/>
      <c r="M8861" s="221"/>
      <c r="N8861" s="221"/>
      <c r="O8861" s="225"/>
      <c r="P8861" s="118" t="s">
        <v>4735</v>
      </c>
      <c r="Q8861" s="16" t="s">
        <v>20</v>
      </c>
      <c r="R8861" s="17" t="s">
        <v>24991</v>
      </c>
      <c r="S8861" s="121" t="s">
        <v>5180</v>
      </c>
      <c r="T8861" s="122"/>
      <c r="U8861" s="22"/>
      <c r="V8861" s="123" t="s">
        <v>2472</v>
      </c>
      <c r="W8861" s="122">
        <v>80357</v>
      </c>
      <c r="X8861" s="221"/>
      <c r="Y8861" s="221"/>
      <c r="Z8861" s="221"/>
      <c r="AA8861" s="221"/>
      <c r="AB8861" s="223"/>
    </row>
    <row r="8862" spans="1:28" ht="17.100000000000001" customHeight="1" thickTop="1">
      <c r="A8862" s="226" t="s">
        <v>24647</v>
      </c>
      <c r="B8862" s="28">
        <v>46153</v>
      </c>
      <c r="C8862" s="25">
        <v>2092</v>
      </c>
      <c r="D8862" s="13" t="s">
        <v>24612</v>
      </c>
      <c r="E8862" s="228"/>
      <c r="F8862" s="109" t="s">
        <v>24614</v>
      </c>
      <c r="G8862" s="24"/>
      <c r="H8862" s="230">
        <v>4.5</v>
      </c>
      <c r="I8862" s="220">
        <v>716000</v>
      </c>
      <c r="J8862" s="220">
        <f>I8862*0.1</f>
        <v>71600</v>
      </c>
      <c r="K8862" s="220">
        <v>0</v>
      </c>
      <c r="L8862" s="220">
        <v>19150</v>
      </c>
      <c r="M8862" s="220">
        <v>11000</v>
      </c>
      <c r="N8862" s="220">
        <f>SUM(I8862:M8863)</f>
        <v>817750</v>
      </c>
      <c r="O8862" s="224"/>
      <c r="P8862" s="110" t="s">
        <v>25283</v>
      </c>
      <c r="Q8862" s="15" t="s">
        <v>19</v>
      </c>
      <c r="R8862" s="205"/>
      <c r="S8862" s="189" t="s">
        <v>25996</v>
      </c>
      <c r="T8862" s="114"/>
      <c r="U8862" s="21"/>
      <c r="V8862" s="115">
        <v>46158</v>
      </c>
      <c r="W8862" s="116">
        <v>1300</v>
      </c>
      <c r="X8862" s="220">
        <v>1050000</v>
      </c>
      <c r="Y8862" s="220">
        <f>X8862*0.1</f>
        <v>105000</v>
      </c>
      <c r="Z8862" s="220">
        <v>19150</v>
      </c>
      <c r="AA8862" s="220">
        <f>SUM(X8862:Z8862)</f>
        <v>1174150</v>
      </c>
      <c r="AB8862" s="222">
        <v>46167</v>
      </c>
    </row>
    <row r="8863" spans="1:28" ht="17.100000000000001" customHeight="1" thickBot="1">
      <c r="A8863" s="227"/>
      <c r="B8863" s="27" t="s">
        <v>24586</v>
      </c>
      <c r="C8863" s="27">
        <v>34533</v>
      </c>
      <c r="D8863" s="14" t="s">
        <v>24613</v>
      </c>
      <c r="E8863" s="229"/>
      <c r="F8863" s="117" t="s">
        <v>24615</v>
      </c>
      <c r="G8863" s="26">
        <v>76879</v>
      </c>
      <c r="H8863" s="231"/>
      <c r="I8863" s="221"/>
      <c r="J8863" s="221"/>
      <c r="K8863" s="221"/>
      <c r="L8863" s="221"/>
      <c r="M8863" s="221"/>
      <c r="N8863" s="221"/>
      <c r="O8863" s="225"/>
      <c r="P8863" s="118" t="s">
        <v>25284</v>
      </c>
      <c r="Q8863" s="16" t="s">
        <v>20</v>
      </c>
      <c r="R8863" s="17" t="s">
        <v>1952</v>
      </c>
      <c r="S8863" s="121" t="s">
        <v>4991</v>
      </c>
      <c r="T8863" s="122"/>
      <c r="U8863" s="22"/>
      <c r="V8863" s="123" t="s">
        <v>2472</v>
      </c>
      <c r="W8863" s="122">
        <v>80422</v>
      </c>
      <c r="X8863" s="221"/>
      <c r="Y8863" s="221"/>
      <c r="Z8863" s="221"/>
      <c r="AA8863" s="221"/>
      <c r="AB8863" s="223"/>
    </row>
    <row r="8864" spans="1:28" ht="17.100000000000001" customHeight="1" thickTop="1">
      <c r="A8864" s="226" t="s">
        <v>24648</v>
      </c>
      <c r="B8864" s="28">
        <v>46153</v>
      </c>
      <c r="C8864" s="25">
        <v>2092</v>
      </c>
      <c r="D8864" s="13" t="s">
        <v>24616</v>
      </c>
      <c r="E8864" s="228"/>
      <c r="F8864" s="109" t="s">
        <v>24617</v>
      </c>
      <c r="G8864" s="24" t="s">
        <v>24619</v>
      </c>
      <c r="H8864" s="230">
        <v>4</v>
      </c>
      <c r="I8864" s="220">
        <v>560000</v>
      </c>
      <c r="J8864" s="220">
        <f>I8864*0.1</f>
        <v>56000</v>
      </c>
      <c r="K8864" s="220">
        <f>32900+290</f>
        <v>33190</v>
      </c>
      <c r="L8864" s="220">
        <v>20170</v>
      </c>
      <c r="M8864" s="220">
        <v>11000</v>
      </c>
      <c r="N8864" s="220">
        <f>SUM(I8864:M8865)</f>
        <v>680360</v>
      </c>
      <c r="O8864" s="224"/>
      <c r="P8864" s="110" t="s">
        <v>24620</v>
      </c>
      <c r="Q8864" s="15" t="s">
        <v>19</v>
      </c>
      <c r="R8864" s="205"/>
      <c r="S8864" s="189" t="s">
        <v>25997</v>
      </c>
      <c r="T8864" s="114"/>
      <c r="U8864" s="21"/>
      <c r="V8864" s="115"/>
      <c r="W8864" s="116"/>
      <c r="X8864" s="220"/>
      <c r="Y8864" s="220">
        <f>X8864*0.1</f>
        <v>0</v>
      </c>
      <c r="Z8864" s="220"/>
      <c r="AA8864" s="220">
        <f>SUM(X8864:Z8864)</f>
        <v>0</v>
      </c>
      <c r="AB8864" s="222"/>
    </row>
    <row r="8865" spans="1:28" ht="17.100000000000001" customHeight="1" thickBot="1">
      <c r="A8865" s="227"/>
      <c r="B8865" s="27" t="s">
        <v>24586</v>
      </c>
      <c r="C8865" s="27">
        <v>36014</v>
      </c>
      <c r="D8865" s="14" t="s">
        <v>24601</v>
      </c>
      <c r="E8865" s="229"/>
      <c r="F8865" s="117" t="s">
        <v>24618</v>
      </c>
      <c r="G8865" s="26">
        <v>85327</v>
      </c>
      <c r="H8865" s="231"/>
      <c r="I8865" s="221"/>
      <c r="J8865" s="221"/>
      <c r="K8865" s="221"/>
      <c r="L8865" s="221"/>
      <c r="M8865" s="221"/>
      <c r="N8865" s="221"/>
      <c r="O8865" s="225"/>
      <c r="P8865" s="118" t="s">
        <v>24827</v>
      </c>
      <c r="Q8865" s="16" t="s">
        <v>20</v>
      </c>
      <c r="R8865" s="17" t="s">
        <v>2377</v>
      </c>
      <c r="S8865" s="121" t="s">
        <v>1606</v>
      </c>
      <c r="T8865" s="122"/>
      <c r="U8865" s="22"/>
      <c r="V8865" s="123"/>
      <c r="W8865" s="122"/>
      <c r="X8865" s="221"/>
      <c r="Y8865" s="221"/>
      <c r="Z8865" s="221"/>
      <c r="AA8865" s="221"/>
      <c r="AB8865" s="223"/>
    </row>
    <row r="8866" spans="1:28" ht="17.100000000000001" customHeight="1" thickTop="1">
      <c r="A8866" s="226" t="s">
        <v>24649</v>
      </c>
      <c r="B8866" s="28">
        <v>46153</v>
      </c>
      <c r="C8866" s="25"/>
      <c r="D8866" s="13" t="s">
        <v>24632</v>
      </c>
      <c r="E8866" s="228"/>
      <c r="F8866" s="109" t="s">
        <v>24633</v>
      </c>
      <c r="G8866" s="24" t="s">
        <v>24634</v>
      </c>
      <c r="H8866" s="230">
        <v>4</v>
      </c>
      <c r="I8866" s="220">
        <v>830000</v>
      </c>
      <c r="J8866" s="220">
        <f>I8866*0.1</f>
        <v>83000</v>
      </c>
      <c r="K8866" s="220">
        <f>32900+3290</f>
        <v>36190</v>
      </c>
      <c r="L8866" s="220">
        <v>22240</v>
      </c>
      <c r="M8866" s="220">
        <v>25850</v>
      </c>
      <c r="N8866" s="220">
        <f>SUM(I8866:M8867)</f>
        <v>997280</v>
      </c>
      <c r="O8866" s="224"/>
      <c r="P8866" s="110" t="s">
        <v>24635</v>
      </c>
      <c r="Q8866" s="15" t="s">
        <v>19</v>
      </c>
      <c r="R8866" s="205"/>
      <c r="S8866" s="189" t="s">
        <v>25998</v>
      </c>
      <c r="T8866" s="114"/>
      <c r="U8866" s="21"/>
      <c r="V8866" s="115">
        <v>46158</v>
      </c>
      <c r="W8866" s="116">
        <v>1300</v>
      </c>
      <c r="X8866" s="220">
        <v>875000</v>
      </c>
      <c r="Y8866" s="220">
        <f>X8866*0.1</f>
        <v>87500</v>
      </c>
      <c r="Z8866" s="220">
        <v>22240</v>
      </c>
      <c r="AA8866" s="220">
        <f>SUM(X8866:Z8866)</f>
        <v>984740</v>
      </c>
      <c r="AB8866" s="222">
        <v>46161</v>
      </c>
    </row>
    <row r="8867" spans="1:28" ht="17.100000000000001" customHeight="1" thickBot="1">
      <c r="A8867" s="227"/>
      <c r="B8867" s="27" t="s">
        <v>24574</v>
      </c>
      <c r="C8867" s="27">
        <v>50076</v>
      </c>
      <c r="D8867" s="14" t="s">
        <v>131</v>
      </c>
      <c r="E8867" s="229"/>
      <c r="F8867" s="117" t="s">
        <v>24919</v>
      </c>
      <c r="G8867" s="26">
        <v>59474</v>
      </c>
      <c r="H8867" s="231"/>
      <c r="I8867" s="221"/>
      <c r="J8867" s="221"/>
      <c r="K8867" s="221"/>
      <c r="L8867" s="221"/>
      <c r="M8867" s="221"/>
      <c r="N8867" s="221"/>
      <c r="O8867" s="225"/>
      <c r="P8867" s="118" t="s">
        <v>24920</v>
      </c>
      <c r="Q8867" s="16" t="s">
        <v>20</v>
      </c>
      <c r="R8867" s="17" t="s">
        <v>2683</v>
      </c>
      <c r="S8867" s="121" t="s">
        <v>4378</v>
      </c>
      <c r="T8867" s="122"/>
      <c r="U8867" s="22"/>
      <c r="V8867" s="123" t="s">
        <v>2472</v>
      </c>
      <c r="W8867" s="122">
        <v>80427</v>
      </c>
      <c r="X8867" s="221"/>
      <c r="Y8867" s="221"/>
      <c r="Z8867" s="221"/>
      <c r="AA8867" s="221"/>
      <c r="AB8867" s="223"/>
    </row>
    <row r="8868" spans="1:28" ht="17.100000000000001" customHeight="1" thickTop="1">
      <c r="A8868" s="226" t="s">
        <v>24650</v>
      </c>
      <c r="B8868" s="28">
        <v>46153</v>
      </c>
      <c r="C8868" s="25"/>
      <c r="D8868" s="13" t="s">
        <v>24622</v>
      </c>
      <c r="E8868" s="228"/>
      <c r="F8868" s="109" t="s">
        <v>24623</v>
      </c>
      <c r="G8868" s="24"/>
      <c r="H8868" s="230">
        <v>4</v>
      </c>
      <c r="I8868" s="220">
        <v>650000</v>
      </c>
      <c r="J8868" s="220">
        <f>I8868*0.1</f>
        <v>65000</v>
      </c>
      <c r="K8868" s="220">
        <v>0</v>
      </c>
      <c r="L8868" s="220">
        <v>16160</v>
      </c>
      <c r="M8868" s="220">
        <v>15950</v>
      </c>
      <c r="N8868" s="220">
        <f>SUM(I8868:M8869)</f>
        <v>747110</v>
      </c>
      <c r="O8868" s="224"/>
      <c r="P8868" s="110" t="s">
        <v>25259</v>
      </c>
      <c r="Q8868" s="15" t="s">
        <v>19</v>
      </c>
      <c r="R8868" s="205"/>
      <c r="S8868" s="189"/>
      <c r="T8868" s="114"/>
      <c r="U8868" s="21"/>
      <c r="V8868" s="115">
        <v>46158</v>
      </c>
      <c r="W8868" s="116">
        <v>1300</v>
      </c>
      <c r="X8868" s="220">
        <v>765000</v>
      </c>
      <c r="Y8868" s="220">
        <f>X8868*0.1</f>
        <v>76500</v>
      </c>
      <c r="Z8868" s="220">
        <v>16160</v>
      </c>
      <c r="AA8868" s="220">
        <f>SUM(X8868:Z8868)</f>
        <v>857660</v>
      </c>
      <c r="AB8868" s="222">
        <v>46167</v>
      </c>
    </row>
    <row r="8869" spans="1:28" ht="17.100000000000001" customHeight="1" thickBot="1">
      <c r="A8869" s="227"/>
      <c r="B8869" s="27" t="s">
        <v>24621</v>
      </c>
      <c r="C8869" s="27">
        <v>80253</v>
      </c>
      <c r="D8869" s="14" t="s">
        <v>24613</v>
      </c>
      <c r="E8869" s="229"/>
      <c r="F8869" s="117" t="s">
        <v>25258</v>
      </c>
      <c r="G8869" s="26">
        <v>51579</v>
      </c>
      <c r="H8869" s="231"/>
      <c r="I8869" s="221"/>
      <c r="J8869" s="221"/>
      <c r="K8869" s="221"/>
      <c r="L8869" s="221"/>
      <c r="M8869" s="221"/>
      <c r="N8869" s="221"/>
      <c r="O8869" s="225"/>
      <c r="P8869" s="118" t="s">
        <v>3247</v>
      </c>
      <c r="Q8869" s="16" t="s">
        <v>20</v>
      </c>
      <c r="R8869" s="17" t="s">
        <v>1952</v>
      </c>
      <c r="S8869" s="121" t="s">
        <v>7720</v>
      </c>
      <c r="T8869" s="122"/>
      <c r="U8869" s="22"/>
      <c r="V8869" s="123" t="s">
        <v>2472</v>
      </c>
      <c r="W8869" s="122">
        <v>80290</v>
      </c>
      <c r="X8869" s="221"/>
      <c r="Y8869" s="221"/>
      <c r="Z8869" s="221"/>
      <c r="AA8869" s="221"/>
      <c r="AB8869" s="223"/>
    </row>
    <row r="8870" spans="1:28" ht="17.100000000000001" customHeight="1" thickTop="1">
      <c r="A8870" s="226" t="s">
        <v>24651</v>
      </c>
      <c r="B8870" s="28">
        <v>46153</v>
      </c>
      <c r="C8870" s="25"/>
      <c r="D8870" s="13" t="s">
        <v>1973</v>
      </c>
      <c r="E8870" s="228"/>
      <c r="F8870" s="109" t="s">
        <v>24597</v>
      </c>
      <c r="G8870" s="24" t="s">
        <v>1551</v>
      </c>
      <c r="H8870" s="230">
        <v>4</v>
      </c>
      <c r="I8870" s="220">
        <v>2810000</v>
      </c>
      <c r="J8870" s="220">
        <f>I8870*0.1</f>
        <v>281000</v>
      </c>
      <c r="K8870" s="220">
        <f>36200+3620</f>
        <v>39820</v>
      </c>
      <c r="L8870" s="220">
        <v>15040</v>
      </c>
      <c r="M8870" s="220">
        <v>15950</v>
      </c>
      <c r="N8870" s="220">
        <f>SUM(I8870:M8871)</f>
        <v>3161810</v>
      </c>
      <c r="O8870" s="224"/>
      <c r="P8870" s="110" t="s">
        <v>24599</v>
      </c>
      <c r="Q8870" s="15" t="s">
        <v>19</v>
      </c>
      <c r="R8870" s="205"/>
      <c r="S8870" s="189" t="s">
        <v>25797</v>
      </c>
      <c r="T8870" s="114"/>
      <c r="U8870" s="21"/>
      <c r="V8870" s="115"/>
      <c r="W8870" s="116"/>
      <c r="X8870" s="220"/>
      <c r="Y8870" s="220">
        <f>X8870*0.1</f>
        <v>0</v>
      </c>
      <c r="Z8870" s="220"/>
      <c r="AA8870" s="220">
        <f>SUM(X8870:Z8870)</f>
        <v>0</v>
      </c>
      <c r="AB8870" s="222"/>
    </row>
    <row r="8871" spans="1:28" ht="17.100000000000001" customHeight="1" thickBot="1">
      <c r="A8871" s="227"/>
      <c r="B8871" s="27" t="s">
        <v>17072</v>
      </c>
      <c r="C8871" s="27">
        <v>60155</v>
      </c>
      <c r="D8871" s="14" t="s">
        <v>273</v>
      </c>
      <c r="E8871" s="229"/>
      <c r="F8871" s="117" t="s">
        <v>24598</v>
      </c>
      <c r="G8871" s="26">
        <v>11339</v>
      </c>
      <c r="H8871" s="231"/>
      <c r="I8871" s="221"/>
      <c r="J8871" s="221"/>
      <c r="K8871" s="221"/>
      <c r="L8871" s="221"/>
      <c r="M8871" s="221"/>
      <c r="N8871" s="221"/>
      <c r="O8871" s="225"/>
      <c r="P8871" s="118" t="s">
        <v>25262</v>
      </c>
      <c r="Q8871" s="16" t="s">
        <v>20</v>
      </c>
      <c r="R8871" s="17" t="s">
        <v>1952</v>
      </c>
      <c r="S8871" s="121" t="s">
        <v>8652</v>
      </c>
      <c r="T8871" s="122"/>
      <c r="U8871" s="22"/>
      <c r="V8871" s="123"/>
      <c r="W8871" s="122"/>
      <c r="X8871" s="221"/>
      <c r="Y8871" s="221"/>
      <c r="Z8871" s="221"/>
      <c r="AA8871" s="221"/>
      <c r="AB8871" s="223"/>
    </row>
    <row r="8872" spans="1:28" ht="17.100000000000001" customHeight="1" thickTop="1">
      <c r="A8872" s="226" t="s">
        <v>24652</v>
      </c>
      <c r="B8872" s="28">
        <v>46153</v>
      </c>
      <c r="C8872" s="25"/>
      <c r="D8872" s="13" t="s">
        <v>24575</v>
      </c>
      <c r="E8872" s="228"/>
      <c r="F8872" s="109" t="s">
        <v>24576</v>
      </c>
      <c r="G8872" s="24" t="s">
        <v>24577</v>
      </c>
      <c r="H8872" s="230">
        <v>4</v>
      </c>
      <c r="I8872" s="220">
        <v>530000</v>
      </c>
      <c r="J8872" s="220">
        <f>I8872*0.1</f>
        <v>53000</v>
      </c>
      <c r="K8872" s="220">
        <f>37800+3780</f>
        <v>41580</v>
      </c>
      <c r="L8872" s="220">
        <v>15940</v>
      </c>
      <c r="M8872" s="220">
        <v>15950</v>
      </c>
      <c r="N8872" s="220">
        <f>SUM(I8872:M8873)</f>
        <v>656470</v>
      </c>
      <c r="O8872" s="224"/>
      <c r="P8872" s="110" t="s">
        <v>24578</v>
      </c>
      <c r="Q8872" s="15" t="s">
        <v>19</v>
      </c>
      <c r="R8872" s="205"/>
      <c r="S8872" s="189"/>
      <c r="T8872" s="114"/>
      <c r="U8872" s="21"/>
      <c r="V8872" s="115">
        <v>46158</v>
      </c>
      <c r="W8872" s="116">
        <v>1300</v>
      </c>
      <c r="X8872" s="220">
        <v>660000</v>
      </c>
      <c r="Y8872" s="220">
        <f>X8872*0.1</f>
        <v>66000</v>
      </c>
      <c r="Z8872" s="220">
        <v>15940</v>
      </c>
      <c r="AA8872" s="220">
        <f>SUM(X8872:Z8872)</f>
        <v>741940</v>
      </c>
      <c r="AB8872" s="222">
        <v>46167</v>
      </c>
    </row>
    <row r="8873" spans="1:28" ht="17.100000000000001" customHeight="1" thickBot="1">
      <c r="A8873" s="227"/>
      <c r="B8873" s="27" t="s">
        <v>24585</v>
      </c>
      <c r="C8873" s="27">
        <v>50050</v>
      </c>
      <c r="D8873" s="14" t="s">
        <v>2559</v>
      </c>
      <c r="E8873" s="229"/>
      <c r="F8873" s="117" t="s">
        <v>25012</v>
      </c>
      <c r="G8873" s="26">
        <v>41790</v>
      </c>
      <c r="H8873" s="231"/>
      <c r="I8873" s="221"/>
      <c r="J8873" s="221"/>
      <c r="K8873" s="221"/>
      <c r="L8873" s="221"/>
      <c r="M8873" s="221"/>
      <c r="N8873" s="221"/>
      <c r="O8873" s="225"/>
      <c r="P8873" s="118" t="s">
        <v>25013</v>
      </c>
      <c r="Q8873" s="16" t="s">
        <v>20</v>
      </c>
      <c r="R8873" s="17" t="s">
        <v>24991</v>
      </c>
      <c r="S8873" s="121" t="s">
        <v>25014</v>
      </c>
      <c r="T8873" s="122"/>
      <c r="U8873" s="22"/>
      <c r="V8873" s="123" t="s">
        <v>6641</v>
      </c>
      <c r="W8873" s="122">
        <v>80348</v>
      </c>
      <c r="X8873" s="221"/>
      <c r="Y8873" s="221"/>
      <c r="Z8873" s="221"/>
      <c r="AA8873" s="221"/>
      <c r="AB8873" s="223"/>
    </row>
    <row r="8874" spans="1:28" ht="17.100000000000001" customHeight="1" thickTop="1">
      <c r="A8874" s="226" t="s">
        <v>24653</v>
      </c>
      <c r="B8874" s="28">
        <v>46153</v>
      </c>
      <c r="C8874" s="25"/>
      <c r="D8874" s="13" t="s">
        <v>24626</v>
      </c>
      <c r="E8874" s="228"/>
      <c r="F8874" s="109" t="s">
        <v>24627</v>
      </c>
      <c r="G8874" s="24" t="s">
        <v>24628</v>
      </c>
      <c r="H8874" s="230">
        <v>4.5</v>
      </c>
      <c r="I8874" s="220">
        <f>2150000</f>
        <v>2150000</v>
      </c>
      <c r="J8874" s="220">
        <f>I8874*0.1</f>
        <v>215000</v>
      </c>
      <c r="K8874" s="220">
        <v>32600</v>
      </c>
      <c r="L8874" s="220">
        <v>11710</v>
      </c>
      <c r="M8874" s="220">
        <v>0</v>
      </c>
      <c r="N8874" s="220">
        <f>SUM(I8874:M8875)</f>
        <v>2409310</v>
      </c>
      <c r="O8874" s="224"/>
      <c r="P8874" s="110"/>
      <c r="Q8874" s="15" t="s">
        <v>19</v>
      </c>
      <c r="R8874" s="205"/>
      <c r="S8874" s="189" t="s">
        <v>25386</v>
      </c>
      <c r="T8874" s="114"/>
      <c r="U8874" s="21"/>
      <c r="V8874" s="115"/>
      <c r="W8874" s="116"/>
      <c r="X8874" s="220"/>
      <c r="Y8874" s="220">
        <f>X8874*0.1</f>
        <v>0</v>
      </c>
      <c r="Z8874" s="220"/>
      <c r="AA8874" s="220">
        <f>SUM(X8874:Z8874)</f>
        <v>0</v>
      </c>
      <c r="AB8874" s="222"/>
    </row>
    <row r="8875" spans="1:28" ht="17.100000000000001" customHeight="1" thickBot="1">
      <c r="A8875" s="227"/>
      <c r="B8875" s="27" t="s">
        <v>24624</v>
      </c>
      <c r="C8875" s="27" t="s">
        <v>24625</v>
      </c>
      <c r="D8875" s="14" t="s">
        <v>24630</v>
      </c>
      <c r="E8875" s="229"/>
      <c r="F8875" s="117" t="s">
        <v>24629</v>
      </c>
      <c r="G8875" s="26">
        <v>7805</v>
      </c>
      <c r="H8875" s="231"/>
      <c r="I8875" s="221"/>
      <c r="J8875" s="221"/>
      <c r="K8875" s="221"/>
      <c r="L8875" s="221"/>
      <c r="M8875" s="221"/>
      <c r="N8875" s="221"/>
      <c r="O8875" s="225"/>
      <c r="P8875" s="118"/>
      <c r="Q8875" s="16" t="s">
        <v>20</v>
      </c>
      <c r="R8875" s="17"/>
      <c r="S8875" s="121"/>
      <c r="T8875" s="122"/>
      <c r="U8875" s="22"/>
      <c r="V8875" s="123"/>
      <c r="W8875" s="122"/>
      <c r="X8875" s="221"/>
      <c r="Y8875" s="221"/>
      <c r="Z8875" s="221"/>
      <c r="AA8875" s="221"/>
      <c r="AB8875" s="223"/>
    </row>
    <row r="8876" spans="1:28" ht="17.100000000000001" customHeight="1" thickTop="1">
      <c r="A8876" s="226" t="s">
        <v>24704</v>
      </c>
      <c r="B8876" s="28">
        <v>46154</v>
      </c>
      <c r="C8876" s="25">
        <v>1940</v>
      </c>
      <c r="D8876" s="13" t="s">
        <v>1887</v>
      </c>
      <c r="E8876" s="228"/>
      <c r="F8876" s="109" t="s">
        <v>15197</v>
      </c>
      <c r="G8876" s="24"/>
      <c r="H8876" s="230">
        <v>4.5</v>
      </c>
      <c r="I8876" s="220">
        <v>558000</v>
      </c>
      <c r="J8876" s="220">
        <f>I8876*0.1</f>
        <v>55800</v>
      </c>
      <c r="K8876" s="220">
        <v>0</v>
      </c>
      <c r="L8876" s="220">
        <v>6550</v>
      </c>
      <c r="M8876" s="220">
        <v>15950</v>
      </c>
      <c r="N8876" s="220">
        <f>SUM(I8876:M8877)</f>
        <v>636300</v>
      </c>
      <c r="O8876" s="224"/>
      <c r="P8876" s="110" t="s">
        <v>25002</v>
      </c>
      <c r="Q8876" s="15" t="s">
        <v>19</v>
      </c>
      <c r="R8876" s="205"/>
      <c r="S8876" s="189"/>
      <c r="T8876" s="114"/>
      <c r="U8876" s="21"/>
      <c r="V8876" s="115"/>
      <c r="W8876" s="116"/>
      <c r="X8876" s="220"/>
      <c r="Y8876" s="220">
        <f>X8876*0.1</f>
        <v>0</v>
      </c>
      <c r="Z8876" s="220"/>
      <c r="AA8876" s="220">
        <f>SUM(X8876:Z8876)</f>
        <v>0</v>
      </c>
      <c r="AB8876" s="222"/>
    </row>
    <row r="8877" spans="1:28" ht="17.100000000000001" customHeight="1" thickBot="1">
      <c r="A8877" s="227"/>
      <c r="B8877" s="27" t="s">
        <v>2103</v>
      </c>
      <c r="C8877" s="27">
        <v>3267</v>
      </c>
      <c r="D8877" s="14" t="s">
        <v>1710</v>
      </c>
      <c r="E8877" s="229"/>
      <c r="F8877" s="117" t="s">
        <v>24684</v>
      </c>
      <c r="G8877" s="26">
        <v>13700</v>
      </c>
      <c r="H8877" s="231"/>
      <c r="I8877" s="221"/>
      <c r="J8877" s="221"/>
      <c r="K8877" s="221"/>
      <c r="L8877" s="221"/>
      <c r="M8877" s="221"/>
      <c r="N8877" s="221"/>
      <c r="O8877" s="225"/>
      <c r="P8877" s="118" t="s">
        <v>7323</v>
      </c>
      <c r="Q8877" s="16" t="s">
        <v>20</v>
      </c>
      <c r="R8877" s="17" t="s">
        <v>24991</v>
      </c>
      <c r="S8877" s="121" t="s">
        <v>10124</v>
      </c>
      <c r="T8877" s="122"/>
      <c r="U8877" s="22"/>
      <c r="V8877" s="123"/>
      <c r="W8877" s="122"/>
      <c r="X8877" s="221"/>
      <c r="Y8877" s="221"/>
      <c r="Z8877" s="221"/>
      <c r="AA8877" s="221"/>
      <c r="AB8877" s="223"/>
    </row>
    <row r="8878" spans="1:28" ht="17.100000000000001" customHeight="1" thickTop="1">
      <c r="A8878" s="226" t="s">
        <v>24705</v>
      </c>
      <c r="B8878" s="28">
        <v>46154</v>
      </c>
      <c r="C8878" s="25">
        <v>1940</v>
      </c>
      <c r="D8878" s="13" t="s">
        <v>5508</v>
      </c>
      <c r="E8878" s="228"/>
      <c r="F8878" s="109" t="s">
        <v>23713</v>
      </c>
      <c r="G8878" s="24"/>
      <c r="H8878" s="230">
        <v>4</v>
      </c>
      <c r="I8878" s="220">
        <v>331000</v>
      </c>
      <c r="J8878" s="220">
        <f>I8878*0.1</f>
        <v>33100</v>
      </c>
      <c r="K8878" s="220">
        <v>0</v>
      </c>
      <c r="L8878" s="220">
        <v>9770</v>
      </c>
      <c r="M8878" s="220">
        <v>15950</v>
      </c>
      <c r="N8878" s="220">
        <f>SUM(I8878:M8879)</f>
        <v>389820</v>
      </c>
      <c r="O8878" s="224"/>
      <c r="P8878" s="110" t="s">
        <v>24935</v>
      </c>
      <c r="Q8878" s="15" t="s">
        <v>24631</v>
      </c>
      <c r="R8878" s="205"/>
      <c r="S8878" s="189"/>
      <c r="T8878" s="114"/>
      <c r="U8878" s="21"/>
      <c r="V8878" s="115">
        <v>46158</v>
      </c>
      <c r="W8878" s="116">
        <v>1300</v>
      </c>
      <c r="X8878" s="220">
        <v>430000</v>
      </c>
      <c r="Y8878" s="220">
        <f>X8878*0.1</f>
        <v>43000</v>
      </c>
      <c r="Z8878" s="220">
        <v>9770</v>
      </c>
      <c r="AA8878" s="220">
        <f>SUM(X8878:Z8878)</f>
        <v>482770</v>
      </c>
      <c r="AB8878" s="222">
        <v>46161</v>
      </c>
    </row>
    <row r="8879" spans="1:28" ht="17.100000000000001" customHeight="1" thickBot="1">
      <c r="A8879" s="227"/>
      <c r="B8879" s="27" t="s">
        <v>2103</v>
      </c>
      <c r="C8879" s="27">
        <v>3423</v>
      </c>
      <c r="D8879" s="14" t="s">
        <v>1710</v>
      </c>
      <c r="E8879" s="229"/>
      <c r="F8879" s="117" t="s">
        <v>24685</v>
      </c>
      <c r="G8879" s="26">
        <v>51565</v>
      </c>
      <c r="H8879" s="231"/>
      <c r="I8879" s="221"/>
      <c r="J8879" s="221"/>
      <c r="K8879" s="221"/>
      <c r="L8879" s="221"/>
      <c r="M8879" s="221"/>
      <c r="N8879" s="221"/>
      <c r="O8879" s="225"/>
      <c r="P8879" s="118" t="s">
        <v>24936</v>
      </c>
      <c r="Q8879" s="16" t="s">
        <v>20</v>
      </c>
      <c r="R8879" s="17" t="s">
        <v>2683</v>
      </c>
      <c r="S8879" s="121" t="s">
        <v>4008</v>
      </c>
      <c r="T8879" s="122"/>
      <c r="U8879" s="22"/>
      <c r="V8879" s="123" t="s">
        <v>2472</v>
      </c>
      <c r="W8879" s="122">
        <v>60353</v>
      </c>
      <c r="X8879" s="221"/>
      <c r="Y8879" s="221"/>
      <c r="Z8879" s="221"/>
      <c r="AA8879" s="221"/>
      <c r="AB8879" s="223"/>
    </row>
    <row r="8880" spans="1:28" ht="17.100000000000001" customHeight="1" thickTop="1">
      <c r="A8880" s="226" t="s">
        <v>24706</v>
      </c>
      <c r="B8880" s="28">
        <v>46154</v>
      </c>
      <c r="C8880" s="25">
        <v>1940</v>
      </c>
      <c r="D8880" s="13" t="s">
        <v>1578</v>
      </c>
      <c r="E8880" s="228"/>
      <c r="F8880" s="109" t="s">
        <v>24686</v>
      </c>
      <c r="G8880" s="24"/>
      <c r="H8880" s="230">
        <v>4</v>
      </c>
      <c r="I8880" s="220">
        <v>1083000</v>
      </c>
      <c r="J8880" s="220">
        <f>I8880*0.1</f>
        <v>108300</v>
      </c>
      <c r="K8880" s="220">
        <v>0</v>
      </c>
      <c r="L8880" s="220">
        <v>18570</v>
      </c>
      <c r="M8880" s="220">
        <v>15950</v>
      </c>
      <c r="N8880" s="220">
        <f>SUM(I8880:M8881)</f>
        <v>1225820</v>
      </c>
      <c r="O8880" s="224"/>
      <c r="P8880" s="110" t="s">
        <v>24926</v>
      </c>
      <c r="Q8880" s="15" t="s">
        <v>19</v>
      </c>
      <c r="R8880" s="205"/>
      <c r="S8880" s="189"/>
      <c r="T8880" s="114"/>
      <c r="U8880" s="21"/>
      <c r="V8880" s="115">
        <v>46158</v>
      </c>
      <c r="W8880" s="116">
        <v>1300</v>
      </c>
      <c r="X8880" s="220">
        <v>1195000</v>
      </c>
      <c r="Y8880" s="220">
        <f>X8880*0.1</f>
        <v>119500</v>
      </c>
      <c r="Z8880" s="220">
        <v>18570</v>
      </c>
      <c r="AA8880" s="220">
        <f>SUM(X8880:Z8880)</f>
        <v>1333070</v>
      </c>
      <c r="AB8880" s="222">
        <v>46161</v>
      </c>
    </row>
    <row r="8881" spans="1:28" ht="17.100000000000001" customHeight="1" thickBot="1">
      <c r="A8881" s="227"/>
      <c r="B8881" s="27" t="s">
        <v>2103</v>
      </c>
      <c r="C8881" s="27">
        <v>32058</v>
      </c>
      <c r="D8881" s="14" t="s">
        <v>1568</v>
      </c>
      <c r="E8881" s="229"/>
      <c r="F8881" s="117" t="s">
        <v>24746</v>
      </c>
      <c r="G8881" s="26">
        <v>37898</v>
      </c>
      <c r="H8881" s="231"/>
      <c r="I8881" s="221"/>
      <c r="J8881" s="221"/>
      <c r="K8881" s="221"/>
      <c r="L8881" s="221"/>
      <c r="M8881" s="221"/>
      <c r="N8881" s="221"/>
      <c r="O8881" s="225"/>
      <c r="P8881" s="118" t="s">
        <v>24927</v>
      </c>
      <c r="Q8881" s="16" t="s">
        <v>20</v>
      </c>
      <c r="R8881" s="17" t="s">
        <v>2683</v>
      </c>
      <c r="S8881" s="121" t="s">
        <v>9265</v>
      </c>
      <c r="T8881" s="122"/>
      <c r="U8881" s="22"/>
      <c r="V8881" s="123" t="s">
        <v>2472</v>
      </c>
      <c r="W8881" s="122">
        <v>80347</v>
      </c>
      <c r="X8881" s="221"/>
      <c r="Y8881" s="221"/>
      <c r="Z8881" s="221"/>
      <c r="AA8881" s="221"/>
      <c r="AB8881" s="223"/>
    </row>
    <row r="8882" spans="1:28" ht="17.100000000000001" customHeight="1" thickTop="1">
      <c r="A8882" s="226" t="s">
        <v>24707</v>
      </c>
      <c r="B8882" s="28">
        <v>46154</v>
      </c>
      <c r="C8882" s="25">
        <v>1940</v>
      </c>
      <c r="D8882" s="13" t="s">
        <v>1772</v>
      </c>
      <c r="E8882" s="228"/>
      <c r="F8882" s="109" t="s">
        <v>14779</v>
      </c>
      <c r="G8882" s="24"/>
      <c r="H8882" s="230">
        <v>4</v>
      </c>
      <c r="I8882" s="220">
        <v>1086000</v>
      </c>
      <c r="J8882" s="220">
        <f>I8882*0.1</f>
        <v>108600</v>
      </c>
      <c r="K8882" s="220">
        <v>0</v>
      </c>
      <c r="L8882" s="220">
        <v>8990</v>
      </c>
      <c r="M8882" s="220">
        <v>15950</v>
      </c>
      <c r="N8882" s="220">
        <f>SUM(I8882:M8883)</f>
        <v>1219540</v>
      </c>
      <c r="O8882" s="224"/>
      <c r="P8882" s="110" t="s">
        <v>24934</v>
      </c>
      <c r="Q8882" s="15" t="s">
        <v>19</v>
      </c>
      <c r="R8882" s="205"/>
      <c r="S8882" s="189"/>
      <c r="T8882" s="114"/>
      <c r="U8882" s="21"/>
      <c r="V8882" s="115">
        <v>46158</v>
      </c>
      <c r="W8882" s="116">
        <v>1300</v>
      </c>
      <c r="X8882" s="220">
        <v>1200000</v>
      </c>
      <c r="Y8882" s="220">
        <f>X8882*0.1</f>
        <v>120000</v>
      </c>
      <c r="Z8882" s="220">
        <v>8990</v>
      </c>
      <c r="AA8882" s="220">
        <f>SUM(X8882:Z8882)</f>
        <v>1328990</v>
      </c>
      <c r="AB8882" s="222">
        <v>46167</v>
      </c>
    </row>
    <row r="8883" spans="1:28" ht="17.100000000000001" customHeight="1" thickBot="1">
      <c r="A8883" s="227"/>
      <c r="B8883" s="27" t="s">
        <v>2103</v>
      </c>
      <c r="C8883" s="27">
        <v>62077</v>
      </c>
      <c r="D8883" s="14" t="s">
        <v>1584</v>
      </c>
      <c r="E8883" s="229"/>
      <c r="F8883" s="117" t="s">
        <v>24687</v>
      </c>
      <c r="G8883" s="26">
        <v>33437</v>
      </c>
      <c r="H8883" s="231"/>
      <c r="I8883" s="221"/>
      <c r="J8883" s="221"/>
      <c r="K8883" s="221"/>
      <c r="L8883" s="221"/>
      <c r="M8883" s="221"/>
      <c r="N8883" s="221"/>
      <c r="O8883" s="225"/>
      <c r="P8883" s="118" t="s">
        <v>10936</v>
      </c>
      <c r="Q8883" s="16" t="s">
        <v>20</v>
      </c>
      <c r="R8883" s="17" t="s">
        <v>2683</v>
      </c>
      <c r="S8883" s="121"/>
      <c r="T8883" s="122"/>
      <c r="U8883" s="22"/>
      <c r="V8883" s="123" t="s">
        <v>6641</v>
      </c>
      <c r="W8883" s="122">
        <v>41128</v>
      </c>
      <c r="X8883" s="221"/>
      <c r="Y8883" s="221"/>
      <c r="Z8883" s="221"/>
      <c r="AA8883" s="221"/>
      <c r="AB8883" s="223"/>
    </row>
    <row r="8884" spans="1:28" ht="17.100000000000001" customHeight="1" thickTop="1">
      <c r="A8884" s="226" t="s">
        <v>24708</v>
      </c>
      <c r="B8884" s="28">
        <v>46154</v>
      </c>
      <c r="C8884" s="25">
        <v>1940</v>
      </c>
      <c r="D8884" s="13" t="s">
        <v>1931</v>
      </c>
      <c r="E8884" s="228"/>
      <c r="F8884" s="109" t="s">
        <v>15195</v>
      </c>
      <c r="G8884" s="24"/>
      <c r="H8884" s="230">
        <v>4</v>
      </c>
      <c r="I8884" s="220">
        <v>371000</v>
      </c>
      <c r="J8884" s="220">
        <f>I8884*0.1</f>
        <v>37100</v>
      </c>
      <c r="K8884" s="220">
        <v>0</v>
      </c>
      <c r="L8884" s="220">
        <v>8850</v>
      </c>
      <c r="M8884" s="220">
        <v>15950</v>
      </c>
      <c r="N8884" s="220">
        <f>SUM(I8884:M8885)</f>
        <v>432900</v>
      </c>
      <c r="O8884" s="224"/>
      <c r="P8884" s="110" t="s">
        <v>25260</v>
      </c>
      <c r="Q8884" s="15" t="s">
        <v>19</v>
      </c>
      <c r="R8884" s="205"/>
      <c r="S8884" s="189"/>
      <c r="T8884" s="114"/>
      <c r="U8884" s="21"/>
      <c r="V8884" s="115">
        <v>46158</v>
      </c>
      <c r="W8884" s="116">
        <v>1300</v>
      </c>
      <c r="X8884" s="220">
        <v>475000</v>
      </c>
      <c r="Y8884" s="220">
        <f>X8884*0.1</f>
        <v>47500</v>
      </c>
      <c r="Z8884" s="220">
        <v>8850</v>
      </c>
      <c r="AA8884" s="220">
        <f>SUM(X8884:Z8884)</f>
        <v>531350</v>
      </c>
      <c r="AB8884" s="222">
        <v>46167</v>
      </c>
    </row>
    <row r="8885" spans="1:28" ht="17.100000000000001" customHeight="1" thickBot="1">
      <c r="A8885" s="227"/>
      <c r="B8885" s="27" t="s">
        <v>2103</v>
      </c>
      <c r="C8885" s="27">
        <v>70049</v>
      </c>
      <c r="D8885" s="14" t="s">
        <v>1710</v>
      </c>
      <c r="E8885" s="229"/>
      <c r="F8885" s="117" t="s">
        <v>24688</v>
      </c>
      <c r="G8885" s="26">
        <v>57818</v>
      </c>
      <c r="H8885" s="231"/>
      <c r="I8885" s="221"/>
      <c r="J8885" s="221"/>
      <c r="K8885" s="221"/>
      <c r="L8885" s="221"/>
      <c r="M8885" s="221"/>
      <c r="N8885" s="221"/>
      <c r="O8885" s="225"/>
      <c r="P8885" s="118" t="s">
        <v>5155</v>
      </c>
      <c r="Q8885" s="16" t="s">
        <v>20</v>
      </c>
      <c r="R8885" s="17" t="s">
        <v>1952</v>
      </c>
      <c r="S8885" s="121" t="s">
        <v>24956</v>
      </c>
      <c r="T8885" s="122"/>
      <c r="U8885" s="22"/>
      <c r="V8885" s="123" t="s">
        <v>2472</v>
      </c>
      <c r="W8885" s="122">
        <v>60414</v>
      </c>
      <c r="X8885" s="221"/>
      <c r="Y8885" s="221"/>
      <c r="Z8885" s="221"/>
      <c r="AA8885" s="221"/>
      <c r="AB8885" s="223"/>
    </row>
    <row r="8886" spans="1:28" ht="17.100000000000001" customHeight="1" thickTop="1">
      <c r="A8886" s="226" t="s">
        <v>24709</v>
      </c>
      <c r="B8886" s="28">
        <v>46154</v>
      </c>
      <c r="C8886" s="25">
        <v>1940</v>
      </c>
      <c r="D8886" s="13" t="s">
        <v>1883</v>
      </c>
      <c r="E8886" s="228"/>
      <c r="F8886" s="109" t="s">
        <v>24689</v>
      </c>
      <c r="G8886" s="24"/>
      <c r="H8886" s="230">
        <v>4</v>
      </c>
      <c r="I8886" s="220">
        <v>1155000</v>
      </c>
      <c r="J8886" s="220">
        <f>I8886*0.1</f>
        <v>115500</v>
      </c>
      <c r="K8886" s="220">
        <v>0</v>
      </c>
      <c r="L8886" s="220">
        <v>7440</v>
      </c>
      <c r="M8886" s="220">
        <v>15950</v>
      </c>
      <c r="N8886" s="220">
        <f>SUM(I8886:M8887)</f>
        <v>1293890</v>
      </c>
      <c r="O8886" s="224"/>
      <c r="P8886" s="110" t="s">
        <v>25000</v>
      </c>
      <c r="Q8886" s="15" t="s">
        <v>19</v>
      </c>
      <c r="R8886" s="205"/>
      <c r="S8886" s="189"/>
      <c r="T8886" s="114"/>
      <c r="U8886" s="21"/>
      <c r="V8886" s="115">
        <v>46165</v>
      </c>
      <c r="W8886" s="116">
        <v>1301</v>
      </c>
      <c r="X8886" s="220">
        <v>1280000</v>
      </c>
      <c r="Y8886" s="220">
        <f>X8886*0.1</f>
        <v>128000</v>
      </c>
      <c r="Z8886" s="220">
        <v>7440</v>
      </c>
      <c r="AA8886" s="220">
        <f>SUM(X8886:Z8886)</f>
        <v>1415440</v>
      </c>
      <c r="AB8886" s="222">
        <v>46168</v>
      </c>
    </row>
    <row r="8887" spans="1:28" ht="17.100000000000001" customHeight="1" thickBot="1">
      <c r="A8887" s="227"/>
      <c r="B8887" s="27" t="s">
        <v>2103</v>
      </c>
      <c r="C8887" s="27">
        <v>79116</v>
      </c>
      <c r="D8887" s="14" t="s">
        <v>1584</v>
      </c>
      <c r="E8887" s="229"/>
      <c r="F8887" s="117" t="s">
        <v>24690</v>
      </c>
      <c r="G8887" s="26">
        <v>31629</v>
      </c>
      <c r="H8887" s="231"/>
      <c r="I8887" s="221"/>
      <c r="J8887" s="221"/>
      <c r="K8887" s="221"/>
      <c r="L8887" s="221"/>
      <c r="M8887" s="221"/>
      <c r="N8887" s="221"/>
      <c r="O8887" s="225"/>
      <c r="P8887" s="118" t="s">
        <v>7323</v>
      </c>
      <c r="Q8887" s="16" t="s">
        <v>20</v>
      </c>
      <c r="R8887" s="17" t="s">
        <v>24991</v>
      </c>
      <c r="S8887" s="121"/>
      <c r="T8887" s="122"/>
      <c r="U8887" s="22"/>
      <c r="V8887" s="123" t="s">
        <v>2472</v>
      </c>
      <c r="W8887" s="122">
        <v>41038</v>
      </c>
      <c r="X8887" s="221"/>
      <c r="Y8887" s="221"/>
      <c r="Z8887" s="221"/>
      <c r="AA8887" s="221"/>
      <c r="AB8887" s="223"/>
    </row>
    <row r="8888" spans="1:28" ht="17.100000000000001" customHeight="1" thickTop="1">
      <c r="A8888" s="226" t="s">
        <v>24710</v>
      </c>
      <c r="B8888" s="28">
        <v>46154</v>
      </c>
      <c r="C8888" s="25">
        <v>1940</v>
      </c>
      <c r="D8888" s="13" t="s">
        <v>1976</v>
      </c>
      <c r="E8888" s="228"/>
      <c r="F8888" s="109" t="s">
        <v>15197</v>
      </c>
      <c r="G8888" s="24"/>
      <c r="H8888" s="230">
        <v>4.5</v>
      </c>
      <c r="I8888" s="220">
        <v>582000</v>
      </c>
      <c r="J8888" s="220">
        <f>I8888*0.1</f>
        <v>58200</v>
      </c>
      <c r="K8888" s="220">
        <v>0</v>
      </c>
      <c r="L8888" s="220">
        <v>6550</v>
      </c>
      <c r="M8888" s="220">
        <v>15950</v>
      </c>
      <c r="N8888" s="220">
        <f>SUM(I8888:M8889)</f>
        <v>662700</v>
      </c>
      <c r="O8888" s="224"/>
      <c r="P8888" s="110" t="s">
        <v>25001</v>
      </c>
      <c r="Q8888" s="15" t="s">
        <v>19</v>
      </c>
      <c r="R8888" s="205"/>
      <c r="S8888" s="189" t="s">
        <v>758</v>
      </c>
      <c r="T8888" s="114"/>
      <c r="U8888" s="21"/>
      <c r="V8888" s="115">
        <v>46165</v>
      </c>
      <c r="W8888" s="116">
        <v>1301</v>
      </c>
      <c r="X8888" s="220">
        <v>680000</v>
      </c>
      <c r="Y8888" s="220">
        <f>X8888*0.1</f>
        <v>68000</v>
      </c>
      <c r="Z8888" s="220">
        <v>6550</v>
      </c>
      <c r="AA8888" s="220">
        <f>SUM(X8888:Z8888)</f>
        <v>754550</v>
      </c>
      <c r="AB8888" s="222">
        <v>46168</v>
      </c>
    </row>
    <row r="8889" spans="1:28" ht="17.100000000000001" customHeight="1" thickBot="1">
      <c r="A8889" s="227"/>
      <c r="B8889" s="27" t="s">
        <v>2103</v>
      </c>
      <c r="C8889" s="27">
        <v>79140</v>
      </c>
      <c r="D8889" s="14" t="s">
        <v>1710</v>
      </c>
      <c r="E8889" s="229"/>
      <c r="F8889" s="117" t="s">
        <v>24691</v>
      </c>
      <c r="G8889" s="26">
        <v>8428</v>
      </c>
      <c r="H8889" s="231"/>
      <c r="I8889" s="221"/>
      <c r="J8889" s="221"/>
      <c r="K8889" s="221"/>
      <c r="L8889" s="221"/>
      <c r="M8889" s="221"/>
      <c r="N8889" s="221"/>
      <c r="O8889" s="225"/>
      <c r="P8889" s="118" t="s">
        <v>7323</v>
      </c>
      <c r="Q8889" s="16" t="s">
        <v>20</v>
      </c>
      <c r="R8889" s="17" t="s">
        <v>24991</v>
      </c>
      <c r="S8889" s="121" t="s">
        <v>10124</v>
      </c>
      <c r="T8889" s="122"/>
      <c r="U8889" s="22"/>
      <c r="V8889" s="123" t="s">
        <v>2472</v>
      </c>
      <c r="W8889" s="122">
        <v>60114</v>
      </c>
      <c r="X8889" s="221"/>
      <c r="Y8889" s="221"/>
      <c r="Z8889" s="221"/>
      <c r="AA8889" s="221"/>
      <c r="AB8889" s="223"/>
    </row>
    <row r="8890" spans="1:28" ht="17.100000000000001" customHeight="1" thickTop="1">
      <c r="A8890" s="226" t="s">
        <v>24711</v>
      </c>
      <c r="B8890" s="28">
        <v>46154</v>
      </c>
      <c r="C8890" s="25">
        <v>1940</v>
      </c>
      <c r="D8890" s="13" t="s">
        <v>1642</v>
      </c>
      <c r="E8890" s="228"/>
      <c r="F8890" s="109" t="s">
        <v>14779</v>
      </c>
      <c r="G8890" s="24"/>
      <c r="H8890" s="230">
        <v>4.5</v>
      </c>
      <c r="I8890" s="220">
        <v>1217000</v>
      </c>
      <c r="J8890" s="220">
        <f>I8890*0.1</f>
        <v>121700</v>
      </c>
      <c r="K8890" s="220">
        <v>0</v>
      </c>
      <c r="L8890" s="220">
        <v>8990</v>
      </c>
      <c r="M8890" s="220">
        <v>15950</v>
      </c>
      <c r="N8890" s="220">
        <f>SUM(I8890:M8891)</f>
        <v>1363640</v>
      </c>
      <c r="O8890" s="224"/>
      <c r="P8890" s="110" t="s">
        <v>24932</v>
      </c>
      <c r="Q8890" s="15" t="s">
        <v>19</v>
      </c>
      <c r="R8890" s="205"/>
      <c r="S8890" s="189"/>
      <c r="T8890" s="114"/>
      <c r="U8890" s="21"/>
      <c r="V8890" s="115">
        <v>46165</v>
      </c>
      <c r="W8890" s="116">
        <v>1301</v>
      </c>
      <c r="X8890" s="220">
        <v>1285000</v>
      </c>
      <c r="Y8890" s="220">
        <f>X8890*0.1</f>
        <v>128500</v>
      </c>
      <c r="Z8890" s="220">
        <v>8990</v>
      </c>
      <c r="AA8890" s="220">
        <f>SUM(X8890:Z8890)</f>
        <v>1422490</v>
      </c>
      <c r="AB8890" s="222">
        <v>46168</v>
      </c>
    </row>
    <row r="8891" spans="1:28" ht="17.100000000000001" customHeight="1" thickBot="1">
      <c r="A8891" s="227"/>
      <c r="B8891" s="27" t="s">
        <v>2103</v>
      </c>
      <c r="C8891" s="27">
        <v>79219</v>
      </c>
      <c r="D8891" s="14" t="s">
        <v>1584</v>
      </c>
      <c r="E8891" s="229"/>
      <c r="F8891" s="117" t="s">
        <v>24692</v>
      </c>
      <c r="G8891" s="26">
        <v>14541</v>
      </c>
      <c r="H8891" s="231"/>
      <c r="I8891" s="221"/>
      <c r="J8891" s="221"/>
      <c r="K8891" s="221"/>
      <c r="L8891" s="221"/>
      <c r="M8891" s="221"/>
      <c r="N8891" s="221"/>
      <c r="O8891" s="225"/>
      <c r="P8891" s="118" t="s">
        <v>24933</v>
      </c>
      <c r="Q8891" s="16" t="s">
        <v>20</v>
      </c>
      <c r="R8891" s="17" t="s">
        <v>2683</v>
      </c>
      <c r="S8891" s="121"/>
      <c r="T8891" s="122"/>
      <c r="U8891" s="22"/>
      <c r="V8891" s="123" t="s">
        <v>2472</v>
      </c>
      <c r="W8891" s="122">
        <v>41042</v>
      </c>
      <c r="X8891" s="221"/>
      <c r="Y8891" s="221"/>
      <c r="Z8891" s="221"/>
      <c r="AA8891" s="221"/>
      <c r="AB8891" s="223"/>
    </row>
    <row r="8892" spans="1:28" ht="17.100000000000001" customHeight="1" thickTop="1">
      <c r="A8892" s="226" t="s">
        <v>24712</v>
      </c>
      <c r="B8892" s="28">
        <v>46154</v>
      </c>
      <c r="C8892" s="25">
        <v>1940</v>
      </c>
      <c r="D8892" s="13" t="s">
        <v>2324</v>
      </c>
      <c r="E8892" s="228"/>
      <c r="F8892" s="109" t="s">
        <v>17162</v>
      </c>
      <c r="G8892" s="24"/>
      <c r="H8892" s="230">
        <v>4</v>
      </c>
      <c r="I8892" s="220">
        <v>819000</v>
      </c>
      <c r="J8892" s="220">
        <f>I8892*0.1</f>
        <v>81900</v>
      </c>
      <c r="K8892" s="220">
        <v>0</v>
      </c>
      <c r="L8892" s="220">
        <v>7440</v>
      </c>
      <c r="M8892" s="220">
        <v>15950</v>
      </c>
      <c r="N8892" s="220">
        <f>SUM(I8892:M8893)</f>
        <v>924290</v>
      </c>
      <c r="O8892" s="224"/>
      <c r="P8892" s="110" t="s">
        <v>24931</v>
      </c>
      <c r="Q8892" s="15" t="s">
        <v>19</v>
      </c>
      <c r="R8892" s="205"/>
      <c r="S8892" s="189"/>
      <c r="T8892" s="114"/>
      <c r="U8892" s="21"/>
      <c r="V8892" s="115"/>
      <c r="W8892" s="116"/>
      <c r="X8892" s="220"/>
      <c r="Y8892" s="220">
        <f>X8892*0.1</f>
        <v>0</v>
      </c>
      <c r="Z8892" s="220"/>
      <c r="AA8892" s="220">
        <f>SUM(X8892:Z8892)</f>
        <v>0</v>
      </c>
      <c r="AB8892" s="222"/>
    </row>
    <row r="8893" spans="1:28" ht="17.100000000000001" customHeight="1" thickBot="1">
      <c r="A8893" s="227"/>
      <c r="B8893" s="27" t="s">
        <v>2103</v>
      </c>
      <c r="C8893" s="27">
        <v>79321</v>
      </c>
      <c r="D8893" s="14" t="s">
        <v>1710</v>
      </c>
      <c r="E8893" s="229"/>
      <c r="F8893" s="117" t="s">
        <v>24693</v>
      </c>
      <c r="G8893" s="26">
        <v>44870</v>
      </c>
      <c r="H8893" s="231"/>
      <c r="I8893" s="221"/>
      <c r="J8893" s="221"/>
      <c r="K8893" s="221"/>
      <c r="L8893" s="221"/>
      <c r="M8893" s="221"/>
      <c r="N8893" s="221"/>
      <c r="O8893" s="225"/>
      <c r="P8893" s="118" t="s">
        <v>10936</v>
      </c>
      <c r="Q8893" s="16" t="s">
        <v>20</v>
      </c>
      <c r="R8893" s="17" t="s">
        <v>2683</v>
      </c>
      <c r="S8893" s="121"/>
      <c r="T8893" s="122"/>
      <c r="U8893" s="22"/>
      <c r="V8893" s="123"/>
      <c r="W8893" s="122"/>
      <c r="X8893" s="221"/>
      <c r="Y8893" s="221"/>
      <c r="Z8893" s="221"/>
      <c r="AA8893" s="221"/>
      <c r="AB8893" s="223"/>
    </row>
    <row r="8894" spans="1:28" ht="17.100000000000001" customHeight="1" thickTop="1">
      <c r="A8894" s="226" t="s">
        <v>24713</v>
      </c>
      <c r="B8894" s="28">
        <v>46154</v>
      </c>
      <c r="C8894" s="25">
        <v>1940</v>
      </c>
      <c r="D8894" s="13" t="s">
        <v>1642</v>
      </c>
      <c r="E8894" s="228"/>
      <c r="F8894" s="109" t="s">
        <v>7187</v>
      </c>
      <c r="G8894" s="24"/>
      <c r="H8894" s="230">
        <v>4</v>
      </c>
      <c r="I8894" s="220">
        <v>1232000</v>
      </c>
      <c r="J8894" s="220">
        <f>I8894*0.1</f>
        <v>123200</v>
      </c>
      <c r="K8894" s="220">
        <v>0</v>
      </c>
      <c r="L8894" s="220">
        <v>6850</v>
      </c>
      <c r="M8894" s="220">
        <v>15950</v>
      </c>
      <c r="N8894" s="220">
        <f>SUM(I8894:M8895)</f>
        <v>1378000</v>
      </c>
      <c r="O8894" s="224"/>
      <c r="P8894" s="110" t="s">
        <v>25263</v>
      </c>
      <c r="Q8894" s="15" t="s">
        <v>19</v>
      </c>
      <c r="R8894" s="205"/>
      <c r="S8894" s="189"/>
      <c r="T8894" s="114"/>
      <c r="U8894" s="21"/>
      <c r="V8894" s="115">
        <v>46165</v>
      </c>
      <c r="W8894" s="116">
        <v>1301</v>
      </c>
      <c r="X8894" s="220">
        <v>1280000</v>
      </c>
      <c r="Y8894" s="220">
        <f>X8894*0.1</f>
        <v>128000</v>
      </c>
      <c r="Z8894" s="220">
        <v>6850</v>
      </c>
      <c r="AA8894" s="220">
        <f>SUM(X8894:Z8894)</f>
        <v>1414850</v>
      </c>
      <c r="AB8894" s="222">
        <v>46168</v>
      </c>
    </row>
    <row r="8895" spans="1:28" ht="17.100000000000001" customHeight="1" thickBot="1">
      <c r="A8895" s="227"/>
      <c r="B8895" s="27" t="s">
        <v>2103</v>
      </c>
      <c r="C8895" s="27">
        <v>79404</v>
      </c>
      <c r="D8895" s="14" t="s">
        <v>2291</v>
      </c>
      <c r="E8895" s="229"/>
      <c r="F8895" s="117" t="s">
        <v>24694</v>
      </c>
      <c r="G8895" s="26">
        <v>46002</v>
      </c>
      <c r="H8895" s="231"/>
      <c r="I8895" s="221"/>
      <c r="J8895" s="221"/>
      <c r="K8895" s="221"/>
      <c r="L8895" s="221"/>
      <c r="M8895" s="221"/>
      <c r="N8895" s="221"/>
      <c r="O8895" s="225"/>
      <c r="P8895" s="118" t="s">
        <v>5155</v>
      </c>
      <c r="Q8895" s="16" t="s">
        <v>20</v>
      </c>
      <c r="R8895" s="17" t="s">
        <v>1952</v>
      </c>
      <c r="S8895" s="121" t="s">
        <v>22308</v>
      </c>
      <c r="T8895" s="122"/>
      <c r="U8895" s="22"/>
      <c r="V8895" s="123" t="s">
        <v>2472</v>
      </c>
      <c r="W8895" s="122">
        <v>60107</v>
      </c>
      <c r="X8895" s="221"/>
      <c r="Y8895" s="221"/>
      <c r="Z8895" s="221"/>
      <c r="AA8895" s="221"/>
      <c r="AB8895" s="223"/>
    </row>
    <row r="8896" spans="1:28" ht="17.100000000000001" customHeight="1" thickTop="1">
      <c r="A8896" s="226" t="s">
        <v>24714</v>
      </c>
      <c r="B8896" s="28">
        <v>46154</v>
      </c>
      <c r="C8896" s="25">
        <v>818</v>
      </c>
      <c r="D8896" s="13" t="s">
        <v>1983</v>
      </c>
      <c r="E8896" s="228"/>
      <c r="F8896" s="109" t="s">
        <v>24695</v>
      </c>
      <c r="G8896" s="24"/>
      <c r="H8896" s="230">
        <v>4</v>
      </c>
      <c r="I8896" s="220">
        <v>1073000</v>
      </c>
      <c r="J8896" s="220">
        <f>I8896*0.1</f>
        <v>107300</v>
      </c>
      <c r="K8896" s="220">
        <v>0</v>
      </c>
      <c r="L8896" s="220">
        <v>7040</v>
      </c>
      <c r="M8896" s="220">
        <v>15950</v>
      </c>
      <c r="N8896" s="220">
        <f>SUM(I8896:M8897)</f>
        <v>1203290</v>
      </c>
      <c r="O8896" s="224"/>
      <c r="P8896" s="110" t="s">
        <v>26090</v>
      </c>
      <c r="Q8896" s="15" t="s">
        <v>19</v>
      </c>
      <c r="R8896" s="205"/>
      <c r="S8896" s="189"/>
      <c r="T8896" s="114"/>
      <c r="U8896" s="21"/>
      <c r="V8896" s="115">
        <v>46158</v>
      </c>
      <c r="W8896" s="116">
        <v>1300</v>
      </c>
      <c r="X8896" s="220">
        <v>1150000</v>
      </c>
      <c r="Y8896" s="220">
        <f>X8896*0.1</f>
        <v>115000</v>
      </c>
      <c r="Z8896" s="220">
        <v>7040</v>
      </c>
      <c r="AA8896" s="220">
        <f>SUM(X8896:Z8896)</f>
        <v>1272040</v>
      </c>
      <c r="AB8896" s="222">
        <v>46167</v>
      </c>
    </row>
    <row r="8897" spans="1:28" ht="17.100000000000001" customHeight="1" thickBot="1">
      <c r="A8897" s="227"/>
      <c r="B8897" s="27" t="s">
        <v>3314</v>
      </c>
      <c r="C8897" s="27">
        <v>3027</v>
      </c>
      <c r="D8897" s="14" t="s">
        <v>2559</v>
      </c>
      <c r="E8897" s="229"/>
      <c r="F8897" s="117" t="s">
        <v>24696</v>
      </c>
      <c r="G8897" s="26">
        <v>25035</v>
      </c>
      <c r="H8897" s="231"/>
      <c r="I8897" s="221"/>
      <c r="J8897" s="221"/>
      <c r="K8897" s="221"/>
      <c r="L8897" s="221"/>
      <c r="M8897" s="221"/>
      <c r="N8897" s="221"/>
      <c r="O8897" s="225"/>
      <c r="P8897" s="118" t="s">
        <v>6983</v>
      </c>
      <c r="Q8897" s="16" t="s">
        <v>20</v>
      </c>
      <c r="R8897" s="17" t="s">
        <v>2702</v>
      </c>
      <c r="S8897" s="121"/>
      <c r="T8897" s="122"/>
      <c r="U8897" s="22"/>
      <c r="V8897" s="123" t="s">
        <v>6641</v>
      </c>
      <c r="W8897" s="122">
        <v>60366</v>
      </c>
      <c r="X8897" s="221"/>
      <c r="Y8897" s="221"/>
      <c r="Z8897" s="221"/>
      <c r="AA8897" s="221"/>
      <c r="AB8897" s="223"/>
    </row>
    <row r="8898" spans="1:28" ht="17.100000000000001" customHeight="1" thickTop="1">
      <c r="A8898" s="226" t="s">
        <v>24715</v>
      </c>
      <c r="B8898" s="28">
        <v>46154</v>
      </c>
      <c r="C8898" s="25">
        <v>818</v>
      </c>
      <c r="D8898" s="13" t="s">
        <v>1899</v>
      </c>
      <c r="E8898" s="228"/>
      <c r="F8898" s="109" t="s">
        <v>24697</v>
      </c>
      <c r="G8898" s="24"/>
      <c r="H8898" s="230">
        <v>4</v>
      </c>
      <c r="I8898" s="220">
        <v>707000</v>
      </c>
      <c r="J8898" s="220">
        <f>I8898*0.1</f>
        <v>70700</v>
      </c>
      <c r="K8898" s="220">
        <v>0</v>
      </c>
      <c r="L8898" s="220">
        <v>19330</v>
      </c>
      <c r="M8898" s="220">
        <v>15950</v>
      </c>
      <c r="N8898" s="220">
        <f>SUM(I8898:M8899)</f>
        <v>812980</v>
      </c>
      <c r="O8898" s="224"/>
      <c r="P8898" s="110" t="s">
        <v>24856</v>
      </c>
      <c r="Q8898" s="15" t="s">
        <v>19</v>
      </c>
      <c r="R8898" s="205"/>
      <c r="S8898" s="189"/>
      <c r="T8898" s="114"/>
      <c r="U8898" s="21"/>
      <c r="V8898" s="115">
        <v>46158</v>
      </c>
      <c r="W8898" s="116">
        <v>1300</v>
      </c>
      <c r="X8898" s="220">
        <v>855000</v>
      </c>
      <c r="Y8898" s="220">
        <f>X8898*0.1</f>
        <v>85500</v>
      </c>
      <c r="Z8898" s="220">
        <v>19320</v>
      </c>
      <c r="AA8898" s="220">
        <f>SUM(X8898:Z8898)</f>
        <v>959820</v>
      </c>
      <c r="AB8898" s="222">
        <v>46161</v>
      </c>
    </row>
    <row r="8899" spans="1:28" ht="17.100000000000001" customHeight="1" thickBot="1">
      <c r="A8899" s="227"/>
      <c r="B8899" s="27" t="s">
        <v>3314</v>
      </c>
      <c r="C8899" s="27">
        <v>5012</v>
      </c>
      <c r="D8899" s="14" t="s">
        <v>1584</v>
      </c>
      <c r="E8899" s="229"/>
      <c r="F8899" s="117" t="s">
        <v>24747</v>
      </c>
      <c r="G8899" s="26">
        <v>73162</v>
      </c>
      <c r="H8899" s="231"/>
      <c r="I8899" s="221"/>
      <c r="J8899" s="221"/>
      <c r="K8899" s="221"/>
      <c r="L8899" s="221"/>
      <c r="M8899" s="221"/>
      <c r="N8899" s="221"/>
      <c r="O8899" s="225"/>
      <c r="P8899" s="118" t="s">
        <v>10210</v>
      </c>
      <c r="Q8899" s="16" t="s">
        <v>20</v>
      </c>
      <c r="R8899" s="17" t="s">
        <v>3680</v>
      </c>
      <c r="S8899" s="121" t="s">
        <v>3566</v>
      </c>
      <c r="T8899" s="122"/>
      <c r="U8899" s="22"/>
      <c r="V8899" s="123" t="s">
        <v>2472</v>
      </c>
      <c r="W8899" s="122">
        <v>80349</v>
      </c>
      <c r="X8899" s="221"/>
      <c r="Y8899" s="221"/>
      <c r="Z8899" s="221"/>
      <c r="AA8899" s="221"/>
      <c r="AB8899" s="223"/>
    </row>
    <row r="8900" spans="1:28" ht="17.100000000000001" customHeight="1" thickTop="1">
      <c r="A8900" s="226" t="s">
        <v>24716</v>
      </c>
      <c r="B8900" s="28">
        <v>46154</v>
      </c>
      <c r="C8900" s="25">
        <v>938</v>
      </c>
      <c r="D8900" s="13" t="s">
        <v>1702</v>
      </c>
      <c r="E8900" s="228"/>
      <c r="F8900" s="109" t="s">
        <v>15229</v>
      </c>
      <c r="G8900" s="24"/>
      <c r="H8900" s="230">
        <v>4</v>
      </c>
      <c r="I8900" s="220">
        <v>1013000</v>
      </c>
      <c r="J8900" s="220">
        <f>I8900*0.1</f>
        <v>101300</v>
      </c>
      <c r="K8900" s="220">
        <v>0</v>
      </c>
      <c r="L8900" s="220">
        <v>12030</v>
      </c>
      <c r="M8900" s="220">
        <v>15950</v>
      </c>
      <c r="N8900" s="220">
        <f>SUM(I8900:M8901)</f>
        <v>1142280</v>
      </c>
      <c r="O8900" s="224"/>
      <c r="P8900" s="110" t="s">
        <v>24929</v>
      </c>
      <c r="Q8900" s="15" t="s">
        <v>19</v>
      </c>
      <c r="R8900" s="205"/>
      <c r="S8900" s="189"/>
      <c r="T8900" s="114"/>
      <c r="U8900" s="21"/>
      <c r="V8900" s="115">
        <v>46158</v>
      </c>
      <c r="W8900" s="116">
        <v>1300</v>
      </c>
      <c r="X8900" s="220">
        <v>1125000</v>
      </c>
      <c r="Y8900" s="220">
        <f>X8900*0.1</f>
        <v>112500</v>
      </c>
      <c r="Z8900" s="220">
        <v>12030</v>
      </c>
      <c r="AA8900" s="220">
        <f>SUM(X8900:Z8900)</f>
        <v>1249530</v>
      </c>
      <c r="AB8900" s="222">
        <v>46161</v>
      </c>
    </row>
    <row r="8901" spans="1:28" ht="17.100000000000001" customHeight="1" thickBot="1">
      <c r="A8901" s="227"/>
      <c r="B8901" s="27" t="s">
        <v>2654</v>
      </c>
      <c r="C8901" s="27">
        <v>362</v>
      </c>
      <c r="D8901" s="14" t="s">
        <v>273</v>
      </c>
      <c r="E8901" s="229"/>
      <c r="F8901" s="117" t="s">
        <v>24698</v>
      </c>
      <c r="G8901" s="26">
        <v>107464</v>
      </c>
      <c r="H8901" s="231"/>
      <c r="I8901" s="221"/>
      <c r="J8901" s="221"/>
      <c r="K8901" s="221"/>
      <c r="L8901" s="221"/>
      <c r="M8901" s="221"/>
      <c r="N8901" s="221"/>
      <c r="O8901" s="225"/>
      <c r="P8901" s="118" t="s">
        <v>10478</v>
      </c>
      <c r="Q8901" s="16" t="s">
        <v>20</v>
      </c>
      <c r="R8901" s="17" t="s">
        <v>2683</v>
      </c>
      <c r="S8901" s="121" t="s">
        <v>16351</v>
      </c>
      <c r="T8901" s="122"/>
      <c r="U8901" s="22"/>
      <c r="V8901" s="123" t="s">
        <v>2472</v>
      </c>
      <c r="W8901" s="122">
        <v>225</v>
      </c>
      <c r="X8901" s="221"/>
      <c r="Y8901" s="221"/>
      <c r="Z8901" s="221"/>
      <c r="AA8901" s="221"/>
      <c r="AB8901" s="223"/>
    </row>
    <row r="8902" spans="1:28" ht="17.100000000000001" customHeight="1" thickTop="1">
      <c r="A8902" s="226" t="s">
        <v>24717</v>
      </c>
      <c r="B8902" s="28">
        <v>46154</v>
      </c>
      <c r="C8902" s="25">
        <v>938</v>
      </c>
      <c r="D8902" s="13" t="s">
        <v>1961</v>
      </c>
      <c r="E8902" s="228"/>
      <c r="F8902" s="109" t="s">
        <v>19685</v>
      </c>
      <c r="G8902" s="24" t="s">
        <v>2084</v>
      </c>
      <c r="H8902" s="230">
        <v>4</v>
      </c>
      <c r="I8902" s="220">
        <v>1035000</v>
      </c>
      <c r="J8902" s="220">
        <f>I8902*0.1</f>
        <v>103500</v>
      </c>
      <c r="K8902" s="220">
        <v>0</v>
      </c>
      <c r="L8902" s="220">
        <v>8400</v>
      </c>
      <c r="M8902" s="220">
        <v>15950</v>
      </c>
      <c r="N8902" s="220">
        <f>SUM(I8902:M8903)</f>
        <v>1162850</v>
      </c>
      <c r="O8902" s="224"/>
      <c r="P8902" s="110" t="s">
        <v>24748</v>
      </c>
      <c r="Q8902" s="15" t="s">
        <v>19</v>
      </c>
      <c r="R8902" s="205"/>
      <c r="S8902" s="189" t="s">
        <v>25710</v>
      </c>
      <c r="T8902" s="114"/>
      <c r="U8902" s="21"/>
      <c r="V8902" s="115">
        <v>46165</v>
      </c>
      <c r="W8902" s="116">
        <v>1301</v>
      </c>
      <c r="X8902" s="220">
        <v>1115000</v>
      </c>
      <c r="Y8902" s="220">
        <f>X8902*0.1</f>
        <v>111500</v>
      </c>
      <c r="Z8902" s="220">
        <v>8400</v>
      </c>
      <c r="AA8902" s="220">
        <f>SUM(X8902:Z8902)</f>
        <v>1234900</v>
      </c>
      <c r="AB8902" s="222">
        <v>46168</v>
      </c>
    </row>
    <row r="8903" spans="1:28" ht="17.100000000000001" customHeight="1" thickBot="1">
      <c r="A8903" s="227"/>
      <c r="B8903" s="27" t="s">
        <v>2654</v>
      </c>
      <c r="C8903" s="27">
        <v>3231</v>
      </c>
      <c r="D8903" s="14" t="s">
        <v>1710</v>
      </c>
      <c r="E8903" s="229"/>
      <c r="F8903" s="117" t="s">
        <v>24699</v>
      </c>
      <c r="G8903" s="26">
        <v>14432</v>
      </c>
      <c r="H8903" s="231"/>
      <c r="I8903" s="221"/>
      <c r="J8903" s="221"/>
      <c r="K8903" s="221"/>
      <c r="L8903" s="221"/>
      <c r="M8903" s="221"/>
      <c r="N8903" s="221"/>
      <c r="O8903" s="225"/>
      <c r="P8903" s="118" t="s">
        <v>24859</v>
      </c>
      <c r="Q8903" s="16" t="s">
        <v>20</v>
      </c>
      <c r="R8903" s="17" t="s">
        <v>3680</v>
      </c>
      <c r="S8903" s="121" t="s">
        <v>2360</v>
      </c>
      <c r="T8903" s="122"/>
      <c r="U8903" s="22"/>
      <c r="V8903" s="123" t="s">
        <v>2472</v>
      </c>
      <c r="W8903" s="122">
        <v>60112</v>
      </c>
      <c r="X8903" s="221"/>
      <c r="Y8903" s="221"/>
      <c r="Z8903" s="221"/>
      <c r="AA8903" s="221"/>
      <c r="AB8903" s="223"/>
    </row>
    <row r="8904" spans="1:28" ht="17.100000000000001" customHeight="1" thickTop="1">
      <c r="A8904" s="226" t="s">
        <v>24718</v>
      </c>
      <c r="B8904" s="28">
        <v>46154</v>
      </c>
      <c r="C8904" s="25">
        <v>938</v>
      </c>
      <c r="D8904" s="13" t="s">
        <v>1961</v>
      </c>
      <c r="E8904" s="228"/>
      <c r="F8904" s="109" t="s">
        <v>15197</v>
      </c>
      <c r="G8904" s="24"/>
      <c r="H8904" s="230">
        <v>4</v>
      </c>
      <c r="I8904" s="220">
        <v>386000</v>
      </c>
      <c r="J8904" s="220">
        <f>I8904*0.1</f>
        <v>38600</v>
      </c>
      <c r="K8904" s="220">
        <v>0</v>
      </c>
      <c r="L8904" s="220">
        <v>7140</v>
      </c>
      <c r="M8904" s="220">
        <v>15950</v>
      </c>
      <c r="N8904" s="220">
        <f>SUM(I8904:M8905)</f>
        <v>447690</v>
      </c>
      <c r="O8904" s="224"/>
      <c r="P8904" s="110" t="s">
        <v>25266</v>
      </c>
      <c r="Q8904" s="15" t="s">
        <v>19</v>
      </c>
      <c r="R8904" s="205"/>
      <c r="S8904" s="189"/>
      <c r="T8904" s="114"/>
      <c r="U8904" s="21"/>
      <c r="V8904" s="115">
        <v>46165</v>
      </c>
      <c r="W8904" s="116">
        <v>1301</v>
      </c>
      <c r="X8904" s="220">
        <v>500000</v>
      </c>
      <c r="Y8904" s="220">
        <f>X8904*0.1</f>
        <v>50000</v>
      </c>
      <c r="Z8904" s="220">
        <v>7140</v>
      </c>
      <c r="AA8904" s="220">
        <f>SUM(X8904:Z8904)</f>
        <v>557140</v>
      </c>
      <c r="AB8904" s="222">
        <v>46168</v>
      </c>
    </row>
    <row r="8905" spans="1:28" ht="17.100000000000001" customHeight="1" thickBot="1">
      <c r="A8905" s="227"/>
      <c r="B8905" s="27" t="s">
        <v>2654</v>
      </c>
      <c r="C8905" s="27">
        <v>3248</v>
      </c>
      <c r="D8905" s="14" t="s">
        <v>1568</v>
      </c>
      <c r="E8905" s="229"/>
      <c r="F8905" s="117" t="s">
        <v>24700</v>
      </c>
      <c r="G8905" s="26">
        <v>24058</v>
      </c>
      <c r="H8905" s="231"/>
      <c r="I8905" s="221"/>
      <c r="J8905" s="221"/>
      <c r="K8905" s="221"/>
      <c r="L8905" s="221"/>
      <c r="M8905" s="221"/>
      <c r="N8905" s="221"/>
      <c r="O8905" s="225"/>
      <c r="P8905" s="118" t="s">
        <v>8550</v>
      </c>
      <c r="Q8905" s="16" t="s">
        <v>20</v>
      </c>
      <c r="R8905" s="17" t="s">
        <v>1952</v>
      </c>
      <c r="S8905" s="121"/>
      <c r="T8905" s="122"/>
      <c r="U8905" s="22"/>
      <c r="V8905" s="123" t="s">
        <v>2472</v>
      </c>
      <c r="W8905" s="122">
        <v>60117</v>
      </c>
      <c r="X8905" s="221"/>
      <c r="Y8905" s="221"/>
      <c r="Z8905" s="221"/>
      <c r="AA8905" s="221"/>
      <c r="AB8905" s="223"/>
    </row>
    <row r="8906" spans="1:28" ht="17.100000000000001" customHeight="1" thickTop="1">
      <c r="A8906" s="226" t="s">
        <v>24719</v>
      </c>
      <c r="B8906" s="28">
        <v>46154</v>
      </c>
      <c r="C8906" s="25">
        <v>938</v>
      </c>
      <c r="D8906" s="13" t="s">
        <v>2107</v>
      </c>
      <c r="E8906" s="228"/>
      <c r="F8906" s="109" t="s">
        <v>24701</v>
      </c>
      <c r="G8906" s="24"/>
      <c r="H8906" s="230">
        <v>4</v>
      </c>
      <c r="I8906" s="220">
        <v>996000</v>
      </c>
      <c r="J8906" s="220">
        <f>I8906*0.1</f>
        <v>99600</v>
      </c>
      <c r="K8906" s="220">
        <v>0</v>
      </c>
      <c r="L8906" s="220">
        <v>19580</v>
      </c>
      <c r="M8906" s="220">
        <v>15950</v>
      </c>
      <c r="N8906" s="220">
        <f>SUM(I8906:M8907)</f>
        <v>1131130</v>
      </c>
      <c r="O8906" s="224"/>
      <c r="P8906" s="110" t="s">
        <v>25011</v>
      </c>
      <c r="Q8906" s="15" t="s">
        <v>19</v>
      </c>
      <c r="R8906" s="205"/>
      <c r="S8906" s="189"/>
      <c r="T8906" s="114"/>
      <c r="U8906" s="21"/>
      <c r="V8906" s="115"/>
      <c r="W8906" s="116"/>
      <c r="X8906" s="220"/>
      <c r="Y8906" s="220">
        <f>X8906*0.1</f>
        <v>0</v>
      </c>
      <c r="Z8906" s="220"/>
      <c r="AA8906" s="220">
        <f>SUM(X8906:Z8906)</f>
        <v>0</v>
      </c>
      <c r="AB8906" s="222"/>
    </row>
    <row r="8907" spans="1:28" ht="17.100000000000001" customHeight="1" thickBot="1">
      <c r="A8907" s="227"/>
      <c r="B8907" s="27" t="s">
        <v>2654</v>
      </c>
      <c r="C8907" s="27">
        <v>5038</v>
      </c>
      <c r="D8907" s="14" t="s">
        <v>898</v>
      </c>
      <c r="E8907" s="229"/>
      <c r="F8907" s="117" t="s">
        <v>24749</v>
      </c>
      <c r="G8907" s="26">
        <v>58305</v>
      </c>
      <c r="H8907" s="231"/>
      <c r="I8907" s="221"/>
      <c r="J8907" s="221"/>
      <c r="K8907" s="221"/>
      <c r="L8907" s="221"/>
      <c r="M8907" s="221"/>
      <c r="N8907" s="221"/>
      <c r="O8907" s="225"/>
      <c r="P8907" s="118" t="s">
        <v>15866</v>
      </c>
      <c r="Q8907" s="16" t="s">
        <v>20</v>
      </c>
      <c r="R8907" s="17" t="s">
        <v>24991</v>
      </c>
      <c r="S8907" s="121" t="s">
        <v>24957</v>
      </c>
      <c r="T8907" s="122"/>
      <c r="U8907" s="22"/>
      <c r="V8907" s="123"/>
      <c r="W8907" s="122"/>
      <c r="X8907" s="221"/>
      <c r="Y8907" s="221"/>
      <c r="Z8907" s="221"/>
      <c r="AA8907" s="221"/>
      <c r="AB8907" s="223"/>
    </row>
    <row r="8908" spans="1:28" ht="17.100000000000001" customHeight="1" thickTop="1">
      <c r="A8908" s="226" t="s">
        <v>24720</v>
      </c>
      <c r="B8908" s="28">
        <v>46154</v>
      </c>
      <c r="C8908" s="25">
        <v>1239</v>
      </c>
      <c r="D8908" s="13" t="s">
        <v>1542</v>
      </c>
      <c r="E8908" s="228"/>
      <c r="F8908" s="109" t="s">
        <v>16450</v>
      </c>
      <c r="G8908" s="24"/>
      <c r="H8908" s="230">
        <v>4</v>
      </c>
      <c r="I8908" s="220">
        <v>1000000</v>
      </c>
      <c r="J8908" s="220">
        <f>I8908*0.1</f>
        <v>100000</v>
      </c>
      <c r="K8908" s="220">
        <v>0</v>
      </c>
      <c r="L8908" s="220">
        <v>12470</v>
      </c>
      <c r="M8908" s="220">
        <v>15950</v>
      </c>
      <c r="N8908" s="220">
        <f>SUM(I8908:M8909)</f>
        <v>1128420</v>
      </c>
      <c r="O8908" s="224"/>
      <c r="P8908" s="110" t="s">
        <v>24998</v>
      </c>
      <c r="Q8908" s="15" t="s">
        <v>19</v>
      </c>
      <c r="R8908" s="205"/>
      <c r="S8908" s="189"/>
      <c r="T8908" s="114"/>
      <c r="U8908" s="21"/>
      <c r="V8908" s="115">
        <v>46158</v>
      </c>
      <c r="W8908" s="116">
        <v>1300</v>
      </c>
      <c r="X8908" s="220">
        <v>1100000</v>
      </c>
      <c r="Y8908" s="220">
        <f>X8908*0.1</f>
        <v>110000</v>
      </c>
      <c r="Z8908" s="220">
        <v>12470</v>
      </c>
      <c r="AA8908" s="220">
        <f>SUM(X8908:Z8908)</f>
        <v>1222470</v>
      </c>
      <c r="AB8908" s="222">
        <v>46167</v>
      </c>
    </row>
    <row r="8909" spans="1:28" ht="17.100000000000001" customHeight="1" thickBot="1">
      <c r="A8909" s="227"/>
      <c r="B8909" s="27" t="s">
        <v>2344</v>
      </c>
      <c r="C8909" s="27">
        <v>303</v>
      </c>
      <c r="D8909" s="14" t="s">
        <v>2559</v>
      </c>
      <c r="E8909" s="229"/>
      <c r="F8909" s="117" t="s">
        <v>24702</v>
      </c>
      <c r="G8909" s="26">
        <v>98301</v>
      </c>
      <c r="H8909" s="231"/>
      <c r="I8909" s="221"/>
      <c r="J8909" s="221"/>
      <c r="K8909" s="221"/>
      <c r="L8909" s="221"/>
      <c r="M8909" s="221"/>
      <c r="N8909" s="221"/>
      <c r="O8909" s="225"/>
      <c r="P8909" s="118" t="s">
        <v>10173</v>
      </c>
      <c r="Q8909" s="16" t="s">
        <v>20</v>
      </c>
      <c r="R8909" s="17" t="s">
        <v>24991</v>
      </c>
      <c r="S8909" s="121" t="s">
        <v>24955</v>
      </c>
      <c r="T8909" s="122"/>
      <c r="U8909" s="22"/>
      <c r="V8909" s="123" t="s">
        <v>6641</v>
      </c>
      <c r="W8909" s="122">
        <v>266</v>
      </c>
      <c r="X8909" s="221"/>
      <c r="Y8909" s="221"/>
      <c r="Z8909" s="221"/>
      <c r="AA8909" s="221"/>
      <c r="AB8909" s="223"/>
    </row>
    <row r="8910" spans="1:28" ht="17.100000000000001" customHeight="1" thickTop="1">
      <c r="A8910" s="226" t="s">
        <v>24721</v>
      </c>
      <c r="B8910" s="28">
        <v>46154</v>
      </c>
      <c r="C8910" s="25">
        <v>1239</v>
      </c>
      <c r="D8910" s="13" t="s">
        <v>1961</v>
      </c>
      <c r="E8910" s="228"/>
      <c r="F8910" s="109" t="s">
        <v>17162</v>
      </c>
      <c r="G8910" s="24"/>
      <c r="H8910" s="230">
        <v>4</v>
      </c>
      <c r="I8910" s="220">
        <v>703000</v>
      </c>
      <c r="J8910" s="220">
        <f>I8910*0.1</f>
        <v>70300</v>
      </c>
      <c r="K8910" s="220">
        <v>0</v>
      </c>
      <c r="L8910" s="220">
        <v>7440</v>
      </c>
      <c r="M8910" s="220">
        <v>15950</v>
      </c>
      <c r="N8910" s="220">
        <f>SUM(I8910:M8911)</f>
        <v>796690</v>
      </c>
      <c r="O8910" s="224"/>
      <c r="P8910" s="110" t="s">
        <v>24999</v>
      </c>
      <c r="Q8910" s="15" t="s">
        <v>19</v>
      </c>
      <c r="R8910" s="205"/>
      <c r="S8910" s="189"/>
      <c r="T8910" s="114"/>
      <c r="U8910" s="21"/>
      <c r="V8910" s="115"/>
      <c r="W8910" s="116"/>
      <c r="X8910" s="220"/>
      <c r="Y8910" s="220">
        <f>X8910*0.1</f>
        <v>0</v>
      </c>
      <c r="Z8910" s="220"/>
      <c r="AA8910" s="220">
        <f>SUM(X8910:Z8910)</f>
        <v>0</v>
      </c>
      <c r="AB8910" s="222"/>
    </row>
    <row r="8911" spans="1:28" ht="17.100000000000001" customHeight="1" thickBot="1">
      <c r="A8911" s="227"/>
      <c r="B8911" s="27" t="s">
        <v>2344</v>
      </c>
      <c r="C8911" s="27">
        <v>62087</v>
      </c>
      <c r="D8911" s="14" t="s">
        <v>1584</v>
      </c>
      <c r="E8911" s="229"/>
      <c r="F8911" s="117" t="s">
        <v>24703</v>
      </c>
      <c r="G8911" s="26">
        <v>51094</v>
      </c>
      <c r="H8911" s="231"/>
      <c r="I8911" s="221"/>
      <c r="J8911" s="221"/>
      <c r="K8911" s="221"/>
      <c r="L8911" s="221"/>
      <c r="M8911" s="221"/>
      <c r="N8911" s="221"/>
      <c r="O8911" s="225"/>
      <c r="P8911" s="118" t="s">
        <v>7323</v>
      </c>
      <c r="Q8911" s="16" t="s">
        <v>20</v>
      </c>
      <c r="R8911" s="17" t="s">
        <v>24991</v>
      </c>
      <c r="S8911" s="121"/>
      <c r="T8911" s="122"/>
      <c r="U8911" s="22"/>
      <c r="V8911" s="123"/>
      <c r="W8911" s="122"/>
      <c r="X8911" s="221"/>
      <c r="Y8911" s="221"/>
      <c r="Z8911" s="221"/>
      <c r="AA8911" s="221"/>
      <c r="AB8911" s="223"/>
    </row>
    <row r="8912" spans="1:28" ht="17.100000000000001" customHeight="1" thickTop="1">
      <c r="A8912" s="226" t="s">
        <v>24722</v>
      </c>
      <c r="B8912" s="28">
        <v>46154</v>
      </c>
      <c r="C8912" s="25">
        <v>1092</v>
      </c>
      <c r="D8912" s="13" t="s">
        <v>2690</v>
      </c>
      <c r="E8912" s="228"/>
      <c r="F8912" s="109" t="s">
        <v>24736</v>
      </c>
      <c r="G8912" s="24" t="s">
        <v>10904</v>
      </c>
      <c r="H8912" s="230">
        <v>4</v>
      </c>
      <c r="I8912" s="220">
        <v>1905000</v>
      </c>
      <c r="J8912" s="220">
        <f>I8912*0.1</f>
        <v>190500</v>
      </c>
      <c r="K8912" s="220">
        <v>33000</v>
      </c>
      <c r="L8912" s="220">
        <v>23610</v>
      </c>
      <c r="M8912" s="220">
        <v>16500</v>
      </c>
      <c r="N8912" s="220">
        <f>SUM(I8912:M8913)</f>
        <v>2168610</v>
      </c>
      <c r="O8912" s="224"/>
      <c r="P8912" s="110" t="s">
        <v>24745</v>
      </c>
      <c r="Q8912" s="15" t="s">
        <v>19</v>
      </c>
      <c r="R8912" s="205"/>
      <c r="S8912" s="189" t="s">
        <v>25685</v>
      </c>
      <c r="T8912" s="114"/>
      <c r="U8912" s="21"/>
      <c r="V8912" s="115"/>
      <c r="W8912" s="116"/>
      <c r="X8912" s="220"/>
      <c r="Y8912" s="220">
        <f>X8912*0.1</f>
        <v>0</v>
      </c>
      <c r="Z8912" s="220"/>
      <c r="AA8912" s="220">
        <f>SUM(X8912:Z8912)</f>
        <v>0</v>
      </c>
      <c r="AB8912" s="222"/>
    </row>
    <row r="8913" spans="1:28" ht="17.100000000000001" customHeight="1" thickBot="1">
      <c r="A8913" s="227"/>
      <c r="B8913" s="27" t="s">
        <v>1583</v>
      </c>
      <c r="C8913" s="27">
        <v>82038</v>
      </c>
      <c r="D8913" s="14" t="s">
        <v>131</v>
      </c>
      <c r="E8913" s="229"/>
      <c r="F8913" s="117" t="s">
        <v>24744</v>
      </c>
      <c r="G8913" s="26">
        <v>23664</v>
      </c>
      <c r="H8913" s="231"/>
      <c r="I8913" s="221"/>
      <c r="J8913" s="221"/>
      <c r="K8913" s="221"/>
      <c r="L8913" s="221"/>
      <c r="M8913" s="221"/>
      <c r="N8913" s="221"/>
      <c r="O8913" s="225"/>
      <c r="P8913" s="118" t="s">
        <v>16218</v>
      </c>
      <c r="Q8913" s="16" t="s">
        <v>20</v>
      </c>
      <c r="R8913" s="17" t="s">
        <v>2702</v>
      </c>
      <c r="S8913" s="121" t="s">
        <v>7305</v>
      </c>
      <c r="T8913" s="122"/>
      <c r="U8913" s="22"/>
      <c r="V8913" s="123"/>
      <c r="W8913" s="122"/>
      <c r="X8913" s="221"/>
      <c r="Y8913" s="221"/>
      <c r="Z8913" s="221"/>
      <c r="AA8913" s="221"/>
      <c r="AB8913" s="223"/>
    </row>
    <row r="8914" spans="1:28" ht="17.100000000000001" customHeight="1" thickTop="1">
      <c r="A8914" s="226" t="s">
        <v>24723</v>
      </c>
      <c r="B8914" s="28">
        <v>46154</v>
      </c>
      <c r="C8914" s="25">
        <v>989</v>
      </c>
      <c r="D8914" s="13" t="s">
        <v>1687</v>
      </c>
      <c r="E8914" s="228"/>
      <c r="F8914" s="109" t="s">
        <v>14900</v>
      </c>
      <c r="G8914" s="24"/>
      <c r="H8914" s="230">
        <v>4</v>
      </c>
      <c r="I8914" s="220">
        <v>963000</v>
      </c>
      <c r="J8914" s="220">
        <f>I8914*0.1</f>
        <v>96300</v>
      </c>
      <c r="K8914" s="220">
        <v>0</v>
      </c>
      <c r="L8914" s="220">
        <v>6850</v>
      </c>
      <c r="M8914" s="220">
        <v>22000</v>
      </c>
      <c r="N8914" s="220">
        <f>SUM(I8914:M8915)</f>
        <v>1088150</v>
      </c>
      <c r="O8914" s="224"/>
      <c r="P8914" s="110" t="s">
        <v>24992</v>
      </c>
      <c r="Q8914" s="15" t="s">
        <v>19</v>
      </c>
      <c r="R8914" s="205"/>
      <c r="S8914" s="189" t="s">
        <v>758</v>
      </c>
      <c r="T8914" s="114"/>
      <c r="U8914" s="21"/>
      <c r="V8914" s="115">
        <v>46158</v>
      </c>
      <c r="W8914" s="116">
        <v>1300</v>
      </c>
      <c r="X8914" s="220">
        <v>1075000</v>
      </c>
      <c r="Y8914" s="220">
        <f>X8914*0.1</f>
        <v>107500</v>
      </c>
      <c r="Z8914" s="220">
        <v>6850</v>
      </c>
      <c r="AA8914" s="220">
        <f>SUM(X8914:Z8914)</f>
        <v>1189350</v>
      </c>
      <c r="AB8914" s="222">
        <v>46161</v>
      </c>
    </row>
    <row r="8915" spans="1:28" ht="17.100000000000001" customHeight="1" thickBot="1">
      <c r="A8915" s="227"/>
      <c r="B8915" s="27" t="s">
        <v>17765</v>
      </c>
      <c r="C8915" s="27">
        <v>8</v>
      </c>
      <c r="D8915" s="14" t="s">
        <v>273</v>
      </c>
      <c r="E8915" s="229"/>
      <c r="F8915" s="117" t="s">
        <v>24737</v>
      </c>
      <c r="G8915" s="26">
        <v>33847</v>
      </c>
      <c r="H8915" s="231"/>
      <c r="I8915" s="221"/>
      <c r="J8915" s="221"/>
      <c r="K8915" s="221"/>
      <c r="L8915" s="221"/>
      <c r="M8915" s="221"/>
      <c r="N8915" s="221"/>
      <c r="O8915" s="225"/>
      <c r="P8915" s="118" t="s">
        <v>2446</v>
      </c>
      <c r="Q8915" s="16" t="s">
        <v>20</v>
      </c>
      <c r="R8915" s="17" t="s">
        <v>24991</v>
      </c>
      <c r="S8915" s="121" t="s">
        <v>24958</v>
      </c>
      <c r="T8915" s="122"/>
      <c r="U8915" s="22"/>
      <c r="V8915" s="123" t="s">
        <v>2472</v>
      </c>
      <c r="W8915" s="122">
        <v>62120</v>
      </c>
      <c r="X8915" s="221"/>
      <c r="Y8915" s="221"/>
      <c r="Z8915" s="221"/>
      <c r="AA8915" s="221"/>
      <c r="AB8915" s="223"/>
    </row>
    <row r="8916" spans="1:28" ht="17.100000000000001" customHeight="1" thickTop="1">
      <c r="A8916" s="226" t="s">
        <v>24724</v>
      </c>
      <c r="B8916" s="28">
        <v>46154</v>
      </c>
      <c r="C8916" s="25">
        <v>989</v>
      </c>
      <c r="D8916" s="13" t="s">
        <v>1961</v>
      </c>
      <c r="E8916" s="228"/>
      <c r="F8916" s="109" t="s">
        <v>7638</v>
      </c>
      <c r="G8916" s="24"/>
      <c r="H8916" s="230">
        <v>3.5</v>
      </c>
      <c r="I8916" s="220">
        <v>363000</v>
      </c>
      <c r="J8916" s="220">
        <f>I8916*0.1</f>
        <v>36300</v>
      </c>
      <c r="K8916" s="220">
        <v>0</v>
      </c>
      <c r="L8916" s="220">
        <v>6960</v>
      </c>
      <c r="M8916" s="220">
        <v>22000</v>
      </c>
      <c r="N8916" s="220">
        <f>SUM(I8916:M8917)</f>
        <v>428260</v>
      </c>
      <c r="O8916" s="224"/>
      <c r="P8916" s="110" t="s">
        <v>25010</v>
      </c>
      <c r="Q8916" s="15" t="s">
        <v>19</v>
      </c>
      <c r="R8916" s="205"/>
      <c r="S8916" s="189" t="s">
        <v>25387</v>
      </c>
      <c r="T8916" s="114"/>
      <c r="U8916" s="21"/>
      <c r="V8916" s="115"/>
      <c r="W8916" s="116"/>
      <c r="X8916" s="220"/>
      <c r="Y8916" s="220">
        <f>X8916*0.1</f>
        <v>0</v>
      </c>
      <c r="Z8916" s="220"/>
      <c r="AA8916" s="220">
        <f>SUM(X8916:Z8916)</f>
        <v>0</v>
      </c>
      <c r="AB8916" s="222"/>
    </row>
    <row r="8917" spans="1:28" ht="17.100000000000001" customHeight="1" thickBot="1">
      <c r="A8917" s="227"/>
      <c r="B8917" s="27" t="s">
        <v>17765</v>
      </c>
      <c r="C8917" s="27">
        <v>35</v>
      </c>
      <c r="D8917" s="14" t="s">
        <v>1584</v>
      </c>
      <c r="E8917" s="229"/>
      <c r="F8917" s="117" t="s">
        <v>24738</v>
      </c>
      <c r="G8917" s="26">
        <v>23143</v>
      </c>
      <c r="H8917" s="231"/>
      <c r="I8917" s="221"/>
      <c r="J8917" s="221"/>
      <c r="K8917" s="221"/>
      <c r="L8917" s="221"/>
      <c r="M8917" s="221"/>
      <c r="N8917" s="221"/>
      <c r="O8917" s="225"/>
      <c r="P8917" s="118" t="s">
        <v>2446</v>
      </c>
      <c r="Q8917" s="16" t="s">
        <v>20</v>
      </c>
      <c r="R8917" s="17" t="s">
        <v>24991</v>
      </c>
      <c r="S8917" s="121" t="s">
        <v>169</v>
      </c>
      <c r="T8917" s="122"/>
      <c r="U8917" s="22"/>
      <c r="V8917" s="123"/>
      <c r="W8917" s="122"/>
      <c r="X8917" s="221"/>
      <c r="Y8917" s="221"/>
      <c r="Z8917" s="221"/>
      <c r="AA8917" s="221"/>
      <c r="AB8917" s="223"/>
    </row>
    <row r="8918" spans="1:28" ht="17.100000000000001" customHeight="1" thickTop="1">
      <c r="A8918" s="226" t="s">
        <v>24725</v>
      </c>
      <c r="B8918" s="28">
        <v>46154</v>
      </c>
      <c r="C8918" s="25">
        <v>989</v>
      </c>
      <c r="D8918" s="13" t="s">
        <v>3474</v>
      </c>
      <c r="E8918" s="228"/>
      <c r="F8918" s="109" t="s">
        <v>17162</v>
      </c>
      <c r="G8918" s="24"/>
      <c r="H8918" s="230">
        <v>3.5</v>
      </c>
      <c r="I8918" s="220">
        <v>684000</v>
      </c>
      <c r="J8918" s="220">
        <f>I8918*0.1</f>
        <v>68400</v>
      </c>
      <c r="K8918" s="220">
        <v>0</v>
      </c>
      <c r="L8918" s="220">
        <v>7440</v>
      </c>
      <c r="M8918" s="220">
        <v>22000</v>
      </c>
      <c r="N8918" s="220">
        <f>SUM(I8918:M8919)</f>
        <v>781840</v>
      </c>
      <c r="O8918" s="224"/>
      <c r="P8918" s="110" t="s">
        <v>24990</v>
      </c>
      <c r="Q8918" s="15" t="s">
        <v>19</v>
      </c>
      <c r="R8918" s="205"/>
      <c r="S8918" s="189" t="s">
        <v>25387</v>
      </c>
      <c r="T8918" s="114"/>
      <c r="U8918" s="21"/>
      <c r="V8918" s="115">
        <v>46158</v>
      </c>
      <c r="W8918" s="116">
        <v>1300</v>
      </c>
      <c r="X8918" s="220">
        <v>865000</v>
      </c>
      <c r="Y8918" s="220">
        <f>X8918*0.1</f>
        <v>86500</v>
      </c>
      <c r="Z8918" s="220">
        <v>7440</v>
      </c>
      <c r="AA8918" s="220">
        <f>SUM(X8918:Z8918)</f>
        <v>958940</v>
      </c>
      <c r="AB8918" s="222">
        <v>46161</v>
      </c>
    </row>
    <row r="8919" spans="1:28" ht="17.100000000000001" customHeight="1" thickBot="1">
      <c r="A8919" s="227"/>
      <c r="B8919" s="27" t="s">
        <v>17765</v>
      </c>
      <c r="C8919" s="27">
        <v>91</v>
      </c>
      <c r="D8919" s="14" t="s">
        <v>1584</v>
      </c>
      <c r="E8919" s="229"/>
      <c r="F8919" s="117" t="s">
        <v>24739</v>
      </c>
      <c r="G8919" s="26">
        <v>46670</v>
      </c>
      <c r="H8919" s="231"/>
      <c r="I8919" s="221"/>
      <c r="J8919" s="221"/>
      <c r="K8919" s="221"/>
      <c r="L8919" s="221"/>
      <c r="M8919" s="221"/>
      <c r="N8919" s="221"/>
      <c r="O8919" s="225"/>
      <c r="P8919" s="118" t="s">
        <v>2446</v>
      </c>
      <c r="Q8919" s="16" t="s">
        <v>20</v>
      </c>
      <c r="R8919" s="17" t="s">
        <v>24991</v>
      </c>
      <c r="S8919" s="121" t="s">
        <v>10124</v>
      </c>
      <c r="T8919" s="122"/>
      <c r="U8919" s="22"/>
      <c r="V8919" s="123" t="s">
        <v>2472</v>
      </c>
      <c r="W8919" s="122">
        <v>40191</v>
      </c>
      <c r="X8919" s="221"/>
      <c r="Y8919" s="221"/>
      <c r="Z8919" s="221"/>
      <c r="AA8919" s="221"/>
      <c r="AB8919" s="223"/>
    </row>
    <row r="8920" spans="1:28" ht="17.100000000000001" customHeight="1" thickTop="1">
      <c r="A8920" s="226" t="s">
        <v>24726</v>
      </c>
      <c r="B8920" s="28">
        <v>46154</v>
      </c>
      <c r="C8920" s="25">
        <v>989</v>
      </c>
      <c r="D8920" s="13" t="s">
        <v>2690</v>
      </c>
      <c r="E8920" s="228"/>
      <c r="F8920" s="109" t="s">
        <v>17515</v>
      </c>
      <c r="G8920" s="24"/>
      <c r="H8920" s="230">
        <v>3.5</v>
      </c>
      <c r="I8920" s="220">
        <v>1283000</v>
      </c>
      <c r="J8920" s="220">
        <f>I8920*0.1</f>
        <v>128300</v>
      </c>
      <c r="K8920" s="220">
        <v>0</v>
      </c>
      <c r="L8920" s="220">
        <v>9150</v>
      </c>
      <c r="M8920" s="220">
        <v>22000</v>
      </c>
      <c r="N8920" s="220">
        <f>SUM(I8920:M8921)</f>
        <v>1442450</v>
      </c>
      <c r="O8920" s="224"/>
      <c r="P8920" s="110" t="s">
        <v>25009</v>
      </c>
      <c r="Q8920" s="15" t="s">
        <v>19</v>
      </c>
      <c r="R8920" s="205"/>
      <c r="S8920" s="189" t="s">
        <v>25387</v>
      </c>
      <c r="T8920" s="114"/>
      <c r="U8920" s="21"/>
      <c r="V8920" s="115"/>
      <c r="W8920" s="116"/>
      <c r="X8920" s="220"/>
      <c r="Y8920" s="220">
        <f>X8920*0.1</f>
        <v>0</v>
      </c>
      <c r="Z8920" s="220"/>
      <c r="AA8920" s="220">
        <f>SUM(X8920:Z8920)</f>
        <v>0</v>
      </c>
      <c r="AB8920" s="222"/>
    </row>
    <row r="8921" spans="1:28" ht="17.100000000000001" customHeight="1" thickBot="1">
      <c r="A8921" s="227"/>
      <c r="B8921" s="27" t="s">
        <v>17765</v>
      </c>
      <c r="C8921" s="27">
        <v>92</v>
      </c>
      <c r="D8921" s="14" t="s">
        <v>273</v>
      </c>
      <c r="E8921" s="229"/>
      <c r="F8921" s="117" t="s">
        <v>24740</v>
      </c>
      <c r="G8921" s="26">
        <v>47168</v>
      </c>
      <c r="H8921" s="231"/>
      <c r="I8921" s="221"/>
      <c r="J8921" s="221"/>
      <c r="K8921" s="221"/>
      <c r="L8921" s="221"/>
      <c r="M8921" s="221"/>
      <c r="N8921" s="221"/>
      <c r="O8921" s="225"/>
      <c r="P8921" s="118" t="s">
        <v>2446</v>
      </c>
      <c r="Q8921" s="16" t="s">
        <v>20</v>
      </c>
      <c r="R8921" s="17" t="s">
        <v>24991</v>
      </c>
      <c r="S8921" s="121" t="s">
        <v>1661</v>
      </c>
      <c r="T8921" s="122"/>
      <c r="U8921" s="22"/>
      <c r="V8921" s="123"/>
      <c r="W8921" s="122"/>
      <c r="X8921" s="221"/>
      <c r="Y8921" s="221"/>
      <c r="Z8921" s="221"/>
      <c r="AA8921" s="221"/>
      <c r="AB8921" s="223"/>
    </row>
    <row r="8922" spans="1:28" ht="17.100000000000001" customHeight="1" thickTop="1">
      <c r="A8922" s="226" t="s">
        <v>24727</v>
      </c>
      <c r="B8922" s="28">
        <v>46154</v>
      </c>
      <c r="C8922" s="25">
        <v>989</v>
      </c>
      <c r="D8922" s="13" t="s">
        <v>1961</v>
      </c>
      <c r="E8922" s="228"/>
      <c r="F8922" s="109" t="s">
        <v>15511</v>
      </c>
      <c r="G8922" s="24"/>
      <c r="H8922" s="230">
        <v>4</v>
      </c>
      <c r="I8922" s="220">
        <v>493000</v>
      </c>
      <c r="J8922" s="220">
        <f>I8922*0.1</f>
        <v>49300</v>
      </c>
      <c r="K8922" s="220">
        <v>0</v>
      </c>
      <c r="L8922" s="220">
        <v>8430</v>
      </c>
      <c r="M8922" s="220">
        <v>22000</v>
      </c>
      <c r="N8922" s="220">
        <f>SUM(I8922:M8923)</f>
        <v>572730</v>
      </c>
      <c r="O8922" s="224"/>
      <c r="P8922" s="110" t="s">
        <v>25008</v>
      </c>
      <c r="Q8922" s="15" t="s">
        <v>19</v>
      </c>
      <c r="R8922" s="205"/>
      <c r="S8922" s="189" t="s">
        <v>25387</v>
      </c>
      <c r="T8922" s="114"/>
      <c r="U8922" s="21"/>
      <c r="V8922" s="115">
        <v>46165</v>
      </c>
      <c r="W8922" s="116">
        <v>1301</v>
      </c>
      <c r="X8922" s="220">
        <v>605000</v>
      </c>
      <c r="Y8922" s="220">
        <f>X8922*0.1</f>
        <v>60500</v>
      </c>
      <c r="Z8922" s="220">
        <v>8430</v>
      </c>
      <c r="AA8922" s="220">
        <f>SUM(X8922:Z8922)</f>
        <v>673930</v>
      </c>
      <c r="AB8922" s="222">
        <v>46168</v>
      </c>
    </row>
    <row r="8923" spans="1:28" ht="17.100000000000001" customHeight="1" thickBot="1">
      <c r="A8923" s="227"/>
      <c r="B8923" s="27" t="s">
        <v>17765</v>
      </c>
      <c r="C8923" s="27">
        <v>123</v>
      </c>
      <c r="D8923" s="14" t="s">
        <v>1710</v>
      </c>
      <c r="E8923" s="229"/>
      <c r="F8923" s="117" t="s">
        <v>24741</v>
      </c>
      <c r="G8923" s="26">
        <v>41252</v>
      </c>
      <c r="H8923" s="231"/>
      <c r="I8923" s="221"/>
      <c r="J8923" s="221"/>
      <c r="K8923" s="221"/>
      <c r="L8923" s="221"/>
      <c r="M8923" s="221"/>
      <c r="N8923" s="221"/>
      <c r="O8923" s="225"/>
      <c r="P8923" s="118" t="s">
        <v>2446</v>
      </c>
      <c r="Q8923" s="16" t="s">
        <v>20</v>
      </c>
      <c r="R8923" s="17" t="s">
        <v>24991</v>
      </c>
      <c r="S8923" s="121" t="s">
        <v>169</v>
      </c>
      <c r="T8923" s="122"/>
      <c r="U8923" s="22"/>
      <c r="V8923" s="123" t="s">
        <v>2472</v>
      </c>
      <c r="W8923" s="122">
        <v>62025</v>
      </c>
      <c r="X8923" s="221"/>
      <c r="Y8923" s="221"/>
      <c r="Z8923" s="221"/>
      <c r="AA8923" s="221"/>
      <c r="AB8923" s="223"/>
    </row>
    <row r="8924" spans="1:28" ht="17.100000000000001" customHeight="1" thickTop="1">
      <c r="A8924" s="226" t="s">
        <v>24728</v>
      </c>
      <c r="B8924" s="28">
        <v>46154</v>
      </c>
      <c r="C8924" s="25">
        <v>989</v>
      </c>
      <c r="D8924" s="13" t="s">
        <v>2900</v>
      </c>
      <c r="E8924" s="228"/>
      <c r="F8924" s="109" t="s">
        <v>15195</v>
      </c>
      <c r="G8924" s="24"/>
      <c r="H8924" s="230">
        <v>3.5</v>
      </c>
      <c r="I8924" s="220">
        <v>343000</v>
      </c>
      <c r="J8924" s="220">
        <f>I8924*0.1</f>
        <v>34300</v>
      </c>
      <c r="K8924" s="220">
        <v>0</v>
      </c>
      <c r="L8924" s="220">
        <v>8850</v>
      </c>
      <c r="M8924" s="220">
        <v>22000</v>
      </c>
      <c r="N8924" s="220">
        <f>SUM(I8924:M8925)</f>
        <v>408150</v>
      </c>
      <c r="O8924" s="224"/>
      <c r="P8924" s="110" t="s">
        <v>25007</v>
      </c>
      <c r="Q8924" s="15" t="s">
        <v>19</v>
      </c>
      <c r="R8924" s="205"/>
      <c r="S8924" s="189" t="s">
        <v>25387</v>
      </c>
      <c r="T8924" s="114"/>
      <c r="U8924" s="21"/>
      <c r="V8924" s="115"/>
      <c r="W8924" s="116"/>
      <c r="X8924" s="220"/>
      <c r="Y8924" s="220">
        <f>X8924*0.1</f>
        <v>0</v>
      </c>
      <c r="Z8924" s="220"/>
      <c r="AA8924" s="220">
        <f>SUM(X8924:Z8924)</f>
        <v>0</v>
      </c>
      <c r="AB8924" s="222"/>
    </row>
    <row r="8925" spans="1:28" ht="17.100000000000001" customHeight="1" thickBot="1">
      <c r="A8925" s="227"/>
      <c r="B8925" s="27" t="s">
        <v>17765</v>
      </c>
      <c r="C8925" s="27">
        <v>126</v>
      </c>
      <c r="D8925" s="14" t="s">
        <v>898</v>
      </c>
      <c r="E8925" s="229"/>
      <c r="F8925" s="117" t="s">
        <v>24742</v>
      </c>
      <c r="G8925" s="26">
        <v>59693</v>
      </c>
      <c r="H8925" s="231"/>
      <c r="I8925" s="221"/>
      <c r="J8925" s="221"/>
      <c r="K8925" s="221"/>
      <c r="L8925" s="221"/>
      <c r="M8925" s="221"/>
      <c r="N8925" s="221"/>
      <c r="O8925" s="225"/>
      <c r="P8925" s="118" t="s">
        <v>2446</v>
      </c>
      <c r="Q8925" s="16" t="s">
        <v>20</v>
      </c>
      <c r="R8925" s="17" t="s">
        <v>24991</v>
      </c>
      <c r="S8925" s="121" t="s">
        <v>11197</v>
      </c>
      <c r="T8925" s="122"/>
      <c r="U8925" s="22"/>
      <c r="V8925" s="123"/>
      <c r="W8925" s="122"/>
      <c r="X8925" s="221"/>
      <c r="Y8925" s="221"/>
      <c r="Z8925" s="221"/>
      <c r="AA8925" s="221"/>
      <c r="AB8925" s="223"/>
    </row>
    <row r="8926" spans="1:28" ht="17.100000000000001" customHeight="1" thickTop="1">
      <c r="A8926" s="226" t="s">
        <v>24729</v>
      </c>
      <c r="B8926" s="28">
        <v>46154</v>
      </c>
      <c r="C8926" s="25">
        <v>989</v>
      </c>
      <c r="D8926" s="13" t="s">
        <v>1961</v>
      </c>
      <c r="E8926" s="228"/>
      <c r="F8926" s="109" t="s">
        <v>7638</v>
      </c>
      <c r="G8926" s="24"/>
      <c r="H8926" s="230">
        <v>3.5</v>
      </c>
      <c r="I8926" s="220">
        <v>363000</v>
      </c>
      <c r="J8926" s="220">
        <f>I8926*0.1</f>
        <v>36300</v>
      </c>
      <c r="K8926" s="220">
        <v>0</v>
      </c>
      <c r="L8926" s="220">
        <v>6960</v>
      </c>
      <c r="M8926" s="220">
        <v>22000</v>
      </c>
      <c r="N8926" s="220">
        <f>SUM(I8926:M8927)</f>
        <v>428260</v>
      </c>
      <c r="O8926" s="224"/>
      <c r="P8926" s="110" t="s">
        <v>26226</v>
      </c>
      <c r="Q8926" s="15" t="s">
        <v>19</v>
      </c>
      <c r="R8926" s="205"/>
      <c r="S8926" s="189" t="s">
        <v>25387</v>
      </c>
      <c r="T8926" s="114"/>
      <c r="U8926" s="21"/>
      <c r="V8926" s="115"/>
      <c r="W8926" s="116"/>
      <c r="X8926" s="220"/>
      <c r="Y8926" s="220">
        <f>X8926*0.1</f>
        <v>0</v>
      </c>
      <c r="Z8926" s="220"/>
      <c r="AA8926" s="220">
        <f>SUM(X8926:Z8926)</f>
        <v>0</v>
      </c>
      <c r="AB8926" s="222"/>
    </row>
    <row r="8927" spans="1:28" ht="17.100000000000001" customHeight="1" thickBot="1">
      <c r="A8927" s="227"/>
      <c r="B8927" s="27" t="s">
        <v>17765</v>
      </c>
      <c r="C8927" s="27">
        <v>199</v>
      </c>
      <c r="D8927" s="14" t="s">
        <v>1710</v>
      </c>
      <c r="E8927" s="229"/>
      <c r="F8927" s="117" t="s">
        <v>24743</v>
      </c>
      <c r="G8927" s="26">
        <v>23305</v>
      </c>
      <c r="H8927" s="231"/>
      <c r="I8927" s="221"/>
      <c r="J8927" s="221"/>
      <c r="K8927" s="221"/>
      <c r="L8927" s="221"/>
      <c r="M8927" s="221"/>
      <c r="N8927" s="221"/>
      <c r="O8927" s="225"/>
      <c r="P8927" s="118" t="s">
        <v>26227</v>
      </c>
      <c r="Q8927" s="16" t="s">
        <v>20</v>
      </c>
      <c r="R8927" s="17" t="s">
        <v>1959</v>
      </c>
      <c r="S8927" s="121" t="s">
        <v>169</v>
      </c>
      <c r="T8927" s="122"/>
      <c r="U8927" s="22"/>
      <c r="V8927" s="123"/>
      <c r="W8927" s="122"/>
      <c r="X8927" s="221"/>
      <c r="Y8927" s="221"/>
      <c r="Z8927" s="221"/>
      <c r="AA8927" s="221"/>
      <c r="AB8927" s="223"/>
    </row>
    <row r="8928" spans="1:28" ht="17.100000000000001" customHeight="1" thickTop="1">
      <c r="A8928" s="226" t="s">
        <v>24730</v>
      </c>
      <c r="B8928" s="28">
        <v>46154</v>
      </c>
      <c r="C8928" s="25">
        <v>1287</v>
      </c>
      <c r="D8928" s="13" t="s">
        <v>2295</v>
      </c>
      <c r="E8928" s="228"/>
      <c r="F8928" s="109" t="s">
        <v>24750</v>
      </c>
      <c r="G8928" s="24" t="s">
        <v>1540</v>
      </c>
      <c r="H8928" s="230">
        <v>4.5</v>
      </c>
      <c r="I8928" s="220">
        <v>1611000</v>
      </c>
      <c r="J8928" s="220">
        <f>I8928*0.1</f>
        <v>161100</v>
      </c>
      <c r="K8928" s="220">
        <f>33000</f>
        <v>33000</v>
      </c>
      <c r="L8928" s="220">
        <v>20410</v>
      </c>
      <c r="M8928" s="220">
        <f>18500+1850</f>
        <v>20350</v>
      </c>
      <c r="N8928" s="220">
        <f>SUM(I8928:M8929)</f>
        <v>1845860</v>
      </c>
      <c r="O8928" s="224"/>
      <c r="P8928" s="110" t="s">
        <v>24752</v>
      </c>
      <c r="Q8928" s="15" t="s">
        <v>19</v>
      </c>
      <c r="R8928" s="205"/>
      <c r="S8928" s="189" t="s">
        <v>25999</v>
      </c>
      <c r="T8928" s="114"/>
      <c r="U8928" s="21"/>
      <c r="V8928" s="115">
        <v>46158</v>
      </c>
      <c r="W8928" s="116">
        <v>1300</v>
      </c>
      <c r="X8928" s="220">
        <v>1765000</v>
      </c>
      <c r="Y8928" s="220">
        <f>X8928*0.1</f>
        <v>176500</v>
      </c>
      <c r="Z8928" s="220">
        <v>20410</v>
      </c>
      <c r="AA8928" s="220">
        <f>SUM(X8928:Z8928)</f>
        <v>1961910</v>
      </c>
      <c r="AB8928" s="222">
        <v>46161</v>
      </c>
    </row>
    <row r="8929" spans="1:28" ht="17.100000000000001" customHeight="1" thickBot="1">
      <c r="A8929" s="227"/>
      <c r="B8929" s="27" t="s">
        <v>3543</v>
      </c>
      <c r="C8929" s="27">
        <v>38041</v>
      </c>
      <c r="D8929" s="14" t="s">
        <v>898</v>
      </c>
      <c r="E8929" s="229"/>
      <c r="F8929" s="117" t="s">
        <v>24751</v>
      </c>
      <c r="G8929" s="26">
        <v>20696</v>
      </c>
      <c r="H8929" s="231"/>
      <c r="I8929" s="221"/>
      <c r="J8929" s="221"/>
      <c r="K8929" s="221"/>
      <c r="L8929" s="221"/>
      <c r="M8929" s="221"/>
      <c r="N8929" s="221"/>
      <c r="O8929" s="225"/>
      <c r="P8929" s="118" t="s">
        <v>24993</v>
      </c>
      <c r="Q8929" s="16" t="s">
        <v>20</v>
      </c>
      <c r="R8929" s="17" t="s">
        <v>24991</v>
      </c>
      <c r="S8929" s="121" t="s">
        <v>2166</v>
      </c>
      <c r="T8929" s="122"/>
      <c r="U8929" s="22"/>
      <c r="V8929" s="123" t="s">
        <v>2472</v>
      </c>
      <c r="W8929" s="122">
        <v>80401</v>
      </c>
      <c r="X8929" s="221"/>
      <c r="Y8929" s="221"/>
      <c r="Z8929" s="221"/>
      <c r="AA8929" s="221"/>
      <c r="AB8929" s="223"/>
    </row>
    <row r="8930" spans="1:28" ht="17.100000000000001" customHeight="1" thickTop="1">
      <c r="A8930" s="226" t="s">
        <v>24731</v>
      </c>
      <c r="B8930" s="28">
        <v>46155</v>
      </c>
      <c r="C8930" s="25">
        <v>1016</v>
      </c>
      <c r="D8930" s="13" t="s">
        <v>1908</v>
      </c>
      <c r="E8930" s="228"/>
      <c r="F8930" s="109" t="s">
        <v>21589</v>
      </c>
      <c r="G8930" s="24" t="s">
        <v>24761</v>
      </c>
      <c r="H8930" s="230">
        <v>4</v>
      </c>
      <c r="I8930" s="220">
        <v>605000</v>
      </c>
      <c r="J8930" s="220">
        <f>I8930*0.1</f>
        <v>60500</v>
      </c>
      <c r="K8930" s="220">
        <v>31570</v>
      </c>
      <c r="L8930" s="220">
        <v>9130</v>
      </c>
      <c r="M8930" s="220">
        <v>12100</v>
      </c>
      <c r="N8930" s="220">
        <f>SUM(I8930:M8931)</f>
        <v>718300</v>
      </c>
      <c r="O8930" s="224"/>
      <c r="P8930" s="110" t="s">
        <v>24762</v>
      </c>
      <c r="Q8930" s="15" t="s">
        <v>19</v>
      </c>
      <c r="R8930" s="205"/>
      <c r="S8930" s="189" t="s">
        <v>26000</v>
      </c>
      <c r="T8930" s="114"/>
      <c r="U8930" s="21"/>
      <c r="V8930" s="115">
        <v>46165</v>
      </c>
      <c r="W8930" s="116">
        <v>1301</v>
      </c>
      <c r="X8930" s="220">
        <v>685000</v>
      </c>
      <c r="Y8930" s="220">
        <f>X8930*0.1</f>
        <v>68500</v>
      </c>
      <c r="Z8930" s="220">
        <v>9130</v>
      </c>
      <c r="AA8930" s="220">
        <f>SUM(X8930:Z8930)</f>
        <v>762630</v>
      </c>
      <c r="AB8930" s="222"/>
    </row>
    <row r="8931" spans="1:28" ht="17.100000000000001" customHeight="1" thickBot="1">
      <c r="A8931" s="227"/>
      <c r="B8931" s="27" t="s">
        <v>2747</v>
      </c>
      <c r="C8931" s="27">
        <v>1290</v>
      </c>
      <c r="D8931" s="14" t="s">
        <v>1584</v>
      </c>
      <c r="E8931" s="229"/>
      <c r="F8931" s="117" t="s">
        <v>24754</v>
      </c>
      <c r="G8931" s="26">
        <v>51151</v>
      </c>
      <c r="H8931" s="231"/>
      <c r="I8931" s="221"/>
      <c r="J8931" s="221"/>
      <c r="K8931" s="221"/>
      <c r="L8931" s="221"/>
      <c r="M8931" s="221"/>
      <c r="N8931" s="221"/>
      <c r="O8931" s="225"/>
      <c r="P8931" s="118" t="s">
        <v>26189</v>
      </c>
      <c r="Q8931" s="16" t="s">
        <v>20</v>
      </c>
      <c r="R8931" s="17" t="s">
        <v>2702</v>
      </c>
      <c r="S8931" s="121" t="s">
        <v>26190</v>
      </c>
      <c r="T8931" s="122"/>
      <c r="U8931" s="22"/>
      <c r="V8931" s="123" t="s">
        <v>6641</v>
      </c>
      <c r="W8931" s="122">
        <v>55035</v>
      </c>
      <c r="X8931" s="221"/>
      <c r="Y8931" s="221"/>
      <c r="Z8931" s="221"/>
      <c r="AA8931" s="221"/>
      <c r="AB8931" s="223"/>
    </row>
    <row r="8932" spans="1:28" ht="17.100000000000001" customHeight="1" thickTop="1">
      <c r="A8932" s="226" t="s">
        <v>24732</v>
      </c>
      <c r="B8932" s="28">
        <v>46155</v>
      </c>
      <c r="C8932" s="25">
        <v>1016</v>
      </c>
      <c r="D8932" s="13" t="s">
        <v>1883</v>
      </c>
      <c r="E8932" s="228"/>
      <c r="F8932" s="109" t="s">
        <v>15254</v>
      </c>
      <c r="G8932" s="24"/>
      <c r="H8932" s="230">
        <v>4</v>
      </c>
      <c r="I8932" s="220">
        <v>970000</v>
      </c>
      <c r="J8932" s="220">
        <f>I8932*0.1</f>
        <v>97000</v>
      </c>
      <c r="K8932" s="220">
        <v>0</v>
      </c>
      <c r="L8932" s="220">
        <v>9810</v>
      </c>
      <c r="M8932" s="220">
        <v>12100</v>
      </c>
      <c r="N8932" s="220">
        <f>SUM(I8932:M8933)</f>
        <v>1088910</v>
      </c>
      <c r="O8932" s="224"/>
      <c r="P8932" s="110" t="s">
        <v>26191</v>
      </c>
      <c r="Q8932" s="15" t="s">
        <v>19</v>
      </c>
      <c r="R8932" s="205"/>
      <c r="S8932" s="189"/>
      <c r="T8932" s="114"/>
      <c r="U8932" s="21"/>
      <c r="V8932" s="115"/>
      <c r="W8932" s="116"/>
      <c r="X8932" s="220"/>
      <c r="Y8932" s="220">
        <f>X8932*0.1</f>
        <v>0</v>
      </c>
      <c r="Z8932" s="220"/>
      <c r="AA8932" s="220">
        <f>SUM(X8932:Z8932)</f>
        <v>0</v>
      </c>
      <c r="AB8932" s="222"/>
    </row>
    <row r="8933" spans="1:28" ht="17.100000000000001" customHeight="1" thickBot="1">
      <c r="A8933" s="227"/>
      <c r="B8933" s="27" t="s">
        <v>2747</v>
      </c>
      <c r="C8933" s="27">
        <v>1298</v>
      </c>
      <c r="D8933" s="14" t="s">
        <v>1710</v>
      </c>
      <c r="E8933" s="229"/>
      <c r="F8933" s="117" t="s">
        <v>24755</v>
      </c>
      <c r="G8933" s="26">
        <v>59119</v>
      </c>
      <c r="H8933" s="231"/>
      <c r="I8933" s="221"/>
      <c r="J8933" s="221"/>
      <c r="K8933" s="221"/>
      <c r="L8933" s="221"/>
      <c r="M8933" s="221"/>
      <c r="N8933" s="221"/>
      <c r="O8933" s="225"/>
      <c r="P8933" s="118" t="s">
        <v>6758</v>
      </c>
      <c r="Q8933" s="16" t="s">
        <v>20</v>
      </c>
      <c r="R8933" s="17" t="s">
        <v>2702</v>
      </c>
      <c r="S8933" s="121" t="s">
        <v>7721</v>
      </c>
      <c r="T8933" s="122"/>
      <c r="U8933" s="22"/>
      <c r="V8933" s="123"/>
      <c r="W8933" s="122"/>
      <c r="X8933" s="221"/>
      <c r="Y8933" s="221"/>
      <c r="Z8933" s="221"/>
      <c r="AA8933" s="221"/>
      <c r="AB8933" s="223"/>
    </row>
    <row r="8934" spans="1:28" ht="17.100000000000001" customHeight="1" thickTop="1">
      <c r="A8934" s="226" t="s">
        <v>24733</v>
      </c>
      <c r="B8934" s="28">
        <v>46155</v>
      </c>
      <c r="C8934" s="25">
        <v>1016</v>
      </c>
      <c r="D8934" s="13" t="s">
        <v>2324</v>
      </c>
      <c r="E8934" s="228"/>
      <c r="F8934" s="109" t="s">
        <v>24756</v>
      </c>
      <c r="G8934" s="24"/>
      <c r="H8934" s="230">
        <v>4.5</v>
      </c>
      <c r="I8934" s="220">
        <v>1505000</v>
      </c>
      <c r="J8934" s="220">
        <f>I8934*0.1</f>
        <v>150500</v>
      </c>
      <c r="K8934" s="220">
        <v>0</v>
      </c>
      <c r="L8934" s="220">
        <v>9830</v>
      </c>
      <c r="M8934" s="220">
        <v>12100</v>
      </c>
      <c r="N8934" s="220">
        <f>SUM(I8934:M8935)</f>
        <v>1677430</v>
      </c>
      <c r="O8934" s="224"/>
      <c r="P8934" s="110" t="s">
        <v>26089</v>
      </c>
      <c r="Q8934" s="15" t="s">
        <v>19</v>
      </c>
      <c r="R8934" s="205"/>
      <c r="S8934" s="189"/>
      <c r="T8934" s="114"/>
      <c r="U8934" s="21"/>
      <c r="V8934" s="115">
        <v>46158</v>
      </c>
      <c r="W8934" s="116">
        <v>1300</v>
      </c>
      <c r="X8934" s="220">
        <v>1580000</v>
      </c>
      <c r="Y8934" s="220">
        <f>X8934*0.1</f>
        <v>158000</v>
      </c>
      <c r="Z8934" s="220">
        <v>9830</v>
      </c>
      <c r="AA8934" s="220">
        <f>SUM(X8934:Z8934)</f>
        <v>1747830</v>
      </c>
      <c r="AB8934" s="222">
        <v>46167</v>
      </c>
    </row>
    <row r="8935" spans="1:28" ht="17.100000000000001" customHeight="1" thickBot="1">
      <c r="A8935" s="227"/>
      <c r="B8935" s="27" t="s">
        <v>2747</v>
      </c>
      <c r="C8935" s="27">
        <v>1303</v>
      </c>
      <c r="D8935" s="14" t="s">
        <v>1584</v>
      </c>
      <c r="E8935" s="229"/>
      <c r="F8935" s="117" t="s">
        <v>24757</v>
      </c>
      <c r="G8935" s="26">
        <v>36688</v>
      </c>
      <c r="H8935" s="231"/>
      <c r="I8935" s="221"/>
      <c r="J8935" s="221"/>
      <c r="K8935" s="221"/>
      <c r="L8935" s="221"/>
      <c r="M8935" s="221"/>
      <c r="N8935" s="221"/>
      <c r="O8935" s="225"/>
      <c r="P8935" s="118" t="s">
        <v>6758</v>
      </c>
      <c r="Q8935" s="16" t="s">
        <v>20</v>
      </c>
      <c r="R8935" s="17" t="s">
        <v>2702</v>
      </c>
      <c r="S8935" s="121"/>
      <c r="T8935" s="122"/>
      <c r="U8935" s="22"/>
      <c r="V8935" s="123" t="s">
        <v>6641</v>
      </c>
      <c r="W8935" s="122">
        <v>243</v>
      </c>
      <c r="X8935" s="221"/>
      <c r="Y8935" s="221"/>
      <c r="Z8935" s="221"/>
      <c r="AA8935" s="221"/>
      <c r="AB8935" s="223"/>
    </row>
    <row r="8936" spans="1:28" ht="17.100000000000001" customHeight="1" thickTop="1">
      <c r="A8936" s="226" t="s">
        <v>24734</v>
      </c>
      <c r="B8936" s="28">
        <v>46155</v>
      </c>
      <c r="C8936" s="25">
        <v>1016</v>
      </c>
      <c r="D8936" s="13" t="s">
        <v>2239</v>
      </c>
      <c r="E8936" s="228"/>
      <c r="F8936" s="109" t="s">
        <v>19187</v>
      </c>
      <c r="G8936" s="24" t="s">
        <v>10135</v>
      </c>
      <c r="H8936" s="230">
        <v>4.5</v>
      </c>
      <c r="I8936" s="220">
        <v>920000</v>
      </c>
      <c r="J8936" s="220">
        <f>I8936*0.1</f>
        <v>92000</v>
      </c>
      <c r="K8936" s="220">
        <v>0</v>
      </c>
      <c r="L8936" s="220">
        <v>7230</v>
      </c>
      <c r="M8936" s="220">
        <v>12100</v>
      </c>
      <c r="N8936" s="220">
        <f>SUM(I8936:M8937)</f>
        <v>1031330</v>
      </c>
      <c r="O8936" s="224"/>
      <c r="P8936" s="110" t="s">
        <v>24763</v>
      </c>
      <c r="Q8936" s="15" t="s">
        <v>19</v>
      </c>
      <c r="R8936" s="205"/>
      <c r="S8936" s="189"/>
      <c r="T8936" s="114"/>
      <c r="U8936" s="21"/>
      <c r="V8936" s="115">
        <v>46165</v>
      </c>
      <c r="W8936" s="116">
        <v>1301</v>
      </c>
      <c r="X8936" s="220">
        <v>1100000</v>
      </c>
      <c r="Y8936" s="220">
        <f>X8936*0.1</f>
        <v>110000</v>
      </c>
      <c r="Z8936" s="220">
        <v>7230</v>
      </c>
      <c r="AA8936" s="220">
        <f>SUM(X8936:Z8936)</f>
        <v>1217230</v>
      </c>
      <c r="AB8936" s="222">
        <v>46168</v>
      </c>
    </row>
    <row r="8937" spans="1:28" ht="17.100000000000001" customHeight="1" thickBot="1">
      <c r="A8937" s="227"/>
      <c r="B8937" s="27" t="s">
        <v>2747</v>
      </c>
      <c r="C8937" s="27">
        <v>1312</v>
      </c>
      <c r="D8937" s="14" t="s">
        <v>1548</v>
      </c>
      <c r="E8937" s="229"/>
      <c r="F8937" s="117" t="s">
        <v>24758</v>
      </c>
      <c r="G8937" s="26">
        <v>18135</v>
      </c>
      <c r="H8937" s="231"/>
      <c r="I8937" s="221"/>
      <c r="J8937" s="221"/>
      <c r="K8937" s="221"/>
      <c r="L8937" s="221"/>
      <c r="M8937" s="221"/>
      <c r="N8937" s="221"/>
      <c r="O8937" s="225"/>
      <c r="P8937" s="118" t="s">
        <v>2749</v>
      </c>
      <c r="Q8937" s="16" t="s">
        <v>20</v>
      </c>
      <c r="R8937" s="17" t="s">
        <v>2702</v>
      </c>
      <c r="S8937" s="121" t="s">
        <v>169</v>
      </c>
      <c r="T8937" s="122"/>
      <c r="U8937" s="22"/>
      <c r="V8937" s="123" t="s">
        <v>2472</v>
      </c>
      <c r="W8937" s="122">
        <v>60131</v>
      </c>
      <c r="X8937" s="221"/>
      <c r="Y8937" s="221"/>
      <c r="Z8937" s="221"/>
      <c r="AA8937" s="221"/>
      <c r="AB8937" s="223"/>
    </row>
    <row r="8938" spans="1:28" ht="17.100000000000001" customHeight="1" thickTop="1">
      <c r="A8938" s="226" t="s">
        <v>24735</v>
      </c>
      <c r="B8938" s="28">
        <v>46155</v>
      </c>
      <c r="C8938" s="25">
        <v>1016</v>
      </c>
      <c r="D8938" s="13" t="s">
        <v>1634</v>
      </c>
      <c r="E8938" s="228"/>
      <c r="F8938" s="109" t="s">
        <v>17162</v>
      </c>
      <c r="G8938" s="24"/>
      <c r="H8938" s="230">
        <v>4.5</v>
      </c>
      <c r="I8938" s="220">
        <v>860000</v>
      </c>
      <c r="J8938" s="220">
        <f>I8938*0.1</f>
        <v>86000</v>
      </c>
      <c r="K8938" s="220">
        <v>0</v>
      </c>
      <c r="L8938" s="220">
        <v>7440</v>
      </c>
      <c r="M8938" s="220">
        <v>12100</v>
      </c>
      <c r="N8938" s="220">
        <f>SUM(I8938:M8939)</f>
        <v>965540</v>
      </c>
      <c r="O8938" s="224"/>
      <c r="P8938" s="110" t="s">
        <v>26193</v>
      </c>
      <c r="Q8938" s="15" t="s">
        <v>19</v>
      </c>
      <c r="R8938" s="205"/>
      <c r="S8938" s="189"/>
      <c r="T8938" s="114"/>
      <c r="U8938" s="21"/>
      <c r="V8938" s="115">
        <v>46165</v>
      </c>
      <c r="W8938" s="116">
        <v>1301</v>
      </c>
      <c r="X8938" s="220">
        <v>1205000</v>
      </c>
      <c r="Y8938" s="220">
        <f>X8938*0.1</f>
        <v>120500</v>
      </c>
      <c r="Z8938" s="220">
        <v>7440</v>
      </c>
      <c r="AA8938" s="220">
        <f>SUM(X8938:Z8938)</f>
        <v>1332940</v>
      </c>
      <c r="AB8938" s="222">
        <v>46168</v>
      </c>
    </row>
    <row r="8939" spans="1:28" ht="17.100000000000001" customHeight="1" thickBot="1">
      <c r="A8939" s="227"/>
      <c r="B8939" s="27" t="s">
        <v>2747</v>
      </c>
      <c r="C8939" s="27">
        <v>8044</v>
      </c>
      <c r="D8939" s="14" t="s">
        <v>1584</v>
      </c>
      <c r="E8939" s="229"/>
      <c r="F8939" s="117" t="s">
        <v>24759</v>
      </c>
      <c r="G8939" s="26">
        <v>25032</v>
      </c>
      <c r="H8939" s="231"/>
      <c r="I8939" s="221"/>
      <c r="J8939" s="221"/>
      <c r="K8939" s="221"/>
      <c r="L8939" s="221"/>
      <c r="M8939" s="221"/>
      <c r="N8939" s="221"/>
      <c r="O8939" s="225"/>
      <c r="P8939" s="118" t="s">
        <v>6758</v>
      </c>
      <c r="Q8939" s="16" t="s">
        <v>20</v>
      </c>
      <c r="R8939" s="17" t="s">
        <v>2702</v>
      </c>
      <c r="S8939" s="121"/>
      <c r="T8939" s="122"/>
      <c r="U8939" s="22"/>
      <c r="V8939" s="123" t="s">
        <v>2472</v>
      </c>
      <c r="W8939" s="122">
        <v>41040</v>
      </c>
      <c r="X8939" s="221"/>
      <c r="Y8939" s="221"/>
      <c r="Z8939" s="221"/>
      <c r="AA8939" s="221"/>
      <c r="AB8939" s="223"/>
    </row>
    <row r="8940" spans="1:28" ht="17.100000000000001" customHeight="1" thickTop="1">
      <c r="A8940" s="226" t="s">
        <v>24753</v>
      </c>
      <c r="B8940" s="28">
        <v>46155</v>
      </c>
      <c r="C8940" s="25">
        <v>1016</v>
      </c>
      <c r="D8940" s="13" t="s">
        <v>1634</v>
      </c>
      <c r="E8940" s="228"/>
      <c r="F8940" s="109" t="s">
        <v>7681</v>
      </c>
      <c r="G8940" s="24"/>
      <c r="H8940" s="230">
        <v>4.5</v>
      </c>
      <c r="I8940" s="220">
        <v>655000</v>
      </c>
      <c r="J8940" s="220">
        <f>I8940*0.1</f>
        <v>65500</v>
      </c>
      <c r="K8940" s="220">
        <v>0</v>
      </c>
      <c r="L8940" s="220">
        <v>8010</v>
      </c>
      <c r="M8940" s="220">
        <v>12100</v>
      </c>
      <c r="N8940" s="220">
        <f>SUM(I8940:M8941)</f>
        <v>740610</v>
      </c>
      <c r="O8940" s="224"/>
      <c r="P8940" s="110" t="s">
        <v>26192</v>
      </c>
      <c r="Q8940" s="15" t="s">
        <v>19</v>
      </c>
      <c r="R8940" s="205"/>
      <c r="S8940" s="189"/>
      <c r="T8940" s="114"/>
      <c r="U8940" s="21"/>
      <c r="V8940" s="115"/>
      <c r="W8940" s="116"/>
      <c r="X8940" s="220"/>
      <c r="Y8940" s="220">
        <f>X8940*0.1</f>
        <v>0</v>
      </c>
      <c r="Z8940" s="220"/>
      <c r="AA8940" s="220">
        <f>SUM(X8940:Z8940)</f>
        <v>0</v>
      </c>
      <c r="AB8940" s="222"/>
    </row>
    <row r="8941" spans="1:28" ht="17.100000000000001" customHeight="1" thickBot="1">
      <c r="A8941" s="227"/>
      <c r="B8941" s="27" t="s">
        <v>2747</v>
      </c>
      <c r="C8941" s="27">
        <v>8068</v>
      </c>
      <c r="D8941" s="14" t="s">
        <v>1584</v>
      </c>
      <c r="E8941" s="229"/>
      <c r="F8941" s="117" t="s">
        <v>24760</v>
      </c>
      <c r="G8941" s="26">
        <v>54111</v>
      </c>
      <c r="H8941" s="231"/>
      <c r="I8941" s="221"/>
      <c r="J8941" s="221"/>
      <c r="K8941" s="221"/>
      <c r="L8941" s="221"/>
      <c r="M8941" s="221"/>
      <c r="N8941" s="221"/>
      <c r="O8941" s="225"/>
      <c r="P8941" s="118" t="s">
        <v>6758</v>
      </c>
      <c r="Q8941" s="16" t="s">
        <v>20</v>
      </c>
      <c r="R8941" s="17" t="s">
        <v>2702</v>
      </c>
      <c r="S8941" s="121"/>
      <c r="T8941" s="122"/>
      <c r="U8941" s="22"/>
      <c r="V8941" s="123"/>
      <c r="W8941" s="122"/>
      <c r="X8941" s="221"/>
      <c r="Y8941" s="221"/>
      <c r="Z8941" s="221"/>
      <c r="AA8941" s="221"/>
      <c r="AB8941" s="223"/>
    </row>
    <row r="8942" spans="1:28" ht="17.100000000000001" customHeight="1" thickTop="1">
      <c r="A8942" s="226" t="s">
        <v>24765</v>
      </c>
      <c r="B8942" s="28">
        <v>46155</v>
      </c>
      <c r="C8942" s="25">
        <v>2354</v>
      </c>
      <c r="D8942" s="13" t="s">
        <v>24770</v>
      </c>
      <c r="E8942" s="228"/>
      <c r="F8942" s="109" t="s">
        <v>24771</v>
      </c>
      <c r="G8942" s="24" t="s">
        <v>24775</v>
      </c>
      <c r="H8942" s="230">
        <v>4.5</v>
      </c>
      <c r="I8942" s="220">
        <v>540000</v>
      </c>
      <c r="J8942" s="220">
        <f>I8942*0.1</f>
        <v>54000</v>
      </c>
      <c r="K8942" s="220">
        <v>15000</v>
      </c>
      <c r="L8942" s="220">
        <v>8790</v>
      </c>
      <c r="M8942" s="220">
        <v>16500</v>
      </c>
      <c r="N8942" s="220">
        <f>SUM(I8942:M8943)</f>
        <v>634290</v>
      </c>
      <c r="O8942" s="224"/>
      <c r="P8942" s="110" t="s">
        <v>25269</v>
      </c>
      <c r="Q8942" s="15" t="s">
        <v>19</v>
      </c>
      <c r="R8942" s="205"/>
      <c r="S8942" s="189"/>
      <c r="T8942" s="114"/>
      <c r="U8942" s="21"/>
      <c r="V8942" s="115">
        <v>46165</v>
      </c>
      <c r="W8942" s="116">
        <v>1301</v>
      </c>
      <c r="X8942" s="220">
        <v>600000</v>
      </c>
      <c r="Y8942" s="220">
        <f>X8942*0.1</f>
        <v>60000</v>
      </c>
      <c r="Z8942" s="220">
        <v>8790</v>
      </c>
      <c r="AA8942" s="220">
        <f>SUM(X8942:Z8942)</f>
        <v>668790</v>
      </c>
      <c r="AB8942" s="222">
        <v>46168</v>
      </c>
    </row>
    <row r="8943" spans="1:28" ht="17.100000000000001" customHeight="1" thickBot="1">
      <c r="A8943" s="227"/>
      <c r="B8943" s="27" t="s">
        <v>24769</v>
      </c>
      <c r="C8943" s="27">
        <v>20104</v>
      </c>
      <c r="D8943" s="14" t="s">
        <v>2559</v>
      </c>
      <c r="E8943" s="229"/>
      <c r="F8943" s="117" t="s">
        <v>24772</v>
      </c>
      <c r="G8943" s="26">
        <v>98091</v>
      </c>
      <c r="H8943" s="231"/>
      <c r="I8943" s="221"/>
      <c r="J8943" s="221"/>
      <c r="K8943" s="221"/>
      <c r="L8943" s="221"/>
      <c r="M8943" s="221"/>
      <c r="N8943" s="221"/>
      <c r="O8943" s="225"/>
      <c r="P8943" s="118" t="s">
        <v>2287</v>
      </c>
      <c r="Q8943" s="16" t="s">
        <v>20</v>
      </c>
      <c r="R8943" s="17" t="s">
        <v>1952</v>
      </c>
      <c r="S8943" s="121" t="s">
        <v>25270</v>
      </c>
      <c r="T8943" s="122"/>
      <c r="U8943" s="22"/>
      <c r="V8943" s="123" t="s">
        <v>2472</v>
      </c>
      <c r="W8943" s="122">
        <v>60085</v>
      </c>
      <c r="X8943" s="221"/>
      <c r="Y8943" s="221"/>
      <c r="Z8943" s="221"/>
      <c r="AA8943" s="221"/>
      <c r="AB8943" s="223"/>
    </row>
    <row r="8944" spans="1:28" ht="17.100000000000001" customHeight="1" thickTop="1">
      <c r="A8944" s="226" t="s">
        <v>24766</v>
      </c>
      <c r="B8944" s="28">
        <v>46155</v>
      </c>
      <c r="C8944" s="25">
        <v>2354</v>
      </c>
      <c r="D8944" s="13" t="s">
        <v>24773</v>
      </c>
      <c r="E8944" s="228"/>
      <c r="F8944" s="109" t="s">
        <v>16450</v>
      </c>
      <c r="G8944" s="24"/>
      <c r="H8944" s="230">
        <v>4</v>
      </c>
      <c r="I8944" s="220">
        <v>1300000</v>
      </c>
      <c r="J8944" s="220">
        <f>I8944*0.1</f>
        <v>130000</v>
      </c>
      <c r="K8944" s="220">
        <v>0</v>
      </c>
      <c r="L8944" s="220">
        <v>12470</v>
      </c>
      <c r="M8944" s="220">
        <v>16500</v>
      </c>
      <c r="N8944" s="220">
        <f>SUM(I8944:M8945)</f>
        <v>1458970</v>
      </c>
      <c r="O8944" s="224"/>
      <c r="P8944" s="110" t="s">
        <v>25267</v>
      </c>
      <c r="Q8944" s="15" t="s">
        <v>19</v>
      </c>
      <c r="R8944" s="205"/>
      <c r="S8944" s="189" t="s">
        <v>25636</v>
      </c>
      <c r="T8944" s="114"/>
      <c r="U8944" s="21"/>
      <c r="V8944" s="115">
        <v>46158</v>
      </c>
      <c r="W8944" s="116">
        <v>1300</v>
      </c>
      <c r="X8944" s="220">
        <v>1395000</v>
      </c>
      <c r="Y8944" s="220">
        <f>X8944*0.1</f>
        <v>139500</v>
      </c>
      <c r="Z8944" s="220">
        <v>12470</v>
      </c>
      <c r="AA8944" s="220">
        <f>SUM(X8944:Z8944)</f>
        <v>1546970</v>
      </c>
      <c r="AB8944" s="222">
        <v>46167</v>
      </c>
    </row>
    <row r="8945" spans="1:28" ht="17.100000000000001" customHeight="1" thickBot="1">
      <c r="A8945" s="227"/>
      <c r="B8945" s="27" t="s">
        <v>24769</v>
      </c>
      <c r="C8945" s="27">
        <v>60234</v>
      </c>
      <c r="D8945" s="14" t="s">
        <v>24776</v>
      </c>
      <c r="E8945" s="229"/>
      <c r="F8945" s="117" t="s">
        <v>24774</v>
      </c>
      <c r="G8945" s="26">
        <v>74068</v>
      </c>
      <c r="H8945" s="231"/>
      <c r="I8945" s="221"/>
      <c r="J8945" s="221"/>
      <c r="K8945" s="221"/>
      <c r="L8945" s="221"/>
      <c r="M8945" s="221"/>
      <c r="N8945" s="221"/>
      <c r="O8945" s="225"/>
      <c r="P8945" s="118" t="s">
        <v>2404</v>
      </c>
      <c r="Q8945" s="16" t="s">
        <v>20</v>
      </c>
      <c r="R8945" s="17" t="s">
        <v>1952</v>
      </c>
      <c r="S8945" s="121" t="s">
        <v>25268</v>
      </c>
      <c r="T8945" s="122"/>
      <c r="U8945" s="22"/>
      <c r="V8945" s="123" t="s">
        <v>6641</v>
      </c>
      <c r="W8945" s="122">
        <v>257</v>
      </c>
      <c r="X8945" s="221"/>
      <c r="Y8945" s="221"/>
      <c r="Z8945" s="221"/>
      <c r="AA8945" s="221"/>
      <c r="AB8945" s="223"/>
    </row>
    <row r="8946" spans="1:28" ht="17.100000000000001" customHeight="1" thickTop="1">
      <c r="A8946" s="226" t="s">
        <v>24767</v>
      </c>
      <c r="B8946" s="28">
        <v>46155</v>
      </c>
      <c r="C8946" s="25">
        <v>1837</v>
      </c>
      <c r="D8946" s="13" t="s">
        <v>24780</v>
      </c>
      <c r="E8946" s="228"/>
      <c r="F8946" s="109" t="s">
        <v>24781</v>
      </c>
      <c r="G8946" s="24" t="s">
        <v>24783</v>
      </c>
      <c r="H8946" s="230">
        <v>4.5</v>
      </c>
      <c r="I8946" s="220">
        <v>845000</v>
      </c>
      <c r="J8946" s="220">
        <f>I8946*0.1</f>
        <v>84500</v>
      </c>
      <c r="K8946" s="220">
        <f>32900+3290</f>
        <v>36190</v>
      </c>
      <c r="L8946" s="220">
        <v>20540</v>
      </c>
      <c r="M8946" s="220">
        <f>18500+1850</f>
        <v>20350</v>
      </c>
      <c r="N8946" s="220">
        <f>SUM(I8946:M8947)</f>
        <v>1006580</v>
      </c>
      <c r="O8946" s="224"/>
      <c r="P8946" s="110" t="s">
        <v>24784</v>
      </c>
      <c r="Q8946" s="15" t="s">
        <v>19</v>
      </c>
      <c r="R8946" s="205"/>
      <c r="S8946" s="189" t="s">
        <v>25474</v>
      </c>
      <c r="T8946" s="114"/>
      <c r="U8946" s="21"/>
      <c r="V8946" s="115"/>
      <c r="W8946" s="116"/>
      <c r="X8946" s="220"/>
      <c r="Y8946" s="220">
        <f>X8946*0.1</f>
        <v>0</v>
      </c>
      <c r="Z8946" s="220"/>
      <c r="AA8946" s="220">
        <f>SUM(X8946:Z8946)</f>
        <v>0</v>
      </c>
      <c r="AB8946" s="222"/>
    </row>
    <row r="8947" spans="1:28" ht="17.100000000000001" customHeight="1" thickBot="1">
      <c r="A8947" s="227"/>
      <c r="B8947" s="27" t="s">
        <v>24779</v>
      </c>
      <c r="C8947" s="27">
        <v>38059</v>
      </c>
      <c r="D8947" s="14" t="s">
        <v>2559</v>
      </c>
      <c r="E8947" s="229"/>
      <c r="F8947" s="117" t="s">
        <v>24782</v>
      </c>
      <c r="G8947" s="26">
        <v>87133</v>
      </c>
      <c r="H8947" s="231"/>
      <c r="I8947" s="221"/>
      <c r="J8947" s="221"/>
      <c r="K8947" s="221"/>
      <c r="L8947" s="221"/>
      <c r="M8947" s="221"/>
      <c r="N8947" s="221"/>
      <c r="O8947" s="225"/>
      <c r="P8947" s="118" t="s">
        <v>26175</v>
      </c>
      <c r="Q8947" s="16" t="s">
        <v>20</v>
      </c>
      <c r="R8947" s="17" t="s">
        <v>2702</v>
      </c>
      <c r="S8947" s="121" t="s">
        <v>1606</v>
      </c>
      <c r="T8947" s="122"/>
      <c r="U8947" s="22"/>
      <c r="V8947" s="123"/>
      <c r="W8947" s="122"/>
      <c r="X8947" s="221"/>
      <c r="Y8947" s="221"/>
      <c r="Z8947" s="221"/>
      <c r="AA8947" s="221"/>
      <c r="AB8947" s="223"/>
    </row>
    <row r="8948" spans="1:28" ht="17.100000000000001" customHeight="1" thickTop="1">
      <c r="A8948" s="226" t="s">
        <v>24768</v>
      </c>
      <c r="B8948" s="28">
        <v>46155</v>
      </c>
      <c r="C8948" s="25">
        <v>1837</v>
      </c>
      <c r="D8948" s="13" t="s">
        <v>24785</v>
      </c>
      <c r="E8948" s="228"/>
      <c r="F8948" s="109" t="s">
        <v>24787</v>
      </c>
      <c r="G8948" s="24" t="s">
        <v>24789</v>
      </c>
      <c r="H8948" s="230">
        <v>4</v>
      </c>
      <c r="I8948" s="220">
        <v>2685000</v>
      </c>
      <c r="J8948" s="220">
        <f>I8948*0.1</f>
        <v>268500</v>
      </c>
      <c r="K8948" s="220">
        <v>33000</v>
      </c>
      <c r="L8948" s="220">
        <v>16160</v>
      </c>
      <c r="M8948" s="220">
        <f t="shared" ref="M8948" si="0">18500+1850</f>
        <v>20350</v>
      </c>
      <c r="N8948" s="220">
        <f>SUM(I8948:M8949)</f>
        <v>3023010</v>
      </c>
      <c r="O8948" s="224"/>
      <c r="P8948" s="110" t="s">
        <v>24790</v>
      </c>
      <c r="Q8948" s="15" t="s">
        <v>19</v>
      </c>
      <c r="R8948" s="205"/>
      <c r="S8948" s="189"/>
      <c r="T8948" s="114"/>
      <c r="U8948" s="21"/>
      <c r="V8948" s="115"/>
      <c r="W8948" s="116"/>
      <c r="X8948" s="220"/>
      <c r="Y8948" s="220">
        <f>X8948*0.1</f>
        <v>0</v>
      </c>
      <c r="Z8948" s="220"/>
      <c r="AA8948" s="220">
        <f>SUM(X8948:Z8948)</f>
        <v>0</v>
      </c>
      <c r="AB8948" s="222"/>
    </row>
    <row r="8949" spans="1:28" ht="17.100000000000001" customHeight="1" thickBot="1">
      <c r="A8949" s="227"/>
      <c r="B8949" s="27" t="s">
        <v>24779</v>
      </c>
      <c r="C8949" s="27">
        <v>38213</v>
      </c>
      <c r="D8949" s="14" t="s">
        <v>24786</v>
      </c>
      <c r="E8949" s="229"/>
      <c r="F8949" s="117" t="s">
        <v>24788</v>
      </c>
      <c r="G8949" s="26">
        <v>41602</v>
      </c>
      <c r="H8949" s="231"/>
      <c r="I8949" s="221"/>
      <c r="J8949" s="221"/>
      <c r="K8949" s="221"/>
      <c r="L8949" s="221"/>
      <c r="M8949" s="221"/>
      <c r="N8949" s="221"/>
      <c r="O8949" s="225"/>
      <c r="P8949" s="118" t="s">
        <v>1972</v>
      </c>
      <c r="Q8949" s="16" t="s">
        <v>20</v>
      </c>
      <c r="R8949" s="17" t="s">
        <v>2702</v>
      </c>
      <c r="S8949" s="121" t="s">
        <v>1923</v>
      </c>
      <c r="T8949" s="122"/>
      <c r="U8949" s="22"/>
      <c r="V8949" s="123"/>
      <c r="W8949" s="122"/>
      <c r="X8949" s="221"/>
      <c r="Y8949" s="221"/>
      <c r="Z8949" s="221"/>
      <c r="AA8949" s="221"/>
      <c r="AB8949" s="223"/>
    </row>
    <row r="8950" spans="1:28" ht="17.100000000000001" customHeight="1" thickTop="1">
      <c r="A8950" s="226" t="s">
        <v>24777</v>
      </c>
      <c r="B8950" s="28">
        <v>46155</v>
      </c>
      <c r="C8950" s="25">
        <v>1837</v>
      </c>
      <c r="D8950" s="13" t="s">
        <v>24791</v>
      </c>
      <c r="E8950" s="228"/>
      <c r="F8950" s="109" t="s">
        <v>24959</v>
      </c>
      <c r="G8950" s="24"/>
      <c r="H8950" s="230">
        <v>4</v>
      </c>
      <c r="I8950" s="220">
        <v>575000</v>
      </c>
      <c r="J8950" s="220">
        <f>I8950*0.1</f>
        <v>57500</v>
      </c>
      <c r="K8950" s="220">
        <v>0</v>
      </c>
      <c r="L8950" s="220">
        <v>20170</v>
      </c>
      <c r="M8950" s="220">
        <f t="shared" ref="M8950" si="1">18500+1850</f>
        <v>20350</v>
      </c>
      <c r="N8950" s="220">
        <f>SUM(I8950:M8951)</f>
        <v>673020</v>
      </c>
      <c r="O8950" s="224"/>
      <c r="P8950" s="110" t="s">
        <v>26093</v>
      </c>
      <c r="Q8950" s="15" t="s">
        <v>19</v>
      </c>
      <c r="R8950" s="205"/>
      <c r="S8950" s="189"/>
      <c r="T8950" s="114"/>
      <c r="U8950" s="21"/>
      <c r="V8950" s="115">
        <v>46158</v>
      </c>
      <c r="W8950" s="116">
        <v>1300</v>
      </c>
      <c r="X8950" s="220">
        <v>680000</v>
      </c>
      <c r="Y8950" s="220">
        <f>X8950*0.1</f>
        <v>68000</v>
      </c>
      <c r="Z8950" s="220">
        <v>20170</v>
      </c>
      <c r="AA8950" s="220">
        <f>SUM(X8950:Z8950)</f>
        <v>768170</v>
      </c>
      <c r="AB8950" s="222">
        <v>46167</v>
      </c>
    </row>
    <row r="8951" spans="1:28" ht="17.100000000000001" customHeight="1" thickBot="1">
      <c r="A8951" s="227"/>
      <c r="B8951" s="27" t="s">
        <v>24779</v>
      </c>
      <c r="C8951" s="27">
        <v>38291</v>
      </c>
      <c r="D8951" s="14" t="s">
        <v>24776</v>
      </c>
      <c r="E8951" s="229"/>
      <c r="F8951" s="117" t="s">
        <v>24792</v>
      </c>
      <c r="G8951" s="26">
        <v>62791</v>
      </c>
      <c r="H8951" s="231"/>
      <c r="I8951" s="221"/>
      <c r="J8951" s="221"/>
      <c r="K8951" s="221"/>
      <c r="L8951" s="221"/>
      <c r="M8951" s="221"/>
      <c r="N8951" s="221"/>
      <c r="O8951" s="225"/>
      <c r="P8951" s="118" t="s">
        <v>4348</v>
      </c>
      <c r="Q8951" s="16" t="s">
        <v>20</v>
      </c>
      <c r="R8951" s="17" t="s">
        <v>2702</v>
      </c>
      <c r="S8951" s="121" t="s">
        <v>2166</v>
      </c>
      <c r="T8951" s="122"/>
      <c r="U8951" s="22"/>
      <c r="V8951" s="123" t="s">
        <v>2472</v>
      </c>
      <c r="W8951" s="122">
        <v>80368</v>
      </c>
      <c r="X8951" s="221"/>
      <c r="Y8951" s="221"/>
      <c r="Z8951" s="221"/>
      <c r="AA8951" s="221"/>
      <c r="AB8951" s="223"/>
    </row>
    <row r="8952" spans="1:28" ht="17.100000000000001" customHeight="1" thickTop="1">
      <c r="A8952" s="226" t="s">
        <v>24778</v>
      </c>
      <c r="B8952" s="28">
        <v>46155</v>
      </c>
      <c r="C8952" s="25">
        <v>1837</v>
      </c>
      <c r="D8952" s="13" t="s">
        <v>24793</v>
      </c>
      <c r="E8952" s="228"/>
      <c r="F8952" s="109" t="s">
        <v>24795</v>
      </c>
      <c r="G8952" s="24" t="s">
        <v>24797</v>
      </c>
      <c r="H8952" s="230">
        <v>4.5</v>
      </c>
      <c r="I8952" s="220">
        <v>1605000</v>
      </c>
      <c r="J8952" s="220">
        <f>I8952*0.1</f>
        <v>160500</v>
      </c>
      <c r="K8952" s="220">
        <f>25400+2540</f>
        <v>27940</v>
      </c>
      <c r="L8952" s="220">
        <v>12370</v>
      </c>
      <c r="M8952" s="220">
        <f t="shared" ref="M8952" si="2">18500+1850</f>
        <v>20350</v>
      </c>
      <c r="N8952" s="220">
        <f>SUM(I8952:M8953)</f>
        <v>1826160</v>
      </c>
      <c r="O8952" s="224"/>
      <c r="P8952" s="110" t="s">
        <v>24798</v>
      </c>
      <c r="Q8952" s="15" t="s">
        <v>19</v>
      </c>
      <c r="R8952" s="205"/>
      <c r="S8952" s="189" t="s">
        <v>25439</v>
      </c>
      <c r="T8952" s="114"/>
      <c r="U8952" s="21"/>
      <c r="V8952" s="115"/>
      <c r="W8952" s="116"/>
      <c r="X8952" s="220"/>
      <c r="Y8952" s="220">
        <f>X8952*0.1</f>
        <v>0</v>
      </c>
      <c r="Z8952" s="220"/>
      <c r="AA8952" s="220">
        <f>SUM(X8952:Z8952)</f>
        <v>0</v>
      </c>
      <c r="AB8952" s="222"/>
    </row>
    <row r="8953" spans="1:28" ht="17.100000000000001" customHeight="1" thickBot="1">
      <c r="A8953" s="227"/>
      <c r="B8953" s="27" t="s">
        <v>24779</v>
      </c>
      <c r="C8953" s="27">
        <v>38303</v>
      </c>
      <c r="D8953" s="14" t="s">
        <v>24794</v>
      </c>
      <c r="E8953" s="229"/>
      <c r="F8953" s="117" t="s">
        <v>24796</v>
      </c>
      <c r="G8953" s="26">
        <v>42575</v>
      </c>
      <c r="H8953" s="231"/>
      <c r="I8953" s="221"/>
      <c r="J8953" s="221"/>
      <c r="K8953" s="221"/>
      <c r="L8953" s="221"/>
      <c r="M8953" s="221"/>
      <c r="N8953" s="221"/>
      <c r="O8953" s="225"/>
      <c r="P8953" s="118" t="s">
        <v>24928</v>
      </c>
      <c r="Q8953" s="16" t="s">
        <v>20</v>
      </c>
      <c r="R8953" s="17" t="s">
        <v>2683</v>
      </c>
      <c r="S8953" s="121" t="s">
        <v>1625</v>
      </c>
      <c r="T8953" s="122"/>
      <c r="U8953" s="22"/>
      <c r="V8953" s="123"/>
      <c r="W8953" s="122"/>
      <c r="X8953" s="221"/>
      <c r="Y8953" s="221"/>
      <c r="Z8953" s="221"/>
      <c r="AA8953" s="221"/>
      <c r="AB8953" s="223"/>
    </row>
    <row r="8954" spans="1:28" ht="17.100000000000001" customHeight="1" thickTop="1">
      <c r="A8954" s="226" t="s">
        <v>24889</v>
      </c>
      <c r="B8954" s="28">
        <v>46156</v>
      </c>
      <c r="C8954" s="25">
        <v>1982</v>
      </c>
      <c r="D8954" s="13" t="s">
        <v>2295</v>
      </c>
      <c r="E8954" s="228"/>
      <c r="F8954" s="109" t="s">
        <v>24897</v>
      </c>
      <c r="G8954" s="24"/>
      <c r="H8954" s="230">
        <v>4.5</v>
      </c>
      <c r="I8954" s="220">
        <v>655000</v>
      </c>
      <c r="J8954" s="220">
        <f>I8954*0.1</f>
        <v>65500</v>
      </c>
      <c r="K8954" s="220">
        <v>0</v>
      </c>
      <c r="L8954" s="220">
        <v>7510</v>
      </c>
      <c r="M8954" s="220">
        <v>17050</v>
      </c>
      <c r="N8954" s="220">
        <f>SUM(I8954:M8955)</f>
        <v>745060</v>
      </c>
      <c r="O8954" s="224"/>
      <c r="P8954" s="110" t="s">
        <v>26196</v>
      </c>
      <c r="Q8954" s="15" t="s">
        <v>19</v>
      </c>
      <c r="R8954" s="205"/>
      <c r="S8954" s="189"/>
      <c r="T8954" s="114"/>
      <c r="U8954" s="21"/>
      <c r="V8954" s="115"/>
      <c r="W8954" s="116"/>
      <c r="X8954" s="220"/>
      <c r="Y8954" s="220">
        <f>X8954*0.1</f>
        <v>0</v>
      </c>
      <c r="Z8954" s="220"/>
      <c r="AA8954" s="220">
        <f>SUM(X8954:Z8954)</f>
        <v>0</v>
      </c>
      <c r="AB8954" s="222"/>
    </row>
    <row r="8955" spans="1:28" ht="17.100000000000001" customHeight="1" thickBot="1">
      <c r="A8955" s="227"/>
      <c r="B8955" s="27" t="s">
        <v>3730</v>
      </c>
      <c r="C8955" s="27">
        <v>3048</v>
      </c>
      <c r="D8955" s="14" t="s">
        <v>1584</v>
      </c>
      <c r="E8955" s="229"/>
      <c r="F8955" s="117" t="s">
        <v>24893</v>
      </c>
      <c r="G8955" s="26">
        <v>12418</v>
      </c>
      <c r="H8955" s="231"/>
      <c r="I8955" s="221"/>
      <c r="J8955" s="221"/>
      <c r="K8955" s="221"/>
      <c r="L8955" s="221"/>
      <c r="M8955" s="221"/>
      <c r="N8955" s="221"/>
      <c r="O8955" s="225"/>
      <c r="P8955" s="118" t="s">
        <v>26197</v>
      </c>
      <c r="Q8955" s="16" t="s">
        <v>20</v>
      </c>
      <c r="R8955" s="17" t="s">
        <v>2702</v>
      </c>
      <c r="S8955" s="121" t="s">
        <v>10120</v>
      </c>
      <c r="T8955" s="122"/>
      <c r="U8955" s="22"/>
      <c r="V8955" s="123"/>
      <c r="W8955" s="122"/>
      <c r="X8955" s="221"/>
      <c r="Y8955" s="221"/>
      <c r="Z8955" s="221"/>
      <c r="AA8955" s="221"/>
      <c r="AB8955" s="223"/>
    </row>
    <row r="8956" spans="1:28" ht="17.100000000000001" customHeight="1" thickTop="1">
      <c r="A8956" s="226" t="s">
        <v>24890</v>
      </c>
      <c r="B8956" s="28">
        <v>46156</v>
      </c>
      <c r="C8956" s="25">
        <v>1982</v>
      </c>
      <c r="D8956" s="13" t="s">
        <v>2107</v>
      </c>
      <c r="E8956" s="228"/>
      <c r="F8956" s="109" t="s">
        <v>24484</v>
      </c>
      <c r="G8956" s="24"/>
      <c r="H8956" s="230">
        <v>5</v>
      </c>
      <c r="I8956" s="220">
        <v>1146000</v>
      </c>
      <c r="J8956" s="220">
        <f>I8956*0.1</f>
        <v>114600</v>
      </c>
      <c r="K8956" s="220">
        <v>0</v>
      </c>
      <c r="L8956" s="220">
        <v>8640</v>
      </c>
      <c r="M8956" s="220">
        <v>15950</v>
      </c>
      <c r="N8956" s="220">
        <f>SUM(I8956:M8957)</f>
        <v>1285190</v>
      </c>
      <c r="O8956" s="224"/>
      <c r="P8956" s="110" t="s">
        <v>25264</v>
      </c>
      <c r="Q8956" s="15" t="s">
        <v>19</v>
      </c>
      <c r="R8956" s="205"/>
      <c r="S8956" s="189" t="s">
        <v>1361</v>
      </c>
      <c r="T8956" s="114"/>
      <c r="U8956" s="21"/>
      <c r="V8956" s="115">
        <v>46165</v>
      </c>
      <c r="W8956" s="116">
        <v>1301</v>
      </c>
      <c r="X8956" s="220">
        <v>1270000</v>
      </c>
      <c r="Y8956" s="220">
        <f>X8956*0.1</f>
        <v>127000</v>
      </c>
      <c r="Z8956" s="220">
        <v>8640</v>
      </c>
      <c r="AA8956" s="220">
        <f>SUM(X8956:Z8956)</f>
        <v>1405640</v>
      </c>
      <c r="AB8956" s="222">
        <v>46168</v>
      </c>
    </row>
    <row r="8957" spans="1:28" ht="17.100000000000001" customHeight="1" thickBot="1">
      <c r="A8957" s="227"/>
      <c r="B8957" s="27" t="s">
        <v>3730</v>
      </c>
      <c r="C8957" s="27">
        <v>8094</v>
      </c>
      <c r="D8957" s="14" t="s">
        <v>898</v>
      </c>
      <c r="E8957" s="229"/>
      <c r="F8957" s="117" t="s">
        <v>24894</v>
      </c>
      <c r="G8957" s="26">
        <v>32338</v>
      </c>
      <c r="H8957" s="231"/>
      <c r="I8957" s="221"/>
      <c r="J8957" s="221"/>
      <c r="K8957" s="221"/>
      <c r="L8957" s="221"/>
      <c r="M8957" s="221"/>
      <c r="N8957" s="221"/>
      <c r="O8957" s="225"/>
      <c r="P8957" s="118" t="s">
        <v>25265</v>
      </c>
      <c r="Q8957" s="16" t="s">
        <v>20</v>
      </c>
      <c r="R8957" s="17" t="s">
        <v>1952</v>
      </c>
      <c r="S8957" s="121" t="s">
        <v>169</v>
      </c>
      <c r="T8957" s="122"/>
      <c r="U8957" s="22"/>
      <c r="V8957" s="123" t="s">
        <v>2472</v>
      </c>
      <c r="W8957" s="122">
        <v>60244</v>
      </c>
      <c r="X8957" s="221"/>
      <c r="Y8957" s="221"/>
      <c r="Z8957" s="221"/>
      <c r="AA8957" s="221"/>
      <c r="AB8957" s="223"/>
    </row>
    <row r="8958" spans="1:28" ht="17.100000000000001" customHeight="1" thickTop="1">
      <c r="A8958" s="226" t="s">
        <v>24891</v>
      </c>
      <c r="B8958" s="28">
        <v>46156</v>
      </c>
      <c r="C8958" s="25">
        <v>1982</v>
      </c>
      <c r="D8958" s="13" t="s">
        <v>3769</v>
      </c>
      <c r="E8958" s="228"/>
      <c r="F8958" s="109" t="s">
        <v>24898</v>
      </c>
      <c r="G8958" s="24"/>
      <c r="H8958" s="230">
        <v>4</v>
      </c>
      <c r="I8958" s="220">
        <v>1023000</v>
      </c>
      <c r="J8958" s="220">
        <f>I8958*0.1</f>
        <v>102300</v>
      </c>
      <c r="K8958" s="220">
        <v>0</v>
      </c>
      <c r="L8958" s="220">
        <v>8990</v>
      </c>
      <c r="M8958" s="220">
        <v>15950</v>
      </c>
      <c r="N8958" s="220">
        <f>SUM(I8958:M8959)</f>
        <v>1150240</v>
      </c>
      <c r="O8958" s="224"/>
      <c r="P8958" s="110" t="s">
        <v>24997</v>
      </c>
      <c r="Q8958" s="15" t="s">
        <v>19</v>
      </c>
      <c r="R8958" s="205"/>
      <c r="S8958" s="189" t="s">
        <v>25461</v>
      </c>
      <c r="T8958" s="114"/>
      <c r="U8958" s="21"/>
      <c r="V8958" s="115"/>
      <c r="W8958" s="116"/>
      <c r="X8958" s="220"/>
      <c r="Y8958" s="220">
        <f>X8958*0.1</f>
        <v>0</v>
      </c>
      <c r="Z8958" s="220"/>
      <c r="AA8958" s="220">
        <f>SUM(X8958:Z8958)</f>
        <v>0</v>
      </c>
      <c r="AB8958" s="222"/>
    </row>
    <row r="8959" spans="1:28" ht="17.100000000000001" customHeight="1" thickBot="1">
      <c r="A8959" s="227"/>
      <c r="B8959" s="27" t="s">
        <v>3730</v>
      </c>
      <c r="C8959" s="27">
        <v>62033</v>
      </c>
      <c r="D8959" s="14" t="s">
        <v>1584</v>
      </c>
      <c r="E8959" s="229"/>
      <c r="F8959" s="117" t="s">
        <v>24895</v>
      </c>
      <c r="G8959" s="26">
        <v>57325</v>
      </c>
      <c r="H8959" s="231"/>
      <c r="I8959" s="221"/>
      <c r="J8959" s="221"/>
      <c r="K8959" s="221"/>
      <c r="L8959" s="221"/>
      <c r="M8959" s="221"/>
      <c r="N8959" s="221"/>
      <c r="O8959" s="225"/>
      <c r="P8959" s="118" t="s">
        <v>3733</v>
      </c>
      <c r="Q8959" s="16" t="s">
        <v>20</v>
      </c>
      <c r="R8959" s="17" t="s">
        <v>24991</v>
      </c>
      <c r="S8959" s="121" t="s">
        <v>26523</v>
      </c>
      <c r="T8959" s="122"/>
      <c r="U8959" s="22"/>
      <c r="V8959" s="123"/>
      <c r="W8959" s="122"/>
      <c r="X8959" s="221"/>
      <c r="Y8959" s="221"/>
      <c r="Z8959" s="221"/>
      <c r="AA8959" s="221"/>
      <c r="AB8959" s="223"/>
    </row>
    <row r="8960" spans="1:28" ht="17.100000000000001" customHeight="1" thickTop="1">
      <c r="A8960" s="226" t="s">
        <v>24892</v>
      </c>
      <c r="B8960" s="28">
        <v>46156</v>
      </c>
      <c r="C8960" s="25">
        <v>1982</v>
      </c>
      <c r="D8960" s="13" t="s">
        <v>1961</v>
      </c>
      <c r="E8960" s="228"/>
      <c r="F8960" s="109" t="s">
        <v>4893</v>
      </c>
      <c r="G8960" s="24"/>
      <c r="H8960" s="230">
        <v>4.5</v>
      </c>
      <c r="I8960" s="220">
        <v>697000</v>
      </c>
      <c r="J8960" s="220">
        <f>I8960*0.1</f>
        <v>69700</v>
      </c>
      <c r="K8960" s="220">
        <v>0</v>
      </c>
      <c r="L8960" s="220">
        <v>7440</v>
      </c>
      <c r="M8960" s="220">
        <v>15950</v>
      </c>
      <c r="N8960" s="220">
        <f>SUM(I8960:M8961)</f>
        <v>790090</v>
      </c>
      <c r="O8960" s="224"/>
      <c r="P8960" s="110" t="s">
        <v>26198</v>
      </c>
      <c r="Q8960" s="15" t="s">
        <v>19</v>
      </c>
      <c r="R8960" s="205"/>
      <c r="S8960" s="189"/>
      <c r="T8960" s="114"/>
      <c r="U8960" s="21"/>
      <c r="V8960" s="115"/>
      <c r="W8960" s="116"/>
      <c r="X8960" s="220"/>
      <c r="Y8960" s="220">
        <f>X8960*0.1</f>
        <v>0</v>
      </c>
      <c r="Z8960" s="220"/>
      <c r="AA8960" s="220">
        <f>SUM(X8960:Z8960)</f>
        <v>0</v>
      </c>
      <c r="AB8960" s="222"/>
    </row>
    <row r="8961" spans="1:28" ht="17.100000000000001" customHeight="1" thickBot="1">
      <c r="A8961" s="227"/>
      <c r="B8961" s="27" t="s">
        <v>3730</v>
      </c>
      <c r="C8961" s="27">
        <v>62100</v>
      </c>
      <c r="D8961" s="14" t="s">
        <v>1584</v>
      </c>
      <c r="E8961" s="229"/>
      <c r="F8961" s="117" t="s">
        <v>24896</v>
      </c>
      <c r="G8961" s="26">
        <v>55793</v>
      </c>
      <c r="H8961" s="231"/>
      <c r="I8961" s="221"/>
      <c r="J8961" s="221"/>
      <c r="K8961" s="221"/>
      <c r="L8961" s="221"/>
      <c r="M8961" s="221"/>
      <c r="N8961" s="221"/>
      <c r="O8961" s="225"/>
      <c r="P8961" s="118" t="s">
        <v>26197</v>
      </c>
      <c r="Q8961" s="16" t="s">
        <v>20</v>
      </c>
      <c r="R8961" s="17" t="s">
        <v>2702</v>
      </c>
      <c r="S8961" s="121" t="s">
        <v>24956</v>
      </c>
      <c r="T8961" s="122"/>
      <c r="U8961" s="22"/>
      <c r="V8961" s="123"/>
      <c r="W8961" s="122"/>
      <c r="X8961" s="221"/>
      <c r="Y8961" s="221"/>
      <c r="Z8961" s="221"/>
      <c r="AA8961" s="221"/>
      <c r="AB8961" s="223"/>
    </row>
    <row r="8962" spans="1:28" ht="17.100000000000001" customHeight="1" thickTop="1">
      <c r="A8962" s="226" t="s">
        <v>24899</v>
      </c>
      <c r="B8962" s="28">
        <v>46156</v>
      </c>
      <c r="C8962" s="25">
        <v>1330</v>
      </c>
      <c r="D8962" s="13" t="s">
        <v>1704</v>
      </c>
      <c r="E8962" s="228"/>
      <c r="F8962" s="109" t="s">
        <v>24912</v>
      </c>
      <c r="G8962" s="24"/>
      <c r="H8962" s="230">
        <v>4.5</v>
      </c>
      <c r="I8962" s="220">
        <v>2510000</v>
      </c>
      <c r="J8962" s="220">
        <f>I8962*0.1</f>
        <v>251000</v>
      </c>
      <c r="K8962" s="220">
        <v>0</v>
      </c>
      <c r="L8962" s="220">
        <v>21020</v>
      </c>
      <c r="M8962" s="220">
        <v>16500</v>
      </c>
      <c r="N8962" s="220">
        <f>SUM(I8962:M8963)</f>
        <v>2798520</v>
      </c>
      <c r="O8962" s="224"/>
      <c r="P8962" s="110" t="s">
        <v>26182</v>
      </c>
      <c r="Q8962" s="15" t="s">
        <v>19</v>
      </c>
      <c r="R8962" s="205"/>
      <c r="S8962" s="189" t="s">
        <v>1361</v>
      </c>
      <c r="T8962" s="114"/>
      <c r="U8962" s="21"/>
      <c r="V8962" s="115"/>
      <c r="W8962" s="116"/>
      <c r="X8962" s="220"/>
      <c r="Y8962" s="220">
        <f>X8962*0.1</f>
        <v>0</v>
      </c>
      <c r="Z8962" s="220"/>
      <c r="AA8962" s="220">
        <f>SUM(X8962:Z8962)</f>
        <v>0</v>
      </c>
      <c r="AB8962" s="222"/>
    </row>
    <row r="8963" spans="1:28" ht="17.100000000000001" customHeight="1" thickBot="1">
      <c r="A8963" s="227"/>
      <c r="B8963" s="27" t="s">
        <v>1735</v>
      </c>
      <c r="C8963" s="27">
        <v>108</v>
      </c>
      <c r="D8963" s="14" t="s">
        <v>1584</v>
      </c>
      <c r="E8963" s="229"/>
      <c r="F8963" s="117" t="s">
        <v>24904</v>
      </c>
      <c r="G8963" s="26">
        <v>83181</v>
      </c>
      <c r="H8963" s="231"/>
      <c r="I8963" s="221"/>
      <c r="J8963" s="221"/>
      <c r="K8963" s="221"/>
      <c r="L8963" s="221"/>
      <c r="M8963" s="221"/>
      <c r="N8963" s="221"/>
      <c r="O8963" s="225"/>
      <c r="P8963" s="118" t="s">
        <v>1844</v>
      </c>
      <c r="Q8963" s="16" t="s">
        <v>20</v>
      </c>
      <c r="R8963" s="17" t="s">
        <v>2702</v>
      </c>
      <c r="S8963" s="121" t="s">
        <v>1923</v>
      </c>
      <c r="T8963" s="122"/>
      <c r="U8963" s="22"/>
      <c r="V8963" s="123"/>
      <c r="W8963" s="122"/>
      <c r="X8963" s="221"/>
      <c r="Y8963" s="221"/>
      <c r="Z8963" s="221"/>
      <c r="AA8963" s="221"/>
      <c r="AB8963" s="223"/>
    </row>
    <row r="8964" spans="1:28" ht="17.100000000000001" customHeight="1" thickTop="1">
      <c r="A8964" s="226" t="s">
        <v>24900</v>
      </c>
      <c r="B8964" s="28">
        <v>46156</v>
      </c>
      <c r="C8964" s="25">
        <v>1330</v>
      </c>
      <c r="D8964" s="13" t="s">
        <v>812</v>
      </c>
      <c r="E8964" s="228"/>
      <c r="F8964" s="109" t="s">
        <v>24913</v>
      </c>
      <c r="G8964" s="24" t="s">
        <v>1551</v>
      </c>
      <c r="H8964" s="230">
        <v>4.5</v>
      </c>
      <c r="I8964" s="220">
        <v>2930000</v>
      </c>
      <c r="J8964" s="220">
        <f>I8964*0.1</f>
        <v>293000</v>
      </c>
      <c r="K8964" s="220">
        <f>30000+3000</f>
        <v>33000</v>
      </c>
      <c r="L8964" s="220">
        <v>23470</v>
      </c>
      <c r="M8964" s="220">
        <v>16500</v>
      </c>
      <c r="N8964" s="220">
        <f>SUM(I8964:M8965)</f>
        <v>3295970</v>
      </c>
      <c r="O8964" s="224"/>
      <c r="P8964" s="110" t="s">
        <v>24914</v>
      </c>
      <c r="Q8964" s="15" t="s">
        <v>19</v>
      </c>
      <c r="R8964" s="205"/>
      <c r="S8964" s="189" t="s">
        <v>1271</v>
      </c>
      <c r="T8964" s="114"/>
      <c r="U8964" s="21"/>
      <c r="V8964" s="115">
        <v>46165</v>
      </c>
      <c r="W8964" s="116">
        <v>1301</v>
      </c>
      <c r="X8964" s="220">
        <v>3090000</v>
      </c>
      <c r="Y8964" s="220">
        <f>X8964*0.1</f>
        <v>309000</v>
      </c>
      <c r="Z8964" s="220">
        <v>23470</v>
      </c>
      <c r="AA8964" s="220">
        <f>SUM(X8964:Z8964)</f>
        <v>3422470</v>
      </c>
      <c r="AB8964" s="222">
        <v>46168</v>
      </c>
    </row>
    <row r="8965" spans="1:28" ht="17.100000000000001" customHeight="1" thickBot="1">
      <c r="A8965" s="227"/>
      <c r="B8965" s="27" t="s">
        <v>1735</v>
      </c>
      <c r="C8965" s="27">
        <v>179</v>
      </c>
      <c r="D8965" s="14" t="s">
        <v>273</v>
      </c>
      <c r="E8965" s="229"/>
      <c r="F8965" s="117" t="s">
        <v>24905</v>
      </c>
      <c r="G8965" s="26">
        <v>79788</v>
      </c>
      <c r="H8965" s="231"/>
      <c r="I8965" s="221"/>
      <c r="J8965" s="221"/>
      <c r="K8965" s="221"/>
      <c r="L8965" s="221"/>
      <c r="M8965" s="221"/>
      <c r="N8965" s="221"/>
      <c r="O8965" s="225"/>
      <c r="P8965" s="118" t="s">
        <v>8392</v>
      </c>
      <c r="Q8965" s="16" t="s">
        <v>20</v>
      </c>
      <c r="R8965" s="17" t="s">
        <v>1952</v>
      </c>
      <c r="S8965" s="121" t="s">
        <v>25261</v>
      </c>
      <c r="T8965" s="122"/>
      <c r="U8965" s="22"/>
      <c r="V8965" s="123" t="s">
        <v>2472</v>
      </c>
      <c r="W8965" s="122">
        <v>80088</v>
      </c>
      <c r="X8965" s="221"/>
      <c r="Y8965" s="221"/>
      <c r="Z8965" s="221"/>
      <c r="AA8965" s="221"/>
      <c r="AB8965" s="223"/>
    </row>
    <row r="8966" spans="1:28" ht="17.100000000000001" customHeight="1" thickTop="1">
      <c r="A8966" s="226" t="s">
        <v>24901</v>
      </c>
      <c r="B8966" s="28">
        <v>46156</v>
      </c>
      <c r="C8966" s="25">
        <v>1330</v>
      </c>
      <c r="D8966" s="13" t="s">
        <v>1676</v>
      </c>
      <c r="E8966" s="228"/>
      <c r="F8966" s="109" t="s">
        <v>1916</v>
      </c>
      <c r="G8966" s="24"/>
      <c r="H8966" s="230">
        <v>4.5</v>
      </c>
      <c r="I8966" s="220">
        <v>405000</v>
      </c>
      <c r="J8966" s="220">
        <f>I8966*0.1</f>
        <v>40500</v>
      </c>
      <c r="K8966" s="220">
        <v>33000</v>
      </c>
      <c r="L8966" s="220">
        <v>18960</v>
      </c>
      <c r="M8966" s="220">
        <v>16500</v>
      </c>
      <c r="N8966" s="220">
        <f>SUM(I8966:M8967)</f>
        <v>513960</v>
      </c>
      <c r="O8966" s="224"/>
      <c r="P8966" s="110" t="s">
        <v>25257</v>
      </c>
      <c r="Q8966" s="15" t="s">
        <v>19</v>
      </c>
      <c r="R8966" s="205"/>
      <c r="S8966" s="189"/>
      <c r="T8966" s="114"/>
      <c r="U8966" s="21"/>
      <c r="V8966" s="115">
        <v>46158</v>
      </c>
      <c r="W8966" s="116">
        <v>1300</v>
      </c>
      <c r="X8966" s="220">
        <v>545000</v>
      </c>
      <c r="Y8966" s="220">
        <f>X8966*0.1</f>
        <v>54500</v>
      </c>
      <c r="Z8966" s="220">
        <v>18960</v>
      </c>
      <c r="AA8966" s="220">
        <f>SUM(X8966:Z8966)</f>
        <v>618460</v>
      </c>
      <c r="AB8966" s="222">
        <v>46167</v>
      </c>
    </row>
    <row r="8967" spans="1:28" ht="17.100000000000001" customHeight="1" thickBot="1">
      <c r="A8967" s="227"/>
      <c r="B8967" s="27" t="s">
        <v>1735</v>
      </c>
      <c r="C8967" s="27">
        <v>512</v>
      </c>
      <c r="D8967" s="14" t="s">
        <v>1568</v>
      </c>
      <c r="E8967" s="229"/>
      <c r="F8967" s="117" t="s">
        <v>24906</v>
      </c>
      <c r="G8967" s="26">
        <v>52769</v>
      </c>
      <c r="H8967" s="231"/>
      <c r="I8967" s="221"/>
      <c r="J8967" s="221"/>
      <c r="K8967" s="221"/>
      <c r="L8967" s="221"/>
      <c r="M8967" s="221"/>
      <c r="N8967" s="221"/>
      <c r="O8967" s="225"/>
      <c r="P8967" s="118" t="s">
        <v>2404</v>
      </c>
      <c r="Q8967" s="16" t="s">
        <v>20</v>
      </c>
      <c r="R8967" s="17" t="s">
        <v>1952</v>
      </c>
      <c r="S8967" s="121" t="s">
        <v>2784</v>
      </c>
      <c r="T8967" s="122"/>
      <c r="U8967" s="22"/>
      <c r="V8967" s="123" t="s">
        <v>2472</v>
      </c>
      <c r="W8967" s="122">
        <v>80400</v>
      </c>
      <c r="X8967" s="221"/>
      <c r="Y8967" s="221"/>
      <c r="Z8967" s="221"/>
      <c r="AA8967" s="221"/>
      <c r="AB8967" s="223"/>
    </row>
    <row r="8968" spans="1:28" ht="17.100000000000001" customHeight="1" thickTop="1">
      <c r="A8968" s="226" t="s">
        <v>24902</v>
      </c>
      <c r="B8968" s="28">
        <v>46156</v>
      </c>
      <c r="C8968" s="25">
        <v>1330</v>
      </c>
      <c r="D8968" s="13" t="s">
        <v>2920</v>
      </c>
      <c r="E8968" s="228"/>
      <c r="F8968" s="109" t="s">
        <v>1763</v>
      </c>
      <c r="G8968" s="24" t="s">
        <v>4038</v>
      </c>
      <c r="H8968" s="230">
        <v>4.5</v>
      </c>
      <c r="I8968" s="220">
        <v>1505000</v>
      </c>
      <c r="J8968" s="220">
        <f>I8968*0.1</f>
        <v>150500</v>
      </c>
      <c r="K8968" s="220">
        <v>33000</v>
      </c>
      <c r="L8968" s="220">
        <v>16240</v>
      </c>
      <c r="M8968" s="220">
        <v>16500</v>
      </c>
      <c r="N8968" s="220">
        <f>SUM(I8968:M8969)</f>
        <v>1721240</v>
      </c>
      <c r="O8968" s="224"/>
      <c r="P8968" s="110" t="s">
        <v>24915</v>
      </c>
      <c r="Q8968" s="15" t="s">
        <v>19</v>
      </c>
      <c r="R8968" s="205"/>
      <c r="S8968" s="189" t="s">
        <v>26001</v>
      </c>
      <c r="T8968" s="114"/>
      <c r="U8968" s="21"/>
      <c r="V8968" s="115"/>
      <c r="W8968" s="116"/>
      <c r="X8968" s="220"/>
      <c r="Y8968" s="220">
        <f>X8968*0.1</f>
        <v>0</v>
      </c>
      <c r="Z8968" s="220"/>
      <c r="AA8968" s="220">
        <f>SUM(X8968:Z8968)</f>
        <v>0</v>
      </c>
      <c r="AB8968" s="222"/>
    </row>
    <row r="8969" spans="1:28" ht="17.100000000000001" customHeight="1" thickBot="1">
      <c r="A8969" s="227"/>
      <c r="B8969" s="27" t="s">
        <v>1735</v>
      </c>
      <c r="C8969" s="27">
        <v>584</v>
      </c>
      <c r="D8969" s="14" t="s">
        <v>131</v>
      </c>
      <c r="E8969" s="229"/>
      <c r="F8969" s="117" t="s">
        <v>24907</v>
      </c>
      <c r="G8969" s="26">
        <v>40346</v>
      </c>
      <c r="H8969" s="231"/>
      <c r="I8969" s="221"/>
      <c r="J8969" s="221"/>
      <c r="K8969" s="221"/>
      <c r="L8969" s="221"/>
      <c r="M8969" s="221"/>
      <c r="N8969" s="221"/>
      <c r="O8969" s="225"/>
      <c r="P8969" s="118" t="s">
        <v>1844</v>
      </c>
      <c r="Q8969" s="16" t="s">
        <v>20</v>
      </c>
      <c r="R8969" s="17" t="s">
        <v>1952</v>
      </c>
      <c r="S8969" s="121" t="s">
        <v>1649</v>
      </c>
      <c r="T8969" s="122"/>
      <c r="U8969" s="22"/>
      <c r="V8969" s="123"/>
      <c r="W8969" s="122"/>
      <c r="X8969" s="221"/>
      <c r="Y8969" s="221"/>
      <c r="Z8969" s="221"/>
      <c r="AA8969" s="221"/>
      <c r="AB8969" s="223"/>
    </row>
    <row r="8970" spans="1:28" ht="17.100000000000001" customHeight="1" thickTop="1">
      <c r="A8970" s="226" t="s">
        <v>24903</v>
      </c>
      <c r="B8970" s="28">
        <v>46156</v>
      </c>
      <c r="C8970" s="25">
        <v>1330</v>
      </c>
      <c r="D8970" s="13" t="s">
        <v>1935</v>
      </c>
      <c r="E8970" s="228"/>
      <c r="F8970" s="109" t="s">
        <v>24916</v>
      </c>
      <c r="G8970" s="24"/>
      <c r="H8970" s="230">
        <v>4</v>
      </c>
      <c r="I8970" s="220">
        <v>420000</v>
      </c>
      <c r="J8970" s="220">
        <f>I8970*0.1</f>
        <v>42000</v>
      </c>
      <c r="K8970" s="220">
        <v>0</v>
      </c>
      <c r="L8970" s="220">
        <v>14840</v>
      </c>
      <c r="M8970" s="220">
        <v>16500</v>
      </c>
      <c r="N8970" s="220">
        <f>SUM(I8970:M8971)</f>
        <v>493340</v>
      </c>
      <c r="O8970" s="224"/>
      <c r="P8970" s="110" t="s">
        <v>26180</v>
      </c>
      <c r="Q8970" s="15" t="s">
        <v>19</v>
      </c>
      <c r="R8970" s="205"/>
      <c r="S8970" s="189"/>
      <c r="T8970" s="114"/>
      <c r="U8970" s="21"/>
      <c r="V8970" s="115"/>
      <c r="W8970" s="116"/>
      <c r="X8970" s="220"/>
      <c r="Y8970" s="220">
        <f>X8970*0.1</f>
        <v>0</v>
      </c>
      <c r="Z8970" s="220"/>
      <c r="AA8970" s="220">
        <f>SUM(X8970:Z8970)</f>
        <v>0</v>
      </c>
      <c r="AB8970" s="222"/>
    </row>
    <row r="8971" spans="1:28" ht="17.100000000000001" customHeight="1" thickBot="1">
      <c r="A8971" s="227"/>
      <c r="B8971" s="27" t="s">
        <v>1735</v>
      </c>
      <c r="C8971" s="27">
        <v>850</v>
      </c>
      <c r="D8971" s="14" t="s">
        <v>273</v>
      </c>
      <c r="E8971" s="229"/>
      <c r="F8971" s="117" t="s">
        <v>24908</v>
      </c>
      <c r="G8971" s="26">
        <v>71291</v>
      </c>
      <c r="H8971" s="231"/>
      <c r="I8971" s="221"/>
      <c r="J8971" s="221"/>
      <c r="K8971" s="221"/>
      <c r="L8971" s="221"/>
      <c r="M8971" s="221"/>
      <c r="N8971" s="221"/>
      <c r="O8971" s="225"/>
      <c r="P8971" s="118" t="s">
        <v>1844</v>
      </c>
      <c r="Q8971" s="16" t="s">
        <v>20</v>
      </c>
      <c r="R8971" s="17" t="s">
        <v>2702</v>
      </c>
      <c r="S8971" s="121" t="s">
        <v>26181</v>
      </c>
      <c r="T8971" s="122"/>
      <c r="U8971" s="22"/>
      <c r="V8971" s="123"/>
      <c r="W8971" s="122"/>
      <c r="X8971" s="221"/>
      <c r="Y8971" s="221"/>
      <c r="Z8971" s="221"/>
      <c r="AA8971" s="221"/>
      <c r="AB8971" s="223"/>
    </row>
    <row r="8972" spans="1:28" ht="17.100000000000001" customHeight="1" thickTop="1">
      <c r="A8972" s="226" t="s">
        <v>24921</v>
      </c>
      <c r="B8972" s="28">
        <v>46158</v>
      </c>
      <c r="C8972" s="25"/>
      <c r="D8972" s="13" t="s">
        <v>1746</v>
      </c>
      <c r="E8972" s="228"/>
      <c r="F8972" s="109" t="s">
        <v>3168</v>
      </c>
      <c r="G8972" s="24" t="s">
        <v>5556</v>
      </c>
      <c r="H8972" s="230"/>
      <c r="I8972" s="220">
        <v>300000</v>
      </c>
      <c r="J8972" s="220">
        <v>0</v>
      </c>
      <c r="K8972" s="220">
        <v>0</v>
      </c>
      <c r="L8972" s="220">
        <v>0</v>
      </c>
      <c r="M8972" s="220">
        <v>0</v>
      </c>
      <c r="N8972" s="220">
        <f>SUM(I8972:M8973)</f>
        <v>300000</v>
      </c>
      <c r="O8972" s="224"/>
      <c r="P8972" s="110" t="s">
        <v>24924</v>
      </c>
      <c r="Q8972" s="15" t="s">
        <v>19</v>
      </c>
      <c r="R8972" s="205"/>
      <c r="S8972" s="189"/>
      <c r="T8972" s="114"/>
      <c r="U8972" s="21"/>
      <c r="V8972" s="115">
        <v>46165</v>
      </c>
      <c r="W8972" s="116">
        <v>1301</v>
      </c>
      <c r="X8972" s="220">
        <v>340000</v>
      </c>
      <c r="Y8972" s="220">
        <f>X8972*0.1</f>
        <v>34000</v>
      </c>
      <c r="Z8972" s="220">
        <v>17490</v>
      </c>
      <c r="AA8972" s="220">
        <f>SUM(X8972:Z8972)</f>
        <v>391490</v>
      </c>
      <c r="AB8972" s="222">
        <v>46168</v>
      </c>
    </row>
    <row r="8973" spans="1:28" ht="17.100000000000001" customHeight="1" thickBot="1">
      <c r="A8973" s="227"/>
      <c r="B8973" s="27" t="s">
        <v>24922</v>
      </c>
      <c r="C8973" s="27"/>
      <c r="D8973" s="14"/>
      <c r="E8973" s="229"/>
      <c r="F8973" s="117" t="s">
        <v>24923</v>
      </c>
      <c r="G8973" s="26">
        <v>79724</v>
      </c>
      <c r="H8973" s="231"/>
      <c r="I8973" s="221"/>
      <c r="J8973" s="221"/>
      <c r="K8973" s="221"/>
      <c r="L8973" s="221"/>
      <c r="M8973" s="221"/>
      <c r="N8973" s="221"/>
      <c r="O8973" s="225"/>
      <c r="P8973" s="118" t="s">
        <v>24925</v>
      </c>
      <c r="Q8973" s="16" t="s">
        <v>20</v>
      </c>
      <c r="R8973" s="17" t="s">
        <v>2683</v>
      </c>
      <c r="S8973" s="121" t="s">
        <v>1731</v>
      </c>
      <c r="T8973" s="122"/>
      <c r="U8973" s="22"/>
      <c r="V8973" s="123" t="s">
        <v>2472</v>
      </c>
      <c r="W8973" s="122">
        <v>82014</v>
      </c>
      <c r="X8973" s="221"/>
      <c r="Y8973" s="221"/>
      <c r="Z8973" s="221"/>
      <c r="AA8973" s="221"/>
      <c r="AB8973" s="223"/>
    </row>
    <row r="8974" spans="1:28" ht="17.100000000000001" customHeight="1" thickTop="1">
      <c r="A8974" s="226" t="s">
        <v>24960</v>
      </c>
      <c r="B8974" s="28">
        <v>46156</v>
      </c>
      <c r="C8974" s="25">
        <v>2157</v>
      </c>
      <c r="D8974" s="13" t="s">
        <v>1976</v>
      </c>
      <c r="E8974" s="228"/>
      <c r="F8974" s="109" t="s">
        <v>25147</v>
      </c>
      <c r="G8974" s="24" t="s">
        <v>2124</v>
      </c>
      <c r="H8974" s="230">
        <v>4.5</v>
      </c>
      <c r="I8974" s="220">
        <v>1360000</v>
      </c>
      <c r="J8974" s="220">
        <f>I8974*0.1</f>
        <v>136000</v>
      </c>
      <c r="K8974" s="220">
        <v>0</v>
      </c>
      <c r="L8974" s="220">
        <v>0</v>
      </c>
      <c r="M8974" s="220">
        <v>14300</v>
      </c>
      <c r="N8974" s="220">
        <f>SUM(I8974:M8975)</f>
        <v>1510300</v>
      </c>
      <c r="O8974" s="224"/>
      <c r="P8974" s="110" t="s">
        <v>25148</v>
      </c>
      <c r="Q8974" s="15" t="s">
        <v>19</v>
      </c>
      <c r="R8974" s="205"/>
      <c r="S8974" s="189"/>
      <c r="T8974" s="114"/>
      <c r="U8974" s="21"/>
      <c r="V8974" s="115">
        <v>46162</v>
      </c>
      <c r="W8974" s="116">
        <v>1017</v>
      </c>
      <c r="X8974" s="220">
        <v>1390000</v>
      </c>
      <c r="Y8974" s="220">
        <f>X8974*0.1</f>
        <v>139000</v>
      </c>
      <c r="Z8974" s="220">
        <v>6850</v>
      </c>
      <c r="AA8974" s="220">
        <f>SUM(X8974:Z8974)</f>
        <v>1535850</v>
      </c>
      <c r="AB8974" s="222">
        <v>46167</v>
      </c>
    </row>
    <row r="8975" spans="1:28" ht="17.100000000000001" customHeight="1" thickBot="1">
      <c r="A8975" s="227"/>
      <c r="B8975" s="27" t="s">
        <v>24978</v>
      </c>
      <c r="C8975" s="27">
        <v>2135</v>
      </c>
      <c r="D8975" s="14" t="s">
        <v>2559</v>
      </c>
      <c r="E8975" s="229"/>
      <c r="F8975" s="117" t="s">
        <v>24979</v>
      </c>
      <c r="G8975" s="26">
        <v>22910</v>
      </c>
      <c r="H8975" s="231"/>
      <c r="I8975" s="221"/>
      <c r="J8975" s="221"/>
      <c r="K8975" s="221"/>
      <c r="L8975" s="221"/>
      <c r="M8975" s="221"/>
      <c r="N8975" s="221"/>
      <c r="O8975" s="225"/>
      <c r="P8975" s="118" t="s">
        <v>25278</v>
      </c>
      <c r="Q8975" s="16" t="s">
        <v>20</v>
      </c>
      <c r="R8975" s="17" t="s">
        <v>2683</v>
      </c>
      <c r="S8975" s="121" t="s">
        <v>2405</v>
      </c>
      <c r="T8975" s="122"/>
      <c r="U8975" s="22"/>
      <c r="V8975" s="123" t="s">
        <v>2747</v>
      </c>
      <c r="W8975" s="122">
        <v>5043</v>
      </c>
      <c r="X8975" s="221"/>
      <c r="Y8975" s="221"/>
      <c r="Z8975" s="221"/>
      <c r="AA8975" s="221"/>
      <c r="AB8975" s="223"/>
    </row>
    <row r="8976" spans="1:28" ht="17.100000000000001" customHeight="1" thickTop="1">
      <c r="A8976" s="226" t="s">
        <v>24961</v>
      </c>
      <c r="B8976" s="28">
        <v>46156</v>
      </c>
      <c r="C8976" s="25">
        <v>2157</v>
      </c>
      <c r="D8976" s="13" t="s">
        <v>2324</v>
      </c>
      <c r="E8976" s="228"/>
      <c r="F8976" s="109" t="s">
        <v>4526</v>
      </c>
      <c r="G8976" s="24" t="s">
        <v>25149</v>
      </c>
      <c r="H8976" s="230">
        <v>4</v>
      </c>
      <c r="I8976" s="220">
        <v>931000</v>
      </c>
      <c r="J8976" s="220">
        <f>I8976*0.1</f>
        <v>93100</v>
      </c>
      <c r="K8976" s="220">
        <v>0</v>
      </c>
      <c r="L8976" s="220">
        <v>8640</v>
      </c>
      <c r="M8976" s="220">
        <v>14300</v>
      </c>
      <c r="N8976" s="220">
        <f>SUM(I8976:M8977)</f>
        <v>1047040</v>
      </c>
      <c r="O8976" s="224"/>
      <c r="P8976" s="110" t="s">
        <v>25150</v>
      </c>
      <c r="Q8976" s="15" t="s">
        <v>19</v>
      </c>
      <c r="R8976" s="205"/>
      <c r="S8976" s="189" t="s">
        <v>25392</v>
      </c>
      <c r="T8976" s="114"/>
      <c r="U8976" s="21"/>
      <c r="V8976" s="115">
        <v>46162</v>
      </c>
      <c r="W8976" s="116">
        <v>1017</v>
      </c>
      <c r="X8976" s="220">
        <v>935000</v>
      </c>
      <c r="Y8976" s="220">
        <f>X8976*0.1</f>
        <v>93500</v>
      </c>
      <c r="Z8976" s="220">
        <v>8640</v>
      </c>
      <c r="AA8976" s="220">
        <f>SUM(X8976:Z8976)</f>
        <v>1037140</v>
      </c>
      <c r="AB8976" s="222">
        <v>46167</v>
      </c>
    </row>
    <row r="8977" spans="1:28" ht="17.100000000000001" customHeight="1" thickBot="1">
      <c r="A8977" s="227"/>
      <c r="B8977" s="27" t="s">
        <v>24978</v>
      </c>
      <c r="C8977" s="27">
        <v>2163</v>
      </c>
      <c r="D8977" s="14" t="s">
        <v>3731</v>
      </c>
      <c r="E8977" s="229"/>
      <c r="F8977" s="117" t="s">
        <v>24980</v>
      </c>
      <c r="G8977" s="26">
        <v>20096</v>
      </c>
      <c r="H8977" s="231"/>
      <c r="I8977" s="221"/>
      <c r="J8977" s="221"/>
      <c r="K8977" s="221"/>
      <c r="L8977" s="221"/>
      <c r="M8977" s="221"/>
      <c r="N8977" s="221"/>
      <c r="O8977" s="225"/>
      <c r="P8977" s="118" t="s">
        <v>25276</v>
      </c>
      <c r="Q8977" s="16" t="s">
        <v>20</v>
      </c>
      <c r="R8977" s="17" t="s">
        <v>1952</v>
      </c>
      <c r="S8977" s="121" t="s">
        <v>25277</v>
      </c>
      <c r="T8977" s="122"/>
      <c r="U8977" s="22"/>
      <c r="V8977" s="123" t="s">
        <v>2747</v>
      </c>
      <c r="W8977" s="122">
        <v>5061</v>
      </c>
      <c r="X8977" s="221"/>
      <c r="Y8977" s="221"/>
      <c r="Z8977" s="221"/>
      <c r="AA8977" s="221"/>
      <c r="AB8977" s="223"/>
    </row>
    <row r="8978" spans="1:28" ht="17.100000000000001" customHeight="1" thickTop="1">
      <c r="A8978" s="226" t="s">
        <v>24962</v>
      </c>
      <c r="B8978" s="28">
        <v>46156</v>
      </c>
      <c r="C8978" s="25">
        <v>2157</v>
      </c>
      <c r="D8978" s="13" t="s">
        <v>2073</v>
      </c>
      <c r="E8978" s="228"/>
      <c r="F8978" s="109" t="s">
        <v>25151</v>
      </c>
      <c r="G8978" s="24"/>
      <c r="H8978" s="230">
        <v>4</v>
      </c>
      <c r="I8978" s="220">
        <v>525000</v>
      </c>
      <c r="J8978" s="220">
        <f>I8978*0.1</f>
        <v>52500</v>
      </c>
      <c r="K8978" s="220">
        <v>0</v>
      </c>
      <c r="L8978" s="220">
        <v>5870</v>
      </c>
      <c r="M8978" s="220">
        <v>14300</v>
      </c>
      <c r="N8978" s="220">
        <f>SUM(I8978:M8979)</f>
        <v>597670</v>
      </c>
      <c r="O8978" s="224"/>
      <c r="P8978" s="110" t="s">
        <v>26094</v>
      </c>
      <c r="Q8978" s="15" t="s">
        <v>19</v>
      </c>
      <c r="R8978" s="205"/>
      <c r="S8978" s="189" t="s">
        <v>26002</v>
      </c>
      <c r="T8978" s="114"/>
      <c r="U8978" s="21"/>
      <c r="V8978" s="115">
        <v>46162</v>
      </c>
      <c r="W8978" s="116">
        <v>1017</v>
      </c>
      <c r="X8978" s="220">
        <v>600000</v>
      </c>
      <c r="Y8978" s="220">
        <f>X8978*0.1</f>
        <v>60000</v>
      </c>
      <c r="Z8978" s="220">
        <v>5870</v>
      </c>
      <c r="AA8978" s="220">
        <f>SUM(X8978:Z8978)</f>
        <v>665870</v>
      </c>
      <c r="AB8978" s="222">
        <v>46167</v>
      </c>
    </row>
    <row r="8979" spans="1:28" ht="17.100000000000001" customHeight="1" thickBot="1">
      <c r="A8979" s="227"/>
      <c r="B8979" s="27" t="s">
        <v>24978</v>
      </c>
      <c r="C8979" s="27">
        <v>2502</v>
      </c>
      <c r="D8979" s="14" t="s">
        <v>1710</v>
      </c>
      <c r="E8979" s="229"/>
      <c r="F8979" s="117" t="s">
        <v>24981</v>
      </c>
      <c r="G8979" s="26">
        <v>50482</v>
      </c>
      <c r="H8979" s="231"/>
      <c r="I8979" s="221"/>
      <c r="J8979" s="221"/>
      <c r="K8979" s="221"/>
      <c r="L8979" s="221"/>
      <c r="M8979" s="221"/>
      <c r="N8979" s="221"/>
      <c r="O8979" s="225"/>
      <c r="P8979" s="118" t="s">
        <v>2947</v>
      </c>
      <c r="Q8979" s="16" t="s">
        <v>20</v>
      </c>
      <c r="R8979" s="17" t="s">
        <v>2702</v>
      </c>
      <c r="S8979" s="121"/>
      <c r="T8979" s="122"/>
      <c r="U8979" s="22"/>
      <c r="V8979" s="123" t="s">
        <v>2747</v>
      </c>
      <c r="W8979" s="122">
        <v>5126</v>
      </c>
      <c r="X8979" s="221"/>
      <c r="Y8979" s="221"/>
      <c r="Z8979" s="221"/>
      <c r="AA8979" s="221"/>
      <c r="AB8979" s="223"/>
    </row>
    <row r="8980" spans="1:28" ht="17.100000000000001" customHeight="1" thickTop="1">
      <c r="A8980" s="226" t="s">
        <v>24963</v>
      </c>
      <c r="B8980" s="28">
        <v>46156</v>
      </c>
      <c r="C8980" s="25">
        <v>2157</v>
      </c>
      <c r="D8980" s="13" t="s">
        <v>3332</v>
      </c>
      <c r="E8980" s="228"/>
      <c r="F8980" s="109" t="s">
        <v>14900</v>
      </c>
      <c r="G8980" s="24" t="s">
        <v>4864</v>
      </c>
      <c r="H8980" s="230">
        <v>3.5</v>
      </c>
      <c r="I8980" s="220">
        <v>977000</v>
      </c>
      <c r="J8980" s="220">
        <f>I8980*0.1</f>
        <v>97700</v>
      </c>
      <c r="K8980" s="220">
        <v>0</v>
      </c>
      <c r="L8980" s="220">
        <v>6830</v>
      </c>
      <c r="M8980" s="220">
        <v>14300</v>
      </c>
      <c r="N8980" s="220">
        <f>SUM(I8980:M8981)</f>
        <v>1095830</v>
      </c>
      <c r="O8980" s="224"/>
      <c r="P8980" s="110" t="s">
        <v>26095</v>
      </c>
      <c r="Q8980" s="15" t="s">
        <v>19</v>
      </c>
      <c r="R8980" s="205"/>
      <c r="S8980" s="189"/>
      <c r="T8980" s="114"/>
      <c r="U8980" s="21"/>
      <c r="V8980" s="115">
        <v>46162</v>
      </c>
      <c r="W8980" s="116">
        <v>1017</v>
      </c>
      <c r="X8980" s="220">
        <v>1120000</v>
      </c>
      <c r="Y8980" s="220">
        <f>X8980*0.1</f>
        <v>112000</v>
      </c>
      <c r="Z8980" s="220">
        <v>6830</v>
      </c>
      <c r="AA8980" s="220">
        <f>SUM(X8980:Z8980)</f>
        <v>1238830</v>
      </c>
      <c r="AB8980" s="222">
        <v>46167</v>
      </c>
    </row>
    <row r="8981" spans="1:28" ht="17.100000000000001" customHeight="1" thickBot="1">
      <c r="A8981" s="227"/>
      <c r="B8981" s="27" t="s">
        <v>24978</v>
      </c>
      <c r="C8981" s="27">
        <v>2546</v>
      </c>
      <c r="D8981" s="14" t="s">
        <v>2177</v>
      </c>
      <c r="E8981" s="229"/>
      <c r="F8981" s="117" t="s">
        <v>24982</v>
      </c>
      <c r="G8981" s="26">
        <v>26649</v>
      </c>
      <c r="H8981" s="231"/>
      <c r="I8981" s="221"/>
      <c r="J8981" s="221"/>
      <c r="K8981" s="221"/>
      <c r="L8981" s="221"/>
      <c r="M8981" s="221"/>
      <c r="N8981" s="221"/>
      <c r="O8981" s="225"/>
      <c r="P8981" s="118" t="s">
        <v>26096</v>
      </c>
      <c r="Q8981" s="16" t="s">
        <v>20</v>
      </c>
      <c r="R8981" s="17" t="s">
        <v>2702</v>
      </c>
      <c r="S8981" s="121" t="s">
        <v>2366</v>
      </c>
      <c r="T8981" s="122"/>
      <c r="U8981" s="22"/>
      <c r="V8981" s="123" t="s">
        <v>2747</v>
      </c>
      <c r="W8981" s="122">
        <v>5067</v>
      </c>
      <c r="X8981" s="221"/>
      <c r="Y8981" s="221"/>
      <c r="Z8981" s="221"/>
      <c r="AA8981" s="221"/>
      <c r="AB8981" s="223"/>
    </row>
    <row r="8982" spans="1:28" ht="17.100000000000001" customHeight="1" thickTop="1">
      <c r="A8982" s="226" t="s">
        <v>24964</v>
      </c>
      <c r="B8982" s="28">
        <v>46156</v>
      </c>
      <c r="C8982" s="25">
        <v>2157</v>
      </c>
      <c r="D8982" s="13" t="s">
        <v>3269</v>
      </c>
      <c r="E8982" s="228"/>
      <c r="F8982" s="109" t="s">
        <v>25152</v>
      </c>
      <c r="G8982" s="24" t="s">
        <v>4315</v>
      </c>
      <c r="H8982" s="230">
        <v>4</v>
      </c>
      <c r="I8982" s="220">
        <v>883000</v>
      </c>
      <c r="J8982" s="220">
        <f>I8982*0.1</f>
        <v>88300</v>
      </c>
      <c r="K8982" s="220">
        <v>0</v>
      </c>
      <c r="L8982" s="220">
        <v>8790</v>
      </c>
      <c r="M8982" s="220">
        <v>14300</v>
      </c>
      <c r="N8982" s="220">
        <f>SUM(I8982:M8983)</f>
        <v>994390</v>
      </c>
      <c r="O8982" s="224"/>
      <c r="P8982" s="110" t="s">
        <v>26199</v>
      </c>
      <c r="Q8982" s="15" t="s">
        <v>19</v>
      </c>
      <c r="R8982" s="205"/>
      <c r="S8982" s="189" t="s">
        <v>25371</v>
      </c>
      <c r="T8982" s="114"/>
      <c r="U8982" s="21"/>
      <c r="V8982" s="115"/>
      <c r="W8982" s="116"/>
      <c r="X8982" s="220"/>
      <c r="Y8982" s="220">
        <f>X8982*0.1</f>
        <v>0</v>
      </c>
      <c r="Z8982" s="220"/>
      <c r="AA8982" s="220">
        <f>SUM(X8982:Z8982)</f>
        <v>0</v>
      </c>
      <c r="AB8982" s="222"/>
    </row>
    <row r="8983" spans="1:28" ht="17.100000000000001" customHeight="1" thickBot="1">
      <c r="A8983" s="227"/>
      <c r="B8983" s="27" t="s">
        <v>24978</v>
      </c>
      <c r="C8983" s="27">
        <v>2569</v>
      </c>
      <c r="D8983" s="14" t="s">
        <v>3792</v>
      </c>
      <c r="E8983" s="229"/>
      <c r="F8983" s="117" t="s">
        <v>24983</v>
      </c>
      <c r="G8983" s="26">
        <v>51388</v>
      </c>
      <c r="H8983" s="231"/>
      <c r="I8983" s="221"/>
      <c r="J8983" s="221"/>
      <c r="K8983" s="221"/>
      <c r="L8983" s="221"/>
      <c r="M8983" s="221"/>
      <c r="N8983" s="221"/>
      <c r="O8983" s="225"/>
      <c r="P8983" s="118" t="s">
        <v>4226</v>
      </c>
      <c r="Q8983" s="16" t="s">
        <v>20</v>
      </c>
      <c r="R8983" s="17" t="s">
        <v>2702</v>
      </c>
      <c r="S8983" s="121" t="s">
        <v>26200</v>
      </c>
      <c r="T8983" s="122"/>
      <c r="U8983" s="22"/>
      <c r="V8983" s="123"/>
      <c r="W8983" s="122"/>
      <c r="X8983" s="221"/>
      <c r="Y8983" s="221"/>
      <c r="Z8983" s="221"/>
      <c r="AA8983" s="221"/>
      <c r="AB8983" s="223"/>
    </row>
    <row r="8984" spans="1:28" ht="17.100000000000001" customHeight="1" thickTop="1">
      <c r="A8984" s="226" t="s">
        <v>24965</v>
      </c>
      <c r="B8984" s="28">
        <v>46156</v>
      </c>
      <c r="C8984" s="25">
        <v>2157</v>
      </c>
      <c r="D8984" s="13" t="s">
        <v>2470</v>
      </c>
      <c r="E8984" s="228"/>
      <c r="F8984" s="109" t="s">
        <v>5122</v>
      </c>
      <c r="G8984" s="24" t="s">
        <v>19294</v>
      </c>
      <c r="H8984" s="230">
        <v>4.5</v>
      </c>
      <c r="I8984" s="220">
        <v>2942000</v>
      </c>
      <c r="J8984" s="220">
        <f>I8984*0.1</f>
        <v>294200</v>
      </c>
      <c r="K8984" s="220">
        <v>30000</v>
      </c>
      <c r="L8984" s="220">
        <v>12250</v>
      </c>
      <c r="M8984" s="220">
        <v>14300</v>
      </c>
      <c r="N8984" s="220">
        <f>SUM(I8984:M8985)</f>
        <v>3292750</v>
      </c>
      <c r="O8984" s="224"/>
      <c r="P8984" s="110" t="s">
        <v>25153</v>
      </c>
      <c r="Q8984" s="15" t="s">
        <v>19</v>
      </c>
      <c r="R8984" s="205"/>
      <c r="S8984" s="189" t="s">
        <v>1306</v>
      </c>
      <c r="T8984" s="114"/>
      <c r="U8984" s="21"/>
      <c r="V8984" s="115">
        <v>46162</v>
      </c>
      <c r="W8984" s="116">
        <v>1017</v>
      </c>
      <c r="X8984" s="220">
        <v>2965000</v>
      </c>
      <c r="Y8984" s="220">
        <f>X8984*0.1</f>
        <v>296500</v>
      </c>
      <c r="Z8984" s="220">
        <v>12250</v>
      </c>
      <c r="AA8984" s="220">
        <f>SUM(X8984:Z8984)</f>
        <v>3273750</v>
      </c>
      <c r="AB8984" s="222">
        <v>46167</v>
      </c>
    </row>
    <row r="8985" spans="1:28" ht="17.100000000000001" customHeight="1" thickBot="1">
      <c r="A8985" s="227"/>
      <c r="B8985" s="27" t="s">
        <v>24978</v>
      </c>
      <c r="C8985" s="27">
        <v>4047</v>
      </c>
      <c r="D8985" s="14" t="s">
        <v>273</v>
      </c>
      <c r="E8985" s="229"/>
      <c r="F8985" s="117" t="s">
        <v>24984</v>
      </c>
      <c r="G8985" s="26">
        <v>30081</v>
      </c>
      <c r="H8985" s="231"/>
      <c r="I8985" s="221"/>
      <c r="J8985" s="221"/>
      <c r="K8985" s="221"/>
      <c r="L8985" s="221"/>
      <c r="M8985" s="221"/>
      <c r="N8985" s="221"/>
      <c r="O8985" s="225"/>
      <c r="P8985" s="118" t="s">
        <v>1647</v>
      </c>
      <c r="Q8985" s="16" t="s">
        <v>20</v>
      </c>
      <c r="R8985" s="17" t="s">
        <v>2702</v>
      </c>
      <c r="S8985" s="121" t="s">
        <v>1606</v>
      </c>
      <c r="T8985" s="122"/>
      <c r="U8985" s="22"/>
      <c r="V8985" s="123" t="s">
        <v>2747</v>
      </c>
      <c r="W8985" s="122">
        <v>5060</v>
      </c>
      <c r="X8985" s="221"/>
      <c r="Y8985" s="221"/>
      <c r="Z8985" s="221"/>
      <c r="AA8985" s="221"/>
      <c r="AB8985" s="223"/>
    </row>
    <row r="8986" spans="1:28" ht="17.100000000000001" customHeight="1" thickTop="1">
      <c r="A8986" s="226" t="s">
        <v>24966</v>
      </c>
      <c r="B8986" s="28">
        <v>46156</v>
      </c>
      <c r="C8986" s="25">
        <v>2157</v>
      </c>
      <c r="D8986" s="13" t="s">
        <v>1623</v>
      </c>
      <c r="E8986" s="228"/>
      <c r="F8986" s="109" t="s">
        <v>25154</v>
      </c>
      <c r="G8986" s="24"/>
      <c r="H8986" s="230">
        <v>4.5</v>
      </c>
      <c r="I8986" s="220">
        <v>2686000</v>
      </c>
      <c r="J8986" s="220">
        <f>I8986*0.1</f>
        <v>268600</v>
      </c>
      <c r="K8986" s="220">
        <v>0</v>
      </c>
      <c r="L8986" s="220">
        <v>10250</v>
      </c>
      <c r="M8986" s="220">
        <v>14300</v>
      </c>
      <c r="N8986" s="220">
        <f>SUM(I8986:M8987)</f>
        <v>2979150</v>
      </c>
      <c r="O8986" s="224"/>
      <c r="P8986" s="110" t="s">
        <v>25275</v>
      </c>
      <c r="Q8986" s="15" t="s">
        <v>19</v>
      </c>
      <c r="R8986" s="205"/>
      <c r="S8986" s="189" t="s">
        <v>26003</v>
      </c>
      <c r="T8986" s="114"/>
      <c r="U8986" s="21"/>
      <c r="V8986" s="115">
        <v>46162</v>
      </c>
      <c r="W8986" s="116">
        <v>1017</v>
      </c>
      <c r="X8986" s="220">
        <v>2825000</v>
      </c>
      <c r="Y8986" s="220">
        <f>X8986*0.1</f>
        <v>282500</v>
      </c>
      <c r="Z8986" s="220">
        <v>10250</v>
      </c>
      <c r="AA8986" s="220">
        <f>SUM(X8986:Z8986)</f>
        <v>3117750</v>
      </c>
      <c r="AB8986" s="222">
        <v>46167</v>
      </c>
    </row>
    <row r="8987" spans="1:28" ht="17.100000000000001" customHeight="1" thickBot="1">
      <c r="A8987" s="227"/>
      <c r="B8987" s="27" t="s">
        <v>24978</v>
      </c>
      <c r="C8987" s="27">
        <v>4076</v>
      </c>
      <c r="D8987" s="14" t="s">
        <v>898</v>
      </c>
      <c r="E8987" s="229"/>
      <c r="F8987" s="117" t="s">
        <v>24985</v>
      </c>
      <c r="G8987" s="26">
        <v>39406</v>
      </c>
      <c r="H8987" s="231"/>
      <c r="I8987" s="221"/>
      <c r="J8987" s="221"/>
      <c r="K8987" s="221"/>
      <c r="L8987" s="221"/>
      <c r="M8987" s="221"/>
      <c r="N8987" s="221"/>
      <c r="O8987" s="225"/>
      <c r="P8987" s="118" t="s">
        <v>11562</v>
      </c>
      <c r="Q8987" s="16" t="s">
        <v>20</v>
      </c>
      <c r="R8987" s="17" t="s">
        <v>1952</v>
      </c>
      <c r="S8987" s="121" t="s">
        <v>25274</v>
      </c>
      <c r="T8987" s="122"/>
      <c r="U8987" s="22"/>
      <c r="V8987" s="123" t="s">
        <v>2747</v>
      </c>
      <c r="W8987" s="122">
        <v>5072</v>
      </c>
      <c r="X8987" s="221"/>
      <c r="Y8987" s="221"/>
      <c r="Z8987" s="221"/>
      <c r="AA8987" s="221"/>
      <c r="AB8987" s="223"/>
    </row>
    <row r="8988" spans="1:28" ht="17.100000000000001" customHeight="1" thickTop="1">
      <c r="A8988" s="226" t="s">
        <v>24967</v>
      </c>
      <c r="B8988" s="28">
        <v>46156</v>
      </c>
      <c r="C8988" s="25">
        <v>2157</v>
      </c>
      <c r="D8988" s="13" t="s">
        <v>1564</v>
      </c>
      <c r="E8988" s="228"/>
      <c r="F8988" s="109" t="s">
        <v>5030</v>
      </c>
      <c r="G8988" s="24" t="s">
        <v>22410</v>
      </c>
      <c r="H8988" s="232" t="s">
        <v>1705</v>
      </c>
      <c r="I8988" s="220">
        <v>1154000</v>
      </c>
      <c r="J8988" s="220">
        <f>I8988*0.1</f>
        <v>115400</v>
      </c>
      <c r="K8988" s="220">
        <v>37500</v>
      </c>
      <c r="L8988" s="220">
        <v>16550</v>
      </c>
      <c r="M8988" s="220">
        <v>14300</v>
      </c>
      <c r="N8988" s="220">
        <f>SUM(I8988:M8989)</f>
        <v>1337750</v>
      </c>
      <c r="O8988" s="224"/>
      <c r="P8988" s="110" t="s">
        <v>25155</v>
      </c>
      <c r="Q8988" s="15" t="s">
        <v>19</v>
      </c>
      <c r="R8988" s="205"/>
      <c r="S8988" s="189" t="s">
        <v>1271</v>
      </c>
      <c r="T8988" s="114"/>
      <c r="U8988" s="21"/>
      <c r="V8988" s="115">
        <v>46162</v>
      </c>
      <c r="W8988" s="116">
        <v>1017</v>
      </c>
      <c r="X8988" s="220">
        <v>1270000</v>
      </c>
      <c r="Y8988" s="220">
        <f>X8988*0.1</f>
        <v>127000</v>
      </c>
      <c r="Z8988" s="220">
        <v>16550</v>
      </c>
      <c r="AA8988" s="220">
        <f>SUM(X8988:Z8988)</f>
        <v>1413550</v>
      </c>
      <c r="AB8988" s="222">
        <v>46167</v>
      </c>
    </row>
    <row r="8989" spans="1:28" ht="17.100000000000001" customHeight="1" thickBot="1">
      <c r="A8989" s="227"/>
      <c r="B8989" s="27" t="s">
        <v>24978</v>
      </c>
      <c r="C8989" s="27">
        <v>4168</v>
      </c>
      <c r="D8989" s="14" t="s">
        <v>273</v>
      </c>
      <c r="E8989" s="229"/>
      <c r="F8989" s="117" t="s">
        <v>24986</v>
      </c>
      <c r="G8989" s="26">
        <v>117517</v>
      </c>
      <c r="H8989" s="231"/>
      <c r="I8989" s="221"/>
      <c r="J8989" s="221"/>
      <c r="K8989" s="221"/>
      <c r="L8989" s="221"/>
      <c r="M8989" s="221"/>
      <c r="N8989" s="221"/>
      <c r="O8989" s="225"/>
      <c r="P8989" s="118" t="s">
        <v>25273</v>
      </c>
      <c r="Q8989" s="16" t="s">
        <v>20</v>
      </c>
      <c r="R8989" s="17" t="s">
        <v>1952</v>
      </c>
      <c r="S8989" s="121" t="s">
        <v>1649</v>
      </c>
      <c r="T8989" s="122"/>
      <c r="U8989" s="22"/>
      <c r="V8989" s="123" t="s">
        <v>2747</v>
      </c>
      <c r="W8989" s="122">
        <v>5082</v>
      </c>
      <c r="X8989" s="221"/>
      <c r="Y8989" s="221"/>
      <c r="Z8989" s="221"/>
      <c r="AA8989" s="221"/>
      <c r="AB8989" s="223"/>
    </row>
    <row r="8990" spans="1:28" ht="17.100000000000001" customHeight="1" thickTop="1">
      <c r="A8990" s="226" t="s">
        <v>24968</v>
      </c>
      <c r="B8990" s="28">
        <v>46156</v>
      </c>
      <c r="C8990" s="25">
        <v>2157</v>
      </c>
      <c r="D8990" s="13" t="s">
        <v>2811</v>
      </c>
      <c r="E8990" s="228"/>
      <c r="F8990" s="109" t="s">
        <v>9094</v>
      </c>
      <c r="G8990" s="24"/>
      <c r="H8990" s="230">
        <v>3.5</v>
      </c>
      <c r="I8990" s="220">
        <v>2339000</v>
      </c>
      <c r="J8990" s="220">
        <f>I8990*0.1</f>
        <v>233900</v>
      </c>
      <c r="K8990" s="220">
        <v>0</v>
      </c>
      <c r="L8990" s="220">
        <v>16550</v>
      </c>
      <c r="M8990" s="220">
        <v>14300</v>
      </c>
      <c r="N8990" s="220">
        <f>SUM(I8990:M8991)</f>
        <v>2603750</v>
      </c>
      <c r="O8990" s="224"/>
      <c r="P8990" s="110" t="s">
        <v>25272</v>
      </c>
      <c r="Q8990" s="15" t="s">
        <v>19</v>
      </c>
      <c r="R8990" s="205"/>
      <c r="S8990" s="189"/>
      <c r="T8990" s="114"/>
      <c r="U8990" s="21"/>
      <c r="V8990" s="115">
        <v>46162</v>
      </c>
      <c r="W8990" s="116">
        <v>1017</v>
      </c>
      <c r="X8990" s="220">
        <v>2650000</v>
      </c>
      <c r="Y8990" s="220">
        <f>X8990*0.1</f>
        <v>265000</v>
      </c>
      <c r="Z8990" s="220">
        <v>16550</v>
      </c>
      <c r="AA8990" s="220">
        <f>SUM(X8990:Z8990)</f>
        <v>2931550</v>
      </c>
      <c r="AB8990" s="222"/>
    </row>
    <row r="8991" spans="1:28" ht="17.100000000000001" customHeight="1" thickBot="1">
      <c r="A8991" s="227"/>
      <c r="B8991" s="27" t="s">
        <v>24978</v>
      </c>
      <c r="C8991" s="27">
        <v>4326</v>
      </c>
      <c r="D8991" s="14" t="s">
        <v>273</v>
      </c>
      <c r="E8991" s="229"/>
      <c r="F8991" s="117" t="s">
        <v>24987</v>
      </c>
      <c r="G8991" s="26">
        <v>89995</v>
      </c>
      <c r="H8991" s="231"/>
      <c r="I8991" s="221"/>
      <c r="J8991" s="221"/>
      <c r="K8991" s="221"/>
      <c r="L8991" s="221"/>
      <c r="M8991" s="221"/>
      <c r="N8991" s="221"/>
      <c r="O8991" s="225"/>
      <c r="P8991" s="118" t="s">
        <v>2404</v>
      </c>
      <c r="Q8991" s="16" t="s">
        <v>20</v>
      </c>
      <c r="R8991" s="17" t="s">
        <v>1952</v>
      </c>
      <c r="S8991" s="121"/>
      <c r="T8991" s="122"/>
      <c r="U8991" s="22"/>
      <c r="V8991" s="123" t="s">
        <v>7161</v>
      </c>
      <c r="W8991" s="122">
        <v>5186</v>
      </c>
      <c r="X8991" s="221"/>
      <c r="Y8991" s="221"/>
      <c r="Z8991" s="221"/>
      <c r="AA8991" s="221"/>
      <c r="AB8991" s="223"/>
    </row>
    <row r="8992" spans="1:28" ht="17.100000000000001" customHeight="1" thickTop="1">
      <c r="A8992" s="226" t="s">
        <v>24969</v>
      </c>
      <c r="B8992" s="28">
        <v>46156</v>
      </c>
      <c r="C8992" s="25">
        <v>2157</v>
      </c>
      <c r="D8992" s="13" t="s">
        <v>1676</v>
      </c>
      <c r="E8992" s="228"/>
      <c r="F8992" s="109" t="s">
        <v>25156</v>
      </c>
      <c r="G8992" s="24"/>
      <c r="H8992" s="230">
        <v>4</v>
      </c>
      <c r="I8992" s="220">
        <v>560000</v>
      </c>
      <c r="J8992" s="220">
        <f>I8992*0.1</f>
        <v>56000</v>
      </c>
      <c r="K8992" s="220">
        <v>0</v>
      </c>
      <c r="L8992" s="220">
        <v>9130</v>
      </c>
      <c r="M8992" s="220">
        <v>14300</v>
      </c>
      <c r="N8992" s="220">
        <f>SUM(I8992:M8993)</f>
        <v>639430</v>
      </c>
      <c r="O8992" s="224"/>
      <c r="P8992" s="110" t="s">
        <v>25271</v>
      </c>
      <c r="Q8992" s="15" t="s">
        <v>19</v>
      </c>
      <c r="R8992" s="205"/>
      <c r="S8992" s="189"/>
      <c r="T8992" s="114"/>
      <c r="U8992" s="21"/>
      <c r="V8992" s="115"/>
      <c r="W8992" s="116"/>
      <c r="X8992" s="220"/>
      <c r="Y8992" s="220">
        <f>X8992*0.1</f>
        <v>0</v>
      </c>
      <c r="Z8992" s="220"/>
      <c r="AA8992" s="220">
        <f>SUM(X8992:Z8992)</f>
        <v>0</v>
      </c>
      <c r="AB8992" s="222"/>
    </row>
    <row r="8993" spans="1:28" ht="17.100000000000001" customHeight="1" thickBot="1">
      <c r="A8993" s="227"/>
      <c r="B8993" s="27" t="s">
        <v>24978</v>
      </c>
      <c r="C8993" s="27">
        <v>4446</v>
      </c>
      <c r="D8993" s="14" t="s">
        <v>898</v>
      </c>
      <c r="E8993" s="229"/>
      <c r="F8993" s="117" t="s">
        <v>24988</v>
      </c>
      <c r="G8993" s="26">
        <v>52773</v>
      </c>
      <c r="H8993" s="231"/>
      <c r="I8993" s="221"/>
      <c r="J8993" s="221"/>
      <c r="K8993" s="221"/>
      <c r="L8993" s="221"/>
      <c r="M8993" s="221"/>
      <c r="N8993" s="221"/>
      <c r="O8993" s="225"/>
      <c r="P8993" s="118" t="s">
        <v>2755</v>
      </c>
      <c r="Q8993" s="16" t="s">
        <v>20</v>
      </c>
      <c r="R8993" s="17" t="s">
        <v>1952</v>
      </c>
      <c r="S8993" s="121" t="s">
        <v>21925</v>
      </c>
      <c r="T8993" s="122"/>
      <c r="U8993" s="22"/>
      <c r="V8993" s="123"/>
      <c r="W8993" s="122"/>
      <c r="X8993" s="221"/>
      <c r="Y8993" s="221"/>
      <c r="Z8993" s="221"/>
      <c r="AA8993" s="221"/>
      <c r="AB8993" s="223"/>
    </row>
    <row r="8994" spans="1:28" ht="17.100000000000001" customHeight="1" thickTop="1">
      <c r="A8994" s="226" t="s">
        <v>24970</v>
      </c>
      <c r="B8994" s="28">
        <v>46156</v>
      </c>
      <c r="C8994" s="25">
        <v>2157</v>
      </c>
      <c r="D8994" s="13" t="s">
        <v>3269</v>
      </c>
      <c r="E8994" s="228"/>
      <c r="F8994" s="109" t="s">
        <v>25157</v>
      </c>
      <c r="G8994" s="24" t="s">
        <v>25158</v>
      </c>
      <c r="H8994" s="230">
        <v>4</v>
      </c>
      <c r="I8994" s="220">
        <v>5506000</v>
      </c>
      <c r="J8994" s="220">
        <f>I8994*0.1</f>
        <v>550600</v>
      </c>
      <c r="K8994" s="220">
        <v>72500</v>
      </c>
      <c r="L8994" s="220">
        <v>15060</v>
      </c>
      <c r="M8994" s="220">
        <v>14300</v>
      </c>
      <c r="N8994" s="220">
        <f>SUM(I8994:M8995)</f>
        <v>6158460</v>
      </c>
      <c r="O8994" s="224"/>
      <c r="P8994" s="110" t="s">
        <v>25159</v>
      </c>
      <c r="Q8994" s="15" t="s">
        <v>19</v>
      </c>
      <c r="R8994" s="205"/>
      <c r="S8994" s="189" t="s">
        <v>26004</v>
      </c>
      <c r="T8994" s="114"/>
      <c r="U8994" s="21"/>
      <c r="V8994" s="115">
        <v>46162</v>
      </c>
      <c r="W8994" s="116">
        <v>1017</v>
      </c>
      <c r="X8994" s="220">
        <v>5650000</v>
      </c>
      <c r="Y8994" s="220">
        <f>X8994*0.1</f>
        <v>565000</v>
      </c>
      <c r="Z8994" s="220">
        <v>15060</v>
      </c>
      <c r="AA8994" s="220">
        <f>SUM(X8994:Z8994)</f>
        <v>6230060</v>
      </c>
      <c r="AB8994" s="222">
        <v>46167</v>
      </c>
    </row>
    <row r="8995" spans="1:28" ht="17.100000000000001" customHeight="1" thickBot="1">
      <c r="A8995" s="227"/>
      <c r="B8995" s="27" t="s">
        <v>24978</v>
      </c>
      <c r="C8995" s="27">
        <v>4487</v>
      </c>
      <c r="D8995" s="14" t="s">
        <v>273</v>
      </c>
      <c r="E8995" s="229"/>
      <c r="F8995" s="117" t="s">
        <v>24989</v>
      </c>
      <c r="G8995" s="26">
        <v>94411</v>
      </c>
      <c r="H8995" s="231"/>
      <c r="I8995" s="221"/>
      <c r="J8995" s="221"/>
      <c r="K8995" s="221"/>
      <c r="L8995" s="221"/>
      <c r="M8995" s="221"/>
      <c r="N8995" s="221"/>
      <c r="O8995" s="225"/>
      <c r="P8995" s="118" t="s">
        <v>12751</v>
      </c>
      <c r="Q8995" s="16" t="s">
        <v>20</v>
      </c>
      <c r="R8995" s="17" t="s">
        <v>1952</v>
      </c>
      <c r="S8995" s="121" t="s">
        <v>2405</v>
      </c>
      <c r="T8995" s="122"/>
      <c r="U8995" s="22"/>
      <c r="V8995" s="123" t="s">
        <v>2747</v>
      </c>
      <c r="W8995" s="122">
        <v>5093</v>
      </c>
      <c r="X8995" s="221"/>
      <c r="Y8995" s="221"/>
      <c r="Z8995" s="221"/>
      <c r="AA8995" s="221"/>
      <c r="AB8995" s="223"/>
    </row>
    <row r="8996" spans="1:28" ht="17.100000000000001" customHeight="1" thickTop="1">
      <c r="A8996" s="226" t="s">
        <v>24971</v>
      </c>
      <c r="B8996" s="28">
        <v>46156</v>
      </c>
      <c r="C8996" s="25">
        <v>2026</v>
      </c>
      <c r="D8996" s="13" t="s">
        <v>1704</v>
      </c>
      <c r="E8996" s="228"/>
      <c r="F8996" s="109" t="s">
        <v>25169</v>
      </c>
      <c r="G8996" s="24"/>
      <c r="H8996" s="230">
        <v>3.5</v>
      </c>
      <c r="I8996" s="220">
        <v>10820</v>
      </c>
      <c r="J8996" s="220">
        <f>I8996*0.1</f>
        <v>1082</v>
      </c>
      <c r="K8996" s="220">
        <v>0</v>
      </c>
      <c r="L8996" s="220">
        <v>7440</v>
      </c>
      <c r="M8996" s="220">
        <v>22000</v>
      </c>
      <c r="N8996" s="220">
        <f>SUM(I8996:M8997)</f>
        <v>41342</v>
      </c>
      <c r="O8996" s="224"/>
      <c r="P8996" s="110" t="s">
        <v>26202</v>
      </c>
      <c r="Q8996" s="15" t="s">
        <v>19</v>
      </c>
      <c r="R8996" s="205"/>
      <c r="S8996" s="189" t="s">
        <v>758</v>
      </c>
      <c r="T8996" s="114"/>
      <c r="U8996" s="21"/>
      <c r="V8996" s="115"/>
      <c r="W8996" s="116"/>
      <c r="X8996" s="220"/>
      <c r="Y8996" s="220">
        <f>X8996*0.1</f>
        <v>0</v>
      </c>
      <c r="Z8996" s="220"/>
      <c r="AA8996" s="220">
        <f>SUM(X8996:Z8996)</f>
        <v>0</v>
      </c>
      <c r="AB8996" s="222"/>
    </row>
    <row r="8997" spans="1:28" ht="17.100000000000001" customHeight="1" thickBot="1">
      <c r="A8997" s="227"/>
      <c r="B8997" s="27" t="s">
        <v>2171</v>
      </c>
      <c r="C8997" s="27">
        <v>30016</v>
      </c>
      <c r="D8997" s="14" t="s">
        <v>1584</v>
      </c>
      <c r="E8997" s="229"/>
      <c r="F8997" s="117" t="s">
        <v>25024</v>
      </c>
      <c r="G8997" s="26">
        <v>34762</v>
      </c>
      <c r="H8997" s="231"/>
      <c r="I8997" s="221"/>
      <c r="J8997" s="221"/>
      <c r="K8997" s="221"/>
      <c r="L8997" s="221"/>
      <c r="M8997" s="221"/>
      <c r="N8997" s="221"/>
      <c r="O8997" s="225"/>
      <c r="P8997" s="118" t="s">
        <v>21994</v>
      </c>
      <c r="Q8997" s="16" t="s">
        <v>20</v>
      </c>
      <c r="R8997" s="17" t="s">
        <v>2702</v>
      </c>
      <c r="S8997" s="121" t="s">
        <v>1661</v>
      </c>
      <c r="T8997" s="122"/>
      <c r="U8997" s="22"/>
      <c r="V8997" s="123"/>
      <c r="W8997" s="122"/>
      <c r="X8997" s="221"/>
      <c r="Y8997" s="221"/>
      <c r="Z8997" s="221"/>
      <c r="AA8997" s="221"/>
      <c r="AB8997" s="223"/>
    </row>
    <row r="8998" spans="1:28" ht="17.100000000000001" customHeight="1" thickTop="1">
      <c r="A8998" s="226" t="s">
        <v>24972</v>
      </c>
      <c r="B8998" s="28">
        <v>46156</v>
      </c>
      <c r="C8998" s="25">
        <v>2026</v>
      </c>
      <c r="D8998" s="13" t="s">
        <v>2564</v>
      </c>
      <c r="E8998" s="228"/>
      <c r="F8998" s="109" t="s">
        <v>8726</v>
      </c>
      <c r="G8998" s="24" t="s">
        <v>4025</v>
      </c>
      <c r="H8998" s="230">
        <v>4.5</v>
      </c>
      <c r="I8998" s="220">
        <v>2740000</v>
      </c>
      <c r="J8998" s="220">
        <f>I8998*0.1</f>
        <v>274000</v>
      </c>
      <c r="K8998" s="220">
        <f>36200+3620</f>
        <v>39820</v>
      </c>
      <c r="L8998" s="220">
        <v>16550</v>
      </c>
      <c r="M8998" s="220">
        <v>22000</v>
      </c>
      <c r="N8998" s="220">
        <f>SUM(I8998:M8999)</f>
        <v>3092370</v>
      </c>
      <c r="O8998" s="224"/>
      <c r="P8998" s="110" t="s">
        <v>25168</v>
      </c>
      <c r="Q8998" s="15" t="s">
        <v>19</v>
      </c>
      <c r="R8998" s="205"/>
      <c r="S8998" s="189" t="s">
        <v>26005</v>
      </c>
      <c r="T8998" s="114"/>
      <c r="U8998" s="21"/>
      <c r="V8998" s="115"/>
      <c r="W8998" s="116"/>
      <c r="X8998" s="220"/>
      <c r="Y8998" s="220">
        <f>X8998*0.1</f>
        <v>0</v>
      </c>
      <c r="Z8998" s="220"/>
      <c r="AA8998" s="220">
        <f>SUM(X8998:Z8998)</f>
        <v>0</v>
      </c>
      <c r="AB8998" s="222"/>
    </row>
    <row r="8999" spans="1:28" ht="17.100000000000001" customHeight="1" thickBot="1">
      <c r="A8999" s="227"/>
      <c r="B8999" s="27" t="s">
        <v>2171</v>
      </c>
      <c r="C8999" s="27">
        <v>30163</v>
      </c>
      <c r="D8999" s="14" t="s">
        <v>273</v>
      </c>
      <c r="E8999" s="229"/>
      <c r="F8999" s="117" t="s">
        <v>25025</v>
      </c>
      <c r="G8999" s="26">
        <v>15587</v>
      </c>
      <c r="H8999" s="231"/>
      <c r="I8999" s="221"/>
      <c r="J8999" s="221"/>
      <c r="K8999" s="221"/>
      <c r="L8999" s="221"/>
      <c r="M8999" s="221"/>
      <c r="N8999" s="221"/>
      <c r="O8999" s="225"/>
      <c r="P8999" s="118" t="s">
        <v>1647</v>
      </c>
      <c r="Q8999" s="16" t="s">
        <v>20</v>
      </c>
      <c r="R8999" s="17" t="s">
        <v>26278</v>
      </c>
      <c r="S8999" s="121" t="s">
        <v>26307</v>
      </c>
      <c r="T8999" s="122"/>
      <c r="U8999" s="22"/>
      <c r="V8999" s="123"/>
      <c r="W8999" s="122"/>
      <c r="X8999" s="221"/>
      <c r="Y8999" s="221"/>
      <c r="Z8999" s="221"/>
      <c r="AA8999" s="221"/>
      <c r="AB8999" s="223"/>
    </row>
    <row r="9000" spans="1:28" ht="17.100000000000001" customHeight="1" thickTop="1">
      <c r="A9000" s="226" t="s">
        <v>24973</v>
      </c>
      <c r="B9000" s="28">
        <v>46156</v>
      </c>
      <c r="C9000" s="25">
        <v>2026</v>
      </c>
      <c r="D9000" s="13" t="s">
        <v>2610</v>
      </c>
      <c r="E9000" s="228"/>
      <c r="F9000" s="109" t="s">
        <v>25026</v>
      </c>
      <c r="G9000" s="24" t="s">
        <v>9243</v>
      </c>
      <c r="H9000" s="230">
        <v>3.5</v>
      </c>
      <c r="I9000" s="220">
        <v>3407000</v>
      </c>
      <c r="J9000" s="220">
        <f>I9000*0.1</f>
        <v>340700</v>
      </c>
      <c r="K9000" s="220">
        <f>47500+4750</f>
        <v>52250</v>
      </c>
      <c r="L9000" s="220">
        <v>15780</v>
      </c>
      <c r="M9000" s="220">
        <v>22000</v>
      </c>
      <c r="N9000" s="220">
        <f>SUM(I9000:M9001)</f>
        <v>3837730</v>
      </c>
      <c r="O9000" s="224"/>
      <c r="P9000" s="110" t="s">
        <v>25167</v>
      </c>
      <c r="Q9000" s="15" t="s">
        <v>19</v>
      </c>
      <c r="R9000" s="205"/>
      <c r="S9000" s="189"/>
      <c r="T9000" s="114"/>
      <c r="U9000" s="21"/>
      <c r="V9000" s="115"/>
      <c r="W9000" s="116"/>
      <c r="X9000" s="220"/>
      <c r="Y9000" s="220">
        <f>X9000*0.1</f>
        <v>0</v>
      </c>
      <c r="Z9000" s="220"/>
      <c r="AA9000" s="220">
        <f>SUM(X9000:Z9000)</f>
        <v>0</v>
      </c>
      <c r="AB9000" s="222"/>
    </row>
    <row r="9001" spans="1:28" ht="17.100000000000001" customHeight="1" thickBot="1">
      <c r="A9001" s="227"/>
      <c r="B9001" s="27" t="s">
        <v>2171</v>
      </c>
      <c r="C9001" s="27">
        <v>30236</v>
      </c>
      <c r="D9001" s="14" t="s">
        <v>273</v>
      </c>
      <c r="E9001" s="229"/>
      <c r="F9001" s="117" t="s">
        <v>26188</v>
      </c>
      <c r="G9001" s="26">
        <v>83132</v>
      </c>
      <c r="H9001" s="231"/>
      <c r="I9001" s="221"/>
      <c r="J9001" s="221"/>
      <c r="K9001" s="221"/>
      <c r="L9001" s="221"/>
      <c r="M9001" s="221"/>
      <c r="N9001" s="221"/>
      <c r="O9001" s="225"/>
      <c r="P9001" s="118" t="s">
        <v>13096</v>
      </c>
      <c r="Q9001" s="16" t="s">
        <v>20</v>
      </c>
      <c r="R9001" s="17" t="s">
        <v>2702</v>
      </c>
      <c r="S9001" s="121"/>
      <c r="T9001" s="122"/>
      <c r="U9001" s="22"/>
      <c r="V9001" s="123"/>
      <c r="W9001" s="122"/>
      <c r="X9001" s="221"/>
      <c r="Y9001" s="221"/>
      <c r="Z9001" s="221"/>
      <c r="AA9001" s="221"/>
      <c r="AB9001" s="223"/>
    </row>
    <row r="9002" spans="1:28" ht="17.100000000000001" customHeight="1" thickTop="1">
      <c r="A9002" s="226" t="s">
        <v>24974</v>
      </c>
      <c r="B9002" s="28">
        <v>46156</v>
      </c>
      <c r="C9002" s="25">
        <v>2026</v>
      </c>
      <c r="D9002" s="13" t="s">
        <v>1983</v>
      </c>
      <c r="E9002" s="228"/>
      <c r="F9002" s="109" t="s">
        <v>25166</v>
      </c>
      <c r="G9002" s="24"/>
      <c r="H9002" s="230">
        <v>4.5</v>
      </c>
      <c r="I9002" s="220">
        <v>1361000</v>
      </c>
      <c r="J9002" s="220">
        <f>I9002*0.1</f>
        <v>136100</v>
      </c>
      <c r="K9002" s="220">
        <v>0</v>
      </c>
      <c r="L9002" s="220">
        <v>8170</v>
      </c>
      <c r="M9002" s="220">
        <v>22000</v>
      </c>
      <c r="N9002" s="220">
        <f>SUM(I9002:M9003)</f>
        <v>1527270</v>
      </c>
      <c r="O9002" s="224"/>
      <c r="P9002" s="110" t="s">
        <v>26290</v>
      </c>
      <c r="Q9002" s="15" t="s">
        <v>19</v>
      </c>
      <c r="R9002" s="205"/>
      <c r="S9002" s="189" t="s">
        <v>25367</v>
      </c>
      <c r="T9002" s="114"/>
      <c r="U9002" s="21"/>
      <c r="V9002" s="115">
        <v>46162</v>
      </c>
      <c r="W9002" s="116">
        <v>1017</v>
      </c>
      <c r="X9002" s="220">
        <v>1475000</v>
      </c>
      <c r="Y9002" s="220">
        <f>X9002*0.1</f>
        <v>147500</v>
      </c>
      <c r="Z9002" s="220">
        <v>8170</v>
      </c>
      <c r="AA9002" s="220">
        <f>SUM(X9002:Z9002)</f>
        <v>1630670</v>
      </c>
      <c r="AB9002" s="222"/>
    </row>
    <row r="9003" spans="1:28" ht="17.100000000000001" customHeight="1" thickBot="1">
      <c r="A9003" s="227"/>
      <c r="B9003" s="27" t="s">
        <v>2171</v>
      </c>
      <c r="C9003" s="27">
        <v>30371</v>
      </c>
      <c r="D9003" s="14" t="s">
        <v>2559</v>
      </c>
      <c r="E9003" s="229"/>
      <c r="F9003" s="117" t="s">
        <v>25027</v>
      </c>
      <c r="G9003" s="26">
        <v>19019</v>
      </c>
      <c r="H9003" s="231"/>
      <c r="I9003" s="221"/>
      <c r="J9003" s="221"/>
      <c r="K9003" s="221"/>
      <c r="L9003" s="221"/>
      <c r="M9003" s="221"/>
      <c r="N9003" s="221"/>
      <c r="O9003" s="225"/>
      <c r="P9003" s="118" t="s">
        <v>7414</v>
      </c>
      <c r="Q9003" s="16" t="s">
        <v>20</v>
      </c>
      <c r="R9003" s="17" t="s">
        <v>26278</v>
      </c>
      <c r="S9003" s="121" t="s">
        <v>1557</v>
      </c>
      <c r="T9003" s="122"/>
      <c r="U9003" s="22"/>
      <c r="V9003" s="123" t="s">
        <v>2747</v>
      </c>
      <c r="W9003" s="122">
        <v>5052</v>
      </c>
      <c r="X9003" s="221"/>
      <c r="Y9003" s="221"/>
      <c r="Z9003" s="221"/>
      <c r="AA9003" s="221"/>
      <c r="AB9003" s="223"/>
    </row>
    <row r="9004" spans="1:28" ht="17.100000000000001" customHeight="1" thickTop="1">
      <c r="A9004" s="226" t="s">
        <v>24975</v>
      </c>
      <c r="B9004" s="28">
        <v>46156</v>
      </c>
      <c r="C9004" s="25">
        <v>2026</v>
      </c>
      <c r="D9004" s="13" t="s">
        <v>2429</v>
      </c>
      <c r="E9004" s="228"/>
      <c r="F9004" s="109" t="s">
        <v>25165</v>
      </c>
      <c r="G9004" s="24"/>
      <c r="H9004" s="230">
        <v>4</v>
      </c>
      <c r="I9004" s="220">
        <v>404000</v>
      </c>
      <c r="J9004" s="220">
        <f>I9004*0.1</f>
        <v>40400</v>
      </c>
      <c r="K9004" s="220">
        <v>0</v>
      </c>
      <c r="L9004" s="220">
        <v>9630</v>
      </c>
      <c r="M9004" s="220">
        <v>22000</v>
      </c>
      <c r="N9004" s="220">
        <f>SUM(I9004:M9005)</f>
        <v>476030</v>
      </c>
      <c r="O9004" s="224"/>
      <c r="P9004" s="110" t="s">
        <v>26289</v>
      </c>
      <c r="Q9004" s="15" t="s">
        <v>19</v>
      </c>
      <c r="R9004" s="205"/>
      <c r="S9004" s="189" t="s">
        <v>758</v>
      </c>
      <c r="T9004" s="114"/>
      <c r="U9004" s="21"/>
      <c r="V9004" s="115">
        <v>46162</v>
      </c>
      <c r="W9004" s="116">
        <v>1017</v>
      </c>
      <c r="X9004" s="220">
        <v>480000</v>
      </c>
      <c r="Y9004" s="220">
        <f>X9004*0.1</f>
        <v>48000</v>
      </c>
      <c r="Z9004" s="220">
        <v>9630</v>
      </c>
      <c r="AA9004" s="220">
        <f>SUM(X9004:Z9004)</f>
        <v>537630</v>
      </c>
      <c r="AB9004" s="222"/>
    </row>
    <row r="9005" spans="1:28" ht="17.100000000000001" customHeight="1" thickBot="1">
      <c r="A9005" s="227"/>
      <c r="B9005" s="27" t="s">
        <v>2171</v>
      </c>
      <c r="C9005" s="27">
        <v>30372</v>
      </c>
      <c r="D9005" s="14" t="s">
        <v>1627</v>
      </c>
      <c r="E9005" s="229"/>
      <c r="F9005" s="117" t="s">
        <v>25028</v>
      </c>
      <c r="G9005" s="26">
        <v>59723</v>
      </c>
      <c r="H9005" s="231"/>
      <c r="I9005" s="221"/>
      <c r="J9005" s="221"/>
      <c r="K9005" s="221"/>
      <c r="L9005" s="221"/>
      <c r="M9005" s="221"/>
      <c r="N9005" s="221"/>
      <c r="O9005" s="225"/>
      <c r="P9005" s="118" t="s">
        <v>7414</v>
      </c>
      <c r="Q9005" s="16" t="s">
        <v>20</v>
      </c>
      <c r="R9005" s="17" t="s">
        <v>26278</v>
      </c>
      <c r="S9005" s="121" t="s">
        <v>1661</v>
      </c>
      <c r="T9005" s="122"/>
      <c r="U9005" s="22"/>
      <c r="V9005" s="123" t="s">
        <v>2747</v>
      </c>
      <c r="W9005" s="122">
        <v>5068</v>
      </c>
      <c r="X9005" s="221"/>
      <c r="Y9005" s="221"/>
      <c r="Z9005" s="221"/>
      <c r="AA9005" s="221"/>
      <c r="AB9005" s="223"/>
    </row>
    <row r="9006" spans="1:28" ht="17.100000000000001" customHeight="1" thickTop="1">
      <c r="A9006" s="226" t="s">
        <v>24976</v>
      </c>
      <c r="B9006" s="28">
        <v>46156</v>
      </c>
      <c r="C9006" s="25">
        <v>2026</v>
      </c>
      <c r="D9006" s="13" t="s">
        <v>2392</v>
      </c>
      <c r="E9006" s="228"/>
      <c r="F9006" s="109" t="s">
        <v>9638</v>
      </c>
      <c r="G9006" s="24" t="s">
        <v>4239</v>
      </c>
      <c r="H9006" s="230">
        <v>4.5</v>
      </c>
      <c r="I9006" s="220">
        <v>1285000</v>
      </c>
      <c r="J9006" s="220">
        <f>I9006*0.1</f>
        <v>128500</v>
      </c>
      <c r="K9006" s="220">
        <v>0</v>
      </c>
      <c r="L9006" s="220">
        <v>11100</v>
      </c>
      <c r="M9006" s="220">
        <v>22000</v>
      </c>
      <c r="N9006" s="220">
        <f>SUM(I9006:M9007)</f>
        <v>1446600</v>
      </c>
      <c r="O9006" s="224"/>
      <c r="P9006" s="110" t="s">
        <v>26306</v>
      </c>
      <c r="Q9006" s="15" t="s">
        <v>19</v>
      </c>
      <c r="R9006" s="205"/>
      <c r="S9006" s="189" t="s">
        <v>25489</v>
      </c>
      <c r="T9006" s="114"/>
      <c r="U9006" s="21"/>
      <c r="V9006" s="115">
        <v>46162</v>
      </c>
      <c r="W9006" s="116">
        <v>1017</v>
      </c>
      <c r="X9006" s="220">
        <v>1370000</v>
      </c>
      <c r="Y9006" s="220">
        <f>X9006*0.1</f>
        <v>137000</v>
      </c>
      <c r="Z9006" s="220">
        <v>11100</v>
      </c>
      <c r="AA9006" s="220">
        <f>SUM(X9006:Z9006)</f>
        <v>1518100</v>
      </c>
      <c r="AB9006" s="222"/>
    </row>
    <row r="9007" spans="1:28" ht="17.100000000000001" customHeight="1" thickBot="1">
      <c r="A9007" s="227"/>
      <c r="B9007" s="27" t="s">
        <v>2171</v>
      </c>
      <c r="C9007" s="27">
        <v>50107</v>
      </c>
      <c r="D9007" s="14" t="s">
        <v>131</v>
      </c>
      <c r="E9007" s="229"/>
      <c r="F9007" s="117" t="s">
        <v>25029</v>
      </c>
      <c r="G9007" s="26">
        <v>28998</v>
      </c>
      <c r="H9007" s="231"/>
      <c r="I9007" s="221"/>
      <c r="J9007" s="221"/>
      <c r="K9007" s="221"/>
      <c r="L9007" s="221"/>
      <c r="M9007" s="221"/>
      <c r="N9007" s="221"/>
      <c r="O9007" s="225"/>
      <c r="P9007" s="118" t="s">
        <v>13475</v>
      </c>
      <c r="Q9007" s="16" t="s">
        <v>20</v>
      </c>
      <c r="R9007" s="17" t="s">
        <v>26278</v>
      </c>
      <c r="S9007" s="121" t="s">
        <v>5420</v>
      </c>
      <c r="T9007" s="122"/>
      <c r="U9007" s="22"/>
      <c r="V9007" s="123" t="s">
        <v>7161</v>
      </c>
      <c r="W9007" s="122">
        <v>5049</v>
      </c>
      <c r="X9007" s="221"/>
      <c r="Y9007" s="221"/>
      <c r="Z9007" s="221"/>
      <c r="AA9007" s="221"/>
      <c r="AB9007" s="223"/>
    </row>
    <row r="9008" spans="1:28" ht="17.100000000000001" customHeight="1" thickTop="1">
      <c r="A9008" s="226" t="s">
        <v>24977</v>
      </c>
      <c r="B9008" s="28">
        <v>46156</v>
      </c>
      <c r="C9008" s="25">
        <v>2026</v>
      </c>
      <c r="D9008" s="13" t="s">
        <v>1831</v>
      </c>
      <c r="E9008" s="228"/>
      <c r="F9008" s="109" t="s">
        <v>5377</v>
      </c>
      <c r="G9008" s="24" t="s">
        <v>4025</v>
      </c>
      <c r="H9008" s="230">
        <v>5</v>
      </c>
      <c r="I9008" s="220">
        <v>1463000</v>
      </c>
      <c r="J9008" s="220">
        <f>I9008*0.1</f>
        <v>146300</v>
      </c>
      <c r="K9008" s="220">
        <v>0</v>
      </c>
      <c r="L9008" s="220">
        <v>11100</v>
      </c>
      <c r="M9008" s="220">
        <v>22000</v>
      </c>
      <c r="N9008" s="220">
        <f>SUM(I9008:M9009)</f>
        <v>1642400</v>
      </c>
      <c r="O9008" s="224"/>
      <c r="P9008" s="110" t="s">
        <v>26287</v>
      </c>
      <c r="Q9008" s="15" t="s">
        <v>19</v>
      </c>
      <c r="R9008" s="205"/>
      <c r="S9008" s="189" t="s">
        <v>25489</v>
      </c>
      <c r="T9008" s="114"/>
      <c r="U9008" s="21"/>
      <c r="V9008" s="115">
        <v>46162</v>
      </c>
      <c r="W9008" s="116">
        <v>1017</v>
      </c>
      <c r="X9008" s="220">
        <v>1545000</v>
      </c>
      <c r="Y9008" s="220">
        <f>X9008*0.1</f>
        <v>154500</v>
      </c>
      <c r="Z9008" s="220">
        <v>11100</v>
      </c>
      <c r="AA9008" s="220">
        <f>SUM(X9008:Z9008)</f>
        <v>1710600</v>
      </c>
      <c r="AB9008" s="222"/>
    </row>
    <row r="9009" spans="1:28" ht="17.100000000000001" customHeight="1" thickBot="1">
      <c r="A9009" s="227"/>
      <c r="B9009" s="27" t="s">
        <v>2171</v>
      </c>
      <c r="C9009" s="27">
        <v>50127</v>
      </c>
      <c r="D9009" s="14" t="s">
        <v>131</v>
      </c>
      <c r="E9009" s="229"/>
      <c r="F9009" s="117" t="s">
        <v>25030</v>
      </c>
      <c r="G9009" s="26">
        <v>18008</v>
      </c>
      <c r="H9009" s="231"/>
      <c r="I9009" s="221"/>
      <c r="J9009" s="221"/>
      <c r="K9009" s="221"/>
      <c r="L9009" s="221"/>
      <c r="M9009" s="221"/>
      <c r="N9009" s="221"/>
      <c r="O9009" s="225"/>
      <c r="P9009" s="118" t="s">
        <v>13475</v>
      </c>
      <c r="Q9009" s="16" t="s">
        <v>20</v>
      </c>
      <c r="R9009" s="17" t="s">
        <v>26278</v>
      </c>
      <c r="S9009" s="121" t="s">
        <v>26288</v>
      </c>
      <c r="T9009" s="122"/>
      <c r="U9009" s="22"/>
      <c r="V9009" s="123" t="s">
        <v>2747</v>
      </c>
      <c r="W9009" s="122">
        <v>5056</v>
      </c>
      <c r="X9009" s="221"/>
      <c r="Y9009" s="221"/>
      <c r="Z9009" s="221"/>
      <c r="AA9009" s="221"/>
      <c r="AB9009" s="223"/>
    </row>
    <row r="9010" spans="1:28" ht="17.100000000000001" customHeight="1" thickTop="1">
      <c r="A9010" s="226" t="s">
        <v>25016</v>
      </c>
      <c r="B9010" s="28">
        <v>46156</v>
      </c>
      <c r="C9010" s="25">
        <v>2026</v>
      </c>
      <c r="D9010" s="13" t="s">
        <v>1678</v>
      </c>
      <c r="E9010" s="228"/>
      <c r="F9010" s="109" t="s">
        <v>25163</v>
      </c>
      <c r="G9010" s="24" t="s">
        <v>6610</v>
      </c>
      <c r="H9010" s="230">
        <v>4.5</v>
      </c>
      <c r="I9010" s="220">
        <v>1190000</v>
      </c>
      <c r="J9010" s="220">
        <f>I9010*0.1</f>
        <v>119000</v>
      </c>
      <c r="K9010" s="220">
        <v>0</v>
      </c>
      <c r="L9010" s="220">
        <v>8630</v>
      </c>
      <c r="M9010" s="220">
        <v>22000</v>
      </c>
      <c r="N9010" s="220">
        <f>SUM(I9010:M9011)</f>
        <v>1339630</v>
      </c>
      <c r="O9010" s="224"/>
      <c r="P9010" s="110" t="s">
        <v>25164</v>
      </c>
      <c r="Q9010" s="15" t="s">
        <v>19</v>
      </c>
      <c r="R9010" s="205"/>
      <c r="S9010" s="189" t="s">
        <v>26006</v>
      </c>
      <c r="T9010" s="114"/>
      <c r="U9010" s="21"/>
      <c r="V9010" s="115"/>
      <c r="W9010" s="116"/>
      <c r="X9010" s="220"/>
      <c r="Y9010" s="220">
        <f>X9010*0.1</f>
        <v>0</v>
      </c>
      <c r="Z9010" s="220"/>
      <c r="AA9010" s="220">
        <f>SUM(X9010:Z9010)</f>
        <v>0</v>
      </c>
      <c r="AB9010" s="222"/>
    </row>
    <row r="9011" spans="1:28" ht="17.100000000000001" customHeight="1" thickBot="1">
      <c r="A9011" s="227"/>
      <c r="B9011" s="27" t="s">
        <v>2171</v>
      </c>
      <c r="C9011" s="27">
        <v>50152</v>
      </c>
      <c r="D9011" s="14" t="s">
        <v>131</v>
      </c>
      <c r="E9011" s="229"/>
      <c r="F9011" s="117" t="s">
        <v>25031</v>
      </c>
      <c r="G9011" s="26">
        <v>44057</v>
      </c>
      <c r="H9011" s="231"/>
      <c r="I9011" s="221"/>
      <c r="J9011" s="221"/>
      <c r="K9011" s="221"/>
      <c r="L9011" s="221"/>
      <c r="M9011" s="221"/>
      <c r="N9011" s="221"/>
      <c r="O9011" s="225"/>
      <c r="P9011" s="118" t="s">
        <v>26203</v>
      </c>
      <c r="Q9011" s="16" t="s">
        <v>20</v>
      </c>
      <c r="R9011" s="17" t="s">
        <v>2702</v>
      </c>
      <c r="S9011" s="121" t="s">
        <v>26204</v>
      </c>
      <c r="T9011" s="122"/>
      <c r="U9011" s="22"/>
      <c r="V9011" s="123"/>
      <c r="W9011" s="122"/>
      <c r="X9011" s="221"/>
      <c r="Y9011" s="221"/>
      <c r="Z9011" s="221"/>
      <c r="AA9011" s="221"/>
      <c r="AB9011" s="223"/>
    </row>
    <row r="9012" spans="1:28" ht="17.100000000000001" customHeight="1" thickTop="1">
      <c r="A9012" s="226" t="s">
        <v>25017</v>
      </c>
      <c r="B9012" s="28">
        <v>46156</v>
      </c>
      <c r="C9012" s="25">
        <v>2026</v>
      </c>
      <c r="D9012" s="13" t="s">
        <v>2690</v>
      </c>
      <c r="E9012" s="228"/>
      <c r="F9012" s="109" t="s">
        <v>3844</v>
      </c>
      <c r="G9012" s="24" t="s">
        <v>3453</v>
      </c>
      <c r="H9012" s="230">
        <v>4.5</v>
      </c>
      <c r="I9012" s="220">
        <v>905000</v>
      </c>
      <c r="J9012" s="220">
        <f>I9012*0.1</f>
        <v>90500</v>
      </c>
      <c r="K9012" s="220">
        <v>0</v>
      </c>
      <c r="L9012" s="220">
        <v>5340</v>
      </c>
      <c r="M9012" s="220">
        <v>22000</v>
      </c>
      <c r="N9012" s="220">
        <f>SUM(I9012:M9013)</f>
        <v>1022840</v>
      </c>
      <c r="O9012" s="224"/>
      <c r="P9012" s="110" t="s">
        <v>26228</v>
      </c>
      <c r="Q9012" s="15" t="s">
        <v>19</v>
      </c>
      <c r="R9012" s="205"/>
      <c r="S9012" s="189" t="s">
        <v>25489</v>
      </c>
      <c r="T9012" s="114"/>
      <c r="U9012" s="21"/>
      <c r="V9012" s="115"/>
      <c r="W9012" s="116"/>
      <c r="X9012" s="220"/>
      <c r="Y9012" s="220"/>
      <c r="Z9012" s="220"/>
      <c r="AA9012" s="220">
        <f>SUM(X9012:Z9012)</f>
        <v>0</v>
      </c>
      <c r="AB9012" s="222"/>
    </row>
    <row r="9013" spans="1:28" ht="17.100000000000001" customHeight="1" thickBot="1">
      <c r="A9013" s="227"/>
      <c r="B9013" s="27" t="s">
        <v>2171</v>
      </c>
      <c r="C9013" s="27">
        <v>50181</v>
      </c>
      <c r="D9013" s="14" t="s">
        <v>3746</v>
      </c>
      <c r="E9013" s="229"/>
      <c r="F9013" s="117" t="s">
        <v>25032</v>
      </c>
      <c r="G9013" s="26">
        <v>14882</v>
      </c>
      <c r="H9013" s="231"/>
      <c r="I9013" s="221"/>
      <c r="J9013" s="221"/>
      <c r="K9013" s="221"/>
      <c r="L9013" s="221"/>
      <c r="M9013" s="221"/>
      <c r="N9013" s="221"/>
      <c r="O9013" s="225"/>
      <c r="P9013" s="118" t="s">
        <v>26216</v>
      </c>
      <c r="Q9013" s="16" t="s">
        <v>20</v>
      </c>
      <c r="R9013" s="17" t="s">
        <v>1959</v>
      </c>
      <c r="S9013" s="121" t="s">
        <v>4539</v>
      </c>
      <c r="T9013" s="122"/>
      <c r="U9013" s="22"/>
      <c r="V9013" s="123"/>
      <c r="W9013" s="122"/>
      <c r="X9013" s="221"/>
      <c r="Y9013" s="221"/>
      <c r="Z9013" s="221"/>
      <c r="AA9013" s="221"/>
      <c r="AB9013" s="223"/>
    </row>
    <row r="9014" spans="1:28" ht="17.100000000000001" customHeight="1" thickTop="1">
      <c r="A9014" s="226" t="s">
        <v>25018</v>
      </c>
      <c r="B9014" s="28">
        <v>46156</v>
      </c>
      <c r="C9014" s="25">
        <v>2026</v>
      </c>
      <c r="D9014" s="13" t="s">
        <v>1909</v>
      </c>
      <c r="E9014" s="228"/>
      <c r="F9014" s="109" t="s">
        <v>3844</v>
      </c>
      <c r="G9014" s="24" t="s">
        <v>1540</v>
      </c>
      <c r="H9014" s="230">
        <v>4.5</v>
      </c>
      <c r="I9014" s="220">
        <v>1063000</v>
      </c>
      <c r="J9014" s="220">
        <f>I9014*0.1</f>
        <v>106300</v>
      </c>
      <c r="K9014" s="220">
        <v>0</v>
      </c>
      <c r="L9014" s="220">
        <v>5340</v>
      </c>
      <c r="M9014" s="220">
        <v>22000</v>
      </c>
      <c r="N9014" s="220">
        <f>SUM(I9014:M9015)</f>
        <v>1196640</v>
      </c>
      <c r="O9014" s="224"/>
      <c r="P9014" s="110" t="s">
        <v>26215</v>
      </c>
      <c r="Q9014" s="15" t="s">
        <v>19</v>
      </c>
      <c r="R9014" s="205"/>
      <c r="S9014" s="189" t="s">
        <v>25521</v>
      </c>
      <c r="T9014" s="114"/>
      <c r="U9014" s="21"/>
      <c r="V9014" s="115">
        <v>46162</v>
      </c>
      <c r="W9014" s="116">
        <v>1017</v>
      </c>
      <c r="X9014" s="220">
        <v>1150000</v>
      </c>
      <c r="Y9014" s="220">
        <f>X9014*0.1</f>
        <v>115000</v>
      </c>
      <c r="Z9014" s="220">
        <v>5340</v>
      </c>
      <c r="AA9014" s="220">
        <f>SUM(X9014:Z9014)</f>
        <v>1270340</v>
      </c>
      <c r="AB9014" s="222">
        <v>46167</v>
      </c>
    </row>
    <row r="9015" spans="1:28" ht="17.100000000000001" customHeight="1" thickBot="1">
      <c r="A9015" s="227"/>
      <c r="B9015" s="27" t="s">
        <v>2171</v>
      </c>
      <c r="C9015" s="27">
        <v>50199</v>
      </c>
      <c r="D9015" s="14" t="s">
        <v>2753</v>
      </c>
      <c r="E9015" s="229"/>
      <c r="F9015" s="117" t="s">
        <v>25033</v>
      </c>
      <c r="G9015" s="26">
        <v>427</v>
      </c>
      <c r="H9015" s="231"/>
      <c r="I9015" s="221"/>
      <c r="J9015" s="221"/>
      <c r="K9015" s="221"/>
      <c r="L9015" s="221"/>
      <c r="M9015" s="221"/>
      <c r="N9015" s="221"/>
      <c r="O9015" s="225"/>
      <c r="P9015" s="118" t="s">
        <v>26216</v>
      </c>
      <c r="Q9015" s="16" t="s">
        <v>20</v>
      </c>
      <c r="R9015" s="17" t="s">
        <v>1959</v>
      </c>
      <c r="S9015" s="121" t="s">
        <v>4539</v>
      </c>
      <c r="T9015" s="122"/>
      <c r="U9015" s="22"/>
      <c r="V9015" s="123" t="s">
        <v>2747</v>
      </c>
      <c r="W9015" s="122">
        <v>5064</v>
      </c>
      <c r="X9015" s="221"/>
      <c r="Y9015" s="221"/>
      <c r="Z9015" s="221"/>
      <c r="AA9015" s="221"/>
      <c r="AB9015" s="223"/>
    </row>
    <row r="9016" spans="1:28" ht="17.100000000000001" customHeight="1" thickTop="1">
      <c r="A9016" s="226" t="s">
        <v>25019</v>
      </c>
      <c r="B9016" s="28">
        <v>46156</v>
      </c>
      <c r="C9016" s="25">
        <v>2026</v>
      </c>
      <c r="D9016" s="13" t="s">
        <v>1908</v>
      </c>
      <c r="E9016" s="228"/>
      <c r="F9016" s="109" t="s">
        <v>7536</v>
      </c>
      <c r="G9016" s="24"/>
      <c r="H9016" s="230">
        <v>4</v>
      </c>
      <c r="I9016" s="220">
        <v>313000</v>
      </c>
      <c r="J9016" s="220">
        <v>0</v>
      </c>
      <c r="K9016" s="220">
        <v>0</v>
      </c>
      <c r="L9016" s="220">
        <v>9550</v>
      </c>
      <c r="M9016" s="220">
        <v>22000</v>
      </c>
      <c r="N9016" s="220">
        <f>SUM(I9016:M9017)</f>
        <v>344550</v>
      </c>
      <c r="O9016" s="224"/>
      <c r="P9016" s="110" t="s">
        <v>26104</v>
      </c>
      <c r="Q9016" s="15" t="s">
        <v>19</v>
      </c>
      <c r="R9016" s="205"/>
      <c r="S9016" s="189" t="s">
        <v>26007</v>
      </c>
      <c r="T9016" s="114" t="s">
        <v>25038</v>
      </c>
      <c r="U9016" s="21"/>
      <c r="V9016" s="115">
        <v>46162</v>
      </c>
      <c r="W9016" s="116">
        <v>1017</v>
      </c>
      <c r="X9016" s="220">
        <v>400000</v>
      </c>
      <c r="Y9016" s="220">
        <f>X9016*0.1</f>
        <v>40000</v>
      </c>
      <c r="Z9016" s="220">
        <v>9550</v>
      </c>
      <c r="AA9016" s="220">
        <f>SUM(X9016:Z9016)</f>
        <v>449550</v>
      </c>
      <c r="AB9016" s="222">
        <v>46167</v>
      </c>
    </row>
    <row r="9017" spans="1:28" ht="17.100000000000001" customHeight="1" thickBot="1">
      <c r="A9017" s="227"/>
      <c r="B9017" s="27" t="s">
        <v>2171</v>
      </c>
      <c r="C9017" s="27">
        <v>50202</v>
      </c>
      <c r="D9017" s="14" t="s">
        <v>3792</v>
      </c>
      <c r="E9017" s="229"/>
      <c r="F9017" s="117" t="s">
        <v>25034</v>
      </c>
      <c r="G9017" s="26">
        <v>59092</v>
      </c>
      <c r="H9017" s="231"/>
      <c r="I9017" s="221"/>
      <c r="J9017" s="221"/>
      <c r="K9017" s="221"/>
      <c r="L9017" s="221"/>
      <c r="M9017" s="221"/>
      <c r="N9017" s="221"/>
      <c r="O9017" s="225"/>
      <c r="P9017" s="118" t="s">
        <v>3919</v>
      </c>
      <c r="Q9017" s="16" t="s">
        <v>20</v>
      </c>
      <c r="R9017" s="17" t="s">
        <v>2702</v>
      </c>
      <c r="S9017" s="121" t="s">
        <v>21861</v>
      </c>
      <c r="T9017" s="122"/>
      <c r="U9017" s="22"/>
      <c r="V9017" s="123" t="s">
        <v>2747</v>
      </c>
      <c r="W9017" s="122">
        <v>5076</v>
      </c>
      <c r="X9017" s="221"/>
      <c r="Y9017" s="221"/>
      <c r="Z9017" s="221"/>
      <c r="AA9017" s="221"/>
      <c r="AB9017" s="223"/>
    </row>
    <row r="9018" spans="1:28" ht="17.100000000000001" customHeight="1" thickTop="1">
      <c r="A9018" s="226" t="s">
        <v>25020</v>
      </c>
      <c r="B9018" s="28">
        <v>46156</v>
      </c>
      <c r="C9018" s="25">
        <v>2026</v>
      </c>
      <c r="D9018" s="13" t="s">
        <v>2379</v>
      </c>
      <c r="E9018" s="228"/>
      <c r="F9018" s="109" t="s">
        <v>6634</v>
      </c>
      <c r="G9018" s="24" t="s">
        <v>4025</v>
      </c>
      <c r="H9018" s="230">
        <v>4</v>
      </c>
      <c r="I9018" s="220">
        <v>787000</v>
      </c>
      <c r="J9018" s="220">
        <f>I9018*0.1</f>
        <v>78700</v>
      </c>
      <c r="K9018" s="220">
        <v>0</v>
      </c>
      <c r="L9018" s="220">
        <v>6860</v>
      </c>
      <c r="M9018" s="220">
        <v>22000</v>
      </c>
      <c r="N9018" s="220">
        <f>SUM(I9018:M9019)</f>
        <v>894560</v>
      </c>
      <c r="O9018" s="224"/>
      <c r="P9018" s="110" t="s">
        <v>25160</v>
      </c>
      <c r="Q9018" s="15" t="s">
        <v>19</v>
      </c>
      <c r="R9018" s="205"/>
      <c r="S9018" s="189"/>
      <c r="T9018" s="114"/>
      <c r="U9018" s="21"/>
      <c r="V9018" s="115"/>
      <c r="W9018" s="116"/>
      <c r="X9018" s="220"/>
      <c r="Y9018" s="220">
        <f>X9018*0.1</f>
        <v>0</v>
      </c>
      <c r="Z9018" s="220"/>
      <c r="AA9018" s="220">
        <f>SUM(X9018:Z9018)</f>
        <v>0</v>
      </c>
      <c r="AB9018" s="222"/>
    </row>
    <row r="9019" spans="1:28" ht="17.100000000000001" customHeight="1" thickBot="1">
      <c r="A9019" s="227"/>
      <c r="B9019" s="27" t="s">
        <v>2171</v>
      </c>
      <c r="C9019" s="27">
        <v>50235</v>
      </c>
      <c r="D9019" s="14" t="s">
        <v>1584</v>
      </c>
      <c r="E9019" s="229"/>
      <c r="F9019" s="117" t="s">
        <v>25035</v>
      </c>
      <c r="G9019" s="26">
        <v>9297</v>
      </c>
      <c r="H9019" s="231"/>
      <c r="I9019" s="221"/>
      <c r="J9019" s="221"/>
      <c r="K9019" s="221"/>
      <c r="L9019" s="221"/>
      <c r="M9019" s="221"/>
      <c r="N9019" s="221"/>
      <c r="O9019" s="225"/>
      <c r="P9019" s="118" t="s">
        <v>1664</v>
      </c>
      <c r="Q9019" s="16" t="s">
        <v>20</v>
      </c>
      <c r="R9019" s="17" t="s">
        <v>2702</v>
      </c>
      <c r="S9019" s="121"/>
      <c r="T9019" s="122"/>
      <c r="U9019" s="22"/>
      <c r="V9019" s="123"/>
      <c r="W9019" s="122"/>
      <c r="X9019" s="221"/>
      <c r="Y9019" s="221"/>
      <c r="Z9019" s="221"/>
      <c r="AA9019" s="221"/>
      <c r="AB9019" s="223"/>
    </row>
    <row r="9020" spans="1:28" ht="17.100000000000001" customHeight="1" thickTop="1">
      <c r="A9020" s="226" t="s">
        <v>25021</v>
      </c>
      <c r="B9020" s="28">
        <v>46156</v>
      </c>
      <c r="C9020" s="25">
        <v>2026</v>
      </c>
      <c r="D9020" s="13" t="s">
        <v>1915</v>
      </c>
      <c r="E9020" s="228"/>
      <c r="F9020" s="109" t="s">
        <v>25161</v>
      </c>
      <c r="G9020" s="24" t="s">
        <v>2907</v>
      </c>
      <c r="H9020" s="230">
        <v>4</v>
      </c>
      <c r="I9020" s="220">
        <v>279000</v>
      </c>
      <c r="J9020" s="220">
        <f>I9020*0.1</f>
        <v>27900</v>
      </c>
      <c r="K9020" s="220">
        <v>0</v>
      </c>
      <c r="L9020" s="220">
        <v>8460</v>
      </c>
      <c r="M9020" s="220">
        <v>22000</v>
      </c>
      <c r="N9020" s="220">
        <f>SUM(I9020:M9021)</f>
        <v>337360</v>
      </c>
      <c r="O9020" s="224"/>
      <c r="P9020" s="110" t="s">
        <v>26277</v>
      </c>
      <c r="Q9020" s="15" t="s">
        <v>19</v>
      </c>
      <c r="R9020" s="205"/>
      <c r="S9020" s="189" t="s">
        <v>26008</v>
      </c>
      <c r="T9020" s="114"/>
      <c r="U9020" s="21"/>
      <c r="V9020" s="115"/>
      <c r="W9020" s="116"/>
      <c r="X9020" s="220"/>
      <c r="Y9020" s="220">
        <f>X9020*0.1</f>
        <v>0</v>
      </c>
      <c r="Z9020" s="220"/>
      <c r="AA9020" s="220">
        <f>SUM(X9020:Z9020)</f>
        <v>0</v>
      </c>
      <c r="AB9020" s="222"/>
    </row>
    <row r="9021" spans="1:28" ht="17.100000000000001" customHeight="1" thickBot="1">
      <c r="A9021" s="227"/>
      <c r="B9021" s="27" t="s">
        <v>2171</v>
      </c>
      <c r="C9021" s="27">
        <v>50254</v>
      </c>
      <c r="D9021" s="14" t="s">
        <v>273</v>
      </c>
      <c r="E9021" s="229"/>
      <c r="F9021" s="117" t="s">
        <v>25036</v>
      </c>
      <c r="G9021" s="26">
        <v>48856</v>
      </c>
      <c r="H9021" s="231"/>
      <c r="I9021" s="221"/>
      <c r="J9021" s="221"/>
      <c r="K9021" s="221"/>
      <c r="L9021" s="221"/>
      <c r="M9021" s="221"/>
      <c r="N9021" s="221"/>
      <c r="O9021" s="225"/>
      <c r="P9021" s="118" t="s">
        <v>3276</v>
      </c>
      <c r="Q9021" s="16" t="s">
        <v>20</v>
      </c>
      <c r="R9021" s="17" t="s">
        <v>3702</v>
      </c>
      <c r="S9021" s="121" t="s">
        <v>4539</v>
      </c>
      <c r="T9021" s="122"/>
      <c r="U9021" s="22"/>
      <c r="V9021" s="123"/>
      <c r="W9021" s="122"/>
      <c r="X9021" s="221"/>
      <c r="Y9021" s="221"/>
      <c r="Z9021" s="221"/>
      <c r="AA9021" s="221"/>
      <c r="AB9021" s="223"/>
    </row>
    <row r="9022" spans="1:28" ht="17.100000000000001" customHeight="1" thickTop="1">
      <c r="A9022" s="226" t="s">
        <v>25022</v>
      </c>
      <c r="B9022" s="28">
        <v>46156</v>
      </c>
      <c r="C9022" s="25">
        <v>2026</v>
      </c>
      <c r="D9022" s="13" t="s">
        <v>2129</v>
      </c>
      <c r="E9022" s="228"/>
      <c r="F9022" s="109" t="s">
        <v>25162</v>
      </c>
      <c r="G9022" s="24" t="s">
        <v>4239</v>
      </c>
      <c r="H9022" s="230">
        <v>4</v>
      </c>
      <c r="I9022" s="220">
        <v>240000</v>
      </c>
      <c r="J9022" s="220">
        <f>I9022*0.1</f>
        <v>24000</v>
      </c>
      <c r="K9022" s="220">
        <v>0</v>
      </c>
      <c r="L9022" s="220">
        <v>8930</v>
      </c>
      <c r="M9022" s="220">
        <v>22000</v>
      </c>
      <c r="N9022" s="220">
        <f>SUM(I9022:M9023)</f>
        <v>294930</v>
      </c>
      <c r="O9022" s="224"/>
      <c r="P9022" s="110" t="s">
        <v>26217</v>
      </c>
      <c r="Q9022" s="15" t="s">
        <v>19</v>
      </c>
      <c r="R9022" s="205"/>
      <c r="S9022" s="189" t="s">
        <v>25432</v>
      </c>
      <c r="T9022" s="114"/>
      <c r="U9022" s="21"/>
      <c r="V9022" s="115">
        <v>46162</v>
      </c>
      <c r="W9022" s="116">
        <v>1017</v>
      </c>
      <c r="X9022" s="220">
        <v>290000</v>
      </c>
      <c r="Y9022" s="220">
        <f>X9022*0.1</f>
        <v>29000</v>
      </c>
      <c r="Z9022" s="220">
        <v>8930</v>
      </c>
      <c r="AA9022" s="220">
        <f>SUM(X9022:Z9022)</f>
        <v>327930</v>
      </c>
      <c r="AB9022" s="222">
        <v>46167</v>
      </c>
    </row>
    <row r="9023" spans="1:28" ht="17.100000000000001" customHeight="1" thickBot="1">
      <c r="A9023" s="227"/>
      <c r="B9023" s="27" t="s">
        <v>2171</v>
      </c>
      <c r="C9023" s="27">
        <v>90175</v>
      </c>
      <c r="D9023" s="14" t="s">
        <v>1710</v>
      </c>
      <c r="E9023" s="229"/>
      <c r="F9023" s="117" t="s">
        <v>25037</v>
      </c>
      <c r="G9023" s="26">
        <v>14383</v>
      </c>
      <c r="H9023" s="231"/>
      <c r="I9023" s="221"/>
      <c r="J9023" s="221"/>
      <c r="K9023" s="221"/>
      <c r="L9023" s="221"/>
      <c r="M9023" s="221"/>
      <c r="N9023" s="221"/>
      <c r="O9023" s="225"/>
      <c r="P9023" s="118" t="s">
        <v>26218</v>
      </c>
      <c r="Q9023" s="16" t="s">
        <v>20</v>
      </c>
      <c r="R9023" s="17" t="s">
        <v>1959</v>
      </c>
      <c r="S9023" s="121" t="s">
        <v>4539</v>
      </c>
      <c r="T9023" s="122"/>
      <c r="U9023" s="22"/>
      <c r="V9023" s="123" t="s">
        <v>2747</v>
      </c>
      <c r="W9023" s="122">
        <v>5085</v>
      </c>
      <c r="X9023" s="221"/>
      <c r="Y9023" s="221"/>
      <c r="Z9023" s="221"/>
      <c r="AA9023" s="221"/>
      <c r="AB9023" s="223"/>
    </row>
    <row r="9024" spans="1:28" ht="17.100000000000001" customHeight="1" thickTop="1">
      <c r="A9024" s="226" t="s">
        <v>25023</v>
      </c>
      <c r="B9024" s="28">
        <v>46157</v>
      </c>
      <c r="C9024" s="25"/>
      <c r="D9024" s="13" t="s">
        <v>1901</v>
      </c>
      <c r="E9024" s="228"/>
      <c r="F9024" s="109" t="s">
        <v>25173</v>
      </c>
      <c r="G9024" s="24" t="s">
        <v>2530</v>
      </c>
      <c r="H9024" s="230">
        <v>4</v>
      </c>
      <c r="I9024" s="220">
        <v>2125000</v>
      </c>
      <c r="J9024" s="220">
        <f>I9024*0.1</f>
        <v>212500</v>
      </c>
      <c r="K9024" s="220">
        <v>20300</v>
      </c>
      <c r="L9024" s="220">
        <v>11740</v>
      </c>
      <c r="M9024" s="220">
        <v>0</v>
      </c>
      <c r="N9024" s="220">
        <f>SUM(I9024:M9025)</f>
        <v>2369540</v>
      </c>
      <c r="O9024" s="224"/>
      <c r="P9024" s="110"/>
      <c r="Q9024" s="15" t="s">
        <v>19</v>
      </c>
      <c r="R9024" s="205"/>
      <c r="S9024" s="189" t="s">
        <v>26009</v>
      </c>
      <c r="T9024" s="114"/>
      <c r="U9024" s="21"/>
      <c r="V9024" s="115"/>
      <c r="W9024" s="116"/>
      <c r="X9024" s="220"/>
      <c r="Y9024" s="220">
        <f>X9024*0.1</f>
        <v>0</v>
      </c>
      <c r="Z9024" s="220"/>
      <c r="AA9024" s="220">
        <f>SUM(X9024:Z9024)</f>
        <v>0</v>
      </c>
      <c r="AB9024" s="222"/>
    </row>
    <row r="9025" spans="1:28" ht="17.100000000000001" customHeight="1" thickBot="1">
      <c r="A9025" s="227"/>
      <c r="B9025" s="27" t="s">
        <v>1708</v>
      </c>
      <c r="C9025" s="27" t="s">
        <v>25046</v>
      </c>
      <c r="D9025" s="14" t="s">
        <v>2559</v>
      </c>
      <c r="E9025" s="229"/>
      <c r="F9025" s="117" t="s">
        <v>25174</v>
      </c>
      <c r="G9025" s="26">
        <v>55152</v>
      </c>
      <c r="H9025" s="231"/>
      <c r="I9025" s="221"/>
      <c r="J9025" s="221"/>
      <c r="K9025" s="221"/>
      <c r="L9025" s="221"/>
      <c r="M9025" s="221"/>
      <c r="N9025" s="221"/>
      <c r="O9025" s="225"/>
      <c r="P9025" s="118"/>
      <c r="Q9025" s="16" t="s">
        <v>20</v>
      </c>
      <c r="R9025" s="17"/>
      <c r="S9025" s="121"/>
      <c r="T9025" s="122"/>
      <c r="U9025" s="22"/>
      <c r="V9025" s="123"/>
      <c r="W9025" s="122"/>
      <c r="X9025" s="221"/>
      <c r="Y9025" s="221"/>
      <c r="Z9025" s="221"/>
      <c r="AA9025" s="221"/>
      <c r="AB9025" s="223"/>
    </row>
    <row r="9026" spans="1:28" ht="17.100000000000001" customHeight="1" thickTop="1">
      <c r="A9026" s="226" t="s">
        <v>25039</v>
      </c>
      <c r="B9026" s="28">
        <v>46157</v>
      </c>
      <c r="C9026" s="25"/>
      <c r="D9026" s="13" t="s">
        <v>2457</v>
      </c>
      <c r="E9026" s="228"/>
      <c r="F9026" s="109" t="s">
        <v>25171</v>
      </c>
      <c r="G9026" s="24" t="s">
        <v>1605</v>
      </c>
      <c r="H9026" s="230">
        <v>5</v>
      </c>
      <c r="I9026" s="220">
        <v>5340000</v>
      </c>
      <c r="J9026" s="220">
        <f>I9026*0.1</f>
        <v>534000</v>
      </c>
      <c r="K9026" s="220">
        <v>32600</v>
      </c>
      <c r="L9026" s="220">
        <v>15760</v>
      </c>
      <c r="M9026" s="220">
        <v>0</v>
      </c>
      <c r="N9026" s="220">
        <f>SUM(I9026:M9027)</f>
        <v>5922360</v>
      </c>
      <c r="O9026" s="224"/>
      <c r="P9026" s="110"/>
      <c r="Q9026" s="15" t="s">
        <v>19</v>
      </c>
      <c r="R9026" s="205"/>
      <c r="S9026" s="189" t="s">
        <v>26009</v>
      </c>
      <c r="T9026" s="114"/>
      <c r="U9026" s="21"/>
      <c r="V9026" s="115"/>
      <c r="W9026" s="116"/>
      <c r="X9026" s="220"/>
      <c r="Y9026" s="220">
        <f>X9026*0.1</f>
        <v>0</v>
      </c>
      <c r="Z9026" s="220"/>
      <c r="AA9026" s="220">
        <f>SUM(X9026:Z9026)</f>
        <v>0</v>
      </c>
      <c r="AB9026" s="222"/>
    </row>
    <row r="9027" spans="1:28" ht="17.100000000000001" customHeight="1" thickBot="1">
      <c r="A9027" s="227"/>
      <c r="B9027" s="27" t="s">
        <v>1708</v>
      </c>
      <c r="C9027" s="27" t="s">
        <v>25047</v>
      </c>
      <c r="D9027" s="14" t="s">
        <v>1584</v>
      </c>
      <c r="E9027" s="229"/>
      <c r="F9027" s="117" t="s">
        <v>25172</v>
      </c>
      <c r="G9027" s="26">
        <v>1452</v>
      </c>
      <c r="H9027" s="231"/>
      <c r="I9027" s="221"/>
      <c r="J9027" s="221"/>
      <c r="K9027" s="221"/>
      <c r="L9027" s="221"/>
      <c r="M9027" s="221"/>
      <c r="N9027" s="221"/>
      <c r="O9027" s="225"/>
      <c r="P9027" s="118"/>
      <c r="Q9027" s="16" t="s">
        <v>20</v>
      </c>
      <c r="R9027" s="17"/>
      <c r="S9027" s="121"/>
      <c r="T9027" s="122"/>
      <c r="U9027" s="22"/>
      <c r="V9027" s="123"/>
      <c r="W9027" s="122"/>
      <c r="X9027" s="221"/>
      <c r="Y9027" s="221"/>
      <c r="Z9027" s="221"/>
      <c r="AA9027" s="221"/>
      <c r="AB9027" s="223"/>
    </row>
    <row r="9028" spans="1:28" ht="17.100000000000001" customHeight="1" thickTop="1">
      <c r="A9028" s="226" t="s">
        <v>25040</v>
      </c>
      <c r="B9028" s="28">
        <v>46157</v>
      </c>
      <c r="C9028" s="25"/>
      <c r="D9028" s="13" t="s">
        <v>853</v>
      </c>
      <c r="E9028" s="228"/>
      <c r="F9028" s="109" t="s">
        <v>24525</v>
      </c>
      <c r="G9028" s="24" t="s">
        <v>3859</v>
      </c>
      <c r="H9028" s="230">
        <v>4.5</v>
      </c>
      <c r="I9028" s="220">
        <v>3245000</v>
      </c>
      <c r="J9028" s="220">
        <f>I9028*0.1</f>
        <v>324500</v>
      </c>
      <c r="K9028" s="220">
        <v>36200</v>
      </c>
      <c r="L9028" s="220">
        <v>14900</v>
      </c>
      <c r="M9028" s="220">
        <v>0</v>
      </c>
      <c r="N9028" s="220">
        <f>SUM(I9028:M9029)</f>
        <v>3620600</v>
      </c>
      <c r="O9028" s="224"/>
      <c r="P9028" s="110"/>
      <c r="Q9028" s="15" t="s">
        <v>19</v>
      </c>
      <c r="R9028" s="205"/>
      <c r="S9028" s="189" t="s">
        <v>26002</v>
      </c>
      <c r="T9028" s="114"/>
      <c r="U9028" s="21"/>
      <c r="V9028" s="115"/>
      <c r="W9028" s="116"/>
      <c r="X9028" s="220"/>
      <c r="Y9028" s="220">
        <f>X9028*0.1</f>
        <v>0</v>
      </c>
      <c r="Z9028" s="220"/>
      <c r="AA9028" s="220">
        <f>SUM(X9028:Z9028)</f>
        <v>0</v>
      </c>
      <c r="AB9028" s="222"/>
    </row>
    <row r="9029" spans="1:28" ht="17.100000000000001" customHeight="1" thickBot="1">
      <c r="A9029" s="227"/>
      <c r="B9029" s="27" t="s">
        <v>1708</v>
      </c>
      <c r="C9029" s="27" t="s">
        <v>25048</v>
      </c>
      <c r="D9029" s="14" t="s">
        <v>2559</v>
      </c>
      <c r="E9029" s="229"/>
      <c r="F9029" s="117" t="s">
        <v>25170</v>
      </c>
      <c r="G9029" s="26">
        <v>68203</v>
      </c>
      <c r="H9029" s="231"/>
      <c r="I9029" s="221"/>
      <c r="J9029" s="221"/>
      <c r="K9029" s="221"/>
      <c r="L9029" s="221"/>
      <c r="M9029" s="221"/>
      <c r="N9029" s="221"/>
      <c r="O9029" s="225"/>
      <c r="P9029" s="118"/>
      <c r="Q9029" s="16" t="s">
        <v>20</v>
      </c>
      <c r="R9029" s="17"/>
      <c r="S9029" s="121"/>
      <c r="T9029" s="122"/>
      <c r="U9029" s="22"/>
      <c r="V9029" s="123"/>
      <c r="W9029" s="122"/>
      <c r="X9029" s="221"/>
      <c r="Y9029" s="221"/>
      <c r="Z9029" s="221"/>
      <c r="AA9029" s="221"/>
      <c r="AB9029" s="223"/>
    </row>
    <row r="9030" spans="1:28" ht="17.100000000000001" customHeight="1" thickTop="1">
      <c r="A9030" s="226" t="s">
        <v>25041</v>
      </c>
      <c r="B9030" s="28">
        <v>46157</v>
      </c>
      <c r="C9030" s="25">
        <v>2134</v>
      </c>
      <c r="D9030" s="13" t="s">
        <v>2610</v>
      </c>
      <c r="E9030" s="228"/>
      <c r="F9030" s="109" t="s">
        <v>25175</v>
      </c>
      <c r="G9030" s="24"/>
      <c r="H9030" s="230">
        <v>4</v>
      </c>
      <c r="I9030" s="220">
        <v>2840000</v>
      </c>
      <c r="J9030" s="220">
        <f>I9030*0.1</f>
        <v>284000</v>
      </c>
      <c r="K9030" s="220">
        <v>0</v>
      </c>
      <c r="L9030" s="220">
        <v>21720</v>
      </c>
      <c r="M9030" s="220">
        <v>16500</v>
      </c>
      <c r="N9030" s="220">
        <f>SUM(I9030:M9031)</f>
        <v>3162220</v>
      </c>
      <c r="O9030" s="224"/>
      <c r="P9030" s="110" t="s">
        <v>26172</v>
      </c>
      <c r="Q9030" s="15" t="s">
        <v>19</v>
      </c>
      <c r="R9030" s="205"/>
      <c r="S9030" s="189" t="s">
        <v>1271</v>
      </c>
      <c r="T9030" s="114"/>
      <c r="U9030" s="21"/>
      <c r="V9030" s="115"/>
      <c r="W9030" s="116"/>
      <c r="X9030" s="220"/>
      <c r="Y9030" s="220">
        <f>X9030*0.1</f>
        <v>0</v>
      </c>
      <c r="Z9030" s="220"/>
      <c r="AA9030" s="220">
        <f>SUM(X9030:Z9030)</f>
        <v>0</v>
      </c>
      <c r="AB9030" s="222"/>
    </row>
    <row r="9031" spans="1:28" ht="17.100000000000001" customHeight="1" thickBot="1">
      <c r="A9031" s="227"/>
      <c r="B9031" s="27" t="s">
        <v>1536</v>
      </c>
      <c r="C9031" s="27">
        <v>58759</v>
      </c>
      <c r="D9031" s="14" t="s">
        <v>273</v>
      </c>
      <c r="E9031" s="229"/>
      <c r="F9031" s="117" t="s">
        <v>25176</v>
      </c>
      <c r="G9031" s="26">
        <v>57659</v>
      </c>
      <c r="H9031" s="231"/>
      <c r="I9031" s="221"/>
      <c r="J9031" s="221"/>
      <c r="K9031" s="221"/>
      <c r="L9031" s="221"/>
      <c r="M9031" s="221"/>
      <c r="N9031" s="221"/>
      <c r="O9031" s="225"/>
      <c r="P9031" s="118" t="s">
        <v>2870</v>
      </c>
      <c r="Q9031" s="16" t="s">
        <v>20</v>
      </c>
      <c r="R9031" s="17" t="s">
        <v>2702</v>
      </c>
      <c r="S9031" s="121" t="s">
        <v>1731</v>
      </c>
      <c r="T9031" s="122"/>
      <c r="U9031" s="22"/>
      <c r="V9031" s="123"/>
      <c r="W9031" s="122"/>
      <c r="X9031" s="221"/>
      <c r="Y9031" s="221"/>
      <c r="Z9031" s="221"/>
      <c r="AA9031" s="221"/>
      <c r="AB9031" s="223"/>
    </row>
    <row r="9032" spans="1:28" ht="17.100000000000001" customHeight="1" thickTop="1">
      <c r="A9032" s="226" t="s">
        <v>25042</v>
      </c>
      <c r="B9032" s="28">
        <v>46157</v>
      </c>
      <c r="C9032" s="25">
        <v>290</v>
      </c>
      <c r="D9032" s="13" t="s">
        <v>2573</v>
      </c>
      <c r="E9032" s="228"/>
      <c r="F9032" s="109" t="s">
        <v>25177</v>
      </c>
      <c r="G9032" s="24" t="s">
        <v>3453</v>
      </c>
      <c r="H9032" s="230">
        <v>4</v>
      </c>
      <c r="I9032" s="220">
        <v>468000</v>
      </c>
      <c r="J9032" s="220">
        <f>I9032*0.1</f>
        <v>46800</v>
      </c>
      <c r="K9032" s="220">
        <v>0</v>
      </c>
      <c r="L9032" s="220">
        <v>7140</v>
      </c>
      <c r="M9032" s="220">
        <v>22000</v>
      </c>
      <c r="N9032" s="220">
        <f>SUM(I9032:M9033)</f>
        <v>543940</v>
      </c>
      <c r="O9032" s="224"/>
      <c r="P9032" s="110" t="s">
        <v>25178</v>
      </c>
      <c r="Q9032" s="15" t="s">
        <v>19</v>
      </c>
      <c r="R9032" s="205"/>
      <c r="S9032" s="189" t="s">
        <v>25561</v>
      </c>
      <c r="T9032" s="114"/>
      <c r="U9032" s="21"/>
      <c r="V9032" s="115">
        <v>46162</v>
      </c>
      <c r="W9032" s="116">
        <v>1017</v>
      </c>
      <c r="X9032" s="220">
        <v>540000</v>
      </c>
      <c r="Y9032" s="220">
        <f>X9032*0.1</f>
        <v>54000</v>
      </c>
      <c r="Z9032" s="220">
        <v>7140</v>
      </c>
      <c r="AA9032" s="220">
        <f>SUM(X9032:Z9032)</f>
        <v>601140</v>
      </c>
      <c r="AB9032" s="222">
        <v>46167</v>
      </c>
    </row>
    <row r="9033" spans="1:28" ht="17.100000000000001" customHeight="1" thickBot="1">
      <c r="A9033" s="227"/>
      <c r="B9033" s="27" t="s">
        <v>3890</v>
      </c>
      <c r="C9033" s="27">
        <v>32</v>
      </c>
      <c r="D9033" s="14" t="s">
        <v>1568</v>
      </c>
      <c r="E9033" s="229"/>
      <c r="F9033" s="117" t="s">
        <v>25057</v>
      </c>
      <c r="G9033" s="26">
        <v>27119</v>
      </c>
      <c r="H9033" s="231"/>
      <c r="I9033" s="221"/>
      <c r="J9033" s="221"/>
      <c r="K9033" s="221"/>
      <c r="L9033" s="221"/>
      <c r="M9033" s="221"/>
      <c r="N9033" s="221"/>
      <c r="O9033" s="225"/>
      <c r="P9033" s="118" t="s">
        <v>26103</v>
      </c>
      <c r="Q9033" s="16" t="s">
        <v>20</v>
      </c>
      <c r="R9033" s="17" t="s">
        <v>2702</v>
      </c>
      <c r="S9033" s="121" t="s">
        <v>1557</v>
      </c>
      <c r="T9033" s="122"/>
      <c r="U9033" s="22"/>
      <c r="V9033" s="123" t="s">
        <v>2747</v>
      </c>
      <c r="W9033" s="122">
        <v>5143</v>
      </c>
      <c r="X9033" s="221"/>
      <c r="Y9033" s="221"/>
      <c r="Z9033" s="221"/>
      <c r="AA9033" s="221"/>
      <c r="AB9033" s="223"/>
    </row>
    <row r="9034" spans="1:28" ht="17.100000000000001" customHeight="1" thickTop="1">
      <c r="A9034" s="226" t="s">
        <v>25043</v>
      </c>
      <c r="B9034" s="28">
        <v>46157</v>
      </c>
      <c r="C9034" s="25">
        <v>290</v>
      </c>
      <c r="D9034" s="13" t="s">
        <v>2811</v>
      </c>
      <c r="E9034" s="228"/>
      <c r="F9034" s="109" t="s">
        <v>6908</v>
      </c>
      <c r="G9034" s="24" t="s">
        <v>2124</v>
      </c>
      <c r="H9034" s="230">
        <v>4</v>
      </c>
      <c r="I9034" s="220">
        <v>396000</v>
      </c>
      <c r="J9034" s="220">
        <f>I9034*0.1</f>
        <v>39600</v>
      </c>
      <c r="K9034" s="220">
        <v>0</v>
      </c>
      <c r="L9034" s="220">
        <v>7140</v>
      </c>
      <c r="M9034" s="220">
        <v>22000</v>
      </c>
      <c r="N9034" s="220">
        <f>SUM(I9034:M9035)</f>
        <v>464740</v>
      </c>
      <c r="O9034" s="224"/>
      <c r="P9034" s="110" t="s">
        <v>25179</v>
      </c>
      <c r="Q9034" s="15" t="s">
        <v>19</v>
      </c>
      <c r="R9034" s="205"/>
      <c r="S9034" s="189"/>
      <c r="T9034" s="114"/>
      <c r="U9034" s="21"/>
      <c r="V9034" s="115"/>
      <c r="W9034" s="116"/>
      <c r="X9034" s="220"/>
      <c r="Y9034" s="220">
        <f>X9034*0.1</f>
        <v>0</v>
      </c>
      <c r="Z9034" s="220"/>
      <c r="AA9034" s="220">
        <f>SUM(X9034:Z9034)</f>
        <v>0</v>
      </c>
      <c r="AB9034" s="222"/>
    </row>
    <row r="9035" spans="1:28" ht="17.100000000000001" customHeight="1" thickBot="1">
      <c r="A9035" s="227"/>
      <c r="B9035" s="27" t="s">
        <v>3890</v>
      </c>
      <c r="C9035" s="27">
        <v>52</v>
      </c>
      <c r="D9035" s="14" t="s">
        <v>273</v>
      </c>
      <c r="E9035" s="229"/>
      <c r="F9035" s="117" t="s">
        <v>25058</v>
      </c>
      <c r="G9035" s="26">
        <v>39023</v>
      </c>
      <c r="H9035" s="231"/>
      <c r="I9035" s="221"/>
      <c r="J9035" s="221"/>
      <c r="K9035" s="221"/>
      <c r="L9035" s="221"/>
      <c r="M9035" s="221"/>
      <c r="N9035" s="221"/>
      <c r="O9035" s="225"/>
      <c r="P9035" s="118" t="s">
        <v>26201</v>
      </c>
      <c r="Q9035" s="16" t="s">
        <v>20</v>
      </c>
      <c r="R9035" s="17" t="s">
        <v>2702</v>
      </c>
      <c r="S9035" s="121" t="s">
        <v>3566</v>
      </c>
      <c r="T9035" s="122"/>
      <c r="U9035" s="22"/>
      <c r="V9035" s="123"/>
      <c r="W9035" s="122"/>
      <c r="X9035" s="221"/>
      <c r="Y9035" s="221"/>
      <c r="Z9035" s="221"/>
      <c r="AA9035" s="221"/>
      <c r="AB9035" s="223"/>
    </row>
    <row r="9036" spans="1:28" ht="17.100000000000001" customHeight="1" thickTop="1">
      <c r="A9036" s="226" t="s">
        <v>25044</v>
      </c>
      <c r="B9036" s="28">
        <v>46157</v>
      </c>
      <c r="C9036" s="25">
        <v>290</v>
      </c>
      <c r="D9036" s="13" t="s">
        <v>7368</v>
      </c>
      <c r="E9036" s="228"/>
      <c r="F9036" s="109" t="s">
        <v>25180</v>
      </c>
      <c r="G9036" s="24"/>
      <c r="H9036" s="230">
        <v>4</v>
      </c>
      <c r="I9036" s="220">
        <v>246000</v>
      </c>
      <c r="J9036" s="220">
        <f>I9036*0.1</f>
        <v>24600</v>
      </c>
      <c r="K9036" s="220">
        <v>0</v>
      </c>
      <c r="L9036" s="220">
        <v>9070</v>
      </c>
      <c r="M9036" s="220">
        <v>22000</v>
      </c>
      <c r="N9036" s="220">
        <f>SUM(I9036:M9037)</f>
        <v>301670</v>
      </c>
      <c r="O9036" s="224"/>
      <c r="P9036" s="110" t="s">
        <v>26305</v>
      </c>
      <c r="Q9036" s="15" t="s">
        <v>19</v>
      </c>
      <c r="R9036" s="205"/>
      <c r="S9036" s="189"/>
      <c r="T9036" s="114"/>
      <c r="U9036" s="21"/>
      <c r="V9036" s="115"/>
      <c r="W9036" s="116"/>
      <c r="X9036" s="220"/>
      <c r="Y9036" s="220">
        <f>X9036*0.1</f>
        <v>0</v>
      </c>
      <c r="Z9036" s="220"/>
      <c r="AA9036" s="220">
        <f>SUM(X9036:Z9036)</f>
        <v>0</v>
      </c>
      <c r="AB9036" s="222"/>
    </row>
    <row r="9037" spans="1:28" ht="17.100000000000001" customHeight="1" thickBot="1">
      <c r="A9037" s="227"/>
      <c r="B9037" s="27" t="s">
        <v>3890</v>
      </c>
      <c r="C9037" s="27">
        <v>81</v>
      </c>
      <c r="D9037" s="14" t="s">
        <v>2753</v>
      </c>
      <c r="E9037" s="229"/>
      <c r="F9037" s="117" t="s">
        <v>25059</v>
      </c>
      <c r="G9037" s="26">
        <v>53337</v>
      </c>
      <c r="H9037" s="231"/>
      <c r="I9037" s="221"/>
      <c r="J9037" s="221"/>
      <c r="K9037" s="221"/>
      <c r="L9037" s="221"/>
      <c r="M9037" s="221"/>
      <c r="N9037" s="221"/>
      <c r="O9037" s="225"/>
      <c r="P9037" s="118" t="s">
        <v>4348</v>
      </c>
      <c r="Q9037" s="16" t="s">
        <v>20</v>
      </c>
      <c r="R9037" s="17" t="s">
        <v>26278</v>
      </c>
      <c r="S9037" s="121" t="s">
        <v>4843</v>
      </c>
      <c r="T9037" s="122"/>
      <c r="U9037" s="22"/>
      <c r="V9037" s="123"/>
      <c r="W9037" s="122"/>
      <c r="X9037" s="221"/>
      <c r="Y9037" s="221"/>
      <c r="Z9037" s="221"/>
      <c r="AA9037" s="221"/>
      <c r="AB9037" s="223"/>
    </row>
    <row r="9038" spans="1:28" ht="17.100000000000001" customHeight="1" thickTop="1">
      <c r="A9038" s="226" t="s">
        <v>25045</v>
      </c>
      <c r="B9038" s="28">
        <v>46157</v>
      </c>
      <c r="C9038" s="25">
        <v>290</v>
      </c>
      <c r="D9038" s="13" t="s">
        <v>3474</v>
      </c>
      <c r="E9038" s="228"/>
      <c r="F9038" s="109" t="s">
        <v>17814</v>
      </c>
      <c r="G9038" s="24"/>
      <c r="H9038" s="230">
        <v>4</v>
      </c>
      <c r="I9038" s="220">
        <v>555000</v>
      </c>
      <c r="J9038" s="220">
        <f>I9038*0.1</f>
        <v>55500</v>
      </c>
      <c r="K9038" s="220">
        <v>0</v>
      </c>
      <c r="L9038" s="220">
        <v>7510</v>
      </c>
      <c r="M9038" s="220">
        <v>22000</v>
      </c>
      <c r="N9038" s="220">
        <f>SUM(I9038:M9039)</f>
        <v>640010</v>
      </c>
      <c r="O9038" s="224"/>
      <c r="P9038" s="110" t="s">
        <v>26205</v>
      </c>
      <c r="Q9038" s="15" t="s">
        <v>19</v>
      </c>
      <c r="R9038" s="205"/>
      <c r="S9038" s="189"/>
      <c r="T9038" s="114"/>
      <c r="U9038" s="21"/>
      <c r="V9038" s="115"/>
      <c r="W9038" s="116"/>
      <c r="X9038" s="220"/>
      <c r="Y9038" s="220">
        <f>X9038*0.1</f>
        <v>0</v>
      </c>
      <c r="Z9038" s="220"/>
      <c r="AA9038" s="220">
        <f>SUM(X9038:Z9038)</f>
        <v>0</v>
      </c>
      <c r="AB9038" s="222"/>
    </row>
    <row r="9039" spans="1:28" ht="17.100000000000001" customHeight="1" thickBot="1">
      <c r="A9039" s="227"/>
      <c r="B9039" s="27" t="s">
        <v>3890</v>
      </c>
      <c r="C9039" s="27">
        <v>108</v>
      </c>
      <c r="D9039" s="14" t="s">
        <v>1584</v>
      </c>
      <c r="E9039" s="229"/>
      <c r="F9039" s="117" t="s">
        <v>25060</v>
      </c>
      <c r="G9039" s="26">
        <v>42516</v>
      </c>
      <c r="H9039" s="231"/>
      <c r="I9039" s="221"/>
      <c r="J9039" s="221"/>
      <c r="K9039" s="221"/>
      <c r="L9039" s="221"/>
      <c r="M9039" s="221"/>
      <c r="N9039" s="221"/>
      <c r="O9039" s="225"/>
      <c r="P9039" s="118" t="s">
        <v>7323</v>
      </c>
      <c r="Q9039" s="16" t="s">
        <v>20</v>
      </c>
      <c r="R9039" s="17" t="s">
        <v>2702</v>
      </c>
      <c r="S9039" s="121" t="s">
        <v>1661</v>
      </c>
      <c r="T9039" s="122"/>
      <c r="U9039" s="22"/>
      <c r="V9039" s="123"/>
      <c r="W9039" s="122"/>
      <c r="X9039" s="221"/>
      <c r="Y9039" s="221"/>
      <c r="Z9039" s="221"/>
      <c r="AA9039" s="221"/>
      <c r="AB9039" s="223"/>
    </row>
    <row r="9040" spans="1:28" ht="17.100000000000001" customHeight="1" thickTop="1">
      <c r="A9040" s="226" t="s">
        <v>25049</v>
      </c>
      <c r="B9040" s="28">
        <v>46157</v>
      </c>
      <c r="C9040" s="25">
        <v>290</v>
      </c>
      <c r="D9040" s="13" t="s">
        <v>2913</v>
      </c>
      <c r="E9040" s="228"/>
      <c r="F9040" s="109" t="s">
        <v>25181</v>
      </c>
      <c r="G9040" s="24"/>
      <c r="H9040" s="230">
        <v>4.5</v>
      </c>
      <c r="I9040" s="220">
        <v>648000</v>
      </c>
      <c r="J9040" s="220">
        <f>I9040*0.1</f>
        <v>64800</v>
      </c>
      <c r="K9040" s="220">
        <v>0</v>
      </c>
      <c r="L9040" s="220">
        <v>6840</v>
      </c>
      <c r="M9040" s="220">
        <v>22000</v>
      </c>
      <c r="N9040" s="220">
        <f>SUM(I9040:M9041)</f>
        <v>741640</v>
      </c>
      <c r="O9040" s="224"/>
      <c r="P9040" s="110" t="s">
        <v>26105</v>
      </c>
      <c r="Q9040" s="15" t="s">
        <v>19</v>
      </c>
      <c r="R9040" s="205"/>
      <c r="S9040" s="189" t="s">
        <v>25445</v>
      </c>
      <c r="T9040" s="114"/>
      <c r="U9040" s="21"/>
      <c r="V9040" s="115">
        <v>46162</v>
      </c>
      <c r="W9040" s="116">
        <v>1017</v>
      </c>
      <c r="X9040" s="220">
        <v>720000</v>
      </c>
      <c r="Y9040" s="220">
        <f>X9040*0.1</f>
        <v>72000</v>
      </c>
      <c r="Z9040" s="220">
        <v>6840</v>
      </c>
      <c r="AA9040" s="220">
        <f>SUM(X9040:Z9040)</f>
        <v>798840</v>
      </c>
      <c r="AB9040" s="222">
        <v>46167</v>
      </c>
    </row>
    <row r="9041" spans="1:28" ht="17.100000000000001" customHeight="1" thickBot="1">
      <c r="A9041" s="227"/>
      <c r="B9041" s="27" t="s">
        <v>3890</v>
      </c>
      <c r="C9041" s="27">
        <v>114</v>
      </c>
      <c r="D9041" s="14" t="s">
        <v>273</v>
      </c>
      <c r="E9041" s="229"/>
      <c r="F9041" s="117" t="s">
        <v>25061</v>
      </c>
      <c r="G9041" s="26">
        <v>29850</v>
      </c>
      <c r="H9041" s="231"/>
      <c r="I9041" s="221"/>
      <c r="J9041" s="221"/>
      <c r="K9041" s="221"/>
      <c r="L9041" s="221"/>
      <c r="M9041" s="221"/>
      <c r="N9041" s="221"/>
      <c r="O9041" s="225"/>
      <c r="P9041" s="118" t="s">
        <v>10976</v>
      </c>
      <c r="Q9041" s="16" t="s">
        <v>20</v>
      </c>
      <c r="R9041" s="17" t="s">
        <v>2702</v>
      </c>
      <c r="S9041" s="121" t="s">
        <v>26475</v>
      </c>
      <c r="T9041" s="122"/>
      <c r="U9041" s="22"/>
      <c r="V9041" s="123" t="s">
        <v>2747</v>
      </c>
      <c r="W9041" s="122">
        <v>5102</v>
      </c>
      <c r="X9041" s="221"/>
      <c r="Y9041" s="221"/>
      <c r="Z9041" s="221"/>
      <c r="AA9041" s="221"/>
      <c r="AB9041" s="223"/>
    </row>
    <row r="9042" spans="1:28" ht="17.100000000000001" customHeight="1" thickTop="1">
      <c r="A9042" s="226" t="s">
        <v>25050</v>
      </c>
      <c r="B9042" s="28">
        <v>46157</v>
      </c>
      <c r="C9042" s="25">
        <v>290</v>
      </c>
      <c r="D9042" s="13" t="s">
        <v>2129</v>
      </c>
      <c r="E9042" s="228"/>
      <c r="F9042" s="109" t="s">
        <v>25182</v>
      </c>
      <c r="G9042" s="24"/>
      <c r="H9042" s="230">
        <v>3.5</v>
      </c>
      <c r="I9042" s="220">
        <v>1465000</v>
      </c>
      <c r="J9042" s="220">
        <f>I9042*0.1</f>
        <v>146500</v>
      </c>
      <c r="K9042" s="220">
        <v>0</v>
      </c>
      <c r="L9042" s="220">
        <v>12410</v>
      </c>
      <c r="M9042" s="220">
        <v>22000</v>
      </c>
      <c r="N9042" s="220">
        <f>SUM(I9042:M9043)</f>
        <v>1645910</v>
      </c>
      <c r="O9042" s="224"/>
      <c r="P9042" s="110" t="s">
        <v>26304</v>
      </c>
      <c r="Q9042" s="15" t="s">
        <v>19</v>
      </c>
      <c r="R9042" s="205"/>
      <c r="S9042" s="189" t="s">
        <v>25559</v>
      </c>
      <c r="T9042" s="114" t="s">
        <v>25184</v>
      </c>
      <c r="U9042" s="21"/>
      <c r="V9042" s="115"/>
      <c r="W9042" s="116"/>
      <c r="X9042" s="220"/>
      <c r="Y9042" s="220">
        <f>X9042*0.1</f>
        <v>0</v>
      </c>
      <c r="Z9042" s="220"/>
      <c r="AA9042" s="220">
        <f>SUM(X9042:Z9042)</f>
        <v>0</v>
      </c>
      <c r="AB9042" s="222"/>
    </row>
    <row r="9043" spans="1:28" ht="17.100000000000001" customHeight="1" thickBot="1">
      <c r="A9043" s="227"/>
      <c r="B9043" s="27" t="s">
        <v>3890</v>
      </c>
      <c r="C9043" s="27">
        <v>20024</v>
      </c>
      <c r="D9043" s="14" t="s">
        <v>1584</v>
      </c>
      <c r="E9043" s="229"/>
      <c r="F9043" s="117" t="s">
        <v>25183</v>
      </c>
      <c r="G9043" s="26">
        <v>33104</v>
      </c>
      <c r="H9043" s="231"/>
      <c r="I9043" s="221"/>
      <c r="J9043" s="221"/>
      <c r="K9043" s="221"/>
      <c r="L9043" s="221"/>
      <c r="M9043" s="221"/>
      <c r="N9043" s="221"/>
      <c r="O9043" s="225"/>
      <c r="P9043" s="118" t="s">
        <v>7414</v>
      </c>
      <c r="Q9043" s="16" t="s">
        <v>20</v>
      </c>
      <c r="R9043" s="17" t="s">
        <v>26278</v>
      </c>
      <c r="S9043" s="121" t="s">
        <v>23917</v>
      </c>
      <c r="T9043" s="122"/>
      <c r="U9043" s="22"/>
      <c r="V9043" s="123"/>
      <c r="W9043" s="122"/>
      <c r="X9043" s="221"/>
      <c r="Y9043" s="221"/>
      <c r="Z9043" s="221"/>
      <c r="AA9043" s="221"/>
      <c r="AB9043" s="223"/>
    </row>
    <row r="9044" spans="1:28" ht="17.100000000000001" customHeight="1" thickTop="1">
      <c r="A9044" s="226" t="s">
        <v>25051</v>
      </c>
      <c r="B9044" s="28">
        <v>46157</v>
      </c>
      <c r="C9044" s="25">
        <v>290</v>
      </c>
      <c r="D9044" s="13" t="s">
        <v>2913</v>
      </c>
      <c r="E9044" s="228"/>
      <c r="F9044" s="109" t="s">
        <v>25185</v>
      </c>
      <c r="G9044" s="24" t="s">
        <v>1540</v>
      </c>
      <c r="H9044" s="230">
        <v>5</v>
      </c>
      <c r="I9044" s="220">
        <v>793000</v>
      </c>
      <c r="J9044" s="220">
        <f>I9044*0.1</f>
        <v>79300</v>
      </c>
      <c r="K9044" s="220">
        <v>0</v>
      </c>
      <c r="L9044" s="220">
        <v>5990</v>
      </c>
      <c r="M9044" s="220">
        <v>22000</v>
      </c>
      <c r="N9044" s="220">
        <f>SUM(I9044:M9045)</f>
        <v>900290</v>
      </c>
      <c r="O9044" s="224"/>
      <c r="P9044" s="110" t="s">
        <v>25186</v>
      </c>
      <c r="Q9044" s="15" t="s">
        <v>19</v>
      </c>
      <c r="R9044" s="205"/>
      <c r="S9044" s="189" t="s">
        <v>25392</v>
      </c>
      <c r="T9044" s="114"/>
      <c r="U9044" s="21"/>
      <c r="V9044" s="115">
        <v>46162</v>
      </c>
      <c r="W9044" s="116">
        <v>1017</v>
      </c>
      <c r="X9044" s="220">
        <v>860000</v>
      </c>
      <c r="Y9044" s="220">
        <f>X9044*0.1</f>
        <v>86000</v>
      </c>
      <c r="Z9044" s="220">
        <v>5990</v>
      </c>
      <c r="AA9044" s="220">
        <f>SUM(X9044:Z9044)</f>
        <v>951990</v>
      </c>
      <c r="AB9044" s="222">
        <v>46167</v>
      </c>
    </row>
    <row r="9045" spans="1:28" ht="17.100000000000001" customHeight="1" thickBot="1">
      <c r="A9045" s="227"/>
      <c r="B9045" s="27" t="s">
        <v>3890</v>
      </c>
      <c r="C9045" s="27">
        <v>20045</v>
      </c>
      <c r="D9045" s="14" t="s">
        <v>3274</v>
      </c>
      <c r="E9045" s="229"/>
      <c r="F9045" s="117" t="s">
        <v>25062</v>
      </c>
      <c r="G9045" s="26">
        <v>26593</v>
      </c>
      <c r="H9045" s="231"/>
      <c r="I9045" s="221"/>
      <c r="J9045" s="221"/>
      <c r="K9045" s="221"/>
      <c r="L9045" s="221"/>
      <c r="M9045" s="221"/>
      <c r="N9045" s="221"/>
      <c r="O9045" s="225"/>
      <c r="P9045" s="118" t="s">
        <v>12083</v>
      </c>
      <c r="Q9045" s="16" t="s">
        <v>20</v>
      </c>
      <c r="R9045" s="17" t="s">
        <v>2702</v>
      </c>
      <c r="S9045" s="121" t="s">
        <v>25277</v>
      </c>
      <c r="T9045" s="122"/>
      <c r="U9045" s="22"/>
      <c r="V9045" s="123" t="s">
        <v>2747</v>
      </c>
      <c r="W9045" s="122">
        <v>5095</v>
      </c>
      <c r="X9045" s="221"/>
      <c r="Y9045" s="221"/>
      <c r="Z9045" s="221"/>
      <c r="AA9045" s="221"/>
      <c r="AB9045" s="223"/>
    </row>
    <row r="9046" spans="1:28" ht="17.100000000000001" customHeight="1" thickTop="1">
      <c r="A9046" s="226" t="s">
        <v>25052</v>
      </c>
      <c r="B9046" s="28">
        <v>46157</v>
      </c>
      <c r="C9046" s="25">
        <v>290</v>
      </c>
      <c r="D9046" s="13" t="s">
        <v>1687</v>
      </c>
      <c r="E9046" s="228"/>
      <c r="F9046" s="109" t="s">
        <v>25187</v>
      </c>
      <c r="G9046" s="24"/>
      <c r="H9046" s="230">
        <v>4</v>
      </c>
      <c r="I9046" s="220">
        <v>1050000</v>
      </c>
      <c r="J9046" s="220">
        <f>I9046*0.1</f>
        <v>105000</v>
      </c>
      <c r="K9046" s="220">
        <v>0</v>
      </c>
      <c r="L9046" s="220">
        <v>8170</v>
      </c>
      <c r="M9046" s="220">
        <v>22000</v>
      </c>
      <c r="N9046" s="220">
        <f>SUM(I9046:M9047)</f>
        <v>1185170</v>
      </c>
      <c r="O9046" s="224"/>
      <c r="P9046" s="110" t="s">
        <v>26303</v>
      </c>
      <c r="Q9046" s="15" t="s">
        <v>19</v>
      </c>
      <c r="R9046" s="205"/>
      <c r="S9046" s="189" t="s">
        <v>25618</v>
      </c>
      <c r="T9046" s="114"/>
      <c r="U9046" s="21"/>
      <c r="V9046" s="115"/>
      <c r="W9046" s="116"/>
      <c r="X9046" s="220"/>
      <c r="Y9046" s="220">
        <f>X9046*0.1</f>
        <v>0</v>
      </c>
      <c r="Z9046" s="220"/>
      <c r="AA9046" s="220">
        <f>SUM(X9046:Z9046)</f>
        <v>0</v>
      </c>
      <c r="AB9046" s="222"/>
    </row>
    <row r="9047" spans="1:28" ht="17.100000000000001" customHeight="1" thickBot="1">
      <c r="A9047" s="227"/>
      <c r="B9047" s="27" t="s">
        <v>3890</v>
      </c>
      <c r="C9047" s="27">
        <v>20104</v>
      </c>
      <c r="D9047" s="14" t="s">
        <v>1710</v>
      </c>
      <c r="E9047" s="229"/>
      <c r="F9047" s="117" t="s">
        <v>25063</v>
      </c>
      <c r="G9047" s="26">
        <v>48778</v>
      </c>
      <c r="H9047" s="231"/>
      <c r="I9047" s="221"/>
      <c r="J9047" s="221"/>
      <c r="K9047" s="221"/>
      <c r="L9047" s="221"/>
      <c r="M9047" s="221"/>
      <c r="N9047" s="221"/>
      <c r="O9047" s="225"/>
      <c r="P9047" s="118" t="s">
        <v>2446</v>
      </c>
      <c r="Q9047" s="16" t="s">
        <v>20</v>
      </c>
      <c r="R9047" s="17" t="s">
        <v>26278</v>
      </c>
      <c r="S9047" s="121" t="s">
        <v>3581</v>
      </c>
      <c r="T9047" s="122"/>
      <c r="U9047" s="22"/>
      <c r="V9047" s="123"/>
      <c r="W9047" s="122"/>
      <c r="X9047" s="221"/>
      <c r="Y9047" s="221"/>
      <c r="Z9047" s="221"/>
      <c r="AA9047" s="221"/>
      <c r="AB9047" s="223"/>
    </row>
    <row r="9048" spans="1:28" ht="17.100000000000001" customHeight="1" thickTop="1">
      <c r="A9048" s="226" t="s">
        <v>25053</v>
      </c>
      <c r="B9048" s="28">
        <v>46157</v>
      </c>
      <c r="C9048" s="25">
        <v>290</v>
      </c>
      <c r="D9048" s="13" t="s">
        <v>1687</v>
      </c>
      <c r="E9048" s="228"/>
      <c r="F9048" s="109" t="s">
        <v>25187</v>
      </c>
      <c r="G9048" s="24"/>
      <c r="H9048" s="230">
        <v>4</v>
      </c>
      <c r="I9048" s="220">
        <v>1059000</v>
      </c>
      <c r="J9048" s="220">
        <f>I9048*0.1</f>
        <v>105900</v>
      </c>
      <c r="K9048" s="220">
        <v>0</v>
      </c>
      <c r="L9048" s="220">
        <v>8170</v>
      </c>
      <c r="M9048" s="220">
        <v>22000</v>
      </c>
      <c r="N9048" s="220">
        <f>SUM(I9048:M9049)</f>
        <v>1195070</v>
      </c>
      <c r="O9048" s="224"/>
      <c r="P9048" s="110" t="s">
        <v>26302</v>
      </c>
      <c r="Q9048" s="15" t="s">
        <v>19</v>
      </c>
      <c r="R9048" s="205"/>
      <c r="S9048" s="189" t="s">
        <v>25618</v>
      </c>
      <c r="T9048" s="114"/>
      <c r="U9048" s="21"/>
      <c r="V9048" s="115"/>
      <c r="W9048" s="116"/>
      <c r="X9048" s="220"/>
      <c r="Y9048" s="220">
        <f>X9048*0.1</f>
        <v>0</v>
      </c>
      <c r="Z9048" s="220"/>
      <c r="AA9048" s="220">
        <f>SUM(X9048:Z9048)</f>
        <v>0</v>
      </c>
      <c r="AB9048" s="222"/>
    </row>
    <row r="9049" spans="1:28" ht="17.100000000000001" customHeight="1" thickBot="1">
      <c r="A9049" s="227"/>
      <c r="B9049" s="27" t="s">
        <v>3890</v>
      </c>
      <c r="C9049" s="27">
        <v>20107</v>
      </c>
      <c r="D9049" s="14" t="s">
        <v>1710</v>
      </c>
      <c r="E9049" s="229"/>
      <c r="F9049" s="117" t="s">
        <v>25064</v>
      </c>
      <c r="G9049" s="26">
        <v>44003</v>
      </c>
      <c r="H9049" s="231"/>
      <c r="I9049" s="221"/>
      <c r="J9049" s="221"/>
      <c r="K9049" s="221"/>
      <c r="L9049" s="221"/>
      <c r="M9049" s="221"/>
      <c r="N9049" s="221"/>
      <c r="O9049" s="225"/>
      <c r="P9049" s="118" t="s">
        <v>2446</v>
      </c>
      <c r="Q9049" s="16" t="s">
        <v>20</v>
      </c>
      <c r="R9049" s="17" t="s">
        <v>26278</v>
      </c>
      <c r="S9049" s="121" t="s">
        <v>3581</v>
      </c>
      <c r="T9049" s="122"/>
      <c r="U9049" s="22"/>
      <c r="V9049" s="123"/>
      <c r="W9049" s="122"/>
      <c r="X9049" s="221"/>
      <c r="Y9049" s="221"/>
      <c r="Z9049" s="221"/>
      <c r="AA9049" s="221"/>
      <c r="AB9049" s="223"/>
    </row>
    <row r="9050" spans="1:28" ht="17.100000000000001" customHeight="1" thickTop="1">
      <c r="A9050" s="226" t="s">
        <v>25054</v>
      </c>
      <c r="B9050" s="28">
        <v>46157</v>
      </c>
      <c r="C9050" s="25">
        <v>290</v>
      </c>
      <c r="D9050" s="13" t="s">
        <v>1687</v>
      </c>
      <c r="E9050" s="228"/>
      <c r="F9050" s="109" t="s">
        <v>25187</v>
      </c>
      <c r="G9050" s="24"/>
      <c r="H9050" s="230">
        <v>4.5</v>
      </c>
      <c r="I9050" s="220">
        <v>1019000</v>
      </c>
      <c r="J9050" s="220">
        <f>I9050*0.1</f>
        <v>101900</v>
      </c>
      <c r="K9050" s="220">
        <v>0</v>
      </c>
      <c r="L9050" s="220">
        <v>8170</v>
      </c>
      <c r="M9050" s="220">
        <v>22000</v>
      </c>
      <c r="N9050" s="220">
        <f>SUM(I9050:M9051)</f>
        <v>1151070</v>
      </c>
      <c r="O9050" s="224"/>
      <c r="P9050" s="110" t="s">
        <v>26301</v>
      </c>
      <c r="Q9050" s="15" t="s">
        <v>19</v>
      </c>
      <c r="R9050" s="205"/>
      <c r="S9050" s="189" t="s">
        <v>25618</v>
      </c>
      <c r="T9050" s="114"/>
      <c r="U9050" s="21"/>
      <c r="V9050" s="115">
        <v>46162</v>
      </c>
      <c r="W9050" s="116">
        <v>1017</v>
      </c>
      <c r="X9050" s="220">
        <v>1100000</v>
      </c>
      <c r="Y9050" s="220">
        <f>X9050*0.1</f>
        <v>110000</v>
      </c>
      <c r="Z9050" s="220">
        <v>8170</v>
      </c>
      <c r="AA9050" s="220">
        <f>SUM(X9050:Z9050)</f>
        <v>1218170</v>
      </c>
      <c r="AB9050" s="222"/>
    </row>
    <row r="9051" spans="1:28" ht="17.100000000000001" customHeight="1" thickBot="1">
      <c r="A9051" s="227"/>
      <c r="B9051" s="27" t="s">
        <v>3890</v>
      </c>
      <c r="C9051" s="27">
        <v>20108</v>
      </c>
      <c r="D9051" s="14" t="s">
        <v>1710</v>
      </c>
      <c r="E9051" s="229"/>
      <c r="F9051" s="117" t="s">
        <v>25065</v>
      </c>
      <c r="G9051" s="26">
        <v>51034</v>
      </c>
      <c r="H9051" s="231"/>
      <c r="I9051" s="221"/>
      <c r="J9051" s="221"/>
      <c r="K9051" s="221"/>
      <c r="L9051" s="221"/>
      <c r="M9051" s="221"/>
      <c r="N9051" s="221"/>
      <c r="O9051" s="225"/>
      <c r="P9051" s="118" t="s">
        <v>2446</v>
      </c>
      <c r="Q9051" s="16" t="s">
        <v>20</v>
      </c>
      <c r="R9051" s="17" t="s">
        <v>26278</v>
      </c>
      <c r="S9051" s="121" t="s">
        <v>3581</v>
      </c>
      <c r="T9051" s="122"/>
      <c r="U9051" s="22"/>
      <c r="V9051" s="123" t="s">
        <v>7161</v>
      </c>
      <c r="W9051" s="122">
        <v>5138</v>
      </c>
      <c r="X9051" s="221"/>
      <c r="Y9051" s="221"/>
      <c r="Z9051" s="221"/>
      <c r="AA9051" s="221"/>
      <c r="AB9051" s="223"/>
    </row>
    <row r="9052" spans="1:28" ht="17.100000000000001" customHeight="1" thickTop="1">
      <c r="A9052" s="226" t="s">
        <v>25055</v>
      </c>
      <c r="B9052" s="28">
        <v>46157</v>
      </c>
      <c r="C9052" s="25">
        <v>290</v>
      </c>
      <c r="D9052" s="13" t="s">
        <v>1687</v>
      </c>
      <c r="E9052" s="228"/>
      <c r="F9052" s="109" t="s">
        <v>25187</v>
      </c>
      <c r="G9052" s="24"/>
      <c r="H9052" s="230">
        <v>4</v>
      </c>
      <c r="I9052" s="220">
        <v>1029000</v>
      </c>
      <c r="J9052" s="220">
        <f>I9052*0.1</f>
        <v>102900</v>
      </c>
      <c r="K9052" s="220">
        <v>0</v>
      </c>
      <c r="L9052" s="220">
        <v>8170</v>
      </c>
      <c r="M9052" s="220">
        <v>22000</v>
      </c>
      <c r="N9052" s="220">
        <f>SUM(I9052:M9053)</f>
        <v>1162070</v>
      </c>
      <c r="O9052" s="224"/>
      <c r="P9052" s="110" t="s">
        <v>26300</v>
      </c>
      <c r="Q9052" s="15" t="s">
        <v>19</v>
      </c>
      <c r="R9052" s="205"/>
      <c r="S9052" s="189" t="s">
        <v>25618</v>
      </c>
      <c r="T9052" s="114"/>
      <c r="U9052" s="21"/>
      <c r="V9052" s="115"/>
      <c r="W9052" s="116"/>
      <c r="X9052" s="220"/>
      <c r="Y9052" s="220">
        <f>X9052*0.1</f>
        <v>0</v>
      </c>
      <c r="Z9052" s="220"/>
      <c r="AA9052" s="220">
        <f>SUM(X9052:Z9052)</f>
        <v>0</v>
      </c>
      <c r="AB9052" s="222"/>
    </row>
    <row r="9053" spans="1:28" ht="17.100000000000001" customHeight="1" thickBot="1">
      <c r="A9053" s="227"/>
      <c r="B9053" s="27" t="s">
        <v>3890</v>
      </c>
      <c r="C9053" s="27">
        <v>20119</v>
      </c>
      <c r="D9053" s="14" t="s">
        <v>1710</v>
      </c>
      <c r="E9053" s="229"/>
      <c r="F9053" s="117" t="s">
        <v>25066</v>
      </c>
      <c r="G9053" s="26">
        <v>49446</v>
      </c>
      <c r="H9053" s="231"/>
      <c r="I9053" s="221"/>
      <c r="J9053" s="221"/>
      <c r="K9053" s="221"/>
      <c r="L9053" s="221"/>
      <c r="M9053" s="221"/>
      <c r="N9053" s="221"/>
      <c r="O9053" s="225"/>
      <c r="P9053" s="118" t="s">
        <v>2446</v>
      </c>
      <c r="Q9053" s="16" t="s">
        <v>20</v>
      </c>
      <c r="R9053" s="17" t="s">
        <v>26278</v>
      </c>
      <c r="S9053" s="121" t="s">
        <v>3581</v>
      </c>
      <c r="T9053" s="122"/>
      <c r="U9053" s="22"/>
      <c r="V9053" s="123"/>
      <c r="W9053" s="122"/>
      <c r="X9053" s="221"/>
      <c r="Y9053" s="221"/>
      <c r="Z9053" s="221"/>
      <c r="AA9053" s="221"/>
      <c r="AB9053" s="223"/>
    </row>
    <row r="9054" spans="1:28" ht="17.100000000000001" customHeight="1" thickTop="1">
      <c r="A9054" s="226" t="s">
        <v>25056</v>
      </c>
      <c r="B9054" s="28">
        <v>46157</v>
      </c>
      <c r="C9054" s="25">
        <v>1418</v>
      </c>
      <c r="D9054" s="13" t="s">
        <v>1996</v>
      </c>
      <c r="E9054" s="228"/>
      <c r="F9054" s="109" t="s">
        <v>7859</v>
      </c>
      <c r="G9054" s="24" t="s">
        <v>4940</v>
      </c>
      <c r="H9054" s="230">
        <v>4</v>
      </c>
      <c r="I9054" s="220">
        <v>670000</v>
      </c>
      <c r="J9054" s="220">
        <f>I9054*0.1</f>
        <v>67000</v>
      </c>
      <c r="K9054" s="220">
        <v>0</v>
      </c>
      <c r="L9054" s="220">
        <v>8850</v>
      </c>
      <c r="M9054" s="220">
        <v>15400</v>
      </c>
      <c r="N9054" s="220">
        <f>SUM(I9054:M9055)</f>
        <v>761250</v>
      </c>
      <c r="O9054" s="224"/>
      <c r="P9054" s="110" t="s">
        <v>26208</v>
      </c>
      <c r="Q9054" s="15" t="s">
        <v>19</v>
      </c>
      <c r="R9054" s="205"/>
      <c r="S9054" s="189" t="s">
        <v>1361</v>
      </c>
      <c r="T9054" s="114"/>
      <c r="U9054" s="21"/>
      <c r="V9054" s="115"/>
      <c r="W9054" s="116"/>
      <c r="X9054" s="220"/>
      <c r="Y9054" s="220">
        <f>X9054*0.1</f>
        <v>0</v>
      </c>
      <c r="Z9054" s="220"/>
      <c r="AA9054" s="220">
        <f>SUM(X9054:Z9054)</f>
        <v>0</v>
      </c>
      <c r="AB9054" s="222"/>
    </row>
    <row r="9055" spans="1:28" ht="17.100000000000001" customHeight="1" thickBot="1">
      <c r="A9055" s="227"/>
      <c r="B9055" s="27" t="s">
        <v>2597</v>
      </c>
      <c r="C9055" s="27">
        <v>3001</v>
      </c>
      <c r="D9055" s="14" t="s">
        <v>1710</v>
      </c>
      <c r="E9055" s="229"/>
      <c r="F9055" s="117" t="s">
        <v>25082</v>
      </c>
      <c r="G9055" s="26">
        <v>5809</v>
      </c>
      <c r="H9055" s="231"/>
      <c r="I9055" s="221"/>
      <c r="J9055" s="221"/>
      <c r="K9055" s="221"/>
      <c r="L9055" s="221"/>
      <c r="M9055" s="221"/>
      <c r="N9055" s="221"/>
      <c r="O9055" s="225"/>
      <c r="P9055" s="118" t="s">
        <v>4161</v>
      </c>
      <c r="Q9055" s="16" t="s">
        <v>20</v>
      </c>
      <c r="R9055" s="17" t="s">
        <v>2702</v>
      </c>
      <c r="S9055" s="121" t="s">
        <v>4413</v>
      </c>
      <c r="T9055" s="122"/>
      <c r="U9055" s="22"/>
      <c r="V9055" s="123"/>
      <c r="W9055" s="122"/>
      <c r="X9055" s="221"/>
      <c r="Y9055" s="221"/>
      <c r="Z9055" s="221"/>
      <c r="AA9055" s="221"/>
      <c r="AB9055" s="223"/>
    </row>
    <row r="9056" spans="1:28" ht="17.100000000000001" customHeight="1" thickTop="1">
      <c r="A9056" s="226" t="s">
        <v>25067</v>
      </c>
      <c r="B9056" s="28">
        <v>46157</v>
      </c>
      <c r="C9056" s="25">
        <v>1418</v>
      </c>
      <c r="D9056" s="13" t="s">
        <v>1824</v>
      </c>
      <c r="E9056" s="228"/>
      <c r="F9056" s="109" t="s">
        <v>6972</v>
      </c>
      <c r="G9056" s="24" t="s">
        <v>7650</v>
      </c>
      <c r="H9056" s="230">
        <v>4</v>
      </c>
      <c r="I9056" s="220">
        <v>850000</v>
      </c>
      <c r="J9056" s="220">
        <f>I9056*0.1</f>
        <v>85000</v>
      </c>
      <c r="K9056" s="220">
        <v>0</v>
      </c>
      <c r="L9056" s="220">
        <v>9010</v>
      </c>
      <c r="M9056" s="220">
        <v>19800</v>
      </c>
      <c r="N9056" s="220">
        <f>SUM(I9056:M9057)</f>
        <v>963810</v>
      </c>
      <c r="O9056" s="224"/>
      <c r="P9056" s="110" t="s">
        <v>26101</v>
      </c>
      <c r="Q9056" s="15" t="s">
        <v>19</v>
      </c>
      <c r="R9056" s="205"/>
      <c r="S9056" s="189" t="s">
        <v>25372</v>
      </c>
      <c r="T9056" s="114"/>
      <c r="U9056" s="21"/>
      <c r="V9056" s="115">
        <v>46162</v>
      </c>
      <c r="W9056" s="116">
        <v>1017</v>
      </c>
      <c r="X9056" s="220">
        <v>1000000</v>
      </c>
      <c r="Y9056" s="220">
        <f>X9056*0.1</f>
        <v>100000</v>
      </c>
      <c r="Z9056" s="220">
        <v>9010</v>
      </c>
      <c r="AA9056" s="220">
        <f>SUM(X9056:Z9056)</f>
        <v>1109010</v>
      </c>
      <c r="AB9056" s="222">
        <v>46167</v>
      </c>
    </row>
    <row r="9057" spans="1:28" ht="17.100000000000001" customHeight="1" thickBot="1">
      <c r="A9057" s="227"/>
      <c r="B9057" s="27" t="s">
        <v>2597</v>
      </c>
      <c r="C9057" s="27">
        <v>3020</v>
      </c>
      <c r="D9057" s="14" t="s">
        <v>1710</v>
      </c>
      <c r="E9057" s="229"/>
      <c r="F9057" s="117" t="s">
        <v>25083</v>
      </c>
      <c r="G9057" s="26">
        <v>27680</v>
      </c>
      <c r="H9057" s="231"/>
      <c r="I9057" s="221"/>
      <c r="J9057" s="221"/>
      <c r="K9057" s="221"/>
      <c r="L9057" s="221"/>
      <c r="M9057" s="221"/>
      <c r="N9057" s="221"/>
      <c r="O9057" s="225"/>
      <c r="P9057" s="118" t="s">
        <v>26102</v>
      </c>
      <c r="Q9057" s="16" t="s">
        <v>20</v>
      </c>
      <c r="R9057" s="17" t="s">
        <v>2702</v>
      </c>
      <c r="S9057" s="121" t="s">
        <v>169</v>
      </c>
      <c r="T9057" s="122"/>
      <c r="U9057" s="22"/>
      <c r="V9057" s="123" t="s">
        <v>2747</v>
      </c>
      <c r="W9057" s="122">
        <v>5103</v>
      </c>
      <c r="X9057" s="221"/>
      <c r="Y9057" s="221"/>
      <c r="Z9057" s="221"/>
      <c r="AA9057" s="221"/>
      <c r="AB9057" s="223"/>
    </row>
    <row r="9058" spans="1:28" ht="17.100000000000001" customHeight="1" thickTop="1">
      <c r="A9058" s="226" t="s">
        <v>25068</v>
      </c>
      <c r="B9058" s="28">
        <v>46157</v>
      </c>
      <c r="C9058" s="25">
        <v>1418</v>
      </c>
      <c r="D9058" s="13" t="s">
        <v>1899</v>
      </c>
      <c r="E9058" s="228"/>
      <c r="F9058" s="109" t="s">
        <v>25084</v>
      </c>
      <c r="G9058" s="24" t="s">
        <v>25188</v>
      </c>
      <c r="H9058" s="230">
        <v>4</v>
      </c>
      <c r="I9058" s="220">
        <v>934000</v>
      </c>
      <c r="J9058" s="220">
        <f>I9058*0.1</f>
        <v>93400</v>
      </c>
      <c r="K9058" s="220">
        <f>32900+3290</f>
        <v>36190</v>
      </c>
      <c r="L9058" s="220">
        <v>12470</v>
      </c>
      <c r="M9058" s="220">
        <v>15400</v>
      </c>
      <c r="N9058" s="220">
        <f>SUM(I9058:M9059)</f>
        <v>1091460</v>
      </c>
      <c r="O9058" s="224"/>
      <c r="P9058" s="110" t="s">
        <v>26545</v>
      </c>
      <c r="Q9058" s="15" t="s">
        <v>19</v>
      </c>
      <c r="R9058" s="205"/>
      <c r="S9058" s="189" t="s">
        <v>1312</v>
      </c>
      <c r="T9058" s="114"/>
      <c r="U9058" s="21"/>
      <c r="V9058" s="115"/>
      <c r="W9058" s="116"/>
      <c r="X9058" s="220"/>
      <c r="Y9058" s="220">
        <f>X9058*0.1</f>
        <v>0</v>
      </c>
      <c r="Z9058" s="220"/>
      <c r="AA9058" s="220">
        <f>SUM(X9058:Z9058)</f>
        <v>0</v>
      </c>
      <c r="AB9058" s="222"/>
    </row>
    <row r="9059" spans="1:28" ht="17.100000000000001" customHeight="1" thickBot="1">
      <c r="A9059" s="227"/>
      <c r="B9059" s="27" t="s">
        <v>2597</v>
      </c>
      <c r="C9059" s="27">
        <v>3025</v>
      </c>
      <c r="D9059" s="14" t="s">
        <v>273</v>
      </c>
      <c r="E9059" s="229"/>
      <c r="F9059" s="117" t="s">
        <v>25085</v>
      </c>
      <c r="G9059" s="26">
        <v>106940</v>
      </c>
      <c r="H9059" s="231"/>
      <c r="I9059" s="221"/>
      <c r="J9059" s="221"/>
      <c r="K9059" s="221"/>
      <c r="L9059" s="221"/>
      <c r="M9059" s="221"/>
      <c r="N9059" s="221"/>
      <c r="O9059" s="225"/>
      <c r="P9059" s="118" t="s">
        <v>26546</v>
      </c>
      <c r="Q9059" s="16" t="s">
        <v>20</v>
      </c>
      <c r="R9059" s="17" t="s">
        <v>3717</v>
      </c>
      <c r="S9059" s="121" t="s">
        <v>26547</v>
      </c>
      <c r="T9059" s="122"/>
      <c r="U9059" s="22"/>
      <c r="V9059" s="123"/>
      <c r="W9059" s="122"/>
      <c r="X9059" s="221"/>
      <c r="Y9059" s="221"/>
      <c r="Z9059" s="221"/>
      <c r="AA9059" s="221"/>
      <c r="AB9059" s="223"/>
    </row>
    <row r="9060" spans="1:28" ht="17.100000000000001" customHeight="1" thickTop="1">
      <c r="A9060" s="226" t="s">
        <v>25069</v>
      </c>
      <c r="B9060" s="28">
        <v>46157</v>
      </c>
      <c r="C9060" s="25">
        <v>1418</v>
      </c>
      <c r="D9060" s="13" t="s">
        <v>3422</v>
      </c>
      <c r="E9060" s="228"/>
      <c r="F9060" s="109" t="s">
        <v>25086</v>
      </c>
      <c r="G9060" s="24" t="s">
        <v>14175</v>
      </c>
      <c r="H9060" s="230">
        <v>4</v>
      </c>
      <c r="I9060" s="220">
        <v>1498000</v>
      </c>
      <c r="J9060" s="220">
        <f>I9060*0.1</f>
        <v>149800</v>
      </c>
      <c r="K9060" s="220">
        <f>37500+3750</f>
        <v>41250</v>
      </c>
      <c r="L9060" s="220">
        <v>12400</v>
      </c>
      <c r="M9060" s="220">
        <v>15400</v>
      </c>
      <c r="N9060" s="220">
        <f>SUM(I9060:M9061)</f>
        <v>1716850</v>
      </c>
      <c r="O9060" s="224"/>
      <c r="P9060" s="110" t="s">
        <v>26206</v>
      </c>
      <c r="Q9060" s="15" t="s">
        <v>19</v>
      </c>
      <c r="R9060" s="205"/>
      <c r="S9060" s="189" t="s">
        <v>26010</v>
      </c>
      <c r="T9060" s="114"/>
      <c r="U9060" s="21"/>
      <c r="V9060" s="115">
        <v>46162</v>
      </c>
      <c r="W9060" s="116">
        <v>1017</v>
      </c>
      <c r="X9060" s="220">
        <v>1600000</v>
      </c>
      <c r="Y9060" s="220">
        <f>X9060*0.1</f>
        <v>160000</v>
      </c>
      <c r="Z9060" s="220">
        <v>12400</v>
      </c>
      <c r="AA9060" s="220">
        <f>SUM(X9060:Z9060)</f>
        <v>1772400</v>
      </c>
      <c r="AB9060" s="222">
        <v>46167</v>
      </c>
    </row>
    <row r="9061" spans="1:28" ht="17.100000000000001" customHeight="1" thickBot="1">
      <c r="A9061" s="227"/>
      <c r="B9061" s="27" t="s">
        <v>2597</v>
      </c>
      <c r="C9061" s="27">
        <v>3107</v>
      </c>
      <c r="D9061" s="14" t="s">
        <v>273</v>
      </c>
      <c r="E9061" s="229"/>
      <c r="F9061" s="117" t="s">
        <v>25087</v>
      </c>
      <c r="G9061" s="26">
        <v>133607</v>
      </c>
      <c r="H9061" s="231"/>
      <c r="I9061" s="221"/>
      <c r="J9061" s="221"/>
      <c r="K9061" s="221"/>
      <c r="L9061" s="221"/>
      <c r="M9061" s="221"/>
      <c r="N9061" s="221"/>
      <c r="O9061" s="225"/>
      <c r="P9061" s="118" t="s">
        <v>1664</v>
      </c>
      <c r="Q9061" s="16" t="s">
        <v>20</v>
      </c>
      <c r="R9061" s="17" t="s">
        <v>2702</v>
      </c>
      <c r="S9061" s="121" t="s">
        <v>26207</v>
      </c>
      <c r="T9061" s="122"/>
      <c r="U9061" s="22"/>
      <c r="V9061" s="123" t="s">
        <v>7161</v>
      </c>
      <c r="W9061" s="122">
        <v>5139</v>
      </c>
      <c r="X9061" s="221"/>
      <c r="Y9061" s="221"/>
      <c r="Z9061" s="221"/>
      <c r="AA9061" s="221"/>
      <c r="AB9061" s="223"/>
    </row>
    <row r="9062" spans="1:28" ht="17.100000000000001" customHeight="1" thickTop="1">
      <c r="A9062" s="226" t="s">
        <v>25070</v>
      </c>
      <c r="B9062" s="28">
        <v>46157</v>
      </c>
      <c r="C9062" s="25">
        <v>1418</v>
      </c>
      <c r="D9062" s="13" t="s">
        <v>1901</v>
      </c>
      <c r="E9062" s="228"/>
      <c r="F9062" s="109" t="s">
        <v>3978</v>
      </c>
      <c r="G9062" s="24"/>
      <c r="H9062" s="230">
        <v>4</v>
      </c>
      <c r="I9062" s="220">
        <v>1359000</v>
      </c>
      <c r="J9062" s="220">
        <f>I9062*0.1</f>
        <v>135900</v>
      </c>
      <c r="K9062" s="220">
        <v>0</v>
      </c>
      <c r="L9062" s="220">
        <v>10720</v>
      </c>
      <c r="M9062" s="220">
        <v>15400</v>
      </c>
      <c r="N9062" s="220">
        <f>SUM(I9062:M9063)</f>
        <v>1521020</v>
      </c>
      <c r="O9062" s="224"/>
      <c r="P9062" s="110"/>
      <c r="Q9062" s="15" t="s">
        <v>19</v>
      </c>
      <c r="R9062" s="205"/>
      <c r="S9062" s="189" t="s">
        <v>1361</v>
      </c>
      <c r="T9062" s="114"/>
      <c r="U9062" s="21"/>
      <c r="V9062" s="115"/>
      <c r="W9062" s="116"/>
      <c r="X9062" s="220"/>
      <c r="Y9062" s="220">
        <f>X9062*0.1</f>
        <v>0</v>
      </c>
      <c r="Z9062" s="220"/>
      <c r="AA9062" s="220">
        <f>SUM(X9062:Z9062)</f>
        <v>0</v>
      </c>
      <c r="AB9062" s="222"/>
    </row>
    <row r="9063" spans="1:28" ht="17.100000000000001" customHeight="1" thickBot="1">
      <c r="A9063" s="227"/>
      <c r="B9063" s="27" t="s">
        <v>2597</v>
      </c>
      <c r="C9063" s="27">
        <v>3116</v>
      </c>
      <c r="D9063" s="14" t="s">
        <v>2559</v>
      </c>
      <c r="E9063" s="229"/>
      <c r="F9063" s="117" t="s">
        <v>25088</v>
      </c>
      <c r="G9063" s="26">
        <v>50409</v>
      </c>
      <c r="H9063" s="231"/>
      <c r="I9063" s="221"/>
      <c r="J9063" s="221"/>
      <c r="K9063" s="221"/>
      <c r="L9063" s="221"/>
      <c r="M9063" s="221"/>
      <c r="N9063" s="221"/>
      <c r="O9063" s="225"/>
      <c r="P9063" s="118"/>
      <c r="Q9063" s="16" t="s">
        <v>20</v>
      </c>
      <c r="R9063" s="17" t="s">
        <v>26571</v>
      </c>
      <c r="S9063" s="121" t="s">
        <v>26092</v>
      </c>
      <c r="T9063" s="122"/>
      <c r="U9063" s="22"/>
      <c r="V9063" s="123"/>
      <c r="W9063" s="122"/>
      <c r="X9063" s="221"/>
      <c r="Y9063" s="221"/>
      <c r="Z9063" s="221"/>
      <c r="AA9063" s="221"/>
      <c r="AB9063" s="223"/>
    </row>
    <row r="9064" spans="1:28" ht="17.100000000000001" customHeight="1" thickTop="1">
      <c r="A9064" s="226" t="s">
        <v>25071</v>
      </c>
      <c r="B9064" s="28">
        <v>46157</v>
      </c>
      <c r="C9064" s="25">
        <v>1418</v>
      </c>
      <c r="D9064" s="13" t="s">
        <v>2239</v>
      </c>
      <c r="E9064" s="228"/>
      <c r="F9064" s="109" t="s">
        <v>3958</v>
      </c>
      <c r="G9064" s="24" t="s">
        <v>5514</v>
      </c>
      <c r="H9064" s="230">
        <v>4</v>
      </c>
      <c r="I9064" s="220">
        <v>1028000</v>
      </c>
      <c r="J9064" s="220">
        <f>I9064*0.1</f>
        <v>102800</v>
      </c>
      <c r="K9064" s="220">
        <v>0</v>
      </c>
      <c r="L9064" s="220">
        <v>8350</v>
      </c>
      <c r="M9064" s="220">
        <v>15400</v>
      </c>
      <c r="N9064" s="220">
        <f>SUM(I9064:M9065)</f>
        <v>1154550</v>
      </c>
      <c r="O9064" s="224"/>
      <c r="P9064" s="110" t="s">
        <v>26098</v>
      </c>
      <c r="Q9064" s="15" t="s">
        <v>19</v>
      </c>
      <c r="R9064" s="205"/>
      <c r="S9064" s="189" t="s">
        <v>26011</v>
      </c>
      <c r="T9064" s="114"/>
      <c r="U9064" s="21"/>
      <c r="V9064" s="115">
        <v>46162</v>
      </c>
      <c r="W9064" s="116">
        <v>1017</v>
      </c>
      <c r="X9064" s="220">
        <v>1165000</v>
      </c>
      <c r="Y9064" s="220">
        <f>X9064*0.1</f>
        <v>116500</v>
      </c>
      <c r="Z9064" s="220">
        <v>8350</v>
      </c>
      <c r="AA9064" s="220">
        <f>SUM(X9064:Z9064)</f>
        <v>1289850</v>
      </c>
      <c r="AB9064" s="222">
        <v>46167</v>
      </c>
    </row>
    <row r="9065" spans="1:28" ht="17.100000000000001" customHeight="1" thickBot="1">
      <c r="A9065" s="227"/>
      <c r="B9065" s="27" t="s">
        <v>2597</v>
      </c>
      <c r="C9065" s="27">
        <v>3144</v>
      </c>
      <c r="D9065" s="14" t="s">
        <v>2788</v>
      </c>
      <c r="E9065" s="229"/>
      <c r="F9065" s="117" t="s">
        <v>25089</v>
      </c>
      <c r="G9065" s="26">
        <v>14207</v>
      </c>
      <c r="H9065" s="231"/>
      <c r="I9065" s="221"/>
      <c r="J9065" s="221"/>
      <c r="K9065" s="221"/>
      <c r="L9065" s="221"/>
      <c r="M9065" s="221"/>
      <c r="N9065" s="221"/>
      <c r="O9065" s="225"/>
      <c r="P9065" s="118" t="s">
        <v>26099</v>
      </c>
      <c r="Q9065" s="16" t="s">
        <v>20</v>
      </c>
      <c r="R9065" s="17" t="s">
        <v>2702</v>
      </c>
      <c r="S9065" s="121" t="s">
        <v>26100</v>
      </c>
      <c r="T9065" s="122"/>
      <c r="U9065" s="22"/>
      <c r="V9065" s="123" t="s">
        <v>2747</v>
      </c>
      <c r="W9065" s="122">
        <v>5117</v>
      </c>
      <c r="X9065" s="221"/>
      <c r="Y9065" s="221"/>
      <c r="Z9065" s="221"/>
      <c r="AA9065" s="221"/>
      <c r="AB9065" s="223"/>
    </row>
    <row r="9066" spans="1:28" ht="17.100000000000001" customHeight="1" thickTop="1">
      <c r="A9066" s="226" t="s">
        <v>25072</v>
      </c>
      <c r="B9066" s="28">
        <v>46157</v>
      </c>
      <c r="C9066" s="25">
        <v>1418</v>
      </c>
      <c r="D9066" s="13" t="s">
        <v>2324</v>
      </c>
      <c r="E9066" s="228"/>
      <c r="F9066" s="109" t="s">
        <v>4483</v>
      </c>
      <c r="G9066" s="24" t="s">
        <v>9656</v>
      </c>
      <c r="H9066" s="230">
        <v>4</v>
      </c>
      <c r="I9066" s="220">
        <v>1150000</v>
      </c>
      <c r="J9066" s="220">
        <f>I9066*0.1</f>
        <v>115000</v>
      </c>
      <c r="K9066" s="220">
        <f>25400+2540</f>
        <v>27940</v>
      </c>
      <c r="L9066" s="220">
        <v>16240</v>
      </c>
      <c r="M9066" s="220">
        <v>15400</v>
      </c>
      <c r="N9066" s="220">
        <f>SUM(I9066:M9067)</f>
        <v>1324580</v>
      </c>
      <c r="O9066" s="224"/>
      <c r="P9066" s="110" t="s">
        <v>26548</v>
      </c>
      <c r="Q9066" s="15" t="s">
        <v>19</v>
      </c>
      <c r="R9066" s="205"/>
      <c r="S9066" s="189" t="s">
        <v>1271</v>
      </c>
      <c r="T9066" s="114"/>
      <c r="U9066" s="21"/>
      <c r="V9066" s="115"/>
      <c r="W9066" s="116"/>
      <c r="X9066" s="220"/>
      <c r="Y9066" s="220">
        <f>X9066*0.1</f>
        <v>0</v>
      </c>
      <c r="Z9066" s="220"/>
      <c r="AA9066" s="220">
        <f>SUM(X9066:Z9066)</f>
        <v>0</v>
      </c>
      <c r="AB9066" s="222"/>
    </row>
    <row r="9067" spans="1:28" ht="17.100000000000001" customHeight="1" thickBot="1">
      <c r="A9067" s="227"/>
      <c r="B9067" s="27" t="s">
        <v>2597</v>
      </c>
      <c r="C9067" s="27">
        <v>7043</v>
      </c>
      <c r="D9067" s="14" t="s">
        <v>1797</v>
      </c>
      <c r="E9067" s="229"/>
      <c r="F9067" s="117" t="s">
        <v>25090</v>
      </c>
      <c r="G9067" s="26">
        <v>55591</v>
      </c>
      <c r="H9067" s="231"/>
      <c r="I9067" s="221"/>
      <c r="J9067" s="221"/>
      <c r="K9067" s="221"/>
      <c r="L9067" s="221"/>
      <c r="M9067" s="221"/>
      <c r="N9067" s="221"/>
      <c r="O9067" s="225"/>
      <c r="P9067" s="118" t="s">
        <v>26549</v>
      </c>
      <c r="Q9067" s="16" t="s">
        <v>20</v>
      </c>
      <c r="R9067" s="17" t="s">
        <v>3717</v>
      </c>
      <c r="S9067" s="121" t="s">
        <v>5180</v>
      </c>
      <c r="T9067" s="122"/>
      <c r="U9067" s="22"/>
      <c r="V9067" s="123"/>
      <c r="W9067" s="122"/>
      <c r="X9067" s="221"/>
      <c r="Y9067" s="221"/>
      <c r="Z9067" s="221"/>
      <c r="AA9067" s="221"/>
      <c r="AB9067" s="223"/>
    </row>
    <row r="9068" spans="1:28" ht="17.100000000000001" customHeight="1" thickTop="1">
      <c r="A9068" s="226" t="s">
        <v>25073</v>
      </c>
      <c r="B9068" s="28">
        <v>46157</v>
      </c>
      <c r="C9068" s="25">
        <v>1418</v>
      </c>
      <c r="D9068" s="13" t="s">
        <v>3422</v>
      </c>
      <c r="E9068" s="228"/>
      <c r="F9068" s="109" t="s">
        <v>25091</v>
      </c>
      <c r="G9068" s="24" t="s">
        <v>25189</v>
      </c>
      <c r="H9068" s="230">
        <v>4</v>
      </c>
      <c r="I9068" s="220">
        <v>1277000</v>
      </c>
      <c r="J9068" s="220">
        <f>I9068*0.1</f>
        <v>127700</v>
      </c>
      <c r="K9068" s="220">
        <f>32900+3290</f>
        <v>36190</v>
      </c>
      <c r="L9068" s="220">
        <v>24360</v>
      </c>
      <c r="M9068" s="220">
        <v>15400</v>
      </c>
      <c r="N9068" s="220">
        <f>SUM(I9068:M9069)</f>
        <v>1480650</v>
      </c>
      <c r="O9068" s="224"/>
      <c r="P9068" s="110" t="s">
        <v>26176</v>
      </c>
      <c r="Q9068" s="15" t="s">
        <v>19</v>
      </c>
      <c r="R9068" s="205"/>
      <c r="S9068" s="189"/>
      <c r="T9068" s="114"/>
      <c r="U9068" s="21"/>
      <c r="V9068" s="115"/>
      <c r="W9068" s="116"/>
      <c r="X9068" s="220"/>
      <c r="Y9068" s="220">
        <f>X9068*0.1</f>
        <v>0</v>
      </c>
      <c r="Z9068" s="220"/>
      <c r="AA9068" s="220">
        <f>SUM(X9068:Z9068)</f>
        <v>0</v>
      </c>
      <c r="AB9068" s="222"/>
    </row>
    <row r="9069" spans="1:28" ht="17.100000000000001" customHeight="1" thickBot="1">
      <c r="A9069" s="227"/>
      <c r="B9069" s="27" t="s">
        <v>2597</v>
      </c>
      <c r="C9069" s="27">
        <v>7093</v>
      </c>
      <c r="D9069" s="14" t="s">
        <v>2559</v>
      </c>
      <c r="E9069" s="229"/>
      <c r="F9069" s="117" t="s">
        <v>25092</v>
      </c>
      <c r="G9069" s="26">
        <v>66126</v>
      </c>
      <c r="H9069" s="231"/>
      <c r="I9069" s="221"/>
      <c r="J9069" s="221"/>
      <c r="K9069" s="221"/>
      <c r="L9069" s="221"/>
      <c r="M9069" s="221"/>
      <c r="N9069" s="221"/>
      <c r="O9069" s="225"/>
      <c r="P9069" s="118" t="s">
        <v>26177</v>
      </c>
      <c r="Q9069" s="16" t="s">
        <v>20</v>
      </c>
      <c r="R9069" s="17" t="s">
        <v>2702</v>
      </c>
      <c r="S9069" s="121" t="s">
        <v>26178</v>
      </c>
      <c r="T9069" s="122"/>
      <c r="U9069" s="22"/>
      <c r="V9069" s="123"/>
      <c r="W9069" s="122"/>
      <c r="X9069" s="221"/>
      <c r="Y9069" s="221"/>
      <c r="Z9069" s="221"/>
      <c r="AA9069" s="221"/>
      <c r="AB9069" s="223"/>
    </row>
    <row r="9070" spans="1:28" ht="17.100000000000001" customHeight="1" thickTop="1">
      <c r="A9070" s="226" t="s">
        <v>25074</v>
      </c>
      <c r="B9070" s="28">
        <v>46157</v>
      </c>
      <c r="C9070" s="25">
        <v>1418</v>
      </c>
      <c r="D9070" s="13" t="s">
        <v>3243</v>
      </c>
      <c r="E9070" s="228"/>
      <c r="F9070" s="109" t="s">
        <v>25093</v>
      </c>
      <c r="G9070" s="24" t="s">
        <v>2926</v>
      </c>
      <c r="H9070" s="230">
        <v>4</v>
      </c>
      <c r="I9070" s="220">
        <v>682000</v>
      </c>
      <c r="J9070" s="220">
        <f>I9070*0.1</f>
        <v>68200</v>
      </c>
      <c r="K9070" s="220">
        <v>0</v>
      </c>
      <c r="L9070" s="220">
        <v>8400</v>
      </c>
      <c r="M9070" s="220">
        <v>15400</v>
      </c>
      <c r="N9070" s="220">
        <f>SUM(I9070:M9071)</f>
        <v>774000</v>
      </c>
      <c r="O9070" s="224"/>
      <c r="P9070" s="110" t="s">
        <v>26544</v>
      </c>
      <c r="Q9070" s="15" t="s">
        <v>19</v>
      </c>
      <c r="R9070" s="205"/>
      <c r="S9070" s="189"/>
      <c r="T9070" s="114"/>
      <c r="U9070" s="21"/>
      <c r="V9070" s="115"/>
      <c r="W9070" s="116"/>
      <c r="X9070" s="220"/>
      <c r="Y9070" s="220">
        <f>X9070*0.1</f>
        <v>0</v>
      </c>
      <c r="Z9070" s="220"/>
      <c r="AA9070" s="220">
        <f>SUM(X9070:Z9070)</f>
        <v>0</v>
      </c>
      <c r="AB9070" s="222"/>
    </row>
    <row r="9071" spans="1:28" ht="17.100000000000001" customHeight="1" thickBot="1">
      <c r="A9071" s="227"/>
      <c r="B9071" s="27" t="s">
        <v>2597</v>
      </c>
      <c r="C9071" s="27">
        <v>7583</v>
      </c>
      <c r="D9071" s="14" t="s">
        <v>1797</v>
      </c>
      <c r="E9071" s="229"/>
      <c r="F9071" s="117" t="s">
        <v>25094</v>
      </c>
      <c r="G9071" s="26">
        <v>44223</v>
      </c>
      <c r="H9071" s="231"/>
      <c r="I9071" s="221"/>
      <c r="J9071" s="221"/>
      <c r="K9071" s="221"/>
      <c r="L9071" s="221"/>
      <c r="M9071" s="221"/>
      <c r="N9071" s="221"/>
      <c r="O9071" s="225"/>
      <c r="P9071" s="118" t="s">
        <v>3611</v>
      </c>
      <c r="Q9071" s="16" t="s">
        <v>20</v>
      </c>
      <c r="R9071" s="17" t="s">
        <v>3717</v>
      </c>
      <c r="S9071" s="121"/>
      <c r="T9071" s="122"/>
      <c r="U9071" s="22"/>
      <c r="V9071" s="123"/>
      <c r="W9071" s="122"/>
      <c r="X9071" s="221"/>
      <c r="Y9071" s="221"/>
      <c r="Z9071" s="221"/>
      <c r="AA9071" s="221"/>
      <c r="AB9071" s="223"/>
    </row>
    <row r="9072" spans="1:28" ht="17.100000000000001" customHeight="1" thickTop="1">
      <c r="A9072" s="226" t="s">
        <v>25075</v>
      </c>
      <c r="B9072" s="28">
        <v>46157</v>
      </c>
      <c r="C9072" s="25">
        <v>1418</v>
      </c>
      <c r="D9072" s="13" t="s">
        <v>11337</v>
      </c>
      <c r="E9072" s="228"/>
      <c r="F9072" s="109" t="s">
        <v>5006</v>
      </c>
      <c r="G9072" s="24" t="s">
        <v>21049</v>
      </c>
      <c r="H9072" s="230">
        <v>3.5</v>
      </c>
      <c r="I9072" s="220">
        <v>280000</v>
      </c>
      <c r="J9072" s="220">
        <f>I9072*0.1</f>
        <v>28000</v>
      </c>
      <c r="K9072" s="220">
        <f>37500+3750</f>
        <v>41250</v>
      </c>
      <c r="L9072" s="220">
        <v>16260</v>
      </c>
      <c r="M9072" s="220">
        <v>15400</v>
      </c>
      <c r="N9072" s="220">
        <f>SUM(I9072:M9073)</f>
        <v>380910</v>
      </c>
      <c r="O9072" s="224"/>
      <c r="P9072" s="110" t="s">
        <v>26209</v>
      </c>
      <c r="Q9072" s="15" t="s">
        <v>19</v>
      </c>
      <c r="R9072" s="205"/>
      <c r="S9072" s="189"/>
      <c r="T9072" s="114"/>
      <c r="U9072" s="21"/>
      <c r="V9072" s="115"/>
      <c r="W9072" s="116"/>
      <c r="X9072" s="220"/>
      <c r="Y9072" s="220">
        <f>X9072*0.1</f>
        <v>0</v>
      </c>
      <c r="Z9072" s="220"/>
      <c r="AA9072" s="220">
        <f>SUM(X9072:Z9072)</f>
        <v>0</v>
      </c>
      <c r="AB9072" s="222"/>
    </row>
    <row r="9073" spans="1:28" ht="17.100000000000001" customHeight="1" thickBot="1">
      <c r="A9073" s="227"/>
      <c r="B9073" s="27" t="s">
        <v>2597</v>
      </c>
      <c r="C9073" s="27">
        <v>9002</v>
      </c>
      <c r="D9073" s="14" t="s">
        <v>2559</v>
      </c>
      <c r="E9073" s="229"/>
      <c r="F9073" s="117" t="s">
        <v>25095</v>
      </c>
      <c r="G9073" s="26">
        <v>158277</v>
      </c>
      <c r="H9073" s="231"/>
      <c r="I9073" s="221"/>
      <c r="J9073" s="221"/>
      <c r="K9073" s="221"/>
      <c r="L9073" s="221"/>
      <c r="M9073" s="221"/>
      <c r="N9073" s="221"/>
      <c r="O9073" s="225"/>
      <c r="P9073" s="118" t="s">
        <v>26210</v>
      </c>
      <c r="Q9073" s="16" t="s">
        <v>20</v>
      </c>
      <c r="R9073" s="17" t="s">
        <v>2702</v>
      </c>
      <c r="S9073" s="121"/>
      <c r="T9073" s="122"/>
      <c r="U9073" s="22"/>
      <c r="V9073" s="123"/>
      <c r="W9073" s="122"/>
      <c r="X9073" s="221"/>
      <c r="Y9073" s="221"/>
      <c r="Z9073" s="221"/>
      <c r="AA9073" s="221"/>
      <c r="AB9073" s="223"/>
    </row>
    <row r="9074" spans="1:28" ht="17.100000000000001" customHeight="1" thickTop="1">
      <c r="A9074" s="226" t="s">
        <v>25076</v>
      </c>
      <c r="B9074" s="28">
        <v>46157</v>
      </c>
      <c r="C9074" s="25">
        <v>1418</v>
      </c>
      <c r="D9074" s="13" t="s">
        <v>1634</v>
      </c>
      <c r="E9074" s="228"/>
      <c r="F9074" s="109" t="s">
        <v>25100</v>
      </c>
      <c r="G9074" s="24"/>
      <c r="H9074" s="232" t="s">
        <v>1705</v>
      </c>
      <c r="I9074" s="220">
        <v>373000</v>
      </c>
      <c r="J9074" s="220">
        <f>I9074*0.1</f>
        <v>37300</v>
      </c>
      <c r="K9074" s="220">
        <v>0</v>
      </c>
      <c r="L9074" s="220">
        <v>7920</v>
      </c>
      <c r="M9074" s="220">
        <v>15400</v>
      </c>
      <c r="N9074" s="220">
        <f>SUM(I9074:M9075)</f>
        <v>433620</v>
      </c>
      <c r="O9074" s="224"/>
      <c r="P9074" s="110" t="s">
        <v>26097</v>
      </c>
      <c r="Q9074" s="15" t="s">
        <v>19</v>
      </c>
      <c r="R9074" s="205"/>
      <c r="S9074" s="189"/>
      <c r="T9074" s="114"/>
      <c r="U9074" s="21"/>
      <c r="V9074" s="115">
        <v>46162</v>
      </c>
      <c r="W9074" s="116">
        <v>1017</v>
      </c>
      <c r="X9074" s="220">
        <v>510000</v>
      </c>
      <c r="Y9074" s="220">
        <f>X9074*0.1</f>
        <v>51000</v>
      </c>
      <c r="Z9074" s="220">
        <v>7920</v>
      </c>
      <c r="AA9074" s="220">
        <f>SUM(X9074:Z9074)</f>
        <v>568920</v>
      </c>
      <c r="AB9074" s="222">
        <v>46167</v>
      </c>
    </row>
    <row r="9075" spans="1:28" ht="17.100000000000001" customHeight="1" thickBot="1">
      <c r="A9075" s="227"/>
      <c r="B9075" s="27" t="s">
        <v>2597</v>
      </c>
      <c r="C9075" s="27">
        <v>9003</v>
      </c>
      <c r="D9075" s="14" t="s">
        <v>1710</v>
      </c>
      <c r="E9075" s="229"/>
      <c r="F9075" s="117" t="s">
        <v>25101</v>
      </c>
      <c r="G9075" s="26">
        <v>7830</v>
      </c>
      <c r="H9075" s="231"/>
      <c r="I9075" s="221"/>
      <c r="J9075" s="221"/>
      <c r="K9075" s="221"/>
      <c r="L9075" s="221"/>
      <c r="M9075" s="221"/>
      <c r="N9075" s="221"/>
      <c r="O9075" s="225"/>
      <c r="P9075" s="118" t="s">
        <v>16537</v>
      </c>
      <c r="Q9075" s="16" t="s">
        <v>20</v>
      </c>
      <c r="R9075" s="17" t="s">
        <v>2702</v>
      </c>
      <c r="S9075" s="121" t="s">
        <v>169</v>
      </c>
      <c r="T9075" s="122"/>
      <c r="U9075" s="22"/>
      <c r="V9075" s="123" t="s">
        <v>2747</v>
      </c>
      <c r="W9075" s="122">
        <v>5111</v>
      </c>
      <c r="X9075" s="221"/>
      <c r="Y9075" s="221"/>
      <c r="Z9075" s="221"/>
      <c r="AA9075" s="221"/>
      <c r="AB9075" s="223"/>
    </row>
    <row r="9076" spans="1:28" ht="17.100000000000001" customHeight="1" thickTop="1">
      <c r="A9076" s="226" t="s">
        <v>25077</v>
      </c>
      <c r="B9076" s="28">
        <v>46157</v>
      </c>
      <c r="C9076" s="25">
        <v>1418</v>
      </c>
      <c r="D9076" s="13" t="s">
        <v>1883</v>
      </c>
      <c r="E9076" s="228"/>
      <c r="F9076" s="109" t="s">
        <v>12994</v>
      </c>
      <c r="G9076" s="24"/>
      <c r="H9076" s="230">
        <v>3.5</v>
      </c>
      <c r="I9076" s="220">
        <v>625000</v>
      </c>
      <c r="J9076" s="220">
        <f>I9076*0.1</f>
        <v>62500</v>
      </c>
      <c r="K9076" s="220">
        <v>0</v>
      </c>
      <c r="L9076" s="220">
        <v>8190</v>
      </c>
      <c r="M9076" s="220">
        <v>15400</v>
      </c>
      <c r="N9076" s="220">
        <f>SUM(I9076:M9077)</f>
        <v>711090</v>
      </c>
      <c r="O9076" s="224"/>
      <c r="P9076" s="110" t="s">
        <v>26211</v>
      </c>
      <c r="Q9076" s="15" t="s">
        <v>19</v>
      </c>
      <c r="R9076" s="205"/>
      <c r="S9076" s="189"/>
      <c r="T9076" s="114"/>
      <c r="U9076" s="21"/>
      <c r="V9076" s="115"/>
      <c r="W9076" s="116"/>
      <c r="X9076" s="220"/>
      <c r="Y9076" s="220">
        <f>X9076*0.1</f>
        <v>0</v>
      </c>
      <c r="Z9076" s="220"/>
      <c r="AA9076" s="220">
        <f>SUM(X9076:Z9076)</f>
        <v>0</v>
      </c>
      <c r="AB9076" s="222"/>
    </row>
    <row r="9077" spans="1:28" ht="17.100000000000001" customHeight="1" thickBot="1">
      <c r="A9077" s="227"/>
      <c r="B9077" s="27" t="s">
        <v>2597</v>
      </c>
      <c r="C9077" s="27">
        <v>9007</v>
      </c>
      <c r="D9077" s="14" t="s">
        <v>2014</v>
      </c>
      <c r="E9077" s="229"/>
      <c r="F9077" s="117" t="s">
        <v>25096</v>
      </c>
      <c r="G9077" s="26">
        <v>44363</v>
      </c>
      <c r="H9077" s="231"/>
      <c r="I9077" s="221"/>
      <c r="J9077" s="221"/>
      <c r="K9077" s="221"/>
      <c r="L9077" s="221"/>
      <c r="M9077" s="221"/>
      <c r="N9077" s="221"/>
      <c r="O9077" s="225"/>
      <c r="P9077" s="118" t="s">
        <v>26212</v>
      </c>
      <c r="Q9077" s="16" t="s">
        <v>20</v>
      </c>
      <c r="R9077" s="17" t="s">
        <v>2702</v>
      </c>
      <c r="S9077" s="121" t="s">
        <v>7703</v>
      </c>
      <c r="T9077" s="122"/>
      <c r="U9077" s="22"/>
      <c r="V9077" s="123"/>
      <c r="W9077" s="122"/>
      <c r="X9077" s="221"/>
      <c r="Y9077" s="221"/>
      <c r="Z9077" s="221"/>
      <c r="AA9077" s="221"/>
      <c r="AB9077" s="223"/>
    </row>
    <row r="9078" spans="1:28" ht="17.100000000000001" customHeight="1" thickTop="1">
      <c r="A9078" s="226" t="s">
        <v>25078</v>
      </c>
      <c r="B9078" s="28">
        <v>46157</v>
      </c>
      <c r="C9078" s="25">
        <v>1418</v>
      </c>
      <c r="D9078" s="13" t="s">
        <v>1788</v>
      </c>
      <c r="E9078" s="228"/>
      <c r="F9078" s="109" t="s">
        <v>5277</v>
      </c>
      <c r="G9078" s="24"/>
      <c r="H9078" s="230">
        <v>3.5</v>
      </c>
      <c r="I9078" s="220">
        <v>391000</v>
      </c>
      <c r="J9078" s="220">
        <f>I9078*0.1</f>
        <v>39100</v>
      </c>
      <c r="K9078" s="220">
        <v>0</v>
      </c>
      <c r="L9078" s="220">
        <v>9800</v>
      </c>
      <c r="M9078" s="220">
        <v>15400</v>
      </c>
      <c r="N9078" s="220">
        <f>SUM(I9078:M9079)</f>
        <v>455300</v>
      </c>
      <c r="O9078" s="224"/>
      <c r="P9078" s="110" t="s">
        <v>26213</v>
      </c>
      <c r="Q9078" s="15" t="s">
        <v>19</v>
      </c>
      <c r="R9078" s="205"/>
      <c r="S9078" s="189"/>
      <c r="T9078" s="114"/>
      <c r="U9078" s="21"/>
      <c r="V9078" s="115"/>
      <c r="W9078" s="116"/>
      <c r="X9078" s="220"/>
      <c r="Y9078" s="220">
        <f>X9078*0.1</f>
        <v>0</v>
      </c>
      <c r="Z9078" s="220"/>
      <c r="AA9078" s="220">
        <f>SUM(X9078:Z9078)</f>
        <v>0</v>
      </c>
      <c r="AB9078" s="222"/>
    </row>
    <row r="9079" spans="1:28" ht="17.100000000000001" customHeight="1" thickBot="1">
      <c r="A9079" s="227"/>
      <c r="B9079" s="27" t="s">
        <v>2597</v>
      </c>
      <c r="C9079" s="27">
        <v>9014</v>
      </c>
      <c r="D9079" s="14" t="s">
        <v>898</v>
      </c>
      <c r="E9079" s="229"/>
      <c r="F9079" s="117" t="s">
        <v>25097</v>
      </c>
      <c r="G9079" s="26">
        <v>54507</v>
      </c>
      <c r="H9079" s="231"/>
      <c r="I9079" s="221"/>
      <c r="J9079" s="221"/>
      <c r="K9079" s="221"/>
      <c r="L9079" s="221"/>
      <c r="M9079" s="221"/>
      <c r="N9079" s="221"/>
      <c r="O9079" s="225"/>
      <c r="P9079" s="118" t="s">
        <v>1972</v>
      </c>
      <c r="Q9079" s="16" t="s">
        <v>20</v>
      </c>
      <c r="R9079" s="17" t="s">
        <v>2702</v>
      </c>
      <c r="S9079" s="121"/>
      <c r="T9079" s="122"/>
      <c r="U9079" s="22"/>
      <c r="V9079" s="123"/>
      <c r="W9079" s="122"/>
      <c r="X9079" s="221"/>
      <c r="Y9079" s="221"/>
      <c r="Z9079" s="221"/>
      <c r="AA9079" s="221"/>
      <c r="AB9079" s="223"/>
    </row>
    <row r="9080" spans="1:28" ht="17.100000000000001" customHeight="1" thickTop="1">
      <c r="A9080" s="226" t="s">
        <v>25079</v>
      </c>
      <c r="B9080" s="28">
        <v>46157</v>
      </c>
      <c r="C9080" s="25">
        <v>1418</v>
      </c>
      <c r="D9080" s="13" t="s">
        <v>2324</v>
      </c>
      <c r="E9080" s="228"/>
      <c r="F9080" s="109" t="s">
        <v>7262</v>
      </c>
      <c r="G9080" s="24"/>
      <c r="H9080" s="232" t="s">
        <v>1705</v>
      </c>
      <c r="I9080" s="220">
        <v>364000</v>
      </c>
      <c r="J9080" s="220">
        <f>I9080*0.1</f>
        <v>36400</v>
      </c>
      <c r="K9080" s="220">
        <v>0</v>
      </c>
      <c r="L9080" s="220">
        <v>5340</v>
      </c>
      <c r="M9080" s="220">
        <v>15400</v>
      </c>
      <c r="N9080" s="220">
        <f>SUM(I9080:M9081)</f>
        <v>421140</v>
      </c>
      <c r="O9080" s="224"/>
      <c r="P9080" s="110" t="s">
        <v>26214</v>
      </c>
      <c r="Q9080" s="15" t="s">
        <v>19</v>
      </c>
      <c r="R9080" s="205"/>
      <c r="S9080" s="189"/>
      <c r="T9080" s="114"/>
      <c r="U9080" s="21"/>
      <c r="V9080" s="115"/>
      <c r="W9080" s="116"/>
      <c r="X9080" s="220"/>
      <c r="Y9080" s="220">
        <f>X9080*0.1</f>
        <v>0</v>
      </c>
      <c r="Z9080" s="220"/>
      <c r="AA9080" s="220">
        <f>SUM(X9080:Z9080)</f>
        <v>0</v>
      </c>
      <c r="AB9080" s="222"/>
    </row>
    <row r="9081" spans="1:28" ht="17.100000000000001" customHeight="1" thickBot="1">
      <c r="A9081" s="227"/>
      <c r="B9081" s="27" t="s">
        <v>2597</v>
      </c>
      <c r="C9081" s="27">
        <v>9032</v>
      </c>
      <c r="D9081" s="14" t="s">
        <v>2753</v>
      </c>
      <c r="E9081" s="229"/>
      <c r="F9081" s="117" t="s">
        <v>25098</v>
      </c>
      <c r="G9081" s="26">
        <v>21720</v>
      </c>
      <c r="H9081" s="231"/>
      <c r="I9081" s="221"/>
      <c r="J9081" s="221"/>
      <c r="K9081" s="221"/>
      <c r="L9081" s="221"/>
      <c r="M9081" s="221"/>
      <c r="N9081" s="221"/>
      <c r="O9081" s="225"/>
      <c r="P9081" s="118" t="s">
        <v>7273</v>
      </c>
      <c r="Q9081" s="16" t="s">
        <v>20</v>
      </c>
      <c r="R9081" s="17" t="s">
        <v>2702</v>
      </c>
      <c r="S9081" s="121" t="s">
        <v>4843</v>
      </c>
      <c r="T9081" s="122"/>
      <c r="U9081" s="22"/>
      <c r="V9081" s="123"/>
      <c r="W9081" s="122"/>
      <c r="X9081" s="221"/>
      <c r="Y9081" s="221"/>
      <c r="Z9081" s="221"/>
      <c r="AA9081" s="221"/>
      <c r="AB9081" s="223"/>
    </row>
    <row r="9082" spans="1:28" ht="17.100000000000001" customHeight="1" thickTop="1">
      <c r="A9082" s="226" t="s">
        <v>25080</v>
      </c>
      <c r="B9082" s="28">
        <v>46157</v>
      </c>
      <c r="C9082" s="25">
        <v>1418</v>
      </c>
      <c r="D9082" s="13" t="s">
        <v>2113</v>
      </c>
      <c r="E9082" s="228"/>
      <c r="F9082" s="109" t="s">
        <v>4145</v>
      </c>
      <c r="G9082" s="24"/>
      <c r="H9082" s="230">
        <v>4</v>
      </c>
      <c r="I9082" s="220">
        <v>238000</v>
      </c>
      <c r="J9082" s="220">
        <f>I9082*0.1</f>
        <v>23800</v>
      </c>
      <c r="K9082" s="220">
        <v>0</v>
      </c>
      <c r="L9082" s="220">
        <v>8460</v>
      </c>
      <c r="M9082" s="220">
        <v>15400</v>
      </c>
      <c r="N9082" s="220">
        <f>SUM(I9082:M9083)</f>
        <v>285660</v>
      </c>
      <c r="O9082" s="224"/>
      <c r="P9082" s="110" t="s">
        <v>26550</v>
      </c>
      <c r="Q9082" s="15" t="s">
        <v>19</v>
      </c>
      <c r="R9082" s="205"/>
      <c r="S9082" s="189"/>
      <c r="T9082" s="114"/>
      <c r="U9082" s="21"/>
      <c r="V9082" s="115">
        <v>46162</v>
      </c>
      <c r="W9082" s="116">
        <v>1017</v>
      </c>
      <c r="X9082" s="220">
        <v>300000</v>
      </c>
      <c r="Y9082" s="220">
        <f>X9082*0.1</f>
        <v>30000</v>
      </c>
      <c r="Z9082" s="220">
        <v>8460</v>
      </c>
      <c r="AA9082" s="220">
        <f>SUM(X9082:Z9082)</f>
        <v>338460</v>
      </c>
      <c r="AB9082" s="222"/>
    </row>
    <row r="9083" spans="1:28" ht="17.100000000000001" customHeight="1" thickBot="1">
      <c r="A9083" s="227"/>
      <c r="B9083" s="27" t="s">
        <v>2597</v>
      </c>
      <c r="C9083" s="27">
        <v>9375</v>
      </c>
      <c r="D9083" s="14" t="s">
        <v>3274</v>
      </c>
      <c r="E9083" s="229"/>
      <c r="F9083" s="117" t="s">
        <v>25102</v>
      </c>
      <c r="G9083" s="26">
        <v>42369</v>
      </c>
      <c r="H9083" s="231"/>
      <c r="I9083" s="221"/>
      <c r="J9083" s="221"/>
      <c r="K9083" s="221"/>
      <c r="L9083" s="221"/>
      <c r="M9083" s="221"/>
      <c r="N9083" s="221"/>
      <c r="O9083" s="225"/>
      <c r="P9083" s="118" t="s">
        <v>1972</v>
      </c>
      <c r="Q9083" s="16" t="s">
        <v>20</v>
      </c>
      <c r="R9083" s="17" t="s">
        <v>3717</v>
      </c>
      <c r="S9083" s="121"/>
      <c r="T9083" s="122"/>
      <c r="U9083" s="22"/>
      <c r="V9083" s="123" t="s">
        <v>2747</v>
      </c>
      <c r="W9083" s="122">
        <v>5110</v>
      </c>
      <c r="X9083" s="221"/>
      <c r="Y9083" s="221"/>
      <c r="Z9083" s="221"/>
      <c r="AA9083" s="221"/>
      <c r="AB9083" s="223"/>
    </row>
    <row r="9084" spans="1:28" ht="17.100000000000001" customHeight="1" thickTop="1">
      <c r="A9084" s="226" t="s">
        <v>25081</v>
      </c>
      <c r="B9084" s="28">
        <v>46158</v>
      </c>
      <c r="C9084" s="25">
        <v>1543</v>
      </c>
      <c r="D9084" s="13" t="s">
        <v>1963</v>
      </c>
      <c r="E9084" s="228"/>
      <c r="F9084" s="109" t="s">
        <v>25192</v>
      </c>
      <c r="G9084" s="24"/>
      <c r="H9084" s="230">
        <v>4.5</v>
      </c>
      <c r="I9084" s="220">
        <v>2690000</v>
      </c>
      <c r="J9084" s="220">
        <f>I9084*0.1</f>
        <v>269000</v>
      </c>
      <c r="K9084" s="220">
        <v>0</v>
      </c>
      <c r="L9084" s="220">
        <v>15040</v>
      </c>
      <c r="M9084" s="220">
        <v>16500</v>
      </c>
      <c r="N9084" s="220">
        <f>SUM(I9084:M9085)</f>
        <v>2990540</v>
      </c>
      <c r="O9084" s="224"/>
      <c r="P9084" s="110" t="s">
        <v>26173</v>
      </c>
      <c r="Q9084" s="15" t="s">
        <v>19</v>
      </c>
      <c r="R9084" s="205"/>
      <c r="S9084" s="189" t="s">
        <v>3429</v>
      </c>
      <c r="T9084" s="114"/>
      <c r="U9084" s="21"/>
      <c r="V9084" s="115"/>
      <c r="W9084" s="116"/>
      <c r="X9084" s="220"/>
      <c r="Y9084" s="220">
        <f>X9084*0.1</f>
        <v>0</v>
      </c>
      <c r="Z9084" s="220"/>
      <c r="AA9084" s="220">
        <f>SUM(X9084:Z9084)</f>
        <v>0</v>
      </c>
      <c r="AB9084" s="222"/>
    </row>
    <row r="9085" spans="1:28" ht="17.100000000000001" customHeight="1" thickBot="1">
      <c r="A9085" s="227"/>
      <c r="B9085" s="27" t="s">
        <v>1547</v>
      </c>
      <c r="C9085" s="27">
        <v>83033</v>
      </c>
      <c r="D9085" s="14" t="s">
        <v>131</v>
      </c>
      <c r="E9085" s="229"/>
      <c r="F9085" s="117" t="s">
        <v>25193</v>
      </c>
      <c r="G9085" s="26">
        <v>14565</v>
      </c>
      <c r="H9085" s="231"/>
      <c r="I9085" s="221"/>
      <c r="J9085" s="221"/>
      <c r="K9085" s="221"/>
      <c r="L9085" s="221"/>
      <c r="M9085" s="221"/>
      <c r="N9085" s="221"/>
      <c r="O9085" s="225"/>
      <c r="P9085" s="118" t="s">
        <v>26174</v>
      </c>
      <c r="Q9085" s="16" t="s">
        <v>20</v>
      </c>
      <c r="R9085" s="17" t="s">
        <v>2702</v>
      </c>
      <c r="S9085" s="121" t="s">
        <v>3581</v>
      </c>
      <c r="T9085" s="122"/>
      <c r="U9085" s="22"/>
      <c r="V9085" s="123"/>
      <c r="W9085" s="122"/>
      <c r="X9085" s="221"/>
      <c r="Y9085" s="221"/>
      <c r="Z9085" s="221"/>
      <c r="AA9085" s="221"/>
      <c r="AB9085" s="223"/>
    </row>
    <row r="9086" spans="1:28" ht="17.100000000000001" customHeight="1" thickTop="1">
      <c r="A9086" s="226" t="s">
        <v>25099</v>
      </c>
      <c r="B9086" s="28">
        <v>46158</v>
      </c>
      <c r="C9086" s="25">
        <v>1465</v>
      </c>
      <c r="D9086" s="13" t="s">
        <v>1748</v>
      </c>
      <c r="E9086" s="228"/>
      <c r="F9086" s="109" t="s">
        <v>2685</v>
      </c>
      <c r="G9086" s="24" t="s">
        <v>10634</v>
      </c>
      <c r="H9086" s="230">
        <v>4.5</v>
      </c>
      <c r="I9086" s="220">
        <v>2795000</v>
      </c>
      <c r="J9086" s="220">
        <f>I9086*0.1</f>
        <v>279500</v>
      </c>
      <c r="K9086" s="220">
        <f>30000+3000</f>
        <v>33000</v>
      </c>
      <c r="L9086" s="220">
        <v>18170</v>
      </c>
      <c r="M9086" s="220">
        <v>16500</v>
      </c>
      <c r="N9086" s="220">
        <f>SUM(I9086:M9087)</f>
        <v>3142170</v>
      </c>
      <c r="O9086" s="224"/>
      <c r="P9086" s="110" t="s">
        <v>25191</v>
      </c>
      <c r="Q9086" s="15" t="s">
        <v>19</v>
      </c>
      <c r="R9086" s="205"/>
      <c r="S9086" s="189" t="s">
        <v>1306</v>
      </c>
      <c r="T9086" s="114"/>
      <c r="U9086" s="21"/>
      <c r="V9086" s="115">
        <v>46163</v>
      </c>
      <c r="W9086" s="116">
        <v>1331</v>
      </c>
      <c r="X9086" s="220">
        <v>2885000</v>
      </c>
      <c r="Y9086" s="220">
        <f>X9086*0.1</f>
        <v>288500</v>
      </c>
      <c r="Z9086" s="220">
        <v>18170</v>
      </c>
      <c r="AA9086" s="220">
        <f>SUM(X9086:Z9086)</f>
        <v>3191670</v>
      </c>
      <c r="AB9086" s="222">
        <v>46164</v>
      </c>
    </row>
    <row r="9087" spans="1:28" ht="17.100000000000001" customHeight="1" thickBot="1">
      <c r="A9087" s="227"/>
      <c r="B9087" s="27" t="s">
        <v>1765</v>
      </c>
      <c r="C9087" s="27">
        <v>7254</v>
      </c>
      <c r="D9087" s="14" t="s">
        <v>131</v>
      </c>
      <c r="E9087" s="229"/>
      <c r="F9087" s="117" t="s">
        <v>25190</v>
      </c>
      <c r="G9087" s="26">
        <v>32386</v>
      </c>
      <c r="H9087" s="231"/>
      <c r="I9087" s="221"/>
      <c r="J9087" s="221"/>
      <c r="K9087" s="221"/>
      <c r="L9087" s="221"/>
      <c r="M9087" s="221"/>
      <c r="N9087" s="221"/>
      <c r="O9087" s="225"/>
      <c r="P9087" s="118" t="s">
        <v>26264</v>
      </c>
      <c r="Q9087" s="16" t="s">
        <v>20</v>
      </c>
      <c r="R9087" s="17" t="s">
        <v>3702</v>
      </c>
      <c r="S9087" s="121" t="s">
        <v>1606</v>
      </c>
      <c r="T9087" s="122"/>
      <c r="U9087" s="22"/>
      <c r="V9087" s="123" t="s">
        <v>1735</v>
      </c>
      <c r="W9087" s="122">
        <v>348</v>
      </c>
      <c r="X9087" s="221"/>
      <c r="Y9087" s="221"/>
      <c r="Z9087" s="221"/>
      <c r="AA9087" s="221"/>
      <c r="AB9087" s="223"/>
    </row>
    <row r="9088" spans="1:28" ht="17.100000000000001" customHeight="1" thickTop="1">
      <c r="A9088" s="226" t="s">
        <v>25103</v>
      </c>
      <c r="B9088" s="28">
        <v>46158</v>
      </c>
      <c r="C9088" s="25">
        <v>1022</v>
      </c>
      <c r="D9088" s="13" t="s">
        <v>2690</v>
      </c>
      <c r="E9088" s="228"/>
      <c r="F9088" s="109" t="s">
        <v>3718</v>
      </c>
      <c r="G9088" s="24"/>
      <c r="H9088" s="230">
        <v>4</v>
      </c>
      <c r="I9088" s="220">
        <v>1751000</v>
      </c>
      <c r="J9088" s="220">
        <f>I9088*0.1</f>
        <v>175100</v>
      </c>
      <c r="K9088" s="220">
        <v>0</v>
      </c>
      <c r="L9088" s="220">
        <v>11740</v>
      </c>
      <c r="M9088" s="220">
        <f>17500+1750</f>
        <v>19250</v>
      </c>
      <c r="N9088" s="220">
        <f>SUM(I9088:M9089)</f>
        <v>1957090</v>
      </c>
      <c r="O9088" s="224"/>
      <c r="P9088" s="110" t="s">
        <v>26219</v>
      </c>
      <c r="Q9088" s="15" t="s">
        <v>19</v>
      </c>
      <c r="R9088" s="205"/>
      <c r="S9088" s="189" t="s">
        <v>758</v>
      </c>
      <c r="T9088" s="114"/>
      <c r="U9088" s="21"/>
      <c r="V9088" s="115">
        <v>46165</v>
      </c>
      <c r="W9088" s="116">
        <v>1301</v>
      </c>
      <c r="X9088" s="220">
        <v>1900000</v>
      </c>
      <c r="Y9088" s="220">
        <f>X9088*0.1</f>
        <v>190000</v>
      </c>
      <c r="Z9088" s="220">
        <v>11740</v>
      </c>
      <c r="AA9088" s="220">
        <f>SUM(X9088:Z9088)</f>
        <v>2101740</v>
      </c>
      <c r="AB9088" s="222">
        <v>46168</v>
      </c>
    </row>
    <row r="9089" spans="1:28" ht="17.100000000000001" customHeight="1" thickBot="1">
      <c r="A9089" s="227"/>
      <c r="B9089" s="27" t="s">
        <v>1697</v>
      </c>
      <c r="C9089" s="27">
        <v>5087</v>
      </c>
      <c r="D9089" s="14" t="s">
        <v>2788</v>
      </c>
      <c r="E9089" s="229"/>
      <c r="F9089" s="117" t="s">
        <v>25145</v>
      </c>
      <c r="G9089" s="26">
        <v>38761</v>
      </c>
      <c r="H9089" s="231"/>
      <c r="I9089" s="221"/>
      <c r="J9089" s="221"/>
      <c r="K9089" s="221"/>
      <c r="L9089" s="221"/>
      <c r="M9089" s="221"/>
      <c r="N9089" s="221"/>
      <c r="O9089" s="225"/>
      <c r="P9089" s="118" t="s">
        <v>5068</v>
      </c>
      <c r="Q9089" s="16" t="s">
        <v>20</v>
      </c>
      <c r="R9089" s="17" t="s">
        <v>1959</v>
      </c>
      <c r="S9089" s="121" t="s">
        <v>1661</v>
      </c>
      <c r="T9089" s="122"/>
      <c r="U9089" s="22"/>
      <c r="V9089" s="123" t="s">
        <v>2472</v>
      </c>
      <c r="W9089" s="122">
        <v>80173</v>
      </c>
      <c r="X9089" s="221"/>
      <c r="Y9089" s="221"/>
      <c r="Z9089" s="221"/>
      <c r="AA9089" s="221"/>
      <c r="AB9089" s="223"/>
    </row>
    <row r="9090" spans="1:28" ht="17.100000000000001" customHeight="1" thickTop="1">
      <c r="A9090" s="226" t="s">
        <v>25104</v>
      </c>
      <c r="B9090" s="28">
        <v>46158</v>
      </c>
      <c r="C9090" s="25">
        <v>1300</v>
      </c>
      <c r="D9090" s="13" t="s">
        <v>2866</v>
      </c>
      <c r="E9090" s="228"/>
      <c r="F9090" s="109" t="s">
        <v>24140</v>
      </c>
      <c r="G9090" s="24"/>
      <c r="H9090" s="230">
        <v>4.5</v>
      </c>
      <c r="I9090" s="220">
        <v>1000000</v>
      </c>
      <c r="J9090" s="220">
        <f>I9090*0.1</f>
        <v>100000</v>
      </c>
      <c r="K9090" s="220">
        <v>0</v>
      </c>
      <c r="L9090" s="220">
        <v>9750</v>
      </c>
      <c r="M9090" s="220">
        <v>13200</v>
      </c>
      <c r="N9090" s="220">
        <f>SUM(I9090:M9091)</f>
        <v>1122950</v>
      </c>
      <c r="O9090" s="224"/>
      <c r="P9090" s="110" t="s">
        <v>26240</v>
      </c>
      <c r="Q9090" s="15" t="s">
        <v>19</v>
      </c>
      <c r="R9090" s="205"/>
      <c r="S9090" s="189" t="s">
        <v>25487</v>
      </c>
      <c r="T9090" s="114"/>
      <c r="U9090" s="21"/>
      <c r="V9090" s="115"/>
      <c r="W9090" s="116"/>
      <c r="X9090" s="220"/>
      <c r="Y9090" s="220">
        <f>X9090*0.1</f>
        <v>0</v>
      </c>
      <c r="Z9090" s="220"/>
      <c r="AA9090" s="220">
        <f>SUM(X9090:Z9090)</f>
        <v>0</v>
      </c>
      <c r="AB9090" s="222"/>
    </row>
    <row r="9091" spans="1:28" ht="17.100000000000001" customHeight="1" thickBot="1">
      <c r="A9091" s="227"/>
      <c r="B9091" s="27" t="s">
        <v>2472</v>
      </c>
      <c r="C9091" s="27">
        <v>30142</v>
      </c>
      <c r="D9091" s="14" t="s">
        <v>273</v>
      </c>
      <c r="E9091" s="229"/>
      <c r="F9091" s="117" t="s">
        <v>25125</v>
      </c>
      <c r="G9091" s="26">
        <v>55360</v>
      </c>
      <c r="H9091" s="231"/>
      <c r="I9091" s="221"/>
      <c r="J9091" s="221"/>
      <c r="K9091" s="221"/>
      <c r="L9091" s="221"/>
      <c r="M9091" s="221"/>
      <c r="N9091" s="221"/>
      <c r="O9091" s="225"/>
      <c r="P9091" s="118" t="s">
        <v>4348</v>
      </c>
      <c r="Q9091" s="16" t="s">
        <v>20</v>
      </c>
      <c r="R9091" s="17" t="s">
        <v>1959</v>
      </c>
      <c r="S9091" s="121" t="s">
        <v>18759</v>
      </c>
      <c r="T9091" s="122"/>
      <c r="U9091" s="22"/>
      <c r="V9091" s="123"/>
      <c r="W9091" s="122"/>
      <c r="X9091" s="221"/>
      <c r="Y9091" s="221"/>
      <c r="Z9091" s="221"/>
      <c r="AA9091" s="221"/>
      <c r="AB9091" s="223"/>
    </row>
    <row r="9092" spans="1:28" ht="17.100000000000001" customHeight="1" thickTop="1">
      <c r="A9092" s="226" t="s">
        <v>25105</v>
      </c>
      <c r="B9092" s="28">
        <v>46158</v>
      </c>
      <c r="C9092" s="25">
        <v>1300</v>
      </c>
      <c r="D9092" s="13" t="s">
        <v>1899</v>
      </c>
      <c r="E9092" s="228"/>
      <c r="F9092" s="109" t="s">
        <v>25126</v>
      </c>
      <c r="G9092" s="24" t="s">
        <v>11028</v>
      </c>
      <c r="H9092" s="230">
        <v>4</v>
      </c>
      <c r="I9092" s="220">
        <v>780000</v>
      </c>
      <c r="J9092" s="220">
        <f>I9092*0.1</f>
        <v>78000</v>
      </c>
      <c r="K9092" s="220">
        <f>32900+3290</f>
        <v>36190</v>
      </c>
      <c r="L9092" s="220">
        <v>11480</v>
      </c>
      <c r="M9092" s="220">
        <v>12100</v>
      </c>
      <c r="N9092" s="220">
        <f>SUM(I9092:M9093)</f>
        <v>917770</v>
      </c>
      <c r="O9092" s="224"/>
      <c r="P9092" s="110" t="s">
        <v>25209</v>
      </c>
      <c r="Q9092" s="15" t="s">
        <v>19</v>
      </c>
      <c r="R9092" s="205"/>
      <c r="S9092" s="189" t="s">
        <v>26012</v>
      </c>
      <c r="T9092" s="114"/>
      <c r="U9092" s="21"/>
      <c r="V9092" s="115"/>
      <c r="W9092" s="116"/>
      <c r="X9092" s="220"/>
      <c r="Y9092" s="220">
        <f>X9092*0.1</f>
        <v>0</v>
      </c>
      <c r="Z9092" s="220"/>
      <c r="AA9092" s="220">
        <f>SUM(X9092:Z9092)</f>
        <v>0</v>
      </c>
      <c r="AB9092" s="222"/>
    </row>
    <row r="9093" spans="1:28" ht="17.100000000000001" customHeight="1" thickBot="1">
      <c r="A9093" s="227"/>
      <c r="B9093" s="27" t="s">
        <v>2472</v>
      </c>
      <c r="C9093" s="27">
        <v>37080</v>
      </c>
      <c r="D9093" s="14" t="s">
        <v>1710</v>
      </c>
      <c r="E9093" s="229"/>
      <c r="F9093" s="117" t="s">
        <v>25127</v>
      </c>
      <c r="G9093" s="26">
        <v>101425</v>
      </c>
      <c r="H9093" s="231"/>
      <c r="I9093" s="221"/>
      <c r="J9093" s="221"/>
      <c r="K9093" s="221"/>
      <c r="L9093" s="221"/>
      <c r="M9093" s="221"/>
      <c r="N9093" s="221"/>
      <c r="O9093" s="225"/>
      <c r="P9093" s="118" t="s">
        <v>26241</v>
      </c>
      <c r="Q9093" s="16" t="s">
        <v>20</v>
      </c>
      <c r="R9093" s="17" t="s">
        <v>1959</v>
      </c>
      <c r="S9093" s="121" t="s">
        <v>26242</v>
      </c>
      <c r="T9093" s="122"/>
      <c r="U9093" s="22"/>
      <c r="V9093" s="123"/>
      <c r="W9093" s="122"/>
      <c r="X9093" s="221"/>
      <c r="Y9093" s="221"/>
      <c r="Z9093" s="221"/>
      <c r="AA9093" s="221"/>
      <c r="AB9093" s="223"/>
    </row>
    <row r="9094" spans="1:28" ht="17.100000000000001" customHeight="1" thickTop="1">
      <c r="A9094" s="226" t="s">
        <v>25106</v>
      </c>
      <c r="B9094" s="28">
        <v>46158</v>
      </c>
      <c r="C9094" s="25">
        <v>1300</v>
      </c>
      <c r="D9094" s="13" t="s">
        <v>2422</v>
      </c>
      <c r="E9094" s="228"/>
      <c r="F9094" s="109" t="s">
        <v>2943</v>
      </c>
      <c r="G9094" s="24" t="s">
        <v>13075</v>
      </c>
      <c r="H9094" s="230">
        <v>4</v>
      </c>
      <c r="I9094" s="220">
        <v>550000</v>
      </c>
      <c r="J9094" s="220">
        <f>I9094*0.1</f>
        <v>55000</v>
      </c>
      <c r="K9094" s="220">
        <v>0</v>
      </c>
      <c r="L9094" s="220">
        <v>8400</v>
      </c>
      <c r="M9094" s="220">
        <v>13200</v>
      </c>
      <c r="N9094" s="220">
        <f>SUM(I9094:M9095)</f>
        <v>626600</v>
      </c>
      <c r="O9094" s="224"/>
      <c r="P9094" s="110" t="s">
        <v>25208</v>
      </c>
      <c r="Q9094" s="15" t="s">
        <v>19</v>
      </c>
      <c r="R9094" s="205"/>
      <c r="S9094" s="189" t="s">
        <v>26013</v>
      </c>
      <c r="T9094" s="114"/>
      <c r="U9094" s="21"/>
      <c r="V9094" s="115"/>
      <c r="W9094" s="116"/>
      <c r="X9094" s="220"/>
      <c r="Y9094" s="220">
        <f>X9094*0.1</f>
        <v>0</v>
      </c>
      <c r="Z9094" s="220"/>
      <c r="AA9094" s="220">
        <f>SUM(X9094:Z9094)</f>
        <v>0</v>
      </c>
      <c r="AB9094" s="222"/>
    </row>
    <row r="9095" spans="1:28" ht="17.100000000000001" customHeight="1" thickBot="1">
      <c r="A9095" s="227"/>
      <c r="B9095" s="27" t="s">
        <v>2472</v>
      </c>
      <c r="C9095" s="27">
        <v>62117</v>
      </c>
      <c r="D9095" s="14" t="s">
        <v>1797</v>
      </c>
      <c r="E9095" s="229"/>
      <c r="F9095" s="117" t="s">
        <v>25128</v>
      </c>
      <c r="G9095" s="26">
        <v>62000</v>
      </c>
      <c r="H9095" s="231"/>
      <c r="I9095" s="221"/>
      <c r="J9095" s="221"/>
      <c r="K9095" s="221"/>
      <c r="L9095" s="221"/>
      <c r="M9095" s="221"/>
      <c r="N9095" s="221"/>
      <c r="O9095" s="225"/>
      <c r="P9095" s="118" t="s">
        <v>26249</v>
      </c>
      <c r="Q9095" s="16" t="s">
        <v>20</v>
      </c>
      <c r="R9095" s="17" t="s">
        <v>1959</v>
      </c>
      <c r="S9095" s="128" t="s">
        <v>26250</v>
      </c>
      <c r="T9095" s="122"/>
      <c r="U9095" s="22"/>
      <c r="V9095" s="123"/>
      <c r="W9095" s="122"/>
      <c r="X9095" s="221"/>
      <c r="Y9095" s="221"/>
      <c r="Z9095" s="221"/>
      <c r="AA9095" s="221"/>
      <c r="AB9095" s="223"/>
    </row>
    <row r="9096" spans="1:28" ht="17.100000000000001" customHeight="1" thickTop="1">
      <c r="A9096" s="226" t="s">
        <v>25107</v>
      </c>
      <c r="B9096" s="28">
        <v>46158</v>
      </c>
      <c r="C9096" s="25">
        <v>1300</v>
      </c>
      <c r="D9096" s="13" t="s">
        <v>3422</v>
      </c>
      <c r="E9096" s="228"/>
      <c r="F9096" s="109" t="s">
        <v>25129</v>
      </c>
      <c r="G9096" s="24"/>
      <c r="H9096" s="230">
        <v>4</v>
      </c>
      <c r="I9096" s="220">
        <v>680000</v>
      </c>
      <c r="J9096" s="220">
        <f>I9096*0.1</f>
        <v>68000</v>
      </c>
      <c r="K9096" s="220">
        <v>0</v>
      </c>
      <c r="L9096" s="220">
        <v>9200</v>
      </c>
      <c r="M9096" s="220">
        <v>12100</v>
      </c>
      <c r="N9096" s="220">
        <f>SUM(I9096:M9097)</f>
        <v>769300</v>
      </c>
      <c r="O9096" s="224"/>
      <c r="P9096" s="110" t="s">
        <v>26251</v>
      </c>
      <c r="Q9096" s="15" t="s">
        <v>19</v>
      </c>
      <c r="R9096" s="205"/>
      <c r="S9096" s="189" t="s">
        <v>26014</v>
      </c>
      <c r="T9096" s="114"/>
      <c r="U9096" s="21"/>
      <c r="V9096" s="115"/>
      <c r="W9096" s="116"/>
      <c r="X9096" s="220"/>
      <c r="Y9096" s="220">
        <f>X9096*0.1</f>
        <v>0</v>
      </c>
      <c r="Z9096" s="220"/>
      <c r="AA9096" s="220">
        <f>SUM(X9096:Z9096)</f>
        <v>0</v>
      </c>
      <c r="AB9096" s="222"/>
    </row>
    <row r="9097" spans="1:28" ht="17.100000000000001" customHeight="1" thickBot="1">
      <c r="A9097" s="227"/>
      <c r="B9097" s="27" t="s">
        <v>2472</v>
      </c>
      <c r="C9097" s="27">
        <v>65094</v>
      </c>
      <c r="D9097" s="14" t="s">
        <v>1710</v>
      </c>
      <c r="E9097" s="229"/>
      <c r="F9097" s="117" t="s">
        <v>25130</v>
      </c>
      <c r="G9097" s="26">
        <v>32810</v>
      </c>
      <c r="H9097" s="231"/>
      <c r="I9097" s="221"/>
      <c r="J9097" s="221"/>
      <c r="K9097" s="221"/>
      <c r="L9097" s="221"/>
      <c r="M9097" s="221"/>
      <c r="N9097" s="221"/>
      <c r="O9097" s="225"/>
      <c r="P9097" s="118" t="s">
        <v>26252</v>
      </c>
      <c r="Q9097" s="16" t="s">
        <v>20</v>
      </c>
      <c r="R9097" s="17" t="s">
        <v>1959</v>
      </c>
      <c r="S9097" s="121" t="s">
        <v>13094</v>
      </c>
      <c r="T9097" s="122"/>
      <c r="U9097" s="22"/>
      <c r="V9097" s="123"/>
      <c r="W9097" s="122"/>
      <c r="X9097" s="221"/>
      <c r="Y9097" s="221"/>
      <c r="Z9097" s="221"/>
      <c r="AA9097" s="221"/>
      <c r="AB9097" s="223"/>
    </row>
    <row r="9098" spans="1:28" ht="17.100000000000001" customHeight="1" thickTop="1">
      <c r="A9098" s="226" t="s">
        <v>25108</v>
      </c>
      <c r="B9098" s="28">
        <v>46158</v>
      </c>
      <c r="C9098" s="25">
        <v>1300</v>
      </c>
      <c r="D9098" s="13" t="s">
        <v>1598</v>
      </c>
      <c r="E9098" s="228"/>
      <c r="F9098" s="109" t="s">
        <v>7498</v>
      </c>
      <c r="G9098" s="24"/>
      <c r="H9098" s="230">
        <v>4</v>
      </c>
      <c r="I9098" s="220">
        <v>700000</v>
      </c>
      <c r="J9098" s="220">
        <f>I9098*0.1</f>
        <v>70000</v>
      </c>
      <c r="K9098" s="220">
        <v>0</v>
      </c>
      <c r="L9098" s="220">
        <v>9080</v>
      </c>
      <c r="M9098" s="220">
        <v>12100</v>
      </c>
      <c r="N9098" s="220">
        <f>SUM(I9098:M9099)</f>
        <v>791180</v>
      </c>
      <c r="O9098" s="224"/>
      <c r="P9098" s="110" t="s">
        <v>26243</v>
      </c>
      <c r="Q9098" s="15" t="s">
        <v>19</v>
      </c>
      <c r="R9098" s="205"/>
      <c r="S9098" s="189"/>
      <c r="T9098" s="114"/>
      <c r="U9098" s="21"/>
      <c r="V9098" s="115"/>
      <c r="W9098" s="116"/>
      <c r="X9098" s="220"/>
      <c r="Y9098" s="220">
        <f>X9098*0.1</f>
        <v>0</v>
      </c>
      <c r="Z9098" s="220"/>
      <c r="AA9098" s="220">
        <f>SUM(X9098:Z9098)</f>
        <v>0</v>
      </c>
      <c r="AB9098" s="222"/>
    </row>
    <row r="9099" spans="1:28" ht="17.100000000000001" customHeight="1" thickBot="1">
      <c r="A9099" s="227"/>
      <c r="B9099" s="27" t="s">
        <v>2472</v>
      </c>
      <c r="C9099" s="27">
        <v>65181</v>
      </c>
      <c r="D9099" s="14" t="s">
        <v>2014</v>
      </c>
      <c r="E9099" s="229"/>
      <c r="F9099" s="117" t="s">
        <v>25131</v>
      </c>
      <c r="G9099" s="26">
        <v>71384</v>
      </c>
      <c r="H9099" s="231"/>
      <c r="I9099" s="221"/>
      <c r="J9099" s="221"/>
      <c r="K9099" s="221"/>
      <c r="L9099" s="221"/>
      <c r="M9099" s="221"/>
      <c r="N9099" s="221"/>
      <c r="O9099" s="225"/>
      <c r="P9099" s="118" t="s">
        <v>2870</v>
      </c>
      <c r="Q9099" s="16" t="s">
        <v>20</v>
      </c>
      <c r="R9099" s="17" t="s">
        <v>1959</v>
      </c>
      <c r="S9099" s="121"/>
      <c r="T9099" s="122"/>
      <c r="U9099" s="22"/>
      <c r="V9099" s="123"/>
      <c r="W9099" s="122"/>
      <c r="X9099" s="221"/>
      <c r="Y9099" s="221"/>
      <c r="Z9099" s="221"/>
      <c r="AA9099" s="221"/>
      <c r="AB9099" s="223"/>
    </row>
    <row r="9100" spans="1:28" ht="17.100000000000001" customHeight="1" thickTop="1">
      <c r="A9100" s="226" t="s">
        <v>25109</v>
      </c>
      <c r="B9100" s="28">
        <v>46158</v>
      </c>
      <c r="C9100" s="25">
        <v>1300</v>
      </c>
      <c r="D9100" s="13" t="s">
        <v>1839</v>
      </c>
      <c r="E9100" s="228"/>
      <c r="F9100" s="109" t="s">
        <v>3844</v>
      </c>
      <c r="G9100" s="24" t="s">
        <v>8092</v>
      </c>
      <c r="H9100" s="230">
        <v>4</v>
      </c>
      <c r="I9100" s="220">
        <v>390000</v>
      </c>
      <c r="J9100" s="220">
        <f>I9100*0.1</f>
        <v>39000</v>
      </c>
      <c r="K9100" s="220">
        <v>0</v>
      </c>
      <c r="L9100" s="220">
        <v>7950</v>
      </c>
      <c r="M9100" s="220">
        <v>13200</v>
      </c>
      <c r="N9100" s="220">
        <f>SUM(I9100:M9101)</f>
        <v>450150</v>
      </c>
      <c r="O9100" s="224"/>
      <c r="P9100" s="110" t="s">
        <v>25207</v>
      </c>
      <c r="Q9100" s="15" t="s">
        <v>19</v>
      </c>
      <c r="R9100" s="205"/>
      <c r="S9100" s="189" t="s">
        <v>758</v>
      </c>
      <c r="T9100" s="114"/>
      <c r="U9100" s="21"/>
      <c r="V9100" s="115"/>
      <c r="W9100" s="116"/>
      <c r="X9100" s="220"/>
      <c r="Y9100" s="220">
        <f>X9100*0.1</f>
        <v>0</v>
      </c>
      <c r="Z9100" s="220"/>
      <c r="AA9100" s="220">
        <f>SUM(X9100:Z9100)</f>
        <v>0</v>
      </c>
      <c r="AB9100" s="222"/>
    </row>
    <row r="9101" spans="1:28" ht="17.100000000000001" customHeight="1" thickBot="1">
      <c r="A9101" s="227"/>
      <c r="B9101" s="27" t="s">
        <v>2472</v>
      </c>
      <c r="C9101" s="27">
        <v>65283</v>
      </c>
      <c r="D9101" s="14" t="s">
        <v>3792</v>
      </c>
      <c r="E9101" s="229"/>
      <c r="F9101" s="117" t="s">
        <v>25132</v>
      </c>
      <c r="G9101" s="26">
        <v>52058</v>
      </c>
      <c r="H9101" s="231"/>
      <c r="I9101" s="221"/>
      <c r="J9101" s="221"/>
      <c r="K9101" s="221"/>
      <c r="L9101" s="221"/>
      <c r="M9101" s="221"/>
      <c r="N9101" s="221"/>
      <c r="O9101" s="225"/>
      <c r="P9101" s="118" t="s">
        <v>26244</v>
      </c>
      <c r="Q9101" s="16" t="s">
        <v>20</v>
      </c>
      <c r="R9101" s="17" t="s">
        <v>1959</v>
      </c>
      <c r="S9101" s="121" t="s">
        <v>169</v>
      </c>
      <c r="T9101" s="122"/>
      <c r="U9101" s="22"/>
      <c r="V9101" s="123"/>
      <c r="W9101" s="122"/>
      <c r="X9101" s="221"/>
      <c r="Y9101" s="221"/>
      <c r="Z9101" s="221"/>
      <c r="AA9101" s="221"/>
      <c r="AB9101" s="223"/>
    </row>
    <row r="9102" spans="1:28" ht="17.100000000000001" customHeight="1" thickTop="1">
      <c r="A9102" s="226" t="s">
        <v>25110</v>
      </c>
      <c r="B9102" s="28">
        <v>46158</v>
      </c>
      <c r="C9102" s="25">
        <v>1300</v>
      </c>
      <c r="D9102" s="13" t="s">
        <v>2129</v>
      </c>
      <c r="E9102" s="228"/>
      <c r="F9102" s="109" t="s">
        <v>2943</v>
      </c>
      <c r="G9102" s="24"/>
      <c r="H9102" s="230">
        <v>4.5</v>
      </c>
      <c r="I9102" s="220">
        <v>665000</v>
      </c>
      <c r="J9102" s="220">
        <f>I9102*0.1</f>
        <v>66500</v>
      </c>
      <c r="K9102" s="220">
        <v>0</v>
      </c>
      <c r="L9102" s="220">
        <v>8860</v>
      </c>
      <c r="M9102" s="220">
        <v>13200</v>
      </c>
      <c r="N9102" s="220">
        <f>SUM(I9102:M9103)</f>
        <v>753560</v>
      </c>
      <c r="O9102" s="224"/>
      <c r="P9102" s="110" t="s">
        <v>26247</v>
      </c>
      <c r="Q9102" s="15" t="s">
        <v>19</v>
      </c>
      <c r="R9102" s="205"/>
      <c r="S9102" s="189" t="s">
        <v>26015</v>
      </c>
      <c r="T9102" s="114"/>
      <c r="U9102" s="21"/>
      <c r="V9102" s="115"/>
      <c r="W9102" s="116"/>
      <c r="X9102" s="220"/>
      <c r="Y9102" s="220">
        <f>X9102*0.1</f>
        <v>0</v>
      </c>
      <c r="Z9102" s="220"/>
      <c r="AA9102" s="220">
        <f>SUM(X9102:Z9102)</f>
        <v>0</v>
      </c>
      <c r="AB9102" s="222"/>
    </row>
    <row r="9103" spans="1:28" ht="17.100000000000001" customHeight="1" thickBot="1">
      <c r="A9103" s="227"/>
      <c r="B9103" s="27" t="s">
        <v>2472</v>
      </c>
      <c r="C9103" s="27">
        <v>65329</v>
      </c>
      <c r="D9103" s="14" t="s">
        <v>1710</v>
      </c>
      <c r="E9103" s="229"/>
      <c r="F9103" s="117" t="s">
        <v>25133</v>
      </c>
      <c r="G9103" s="26">
        <v>38896</v>
      </c>
      <c r="H9103" s="231"/>
      <c r="I9103" s="221"/>
      <c r="J9103" s="221"/>
      <c r="K9103" s="221"/>
      <c r="L9103" s="221"/>
      <c r="M9103" s="221"/>
      <c r="N9103" s="221"/>
      <c r="O9103" s="225"/>
      <c r="P9103" s="118" t="s">
        <v>2870</v>
      </c>
      <c r="Q9103" s="16" t="s">
        <v>20</v>
      </c>
      <c r="R9103" s="17" t="s">
        <v>1959</v>
      </c>
      <c r="S9103" s="121" t="s">
        <v>26248</v>
      </c>
      <c r="T9103" s="122"/>
      <c r="U9103" s="22"/>
      <c r="V9103" s="123"/>
      <c r="W9103" s="122"/>
      <c r="X9103" s="221"/>
      <c r="Y9103" s="221"/>
      <c r="Z9103" s="221"/>
      <c r="AA9103" s="221"/>
      <c r="AB9103" s="223"/>
    </row>
    <row r="9104" spans="1:28" ht="17.100000000000001" customHeight="1" thickTop="1">
      <c r="A9104" s="226" t="s">
        <v>25111</v>
      </c>
      <c r="B9104" s="28">
        <v>46158</v>
      </c>
      <c r="C9104" s="25">
        <v>1300</v>
      </c>
      <c r="D9104" s="13" t="s">
        <v>1642</v>
      </c>
      <c r="E9104" s="228"/>
      <c r="F9104" s="109" t="s">
        <v>4526</v>
      </c>
      <c r="G9104" s="24"/>
      <c r="H9104" s="230">
        <v>4.5</v>
      </c>
      <c r="I9104" s="220">
        <v>1025000</v>
      </c>
      <c r="J9104" s="220">
        <f>I9104*0.1</f>
        <v>102500</v>
      </c>
      <c r="K9104" s="220">
        <v>0</v>
      </c>
      <c r="L9104" s="220">
        <v>8200</v>
      </c>
      <c r="M9104" s="220">
        <v>12100</v>
      </c>
      <c r="N9104" s="220">
        <f>SUM(I9104:M9105)</f>
        <v>1147800</v>
      </c>
      <c r="O9104" s="224"/>
      <c r="P9104" s="110" t="s">
        <v>26253</v>
      </c>
      <c r="Q9104" s="15" t="s">
        <v>19</v>
      </c>
      <c r="R9104" s="205"/>
      <c r="S9104" s="189" t="s">
        <v>1276</v>
      </c>
      <c r="T9104" s="114"/>
      <c r="U9104" s="21"/>
      <c r="V9104" s="115"/>
      <c r="W9104" s="116"/>
      <c r="X9104" s="220"/>
      <c r="Y9104" s="220">
        <f>X9104*0.1</f>
        <v>0</v>
      </c>
      <c r="Z9104" s="220"/>
      <c r="AA9104" s="220">
        <f>SUM(X9104:Z9104)</f>
        <v>0</v>
      </c>
      <c r="AB9104" s="222"/>
    </row>
    <row r="9105" spans="1:28" ht="17.100000000000001" customHeight="1" thickBot="1">
      <c r="A9105" s="227"/>
      <c r="B9105" s="27" t="s">
        <v>2472</v>
      </c>
      <c r="C9105" s="27">
        <v>65433</v>
      </c>
      <c r="D9105" s="14" t="s">
        <v>2753</v>
      </c>
      <c r="E9105" s="229"/>
      <c r="F9105" s="117" t="s">
        <v>25134</v>
      </c>
      <c r="G9105" s="26">
        <v>29600</v>
      </c>
      <c r="H9105" s="231"/>
      <c r="I9105" s="221"/>
      <c r="J9105" s="221"/>
      <c r="K9105" s="221"/>
      <c r="L9105" s="221"/>
      <c r="M9105" s="221"/>
      <c r="N9105" s="221"/>
      <c r="O9105" s="225"/>
      <c r="P9105" s="118" t="s">
        <v>7954</v>
      </c>
      <c r="Q9105" s="16" t="s">
        <v>20</v>
      </c>
      <c r="R9105" s="17" t="s">
        <v>1959</v>
      </c>
      <c r="S9105" s="121" t="s">
        <v>26476</v>
      </c>
      <c r="T9105" s="122"/>
      <c r="U9105" s="22"/>
      <c r="V9105" s="123"/>
      <c r="W9105" s="122"/>
      <c r="X9105" s="221"/>
      <c r="Y9105" s="221"/>
      <c r="Z9105" s="221"/>
      <c r="AA9105" s="221"/>
      <c r="AB9105" s="223"/>
    </row>
    <row r="9106" spans="1:28" ht="17.100000000000001" customHeight="1" thickTop="1">
      <c r="A9106" s="233" t="s">
        <v>25112</v>
      </c>
      <c r="B9106" s="28">
        <v>46158</v>
      </c>
      <c r="C9106" s="25">
        <v>1300</v>
      </c>
      <c r="D9106" s="13" t="s">
        <v>2167</v>
      </c>
      <c r="E9106" s="228"/>
      <c r="F9106" s="109" t="s">
        <v>2943</v>
      </c>
      <c r="G9106" s="24" t="s">
        <v>16321</v>
      </c>
      <c r="H9106" s="230">
        <v>4</v>
      </c>
      <c r="I9106" s="220">
        <v>560000</v>
      </c>
      <c r="J9106" s="220">
        <f>I9106*0.1</f>
        <v>56000</v>
      </c>
      <c r="K9106" s="220">
        <v>0</v>
      </c>
      <c r="L9106" s="220">
        <v>8400</v>
      </c>
      <c r="M9106" s="220">
        <v>13200</v>
      </c>
      <c r="N9106" s="220">
        <f>SUM(I9106:M9107)</f>
        <v>637600</v>
      </c>
      <c r="O9106" s="224"/>
      <c r="P9106" s="110" t="s">
        <v>25206</v>
      </c>
      <c r="Q9106" s="15" t="s">
        <v>19</v>
      </c>
      <c r="R9106" s="205"/>
      <c r="S9106" s="189" t="s">
        <v>1361</v>
      </c>
      <c r="T9106" s="114" t="s">
        <v>26259</v>
      </c>
      <c r="U9106" s="21"/>
      <c r="V9106" s="115"/>
      <c r="W9106" s="116"/>
      <c r="X9106" s="220"/>
      <c r="Y9106" s="220">
        <f>X9106*0.1</f>
        <v>0</v>
      </c>
      <c r="Z9106" s="220"/>
      <c r="AA9106" s="220">
        <f>SUM(X9106:Z9106)</f>
        <v>0</v>
      </c>
      <c r="AB9106" s="222"/>
    </row>
    <row r="9107" spans="1:28" ht="17.100000000000001" customHeight="1" thickBot="1">
      <c r="A9107" s="234"/>
      <c r="B9107" s="27" t="s">
        <v>2472</v>
      </c>
      <c r="C9107" s="27">
        <v>65533</v>
      </c>
      <c r="D9107" s="14" t="s">
        <v>898</v>
      </c>
      <c r="E9107" s="229"/>
      <c r="F9107" s="117" t="s">
        <v>25135</v>
      </c>
      <c r="G9107" s="26">
        <v>33410</v>
      </c>
      <c r="H9107" s="231"/>
      <c r="I9107" s="221"/>
      <c r="J9107" s="221"/>
      <c r="K9107" s="221"/>
      <c r="L9107" s="221"/>
      <c r="M9107" s="221"/>
      <c r="N9107" s="221"/>
      <c r="O9107" s="225"/>
      <c r="P9107" s="118" t="s">
        <v>20736</v>
      </c>
      <c r="Q9107" s="16" t="s">
        <v>20</v>
      </c>
      <c r="R9107" s="17" t="s">
        <v>1959</v>
      </c>
      <c r="S9107" s="121" t="s">
        <v>169</v>
      </c>
      <c r="T9107" s="122"/>
      <c r="U9107" s="22"/>
      <c r="V9107" s="123"/>
      <c r="W9107" s="122"/>
      <c r="X9107" s="221"/>
      <c r="Y9107" s="221"/>
      <c r="Z9107" s="221"/>
      <c r="AA9107" s="221"/>
      <c r="AB9107" s="223"/>
    </row>
    <row r="9108" spans="1:28" ht="17.100000000000001" customHeight="1" thickTop="1">
      <c r="A9108" s="226" t="s">
        <v>25113</v>
      </c>
      <c r="B9108" s="28">
        <v>46158</v>
      </c>
      <c r="C9108" s="25">
        <v>1300</v>
      </c>
      <c r="D9108" s="13" t="s">
        <v>1704</v>
      </c>
      <c r="E9108" s="228"/>
      <c r="F9108" s="109" t="s">
        <v>4361</v>
      </c>
      <c r="G9108" s="24"/>
      <c r="H9108" s="230">
        <v>4.5</v>
      </c>
      <c r="I9108" s="220">
        <v>1045000</v>
      </c>
      <c r="J9108" s="220">
        <f>I9108*0.1</f>
        <v>104500</v>
      </c>
      <c r="K9108" s="220">
        <v>0</v>
      </c>
      <c r="L9108" s="220">
        <v>7150</v>
      </c>
      <c r="M9108" s="220">
        <v>12100</v>
      </c>
      <c r="N9108" s="220">
        <f>SUM(I9108:M9109)</f>
        <v>1168750</v>
      </c>
      <c r="O9108" s="224"/>
      <c r="P9108" s="110" t="s">
        <v>26254</v>
      </c>
      <c r="Q9108" s="15" t="s">
        <v>19</v>
      </c>
      <c r="R9108" s="205"/>
      <c r="S9108" s="189" t="s">
        <v>25458</v>
      </c>
      <c r="T9108" s="114"/>
      <c r="U9108" s="21"/>
      <c r="V9108" s="115"/>
      <c r="W9108" s="116"/>
      <c r="X9108" s="220"/>
      <c r="Y9108" s="220">
        <f>X9108*0.1</f>
        <v>0</v>
      </c>
      <c r="Z9108" s="220"/>
      <c r="AA9108" s="220">
        <f>SUM(X9108:Z9108)</f>
        <v>0</v>
      </c>
      <c r="AB9108" s="222"/>
    </row>
    <row r="9109" spans="1:28" ht="17.100000000000001" customHeight="1" thickBot="1">
      <c r="A9109" s="227"/>
      <c r="B9109" s="27" t="s">
        <v>2472</v>
      </c>
      <c r="C9109" s="27">
        <v>65749</v>
      </c>
      <c r="D9109" s="14" t="s">
        <v>273</v>
      </c>
      <c r="E9109" s="229"/>
      <c r="F9109" s="117" t="s">
        <v>25136</v>
      </c>
      <c r="G9109" s="26">
        <v>56956</v>
      </c>
      <c r="H9109" s="231"/>
      <c r="I9109" s="221"/>
      <c r="J9109" s="221"/>
      <c r="K9109" s="221"/>
      <c r="L9109" s="221"/>
      <c r="M9109" s="221"/>
      <c r="N9109" s="221"/>
      <c r="O9109" s="225"/>
      <c r="P9109" s="118" t="s">
        <v>10518</v>
      </c>
      <c r="Q9109" s="16" t="s">
        <v>20</v>
      </c>
      <c r="R9109" s="17" t="s">
        <v>1959</v>
      </c>
      <c r="S9109" s="121" t="s">
        <v>26255</v>
      </c>
      <c r="T9109" s="122"/>
      <c r="U9109" s="22"/>
      <c r="V9109" s="123"/>
      <c r="W9109" s="122"/>
      <c r="X9109" s="221"/>
      <c r="Y9109" s="221"/>
      <c r="Z9109" s="221"/>
      <c r="AA9109" s="221"/>
      <c r="AB9109" s="223"/>
    </row>
    <row r="9110" spans="1:28" ht="17.100000000000001" customHeight="1" thickTop="1">
      <c r="A9110" s="226" t="s">
        <v>25114</v>
      </c>
      <c r="B9110" s="28">
        <v>46158</v>
      </c>
      <c r="C9110" s="25">
        <v>1300</v>
      </c>
      <c r="D9110" s="13" t="s">
        <v>1996</v>
      </c>
      <c r="E9110" s="228"/>
      <c r="F9110" s="109" t="s">
        <v>25137</v>
      </c>
      <c r="G9110" s="24" t="s">
        <v>5035</v>
      </c>
      <c r="H9110" s="230">
        <v>4</v>
      </c>
      <c r="I9110" s="220">
        <v>485000</v>
      </c>
      <c r="J9110" s="220">
        <f>I9110*0.1</f>
        <v>48500</v>
      </c>
      <c r="K9110" s="220">
        <v>0</v>
      </c>
      <c r="L9110" s="220">
        <v>8850</v>
      </c>
      <c r="M9110" s="220">
        <v>13200</v>
      </c>
      <c r="N9110" s="220">
        <f>SUM(I9110:M9111)</f>
        <v>555550</v>
      </c>
      <c r="O9110" s="224"/>
      <c r="P9110" s="110" t="s">
        <v>25205</v>
      </c>
      <c r="Q9110" s="15" t="s">
        <v>19</v>
      </c>
      <c r="R9110" s="205"/>
      <c r="S9110" s="189"/>
      <c r="T9110" s="114"/>
      <c r="U9110" s="21"/>
      <c r="V9110" s="115"/>
      <c r="W9110" s="116"/>
      <c r="X9110" s="220"/>
      <c r="Y9110" s="220">
        <f>X9110*0.1</f>
        <v>0</v>
      </c>
      <c r="Z9110" s="220"/>
      <c r="AA9110" s="220">
        <f>SUM(X9110:Z9110)</f>
        <v>0</v>
      </c>
      <c r="AB9110" s="222"/>
    </row>
    <row r="9111" spans="1:28" ht="17.100000000000001" customHeight="1" thickBot="1">
      <c r="A9111" s="227"/>
      <c r="B9111" s="27" t="s">
        <v>2472</v>
      </c>
      <c r="C9111" s="27">
        <v>65779</v>
      </c>
      <c r="D9111" s="14" t="s">
        <v>898</v>
      </c>
      <c r="E9111" s="229"/>
      <c r="F9111" s="117" t="s">
        <v>25138</v>
      </c>
      <c r="G9111" s="26">
        <v>56629</v>
      </c>
      <c r="H9111" s="231"/>
      <c r="I9111" s="221"/>
      <c r="J9111" s="221"/>
      <c r="K9111" s="221"/>
      <c r="L9111" s="221"/>
      <c r="M9111" s="221"/>
      <c r="N9111" s="221"/>
      <c r="O9111" s="225"/>
      <c r="P9111" s="118" t="s">
        <v>1972</v>
      </c>
      <c r="Q9111" s="16" t="s">
        <v>20</v>
      </c>
      <c r="R9111" s="17" t="s">
        <v>1959</v>
      </c>
      <c r="S9111" s="121" t="s">
        <v>13932</v>
      </c>
      <c r="T9111" s="122"/>
      <c r="U9111" s="22"/>
      <c r="V9111" s="123"/>
      <c r="W9111" s="122"/>
      <c r="X9111" s="221"/>
      <c r="Y9111" s="221"/>
      <c r="Z9111" s="221"/>
      <c r="AA9111" s="221"/>
      <c r="AB9111" s="223"/>
    </row>
    <row r="9112" spans="1:28" ht="17.100000000000001" customHeight="1" thickTop="1">
      <c r="A9112" s="226" t="s">
        <v>25115</v>
      </c>
      <c r="B9112" s="28">
        <v>46158</v>
      </c>
      <c r="C9112" s="25">
        <v>1300</v>
      </c>
      <c r="D9112" s="13" t="s">
        <v>2107</v>
      </c>
      <c r="E9112" s="228"/>
      <c r="F9112" s="109" t="s">
        <v>9188</v>
      </c>
      <c r="G9112" s="24"/>
      <c r="H9112" s="230">
        <v>4.5</v>
      </c>
      <c r="I9112" s="220">
        <v>670000</v>
      </c>
      <c r="J9112" s="220">
        <f>I9112*0.1</f>
        <v>67000</v>
      </c>
      <c r="K9112" s="220">
        <v>0</v>
      </c>
      <c r="L9112" s="220">
        <v>9790</v>
      </c>
      <c r="M9112" s="220">
        <v>13200</v>
      </c>
      <c r="N9112" s="220">
        <f>SUM(I9112:M9113)</f>
        <v>759990</v>
      </c>
      <c r="O9112" s="224"/>
      <c r="P9112" s="110" t="s">
        <v>26470</v>
      </c>
      <c r="Q9112" s="15" t="s">
        <v>19</v>
      </c>
      <c r="R9112" s="205"/>
      <c r="S9112" s="189"/>
      <c r="T9112" s="114"/>
      <c r="U9112" s="21"/>
      <c r="V9112" s="115"/>
      <c r="W9112" s="116"/>
      <c r="X9112" s="220"/>
      <c r="Y9112" s="220">
        <f>X9112*0.1</f>
        <v>0</v>
      </c>
      <c r="Z9112" s="220"/>
      <c r="AA9112" s="220">
        <f>SUM(X9112:Z9112)</f>
        <v>0</v>
      </c>
      <c r="AB9112" s="222"/>
    </row>
    <row r="9113" spans="1:28" ht="17.100000000000001" customHeight="1" thickBot="1">
      <c r="A9113" s="227"/>
      <c r="B9113" s="27" t="s">
        <v>2472</v>
      </c>
      <c r="C9113" s="27">
        <v>65807</v>
      </c>
      <c r="D9113" s="14" t="s">
        <v>2014</v>
      </c>
      <c r="E9113" s="229"/>
      <c r="F9113" s="117" t="s">
        <v>25139</v>
      </c>
      <c r="G9113" s="26">
        <v>59927</v>
      </c>
      <c r="H9113" s="231"/>
      <c r="I9113" s="221"/>
      <c r="J9113" s="221"/>
      <c r="K9113" s="221"/>
      <c r="L9113" s="221"/>
      <c r="M9113" s="221"/>
      <c r="N9113" s="221"/>
      <c r="O9113" s="225"/>
      <c r="P9113" s="118" t="s">
        <v>3506</v>
      </c>
      <c r="Q9113" s="16" t="s">
        <v>20</v>
      </c>
      <c r="R9113" s="17" t="s">
        <v>26469</v>
      </c>
      <c r="S9113" s="121"/>
      <c r="T9113" s="122"/>
      <c r="U9113" s="22"/>
      <c r="V9113" s="123"/>
      <c r="W9113" s="122"/>
      <c r="X9113" s="221"/>
      <c r="Y9113" s="221"/>
      <c r="Z9113" s="221"/>
      <c r="AA9113" s="221"/>
      <c r="AB9113" s="223"/>
    </row>
    <row r="9114" spans="1:28" ht="17.100000000000001" customHeight="1" thickTop="1">
      <c r="A9114" s="226" t="s">
        <v>25116</v>
      </c>
      <c r="B9114" s="28">
        <v>46158</v>
      </c>
      <c r="C9114" s="25">
        <v>1300</v>
      </c>
      <c r="D9114" s="13" t="s">
        <v>2564</v>
      </c>
      <c r="E9114" s="228"/>
      <c r="F9114" s="109" t="s">
        <v>2943</v>
      </c>
      <c r="G9114" s="24"/>
      <c r="H9114" s="230">
        <v>4.5</v>
      </c>
      <c r="I9114" s="220">
        <v>760000</v>
      </c>
      <c r="J9114" s="220">
        <f>I9114*0.1</f>
        <v>76000</v>
      </c>
      <c r="K9114" s="220">
        <v>0</v>
      </c>
      <c r="L9114" s="220">
        <v>8400</v>
      </c>
      <c r="M9114" s="220">
        <v>13200</v>
      </c>
      <c r="N9114" s="220">
        <f>SUM(I9114:M9115)</f>
        <v>857600</v>
      </c>
      <c r="O9114" s="224"/>
      <c r="P9114" s="110" t="s">
        <v>26256</v>
      </c>
      <c r="Q9114" s="15" t="s">
        <v>19</v>
      </c>
      <c r="R9114" s="205"/>
      <c r="S9114" s="189" t="s">
        <v>25418</v>
      </c>
      <c r="T9114" s="114"/>
      <c r="U9114" s="21"/>
      <c r="V9114" s="115"/>
      <c r="W9114" s="116"/>
      <c r="X9114" s="220"/>
      <c r="Y9114" s="220">
        <f>X9114*0.1</f>
        <v>0</v>
      </c>
      <c r="Z9114" s="220"/>
      <c r="AA9114" s="220">
        <f>SUM(X9114:Z9114)</f>
        <v>0</v>
      </c>
      <c r="AB9114" s="222"/>
    </row>
    <row r="9115" spans="1:28" ht="17.100000000000001" customHeight="1" thickBot="1">
      <c r="A9115" s="227"/>
      <c r="B9115" s="27" t="s">
        <v>2472</v>
      </c>
      <c r="C9115" s="27">
        <v>65821</v>
      </c>
      <c r="D9115" s="14" t="s">
        <v>898</v>
      </c>
      <c r="E9115" s="229"/>
      <c r="F9115" s="117" t="s">
        <v>25140</v>
      </c>
      <c r="G9115" s="26">
        <v>47978</v>
      </c>
      <c r="H9115" s="231"/>
      <c r="I9115" s="221"/>
      <c r="J9115" s="221"/>
      <c r="K9115" s="221"/>
      <c r="L9115" s="221"/>
      <c r="M9115" s="221"/>
      <c r="N9115" s="221"/>
      <c r="O9115" s="225"/>
      <c r="P9115" s="118" t="s">
        <v>26257</v>
      </c>
      <c r="Q9115" s="16" t="s">
        <v>20</v>
      </c>
      <c r="R9115" s="17" t="s">
        <v>1959</v>
      </c>
      <c r="S9115" s="121" t="s">
        <v>1649</v>
      </c>
      <c r="T9115" s="122"/>
      <c r="U9115" s="22"/>
      <c r="V9115" s="123"/>
      <c r="W9115" s="122"/>
      <c r="X9115" s="221"/>
      <c r="Y9115" s="221"/>
      <c r="Z9115" s="221"/>
      <c r="AA9115" s="221"/>
      <c r="AB9115" s="223"/>
    </row>
    <row r="9116" spans="1:28" ht="17.100000000000001" customHeight="1" thickTop="1">
      <c r="A9116" s="226" t="s">
        <v>25117</v>
      </c>
      <c r="B9116" s="28">
        <v>46158</v>
      </c>
      <c r="C9116" s="25">
        <v>1300</v>
      </c>
      <c r="D9116" s="13" t="s">
        <v>3406</v>
      </c>
      <c r="E9116" s="228"/>
      <c r="F9116" s="109" t="s">
        <v>6851</v>
      </c>
      <c r="G9116" s="24" t="s">
        <v>21628</v>
      </c>
      <c r="H9116" s="230">
        <v>4.5</v>
      </c>
      <c r="I9116" s="220">
        <v>1019000</v>
      </c>
      <c r="J9116" s="220">
        <f>I9116*0.1</f>
        <v>101900</v>
      </c>
      <c r="K9116" s="220">
        <v>0</v>
      </c>
      <c r="L9116" s="220">
        <v>7040</v>
      </c>
      <c r="M9116" s="220">
        <v>13200</v>
      </c>
      <c r="N9116" s="220">
        <f>SUM(I9116:M9117)</f>
        <v>1141140</v>
      </c>
      <c r="O9116" s="224"/>
      <c r="P9116" s="110" t="s">
        <v>25204</v>
      </c>
      <c r="Q9116" s="15" t="s">
        <v>19</v>
      </c>
      <c r="R9116" s="205"/>
      <c r="S9116" s="189" t="s">
        <v>25618</v>
      </c>
      <c r="T9116" s="114"/>
      <c r="U9116" s="21"/>
      <c r="V9116" s="115">
        <v>46162</v>
      </c>
      <c r="W9116" s="116">
        <v>1017</v>
      </c>
      <c r="X9116" s="220">
        <v>1195000</v>
      </c>
      <c r="Y9116" s="220">
        <f>X9116*0.1</f>
        <v>119500</v>
      </c>
      <c r="Z9116" s="220">
        <v>7040</v>
      </c>
      <c r="AA9116" s="220">
        <f>SUM(X9116:Z9116)</f>
        <v>1321540</v>
      </c>
      <c r="AB9116" s="222">
        <v>46167</v>
      </c>
    </row>
    <row r="9117" spans="1:28" ht="17.100000000000001" customHeight="1" thickBot="1">
      <c r="A9117" s="227"/>
      <c r="B9117" s="27" t="s">
        <v>2472</v>
      </c>
      <c r="C9117" s="27">
        <v>65874</v>
      </c>
      <c r="D9117" s="14" t="s">
        <v>898</v>
      </c>
      <c r="E9117" s="229"/>
      <c r="F9117" s="117" t="s">
        <v>25141</v>
      </c>
      <c r="G9117" s="26">
        <v>31750</v>
      </c>
      <c r="H9117" s="231"/>
      <c r="I9117" s="221"/>
      <c r="J9117" s="221"/>
      <c r="K9117" s="221"/>
      <c r="L9117" s="221"/>
      <c r="M9117" s="221"/>
      <c r="N9117" s="221"/>
      <c r="O9117" s="225"/>
      <c r="P9117" s="118" t="s">
        <v>26234</v>
      </c>
      <c r="Q9117" s="16" t="s">
        <v>20</v>
      </c>
      <c r="R9117" s="17" t="s">
        <v>1959</v>
      </c>
      <c r="S9117" s="121" t="s">
        <v>26235</v>
      </c>
      <c r="T9117" s="122"/>
      <c r="U9117" s="22"/>
      <c r="V9117" s="123" t="s">
        <v>2747</v>
      </c>
      <c r="W9117" s="122">
        <v>5188</v>
      </c>
      <c r="X9117" s="221"/>
      <c r="Y9117" s="221"/>
      <c r="Z9117" s="221"/>
      <c r="AA9117" s="221"/>
      <c r="AB9117" s="223"/>
    </row>
    <row r="9118" spans="1:28" ht="17.100000000000001" customHeight="1" thickTop="1">
      <c r="A9118" s="226" t="s">
        <v>25118</v>
      </c>
      <c r="B9118" s="28">
        <v>46158</v>
      </c>
      <c r="C9118" s="25">
        <v>1300</v>
      </c>
      <c r="D9118" s="13" t="s">
        <v>1846</v>
      </c>
      <c r="E9118" s="228"/>
      <c r="F9118" s="109" t="s">
        <v>13338</v>
      </c>
      <c r="G9118" s="24"/>
      <c r="H9118" s="230">
        <v>4</v>
      </c>
      <c r="I9118" s="220">
        <v>710000</v>
      </c>
      <c r="J9118" s="220">
        <f>I9118*0.1</f>
        <v>71000</v>
      </c>
      <c r="K9118" s="220">
        <v>0</v>
      </c>
      <c r="L9118" s="220">
        <v>8790</v>
      </c>
      <c r="M9118" s="220">
        <v>13200</v>
      </c>
      <c r="N9118" s="220">
        <f>710000+71000+8790+13200</f>
        <v>802990</v>
      </c>
      <c r="O9118" s="224"/>
      <c r="P9118" s="110" t="s">
        <v>26245</v>
      </c>
      <c r="Q9118" s="15" t="s">
        <v>19</v>
      </c>
      <c r="R9118" s="205"/>
      <c r="S9118" s="189"/>
      <c r="T9118" s="114"/>
      <c r="U9118" s="21"/>
      <c r="V9118" s="115">
        <v>46165</v>
      </c>
      <c r="W9118" s="116">
        <v>1301</v>
      </c>
      <c r="X9118" s="220">
        <v>880000</v>
      </c>
      <c r="Y9118" s="220">
        <f>X9118*0.1</f>
        <v>88000</v>
      </c>
      <c r="Z9118" s="220">
        <v>8790</v>
      </c>
      <c r="AA9118" s="220">
        <f>SUM(X9118:Z9118)</f>
        <v>976790</v>
      </c>
      <c r="AB9118" s="222">
        <v>46168</v>
      </c>
    </row>
    <row r="9119" spans="1:28" ht="17.100000000000001" customHeight="1" thickBot="1">
      <c r="A9119" s="227"/>
      <c r="B9119" s="27" t="s">
        <v>2472</v>
      </c>
      <c r="C9119" s="27">
        <v>65911</v>
      </c>
      <c r="D9119" s="14" t="s">
        <v>3274</v>
      </c>
      <c r="E9119" s="229"/>
      <c r="F9119" s="117" t="s">
        <v>25142</v>
      </c>
      <c r="G9119" s="26">
        <v>18542</v>
      </c>
      <c r="H9119" s="231"/>
      <c r="I9119" s="221"/>
      <c r="J9119" s="221"/>
      <c r="K9119" s="221"/>
      <c r="L9119" s="221"/>
      <c r="M9119" s="221"/>
      <c r="N9119" s="221"/>
      <c r="O9119" s="225"/>
      <c r="P9119" s="118" t="s">
        <v>26246</v>
      </c>
      <c r="Q9119" s="16" t="s">
        <v>20</v>
      </c>
      <c r="R9119" s="17" t="s">
        <v>1959</v>
      </c>
      <c r="S9119" s="121" t="s">
        <v>169</v>
      </c>
      <c r="T9119" s="122"/>
      <c r="U9119" s="22"/>
      <c r="V9119" s="123" t="s">
        <v>2472</v>
      </c>
      <c r="W9119" s="122">
        <v>60230</v>
      </c>
      <c r="X9119" s="221"/>
      <c r="Y9119" s="221"/>
      <c r="Z9119" s="221"/>
      <c r="AA9119" s="221"/>
      <c r="AB9119" s="223"/>
    </row>
    <row r="9120" spans="1:28" ht="17.100000000000001" customHeight="1" thickTop="1">
      <c r="A9120" s="226" t="s">
        <v>25119</v>
      </c>
      <c r="B9120" s="28">
        <v>46158</v>
      </c>
      <c r="C9120" s="25">
        <v>1300</v>
      </c>
      <c r="D9120" s="13" t="s">
        <v>2644</v>
      </c>
      <c r="E9120" s="228"/>
      <c r="F9120" s="109" t="s">
        <v>25201</v>
      </c>
      <c r="G9120" s="24" t="s">
        <v>3979</v>
      </c>
      <c r="H9120" s="230">
        <v>4.5</v>
      </c>
      <c r="I9120" s="220">
        <v>2110000</v>
      </c>
      <c r="J9120" s="220">
        <f>I9120*0.1</f>
        <v>211000</v>
      </c>
      <c r="K9120" s="220">
        <f>30000+3000</f>
        <v>33000</v>
      </c>
      <c r="L9120" s="220">
        <v>16360</v>
      </c>
      <c r="M9120" s="220">
        <v>16500</v>
      </c>
      <c r="N9120" s="220">
        <f>SUM(I9120:M9121)</f>
        <v>2386860</v>
      </c>
      <c r="O9120" s="224"/>
      <c r="P9120" s="110" t="s">
        <v>25203</v>
      </c>
      <c r="Q9120" s="15" t="s">
        <v>19</v>
      </c>
      <c r="R9120" s="205"/>
      <c r="S9120" s="189" t="s">
        <v>26016</v>
      </c>
      <c r="T9120" s="114"/>
      <c r="U9120" s="21"/>
      <c r="V9120" s="115"/>
      <c r="W9120" s="116"/>
      <c r="X9120" s="220"/>
      <c r="Y9120" s="220">
        <f>X9120*0.1</f>
        <v>0</v>
      </c>
      <c r="Z9120" s="220"/>
      <c r="AA9120" s="220">
        <f>SUM(X9120:Z9120)</f>
        <v>0</v>
      </c>
      <c r="AB9120" s="222"/>
    </row>
    <row r="9121" spans="1:28" ht="17.100000000000001" customHeight="1" thickBot="1">
      <c r="A9121" s="227"/>
      <c r="B9121" s="27" t="s">
        <v>2472</v>
      </c>
      <c r="C9121" s="27">
        <v>82007</v>
      </c>
      <c r="D9121" s="14" t="s">
        <v>131</v>
      </c>
      <c r="E9121" s="229"/>
      <c r="F9121" s="117" t="s">
        <v>25202</v>
      </c>
      <c r="G9121" s="26">
        <v>52359</v>
      </c>
      <c r="H9121" s="231"/>
      <c r="I9121" s="221"/>
      <c r="J9121" s="221"/>
      <c r="K9121" s="221"/>
      <c r="L9121" s="221"/>
      <c r="M9121" s="221"/>
      <c r="N9121" s="221"/>
      <c r="O9121" s="225"/>
      <c r="P9121" s="118" t="s">
        <v>1844</v>
      </c>
      <c r="Q9121" s="16" t="s">
        <v>20</v>
      </c>
      <c r="R9121" s="17" t="s">
        <v>26469</v>
      </c>
      <c r="S9121" s="121" t="s">
        <v>26521</v>
      </c>
      <c r="T9121" s="122"/>
      <c r="U9121" s="22"/>
      <c r="V9121" s="123"/>
      <c r="W9121" s="122"/>
      <c r="X9121" s="221"/>
      <c r="Y9121" s="221"/>
      <c r="Z9121" s="221"/>
      <c r="AA9121" s="221"/>
      <c r="AB9121" s="223"/>
    </row>
    <row r="9122" spans="1:28" ht="17.100000000000001" customHeight="1" thickTop="1">
      <c r="A9122" s="226" t="s">
        <v>25120</v>
      </c>
      <c r="B9122" s="28">
        <v>46158</v>
      </c>
      <c r="C9122" s="25">
        <v>1300</v>
      </c>
      <c r="D9122" s="13" t="s">
        <v>3332</v>
      </c>
      <c r="E9122" s="228"/>
      <c r="F9122" s="109" t="s">
        <v>25199</v>
      </c>
      <c r="G9122" s="24" t="s">
        <v>4025</v>
      </c>
      <c r="H9122" s="230">
        <v>5</v>
      </c>
      <c r="I9122" s="220">
        <v>2070000</v>
      </c>
      <c r="J9122" s="220">
        <f>I9122*0.1</f>
        <v>207000</v>
      </c>
      <c r="K9122" s="220">
        <v>33000</v>
      </c>
      <c r="L9122" s="220">
        <v>23260</v>
      </c>
      <c r="M9122" s="220">
        <v>16500</v>
      </c>
      <c r="N9122" s="220">
        <f>SUM(I9122:M9123)</f>
        <v>2349760</v>
      </c>
      <c r="O9122" s="224"/>
      <c r="P9122" s="110" t="s">
        <v>25200</v>
      </c>
      <c r="Q9122" s="15" t="s">
        <v>19</v>
      </c>
      <c r="R9122" s="205"/>
      <c r="S9122" s="189" t="s">
        <v>25367</v>
      </c>
      <c r="T9122" s="114"/>
      <c r="U9122" s="21"/>
      <c r="V9122" s="115">
        <v>46163</v>
      </c>
      <c r="W9122" s="116">
        <v>1331</v>
      </c>
      <c r="X9122" s="220">
        <v>2195000</v>
      </c>
      <c r="Y9122" s="220">
        <f>X9122*0.1</f>
        <v>219500</v>
      </c>
      <c r="Z9122" s="220">
        <v>23260</v>
      </c>
      <c r="AA9122" s="220">
        <f>SUM(X9122:Z9122)</f>
        <v>2437760</v>
      </c>
      <c r="AB9122" s="222">
        <v>46164</v>
      </c>
    </row>
    <row r="9123" spans="1:28" ht="17.100000000000001" customHeight="1" thickBot="1">
      <c r="A9123" s="227"/>
      <c r="B9123" s="27" t="s">
        <v>2472</v>
      </c>
      <c r="C9123" s="27">
        <v>82169</v>
      </c>
      <c r="D9123" s="14" t="s">
        <v>2559</v>
      </c>
      <c r="E9123" s="229"/>
      <c r="F9123" s="117" t="s">
        <v>26229</v>
      </c>
      <c r="G9123" s="26">
        <v>34200</v>
      </c>
      <c r="H9123" s="231"/>
      <c r="I9123" s="221"/>
      <c r="J9123" s="221"/>
      <c r="K9123" s="221"/>
      <c r="L9123" s="221"/>
      <c r="M9123" s="221"/>
      <c r="N9123" s="221"/>
      <c r="O9123" s="225"/>
      <c r="P9123" s="118" t="s">
        <v>26230</v>
      </c>
      <c r="Q9123" s="16" t="s">
        <v>20</v>
      </c>
      <c r="R9123" s="17" t="s">
        <v>1959</v>
      </c>
      <c r="S9123" s="121" t="s">
        <v>1731</v>
      </c>
      <c r="T9123" s="122"/>
      <c r="U9123" s="22"/>
      <c r="V9123" s="123" t="s">
        <v>1735</v>
      </c>
      <c r="W9123" s="122">
        <v>160</v>
      </c>
      <c r="X9123" s="221"/>
      <c r="Y9123" s="221"/>
      <c r="Z9123" s="221"/>
      <c r="AA9123" s="221"/>
      <c r="AB9123" s="223"/>
    </row>
    <row r="9124" spans="1:28" ht="17.100000000000001" customHeight="1" thickTop="1">
      <c r="A9124" s="226" t="s">
        <v>25121</v>
      </c>
      <c r="B9124" s="28">
        <v>46158</v>
      </c>
      <c r="C9124" s="25">
        <v>1300</v>
      </c>
      <c r="D9124" s="13" t="s">
        <v>1837</v>
      </c>
      <c r="E9124" s="228"/>
      <c r="F9124" s="109" t="s">
        <v>25143</v>
      </c>
      <c r="G9124" s="24" t="s">
        <v>14277</v>
      </c>
      <c r="H9124" s="232">
        <v>3.5</v>
      </c>
      <c r="I9124" s="220">
        <v>1000000</v>
      </c>
      <c r="J9124" s="220">
        <f>I9124*0.1</f>
        <v>100000</v>
      </c>
      <c r="K9124" s="220">
        <f>25400+2540</f>
        <v>27940</v>
      </c>
      <c r="L9124" s="220">
        <v>19090</v>
      </c>
      <c r="M9124" s="220">
        <v>23100</v>
      </c>
      <c r="N9124" s="220">
        <f>SUM(I9124:M9125)</f>
        <v>1170130</v>
      </c>
      <c r="O9124" s="224"/>
      <c r="P9124" s="110" t="s">
        <v>25198</v>
      </c>
      <c r="Q9124" s="15" t="s">
        <v>19</v>
      </c>
      <c r="R9124" s="205"/>
      <c r="S9124" s="189" t="s">
        <v>1276</v>
      </c>
      <c r="T9124" s="114"/>
      <c r="U9124" s="21"/>
      <c r="V9124" s="115"/>
      <c r="W9124" s="116"/>
      <c r="X9124" s="220"/>
      <c r="Y9124" s="220">
        <f>X9124*0.1</f>
        <v>0</v>
      </c>
      <c r="Z9124" s="220"/>
      <c r="AA9124" s="220">
        <f>SUM(X9124:Z9124)</f>
        <v>0</v>
      </c>
      <c r="AB9124" s="222"/>
    </row>
    <row r="9125" spans="1:28" ht="17.100000000000001" customHeight="1" thickBot="1">
      <c r="A9125" s="227"/>
      <c r="B9125" s="27" t="s">
        <v>2472</v>
      </c>
      <c r="C9125" s="27">
        <v>82419</v>
      </c>
      <c r="D9125" s="14" t="s">
        <v>1797</v>
      </c>
      <c r="E9125" s="229"/>
      <c r="F9125" s="117" t="s">
        <v>25197</v>
      </c>
      <c r="G9125" s="26">
        <v>64812</v>
      </c>
      <c r="H9125" s="243"/>
      <c r="I9125" s="221"/>
      <c r="J9125" s="221"/>
      <c r="K9125" s="221"/>
      <c r="L9125" s="221"/>
      <c r="M9125" s="221"/>
      <c r="N9125" s="221"/>
      <c r="O9125" s="225"/>
      <c r="P9125" s="118" t="s">
        <v>26236</v>
      </c>
      <c r="Q9125" s="16" t="s">
        <v>20</v>
      </c>
      <c r="R9125" s="17" t="s">
        <v>1959</v>
      </c>
      <c r="S9125" s="121" t="s">
        <v>26237</v>
      </c>
      <c r="T9125" s="122"/>
      <c r="U9125" s="22"/>
      <c r="V9125" s="123"/>
      <c r="W9125" s="122"/>
      <c r="X9125" s="221"/>
      <c r="Y9125" s="221"/>
      <c r="Z9125" s="221"/>
      <c r="AA9125" s="221"/>
      <c r="AB9125" s="223"/>
    </row>
    <row r="9126" spans="1:28" ht="17.100000000000001" customHeight="1" thickTop="1">
      <c r="A9126" s="226" t="s">
        <v>25122</v>
      </c>
      <c r="B9126" s="28">
        <v>46158</v>
      </c>
      <c r="C9126" s="25">
        <v>1300</v>
      </c>
      <c r="D9126" s="13" t="s">
        <v>2564</v>
      </c>
      <c r="E9126" s="228"/>
      <c r="F9126" s="109" t="s">
        <v>13520</v>
      </c>
      <c r="G9126" s="24" t="s">
        <v>11936</v>
      </c>
      <c r="H9126" s="230">
        <v>4.5</v>
      </c>
      <c r="I9126" s="220">
        <v>500000</v>
      </c>
      <c r="J9126" s="220">
        <f>I9126*0.1</f>
        <v>50000</v>
      </c>
      <c r="K9126" s="220">
        <f>20800+2080</f>
        <v>22880</v>
      </c>
      <c r="L9126" s="220">
        <v>11930</v>
      </c>
      <c r="M9126" s="220">
        <v>23100</v>
      </c>
      <c r="N9126" s="220">
        <f>SUM(I9126:M9127)</f>
        <v>607910</v>
      </c>
      <c r="O9126" s="224"/>
      <c r="P9126" s="110" t="s">
        <v>25196</v>
      </c>
      <c r="Q9126" s="15" t="s">
        <v>19</v>
      </c>
      <c r="R9126" s="205"/>
      <c r="S9126" s="189" t="s">
        <v>758</v>
      </c>
      <c r="T9126" s="114"/>
      <c r="U9126" s="21"/>
      <c r="V9126" s="115">
        <v>46165</v>
      </c>
      <c r="W9126" s="116">
        <v>1301</v>
      </c>
      <c r="X9126" s="220">
        <v>640000</v>
      </c>
      <c r="Y9126" s="220">
        <f>X9126*0.1</f>
        <v>64000</v>
      </c>
      <c r="Z9126" s="220">
        <v>11930</v>
      </c>
      <c r="AA9126" s="220">
        <f>SUM(X9126:Z9126)</f>
        <v>715930</v>
      </c>
      <c r="AB9126" s="222">
        <v>46168</v>
      </c>
    </row>
    <row r="9127" spans="1:28" ht="17.100000000000001" customHeight="1" thickBot="1">
      <c r="A9127" s="227"/>
      <c r="B9127" s="27" t="s">
        <v>2472</v>
      </c>
      <c r="C9127" s="27">
        <v>82469</v>
      </c>
      <c r="D9127" s="14" t="s">
        <v>898</v>
      </c>
      <c r="E9127" s="229"/>
      <c r="F9127" s="117" t="s">
        <v>25195</v>
      </c>
      <c r="G9127" s="26">
        <v>55210</v>
      </c>
      <c r="H9127" s="231"/>
      <c r="I9127" s="221"/>
      <c r="J9127" s="221"/>
      <c r="K9127" s="221"/>
      <c r="L9127" s="221"/>
      <c r="M9127" s="221"/>
      <c r="N9127" s="221"/>
      <c r="O9127" s="225"/>
      <c r="P9127" s="118" t="s">
        <v>26239</v>
      </c>
      <c r="Q9127" s="16" t="s">
        <v>20</v>
      </c>
      <c r="R9127" s="17" t="s">
        <v>1959</v>
      </c>
      <c r="S9127" s="121" t="s">
        <v>1722</v>
      </c>
      <c r="T9127" s="122"/>
      <c r="U9127" s="22"/>
      <c r="V9127" s="123" t="s">
        <v>2472</v>
      </c>
      <c r="W9127" s="122">
        <v>80001</v>
      </c>
      <c r="X9127" s="221"/>
      <c r="Y9127" s="221"/>
      <c r="Z9127" s="221"/>
      <c r="AA9127" s="221"/>
      <c r="AB9127" s="223"/>
    </row>
    <row r="9128" spans="1:28" ht="17.100000000000001" customHeight="1" thickTop="1">
      <c r="A9128" s="226" t="s">
        <v>25123</v>
      </c>
      <c r="B9128" s="28">
        <v>46158</v>
      </c>
      <c r="C9128" s="25">
        <v>1300</v>
      </c>
      <c r="D9128" s="13" t="s">
        <v>2107</v>
      </c>
      <c r="E9128" s="228"/>
      <c r="F9128" s="109" t="s">
        <v>25144</v>
      </c>
      <c r="G9128" s="24" t="s">
        <v>4120</v>
      </c>
      <c r="H9128" s="230">
        <v>4</v>
      </c>
      <c r="I9128" s="220">
        <v>1170000</v>
      </c>
      <c r="J9128" s="220">
        <f>I9128*0.1</f>
        <v>117000</v>
      </c>
      <c r="K9128" s="220">
        <f>28700+2870</f>
        <v>31570</v>
      </c>
      <c r="L9128" s="220">
        <v>19330</v>
      </c>
      <c r="M9128" s="220">
        <v>16500</v>
      </c>
      <c r="N9128" s="220">
        <f>SUM(I9128:M9129)</f>
        <v>1354400</v>
      </c>
      <c r="O9128" s="224"/>
      <c r="P9128" s="110" t="s">
        <v>25194</v>
      </c>
      <c r="Q9128" s="15" t="s">
        <v>19</v>
      </c>
      <c r="R9128" s="205"/>
      <c r="S9128" s="189" t="s">
        <v>1422</v>
      </c>
      <c r="T9128" s="114"/>
      <c r="U9128" s="21"/>
      <c r="V9128" s="115">
        <v>46163</v>
      </c>
      <c r="W9128" s="116">
        <v>1331</v>
      </c>
      <c r="X9128" s="220">
        <v>1330000</v>
      </c>
      <c r="Y9128" s="220">
        <f>X9128*0.1</f>
        <v>133000</v>
      </c>
      <c r="Z9128" s="220">
        <v>19330</v>
      </c>
      <c r="AA9128" s="220">
        <f>SUM(X9128:Z9128)</f>
        <v>1482330</v>
      </c>
      <c r="AB9128" s="222">
        <v>46164</v>
      </c>
    </row>
    <row r="9129" spans="1:28" ht="17.100000000000001" customHeight="1" thickBot="1">
      <c r="A9129" s="227"/>
      <c r="B9129" s="27" t="s">
        <v>2472</v>
      </c>
      <c r="C9129" s="27">
        <v>82916</v>
      </c>
      <c r="D9129" s="14" t="s">
        <v>1584</v>
      </c>
      <c r="E9129" s="229"/>
      <c r="F9129" s="117" t="s">
        <v>26231</v>
      </c>
      <c r="G9129" s="26">
        <v>58258</v>
      </c>
      <c r="H9129" s="231"/>
      <c r="I9129" s="221"/>
      <c r="J9129" s="221"/>
      <c r="K9129" s="221"/>
      <c r="L9129" s="221"/>
      <c r="M9129" s="221"/>
      <c r="N9129" s="221"/>
      <c r="O9129" s="225"/>
      <c r="P9129" s="118" t="s">
        <v>26232</v>
      </c>
      <c r="Q9129" s="16" t="s">
        <v>20</v>
      </c>
      <c r="R9129" s="17" t="s">
        <v>1959</v>
      </c>
      <c r="S9129" s="121" t="s">
        <v>26233</v>
      </c>
      <c r="T9129" s="122"/>
      <c r="U9129" s="22"/>
      <c r="V9129" s="123" t="s">
        <v>1735</v>
      </c>
      <c r="W9129" s="122">
        <v>350</v>
      </c>
      <c r="X9129" s="221"/>
      <c r="Y9129" s="221"/>
      <c r="Z9129" s="221"/>
      <c r="AA9129" s="221"/>
      <c r="AB9129" s="223"/>
    </row>
    <row r="9130" spans="1:28" ht="17.100000000000001" customHeight="1" thickTop="1">
      <c r="A9130" s="226" t="s">
        <v>25124</v>
      </c>
      <c r="B9130" s="28">
        <v>46160</v>
      </c>
      <c r="C9130" s="25"/>
      <c r="D9130" s="13" t="s">
        <v>1702</v>
      </c>
      <c r="E9130" s="228"/>
      <c r="F9130" s="109" t="s">
        <v>4483</v>
      </c>
      <c r="G9130" s="24" t="s">
        <v>2907</v>
      </c>
      <c r="H9130" s="230">
        <v>4</v>
      </c>
      <c r="I9130" s="220">
        <v>671000</v>
      </c>
      <c r="J9130" s="220">
        <f>I9130*0.1</f>
        <v>67100</v>
      </c>
      <c r="K9130" s="220">
        <f>28700+2870</f>
        <v>31570</v>
      </c>
      <c r="L9130" s="220">
        <v>17700</v>
      </c>
      <c r="M9130" s="220">
        <v>15950</v>
      </c>
      <c r="N9130" s="220">
        <f>SUM(I9130:M9131)</f>
        <v>803320</v>
      </c>
      <c r="O9130" s="224"/>
      <c r="P9130" s="110" t="s">
        <v>25146</v>
      </c>
      <c r="Q9130" s="15" t="s">
        <v>19</v>
      </c>
      <c r="R9130" s="205"/>
      <c r="S9130" s="189"/>
      <c r="T9130" s="114"/>
      <c r="U9130" s="21"/>
      <c r="V9130" s="115"/>
      <c r="W9130" s="116"/>
      <c r="X9130" s="220"/>
      <c r="Y9130" s="220">
        <f>X9130*0.1</f>
        <v>0</v>
      </c>
      <c r="Z9130" s="220"/>
      <c r="AA9130" s="220">
        <f>SUM(X9130:Z9130)</f>
        <v>0</v>
      </c>
      <c r="AB9130" s="222"/>
    </row>
    <row r="9131" spans="1:28" ht="17.100000000000001" customHeight="1" thickBot="1">
      <c r="A9131" s="227"/>
      <c r="B9131" s="27" t="s">
        <v>4400</v>
      </c>
      <c r="C9131" s="27">
        <v>80060</v>
      </c>
      <c r="D9131" s="14" t="s">
        <v>1568</v>
      </c>
      <c r="E9131" s="229"/>
      <c r="F9131" s="117" t="s">
        <v>26527</v>
      </c>
      <c r="G9131" s="26">
        <v>56461</v>
      </c>
      <c r="H9131" s="231"/>
      <c r="I9131" s="221"/>
      <c r="J9131" s="221"/>
      <c r="K9131" s="221"/>
      <c r="L9131" s="221"/>
      <c r="M9131" s="221"/>
      <c r="N9131" s="221"/>
      <c r="O9131" s="225"/>
      <c r="P9131" s="118" t="s">
        <v>21361</v>
      </c>
      <c r="Q9131" s="16" t="s">
        <v>20</v>
      </c>
      <c r="R9131" s="17" t="s">
        <v>3717</v>
      </c>
      <c r="S9131" s="121" t="s">
        <v>9265</v>
      </c>
      <c r="T9131" s="122"/>
      <c r="U9131" s="22"/>
      <c r="V9131" s="123"/>
      <c r="W9131" s="122"/>
      <c r="X9131" s="221"/>
      <c r="Y9131" s="221"/>
      <c r="Z9131" s="221"/>
      <c r="AA9131" s="221"/>
      <c r="AB9131" s="223"/>
    </row>
    <row r="9132" spans="1:28" ht="17.100000000000001" customHeight="1" thickTop="1">
      <c r="A9132" s="226" t="s">
        <v>25243</v>
      </c>
      <c r="B9132" s="28">
        <v>46160</v>
      </c>
      <c r="C9132" s="25"/>
      <c r="D9132" s="13" t="s">
        <v>1676</v>
      </c>
      <c r="E9132" s="228"/>
      <c r="F9132" s="109" t="s">
        <v>25217</v>
      </c>
      <c r="G9132" s="24"/>
      <c r="H9132" s="230">
        <v>4</v>
      </c>
      <c r="I9132" s="220">
        <v>744000</v>
      </c>
      <c r="J9132" s="220">
        <f>I9132*0.1</f>
        <v>74400</v>
      </c>
      <c r="K9132" s="220">
        <v>0</v>
      </c>
      <c r="L9132" s="220">
        <v>19440</v>
      </c>
      <c r="M9132" s="220">
        <v>15950</v>
      </c>
      <c r="N9132" s="220">
        <f>SUM(I9132:M9133)</f>
        <v>853790</v>
      </c>
      <c r="O9132" s="224"/>
      <c r="P9132" s="110" t="s">
        <v>26532</v>
      </c>
      <c r="Q9132" s="15" t="s">
        <v>19</v>
      </c>
      <c r="R9132" s="205"/>
      <c r="S9132" s="189"/>
      <c r="T9132" s="114"/>
      <c r="U9132" s="21"/>
      <c r="V9132" s="115">
        <v>46165</v>
      </c>
      <c r="W9132" s="116">
        <v>1301</v>
      </c>
      <c r="X9132" s="220">
        <v>850000</v>
      </c>
      <c r="Y9132" s="220">
        <f>X9132*0.1</f>
        <v>85000</v>
      </c>
      <c r="Z9132" s="220">
        <v>19440</v>
      </c>
      <c r="AA9132" s="220">
        <f>SUM(X9132:Z9132)</f>
        <v>954440</v>
      </c>
      <c r="AB9132" s="222"/>
    </row>
    <row r="9133" spans="1:28" ht="17.100000000000001" customHeight="1" thickBot="1">
      <c r="A9133" s="227"/>
      <c r="B9133" s="27" t="s">
        <v>4400</v>
      </c>
      <c r="C9133" s="27">
        <v>80253</v>
      </c>
      <c r="D9133" s="14" t="s">
        <v>3274</v>
      </c>
      <c r="E9133" s="229"/>
      <c r="F9133" s="117" t="s">
        <v>26531</v>
      </c>
      <c r="G9133" s="26">
        <v>48969</v>
      </c>
      <c r="H9133" s="231"/>
      <c r="I9133" s="221"/>
      <c r="J9133" s="221"/>
      <c r="K9133" s="221"/>
      <c r="L9133" s="221"/>
      <c r="M9133" s="221"/>
      <c r="N9133" s="221"/>
      <c r="O9133" s="225"/>
      <c r="P9133" s="118" t="s">
        <v>2729</v>
      </c>
      <c r="Q9133" s="16" t="s">
        <v>20</v>
      </c>
      <c r="R9133" s="17" t="s">
        <v>3717</v>
      </c>
      <c r="S9133" s="121" t="s">
        <v>7722</v>
      </c>
      <c r="T9133" s="122"/>
      <c r="U9133" s="22"/>
      <c r="V9133" s="123" t="s">
        <v>2472</v>
      </c>
      <c r="W9133" s="122">
        <v>80176</v>
      </c>
      <c r="X9133" s="221"/>
      <c r="Y9133" s="221"/>
      <c r="Z9133" s="221"/>
      <c r="AA9133" s="221"/>
      <c r="AB9133" s="223"/>
    </row>
    <row r="9134" spans="1:28" ht="17.100000000000001" customHeight="1" thickTop="1">
      <c r="A9134" s="226" t="s">
        <v>25244</v>
      </c>
      <c r="B9134" s="28">
        <v>46160</v>
      </c>
      <c r="C9134" s="25"/>
      <c r="D9134" s="13" t="s">
        <v>1899</v>
      </c>
      <c r="E9134" s="228"/>
      <c r="F9134" s="109" t="s">
        <v>11311</v>
      </c>
      <c r="G9134" s="24"/>
      <c r="H9134" s="230">
        <v>3.5</v>
      </c>
      <c r="I9134" s="220">
        <v>660000</v>
      </c>
      <c r="J9134" s="220">
        <f>I9134*0.1</f>
        <v>66000</v>
      </c>
      <c r="K9134" s="220">
        <v>0</v>
      </c>
      <c r="L9134" s="220">
        <v>22520</v>
      </c>
      <c r="M9134" s="220">
        <v>14850</v>
      </c>
      <c r="N9134" s="220">
        <f>SUM(I9134:M9135)</f>
        <v>763370</v>
      </c>
      <c r="O9134" s="224"/>
      <c r="P9134" s="110" t="s">
        <v>26271</v>
      </c>
      <c r="Q9134" s="15" t="s">
        <v>19</v>
      </c>
      <c r="R9134" s="205"/>
      <c r="S9134" s="189"/>
      <c r="T9134" s="114"/>
      <c r="U9134" s="21"/>
      <c r="V9134" s="115"/>
      <c r="W9134" s="116"/>
      <c r="X9134" s="220"/>
      <c r="Y9134" s="220">
        <f>X9134*0.1</f>
        <v>0</v>
      </c>
      <c r="Z9134" s="220"/>
      <c r="AA9134" s="220">
        <f>SUM(X9134:Z9134)</f>
        <v>0</v>
      </c>
      <c r="AB9134" s="222"/>
    </row>
    <row r="9135" spans="1:28" ht="17.100000000000001" customHeight="1" thickBot="1">
      <c r="A9135" s="227"/>
      <c r="B9135" s="27" t="s">
        <v>8691</v>
      </c>
      <c r="C9135" s="27">
        <v>60208</v>
      </c>
      <c r="D9135" s="14" t="s">
        <v>273</v>
      </c>
      <c r="E9135" s="229"/>
      <c r="F9135" s="117" t="s">
        <v>25218</v>
      </c>
      <c r="G9135" s="26">
        <v>58886</v>
      </c>
      <c r="H9135" s="231"/>
      <c r="I9135" s="221"/>
      <c r="J9135" s="221"/>
      <c r="K9135" s="221"/>
      <c r="L9135" s="221"/>
      <c r="M9135" s="221"/>
      <c r="N9135" s="221"/>
      <c r="O9135" s="225"/>
      <c r="P9135" s="118" t="s">
        <v>2898</v>
      </c>
      <c r="Q9135" s="16" t="s">
        <v>20</v>
      </c>
      <c r="R9135" s="17" t="s">
        <v>3702</v>
      </c>
      <c r="S9135" s="121"/>
      <c r="T9135" s="122"/>
      <c r="U9135" s="22"/>
      <c r="V9135" s="123"/>
      <c r="W9135" s="122"/>
      <c r="X9135" s="221"/>
      <c r="Y9135" s="221"/>
      <c r="Z9135" s="221"/>
      <c r="AA9135" s="221"/>
      <c r="AB9135" s="223"/>
    </row>
    <row r="9136" spans="1:28" ht="17.100000000000001" customHeight="1" thickTop="1">
      <c r="A9136" s="226" t="s">
        <v>25245</v>
      </c>
      <c r="B9136" s="28">
        <v>46160</v>
      </c>
      <c r="C9136" s="25">
        <v>2093</v>
      </c>
      <c r="D9136" s="13" t="s">
        <v>2920</v>
      </c>
      <c r="E9136" s="228"/>
      <c r="F9136" s="109" t="s">
        <v>25219</v>
      </c>
      <c r="G9136" s="24"/>
      <c r="H9136" s="230">
        <v>4</v>
      </c>
      <c r="I9136" s="220">
        <v>1315000</v>
      </c>
      <c r="J9136" s="220">
        <f>I9136*0.1</f>
        <v>131500</v>
      </c>
      <c r="K9136" s="220">
        <v>0</v>
      </c>
      <c r="L9136" s="220">
        <v>16320</v>
      </c>
      <c r="M9136" s="220">
        <v>11000</v>
      </c>
      <c r="N9136" s="220">
        <f>SUM(I9136:M9137)</f>
        <v>1473820</v>
      </c>
      <c r="O9136" s="224"/>
      <c r="P9136" s="110" t="s">
        <v>26279</v>
      </c>
      <c r="Q9136" s="15" t="s">
        <v>19</v>
      </c>
      <c r="R9136" s="205"/>
      <c r="S9136" s="189" t="s">
        <v>26017</v>
      </c>
      <c r="T9136" s="114"/>
      <c r="U9136" s="21"/>
      <c r="V9136" s="115"/>
      <c r="W9136" s="116"/>
      <c r="X9136" s="220"/>
      <c r="Y9136" s="220">
        <f>X9136*0.1</f>
        <v>0</v>
      </c>
      <c r="Z9136" s="220"/>
      <c r="AA9136" s="220">
        <f>SUM(X9136:Z9136)</f>
        <v>0</v>
      </c>
      <c r="AB9136" s="222"/>
    </row>
    <row r="9137" spans="1:28" ht="17.100000000000001" customHeight="1" thickBot="1">
      <c r="A9137" s="227"/>
      <c r="B9137" s="27" t="s">
        <v>82</v>
      </c>
      <c r="C9137" s="27">
        <v>33518</v>
      </c>
      <c r="D9137" s="14" t="s">
        <v>1710</v>
      </c>
      <c r="E9137" s="229"/>
      <c r="F9137" s="117" t="s">
        <v>25220</v>
      </c>
      <c r="G9137" s="26">
        <v>46595</v>
      </c>
      <c r="H9137" s="231"/>
      <c r="I9137" s="221"/>
      <c r="J9137" s="221"/>
      <c r="K9137" s="221"/>
      <c r="L9137" s="221"/>
      <c r="M9137" s="221"/>
      <c r="N9137" s="221"/>
      <c r="O9137" s="225"/>
      <c r="P9137" s="118" t="s">
        <v>4735</v>
      </c>
      <c r="Q9137" s="16" t="s">
        <v>20</v>
      </c>
      <c r="R9137" s="17" t="s">
        <v>26278</v>
      </c>
      <c r="S9137" s="121" t="s">
        <v>11269</v>
      </c>
      <c r="T9137" s="122"/>
      <c r="U9137" s="22"/>
      <c r="V9137" s="123"/>
      <c r="W9137" s="122"/>
      <c r="X9137" s="221"/>
      <c r="Y9137" s="221"/>
      <c r="Z9137" s="221"/>
      <c r="AA9137" s="221"/>
      <c r="AB9137" s="223"/>
    </row>
    <row r="9138" spans="1:28" ht="17.100000000000001" customHeight="1" thickTop="1">
      <c r="A9138" s="226" t="s">
        <v>25246</v>
      </c>
      <c r="B9138" s="28">
        <v>46160</v>
      </c>
      <c r="C9138" s="25">
        <v>2093</v>
      </c>
      <c r="D9138" s="13" t="s">
        <v>853</v>
      </c>
      <c r="E9138" s="228"/>
      <c r="F9138" s="109" t="s">
        <v>25221</v>
      </c>
      <c r="G9138" s="24"/>
      <c r="H9138" s="230">
        <v>4</v>
      </c>
      <c r="I9138" s="220">
        <v>2890000</v>
      </c>
      <c r="J9138" s="220">
        <f>I9138*0.1</f>
        <v>289000</v>
      </c>
      <c r="K9138" s="220">
        <v>0</v>
      </c>
      <c r="L9138" s="220">
        <v>21600</v>
      </c>
      <c r="M9138" s="220">
        <v>11000</v>
      </c>
      <c r="N9138" s="220">
        <f>SUM(I9138:M9139)</f>
        <v>3211600</v>
      </c>
      <c r="O9138" s="224"/>
      <c r="P9138" s="110" t="s">
        <v>26281</v>
      </c>
      <c r="Q9138" s="15" t="s">
        <v>19</v>
      </c>
      <c r="R9138" s="205"/>
      <c r="S9138" s="189" t="s">
        <v>26017</v>
      </c>
      <c r="T9138" s="114"/>
      <c r="U9138" s="21"/>
      <c r="V9138" s="115">
        <v>46165</v>
      </c>
      <c r="W9138" s="116">
        <v>1301</v>
      </c>
      <c r="X9138" s="220">
        <v>3180000</v>
      </c>
      <c r="Y9138" s="220">
        <f>X9138*0.1</f>
        <v>318000</v>
      </c>
      <c r="Z9138" s="220">
        <v>21600</v>
      </c>
      <c r="AA9138" s="220">
        <f>SUM(X9138:Z9138)</f>
        <v>3519600</v>
      </c>
      <c r="AB9138" s="222"/>
    </row>
    <row r="9139" spans="1:28" ht="17.100000000000001" customHeight="1" thickBot="1">
      <c r="A9139" s="227"/>
      <c r="B9139" s="27" t="s">
        <v>82</v>
      </c>
      <c r="C9139" s="27">
        <v>33519</v>
      </c>
      <c r="D9139" s="14" t="s">
        <v>273</v>
      </c>
      <c r="E9139" s="229"/>
      <c r="F9139" s="117" t="s">
        <v>25222</v>
      </c>
      <c r="G9139" s="26">
        <v>35704</v>
      </c>
      <c r="H9139" s="231"/>
      <c r="I9139" s="221"/>
      <c r="J9139" s="221"/>
      <c r="K9139" s="221"/>
      <c r="L9139" s="221"/>
      <c r="M9139" s="221"/>
      <c r="N9139" s="221"/>
      <c r="O9139" s="225"/>
      <c r="P9139" s="118" t="s">
        <v>4735</v>
      </c>
      <c r="Q9139" s="16" t="s">
        <v>20</v>
      </c>
      <c r="R9139" s="17" t="s">
        <v>26278</v>
      </c>
      <c r="S9139" s="121" t="s">
        <v>4031</v>
      </c>
      <c r="T9139" s="122"/>
      <c r="U9139" s="22"/>
      <c r="V9139" s="123" t="s">
        <v>2472</v>
      </c>
      <c r="W9139" s="122">
        <v>80354</v>
      </c>
      <c r="X9139" s="221"/>
      <c r="Y9139" s="221"/>
      <c r="Z9139" s="221"/>
      <c r="AA9139" s="221"/>
      <c r="AB9139" s="223"/>
    </row>
    <row r="9140" spans="1:28" ht="17.100000000000001" customHeight="1" thickTop="1">
      <c r="A9140" s="226" t="s">
        <v>25247</v>
      </c>
      <c r="B9140" s="28">
        <v>46160</v>
      </c>
      <c r="C9140" s="25">
        <v>2093</v>
      </c>
      <c r="D9140" s="13" t="s">
        <v>1908</v>
      </c>
      <c r="E9140" s="228"/>
      <c r="F9140" s="109" t="s">
        <v>25223</v>
      </c>
      <c r="G9140" s="24"/>
      <c r="H9140" s="230">
        <v>4</v>
      </c>
      <c r="I9140" s="220">
        <v>855000</v>
      </c>
      <c r="J9140" s="220">
        <f>I9140*0.1</f>
        <v>85500</v>
      </c>
      <c r="K9140" s="220">
        <v>0</v>
      </c>
      <c r="L9140" s="220">
        <v>24050</v>
      </c>
      <c r="M9140" s="220">
        <v>11000</v>
      </c>
      <c r="N9140" s="220">
        <f>SUM(I9140:M9141)</f>
        <v>975550</v>
      </c>
      <c r="O9140" s="224"/>
      <c r="P9140" s="110" t="s">
        <v>26267</v>
      </c>
      <c r="Q9140" s="15" t="s">
        <v>19</v>
      </c>
      <c r="R9140" s="205"/>
      <c r="S9140" s="189" t="s">
        <v>1361</v>
      </c>
      <c r="T9140" s="114"/>
      <c r="U9140" s="21"/>
      <c r="V9140" s="115"/>
      <c r="W9140" s="116"/>
      <c r="X9140" s="220"/>
      <c r="Y9140" s="220">
        <f>X9140*0.1</f>
        <v>0</v>
      </c>
      <c r="Z9140" s="220"/>
      <c r="AA9140" s="220">
        <f>SUM(X9140:Z9140)</f>
        <v>0</v>
      </c>
      <c r="AB9140" s="222"/>
    </row>
    <row r="9141" spans="1:28" ht="17.100000000000001" customHeight="1" thickBot="1">
      <c r="A9141" s="227"/>
      <c r="B9141" s="27" t="s">
        <v>82</v>
      </c>
      <c r="C9141" s="27">
        <v>34546</v>
      </c>
      <c r="D9141" s="14" t="s">
        <v>2559</v>
      </c>
      <c r="E9141" s="229"/>
      <c r="F9141" s="117" t="s">
        <v>25224</v>
      </c>
      <c r="G9141" s="26">
        <v>60180</v>
      </c>
      <c r="H9141" s="231"/>
      <c r="I9141" s="221"/>
      <c r="J9141" s="221"/>
      <c r="K9141" s="221"/>
      <c r="L9141" s="221"/>
      <c r="M9141" s="221"/>
      <c r="N9141" s="221"/>
      <c r="O9141" s="225"/>
      <c r="P9141" s="118" t="s">
        <v>7903</v>
      </c>
      <c r="Q9141" s="16" t="s">
        <v>20</v>
      </c>
      <c r="R9141" s="17" t="s">
        <v>3702</v>
      </c>
      <c r="S9141" s="121"/>
      <c r="T9141" s="122"/>
      <c r="U9141" s="22"/>
      <c r="V9141" s="123"/>
      <c r="W9141" s="122"/>
      <c r="X9141" s="221"/>
      <c r="Y9141" s="221"/>
      <c r="Z9141" s="221"/>
      <c r="AA9141" s="221"/>
      <c r="AB9141" s="223"/>
    </row>
    <row r="9142" spans="1:28" ht="17.100000000000001" customHeight="1" thickTop="1">
      <c r="A9142" s="226" t="s">
        <v>25248</v>
      </c>
      <c r="B9142" s="28">
        <v>46160</v>
      </c>
      <c r="C9142" s="25">
        <v>2093</v>
      </c>
      <c r="D9142" s="13" t="s">
        <v>2920</v>
      </c>
      <c r="E9142" s="228"/>
      <c r="F9142" s="109" t="s">
        <v>25225</v>
      </c>
      <c r="G9142" s="24"/>
      <c r="H9142" s="230">
        <v>4.5</v>
      </c>
      <c r="I9142" s="220">
        <v>2250000</v>
      </c>
      <c r="J9142" s="220">
        <f>I9142*0.1</f>
        <v>225000</v>
      </c>
      <c r="K9142" s="220">
        <v>0</v>
      </c>
      <c r="L9142" s="220">
        <v>19560</v>
      </c>
      <c r="M9142" s="220">
        <v>11000</v>
      </c>
      <c r="N9142" s="220">
        <f>SUM(I9142:M9143)</f>
        <v>2505560</v>
      </c>
      <c r="O9142" s="224"/>
      <c r="P9142" s="110" t="s">
        <v>26220</v>
      </c>
      <c r="Q9142" s="15" t="s">
        <v>19</v>
      </c>
      <c r="R9142" s="205"/>
      <c r="S9142" s="189" t="s">
        <v>26526</v>
      </c>
      <c r="T9142" s="114"/>
      <c r="U9142" s="21"/>
      <c r="V9142" s="115"/>
      <c r="W9142" s="116"/>
      <c r="X9142" s="220"/>
      <c r="Y9142" s="220">
        <f>X9142*0.1</f>
        <v>0</v>
      </c>
      <c r="Z9142" s="220"/>
      <c r="AA9142" s="220">
        <f>SUM(X9142:Z9142)</f>
        <v>0</v>
      </c>
      <c r="AB9142" s="222"/>
    </row>
    <row r="9143" spans="1:28" ht="17.100000000000001" customHeight="1" thickBot="1">
      <c r="A9143" s="227"/>
      <c r="B9143" s="27" t="s">
        <v>82</v>
      </c>
      <c r="C9143" s="27">
        <v>34582</v>
      </c>
      <c r="D9143" s="14" t="s">
        <v>131</v>
      </c>
      <c r="E9143" s="229"/>
      <c r="F9143" s="117" t="s">
        <v>25226</v>
      </c>
      <c r="G9143" s="26">
        <v>72052</v>
      </c>
      <c r="H9143" s="231"/>
      <c r="I9143" s="221"/>
      <c r="J9143" s="221"/>
      <c r="K9143" s="221"/>
      <c r="L9143" s="221"/>
      <c r="M9143" s="221"/>
      <c r="N9143" s="221"/>
      <c r="O9143" s="225"/>
      <c r="P9143" s="118" t="s">
        <v>291</v>
      </c>
      <c r="Q9143" s="16" t="s">
        <v>20</v>
      </c>
      <c r="R9143" s="17" t="s">
        <v>1959</v>
      </c>
      <c r="S9143" s="121" t="s">
        <v>3552</v>
      </c>
      <c r="T9143" s="122"/>
      <c r="U9143" s="22"/>
      <c r="V9143" s="123"/>
      <c r="W9143" s="122"/>
      <c r="X9143" s="221"/>
      <c r="Y9143" s="221"/>
      <c r="Z9143" s="221"/>
      <c r="AA9143" s="221"/>
      <c r="AB9143" s="223"/>
    </row>
    <row r="9144" spans="1:28" ht="17.100000000000001" customHeight="1" thickTop="1">
      <c r="A9144" s="226" t="s">
        <v>25249</v>
      </c>
      <c r="B9144" s="28">
        <v>46160</v>
      </c>
      <c r="C9144" s="25">
        <v>2093</v>
      </c>
      <c r="D9144" s="13" t="s">
        <v>1996</v>
      </c>
      <c r="E9144" s="228"/>
      <c r="F9144" s="109" t="s">
        <v>25227</v>
      </c>
      <c r="G9144" s="24" t="s">
        <v>2084</v>
      </c>
      <c r="H9144" s="230">
        <v>4</v>
      </c>
      <c r="I9144" s="220">
        <v>1545000</v>
      </c>
      <c r="J9144" s="220">
        <f>I9144*0.1</f>
        <v>154500</v>
      </c>
      <c r="K9144" s="220">
        <f>42500+4250</f>
        <v>46750</v>
      </c>
      <c r="L9144" s="220">
        <v>16730</v>
      </c>
      <c r="M9144" s="220">
        <v>11000</v>
      </c>
      <c r="N9144" s="220">
        <f>SUM(I9144:M9145)</f>
        <v>1773980</v>
      </c>
      <c r="O9144" s="224"/>
      <c r="P9144" s="110" t="s">
        <v>25229</v>
      </c>
      <c r="Q9144" s="15" t="s">
        <v>19</v>
      </c>
      <c r="R9144" s="205"/>
      <c r="S9144" s="189" t="s">
        <v>25368</v>
      </c>
      <c r="T9144" s="114"/>
      <c r="U9144" s="21"/>
      <c r="V9144" s="115"/>
      <c r="W9144" s="116"/>
      <c r="X9144" s="220"/>
      <c r="Y9144" s="220">
        <f>X9144*0.1</f>
        <v>0</v>
      </c>
      <c r="Z9144" s="220"/>
      <c r="AA9144" s="220">
        <f>SUM(X9144:Z9144)</f>
        <v>0</v>
      </c>
      <c r="AB9144" s="222"/>
    </row>
    <row r="9145" spans="1:28" ht="17.100000000000001" customHeight="1" thickBot="1">
      <c r="A9145" s="227"/>
      <c r="B9145" s="27" t="s">
        <v>82</v>
      </c>
      <c r="C9145" s="27">
        <v>36030</v>
      </c>
      <c r="D9145" s="14" t="s">
        <v>2559</v>
      </c>
      <c r="E9145" s="229"/>
      <c r="F9145" s="117" t="s">
        <v>25228</v>
      </c>
      <c r="G9145" s="26">
        <v>64019</v>
      </c>
      <c r="H9145" s="231"/>
      <c r="I9145" s="221"/>
      <c r="J9145" s="221"/>
      <c r="K9145" s="221"/>
      <c r="L9145" s="221"/>
      <c r="M9145" s="221"/>
      <c r="N9145" s="221"/>
      <c r="O9145" s="225"/>
      <c r="P9145" s="118" t="s">
        <v>26282</v>
      </c>
      <c r="Q9145" s="16" t="s">
        <v>20</v>
      </c>
      <c r="R9145" s="17" t="s">
        <v>26278</v>
      </c>
      <c r="S9145" s="121" t="s">
        <v>9676</v>
      </c>
      <c r="T9145" s="122"/>
      <c r="U9145" s="22"/>
      <c r="V9145" s="123"/>
      <c r="W9145" s="122"/>
      <c r="X9145" s="221"/>
      <c r="Y9145" s="221"/>
      <c r="Z9145" s="221"/>
      <c r="AA9145" s="221"/>
      <c r="AB9145" s="223"/>
    </row>
    <row r="9146" spans="1:28" ht="17.100000000000001" customHeight="1" thickTop="1">
      <c r="A9146" s="226" t="s">
        <v>25250</v>
      </c>
      <c r="B9146" s="28">
        <v>46160</v>
      </c>
      <c r="C9146" s="25"/>
      <c r="D9146" s="13" t="s">
        <v>2964</v>
      </c>
      <c r="E9146" s="228"/>
      <c r="F9146" s="109" t="s">
        <v>25235</v>
      </c>
      <c r="G9146" s="24" t="s">
        <v>4120</v>
      </c>
      <c r="H9146" s="230">
        <v>4.5</v>
      </c>
      <c r="I9146" s="220">
        <v>2085000</v>
      </c>
      <c r="J9146" s="220">
        <f>I9146*0.1</f>
        <v>208500</v>
      </c>
      <c r="K9146" s="220">
        <v>22800</v>
      </c>
      <c r="L9146" s="220">
        <v>11740</v>
      </c>
      <c r="M9146" s="220">
        <v>0</v>
      </c>
      <c r="N9146" s="220">
        <f>SUM(I9146:M9147)</f>
        <v>2328040</v>
      </c>
      <c r="O9146" s="224"/>
      <c r="P9146" s="110"/>
      <c r="Q9146" s="15" t="s">
        <v>19</v>
      </c>
      <c r="R9146" s="205"/>
      <c r="S9146" s="189" t="s">
        <v>26002</v>
      </c>
      <c r="T9146" s="114"/>
      <c r="U9146" s="21"/>
      <c r="V9146" s="115"/>
      <c r="W9146" s="116"/>
      <c r="X9146" s="220"/>
      <c r="Y9146" s="220">
        <f>X9146*0.1</f>
        <v>0</v>
      </c>
      <c r="Z9146" s="220"/>
      <c r="AA9146" s="220">
        <f>SUM(X9146:Z9146)</f>
        <v>0</v>
      </c>
      <c r="AB9146" s="222"/>
    </row>
    <row r="9147" spans="1:28" ht="17.100000000000001" customHeight="1" thickBot="1">
      <c r="A9147" s="227"/>
      <c r="B9147" s="27" t="s">
        <v>1708</v>
      </c>
      <c r="C9147" s="27" t="s">
        <v>25232</v>
      </c>
      <c r="D9147" s="14" t="s">
        <v>1584</v>
      </c>
      <c r="E9147" s="229"/>
      <c r="F9147" s="117" t="s">
        <v>25236</v>
      </c>
      <c r="G9147" s="26">
        <v>47601</v>
      </c>
      <c r="H9147" s="231"/>
      <c r="I9147" s="221"/>
      <c r="J9147" s="221"/>
      <c r="K9147" s="221"/>
      <c r="L9147" s="221"/>
      <c r="M9147" s="221"/>
      <c r="N9147" s="221"/>
      <c r="O9147" s="225"/>
      <c r="P9147" s="118"/>
      <c r="Q9147" s="16" t="s">
        <v>20</v>
      </c>
      <c r="R9147" s="17"/>
      <c r="S9147" s="121"/>
      <c r="T9147" s="122"/>
      <c r="U9147" s="22"/>
      <c r="V9147" s="123"/>
      <c r="W9147" s="122"/>
      <c r="X9147" s="221"/>
      <c r="Y9147" s="221"/>
      <c r="Z9147" s="221"/>
      <c r="AA9147" s="221"/>
      <c r="AB9147" s="223"/>
    </row>
    <row r="9148" spans="1:28" ht="17.100000000000001" customHeight="1" thickTop="1">
      <c r="A9148" s="226" t="s">
        <v>25251</v>
      </c>
      <c r="B9148" s="28">
        <v>46160</v>
      </c>
      <c r="C9148" s="25"/>
      <c r="D9148" s="13" t="s">
        <v>1953</v>
      </c>
      <c r="E9148" s="228"/>
      <c r="F9148" s="109" t="s">
        <v>25238</v>
      </c>
      <c r="G9148" s="24" t="s">
        <v>3453</v>
      </c>
      <c r="H9148" s="230">
        <v>3.5</v>
      </c>
      <c r="I9148" s="220">
        <v>1330000</v>
      </c>
      <c r="J9148" s="220">
        <f>I9148*0.1</f>
        <v>133000</v>
      </c>
      <c r="K9148" s="220">
        <v>22100</v>
      </c>
      <c r="L9148" s="220">
        <v>24350</v>
      </c>
      <c r="M9148" s="220">
        <v>0</v>
      </c>
      <c r="N9148" s="220">
        <f>SUM(I9148:M9149)</f>
        <v>1509450</v>
      </c>
      <c r="O9148" s="224"/>
      <c r="P9148" s="110"/>
      <c r="Q9148" s="15" t="s">
        <v>19</v>
      </c>
      <c r="R9148" s="205"/>
      <c r="S9148" s="189"/>
      <c r="T9148" s="114"/>
      <c r="U9148" s="21"/>
      <c r="V9148" s="115"/>
      <c r="W9148" s="116"/>
      <c r="X9148" s="220"/>
      <c r="Y9148" s="220">
        <f>X9148*0.1</f>
        <v>0</v>
      </c>
      <c r="Z9148" s="220"/>
      <c r="AA9148" s="220">
        <f>SUM(X9148:Z9148)</f>
        <v>0</v>
      </c>
      <c r="AB9148" s="222"/>
    </row>
    <row r="9149" spans="1:28" ht="17.100000000000001" customHeight="1" thickBot="1">
      <c r="A9149" s="227"/>
      <c r="B9149" s="27" t="s">
        <v>1708</v>
      </c>
      <c r="C9149" s="27" t="s">
        <v>25233</v>
      </c>
      <c r="D9149" s="14" t="s">
        <v>131</v>
      </c>
      <c r="E9149" s="229"/>
      <c r="F9149" s="117" t="s">
        <v>25239</v>
      </c>
      <c r="G9149" s="26">
        <v>52938</v>
      </c>
      <c r="H9149" s="231"/>
      <c r="I9149" s="221"/>
      <c r="J9149" s="221"/>
      <c r="K9149" s="221"/>
      <c r="L9149" s="221"/>
      <c r="M9149" s="221"/>
      <c r="N9149" s="221"/>
      <c r="O9149" s="225"/>
      <c r="P9149" s="118"/>
      <c r="Q9149" s="16" t="s">
        <v>20</v>
      </c>
      <c r="R9149" s="17"/>
      <c r="S9149" s="121"/>
      <c r="T9149" s="122"/>
      <c r="U9149" s="22"/>
      <c r="V9149" s="123"/>
      <c r="W9149" s="122"/>
      <c r="X9149" s="221"/>
      <c r="Y9149" s="221"/>
      <c r="Z9149" s="221"/>
      <c r="AA9149" s="221"/>
      <c r="AB9149" s="223"/>
    </row>
    <row r="9150" spans="1:28" ht="17.100000000000001" customHeight="1" thickTop="1">
      <c r="A9150" s="226" t="s">
        <v>25252</v>
      </c>
      <c r="B9150" s="28">
        <v>46160</v>
      </c>
      <c r="C9150" s="25"/>
      <c r="D9150" s="13" t="s">
        <v>2866</v>
      </c>
      <c r="E9150" s="228"/>
      <c r="F9150" s="109" t="s">
        <v>3606</v>
      </c>
      <c r="G9150" s="24" t="s">
        <v>2038</v>
      </c>
      <c r="H9150" s="230">
        <v>4.5</v>
      </c>
      <c r="I9150" s="220">
        <v>1225000</v>
      </c>
      <c r="J9150" s="220">
        <f>I9150*0.1</f>
        <v>122500</v>
      </c>
      <c r="K9150" s="220">
        <v>24500</v>
      </c>
      <c r="L9150" s="220">
        <v>9750</v>
      </c>
      <c r="M9150" s="220">
        <v>0</v>
      </c>
      <c r="N9150" s="220">
        <v>1381750</v>
      </c>
      <c r="O9150" s="224"/>
      <c r="P9150" s="110"/>
      <c r="Q9150" s="15" t="s">
        <v>19</v>
      </c>
      <c r="R9150" s="205"/>
      <c r="S9150" s="189" t="s">
        <v>26016</v>
      </c>
      <c r="T9150" s="114"/>
      <c r="U9150" s="21"/>
      <c r="V9150" s="115"/>
      <c r="W9150" s="116"/>
      <c r="X9150" s="220"/>
      <c r="Y9150" s="220">
        <f>X9150*0.1</f>
        <v>0</v>
      </c>
      <c r="Z9150" s="220"/>
      <c r="AA9150" s="220">
        <f>SUM(X9150:Z9150)</f>
        <v>0</v>
      </c>
      <c r="AB9150" s="222"/>
    </row>
    <row r="9151" spans="1:28" ht="17.100000000000001" customHeight="1" thickBot="1">
      <c r="A9151" s="227"/>
      <c r="B9151" s="27" t="s">
        <v>1708</v>
      </c>
      <c r="C9151" s="27" t="s">
        <v>25234</v>
      </c>
      <c r="D9151" s="14" t="s">
        <v>273</v>
      </c>
      <c r="E9151" s="229"/>
      <c r="F9151" s="117" t="s">
        <v>25240</v>
      </c>
      <c r="G9151" s="26">
        <v>24748</v>
      </c>
      <c r="H9151" s="231"/>
      <c r="I9151" s="221"/>
      <c r="J9151" s="221"/>
      <c r="K9151" s="221"/>
      <c r="L9151" s="221"/>
      <c r="M9151" s="221"/>
      <c r="N9151" s="221"/>
      <c r="O9151" s="225"/>
      <c r="P9151" s="118"/>
      <c r="Q9151" s="16" t="s">
        <v>20</v>
      </c>
      <c r="R9151" s="17"/>
      <c r="S9151" s="121"/>
      <c r="T9151" s="122"/>
      <c r="U9151" s="22"/>
      <c r="V9151" s="123"/>
      <c r="W9151" s="122"/>
      <c r="X9151" s="221"/>
      <c r="Y9151" s="221"/>
      <c r="Z9151" s="221"/>
      <c r="AA9151" s="221"/>
      <c r="AB9151" s="223"/>
    </row>
    <row r="9152" spans="1:28" ht="17.100000000000001" customHeight="1" thickTop="1">
      <c r="A9152" s="226" t="s">
        <v>25253</v>
      </c>
      <c r="B9152" s="28">
        <v>46160</v>
      </c>
      <c r="C9152" s="25"/>
      <c r="D9152" s="13" t="s">
        <v>3269</v>
      </c>
      <c r="E9152" s="228"/>
      <c r="F9152" s="109" t="s">
        <v>3270</v>
      </c>
      <c r="G9152" s="24" t="s">
        <v>2530</v>
      </c>
      <c r="H9152" s="230">
        <v>4.5</v>
      </c>
      <c r="I9152" s="220">
        <v>930000</v>
      </c>
      <c r="J9152" s="220">
        <f>I9152*0.1</f>
        <v>93000</v>
      </c>
      <c r="K9152" s="220">
        <v>0</v>
      </c>
      <c r="L9152" s="220">
        <v>8110</v>
      </c>
      <c r="M9152" s="220">
        <v>0</v>
      </c>
      <c r="N9152" s="220">
        <f>SUM(I9152:M9153)</f>
        <v>1031110</v>
      </c>
      <c r="O9152" s="224"/>
      <c r="P9152" s="110"/>
      <c r="Q9152" s="15" t="s">
        <v>19</v>
      </c>
      <c r="R9152" s="205"/>
      <c r="S9152" s="189" t="s">
        <v>25403</v>
      </c>
      <c r="T9152" s="114"/>
      <c r="U9152" s="21"/>
      <c r="V9152" s="115"/>
      <c r="W9152" s="116"/>
      <c r="X9152" s="220"/>
      <c r="Y9152" s="220">
        <f>X9152*0.1</f>
        <v>0</v>
      </c>
      <c r="Z9152" s="220"/>
      <c r="AA9152" s="220">
        <f>SUM(X9152:Z9152)</f>
        <v>0</v>
      </c>
      <c r="AB9152" s="222"/>
    </row>
    <row r="9153" spans="1:28" ht="17.100000000000001" customHeight="1" thickBot="1">
      <c r="A9153" s="227"/>
      <c r="B9153" s="27" t="s">
        <v>1708</v>
      </c>
      <c r="C9153" s="27" t="s">
        <v>25241</v>
      </c>
      <c r="D9153" s="14" t="s">
        <v>1584</v>
      </c>
      <c r="E9153" s="229"/>
      <c r="F9153" s="117" t="s">
        <v>25242</v>
      </c>
      <c r="G9153" s="26">
        <v>44936</v>
      </c>
      <c r="H9153" s="231"/>
      <c r="I9153" s="221"/>
      <c r="J9153" s="221"/>
      <c r="K9153" s="221"/>
      <c r="L9153" s="221"/>
      <c r="M9153" s="221"/>
      <c r="N9153" s="221"/>
      <c r="O9153" s="225"/>
      <c r="P9153" s="118"/>
      <c r="Q9153" s="16" t="s">
        <v>20</v>
      </c>
      <c r="R9153" s="17"/>
      <c r="S9153" s="121"/>
      <c r="T9153" s="122"/>
      <c r="U9153" s="22"/>
      <c r="V9153" s="123"/>
      <c r="W9153" s="122"/>
      <c r="X9153" s="221"/>
      <c r="Y9153" s="221"/>
      <c r="Z9153" s="221"/>
      <c r="AA9153" s="221"/>
      <c r="AB9153" s="223"/>
    </row>
    <row r="9154" spans="1:28" ht="17.100000000000001" customHeight="1" thickTop="1">
      <c r="A9154" s="226" t="s">
        <v>25279</v>
      </c>
      <c r="B9154" s="28">
        <v>46160</v>
      </c>
      <c r="C9154" s="25"/>
      <c r="D9154" s="13" t="s">
        <v>2379</v>
      </c>
      <c r="E9154" s="228"/>
      <c r="F9154" s="109" t="s">
        <v>25281</v>
      </c>
      <c r="G9154" s="24" t="s">
        <v>2543</v>
      </c>
      <c r="H9154" s="230">
        <v>5</v>
      </c>
      <c r="I9154" s="220">
        <v>5250000</v>
      </c>
      <c r="J9154" s="220">
        <f>I9154*0.1</f>
        <v>525000</v>
      </c>
      <c r="K9154" s="220">
        <v>37500</v>
      </c>
      <c r="L9154" s="220">
        <v>14230</v>
      </c>
      <c r="M9154" s="220">
        <v>0</v>
      </c>
      <c r="N9154" s="220">
        <f>SUM(I9154:M9155)</f>
        <v>5826730</v>
      </c>
      <c r="O9154" s="224"/>
      <c r="P9154" s="110"/>
      <c r="Q9154" s="15" t="s">
        <v>19</v>
      </c>
      <c r="R9154" s="205"/>
      <c r="S9154" s="189" t="s">
        <v>26009</v>
      </c>
      <c r="T9154" s="114"/>
      <c r="U9154" s="21"/>
      <c r="V9154" s="115"/>
      <c r="W9154" s="116"/>
      <c r="X9154" s="220"/>
      <c r="Y9154" s="220">
        <f>X9154*0.1</f>
        <v>0</v>
      </c>
      <c r="Z9154" s="220"/>
      <c r="AA9154" s="220">
        <f>SUM(X9154:Z9154)</f>
        <v>0</v>
      </c>
      <c r="AB9154" s="222"/>
    </row>
    <row r="9155" spans="1:28" ht="17.100000000000001" customHeight="1" thickBot="1">
      <c r="A9155" s="227"/>
      <c r="B9155" s="27" t="s">
        <v>1708</v>
      </c>
      <c r="C9155" s="27" t="s">
        <v>25280</v>
      </c>
      <c r="D9155" s="14" t="s">
        <v>2559</v>
      </c>
      <c r="E9155" s="229"/>
      <c r="F9155" s="117" t="s">
        <v>25282</v>
      </c>
      <c r="G9155" s="26">
        <v>5087</v>
      </c>
      <c r="H9155" s="231"/>
      <c r="I9155" s="221"/>
      <c r="J9155" s="221"/>
      <c r="K9155" s="221"/>
      <c r="L9155" s="221"/>
      <c r="M9155" s="221"/>
      <c r="N9155" s="221"/>
      <c r="O9155" s="225"/>
      <c r="P9155" s="118"/>
      <c r="Q9155" s="16" t="s">
        <v>20</v>
      </c>
      <c r="R9155" s="17"/>
      <c r="S9155" s="121"/>
      <c r="T9155" s="122"/>
      <c r="U9155" s="22"/>
      <c r="V9155" s="123"/>
      <c r="W9155" s="122"/>
      <c r="X9155" s="221"/>
      <c r="Y9155" s="221"/>
      <c r="Z9155" s="221"/>
      <c r="AA9155" s="221"/>
      <c r="AB9155" s="223"/>
    </row>
    <row r="9156" spans="1:28" ht="17.100000000000001" customHeight="1" thickTop="1">
      <c r="A9156" s="226" t="s">
        <v>25285</v>
      </c>
      <c r="B9156" s="28">
        <v>46161</v>
      </c>
      <c r="C9156" s="25">
        <v>1093</v>
      </c>
      <c r="D9156" s="13" t="s">
        <v>1634</v>
      </c>
      <c r="E9156" s="228"/>
      <c r="F9156" s="109" t="s">
        <v>25310</v>
      </c>
      <c r="G9156" s="24" t="s">
        <v>1551</v>
      </c>
      <c r="H9156" s="230">
        <v>4.5</v>
      </c>
      <c r="I9156" s="220">
        <v>2185000</v>
      </c>
      <c r="J9156" s="220">
        <f>I9156*0.1</f>
        <v>218500</v>
      </c>
      <c r="K9156" s="220">
        <v>33000</v>
      </c>
      <c r="L9156" s="220">
        <v>21070</v>
      </c>
      <c r="M9156" s="220">
        <v>16500</v>
      </c>
      <c r="N9156" s="220">
        <f>SUM(I9156:M9157)</f>
        <v>2474070</v>
      </c>
      <c r="O9156" s="224"/>
      <c r="P9156" s="110" t="s">
        <v>25349</v>
      </c>
      <c r="Q9156" s="15" t="s">
        <v>19</v>
      </c>
      <c r="R9156" s="206"/>
      <c r="S9156" s="202" t="s">
        <v>26018</v>
      </c>
      <c r="T9156" s="114"/>
      <c r="U9156" s="21"/>
      <c r="V9156" s="115"/>
      <c r="W9156" s="116"/>
      <c r="X9156" s="220"/>
      <c r="Y9156" s="220">
        <f>X9156*0.1</f>
        <v>0</v>
      </c>
      <c r="Z9156" s="220"/>
      <c r="AA9156" s="220">
        <f>SUM(X9156:Z9156)</f>
        <v>0</v>
      </c>
      <c r="AB9156" s="222"/>
    </row>
    <row r="9157" spans="1:28" ht="17.100000000000001" customHeight="1" thickBot="1">
      <c r="A9157" s="227"/>
      <c r="B9157" s="27" t="s">
        <v>1583</v>
      </c>
      <c r="C9157" s="27">
        <v>84288</v>
      </c>
      <c r="D9157" s="14" t="s">
        <v>1584</v>
      </c>
      <c r="E9157" s="229"/>
      <c r="F9157" s="117" t="s">
        <v>25348</v>
      </c>
      <c r="G9157" s="26">
        <v>32102</v>
      </c>
      <c r="H9157" s="231"/>
      <c r="I9157" s="221"/>
      <c r="J9157" s="221"/>
      <c r="K9157" s="221"/>
      <c r="L9157" s="221"/>
      <c r="M9157" s="221"/>
      <c r="N9157" s="221"/>
      <c r="O9157" s="225"/>
      <c r="P9157" s="118" t="s">
        <v>26179</v>
      </c>
      <c r="Q9157" s="16" t="s">
        <v>20</v>
      </c>
      <c r="R9157" s="17" t="s">
        <v>2702</v>
      </c>
      <c r="S9157" s="121" t="s">
        <v>1606</v>
      </c>
      <c r="T9157" s="122"/>
      <c r="U9157" s="22"/>
      <c r="V9157" s="123"/>
      <c r="W9157" s="122"/>
      <c r="X9157" s="221"/>
      <c r="Y9157" s="221"/>
      <c r="Z9157" s="221"/>
      <c r="AA9157" s="221"/>
      <c r="AB9157" s="223"/>
    </row>
    <row r="9158" spans="1:28" ht="17.100000000000001" customHeight="1" thickTop="1">
      <c r="A9158" s="226" t="s">
        <v>25286</v>
      </c>
      <c r="B9158" s="28">
        <v>46161</v>
      </c>
      <c r="C9158" s="25">
        <v>1941</v>
      </c>
      <c r="D9158" s="13" t="s">
        <v>1887</v>
      </c>
      <c r="E9158" s="228"/>
      <c r="F9158" s="109" t="s">
        <v>15197</v>
      </c>
      <c r="G9158" s="24"/>
      <c r="H9158" s="230">
        <v>4</v>
      </c>
      <c r="I9158" s="220">
        <v>511000</v>
      </c>
      <c r="J9158" s="220">
        <f>I9158*0.1</f>
        <v>51100</v>
      </c>
      <c r="K9158" s="220">
        <v>0</v>
      </c>
      <c r="L9158" s="220">
        <v>6550</v>
      </c>
      <c r="M9158" s="220">
        <v>15950</v>
      </c>
      <c r="N9158" s="220">
        <f>SUM(I9158:M9159)</f>
        <v>584600</v>
      </c>
      <c r="O9158" s="224"/>
      <c r="P9158" s="110"/>
      <c r="Q9158" s="15" t="s">
        <v>19</v>
      </c>
      <c r="R9158" s="205"/>
      <c r="S9158" s="189" t="s">
        <v>758</v>
      </c>
      <c r="T9158" s="114"/>
      <c r="U9158" s="21"/>
      <c r="V9158" s="115"/>
      <c r="W9158" s="116"/>
      <c r="X9158" s="220"/>
      <c r="Y9158" s="220">
        <f>X9158*0.1</f>
        <v>0</v>
      </c>
      <c r="Z9158" s="220"/>
      <c r="AA9158" s="220">
        <f>SUM(X9158:Z9158)</f>
        <v>0</v>
      </c>
      <c r="AB9158" s="222"/>
    </row>
    <row r="9159" spans="1:28" ht="17.100000000000001" customHeight="1" thickBot="1">
      <c r="A9159" s="227"/>
      <c r="B9159" s="27" t="s">
        <v>2103</v>
      </c>
      <c r="C9159" s="27">
        <v>3269</v>
      </c>
      <c r="D9159" s="14" t="s">
        <v>1710</v>
      </c>
      <c r="E9159" s="229"/>
      <c r="F9159" s="117" t="s">
        <v>25311</v>
      </c>
      <c r="G9159" s="26">
        <v>40783</v>
      </c>
      <c r="H9159" s="231"/>
      <c r="I9159" s="221"/>
      <c r="J9159" s="221"/>
      <c r="K9159" s="221"/>
      <c r="L9159" s="221"/>
      <c r="M9159" s="221"/>
      <c r="N9159" s="221"/>
      <c r="O9159" s="225"/>
      <c r="P9159" s="118"/>
      <c r="Q9159" s="16" t="s">
        <v>20</v>
      </c>
      <c r="R9159" s="17"/>
      <c r="S9159" s="121" t="s">
        <v>11120</v>
      </c>
      <c r="T9159" s="122"/>
      <c r="U9159" s="22"/>
      <c r="V9159" s="123"/>
      <c r="W9159" s="122"/>
      <c r="X9159" s="221"/>
      <c r="Y9159" s="221"/>
      <c r="Z9159" s="221"/>
      <c r="AA9159" s="221"/>
      <c r="AB9159" s="223"/>
    </row>
    <row r="9160" spans="1:28" ht="17.100000000000001" customHeight="1" thickTop="1">
      <c r="A9160" s="226" t="s">
        <v>25287</v>
      </c>
      <c r="B9160" s="28">
        <v>46161</v>
      </c>
      <c r="C9160" s="25">
        <v>1941</v>
      </c>
      <c r="D9160" s="13" t="s">
        <v>2900</v>
      </c>
      <c r="E9160" s="228"/>
      <c r="F9160" s="109" t="s">
        <v>2943</v>
      </c>
      <c r="G9160" s="24" t="s">
        <v>2871</v>
      </c>
      <c r="H9160" s="230">
        <v>4</v>
      </c>
      <c r="I9160" s="220">
        <v>711000</v>
      </c>
      <c r="J9160" s="220">
        <f>I9160*0.1</f>
        <v>71100</v>
      </c>
      <c r="K9160" s="220">
        <v>0</v>
      </c>
      <c r="L9160" s="220">
        <v>8400</v>
      </c>
      <c r="M9160" s="220">
        <v>15950</v>
      </c>
      <c r="N9160" s="220">
        <f>SUM(I9160:M9161)</f>
        <v>806450</v>
      </c>
      <c r="O9160" s="224"/>
      <c r="P9160" s="110" t="s">
        <v>25350</v>
      </c>
      <c r="Q9160" s="15" t="s">
        <v>19</v>
      </c>
      <c r="R9160" s="205"/>
      <c r="S9160" s="189"/>
      <c r="T9160" s="114"/>
      <c r="U9160" s="21"/>
      <c r="V9160" s="115">
        <v>46165</v>
      </c>
      <c r="W9160" s="116">
        <v>1301</v>
      </c>
      <c r="X9160" s="220">
        <v>895000</v>
      </c>
      <c r="Y9160" s="220">
        <f>X9160*0.1</f>
        <v>89500</v>
      </c>
      <c r="Z9160" s="220">
        <v>8400</v>
      </c>
      <c r="AA9160" s="220">
        <f>SUM(X9160:Z9160)</f>
        <v>992900</v>
      </c>
      <c r="AB9160" s="222"/>
    </row>
    <row r="9161" spans="1:28" ht="17.100000000000001" customHeight="1" thickBot="1">
      <c r="A9161" s="227"/>
      <c r="B9161" s="27" t="s">
        <v>2103</v>
      </c>
      <c r="C9161" s="27">
        <v>3277</v>
      </c>
      <c r="D9161" s="14" t="s">
        <v>1602</v>
      </c>
      <c r="E9161" s="229"/>
      <c r="F9161" s="117" t="s">
        <v>25312</v>
      </c>
      <c r="G9161" s="26">
        <v>30149</v>
      </c>
      <c r="H9161" s="231"/>
      <c r="I9161" s="221"/>
      <c r="J9161" s="221"/>
      <c r="K9161" s="221"/>
      <c r="L9161" s="221"/>
      <c r="M9161" s="221"/>
      <c r="N9161" s="221"/>
      <c r="O9161" s="225"/>
      <c r="P9161" s="118" t="s">
        <v>3349</v>
      </c>
      <c r="Q9161" s="16" t="s">
        <v>20</v>
      </c>
      <c r="R9161" s="17" t="s">
        <v>26278</v>
      </c>
      <c r="S9161" s="121" t="s">
        <v>7721</v>
      </c>
      <c r="T9161" s="122"/>
      <c r="U9161" s="22"/>
      <c r="V9161" s="123" t="s">
        <v>2472</v>
      </c>
      <c r="W9161" s="122">
        <v>60373</v>
      </c>
      <c r="X9161" s="221"/>
      <c r="Y9161" s="221"/>
      <c r="Z9161" s="221"/>
      <c r="AA9161" s="221"/>
      <c r="AB9161" s="223"/>
    </row>
    <row r="9162" spans="1:28" ht="17.100000000000001" customHeight="1" thickTop="1">
      <c r="A9162" s="226" t="s">
        <v>25288</v>
      </c>
      <c r="B9162" s="28">
        <v>46161</v>
      </c>
      <c r="C9162" s="25">
        <v>1941</v>
      </c>
      <c r="D9162" s="13" t="s">
        <v>1748</v>
      </c>
      <c r="E9162" s="228"/>
      <c r="F9162" s="109" t="s">
        <v>15525</v>
      </c>
      <c r="G9162" s="24"/>
      <c r="H9162" s="230">
        <v>4.5</v>
      </c>
      <c r="I9162" s="220">
        <v>731000</v>
      </c>
      <c r="J9162" s="220">
        <f>I9162*0.1</f>
        <v>73100</v>
      </c>
      <c r="K9162" s="220">
        <v>0</v>
      </c>
      <c r="L9162" s="220">
        <v>8010</v>
      </c>
      <c r="M9162" s="220">
        <v>15950</v>
      </c>
      <c r="N9162" s="220">
        <f>SUM(I9162:M9163)</f>
        <v>828060</v>
      </c>
      <c r="O9162" s="224"/>
      <c r="P9162" s="110" t="s">
        <v>26296</v>
      </c>
      <c r="Q9162" s="15" t="s">
        <v>19</v>
      </c>
      <c r="R9162" s="205"/>
      <c r="S9162" s="189" t="s">
        <v>25505</v>
      </c>
      <c r="T9162" s="114"/>
      <c r="U9162" s="21"/>
      <c r="V9162" s="115"/>
      <c r="W9162" s="116"/>
      <c r="X9162" s="220"/>
      <c r="Y9162" s="220">
        <f>X9162*0.1</f>
        <v>0</v>
      </c>
      <c r="Z9162" s="220"/>
      <c r="AA9162" s="220">
        <f>SUM(X9162:Z9162)</f>
        <v>0</v>
      </c>
      <c r="AB9162" s="222"/>
    </row>
    <row r="9163" spans="1:28" ht="17.100000000000001" customHeight="1" thickBot="1">
      <c r="A9163" s="227"/>
      <c r="B9163" s="27" t="s">
        <v>2103</v>
      </c>
      <c r="C9163" s="27">
        <v>3312</v>
      </c>
      <c r="D9163" s="14" t="s">
        <v>1584</v>
      </c>
      <c r="E9163" s="229"/>
      <c r="F9163" s="117" t="s">
        <v>25313</v>
      </c>
      <c r="G9163" s="26">
        <v>70290</v>
      </c>
      <c r="H9163" s="231"/>
      <c r="I9163" s="221"/>
      <c r="J9163" s="221"/>
      <c r="K9163" s="221"/>
      <c r="L9163" s="221"/>
      <c r="M9163" s="221"/>
      <c r="N9163" s="221"/>
      <c r="O9163" s="225"/>
      <c r="P9163" s="118" t="s">
        <v>26297</v>
      </c>
      <c r="Q9163" s="16" t="s">
        <v>20</v>
      </c>
      <c r="R9163" s="17" t="s">
        <v>26278</v>
      </c>
      <c r="S9163" s="121" t="s">
        <v>2360</v>
      </c>
      <c r="T9163" s="122"/>
      <c r="U9163" s="22"/>
      <c r="V9163" s="123"/>
      <c r="W9163" s="122"/>
      <c r="X9163" s="221"/>
      <c r="Y9163" s="221"/>
      <c r="Z9163" s="221"/>
      <c r="AA9163" s="221"/>
      <c r="AB9163" s="223"/>
    </row>
    <row r="9164" spans="1:28" ht="17.100000000000001" customHeight="1" thickTop="1">
      <c r="A9164" s="226" t="s">
        <v>25289</v>
      </c>
      <c r="B9164" s="28">
        <v>46161</v>
      </c>
      <c r="C9164" s="25">
        <v>1941</v>
      </c>
      <c r="D9164" s="13" t="s">
        <v>853</v>
      </c>
      <c r="E9164" s="228"/>
      <c r="F9164" s="109" t="s">
        <v>15513</v>
      </c>
      <c r="G9164" s="24"/>
      <c r="H9164" s="230">
        <v>4</v>
      </c>
      <c r="I9164" s="220">
        <v>1139000</v>
      </c>
      <c r="J9164" s="220">
        <f>I9164*0.1</f>
        <v>113900</v>
      </c>
      <c r="K9164" s="220">
        <v>0</v>
      </c>
      <c r="L9164" s="220">
        <v>8390</v>
      </c>
      <c r="M9164" s="220">
        <v>15950</v>
      </c>
      <c r="N9164" s="220">
        <f>SUM(I9164:M9165)</f>
        <v>1277240</v>
      </c>
      <c r="O9164" s="224"/>
      <c r="P9164" s="110" t="s">
        <v>26221</v>
      </c>
      <c r="Q9164" s="15" t="s">
        <v>19</v>
      </c>
      <c r="R9164" s="205"/>
      <c r="S9164" s="189"/>
      <c r="T9164" s="114"/>
      <c r="U9164" s="21"/>
      <c r="V9164" s="115">
        <v>46165</v>
      </c>
      <c r="W9164" s="116">
        <v>1301</v>
      </c>
      <c r="X9164" s="220">
        <v>1215000</v>
      </c>
      <c r="Y9164" s="220">
        <f>X9164*0.1</f>
        <v>121500</v>
      </c>
      <c r="Z9164" s="220">
        <v>8390</v>
      </c>
      <c r="AA9164" s="220">
        <f>SUM(X9164:Z9164)</f>
        <v>1344890</v>
      </c>
      <c r="AB9164" s="222">
        <v>46168</v>
      </c>
    </row>
    <row r="9165" spans="1:28" ht="17.100000000000001" customHeight="1" thickBot="1">
      <c r="A9165" s="227"/>
      <c r="B9165" s="27" t="s">
        <v>2103</v>
      </c>
      <c r="C9165" s="27">
        <v>3321</v>
      </c>
      <c r="D9165" s="14" t="s">
        <v>1797</v>
      </c>
      <c r="E9165" s="229"/>
      <c r="F9165" s="117" t="s">
        <v>25314</v>
      </c>
      <c r="G9165" s="26">
        <v>18258</v>
      </c>
      <c r="H9165" s="231"/>
      <c r="I9165" s="221"/>
      <c r="J9165" s="221"/>
      <c r="K9165" s="221"/>
      <c r="L9165" s="221"/>
      <c r="M9165" s="221"/>
      <c r="N9165" s="221"/>
      <c r="O9165" s="225"/>
      <c r="P9165" s="118" t="s">
        <v>10936</v>
      </c>
      <c r="Q9165" s="16" t="s">
        <v>20</v>
      </c>
      <c r="R9165" s="17" t="s">
        <v>1959</v>
      </c>
      <c r="S9165" s="121"/>
      <c r="T9165" s="122"/>
      <c r="U9165" s="22"/>
      <c r="V9165" s="123" t="s">
        <v>2472</v>
      </c>
      <c r="W9165" s="122">
        <v>60372</v>
      </c>
      <c r="X9165" s="221"/>
      <c r="Y9165" s="221"/>
      <c r="Z9165" s="221"/>
      <c r="AA9165" s="221"/>
      <c r="AB9165" s="223"/>
    </row>
    <row r="9166" spans="1:28" ht="17.100000000000001" customHeight="1" thickTop="1">
      <c r="A9166" s="226" t="s">
        <v>25290</v>
      </c>
      <c r="B9166" s="28">
        <v>46161</v>
      </c>
      <c r="C9166" s="25">
        <v>1941</v>
      </c>
      <c r="D9166" s="13" t="s">
        <v>1961</v>
      </c>
      <c r="E9166" s="228"/>
      <c r="F9166" s="109" t="s">
        <v>16259</v>
      </c>
      <c r="G9166" s="24"/>
      <c r="H9166" s="230">
        <v>4</v>
      </c>
      <c r="I9166" s="220">
        <v>602000</v>
      </c>
      <c r="J9166" s="220">
        <f>I9166*0.1</f>
        <v>60200</v>
      </c>
      <c r="K9166" s="220">
        <v>0</v>
      </c>
      <c r="L9166" s="220">
        <v>7150</v>
      </c>
      <c r="M9166" s="220">
        <v>15950</v>
      </c>
      <c r="N9166" s="220">
        <f>SUM(I9166:M9167)</f>
        <v>685300</v>
      </c>
      <c r="O9166" s="224"/>
      <c r="P9166" s="110" t="s">
        <v>26222</v>
      </c>
      <c r="Q9166" s="15" t="s">
        <v>19</v>
      </c>
      <c r="R9166" s="205"/>
      <c r="S9166" s="189"/>
      <c r="T9166" s="114"/>
      <c r="U9166" s="21"/>
      <c r="V9166" s="115"/>
      <c r="W9166" s="116"/>
      <c r="X9166" s="220"/>
      <c r="Y9166" s="220">
        <f>X9166*0.1</f>
        <v>0</v>
      </c>
      <c r="Z9166" s="220"/>
      <c r="AA9166" s="220">
        <f>SUM(X9166:Z9166)</f>
        <v>0</v>
      </c>
      <c r="AB9166" s="222"/>
    </row>
    <row r="9167" spans="1:28" ht="17.100000000000001" customHeight="1" thickBot="1">
      <c r="A9167" s="227"/>
      <c r="B9167" s="27" t="s">
        <v>2103</v>
      </c>
      <c r="C9167" s="27">
        <v>3323</v>
      </c>
      <c r="D9167" s="14" t="s">
        <v>1710</v>
      </c>
      <c r="E9167" s="229"/>
      <c r="F9167" s="117" t="s">
        <v>25315</v>
      </c>
      <c r="G9167" s="26">
        <v>49168</v>
      </c>
      <c r="H9167" s="231"/>
      <c r="I9167" s="221"/>
      <c r="J9167" s="221"/>
      <c r="K9167" s="221"/>
      <c r="L9167" s="221"/>
      <c r="M9167" s="221"/>
      <c r="N9167" s="221"/>
      <c r="O9167" s="225"/>
      <c r="P9167" s="118" t="s">
        <v>10936</v>
      </c>
      <c r="Q9167" s="16" t="s">
        <v>20</v>
      </c>
      <c r="R9167" s="17" t="s">
        <v>1959</v>
      </c>
      <c r="S9167" s="121" t="s">
        <v>11120</v>
      </c>
      <c r="T9167" s="122"/>
      <c r="U9167" s="22"/>
      <c r="V9167" s="123"/>
      <c r="W9167" s="122"/>
      <c r="X9167" s="221"/>
      <c r="Y9167" s="221"/>
      <c r="Z9167" s="221"/>
      <c r="AA9167" s="221"/>
      <c r="AB9167" s="223"/>
    </row>
    <row r="9168" spans="1:28" ht="17.100000000000001" customHeight="1" thickTop="1">
      <c r="A9168" s="226" t="s">
        <v>25291</v>
      </c>
      <c r="B9168" s="28">
        <v>46161</v>
      </c>
      <c r="C9168" s="25">
        <v>1941</v>
      </c>
      <c r="D9168" s="13" t="s">
        <v>1642</v>
      </c>
      <c r="E9168" s="228"/>
      <c r="F9168" s="109" t="s">
        <v>7657</v>
      </c>
      <c r="G9168" s="24" t="s">
        <v>2084</v>
      </c>
      <c r="H9168" s="230">
        <v>3.5</v>
      </c>
      <c r="I9168" s="220">
        <v>604000</v>
      </c>
      <c r="J9168" s="220">
        <f>I9168*0.1</f>
        <v>60400</v>
      </c>
      <c r="K9168" s="220">
        <v>0</v>
      </c>
      <c r="L9168" s="220">
        <v>8010</v>
      </c>
      <c r="M9168" s="220">
        <v>15950</v>
      </c>
      <c r="N9168" s="220">
        <f>SUM(I9168:M9169)</f>
        <v>688360</v>
      </c>
      <c r="O9168" s="224"/>
      <c r="P9168" s="110" t="s">
        <v>25351</v>
      </c>
      <c r="Q9168" s="15" t="s">
        <v>19</v>
      </c>
      <c r="R9168" s="205"/>
      <c r="S9168" s="189" t="s">
        <v>25766</v>
      </c>
      <c r="T9168" s="114"/>
      <c r="U9168" s="21"/>
      <c r="V9168" s="115"/>
      <c r="W9168" s="116"/>
      <c r="X9168" s="220"/>
      <c r="Y9168" s="220">
        <f>X9168*0.1</f>
        <v>0</v>
      </c>
      <c r="Z9168" s="220"/>
      <c r="AA9168" s="220">
        <f>SUM(X9168:Z9168)</f>
        <v>0</v>
      </c>
      <c r="AB9168" s="222"/>
    </row>
    <row r="9169" spans="1:28" ht="17.100000000000001" customHeight="1" thickBot="1">
      <c r="A9169" s="227"/>
      <c r="B9169" s="27" t="s">
        <v>2103</v>
      </c>
      <c r="C9169" s="27">
        <v>3384</v>
      </c>
      <c r="D9169" s="14" t="s">
        <v>1584</v>
      </c>
      <c r="E9169" s="229"/>
      <c r="F9169" s="117" t="s">
        <v>25316</v>
      </c>
      <c r="G9169" s="26">
        <v>58376</v>
      </c>
      <c r="H9169" s="231"/>
      <c r="I9169" s="221"/>
      <c r="J9169" s="221"/>
      <c r="K9169" s="221"/>
      <c r="L9169" s="221"/>
      <c r="M9169" s="221"/>
      <c r="N9169" s="221"/>
      <c r="O9169" s="225"/>
      <c r="P9169" s="118" t="s">
        <v>15065</v>
      </c>
      <c r="Q9169" s="16" t="s">
        <v>20</v>
      </c>
      <c r="R9169" s="17" t="s">
        <v>26278</v>
      </c>
      <c r="S9169" s="121" t="s">
        <v>26524</v>
      </c>
      <c r="T9169" s="122"/>
      <c r="U9169" s="22"/>
      <c r="V9169" s="123"/>
      <c r="W9169" s="122"/>
      <c r="X9169" s="221"/>
      <c r="Y9169" s="221"/>
      <c r="Z9169" s="221"/>
      <c r="AA9169" s="221"/>
      <c r="AB9169" s="223"/>
    </row>
    <row r="9170" spans="1:28" ht="17.100000000000001" customHeight="1" thickTop="1">
      <c r="A9170" s="226" t="s">
        <v>25292</v>
      </c>
      <c r="B9170" s="28">
        <v>46161</v>
      </c>
      <c r="C9170" s="25">
        <v>1941</v>
      </c>
      <c r="D9170" s="13" t="s">
        <v>1642</v>
      </c>
      <c r="E9170" s="228"/>
      <c r="F9170" s="109" t="s">
        <v>15665</v>
      </c>
      <c r="G9170" s="24"/>
      <c r="H9170" s="230">
        <v>4</v>
      </c>
      <c r="I9170" s="220">
        <v>1331000</v>
      </c>
      <c r="J9170" s="220">
        <f>I9170*0.1</f>
        <v>133100</v>
      </c>
      <c r="K9170" s="220">
        <v>0</v>
      </c>
      <c r="L9170" s="220">
        <v>7040</v>
      </c>
      <c r="M9170" s="220">
        <v>15950</v>
      </c>
      <c r="N9170" s="220">
        <f>SUM(I9170:M9171)</f>
        <v>1487090</v>
      </c>
      <c r="O9170" s="224"/>
      <c r="P9170" s="110" t="s">
        <v>26224</v>
      </c>
      <c r="Q9170" s="15" t="s">
        <v>19</v>
      </c>
      <c r="R9170" s="205"/>
      <c r="S9170" s="189" t="s">
        <v>25512</v>
      </c>
      <c r="T9170" s="114"/>
      <c r="U9170" s="21"/>
      <c r="V9170" s="115"/>
      <c r="W9170" s="116"/>
      <c r="X9170" s="220"/>
      <c r="Y9170" s="220">
        <f>X9170*0.1</f>
        <v>0</v>
      </c>
      <c r="Z9170" s="220"/>
      <c r="AA9170" s="220">
        <f>SUM(X9170:Z9170)</f>
        <v>0</v>
      </c>
      <c r="AB9170" s="222"/>
    </row>
    <row r="9171" spans="1:28" ht="17.100000000000001" customHeight="1" thickBot="1">
      <c r="A9171" s="227"/>
      <c r="B9171" s="27" t="s">
        <v>2103</v>
      </c>
      <c r="C9171" s="27">
        <v>3416</v>
      </c>
      <c r="D9171" s="14" t="s">
        <v>2559</v>
      </c>
      <c r="E9171" s="229"/>
      <c r="F9171" s="117" t="s">
        <v>25317</v>
      </c>
      <c r="G9171" s="26">
        <v>21424</v>
      </c>
      <c r="H9171" s="231"/>
      <c r="I9171" s="221"/>
      <c r="J9171" s="221"/>
      <c r="K9171" s="221"/>
      <c r="L9171" s="221"/>
      <c r="M9171" s="221"/>
      <c r="N9171" s="221"/>
      <c r="O9171" s="225"/>
      <c r="P9171" s="118" t="s">
        <v>4816</v>
      </c>
      <c r="Q9171" s="16" t="s">
        <v>20</v>
      </c>
      <c r="R9171" s="17" t="s">
        <v>1959</v>
      </c>
      <c r="S9171" s="121" t="s">
        <v>26225</v>
      </c>
      <c r="T9171" s="122"/>
      <c r="U9171" s="22"/>
      <c r="V9171" s="123"/>
      <c r="W9171" s="122"/>
      <c r="X9171" s="221"/>
      <c r="Y9171" s="221"/>
      <c r="Z9171" s="221"/>
      <c r="AA9171" s="221"/>
      <c r="AB9171" s="223"/>
    </row>
    <row r="9172" spans="1:28" ht="17.100000000000001" customHeight="1" thickTop="1">
      <c r="A9172" s="226" t="s">
        <v>25293</v>
      </c>
      <c r="B9172" s="28">
        <v>46161</v>
      </c>
      <c r="C9172" s="25">
        <v>1941</v>
      </c>
      <c r="D9172" s="13" t="s">
        <v>2429</v>
      </c>
      <c r="E9172" s="228"/>
      <c r="F9172" s="109" t="s">
        <v>15235</v>
      </c>
      <c r="G9172" s="24"/>
      <c r="H9172" s="230">
        <v>3.5</v>
      </c>
      <c r="I9172" s="220">
        <v>371000</v>
      </c>
      <c r="J9172" s="220">
        <f>I9172*0.1</f>
        <v>37100</v>
      </c>
      <c r="K9172" s="220">
        <v>0</v>
      </c>
      <c r="L9172" s="220">
        <v>8850</v>
      </c>
      <c r="M9172" s="220">
        <v>15950</v>
      </c>
      <c r="N9172" s="220">
        <f>SUM(I9172:M9173)</f>
        <v>432900</v>
      </c>
      <c r="O9172" s="224"/>
      <c r="P9172" s="110" t="s">
        <v>26535</v>
      </c>
      <c r="Q9172" s="15" t="s">
        <v>19</v>
      </c>
      <c r="R9172" s="205"/>
      <c r="S9172" s="189"/>
      <c r="T9172" s="114"/>
      <c r="U9172" s="21"/>
      <c r="V9172" s="115"/>
      <c r="W9172" s="116"/>
      <c r="X9172" s="220"/>
      <c r="Y9172" s="220">
        <f>X9172*0.1</f>
        <v>0</v>
      </c>
      <c r="Z9172" s="220"/>
      <c r="AA9172" s="220">
        <f>SUM(X9172:Z9172)</f>
        <v>0</v>
      </c>
      <c r="AB9172" s="222"/>
    </row>
    <row r="9173" spans="1:28" ht="17.100000000000001" customHeight="1" thickBot="1">
      <c r="A9173" s="227"/>
      <c r="B9173" s="27" t="s">
        <v>2103</v>
      </c>
      <c r="C9173" s="27">
        <v>3469</v>
      </c>
      <c r="D9173" s="14" t="s">
        <v>19450</v>
      </c>
      <c r="E9173" s="229"/>
      <c r="F9173" s="117" t="s">
        <v>25318</v>
      </c>
      <c r="G9173" s="26">
        <v>18610</v>
      </c>
      <c r="H9173" s="231"/>
      <c r="I9173" s="221"/>
      <c r="J9173" s="221"/>
      <c r="K9173" s="221"/>
      <c r="L9173" s="221"/>
      <c r="M9173" s="221"/>
      <c r="N9173" s="221"/>
      <c r="O9173" s="225"/>
      <c r="P9173" s="118" t="s">
        <v>26536</v>
      </c>
      <c r="Q9173" s="16" t="s">
        <v>20</v>
      </c>
      <c r="R9173" s="17" t="s">
        <v>3717</v>
      </c>
      <c r="S9173" s="121" t="s">
        <v>10120</v>
      </c>
      <c r="T9173" s="122"/>
      <c r="U9173" s="22"/>
      <c r="V9173" s="123"/>
      <c r="W9173" s="122"/>
      <c r="X9173" s="221"/>
      <c r="Y9173" s="221"/>
      <c r="Z9173" s="221"/>
      <c r="AA9173" s="221"/>
      <c r="AB9173" s="223"/>
    </row>
    <row r="9174" spans="1:28" ht="17.100000000000001" customHeight="1" thickTop="1">
      <c r="A9174" s="226" t="s">
        <v>25294</v>
      </c>
      <c r="B9174" s="28">
        <v>46161</v>
      </c>
      <c r="C9174" s="25">
        <v>1941</v>
      </c>
      <c r="D9174" s="13" t="s">
        <v>1788</v>
      </c>
      <c r="E9174" s="228"/>
      <c r="F9174" s="109" t="s">
        <v>25319</v>
      </c>
      <c r="G9174" s="24"/>
      <c r="H9174" s="230">
        <v>4.5</v>
      </c>
      <c r="I9174" s="220">
        <v>1306000</v>
      </c>
      <c r="J9174" s="220">
        <f>I9174*0.1</f>
        <v>130600</v>
      </c>
      <c r="K9174" s="220">
        <v>0</v>
      </c>
      <c r="L9174" s="220">
        <v>16480</v>
      </c>
      <c r="M9174" s="220">
        <v>15950</v>
      </c>
      <c r="N9174" s="220">
        <f>SUM(I9174:M9175)</f>
        <v>1469030</v>
      </c>
      <c r="O9174" s="224"/>
      <c r="P9174" s="110" t="s">
        <v>26283</v>
      </c>
      <c r="Q9174" s="15" t="s">
        <v>19</v>
      </c>
      <c r="R9174" s="205"/>
      <c r="S9174" s="189"/>
      <c r="T9174" s="114"/>
      <c r="U9174" s="21"/>
      <c r="V9174" s="115"/>
      <c r="W9174" s="116"/>
      <c r="X9174" s="220"/>
      <c r="Y9174" s="220">
        <f>X9174*0.1</f>
        <v>0</v>
      </c>
      <c r="Z9174" s="220"/>
      <c r="AA9174" s="220">
        <f>SUM(X9174:Z9174)</f>
        <v>0</v>
      </c>
      <c r="AB9174" s="222"/>
    </row>
    <row r="9175" spans="1:28" ht="17.100000000000001" customHeight="1" thickBot="1">
      <c r="A9175" s="227"/>
      <c r="B9175" s="27" t="s">
        <v>2103</v>
      </c>
      <c r="C9175" s="27">
        <v>5035</v>
      </c>
      <c r="D9175" s="14" t="s">
        <v>1584</v>
      </c>
      <c r="E9175" s="229"/>
      <c r="F9175" s="117" t="s">
        <v>25352</v>
      </c>
      <c r="G9175" s="26">
        <v>25794</v>
      </c>
      <c r="H9175" s="231"/>
      <c r="I9175" s="221"/>
      <c r="J9175" s="221"/>
      <c r="K9175" s="221"/>
      <c r="L9175" s="221"/>
      <c r="M9175" s="221"/>
      <c r="N9175" s="221"/>
      <c r="O9175" s="225"/>
      <c r="P9175" s="118" t="s">
        <v>9716</v>
      </c>
      <c r="Q9175" s="16" t="s">
        <v>20</v>
      </c>
      <c r="R9175" s="17" t="s">
        <v>26278</v>
      </c>
      <c r="S9175" s="121" t="s">
        <v>4008</v>
      </c>
      <c r="T9175" s="122"/>
      <c r="U9175" s="22"/>
      <c r="V9175" s="123"/>
      <c r="W9175" s="122"/>
      <c r="X9175" s="221"/>
      <c r="Y9175" s="221"/>
      <c r="Z9175" s="221"/>
      <c r="AA9175" s="221"/>
      <c r="AB9175" s="223"/>
    </row>
    <row r="9176" spans="1:28" ht="17.100000000000001" customHeight="1" thickTop="1">
      <c r="A9176" s="226" t="s">
        <v>25295</v>
      </c>
      <c r="B9176" s="28">
        <v>46161</v>
      </c>
      <c r="C9176" s="25">
        <v>1941</v>
      </c>
      <c r="D9176" s="13" t="s">
        <v>2267</v>
      </c>
      <c r="E9176" s="228"/>
      <c r="F9176" s="109" t="s">
        <v>1854</v>
      </c>
      <c r="G9176" s="24" t="s">
        <v>2907</v>
      </c>
      <c r="H9176" s="230">
        <v>4.5</v>
      </c>
      <c r="I9176" s="220">
        <v>1092000</v>
      </c>
      <c r="J9176" s="220">
        <f>I9176*0.1</f>
        <v>109200</v>
      </c>
      <c r="K9176" s="220">
        <v>36190</v>
      </c>
      <c r="L9176" s="220">
        <v>16240</v>
      </c>
      <c r="M9176" s="220">
        <v>15950</v>
      </c>
      <c r="N9176" s="220">
        <f>SUM(I9176:M9177)</f>
        <v>1269580</v>
      </c>
      <c r="O9176" s="224"/>
      <c r="P9176" s="110" t="s">
        <v>25354</v>
      </c>
      <c r="Q9176" s="15" t="s">
        <v>19</v>
      </c>
      <c r="R9176" s="205"/>
      <c r="S9176" s="189"/>
      <c r="T9176" s="114"/>
      <c r="U9176" s="21"/>
      <c r="V9176" s="115">
        <v>46165</v>
      </c>
      <c r="W9176" s="116">
        <v>1301</v>
      </c>
      <c r="X9176" s="220">
        <v>1260000</v>
      </c>
      <c r="Y9176" s="220">
        <f>X9176*0.1</f>
        <v>126000</v>
      </c>
      <c r="Z9176" s="220">
        <v>16240</v>
      </c>
      <c r="AA9176" s="220">
        <f>SUM(X9176:Z9176)</f>
        <v>1402240</v>
      </c>
      <c r="AB9176" s="222"/>
    </row>
    <row r="9177" spans="1:28" ht="17.100000000000001" customHeight="1" thickBot="1">
      <c r="A9177" s="227"/>
      <c r="B9177" s="27" t="s">
        <v>2103</v>
      </c>
      <c r="C9177" s="27">
        <v>5073</v>
      </c>
      <c r="D9177" s="14" t="s">
        <v>1736</v>
      </c>
      <c r="E9177" s="229"/>
      <c r="F9177" s="117" t="s">
        <v>25353</v>
      </c>
      <c r="G9177" s="26">
        <v>53612</v>
      </c>
      <c r="H9177" s="231"/>
      <c r="I9177" s="221"/>
      <c r="J9177" s="221"/>
      <c r="K9177" s="221"/>
      <c r="L9177" s="221"/>
      <c r="M9177" s="221"/>
      <c r="N9177" s="221"/>
      <c r="O9177" s="225"/>
      <c r="P9177" s="118" t="s">
        <v>5159</v>
      </c>
      <c r="Q9177" s="16" t="s">
        <v>20</v>
      </c>
      <c r="R9177" s="17" t="s">
        <v>26278</v>
      </c>
      <c r="S9177" s="121"/>
      <c r="T9177" s="122"/>
      <c r="U9177" s="22"/>
      <c r="V9177" s="123" t="s">
        <v>2472</v>
      </c>
      <c r="W9177" s="122">
        <v>80350</v>
      </c>
      <c r="X9177" s="221"/>
      <c r="Y9177" s="221"/>
      <c r="Z9177" s="221"/>
      <c r="AA9177" s="221"/>
      <c r="AB9177" s="223"/>
    </row>
    <row r="9178" spans="1:28" ht="17.100000000000001" customHeight="1" thickTop="1">
      <c r="A9178" s="226" t="s">
        <v>25296</v>
      </c>
      <c r="B9178" s="28">
        <v>46161</v>
      </c>
      <c r="C9178" s="25">
        <v>1941</v>
      </c>
      <c r="D9178" s="13" t="s">
        <v>1961</v>
      </c>
      <c r="E9178" s="228"/>
      <c r="F9178" s="109" t="s">
        <v>15607</v>
      </c>
      <c r="G9178" s="24"/>
      <c r="H9178" s="230">
        <v>3.5</v>
      </c>
      <c r="I9178" s="220">
        <v>340000</v>
      </c>
      <c r="J9178" s="220">
        <f>I9178*0.1</f>
        <v>34000</v>
      </c>
      <c r="K9178" s="220">
        <v>0</v>
      </c>
      <c r="L9178" s="220">
        <v>7140</v>
      </c>
      <c r="M9178" s="220">
        <v>15950</v>
      </c>
      <c r="N9178" s="220">
        <f>SUM(I9178:M9179)</f>
        <v>397090</v>
      </c>
      <c r="O9178" s="224"/>
      <c r="P9178" s="110" t="s">
        <v>26537</v>
      </c>
      <c r="Q9178" s="15" t="s">
        <v>19</v>
      </c>
      <c r="R9178" s="205"/>
      <c r="S9178" s="189" t="s">
        <v>25505</v>
      </c>
      <c r="T9178" s="114"/>
      <c r="U9178" s="21"/>
      <c r="V9178" s="115"/>
      <c r="W9178" s="116"/>
      <c r="X9178" s="220"/>
      <c r="Y9178" s="220">
        <f>X9178*0.1</f>
        <v>0</v>
      </c>
      <c r="Z9178" s="220"/>
      <c r="AA9178" s="220">
        <f>SUM(X9178:Z9178)</f>
        <v>0</v>
      </c>
      <c r="AB9178" s="222"/>
    </row>
    <row r="9179" spans="1:28" ht="17.100000000000001" customHeight="1" thickBot="1">
      <c r="A9179" s="227"/>
      <c r="B9179" s="27" t="s">
        <v>2103</v>
      </c>
      <c r="C9179" s="27">
        <v>5412</v>
      </c>
      <c r="D9179" s="14" t="s">
        <v>1710</v>
      </c>
      <c r="E9179" s="229"/>
      <c r="F9179" s="117" t="s">
        <v>25320</v>
      </c>
      <c r="G9179" s="26">
        <v>33680</v>
      </c>
      <c r="H9179" s="231"/>
      <c r="I9179" s="221"/>
      <c r="J9179" s="221"/>
      <c r="K9179" s="221"/>
      <c r="L9179" s="221"/>
      <c r="M9179" s="221"/>
      <c r="N9179" s="221"/>
      <c r="O9179" s="225"/>
      <c r="P9179" s="118" t="s">
        <v>10518</v>
      </c>
      <c r="Q9179" s="16" t="s">
        <v>20</v>
      </c>
      <c r="R9179" s="17" t="s">
        <v>3717</v>
      </c>
      <c r="S9179" s="121" t="s">
        <v>169</v>
      </c>
      <c r="T9179" s="122"/>
      <c r="U9179" s="22"/>
      <c r="V9179" s="123"/>
      <c r="W9179" s="122"/>
      <c r="X9179" s="221"/>
      <c r="Y9179" s="221"/>
      <c r="Z9179" s="221"/>
      <c r="AA9179" s="221"/>
      <c r="AB9179" s="223"/>
    </row>
    <row r="9180" spans="1:28" ht="17.100000000000001" customHeight="1" thickTop="1">
      <c r="A9180" s="226" t="s">
        <v>25297</v>
      </c>
      <c r="B9180" s="28">
        <v>46161</v>
      </c>
      <c r="C9180" s="25">
        <v>1941</v>
      </c>
      <c r="D9180" s="13" t="s">
        <v>1788</v>
      </c>
      <c r="E9180" s="228"/>
      <c r="F9180" s="109" t="s">
        <v>25321</v>
      </c>
      <c r="G9180" s="24"/>
      <c r="H9180" s="230">
        <v>4</v>
      </c>
      <c r="I9180" s="220">
        <v>1113000</v>
      </c>
      <c r="J9180" s="220">
        <f>I9180*0.1</f>
        <v>111300</v>
      </c>
      <c r="K9180" s="220">
        <v>0</v>
      </c>
      <c r="L9180" s="220">
        <v>11480</v>
      </c>
      <c r="M9180" s="220">
        <v>15950</v>
      </c>
      <c r="N9180" s="220">
        <f>SUM(I9180:M9181)</f>
        <v>1251730</v>
      </c>
      <c r="O9180" s="224"/>
      <c r="P9180" s="110" t="s">
        <v>26293</v>
      </c>
      <c r="Q9180" s="15" t="s">
        <v>19</v>
      </c>
      <c r="R9180" s="205"/>
      <c r="S9180" s="189"/>
      <c r="T9180" s="114"/>
      <c r="U9180" s="21"/>
      <c r="V9180" s="115"/>
      <c r="W9180" s="116"/>
      <c r="X9180" s="220"/>
      <c r="Y9180" s="220">
        <f>X9180*0.1</f>
        <v>0</v>
      </c>
      <c r="Z9180" s="220"/>
      <c r="AA9180" s="220">
        <f>SUM(X9180:Z9180)</f>
        <v>0</v>
      </c>
      <c r="AB9180" s="222"/>
    </row>
    <row r="9181" spans="1:28" ht="17.100000000000001" customHeight="1" thickBot="1">
      <c r="A9181" s="227"/>
      <c r="B9181" s="27" t="s">
        <v>2103</v>
      </c>
      <c r="C9181" s="27">
        <v>5424</v>
      </c>
      <c r="D9181" s="14" t="s">
        <v>25355</v>
      </c>
      <c r="E9181" s="229"/>
      <c r="F9181" s="117" t="s">
        <v>25322</v>
      </c>
      <c r="G9181" s="26">
        <v>35590</v>
      </c>
      <c r="H9181" s="231"/>
      <c r="I9181" s="221"/>
      <c r="J9181" s="221"/>
      <c r="K9181" s="221"/>
      <c r="L9181" s="221"/>
      <c r="M9181" s="221"/>
      <c r="N9181" s="221"/>
      <c r="O9181" s="225"/>
      <c r="P9181" s="118" t="s">
        <v>5159</v>
      </c>
      <c r="Q9181" s="16" t="s">
        <v>20</v>
      </c>
      <c r="R9181" s="17" t="s">
        <v>26278</v>
      </c>
      <c r="S9181" s="121" t="s">
        <v>14749</v>
      </c>
      <c r="T9181" s="122"/>
      <c r="U9181" s="22"/>
      <c r="V9181" s="123"/>
      <c r="W9181" s="122"/>
      <c r="X9181" s="221"/>
      <c r="Y9181" s="221"/>
      <c r="Z9181" s="221"/>
      <c r="AA9181" s="221"/>
      <c r="AB9181" s="223"/>
    </row>
    <row r="9182" spans="1:28" ht="17.100000000000001" customHeight="1" thickTop="1">
      <c r="A9182" s="226" t="s">
        <v>25298</v>
      </c>
      <c r="B9182" s="28">
        <v>46161</v>
      </c>
      <c r="C9182" s="25">
        <v>1941</v>
      </c>
      <c r="D9182" s="13" t="s">
        <v>1961</v>
      </c>
      <c r="E9182" s="228"/>
      <c r="F9182" s="109" t="s">
        <v>25323</v>
      </c>
      <c r="G9182" s="24"/>
      <c r="H9182" s="230">
        <v>4</v>
      </c>
      <c r="I9182" s="220">
        <v>846000</v>
      </c>
      <c r="J9182" s="220">
        <f>I9182*0.1</f>
        <v>84600</v>
      </c>
      <c r="K9182" s="220">
        <v>0</v>
      </c>
      <c r="L9182" s="220">
        <v>8550</v>
      </c>
      <c r="M9182" s="220">
        <v>15950</v>
      </c>
      <c r="N9182" s="220">
        <f>SUM(I9182:M9183)</f>
        <v>955100</v>
      </c>
      <c r="O9182" s="224"/>
      <c r="P9182" s="110" t="s">
        <v>26294</v>
      </c>
      <c r="Q9182" s="15" t="s">
        <v>19</v>
      </c>
      <c r="R9182" s="205"/>
      <c r="S9182" s="189"/>
      <c r="T9182" s="114"/>
      <c r="U9182" s="21"/>
      <c r="V9182" s="115"/>
      <c r="W9182" s="116"/>
      <c r="X9182" s="220"/>
      <c r="Y9182" s="220">
        <f>X9182*0.1</f>
        <v>0</v>
      </c>
      <c r="Z9182" s="220"/>
      <c r="AA9182" s="220">
        <f>SUM(X9182:Z9182)</f>
        <v>0</v>
      </c>
      <c r="AB9182" s="222"/>
    </row>
    <row r="9183" spans="1:28" ht="17.100000000000001" customHeight="1" thickBot="1">
      <c r="A9183" s="227"/>
      <c r="B9183" s="27" t="s">
        <v>2103</v>
      </c>
      <c r="C9183" s="27">
        <v>5467</v>
      </c>
      <c r="D9183" s="14" t="s">
        <v>15722</v>
      </c>
      <c r="E9183" s="229"/>
      <c r="F9183" s="117" t="s">
        <v>25324</v>
      </c>
      <c r="G9183" s="26">
        <v>39920</v>
      </c>
      <c r="H9183" s="231"/>
      <c r="I9183" s="221"/>
      <c r="J9183" s="221"/>
      <c r="K9183" s="221"/>
      <c r="L9183" s="221"/>
      <c r="M9183" s="221"/>
      <c r="N9183" s="221"/>
      <c r="O9183" s="225"/>
      <c r="P9183" s="118" t="s">
        <v>5159</v>
      </c>
      <c r="Q9183" s="16" t="s">
        <v>20</v>
      </c>
      <c r="R9183" s="17" t="s">
        <v>26278</v>
      </c>
      <c r="S9183" s="121" t="s">
        <v>7721</v>
      </c>
      <c r="T9183" s="122"/>
      <c r="U9183" s="22"/>
      <c r="V9183" s="123"/>
      <c r="W9183" s="122"/>
      <c r="X9183" s="221"/>
      <c r="Y9183" s="221"/>
      <c r="Z9183" s="221"/>
      <c r="AA9183" s="221"/>
      <c r="AB9183" s="223"/>
    </row>
    <row r="9184" spans="1:28" ht="17.100000000000001" customHeight="1" thickTop="1">
      <c r="A9184" s="226" t="s">
        <v>25299</v>
      </c>
      <c r="B9184" s="28">
        <v>46161</v>
      </c>
      <c r="C9184" s="25">
        <v>1941</v>
      </c>
      <c r="D9184" s="13" t="s">
        <v>2564</v>
      </c>
      <c r="E9184" s="228"/>
      <c r="F9184" s="109" t="s">
        <v>25325</v>
      </c>
      <c r="G9184" s="24" t="s">
        <v>4025</v>
      </c>
      <c r="H9184" s="230">
        <v>3.5</v>
      </c>
      <c r="I9184" s="220">
        <v>816000</v>
      </c>
      <c r="J9184" s="220">
        <f>I9184*0.1</f>
        <v>81600</v>
      </c>
      <c r="K9184" s="220">
        <v>0</v>
      </c>
      <c r="L9184" s="220">
        <v>8790</v>
      </c>
      <c r="M9184" s="220">
        <v>15950</v>
      </c>
      <c r="N9184" s="220">
        <f>SUM(I9184:M9185)</f>
        <v>922340</v>
      </c>
      <c r="O9184" s="224"/>
      <c r="P9184" s="110" t="s">
        <v>26295</v>
      </c>
      <c r="Q9184" s="15" t="s">
        <v>19</v>
      </c>
      <c r="R9184" s="205"/>
      <c r="S9184" s="189" t="s">
        <v>25432</v>
      </c>
      <c r="T9184" s="114"/>
      <c r="U9184" s="21"/>
      <c r="V9184" s="115"/>
      <c r="W9184" s="116"/>
      <c r="X9184" s="220"/>
      <c r="Y9184" s="220">
        <f>X9184*0.1</f>
        <v>0</v>
      </c>
      <c r="Z9184" s="220"/>
      <c r="AA9184" s="220">
        <f>SUM(X9184:Z9184)</f>
        <v>0</v>
      </c>
      <c r="AB9184" s="222"/>
    </row>
    <row r="9185" spans="1:28" ht="17.100000000000001" customHeight="1" thickBot="1">
      <c r="A9185" s="227"/>
      <c r="B9185" s="27" t="s">
        <v>2103</v>
      </c>
      <c r="C9185" s="27">
        <v>5482</v>
      </c>
      <c r="D9185" s="14" t="s">
        <v>2291</v>
      </c>
      <c r="E9185" s="229"/>
      <c r="F9185" s="117" t="s">
        <v>25326</v>
      </c>
      <c r="G9185" s="26">
        <v>34355</v>
      </c>
      <c r="H9185" s="231"/>
      <c r="I9185" s="221"/>
      <c r="J9185" s="221"/>
      <c r="K9185" s="221"/>
      <c r="L9185" s="221"/>
      <c r="M9185" s="221"/>
      <c r="N9185" s="221"/>
      <c r="O9185" s="225"/>
      <c r="P9185" s="118" t="s">
        <v>5159</v>
      </c>
      <c r="Q9185" s="16" t="s">
        <v>20</v>
      </c>
      <c r="R9185" s="17" t="s">
        <v>26278</v>
      </c>
      <c r="S9185" s="121" t="s">
        <v>3832</v>
      </c>
      <c r="T9185" s="122"/>
      <c r="U9185" s="22"/>
      <c r="V9185" s="123"/>
      <c r="W9185" s="122"/>
      <c r="X9185" s="221"/>
      <c r="Y9185" s="221"/>
      <c r="Z9185" s="221"/>
      <c r="AA9185" s="221"/>
      <c r="AB9185" s="223"/>
    </row>
    <row r="9186" spans="1:28" ht="17.100000000000001" customHeight="1" thickTop="1">
      <c r="A9186" s="226" t="s">
        <v>25300</v>
      </c>
      <c r="B9186" s="28">
        <v>46161</v>
      </c>
      <c r="C9186" s="25">
        <v>1941</v>
      </c>
      <c r="D9186" s="13" t="s">
        <v>1883</v>
      </c>
      <c r="E9186" s="228"/>
      <c r="F9186" s="109" t="s">
        <v>25327</v>
      </c>
      <c r="G9186" s="24"/>
      <c r="H9186" s="230">
        <v>4</v>
      </c>
      <c r="I9186" s="220">
        <v>866000</v>
      </c>
      <c r="J9186" s="220">
        <f>I9186*0.1</f>
        <v>86600</v>
      </c>
      <c r="K9186" s="220">
        <v>0</v>
      </c>
      <c r="L9186" s="220">
        <v>8790</v>
      </c>
      <c r="M9186" s="220">
        <v>15950</v>
      </c>
      <c r="N9186" s="220">
        <f>SUM(I9186:M9187)</f>
        <v>977340</v>
      </c>
      <c r="O9186" s="224"/>
      <c r="P9186" s="110" t="s">
        <v>26533</v>
      </c>
      <c r="Q9186" s="15" t="s">
        <v>19</v>
      </c>
      <c r="R9186" s="205"/>
      <c r="S9186" s="189"/>
      <c r="T9186" s="114"/>
      <c r="U9186" s="21"/>
      <c r="V9186" s="115">
        <v>46165</v>
      </c>
      <c r="W9186" s="116">
        <v>1301</v>
      </c>
      <c r="X9186" s="220">
        <v>1000000</v>
      </c>
      <c r="Y9186" s="220">
        <f>X9186*0.1</f>
        <v>100000</v>
      </c>
      <c r="Z9186" s="220">
        <v>8790</v>
      </c>
      <c r="AA9186" s="220">
        <f>SUM(X9186:Z9186)</f>
        <v>1108790</v>
      </c>
      <c r="AB9186" s="222"/>
    </row>
    <row r="9187" spans="1:28" ht="17.100000000000001" customHeight="1" thickBot="1">
      <c r="A9187" s="227"/>
      <c r="B9187" s="27" t="s">
        <v>2103</v>
      </c>
      <c r="C9187" s="27">
        <v>79222</v>
      </c>
      <c r="D9187" s="14" t="s">
        <v>2753</v>
      </c>
      <c r="E9187" s="229"/>
      <c r="F9187" s="117" t="s">
        <v>25328</v>
      </c>
      <c r="G9187" s="26">
        <v>44362</v>
      </c>
      <c r="H9187" s="231"/>
      <c r="I9187" s="221"/>
      <c r="J9187" s="221"/>
      <c r="K9187" s="221"/>
      <c r="L9187" s="221"/>
      <c r="M9187" s="221"/>
      <c r="N9187" s="221"/>
      <c r="O9187" s="225"/>
      <c r="P9187" s="118" t="s">
        <v>20651</v>
      </c>
      <c r="Q9187" s="16" t="s">
        <v>20</v>
      </c>
      <c r="R9187" s="17" t="s">
        <v>3717</v>
      </c>
      <c r="S9187" s="121"/>
      <c r="T9187" s="122"/>
      <c r="U9187" s="22"/>
      <c r="V9187" s="123" t="s">
        <v>6641</v>
      </c>
      <c r="W9187" s="122">
        <v>60413</v>
      </c>
      <c r="X9187" s="221"/>
      <c r="Y9187" s="221"/>
      <c r="Z9187" s="221"/>
      <c r="AA9187" s="221"/>
      <c r="AB9187" s="223"/>
    </row>
    <row r="9188" spans="1:28" ht="17.100000000000001" customHeight="1" thickTop="1">
      <c r="A9188" s="226" t="s">
        <v>25301</v>
      </c>
      <c r="B9188" s="28">
        <v>46161</v>
      </c>
      <c r="C9188" s="25">
        <v>819</v>
      </c>
      <c r="D9188" s="13" t="s">
        <v>3327</v>
      </c>
      <c r="E9188" s="228"/>
      <c r="F9188" s="109" t="s">
        <v>15229</v>
      </c>
      <c r="G9188" s="24"/>
      <c r="H9188" s="230">
        <v>4.5</v>
      </c>
      <c r="I9188" s="220">
        <v>1371000</v>
      </c>
      <c r="J9188" s="220">
        <f>I9188*0.1</f>
        <v>137100</v>
      </c>
      <c r="K9188" s="220">
        <v>0</v>
      </c>
      <c r="L9188" s="220">
        <v>12030</v>
      </c>
      <c r="M9188" s="220">
        <v>15950</v>
      </c>
      <c r="N9188" s="220">
        <f>SUM(I9188:M9189)</f>
        <v>1536080</v>
      </c>
      <c r="O9188" s="224"/>
      <c r="P9188" s="110" t="s">
        <v>26194</v>
      </c>
      <c r="Q9188" s="15" t="s">
        <v>19</v>
      </c>
      <c r="R9188" s="205"/>
      <c r="S9188" s="189" t="s">
        <v>183</v>
      </c>
      <c r="T9188" s="114"/>
      <c r="U9188" s="21"/>
      <c r="V9188" s="115"/>
      <c r="W9188" s="116"/>
      <c r="X9188" s="220"/>
      <c r="Y9188" s="220">
        <f>X9188*0.1</f>
        <v>0</v>
      </c>
      <c r="Z9188" s="220"/>
      <c r="AA9188" s="220">
        <f>SUM(X9188:Z9188)</f>
        <v>0</v>
      </c>
      <c r="AB9188" s="222"/>
    </row>
    <row r="9189" spans="1:28" ht="17.100000000000001" customHeight="1" thickBot="1">
      <c r="A9189" s="227"/>
      <c r="B9189" s="27" t="s">
        <v>3314</v>
      </c>
      <c r="C9189" s="27">
        <v>143</v>
      </c>
      <c r="D9189" s="14" t="s">
        <v>2559</v>
      </c>
      <c r="E9189" s="229"/>
      <c r="F9189" s="117" t="s">
        <v>25329</v>
      </c>
      <c r="G9189" s="26">
        <v>90140</v>
      </c>
      <c r="H9189" s="231"/>
      <c r="I9189" s="221"/>
      <c r="J9189" s="221"/>
      <c r="K9189" s="221"/>
      <c r="L9189" s="221"/>
      <c r="M9189" s="221"/>
      <c r="N9189" s="221"/>
      <c r="O9189" s="225"/>
      <c r="P9189" s="118" t="s">
        <v>26195</v>
      </c>
      <c r="Q9189" s="16" t="s">
        <v>20</v>
      </c>
      <c r="R9189" s="17" t="s">
        <v>2702</v>
      </c>
      <c r="S9189" s="121" t="s">
        <v>12088</v>
      </c>
      <c r="T9189" s="122"/>
      <c r="U9189" s="22"/>
      <c r="V9189" s="123"/>
      <c r="W9189" s="122"/>
      <c r="X9189" s="221"/>
      <c r="Y9189" s="221"/>
      <c r="Z9189" s="221"/>
      <c r="AA9189" s="221"/>
      <c r="AB9189" s="223"/>
    </row>
    <row r="9190" spans="1:28" ht="17.100000000000001" customHeight="1" thickTop="1">
      <c r="A9190" s="226" t="s">
        <v>25302</v>
      </c>
      <c r="B9190" s="28">
        <v>46161</v>
      </c>
      <c r="C9190" s="25">
        <v>939</v>
      </c>
      <c r="D9190" s="13" t="s">
        <v>2010</v>
      </c>
      <c r="E9190" s="228"/>
      <c r="F9190" s="109" t="s">
        <v>25330</v>
      </c>
      <c r="G9190" s="24"/>
      <c r="H9190" s="230">
        <v>4</v>
      </c>
      <c r="I9190" s="220">
        <v>890000</v>
      </c>
      <c r="J9190" s="220">
        <f>I9190*0.1</f>
        <v>89000</v>
      </c>
      <c r="K9190" s="220">
        <v>0</v>
      </c>
      <c r="L9190" s="220">
        <v>5670</v>
      </c>
      <c r="M9190" s="220">
        <v>15950</v>
      </c>
      <c r="N9190" s="220">
        <f>SUM(I9190:M9191)</f>
        <v>1000620</v>
      </c>
      <c r="O9190" s="224"/>
      <c r="P9190" s="110" t="s">
        <v>26298</v>
      </c>
      <c r="Q9190" s="15" t="s">
        <v>19</v>
      </c>
      <c r="R9190" s="205"/>
      <c r="S9190" s="189" t="s">
        <v>25505</v>
      </c>
      <c r="T9190" s="114"/>
      <c r="U9190" s="21"/>
      <c r="V9190" s="115"/>
      <c r="W9190" s="116"/>
      <c r="X9190" s="220"/>
      <c r="Y9190" s="220">
        <f>X9190*0.1</f>
        <v>0</v>
      </c>
      <c r="Z9190" s="220"/>
      <c r="AA9190" s="220">
        <f>SUM(X9190:Z9190)</f>
        <v>0</v>
      </c>
      <c r="AB9190" s="222"/>
    </row>
    <row r="9191" spans="1:28" ht="17.100000000000001" customHeight="1" thickBot="1">
      <c r="A9191" s="227"/>
      <c r="B9191" s="27" t="s">
        <v>2654</v>
      </c>
      <c r="C9191" s="27">
        <v>3188</v>
      </c>
      <c r="D9191" s="14" t="s">
        <v>2291</v>
      </c>
      <c r="E9191" s="229"/>
      <c r="F9191" s="117" t="s">
        <v>25331</v>
      </c>
      <c r="G9191" s="26">
        <v>13383</v>
      </c>
      <c r="H9191" s="231"/>
      <c r="I9191" s="221"/>
      <c r="J9191" s="221"/>
      <c r="K9191" s="221"/>
      <c r="L9191" s="221"/>
      <c r="M9191" s="221"/>
      <c r="N9191" s="221"/>
      <c r="O9191" s="225"/>
      <c r="P9191" s="118" t="s">
        <v>26299</v>
      </c>
      <c r="Q9191" s="16" t="s">
        <v>20</v>
      </c>
      <c r="R9191" s="17" t="s">
        <v>26278</v>
      </c>
      <c r="S9191" s="121" t="s">
        <v>1731</v>
      </c>
      <c r="T9191" s="122"/>
      <c r="U9191" s="22"/>
      <c r="V9191" s="123"/>
      <c r="W9191" s="122"/>
      <c r="X9191" s="221"/>
      <c r="Y9191" s="221"/>
      <c r="Z9191" s="221"/>
      <c r="AA9191" s="221"/>
      <c r="AB9191" s="223"/>
    </row>
    <row r="9192" spans="1:28" ht="17.100000000000001" customHeight="1" thickTop="1">
      <c r="A9192" s="226" t="s">
        <v>25303</v>
      </c>
      <c r="B9192" s="28">
        <v>46161</v>
      </c>
      <c r="C9192" s="25">
        <v>939</v>
      </c>
      <c r="D9192" s="13" t="s">
        <v>1961</v>
      </c>
      <c r="E9192" s="228"/>
      <c r="F9192" s="109" t="s">
        <v>19894</v>
      </c>
      <c r="G9192" s="24"/>
      <c r="H9192" s="230">
        <v>4</v>
      </c>
      <c r="I9192" s="220">
        <v>2048000</v>
      </c>
      <c r="J9192" s="220">
        <f>I9192*0.1</f>
        <v>204800</v>
      </c>
      <c r="K9192" s="220">
        <v>0</v>
      </c>
      <c r="L9192" s="220">
        <v>19090</v>
      </c>
      <c r="M9192" s="220">
        <v>15950</v>
      </c>
      <c r="N9192" s="220">
        <f>SUM(I9192:M9193)</f>
        <v>2287840</v>
      </c>
      <c r="O9192" s="224"/>
      <c r="P9192" s="110" t="s">
        <v>26269</v>
      </c>
      <c r="Q9192" s="15" t="s">
        <v>19</v>
      </c>
      <c r="R9192" s="205"/>
      <c r="S9192" s="189"/>
      <c r="T9192" s="114"/>
      <c r="U9192" s="21"/>
      <c r="V9192" s="115"/>
      <c r="W9192" s="116"/>
      <c r="X9192" s="220"/>
      <c r="Y9192" s="220">
        <f>X9192*0.1</f>
        <v>0</v>
      </c>
      <c r="Z9192" s="220"/>
      <c r="AA9192" s="220">
        <f>SUM(X9192:Z9192)</f>
        <v>0</v>
      </c>
      <c r="AB9192" s="222"/>
    </row>
    <row r="9193" spans="1:28" ht="17.100000000000001" customHeight="1" thickBot="1">
      <c r="A9193" s="227"/>
      <c r="B9193" s="27" t="s">
        <v>2654</v>
      </c>
      <c r="C9193" s="27">
        <v>5009</v>
      </c>
      <c r="D9193" s="14" t="s">
        <v>2753</v>
      </c>
      <c r="E9193" s="229"/>
      <c r="F9193" s="117" t="s">
        <v>25356</v>
      </c>
      <c r="G9193" s="26">
        <v>14555</v>
      </c>
      <c r="H9193" s="231"/>
      <c r="I9193" s="221"/>
      <c r="J9193" s="221"/>
      <c r="K9193" s="221"/>
      <c r="L9193" s="221"/>
      <c r="M9193" s="221"/>
      <c r="N9193" s="221"/>
      <c r="O9193" s="225"/>
      <c r="P9193" s="118" t="s">
        <v>8546</v>
      </c>
      <c r="Q9193" s="16" t="s">
        <v>20</v>
      </c>
      <c r="R9193" s="17" t="s">
        <v>3702</v>
      </c>
      <c r="S9193" s="121" t="s">
        <v>26512</v>
      </c>
      <c r="T9193" s="122"/>
      <c r="U9193" s="22"/>
      <c r="V9193" s="123"/>
      <c r="W9193" s="122"/>
      <c r="X9193" s="221"/>
      <c r="Y9193" s="221"/>
      <c r="Z9193" s="221"/>
      <c r="AA9193" s="221"/>
      <c r="AB9193" s="223"/>
    </row>
    <row r="9194" spans="1:28" ht="17.100000000000001" customHeight="1" thickTop="1">
      <c r="A9194" s="226" t="s">
        <v>25304</v>
      </c>
      <c r="B9194" s="28">
        <v>46161</v>
      </c>
      <c r="C9194" s="25">
        <v>939</v>
      </c>
      <c r="D9194" s="13" t="s">
        <v>1871</v>
      </c>
      <c r="E9194" s="228"/>
      <c r="F9194" s="109" t="s">
        <v>18222</v>
      </c>
      <c r="G9194" s="24"/>
      <c r="H9194" s="230">
        <v>4</v>
      </c>
      <c r="I9194" s="220">
        <v>615000</v>
      </c>
      <c r="J9194" s="220">
        <f>I9194*0.1</f>
        <v>61500</v>
      </c>
      <c r="K9194" s="220">
        <v>0</v>
      </c>
      <c r="L9194" s="220">
        <v>19120</v>
      </c>
      <c r="M9194" s="220">
        <v>15950</v>
      </c>
      <c r="N9194" s="220">
        <f>SUM(I9194:M9195)</f>
        <v>711570</v>
      </c>
      <c r="O9194" s="224"/>
      <c r="P9194" s="110" t="s">
        <v>26270</v>
      </c>
      <c r="Q9194" s="15" t="s">
        <v>19</v>
      </c>
      <c r="R9194" s="205"/>
      <c r="S9194" s="189"/>
      <c r="T9194" s="114"/>
      <c r="U9194" s="21"/>
      <c r="V9194" s="115"/>
      <c r="W9194" s="116"/>
      <c r="X9194" s="220"/>
      <c r="Y9194" s="220">
        <f>X9194*0.1</f>
        <v>0</v>
      </c>
      <c r="Z9194" s="220"/>
      <c r="AA9194" s="220">
        <f>SUM(X9194:Z9194)</f>
        <v>0</v>
      </c>
      <c r="AB9194" s="222"/>
    </row>
    <row r="9195" spans="1:28" ht="17.100000000000001" customHeight="1" thickBot="1">
      <c r="A9195" s="227"/>
      <c r="B9195" s="27" t="s">
        <v>2654</v>
      </c>
      <c r="C9195" s="27">
        <v>5013</v>
      </c>
      <c r="D9195" s="14" t="s">
        <v>1584</v>
      </c>
      <c r="E9195" s="229"/>
      <c r="F9195" s="117" t="s">
        <v>25357</v>
      </c>
      <c r="G9195" s="26">
        <v>44862</v>
      </c>
      <c r="H9195" s="231"/>
      <c r="I9195" s="221"/>
      <c r="J9195" s="221"/>
      <c r="K9195" s="221"/>
      <c r="L9195" s="221"/>
      <c r="M9195" s="221"/>
      <c r="N9195" s="221"/>
      <c r="O9195" s="225"/>
      <c r="P9195" s="118" t="s">
        <v>3506</v>
      </c>
      <c r="Q9195" s="16" t="s">
        <v>20</v>
      </c>
      <c r="R9195" s="17" t="s">
        <v>3702</v>
      </c>
      <c r="S9195" s="121" t="s">
        <v>26522</v>
      </c>
      <c r="T9195" s="122"/>
      <c r="U9195" s="22"/>
      <c r="V9195" s="123"/>
      <c r="W9195" s="122"/>
      <c r="X9195" s="221"/>
      <c r="Y9195" s="221"/>
      <c r="Z9195" s="221"/>
      <c r="AA9195" s="221"/>
      <c r="AB9195" s="223"/>
    </row>
    <row r="9196" spans="1:28" ht="17.100000000000001" customHeight="1" thickTop="1">
      <c r="A9196" s="226" t="s">
        <v>25305</v>
      </c>
      <c r="B9196" s="28">
        <v>46161</v>
      </c>
      <c r="C9196" s="25">
        <v>1240</v>
      </c>
      <c r="D9196" s="13" t="s">
        <v>1702</v>
      </c>
      <c r="E9196" s="228"/>
      <c r="F9196" s="109" t="s">
        <v>1916</v>
      </c>
      <c r="G9196" s="24"/>
      <c r="H9196" s="230">
        <v>4</v>
      </c>
      <c r="I9196" s="220">
        <v>431000</v>
      </c>
      <c r="J9196" s="220">
        <f>I9196*0.1</f>
        <v>43100</v>
      </c>
      <c r="K9196" s="220">
        <v>0</v>
      </c>
      <c r="L9196" s="220">
        <v>19090</v>
      </c>
      <c r="M9196" s="220">
        <v>15950</v>
      </c>
      <c r="N9196" s="220">
        <f>SUM(I9196:M9197)</f>
        <v>509140</v>
      </c>
      <c r="O9196" s="224"/>
      <c r="P9196" s="110" t="s">
        <v>26286</v>
      </c>
      <c r="Q9196" s="15" t="s">
        <v>19</v>
      </c>
      <c r="R9196" s="205"/>
      <c r="S9196" s="189"/>
      <c r="T9196" s="114"/>
      <c r="U9196" s="21"/>
      <c r="V9196" s="115"/>
      <c r="W9196" s="116"/>
      <c r="X9196" s="220"/>
      <c r="Y9196" s="220">
        <f>X9196*0.1</f>
        <v>0</v>
      </c>
      <c r="Z9196" s="220"/>
      <c r="AA9196" s="220">
        <f>SUM(X9196:Z9196)</f>
        <v>0</v>
      </c>
      <c r="AB9196" s="222"/>
    </row>
    <row r="9197" spans="1:28" ht="17.100000000000001" customHeight="1" thickBot="1">
      <c r="A9197" s="227"/>
      <c r="B9197" s="27" t="s">
        <v>2344</v>
      </c>
      <c r="C9197" s="27">
        <v>5056</v>
      </c>
      <c r="D9197" s="14" t="s">
        <v>1568</v>
      </c>
      <c r="E9197" s="229"/>
      <c r="F9197" s="117" t="s">
        <v>25358</v>
      </c>
      <c r="G9197" s="26">
        <v>103196</v>
      </c>
      <c r="H9197" s="231"/>
      <c r="I9197" s="221"/>
      <c r="J9197" s="221"/>
      <c r="K9197" s="221"/>
      <c r="L9197" s="221"/>
      <c r="M9197" s="221"/>
      <c r="N9197" s="221"/>
      <c r="O9197" s="225"/>
      <c r="P9197" s="118" t="s">
        <v>15309</v>
      </c>
      <c r="Q9197" s="16" t="s">
        <v>20</v>
      </c>
      <c r="R9197" s="17" t="s">
        <v>26278</v>
      </c>
      <c r="S9197" s="121" t="s">
        <v>5222</v>
      </c>
      <c r="T9197" s="122"/>
      <c r="U9197" s="22"/>
      <c r="V9197" s="123"/>
      <c r="W9197" s="122"/>
      <c r="X9197" s="221"/>
      <c r="Y9197" s="221"/>
      <c r="Z9197" s="221"/>
      <c r="AA9197" s="221"/>
      <c r="AB9197" s="223"/>
    </row>
    <row r="9198" spans="1:28" ht="17.100000000000001" customHeight="1" thickTop="1">
      <c r="A9198" s="226" t="s">
        <v>25306</v>
      </c>
      <c r="B9198" s="28">
        <v>46161</v>
      </c>
      <c r="C9198" s="25">
        <v>1240</v>
      </c>
      <c r="D9198" s="13" t="s">
        <v>853</v>
      </c>
      <c r="E9198" s="228"/>
      <c r="F9198" s="109" t="s">
        <v>1916</v>
      </c>
      <c r="G9198" s="24"/>
      <c r="H9198" s="230">
        <v>4.5</v>
      </c>
      <c r="I9198" s="220">
        <v>2116000</v>
      </c>
      <c r="J9198" s="220">
        <f>I9198*0.1</f>
        <v>211600</v>
      </c>
      <c r="K9198" s="220">
        <v>0</v>
      </c>
      <c r="L9198" s="220">
        <v>18170</v>
      </c>
      <c r="M9198" s="220">
        <v>15950</v>
      </c>
      <c r="N9198" s="220">
        <f>SUM(I9198:M9199)</f>
        <v>2361720</v>
      </c>
      <c r="O9198" s="224"/>
      <c r="P9198" s="110" t="s">
        <v>26285</v>
      </c>
      <c r="Q9198" s="15" t="s">
        <v>19</v>
      </c>
      <c r="R9198" s="205"/>
      <c r="S9198" s="189"/>
      <c r="T9198" s="114"/>
      <c r="U9198" s="21"/>
      <c r="V9198" s="115"/>
      <c r="W9198" s="116"/>
      <c r="X9198" s="220"/>
      <c r="Y9198" s="220">
        <f>X9198*0.1</f>
        <v>0</v>
      </c>
      <c r="Z9198" s="220"/>
      <c r="AA9198" s="220">
        <f>SUM(X9198:Z9198)</f>
        <v>0</v>
      </c>
      <c r="AB9198" s="222"/>
    </row>
    <row r="9199" spans="1:28" ht="17.100000000000001" customHeight="1" thickBot="1">
      <c r="A9199" s="227"/>
      <c r="B9199" s="27" t="s">
        <v>2344</v>
      </c>
      <c r="C9199" s="27">
        <v>5071</v>
      </c>
      <c r="D9199" s="14"/>
      <c r="E9199" s="229"/>
      <c r="F9199" s="117" t="s">
        <v>25359</v>
      </c>
      <c r="G9199" s="26">
        <v>43508</v>
      </c>
      <c r="H9199" s="231"/>
      <c r="I9199" s="221"/>
      <c r="J9199" s="221"/>
      <c r="K9199" s="221"/>
      <c r="L9199" s="221"/>
      <c r="M9199" s="221"/>
      <c r="N9199" s="221"/>
      <c r="O9199" s="225"/>
      <c r="P9199" s="118" t="s">
        <v>8109</v>
      </c>
      <c r="Q9199" s="16" t="s">
        <v>20</v>
      </c>
      <c r="R9199" s="17" t="s">
        <v>26278</v>
      </c>
      <c r="S9199" s="121" t="s">
        <v>4008</v>
      </c>
      <c r="T9199" s="122"/>
      <c r="U9199" s="22"/>
      <c r="V9199" s="123"/>
      <c r="W9199" s="122"/>
      <c r="X9199" s="221"/>
      <c r="Y9199" s="221"/>
      <c r="Z9199" s="221"/>
      <c r="AA9199" s="221"/>
      <c r="AB9199" s="223"/>
    </row>
    <row r="9200" spans="1:28" ht="17.100000000000001" customHeight="1" thickTop="1">
      <c r="A9200" s="226" t="s">
        <v>25307</v>
      </c>
      <c r="B9200" s="28">
        <v>46161</v>
      </c>
      <c r="C9200" s="25">
        <v>1240</v>
      </c>
      <c r="D9200" s="13" t="s">
        <v>1887</v>
      </c>
      <c r="E9200" s="228"/>
      <c r="F9200" s="109" t="s">
        <v>25332</v>
      </c>
      <c r="G9200" s="24"/>
      <c r="H9200" s="230">
        <v>5</v>
      </c>
      <c r="I9200" s="220">
        <v>2148000</v>
      </c>
      <c r="J9200" s="220">
        <f>I9200*0.1</f>
        <v>214800</v>
      </c>
      <c r="K9200" s="220">
        <v>0</v>
      </c>
      <c r="L9200" s="220">
        <v>15750</v>
      </c>
      <c r="M9200" s="220">
        <v>15950</v>
      </c>
      <c r="N9200" s="220">
        <f>SUM(I9200:M9201)</f>
        <v>2394500</v>
      </c>
      <c r="O9200" s="224"/>
      <c r="P9200" s="110" t="s">
        <v>26284</v>
      </c>
      <c r="Q9200" s="15" t="s">
        <v>19</v>
      </c>
      <c r="R9200" s="205"/>
      <c r="S9200" s="189" t="s">
        <v>25765</v>
      </c>
      <c r="T9200" s="114"/>
      <c r="U9200" s="21"/>
      <c r="V9200" s="115"/>
      <c r="W9200" s="116"/>
      <c r="X9200" s="220"/>
      <c r="Y9200" s="220">
        <f>X9200*0.1</f>
        <v>0</v>
      </c>
      <c r="Z9200" s="220"/>
      <c r="AA9200" s="220">
        <f>SUM(X9200:Z9200)</f>
        <v>0</v>
      </c>
      <c r="AB9200" s="222"/>
    </row>
    <row r="9201" spans="1:28" ht="17.100000000000001" customHeight="1" thickBot="1">
      <c r="A9201" s="227"/>
      <c r="B9201" s="27" t="s">
        <v>2344</v>
      </c>
      <c r="C9201" s="27">
        <v>5073</v>
      </c>
      <c r="D9201" s="14" t="s">
        <v>1584</v>
      </c>
      <c r="E9201" s="229"/>
      <c r="F9201" s="117" t="s">
        <v>25360</v>
      </c>
      <c r="G9201" s="26">
        <v>15727</v>
      </c>
      <c r="H9201" s="231"/>
      <c r="I9201" s="221"/>
      <c r="J9201" s="221"/>
      <c r="K9201" s="221"/>
      <c r="L9201" s="221"/>
      <c r="M9201" s="221"/>
      <c r="N9201" s="221"/>
      <c r="O9201" s="225"/>
      <c r="P9201" s="118" t="s">
        <v>14048</v>
      </c>
      <c r="Q9201" s="16" t="s">
        <v>20</v>
      </c>
      <c r="R9201" s="17" t="s">
        <v>26278</v>
      </c>
      <c r="S9201" s="121" t="s">
        <v>4544</v>
      </c>
      <c r="T9201" s="122"/>
      <c r="U9201" s="22"/>
      <c r="V9201" s="123"/>
      <c r="W9201" s="122"/>
      <c r="X9201" s="221"/>
      <c r="Y9201" s="221"/>
      <c r="Z9201" s="221"/>
      <c r="AA9201" s="221"/>
      <c r="AB9201" s="223"/>
    </row>
    <row r="9202" spans="1:28" ht="17.100000000000001" customHeight="1" thickTop="1">
      <c r="A9202" s="226" t="s">
        <v>25308</v>
      </c>
      <c r="B9202" s="28">
        <v>46161</v>
      </c>
      <c r="C9202" s="25">
        <v>990</v>
      </c>
      <c r="D9202" s="13" t="s">
        <v>1961</v>
      </c>
      <c r="E9202" s="228"/>
      <c r="F9202" s="109" t="s">
        <v>15607</v>
      </c>
      <c r="G9202" s="24"/>
      <c r="H9202" s="230">
        <v>4</v>
      </c>
      <c r="I9202" s="220">
        <v>443000</v>
      </c>
      <c r="J9202" s="220">
        <f>I9202*0.1</f>
        <v>44300</v>
      </c>
      <c r="K9202" s="220">
        <v>0</v>
      </c>
      <c r="L9202" s="220">
        <v>7140</v>
      </c>
      <c r="M9202" s="220">
        <v>22000</v>
      </c>
      <c r="N9202" s="220">
        <f>SUM(I9202:M9203)</f>
        <v>516440</v>
      </c>
      <c r="O9202" s="224"/>
      <c r="P9202" s="110"/>
      <c r="Q9202" s="15" t="s">
        <v>19</v>
      </c>
      <c r="R9202" s="205"/>
      <c r="S9202" s="189" t="s">
        <v>25387</v>
      </c>
      <c r="T9202" s="114"/>
      <c r="U9202" s="21"/>
      <c r="V9202" s="115"/>
      <c r="W9202" s="116"/>
      <c r="X9202" s="220"/>
      <c r="Y9202" s="220">
        <f>X9202*0.1</f>
        <v>0</v>
      </c>
      <c r="Z9202" s="220"/>
      <c r="AA9202" s="220">
        <f>SUM(X9202:Z9202)</f>
        <v>0</v>
      </c>
      <c r="AB9202" s="222"/>
    </row>
    <row r="9203" spans="1:28" ht="17.100000000000001" customHeight="1" thickBot="1">
      <c r="A9203" s="227"/>
      <c r="B9203" s="27" t="s">
        <v>17765</v>
      </c>
      <c r="C9203" s="27">
        <v>124</v>
      </c>
      <c r="D9203" s="14" t="s">
        <v>1584</v>
      </c>
      <c r="E9203" s="229"/>
      <c r="F9203" s="117" t="s">
        <v>25338</v>
      </c>
      <c r="G9203" s="26">
        <v>27239</v>
      </c>
      <c r="H9203" s="231"/>
      <c r="I9203" s="221"/>
      <c r="J9203" s="221"/>
      <c r="K9203" s="221"/>
      <c r="L9203" s="221"/>
      <c r="M9203" s="221"/>
      <c r="N9203" s="221"/>
      <c r="O9203" s="225"/>
      <c r="P9203" s="118"/>
      <c r="Q9203" s="16" t="s">
        <v>20</v>
      </c>
      <c r="R9203" s="17"/>
      <c r="S9203" s="121" t="s">
        <v>169</v>
      </c>
      <c r="T9203" s="122"/>
      <c r="U9203" s="22"/>
      <c r="V9203" s="123"/>
      <c r="W9203" s="122"/>
      <c r="X9203" s="221"/>
      <c r="Y9203" s="221"/>
      <c r="Z9203" s="221"/>
      <c r="AA9203" s="221"/>
      <c r="AB9203" s="223"/>
    </row>
    <row r="9204" spans="1:28" ht="17.100000000000001" customHeight="1" thickTop="1">
      <c r="A9204" s="226" t="s">
        <v>25309</v>
      </c>
      <c r="B9204" s="28">
        <v>46161</v>
      </c>
      <c r="C9204" s="25">
        <v>990</v>
      </c>
      <c r="D9204" s="13" t="s">
        <v>2324</v>
      </c>
      <c r="E9204" s="228"/>
      <c r="F9204" s="109" t="s">
        <v>25339</v>
      </c>
      <c r="G9204" s="24"/>
      <c r="H9204" s="230">
        <v>3.5</v>
      </c>
      <c r="I9204" s="220">
        <v>1064000</v>
      </c>
      <c r="J9204" s="220">
        <f>I9204*0.1</f>
        <v>106400</v>
      </c>
      <c r="K9204" s="220">
        <v>0</v>
      </c>
      <c r="L9204" s="220">
        <v>7440</v>
      </c>
      <c r="M9204" s="220">
        <v>22000</v>
      </c>
      <c r="N9204" s="220">
        <f>SUM(I9204:M9205)</f>
        <v>1199840</v>
      </c>
      <c r="O9204" s="224"/>
      <c r="P9204" s="110"/>
      <c r="Q9204" s="15" t="s">
        <v>19</v>
      </c>
      <c r="R9204" s="205"/>
      <c r="S9204" s="189" t="s">
        <v>25387</v>
      </c>
      <c r="T9204" s="114"/>
      <c r="U9204" s="21"/>
      <c r="V9204" s="115"/>
      <c r="W9204" s="116"/>
      <c r="X9204" s="220"/>
      <c r="Y9204" s="220">
        <f>X9204*0.1</f>
        <v>0</v>
      </c>
      <c r="Z9204" s="220"/>
      <c r="AA9204" s="220">
        <f>SUM(X9204:Z9204)</f>
        <v>0</v>
      </c>
      <c r="AB9204" s="222"/>
    </row>
    <row r="9205" spans="1:28" ht="17.100000000000001" customHeight="1" thickBot="1">
      <c r="A9205" s="227"/>
      <c r="B9205" s="27" t="s">
        <v>17765</v>
      </c>
      <c r="C9205" s="27">
        <v>185</v>
      </c>
      <c r="D9205" s="14" t="s">
        <v>1584</v>
      </c>
      <c r="E9205" s="229"/>
      <c r="F9205" s="117" t="s">
        <v>25340</v>
      </c>
      <c r="G9205" s="26">
        <v>28367</v>
      </c>
      <c r="H9205" s="231"/>
      <c r="I9205" s="221"/>
      <c r="J9205" s="221"/>
      <c r="K9205" s="221"/>
      <c r="L9205" s="221"/>
      <c r="M9205" s="221"/>
      <c r="N9205" s="221"/>
      <c r="O9205" s="225"/>
      <c r="P9205" s="118"/>
      <c r="Q9205" s="16" t="s">
        <v>20</v>
      </c>
      <c r="R9205" s="17"/>
      <c r="S9205" s="121" t="s">
        <v>10124</v>
      </c>
      <c r="T9205" s="122"/>
      <c r="U9205" s="22"/>
      <c r="V9205" s="123"/>
      <c r="W9205" s="122"/>
      <c r="X9205" s="221"/>
      <c r="Y9205" s="221"/>
      <c r="Z9205" s="221"/>
      <c r="AA9205" s="221"/>
      <c r="AB9205" s="223"/>
    </row>
    <row r="9206" spans="1:28" ht="17.100000000000001" customHeight="1" thickTop="1">
      <c r="A9206" s="226" t="s">
        <v>25333</v>
      </c>
      <c r="B9206" s="28">
        <v>46161</v>
      </c>
      <c r="C9206" s="25">
        <v>990</v>
      </c>
      <c r="D9206" s="13" t="s">
        <v>3474</v>
      </c>
      <c r="E9206" s="228"/>
      <c r="F9206" s="109" t="s">
        <v>21601</v>
      </c>
      <c r="G9206" s="24"/>
      <c r="H9206" s="230">
        <v>4</v>
      </c>
      <c r="I9206" s="220">
        <v>874000</v>
      </c>
      <c r="J9206" s="220">
        <f>I9206*0.1</f>
        <v>87400</v>
      </c>
      <c r="K9206" s="220">
        <v>0</v>
      </c>
      <c r="L9206" s="220">
        <v>8790</v>
      </c>
      <c r="M9206" s="220">
        <v>22000</v>
      </c>
      <c r="N9206" s="220">
        <f>SUM(I9206:M9207)</f>
        <v>992190</v>
      </c>
      <c r="O9206" s="224"/>
      <c r="P9206" s="110"/>
      <c r="Q9206" s="15" t="s">
        <v>19</v>
      </c>
      <c r="R9206" s="205"/>
      <c r="S9206" s="189" t="s">
        <v>25387</v>
      </c>
      <c r="T9206" s="114"/>
      <c r="U9206" s="21"/>
      <c r="V9206" s="115"/>
      <c r="W9206" s="116"/>
      <c r="X9206" s="220"/>
      <c r="Y9206" s="220">
        <f>X9206*0.1</f>
        <v>0</v>
      </c>
      <c r="Z9206" s="220"/>
      <c r="AA9206" s="220">
        <f>SUM(X9206:Z9206)</f>
        <v>0</v>
      </c>
      <c r="AB9206" s="222"/>
    </row>
    <row r="9207" spans="1:28" ht="17.100000000000001" customHeight="1" thickBot="1">
      <c r="A9207" s="227"/>
      <c r="B9207" s="27" t="s">
        <v>17765</v>
      </c>
      <c r="C9207" s="27">
        <v>206</v>
      </c>
      <c r="D9207" s="14" t="s">
        <v>5509</v>
      </c>
      <c r="E9207" s="229"/>
      <c r="F9207" s="117" t="s">
        <v>25341</v>
      </c>
      <c r="G9207" s="26">
        <v>38838</v>
      </c>
      <c r="H9207" s="231"/>
      <c r="I9207" s="221"/>
      <c r="J9207" s="221"/>
      <c r="K9207" s="221"/>
      <c r="L9207" s="221"/>
      <c r="M9207" s="221"/>
      <c r="N9207" s="221"/>
      <c r="O9207" s="225"/>
      <c r="P9207" s="118"/>
      <c r="Q9207" s="16" t="s">
        <v>20</v>
      </c>
      <c r="R9207" s="17"/>
      <c r="S9207" s="121" t="s">
        <v>169</v>
      </c>
      <c r="T9207" s="122"/>
      <c r="U9207" s="22"/>
      <c r="V9207" s="123"/>
      <c r="W9207" s="122"/>
      <c r="X9207" s="221"/>
      <c r="Y9207" s="221"/>
      <c r="Z9207" s="221"/>
      <c r="AA9207" s="221"/>
      <c r="AB9207" s="223"/>
    </row>
    <row r="9208" spans="1:28" ht="17.100000000000001" customHeight="1" thickTop="1">
      <c r="A9208" s="226" t="s">
        <v>25334</v>
      </c>
      <c r="B9208" s="28">
        <v>46161</v>
      </c>
      <c r="C9208" s="25">
        <v>990</v>
      </c>
      <c r="D9208" s="13" t="s">
        <v>1704</v>
      </c>
      <c r="E9208" s="228"/>
      <c r="F9208" s="109" t="s">
        <v>25342</v>
      </c>
      <c r="G9208" s="24"/>
      <c r="H9208" s="230">
        <v>3.5</v>
      </c>
      <c r="I9208" s="220">
        <v>813000</v>
      </c>
      <c r="J9208" s="220">
        <f>I9208*0.1</f>
        <v>81300</v>
      </c>
      <c r="K9208" s="220">
        <v>0</v>
      </c>
      <c r="L9208" s="220">
        <v>6560</v>
      </c>
      <c r="M9208" s="220">
        <v>22000</v>
      </c>
      <c r="N9208" s="220">
        <f>SUM(I9208:M9209)</f>
        <v>922860</v>
      </c>
      <c r="O9208" s="224"/>
      <c r="P9208" s="110"/>
      <c r="Q9208" s="15" t="s">
        <v>19</v>
      </c>
      <c r="R9208" s="205"/>
      <c r="S9208" s="189" t="s">
        <v>25387</v>
      </c>
      <c r="T9208" s="114"/>
      <c r="U9208" s="21"/>
      <c r="V9208" s="115"/>
      <c r="W9208" s="116"/>
      <c r="X9208" s="220"/>
      <c r="Y9208" s="220">
        <f>X9208*0.1</f>
        <v>0</v>
      </c>
      <c r="Z9208" s="220"/>
      <c r="AA9208" s="220">
        <f>SUM(X9208:Z9208)</f>
        <v>0</v>
      </c>
      <c r="AB9208" s="222"/>
    </row>
    <row r="9209" spans="1:28" ht="17.100000000000001" customHeight="1" thickBot="1">
      <c r="A9209" s="227"/>
      <c r="B9209" s="27" t="s">
        <v>17765</v>
      </c>
      <c r="C9209" s="27">
        <v>225</v>
      </c>
      <c r="D9209" s="14" t="s">
        <v>273</v>
      </c>
      <c r="E9209" s="229"/>
      <c r="F9209" s="117" t="s">
        <v>25343</v>
      </c>
      <c r="G9209" s="26">
        <v>53664</v>
      </c>
      <c r="H9209" s="231"/>
      <c r="I9209" s="221"/>
      <c r="J9209" s="221"/>
      <c r="K9209" s="221"/>
      <c r="L9209" s="221"/>
      <c r="M9209" s="221"/>
      <c r="N9209" s="221"/>
      <c r="O9209" s="225"/>
      <c r="P9209" s="118"/>
      <c r="Q9209" s="16" t="s">
        <v>20</v>
      </c>
      <c r="R9209" s="17"/>
      <c r="S9209" s="121" t="s">
        <v>11384</v>
      </c>
      <c r="T9209" s="122"/>
      <c r="U9209" s="22"/>
      <c r="V9209" s="123"/>
      <c r="W9209" s="122"/>
      <c r="X9209" s="221"/>
      <c r="Y9209" s="221"/>
      <c r="Z9209" s="221"/>
      <c r="AA9209" s="221"/>
      <c r="AB9209" s="223"/>
    </row>
    <row r="9210" spans="1:28" ht="17.100000000000001" customHeight="1" thickTop="1">
      <c r="A9210" s="226" t="s">
        <v>25335</v>
      </c>
      <c r="B9210" s="28">
        <v>46161</v>
      </c>
      <c r="C9210" s="25">
        <v>990</v>
      </c>
      <c r="D9210" s="13" t="s">
        <v>1961</v>
      </c>
      <c r="E9210" s="228"/>
      <c r="F9210" s="109" t="s">
        <v>25344</v>
      </c>
      <c r="G9210" s="24"/>
      <c r="H9210" s="230">
        <v>4</v>
      </c>
      <c r="I9210" s="220">
        <v>843000</v>
      </c>
      <c r="J9210" s="220">
        <f>I9210*0.1</f>
        <v>84300</v>
      </c>
      <c r="K9210" s="220">
        <v>0</v>
      </c>
      <c r="L9210" s="220">
        <v>6560</v>
      </c>
      <c r="M9210" s="220">
        <v>22000</v>
      </c>
      <c r="N9210" s="220">
        <f>SUM(I9210:M9211)</f>
        <v>955860</v>
      </c>
      <c r="O9210" s="224"/>
      <c r="P9210" s="110"/>
      <c r="Q9210" s="15" t="s">
        <v>19</v>
      </c>
      <c r="R9210" s="205"/>
      <c r="S9210" s="189" t="s">
        <v>25387</v>
      </c>
      <c r="T9210" s="114"/>
      <c r="U9210" s="21"/>
      <c r="V9210" s="115">
        <v>46165</v>
      </c>
      <c r="W9210" s="116">
        <v>1301</v>
      </c>
      <c r="X9210" s="220">
        <v>920000</v>
      </c>
      <c r="Y9210" s="220">
        <f>X9210*0.1</f>
        <v>92000</v>
      </c>
      <c r="Z9210" s="220">
        <v>6560</v>
      </c>
      <c r="AA9210" s="220">
        <f>SUM(X9210:Z9210)</f>
        <v>1018560</v>
      </c>
      <c r="AB9210" s="222"/>
    </row>
    <row r="9211" spans="1:28" ht="17.100000000000001" customHeight="1" thickBot="1">
      <c r="A9211" s="227"/>
      <c r="B9211" s="27" t="s">
        <v>17765</v>
      </c>
      <c r="C9211" s="27">
        <v>288</v>
      </c>
      <c r="D9211" s="14" t="s">
        <v>2059</v>
      </c>
      <c r="E9211" s="229"/>
      <c r="F9211" s="117" t="s">
        <v>25345</v>
      </c>
      <c r="G9211" s="26">
        <v>23084</v>
      </c>
      <c r="H9211" s="231"/>
      <c r="I9211" s="221"/>
      <c r="J9211" s="221"/>
      <c r="K9211" s="221"/>
      <c r="L9211" s="221"/>
      <c r="M9211" s="221"/>
      <c r="N9211" s="221"/>
      <c r="O9211" s="225"/>
      <c r="P9211" s="118"/>
      <c r="Q9211" s="16" t="s">
        <v>20</v>
      </c>
      <c r="R9211" s="17"/>
      <c r="S9211" s="121" t="s">
        <v>9304</v>
      </c>
      <c r="T9211" s="122"/>
      <c r="U9211" s="22"/>
      <c r="V9211" s="123" t="s">
        <v>6641</v>
      </c>
      <c r="W9211" s="122">
        <v>62122</v>
      </c>
      <c r="X9211" s="221"/>
      <c r="Y9211" s="221"/>
      <c r="Z9211" s="221"/>
      <c r="AA9211" s="221"/>
      <c r="AB9211" s="223"/>
    </row>
    <row r="9212" spans="1:28" ht="17.100000000000001" customHeight="1" thickTop="1">
      <c r="A9212" s="226" t="s">
        <v>25336</v>
      </c>
      <c r="B9212" s="28">
        <v>46161</v>
      </c>
      <c r="C9212" s="25">
        <v>990</v>
      </c>
      <c r="D9212" s="13" t="s">
        <v>1634</v>
      </c>
      <c r="E9212" s="228"/>
      <c r="F9212" s="109" t="s">
        <v>7673</v>
      </c>
      <c r="G9212" s="24"/>
      <c r="H9212" s="230">
        <v>4.5</v>
      </c>
      <c r="I9212" s="220">
        <v>563000</v>
      </c>
      <c r="J9212" s="220">
        <f>I9212*0.1</f>
        <v>56300</v>
      </c>
      <c r="K9212" s="220">
        <v>0</v>
      </c>
      <c r="L9212" s="220">
        <v>5690</v>
      </c>
      <c r="M9212" s="220">
        <v>22000</v>
      </c>
      <c r="N9212" s="220">
        <f>SUM(I9212:M9213)</f>
        <v>646990</v>
      </c>
      <c r="O9212" s="224"/>
      <c r="P9212" s="110"/>
      <c r="Q9212" s="15" t="s">
        <v>19</v>
      </c>
      <c r="R9212" s="205"/>
      <c r="S9212" s="189" t="s">
        <v>758</v>
      </c>
      <c r="T9212" s="114"/>
      <c r="U9212" s="21"/>
      <c r="V9212" s="115"/>
      <c r="W9212" s="116"/>
      <c r="X9212" s="220"/>
      <c r="Y9212" s="220">
        <f>X9212*0.1</f>
        <v>0</v>
      </c>
      <c r="Z9212" s="220"/>
      <c r="AA9212" s="220">
        <f>SUM(X9212:Z9212)</f>
        <v>0</v>
      </c>
      <c r="AB9212" s="222"/>
    </row>
    <row r="9213" spans="1:28" ht="17.100000000000001" customHeight="1" thickBot="1">
      <c r="A9213" s="227"/>
      <c r="B9213" s="27" t="s">
        <v>17765</v>
      </c>
      <c r="C9213" s="27">
        <v>1004</v>
      </c>
      <c r="D9213" s="14" t="s">
        <v>1710</v>
      </c>
      <c r="E9213" s="229"/>
      <c r="F9213" s="117" t="s">
        <v>25346</v>
      </c>
      <c r="G9213" s="26">
        <v>24897</v>
      </c>
      <c r="H9213" s="231"/>
      <c r="I9213" s="221"/>
      <c r="J9213" s="221"/>
      <c r="K9213" s="221"/>
      <c r="L9213" s="221"/>
      <c r="M9213" s="221"/>
      <c r="N9213" s="221"/>
      <c r="O9213" s="225"/>
      <c r="P9213" s="118"/>
      <c r="Q9213" s="16" t="s">
        <v>20</v>
      </c>
      <c r="R9213" s="17"/>
      <c r="S9213" s="121" t="s">
        <v>10124</v>
      </c>
      <c r="T9213" s="122"/>
      <c r="U9213" s="22"/>
      <c r="V9213" s="123"/>
      <c r="W9213" s="122"/>
      <c r="X9213" s="221"/>
      <c r="Y9213" s="221"/>
      <c r="Z9213" s="221"/>
      <c r="AA9213" s="221"/>
      <c r="AB9213" s="223"/>
    </row>
    <row r="9214" spans="1:28" ht="17.100000000000001" customHeight="1" thickTop="1">
      <c r="A9214" s="226" t="s">
        <v>25337</v>
      </c>
      <c r="B9214" s="28">
        <v>46161</v>
      </c>
      <c r="C9214" s="25">
        <v>990</v>
      </c>
      <c r="D9214" s="13" t="s">
        <v>3474</v>
      </c>
      <c r="E9214" s="228"/>
      <c r="F9214" s="109" t="s">
        <v>18257</v>
      </c>
      <c r="G9214" s="24"/>
      <c r="H9214" s="230">
        <v>4</v>
      </c>
      <c r="I9214" s="220">
        <v>823000</v>
      </c>
      <c r="J9214" s="220">
        <f>I9214*0.1</f>
        <v>82300</v>
      </c>
      <c r="K9214" s="220">
        <v>0</v>
      </c>
      <c r="L9214" s="220">
        <v>8110</v>
      </c>
      <c r="M9214" s="220">
        <v>22000</v>
      </c>
      <c r="N9214" s="220">
        <f>SUM(I9214:M9215)</f>
        <v>935410</v>
      </c>
      <c r="O9214" s="224"/>
      <c r="P9214" s="110"/>
      <c r="Q9214" s="15" t="s">
        <v>19</v>
      </c>
      <c r="R9214" s="205"/>
      <c r="S9214" s="189" t="s">
        <v>26478</v>
      </c>
      <c r="T9214" s="114"/>
      <c r="U9214" s="21"/>
      <c r="V9214" s="115">
        <v>46165</v>
      </c>
      <c r="W9214" s="116">
        <v>1301</v>
      </c>
      <c r="X9214" s="220">
        <v>905000</v>
      </c>
      <c r="Y9214" s="220">
        <f>X9214*0.1</f>
        <v>90500</v>
      </c>
      <c r="Z9214" s="220">
        <v>8110</v>
      </c>
      <c r="AA9214" s="220">
        <f>SUM(X9214:Z9214)</f>
        <v>1003610</v>
      </c>
      <c r="AB9214" s="222"/>
    </row>
    <row r="9215" spans="1:28" ht="17.100000000000001" customHeight="1" thickBot="1">
      <c r="A9215" s="227"/>
      <c r="B9215" s="27" t="s">
        <v>17765</v>
      </c>
      <c r="C9215" s="27">
        <v>1042</v>
      </c>
      <c r="D9215" s="14" t="s">
        <v>1710</v>
      </c>
      <c r="E9215" s="229"/>
      <c r="F9215" s="117" t="s">
        <v>25347</v>
      </c>
      <c r="G9215" s="26">
        <v>55957</v>
      </c>
      <c r="H9215" s="231"/>
      <c r="I9215" s="221"/>
      <c r="J9215" s="221"/>
      <c r="K9215" s="221"/>
      <c r="L9215" s="221"/>
      <c r="M9215" s="221"/>
      <c r="N9215" s="221"/>
      <c r="O9215" s="225"/>
      <c r="P9215" s="118"/>
      <c r="Q9215" s="16" t="s">
        <v>20</v>
      </c>
      <c r="R9215" s="17"/>
      <c r="S9215" s="121" t="s">
        <v>9617</v>
      </c>
      <c r="T9215" s="122"/>
      <c r="U9215" s="22"/>
      <c r="V9215" s="123" t="s">
        <v>2472</v>
      </c>
      <c r="W9215" s="122">
        <v>62123</v>
      </c>
      <c r="X9215" s="221"/>
      <c r="Y9215" s="221"/>
      <c r="Z9215" s="221"/>
      <c r="AA9215" s="221"/>
      <c r="AB9215" s="223"/>
    </row>
    <row r="9216" spans="1:28" ht="17.100000000000001" customHeight="1" thickTop="1">
      <c r="A9216" s="226" t="s">
        <v>26019</v>
      </c>
      <c r="B9216" s="28">
        <v>46162</v>
      </c>
      <c r="C9216" s="25">
        <v>1288</v>
      </c>
      <c r="D9216" s="13" t="s">
        <v>1589</v>
      </c>
      <c r="E9216" s="228"/>
      <c r="F9216" s="109" t="s">
        <v>26034</v>
      </c>
      <c r="G9216" s="24" t="s">
        <v>2907</v>
      </c>
      <c r="H9216" s="230">
        <v>4.5</v>
      </c>
      <c r="I9216" s="220">
        <v>973000</v>
      </c>
      <c r="J9216" s="220">
        <f>I9216*0.1</f>
        <v>97300</v>
      </c>
      <c r="K9216" s="220">
        <f>32900+3290</f>
        <v>36190</v>
      </c>
      <c r="L9216" s="220">
        <v>19330</v>
      </c>
      <c r="M9216" s="220">
        <f>18500+1850</f>
        <v>20350</v>
      </c>
      <c r="N9216" s="220">
        <f>SUM(I9216:M9217)</f>
        <v>1146170</v>
      </c>
      <c r="O9216" s="224"/>
      <c r="P9216" s="110" t="s">
        <v>26260</v>
      </c>
      <c r="Q9216" s="15" t="s">
        <v>19</v>
      </c>
      <c r="R9216" s="205"/>
      <c r="S9216" s="189"/>
      <c r="T9216" s="114"/>
      <c r="U9216" s="21"/>
      <c r="V9216" s="115">
        <v>46165</v>
      </c>
      <c r="W9216" s="116">
        <v>1301</v>
      </c>
      <c r="X9216" s="220">
        <v>1170000</v>
      </c>
      <c r="Y9216" s="220">
        <f>X9216*0.1</f>
        <v>117000</v>
      </c>
      <c r="Z9216" s="220">
        <v>19330</v>
      </c>
      <c r="AA9216" s="220">
        <f>SUM(X9216:Z9216)</f>
        <v>1306330</v>
      </c>
      <c r="AB9216" s="222"/>
    </row>
    <row r="9217" spans="1:28" ht="17.100000000000001" customHeight="1" thickBot="1">
      <c r="A9217" s="227"/>
      <c r="B9217" s="27" t="s">
        <v>7351</v>
      </c>
      <c r="C9217" s="27">
        <v>38189</v>
      </c>
      <c r="D9217" s="14" t="s">
        <v>273</v>
      </c>
      <c r="E9217" s="229"/>
      <c r="F9217" s="117" t="s">
        <v>26029</v>
      </c>
      <c r="G9217" s="26">
        <v>41438</v>
      </c>
      <c r="H9217" s="231"/>
      <c r="I9217" s="221"/>
      <c r="J9217" s="221"/>
      <c r="K9217" s="221"/>
      <c r="L9217" s="221"/>
      <c r="M9217" s="221"/>
      <c r="N9217" s="221"/>
      <c r="O9217" s="225"/>
      <c r="P9217" s="118" t="s">
        <v>26261</v>
      </c>
      <c r="Q9217" s="16" t="s">
        <v>20</v>
      </c>
      <c r="R9217" s="17" t="s">
        <v>3702</v>
      </c>
      <c r="S9217" s="121"/>
      <c r="T9217" s="122"/>
      <c r="U9217" s="22"/>
      <c r="V9217" s="123" t="s">
        <v>2472</v>
      </c>
      <c r="W9217" s="122">
        <v>80344</v>
      </c>
      <c r="X9217" s="221"/>
      <c r="Y9217" s="221"/>
      <c r="Z9217" s="221"/>
      <c r="AA9217" s="221"/>
      <c r="AB9217" s="223"/>
    </row>
    <row r="9218" spans="1:28" ht="17.100000000000001" customHeight="1" thickTop="1">
      <c r="A9218" s="226" t="s">
        <v>26030</v>
      </c>
      <c r="B9218" s="28">
        <v>46162</v>
      </c>
      <c r="C9218" s="25">
        <v>1017</v>
      </c>
      <c r="D9218" s="13" t="s">
        <v>2491</v>
      </c>
      <c r="E9218" s="228"/>
      <c r="F9218" s="109" t="s">
        <v>16792</v>
      </c>
      <c r="G9218" s="24" t="s">
        <v>26021</v>
      </c>
      <c r="H9218" s="230">
        <v>4.5</v>
      </c>
      <c r="I9218" s="220">
        <v>2335000</v>
      </c>
      <c r="J9218" s="220">
        <f>I9218*0.1</f>
        <v>233500</v>
      </c>
      <c r="K9218" s="220">
        <v>27940</v>
      </c>
      <c r="L9218" s="220">
        <v>6450</v>
      </c>
      <c r="M9218" s="220">
        <v>12100</v>
      </c>
      <c r="N9218" s="220">
        <f>SUM(I9218:M9219)</f>
        <v>2614990</v>
      </c>
      <c r="O9218" s="224"/>
      <c r="P9218" s="110" t="s">
        <v>26022</v>
      </c>
      <c r="Q9218" s="15" t="s">
        <v>19</v>
      </c>
      <c r="R9218" s="205"/>
      <c r="S9218" s="189" t="s">
        <v>26023</v>
      </c>
      <c r="T9218" s="114"/>
      <c r="U9218" s="21"/>
      <c r="V9218" s="115">
        <v>46165</v>
      </c>
      <c r="W9218" s="116">
        <v>1301</v>
      </c>
      <c r="X9218" s="220">
        <v>2430000</v>
      </c>
      <c r="Y9218" s="220">
        <f>X9218*0.1</f>
        <v>243000</v>
      </c>
      <c r="Z9218" s="220">
        <v>6590</v>
      </c>
      <c r="AA9218" s="220">
        <f>SUM(X9218:Z9218)</f>
        <v>2679590</v>
      </c>
      <c r="AB9218" s="222"/>
    </row>
    <row r="9219" spans="1:28" ht="17.100000000000001" customHeight="1" thickBot="1">
      <c r="A9219" s="227"/>
      <c r="B9219" s="27" t="s">
        <v>2747</v>
      </c>
      <c r="C9219" s="27">
        <v>1304</v>
      </c>
      <c r="D9219" s="14" t="s">
        <v>273</v>
      </c>
      <c r="E9219" s="229"/>
      <c r="F9219" s="117" t="s">
        <v>26020</v>
      </c>
      <c r="G9219" s="26">
        <v>13102</v>
      </c>
      <c r="H9219" s="231"/>
      <c r="I9219" s="221"/>
      <c r="J9219" s="221"/>
      <c r="K9219" s="221"/>
      <c r="L9219" s="221"/>
      <c r="M9219" s="221"/>
      <c r="N9219" s="221"/>
      <c r="O9219" s="225"/>
      <c r="P9219" s="118"/>
      <c r="Q9219" s="16" t="s">
        <v>20</v>
      </c>
      <c r="R9219" s="17"/>
      <c r="S9219" s="121"/>
      <c r="T9219" s="122"/>
      <c r="U9219" s="22"/>
      <c r="V9219" s="123" t="s">
        <v>2472</v>
      </c>
      <c r="W9219" s="122">
        <v>112</v>
      </c>
      <c r="X9219" s="221"/>
      <c r="Y9219" s="221"/>
      <c r="Z9219" s="221"/>
      <c r="AA9219" s="221"/>
      <c r="AB9219" s="223"/>
    </row>
    <row r="9220" spans="1:28" ht="17.100000000000001" customHeight="1" thickTop="1">
      <c r="A9220" s="226" t="s">
        <v>26033</v>
      </c>
      <c r="B9220" s="28">
        <v>46162</v>
      </c>
      <c r="C9220" s="25">
        <v>2355</v>
      </c>
      <c r="D9220" s="13" t="s">
        <v>2264</v>
      </c>
      <c r="E9220" s="228"/>
      <c r="F9220" s="109" t="s">
        <v>26031</v>
      </c>
      <c r="G9220" s="24"/>
      <c r="H9220" s="230">
        <v>4</v>
      </c>
      <c r="I9220" s="220">
        <v>585000</v>
      </c>
      <c r="J9220" s="220">
        <f>I9220*0.1</f>
        <v>58500</v>
      </c>
      <c r="K9220" s="220">
        <v>0</v>
      </c>
      <c r="L9220" s="220">
        <v>11810</v>
      </c>
      <c r="M9220" s="220">
        <v>16500</v>
      </c>
      <c r="N9220" s="220">
        <f>SUM(I9220:M9221)</f>
        <v>671810</v>
      </c>
      <c r="O9220" s="224"/>
      <c r="P9220" s="110" t="s">
        <v>26280</v>
      </c>
      <c r="Q9220" s="15" t="s">
        <v>19</v>
      </c>
      <c r="R9220" s="205"/>
      <c r="S9220" s="189" t="s">
        <v>169</v>
      </c>
      <c r="T9220" s="114"/>
      <c r="U9220" s="21"/>
      <c r="V9220" s="115"/>
      <c r="W9220" s="116"/>
      <c r="X9220" s="220"/>
      <c r="Y9220" s="220">
        <f>X9220*0.1</f>
        <v>0</v>
      </c>
      <c r="Z9220" s="220"/>
      <c r="AA9220" s="220">
        <f>SUM(X9220:Z9220)</f>
        <v>0</v>
      </c>
      <c r="AB9220" s="222"/>
    </row>
    <row r="9221" spans="1:28" ht="17.100000000000001" customHeight="1" thickBot="1">
      <c r="A9221" s="227"/>
      <c r="B9221" s="27" t="s">
        <v>3367</v>
      </c>
      <c r="C9221" s="27">
        <v>60301</v>
      </c>
      <c r="D9221" s="14" t="s">
        <v>1584</v>
      </c>
      <c r="E9221" s="229"/>
      <c r="F9221" s="117" t="s">
        <v>26032</v>
      </c>
      <c r="G9221" s="26">
        <v>11810</v>
      </c>
      <c r="H9221" s="231"/>
      <c r="I9221" s="221"/>
      <c r="J9221" s="221"/>
      <c r="K9221" s="221"/>
      <c r="L9221" s="221"/>
      <c r="M9221" s="221"/>
      <c r="N9221" s="221"/>
      <c r="O9221" s="225"/>
      <c r="P9221" s="118" t="s">
        <v>4711</v>
      </c>
      <c r="Q9221" s="16" t="s">
        <v>20</v>
      </c>
      <c r="R9221" s="17" t="s">
        <v>26278</v>
      </c>
      <c r="S9221" s="121" t="s">
        <v>169</v>
      </c>
      <c r="T9221" s="122"/>
      <c r="U9221" s="22"/>
      <c r="V9221" s="123"/>
      <c r="W9221" s="122"/>
      <c r="X9221" s="221"/>
      <c r="Y9221" s="221"/>
      <c r="Z9221" s="221"/>
      <c r="AA9221" s="221"/>
      <c r="AB9221" s="223"/>
    </row>
    <row r="9222" spans="1:28" ht="17.100000000000001" customHeight="1" thickTop="1">
      <c r="A9222" s="226" t="s">
        <v>26036</v>
      </c>
      <c r="B9222" s="28">
        <v>46162</v>
      </c>
      <c r="C9222" s="25">
        <v>1838</v>
      </c>
      <c r="D9222" s="13" t="s">
        <v>1702</v>
      </c>
      <c r="E9222" s="228"/>
      <c r="F9222" s="109" t="s">
        <v>2685</v>
      </c>
      <c r="G9222" s="24"/>
      <c r="H9222" s="230">
        <v>4.5</v>
      </c>
      <c r="I9222" s="220">
        <v>825000</v>
      </c>
      <c r="J9222" s="220">
        <f>I9222*0.1</f>
        <v>82500</v>
      </c>
      <c r="K9222" s="220">
        <v>0</v>
      </c>
      <c r="L9222" s="220">
        <v>19090</v>
      </c>
      <c r="M9222" s="220">
        <f>18500+1850</f>
        <v>20350</v>
      </c>
      <c r="N9222" s="220">
        <f>SUM(I9222:M9223)</f>
        <v>946940</v>
      </c>
      <c r="O9222" s="224"/>
      <c r="P9222" s="110" t="s">
        <v>26528</v>
      </c>
      <c r="Q9222" s="15" t="s">
        <v>19</v>
      </c>
      <c r="R9222" s="205"/>
      <c r="S9222" s="189" t="s">
        <v>169</v>
      </c>
      <c r="T9222" s="114"/>
      <c r="U9222" s="21"/>
      <c r="V9222" s="115"/>
      <c r="W9222" s="116"/>
      <c r="X9222" s="220"/>
      <c r="Y9222" s="220">
        <f>X9222*0.1</f>
        <v>0</v>
      </c>
      <c r="Z9222" s="220"/>
      <c r="AA9222" s="220">
        <f>SUM(X9222:Z9222)</f>
        <v>0</v>
      </c>
      <c r="AB9222" s="222"/>
    </row>
    <row r="9223" spans="1:28" ht="17.100000000000001" customHeight="1" thickBot="1">
      <c r="A9223" s="227"/>
      <c r="B9223" s="27" t="s">
        <v>2519</v>
      </c>
      <c r="C9223" s="27">
        <v>38207</v>
      </c>
      <c r="D9223" s="14" t="s">
        <v>898</v>
      </c>
      <c r="E9223" s="229"/>
      <c r="F9223" s="117" t="s">
        <v>26035</v>
      </c>
      <c r="G9223" s="26">
        <v>64067</v>
      </c>
      <c r="H9223" s="231"/>
      <c r="I9223" s="221"/>
      <c r="J9223" s="221"/>
      <c r="K9223" s="221"/>
      <c r="L9223" s="221"/>
      <c r="M9223" s="221"/>
      <c r="N9223" s="221"/>
      <c r="O9223" s="225"/>
      <c r="P9223" s="118" t="s">
        <v>26529</v>
      </c>
      <c r="Q9223" s="16" t="s">
        <v>20</v>
      </c>
      <c r="R9223" s="17" t="s">
        <v>3717</v>
      </c>
      <c r="S9223" s="121" t="s">
        <v>26530</v>
      </c>
      <c r="T9223" s="122"/>
      <c r="U9223" s="22"/>
      <c r="V9223" s="123"/>
      <c r="W9223" s="122"/>
      <c r="X9223" s="221"/>
      <c r="Y9223" s="221"/>
      <c r="Z9223" s="221"/>
      <c r="AA9223" s="221"/>
      <c r="AB9223" s="223"/>
    </row>
    <row r="9224" spans="1:28" ht="17.100000000000001" customHeight="1" thickTop="1">
      <c r="A9224" s="226" t="s">
        <v>26037</v>
      </c>
      <c r="B9224" s="28">
        <v>46162</v>
      </c>
      <c r="C9224" s="25">
        <v>1331</v>
      </c>
      <c r="D9224" s="13" t="s">
        <v>3494</v>
      </c>
      <c r="E9224" s="228"/>
      <c r="F9224" s="109" t="s">
        <v>26049</v>
      </c>
      <c r="G9224" s="24" t="s">
        <v>4652</v>
      </c>
      <c r="H9224" s="230">
        <v>4.5</v>
      </c>
      <c r="I9224" s="220">
        <v>1765000</v>
      </c>
      <c r="J9224" s="220">
        <f>I9224*0.1</f>
        <v>176500</v>
      </c>
      <c r="K9224" s="220">
        <f>36200+3620</f>
        <v>39820</v>
      </c>
      <c r="L9224" s="220">
        <v>13600</v>
      </c>
      <c r="M9224" s="220">
        <v>11000</v>
      </c>
      <c r="N9224" s="220">
        <f>SUM(I9224:M9225)</f>
        <v>2005920</v>
      </c>
      <c r="O9224" s="224"/>
      <c r="P9224" s="110" t="s">
        <v>26559</v>
      </c>
      <c r="Q9224" s="15" t="s">
        <v>19</v>
      </c>
      <c r="R9224" s="205"/>
      <c r="S9224" s="189" t="s">
        <v>26067</v>
      </c>
      <c r="T9224" s="114"/>
      <c r="U9224" s="21"/>
      <c r="V9224" s="115"/>
      <c r="W9224" s="116"/>
      <c r="X9224" s="220"/>
      <c r="Y9224" s="220">
        <f>X9224*0.1</f>
        <v>0</v>
      </c>
      <c r="Z9224" s="220"/>
      <c r="AA9224" s="220">
        <f>SUM(X9224:Z9224)</f>
        <v>0</v>
      </c>
      <c r="AB9224" s="222"/>
    </row>
    <row r="9225" spans="1:28" ht="17.100000000000001" customHeight="1" thickBot="1">
      <c r="A9225" s="227"/>
      <c r="B9225" s="27" t="s">
        <v>5197</v>
      </c>
      <c r="C9225" s="27">
        <v>3097</v>
      </c>
      <c r="D9225" s="14" t="s">
        <v>2559</v>
      </c>
      <c r="E9225" s="229"/>
      <c r="F9225" s="117" t="s">
        <v>26050</v>
      </c>
      <c r="G9225" s="26">
        <v>45819</v>
      </c>
      <c r="H9225" s="231"/>
      <c r="I9225" s="221"/>
      <c r="J9225" s="221"/>
      <c r="K9225" s="221"/>
      <c r="L9225" s="221"/>
      <c r="M9225" s="221"/>
      <c r="N9225" s="221"/>
      <c r="O9225" s="225"/>
      <c r="P9225" s="118" t="s">
        <v>26560</v>
      </c>
      <c r="Q9225" s="16" t="s">
        <v>20</v>
      </c>
      <c r="R9225" s="17" t="s">
        <v>3717</v>
      </c>
      <c r="S9225" s="121" t="s">
        <v>26561</v>
      </c>
      <c r="T9225" s="122"/>
      <c r="U9225" s="22"/>
      <c r="V9225" s="123"/>
      <c r="W9225" s="122"/>
      <c r="X9225" s="221"/>
      <c r="Y9225" s="221"/>
      <c r="Z9225" s="221"/>
      <c r="AA9225" s="221"/>
      <c r="AB9225" s="223"/>
    </row>
    <row r="9226" spans="1:28" ht="17.100000000000001" customHeight="1" thickTop="1">
      <c r="A9226" s="226" t="s">
        <v>26038</v>
      </c>
      <c r="B9226" s="28">
        <v>46162</v>
      </c>
      <c r="C9226" s="25">
        <v>1331</v>
      </c>
      <c r="D9226" s="13" t="s">
        <v>1953</v>
      </c>
      <c r="E9226" s="228"/>
      <c r="F9226" s="109" t="s">
        <v>19317</v>
      </c>
      <c r="G9226" s="24" t="s">
        <v>5464</v>
      </c>
      <c r="H9226" s="230">
        <v>4</v>
      </c>
      <c r="I9226" s="220">
        <v>1416000</v>
      </c>
      <c r="J9226" s="220">
        <f>I9226*0.1</f>
        <v>141600</v>
      </c>
      <c r="K9226" s="220">
        <v>0</v>
      </c>
      <c r="L9226" s="220">
        <v>8360</v>
      </c>
      <c r="M9226" s="220">
        <v>11000</v>
      </c>
      <c r="N9226" s="220">
        <f>SUM(I9226:M9227)</f>
        <v>1576960</v>
      </c>
      <c r="O9226" s="224"/>
      <c r="P9226" s="110" t="s">
        <v>26262</v>
      </c>
      <c r="Q9226" s="15" t="s">
        <v>19</v>
      </c>
      <c r="R9226" s="205"/>
      <c r="S9226" s="189" t="s">
        <v>169</v>
      </c>
      <c r="T9226" s="114"/>
      <c r="U9226" s="21"/>
      <c r="V9226" s="115">
        <v>46165</v>
      </c>
      <c r="W9226" s="116">
        <v>1301</v>
      </c>
      <c r="X9226" s="220">
        <v>1520000</v>
      </c>
      <c r="Y9226" s="220">
        <f>X9226*0.1</f>
        <v>152000</v>
      </c>
      <c r="Z9226" s="220">
        <v>8360</v>
      </c>
      <c r="AA9226" s="220">
        <f>SUM(X9226:Z9226)</f>
        <v>1680360</v>
      </c>
      <c r="AB9226" s="222">
        <v>46168</v>
      </c>
    </row>
    <row r="9227" spans="1:28" ht="17.100000000000001" customHeight="1" thickBot="1">
      <c r="A9227" s="227"/>
      <c r="B9227" s="27" t="s">
        <v>5197</v>
      </c>
      <c r="C9227" s="27">
        <v>3159</v>
      </c>
      <c r="D9227" s="14" t="s">
        <v>1797</v>
      </c>
      <c r="E9227" s="229"/>
      <c r="F9227" s="117" t="s">
        <v>26051</v>
      </c>
      <c r="G9227" s="26">
        <v>31042</v>
      </c>
      <c r="H9227" s="231"/>
      <c r="I9227" s="221"/>
      <c r="J9227" s="221"/>
      <c r="K9227" s="221"/>
      <c r="L9227" s="221"/>
      <c r="M9227" s="221"/>
      <c r="N9227" s="221"/>
      <c r="O9227" s="225"/>
      <c r="P9227" s="118" t="s">
        <v>26263</v>
      </c>
      <c r="Q9227" s="16" t="s">
        <v>20</v>
      </c>
      <c r="R9227" s="17" t="s">
        <v>3702</v>
      </c>
      <c r="S9227" s="121" t="s">
        <v>1731</v>
      </c>
      <c r="T9227" s="122"/>
      <c r="U9227" s="22"/>
      <c r="V9227" s="123" t="s">
        <v>2472</v>
      </c>
      <c r="W9227" s="122">
        <v>60409</v>
      </c>
      <c r="X9227" s="221"/>
      <c r="Y9227" s="221"/>
      <c r="Z9227" s="221"/>
      <c r="AA9227" s="221"/>
      <c r="AB9227" s="223"/>
    </row>
    <row r="9228" spans="1:28" ht="17.100000000000001" customHeight="1" thickTop="1">
      <c r="A9228" s="226" t="s">
        <v>26039</v>
      </c>
      <c r="B9228" s="28">
        <v>46162</v>
      </c>
      <c r="C9228" s="25">
        <v>1331</v>
      </c>
      <c r="D9228" s="13" t="s">
        <v>2406</v>
      </c>
      <c r="E9228" s="228"/>
      <c r="F9228" s="109" t="s">
        <v>26052</v>
      </c>
      <c r="G9228" s="24" t="s">
        <v>19242</v>
      </c>
      <c r="H9228" s="230">
        <v>4</v>
      </c>
      <c r="I9228" s="220">
        <v>1254000</v>
      </c>
      <c r="J9228" s="220">
        <f>I9228*0.1</f>
        <v>125400</v>
      </c>
      <c r="K9228" s="220">
        <f>28700+2870</f>
        <v>31570</v>
      </c>
      <c r="L9228" s="220">
        <v>10190</v>
      </c>
      <c r="M9228" s="220">
        <v>11000</v>
      </c>
      <c r="N9228" s="220">
        <f>SUM(I9228:M9229)</f>
        <v>1432160</v>
      </c>
      <c r="O9228" s="224"/>
      <c r="P9228" s="110"/>
      <c r="Q9228" s="15" t="s">
        <v>19</v>
      </c>
      <c r="R9228" s="205"/>
      <c r="S9228" s="189" t="s">
        <v>1722</v>
      </c>
      <c r="T9228" s="114"/>
      <c r="U9228" s="21"/>
      <c r="V9228" s="115"/>
      <c r="W9228" s="116"/>
      <c r="X9228" s="220"/>
      <c r="Y9228" s="220">
        <f>X9228*0.1</f>
        <v>0</v>
      </c>
      <c r="Z9228" s="220"/>
      <c r="AA9228" s="220">
        <f>SUM(X9228:Z9228)</f>
        <v>0</v>
      </c>
      <c r="AB9228" s="222"/>
    </row>
    <row r="9229" spans="1:28" ht="17.100000000000001" customHeight="1" thickBot="1">
      <c r="A9229" s="227"/>
      <c r="B9229" s="27" t="s">
        <v>5197</v>
      </c>
      <c r="C9229" s="27">
        <v>3188</v>
      </c>
      <c r="D9229" s="14" t="s">
        <v>273</v>
      </c>
      <c r="E9229" s="229"/>
      <c r="F9229" s="117" t="s">
        <v>26053</v>
      </c>
      <c r="G9229" s="26">
        <v>79650</v>
      </c>
      <c r="H9229" s="231"/>
      <c r="I9229" s="221"/>
      <c r="J9229" s="221"/>
      <c r="K9229" s="221"/>
      <c r="L9229" s="221"/>
      <c r="M9229" s="221"/>
      <c r="N9229" s="221"/>
      <c r="O9229" s="225"/>
      <c r="P9229" s="118"/>
      <c r="Q9229" s="16" t="s">
        <v>20</v>
      </c>
      <c r="R9229" s="17"/>
      <c r="S9229" s="121"/>
      <c r="T9229" s="122"/>
      <c r="U9229" s="22"/>
      <c r="V9229" s="123"/>
      <c r="W9229" s="122"/>
      <c r="X9229" s="221"/>
      <c r="Y9229" s="221"/>
      <c r="Z9229" s="221"/>
      <c r="AA9229" s="221"/>
      <c r="AB9229" s="223"/>
    </row>
    <row r="9230" spans="1:28" ht="17.100000000000001" customHeight="1" thickTop="1">
      <c r="A9230" s="226" t="s">
        <v>26040</v>
      </c>
      <c r="B9230" s="28">
        <v>46162</v>
      </c>
      <c r="C9230" s="25">
        <v>1331</v>
      </c>
      <c r="D9230" s="13" t="s">
        <v>2644</v>
      </c>
      <c r="E9230" s="228"/>
      <c r="F9230" s="109" t="s">
        <v>26068</v>
      </c>
      <c r="G9230" s="24" t="s">
        <v>5035</v>
      </c>
      <c r="H9230" s="230">
        <v>4.5</v>
      </c>
      <c r="I9230" s="220">
        <v>1102000</v>
      </c>
      <c r="J9230" s="220">
        <f>I9230*0.1</f>
        <v>110200</v>
      </c>
      <c r="K9230" s="220">
        <v>0</v>
      </c>
      <c r="L9230" s="220">
        <v>8740</v>
      </c>
      <c r="M9230" s="220">
        <v>11000</v>
      </c>
      <c r="N9230" s="220">
        <f>SUM(I9230:M9231)</f>
        <v>1231940</v>
      </c>
      <c r="O9230" s="224"/>
      <c r="P9230" s="110" t="s">
        <v>26562</v>
      </c>
      <c r="Q9230" s="15" t="s">
        <v>19</v>
      </c>
      <c r="R9230" s="205"/>
      <c r="S9230" s="189" t="s">
        <v>1625</v>
      </c>
      <c r="T9230" s="114"/>
      <c r="U9230" s="21"/>
      <c r="V9230" s="115"/>
      <c r="W9230" s="116"/>
      <c r="X9230" s="220"/>
      <c r="Y9230" s="220">
        <f>X9230*0.1</f>
        <v>0</v>
      </c>
      <c r="Z9230" s="220"/>
      <c r="AA9230" s="220">
        <f>SUM(X9230:Z9230)</f>
        <v>0</v>
      </c>
      <c r="AB9230" s="222"/>
    </row>
    <row r="9231" spans="1:28" ht="17.100000000000001" customHeight="1" thickBot="1">
      <c r="A9231" s="227"/>
      <c r="B9231" s="27" t="s">
        <v>5197</v>
      </c>
      <c r="C9231" s="27">
        <v>3242</v>
      </c>
      <c r="D9231" s="14" t="s">
        <v>2014</v>
      </c>
      <c r="E9231" s="229"/>
      <c r="F9231" s="117" t="s">
        <v>26054</v>
      </c>
      <c r="G9231" s="26">
        <v>53300</v>
      </c>
      <c r="H9231" s="231"/>
      <c r="I9231" s="221"/>
      <c r="J9231" s="221"/>
      <c r="K9231" s="221"/>
      <c r="L9231" s="221"/>
      <c r="M9231" s="221"/>
      <c r="N9231" s="221"/>
      <c r="O9231" s="225"/>
      <c r="P9231" s="118" t="s">
        <v>26563</v>
      </c>
      <c r="Q9231" s="16" t="s">
        <v>20</v>
      </c>
      <c r="R9231" s="17" t="s">
        <v>3717</v>
      </c>
      <c r="S9231" s="121" t="s">
        <v>1731</v>
      </c>
      <c r="T9231" s="122"/>
      <c r="U9231" s="22"/>
      <c r="V9231" s="123"/>
      <c r="W9231" s="122"/>
      <c r="X9231" s="221"/>
      <c r="Y9231" s="221"/>
      <c r="Z9231" s="221"/>
      <c r="AA9231" s="221"/>
      <c r="AB9231" s="223"/>
    </row>
    <row r="9232" spans="1:28" ht="17.100000000000001" customHeight="1" thickTop="1">
      <c r="A9232" s="226" t="s">
        <v>26041</v>
      </c>
      <c r="B9232" s="28">
        <v>46162</v>
      </c>
      <c r="C9232" s="25">
        <v>1331</v>
      </c>
      <c r="D9232" s="13" t="s">
        <v>1642</v>
      </c>
      <c r="E9232" s="228"/>
      <c r="F9232" s="109" t="s">
        <v>26055</v>
      </c>
      <c r="G9232" s="24"/>
      <c r="H9232" s="230">
        <v>4</v>
      </c>
      <c r="I9232" s="220">
        <v>2310000</v>
      </c>
      <c r="J9232" s="220">
        <f>I9232*0.1</f>
        <v>231000</v>
      </c>
      <c r="K9232" s="220">
        <v>0</v>
      </c>
      <c r="L9232" s="220">
        <v>11710</v>
      </c>
      <c r="M9232" s="220">
        <v>22000</v>
      </c>
      <c r="N9232" s="220">
        <f>SUM(I9232:M9233)</f>
        <v>2574710</v>
      </c>
      <c r="O9232" s="224"/>
      <c r="P9232" s="110"/>
      <c r="Q9232" s="15" t="s">
        <v>19</v>
      </c>
      <c r="R9232" s="205"/>
      <c r="S9232" s="189" t="s">
        <v>26069</v>
      </c>
      <c r="T9232" s="114"/>
      <c r="U9232" s="21"/>
      <c r="V9232" s="115"/>
      <c r="W9232" s="116"/>
      <c r="X9232" s="220"/>
      <c r="Y9232" s="220">
        <f>X9232*0.1</f>
        <v>0</v>
      </c>
      <c r="Z9232" s="220"/>
      <c r="AA9232" s="220">
        <f>SUM(X9232:Z9232)</f>
        <v>0</v>
      </c>
      <c r="AB9232" s="222"/>
    </row>
    <row r="9233" spans="1:28" ht="17.100000000000001" customHeight="1" thickBot="1">
      <c r="A9233" s="227"/>
      <c r="B9233" s="27" t="s">
        <v>5197</v>
      </c>
      <c r="C9233" s="27">
        <v>3255</v>
      </c>
      <c r="D9233" s="14" t="s">
        <v>273</v>
      </c>
      <c r="E9233" s="229"/>
      <c r="F9233" s="117" t="s">
        <v>26056</v>
      </c>
      <c r="G9233" s="26">
        <v>28185</v>
      </c>
      <c r="H9233" s="231"/>
      <c r="I9233" s="221"/>
      <c r="J9233" s="221"/>
      <c r="K9233" s="221"/>
      <c r="L9233" s="221"/>
      <c r="M9233" s="221"/>
      <c r="N9233" s="221"/>
      <c r="O9233" s="225"/>
      <c r="P9233" s="118"/>
      <c r="Q9233" s="16" t="s">
        <v>20</v>
      </c>
      <c r="R9233" s="17"/>
      <c r="S9233" s="121"/>
      <c r="T9233" s="122"/>
      <c r="U9233" s="22"/>
      <c r="V9233" s="123"/>
      <c r="W9233" s="122"/>
      <c r="X9233" s="221"/>
      <c r="Y9233" s="221"/>
      <c r="Z9233" s="221"/>
      <c r="AA9233" s="221"/>
      <c r="AB9233" s="223"/>
    </row>
    <row r="9234" spans="1:28" ht="17.100000000000001" customHeight="1" thickTop="1">
      <c r="A9234" s="226" t="s">
        <v>26042</v>
      </c>
      <c r="B9234" s="28">
        <v>46162</v>
      </c>
      <c r="C9234" s="25">
        <v>1331</v>
      </c>
      <c r="D9234" s="13" t="s">
        <v>1642</v>
      </c>
      <c r="E9234" s="228"/>
      <c r="F9234" s="109" t="s">
        <v>26057</v>
      </c>
      <c r="G9234" s="24"/>
      <c r="H9234" s="230">
        <v>4</v>
      </c>
      <c r="I9234" s="220">
        <v>1080000</v>
      </c>
      <c r="J9234" s="220">
        <f>I9234*0.1</f>
        <v>108000</v>
      </c>
      <c r="K9234" s="220">
        <v>0</v>
      </c>
      <c r="L9234" s="220">
        <v>5670</v>
      </c>
      <c r="M9234" s="220">
        <v>22000</v>
      </c>
      <c r="N9234" s="220">
        <f>SUM(I9234:M9235)</f>
        <v>1215670</v>
      </c>
      <c r="O9234" s="224"/>
      <c r="P9234" s="110" t="s">
        <v>26275</v>
      </c>
      <c r="Q9234" s="15" t="s">
        <v>19</v>
      </c>
      <c r="R9234" s="205"/>
      <c r="S9234" s="189" t="s">
        <v>1722</v>
      </c>
      <c r="T9234" s="114"/>
      <c r="U9234" s="21"/>
      <c r="V9234" s="115"/>
      <c r="W9234" s="116"/>
      <c r="X9234" s="220"/>
      <c r="Y9234" s="220">
        <f>X9234*0.1</f>
        <v>0</v>
      </c>
      <c r="Z9234" s="220"/>
      <c r="AA9234" s="220">
        <f>SUM(X9234:Z9234)</f>
        <v>0</v>
      </c>
      <c r="AB9234" s="222"/>
    </row>
    <row r="9235" spans="1:28" ht="17.100000000000001" customHeight="1" thickBot="1">
      <c r="A9235" s="227"/>
      <c r="B9235" s="27" t="s">
        <v>5197</v>
      </c>
      <c r="C9235" s="27">
        <v>3264</v>
      </c>
      <c r="D9235" s="14" t="s">
        <v>2520</v>
      </c>
      <c r="E9235" s="229"/>
      <c r="F9235" s="117" t="s">
        <v>26058</v>
      </c>
      <c r="G9235" s="26">
        <v>43112</v>
      </c>
      <c r="H9235" s="231"/>
      <c r="I9235" s="221"/>
      <c r="J9235" s="221"/>
      <c r="K9235" s="221"/>
      <c r="L9235" s="221"/>
      <c r="M9235" s="221"/>
      <c r="N9235" s="221"/>
      <c r="O9235" s="225"/>
      <c r="P9235" s="118" t="s">
        <v>26276</v>
      </c>
      <c r="Q9235" s="16" t="s">
        <v>20</v>
      </c>
      <c r="R9235" s="17" t="s">
        <v>3702</v>
      </c>
      <c r="S9235" s="121" t="s">
        <v>1606</v>
      </c>
      <c r="T9235" s="122"/>
      <c r="U9235" s="22"/>
      <c r="V9235" s="123"/>
      <c r="W9235" s="122"/>
      <c r="X9235" s="221"/>
      <c r="Y9235" s="221"/>
      <c r="Z9235" s="221"/>
      <c r="AA9235" s="221"/>
      <c r="AB9235" s="223"/>
    </row>
    <row r="9236" spans="1:28" ht="17.100000000000001" customHeight="1" thickTop="1">
      <c r="A9236" s="226" t="s">
        <v>26043</v>
      </c>
      <c r="B9236" s="28">
        <v>46162</v>
      </c>
      <c r="C9236" s="25">
        <v>1331</v>
      </c>
      <c r="D9236" s="13" t="s">
        <v>2644</v>
      </c>
      <c r="E9236" s="228"/>
      <c r="F9236" s="109" t="s">
        <v>3606</v>
      </c>
      <c r="G9236" s="24" t="s">
        <v>26070</v>
      </c>
      <c r="H9236" s="230">
        <v>4</v>
      </c>
      <c r="I9236" s="220">
        <v>964000</v>
      </c>
      <c r="J9236" s="220">
        <f>I9236*0.1</f>
        <v>96400</v>
      </c>
      <c r="K9236" s="220">
        <f>20800+2080</f>
        <v>22880</v>
      </c>
      <c r="L9236" s="220">
        <v>9150</v>
      </c>
      <c r="M9236" s="220">
        <v>11000</v>
      </c>
      <c r="N9236" s="220">
        <f>SUM(I9236:M9237)</f>
        <v>1103430</v>
      </c>
      <c r="O9236" s="224"/>
      <c r="P9236" s="110" t="s">
        <v>26551</v>
      </c>
      <c r="Q9236" s="15" t="s">
        <v>19</v>
      </c>
      <c r="R9236" s="205"/>
      <c r="S9236" s="189" t="s">
        <v>1722</v>
      </c>
      <c r="T9236" s="114"/>
      <c r="U9236" s="21"/>
      <c r="V9236" s="115">
        <v>46165</v>
      </c>
      <c r="W9236" s="116">
        <v>1301</v>
      </c>
      <c r="X9236" s="220">
        <v>1100000</v>
      </c>
      <c r="Y9236" s="220">
        <f>X9236*0.1</f>
        <v>110000</v>
      </c>
      <c r="Z9236" s="220">
        <v>9150</v>
      </c>
      <c r="AA9236" s="220">
        <f>SUM(X9236:Z9236)</f>
        <v>1219150</v>
      </c>
      <c r="AB9236" s="222"/>
    </row>
    <row r="9237" spans="1:28" ht="17.100000000000001" customHeight="1" thickBot="1">
      <c r="A9237" s="227"/>
      <c r="B9237" s="27" t="s">
        <v>5197</v>
      </c>
      <c r="C9237" s="27">
        <v>3282</v>
      </c>
      <c r="D9237" s="14" t="s">
        <v>2753</v>
      </c>
      <c r="E9237" s="229"/>
      <c r="F9237" s="117" t="s">
        <v>26059</v>
      </c>
      <c r="G9237" s="26">
        <v>73124</v>
      </c>
      <c r="H9237" s="231"/>
      <c r="I9237" s="221"/>
      <c r="J9237" s="221"/>
      <c r="K9237" s="221"/>
      <c r="L9237" s="221"/>
      <c r="M9237" s="221"/>
      <c r="N9237" s="221"/>
      <c r="O9237" s="225"/>
      <c r="P9237" s="118" t="s">
        <v>26552</v>
      </c>
      <c r="Q9237" s="16" t="s">
        <v>20</v>
      </c>
      <c r="R9237" s="17" t="s">
        <v>3717</v>
      </c>
      <c r="S9237" s="121" t="s">
        <v>17370</v>
      </c>
      <c r="T9237" s="122"/>
      <c r="U9237" s="22"/>
      <c r="V9237" s="123" t="s">
        <v>2472</v>
      </c>
      <c r="W9237" s="122">
        <v>161</v>
      </c>
      <c r="X9237" s="221"/>
      <c r="Y9237" s="221"/>
      <c r="Z9237" s="221"/>
      <c r="AA9237" s="221"/>
      <c r="AB9237" s="223"/>
    </row>
    <row r="9238" spans="1:28" ht="17.100000000000001" customHeight="1" thickTop="1">
      <c r="A9238" s="226" t="s">
        <v>26044</v>
      </c>
      <c r="B9238" s="28">
        <v>46162</v>
      </c>
      <c r="C9238" s="25">
        <v>1331</v>
      </c>
      <c r="D9238" s="13" t="s">
        <v>2033</v>
      </c>
      <c r="E9238" s="228"/>
      <c r="F9238" s="109" t="s">
        <v>6855</v>
      </c>
      <c r="G9238" s="24" t="s">
        <v>4864</v>
      </c>
      <c r="H9238" s="230">
        <v>4</v>
      </c>
      <c r="I9238" s="220">
        <v>252000</v>
      </c>
      <c r="J9238" s="220">
        <f>I9238*0.1</f>
        <v>25200</v>
      </c>
      <c r="K9238" s="220">
        <v>0</v>
      </c>
      <c r="L9238" s="220">
        <v>8100</v>
      </c>
      <c r="M9238" s="220">
        <v>11000</v>
      </c>
      <c r="N9238" s="220">
        <f>SUM(I9238:M9239)</f>
        <v>296300</v>
      </c>
      <c r="O9238" s="224"/>
      <c r="P9238" s="110" t="s">
        <v>26553</v>
      </c>
      <c r="Q9238" s="15" t="s">
        <v>19</v>
      </c>
      <c r="R9238" s="205"/>
      <c r="S9238" s="189"/>
      <c r="T9238" s="114"/>
      <c r="U9238" s="21"/>
      <c r="V9238" s="115">
        <v>46165</v>
      </c>
      <c r="W9238" s="116">
        <v>1301</v>
      </c>
      <c r="X9238" s="220">
        <v>350000</v>
      </c>
      <c r="Y9238" s="220">
        <f>X9238*0.1</f>
        <v>35000</v>
      </c>
      <c r="Z9238" s="220">
        <v>8100</v>
      </c>
      <c r="AA9238" s="220">
        <f>SUM(X9238:Z9238)</f>
        <v>393100</v>
      </c>
      <c r="AB9238" s="222"/>
    </row>
    <row r="9239" spans="1:28" ht="17.100000000000001" customHeight="1" thickBot="1">
      <c r="A9239" s="227"/>
      <c r="B9239" s="27" t="s">
        <v>5197</v>
      </c>
      <c r="C9239" s="27">
        <v>3297</v>
      </c>
      <c r="D9239" s="14" t="s">
        <v>1710</v>
      </c>
      <c r="E9239" s="229"/>
      <c r="F9239" s="117" t="s">
        <v>26060</v>
      </c>
      <c r="G9239" s="26">
        <v>20405</v>
      </c>
      <c r="H9239" s="231"/>
      <c r="I9239" s="221"/>
      <c r="J9239" s="221"/>
      <c r="K9239" s="221"/>
      <c r="L9239" s="221"/>
      <c r="M9239" s="221"/>
      <c r="N9239" s="221"/>
      <c r="O9239" s="225"/>
      <c r="P9239" s="118" t="s">
        <v>26554</v>
      </c>
      <c r="Q9239" s="16" t="s">
        <v>20</v>
      </c>
      <c r="R9239" s="17" t="s">
        <v>3717</v>
      </c>
      <c r="S9239" s="121"/>
      <c r="T9239" s="122"/>
      <c r="U9239" s="22"/>
      <c r="V9239" s="123" t="s">
        <v>2472</v>
      </c>
      <c r="W9239" s="122">
        <v>60408</v>
      </c>
      <c r="X9239" s="221"/>
      <c r="Y9239" s="221"/>
      <c r="Z9239" s="221"/>
      <c r="AA9239" s="221"/>
      <c r="AB9239" s="223"/>
    </row>
    <row r="9240" spans="1:28" ht="17.100000000000001" customHeight="1" thickTop="1">
      <c r="A9240" s="226" t="s">
        <v>26045</v>
      </c>
      <c r="B9240" s="28">
        <v>46162</v>
      </c>
      <c r="C9240" s="25">
        <v>1331</v>
      </c>
      <c r="D9240" s="13" t="s">
        <v>1831</v>
      </c>
      <c r="E9240" s="228"/>
      <c r="F9240" s="109" t="s">
        <v>4223</v>
      </c>
      <c r="G9240" s="24"/>
      <c r="H9240" s="230">
        <v>4</v>
      </c>
      <c r="I9240" s="220">
        <v>1207000</v>
      </c>
      <c r="J9240" s="220">
        <f>I9240*0.1</f>
        <v>120700</v>
      </c>
      <c r="K9240" s="220">
        <v>0</v>
      </c>
      <c r="L9240" s="220">
        <v>8550</v>
      </c>
      <c r="M9240" s="220">
        <v>11000</v>
      </c>
      <c r="N9240" s="220">
        <f>SUM(I9240:M9241)</f>
        <v>1347250</v>
      </c>
      <c r="O9240" s="224"/>
      <c r="P9240" s="110" t="s">
        <v>26274</v>
      </c>
      <c r="Q9240" s="15" t="s">
        <v>19</v>
      </c>
      <c r="R9240" s="205"/>
      <c r="S9240" s="189"/>
      <c r="T9240" s="114"/>
      <c r="U9240" s="21"/>
      <c r="V9240" s="115"/>
      <c r="W9240" s="116"/>
      <c r="X9240" s="220"/>
      <c r="Y9240" s="220">
        <f>X9240*0.1</f>
        <v>0</v>
      </c>
      <c r="Z9240" s="220"/>
      <c r="AA9240" s="220">
        <f>SUM(X9240:Z9240)</f>
        <v>0</v>
      </c>
      <c r="AB9240" s="222"/>
    </row>
    <row r="9241" spans="1:28" ht="17.100000000000001" customHeight="1" thickBot="1">
      <c r="A9241" s="227"/>
      <c r="B9241" s="27" t="s">
        <v>5197</v>
      </c>
      <c r="C9241" s="27">
        <v>3344</v>
      </c>
      <c r="D9241" s="14" t="s">
        <v>2014</v>
      </c>
      <c r="E9241" s="229"/>
      <c r="F9241" s="117" t="s">
        <v>26061</v>
      </c>
      <c r="G9241" s="26">
        <v>11265</v>
      </c>
      <c r="H9241" s="231"/>
      <c r="I9241" s="221"/>
      <c r="J9241" s="221"/>
      <c r="K9241" s="221"/>
      <c r="L9241" s="221"/>
      <c r="M9241" s="221"/>
      <c r="N9241" s="221"/>
      <c r="O9241" s="225"/>
      <c r="P9241" s="118" t="s">
        <v>12896</v>
      </c>
      <c r="Q9241" s="16" t="s">
        <v>20</v>
      </c>
      <c r="R9241" s="17" t="s">
        <v>3702</v>
      </c>
      <c r="S9241" s="121"/>
      <c r="T9241" s="122"/>
      <c r="U9241" s="22"/>
      <c r="V9241" s="123"/>
      <c r="W9241" s="122"/>
      <c r="X9241" s="221"/>
      <c r="Y9241" s="221"/>
      <c r="Z9241" s="221"/>
      <c r="AA9241" s="221"/>
      <c r="AB9241" s="223"/>
    </row>
    <row r="9242" spans="1:28" ht="17.100000000000001" customHeight="1" thickTop="1">
      <c r="A9242" s="226" t="s">
        <v>26046</v>
      </c>
      <c r="B9242" s="28">
        <v>46162</v>
      </c>
      <c r="C9242" s="25">
        <v>1331</v>
      </c>
      <c r="D9242" s="13" t="s">
        <v>1824</v>
      </c>
      <c r="E9242" s="228"/>
      <c r="F9242" s="109" t="s">
        <v>26062</v>
      </c>
      <c r="G9242" s="24" t="s">
        <v>5528</v>
      </c>
      <c r="H9242" s="230">
        <v>3.5</v>
      </c>
      <c r="I9242" s="220">
        <v>882000</v>
      </c>
      <c r="J9242" s="220">
        <f>I9242*0.1</f>
        <v>88200</v>
      </c>
      <c r="K9242" s="220">
        <f>37500+3750</f>
        <v>41250</v>
      </c>
      <c r="L9242" s="220">
        <v>13860</v>
      </c>
      <c r="M9242" s="220">
        <v>11000</v>
      </c>
      <c r="N9242" s="220">
        <f>SUM(I9242:M9243)</f>
        <v>1036310</v>
      </c>
      <c r="O9242" s="224"/>
      <c r="P9242" s="110"/>
      <c r="Q9242" s="15" t="s">
        <v>19</v>
      </c>
      <c r="R9242" s="205"/>
      <c r="S9242" s="189"/>
      <c r="T9242" s="114"/>
      <c r="U9242" s="21"/>
      <c r="V9242" s="115"/>
      <c r="W9242" s="116"/>
      <c r="X9242" s="220"/>
      <c r="Y9242" s="220">
        <f>X9242*0.1</f>
        <v>0</v>
      </c>
      <c r="Z9242" s="220"/>
      <c r="AA9242" s="220">
        <f>SUM(X9242:Z9242)</f>
        <v>0</v>
      </c>
      <c r="AB9242" s="222"/>
    </row>
    <row r="9243" spans="1:28" ht="17.100000000000001" customHeight="1" thickBot="1">
      <c r="A9243" s="227"/>
      <c r="B9243" s="27" t="s">
        <v>5197</v>
      </c>
      <c r="C9243" s="27">
        <v>3382</v>
      </c>
      <c r="D9243" s="14" t="s">
        <v>273</v>
      </c>
      <c r="E9243" s="229"/>
      <c r="F9243" s="117" t="s">
        <v>26063</v>
      </c>
      <c r="G9243" s="26">
        <v>32598</v>
      </c>
      <c r="H9243" s="231"/>
      <c r="I9243" s="221"/>
      <c r="J9243" s="221"/>
      <c r="K9243" s="221"/>
      <c r="L9243" s="221"/>
      <c r="M9243" s="221"/>
      <c r="N9243" s="221"/>
      <c r="O9243" s="225"/>
      <c r="P9243" s="118"/>
      <c r="Q9243" s="16" t="s">
        <v>20</v>
      </c>
      <c r="R9243" s="17"/>
      <c r="S9243" s="121"/>
      <c r="T9243" s="122"/>
      <c r="U9243" s="22"/>
      <c r="V9243" s="123"/>
      <c r="W9243" s="122"/>
      <c r="X9243" s="221"/>
      <c r="Y9243" s="221"/>
      <c r="Z9243" s="221"/>
      <c r="AA9243" s="221"/>
      <c r="AB9243" s="223"/>
    </row>
    <row r="9244" spans="1:28" ht="17.100000000000001" customHeight="1" thickTop="1">
      <c r="A9244" s="226" t="s">
        <v>26047</v>
      </c>
      <c r="B9244" s="28">
        <v>46162</v>
      </c>
      <c r="C9244" s="25">
        <v>1331</v>
      </c>
      <c r="D9244" s="13" t="s">
        <v>1623</v>
      </c>
      <c r="E9244" s="228"/>
      <c r="F9244" s="109" t="s">
        <v>26064</v>
      </c>
      <c r="G9244" s="24"/>
      <c r="H9244" s="230">
        <v>4</v>
      </c>
      <c r="I9244" s="220">
        <v>1371000</v>
      </c>
      <c r="J9244" s="220">
        <f>I9244*0.1</f>
        <v>137100</v>
      </c>
      <c r="K9244" s="220">
        <v>0</v>
      </c>
      <c r="L9244" s="220">
        <v>11710</v>
      </c>
      <c r="M9244" s="220">
        <v>11000</v>
      </c>
      <c r="N9244" s="220">
        <f>SUM(I9244:M9245)</f>
        <v>1530810</v>
      </c>
      <c r="O9244" s="224"/>
      <c r="P9244" s="110" t="s">
        <v>26558</v>
      </c>
      <c r="Q9244" s="15" t="s">
        <v>19</v>
      </c>
      <c r="R9244" s="205"/>
      <c r="S9244" s="189"/>
      <c r="T9244" s="114"/>
      <c r="U9244" s="21"/>
      <c r="V9244" s="115"/>
      <c r="W9244" s="116"/>
      <c r="X9244" s="220"/>
      <c r="Y9244" s="220">
        <f>X9244*0.1</f>
        <v>0</v>
      </c>
      <c r="Z9244" s="220"/>
      <c r="AA9244" s="220">
        <f>SUM(X9244:Z9244)</f>
        <v>0</v>
      </c>
      <c r="AB9244" s="222"/>
    </row>
    <row r="9245" spans="1:28" ht="17.100000000000001" customHeight="1" thickBot="1">
      <c r="A9245" s="227"/>
      <c r="B9245" s="27" t="s">
        <v>5197</v>
      </c>
      <c r="C9245" s="27">
        <v>4014</v>
      </c>
      <c r="D9245" s="14" t="s">
        <v>131</v>
      </c>
      <c r="E9245" s="229"/>
      <c r="F9245" s="117" t="s">
        <v>26065</v>
      </c>
      <c r="G9245" s="26">
        <v>79526</v>
      </c>
      <c r="H9245" s="231"/>
      <c r="I9245" s="221"/>
      <c r="J9245" s="221"/>
      <c r="K9245" s="221"/>
      <c r="L9245" s="221"/>
      <c r="M9245" s="221"/>
      <c r="N9245" s="221"/>
      <c r="O9245" s="225"/>
      <c r="P9245" s="118" t="s">
        <v>9683</v>
      </c>
      <c r="Q9245" s="16" t="s">
        <v>20</v>
      </c>
      <c r="R9245" s="17" t="s">
        <v>3717</v>
      </c>
      <c r="S9245" s="121" t="s">
        <v>7721</v>
      </c>
      <c r="T9245" s="122"/>
      <c r="U9245" s="22"/>
      <c r="V9245" s="123"/>
      <c r="W9245" s="122"/>
      <c r="X9245" s="221"/>
      <c r="Y9245" s="221"/>
      <c r="Z9245" s="221"/>
      <c r="AA9245" s="221"/>
      <c r="AB9245" s="223"/>
    </row>
    <row r="9246" spans="1:28" ht="17.100000000000001" customHeight="1" thickTop="1">
      <c r="A9246" s="226" t="s">
        <v>26048</v>
      </c>
      <c r="B9246" s="28">
        <v>46162</v>
      </c>
      <c r="C9246" s="25">
        <v>1331</v>
      </c>
      <c r="D9246" s="13" t="s">
        <v>2573</v>
      </c>
      <c r="E9246" s="228"/>
      <c r="F9246" s="109" t="s">
        <v>18627</v>
      </c>
      <c r="G9246" s="24"/>
      <c r="H9246" s="230">
        <v>4</v>
      </c>
      <c r="I9246" s="220">
        <v>540000</v>
      </c>
      <c r="J9246" s="220">
        <f>I9246*0.1</f>
        <v>54000</v>
      </c>
      <c r="K9246" s="220">
        <v>0</v>
      </c>
      <c r="L9246" s="220">
        <v>5870</v>
      </c>
      <c r="M9246" s="220">
        <v>11000</v>
      </c>
      <c r="N9246" s="220">
        <f>SUM(I9246:M9247)</f>
        <v>610870</v>
      </c>
      <c r="O9246" s="224"/>
      <c r="P9246" s="110" t="s">
        <v>26272</v>
      </c>
      <c r="Q9246" s="15" t="s">
        <v>19</v>
      </c>
      <c r="R9246" s="205"/>
      <c r="S9246" s="189"/>
      <c r="T9246" s="114"/>
      <c r="U9246" s="21"/>
      <c r="V9246" s="115"/>
      <c r="W9246" s="116"/>
      <c r="X9246" s="220"/>
      <c r="Y9246" s="220">
        <f>X9246*0.1</f>
        <v>0</v>
      </c>
      <c r="Z9246" s="220"/>
      <c r="AA9246" s="220">
        <f>SUM(X9246:Z9246)</f>
        <v>0</v>
      </c>
      <c r="AB9246" s="222"/>
    </row>
    <row r="9247" spans="1:28" ht="17.100000000000001" customHeight="1" thickBot="1">
      <c r="A9247" s="227"/>
      <c r="B9247" s="27" t="s">
        <v>5197</v>
      </c>
      <c r="C9247" s="27">
        <v>5289</v>
      </c>
      <c r="D9247" s="14" t="s">
        <v>1584</v>
      </c>
      <c r="E9247" s="229"/>
      <c r="F9247" s="117" t="s">
        <v>26066</v>
      </c>
      <c r="G9247" s="26">
        <v>41724</v>
      </c>
      <c r="H9247" s="231"/>
      <c r="I9247" s="221"/>
      <c r="J9247" s="221"/>
      <c r="K9247" s="221"/>
      <c r="L9247" s="221"/>
      <c r="M9247" s="221"/>
      <c r="N9247" s="221"/>
      <c r="O9247" s="225"/>
      <c r="P9247" s="118" t="s">
        <v>26273</v>
      </c>
      <c r="Q9247" s="16" t="s">
        <v>20</v>
      </c>
      <c r="R9247" s="17" t="s">
        <v>3702</v>
      </c>
      <c r="S9247" s="121"/>
      <c r="T9247" s="122"/>
      <c r="U9247" s="22"/>
      <c r="V9247" s="123"/>
      <c r="W9247" s="122"/>
      <c r="X9247" s="221"/>
      <c r="Y9247" s="221"/>
      <c r="Z9247" s="221"/>
      <c r="AA9247" s="221"/>
      <c r="AB9247" s="223"/>
    </row>
    <row r="9248" spans="1:28" ht="17.100000000000001" customHeight="1" thickTop="1">
      <c r="A9248" s="226" t="s">
        <v>26113</v>
      </c>
      <c r="B9248" s="28">
        <v>46163</v>
      </c>
      <c r="C9248" s="25">
        <v>2027</v>
      </c>
      <c r="D9248" s="13" t="s">
        <v>2690</v>
      </c>
      <c r="E9248" s="228"/>
      <c r="F9248" s="109" t="s">
        <v>26129</v>
      </c>
      <c r="G9248" s="24"/>
      <c r="H9248" s="230">
        <v>4</v>
      </c>
      <c r="I9248" s="220">
        <v>4404000</v>
      </c>
      <c r="J9248" s="220">
        <f t="shared" ref="J9248" si="3">I9248*0.1</f>
        <v>440400</v>
      </c>
      <c r="K9248" s="220">
        <v>0</v>
      </c>
      <c r="L9248" s="220">
        <v>25200</v>
      </c>
      <c r="M9248" s="220">
        <v>22000</v>
      </c>
      <c r="N9248" s="220">
        <f t="shared" ref="N9248" si="4">SUM(I9248:M9249)</f>
        <v>4891600</v>
      </c>
      <c r="O9248" s="224"/>
      <c r="P9248" s="110"/>
      <c r="Q9248" s="15" t="s">
        <v>19</v>
      </c>
      <c r="R9248" s="205"/>
      <c r="S9248" s="189" t="s">
        <v>1661</v>
      </c>
      <c r="T9248" s="114"/>
      <c r="U9248" s="21"/>
      <c r="V9248" s="115"/>
      <c r="W9248" s="116"/>
      <c r="X9248" s="220"/>
      <c r="Y9248" s="220">
        <f t="shared" ref="Y9248" si="5">X9248*0.1</f>
        <v>0</v>
      </c>
      <c r="Z9248" s="220"/>
      <c r="AA9248" s="220">
        <f t="shared" ref="AA9248" si="6">SUM(X9248:Z9248)</f>
        <v>0</v>
      </c>
      <c r="AB9248" s="222"/>
    </row>
    <row r="9249" spans="1:28" ht="17.100000000000001" customHeight="1" thickBot="1">
      <c r="A9249" s="227"/>
      <c r="B9249" s="27" t="s">
        <v>2171</v>
      </c>
      <c r="C9249" s="27">
        <v>30047</v>
      </c>
      <c r="D9249" s="14" t="s">
        <v>273</v>
      </c>
      <c r="E9249" s="229"/>
      <c r="F9249" s="117" t="s">
        <v>26130</v>
      </c>
      <c r="G9249" s="26">
        <v>95406</v>
      </c>
      <c r="H9249" s="231"/>
      <c r="I9249" s="221"/>
      <c r="J9249" s="221"/>
      <c r="K9249" s="221"/>
      <c r="L9249" s="221"/>
      <c r="M9249" s="221"/>
      <c r="N9249" s="221"/>
      <c r="O9249" s="225"/>
      <c r="P9249" s="118"/>
      <c r="Q9249" s="16" t="s">
        <v>20</v>
      </c>
      <c r="R9249" s="17"/>
      <c r="S9249" s="121"/>
      <c r="T9249" s="122"/>
      <c r="U9249" s="22"/>
      <c r="V9249" s="123"/>
      <c r="W9249" s="122"/>
      <c r="X9249" s="221"/>
      <c r="Y9249" s="221"/>
      <c r="Z9249" s="221"/>
      <c r="AA9249" s="221"/>
      <c r="AB9249" s="223"/>
    </row>
    <row r="9250" spans="1:28" ht="17.100000000000001" customHeight="1" thickTop="1">
      <c r="A9250" s="226" t="s">
        <v>26114</v>
      </c>
      <c r="B9250" s="28">
        <v>46163</v>
      </c>
      <c r="C9250" s="25">
        <v>2027</v>
      </c>
      <c r="D9250" s="13" t="s">
        <v>1704</v>
      </c>
      <c r="E9250" s="228"/>
      <c r="F9250" s="109" t="s">
        <v>26131</v>
      </c>
      <c r="G9250" s="24"/>
      <c r="H9250" s="230">
        <v>4</v>
      </c>
      <c r="I9250" s="220">
        <v>905000</v>
      </c>
      <c r="J9250" s="220">
        <f t="shared" ref="J9250" si="7">I9250*0.1</f>
        <v>90500</v>
      </c>
      <c r="K9250" s="220">
        <v>0</v>
      </c>
      <c r="L9250" s="220">
        <v>8950</v>
      </c>
      <c r="M9250" s="220">
        <v>22000</v>
      </c>
      <c r="N9250" s="220">
        <f t="shared" ref="N9250" si="8">SUM(I9250:M9251)</f>
        <v>1026450</v>
      </c>
      <c r="O9250" s="224"/>
      <c r="P9250" s="110"/>
      <c r="Q9250" s="15" t="s">
        <v>19</v>
      </c>
      <c r="R9250" s="205"/>
      <c r="S9250" s="189" t="s">
        <v>1557</v>
      </c>
      <c r="T9250" s="114"/>
      <c r="U9250" s="21"/>
      <c r="V9250" s="115"/>
      <c r="W9250" s="116"/>
      <c r="X9250" s="220"/>
      <c r="Y9250" s="220">
        <f t="shared" ref="Y9250" si="9">X9250*0.1</f>
        <v>0</v>
      </c>
      <c r="Z9250" s="220"/>
      <c r="AA9250" s="220">
        <f t="shared" ref="AA9250" si="10">SUM(X9250:Z9250)</f>
        <v>0</v>
      </c>
      <c r="AB9250" s="222"/>
    </row>
    <row r="9251" spans="1:28" ht="17.100000000000001" customHeight="1" thickBot="1">
      <c r="A9251" s="227"/>
      <c r="B9251" s="27" t="s">
        <v>2171</v>
      </c>
      <c r="C9251" s="27">
        <v>30253</v>
      </c>
      <c r="D9251" s="14" t="s">
        <v>1584</v>
      </c>
      <c r="E9251" s="229"/>
      <c r="F9251" s="117" t="s">
        <v>26111</v>
      </c>
      <c r="G9251" s="26">
        <v>34387</v>
      </c>
      <c r="H9251" s="231"/>
      <c r="I9251" s="221"/>
      <c r="J9251" s="221"/>
      <c r="K9251" s="221"/>
      <c r="L9251" s="221"/>
      <c r="M9251" s="221"/>
      <c r="N9251" s="221"/>
      <c r="O9251" s="225"/>
      <c r="P9251" s="118"/>
      <c r="Q9251" s="16" t="s">
        <v>20</v>
      </c>
      <c r="R9251" s="17"/>
      <c r="S9251" s="121"/>
      <c r="T9251" s="122"/>
      <c r="U9251" s="22"/>
      <c r="V9251" s="123"/>
      <c r="W9251" s="122"/>
      <c r="X9251" s="221"/>
      <c r="Y9251" s="221"/>
      <c r="Z9251" s="221"/>
      <c r="AA9251" s="221"/>
      <c r="AB9251" s="223"/>
    </row>
    <row r="9252" spans="1:28" ht="17.100000000000001" customHeight="1" thickTop="1">
      <c r="A9252" s="226" t="s">
        <v>26115</v>
      </c>
      <c r="B9252" s="28">
        <v>46163</v>
      </c>
      <c r="C9252" s="25">
        <v>2027</v>
      </c>
      <c r="D9252" s="13" t="s">
        <v>1704</v>
      </c>
      <c r="E9252" s="228"/>
      <c r="F9252" s="109" t="s">
        <v>22801</v>
      </c>
      <c r="G9252" s="24"/>
      <c r="H9252" s="230">
        <v>4</v>
      </c>
      <c r="I9252" s="220">
        <v>826000</v>
      </c>
      <c r="J9252" s="220">
        <f t="shared" ref="J9252" si="11">I9252*0.1</f>
        <v>82600</v>
      </c>
      <c r="K9252" s="220">
        <v>0</v>
      </c>
      <c r="L9252" s="220">
        <v>8950</v>
      </c>
      <c r="M9252" s="220">
        <v>22000</v>
      </c>
      <c r="N9252" s="220">
        <f t="shared" ref="N9252" si="12">SUM(I9252:M9253)</f>
        <v>939550</v>
      </c>
      <c r="O9252" s="224"/>
      <c r="P9252" s="110"/>
      <c r="Q9252" s="15" t="s">
        <v>19</v>
      </c>
      <c r="R9252" s="205"/>
      <c r="S9252" s="189" t="s">
        <v>1557</v>
      </c>
      <c r="T9252" s="114"/>
      <c r="U9252" s="21"/>
      <c r="V9252" s="115"/>
      <c r="W9252" s="116"/>
      <c r="X9252" s="220"/>
      <c r="Y9252" s="220">
        <f t="shared" ref="Y9252" si="13">X9252*0.1</f>
        <v>0</v>
      </c>
      <c r="Z9252" s="220"/>
      <c r="AA9252" s="220">
        <f t="shared" ref="AA9252" si="14">SUM(X9252:Z9252)</f>
        <v>0</v>
      </c>
      <c r="AB9252" s="222"/>
    </row>
    <row r="9253" spans="1:28" ht="17.100000000000001" customHeight="1" thickBot="1">
      <c r="A9253" s="227"/>
      <c r="B9253" s="27" t="s">
        <v>2171</v>
      </c>
      <c r="C9253" s="27">
        <v>30294</v>
      </c>
      <c r="D9253" s="14" t="s">
        <v>1627</v>
      </c>
      <c r="E9253" s="229"/>
      <c r="F9253" s="117" t="s">
        <v>26112</v>
      </c>
      <c r="G9253" s="26">
        <v>53537</v>
      </c>
      <c r="H9253" s="231"/>
      <c r="I9253" s="221"/>
      <c r="J9253" s="221"/>
      <c r="K9253" s="221"/>
      <c r="L9253" s="221"/>
      <c r="M9253" s="221"/>
      <c r="N9253" s="221"/>
      <c r="O9253" s="225"/>
      <c r="P9253" s="118"/>
      <c r="Q9253" s="16" t="s">
        <v>20</v>
      </c>
      <c r="R9253" s="17"/>
      <c r="S9253" s="121" t="s">
        <v>26566</v>
      </c>
      <c r="T9253" s="122"/>
      <c r="U9253" s="22"/>
      <c r="V9253" s="123"/>
      <c r="W9253" s="122"/>
      <c r="X9253" s="221"/>
      <c r="Y9253" s="221"/>
      <c r="Z9253" s="221"/>
      <c r="AA9253" s="221"/>
      <c r="AB9253" s="223"/>
    </row>
    <row r="9254" spans="1:28" ht="17.100000000000001" customHeight="1" thickTop="1">
      <c r="A9254" s="226" t="s">
        <v>26116</v>
      </c>
      <c r="B9254" s="28">
        <v>46163</v>
      </c>
      <c r="C9254" s="25">
        <v>2027</v>
      </c>
      <c r="D9254" s="13" t="s">
        <v>2324</v>
      </c>
      <c r="E9254" s="228"/>
      <c r="F9254" s="109" t="s">
        <v>23581</v>
      </c>
      <c r="G9254" s="24"/>
      <c r="H9254" s="230">
        <v>4</v>
      </c>
      <c r="I9254" s="220">
        <v>1154000</v>
      </c>
      <c r="J9254" s="220">
        <f>I9254*0.1</f>
        <v>115400</v>
      </c>
      <c r="K9254" s="220">
        <v>0</v>
      </c>
      <c r="L9254" s="220">
        <v>8740</v>
      </c>
      <c r="M9254" s="220">
        <v>22000</v>
      </c>
      <c r="N9254" s="220">
        <f>SUM(I9254:M9255)</f>
        <v>1300140</v>
      </c>
      <c r="O9254" s="224"/>
      <c r="P9254" s="110"/>
      <c r="Q9254" s="15" t="s">
        <v>19</v>
      </c>
      <c r="R9254" s="205"/>
      <c r="S9254" s="189" t="s">
        <v>1557</v>
      </c>
      <c r="T9254" s="114"/>
      <c r="U9254" s="21"/>
      <c r="V9254" s="115"/>
      <c r="W9254" s="116"/>
      <c r="X9254" s="220"/>
      <c r="Y9254" s="220">
        <f>X9254*0.1</f>
        <v>0</v>
      </c>
      <c r="Z9254" s="220"/>
      <c r="AA9254" s="220">
        <f>SUM(X9254:Z9254)</f>
        <v>0</v>
      </c>
      <c r="AB9254" s="222"/>
    </row>
    <row r="9255" spans="1:28" ht="17.100000000000001" customHeight="1" thickBot="1">
      <c r="A9255" s="227"/>
      <c r="B9255" s="27" t="s">
        <v>2171</v>
      </c>
      <c r="C9255" s="27">
        <v>50037</v>
      </c>
      <c r="D9255" s="14" t="s">
        <v>1710</v>
      </c>
      <c r="E9255" s="229"/>
      <c r="F9255" s="117" t="s">
        <v>26071</v>
      </c>
      <c r="G9255" s="26">
        <v>54435</v>
      </c>
      <c r="H9255" s="231"/>
      <c r="I9255" s="221"/>
      <c r="J9255" s="221"/>
      <c r="K9255" s="221"/>
      <c r="L9255" s="221"/>
      <c r="M9255" s="221"/>
      <c r="N9255" s="221"/>
      <c r="O9255" s="225"/>
      <c r="P9255" s="118"/>
      <c r="Q9255" s="16" t="s">
        <v>20</v>
      </c>
      <c r="R9255" s="17"/>
      <c r="S9255" s="121"/>
      <c r="T9255" s="122"/>
      <c r="U9255" s="22"/>
      <c r="V9255" s="123"/>
      <c r="W9255" s="122"/>
      <c r="X9255" s="221"/>
      <c r="Y9255" s="221"/>
      <c r="Z9255" s="221"/>
      <c r="AA9255" s="221"/>
      <c r="AB9255" s="223"/>
    </row>
    <row r="9256" spans="1:28" ht="17.100000000000001" customHeight="1" thickTop="1">
      <c r="A9256" s="226" t="s">
        <v>26117</v>
      </c>
      <c r="B9256" s="28">
        <v>46163</v>
      </c>
      <c r="C9256" s="25">
        <v>2027</v>
      </c>
      <c r="D9256" s="13" t="s">
        <v>5521</v>
      </c>
      <c r="E9256" s="228"/>
      <c r="F9256" s="109" t="s">
        <v>26072</v>
      </c>
      <c r="G9256" s="24" t="s">
        <v>1551</v>
      </c>
      <c r="H9256" s="230">
        <v>3.5</v>
      </c>
      <c r="I9256" s="220">
        <v>480000</v>
      </c>
      <c r="J9256" s="220">
        <f>I9256*0.1</f>
        <v>48000</v>
      </c>
      <c r="K9256" s="220">
        <v>0</v>
      </c>
      <c r="L9256" s="220">
        <v>8860</v>
      </c>
      <c r="M9256" s="220">
        <v>22000</v>
      </c>
      <c r="N9256" s="220">
        <f>SUM(I9256:M9257)</f>
        <v>558860</v>
      </c>
      <c r="O9256" s="224"/>
      <c r="P9256" s="110" t="s">
        <v>26074</v>
      </c>
      <c r="Q9256" s="15" t="s">
        <v>19</v>
      </c>
      <c r="R9256" s="205"/>
      <c r="S9256" s="189" t="s">
        <v>26075</v>
      </c>
      <c r="T9256" s="114"/>
      <c r="U9256" s="21"/>
      <c r="V9256" s="115"/>
      <c r="W9256" s="116"/>
      <c r="X9256" s="220"/>
      <c r="Y9256" s="220">
        <f>X9256*0.1</f>
        <v>0</v>
      </c>
      <c r="Z9256" s="220"/>
      <c r="AA9256" s="220">
        <f>SUM(X9256:Z9256)</f>
        <v>0</v>
      </c>
      <c r="AB9256" s="222"/>
    </row>
    <row r="9257" spans="1:28" ht="17.100000000000001" customHeight="1" thickBot="1">
      <c r="A9257" s="227"/>
      <c r="B9257" s="27" t="s">
        <v>2171</v>
      </c>
      <c r="C9257" s="27">
        <v>50038</v>
      </c>
      <c r="D9257" s="14" t="s">
        <v>1797</v>
      </c>
      <c r="E9257" s="229"/>
      <c r="F9257" s="117" t="s">
        <v>26073</v>
      </c>
      <c r="G9257" s="26">
        <v>79067</v>
      </c>
      <c r="H9257" s="231"/>
      <c r="I9257" s="221"/>
      <c r="J9257" s="221"/>
      <c r="K9257" s="221"/>
      <c r="L9257" s="221"/>
      <c r="M9257" s="221"/>
      <c r="N9257" s="221"/>
      <c r="O9257" s="225"/>
      <c r="P9257" s="118"/>
      <c r="Q9257" s="16" t="s">
        <v>20</v>
      </c>
      <c r="R9257" s="17"/>
      <c r="S9257" s="121"/>
      <c r="T9257" s="122"/>
      <c r="U9257" s="22"/>
      <c r="V9257" s="123"/>
      <c r="W9257" s="122"/>
      <c r="X9257" s="221"/>
      <c r="Y9257" s="221"/>
      <c r="Z9257" s="221"/>
      <c r="AA9257" s="221"/>
      <c r="AB9257" s="223"/>
    </row>
    <row r="9258" spans="1:28" ht="17.100000000000001" customHeight="1" thickTop="1">
      <c r="A9258" s="226" t="s">
        <v>26118</v>
      </c>
      <c r="B9258" s="28">
        <v>46163</v>
      </c>
      <c r="C9258" s="25">
        <v>2027</v>
      </c>
      <c r="D9258" s="13" t="s">
        <v>2324</v>
      </c>
      <c r="E9258" s="228"/>
      <c r="F9258" s="109" t="s">
        <v>15235</v>
      </c>
      <c r="G9258" s="24"/>
      <c r="H9258" s="230">
        <v>4</v>
      </c>
      <c r="I9258" s="220">
        <v>416000</v>
      </c>
      <c r="J9258" s="220">
        <f>I9258*0.1</f>
        <v>41600</v>
      </c>
      <c r="K9258" s="220">
        <v>0</v>
      </c>
      <c r="L9258" s="220">
        <v>6470</v>
      </c>
      <c r="M9258" s="220">
        <v>22000</v>
      </c>
      <c r="N9258" s="220">
        <f>SUM(I9258:M9259)</f>
        <v>486070</v>
      </c>
      <c r="O9258" s="224"/>
      <c r="P9258" s="110"/>
      <c r="Q9258" s="15" t="s">
        <v>19</v>
      </c>
      <c r="R9258" s="205"/>
      <c r="S9258" s="189" t="s">
        <v>1661</v>
      </c>
      <c r="T9258" s="114"/>
      <c r="U9258" s="21"/>
      <c r="V9258" s="115"/>
      <c r="W9258" s="116"/>
      <c r="X9258" s="220"/>
      <c r="Y9258" s="220">
        <f>X9258*0.1</f>
        <v>0</v>
      </c>
      <c r="Z9258" s="220"/>
      <c r="AA9258" s="220">
        <f>SUM(X9258:Z9258)</f>
        <v>0</v>
      </c>
      <c r="AB9258" s="222"/>
    </row>
    <row r="9259" spans="1:28" ht="17.100000000000001" customHeight="1" thickBot="1">
      <c r="A9259" s="227"/>
      <c r="B9259" s="27" t="s">
        <v>2171</v>
      </c>
      <c r="C9259" s="27">
        <v>50044</v>
      </c>
      <c r="D9259" s="14" t="s">
        <v>1584</v>
      </c>
      <c r="E9259" s="229"/>
      <c r="F9259" s="117" t="s">
        <v>26076</v>
      </c>
      <c r="G9259" s="26">
        <v>42287</v>
      </c>
      <c r="H9259" s="231"/>
      <c r="I9259" s="221"/>
      <c r="J9259" s="221"/>
      <c r="K9259" s="221"/>
      <c r="L9259" s="221"/>
      <c r="M9259" s="221"/>
      <c r="N9259" s="221"/>
      <c r="O9259" s="225"/>
      <c r="P9259" s="118"/>
      <c r="Q9259" s="16" t="s">
        <v>20</v>
      </c>
      <c r="R9259" s="17"/>
      <c r="S9259" s="121"/>
      <c r="T9259" s="122"/>
      <c r="U9259" s="22"/>
      <c r="V9259" s="123"/>
      <c r="W9259" s="122"/>
      <c r="X9259" s="221"/>
      <c r="Y9259" s="221"/>
      <c r="Z9259" s="221"/>
      <c r="AA9259" s="221"/>
      <c r="AB9259" s="223"/>
    </row>
    <row r="9260" spans="1:28" ht="17.100000000000001" customHeight="1" thickTop="1">
      <c r="A9260" s="226" t="s">
        <v>26119</v>
      </c>
      <c r="B9260" s="28">
        <v>46163</v>
      </c>
      <c r="C9260" s="25">
        <v>2027</v>
      </c>
      <c r="D9260" s="13" t="s">
        <v>2892</v>
      </c>
      <c r="E9260" s="228"/>
      <c r="F9260" s="109" t="s">
        <v>26077</v>
      </c>
      <c r="G9260" s="24"/>
      <c r="H9260" s="230">
        <v>4</v>
      </c>
      <c r="I9260" s="220">
        <v>488000</v>
      </c>
      <c r="J9260" s="220">
        <f>I9260*0.1</f>
        <v>48800</v>
      </c>
      <c r="K9260" s="220">
        <v>0</v>
      </c>
      <c r="L9260" s="220">
        <v>8680</v>
      </c>
      <c r="M9260" s="220">
        <v>22000</v>
      </c>
      <c r="N9260" s="220">
        <f>SUM(I9260:M9261)</f>
        <v>567480</v>
      </c>
      <c r="O9260" s="224"/>
      <c r="P9260" s="110"/>
      <c r="Q9260" s="15" t="s">
        <v>19</v>
      </c>
      <c r="R9260" s="205"/>
      <c r="S9260" s="189" t="s">
        <v>1661</v>
      </c>
      <c r="T9260" s="114"/>
      <c r="U9260" s="21"/>
      <c r="V9260" s="115"/>
      <c r="W9260" s="116"/>
      <c r="X9260" s="220"/>
      <c r="Y9260" s="220">
        <f>X9260*0.1</f>
        <v>0</v>
      </c>
      <c r="Z9260" s="220"/>
      <c r="AA9260" s="220">
        <f>SUM(X9260:Z9260)</f>
        <v>0</v>
      </c>
      <c r="AB9260" s="222"/>
    </row>
    <row r="9261" spans="1:28" ht="17.100000000000001" customHeight="1" thickBot="1">
      <c r="A9261" s="227"/>
      <c r="B9261" s="27" t="s">
        <v>2171</v>
      </c>
      <c r="C9261" s="27">
        <v>50056</v>
      </c>
      <c r="D9261" s="14" t="s">
        <v>2559</v>
      </c>
      <c r="E9261" s="229"/>
      <c r="F9261" s="117" t="s">
        <v>26078</v>
      </c>
      <c r="G9261" s="26">
        <v>37435</v>
      </c>
      <c r="H9261" s="231"/>
      <c r="I9261" s="221"/>
      <c r="J9261" s="221"/>
      <c r="K9261" s="221"/>
      <c r="L9261" s="221"/>
      <c r="M9261" s="221"/>
      <c r="N9261" s="221"/>
      <c r="O9261" s="225"/>
      <c r="P9261" s="118"/>
      <c r="Q9261" s="16" t="s">
        <v>20</v>
      </c>
      <c r="R9261" s="17"/>
      <c r="S9261" s="121"/>
      <c r="T9261" s="122"/>
      <c r="U9261" s="22"/>
      <c r="V9261" s="123"/>
      <c r="W9261" s="122"/>
      <c r="X9261" s="221"/>
      <c r="Y9261" s="221"/>
      <c r="Z9261" s="221"/>
      <c r="AA9261" s="221"/>
      <c r="AB9261" s="223"/>
    </row>
    <row r="9262" spans="1:28" ht="17.100000000000001" customHeight="1" thickTop="1">
      <c r="A9262" s="226" t="s">
        <v>26120</v>
      </c>
      <c r="B9262" s="28">
        <v>46163</v>
      </c>
      <c r="C9262" s="25">
        <v>2027</v>
      </c>
      <c r="D9262" s="13" t="s">
        <v>1961</v>
      </c>
      <c r="E9262" s="228"/>
      <c r="F9262" s="109" t="s">
        <v>26079</v>
      </c>
      <c r="G9262" s="24"/>
      <c r="H9262" s="230">
        <v>4</v>
      </c>
      <c r="I9262" s="220">
        <v>976000</v>
      </c>
      <c r="J9262" s="220">
        <f>I9262*0.1</f>
        <v>97600</v>
      </c>
      <c r="K9262" s="220">
        <v>0</v>
      </c>
      <c r="L9262" s="220">
        <v>8790</v>
      </c>
      <c r="M9262" s="220">
        <v>22000</v>
      </c>
      <c r="N9262" s="220">
        <f>SUM(I9262:M9263)</f>
        <v>1104390</v>
      </c>
      <c r="O9262" s="224"/>
      <c r="P9262" s="110"/>
      <c r="Q9262" s="15" t="s">
        <v>19</v>
      </c>
      <c r="R9262" s="205"/>
      <c r="S9262" s="189" t="s">
        <v>4798</v>
      </c>
      <c r="T9262" s="114"/>
      <c r="U9262" s="21"/>
      <c r="V9262" s="115"/>
      <c r="W9262" s="116"/>
      <c r="X9262" s="220"/>
      <c r="Y9262" s="220">
        <f>X9262*0.1</f>
        <v>0</v>
      </c>
      <c r="Z9262" s="220"/>
      <c r="AA9262" s="220">
        <f>SUM(X9262:Z9262)</f>
        <v>0</v>
      </c>
      <c r="AB9262" s="222"/>
    </row>
    <row r="9263" spans="1:28" ht="17.100000000000001" customHeight="1" thickBot="1">
      <c r="A9263" s="227"/>
      <c r="B9263" s="27" t="s">
        <v>2171</v>
      </c>
      <c r="C9263" s="27">
        <v>50068</v>
      </c>
      <c r="D9263" s="14" t="s">
        <v>2753</v>
      </c>
      <c r="E9263" s="229"/>
      <c r="F9263" s="117" t="s">
        <v>26080</v>
      </c>
      <c r="G9263" s="26">
        <v>49264</v>
      </c>
      <c r="H9263" s="231"/>
      <c r="I9263" s="221"/>
      <c r="J9263" s="221"/>
      <c r="K9263" s="221"/>
      <c r="L9263" s="221"/>
      <c r="M9263" s="221"/>
      <c r="N9263" s="221"/>
      <c r="O9263" s="225"/>
      <c r="P9263" s="118"/>
      <c r="Q9263" s="16" t="s">
        <v>20</v>
      </c>
      <c r="R9263" s="17"/>
      <c r="S9263" s="121"/>
      <c r="T9263" s="122"/>
      <c r="U9263" s="22"/>
      <c r="V9263" s="123"/>
      <c r="W9263" s="122"/>
      <c r="X9263" s="221"/>
      <c r="Y9263" s="221"/>
      <c r="Z9263" s="221"/>
      <c r="AA9263" s="221"/>
      <c r="AB9263" s="223"/>
    </row>
    <row r="9264" spans="1:28" ht="17.100000000000001" customHeight="1" thickTop="1">
      <c r="A9264" s="226" t="s">
        <v>26121</v>
      </c>
      <c r="B9264" s="28">
        <v>46163</v>
      </c>
      <c r="C9264" s="25">
        <v>2027</v>
      </c>
      <c r="D9264" s="13" t="s">
        <v>1553</v>
      </c>
      <c r="E9264" s="228"/>
      <c r="F9264" s="109" t="s">
        <v>12723</v>
      </c>
      <c r="G9264" s="24"/>
      <c r="H9264" s="230">
        <v>4</v>
      </c>
      <c r="I9264" s="220">
        <v>429000</v>
      </c>
      <c r="J9264" s="220">
        <f>I9264*0.1</f>
        <v>42900</v>
      </c>
      <c r="K9264" s="220">
        <v>0</v>
      </c>
      <c r="L9264" s="220">
        <v>8430</v>
      </c>
      <c r="M9264" s="220">
        <v>22000</v>
      </c>
      <c r="N9264" s="220">
        <f>SUM(I9264:M9265)</f>
        <v>502330</v>
      </c>
      <c r="O9264" s="224"/>
      <c r="P9264" s="110"/>
      <c r="Q9264" s="15" t="s">
        <v>19</v>
      </c>
      <c r="R9264" s="205"/>
      <c r="S9264" s="189" t="s">
        <v>26082</v>
      </c>
      <c r="T9264" s="114"/>
      <c r="U9264" s="21"/>
      <c r="V9264" s="115"/>
      <c r="W9264" s="116"/>
      <c r="X9264" s="220"/>
      <c r="Y9264" s="220">
        <f>X9264*0.1</f>
        <v>0</v>
      </c>
      <c r="Z9264" s="220"/>
      <c r="AA9264" s="220">
        <f>SUM(X9264:Z9264)</f>
        <v>0</v>
      </c>
      <c r="AB9264" s="222"/>
    </row>
    <row r="9265" spans="1:28" ht="17.100000000000001" customHeight="1" thickBot="1">
      <c r="A9265" s="227"/>
      <c r="B9265" s="27" t="s">
        <v>2171</v>
      </c>
      <c r="C9265" s="27">
        <v>50093</v>
      </c>
      <c r="D9265" s="14" t="s">
        <v>1568</v>
      </c>
      <c r="E9265" s="229"/>
      <c r="F9265" s="117" t="s">
        <v>26081</v>
      </c>
      <c r="G9265" s="26">
        <v>55812</v>
      </c>
      <c r="H9265" s="231"/>
      <c r="I9265" s="221"/>
      <c r="J9265" s="221"/>
      <c r="K9265" s="221"/>
      <c r="L9265" s="221"/>
      <c r="M9265" s="221"/>
      <c r="N9265" s="221"/>
      <c r="O9265" s="225"/>
      <c r="P9265" s="118"/>
      <c r="Q9265" s="16" t="s">
        <v>20</v>
      </c>
      <c r="R9265" s="17"/>
      <c r="S9265" s="121"/>
      <c r="T9265" s="122"/>
      <c r="U9265" s="22"/>
      <c r="V9265" s="123"/>
      <c r="W9265" s="122"/>
      <c r="X9265" s="221"/>
      <c r="Y9265" s="221"/>
      <c r="Z9265" s="221"/>
      <c r="AA9265" s="221"/>
      <c r="AB9265" s="223"/>
    </row>
    <row r="9266" spans="1:28" ht="17.100000000000001" customHeight="1" thickTop="1">
      <c r="A9266" s="226" t="s">
        <v>26122</v>
      </c>
      <c r="B9266" s="28">
        <v>46163</v>
      </c>
      <c r="C9266" s="25">
        <v>2027</v>
      </c>
      <c r="D9266" s="13" t="s">
        <v>1931</v>
      </c>
      <c r="E9266" s="228"/>
      <c r="F9266" s="109" t="s">
        <v>3844</v>
      </c>
      <c r="G9266" s="24"/>
      <c r="H9266" s="230">
        <v>4</v>
      </c>
      <c r="I9266" s="220">
        <v>666000</v>
      </c>
      <c r="J9266" s="220">
        <f>I9266*0.1</f>
        <v>66600</v>
      </c>
      <c r="K9266" s="220">
        <v>0</v>
      </c>
      <c r="L9266" s="220">
        <v>7950</v>
      </c>
      <c r="M9266" s="220">
        <v>22000</v>
      </c>
      <c r="N9266" s="220">
        <f>SUM(I9266:M9267)</f>
        <v>762550</v>
      </c>
      <c r="O9266" s="224"/>
      <c r="P9266" s="110"/>
      <c r="Q9266" s="15" t="s">
        <v>19</v>
      </c>
      <c r="R9266" s="205"/>
      <c r="S9266" s="189"/>
      <c r="T9266" s="114"/>
      <c r="U9266" s="21"/>
      <c r="V9266" s="115"/>
      <c r="W9266" s="116"/>
      <c r="X9266" s="220"/>
      <c r="Y9266" s="220">
        <f>X9266*0.1</f>
        <v>0</v>
      </c>
      <c r="Z9266" s="220"/>
      <c r="AA9266" s="220">
        <f>SUM(X9266:Z9266)</f>
        <v>0</v>
      </c>
      <c r="AB9266" s="222"/>
    </row>
    <row r="9267" spans="1:28" ht="17.100000000000001" customHeight="1" thickBot="1">
      <c r="A9267" s="227"/>
      <c r="B9267" s="27" t="s">
        <v>2171</v>
      </c>
      <c r="C9267" s="27">
        <v>50164</v>
      </c>
      <c r="D9267" s="14" t="s">
        <v>1568</v>
      </c>
      <c r="E9267" s="229"/>
      <c r="F9267" s="117" t="s">
        <v>26083</v>
      </c>
      <c r="G9267" s="26">
        <v>51089</v>
      </c>
      <c r="H9267" s="231"/>
      <c r="I9267" s="221"/>
      <c r="J9267" s="221"/>
      <c r="K9267" s="221"/>
      <c r="L9267" s="221"/>
      <c r="M9267" s="221"/>
      <c r="N9267" s="221"/>
      <c r="O9267" s="225"/>
      <c r="P9267" s="118"/>
      <c r="Q9267" s="16" t="s">
        <v>20</v>
      </c>
      <c r="R9267" s="17"/>
      <c r="S9267" s="121" t="s">
        <v>7721</v>
      </c>
      <c r="T9267" s="122"/>
      <c r="U9267" s="22"/>
      <c r="V9267" s="123"/>
      <c r="W9267" s="122"/>
      <c r="X9267" s="221"/>
      <c r="Y9267" s="221"/>
      <c r="Z9267" s="221"/>
      <c r="AA9267" s="221"/>
      <c r="AB9267" s="223"/>
    </row>
    <row r="9268" spans="1:28" ht="17.100000000000001" customHeight="1" thickTop="1">
      <c r="A9268" s="226" t="s">
        <v>26123</v>
      </c>
      <c r="B9268" s="28">
        <v>46163</v>
      </c>
      <c r="C9268" s="25">
        <v>2027</v>
      </c>
      <c r="D9268" s="13" t="s">
        <v>1702</v>
      </c>
      <c r="E9268" s="228"/>
      <c r="F9268" s="109" t="s">
        <v>12054</v>
      </c>
      <c r="G9268" s="24" t="s">
        <v>1540</v>
      </c>
      <c r="H9268" s="230">
        <v>3.5</v>
      </c>
      <c r="I9268" s="220">
        <v>458000</v>
      </c>
      <c r="J9268" s="220">
        <f>I9268*0.1</f>
        <v>45800</v>
      </c>
      <c r="K9268" s="220">
        <v>0</v>
      </c>
      <c r="L9268" s="220">
        <v>8400</v>
      </c>
      <c r="M9268" s="220">
        <v>22000</v>
      </c>
      <c r="N9268" s="220">
        <f>SUM(I9268:M9269)</f>
        <v>534200</v>
      </c>
      <c r="O9268" s="224"/>
      <c r="P9268" s="110" t="s">
        <v>26085</v>
      </c>
      <c r="Q9268" s="15" t="s">
        <v>19</v>
      </c>
      <c r="R9268" s="205"/>
      <c r="S9268" s="189" t="s">
        <v>1782</v>
      </c>
      <c r="T9268" s="114"/>
      <c r="U9268" s="21"/>
      <c r="V9268" s="115"/>
      <c r="W9268" s="116"/>
      <c r="X9268" s="220"/>
      <c r="Y9268" s="220">
        <f>X9268*0.1</f>
        <v>0</v>
      </c>
      <c r="Z9268" s="220"/>
      <c r="AA9268" s="220">
        <f>SUM(X9268:Z9268)</f>
        <v>0</v>
      </c>
      <c r="AB9268" s="222"/>
    </row>
    <row r="9269" spans="1:28" ht="17.100000000000001" customHeight="1" thickBot="1">
      <c r="A9269" s="227"/>
      <c r="B9269" s="27" t="s">
        <v>2171</v>
      </c>
      <c r="C9269" s="27">
        <v>50200</v>
      </c>
      <c r="D9269" s="14" t="s">
        <v>1710</v>
      </c>
      <c r="E9269" s="229"/>
      <c r="F9269" s="117" t="s">
        <v>26084</v>
      </c>
      <c r="G9269" s="26">
        <v>49655</v>
      </c>
      <c r="H9269" s="231"/>
      <c r="I9269" s="221"/>
      <c r="J9269" s="221"/>
      <c r="K9269" s="221"/>
      <c r="L9269" s="221"/>
      <c r="M9269" s="221"/>
      <c r="N9269" s="221"/>
      <c r="O9269" s="225"/>
      <c r="P9269" s="118"/>
      <c r="Q9269" s="16" t="s">
        <v>20</v>
      </c>
      <c r="R9269" s="17"/>
      <c r="S9269" s="121"/>
      <c r="T9269" s="122"/>
      <c r="U9269" s="22"/>
      <c r="V9269" s="123"/>
      <c r="W9269" s="122"/>
      <c r="X9269" s="221"/>
      <c r="Y9269" s="221"/>
      <c r="Z9269" s="221"/>
      <c r="AA9269" s="221"/>
      <c r="AB9269" s="223"/>
    </row>
    <row r="9270" spans="1:28" ht="17.100000000000001" customHeight="1" thickTop="1">
      <c r="A9270" s="226" t="s">
        <v>26124</v>
      </c>
      <c r="B9270" s="28">
        <v>46163</v>
      </c>
      <c r="C9270" s="25">
        <v>2027</v>
      </c>
      <c r="D9270" s="13" t="s">
        <v>2324</v>
      </c>
      <c r="E9270" s="228"/>
      <c r="F9270" s="109" t="s">
        <v>7536</v>
      </c>
      <c r="G9270" s="24"/>
      <c r="H9270" s="230">
        <v>4</v>
      </c>
      <c r="I9270" s="220">
        <v>639000</v>
      </c>
      <c r="J9270" s="220">
        <v>0</v>
      </c>
      <c r="K9270" s="220">
        <v>0</v>
      </c>
      <c r="L9270" s="220">
        <v>7150</v>
      </c>
      <c r="M9270" s="220">
        <v>22000</v>
      </c>
      <c r="N9270" s="220">
        <f>SUM(I9270:M9271)</f>
        <v>668150</v>
      </c>
      <c r="O9270" s="224"/>
      <c r="P9270" s="110"/>
      <c r="Q9270" s="15" t="s">
        <v>19</v>
      </c>
      <c r="R9270" s="205"/>
      <c r="S9270" s="189" t="s">
        <v>26171</v>
      </c>
      <c r="T9270" s="114"/>
      <c r="U9270" s="21"/>
      <c r="V9270" s="115"/>
      <c r="W9270" s="116"/>
      <c r="X9270" s="220"/>
      <c r="Y9270" s="220">
        <f>X9270*0.1</f>
        <v>0</v>
      </c>
      <c r="Z9270" s="220"/>
      <c r="AA9270" s="220">
        <f>SUM(X9270:Z9270)</f>
        <v>0</v>
      </c>
      <c r="AB9270" s="222"/>
    </row>
    <row r="9271" spans="1:28" ht="17.100000000000001" customHeight="1" thickBot="1">
      <c r="A9271" s="227"/>
      <c r="B9271" s="27" t="s">
        <v>2171</v>
      </c>
      <c r="C9271" s="27">
        <v>50206</v>
      </c>
      <c r="D9271" s="14" t="s">
        <v>1584</v>
      </c>
      <c r="E9271" s="229"/>
      <c r="F9271" s="117" t="s">
        <v>26086</v>
      </c>
      <c r="G9271" s="26">
        <v>55228</v>
      </c>
      <c r="H9271" s="231"/>
      <c r="I9271" s="221"/>
      <c r="J9271" s="221"/>
      <c r="K9271" s="221"/>
      <c r="L9271" s="221"/>
      <c r="M9271" s="221"/>
      <c r="N9271" s="221"/>
      <c r="O9271" s="225"/>
      <c r="P9271" s="118"/>
      <c r="Q9271" s="16" t="s">
        <v>20</v>
      </c>
      <c r="R9271" s="17"/>
      <c r="S9271" s="121"/>
      <c r="T9271" s="122"/>
      <c r="U9271" s="22"/>
      <c r="V9271" s="123"/>
      <c r="W9271" s="122"/>
      <c r="X9271" s="221"/>
      <c r="Y9271" s="221"/>
      <c r="Z9271" s="221"/>
      <c r="AA9271" s="221"/>
      <c r="AB9271" s="223"/>
    </row>
    <row r="9272" spans="1:28" ht="17.100000000000001" customHeight="1" thickTop="1">
      <c r="A9272" s="226" t="s">
        <v>26125</v>
      </c>
      <c r="B9272" s="28">
        <v>46163</v>
      </c>
      <c r="C9272" s="25">
        <v>2027</v>
      </c>
      <c r="D9272" s="13" t="s">
        <v>3269</v>
      </c>
      <c r="E9272" s="228"/>
      <c r="F9272" s="109" t="s">
        <v>26087</v>
      </c>
      <c r="G9272" s="24"/>
      <c r="H9272" s="230">
        <v>4</v>
      </c>
      <c r="I9272" s="220">
        <v>1125000</v>
      </c>
      <c r="J9272" s="220">
        <f>I9272*0.1</f>
        <v>112500</v>
      </c>
      <c r="K9272" s="220">
        <v>0</v>
      </c>
      <c r="L9272" s="220">
        <v>9310</v>
      </c>
      <c r="M9272" s="220">
        <v>22000</v>
      </c>
      <c r="N9272" s="220">
        <f>SUM(I9272:M9273)</f>
        <v>1268810</v>
      </c>
      <c r="O9272" s="224"/>
      <c r="P9272" s="110"/>
      <c r="Q9272" s="15" t="s">
        <v>19</v>
      </c>
      <c r="R9272" s="205"/>
      <c r="S9272" s="189" t="s">
        <v>3429</v>
      </c>
      <c r="T9272" s="114"/>
      <c r="U9272" s="21"/>
      <c r="V9272" s="115"/>
      <c r="W9272" s="116"/>
      <c r="X9272" s="220"/>
      <c r="Y9272" s="220">
        <f>X9272*0.1</f>
        <v>0</v>
      </c>
      <c r="Z9272" s="220"/>
      <c r="AA9272" s="220">
        <f>SUM(X9272:Z9272)</f>
        <v>0</v>
      </c>
      <c r="AB9272" s="222"/>
    </row>
    <row r="9273" spans="1:28" ht="17.100000000000001" customHeight="1" thickBot="1">
      <c r="A9273" s="227"/>
      <c r="B9273" s="27" t="s">
        <v>2171</v>
      </c>
      <c r="C9273" s="27">
        <v>50229</v>
      </c>
      <c r="D9273" s="14" t="s">
        <v>2559</v>
      </c>
      <c r="E9273" s="229"/>
      <c r="F9273" s="117" t="s">
        <v>26088</v>
      </c>
      <c r="G9273" s="26">
        <v>37766</v>
      </c>
      <c r="H9273" s="231"/>
      <c r="I9273" s="221"/>
      <c r="J9273" s="221"/>
      <c r="K9273" s="221"/>
      <c r="L9273" s="221"/>
      <c r="M9273" s="221"/>
      <c r="N9273" s="221"/>
      <c r="O9273" s="225"/>
      <c r="P9273" s="118"/>
      <c r="Q9273" s="16" t="s">
        <v>20</v>
      </c>
      <c r="R9273" s="17"/>
      <c r="S9273" s="121"/>
      <c r="T9273" s="122"/>
      <c r="U9273" s="22"/>
      <c r="V9273" s="123"/>
      <c r="W9273" s="122"/>
      <c r="X9273" s="221"/>
      <c r="Y9273" s="221"/>
      <c r="Z9273" s="221"/>
      <c r="AA9273" s="221"/>
      <c r="AB9273" s="223"/>
    </row>
    <row r="9274" spans="1:28" ht="17.100000000000001" customHeight="1" thickTop="1">
      <c r="A9274" s="226" t="s">
        <v>26126</v>
      </c>
      <c r="B9274" s="28">
        <v>46163</v>
      </c>
      <c r="C9274" s="25">
        <v>2027</v>
      </c>
      <c r="D9274" s="13" t="s">
        <v>1053</v>
      </c>
      <c r="E9274" s="228"/>
      <c r="F9274" s="109" t="s">
        <v>26128</v>
      </c>
      <c r="G9274" s="24"/>
      <c r="H9274" s="230">
        <v>4</v>
      </c>
      <c r="I9274" s="220">
        <v>493000</v>
      </c>
      <c r="J9274" s="220">
        <f>I9274*0.1</f>
        <v>49300</v>
      </c>
      <c r="K9274" s="220">
        <v>0</v>
      </c>
      <c r="L9274" s="220">
        <v>7860</v>
      </c>
      <c r="M9274" s="220">
        <v>22000</v>
      </c>
      <c r="N9274" s="220">
        <f>SUM(I9274:M9275)</f>
        <v>572160</v>
      </c>
      <c r="O9274" s="224"/>
      <c r="P9274" s="110"/>
      <c r="Q9274" s="15" t="s">
        <v>19</v>
      </c>
      <c r="R9274" s="205"/>
      <c r="S9274" s="189" t="s">
        <v>169</v>
      </c>
      <c r="T9274" s="114"/>
      <c r="U9274" s="21"/>
      <c r="V9274" s="115"/>
      <c r="W9274" s="116"/>
      <c r="X9274" s="220"/>
      <c r="Y9274" s="220">
        <f>X9274*0.1</f>
        <v>0</v>
      </c>
      <c r="Z9274" s="220"/>
      <c r="AA9274" s="220">
        <f>SUM(X9274:Z9274)</f>
        <v>0</v>
      </c>
      <c r="AB9274" s="222"/>
    </row>
    <row r="9275" spans="1:28" ht="17.100000000000001" customHeight="1" thickBot="1">
      <c r="A9275" s="227"/>
      <c r="B9275" s="27" t="s">
        <v>2171</v>
      </c>
      <c r="C9275" s="27">
        <v>50287</v>
      </c>
      <c r="D9275" s="14" t="s">
        <v>1584</v>
      </c>
      <c r="E9275" s="229"/>
      <c r="F9275" s="117" t="s">
        <v>26127</v>
      </c>
      <c r="G9275" s="26">
        <v>52128</v>
      </c>
      <c r="H9275" s="231"/>
      <c r="I9275" s="221"/>
      <c r="J9275" s="221"/>
      <c r="K9275" s="221"/>
      <c r="L9275" s="221"/>
      <c r="M9275" s="221"/>
      <c r="N9275" s="221"/>
      <c r="O9275" s="225"/>
      <c r="P9275" s="118"/>
      <c r="Q9275" s="16" t="s">
        <v>20</v>
      </c>
      <c r="R9275" s="17"/>
      <c r="S9275" s="121"/>
      <c r="T9275" s="122"/>
      <c r="U9275" s="22"/>
      <c r="V9275" s="123"/>
      <c r="W9275" s="122"/>
      <c r="X9275" s="221"/>
      <c r="Y9275" s="221"/>
      <c r="Z9275" s="221"/>
      <c r="AA9275" s="221"/>
      <c r="AB9275" s="223"/>
    </row>
    <row r="9276" spans="1:28" ht="17.100000000000001" customHeight="1" thickTop="1">
      <c r="A9276" s="226" t="s">
        <v>26134</v>
      </c>
      <c r="B9276" s="28">
        <v>46163</v>
      </c>
      <c r="C9276" s="25">
        <v>1883</v>
      </c>
      <c r="D9276" s="13" t="s">
        <v>2379</v>
      </c>
      <c r="E9276" s="228"/>
      <c r="F9276" s="109" t="s">
        <v>26132</v>
      </c>
      <c r="G9276" s="24" t="s">
        <v>2543</v>
      </c>
      <c r="H9276" s="230">
        <v>3.5</v>
      </c>
      <c r="I9276" s="220">
        <v>4302000</v>
      </c>
      <c r="J9276" s="220">
        <f>I9276*0.1</f>
        <v>430200</v>
      </c>
      <c r="K9276" s="220">
        <f>36200+3620</f>
        <v>39820</v>
      </c>
      <c r="L9276" s="220">
        <v>15470</v>
      </c>
      <c r="M9276" s="220">
        <v>22000</v>
      </c>
      <c r="N9276" s="220">
        <f>SUM(I9276:M9277)</f>
        <v>4809490</v>
      </c>
      <c r="O9276" s="224"/>
      <c r="P9276" s="110" t="s">
        <v>26133</v>
      </c>
      <c r="Q9276" s="15" t="s">
        <v>19</v>
      </c>
      <c r="R9276" s="205"/>
      <c r="S9276" s="189" t="s">
        <v>1782</v>
      </c>
      <c r="T9276" s="114"/>
      <c r="U9276" s="21"/>
      <c r="V9276" s="115"/>
      <c r="W9276" s="116"/>
      <c r="X9276" s="220"/>
      <c r="Y9276" s="220">
        <f>X9276*0.1</f>
        <v>0</v>
      </c>
      <c r="Z9276" s="220"/>
      <c r="AA9276" s="220">
        <f>SUM(X9276:Z9276)</f>
        <v>0</v>
      </c>
      <c r="AB9276" s="222"/>
    </row>
    <row r="9277" spans="1:28" ht="17.100000000000001" customHeight="1" thickBot="1">
      <c r="A9277" s="227"/>
      <c r="B9277" s="27" t="s">
        <v>26109</v>
      </c>
      <c r="C9277" s="27">
        <v>1781</v>
      </c>
      <c r="D9277" s="14" t="s">
        <v>273</v>
      </c>
      <c r="E9277" s="229"/>
      <c r="F9277" s="117" t="s">
        <v>26110</v>
      </c>
      <c r="G9277" s="26">
        <v>17189</v>
      </c>
      <c r="H9277" s="231"/>
      <c r="I9277" s="221"/>
      <c r="J9277" s="221"/>
      <c r="K9277" s="221"/>
      <c r="L9277" s="221"/>
      <c r="M9277" s="221"/>
      <c r="N9277" s="221"/>
      <c r="O9277" s="225"/>
      <c r="P9277" s="118" t="s">
        <v>2287</v>
      </c>
      <c r="Q9277" s="16" t="s">
        <v>20</v>
      </c>
      <c r="R9277" s="17" t="s">
        <v>3717</v>
      </c>
      <c r="S9277" s="121" t="s">
        <v>26541</v>
      </c>
      <c r="T9277" s="122"/>
      <c r="U9277" s="22"/>
      <c r="V9277" s="123"/>
      <c r="W9277" s="122"/>
      <c r="X9277" s="221"/>
      <c r="Y9277" s="221"/>
      <c r="Z9277" s="221"/>
      <c r="AA9277" s="221"/>
      <c r="AB9277" s="223"/>
    </row>
    <row r="9278" spans="1:28" ht="17.100000000000001" customHeight="1" thickTop="1">
      <c r="A9278" s="226" t="s">
        <v>26135</v>
      </c>
      <c r="B9278" s="28">
        <v>46163</v>
      </c>
      <c r="C9278" s="25">
        <v>1983</v>
      </c>
      <c r="D9278" s="13" t="s">
        <v>1947</v>
      </c>
      <c r="E9278" s="228"/>
      <c r="F9278" s="109" t="s">
        <v>17814</v>
      </c>
      <c r="G9278" s="24"/>
      <c r="H9278" s="230">
        <v>5</v>
      </c>
      <c r="I9278" s="220">
        <v>884000</v>
      </c>
      <c r="J9278" s="220">
        <f>I9278*0.1</f>
        <v>88400</v>
      </c>
      <c r="K9278" s="220">
        <v>0</v>
      </c>
      <c r="L9278" s="220">
        <v>8510</v>
      </c>
      <c r="M9278" s="220">
        <v>17050</v>
      </c>
      <c r="N9278" s="220">
        <f>SUM(I9278:M9279)</f>
        <v>997960</v>
      </c>
      <c r="O9278" s="224"/>
      <c r="P9278" s="110" t="s">
        <v>26534</v>
      </c>
      <c r="Q9278" s="15" t="s">
        <v>19</v>
      </c>
      <c r="R9278" s="205"/>
      <c r="S9278" s="189"/>
      <c r="T9278" s="114"/>
      <c r="U9278" s="21"/>
      <c r="V9278" s="115"/>
      <c r="W9278" s="116"/>
      <c r="X9278" s="220"/>
      <c r="Y9278" s="220">
        <f>X9278*0.1</f>
        <v>0</v>
      </c>
      <c r="Z9278" s="220"/>
      <c r="AA9278" s="220">
        <f>SUM(X9278:Z9278)</f>
        <v>0</v>
      </c>
      <c r="AB9278" s="222"/>
    </row>
    <row r="9279" spans="1:28" ht="17.100000000000001" customHeight="1" thickBot="1">
      <c r="A9279" s="227"/>
      <c r="B9279" s="27" t="s">
        <v>3730</v>
      </c>
      <c r="C9279" s="27">
        <v>3110</v>
      </c>
      <c r="D9279" s="14" t="s">
        <v>1710</v>
      </c>
      <c r="E9279" s="229"/>
      <c r="F9279" s="117" t="s">
        <v>26139</v>
      </c>
      <c r="G9279" s="26">
        <v>9214</v>
      </c>
      <c r="H9279" s="231"/>
      <c r="I9279" s="221"/>
      <c r="J9279" s="221"/>
      <c r="K9279" s="221"/>
      <c r="L9279" s="221"/>
      <c r="M9279" s="221"/>
      <c r="N9279" s="221"/>
      <c r="O9279" s="225"/>
      <c r="P9279" s="118" t="s">
        <v>13536</v>
      </c>
      <c r="Q9279" s="16" t="s">
        <v>20</v>
      </c>
      <c r="R9279" s="17" t="s">
        <v>3717</v>
      </c>
      <c r="S9279" s="121" t="s">
        <v>10120</v>
      </c>
      <c r="T9279" s="122"/>
      <c r="U9279" s="22"/>
      <c r="V9279" s="123"/>
      <c r="W9279" s="122"/>
      <c r="X9279" s="221"/>
      <c r="Y9279" s="221"/>
      <c r="Z9279" s="221"/>
      <c r="AA9279" s="221"/>
      <c r="AB9279" s="223"/>
    </row>
    <row r="9280" spans="1:28" ht="17.100000000000001" customHeight="1" thickTop="1">
      <c r="A9280" s="226" t="s">
        <v>26136</v>
      </c>
      <c r="B9280" s="28">
        <v>46163</v>
      </c>
      <c r="C9280" s="25">
        <v>1983</v>
      </c>
      <c r="D9280" s="13" t="s">
        <v>2920</v>
      </c>
      <c r="E9280" s="228"/>
      <c r="F9280" s="109" t="s">
        <v>5164</v>
      </c>
      <c r="G9280" s="24"/>
      <c r="H9280" s="230">
        <v>4</v>
      </c>
      <c r="I9280" s="220">
        <v>1303000</v>
      </c>
      <c r="J9280" s="220">
        <f>I9280*0.1</f>
        <v>130300</v>
      </c>
      <c r="K9280" s="220">
        <v>0</v>
      </c>
      <c r="L9280" s="220">
        <v>11810</v>
      </c>
      <c r="M9280" s="220">
        <v>15950</v>
      </c>
      <c r="N9280" s="220">
        <f>SUM(I9280:M9281)</f>
        <v>1461060</v>
      </c>
      <c r="O9280" s="224"/>
      <c r="P9280" s="110"/>
      <c r="Q9280" s="15" t="s">
        <v>19</v>
      </c>
      <c r="R9280" s="205"/>
      <c r="S9280" s="189" t="s">
        <v>1661</v>
      </c>
      <c r="T9280" s="114"/>
      <c r="U9280" s="21"/>
      <c r="V9280" s="115"/>
      <c r="W9280" s="116"/>
      <c r="X9280" s="220"/>
      <c r="Y9280" s="220">
        <f>X9280*0.1</f>
        <v>0</v>
      </c>
      <c r="Z9280" s="220"/>
      <c r="AA9280" s="220">
        <f>SUM(X9280:Z9280)</f>
        <v>0</v>
      </c>
      <c r="AB9280" s="222"/>
    </row>
    <row r="9281" spans="1:28" ht="17.100000000000001" customHeight="1" thickBot="1">
      <c r="A9281" s="227"/>
      <c r="B9281" s="27" t="s">
        <v>3730</v>
      </c>
      <c r="C9281" s="27">
        <v>5011</v>
      </c>
      <c r="D9281" s="14" t="s">
        <v>2177</v>
      </c>
      <c r="E9281" s="229"/>
      <c r="F9281" s="117" t="s">
        <v>26140</v>
      </c>
      <c r="G9281" s="26">
        <v>12952</v>
      </c>
      <c r="H9281" s="231"/>
      <c r="I9281" s="221"/>
      <c r="J9281" s="221"/>
      <c r="K9281" s="221"/>
      <c r="L9281" s="221"/>
      <c r="M9281" s="221"/>
      <c r="N9281" s="221"/>
      <c r="O9281" s="225"/>
      <c r="P9281" s="118"/>
      <c r="Q9281" s="16" t="s">
        <v>20</v>
      </c>
      <c r="R9281" s="17"/>
      <c r="S9281" s="121" t="s">
        <v>11120</v>
      </c>
      <c r="T9281" s="122"/>
      <c r="U9281" s="22"/>
      <c r="V9281" s="123"/>
      <c r="W9281" s="122"/>
      <c r="X9281" s="221"/>
      <c r="Y9281" s="221"/>
      <c r="Z9281" s="221"/>
      <c r="AA9281" s="221"/>
      <c r="AB9281" s="223"/>
    </row>
    <row r="9282" spans="1:28" ht="17.100000000000001" customHeight="1" thickTop="1">
      <c r="A9282" s="226" t="s">
        <v>26137</v>
      </c>
      <c r="B9282" s="28">
        <v>46163</v>
      </c>
      <c r="C9282" s="25">
        <v>1983</v>
      </c>
      <c r="D9282" s="13" t="s">
        <v>2712</v>
      </c>
      <c r="E9282" s="228"/>
      <c r="F9282" s="109" t="s">
        <v>26141</v>
      </c>
      <c r="G9282" s="24" t="s">
        <v>2907</v>
      </c>
      <c r="H9282" s="230">
        <v>3.5</v>
      </c>
      <c r="I9282" s="220">
        <v>2439000</v>
      </c>
      <c r="J9282" s="220">
        <f>I9282*0.1</f>
        <v>243900</v>
      </c>
      <c r="K9282" s="220">
        <v>33000</v>
      </c>
      <c r="L9282" s="220">
        <v>17480</v>
      </c>
      <c r="M9282" s="220">
        <v>15950</v>
      </c>
      <c r="N9282" s="220">
        <f>SUM(I9282:M9283)</f>
        <v>2749330</v>
      </c>
      <c r="O9282" s="224"/>
      <c r="P9282" s="110" t="s">
        <v>26143</v>
      </c>
      <c r="Q9282" s="15" t="s">
        <v>19</v>
      </c>
      <c r="R9282" s="205"/>
      <c r="S9282" s="189" t="s">
        <v>26266</v>
      </c>
      <c r="T9282" s="114"/>
      <c r="U9282" s="21"/>
      <c r="V9282" s="115"/>
      <c r="W9282" s="116"/>
      <c r="X9282" s="220"/>
      <c r="Y9282" s="220">
        <f>X9282*0.1</f>
        <v>0</v>
      </c>
      <c r="Z9282" s="220"/>
      <c r="AA9282" s="220">
        <f>SUM(X9282:Z9282)</f>
        <v>0</v>
      </c>
      <c r="AB9282" s="222"/>
    </row>
    <row r="9283" spans="1:28" ht="17.100000000000001" customHeight="1" thickBot="1">
      <c r="A9283" s="227"/>
      <c r="B9283" s="27" t="s">
        <v>3730</v>
      </c>
      <c r="C9283" s="27">
        <v>5028</v>
      </c>
      <c r="D9283" s="14" t="s">
        <v>273</v>
      </c>
      <c r="E9283" s="229"/>
      <c r="F9283" s="117" t="s">
        <v>26142</v>
      </c>
      <c r="G9283" s="26">
        <v>33003</v>
      </c>
      <c r="H9283" s="231"/>
      <c r="I9283" s="221"/>
      <c r="J9283" s="221"/>
      <c r="K9283" s="221"/>
      <c r="L9283" s="221"/>
      <c r="M9283" s="221"/>
      <c r="N9283" s="221"/>
      <c r="O9283" s="225"/>
      <c r="P9283" s="118" t="s">
        <v>26265</v>
      </c>
      <c r="Q9283" s="16" t="s">
        <v>20</v>
      </c>
      <c r="R9283" s="17" t="s">
        <v>3702</v>
      </c>
      <c r="S9283" s="121" t="s">
        <v>26564</v>
      </c>
      <c r="T9283" s="122"/>
      <c r="U9283" s="22"/>
      <c r="V9283" s="123"/>
      <c r="W9283" s="122"/>
      <c r="X9283" s="221"/>
      <c r="Y9283" s="221"/>
      <c r="Z9283" s="221"/>
      <c r="AA9283" s="221"/>
      <c r="AB9283" s="223"/>
    </row>
    <row r="9284" spans="1:28" ht="17.100000000000001" customHeight="1" thickTop="1">
      <c r="A9284" s="226" t="s">
        <v>26138</v>
      </c>
      <c r="B9284" s="28">
        <v>46163</v>
      </c>
      <c r="C9284" s="25">
        <v>1983</v>
      </c>
      <c r="D9284" s="13" t="s">
        <v>2057</v>
      </c>
      <c r="E9284" s="228"/>
      <c r="F9284" s="109" t="s">
        <v>26144</v>
      </c>
      <c r="G9284" s="24"/>
      <c r="H9284" s="230">
        <v>4.5</v>
      </c>
      <c r="I9284" s="220">
        <v>1348000</v>
      </c>
      <c r="J9284" s="220">
        <f>I9284*0.1</f>
        <v>134800</v>
      </c>
      <c r="K9284" s="220">
        <v>0</v>
      </c>
      <c r="L9284" s="220">
        <v>8990</v>
      </c>
      <c r="M9284" s="220">
        <v>15950</v>
      </c>
      <c r="N9284" s="220">
        <f>SUM(I9284:M9285)</f>
        <v>1507740</v>
      </c>
      <c r="O9284" s="224"/>
      <c r="P9284" s="110"/>
      <c r="Q9284" s="15" t="s">
        <v>19</v>
      </c>
      <c r="R9284" s="205"/>
      <c r="S9284" s="189" t="s">
        <v>1661</v>
      </c>
      <c r="T9284" s="114"/>
      <c r="U9284" s="21"/>
      <c r="V9284" s="115"/>
      <c r="W9284" s="116"/>
      <c r="X9284" s="220"/>
      <c r="Y9284" s="220">
        <f>X9284*0.1</f>
        <v>0</v>
      </c>
      <c r="Z9284" s="220"/>
      <c r="AA9284" s="220">
        <f>SUM(X9284:Z9284)</f>
        <v>0</v>
      </c>
      <c r="AB9284" s="222"/>
    </row>
    <row r="9285" spans="1:28" ht="17.100000000000001" customHeight="1" thickBot="1">
      <c r="A9285" s="227"/>
      <c r="B9285" s="27" t="s">
        <v>3730</v>
      </c>
      <c r="C9285" s="27">
        <v>62024</v>
      </c>
      <c r="D9285" s="14" t="s">
        <v>1584</v>
      </c>
      <c r="E9285" s="229"/>
      <c r="F9285" s="117" t="s">
        <v>26145</v>
      </c>
      <c r="G9285" s="26">
        <v>5293</v>
      </c>
      <c r="H9285" s="231"/>
      <c r="I9285" s="221"/>
      <c r="J9285" s="221"/>
      <c r="K9285" s="221"/>
      <c r="L9285" s="221"/>
      <c r="M9285" s="221"/>
      <c r="N9285" s="221"/>
      <c r="O9285" s="225"/>
      <c r="P9285" s="118"/>
      <c r="Q9285" s="16" t="s">
        <v>20</v>
      </c>
      <c r="R9285" s="17"/>
      <c r="S9285" s="121"/>
      <c r="T9285" s="122"/>
      <c r="U9285" s="22"/>
      <c r="V9285" s="123"/>
      <c r="W9285" s="122"/>
      <c r="X9285" s="221"/>
      <c r="Y9285" s="221"/>
      <c r="Z9285" s="221"/>
      <c r="AA9285" s="221"/>
      <c r="AB9285" s="223"/>
    </row>
    <row r="9286" spans="1:28" ht="17.100000000000001" customHeight="1" thickTop="1">
      <c r="A9286" s="226" t="s">
        <v>26146</v>
      </c>
      <c r="B9286" s="28">
        <v>46163</v>
      </c>
      <c r="C9286" s="25">
        <v>1331</v>
      </c>
      <c r="D9286" s="13" t="s">
        <v>1788</v>
      </c>
      <c r="E9286" s="228"/>
      <c r="F9286" s="109" t="s">
        <v>24912</v>
      </c>
      <c r="G9286" s="24"/>
      <c r="H9286" s="230">
        <v>4.5</v>
      </c>
      <c r="I9286" s="220">
        <v>1715000</v>
      </c>
      <c r="J9286" s="220">
        <f>I9286*0.1</f>
        <v>171500</v>
      </c>
      <c r="K9286" s="220">
        <v>0</v>
      </c>
      <c r="L9286" s="220">
        <v>20800</v>
      </c>
      <c r="M9286" s="220">
        <v>16500</v>
      </c>
      <c r="N9286" s="220">
        <f>SUM(I9286:M9287)</f>
        <v>1923800</v>
      </c>
      <c r="O9286" s="224"/>
      <c r="P9286" s="110" t="s">
        <v>26556</v>
      </c>
      <c r="Q9286" s="15" t="s">
        <v>19</v>
      </c>
      <c r="R9286" s="205"/>
      <c r="S9286" s="189" t="s">
        <v>1557</v>
      </c>
      <c r="T9286" s="114"/>
      <c r="U9286" s="21"/>
      <c r="V9286" s="115"/>
      <c r="W9286" s="116"/>
      <c r="X9286" s="220"/>
      <c r="Y9286" s="220">
        <f>X9286*0.1</f>
        <v>0</v>
      </c>
      <c r="Z9286" s="220"/>
      <c r="AA9286" s="220">
        <f>SUM(X9286:Z9286)</f>
        <v>0</v>
      </c>
      <c r="AB9286" s="222"/>
    </row>
    <row r="9287" spans="1:28" ht="17.100000000000001" customHeight="1" thickBot="1">
      <c r="A9287" s="227"/>
      <c r="B9287" s="27" t="s">
        <v>1735</v>
      </c>
      <c r="C9287" s="27">
        <v>155</v>
      </c>
      <c r="D9287" s="14" t="s">
        <v>1710</v>
      </c>
      <c r="E9287" s="229"/>
      <c r="F9287" s="117" t="s">
        <v>26153</v>
      </c>
      <c r="G9287" s="26">
        <v>51253</v>
      </c>
      <c r="H9287" s="231"/>
      <c r="I9287" s="221"/>
      <c r="J9287" s="221"/>
      <c r="K9287" s="221"/>
      <c r="L9287" s="221"/>
      <c r="M9287" s="221"/>
      <c r="N9287" s="221"/>
      <c r="O9287" s="225"/>
      <c r="P9287" s="118" t="s">
        <v>13749</v>
      </c>
      <c r="Q9287" s="16" t="s">
        <v>20</v>
      </c>
      <c r="R9287" s="17" t="s">
        <v>3717</v>
      </c>
      <c r="S9287" s="121" t="s">
        <v>26557</v>
      </c>
      <c r="T9287" s="122"/>
      <c r="U9287" s="22"/>
      <c r="V9287" s="123"/>
      <c r="W9287" s="122"/>
      <c r="X9287" s="221"/>
      <c r="Y9287" s="221"/>
      <c r="Z9287" s="221"/>
      <c r="AA9287" s="221"/>
      <c r="AB9287" s="223"/>
    </row>
    <row r="9288" spans="1:28" ht="17.100000000000001" customHeight="1" thickTop="1">
      <c r="A9288" s="226" t="s">
        <v>26147</v>
      </c>
      <c r="B9288" s="28">
        <v>46163</v>
      </c>
      <c r="C9288" s="25">
        <v>1331</v>
      </c>
      <c r="D9288" s="13" t="s">
        <v>1931</v>
      </c>
      <c r="E9288" s="228"/>
      <c r="F9288" s="109" t="s">
        <v>2685</v>
      </c>
      <c r="G9288" s="24"/>
      <c r="H9288" s="230">
        <v>4.5</v>
      </c>
      <c r="I9288" s="220">
        <v>650000</v>
      </c>
      <c r="J9288" s="220">
        <f>I9288*0.1</f>
        <v>65000</v>
      </c>
      <c r="K9288" s="220">
        <v>0</v>
      </c>
      <c r="L9288" s="220">
        <v>19090</v>
      </c>
      <c r="M9288" s="220">
        <v>26400</v>
      </c>
      <c r="N9288" s="220">
        <f>SUM(I9288:M9289)</f>
        <v>760490</v>
      </c>
      <c r="O9288" s="224"/>
      <c r="P9288" s="110" t="s">
        <v>26268</v>
      </c>
      <c r="Q9288" s="15" t="s">
        <v>19</v>
      </c>
      <c r="R9288" s="205"/>
      <c r="S9288" s="189" t="s">
        <v>1722</v>
      </c>
      <c r="T9288" s="114"/>
      <c r="U9288" s="21"/>
      <c r="V9288" s="115"/>
      <c r="W9288" s="116"/>
      <c r="X9288" s="220"/>
      <c r="Y9288" s="220">
        <f>X9288*0.1</f>
        <v>0</v>
      </c>
      <c r="Z9288" s="220"/>
      <c r="AA9288" s="220">
        <f>SUM(X9288:Z9288)</f>
        <v>0</v>
      </c>
      <c r="AB9288" s="222"/>
    </row>
    <row r="9289" spans="1:28" ht="17.100000000000001" customHeight="1" thickBot="1">
      <c r="A9289" s="227"/>
      <c r="B9289" s="27" t="s">
        <v>1735</v>
      </c>
      <c r="C9289" s="27">
        <v>341</v>
      </c>
      <c r="D9289" s="14" t="s">
        <v>1568</v>
      </c>
      <c r="E9289" s="229"/>
      <c r="F9289" s="117" t="s">
        <v>26154</v>
      </c>
      <c r="G9289" s="26">
        <v>91481</v>
      </c>
      <c r="H9289" s="231"/>
      <c r="I9289" s="221"/>
      <c r="J9289" s="221"/>
      <c r="K9289" s="221"/>
      <c r="L9289" s="221"/>
      <c r="M9289" s="221"/>
      <c r="N9289" s="221"/>
      <c r="O9289" s="225"/>
      <c r="P9289" s="118" t="s">
        <v>10534</v>
      </c>
      <c r="Q9289" s="16" t="s">
        <v>20</v>
      </c>
      <c r="R9289" s="17" t="s">
        <v>3702</v>
      </c>
      <c r="S9289" s="121" t="s">
        <v>1606</v>
      </c>
      <c r="T9289" s="122"/>
      <c r="U9289" s="22"/>
      <c r="V9289" s="123"/>
      <c r="W9289" s="122"/>
      <c r="X9289" s="221"/>
      <c r="Y9289" s="221"/>
      <c r="Z9289" s="221"/>
      <c r="AA9289" s="221"/>
      <c r="AB9289" s="223"/>
    </row>
    <row r="9290" spans="1:28" ht="17.100000000000001" customHeight="1" thickTop="1">
      <c r="A9290" s="226" t="s">
        <v>26148</v>
      </c>
      <c r="B9290" s="28">
        <v>46163</v>
      </c>
      <c r="C9290" s="25">
        <v>1331</v>
      </c>
      <c r="D9290" s="13" t="s">
        <v>2637</v>
      </c>
      <c r="E9290" s="228"/>
      <c r="F9290" s="109" t="s">
        <v>26155</v>
      </c>
      <c r="G9290" s="24"/>
      <c r="H9290" s="230">
        <v>4.5</v>
      </c>
      <c r="I9290" s="220">
        <v>2105000</v>
      </c>
      <c r="J9290" s="220">
        <f>I9290*0.1</f>
        <v>210500</v>
      </c>
      <c r="K9290" s="220">
        <v>0</v>
      </c>
      <c r="L9290" s="220">
        <v>22210</v>
      </c>
      <c r="M9290" s="220">
        <v>16500</v>
      </c>
      <c r="N9290" s="220">
        <f>SUM(I9290:M9291)</f>
        <v>2354210</v>
      </c>
      <c r="O9290" s="224"/>
      <c r="P9290" s="110"/>
      <c r="Q9290" s="15" t="s">
        <v>19</v>
      </c>
      <c r="R9290" s="205"/>
      <c r="S9290" s="189" t="s">
        <v>169</v>
      </c>
      <c r="T9290" s="114"/>
      <c r="U9290" s="21"/>
      <c r="V9290" s="115"/>
      <c r="W9290" s="116"/>
      <c r="X9290" s="220"/>
      <c r="Y9290" s="220">
        <f>X9290*0.1</f>
        <v>0</v>
      </c>
      <c r="Z9290" s="220"/>
      <c r="AA9290" s="220">
        <f>SUM(X9290:Z9290)</f>
        <v>0</v>
      </c>
      <c r="AB9290" s="222"/>
    </row>
    <row r="9291" spans="1:28" ht="17.100000000000001" customHeight="1" thickBot="1">
      <c r="A9291" s="227"/>
      <c r="B9291" s="27" t="s">
        <v>1735</v>
      </c>
      <c r="C9291" s="27">
        <v>503</v>
      </c>
      <c r="D9291" s="14" t="s">
        <v>1584</v>
      </c>
      <c r="E9291" s="229"/>
      <c r="F9291" s="117" t="s">
        <v>26156</v>
      </c>
      <c r="G9291" s="26">
        <v>82732</v>
      </c>
      <c r="H9291" s="231"/>
      <c r="I9291" s="221"/>
      <c r="J9291" s="221"/>
      <c r="K9291" s="221"/>
      <c r="L9291" s="221"/>
      <c r="M9291" s="221"/>
      <c r="N9291" s="221"/>
      <c r="O9291" s="225"/>
      <c r="P9291" s="118"/>
      <c r="Q9291" s="16" t="s">
        <v>20</v>
      </c>
      <c r="R9291" s="17"/>
      <c r="S9291" s="121"/>
      <c r="T9291" s="122"/>
      <c r="U9291" s="22"/>
      <c r="V9291" s="123"/>
      <c r="W9291" s="122"/>
      <c r="X9291" s="221"/>
      <c r="Y9291" s="221"/>
      <c r="Z9291" s="221"/>
      <c r="AA9291" s="221"/>
      <c r="AB9291" s="223"/>
    </row>
    <row r="9292" spans="1:28" ht="17.100000000000001" customHeight="1" thickTop="1">
      <c r="A9292" s="226" t="s">
        <v>26149</v>
      </c>
      <c r="B9292" s="28">
        <v>46163</v>
      </c>
      <c r="C9292" s="25">
        <v>1331</v>
      </c>
      <c r="D9292" s="13" t="s">
        <v>2866</v>
      </c>
      <c r="E9292" s="228"/>
      <c r="F9292" s="109" t="s">
        <v>26161</v>
      </c>
      <c r="G9292" s="24"/>
      <c r="H9292" s="230">
        <v>4.5</v>
      </c>
      <c r="I9292" s="220">
        <v>1305000</v>
      </c>
      <c r="J9292" s="220">
        <f>I9292*0.1</f>
        <v>130500</v>
      </c>
      <c r="K9292" s="220">
        <v>0</v>
      </c>
      <c r="L9292" s="220">
        <v>20540</v>
      </c>
      <c r="M9292" s="220">
        <v>16500</v>
      </c>
      <c r="N9292" s="220">
        <f>SUM(I9292:M9293)</f>
        <v>1472540</v>
      </c>
      <c r="O9292" s="224"/>
      <c r="P9292" s="110" t="s">
        <v>26555</v>
      </c>
      <c r="Q9292" s="15" t="s">
        <v>19</v>
      </c>
      <c r="R9292" s="205"/>
      <c r="S9292" s="189" t="s">
        <v>1923</v>
      </c>
      <c r="T9292" s="114"/>
      <c r="U9292" s="21"/>
      <c r="V9292" s="115"/>
      <c r="W9292" s="116"/>
      <c r="X9292" s="220"/>
      <c r="Y9292" s="220">
        <f>X9292*0.1</f>
        <v>0</v>
      </c>
      <c r="Z9292" s="220"/>
      <c r="AA9292" s="220">
        <f>SUM(X9292:Z9292)</f>
        <v>0</v>
      </c>
      <c r="AB9292" s="222"/>
    </row>
    <row r="9293" spans="1:28" ht="17.100000000000001" customHeight="1" thickBot="1">
      <c r="A9293" s="227"/>
      <c r="B9293" s="27" t="s">
        <v>1735</v>
      </c>
      <c r="C9293" s="27">
        <v>535</v>
      </c>
      <c r="D9293" s="14" t="s">
        <v>2559</v>
      </c>
      <c r="E9293" s="229"/>
      <c r="F9293" s="117" t="s">
        <v>26157</v>
      </c>
      <c r="G9293" s="26">
        <v>67925</v>
      </c>
      <c r="H9293" s="231"/>
      <c r="I9293" s="221"/>
      <c r="J9293" s="221"/>
      <c r="K9293" s="221"/>
      <c r="L9293" s="221"/>
      <c r="M9293" s="221"/>
      <c r="N9293" s="221"/>
      <c r="O9293" s="225"/>
      <c r="P9293" s="118" t="s">
        <v>11562</v>
      </c>
      <c r="Q9293" s="16" t="s">
        <v>20</v>
      </c>
      <c r="R9293" s="17" t="s">
        <v>3717</v>
      </c>
      <c r="S9293" s="121"/>
      <c r="T9293" s="122"/>
      <c r="U9293" s="22"/>
      <c r="V9293" s="123"/>
      <c r="W9293" s="122"/>
      <c r="X9293" s="221"/>
      <c r="Y9293" s="221"/>
      <c r="Z9293" s="221"/>
      <c r="AA9293" s="221"/>
      <c r="AB9293" s="223"/>
    </row>
    <row r="9294" spans="1:28" ht="17.100000000000001" customHeight="1" thickTop="1">
      <c r="A9294" s="226" t="s">
        <v>26150</v>
      </c>
      <c r="B9294" s="28">
        <v>46163</v>
      </c>
      <c r="C9294" s="25">
        <v>1331</v>
      </c>
      <c r="D9294" s="13" t="s">
        <v>4213</v>
      </c>
      <c r="E9294" s="228"/>
      <c r="F9294" s="109" t="s">
        <v>26159</v>
      </c>
      <c r="G9294" s="24" t="s">
        <v>4120</v>
      </c>
      <c r="H9294" s="230">
        <v>4.5</v>
      </c>
      <c r="I9294" s="220">
        <v>4010000</v>
      </c>
      <c r="J9294" s="220">
        <f>I9294*0.1</f>
        <v>401000</v>
      </c>
      <c r="K9294" s="220">
        <f>25400+2540</f>
        <v>27940</v>
      </c>
      <c r="L9294" s="220">
        <v>20450</v>
      </c>
      <c r="M9294" s="220">
        <v>16500</v>
      </c>
      <c r="N9294" s="220">
        <f>SUM(I9294:M9295)</f>
        <v>4475890</v>
      </c>
      <c r="O9294" s="224"/>
      <c r="P9294" s="110" t="s">
        <v>26160</v>
      </c>
      <c r="Q9294" s="15" t="s">
        <v>19</v>
      </c>
      <c r="R9294" s="205"/>
      <c r="S9294" s="189" t="s">
        <v>1625</v>
      </c>
      <c r="T9294" s="114"/>
      <c r="U9294" s="21"/>
      <c r="V9294" s="115"/>
      <c r="W9294" s="116"/>
      <c r="X9294" s="220"/>
      <c r="Y9294" s="220">
        <f>X9294*0.1</f>
        <v>0</v>
      </c>
      <c r="Z9294" s="220"/>
      <c r="AA9294" s="220">
        <f>SUM(X9294:Z9294)</f>
        <v>0</v>
      </c>
      <c r="AB9294" s="222"/>
    </row>
    <row r="9295" spans="1:28" ht="17.100000000000001" customHeight="1" thickBot="1">
      <c r="A9295" s="227"/>
      <c r="B9295" s="27" t="s">
        <v>1735</v>
      </c>
      <c r="C9295" s="27">
        <v>605</v>
      </c>
      <c r="D9295" s="14" t="s">
        <v>273</v>
      </c>
      <c r="E9295" s="229"/>
      <c r="F9295" s="117" t="s">
        <v>26158</v>
      </c>
      <c r="G9295" s="26">
        <v>40028</v>
      </c>
      <c r="H9295" s="231"/>
      <c r="I9295" s="221"/>
      <c r="J9295" s="221"/>
      <c r="K9295" s="221"/>
      <c r="L9295" s="221"/>
      <c r="M9295" s="221"/>
      <c r="N9295" s="221"/>
      <c r="O9295" s="225"/>
      <c r="P9295" s="118"/>
      <c r="Q9295" s="16" t="s">
        <v>20</v>
      </c>
      <c r="R9295" s="17"/>
      <c r="S9295" s="121"/>
      <c r="T9295" s="122"/>
      <c r="U9295" s="22"/>
      <c r="V9295" s="123"/>
      <c r="W9295" s="122"/>
      <c r="X9295" s="221"/>
      <c r="Y9295" s="221"/>
      <c r="Z9295" s="221"/>
      <c r="AA9295" s="221"/>
      <c r="AB9295" s="223"/>
    </row>
    <row r="9296" spans="1:28" ht="17.100000000000001" customHeight="1" thickTop="1">
      <c r="A9296" s="226" t="s">
        <v>26151</v>
      </c>
      <c r="B9296" s="28">
        <v>46163</v>
      </c>
      <c r="C9296" s="25">
        <v>2158</v>
      </c>
      <c r="D9296" s="13" t="s">
        <v>2429</v>
      </c>
      <c r="E9296" s="228"/>
      <c r="F9296" s="109" t="s">
        <v>4552</v>
      </c>
      <c r="G9296" s="24"/>
      <c r="H9296" s="230">
        <v>3.5</v>
      </c>
      <c r="I9296" s="220">
        <v>220000</v>
      </c>
      <c r="J9296" s="220">
        <f>I9296*0.1</f>
        <v>22000</v>
      </c>
      <c r="K9296" s="220">
        <v>0</v>
      </c>
      <c r="L9296" s="220">
        <v>7140</v>
      </c>
      <c r="M9296" s="220">
        <v>14300</v>
      </c>
      <c r="N9296" s="220">
        <f>SUM(I9296:M9297)</f>
        <v>263440</v>
      </c>
      <c r="O9296" s="224"/>
      <c r="P9296" s="110"/>
      <c r="Q9296" s="15" t="s">
        <v>19</v>
      </c>
      <c r="R9296" s="205"/>
      <c r="S9296" s="189"/>
      <c r="T9296" s="114"/>
      <c r="U9296" s="21"/>
      <c r="V9296" s="115"/>
      <c r="W9296" s="116"/>
      <c r="X9296" s="220"/>
      <c r="Y9296" s="220">
        <f>X9296*0.1</f>
        <v>0</v>
      </c>
      <c r="Z9296" s="220"/>
      <c r="AA9296" s="220">
        <f>SUM(X9296:Z9296)</f>
        <v>0</v>
      </c>
      <c r="AB9296" s="222"/>
    </row>
    <row r="9297" spans="1:28" ht="17.100000000000001" customHeight="1" thickBot="1">
      <c r="A9297" s="227"/>
      <c r="B9297" s="27" t="s">
        <v>3228</v>
      </c>
      <c r="C9297" s="27">
        <v>16</v>
      </c>
      <c r="D9297" s="14" t="s">
        <v>3274</v>
      </c>
      <c r="E9297" s="229"/>
      <c r="F9297" s="117" t="s">
        <v>26163</v>
      </c>
      <c r="G9297" s="26">
        <v>35826</v>
      </c>
      <c r="H9297" s="231"/>
      <c r="I9297" s="221"/>
      <c r="J9297" s="221"/>
      <c r="K9297" s="221"/>
      <c r="L9297" s="221"/>
      <c r="M9297" s="221"/>
      <c r="N9297" s="221"/>
      <c r="O9297" s="225"/>
      <c r="P9297" s="118"/>
      <c r="Q9297" s="16" t="s">
        <v>20</v>
      </c>
      <c r="R9297" s="17"/>
      <c r="S9297" s="121"/>
      <c r="T9297" s="122"/>
      <c r="U9297" s="22"/>
      <c r="V9297" s="123"/>
      <c r="W9297" s="122"/>
      <c r="X9297" s="221"/>
      <c r="Y9297" s="221"/>
      <c r="Z9297" s="221"/>
      <c r="AA9297" s="221"/>
      <c r="AB9297" s="223"/>
    </row>
    <row r="9298" spans="1:28" ht="17.100000000000001" customHeight="1" thickTop="1">
      <c r="A9298" s="226" t="s">
        <v>26152</v>
      </c>
      <c r="B9298" s="28">
        <v>46163</v>
      </c>
      <c r="C9298" s="25">
        <v>2158</v>
      </c>
      <c r="D9298" s="13" t="s">
        <v>2324</v>
      </c>
      <c r="E9298" s="228"/>
      <c r="F9298" s="109" t="s">
        <v>7264</v>
      </c>
      <c r="G9298" s="24"/>
      <c r="H9298" s="230">
        <v>4</v>
      </c>
      <c r="I9298" s="220">
        <v>301000</v>
      </c>
      <c r="J9298" s="220">
        <f>I9298*0.1</f>
        <v>30100</v>
      </c>
      <c r="K9298" s="220">
        <v>0</v>
      </c>
      <c r="L9298" s="220">
        <v>7140</v>
      </c>
      <c r="M9298" s="220">
        <v>14300</v>
      </c>
      <c r="N9298" s="220">
        <f>SUM(I9298:M9299)</f>
        <v>352540</v>
      </c>
      <c r="O9298" s="224"/>
      <c r="P9298" s="110" t="s">
        <v>19333</v>
      </c>
      <c r="Q9298" s="15" t="s">
        <v>19</v>
      </c>
      <c r="R9298" s="205"/>
      <c r="S9298" s="189" t="s">
        <v>1661</v>
      </c>
      <c r="T9298" s="114"/>
      <c r="U9298" s="21"/>
      <c r="V9298" s="115"/>
      <c r="W9298" s="116"/>
      <c r="X9298" s="220"/>
      <c r="Y9298" s="220">
        <f>X9298*0.1</f>
        <v>0</v>
      </c>
      <c r="Z9298" s="220"/>
      <c r="AA9298" s="220">
        <f>SUM(X9298:Z9298)</f>
        <v>0</v>
      </c>
      <c r="AB9298" s="222"/>
    </row>
    <row r="9299" spans="1:28" ht="17.100000000000001" customHeight="1" thickBot="1">
      <c r="A9299" s="227"/>
      <c r="B9299" s="27" t="s">
        <v>3228</v>
      </c>
      <c r="C9299" s="27">
        <v>2131</v>
      </c>
      <c r="D9299" s="14" t="s">
        <v>1710</v>
      </c>
      <c r="E9299" s="229"/>
      <c r="F9299" s="117" t="s">
        <v>19098</v>
      </c>
      <c r="G9299" s="26">
        <v>47945</v>
      </c>
      <c r="H9299" s="231"/>
      <c r="I9299" s="221"/>
      <c r="J9299" s="221"/>
      <c r="K9299" s="221"/>
      <c r="L9299" s="221"/>
      <c r="M9299" s="221"/>
      <c r="N9299" s="221"/>
      <c r="O9299" s="225"/>
      <c r="P9299" s="118" t="s">
        <v>19332</v>
      </c>
      <c r="Q9299" s="16" t="s">
        <v>20</v>
      </c>
      <c r="R9299" s="17" t="s">
        <v>3717</v>
      </c>
      <c r="S9299" s="121" t="s">
        <v>169</v>
      </c>
      <c r="T9299" s="122"/>
      <c r="U9299" s="22"/>
      <c r="V9299" s="123"/>
      <c r="W9299" s="122"/>
      <c r="X9299" s="221"/>
      <c r="Y9299" s="221"/>
      <c r="Z9299" s="221"/>
      <c r="AA9299" s="221"/>
      <c r="AB9299" s="223"/>
    </row>
    <row r="9300" spans="1:28" ht="17.100000000000001" customHeight="1" thickTop="1">
      <c r="A9300" s="226" t="s">
        <v>26162</v>
      </c>
      <c r="B9300" s="28">
        <v>46163</v>
      </c>
      <c r="C9300" s="25">
        <v>2158</v>
      </c>
      <c r="D9300" s="13" t="s">
        <v>3739</v>
      </c>
      <c r="E9300" s="228"/>
      <c r="F9300" s="109" t="s">
        <v>26164</v>
      </c>
      <c r="G9300" s="24" t="s">
        <v>26166</v>
      </c>
      <c r="H9300" s="230">
        <v>4</v>
      </c>
      <c r="I9300" s="220">
        <v>3074000</v>
      </c>
      <c r="J9300" s="220">
        <f>I9300*0.1</f>
        <v>307400</v>
      </c>
      <c r="K9300" s="220">
        <v>0</v>
      </c>
      <c r="L9300" s="220">
        <v>8830</v>
      </c>
      <c r="M9300" s="220">
        <v>14300</v>
      </c>
      <c r="N9300" s="220">
        <f>SUM(I9300:M9301)</f>
        <v>3404530</v>
      </c>
      <c r="O9300" s="224"/>
      <c r="P9300" s="110" t="s">
        <v>26167</v>
      </c>
      <c r="Q9300" s="15" t="s">
        <v>19</v>
      </c>
      <c r="R9300" s="205"/>
      <c r="S9300" s="189" t="s">
        <v>26168</v>
      </c>
      <c r="T9300" s="114"/>
      <c r="U9300" s="21"/>
      <c r="V9300" s="115"/>
      <c r="W9300" s="116"/>
      <c r="X9300" s="220"/>
      <c r="Y9300" s="220">
        <f>X9300*0.1</f>
        <v>0</v>
      </c>
      <c r="Z9300" s="220"/>
      <c r="AA9300" s="220">
        <f>SUM(X9300:Z9300)</f>
        <v>0</v>
      </c>
      <c r="AB9300" s="222"/>
    </row>
    <row r="9301" spans="1:28" ht="17.100000000000001" customHeight="1" thickBot="1">
      <c r="A9301" s="227"/>
      <c r="B9301" s="27" t="s">
        <v>3228</v>
      </c>
      <c r="C9301" s="27">
        <v>4038</v>
      </c>
      <c r="D9301" s="14" t="s">
        <v>1584</v>
      </c>
      <c r="E9301" s="229"/>
      <c r="F9301" s="117" t="s">
        <v>26165</v>
      </c>
      <c r="G9301" s="26">
        <v>44144</v>
      </c>
      <c r="H9301" s="231"/>
      <c r="I9301" s="221"/>
      <c r="J9301" s="221"/>
      <c r="K9301" s="221"/>
      <c r="L9301" s="221"/>
      <c r="M9301" s="221"/>
      <c r="N9301" s="221"/>
      <c r="O9301" s="225"/>
      <c r="P9301" s="118"/>
      <c r="Q9301" s="16" t="s">
        <v>20</v>
      </c>
      <c r="R9301" s="17"/>
      <c r="S9301" s="121" t="s">
        <v>26525</v>
      </c>
      <c r="T9301" s="122"/>
      <c r="U9301" s="22"/>
      <c r="V9301" s="123"/>
      <c r="W9301" s="122"/>
      <c r="X9301" s="221"/>
      <c r="Y9301" s="221"/>
      <c r="Z9301" s="221"/>
      <c r="AA9301" s="221"/>
      <c r="AB9301" s="223"/>
    </row>
    <row r="9302" spans="1:28" ht="17.100000000000001" customHeight="1" thickTop="1">
      <c r="A9302" s="226" t="s">
        <v>26384</v>
      </c>
      <c r="B9302" s="28">
        <v>46164</v>
      </c>
      <c r="C9302" s="25">
        <v>1419</v>
      </c>
      <c r="D9302" s="13" t="s">
        <v>1531</v>
      </c>
      <c r="E9302" s="228"/>
      <c r="F9302" s="109" t="s">
        <v>8683</v>
      </c>
      <c r="G9302" s="24" t="s">
        <v>20632</v>
      </c>
      <c r="H9302" s="230">
        <v>4.5</v>
      </c>
      <c r="I9302" s="220">
        <v>1563000</v>
      </c>
      <c r="J9302" s="220">
        <f>I9302*0.1</f>
        <v>156300</v>
      </c>
      <c r="K9302" s="220">
        <f>32900+3290</f>
        <v>36190</v>
      </c>
      <c r="L9302" s="220">
        <v>12470</v>
      </c>
      <c r="M9302" s="220">
        <v>15400</v>
      </c>
      <c r="N9302" s="220">
        <f>SUM(I9302:M9303)</f>
        <v>1783360</v>
      </c>
      <c r="O9302" s="224"/>
      <c r="P9302" s="110"/>
      <c r="Q9302" s="15" t="s">
        <v>19</v>
      </c>
      <c r="R9302" s="205"/>
      <c r="S9302" s="189"/>
      <c r="T9302" s="114"/>
      <c r="U9302" s="21"/>
      <c r="V9302" s="115"/>
      <c r="W9302" s="116"/>
      <c r="X9302" s="220"/>
      <c r="Y9302" s="220">
        <f>X9302*0.1</f>
        <v>0</v>
      </c>
      <c r="Z9302" s="220"/>
      <c r="AA9302" s="220">
        <f>SUM(X9302:Z9302)</f>
        <v>0</v>
      </c>
      <c r="AB9302" s="222"/>
    </row>
    <row r="9303" spans="1:28" ht="17.100000000000001" customHeight="1" thickBot="1">
      <c r="A9303" s="227"/>
      <c r="B9303" s="27" t="s">
        <v>2597</v>
      </c>
      <c r="C9303" s="27">
        <v>3064</v>
      </c>
      <c r="D9303" s="14" t="s">
        <v>2014</v>
      </c>
      <c r="E9303" s="229"/>
      <c r="F9303" s="117" t="s">
        <v>26309</v>
      </c>
      <c r="G9303" s="26">
        <v>66653</v>
      </c>
      <c r="H9303" s="231"/>
      <c r="I9303" s="221"/>
      <c r="J9303" s="221"/>
      <c r="K9303" s="221"/>
      <c r="L9303" s="221"/>
      <c r="M9303" s="221"/>
      <c r="N9303" s="221"/>
      <c r="O9303" s="225"/>
      <c r="P9303" s="118"/>
      <c r="Q9303" s="16" t="s">
        <v>20</v>
      </c>
      <c r="R9303" s="17"/>
      <c r="S9303" s="121" t="s">
        <v>26565</v>
      </c>
      <c r="T9303" s="122"/>
      <c r="U9303" s="22"/>
      <c r="V9303" s="123"/>
      <c r="W9303" s="122"/>
      <c r="X9303" s="221"/>
      <c r="Y9303" s="221"/>
      <c r="Z9303" s="221"/>
      <c r="AA9303" s="221"/>
      <c r="AB9303" s="223"/>
    </row>
    <row r="9304" spans="1:28" ht="17.100000000000001" customHeight="1" thickTop="1">
      <c r="A9304" s="226" t="s">
        <v>26385</v>
      </c>
      <c r="B9304" s="28">
        <v>46164</v>
      </c>
      <c r="C9304" s="25">
        <v>1419</v>
      </c>
      <c r="D9304" s="13" t="s">
        <v>1531</v>
      </c>
      <c r="E9304" s="228"/>
      <c r="F9304" s="109" t="s">
        <v>26310</v>
      </c>
      <c r="G9304" s="24" t="s">
        <v>21606</v>
      </c>
      <c r="H9304" s="230">
        <v>3.5</v>
      </c>
      <c r="I9304" s="220">
        <v>415000</v>
      </c>
      <c r="J9304" s="220">
        <f>I9304*0.1</f>
        <v>41500</v>
      </c>
      <c r="K9304" s="220">
        <v>0</v>
      </c>
      <c r="L9304" s="220">
        <v>9790</v>
      </c>
      <c r="M9304" s="220">
        <v>15400</v>
      </c>
      <c r="N9304" s="220">
        <f>SUM(I9304:M9305)</f>
        <v>481690</v>
      </c>
      <c r="O9304" s="224"/>
      <c r="P9304" s="110"/>
      <c r="Q9304" s="15" t="s">
        <v>19</v>
      </c>
      <c r="R9304" s="205"/>
      <c r="S9304" s="189"/>
      <c r="T9304" s="114"/>
      <c r="U9304" s="21"/>
      <c r="V9304" s="115"/>
      <c r="W9304" s="116"/>
      <c r="X9304" s="220"/>
      <c r="Y9304" s="220">
        <f>X9304*0.1</f>
        <v>0</v>
      </c>
      <c r="Z9304" s="220"/>
      <c r="AA9304" s="220">
        <f>SUM(X9304:Z9304)</f>
        <v>0</v>
      </c>
      <c r="AB9304" s="222"/>
    </row>
    <row r="9305" spans="1:28" ht="17.100000000000001" customHeight="1" thickBot="1">
      <c r="A9305" s="227"/>
      <c r="B9305" s="27" t="s">
        <v>2597</v>
      </c>
      <c r="C9305" s="27">
        <v>3084</v>
      </c>
      <c r="D9305" s="14" t="s">
        <v>3792</v>
      </c>
      <c r="E9305" s="229"/>
      <c r="F9305" s="117" t="s">
        <v>26311</v>
      </c>
      <c r="G9305" s="26">
        <v>53942</v>
      </c>
      <c r="H9305" s="231"/>
      <c r="I9305" s="221"/>
      <c r="J9305" s="221"/>
      <c r="K9305" s="221"/>
      <c r="L9305" s="221"/>
      <c r="M9305" s="221"/>
      <c r="N9305" s="221"/>
      <c r="O9305" s="225"/>
      <c r="P9305" s="118"/>
      <c r="Q9305" s="16" t="s">
        <v>20</v>
      </c>
      <c r="R9305" s="17"/>
      <c r="S9305" s="121"/>
      <c r="T9305" s="122"/>
      <c r="U9305" s="22"/>
      <c r="V9305" s="123"/>
      <c r="W9305" s="122"/>
      <c r="X9305" s="221"/>
      <c r="Y9305" s="221"/>
      <c r="Z9305" s="221"/>
      <c r="AA9305" s="221"/>
      <c r="AB9305" s="223"/>
    </row>
    <row r="9306" spans="1:28" ht="17.100000000000001" customHeight="1" thickTop="1">
      <c r="A9306" s="226" t="s">
        <v>26386</v>
      </c>
      <c r="B9306" s="28">
        <v>46164</v>
      </c>
      <c r="C9306" s="25">
        <v>1419</v>
      </c>
      <c r="D9306" s="13" t="s">
        <v>2573</v>
      </c>
      <c r="E9306" s="228"/>
      <c r="F9306" s="109" t="s">
        <v>26312</v>
      </c>
      <c r="G9306" s="24"/>
      <c r="H9306" s="230">
        <v>4.5</v>
      </c>
      <c r="I9306" s="220">
        <v>867000</v>
      </c>
      <c r="J9306" s="220">
        <f>I9306*0.1</f>
        <v>86700</v>
      </c>
      <c r="K9306" s="220">
        <v>0</v>
      </c>
      <c r="L9306" s="220">
        <v>9230</v>
      </c>
      <c r="M9306" s="220">
        <v>15400</v>
      </c>
      <c r="N9306" s="220">
        <f>SUM(I9306:M9307)</f>
        <v>978330</v>
      </c>
      <c r="O9306" s="224"/>
      <c r="P9306" s="110"/>
      <c r="Q9306" s="15" t="s">
        <v>19</v>
      </c>
      <c r="R9306" s="205"/>
      <c r="S9306" s="189" t="s">
        <v>1923</v>
      </c>
      <c r="T9306" s="114"/>
      <c r="U9306" s="21"/>
      <c r="V9306" s="115"/>
      <c r="W9306" s="116"/>
      <c r="X9306" s="220"/>
      <c r="Y9306" s="220">
        <f>X9306*0.1</f>
        <v>0</v>
      </c>
      <c r="Z9306" s="220"/>
      <c r="AA9306" s="220">
        <f>SUM(X9306:Z9306)</f>
        <v>0</v>
      </c>
      <c r="AB9306" s="222"/>
    </row>
    <row r="9307" spans="1:28" ht="17.100000000000001" customHeight="1" thickBot="1">
      <c r="A9307" s="227"/>
      <c r="B9307" s="27" t="s">
        <v>2597</v>
      </c>
      <c r="C9307" s="27">
        <v>3105</v>
      </c>
      <c r="D9307" s="14" t="s">
        <v>273</v>
      </c>
      <c r="E9307" s="229"/>
      <c r="F9307" s="117" t="s">
        <v>26313</v>
      </c>
      <c r="G9307" s="26">
        <v>48126</v>
      </c>
      <c r="H9307" s="231"/>
      <c r="I9307" s="221"/>
      <c r="J9307" s="221"/>
      <c r="K9307" s="221"/>
      <c r="L9307" s="221"/>
      <c r="M9307" s="221"/>
      <c r="N9307" s="221"/>
      <c r="O9307" s="225"/>
      <c r="P9307" s="118"/>
      <c r="Q9307" s="16" t="s">
        <v>20</v>
      </c>
      <c r="R9307" s="17"/>
      <c r="S9307" s="121" t="s">
        <v>7721</v>
      </c>
      <c r="T9307" s="122"/>
      <c r="U9307" s="22"/>
      <c r="V9307" s="123"/>
      <c r="W9307" s="122"/>
      <c r="X9307" s="221"/>
      <c r="Y9307" s="221"/>
      <c r="Z9307" s="221"/>
      <c r="AA9307" s="221"/>
      <c r="AB9307" s="223"/>
    </row>
    <row r="9308" spans="1:28" ht="17.100000000000001" customHeight="1" thickTop="1">
      <c r="A9308" s="226" t="s">
        <v>26387</v>
      </c>
      <c r="B9308" s="28">
        <v>46164</v>
      </c>
      <c r="C9308" s="25">
        <v>1419</v>
      </c>
      <c r="D9308" s="13" t="s">
        <v>2017</v>
      </c>
      <c r="E9308" s="228"/>
      <c r="F9308" s="109" t="s">
        <v>6712</v>
      </c>
      <c r="G9308" s="24" t="s">
        <v>26381</v>
      </c>
      <c r="H9308" s="230">
        <v>5</v>
      </c>
      <c r="I9308" s="220">
        <v>1460000</v>
      </c>
      <c r="J9308" s="220">
        <f>I9308*0.1</f>
        <v>146000</v>
      </c>
      <c r="K9308" s="220">
        <v>0</v>
      </c>
      <c r="L9308" s="220">
        <v>8350</v>
      </c>
      <c r="M9308" s="220">
        <v>15400</v>
      </c>
      <c r="N9308" s="220">
        <f>SUM(I9308:M9309)</f>
        <v>1629750</v>
      </c>
      <c r="O9308" s="224"/>
      <c r="P9308" s="110"/>
      <c r="Q9308" s="15" t="s">
        <v>19</v>
      </c>
      <c r="R9308" s="205"/>
      <c r="S9308" s="189" t="s">
        <v>1923</v>
      </c>
      <c r="T9308" s="114"/>
      <c r="U9308" s="21"/>
      <c r="V9308" s="115"/>
      <c r="W9308" s="116"/>
      <c r="X9308" s="220"/>
      <c r="Y9308" s="220">
        <f>X9308*0.1</f>
        <v>0</v>
      </c>
      <c r="Z9308" s="220"/>
      <c r="AA9308" s="220">
        <f>SUM(X9308:Z9308)</f>
        <v>0</v>
      </c>
      <c r="AB9308" s="222"/>
    </row>
    <row r="9309" spans="1:28" ht="17.100000000000001" customHeight="1" thickBot="1">
      <c r="A9309" s="227"/>
      <c r="B9309" s="27" t="s">
        <v>2597</v>
      </c>
      <c r="C9309" s="27">
        <v>3107</v>
      </c>
      <c r="D9309" s="14" t="s">
        <v>3731</v>
      </c>
      <c r="E9309" s="229"/>
      <c r="F9309" s="117" t="s">
        <v>26314</v>
      </c>
      <c r="G9309" s="26">
        <v>16446</v>
      </c>
      <c r="H9309" s="231"/>
      <c r="I9309" s="221"/>
      <c r="J9309" s="221"/>
      <c r="K9309" s="221"/>
      <c r="L9309" s="221"/>
      <c r="M9309" s="221"/>
      <c r="N9309" s="221"/>
      <c r="O9309" s="225"/>
      <c r="P9309" s="118"/>
      <c r="Q9309" s="16" t="s">
        <v>20</v>
      </c>
      <c r="R9309" s="17"/>
      <c r="S9309" s="121"/>
      <c r="T9309" s="122"/>
      <c r="U9309" s="22"/>
      <c r="V9309" s="123"/>
      <c r="W9309" s="122"/>
      <c r="X9309" s="221"/>
      <c r="Y9309" s="221"/>
      <c r="Z9309" s="221"/>
      <c r="AA9309" s="221"/>
      <c r="AB9309" s="223"/>
    </row>
    <row r="9310" spans="1:28" ht="17.100000000000001" customHeight="1" thickTop="1">
      <c r="A9310" s="226" t="s">
        <v>26388</v>
      </c>
      <c r="B9310" s="28">
        <v>46164</v>
      </c>
      <c r="C9310" s="25">
        <v>1419</v>
      </c>
      <c r="D9310" s="13" t="s">
        <v>1846</v>
      </c>
      <c r="E9310" s="228"/>
      <c r="F9310" s="109" t="s">
        <v>26380</v>
      </c>
      <c r="G9310" s="24"/>
      <c r="H9310" s="230">
        <v>3.5</v>
      </c>
      <c r="I9310" s="220">
        <v>690000</v>
      </c>
      <c r="J9310" s="220">
        <f>I9310*0.1</f>
        <v>69000</v>
      </c>
      <c r="K9310" s="220">
        <v>0</v>
      </c>
      <c r="L9310" s="220">
        <v>9200</v>
      </c>
      <c r="M9310" s="220">
        <v>15400</v>
      </c>
      <c r="N9310" s="220">
        <f>SUM(I9310:M9311)</f>
        <v>783600</v>
      </c>
      <c r="O9310" s="224"/>
      <c r="P9310" s="110"/>
      <c r="Q9310" s="15" t="s">
        <v>19</v>
      </c>
      <c r="R9310" s="205"/>
      <c r="S9310" s="189"/>
      <c r="T9310" s="114"/>
      <c r="U9310" s="21"/>
      <c r="V9310" s="115"/>
      <c r="W9310" s="116"/>
      <c r="X9310" s="220"/>
      <c r="Y9310" s="220">
        <f>X9310*0.1</f>
        <v>0</v>
      </c>
      <c r="Z9310" s="220"/>
      <c r="AA9310" s="220">
        <f>SUM(X9310:Z9310)</f>
        <v>0</v>
      </c>
      <c r="AB9310" s="222"/>
    </row>
    <row r="9311" spans="1:28" ht="17.100000000000001" customHeight="1" thickBot="1">
      <c r="A9311" s="227"/>
      <c r="B9311" s="27" t="s">
        <v>2597</v>
      </c>
      <c r="C9311" s="27">
        <v>3116</v>
      </c>
      <c r="D9311" s="14" t="s">
        <v>273</v>
      </c>
      <c r="E9311" s="229"/>
      <c r="F9311" s="117" t="s">
        <v>26315</v>
      </c>
      <c r="G9311" s="26">
        <v>38241</v>
      </c>
      <c r="H9311" s="231"/>
      <c r="I9311" s="221"/>
      <c r="J9311" s="221"/>
      <c r="K9311" s="221"/>
      <c r="L9311" s="221"/>
      <c r="M9311" s="221"/>
      <c r="N9311" s="221"/>
      <c r="O9311" s="225"/>
      <c r="P9311" s="118"/>
      <c r="Q9311" s="16" t="s">
        <v>20</v>
      </c>
      <c r="R9311" s="17"/>
      <c r="S9311" s="121"/>
      <c r="T9311" s="122"/>
      <c r="U9311" s="22"/>
      <c r="V9311" s="123"/>
      <c r="W9311" s="122"/>
      <c r="X9311" s="221"/>
      <c r="Y9311" s="221"/>
      <c r="Z9311" s="221"/>
      <c r="AA9311" s="221"/>
      <c r="AB9311" s="223"/>
    </row>
    <row r="9312" spans="1:28" ht="17.100000000000001" customHeight="1" thickTop="1">
      <c r="A9312" s="226" t="s">
        <v>26389</v>
      </c>
      <c r="B9312" s="28">
        <v>46164</v>
      </c>
      <c r="C9312" s="25">
        <v>1419</v>
      </c>
      <c r="D9312" s="13" t="s">
        <v>2892</v>
      </c>
      <c r="E9312" s="228"/>
      <c r="F9312" s="109" t="s">
        <v>26316</v>
      </c>
      <c r="G9312" s="24"/>
      <c r="H9312" s="230">
        <v>3.5</v>
      </c>
      <c r="I9312" s="220">
        <v>1951000</v>
      </c>
      <c r="J9312" s="220">
        <f>I9312*0.1</f>
        <v>195100</v>
      </c>
      <c r="K9312" s="220">
        <v>0</v>
      </c>
      <c r="L9312" s="220">
        <v>12050</v>
      </c>
      <c r="M9312" s="220">
        <v>15400</v>
      </c>
      <c r="N9312" s="220">
        <f>SUM(I9312:M9313)</f>
        <v>2173550</v>
      </c>
      <c r="O9312" s="224"/>
      <c r="P9312" s="110"/>
      <c r="Q9312" s="15" t="s">
        <v>19</v>
      </c>
      <c r="R9312" s="205"/>
      <c r="S9312" s="189" t="s">
        <v>1573</v>
      </c>
      <c r="T9312" s="114"/>
      <c r="U9312" s="21"/>
      <c r="V9312" s="115"/>
      <c r="W9312" s="116"/>
      <c r="X9312" s="220"/>
      <c r="Y9312" s="220">
        <f>X9312*0.1</f>
        <v>0</v>
      </c>
      <c r="Z9312" s="220"/>
      <c r="AA9312" s="220">
        <f>SUM(X9312:Z9312)</f>
        <v>0</v>
      </c>
      <c r="AB9312" s="222"/>
    </row>
    <row r="9313" spans="1:28" ht="17.100000000000001" customHeight="1" thickBot="1">
      <c r="A9313" s="227"/>
      <c r="B9313" s="27" t="s">
        <v>2597</v>
      </c>
      <c r="C9313" s="27">
        <v>3136</v>
      </c>
      <c r="D9313" s="14" t="s">
        <v>2559</v>
      </c>
      <c r="E9313" s="229"/>
      <c r="F9313" s="117" t="s">
        <v>26317</v>
      </c>
      <c r="G9313" s="26">
        <v>163085</v>
      </c>
      <c r="H9313" s="231"/>
      <c r="I9313" s="221"/>
      <c r="J9313" s="221"/>
      <c r="K9313" s="221"/>
      <c r="L9313" s="221"/>
      <c r="M9313" s="221"/>
      <c r="N9313" s="221"/>
      <c r="O9313" s="225"/>
      <c r="P9313" s="118"/>
      <c r="Q9313" s="16" t="s">
        <v>20</v>
      </c>
      <c r="R9313" s="17"/>
      <c r="S9313" s="121"/>
      <c r="T9313" s="122"/>
      <c r="U9313" s="22"/>
      <c r="V9313" s="123"/>
      <c r="W9313" s="122"/>
      <c r="X9313" s="221"/>
      <c r="Y9313" s="221"/>
      <c r="Z9313" s="221"/>
      <c r="AA9313" s="221"/>
      <c r="AB9313" s="223"/>
    </row>
    <row r="9314" spans="1:28" ht="17.100000000000001" customHeight="1" thickTop="1">
      <c r="A9314" s="226" t="s">
        <v>26390</v>
      </c>
      <c r="B9314" s="28">
        <v>46164</v>
      </c>
      <c r="C9314" s="25">
        <v>1419</v>
      </c>
      <c r="D9314" s="13" t="s">
        <v>1788</v>
      </c>
      <c r="E9314" s="228"/>
      <c r="F9314" s="109" t="s">
        <v>9139</v>
      </c>
      <c r="G9314" s="24"/>
      <c r="H9314" s="230">
        <v>4</v>
      </c>
      <c r="I9314" s="220">
        <v>1090000</v>
      </c>
      <c r="J9314" s="220">
        <f>I9314*0.1</f>
        <v>109000</v>
      </c>
      <c r="K9314" s="220">
        <v>0</v>
      </c>
      <c r="L9314" s="220">
        <v>11480</v>
      </c>
      <c r="M9314" s="220">
        <v>15400</v>
      </c>
      <c r="N9314" s="220">
        <f>SUM(I9314:M9315)</f>
        <v>1225880</v>
      </c>
      <c r="O9314" s="224"/>
      <c r="P9314" s="110"/>
      <c r="Q9314" s="15" t="s">
        <v>19</v>
      </c>
      <c r="R9314" s="205"/>
      <c r="S9314" s="189" t="s">
        <v>1661</v>
      </c>
      <c r="T9314" s="114"/>
      <c r="U9314" s="21"/>
      <c r="V9314" s="115"/>
      <c r="W9314" s="116"/>
      <c r="X9314" s="220"/>
      <c r="Y9314" s="220">
        <f>X9314*0.1</f>
        <v>0</v>
      </c>
      <c r="Z9314" s="220"/>
      <c r="AA9314" s="220">
        <f>SUM(X9314:Z9314)</f>
        <v>0</v>
      </c>
      <c r="AB9314" s="222"/>
    </row>
    <row r="9315" spans="1:28" ht="17.100000000000001" customHeight="1" thickBot="1">
      <c r="A9315" s="227"/>
      <c r="B9315" s="27" t="s">
        <v>2597</v>
      </c>
      <c r="C9315" s="27">
        <v>3147</v>
      </c>
      <c r="D9315" s="14" t="s">
        <v>2559</v>
      </c>
      <c r="E9315" s="229"/>
      <c r="F9315" s="117" t="s">
        <v>26318</v>
      </c>
      <c r="G9315" s="26">
        <v>124915</v>
      </c>
      <c r="H9315" s="231"/>
      <c r="I9315" s="221"/>
      <c r="J9315" s="221"/>
      <c r="K9315" s="221"/>
      <c r="L9315" s="221"/>
      <c r="M9315" s="221"/>
      <c r="N9315" s="221"/>
      <c r="O9315" s="225"/>
      <c r="P9315" s="118"/>
      <c r="Q9315" s="16" t="s">
        <v>20</v>
      </c>
      <c r="R9315" s="17"/>
      <c r="S9315" s="121" t="s">
        <v>14749</v>
      </c>
      <c r="T9315" s="122"/>
      <c r="U9315" s="22"/>
      <c r="V9315" s="123"/>
      <c r="W9315" s="122"/>
      <c r="X9315" s="221"/>
      <c r="Y9315" s="221"/>
      <c r="Z9315" s="221"/>
      <c r="AA9315" s="221"/>
      <c r="AB9315" s="223"/>
    </row>
    <row r="9316" spans="1:28" ht="17.100000000000001" customHeight="1" thickTop="1">
      <c r="A9316" s="226" t="s">
        <v>26391</v>
      </c>
      <c r="B9316" s="28">
        <v>46164</v>
      </c>
      <c r="C9316" s="25">
        <v>1419</v>
      </c>
      <c r="D9316" s="13" t="s">
        <v>2964</v>
      </c>
      <c r="E9316" s="228"/>
      <c r="F9316" s="109" t="s">
        <v>26378</v>
      </c>
      <c r="G9316" s="24"/>
      <c r="H9316" s="230">
        <v>4.5</v>
      </c>
      <c r="I9316" s="220">
        <v>3377000</v>
      </c>
      <c r="J9316" s="220">
        <f>I9316*0.1</f>
        <v>337700</v>
      </c>
      <c r="K9316" s="220">
        <v>0</v>
      </c>
      <c r="L9316" s="220">
        <v>14900</v>
      </c>
      <c r="M9316" s="220">
        <v>15400</v>
      </c>
      <c r="N9316" s="220">
        <f>SUM(I9316:M9317)</f>
        <v>3745000</v>
      </c>
      <c r="O9316" s="224"/>
      <c r="P9316" s="110"/>
      <c r="Q9316" s="15" t="s">
        <v>19</v>
      </c>
      <c r="R9316" s="205"/>
      <c r="S9316" s="189" t="s">
        <v>26379</v>
      </c>
      <c r="T9316" s="114"/>
      <c r="U9316" s="21"/>
      <c r="V9316" s="115"/>
      <c r="W9316" s="116"/>
      <c r="X9316" s="220"/>
      <c r="Y9316" s="220">
        <f>X9316*0.1</f>
        <v>0</v>
      </c>
      <c r="Z9316" s="220"/>
      <c r="AA9316" s="220">
        <f>SUM(X9316:Z9316)</f>
        <v>0</v>
      </c>
      <c r="AB9316" s="222"/>
    </row>
    <row r="9317" spans="1:28" ht="17.100000000000001" customHeight="1" thickBot="1">
      <c r="A9317" s="227"/>
      <c r="B9317" s="27" t="s">
        <v>2597</v>
      </c>
      <c r="C9317" s="27">
        <v>3179</v>
      </c>
      <c r="D9317" s="14" t="s">
        <v>2559</v>
      </c>
      <c r="E9317" s="229"/>
      <c r="F9317" s="117" t="s">
        <v>26319</v>
      </c>
      <c r="G9317" s="26">
        <v>55964</v>
      </c>
      <c r="H9317" s="231"/>
      <c r="I9317" s="221"/>
      <c r="J9317" s="221"/>
      <c r="K9317" s="221"/>
      <c r="L9317" s="221"/>
      <c r="M9317" s="221"/>
      <c r="N9317" s="221"/>
      <c r="O9317" s="225"/>
      <c r="P9317" s="118"/>
      <c r="Q9317" s="16" t="s">
        <v>20</v>
      </c>
      <c r="R9317" s="17"/>
      <c r="S9317" s="121" t="s">
        <v>3331</v>
      </c>
      <c r="T9317" s="122"/>
      <c r="U9317" s="22"/>
      <c r="V9317" s="123"/>
      <c r="W9317" s="122"/>
      <c r="X9317" s="221"/>
      <c r="Y9317" s="221"/>
      <c r="Z9317" s="221"/>
      <c r="AA9317" s="221"/>
      <c r="AB9317" s="223"/>
    </row>
    <row r="9318" spans="1:28" ht="17.100000000000001" customHeight="1" thickTop="1">
      <c r="A9318" s="226" t="s">
        <v>26392</v>
      </c>
      <c r="B9318" s="28">
        <v>46164</v>
      </c>
      <c r="C9318" s="25">
        <v>1419</v>
      </c>
      <c r="D9318" s="13" t="s">
        <v>2320</v>
      </c>
      <c r="E9318" s="228"/>
      <c r="F9318" s="109" t="s">
        <v>3844</v>
      </c>
      <c r="G9318" s="24" t="s">
        <v>16156</v>
      </c>
      <c r="H9318" s="230">
        <v>5</v>
      </c>
      <c r="I9318" s="220">
        <v>1049000</v>
      </c>
      <c r="J9318" s="220">
        <f>I9318*0.1</f>
        <v>104900</v>
      </c>
      <c r="K9318" s="220">
        <v>0</v>
      </c>
      <c r="L9318" s="220">
        <v>5670</v>
      </c>
      <c r="M9318" s="220">
        <v>15400</v>
      </c>
      <c r="N9318" s="220">
        <f>SUM(I9318:M9319)</f>
        <v>1174970</v>
      </c>
      <c r="O9318" s="224"/>
      <c r="P9318" s="110"/>
      <c r="Q9318" s="15" t="s">
        <v>19</v>
      </c>
      <c r="R9318" s="205"/>
      <c r="S9318" s="189" t="s">
        <v>169</v>
      </c>
      <c r="T9318" s="114"/>
      <c r="U9318" s="21"/>
      <c r="V9318" s="115"/>
      <c r="W9318" s="116"/>
      <c r="X9318" s="220"/>
      <c r="Y9318" s="220">
        <f>X9318*0.1</f>
        <v>0</v>
      </c>
      <c r="Z9318" s="220"/>
      <c r="AA9318" s="220">
        <f>SUM(X9318:Z9318)</f>
        <v>0</v>
      </c>
      <c r="AB9318" s="222"/>
    </row>
    <row r="9319" spans="1:28" ht="17.100000000000001" customHeight="1" thickBot="1">
      <c r="A9319" s="227"/>
      <c r="B9319" s="27" t="s">
        <v>2597</v>
      </c>
      <c r="C9319" s="27">
        <v>7027</v>
      </c>
      <c r="D9319" s="14" t="s">
        <v>2753</v>
      </c>
      <c r="E9319" s="229"/>
      <c r="F9319" s="117" t="s">
        <v>26320</v>
      </c>
      <c r="G9319" s="26">
        <v>7621</v>
      </c>
      <c r="H9319" s="231"/>
      <c r="I9319" s="221"/>
      <c r="J9319" s="221"/>
      <c r="K9319" s="221"/>
      <c r="L9319" s="221"/>
      <c r="M9319" s="221"/>
      <c r="N9319" s="221"/>
      <c r="O9319" s="225"/>
      <c r="P9319" s="118"/>
      <c r="Q9319" s="16" t="s">
        <v>20</v>
      </c>
      <c r="R9319" s="17"/>
      <c r="S9319" s="121"/>
      <c r="T9319" s="122"/>
      <c r="U9319" s="22"/>
      <c r="V9319" s="123"/>
      <c r="W9319" s="122"/>
      <c r="X9319" s="221"/>
      <c r="Y9319" s="221"/>
      <c r="Z9319" s="221"/>
      <c r="AA9319" s="221"/>
      <c r="AB9319" s="223"/>
    </row>
    <row r="9320" spans="1:28" ht="17.100000000000001" customHeight="1" thickTop="1">
      <c r="A9320" s="226" t="s">
        <v>26393</v>
      </c>
      <c r="B9320" s="28">
        <v>46164</v>
      </c>
      <c r="C9320" s="25">
        <v>1419</v>
      </c>
      <c r="D9320" s="13" t="s">
        <v>1808</v>
      </c>
      <c r="E9320" s="228"/>
      <c r="F9320" s="109" t="s">
        <v>26383</v>
      </c>
      <c r="G9320" s="24"/>
      <c r="H9320" s="230">
        <v>3.5</v>
      </c>
      <c r="I9320" s="220">
        <v>955000</v>
      </c>
      <c r="J9320" s="220">
        <f>I9320*0.1</f>
        <v>95500</v>
      </c>
      <c r="K9320" s="220">
        <v>0</v>
      </c>
      <c r="L9320" s="220">
        <v>17060</v>
      </c>
      <c r="M9320" s="220">
        <v>15400</v>
      </c>
      <c r="N9320" s="220">
        <f>SUM(I9320:M9321)</f>
        <v>1082960</v>
      </c>
      <c r="O9320" s="224"/>
      <c r="P9320" s="110"/>
      <c r="Q9320" s="15" t="s">
        <v>19</v>
      </c>
      <c r="R9320" s="205"/>
      <c r="S9320" s="189" t="s">
        <v>1597</v>
      </c>
      <c r="T9320" s="114"/>
      <c r="U9320" s="21"/>
      <c r="V9320" s="115"/>
      <c r="W9320" s="116"/>
      <c r="X9320" s="220"/>
      <c r="Y9320" s="220">
        <f>X9320*0.1</f>
        <v>0</v>
      </c>
      <c r="Z9320" s="220"/>
      <c r="AA9320" s="220">
        <f>SUM(X9320:Z9320)</f>
        <v>0</v>
      </c>
      <c r="AB9320" s="222"/>
    </row>
    <row r="9321" spans="1:28" ht="17.100000000000001" customHeight="1" thickBot="1">
      <c r="A9321" s="227"/>
      <c r="B9321" s="27" t="s">
        <v>2597</v>
      </c>
      <c r="C9321" s="27">
        <v>7153</v>
      </c>
      <c r="D9321" s="14" t="s">
        <v>2559</v>
      </c>
      <c r="E9321" s="229"/>
      <c r="F9321" s="117" t="s">
        <v>26321</v>
      </c>
      <c r="G9321" s="26">
        <v>109269</v>
      </c>
      <c r="H9321" s="231"/>
      <c r="I9321" s="221"/>
      <c r="J9321" s="221"/>
      <c r="K9321" s="221"/>
      <c r="L9321" s="221"/>
      <c r="M9321" s="221"/>
      <c r="N9321" s="221"/>
      <c r="O9321" s="225"/>
      <c r="P9321" s="118"/>
      <c r="Q9321" s="16" t="s">
        <v>20</v>
      </c>
      <c r="R9321" s="17"/>
      <c r="S9321" s="121"/>
      <c r="T9321" s="122"/>
      <c r="U9321" s="22"/>
      <c r="V9321" s="123"/>
      <c r="W9321" s="122"/>
      <c r="X9321" s="221"/>
      <c r="Y9321" s="221"/>
      <c r="Z9321" s="221"/>
      <c r="AA9321" s="221"/>
      <c r="AB9321" s="223"/>
    </row>
    <row r="9322" spans="1:28" ht="17.100000000000001" customHeight="1" thickTop="1">
      <c r="A9322" s="226" t="s">
        <v>26394</v>
      </c>
      <c r="B9322" s="28">
        <v>46164</v>
      </c>
      <c r="C9322" s="25">
        <v>1419</v>
      </c>
      <c r="D9322" s="13" t="s">
        <v>10301</v>
      </c>
      <c r="E9322" s="228"/>
      <c r="F9322" s="109" t="s">
        <v>26322</v>
      </c>
      <c r="G9322" s="24"/>
      <c r="H9322" s="230">
        <v>4</v>
      </c>
      <c r="I9322" s="220">
        <v>1419000</v>
      </c>
      <c r="J9322" s="220">
        <f>I9322*0.1</f>
        <v>141900</v>
      </c>
      <c r="K9322" s="220">
        <v>0</v>
      </c>
      <c r="L9322" s="220">
        <v>10280</v>
      </c>
      <c r="M9322" s="220">
        <v>15400</v>
      </c>
      <c r="N9322" s="220">
        <f>SUM(I9322:M9323)</f>
        <v>1586580</v>
      </c>
      <c r="O9322" s="224"/>
      <c r="P9322" s="110"/>
      <c r="Q9322" s="15" t="s">
        <v>19</v>
      </c>
      <c r="R9322" s="205"/>
      <c r="S9322" s="189" t="s">
        <v>26324</v>
      </c>
      <c r="T9322" s="114"/>
      <c r="U9322" s="21"/>
      <c r="V9322" s="115"/>
      <c r="W9322" s="116"/>
      <c r="X9322" s="220"/>
      <c r="Y9322" s="220">
        <f>X9322*0.1</f>
        <v>0</v>
      </c>
      <c r="Z9322" s="220"/>
      <c r="AA9322" s="220">
        <f>SUM(X9322:Z9322)</f>
        <v>0</v>
      </c>
      <c r="AB9322" s="222"/>
    </row>
    <row r="9323" spans="1:28" ht="17.100000000000001" customHeight="1" thickBot="1">
      <c r="A9323" s="227"/>
      <c r="B9323" s="27" t="s">
        <v>2597</v>
      </c>
      <c r="C9323" s="27">
        <v>7176</v>
      </c>
      <c r="D9323" s="14" t="s">
        <v>2559</v>
      </c>
      <c r="E9323" s="229"/>
      <c r="F9323" s="117" t="s">
        <v>26323</v>
      </c>
      <c r="G9323" s="26">
        <v>49062</v>
      </c>
      <c r="H9323" s="231"/>
      <c r="I9323" s="221"/>
      <c r="J9323" s="221"/>
      <c r="K9323" s="221"/>
      <c r="L9323" s="221"/>
      <c r="M9323" s="221"/>
      <c r="N9323" s="221"/>
      <c r="O9323" s="225"/>
      <c r="P9323" s="118"/>
      <c r="Q9323" s="16" t="s">
        <v>20</v>
      </c>
      <c r="R9323" s="17"/>
      <c r="S9323" s="121"/>
      <c r="T9323" s="122"/>
      <c r="U9323" s="22"/>
      <c r="V9323" s="123"/>
      <c r="W9323" s="122"/>
      <c r="X9323" s="221"/>
      <c r="Y9323" s="221"/>
      <c r="Z9323" s="221"/>
      <c r="AA9323" s="221"/>
      <c r="AB9323" s="223"/>
    </row>
    <row r="9324" spans="1:28" ht="17.100000000000001" customHeight="1" thickTop="1">
      <c r="A9324" s="226" t="s">
        <v>26395</v>
      </c>
      <c r="B9324" s="28">
        <v>46164</v>
      </c>
      <c r="C9324" s="25">
        <v>1419</v>
      </c>
      <c r="D9324" s="13" t="s">
        <v>26382</v>
      </c>
      <c r="E9324" s="228"/>
      <c r="F9324" s="109" t="s">
        <v>26062</v>
      </c>
      <c r="G9324" s="24"/>
      <c r="H9324" s="230">
        <v>3.5</v>
      </c>
      <c r="I9324" s="220">
        <v>754000</v>
      </c>
      <c r="J9324" s="220">
        <f>I9324*0.1</f>
        <v>75400</v>
      </c>
      <c r="K9324" s="220">
        <v>0</v>
      </c>
      <c r="L9324" s="220">
        <v>7510</v>
      </c>
      <c r="M9324" s="220">
        <v>15400</v>
      </c>
      <c r="N9324" s="220">
        <f>SUM(I9324:M9325)</f>
        <v>852310</v>
      </c>
      <c r="O9324" s="224"/>
      <c r="P9324" s="110"/>
      <c r="Q9324" s="15" t="s">
        <v>19</v>
      </c>
      <c r="R9324" s="205"/>
      <c r="S9324" s="189"/>
      <c r="T9324" s="114"/>
      <c r="U9324" s="21"/>
      <c r="V9324" s="115"/>
      <c r="W9324" s="116"/>
      <c r="X9324" s="220"/>
      <c r="Y9324" s="220">
        <f>X9324*0.1</f>
        <v>0</v>
      </c>
      <c r="Z9324" s="220"/>
      <c r="AA9324" s="220">
        <f>SUM(X9324:Z9324)</f>
        <v>0</v>
      </c>
      <c r="AB9324" s="222"/>
    </row>
    <row r="9325" spans="1:28" ht="17.100000000000001" customHeight="1" thickBot="1">
      <c r="A9325" s="227"/>
      <c r="B9325" s="27" t="s">
        <v>2597</v>
      </c>
      <c r="C9325" s="27">
        <v>7184</v>
      </c>
      <c r="D9325" s="14" t="s">
        <v>2559</v>
      </c>
      <c r="E9325" s="229"/>
      <c r="F9325" s="117" t="s">
        <v>26325</v>
      </c>
      <c r="G9325" s="26">
        <v>58298</v>
      </c>
      <c r="H9325" s="231"/>
      <c r="I9325" s="221"/>
      <c r="J9325" s="221"/>
      <c r="K9325" s="221"/>
      <c r="L9325" s="221"/>
      <c r="M9325" s="221"/>
      <c r="N9325" s="221"/>
      <c r="O9325" s="225"/>
      <c r="P9325" s="118"/>
      <c r="Q9325" s="16" t="s">
        <v>20</v>
      </c>
      <c r="R9325" s="17"/>
      <c r="S9325" s="121"/>
      <c r="T9325" s="122"/>
      <c r="U9325" s="22"/>
      <c r="V9325" s="123"/>
      <c r="W9325" s="122"/>
      <c r="X9325" s="221"/>
      <c r="Y9325" s="221"/>
      <c r="Z9325" s="221"/>
      <c r="AA9325" s="221"/>
      <c r="AB9325" s="223"/>
    </row>
    <row r="9326" spans="1:28" ht="17.100000000000001" customHeight="1" thickTop="1">
      <c r="A9326" s="226" t="s">
        <v>26396</v>
      </c>
      <c r="B9326" s="28">
        <v>46164</v>
      </c>
      <c r="C9326" s="25">
        <v>1419</v>
      </c>
      <c r="D9326" s="13" t="s">
        <v>853</v>
      </c>
      <c r="E9326" s="228"/>
      <c r="F9326" s="109" t="s">
        <v>26326</v>
      </c>
      <c r="G9326" s="24"/>
      <c r="H9326" s="230">
        <v>4</v>
      </c>
      <c r="I9326" s="220">
        <v>754000</v>
      </c>
      <c r="J9326" s="220">
        <f>I9326*0.1</f>
        <v>75400</v>
      </c>
      <c r="K9326" s="220">
        <v>0</v>
      </c>
      <c r="L9326" s="220">
        <v>7510</v>
      </c>
      <c r="M9326" s="220">
        <v>15400</v>
      </c>
      <c r="N9326" s="220">
        <f>SUM(I9326:M9327)</f>
        <v>852310</v>
      </c>
      <c r="O9326" s="224"/>
      <c r="P9326" s="110"/>
      <c r="Q9326" s="15" t="s">
        <v>19</v>
      </c>
      <c r="R9326" s="205"/>
      <c r="S9326" s="189" t="s">
        <v>4544</v>
      </c>
      <c r="T9326" s="114"/>
      <c r="U9326" s="21"/>
      <c r="V9326" s="115"/>
      <c r="W9326" s="116"/>
      <c r="X9326" s="220"/>
      <c r="Y9326" s="220">
        <f>X9326*0.1</f>
        <v>0</v>
      </c>
      <c r="Z9326" s="220"/>
      <c r="AA9326" s="220">
        <f>SUM(X9326:Z9326)</f>
        <v>0</v>
      </c>
      <c r="AB9326" s="222"/>
    </row>
    <row r="9327" spans="1:28" ht="17.100000000000001" customHeight="1" thickBot="1">
      <c r="A9327" s="227"/>
      <c r="B9327" s="27" t="s">
        <v>2597</v>
      </c>
      <c r="C9327" s="27">
        <v>7188</v>
      </c>
      <c r="D9327" s="14" t="s">
        <v>1710</v>
      </c>
      <c r="E9327" s="229"/>
      <c r="F9327" s="117" t="s">
        <v>26327</v>
      </c>
      <c r="G9327" s="26">
        <v>43635</v>
      </c>
      <c r="H9327" s="231"/>
      <c r="I9327" s="221"/>
      <c r="J9327" s="221"/>
      <c r="K9327" s="221"/>
      <c r="L9327" s="221"/>
      <c r="M9327" s="221"/>
      <c r="N9327" s="221"/>
      <c r="O9327" s="225"/>
      <c r="P9327" s="118"/>
      <c r="Q9327" s="16" t="s">
        <v>20</v>
      </c>
      <c r="R9327" s="17"/>
      <c r="S9327" s="121"/>
      <c r="T9327" s="122"/>
      <c r="U9327" s="22"/>
      <c r="V9327" s="123"/>
      <c r="W9327" s="122"/>
      <c r="X9327" s="221"/>
      <c r="Y9327" s="221"/>
      <c r="Z9327" s="221"/>
      <c r="AA9327" s="221"/>
      <c r="AB9327" s="223"/>
    </row>
    <row r="9328" spans="1:28" ht="17.100000000000001" customHeight="1" thickTop="1">
      <c r="A9328" s="226" t="s">
        <v>26405</v>
      </c>
      <c r="B9328" s="28">
        <v>46164</v>
      </c>
      <c r="C9328" s="25">
        <v>2135</v>
      </c>
      <c r="D9328" s="13" t="s">
        <v>1953</v>
      </c>
      <c r="E9328" s="228"/>
      <c r="F9328" s="109" t="s">
        <v>26401</v>
      </c>
      <c r="G9328" s="24"/>
      <c r="H9328" s="230">
        <v>4.5</v>
      </c>
      <c r="I9328" s="220">
        <v>2570000</v>
      </c>
      <c r="J9328" s="220">
        <f>I9328*0.1</f>
        <v>257000</v>
      </c>
      <c r="K9328" s="220">
        <v>0</v>
      </c>
      <c r="L9328" s="220">
        <v>23140</v>
      </c>
      <c r="M9328" s="220">
        <v>16500</v>
      </c>
      <c r="N9328" s="220">
        <f>SUM(I9328:M9329)</f>
        <v>2866640</v>
      </c>
      <c r="O9328" s="224"/>
      <c r="P9328" s="110"/>
      <c r="Q9328" s="15" t="s">
        <v>19</v>
      </c>
      <c r="R9328" s="205"/>
      <c r="S9328" s="189" t="s">
        <v>4544</v>
      </c>
      <c r="T9328" s="114"/>
      <c r="U9328" s="21"/>
      <c r="V9328" s="115"/>
      <c r="W9328" s="116"/>
      <c r="X9328" s="220"/>
      <c r="Y9328" s="220">
        <f>X9328*0.1</f>
        <v>0</v>
      </c>
      <c r="Z9328" s="220"/>
      <c r="AA9328" s="220">
        <f>SUM(X9328:Z9328)</f>
        <v>0</v>
      </c>
      <c r="AB9328" s="222"/>
    </row>
    <row r="9329" spans="1:28" ht="17.100000000000001" customHeight="1" thickBot="1">
      <c r="A9329" s="227"/>
      <c r="B9329" s="27" t="s">
        <v>1536</v>
      </c>
      <c r="C9329" s="27">
        <v>13270</v>
      </c>
      <c r="D9329" s="14" t="s">
        <v>898</v>
      </c>
      <c r="E9329" s="229"/>
      <c r="F9329" s="117" t="s">
        <v>26402</v>
      </c>
      <c r="G9329" s="26">
        <v>30427</v>
      </c>
      <c r="H9329" s="231"/>
      <c r="I9329" s="221"/>
      <c r="J9329" s="221"/>
      <c r="K9329" s="221"/>
      <c r="L9329" s="221"/>
      <c r="M9329" s="221"/>
      <c r="N9329" s="221"/>
      <c r="O9329" s="225"/>
      <c r="P9329" s="118"/>
      <c r="Q9329" s="16" t="s">
        <v>20</v>
      </c>
      <c r="R9329" s="17"/>
      <c r="S9329" s="121"/>
      <c r="T9329" s="122"/>
      <c r="U9329" s="22"/>
      <c r="V9329" s="123"/>
      <c r="W9329" s="122"/>
      <c r="X9329" s="221"/>
      <c r="Y9329" s="221"/>
      <c r="Z9329" s="221"/>
      <c r="AA9329" s="221"/>
      <c r="AB9329" s="223"/>
    </row>
    <row r="9330" spans="1:28" ht="17.100000000000001" customHeight="1" thickTop="1">
      <c r="A9330" s="226" t="s">
        <v>26406</v>
      </c>
      <c r="B9330" s="28">
        <v>46164</v>
      </c>
      <c r="C9330" s="25">
        <v>2135</v>
      </c>
      <c r="D9330" s="13" t="s">
        <v>2690</v>
      </c>
      <c r="E9330" s="228"/>
      <c r="F9330" s="109" t="s">
        <v>26398</v>
      </c>
      <c r="G9330" s="24" t="s">
        <v>10904</v>
      </c>
      <c r="H9330" s="230">
        <v>4.5</v>
      </c>
      <c r="I9330" s="220">
        <v>1900000</v>
      </c>
      <c r="J9330" s="220">
        <f>I9330*0.1</f>
        <v>190000</v>
      </c>
      <c r="K9330" s="220">
        <f>30000+3000</f>
        <v>33000</v>
      </c>
      <c r="L9330" s="220">
        <v>18170</v>
      </c>
      <c r="M9330" s="220">
        <v>16500</v>
      </c>
      <c r="N9330" s="220">
        <f>SUM(I9330:M9331)</f>
        <v>2157670</v>
      </c>
      <c r="O9330" s="224"/>
      <c r="P9330" s="110" t="s">
        <v>26403</v>
      </c>
      <c r="Q9330" s="15" t="s">
        <v>19</v>
      </c>
      <c r="R9330" s="205"/>
      <c r="S9330" s="189" t="s">
        <v>26400</v>
      </c>
      <c r="T9330" s="114"/>
      <c r="U9330" s="21"/>
      <c r="V9330" s="115"/>
      <c r="W9330" s="116"/>
      <c r="X9330" s="220"/>
      <c r="Y9330" s="220">
        <f>X9330*0.1</f>
        <v>0</v>
      </c>
      <c r="Z9330" s="220"/>
      <c r="AA9330" s="220">
        <f>SUM(X9330:Z9330)</f>
        <v>0</v>
      </c>
      <c r="AB9330" s="222"/>
    </row>
    <row r="9331" spans="1:28" ht="17.100000000000001" customHeight="1" thickBot="1">
      <c r="A9331" s="227"/>
      <c r="B9331" s="27" t="s">
        <v>1536</v>
      </c>
      <c r="C9331" s="27">
        <v>13387</v>
      </c>
      <c r="D9331" s="14" t="s">
        <v>1568</v>
      </c>
      <c r="E9331" s="229"/>
      <c r="F9331" s="117" t="s">
        <v>26399</v>
      </c>
      <c r="G9331" s="26">
        <v>41373</v>
      </c>
      <c r="H9331" s="231"/>
      <c r="I9331" s="221"/>
      <c r="J9331" s="221"/>
      <c r="K9331" s="221"/>
      <c r="L9331" s="221"/>
      <c r="M9331" s="221"/>
      <c r="N9331" s="221"/>
      <c r="O9331" s="225"/>
      <c r="P9331" s="118"/>
      <c r="Q9331" s="16" t="s">
        <v>20</v>
      </c>
      <c r="R9331" s="17"/>
      <c r="S9331" s="121" t="s">
        <v>7722</v>
      </c>
      <c r="T9331" s="122"/>
      <c r="U9331" s="22"/>
      <c r="V9331" s="123"/>
      <c r="W9331" s="122"/>
      <c r="X9331" s="221"/>
      <c r="Y9331" s="221"/>
      <c r="Z9331" s="221"/>
      <c r="AA9331" s="221"/>
      <c r="AB9331" s="223"/>
    </row>
    <row r="9332" spans="1:28" ht="17.100000000000001" customHeight="1" thickTop="1">
      <c r="A9332" s="226" t="s">
        <v>26407</v>
      </c>
      <c r="B9332" s="28">
        <v>46164</v>
      </c>
      <c r="C9332" s="25">
        <v>2135</v>
      </c>
      <c r="D9332" s="13" t="s">
        <v>2288</v>
      </c>
      <c r="E9332" s="228"/>
      <c r="F9332" s="109" t="s">
        <v>7064</v>
      </c>
      <c r="G9332" s="24" t="s">
        <v>7399</v>
      </c>
      <c r="H9332" s="230">
        <v>4</v>
      </c>
      <c r="I9332" s="220">
        <v>600000</v>
      </c>
      <c r="J9332" s="220">
        <f>I9332*0.1</f>
        <v>60000</v>
      </c>
      <c r="K9332" s="220">
        <f>32900+3290</f>
        <v>36190</v>
      </c>
      <c r="L9332" s="220">
        <v>19440</v>
      </c>
      <c r="M9332" s="220">
        <v>16500</v>
      </c>
      <c r="N9332" s="220">
        <f>SUM(I9332:M9333)</f>
        <v>732130</v>
      </c>
      <c r="O9332" s="224"/>
      <c r="P9332" s="110" t="s">
        <v>26408</v>
      </c>
      <c r="Q9332" s="15" t="s">
        <v>19</v>
      </c>
      <c r="R9332" s="205"/>
      <c r="S9332" s="189"/>
      <c r="T9332" s="114"/>
      <c r="U9332" s="21"/>
      <c r="V9332" s="115"/>
      <c r="W9332" s="116"/>
      <c r="X9332" s="220"/>
      <c r="Y9332" s="220">
        <f>X9332*0.1</f>
        <v>0</v>
      </c>
      <c r="Z9332" s="220"/>
      <c r="AA9332" s="220">
        <f>SUM(X9332:Z9332)</f>
        <v>0</v>
      </c>
      <c r="AB9332" s="222"/>
    </row>
    <row r="9333" spans="1:28" ht="17.100000000000001" customHeight="1" thickBot="1">
      <c r="A9333" s="227"/>
      <c r="B9333" s="27" t="s">
        <v>1536</v>
      </c>
      <c r="C9333" s="27">
        <v>58184</v>
      </c>
      <c r="D9333" s="14" t="s">
        <v>1584</v>
      </c>
      <c r="E9333" s="229"/>
      <c r="F9333" s="117" t="s">
        <v>26397</v>
      </c>
      <c r="G9333" s="26">
        <v>78130</v>
      </c>
      <c r="H9333" s="231"/>
      <c r="I9333" s="221"/>
      <c r="J9333" s="221"/>
      <c r="K9333" s="221"/>
      <c r="L9333" s="221"/>
      <c r="M9333" s="221"/>
      <c r="N9333" s="221"/>
      <c r="O9333" s="225"/>
      <c r="P9333" s="118"/>
      <c r="Q9333" s="16" t="s">
        <v>20</v>
      </c>
      <c r="R9333" s="17"/>
      <c r="S9333" s="121"/>
      <c r="T9333" s="122"/>
      <c r="U9333" s="22"/>
      <c r="V9333" s="123"/>
      <c r="W9333" s="122"/>
      <c r="X9333" s="221"/>
      <c r="Y9333" s="221"/>
      <c r="Z9333" s="221"/>
      <c r="AA9333" s="221"/>
      <c r="AB9333" s="223"/>
    </row>
    <row r="9334" spans="1:28" ht="17.100000000000001" customHeight="1" thickTop="1">
      <c r="A9334" s="226" t="s">
        <v>26415</v>
      </c>
      <c r="B9334" s="28">
        <v>46164</v>
      </c>
      <c r="C9334" s="25">
        <v>291</v>
      </c>
      <c r="D9334" s="13" t="s">
        <v>2811</v>
      </c>
      <c r="E9334" s="228"/>
      <c r="F9334" s="109" t="s">
        <v>26414</v>
      </c>
      <c r="G9334" s="24"/>
      <c r="H9334" s="230">
        <v>4</v>
      </c>
      <c r="I9334" s="220">
        <v>802000</v>
      </c>
      <c r="J9334" s="220">
        <f>I9334*0.1</f>
        <v>80200</v>
      </c>
      <c r="K9334" s="220">
        <v>0</v>
      </c>
      <c r="L9334" s="220">
        <v>7950</v>
      </c>
      <c r="M9334" s="220">
        <v>22000</v>
      </c>
      <c r="N9334" s="220">
        <f>SUM(I9334:M9335)</f>
        <v>912150</v>
      </c>
      <c r="O9334" s="224"/>
      <c r="P9334" s="110" t="s">
        <v>26542</v>
      </c>
      <c r="Q9334" s="15" t="s">
        <v>19</v>
      </c>
      <c r="R9334" s="205"/>
      <c r="S9334" s="189" t="s">
        <v>9008</v>
      </c>
      <c r="T9334" s="114"/>
      <c r="U9334" s="21"/>
      <c r="V9334" s="115"/>
      <c r="W9334" s="116"/>
      <c r="X9334" s="220"/>
      <c r="Y9334" s="220">
        <f>X9334*0.1</f>
        <v>0</v>
      </c>
      <c r="Z9334" s="220"/>
      <c r="AA9334" s="220">
        <f>SUM(X9334:Z9334)</f>
        <v>0</v>
      </c>
      <c r="AB9334" s="222"/>
    </row>
    <row r="9335" spans="1:28" ht="17.100000000000001" customHeight="1" thickBot="1">
      <c r="A9335" s="227"/>
      <c r="B9335" s="27" t="s">
        <v>3890</v>
      </c>
      <c r="C9335" s="27">
        <v>100</v>
      </c>
      <c r="D9335" s="14" t="s">
        <v>2753</v>
      </c>
      <c r="E9335" s="229"/>
      <c r="F9335" s="117" t="s">
        <v>26328</v>
      </c>
      <c r="G9335" s="26">
        <v>59093</v>
      </c>
      <c r="H9335" s="231"/>
      <c r="I9335" s="221"/>
      <c r="J9335" s="221"/>
      <c r="K9335" s="221"/>
      <c r="L9335" s="221"/>
      <c r="M9335" s="221"/>
      <c r="N9335" s="221"/>
      <c r="O9335" s="225"/>
      <c r="P9335" s="118" t="s">
        <v>2615</v>
      </c>
      <c r="Q9335" s="16" t="s">
        <v>20</v>
      </c>
      <c r="R9335" s="17" t="s">
        <v>3717</v>
      </c>
      <c r="S9335" s="121" t="s">
        <v>23917</v>
      </c>
      <c r="T9335" s="122"/>
      <c r="U9335" s="22"/>
      <c r="V9335" s="123"/>
      <c r="W9335" s="122"/>
      <c r="X9335" s="221"/>
      <c r="Y9335" s="221"/>
      <c r="Z9335" s="221"/>
      <c r="AA9335" s="221"/>
      <c r="AB9335" s="223"/>
    </row>
    <row r="9336" spans="1:28" ht="17.100000000000001" customHeight="1" thickTop="1">
      <c r="A9336" s="226" t="s">
        <v>26416</v>
      </c>
      <c r="B9336" s="28">
        <v>46164</v>
      </c>
      <c r="C9336" s="25">
        <v>291</v>
      </c>
      <c r="D9336" s="13" t="s">
        <v>4827</v>
      </c>
      <c r="E9336" s="228"/>
      <c r="F9336" s="109" t="s">
        <v>9004</v>
      </c>
      <c r="G9336" s="24"/>
      <c r="H9336" s="230">
        <v>4.5</v>
      </c>
      <c r="I9336" s="220">
        <v>149000</v>
      </c>
      <c r="J9336" s="220">
        <f>I9336*0.1</f>
        <v>14900</v>
      </c>
      <c r="K9336" s="220">
        <v>0</v>
      </c>
      <c r="L9336" s="220">
        <v>10120</v>
      </c>
      <c r="M9336" s="220">
        <v>22000</v>
      </c>
      <c r="N9336" s="220">
        <f>SUM(I9336:M9337)</f>
        <v>196020</v>
      </c>
      <c r="O9336" s="224"/>
      <c r="P9336" s="110" t="s">
        <v>26543</v>
      </c>
      <c r="Q9336" s="15" t="s">
        <v>19</v>
      </c>
      <c r="R9336" s="205"/>
      <c r="S9336" s="189"/>
      <c r="T9336" s="114"/>
      <c r="U9336" s="21"/>
      <c r="V9336" s="115"/>
      <c r="W9336" s="116"/>
      <c r="X9336" s="220"/>
      <c r="Y9336" s="220">
        <f>X9336*0.1</f>
        <v>0</v>
      </c>
      <c r="Z9336" s="220"/>
      <c r="AA9336" s="220">
        <f>SUM(X9336:Z9336)</f>
        <v>0</v>
      </c>
      <c r="AB9336" s="222"/>
    </row>
    <row r="9337" spans="1:28" ht="17.100000000000001" customHeight="1" thickBot="1">
      <c r="A9337" s="227"/>
      <c r="B9337" s="27" t="s">
        <v>3890</v>
      </c>
      <c r="C9337" s="27">
        <v>107</v>
      </c>
      <c r="D9337" s="14" t="s">
        <v>2559</v>
      </c>
      <c r="E9337" s="229"/>
      <c r="F9337" s="117" t="s">
        <v>26329</v>
      </c>
      <c r="G9337" s="26">
        <v>46775</v>
      </c>
      <c r="H9337" s="231"/>
      <c r="I9337" s="221"/>
      <c r="J9337" s="221"/>
      <c r="K9337" s="221"/>
      <c r="L9337" s="221"/>
      <c r="M9337" s="221"/>
      <c r="N9337" s="221"/>
      <c r="O9337" s="225"/>
      <c r="P9337" s="118" t="s">
        <v>19540</v>
      </c>
      <c r="Q9337" s="16" t="s">
        <v>20</v>
      </c>
      <c r="R9337" s="17" t="s">
        <v>3717</v>
      </c>
      <c r="S9337" s="121"/>
      <c r="T9337" s="122"/>
      <c r="U9337" s="22"/>
      <c r="V9337" s="123"/>
      <c r="W9337" s="122"/>
      <c r="X9337" s="221"/>
      <c r="Y9337" s="221"/>
      <c r="Z9337" s="221"/>
      <c r="AA9337" s="221"/>
      <c r="AB9337" s="223"/>
    </row>
    <row r="9338" spans="1:28" ht="17.100000000000001" customHeight="1" thickTop="1">
      <c r="A9338" s="226" t="s">
        <v>26417</v>
      </c>
      <c r="B9338" s="28">
        <v>46164</v>
      </c>
      <c r="C9338" s="25">
        <v>291</v>
      </c>
      <c r="D9338" s="13" t="s">
        <v>1846</v>
      </c>
      <c r="E9338" s="228"/>
      <c r="F9338" s="109" t="s">
        <v>26413</v>
      </c>
      <c r="G9338" s="24"/>
      <c r="H9338" s="230">
        <v>4</v>
      </c>
      <c r="I9338" s="220">
        <v>268000</v>
      </c>
      <c r="J9338" s="220">
        <f>I9338*0.1</f>
        <v>26800</v>
      </c>
      <c r="K9338" s="220">
        <v>0</v>
      </c>
      <c r="L9338" s="220">
        <v>7320</v>
      </c>
      <c r="M9338" s="220">
        <v>22000</v>
      </c>
      <c r="N9338" s="220">
        <f>SUM(I9338:M9339)</f>
        <v>324120</v>
      </c>
      <c r="O9338" s="224"/>
      <c r="P9338" s="110"/>
      <c r="Q9338" s="15" t="s">
        <v>19</v>
      </c>
      <c r="R9338" s="205"/>
      <c r="S9338" s="189"/>
      <c r="T9338" s="114"/>
      <c r="U9338" s="21"/>
      <c r="V9338" s="115"/>
      <c r="W9338" s="116"/>
      <c r="X9338" s="220"/>
      <c r="Y9338" s="220">
        <f>X9338*0.1</f>
        <v>0</v>
      </c>
      <c r="Z9338" s="220"/>
      <c r="AA9338" s="220">
        <f>SUM(X9338:Z9338)</f>
        <v>0</v>
      </c>
      <c r="AB9338" s="222"/>
    </row>
    <row r="9339" spans="1:28" ht="17.100000000000001" customHeight="1" thickBot="1">
      <c r="A9339" s="227"/>
      <c r="B9339" s="27" t="s">
        <v>3890</v>
      </c>
      <c r="C9339" s="27">
        <v>20003</v>
      </c>
      <c r="D9339" s="14" t="s">
        <v>3274</v>
      </c>
      <c r="E9339" s="229"/>
      <c r="F9339" s="117" t="s">
        <v>26330</v>
      </c>
      <c r="G9339" s="26">
        <v>15650</v>
      </c>
      <c r="H9339" s="231"/>
      <c r="I9339" s="221"/>
      <c r="J9339" s="221"/>
      <c r="K9339" s="221"/>
      <c r="L9339" s="221"/>
      <c r="M9339" s="221"/>
      <c r="N9339" s="221"/>
      <c r="O9339" s="225"/>
      <c r="P9339" s="118"/>
      <c r="Q9339" s="16" t="s">
        <v>20</v>
      </c>
      <c r="R9339" s="17"/>
      <c r="S9339" s="121" t="s">
        <v>3796</v>
      </c>
      <c r="T9339" s="122"/>
      <c r="U9339" s="22"/>
      <c r="V9339" s="123"/>
      <c r="W9339" s="122"/>
      <c r="X9339" s="221"/>
      <c r="Y9339" s="221"/>
      <c r="Z9339" s="221"/>
      <c r="AA9339" s="221"/>
      <c r="AB9339" s="223"/>
    </row>
    <row r="9340" spans="1:28" ht="17.100000000000001" customHeight="1" thickTop="1">
      <c r="A9340" s="226" t="s">
        <v>26418</v>
      </c>
      <c r="B9340" s="28">
        <v>46164</v>
      </c>
      <c r="C9340" s="25">
        <v>291</v>
      </c>
      <c r="D9340" s="13" t="s">
        <v>812</v>
      </c>
      <c r="E9340" s="228"/>
      <c r="F9340" s="109" t="s">
        <v>26412</v>
      </c>
      <c r="G9340" s="24"/>
      <c r="H9340" s="230">
        <v>4</v>
      </c>
      <c r="I9340" s="220">
        <v>512000</v>
      </c>
      <c r="J9340" s="220">
        <f>I9340*0.1</f>
        <v>51200</v>
      </c>
      <c r="K9340" s="220">
        <v>0</v>
      </c>
      <c r="L9340" s="220">
        <v>7510</v>
      </c>
      <c r="M9340" s="220">
        <v>22000</v>
      </c>
      <c r="N9340" s="220">
        <f>SUM(I9340:M9341)</f>
        <v>592710</v>
      </c>
      <c r="O9340" s="224"/>
      <c r="P9340" s="110"/>
      <c r="Q9340" s="15" t="s">
        <v>19</v>
      </c>
      <c r="R9340" s="205"/>
      <c r="S9340" s="189"/>
      <c r="T9340" s="114"/>
      <c r="U9340" s="21"/>
      <c r="V9340" s="115"/>
      <c r="W9340" s="116"/>
      <c r="X9340" s="220"/>
      <c r="Y9340" s="220">
        <f>X9340*0.1</f>
        <v>0</v>
      </c>
      <c r="Z9340" s="220"/>
      <c r="AA9340" s="220">
        <f>SUM(X9340:Z9340)</f>
        <v>0</v>
      </c>
      <c r="AB9340" s="222"/>
    </row>
    <row r="9341" spans="1:28" ht="17.100000000000001" customHeight="1" thickBot="1">
      <c r="A9341" s="227"/>
      <c r="B9341" s="27" t="s">
        <v>3890</v>
      </c>
      <c r="C9341" s="27">
        <v>20080</v>
      </c>
      <c r="D9341" s="14" t="s">
        <v>1710</v>
      </c>
      <c r="E9341" s="229"/>
      <c r="F9341" s="117" t="s">
        <v>26331</v>
      </c>
      <c r="G9341" s="26">
        <v>11687</v>
      </c>
      <c r="H9341" s="231"/>
      <c r="I9341" s="221"/>
      <c r="J9341" s="221"/>
      <c r="K9341" s="221"/>
      <c r="L9341" s="221"/>
      <c r="M9341" s="221"/>
      <c r="N9341" s="221"/>
      <c r="O9341" s="225"/>
      <c r="P9341" s="118"/>
      <c r="Q9341" s="16" t="s">
        <v>20</v>
      </c>
      <c r="R9341" s="17"/>
      <c r="S9341" s="121"/>
      <c r="T9341" s="122"/>
      <c r="U9341" s="22"/>
      <c r="V9341" s="123"/>
      <c r="W9341" s="122"/>
      <c r="X9341" s="221"/>
      <c r="Y9341" s="221"/>
      <c r="Z9341" s="221"/>
      <c r="AA9341" s="221"/>
      <c r="AB9341" s="223"/>
    </row>
    <row r="9342" spans="1:28" ht="17.100000000000001" customHeight="1" thickTop="1">
      <c r="A9342" s="226" t="s">
        <v>26419</v>
      </c>
      <c r="B9342" s="28">
        <v>46164</v>
      </c>
      <c r="C9342" s="25">
        <v>291</v>
      </c>
      <c r="D9342" s="13" t="s">
        <v>2324</v>
      </c>
      <c r="E9342" s="228"/>
      <c r="F9342" s="109" t="s">
        <v>4595</v>
      </c>
      <c r="G9342" s="24"/>
      <c r="H9342" s="230">
        <v>4.5</v>
      </c>
      <c r="I9342" s="220">
        <v>385000</v>
      </c>
      <c r="J9342" s="220">
        <f>I9342*0.1</f>
        <v>38500</v>
      </c>
      <c r="K9342" s="220">
        <v>0</v>
      </c>
      <c r="L9342" s="220">
        <v>7150</v>
      </c>
      <c r="M9342" s="220">
        <v>22000</v>
      </c>
      <c r="N9342" s="220">
        <f>SUM(I9342:M9343)</f>
        <v>452650</v>
      </c>
      <c r="O9342" s="224"/>
      <c r="P9342" s="110"/>
      <c r="Q9342" s="15" t="s">
        <v>19</v>
      </c>
      <c r="R9342" s="205"/>
      <c r="S9342" s="189"/>
      <c r="T9342" s="114"/>
      <c r="U9342" s="21"/>
      <c r="V9342" s="115"/>
      <c r="W9342" s="116"/>
      <c r="X9342" s="220"/>
      <c r="Y9342" s="220">
        <f>X9342*0.1</f>
        <v>0</v>
      </c>
      <c r="Z9342" s="220"/>
      <c r="AA9342" s="220">
        <f>SUM(X9342:Z9342)</f>
        <v>0</v>
      </c>
      <c r="AB9342" s="222"/>
    </row>
    <row r="9343" spans="1:28" ht="17.100000000000001" customHeight="1" thickBot="1">
      <c r="A9343" s="227"/>
      <c r="B9343" s="27" t="s">
        <v>3890</v>
      </c>
      <c r="C9343" s="27">
        <v>20102</v>
      </c>
      <c r="D9343" s="14" t="s">
        <v>1584</v>
      </c>
      <c r="E9343" s="229"/>
      <c r="F9343" s="117" t="s">
        <v>26332</v>
      </c>
      <c r="G9343" s="26">
        <v>46219</v>
      </c>
      <c r="H9343" s="231"/>
      <c r="I9343" s="221"/>
      <c r="J9343" s="221"/>
      <c r="K9343" s="221"/>
      <c r="L9343" s="221"/>
      <c r="M9343" s="221"/>
      <c r="N9343" s="221"/>
      <c r="O9343" s="225"/>
      <c r="P9343" s="118"/>
      <c r="Q9343" s="16" t="s">
        <v>20</v>
      </c>
      <c r="R9343" s="17"/>
      <c r="S9343" s="121"/>
      <c r="T9343" s="122"/>
      <c r="U9343" s="22"/>
      <c r="V9343" s="123"/>
      <c r="W9343" s="122"/>
      <c r="X9343" s="221"/>
      <c r="Y9343" s="221"/>
      <c r="Z9343" s="221"/>
      <c r="AA9343" s="221"/>
      <c r="AB9343" s="223"/>
    </row>
    <row r="9344" spans="1:28" ht="17.100000000000001" customHeight="1" thickTop="1">
      <c r="A9344" s="226" t="s">
        <v>26420</v>
      </c>
      <c r="B9344" s="28">
        <v>46164</v>
      </c>
      <c r="C9344" s="25">
        <v>291</v>
      </c>
      <c r="D9344" s="13" t="s">
        <v>1715</v>
      </c>
      <c r="E9344" s="228"/>
      <c r="F9344" s="109" t="s">
        <v>26411</v>
      </c>
      <c r="G9344" s="24"/>
      <c r="H9344" s="230">
        <v>4</v>
      </c>
      <c r="I9344" s="220">
        <v>1351000</v>
      </c>
      <c r="J9344" s="220">
        <f>I9344*0.1</f>
        <v>135100</v>
      </c>
      <c r="K9344" s="220">
        <v>0</v>
      </c>
      <c r="L9344" s="220">
        <v>7460</v>
      </c>
      <c r="M9344" s="220">
        <v>22000</v>
      </c>
      <c r="N9344" s="220">
        <f>SUM(I9344:M9345)</f>
        <v>1515560</v>
      </c>
      <c r="O9344" s="224"/>
      <c r="P9344" s="110"/>
      <c r="Q9344" s="15" t="s">
        <v>19</v>
      </c>
      <c r="R9344" s="205"/>
      <c r="S9344" s="189"/>
      <c r="T9344" s="114"/>
      <c r="U9344" s="21"/>
      <c r="V9344" s="115"/>
      <c r="W9344" s="116"/>
      <c r="X9344" s="220"/>
      <c r="Y9344" s="220">
        <f>X9344*0.1</f>
        <v>0</v>
      </c>
      <c r="Z9344" s="220"/>
      <c r="AA9344" s="220">
        <f>SUM(X9344:Z9344)</f>
        <v>0</v>
      </c>
      <c r="AB9344" s="222"/>
    </row>
    <row r="9345" spans="1:28" ht="17.100000000000001" customHeight="1" thickBot="1">
      <c r="A9345" s="227"/>
      <c r="B9345" s="27" t="s">
        <v>3890</v>
      </c>
      <c r="C9345" s="27">
        <v>20113</v>
      </c>
      <c r="D9345" s="14" t="s">
        <v>1584</v>
      </c>
      <c r="E9345" s="229"/>
      <c r="F9345" s="117" t="s">
        <v>26333</v>
      </c>
      <c r="G9345" s="26">
        <v>1407</v>
      </c>
      <c r="H9345" s="231"/>
      <c r="I9345" s="221"/>
      <c r="J9345" s="221"/>
      <c r="K9345" s="221"/>
      <c r="L9345" s="221"/>
      <c r="M9345" s="221"/>
      <c r="N9345" s="221"/>
      <c r="O9345" s="225"/>
      <c r="P9345" s="118"/>
      <c r="Q9345" s="16" t="s">
        <v>20</v>
      </c>
      <c r="R9345" s="17"/>
      <c r="S9345" s="121"/>
      <c r="T9345" s="122"/>
      <c r="U9345" s="22"/>
      <c r="V9345" s="123"/>
      <c r="W9345" s="122"/>
      <c r="X9345" s="221"/>
      <c r="Y9345" s="221"/>
      <c r="Z9345" s="221"/>
      <c r="AA9345" s="221"/>
      <c r="AB9345" s="223"/>
    </row>
    <row r="9346" spans="1:28" ht="17.100000000000001" customHeight="1" thickTop="1">
      <c r="A9346" s="226" t="s">
        <v>26421</v>
      </c>
      <c r="B9346" s="28">
        <v>46164</v>
      </c>
      <c r="C9346" s="25">
        <v>291</v>
      </c>
      <c r="D9346" s="13" t="s">
        <v>2324</v>
      </c>
      <c r="E9346" s="228"/>
      <c r="F9346" s="109" t="s">
        <v>10027</v>
      </c>
      <c r="G9346" s="24"/>
      <c r="H9346" s="230">
        <v>3.5</v>
      </c>
      <c r="I9346" s="220">
        <v>129000</v>
      </c>
      <c r="J9346" s="220">
        <f>I9346*0.1</f>
        <v>12900</v>
      </c>
      <c r="K9346" s="220">
        <v>0</v>
      </c>
      <c r="L9346" s="220">
        <v>6960</v>
      </c>
      <c r="M9346" s="220">
        <v>22000</v>
      </c>
      <c r="N9346" s="220">
        <f>SUM(I9346:M9347)</f>
        <v>170860</v>
      </c>
      <c r="O9346" s="224"/>
      <c r="P9346" s="110"/>
      <c r="Q9346" s="15" t="s">
        <v>19</v>
      </c>
      <c r="R9346" s="205"/>
      <c r="S9346" s="189"/>
      <c r="T9346" s="114"/>
      <c r="U9346" s="21"/>
      <c r="V9346" s="115"/>
      <c r="W9346" s="116"/>
      <c r="X9346" s="220"/>
      <c r="Y9346" s="220">
        <f>X9346*0.1</f>
        <v>0</v>
      </c>
      <c r="Z9346" s="220"/>
      <c r="AA9346" s="220">
        <f>SUM(X9346:Z9346)</f>
        <v>0</v>
      </c>
      <c r="AB9346" s="222"/>
    </row>
    <row r="9347" spans="1:28" ht="17.100000000000001" customHeight="1" thickBot="1">
      <c r="A9347" s="227"/>
      <c r="B9347" s="27" t="s">
        <v>3890</v>
      </c>
      <c r="C9347" s="27">
        <v>20133</v>
      </c>
      <c r="D9347" s="14" t="s">
        <v>1710</v>
      </c>
      <c r="E9347" s="229"/>
      <c r="F9347" s="117" t="s">
        <v>26334</v>
      </c>
      <c r="G9347" s="26">
        <v>30161</v>
      </c>
      <c r="H9347" s="231"/>
      <c r="I9347" s="221"/>
      <c r="J9347" s="221"/>
      <c r="K9347" s="221"/>
      <c r="L9347" s="221"/>
      <c r="M9347" s="221"/>
      <c r="N9347" s="221"/>
      <c r="O9347" s="225"/>
      <c r="P9347" s="118"/>
      <c r="Q9347" s="16" t="s">
        <v>20</v>
      </c>
      <c r="R9347" s="17"/>
      <c r="S9347" s="121"/>
      <c r="T9347" s="122"/>
      <c r="U9347" s="22"/>
      <c r="V9347" s="123"/>
      <c r="W9347" s="122"/>
      <c r="X9347" s="221"/>
      <c r="Y9347" s="221"/>
      <c r="Z9347" s="221"/>
      <c r="AA9347" s="221"/>
      <c r="AB9347" s="223"/>
    </row>
    <row r="9348" spans="1:28" ht="17.100000000000001" customHeight="1" thickTop="1">
      <c r="A9348" s="226" t="s">
        <v>26422</v>
      </c>
      <c r="B9348" s="28">
        <v>46164</v>
      </c>
      <c r="C9348" s="25">
        <v>291</v>
      </c>
      <c r="D9348" s="13" t="s">
        <v>4739</v>
      </c>
      <c r="E9348" s="228"/>
      <c r="F9348" s="109" t="s">
        <v>4556</v>
      </c>
      <c r="G9348" s="24" t="s">
        <v>4239</v>
      </c>
      <c r="H9348" s="230">
        <v>4</v>
      </c>
      <c r="I9348" s="220">
        <v>213000</v>
      </c>
      <c r="J9348" s="220">
        <f>I9348*0.1</f>
        <v>21300</v>
      </c>
      <c r="K9348" s="220">
        <v>0</v>
      </c>
      <c r="L9348" s="220">
        <v>7320</v>
      </c>
      <c r="M9348" s="220">
        <v>22000</v>
      </c>
      <c r="N9348" s="220">
        <f>SUM(I9348:M9349)</f>
        <v>263620</v>
      </c>
      <c r="O9348" s="224"/>
      <c r="P9348" s="110" t="s">
        <v>26410</v>
      </c>
      <c r="Q9348" s="15" t="s">
        <v>19</v>
      </c>
      <c r="R9348" s="205"/>
      <c r="S9348" s="189"/>
      <c r="T9348" s="114"/>
      <c r="U9348" s="21"/>
      <c r="V9348" s="115"/>
      <c r="W9348" s="116"/>
      <c r="X9348" s="220"/>
      <c r="Y9348" s="220">
        <f>X9348*0.1</f>
        <v>0</v>
      </c>
      <c r="Z9348" s="220"/>
      <c r="AA9348" s="220">
        <f>SUM(X9348:Z9348)</f>
        <v>0</v>
      </c>
      <c r="AB9348" s="222"/>
    </row>
    <row r="9349" spans="1:28" ht="17.100000000000001" customHeight="1" thickBot="1">
      <c r="A9349" s="227"/>
      <c r="B9349" s="27" t="s">
        <v>3890</v>
      </c>
      <c r="C9349" s="27">
        <v>20197</v>
      </c>
      <c r="D9349" s="14" t="s">
        <v>2559</v>
      </c>
      <c r="E9349" s="229"/>
      <c r="F9349" s="117" t="s">
        <v>26335</v>
      </c>
      <c r="G9349" s="26">
        <v>38283</v>
      </c>
      <c r="H9349" s="231"/>
      <c r="I9349" s="221"/>
      <c r="J9349" s="221"/>
      <c r="K9349" s="221"/>
      <c r="L9349" s="221"/>
      <c r="M9349" s="221"/>
      <c r="N9349" s="221"/>
      <c r="O9349" s="225"/>
      <c r="P9349" s="118"/>
      <c r="Q9349" s="16" t="s">
        <v>20</v>
      </c>
      <c r="R9349" s="17"/>
      <c r="S9349" s="121"/>
      <c r="T9349" s="122"/>
      <c r="U9349" s="22"/>
      <c r="V9349" s="123"/>
      <c r="W9349" s="122"/>
      <c r="X9349" s="221"/>
      <c r="Y9349" s="221"/>
      <c r="Z9349" s="221"/>
      <c r="AA9349" s="221"/>
      <c r="AB9349" s="223"/>
    </row>
    <row r="9350" spans="1:28" ht="17.100000000000001" customHeight="1" thickTop="1">
      <c r="A9350" s="226" t="s">
        <v>26423</v>
      </c>
      <c r="B9350" s="28">
        <v>46164</v>
      </c>
      <c r="C9350" s="25">
        <v>291</v>
      </c>
      <c r="D9350" s="13" t="s">
        <v>1908</v>
      </c>
      <c r="E9350" s="228"/>
      <c r="F9350" s="109" t="s">
        <v>26409</v>
      </c>
      <c r="G9350" s="24"/>
      <c r="H9350" s="230">
        <v>4</v>
      </c>
      <c r="I9350" s="220">
        <v>383000</v>
      </c>
      <c r="J9350" s="220">
        <f>I9350*0.1</f>
        <v>38300</v>
      </c>
      <c r="K9350" s="220">
        <v>0</v>
      </c>
      <c r="L9350" s="220">
        <v>9550</v>
      </c>
      <c r="M9350" s="220">
        <v>22000</v>
      </c>
      <c r="N9350" s="220">
        <f>SUM(I9350:M9351)</f>
        <v>452850</v>
      </c>
      <c r="O9350" s="224"/>
      <c r="P9350" s="110"/>
      <c r="Q9350" s="15" t="s">
        <v>19</v>
      </c>
      <c r="R9350" s="205"/>
      <c r="S9350" s="189"/>
      <c r="T9350" s="114"/>
      <c r="U9350" s="21"/>
      <c r="V9350" s="115"/>
      <c r="W9350" s="116"/>
      <c r="X9350" s="220"/>
      <c r="Y9350" s="220">
        <f>X9350*0.1</f>
        <v>0</v>
      </c>
      <c r="Z9350" s="220"/>
      <c r="AA9350" s="220">
        <f>SUM(X9350:Z9350)</f>
        <v>0</v>
      </c>
      <c r="AB9350" s="222"/>
    </row>
    <row r="9351" spans="1:28" ht="17.100000000000001" customHeight="1" thickBot="1">
      <c r="A9351" s="227"/>
      <c r="B9351" s="27" t="s">
        <v>3890</v>
      </c>
      <c r="C9351" s="27">
        <v>20235</v>
      </c>
      <c r="D9351" s="14" t="s">
        <v>2559</v>
      </c>
      <c r="E9351" s="229"/>
      <c r="F9351" s="117" t="s">
        <v>26336</v>
      </c>
      <c r="G9351" s="26">
        <v>59218</v>
      </c>
      <c r="H9351" s="231"/>
      <c r="I9351" s="221"/>
      <c r="J9351" s="221"/>
      <c r="K9351" s="221"/>
      <c r="L9351" s="221"/>
      <c r="M9351" s="221"/>
      <c r="N9351" s="221"/>
      <c r="O9351" s="225"/>
      <c r="P9351" s="118"/>
      <c r="Q9351" s="16" t="s">
        <v>20</v>
      </c>
      <c r="R9351" s="17"/>
      <c r="S9351" s="121"/>
      <c r="T9351" s="122"/>
      <c r="U9351" s="22"/>
      <c r="V9351" s="123"/>
      <c r="W9351" s="122"/>
      <c r="X9351" s="221"/>
      <c r="Y9351" s="221"/>
      <c r="Z9351" s="221"/>
      <c r="AA9351" s="221"/>
      <c r="AB9351" s="223"/>
    </row>
    <row r="9352" spans="1:28" ht="17.100000000000001" customHeight="1" thickTop="1">
      <c r="A9352" s="226" t="s">
        <v>26424</v>
      </c>
      <c r="B9352" s="28">
        <v>46164</v>
      </c>
      <c r="C9352" s="25"/>
      <c r="D9352" s="13" t="s">
        <v>3271</v>
      </c>
      <c r="E9352" s="228"/>
      <c r="F9352" s="109" t="s">
        <v>25281</v>
      </c>
      <c r="G9352" s="24" t="s">
        <v>3264</v>
      </c>
      <c r="H9352" s="230">
        <v>4.5</v>
      </c>
      <c r="I9352" s="220">
        <v>6410000</v>
      </c>
      <c r="J9352" s="220">
        <f>I9352*0.1</f>
        <v>641000</v>
      </c>
      <c r="K9352" s="220">
        <v>33300</v>
      </c>
      <c r="L9352" s="220">
        <v>14230</v>
      </c>
      <c r="M9352" s="220">
        <v>0</v>
      </c>
      <c r="N9352" s="220">
        <f>SUM(I9352:M9353)</f>
        <v>7098530</v>
      </c>
      <c r="O9352" s="224"/>
      <c r="P9352" s="110"/>
      <c r="Q9352" s="15" t="s">
        <v>19</v>
      </c>
      <c r="R9352" s="205"/>
      <c r="S9352" s="189" t="s">
        <v>26362</v>
      </c>
      <c r="T9352" s="114"/>
      <c r="U9352" s="21"/>
      <c r="V9352" s="115"/>
      <c r="W9352" s="116"/>
      <c r="X9352" s="220"/>
      <c r="Y9352" s="220">
        <f>X9352*0.1</f>
        <v>0</v>
      </c>
      <c r="Z9352" s="220"/>
      <c r="AA9352" s="220">
        <f>SUM(X9352:Z9352)</f>
        <v>0</v>
      </c>
      <c r="AB9352" s="222"/>
    </row>
    <row r="9353" spans="1:28" ht="17.100000000000001" customHeight="1" thickBot="1">
      <c r="A9353" s="227"/>
      <c r="B9353" s="27" t="s">
        <v>1708</v>
      </c>
      <c r="C9353" s="27" t="s">
        <v>26366</v>
      </c>
      <c r="D9353" s="14" t="s">
        <v>1584</v>
      </c>
      <c r="E9353" s="229"/>
      <c r="F9353" s="117" t="s">
        <v>26367</v>
      </c>
      <c r="G9353" s="26">
        <v>9352</v>
      </c>
      <c r="H9353" s="231"/>
      <c r="I9353" s="221"/>
      <c r="J9353" s="221"/>
      <c r="K9353" s="221"/>
      <c r="L9353" s="221"/>
      <c r="M9353" s="221"/>
      <c r="N9353" s="221"/>
      <c r="O9353" s="225"/>
      <c r="P9353" s="118"/>
      <c r="Q9353" s="16" t="s">
        <v>20</v>
      </c>
      <c r="R9353" s="17"/>
      <c r="S9353" s="121"/>
      <c r="T9353" s="122"/>
      <c r="U9353" s="22"/>
      <c r="V9353" s="123"/>
      <c r="W9353" s="122"/>
      <c r="X9353" s="221"/>
      <c r="Y9353" s="221"/>
      <c r="Z9353" s="221"/>
      <c r="AA9353" s="221"/>
      <c r="AB9353" s="223"/>
    </row>
    <row r="9354" spans="1:28" ht="17.100000000000001" customHeight="1" thickTop="1">
      <c r="A9354" s="226" t="s">
        <v>26425</v>
      </c>
      <c r="B9354" s="28">
        <v>46164</v>
      </c>
      <c r="C9354" s="25"/>
      <c r="D9354" s="13" t="s">
        <v>2010</v>
      </c>
      <c r="E9354" s="228"/>
      <c r="F9354" s="109" t="s">
        <v>5042</v>
      </c>
      <c r="G9354" s="24" t="s">
        <v>6726</v>
      </c>
      <c r="H9354" s="230">
        <v>4.5</v>
      </c>
      <c r="I9354" s="220">
        <v>1280000</v>
      </c>
      <c r="J9354" s="220">
        <f>I9354*0.1</f>
        <v>128000</v>
      </c>
      <c r="K9354" s="220">
        <v>0</v>
      </c>
      <c r="L9354" s="220">
        <v>8630</v>
      </c>
      <c r="M9354" s="220">
        <v>0</v>
      </c>
      <c r="N9354" s="220">
        <f>SUM(I9354:M9355)</f>
        <v>1416630</v>
      </c>
      <c r="O9354" s="224"/>
      <c r="P9354" s="110"/>
      <c r="Q9354" s="15" t="s">
        <v>19</v>
      </c>
      <c r="R9354" s="205"/>
      <c r="S9354" s="189" t="s">
        <v>4387</v>
      </c>
      <c r="T9354" s="114"/>
      <c r="U9354" s="21"/>
      <c r="V9354" s="115"/>
      <c r="W9354" s="116"/>
      <c r="X9354" s="220"/>
      <c r="Y9354" s="220">
        <f>X9354*0.1</f>
        <v>0</v>
      </c>
      <c r="Z9354" s="220"/>
      <c r="AA9354" s="220">
        <f>SUM(X9354:Z9354)</f>
        <v>0</v>
      </c>
      <c r="AB9354" s="222"/>
    </row>
    <row r="9355" spans="1:28" ht="17.100000000000001" customHeight="1" thickBot="1">
      <c r="A9355" s="227"/>
      <c r="B9355" s="27" t="s">
        <v>1708</v>
      </c>
      <c r="C9355" s="27" t="s">
        <v>26347</v>
      </c>
      <c r="D9355" s="14" t="s">
        <v>1584</v>
      </c>
      <c r="E9355" s="229"/>
      <c r="F9355" s="117" t="s">
        <v>26348</v>
      </c>
      <c r="G9355" s="26">
        <v>52689</v>
      </c>
      <c r="H9355" s="231"/>
      <c r="I9355" s="221"/>
      <c r="J9355" s="221"/>
      <c r="K9355" s="221"/>
      <c r="L9355" s="221"/>
      <c r="M9355" s="221"/>
      <c r="N9355" s="221"/>
      <c r="O9355" s="225"/>
      <c r="P9355" s="118"/>
      <c r="Q9355" s="16" t="s">
        <v>20</v>
      </c>
      <c r="R9355" s="17"/>
      <c r="S9355" s="121"/>
      <c r="T9355" s="122"/>
      <c r="U9355" s="22"/>
      <c r="V9355" s="123"/>
      <c r="W9355" s="122"/>
      <c r="X9355" s="221"/>
      <c r="Y9355" s="221"/>
      <c r="Z9355" s="221"/>
      <c r="AA9355" s="221"/>
      <c r="AB9355" s="223"/>
    </row>
    <row r="9356" spans="1:28" ht="17.100000000000001" customHeight="1" thickTop="1">
      <c r="A9356" s="226" t="s">
        <v>26426</v>
      </c>
      <c r="B9356" s="28">
        <v>46164</v>
      </c>
      <c r="C9356" s="25"/>
      <c r="D9356" s="13" t="s">
        <v>1704</v>
      </c>
      <c r="E9356" s="228"/>
      <c r="F9356" s="109" t="s">
        <v>26350</v>
      </c>
      <c r="G9356" s="24" t="s">
        <v>6726</v>
      </c>
      <c r="H9356" s="230">
        <v>4</v>
      </c>
      <c r="I9356" s="220">
        <v>1310000</v>
      </c>
      <c r="J9356" s="220">
        <f>I9356*0.1</f>
        <v>131000</v>
      </c>
      <c r="K9356" s="220">
        <v>22800</v>
      </c>
      <c r="L9356" s="220">
        <v>10360</v>
      </c>
      <c r="M9356" s="220">
        <v>0</v>
      </c>
      <c r="N9356" s="220">
        <f>SUM(I9356:M9357)</f>
        <v>1474160</v>
      </c>
      <c r="O9356" s="224"/>
      <c r="P9356" s="110"/>
      <c r="Q9356" s="15" t="s">
        <v>19</v>
      </c>
      <c r="R9356" s="205"/>
      <c r="S9356" s="189" t="s">
        <v>5027</v>
      </c>
      <c r="T9356" s="114"/>
      <c r="U9356" s="21"/>
      <c r="V9356" s="115"/>
      <c r="W9356" s="116"/>
      <c r="X9356" s="220"/>
      <c r="Y9356" s="220">
        <f>X9356*0.1</f>
        <v>0</v>
      </c>
      <c r="Z9356" s="220"/>
      <c r="AA9356" s="220">
        <f>SUM(X9356:Z9356)</f>
        <v>0</v>
      </c>
      <c r="AB9356" s="222"/>
    </row>
    <row r="9357" spans="1:28" ht="17.100000000000001" customHeight="1" thickBot="1">
      <c r="A9357" s="227"/>
      <c r="B9357" s="27" t="s">
        <v>1708</v>
      </c>
      <c r="C9357" s="27" t="s">
        <v>26349</v>
      </c>
      <c r="D9357" s="14" t="s">
        <v>1568</v>
      </c>
      <c r="E9357" s="229"/>
      <c r="F9357" s="117" t="s">
        <v>26351</v>
      </c>
      <c r="G9357" s="26">
        <v>56632</v>
      </c>
      <c r="H9357" s="231"/>
      <c r="I9357" s="221"/>
      <c r="J9357" s="221"/>
      <c r="K9357" s="221"/>
      <c r="L9357" s="221"/>
      <c r="M9357" s="221"/>
      <c r="N9357" s="221"/>
      <c r="O9357" s="225"/>
      <c r="P9357" s="118"/>
      <c r="Q9357" s="16" t="s">
        <v>20</v>
      </c>
      <c r="R9357" s="17"/>
      <c r="S9357" s="121"/>
      <c r="T9357" s="122"/>
      <c r="U9357" s="22"/>
      <c r="V9357" s="123"/>
      <c r="W9357" s="122"/>
      <c r="X9357" s="221"/>
      <c r="Y9357" s="221"/>
      <c r="Z9357" s="221"/>
      <c r="AA9357" s="221"/>
      <c r="AB9357" s="223"/>
    </row>
    <row r="9358" spans="1:28" ht="17.100000000000001" customHeight="1" thickTop="1">
      <c r="A9358" s="226" t="s">
        <v>26427</v>
      </c>
      <c r="B9358" s="28">
        <v>46164</v>
      </c>
      <c r="C9358" s="25"/>
      <c r="D9358" s="13" t="s">
        <v>3769</v>
      </c>
      <c r="E9358" s="228"/>
      <c r="F9358" s="109" t="s">
        <v>26353</v>
      </c>
      <c r="G9358" s="24" t="s">
        <v>2084</v>
      </c>
      <c r="H9358" s="230">
        <v>4.5</v>
      </c>
      <c r="I9358" s="220">
        <v>1525000</v>
      </c>
      <c r="J9358" s="220">
        <f>I9358*0.1</f>
        <v>152500</v>
      </c>
      <c r="K9358" s="220">
        <v>18700</v>
      </c>
      <c r="L9358" s="220">
        <v>9300</v>
      </c>
      <c r="M9358" s="220">
        <v>0</v>
      </c>
      <c r="N9358" s="220">
        <f>SUM(I9358:M9359)</f>
        <v>1705500</v>
      </c>
      <c r="O9358" s="224"/>
      <c r="P9358" s="110"/>
      <c r="Q9358" s="15" t="s">
        <v>19</v>
      </c>
      <c r="R9358" s="205"/>
      <c r="S9358" s="189" t="s">
        <v>4387</v>
      </c>
      <c r="T9358" s="114"/>
      <c r="U9358" s="21"/>
      <c r="V9358" s="115"/>
      <c r="W9358" s="116"/>
      <c r="X9358" s="220"/>
      <c r="Y9358" s="220">
        <f>X9358*0.1</f>
        <v>0</v>
      </c>
      <c r="Z9358" s="220"/>
      <c r="AA9358" s="220">
        <f>SUM(X9358:Z9358)</f>
        <v>0</v>
      </c>
      <c r="AB9358" s="222"/>
    </row>
    <row r="9359" spans="1:28" ht="17.100000000000001" customHeight="1" thickBot="1">
      <c r="A9359" s="227"/>
      <c r="B9359" s="27" t="s">
        <v>1708</v>
      </c>
      <c r="C9359" s="27" t="s">
        <v>26352</v>
      </c>
      <c r="D9359" s="14" t="s">
        <v>2559</v>
      </c>
      <c r="E9359" s="229"/>
      <c r="F9359" s="117" t="s">
        <v>26354</v>
      </c>
      <c r="G9359" s="26">
        <v>37279</v>
      </c>
      <c r="H9359" s="231"/>
      <c r="I9359" s="221"/>
      <c r="J9359" s="221"/>
      <c r="K9359" s="221"/>
      <c r="L9359" s="221"/>
      <c r="M9359" s="221"/>
      <c r="N9359" s="221"/>
      <c r="O9359" s="225"/>
      <c r="P9359" s="118"/>
      <c r="Q9359" s="16" t="s">
        <v>20</v>
      </c>
      <c r="R9359" s="17"/>
      <c r="S9359" s="121"/>
      <c r="T9359" s="122"/>
      <c r="U9359" s="22"/>
      <c r="V9359" s="123"/>
      <c r="W9359" s="122"/>
      <c r="X9359" s="221"/>
      <c r="Y9359" s="221"/>
      <c r="Z9359" s="221"/>
      <c r="AA9359" s="221"/>
      <c r="AB9359" s="223"/>
    </row>
    <row r="9360" spans="1:28" ht="17.100000000000001" customHeight="1" thickTop="1">
      <c r="A9360" s="226" t="s">
        <v>26428</v>
      </c>
      <c r="B9360" s="28">
        <v>46164</v>
      </c>
      <c r="C9360" s="25"/>
      <c r="D9360" s="13" t="s">
        <v>1963</v>
      </c>
      <c r="E9360" s="228"/>
      <c r="F9360" s="109" t="s">
        <v>12536</v>
      </c>
      <c r="G9360" s="24" t="s">
        <v>2084</v>
      </c>
      <c r="H9360" s="230">
        <v>4.5</v>
      </c>
      <c r="I9360" s="220">
        <v>5650000</v>
      </c>
      <c r="J9360" s="220">
        <f>I9360*0.1</f>
        <v>565000</v>
      </c>
      <c r="K9360" s="220">
        <v>32600</v>
      </c>
      <c r="L9360" s="220">
        <v>16370</v>
      </c>
      <c r="M9360" s="220">
        <v>0</v>
      </c>
      <c r="N9360" s="220">
        <f>SUM(I9360:M9361)</f>
        <v>6263970</v>
      </c>
      <c r="O9360" s="224"/>
      <c r="P9360" s="110"/>
      <c r="Q9360" s="15" t="s">
        <v>19</v>
      </c>
      <c r="R9360" s="205"/>
      <c r="S9360" s="189"/>
      <c r="T9360" s="114"/>
      <c r="U9360" s="21"/>
      <c r="V9360" s="115"/>
      <c r="W9360" s="116"/>
      <c r="X9360" s="220"/>
      <c r="Y9360" s="220">
        <f>X9360*0.1</f>
        <v>0</v>
      </c>
      <c r="Z9360" s="220"/>
      <c r="AA9360" s="220">
        <f>SUM(X9360:Z9360)</f>
        <v>0</v>
      </c>
      <c r="AB9360" s="222"/>
    </row>
    <row r="9361" spans="1:28" ht="17.100000000000001" customHeight="1" thickBot="1">
      <c r="A9361" s="227"/>
      <c r="B9361" s="27" t="s">
        <v>1708</v>
      </c>
      <c r="C9361" s="27" t="s">
        <v>26355</v>
      </c>
      <c r="D9361" s="14" t="s">
        <v>273</v>
      </c>
      <c r="E9361" s="229"/>
      <c r="F9361" s="117" t="s">
        <v>26356</v>
      </c>
      <c r="G9361" s="26">
        <v>10780</v>
      </c>
      <c r="H9361" s="231"/>
      <c r="I9361" s="221"/>
      <c r="J9361" s="221"/>
      <c r="K9361" s="221"/>
      <c r="L9361" s="221"/>
      <c r="M9361" s="221"/>
      <c r="N9361" s="221"/>
      <c r="O9361" s="225"/>
      <c r="P9361" s="118"/>
      <c r="Q9361" s="16" t="s">
        <v>20</v>
      </c>
      <c r="R9361" s="17"/>
      <c r="S9361" s="121"/>
      <c r="T9361" s="122"/>
      <c r="U9361" s="22"/>
      <c r="V9361" s="123"/>
      <c r="W9361" s="122"/>
      <c r="X9361" s="221"/>
      <c r="Y9361" s="221"/>
      <c r="Z9361" s="221"/>
      <c r="AA9361" s="221"/>
      <c r="AB9361" s="223"/>
    </row>
    <row r="9362" spans="1:28" ht="17.100000000000001" customHeight="1" thickTop="1">
      <c r="A9362" s="226" t="s">
        <v>26429</v>
      </c>
      <c r="B9362" s="28">
        <v>46164</v>
      </c>
      <c r="C9362" s="25"/>
      <c r="D9362" s="13" t="s">
        <v>812</v>
      </c>
      <c r="E9362" s="228"/>
      <c r="F9362" s="109" t="s">
        <v>26358</v>
      </c>
      <c r="G9362" s="24" t="s">
        <v>1540</v>
      </c>
      <c r="H9362" s="230">
        <v>4</v>
      </c>
      <c r="I9362" s="220">
        <v>1165000</v>
      </c>
      <c r="J9362" s="220">
        <f>I9362*0.1</f>
        <v>116500</v>
      </c>
      <c r="K9362" s="220">
        <v>27000</v>
      </c>
      <c r="L9362" s="220">
        <v>9440</v>
      </c>
      <c r="M9362" s="220">
        <v>0</v>
      </c>
      <c r="N9362" s="220">
        <f>SUM(I9362:M9363)</f>
        <v>1317940</v>
      </c>
      <c r="O9362" s="224"/>
      <c r="P9362" s="110"/>
      <c r="Q9362" s="15" t="s">
        <v>19</v>
      </c>
      <c r="R9362" s="205"/>
      <c r="S9362" s="189" t="s">
        <v>184</v>
      </c>
      <c r="T9362" s="114"/>
      <c r="U9362" s="21"/>
      <c r="V9362" s="115"/>
      <c r="W9362" s="116"/>
      <c r="X9362" s="220"/>
      <c r="Y9362" s="220">
        <f>X9362*0.1</f>
        <v>0</v>
      </c>
      <c r="Z9362" s="220"/>
      <c r="AA9362" s="220">
        <f>SUM(X9362:Z9362)</f>
        <v>0</v>
      </c>
      <c r="AB9362" s="222"/>
    </row>
    <row r="9363" spans="1:28" ht="17.100000000000001" customHeight="1" thickBot="1">
      <c r="A9363" s="227"/>
      <c r="B9363" s="27" t="s">
        <v>1708</v>
      </c>
      <c r="C9363" s="27" t="s">
        <v>26357</v>
      </c>
      <c r="D9363" s="14" t="s">
        <v>2559</v>
      </c>
      <c r="E9363" s="229"/>
      <c r="F9363" s="117" t="s">
        <v>26359</v>
      </c>
      <c r="G9363" s="26">
        <v>119000</v>
      </c>
      <c r="H9363" s="231"/>
      <c r="I9363" s="221"/>
      <c r="J9363" s="221"/>
      <c r="K9363" s="221"/>
      <c r="L9363" s="221"/>
      <c r="M9363" s="221"/>
      <c r="N9363" s="221"/>
      <c r="O9363" s="225"/>
      <c r="P9363" s="118"/>
      <c r="Q9363" s="16" t="s">
        <v>20</v>
      </c>
      <c r="R9363" s="17"/>
      <c r="S9363" s="121"/>
      <c r="T9363" s="122"/>
      <c r="U9363" s="22"/>
      <c r="V9363" s="123"/>
      <c r="W9363" s="122"/>
      <c r="X9363" s="221"/>
      <c r="Y9363" s="221"/>
      <c r="Z9363" s="221"/>
      <c r="AA9363" s="221"/>
      <c r="AB9363" s="223"/>
    </row>
    <row r="9364" spans="1:28" ht="17.100000000000001" customHeight="1" thickTop="1">
      <c r="A9364" s="226" t="s">
        <v>26430</v>
      </c>
      <c r="B9364" s="28">
        <v>46164</v>
      </c>
      <c r="C9364" s="25"/>
      <c r="D9364" s="13" t="s">
        <v>2457</v>
      </c>
      <c r="E9364" s="228"/>
      <c r="F9364" s="109" t="s">
        <v>26368</v>
      </c>
      <c r="G9364" s="24" t="s">
        <v>1605</v>
      </c>
      <c r="H9364" s="230">
        <v>5</v>
      </c>
      <c r="I9364" s="220">
        <v>5400000</v>
      </c>
      <c r="J9364" s="220">
        <f>I9364*0.1</f>
        <v>540000</v>
      </c>
      <c r="K9364" s="220">
        <v>32600</v>
      </c>
      <c r="L9364" s="220">
        <v>15760</v>
      </c>
      <c r="M9364" s="220">
        <v>0</v>
      </c>
      <c r="N9364" s="220">
        <f>SUM(I9364:M9365)</f>
        <v>5988360</v>
      </c>
      <c r="O9364" s="224"/>
      <c r="P9364" s="110"/>
      <c r="Q9364" s="15" t="s">
        <v>19</v>
      </c>
      <c r="R9364" s="205"/>
      <c r="S9364" s="189" t="s">
        <v>26362</v>
      </c>
      <c r="T9364" s="114"/>
      <c r="U9364" s="21"/>
      <c r="V9364" s="115"/>
      <c r="W9364" s="116"/>
      <c r="X9364" s="220"/>
      <c r="Y9364" s="220">
        <f>X9364*0.1</f>
        <v>0</v>
      </c>
      <c r="Z9364" s="220"/>
      <c r="AA9364" s="220">
        <f>SUM(X9364:Z9364)</f>
        <v>0</v>
      </c>
      <c r="AB9364" s="222"/>
    </row>
    <row r="9365" spans="1:28" ht="17.100000000000001" customHeight="1" thickBot="1">
      <c r="A9365" s="227"/>
      <c r="B9365" s="27" t="s">
        <v>1708</v>
      </c>
      <c r="C9365" s="27" t="s">
        <v>26369</v>
      </c>
      <c r="D9365" s="14" t="s">
        <v>24498</v>
      </c>
      <c r="E9365" s="229"/>
      <c r="F9365" s="117" t="s">
        <v>26370</v>
      </c>
      <c r="G9365" s="26">
        <v>9537</v>
      </c>
      <c r="H9365" s="231"/>
      <c r="I9365" s="221"/>
      <c r="J9365" s="221"/>
      <c r="K9365" s="221"/>
      <c r="L9365" s="221"/>
      <c r="M9365" s="221"/>
      <c r="N9365" s="221"/>
      <c r="O9365" s="225"/>
      <c r="P9365" s="118"/>
      <c r="Q9365" s="16" t="s">
        <v>20</v>
      </c>
      <c r="R9365" s="17"/>
      <c r="S9365" s="121"/>
      <c r="T9365" s="122"/>
      <c r="U9365" s="22"/>
      <c r="V9365" s="123"/>
      <c r="W9365" s="122"/>
      <c r="X9365" s="221"/>
      <c r="Y9365" s="221"/>
      <c r="Z9365" s="221"/>
      <c r="AA9365" s="221"/>
      <c r="AB9365" s="223"/>
    </row>
    <row r="9366" spans="1:28" ht="17.100000000000001" customHeight="1" thickTop="1">
      <c r="A9366" s="226" t="s">
        <v>26431</v>
      </c>
      <c r="B9366" s="28">
        <v>46164</v>
      </c>
      <c r="C9366" s="25"/>
      <c r="D9366" s="13" t="s">
        <v>2644</v>
      </c>
      <c r="E9366" s="228"/>
      <c r="F9366" s="109" t="s">
        <v>13221</v>
      </c>
      <c r="G9366" s="24" t="s">
        <v>2494</v>
      </c>
      <c r="H9366" s="230">
        <v>4</v>
      </c>
      <c r="I9366" s="220">
        <v>2630000</v>
      </c>
      <c r="J9366" s="220">
        <f>I9366*0.1</f>
        <v>263000</v>
      </c>
      <c r="K9366" s="220">
        <v>12000</v>
      </c>
      <c r="L9366" s="220">
        <v>9550</v>
      </c>
      <c r="M9366" s="220">
        <v>0</v>
      </c>
      <c r="N9366" s="220">
        <f>SUM(I9366:M9367)</f>
        <v>2914550</v>
      </c>
      <c r="O9366" s="224"/>
      <c r="P9366" s="110"/>
      <c r="Q9366" s="15" t="s">
        <v>19</v>
      </c>
      <c r="R9366" s="205"/>
      <c r="S9366" s="189" t="s">
        <v>26362</v>
      </c>
      <c r="T9366" s="114"/>
      <c r="U9366" s="21"/>
      <c r="V9366" s="115"/>
      <c r="W9366" s="116"/>
      <c r="X9366" s="220"/>
      <c r="Y9366" s="220">
        <f>X9366*0.1</f>
        <v>0</v>
      </c>
      <c r="Z9366" s="220"/>
      <c r="AA9366" s="220">
        <f>SUM(X9366:Z9366)</f>
        <v>0</v>
      </c>
      <c r="AB9366" s="222"/>
    </row>
    <row r="9367" spans="1:28" ht="17.100000000000001" customHeight="1" thickBot="1">
      <c r="A9367" s="227"/>
      <c r="B9367" s="27" t="s">
        <v>1708</v>
      </c>
      <c r="C9367" s="27" t="s">
        <v>26360</v>
      </c>
      <c r="D9367" s="14" t="s">
        <v>273</v>
      </c>
      <c r="E9367" s="229"/>
      <c r="F9367" s="117" t="s">
        <v>26361</v>
      </c>
      <c r="G9367" s="26">
        <v>62419</v>
      </c>
      <c r="H9367" s="231"/>
      <c r="I9367" s="221"/>
      <c r="J9367" s="221"/>
      <c r="K9367" s="221"/>
      <c r="L9367" s="221"/>
      <c r="M9367" s="221"/>
      <c r="N9367" s="221"/>
      <c r="O9367" s="225"/>
      <c r="P9367" s="118"/>
      <c r="Q9367" s="16" t="s">
        <v>20</v>
      </c>
      <c r="R9367" s="17"/>
      <c r="S9367" s="121"/>
      <c r="T9367" s="122"/>
      <c r="U9367" s="22"/>
      <c r="V9367" s="123"/>
      <c r="W9367" s="122"/>
      <c r="X9367" s="221"/>
      <c r="Y9367" s="221"/>
      <c r="Z9367" s="221"/>
      <c r="AA9367" s="221"/>
      <c r="AB9367" s="223"/>
    </row>
    <row r="9368" spans="1:28" ht="17.100000000000001" customHeight="1" thickTop="1">
      <c r="A9368" s="226" t="s">
        <v>26432</v>
      </c>
      <c r="B9368" s="28">
        <v>46164</v>
      </c>
      <c r="C9368" s="25"/>
      <c r="D9368" s="13" t="s">
        <v>2324</v>
      </c>
      <c r="E9368" s="228"/>
      <c r="F9368" s="109" t="s">
        <v>5336</v>
      </c>
      <c r="G9368" s="24" t="s">
        <v>6610</v>
      </c>
      <c r="H9368" s="230">
        <v>4.5</v>
      </c>
      <c r="I9368" s="220">
        <v>609000</v>
      </c>
      <c r="J9368" s="220">
        <f>I9368*0.1</f>
        <v>60900</v>
      </c>
      <c r="K9368" s="220">
        <v>0</v>
      </c>
      <c r="L9368" s="220">
        <v>7140</v>
      </c>
      <c r="M9368" s="220">
        <v>0</v>
      </c>
      <c r="N9368" s="220">
        <f>SUM(I9368:M9369)</f>
        <v>677040</v>
      </c>
      <c r="O9368" s="224"/>
      <c r="P9368" s="110"/>
      <c r="Q9368" s="15" t="s">
        <v>19</v>
      </c>
      <c r="R9368" s="205"/>
      <c r="S9368" s="189" t="s">
        <v>26365</v>
      </c>
      <c r="T9368" s="114"/>
      <c r="U9368" s="21"/>
      <c r="V9368" s="115"/>
      <c r="W9368" s="116"/>
      <c r="X9368" s="220"/>
      <c r="Y9368" s="220">
        <f>X9368*0.1</f>
        <v>0</v>
      </c>
      <c r="Z9368" s="220"/>
      <c r="AA9368" s="220">
        <f>SUM(X9368:Z9368)</f>
        <v>0</v>
      </c>
      <c r="AB9368" s="222"/>
    </row>
    <row r="9369" spans="1:28" ht="17.100000000000001" customHeight="1" thickBot="1">
      <c r="A9369" s="227"/>
      <c r="B9369" s="27" t="s">
        <v>1708</v>
      </c>
      <c r="C9369" s="27" t="s">
        <v>26363</v>
      </c>
      <c r="D9369" s="14" t="s">
        <v>1584</v>
      </c>
      <c r="E9369" s="229"/>
      <c r="F9369" s="117" t="s">
        <v>26364</v>
      </c>
      <c r="G9369" s="26">
        <v>47612</v>
      </c>
      <c r="H9369" s="231"/>
      <c r="I9369" s="221"/>
      <c r="J9369" s="221"/>
      <c r="K9369" s="221"/>
      <c r="L9369" s="221"/>
      <c r="M9369" s="221"/>
      <c r="N9369" s="221"/>
      <c r="O9369" s="225"/>
      <c r="P9369" s="118"/>
      <c r="Q9369" s="16" t="s">
        <v>20</v>
      </c>
      <c r="R9369" s="17"/>
      <c r="S9369" s="121"/>
      <c r="T9369" s="122"/>
      <c r="U9369" s="22"/>
      <c r="V9369" s="123"/>
      <c r="W9369" s="122"/>
      <c r="X9369" s="221"/>
      <c r="Y9369" s="221"/>
      <c r="Z9369" s="221"/>
      <c r="AA9369" s="221"/>
      <c r="AB9369" s="223"/>
    </row>
    <row r="9370" spans="1:28" ht="17.100000000000001" customHeight="1" thickTop="1">
      <c r="A9370" s="226" t="s">
        <v>26433</v>
      </c>
      <c r="B9370" s="28">
        <v>46164</v>
      </c>
      <c r="C9370" s="25"/>
      <c r="D9370" s="13" t="s">
        <v>2652</v>
      </c>
      <c r="E9370" s="228"/>
      <c r="F9370" s="109" t="s">
        <v>25281</v>
      </c>
      <c r="G9370" s="24" t="s">
        <v>4412</v>
      </c>
      <c r="H9370" s="230">
        <v>4.5</v>
      </c>
      <c r="I9370" s="220">
        <v>6400000</v>
      </c>
      <c r="J9370" s="220">
        <f>I9370*0.1</f>
        <v>640000</v>
      </c>
      <c r="K9370" s="220">
        <v>37500</v>
      </c>
      <c r="L9370" s="220">
        <v>14230</v>
      </c>
      <c r="M9370" s="220">
        <v>0</v>
      </c>
      <c r="N9370" s="220">
        <f>SUM(I9370:M9371)</f>
        <v>7091730</v>
      </c>
      <c r="O9370" s="224"/>
      <c r="P9370" s="110"/>
      <c r="Q9370" s="15" t="s">
        <v>19</v>
      </c>
      <c r="R9370" s="205"/>
      <c r="S9370" s="189" t="s">
        <v>4387</v>
      </c>
      <c r="T9370" s="114"/>
      <c r="U9370" s="21"/>
      <c r="V9370" s="115"/>
      <c r="W9370" s="116"/>
      <c r="X9370" s="220"/>
      <c r="Y9370" s="220">
        <f>X9370*0.1</f>
        <v>0</v>
      </c>
      <c r="Z9370" s="220"/>
      <c r="AA9370" s="220">
        <f>SUM(X9370:Z9370)</f>
        <v>0</v>
      </c>
      <c r="AB9370" s="222"/>
    </row>
    <row r="9371" spans="1:28" ht="17.100000000000001" customHeight="1" thickBot="1">
      <c r="A9371" s="227"/>
      <c r="B9371" s="27" t="s">
        <v>1708</v>
      </c>
      <c r="C9371" s="27" t="s">
        <v>26345</v>
      </c>
      <c r="D9371" s="14" t="s">
        <v>1584</v>
      </c>
      <c r="E9371" s="229"/>
      <c r="F9371" s="117" t="s">
        <v>26346</v>
      </c>
      <c r="G9371" s="26">
        <v>17812</v>
      </c>
      <c r="H9371" s="231"/>
      <c r="I9371" s="221"/>
      <c r="J9371" s="221"/>
      <c r="K9371" s="221"/>
      <c r="L9371" s="221"/>
      <c r="M9371" s="221"/>
      <c r="N9371" s="221"/>
      <c r="O9371" s="225"/>
      <c r="P9371" s="118"/>
      <c r="Q9371" s="16" t="s">
        <v>20</v>
      </c>
      <c r="R9371" s="17"/>
      <c r="S9371" s="121"/>
      <c r="T9371" s="122"/>
      <c r="U9371" s="22"/>
      <c r="V9371" s="123"/>
      <c r="W9371" s="122"/>
      <c r="X9371" s="221"/>
      <c r="Y9371" s="221"/>
      <c r="Z9371" s="221"/>
      <c r="AA9371" s="221"/>
      <c r="AB9371" s="223"/>
    </row>
    <row r="9372" spans="1:28" ht="17.100000000000001" customHeight="1" thickTop="1">
      <c r="A9372" s="226" t="s">
        <v>26434</v>
      </c>
      <c r="B9372" s="28">
        <v>46165</v>
      </c>
      <c r="C9372" s="25">
        <v>1544</v>
      </c>
      <c r="D9372" s="13" t="s">
        <v>2429</v>
      </c>
      <c r="E9372" s="228"/>
      <c r="F9372" s="109" t="s">
        <v>13083</v>
      </c>
      <c r="G9372" s="24"/>
      <c r="H9372" s="230">
        <v>4.5</v>
      </c>
      <c r="I9372" s="220">
        <v>790000</v>
      </c>
      <c r="J9372" s="220">
        <f>I9372*0.1</f>
        <v>79000</v>
      </c>
      <c r="K9372" s="220">
        <v>0</v>
      </c>
      <c r="L9372" s="220">
        <v>22520</v>
      </c>
      <c r="M9372" s="220">
        <v>16500</v>
      </c>
      <c r="N9372" s="220">
        <f>SUM(I9372:M9373)</f>
        <v>908020</v>
      </c>
      <c r="O9372" s="224"/>
      <c r="P9372" s="110"/>
      <c r="Q9372" s="15" t="s">
        <v>19</v>
      </c>
      <c r="R9372" s="205"/>
      <c r="S9372" s="189" t="s">
        <v>1722</v>
      </c>
      <c r="T9372" s="114"/>
      <c r="U9372" s="21"/>
      <c r="V9372" s="115"/>
      <c r="W9372" s="116"/>
      <c r="X9372" s="220"/>
      <c r="Y9372" s="220">
        <f>X9372*0.1</f>
        <v>0</v>
      </c>
      <c r="Z9372" s="220"/>
      <c r="AA9372" s="220">
        <f>SUM(X9372:Z9372)</f>
        <v>0</v>
      </c>
      <c r="AB9372" s="222"/>
    </row>
    <row r="9373" spans="1:28" ht="17.100000000000001" customHeight="1" thickBot="1">
      <c r="A9373" s="227"/>
      <c r="B9373" s="27" t="s">
        <v>1547</v>
      </c>
      <c r="C9373" s="27">
        <v>60024</v>
      </c>
      <c r="D9373" s="14" t="s">
        <v>2753</v>
      </c>
      <c r="E9373" s="229"/>
      <c r="F9373" s="117" t="s">
        <v>26438</v>
      </c>
      <c r="G9373" s="26">
        <v>48990</v>
      </c>
      <c r="H9373" s="231"/>
      <c r="I9373" s="221"/>
      <c r="J9373" s="221"/>
      <c r="K9373" s="221"/>
      <c r="L9373" s="221"/>
      <c r="M9373" s="221"/>
      <c r="N9373" s="221"/>
      <c r="O9373" s="225"/>
      <c r="P9373" s="118"/>
      <c r="Q9373" s="16" t="s">
        <v>20</v>
      </c>
      <c r="R9373" s="17"/>
      <c r="S9373" s="121"/>
      <c r="T9373" s="122"/>
      <c r="U9373" s="22"/>
      <c r="V9373" s="123"/>
      <c r="W9373" s="122"/>
      <c r="X9373" s="221"/>
      <c r="Y9373" s="221"/>
      <c r="Z9373" s="221"/>
      <c r="AA9373" s="221"/>
      <c r="AB9373" s="223"/>
    </row>
    <row r="9374" spans="1:28" ht="17.100000000000001" customHeight="1" thickTop="1">
      <c r="A9374" s="226" t="s">
        <v>26435</v>
      </c>
      <c r="B9374" s="28">
        <v>46165</v>
      </c>
      <c r="C9374" s="25">
        <v>312</v>
      </c>
      <c r="D9374" s="13" t="s">
        <v>2766</v>
      </c>
      <c r="E9374" s="228"/>
      <c r="F9374" s="109" t="s">
        <v>26376</v>
      </c>
      <c r="G9374" s="24" t="s">
        <v>2084</v>
      </c>
      <c r="H9374" s="230">
        <v>4</v>
      </c>
      <c r="I9374" s="220">
        <v>1316000</v>
      </c>
      <c r="J9374" s="220">
        <f>I9374*0.1</f>
        <v>131600</v>
      </c>
      <c r="K9374" s="220">
        <f>32900+3290</f>
        <v>36190</v>
      </c>
      <c r="L9374" s="220">
        <v>12470</v>
      </c>
      <c r="M9374" s="220">
        <v>15950</v>
      </c>
      <c r="N9374" s="220">
        <f>SUM(I9374:M9375)</f>
        <v>1512210</v>
      </c>
      <c r="O9374" s="224"/>
      <c r="P9374" s="110" t="s">
        <v>26377</v>
      </c>
      <c r="Q9374" s="15" t="s">
        <v>19</v>
      </c>
      <c r="R9374" s="205"/>
      <c r="S9374" s="189" t="s">
        <v>5207</v>
      </c>
      <c r="T9374" s="114"/>
      <c r="U9374" s="21"/>
      <c r="V9374" s="115"/>
      <c r="W9374" s="116"/>
      <c r="X9374" s="220"/>
      <c r="Y9374" s="220">
        <f>X9374*0.1</f>
        <v>0</v>
      </c>
      <c r="Z9374" s="220"/>
      <c r="AA9374" s="220">
        <f>SUM(X9374:Z9374)</f>
        <v>0</v>
      </c>
      <c r="AB9374" s="222"/>
    </row>
    <row r="9375" spans="1:28" ht="17.100000000000001" customHeight="1" thickBot="1">
      <c r="A9375" s="227"/>
      <c r="B9375" s="27" t="s">
        <v>3518</v>
      </c>
      <c r="C9375" s="27">
        <v>59</v>
      </c>
      <c r="D9375" s="14" t="s">
        <v>273</v>
      </c>
      <c r="E9375" s="229"/>
      <c r="F9375" s="117" t="s">
        <v>26337</v>
      </c>
      <c r="G9375" s="26">
        <v>90776</v>
      </c>
      <c r="H9375" s="231"/>
      <c r="I9375" s="221"/>
      <c r="J9375" s="221"/>
      <c r="K9375" s="221"/>
      <c r="L9375" s="221"/>
      <c r="M9375" s="221"/>
      <c r="N9375" s="221"/>
      <c r="O9375" s="225"/>
      <c r="P9375" s="118"/>
      <c r="Q9375" s="16" t="s">
        <v>20</v>
      </c>
      <c r="R9375" s="17"/>
      <c r="S9375" s="121"/>
      <c r="T9375" s="122"/>
      <c r="U9375" s="22"/>
      <c r="V9375" s="123"/>
      <c r="W9375" s="122"/>
      <c r="X9375" s="221"/>
      <c r="Y9375" s="221"/>
      <c r="Z9375" s="221"/>
      <c r="AA9375" s="221"/>
      <c r="AB9375" s="223"/>
    </row>
    <row r="9376" spans="1:28" ht="17.100000000000001" customHeight="1" thickTop="1">
      <c r="A9376" s="226" t="s">
        <v>26436</v>
      </c>
      <c r="B9376" s="28">
        <v>46165</v>
      </c>
      <c r="C9376" s="25">
        <v>1023</v>
      </c>
      <c r="D9376" s="13" t="s">
        <v>3857</v>
      </c>
      <c r="E9376" s="228"/>
      <c r="F9376" s="109" t="s">
        <v>26371</v>
      </c>
      <c r="G9376" s="24"/>
      <c r="H9376" s="230">
        <v>4</v>
      </c>
      <c r="I9376" s="220">
        <v>1702000</v>
      </c>
      <c r="J9376" s="220">
        <f>I9376*0.1</f>
        <v>170200</v>
      </c>
      <c r="K9376" s="220">
        <v>0</v>
      </c>
      <c r="L9376" s="220">
        <v>22470</v>
      </c>
      <c r="M9376" s="220">
        <v>15950</v>
      </c>
      <c r="N9376" s="220">
        <f>SUM(I9376:M9377)</f>
        <v>1910620</v>
      </c>
      <c r="O9376" s="224"/>
      <c r="P9376" s="110"/>
      <c r="Q9376" s="15" t="s">
        <v>19</v>
      </c>
      <c r="R9376" s="205"/>
      <c r="S9376" s="189" t="s">
        <v>1661</v>
      </c>
      <c r="T9376" s="114"/>
      <c r="U9376" s="21"/>
      <c r="V9376" s="115"/>
      <c r="W9376" s="116"/>
      <c r="X9376" s="220"/>
      <c r="Y9376" s="220">
        <f>X9376*0.1</f>
        <v>0</v>
      </c>
      <c r="Z9376" s="220"/>
      <c r="AA9376" s="220">
        <f>SUM(X9376:Z9376)</f>
        <v>0</v>
      </c>
      <c r="AB9376" s="222"/>
    </row>
    <row r="9377" spans="1:28" ht="17.100000000000001" customHeight="1" thickBot="1">
      <c r="A9377" s="227"/>
      <c r="B9377" s="27" t="s">
        <v>1697</v>
      </c>
      <c r="C9377" s="27">
        <v>5100</v>
      </c>
      <c r="D9377" s="14" t="s">
        <v>1584</v>
      </c>
      <c r="E9377" s="229"/>
      <c r="F9377" s="117" t="s">
        <v>26372</v>
      </c>
      <c r="G9377" s="26">
        <v>49822</v>
      </c>
      <c r="H9377" s="231"/>
      <c r="I9377" s="221"/>
      <c r="J9377" s="221"/>
      <c r="K9377" s="221"/>
      <c r="L9377" s="221"/>
      <c r="M9377" s="221"/>
      <c r="N9377" s="221"/>
      <c r="O9377" s="225"/>
      <c r="P9377" s="118"/>
      <c r="Q9377" s="16" t="s">
        <v>20</v>
      </c>
      <c r="R9377" s="17"/>
      <c r="S9377" s="121"/>
      <c r="T9377" s="122"/>
      <c r="U9377" s="22"/>
      <c r="V9377" s="123"/>
      <c r="W9377" s="122"/>
      <c r="X9377" s="221"/>
      <c r="Y9377" s="221"/>
      <c r="Z9377" s="221"/>
      <c r="AA9377" s="221"/>
      <c r="AB9377" s="223"/>
    </row>
    <row r="9378" spans="1:28" ht="17.100000000000001" customHeight="1" thickTop="1">
      <c r="A9378" s="226" t="s">
        <v>26437</v>
      </c>
      <c r="B9378" s="28">
        <v>46165</v>
      </c>
      <c r="C9378" s="25">
        <v>1023</v>
      </c>
      <c r="D9378" s="13" t="s">
        <v>1931</v>
      </c>
      <c r="E9378" s="228"/>
      <c r="F9378" s="109" t="s">
        <v>26373</v>
      </c>
      <c r="G9378" s="24"/>
      <c r="H9378" s="230">
        <v>4</v>
      </c>
      <c r="I9378" s="220">
        <v>998000</v>
      </c>
      <c r="J9378" s="220">
        <f>I9378*0.1</f>
        <v>99800</v>
      </c>
      <c r="K9378" s="220">
        <v>0</v>
      </c>
      <c r="L9378" s="220">
        <v>19090</v>
      </c>
      <c r="M9378" s="220">
        <v>15950</v>
      </c>
      <c r="N9378" s="220">
        <f>SUM(I9378:M9379)</f>
        <v>1132840</v>
      </c>
      <c r="O9378" s="224"/>
      <c r="P9378" s="110"/>
      <c r="Q9378" s="15" t="s">
        <v>19</v>
      </c>
      <c r="R9378" s="205"/>
      <c r="S9378" s="189" t="s">
        <v>26375</v>
      </c>
      <c r="T9378" s="114"/>
      <c r="U9378" s="21"/>
      <c r="V9378" s="115"/>
      <c r="W9378" s="116"/>
      <c r="X9378" s="220"/>
      <c r="Y9378" s="220">
        <f>X9378*0.1</f>
        <v>0</v>
      </c>
      <c r="Z9378" s="220"/>
      <c r="AA9378" s="220">
        <f>SUM(X9378:Z9378)</f>
        <v>0</v>
      </c>
      <c r="AB9378" s="222"/>
    </row>
    <row r="9379" spans="1:28" ht="17.100000000000001" customHeight="1" thickBot="1">
      <c r="A9379" s="227"/>
      <c r="B9379" s="27" t="s">
        <v>1697</v>
      </c>
      <c r="C9379" s="27">
        <v>80103</v>
      </c>
      <c r="D9379" s="14" t="s">
        <v>1710</v>
      </c>
      <c r="E9379" s="229"/>
      <c r="F9379" s="117" t="s">
        <v>26374</v>
      </c>
      <c r="G9379" s="26">
        <v>58865</v>
      </c>
      <c r="H9379" s="231"/>
      <c r="I9379" s="221"/>
      <c r="J9379" s="221"/>
      <c r="K9379" s="221"/>
      <c r="L9379" s="221"/>
      <c r="M9379" s="221"/>
      <c r="N9379" s="221"/>
      <c r="O9379" s="225"/>
      <c r="P9379" s="118"/>
      <c r="Q9379" s="16" t="s">
        <v>20</v>
      </c>
      <c r="R9379" s="17"/>
      <c r="S9379" s="121"/>
      <c r="T9379" s="122"/>
      <c r="U9379" s="22"/>
      <c r="V9379" s="123"/>
      <c r="W9379" s="122"/>
      <c r="X9379" s="221"/>
      <c r="Y9379" s="221"/>
      <c r="Z9379" s="221"/>
      <c r="AA9379" s="221"/>
      <c r="AB9379" s="223"/>
    </row>
    <row r="9380" spans="1:28" ht="17.100000000000001" customHeight="1" thickTop="1">
      <c r="A9380" s="226" t="s">
        <v>26457</v>
      </c>
      <c r="B9380" s="28">
        <v>46165</v>
      </c>
      <c r="C9380" s="25">
        <v>1301</v>
      </c>
      <c r="D9380" s="13" t="s">
        <v>1976</v>
      </c>
      <c r="E9380" s="228"/>
      <c r="F9380" s="109" t="s">
        <v>26454</v>
      </c>
      <c r="G9380" s="24" t="s">
        <v>26455</v>
      </c>
      <c r="H9380" s="230">
        <v>4.5</v>
      </c>
      <c r="I9380" s="220">
        <v>1205000</v>
      </c>
      <c r="J9380" s="220">
        <f>I9380*0.1</f>
        <v>120500</v>
      </c>
      <c r="K9380" s="220">
        <v>0</v>
      </c>
      <c r="L9380" s="220">
        <v>8200</v>
      </c>
      <c r="M9380" s="220">
        <v>13200</v>
      </c>
      <c r="N9380" s="220">
        <f>SUM(I9380:M9381)</f>
        <v>1346900</v>
      </c>
      <c r="O9380" s="224"/>
      <c r="P9380" s="110" t="s">
        <v>26456</v>
      </c>
      <c r="Q9380" s="15" t="s">
        <v>19</v>
      </c>
      <c r="R9380" s="205"/>
      <c r="S9380" s="189" t="s">
        <v>1661</v>
      </c>
      <c r="T9380" s="114"/>
      <c r="U9380" s="21"/>
      <c r="V9380" s="115"/>
      <c r="W9380" s="116"/>
      <c r="X9380" s="220"/>
      <c r="Y9380" s="220">
        <f>X9380*0.1</f>
        <v>0</v>
      </c>
      <c r="Z9380" s="220"/>
      <c r="AA9380" s="220">
        <f>SUM(X9380:Z9380)</f>
        <v>0</v>
      </c>
      <c r="AB9380" s="222"/>
    </row>
    <row r="9381" spans="1:28" ht="17.100000000000001" customHeight="1" thickBot="1">
      <c r="A9381" s="227"/>
      <c r="B9381" s="27" t="s">
        <v>2472</v>
      </c>
      <c r="C9381" s="27">
        <v>31099</v>
      </c>
      <c r="D9381" s="14" t="s">
        <v>2559</v>
      </c>
      <c r="E9381" s="229"/>
      <c r="F9381" s="117" t="s">
        <v>26338</v>
      </c>
      <c r="G9381" s="26">
        <v>46540</v>
      </c>
      <c r="H9381" s="231"/>
      <c r="I9381" s="221"/>
      <c r="J9381" s="221"/>
      <c r="K9381" s="221"/>
      <c r="L9381" s="221"/>
      <c r="M9381" s="221"/>
      <c r="N9381" s="221"/>
      <c r="O9381" s="225"/>
      <c r="P9381" s="118"/>
      <c r="Q9381" s="16" t="s">
        <v>20</v>
      </c>
      <c r="R9381" s="17"/>
      <c r="S9381" s="121"/>
      <c r="T9381" s="122"/>
      <c r="U9381" s="22"/>
      <c r="V9381" s="123"/>
      <c r="W9381" s="122"/>
      <c r="X9381" s="221"/>
      <c r="Y9381" s="221"/>
      <c r="Z9381" s="221"/>
      <c r="AA9381" s="221"/>
      <c r="AB9381" s="223"/>
    </row>
    <row r="9382" spans="1:28" ht="17.100000000000001" customHeight="1" thickTop="1">
      <c r="A9382" s="226" t="s">
        <v>26458</v>
      </c>
      <c r="B9382" s="28">
        <v>46165</v>
      </c>
      <c r="C9382" s="25">
        <v>1301</v>
      </c>
      <c r="D9382" s="13" t="s">
        <v>1853</v>
      </c>
      <c r="E9382" s="228"/>
      <c r="F9382" s="109" t="s">
        <v>13858</v>
      </c>
      <c r="G9382" s="24"/>
      <c r="H9382" s="232" t="s">
        <v>1705</v>
      </c>
      <c r="I9382" s="220">
        <v>555000</v>
      </c>
      <c r="J9382" s="220">
        <f>I9382*0.1</f>
        <v>55500</v>
      </c>
      <c r="K9382" s="220">
        <v>0</v>
      </c>
      <c r="L9382" s="220">
        <v>10830</v>
      </c>
      <c r="M9382" s="220">
        <v>12100</v>
      </c>
      <c r="N9382" s="220">
        <f>SUM(I9382:M9383)</f>
        <v>633430</v>
      </c>
      <c r="O9382" s="224"/>
      <c r="P9382" s="110"/>
      <c r="Q9382" s="15" t="s">
        <v>19</v>
      </c>
      <c r="R9382" s="205"/>
      <c r="S9382" s="189"/>
      <c r="T9382" s="114"/>
      <c r="U9382" s="21"/>
      <c r="V9382" s="115"/>
      <c r="W9382" s="116"/>
      <c r="X9382" s="220"/>
      <c r="Y9382" s="220">
        <f>X9382*0.1</f>
        <v>0</v>
      </c>
      <c r="Z9382" s="220"/>
      <c r="AA9382" s="220">
        <f>SUM(X9382:Z9382)</f>
        <v>0</v>
      </c>
      <c r="AB9382" s="222"/>
    </row>
    <row r="9383" spans="1:28" ht="17.100000000000001" customHeight="1" thickBot="1">
      <c r="A9383" s="227"/>
      <c r="B9383" s="27" t="s">
        <v>2472</v>
      </c>
      <c r="C9383" s="27">
        <v>35612</v>
      </c>
      <c r="D9383" s="14" t="s">
        <v>2559</v>
      </c>
      <c r="E9383" s="229"/>
      <c r="F9383" s="117" t="s">
        <v>26339</v>
      </c>
      <c r="G9383" s="26">
        <v>97335</v>
      </c>
      <c r="H9383" s="231"/>
      <c r="I9383" s="221"/>
      <c r="J9383" s="221"/>
      <c r="K9383" s="221"/>
      <c r="L9383" s="221"/>
      <c r="M9383" s="221"/>
      <c r="N9383" s="221"/>
      <c r="O9383" s="225"/>
      <c r="P9383" s="118"/>
      <c r="Q9383" s="16" t="s">
        <v>20</v>
      </c>
      <c r="R9383" s="17"/>
      <c r="S9383" s="121" t="s">
        <v>26567</v>
      </c>
      <c r="T9383" s="122"/>
      <c r="U9383" s="22"/>
      <c r="V9383" s="123"/>
      <c r="W9383" s="122"/>
      <c r="X9383" s="221"/>
      <c r="Y9383" s="221"/>
      <c r="Z9383" s="221"/>
      <c r="AA9383" s="221"/>
      <c r="AB9383" s="223"/>
    </row>
    <row r="9384" spans="1:28" ht="17.100000000000001" customHeight="1" thickTop="1">
      <c r="A9384" s="226" t="s">
        <v>26459</v>
      </c>
      <c r="B9384" s="28">
        <v>46165</v>
      </c>
      <c r="C9384" s="25">
        <v>1301</v>
      </c>
      <c r="D9384" s="13" t="s">
        <v>2203</v>
      </c>
      <c r="E9384" s="228"/>
      <c r="F9384" s="109" t="s">
        <v>8484</v>
      </c>
      <c r="G9384" s="24" t="s">
        <v>26452</v>
      </c>
      <c r="H9384" s="230">
        <v>4</v>
      </c>
      <c r="I9384" s="220">
        <v>170000</v>
      </c>
      <c r="J9384" s="220">
        <f>I9384*0.1</f>
        <v>17000</v>
      </c>
      <c r="K9384" s="220">
        <f>24500+2450</f>
        <v>26950</v>
      </c>
      <c r="L9384" s="220">
        <v>12470</v>
      </c>
      <c r="M9384" s="220">
        <v>16500</v>
      </c>
      <c r="N9384" s="220">
        <f>SUM(I9384:M9385)</f>
        <v>242920</v>
      </c>
      <c r="O9384" s="224"/>
      <c r="P9384" s="110" t="s">
        <v>26453</v>
      </c>
      <c r="Q9384" s="15" t="s">
        <v>19</v>
      </c>
      <c r="R9384" s="205"/>
      <c r="S9384" s="189" t="s">
        <v>1625</v>
      </c>
      <c r="T9384" s="114"/>
      <c r="U9384" s="21"/>
      <c r="V9384" s="115"/>
      <c r="W9384" s="116"/>
      <c r="X9384" s="220"/>
      <c r="Y9384" s="220">
        <f>X9384*0.1</f>
        <v>0</v>
      </c>
      <c r="Z9384" s="220"/>
      <c r="AA9384" s="220">
        <f>SUM(X9384:Z9384)</f>
        <v>0</v>
      </c>
      <c r="AB9384" s="222"/>
    </row>
    <row r="9385" spans="1:28" ht="17.100000000000001" customHeight="1" thickBot="1">
      <c r="A9385" s="227"/>
      <c r="B9385" s="27" t="s">
        <v>2472</v>
      </c>
      <c r="C9385" s="27">
        <v>53005</v>
      </c>
      <c r="D9385" s="14" t="s">
        <v>1568</v>
      </c>
      <c r="E9385" s="229"/>
      <c r="F9385" s="117" t="s">
        <v>26451</v>
      </c>
      <c r="G9385" s="26">
        <v>77242</v>
      </c>
      <c r="H9385" s="231"/>
      <c r="I9385" s="221"/>
      <c r="J9385" s="221"/>
      <c r="K9385" s="221"/>
      <c r="L9385" s="221"/>
      <c r="M9385" s="221"/>
      <c r="N9385" s="221"/>
      <c r="O9385" s="225"/>
      <c r="P9385" s="118"/>
      <c r="Q9385" s="16" t="s">
        <v>20</v>
      </c>
      <c r="R9385" s="17"/>
      <c r="S9385" s="121"/>
      <c r="T9385" s="122"/>
      <c r="U9385" s="22"/>
      <c r="V9385" s="123"/>
      <c r="W9385" s="122"/>
      <c r="X9385" s="221"/>
      <c r="Y9385" s="221"/>
      <c r="Z9385" s="221"/>
      <c r="AA9385" s="221"/>
      <c r="AB9385" s="223"/>
    </row>
    <row r="9386" spans="1:28" ht="17.100000000000001" customHeight="1" thickTop="1">
      <c r="A9386" s="226" t="s">
        <v>26460</v>
      </c>
      <c r="B9386" s="28">
        <v>46165</v>
      </c>
      <c r="C9386" s="25">
        <v>1301</v>
      </c>
      <c r="D9386" s="13" t="s">
        <v>2429</v>
      </c>
      <c r="E9386" s="228"/>
      <c r="F9386" s="109" t="s">
        <v>9039</v>
      </c>
      <c r="G9386" s="24"/>
      <c r="H9386" s="230">
        <v>4.5</v>
      </c>
      <c r="I9386" s="220">
        <v>485000</v>
      </c>
      <c r="J9386" s="220">
        <f>I9386*0.1</f>
        <v>48500</v>
      </c>
      <c r="K9386" s="220">
        <v>0</v>
      </c>
      <c r="L9386" s="220">
        <v>8230</v>
      </c>
      <c r="M9386" s="220">
        <v>12100</v>
      </c>
      <c r="N9386" s="220">
        <f>SUM(I9386:M9387)</f>
        <v>553830</v>
      </c>
      <c r="O9386" s="224"/>
      <c r="P9386" s="110"/>
      <c r="Q9386" s="15" t="s">
        <v>19</v>
      </c>
      <c r="R9386" s="205"/>
      <c r="S9386" s="189" t="s">
        <v>26450</v>
      </c>
      <c r="T9386" s="114"/>
      <c r="U9386" s="21"/>
      <c r="V9386" s="115"/>
      <c r="W9386" s="116"/>
      <c r="X9386" s="220"/>
      <c r="Y9386" s="220">
        <f>X9386*0.1</f>
        <v>0</v>
      </c>
      <c r="Z9386" s="220"/>
      <c r="AA9386" s="220">
        <f>SUM(X9386:Z9386)</f>
        <v>0</v>
      </c>
      <c r="AB9386" s="222"/>
    </row>
    <row r="9387" spans="1:28" ht="17.100000000000001" customHeight="1" thickBot="1">
      <c r="A9387" s="227"/>
      <c r="B9387" s="27" t="s">
        <v>2472</v>
      </c>
      <c r="C9387" s="27">
        <v>65032</v>
      </c>
      <c r="D9387" s="14" t="s">
        <v>1568</v>
      </c>
      <c r="E9387" s="229"/>
      <c r="F9387" s="117" t="s">
        <v>26340</v>
      </c>
      <c r="G9387" s="26">
        <v>72076</v>
      </c>
      <c r="H9387" s="231"/>
      <c r="I9387" s="221"/>
      <c r="J9387" s="221"/>
      <c r="K9387" s="221"/>
      <c r="L9387" s="221"/>
      <c r="M9387" s="221"/>
      <c r="N9387" s="221"/>
      <c r="O9387" s="225"/>
      <c r="P9387" s="118"/>
      <c r="Q9387" s="16" t="s">
        <v>20</v>
      </c>
      <c r="R9387" s="17"/>
      <c r="S9387" s="121"/>
      <c r="T9387" s="122"/>
      <c r="U9387" s="22"/>
      <c r="V9387" s="123"/>
      <c r="W9387" s="122"/>
      <c r="X9387" s="221"/>
      <c r="Y9387" s="221"/>
      <c r="Z9387" s="221"/>
      <c r="AA9387" s="221"/>
      <c r="AB9387" s="223"/>
    </row>
    <row r="9388" spans="1:28" ht="17.100000000000001" customHeight="1" thickTop="1">
      <c r="A9388" s="226" t="s">
        <v>26461</v>
      </c>
      <c r="B9388" s="28">
        <v>46165</v>
      </c>
      <c r="C9388" s="25">
        <v>1301</v>
      </c>
      <c r="D9388" s="13" t="s">
        <v>2920</v>
      </c>
      <c r="E9388" s="228"/>
      <c r="F9388" s="109" t="s">
        <v>4361</v>
      </c>
      <c r="G9388" s="24"/>
      <c r="H9388" s="230">
        <v>4</v>
      </c>
      <c r="I9388" s="220">
        <v>1060000</v>
      </c>
      <c r="J9388" s="220">
        <f>I9388*0.1</f>
        <v>106000</v>
      </c>
      <c r="K9388" s="220">
        <v>0</v>
      </c>
      <c r="L9388" s="220">
        <v>7150</v>
      </c>
      <c r="M9388" s="220">
        <v>12100</v>
      </c>
      <c r="N9388" s="220">
        <f>SUM(I9388:M9389)</f>
        <v>1185250</v>
      </c>
      <c r="O9388" s="224"/>
      <c r="P9388" s="110"/>
      <c r="Q9388" s="15" t="s">
        <v>19</v>
      </c>
      <c r="R9388" s="205"/>
      <c r="S9388" s="189" t="s">
        <v>8657</v>
      </c>
      <c r="T9388" s="114"/>
      <c r="U9388" s="21"/>
      <c r="V9388" s="115"/>
      <c r="W9388" s="116"/>
      <c r="X9388" s="220"/>
      <c r="Y9388" s="220">
        <f>X9388*0.1</f>
        <v>0</v>
      </c>
      <c r="Z9388" s="220"/>
      <c r="AA9388" s="220">
        <f>SUM(X9388:Z9388)</f>
        <v>0</v>
      </c>
      <c r="AB9388" s="222"/>
    </row>
    <row r="9389" spans="1:28" ht="17.100000000000001" customHeight="1" thickBot="1">
      <c r="A9389" s="227"/>
      <c r="B9389" s="27" t="s">
        <v>2472</v>
      </c>
      <c r="C9389" s="27">
        <v>65087</v>
      </c>
      <c r="D9389" s="14" t="s">
        <v>273</v>
      </c>
      <c r="E9389" s="229"/>
      <c r="F9389" s="117" t="s">
        <v>26341</v>
      </c>
      <c r="G9389" s="26">
        <v>44897</v>
      </c>
      <c r="H9389" s="231"/>
      <c r="I9389" s="221"/>
      <c r="J9389" s="221"/>
      <c r="K9389" s="221"/>
      <c r="L9389" s="221"/>
      <c r="M9389" s="221"/>
      <c r="N9389" s="221"/>
      <c r="O9389" s="225"/>
      <c r="P9389" s="118"/>
      <c r="Q9389" s="16" t="s">
        <v>20</v>
      </c>
      <c r="R9389" s="17"/>
      <c r="S9389" s="121" t="s">
        <v>7721</v>
      </c>
      <c r="T9389" s="122"/>
      <c r="U9389" s="22"/>
      <c r="V9389" s="123"/>
      <c r="W9389" s="122"/>
      <c r="X9389" s="221"/>
      <c r="Y9389" s="221"/>
      <c r="Z9389" s="221"/>
      <c r="AA9389" s="221"/>
      <c r="AB9389" s="223"/>
    </row>
    <row r="9390" spans="1:28" ht="17.100000000000001" customHeight="1" thickTop="1">
      <c r="A9390" s="226" t="s">
        <v>26462</v>
      </c>
      <c r="B9390" s="28">
        <v>46165</v>
      </c>
      <c r="C9390" s="25">
        <v>1301</v>
      </c>
      <c r="D9390" s="13" t="s">
        <v>812</v>
      </c>
      <c r="E9390" s="228"/>
      <c r="F9390" s="109" t="s">
        <v>2556</v>
      </c>
      <c r="G9390" s="24" t="s">
        <v>8352</v>
      </c>
      <c r="H9390" s="230">
        <v>4</v>
      </c>
      <c r="I9390" s="220">
        <v>915000</v>
      </c>
      <c r="J9390" s="220">
        <f>I9390*0.1</f>
        <v>91500</v>
      </c>
      <c r="K9390" s="220">
        <v>0</v>
      </c>
      <c r="L9390" s="220">
        <v>9080</v>
      </c>
      <c r="M9390" s="220">
        <v>12100</v>
      </c>
      <c r="N9390" s="220">
        <f>SUM(I9390:M9391)</f>
        <v>1027680</v>
      </c>
      <c r="O9390" s="224"/>
      <c r="P9390" s="110" t="s">
        <v>26449</v>
      </c>
      <c r="Q9390" s="15" t="s">
        <v>19</v>
      </c>
      <c r="R9390" s="205"/>
      <c r="S9390" s="189" t="s">
        <v>5207</v>
      </c>
      <c r="T9390" s="114"/>
      <c r="U9390" s="21"/>
      <c r="V9390" s="115"/>
      <c r="W9390" s="116"/>
      <c r="X9390" s="220"/>
      <c r="Y9390" s="220">
        <f>X9390*0.1</f>
        <v>0</v>
      </c>
      <c r="Z9390" s="220"/>
      <c r="AA9390" s="220">
        <f>SUM(X9390:Z9390)</f>
        <v>0</v>
      </c>
      <c r="AB9390" s="222"/>
    </row>
    <row r="9391" spans="1:28" ht="17.100000000000001" customHeight="1" thickBot="1">
      <c r="A9391" s="227"/>
      <c r="B9391" s="27" t="s">
        <v>2472</v>
      </c>
      <c r="C9391" s="27">
        <v>65194</v>
      </c>
      <c r="D9391" s="14" t="s">
        <v>273</v>
      </c>
      <c r="E9391" s="229"/>
      <c r="F9391" s="117" t="s">
        <v>26342</v>
      </c>
      <c r="G9391" s="26">
        <v>47700</v>
      </c>
      <c r="H9391" s="231"/>
      <c r="I9391" s="221"/>
      <c r="J9391" s="221"/>
      <c r="K9391" s="221"/>
      <c r="L9391" s="221"/>
      <c r="M9391" s="221"/>
      <c r="N9391" s="221"/>
      <c r="O9391" s="225"/>
      <c r="P9391" s="118"/>
      <c r="Q9391" s="16" t="s">
        <v>20</v>
      </c>
      <c r="R9391" s="17"/>
      <c r="S9391" s="121"/>
      <c r="T9391" s="122"/>
      <c r="U9391" s="22"/>
      <c r="V9391" s="123"/>
      <c r="W9391" s="122"/>
      <c r="X9391" s="221"/>
      <c r="Y9391" s="221"/>
      <c r="Z9391" s="221"/>
      <c r="AA9391" s="221"/>
      <c r="AB9391" s="223"/>
    </row>
    <row r="9392" spans="1:28" ht="17.100000000000001" customHeight="1" thickTop="1">
      <c r="A9392" s="226" t="s">
        <v>26463</v>
      </c>
      <c r="B9392" s="28">
        <v>46165</v>
      </c>
      <c r="C9392" s="25">
        <v>1301</v>
      </c>
      <c r="D9392" s="13" t="s">
        <v>2637</v>
      </c>
      <c r="E9392" s="228"/>
      <c r="F9392" s="109" t="s">
        <v>4361</v>
      </c>
      <c r="G9392" s="24"/>
      <c r="H9392" s="230">
        <v>4.5</v>
      </c>
      <c r="I9392" s="220">
        <v>870000</v>
      </c>
      <c r="J9392" s="220">
        <f>I9392*0.1</f>
        <v>87000</v>
      </c>
      <c r="K9392" s="220">
        <v>0</v>
      </c>
      <c r="L9392" s="220">
        <v>7150</v>
      </c>
      <c r="M9392" s="220">
        <v>12100</v>
      </c>
      <c r="N9392" s="220">
        <f>SUM(I9392:M9393)</f>
        <v>976250</v>
      </c>
      <c r="O9392" s="224"/>
      <c r="P9392" s="110"/>
      <c r="Q9392" s="15" t="s">
        <v>19</v>
      </c>
      <c r="R9392" s="205"/>
      <c r="S9392" s="189" t="s">
        <v>11381</v>
      </c>
      <c r="T9392" s="114"/>
      <c r="U9392" s="21"/>
      <c r="V9392" s="115"/>
      <c r="W9392" s="116"/>
      <c r="X9392" s="220"/>
      <c r="Y9392" s="220">
        <f>X9392*0.1</f>
        <v>0</v>
      </c>
      <c r="Z9392" s="220"/>
      <c r="AA9392" s="220">
        <f>SUM(X9392:Z9392)</f>
        <v>0</v>
      </c>
      <c r="AB9392" s="222"/>
    </row>
    <row r="9393" spans="1:28" ht="17.100000000000001" customHeight="1" thickBot="1">
      <c r="A9393" s="227"/>
      <c r="B9393" s="27" t="s">
        <v>2472</v>
      </c>
      <c r="C9393" s="27">
        <v>65243</v>
      </c>
      <c r="D9393" s="14" t="s">
        <v>2559</v>
      </c>
      <c r="E9393" s="229"/>
      <c r="F9393" s="117" t="s">
        <v>26343</v>
      </c>
      <c r="G9393" s="26">
        <v>65193</v>
      </c>
      <c r="H9393" s="231"/>
      <c r="I9393" s="221"/>
      <c r="J9393" s="221"/>
      <c r="K9393" s="221"/>
      <c r="L9393" s="221"/>
      <c r="M9393" s="221"/>
      <c r="N9393" s="221"/>
      <c r="O9393" s="225"/>
      <c r="P9393" s="118"/>
      <c r="Q9393" s="16" t="s">
        <v>20</v>
      </c>
      <c r="R9393" s="17"/>
      <c r="S9393" s="121"/>
      <c r="T9393" s="122"/>
      <c r="U9393" s="22"/>
      <c r="V9393" s="123"/>
      <c r="W9393" s="122"/>
      <c r="X9393" s="221"/>
      <c r="Y9393" s="221"/>
      <c r="Z9393" s="221"/>
      <c r="AA9393" s="221"/>
      <c r="AB9393" s="223"/>
    </row>
    <row r="9394" spans="1:28" ht="17.100000000000001" customHeight="1" thickTop="1">
      <c r="A9394" s="226" t="s">
        <v>26464</v>
      </c>
      <c r="B9394" s="28">
        <v>46165</v>
      </c>
      <c r="C9394" s="25">
        <v>1301</v>
      </c>
      <c r="D9394" s="13" t="s">
        <v>853</v>
      </c>
      <c r="E9394" s="228"/>
      <c r="F9394" s="109" t="s">
        <v>4283</v>
      </c>
      <c r="G9394" s="24" t="s">
        <v>11035</v>
      </c>
      <c r="H9394" s="230">
        <v>4.5</v>
      </c>
      <c r="I9394" s="220">
        <v>710000</v>
      </c>
      <c r="J9394" s="220">
        <f>I9394*0.1</f>
        <v>71000</v>
      </c>
      <c r="K9394" s="220">
        <v>0</v>
      </c>
      <c r="L9394" s="220">
        <v>7510</v>
      </c>
      <c r="M9394" s="220">
        <v>13200</v>
      </c>
      <c r="N9394" s="220">
        <f>SUM(I9394:M9395)</f>
        <v>801710</v>
      </c>
      <c r="O9394" s="224"/>
      <c r="P9394" s="110" t="s">
        <v>26448</v>
      </c>
      <c r="Q9394" s="15" t="s">
        <v>19</v>
      </c>
      <c r="R9394" s="205"/>
      <c r="S9394" s="189" t="s">
        <v>1625</v>
      </c>
      <c r="T9394" s="114"/>
      <c r="U9394" s="21"/>
      <c r="V9394" s="115"/>
      <c r="W9394" s="116"/>
      <c r="X9394" s="220"/>
      <c r="Y9394" s="220">
        <f>X9394*0.1</f>
        <v>0</v>
      </c>
      <c r="Z9394" s="220"/>
      <c r="AA9394" s="220">
        <f>SUM(X9394:Z9394)</f>
        <v>0</v>
      </c>
      <c r="AB9394" s="222"/>
    </row>
    <row r="9395" spans="1:28" ht="17.100000000000001" customHeight="1" thickBot="1">
      <c r="A9395" s="227"/>
      <c r="B9395" s="27" t="s">
        <v>2472</v>
      </c>
      <c r="C9395" s="27">
        <v>65357</v>
      </c>
      <c r="D9395" s="14" t="s">
        <v>1584</v>
      </c>
      <c r="E9395" s="229"/>
      <c r="F9395" s="117" t="s">
        <v>26344</v>
      </c>
      <c r="G9395" s="26">
        <v>18526</v>
      </c>
      <c r="H9395" s="231"/>
      <c r="I9395" s="221"/>
      <c r="J9395" s="221"/>
      <c r="K9395" s="221"/>
      <c r="L9395" s="221"/>
      <c r="M9395" s="221"/>
      <c r="N9395" s="221"/>
      <c r="O9395" s="225"/>
      <c r="P9395" s="118"/>
      <c r="Q9395" s="16" t="s">
        <v>20</v>
      </c>
      <c r="R9395" s="17"/>
      <c r="S9395" s="121"/>
      <c r="T9395" s="122"/>
      <c r="U9395" s="22"/>
      <c r="V9395" s="123"/>
      <c r="W9395" s="122"/>
      <c r="X9395" s="221"/>
      <c r="Y9395" s="221"/>
      <c r="Z9395" s="221"/>
      <c r="AA9395" s="221"/>
      <c r="AB9395" s="223"/>
    </row>
    <row r="9396" spans="1:28" ht="17.100000000000001" customHeight="1" thickTop="1">
      <c r="A9396" s="226" t="s">
        <v>26465</v>
      </c>
      <c r="B9396" s="28">
        <v>46165</v>
      </c>
      <c r="C9396" s="25">
        <v>1301</v>
      </c>
      <c r="D9396" s="13" t="s">
        <v>2158</v>
      </c>
      <c r="E9396" s="228"/>
      <c r="F9396" s="109" t="s">
        <v>26446</v>
      </c>
      <c r="G9396" s="24"/>
      <c r="H9396" s="230">
        <v>4.5</v>
      </c>
      <c r="I9396" s="220">
        <v>1820000</v>
      </c>
      <c r="J9396" s="220">
        <f>I9396*0.1</f>
        <v>182000</v>
      </c>
      <c r="K9396" s="220">
        <v>0</v>
      </c>
      <c r="L9396" s="220">
        <v>18170</v>
      </c>
      <c r="M9396" s="220">
        <v>16500</v>
      </c>
      <c r="N9396" s="220">
        <f>SUM(I9396:M9397)</f>
        <v>2036670</v>
      </c>
      <c r="O9396" s="224"/>
      <c r="P9396" s="110"/>
      <c r="Q9396" s="15" t="s">
        <v>19</v>
      </c>
      <c r="R9396" s="205"/>
      <c r="S9396" s="189"/>
      <c r="T9396" s="114"/>
      <c r="U9396" s="21"/>
      <c r="V9396" s="115"/>
      <c r="W9396" s="116"/>
      <c r="X9396" s="220"/>
      <c r="Y9396" s="220">
        <f>X9396*0.1</f>
        <v>0</v>
      </c>
      <c r="Z9396" s="220"/>
      <c r="AA9396" s="220">
        <f>SUM(X9396:Z9396)</f>
        <v>0</v>
      </c>
      <c r="AB9396" s="222"/>
    </row>
    <row r="9397" spans="1:28" ht="17.100000000000001" customHeight="1" thickBot="1">
      <c r="A9397" s="227"/>
      <c r="B9397" s="27" t="s">
        <v>2472</v>
      </c>
      <c r="C9397" s="27">
        <v>80310</v>
      </c>
      <c r="D9397" s="14" t="s">
        <v>131</v>
      </c>
      <c r="E9397" s="229"/>
      <c r="F9397" s="117" t="s">
        <v>26447</v>
      </c>
      <c r="G9397" s="26">
        <v>69043</v>
      </c>
      <c r="H9397" s="231"/>
      <c r="I9397" s="221"/>
      <c r="J9397" s="221"/>
      <c r="K9397" s="221"/>
      <c r="L9397" s="221"/>
      <c r="M9397" s="221"/>
      <c r="N9397" s="221"/>
      <c r="O9397" s="225"/>
      <c r="P9397" s="118"/>
      <c r="Q9397" s="16" t="s">
        <v>20</v>
      </c>
      <c r="R9397" s="17"/>
      <c r="S9397" s="121" t="s">
        <v>7720</v>
      </c>
      <c r="T9397" s="122"/>
      <c r="U9397" s="22"/>
      <c r="V9397" s="123"/>
      <c r="W9397" s="122"/>
      <c r="X9397" s="221"/>
      <c r="Y9397" s="221"/>
      <c r="Z9397" s="221"/>
      <c r="AA9397" s="221"/>
      <c r="AB9397" s="223"/>
    </row>
    <row r="9398" spans="1:28" ht="17.100000000000001" customHeight="1" thickTop="1">
      <c r="A9398" s="226" t="s">
        <v>26466</v>
      </c>
      <c r="B9398" s="28">
        <v>46165</v>
      </c>
      <c r="C9398" s="25">
        <v>1301</v>
      </c>
      <c r="D9398" s="13" t="s">
        <v>2429</v>
      </c>
      <c r="E9398" s="228"/>
      <c r="F9398" s="109" t="s">
        <v>26444</v>
      </c>
      <c r="G9398" s="24"/>
      <c r="H9398" s="230">
        <v>4</v>
      </c>
      <c r="I9398" s="220">
        <v>1160000</v>
      </c>
      <c r="J9398" s="220">
        <f>I9398*0.1</f>
        <v>116000</v>
      </c>
      <c r="K9398" s="220">
        <v>0</v>
      </c>
      <c r="L9398" s="220">
        <v>19330</v>
      </c>
      <c r="M9398" s="220">
        <v>23100</v>
      </c>
      <c r="N9398" s="220">
        <f>SUM(I9398:M9399)</f>
        <v>1318430</v>
      </c>
      <c r="O9398" s="224"/>
      <c r="P9398" s="110"/>
      <c r="Q9398" s="15" t="s">
        <v>19</v>
      </c>
      <c r="R9398" s="205"/>
      <c r="S9398" s="189" t="s">
        <v>1567</v>
      </c>
      <c r="T9398" s="114"/>
      <c r="U9398" s="21"/>
      <c r="V9398" s="115"/>
      <c r="W9398" s="116"/>
      <c r="X9398" s="220"/>
      <c r="Y9398" s="220">
        <f>X9398*0.1</f>
        <v>0</v>
      </c>
      <c r="Z9398" s="220"/>
      <c r="AA9398" s="220">
        <f>SUM(X9398:Z9398)</f>
        <v>0</v>
      </c>
      <c r="AB9398" s="222"/>
    </row>
    <row r="9399" spans="1:28" ht="17.100000000000001" customHeight="1" thickBot="1">
      <c r="A9399" s="227"/>
      <c r="B9399" s="27" t="s">
        <v>2472</v>
      </c>
      <c r="C9399" s="27">
        <v>81056</v>
      </c>
      <c r="D9399" s="14" t="s">
        <v>1584</v>
      </c>
      <c r="E9399" s="229"/>
      <c r="F9399" s="117" t="s">
        <v>26445</v>
      </c>
      <c r="G9399" s="26">
        <v>76550</v>
      </c>
      <c r="H9399" s="231"/>
      <c r="I9399" s="221"/>
      <c r="J9399" s="221"/>
      <c r="K9399" s="221"/>
      <c r="L9399" s="221"/>
      <c r="M9399" s="221"/>
      <c r="N9399" s="221"/>
      <c r="O9399" s="225"/>
      <c r="P9399" s="118"/>
      <c r="Q9399" s="16" t="s">
        <v>20</v>
      </c>
      <c r="R9399" s="17"/>
      <c r="S9399" s="121" t="s">
        <v>7722</v>
      </c>
      <c r="T9399" s="122"/>
      <c r="U9399" s="22"/>
      <c r="V9399" s="123"/>
      <c r="W9399" s="122"/>
      <c r="X9399" s="221"/>
      <c r="Y9399" s="221"/>
      <c r="Z9399" s="221"/>
      <c r="AA9399" s="221"/>
      <c r="AB9399" s="223"/>
    </row>
    <row r="9400" spans="1:28" ht="17.100000000000001" customHeight="1" thickTop="1">
      <c r="A9400" s="226" t="s">
        <v>26467</v>
      </c>
      <c r="B9400" s="28">
        <v>46165</v>
      </c>
      <c r="C9400" s="25">
        <v>1301</v>
      </c>
      <c r="D9400" s="13" t="s">
        <v>1788</v>
      </c>
      <c r="E9400" s="228"/>
      <c r="F9400" s="109" t="s">
        <v>26441</v>
      </c>
      <c r="G9400" s="24"/>
      <c r="H9400" s="230">
        <v>4.5</v>
      </c>
      <c r="I9400" s="220">
        <v>845000</v>
      </c>
      <c r="J9400" s="220">
        <v>84500</v>
      </c>
      <c r="K9400" s="220">
        <v>0</v>
      </c>
      <c r="L9400" s="220">
        <v>21070</v>
      </c>
      <c r="M9400" s="220">
        <v>16500</v>
      </c>
      <c r="N9400" s="220">
        <f>SUM(I9400:M9401)</f>
        <v>967070</v>
      </c>
      <c r="O9400" s="224"/>
      <c r="P9400" s="110"/>
      <c r="Q9400" s="15" t="s">
        <v>19</v>
      </c>
      <c r="R9400" s="205"/>
      <c r="S9400" s="189" t="s">
        <v>26443</v>
      </c>
      <c r="T9400" s="114"/>
      <c r="U9400" s="21"/>
      <c r="V9400" s="115"/>
      <c r="W9400" s="116"/>
      <c r="X9400" s="220"/>
      <c r="Y9400" s="220">
        <f>X9400*0.1</f>
        <v>0</v>
      </c>
      <c r="Z9400" s="220"/>
      <c r="AA9400" s="220">
        <f>SUM(X9400:Z9400)</f>
        <v>0</v>
      </c>
      <c r="AB9400" s="222"/>
    </row>
    <row r="9401" spans="1:28" ht="17.100000000000001" customHeight="1" thickBot="1">
      <c r="A9401" s="227"/>
      <c r="B9401" s="27" t="s">
        <v>2472</v>
      </c>
      <c r="C9401" s="27">
        <v>81090</v>
      </c>
      <c r="D9401" s="14" t="s">
        <v>1584</v>
      </c>
      <c r="E9401" s="229"/>
      <c r="F9401" s="117" t="s">
        <v>26442</v>
      </c>
      <c r="G9401" s="26">
        <v>70138</v>
      </c>
      <c r="H9401" s="231"/>
      <c r="I9401" s="221"/>
      <c r="J9401" s="221"/>
      <c r="K9401" s="221"/>
      <c r="L9401" s="221"/>
      <c r="M9401" s="221"/>
      <c r="N9401" s="221"/>
      <c r="O9401" s="225"/>
      <c r="P9401" s="118"/>
      <c r="Q9401" s="16" t="s">
        <v>20</v>
      </c>
      <c r="R9401" s="17"/>
      <c r="S9401" s="121"/>
      <c r="T9401" s="122"/>
      <c r="U9401" s="22"/>
      <c r="V9401" s="123"/>
      <c r="W9401" s="122"/>
      <c r="X9401" s="221"/>
      <c r="Y9401" s="221"/>
      <c r="Z9401" s="221"/>
      <c r="AA9401" s="221"/>
      <c r="AB9401" s="223"/>
    </row>
    <row r="9402" spans="1:28" ht="17.100000000000001" customHeight="1" thickTop="1">
      <c r="A9402" s="226" t="s">
        <v>26468</v>
      </c>
      <c r="B9402" s="28">
        <v>46165</v>
      </c>
      <c r="C9402" s="25">
        <v>1301</v>
      </c>
      <c r="D9402" s="13" t="s">
        <v>1829</v>
      </c>
      <c r="E9402" s="228"/>
      <c r="F9402" s="109" t="s">
        <v>4483</v>
      </c>
      <c r="G9402" s="24" t="s">
        <v>4315</v>
      </c>
      <c r="H9402" s="230">
        <v>4.5</v>
      </c>
      <c r="I9402" s="220">
        <v>720000</v>
      </c>
      <c r="J9402" s="220">
        <f>I9402*0.1</f>
        <v>72000</v>
      </c>
      <c r="K9402" s="220">
        <f>25400+2540</f>
        <v>27940</v>
      </c>
      <c r="L9402" s="220">
        <v>16240</v>
      </c>
      <c r="M9402" s="220">
        <v>16500</v>
      </c>
      <c r="N9402" s="220">
        <f>SUM(I9402:M9403)</f>
        <v>852680</v>
      </c>
      <c r="O9402" s="224"/>
      <c r="P9402" s="110" t="s">
        <v>26440</v>
      </c>
      <c r="Q9402" s="15" t="s">
        <v>19</v>
      </c>
      <c r="R9402" s="205"/>
      <c r="S9402" s="189" t="s">
        <v>1722</v>
      </c>
      <c r="T9402" s="114"/>
      <c r="U9402" s="21"/>
      <c r="V9402" s="115"/>
      <c r="W9402" s="116"/>
      <c r="X9402" s="220"/>
      <c r="Y9402" s="220">
        <f>X9402*0.1</f>
        <v>0</v>
      </c>
      <c r="Z9402" s="220"/>
      <c r="AA9402" s="220">
        <f>SUM(X9402:Z9402)</f>
        <v>0</v>
      </c>
      <c r="AB9402" s="222"/>
    </row>
    <row r="9403" spans="1:28" ht="17.100000000000001" customHeight="1" thickBot="1">
      <c r="A9403" s="227"/>
      <c r="B9403" s="27" t="s">
        <v>2472</v>
      </c>
      <c r="C9403" s="27">
        <v>82497</v>
      </c>
      <c r="D9403" s="14" t="s">
        <v>131</v>
      </c>
      <c r="E9403" s="229"/>
      <c r="F9403" s="117" t="s">
        <v>26439</v>
      </c>
      <c r="G9403" s="26">
        <v>77434</v>
      </c>
      <c r="H9403" s="231"/>
      <c r="I9403" s="221"/>
      <c r="J9403" s="221"/>
      <c r="K9403" s="221"/>
      <c r="L9403" s="221"/>
      <c r="M9403" s="221"/>
      <c r="N9403" s="221"/>
      <c r="O9403" s="225"/>
      <c r="P9403" s="118"/>
      <c r="Q9403" s="16" t="s">
        <v>20</v>
      </c>
      <c r="R9403" s="17"/>
      <c r="S9403" s="121"/>
      <c r="T9403" s="122"/>
      <c r="U9403" s="22"/>
      <c r="V9403" s="123"/>
      <c r="W9403" s="122"/>
      <c r="X9403" s="221"/>
      <c r="Y9403" s="221"/>
      <c r="Z9403" s="221"/>
      <c r="AA9403" s="221"/>
      <c r="AB9403" s="223"/>
    </row>
    <row r="9404" spans="1:28" ht="17.100000000000001" customHeight="1" thickTop="1">
      <c r="A9404" s="226" t="s">
        <v>26513</v>
      </c>
      <c r="B9404" s="28">
        <v>46167</v>
      </c>
      <c r="C9404" s="25"/>
      <c r="D9404" s="13" t="s">
        <v>2057</v>
      </c>
      <c r="E9404" s="228"/>
      <c r="F9404" s="109" t="s">
        <v>26480</v>
      </c>
      <c r="G9404" s="24" t="s">
        <v>3453</v>
      </c>
      <c r="H9404" s="230">
        <v>4.5</v>
      </c>
      <c r="I9404" s="220">
        <v>2405000</v>
      </c>
      <c r="J9404" s="220">
        <f>I9404*0.1</f>
        <v>240500</v>
      </c>
      <c r="K9404" s="220">
        <v>22800</v>
      </c>
      <c r="L9404" s="220">
        <v>12980</v>
      </c>
      <c r="M9404" s="220">
        <v>0</v>
      </c>
      <c r="N9404" s="220">
        <f>SUM(I9404:M9405)</f>
        <v>2681280</v>
      </c>
      <c r="O9404" s="224"/>
      <c r="P9404" s="110"/>
      <c r="Q9404" s="15" t="s">
        <v>19</v>
      </c>
      <c r="R9404" s="205"/>
      <c r="S9404" s="189" t="s">
        <v>26362</v>
      </c>
      <c r="T9404" s="114"/>
      <c r="U9404" s="21"/>
      <c r="V9404" s="115"/>
      <c r="W9404" s="116"/>
      <c r="X9404" s="220"/>
      <c r="Y9404" s="220">
        <f>X9404*0.1</f>
        <v>0</v>
      </c>
      <c r="Z9404" s="220"/>
      <c r="AA9404" s="220">
        <f>SUM(X9404:Z9404)</f>
        <v>0</v>
      </c>
      <c r="AB9404" s="222"/>
    </row>
    <row r="9405" spans="1:28" ht="17.100000000000001" customHeight="1" thickBot="1">
      <c r="A9405" s="227"/>
      <c r="B9405" s="27" t="s">
        <v>1708</v>
      </c>
      <c r="C9405" s="27" t="s">
        <v>26479</v>
      </c>
      <c r="D9405" s="14" t="s">
        <v>273</v>
      </c>
      <c r="E9405" s="229"/>
      <c r="F9405" s="117" t="s">
        <v>26481</v>
      </c>
      <c r="G9405" s="26">
        <v>59877</v>
      </c>
      <c r="H9405" s="231"/>
      <c r="I9405" s="221"/>
      <c r="J9405" s="221"/>
      <c r="K9405" s="221"/>
      <c r="L9405" s="221"/>
      <c r="M9405" s="221"/>
      <c r="N9405" s="221"/>
      <c r="O9405" s="225"/>
      <c r="P9405" s="118"/>
      <c r="Q9405" s="16" t="s">
        <v>20</v>
      </c>
      <c r="R9405" s="17"/>
      <c r="S9405" s="121"/>
      <c r="T9405" s="122"/>
      <c r="U9405" s="22"/>
      <c r="V9405" s="123"/>
      <c r="W9405" s="122"/>
      <c r="X9405" s="221"/>
      <c r="Y9405" s="221"/>
      <c r="Z9405" s="221"/>
      <c r="AA9405" s="221"/>
      <c r="AB9405" s="223"/>
    </row>
    <row r="9406" spans="1:28" ht="17.100000000000001" customHeight="1" thickTop="1">
      <c r="A9406" s="226" t="s">
        <v>26514</v>
      </c>
      <c r="B9406" s="28">
        <v>46167</v>
      </c>
      <c r="C9406" s="25">
        <v>2094</v>
      </c>
      <c r="D9406" s="13" t="s">
        <v>2637</v>
      </c>
      <c r="E9406" s="228"/>
      <c r="F9406" s="109" t="s">
        <v>4884</v>
      </c>
      <c r="G9406" s="24"/>
      <c r="H9406" s="230">
        <v>4</v>
      </c>
      <c r="I9406" s="220">
        <v>2600000</v>
      </c>
      <c r="J9406" s="220">
        <f>I9406*0.1</f>
        <v>260000</v>
      </c>
      <c r="K9406" s="220">
        <v>0</v>
      </c>
      <c r="L9406" s="220">
        <v>23800</v>
      </c>
      <c r="M9406" s="220">
        <v>11000</v>
      </c>
      <c r="N9406" s="220">
        <f>SUM(I9406:M9407)</f>
        <v>2894800</v>
      </c>
      <c r="O9406" s="224"/>
      <c r="P9406" s="110"/>
      <c r="Q9406" s="15" t="s">
        <v>19</v>
      </c>
      <c r="R9406" s="205"/>
      <c r="S9406" s="189" t="s">
        <v>26483</v>
      </c>
      <c r="T9406" s="114"/>
      <c r="U9406" s="21"/>
      <c r="V9406" s="115"/>
      <c r="W9406" s="116"/>
      <c r="X9406" s="220"/>
      <c r="Y9406" s="220">
        <f>X9406*0.1</f>
        <v>0</v>
      </c>
      <c r="Z9406" s="220"/>
      <c r="AA9406" s="220">
        <f>SUM(X9406:Z9406)</f>
        <v>0</v>
      </c>
      <c r="AB9406" s="222"/>
    </row>
    <row r="9407" spans="1:28" ht="17.100000000000001" customHeight="1" thickBot="1">
      <c r="A9407" s="227"/>
      <c r="B9407" s="27" t="s">
        <v>82</v>
      </c>
      <c r="C9407" s="27">
        <v>31003</v>
      </c>
      <c r="D9407" s="14" t="s">
        <v>2559</v>
      </c>
      <c r="E9407" s="229"/>
      <c r="F9407" s="117" t="s">
        <v>26482</v>
      </c>
      <c r="G9407" s="26">
        <v>76073</v>
      </c>
      <c r="H9407" s="231"/>
      <c r="I9407" s="221"/>
      <c r="J9407" s="221"/>
      <c r="K9407" s="221"/>
      <c r="L9407" s="221"/>
      <c r="M9407" s="221"/>
      <c r="N9407" s="221"/>
      <c r="O9407" s="225"/>
      <c r="P9407" s="118"/>
      <c r="Q9407" s="16" t="s">
        <v>20</v>
      </c>
      <c r="R9407" s="17"/>
      <c r="S9407" s="121"/>
      <c r="T9407" s="122"/>
      <c r="U9407" s="22"/>
      <c r="V9407" s="123"/>
      <c r="W9407" s="122"/>
      <c r="X9407" s="221"/>
      <c r="Y9407" s="221"/>
      <c r="Z9407" s="221"/>
      <c r="AA9407" s="221"/>
      <c r="AB9407" s="223"/>
    </row>
    <row r="9408" spans="1:28" ht="17.100000000000001" customHeight="1" thickTop="1">
      <c r="A9408" s="226" t="s">
        <v>26515</v>
      </c>
      <c r="B9408" s="28">
        <v>46167</v>
      </c>
      <c r="C9408" s="25">
        <v>2094</v>
      </c>
      <c r="D9408" s="13" t="s">
        <v>2324</v>
      </c>
      <c r="E9408" s="228"/>
      <c r="F9408" s="109" t="s">
        <v>2685</v>
      </c>
      <c r="G9408" s="24"/>
      <c r="H9408" s="230">
        <v>4</v>
      </c>
      <c r="I9408" s="220">
        <v>1215000</v>
      </c>
      <c r="J9408" s="220">
        <f>I9408*0.1</f>
        <v>121500</v>
      </c>
      <c r="K9408" s="220">
        <v>0</v>
      </c>
      <c r="L9408" s="220">
        <v>18170</v>
      </c>
      <c r="M9408" s="220">
        <v>11000</v>
      </c>
      <c r="N9408" s="220">
        <f>SUM(I9408:M9409)</f>
        <v>1365670</v>
      </c>
      <c r="O9408" s="224"/>
      <c r="P9408" s="110"/>
      <c r="Q9408" s="15" t="s">
        <v>19</v>
      </c>
      <c r="R9408" s="205"/>
      <c r="S9408" s="189" t="s">
        <v>1625</v>
      </c>
      <c r="T9408" s="114"/>
      <c r="U9408" s="21"/>
      <c r="V9408" s="115"/>
      <c r="W9408" s="116"/>
      <c r="X9408" s="220"/>
      <c r="Y9408" s="220">
        <f>X9408*0.1</f>
        <v>0</v>
      </c>
      <c r="Z9408" s="220"/>
      <c r="AA9408" s="220">
        <f>SUM(X9408:Z9408)</f>
        <v>0</v>
      </c>
      <c r="AB9408" s="222"/>
    </row>
    <row r="9409" spans="1:28" ht="17.100000000000001" customHeight="1" thickBot="1">
      <c r="A9409" s="227"/>
      <c r="B9409" s="27" t="s">
        <v>82</v>
      </c>
      <c r="C9409" s="27">
        <v>34524</v>
      </c>
      <c r="D9409" s="14" t="s">
        <v>273</v>
      </c>
      <c r="E9409" s="229"/>
      <c r="F9409" s="117" t="s">
        <v>26484</v>
      </c>
      <c r="G9409" s="26">
        <v>83493</v>
      </c>
      <c r="H9409" s="231"/>
      <c r="I9409" s="221"/>
      <c r="J9409" s="221"/>
      <c r="K9409" s="221"/>
      <c r="L9409" s="221"/>
      <c r="M9409" s="221"/>
      <c r="N9409" s="221"/>
      <c r="O9409" s="225"/>
      <c r="P9409" s="118"/>
      <c r="Q9409" s="16" t="s">
        <v>20</v>
      </c>
      <c r="R9409" s="17"/>
      <c r="S9409" s="121"/>
      <c r="T9409" s="122"/>
      <c r="U9409" s="22"/>
      <c r="V9409" s="123"/>
      <c r="W9409" s="122"/>
      <c r="X9409" s="221"/>
      <c r="Y9409" s="221"/>
      <c r="Z9409" s="221"/>
      <c r="AA9409" s="221"/>
      <c r="AB9409" s="223"/>
    </row>
    <row r="9410" spans="1:28" ht="17.100000000000001" customHeight="1" thickTop="1">
      <c r="A9410" s="226" t="s">
        <v>26516</v>
      </c>
      <c r="B9410" s="28">
        <v>46167</v>
      </c>
      <c r="C9410" s="25">
        <v>2094</v>
      </c>
      <c r="D9410" s="13" t="s">
        <v>3332</v>
      </c>
      <c r="E9410" s="228"/>
      <c r="F9410" s="109" t="s">
        <v>4483</v>
      </c>
      <c r="G9410" s="24" t="s">
        <v>4025</v>
      </c>
      <c r="H9410" s="230">
        <v>4.5</v>
      </c>
      <c r="I9410" s="220">
        <v>1230000</v>
      </c>
      <c r="J9410" s="220">
        <f>I9410*0.1</f>
        <v>123000</v>
      </c>
      <c r="K9410" s="220">
        <f>25400+2540</f>
        <v>27940</v>
      </c>
      <c r="L9410" s="220">
        <v>17600</v>
      </c>
      <c r="M9410" s="220">
        <v>17600</v>
      </c>
      <c r="N9410" s="220">
        <f>SUM(I9410:M9411)</f>
        <v>1416140</v>
      </c>
      <c r="O9410" s="224"/>
      <c r="P9410" s="110" t="s">
        <v>26486</v>
      </c>
      <c r="Q9410" s="15" t="s">
        <v>19</v>
      </c>
      <c r="R9410" s="205"/>
      <c r="S9410" s="189" t="s">
        <v>26487</v>
      </c>
      <c r="T9410" s="114"/>
      <c r="U9410" s="21"/>
      <c r="V9410" s="115"/>
      <c r="W9410" s="116"/>
      <c r="X9410" s="220"/>
      <c r="Y9410" s="220">
        <f>X9410*0.1</f>
        <v>0</v>
      </c>
      <c r="Z9410" s="220"/>
      <c r="AA9410" s="220">
        <f>SUM(X9410:Z9410)</f>
        <v>0</v>
      </c>
      <c r="AB9410" s="222"/>
    </row>
    <row r="9411" spans="1:28" ht="17.100000000000001" customHeight="1" thickBot="1">
      <c r="A9411" s="227"/>
      <c r="B9411" s="27" t="s">
        <v>82</v>
      </c>
      <c r="C9411" s="27">
        <v>34544</v>
      </c>
      <c r="D9411" s="14" t="s">
        <v>273</v>
      </c>
      <c r="E9411" s="229"/>
      <c r="F9411" s="117" t="s">
        <v>26485</v>
      </c>
      <c r="G9411" s="26">
        <v>72836</v>
      </c>
      <c r="H9411" s="231"/>
      <c r="I9411" s="221"/>
      <c r="J9411" s="221"/>
      <c r="K9411" s="221"/>
      <c r="L9411" s="221"/>
      <c r="M9411" s="221"/>
      <c r="N9411" s="221"/>
      <c r="O9411" s="225"/>
      <c r="P9411" s="118"/>
      <c r="Q9411" s="16" t="s">
        <v>20</v>
      </c>
      <c r="R9411" s="17"/>
      <c r="S9411" s="121"/>
      <c r="T9411" s="122"/>
      <c r="U9411" s="22"/>
      <c r="V9411" s="123"/>
      <c r="W9411" s="122"/>
      <c r="X9411" s="221"/>
      <c r="Y9411" s="221"/>
      <c r="Z9411" s="221"/>
      <c r="AA9411" s="221"/>
      <c r="AB9411" s="223"/>
    </row>
    <row r="9412" spans="1:28" ht="17.100000000000001" customHeight="1" thickTop="1">
      <c r="A9412" s="226" t="s">
        <v>26517</v>
      </c>
      <c r="B9412" s="28">
        <v>46167</v>
      </c>
      <c r="C9412" s="25">
        <v>2094</v>
      </c>
      <c r="D9412" s="13" t="s">
        <v>1931</v>
      </c>
      <c r="E9412" s="228"/>
      <c r="F9412" s="109" t="s">
        <v>26488</v>
      </c>
      <c r="G9412" s="24"/>
      <c r="H9412" s="230">
        <v>4.5</v>
      </c>
      <c r="I9412" s="220">
        <v>619000</v>
      </c>
      <c r="J9412" s="220">
        <f>I9412*0.1</f>
        <v>61900</v>
      </c>
      <c r="K9412" s="220">
        <v>0</v>
      </c>
      <c r="L9412" s="220">
        <v>16240</v>
      </c>
      <c r="M9412" s="220">
        <v>11000</v>
      </c>
      <c r="N9412" s="220">
        <f>SUM(I9412:M9413)</f>
        <v>708140</v>
      </c>
      <c r="O9412" s="224"/>
      <c r="P9412" s="110"/>
      <c r="Q9412" s="15" t="s">
        <v>19</v>
      </c>
      <c r="R9412" s="205"/>
      <c r="S9412" s="189" t="s">
        <v>1625</v>
      </c>
      <c r="T9412" s="114"/>
      <c r="U9412" s="21"/>
      <c r="V9412" s="115"/>
      <c r="W9412" s="116"/>
      <c r="X9412" s="220"/>
      <c r="Y9412" s="220">
        <f>X9412*0.1</f>
        <v>0</v>
      </c>
      <c r="Z9412" s="220"/>
      <c r="AA9412" s="220">
        <f>SUM(X9412:Z9412)</f>
        <v>0</v>
      </c>
      <c r="AB9412" s="222"/>
    </row>
    <row r="9413" spans="1:28" ht="17.100000000000001" customHeight="1" thickBot="1">
      <c r="A9413" s="227"/>
      <c r="B9413" s="27" t="s">
        <v>82</v>
      </c>
      <c r="C9413" s="27">
        <v>34553</v>
      </c>
      <c r="D9413" s="14" t="s">
        <v>898</v>
      </c>
      <c r="E9413" s="229"/>
      <c r="F9413" s="117" t="s">
        <v>26489</v>
      </c>
      <c r="G9413" s="26">
        <v>43428</v>
      </c>
      <c r="H9413" s="231"/>
      <c r="I9413" s="221"/>
      <c r="J9413" s="221"/>
      <c r="K9413" s="221"/>
      <c r="L9413" s="221"/>
      <c r="M9413" s="221"/>
      <c r="N9413" s="221"/>
      <c r="O9413" s="225"/>
      <c r="P9413" s="118"/>
      <c r="Q9413" s="16" t="s">
        <v>20</v>
      </c>
      <c r="R9413" s="17"/>
      <c r="S9413" s="121"/>
      <c r="T9413" s="122"/>
      <c r="U9413" s="22"/>
      <c r="V9413" s="123"/>
      <c r="W9413" s="122"/>
      <c r="X9413" s="221"/>
      <c r="Y9413" s="221"/>
      <c r="Z9413" s="221"/>
      <c r="AA9413" s="221"/>
      <c r="AB9413" s="223"/>
    </row>
    <row r="9414" spans="1:28" ht="17.100000000000001" customHeight="1" thickTop="1">
      <c r="A9414" s="226" t="s">
        <v>26518</v>
      </c>
      <c r="B9414" s="28">
        <v>46167</v>
      </c>
      <c r="C9414" s="25">
        <v>2094</v>
      </c>
      <c r="D9414" s="13" t="s">
        <v>1634</v>
      </c>
      <c r="E9414" s="228"/>
      <c r="F9414" s="109" t="s">
        <v>14509</v>
      </c>
      <c r="G9414" s="24" t="s">
        <v>2871</v>
      </c>
      <c r="H9414" s="230">
        <v>4.5</v>
      </c>
      <c r="I9414" s="220">
        <v>1540000</v>
      </c>
      <c r="J9414" s="220">
        <f>I9414*0.1</f>
        <v>154000</v>
      </c>
      <c r="K9414" s="220">
        <f>25400+2540</f>
        <v>27940</v>
      </c>
      <c r="L9414" s="220">
        <v>9830</v>
      </c>
      <c r="M9414" s="220">
        <v>9900</v>
      </c>
      <c r="N9414" s="220">
        <f>SUM(I9414:M9415)</f>
        <v>1741670</v>
      </c>
      <c r="O9414" s="224"/>
      <c r="P9414" s="110" t="s">
        <v>26491</v>
      </c>
      <c r="Q9414" s="15" t="s">
        <v>19</v>
      </c>
      <c r="R9414" s="205"/>
      <c r="S9414" s="189" t="s">
        <v>2350</v>
      </c>
      <c r="T9414" s="114"/>
      <c r="U9414" s="21"/>
      <c r="V9414" s="115"/>
      <c r="W9414" s="116"/>
      <c r="X9414" s="220"/>
      <c r="Y9414" s="220">
        <f>X9414*0.1</f>
        <v>0</v>
      </c>
      <c r="Z9414" s="220"/>
      <c r="AA9414" s="220">
        <f>SUM(X9414:Z9414)</f>
        <v>0</v>
      </c>
      <c r="AB9414" s="222"/>
    </row>
    <row r="9415" spans="1:28" ht="17.100000000000001" customHeight="1" thickBot="1">
      <c r="A9415" s="227"/>
      <c r="B9415" s="27" t="s">
        <v>82</v>
      </c>
      <c r="C9415" s="27">
        <v>34565</v>
      </c>
      <c r="D9415" s="14" t="s">
        <v>273</v>
      </c>
      <c r="E9415" s="229"/>
      <c r="F9415" s="117" t="s">
        <v>26490</v>
      </c>
      <c r="G9415" s="26">
        <v>34446</v>
      </c>
      <c r="H9415" s="231"/>
      <c r="I9415" s="221"/>
      <c r="J9415" s="221"/>
      <c r="K9415" s="221"/>
      <c r="L9415" s="221"/>
      <c r="M9415" s="221"/>
      <c r="N9415" s="221"/>
      <c r="O9415" s="225"/>
      <c r="P9415" s="118"/>
      <c r="Q9415" s="16" t="s">
        <v>20</v>
      </c>
      <c r="R9415" s="17"/>
      <c r="S9415" s="121"/>
      <c r="T9415" s="122"/>
      <c r="U9415" s="22"/>
      <c r="V9415" s="123"/>
      <c r="W9415" s="122"/>
      <c r="X9415" s="221"/>
      <c r="Y9415" s="221"/>
      <c r="Z9415" s="221"/>
      <c r="AA9415" s="221"/>
      <c r="AB9415" s="223"/>
    </row>
    <row r="9416" spans="1:28" ht="17.100000000000001" customHeight="1" thickTop="1">
      <c r="A9416" s="226" t="s">
        <v>26519</v>
      </c>
      <c r="B9416" s="28">
        <v>46167</v>
      </c>
      <c r="C9416" s="25">
        <v>2094</v>
      </c>
      <c r="D9416" s="13" t="s">
        <v>2203</v>
      </c>
      <c r="E9416" s="228"/>
      <c r="F9416" s="109" t="s">
        <v>26492</v>
      </c>
      <c r="G9416" s="24"/>
      <c r="H9416" s="230">
        <v>4</v>
      </c>
      <c r="I9416" s="220">
        <v>1610000</v>
      </c>
      <c r="J9416" s="220">
        <f>I9416*0.1</f>
        <v>161000</v>
      </c>
      <c r="K9416" s="220">
        <v>0</v>
      </c>
      <c r="L9416" s="220">
        <v>13600</v>
      </c>
      <c r="M9416" s="220">
        <v>9900</v>
      </c>
      <c r="N9416" s="220">
        <f>SUM(I9416:M9417)</f>
        <v>1794500</v>
      </c>
      <c r="O9416" s="224"/>
      <c r="P9416" s="110"/>
      <c r="Q9416" s="15" t="s">
        <v>19</v>
      </c>
      <c r="R9416" s="205"/>
      <c r="S9416" s="189" t="s">
        <v>26494</v>
      </c>
      <c r="T9416" s="114"/>
      <c r="U9416" s="21"/>
      <c r="V9416" s="115"/>
      <c r="W9416" s="116"/>
      <c r="X9416" s="220"/>
      <c r="Y9416" s="220">
        <f>X9416*0.1</f>
        <v>0</v>
      </c>
      <c r="Z9416" s="220"/>
      <c r="AA9416" s="220">
        <f>SUM(X9416:Z9416)</f>
        <v>0</v>
      </c>
      <c r="AB9416" s="222"/>
    </row>
    <row r="9417" spans="1:28" ht="17.100000000000001" customHeight="1" thickBot="1">
      <c r="A9417" s="227"/>
      <c r="B9417" s="27" t="s">
        <v>82</v>
      </c>
      <c r="C9417" s="27">
        <v>35006</v>
      </c>
      <c r="D9417" s="14" t="s">
        <v>1710</v>
      </c>
      <c r="E9417" s="229"/>
      <c r="F9417" s="117" t="s">
        <v>26493</v>
      </c>
      <c r="G9417" s="26">
        <v>142645</v>
      </c>
      <c r="H9417" s="231"/>
      <c r="I9417" s="221"/>
      <c r="J9417" s="221"/>
      <c r="K9417" s="221"/>
      <c r="L9417" s="221"/>
      <c r="M9417" s="221"/>
      <c r="N9417" s="221"/>
      <c r="O9417" s="225"/>
      <c r="P9417" s="118"/>
      <c r="Q9417" s="16" t="s">
        <v>20</v>
      </c>
      <c r="R9417" s="17"/>
      <c r="S9417" s="121"/>
      <c r="T9417" s="122"/>
      <c r="U9417" s="22"/>
      <c r="V9417" s="123"/>
      <c r="W9417" s="122"/>
      <c r="X9417" s="221"/>
      <c r="Y9417" s="221"/>
      <c r="Z9417" s="221"/>
      <c r="AA9417" s="221"/>
      <c r="AB9417" s="223"/>
    </row>
    <row r="9418" spans="1:28" ht="17.100000000000001" customHeight="1" thickTop="1">
      <c r="A9418" s="226" t="s">
        <v>26520</v>
      </c>
      <c r="B9418" s="28">
        <v>46167</v>
      </c>
      <c r="C9418" s="25">
        <v>2094</v>
      </c>
      <c r="D9418" s="13" t="s">
        <v>1953</v>
      </c>
      <c r="E9418" s="228"/>
      <c r="F9418" s="109" t="s">
        <v>26495</v>
      </c>
      <c r="G9418" s="24"/>
      <c r="H9418" s="230">
        <v>4</v>
      </c>
      <c r="I9418" s="220">
        <v>1715000</v>
      </c>
      <c r="J9418" s="220">
        <f>I9418*0.1</f>
        <v>171500</v>
      </c>
      <c r="K9418" s="220">
        <v>0</v>
      </c>
      <c r="L9418" s="220">
        <v>19580</v>
      </c>
      <c r="M9418" s="220">
        <v>11000</v>
      </c>
      <c r="N9418" s="220">
        <f>SUM(I9418:M9419)</f>
        <v>1917080</v>
      </c>
      <c r="O9418" s="224"/>
      <c r="P9418" s="110"/>
      <c r="Q9418" s="15" t="s">
        <v>19</v>
      </c>
      <c r="R9418" s="205"/>
      <c r="S9418" s="189" t="s">
        <v>2647</v>
      </c>
      <c r="T9418" s="114"/>
      <c r="U9418" s="21"/>
      <c r="V9418" s="115"/>
      <c r="W9418" s="116"/>
      <c r="X9418" s="220"/>
      <c r="Y9418" s="220">
        <f>X9418*0.1</f>
        <v>0</v>
      </c>
      <c r="Z9418" s="220"/>
      <c r="AA9418" s="220">
        <f>SUM(X9418:Z9418)</f>
        <v>0</v>
      </c>
      <c r="AB9418" s="222"/>
    </row>
    <row r="9419" spans="1:28" ht="17.100000000000001" customHeight="1" thickBot="1">
      <c r="A9419" s="227"/>
      <c r="B9419" s="27" t="s">
        <v>82</v>
      </c>
      <c r="C9419" s="27">
        <v>36007</v>
      </c>
      <c r="D9419" s="14" t="s">
        <v>1584</v>
      </c>
      <c r="E9419" s="229"/>
      <c r="F9419" s="117" t="s">
        <v>26496</v>
      </c>
      <c r="G9419" s="26">
        <v>25311</v>
      </c>
      <c r="H9419" s="231"/>
      <c r="I9419" s="221"/>
      <c r="J9419" s="221"/>
      <c r="K9419" s="221"/>
      <c r="L9419" s="221"/>
      <c r="M9419" s="221"/>
      <c r="N9419" s="221"/>
      <c r="O9419" s="225"/>
      <c r="P9419" s="118"/>
      <c r="Q9419" s="16" t="s">
        <v>20</v>
      </c>
      <c r="R9419" s="17"/>
      <c r="S9419" s="121"/>
      <c r="T9419" s="122"/>
      <c r="U9419" s="22"/>
      <c r="V9419" s="123"/>
      <c r="W9419" s="122"/>
      <c r="X9419" s="221"/>
      <c r="Y9419" s="221"/>
      <c r="Z9419" s="221"/>
      <c r="AA9419" s="221"/>
      <c r="AB9419" s="223"/>
    </row>
    <row r="9420" spans="1:28" ht="17.100000000000001" customHeight="1" thickTop="1">
      <c r="A9420" s="226" t="s">
        <v>26538</v>
      </c>
      <c r="B9420" s="28">
        <v>46167</v>
      </c>
      <c r="C9420" s="25"/>
      <c r="D9420" s="13" t="s">
        <v>1953</v>
      </c>
      <c r="E9420" s="228"/>
      <c r="F9420" s="109" t="s">
        <v>26497</v>
      </c>
      <c r="G9420" s="24"/>
      <c r="H9420" s="230">
        <v>4.5</v>
      </c>
      <c r="I9420" s="220">
        <v>1833000</v>
      </c>
      <c r="J9420" s="220">
        <f>I9420*0.1</f>
        <v>183300</v>
      </c>
      <c r="K9420" s="220">
        <v>0</v>
      </c>
      <c r="L9420" s="220">
        <v>14740</v>
      </c>
      <c r="M9420" s="220">
        <v>15950</v>
      </c>
      <c r="N9420" s="220">
        <f>SUM(I9420:M9421)</f>
        <v>2046990</v>
      </c>
      <c r="O9420" s="224"/>
      <c r="P9420" s="110"/>
      <c r="Q9420" s="15" t="s">
        <v>19</v>
      </c>
      <c r="R9420" s="205"/>
      <c r="S9420" s="189"/>
      <c r="T9420" s="114"/>
      <c r="U9420" s="21"/>
      <c r="V9420" s="115"/>
      <c r="W9420" s="116"/>
      <c r="X9420" s="220"/>
      <c r="Y9420" s="220">
        <f>X9420*0.1</f>
        <v>0</v>
      </c>
      <c r="Z9420" s="220"/>
      <c r="AA9420" s="220">
        <f>SUM(X9420:Z9420)</f>
        <v>0</v>
      </c>
      <c r="AB9420" s="222"/>
    </row>
    <row r="9421" spans="1:28" ht="17.100000000000001" customHeight="1" thickBot="1">
      <c r="A9421" s="227"/>
      <c r="B9421" s="27" t="s">
        <v>4400</v>
      </c>
      <c r="C9421" s="27">
        <v>80255</v>
      </c>
      <c r="D9421" s="14" t="s">
        <v>1584</v>
      </c>
      <c r="E9421" s="229"/>
      <c r="F9421" s="117" t="s">
        <v>26498</v>
      </c>
      <c r="G9421" s="26">
        <v>48948</v>
      </c>
      <c r="H9421" s="231"/>
      <c r="I9421" s="221"/>
      <c r="J9421" s="221"/>
      <c r="K9421" s="221"/>
      <c r="L9421" s="221"/>
      <c r="M9421" s="221"/>
      <c r="N9421" s="221"/>
      <c r="O9421" s="225"/>
      <c r="P9421" s="118"/>
      <c r="Q9421" s="16" t="s">
        <v>20</v>
      </c>
      <c r="R9421" s="17"/>
      <c r="S9421" s="121"/>
      <c r="T9421" s="122"/>
      <c r="U9421" s="22"/>
      <c r="V9421" s="123"/>
      <c r="W9421" s="122"/>
      <c r="X9421" s="221"/>
      <c r="Y9421" s="221"/>
      <c r="Z9421" s="221"/>
      <c r="AA9421" s="221"/>
      <c r="AB9421" s="223"/>
    </row>
    <row r="9422" spans="1:28" ht="17.100000000000001" customHeight="1" thickTop="1">
      <c r="A9422" s="226" t="s">
        <v>26539</v>
      </c>
      <c r="B9422" s="28">
        <v>46167</v>
      </c>
      <c r="C9422" s="25"/>
      <c r="D9422" s="13" t="s">
        <v>812</v>
      </c>
      <c r="E9422" s="228"/>
      <c r="F9422" s="109" t="s">
        <v>26499</v>
      </c>
      <c r="G9422" s="24"/>
      <c r="H9422" s="230">
        <v>4.5</v>
      </c>
      <c r="I9422" s="220">
        <v>1802000</v>
      </c>
      <c r="J9422" s="220">
        <f>I9422*0.1</f>
        <v>180200</v>
      </c>
      <c r="K9422" s="220">
        <v>0</v>
      </c>
      <c r="L9422" s="220">
        <v>20860</v>
      </c>
      <c r="M9422" s="220">
        <v>15950</v>
      </c>
      <c r="N9422" s="220">
        <f>SUM(I9422:M9423)</f>
        <v>2019010</v>
      </c>
      <c r="O9422" s="224"/>
      <c r="P9422" s="110"/>
      <c r="Q9422" s="15" t="s">
        <v>19</v>
      </c>
      <c r="R9422" s="205"/>
      <c r="S9422" s="189"/>
      <c r="T9422" s="114"/>
      <c r="U9422" s="21"/>
      <c r="V9422" s="115"/>
      <c r="W9422" s="116"/>
      <c r="X9422" s="220"/>
      <c r="Y9422" s="220">
        <f>X9422*0.1</f>
        <v>0</v>
      </c>
      <c r="Z9422" s="220"/>
      <c r="AA9422" s="220">
        <f>SUM(X9422:Z9422)</f>
        <v>0</v>
      </c>
      <c r="AB9422" s="222"/>
    </row>
    <row r="9423" spans="1:28" ht="17.100000000000001" customHeight="1" thickBot="1">
      <c r="A9423" s="227"/>
      <c r="B9423" s="27" t="s">
        <v>4400</v>
      </c>
      <c r="C9423" s="27">
        <v>80258</v>
      </c>
      <c r="D9423" s="14" t="s">
        <v>2559</v>
      </c>
      <c r="E9423" s="229"/>
      <c r="F9423" s="117" t="s">
        <v>26500</v>
      </c>
      <c r="G9423" s="26">
        <v>54534</v>
      </c>
      <c r="H9423" s="231"/>
      <c r="I9423" s="221"/>
      <c r="J9423" s="221"/>
      <c r="K9423" s="221"/>
      <c r="L9423" s="221"/>
      <c r="M9423" s="221"/>
      <c r="N9423" s="221"/>
      <c r="O9423" s="225"/>
      <c r="P9423" s="118"/>
      <c r="Q9423" s="16" t="s">
        <v>20</v>
      </c>
      <c r="R9423" s="17"/>
      <c r="S9423" s="121"/>
      <c r="T9423" s="122"/>
      <c r="U9423" s="22"/>
      <c r="V9423" s="123"/>
      <c r="W9423" s="122"/>
      <c r="X9423" s="221"/>
      <c r="Y9423" s="221"/>
      <c r="Z9423" s="221"/>
      <c r="AA9423" s="221"/>
      <c r="AB9423" s="223"/>
    </row>
    <row r="9424" spans="1:28" ht="17.100000000000001" customHeight="1" thickTop="1">
      <c r="A9424" s="226" t="s">
        <v>26572</v>
      </c>
      <c r="B9424" s="28">
        <v>46168</v>
      </c>
      <c r="C9424" s="25">
        <v>1942</v>
      </c>
      <c r="D9424" s="13" t="s">
        <v>1598</v>
      </c>
      <c r="E9424" s="228"/>
      <c r="F9424" s="109" t="s">
        <v>26594</v>
      </c>
      <c r="G9424" s="24" t="s">
        <v>2536</v>
      </c>
      <c r="H9424" s="230">
        <v>4</v>
      </c>
      <c r="I9424" s="220">
        <v>1361000</v>
      </c>
      <c r="J9424" s="220">
        <f>I9424*0.1</f>
        <v>136100</v>
      </c>
      <c r="K9424" s="220">
        <v>36190</v>
      </c>
      <c r="L9424" s="220">
        <v>12470</v>
      </c>
      <c r="M9424" s="220">
        <v>17050</v>
      </c>
      <c r="N9424" s="220">
        <f>SUM(I9424:M9425)</f>
        <v>1562810</v>
      </c>
      <c r="O9424" s="224"/>
      <c r="P9424" s="110" t="s">
        <v>26631</v>
      </c>
      <c r="Q9424" s="15" t="s">
        <v>19</v>
      </c>
      <c r="R9424" s="205"/>
      <c r="S9424" s="189"/>
      <c r="T9424" s="114"/>
      <c r="U9424" s="21"/>
      <c r="V9424" s="115"/>
      <c r="W9424" s="116"/>
      <c r="X9424" s="220"/>
      <c r="Y9424" s="220">
        <f>X9424*0.1</f>
        <v>0</v>
      </c>
      <c r="Z9424" s="220"/>
      <c r="AA9424" s="220">
        <f>SUM(X9424:Z9424)</f>
        <v>0</v>
      </c>
      <c r="AB9424" s="222"/>
    </row>
    <row r="9425" spans="1:28" ht="17.100000000000001" customHeight="1" thickBot="1">
      <c r="A9425" s="227"/>
      <c r="B9425" s="27" t="s">
        <v>2103</v>
      </c>
      <c r="C9425" s="27">
        <v>2121</v>
      </c>
      <c r="D9425" s="14" t="s">
        <v>273</v>
      </c>
      <c r="E9425" s="229"/>
      <c r="F9425" s="117" t="s">
        <v>26595</v>
      </c>
      <c r="G9425" s="26">
        <v>76088</v>
      </c>
      <c r="H9425" s="231"/>
      <c r="I9425" s="221"/>
      <c r="J9425" s="221"/>
      <c r="K9425" s="221"/>
      <c r="L9425" s="221"/>
      <c r="M9425" s="221"/>
      <c r="N9425" s="221"/>
      <c r="O9425" s="225"/>
      <c r="P9425" s="118"/>
      <c r="Q9425" s="16" t="s">
        <v>20</v>
      </c>
      <c r="R9425" s="17"/>
      <c r="S9425" s="121"/>
      <c r="T9425" s="122"/>
      <c r="U9425" s="22"/>
      <c r="V9425" s="123"/>
      <c r="W9425" s="122"/>
      <c r="X9425" s="221"/>
      <c r="Y9425" s="221"/>
      <c r="Z9425" s="221"/>
      <c r="AA9425" s="221"/>
      <c r="AB9425" s="223"/>
    </row>
    <row r="9426" spans="1:28" ht="17.100000000000001" customHeight="1" thickTop="1">
      <c r="A9426" s="226" t="s">
        <v>26573</v>
      </c>
      <c r="B9426" s="28">
        <v>46168</v>
      </c>
      <c r="C9426" s="25">
        <v>1942</v>
      </c>
      <c r="D9426" s="13" t="s">
        <v>853</v>
      </c>
      <c r="E9426" s="228"/>
      <c r="F9426" s="109" t="s">
        <v>16259</v>
      </c>
      <c r="G9426" s="24"/>
      <c r="H9426" s="230">
        <v>4</v>
      </c>
      <c r="I9426" s="220">
        <v>553000</v>
      </c>
      <c r="J9426" s="220">
        <f>I9426*0.1</f>
        <v>55300</v>
      </c>
      <c r="K9426" s="220">
        <v>0</v>
      </c>
      <c r="L9426" s="220">
        <v>7150</v>
      </c>
      <c r="M9426" s="220">
        <v>15950</v>
      </c>
      <c r="N9426" s="220">
        <f>SUM(I9426:M9427)</f>
        <v>631400</v>
      </c>
      <c r="O9426" s="224"/>
      <c r="P9426" s="110"/>
      <c r="Q9426" s="15" t="s">
        <v>19</v>
      </c>
      <c r="R9426" s="205"/>
      <c r="S9426" s="189"/>
      <c r="T9426" s="114"/>
      <c r="U9426" s="21"/>
      <c r="V9426" s="115"/>
      <c r="W9426" s="116"/>
      <c r="X9426" s="220"/>
      <c r="Y9426" s="220">
        <f>X9426*0.1</f>
        <v>0</v>
      </c>
      <c r="Z9426" s="220"/>
      <c r="AA9426" s="220">
        <f>SUM(X9426:Z9426)</f>
        <v>0</v>
      </c>
      <c r="AB9426" s="222"/>
    </row>
    <row r="9427" spans="1:28" ht="17.100000000000001" customHeight="1" thickBot="1">
      <c r="A9427" s="227"/>
      <c r="B9427" s="27" t="s">
        <v>2103</v>
      </c>
      <c r="C9427" s="27">
        <v>3168</v>
      </c>
      <c r="D9427" s="14" t="s">
        <v>1584</v>
      </c>
      <c r="E9427" s="229"/>
      <c r="F9427" s="117" t="s">
        <v>26596</v>
      </c>
      <c r="G9427" s="26">
        <v>43093</v>
      </c>
      <c r="H9427" s="231"/>
      <c r="I9427" s="221"/>
      <c r="J9427" s="221"/>
      <c r="K9427" s="221"/>
      <c r="L9427" s="221"/>
      <c r="M9427" s="221"/>
      <c r="N9427" s="221"/>
      <c r="O9427" s="225"/>
      <c r="P9427" s="118"/>
      <c r="Q9427" s="16" t="s">
        <v>20</v>
      </c>
      <c r="R9427" s="17"/>
      <c r="S9427" s="121"/>
      <c r="T9427" s="122"/>
      <c r="U9427" s="22"/>
      <c r="V9427" s="123"/>
      <c r="W9427" s="122"/>
      <c r="X9427" s="221"/>
      <c r="Y9427" s="221"/>
      <c r="Z9427" s="221"/>
      <c r="AA9427" s="221"/>
      <c r="AB9427" s="223"/>
    </row>
    <row r="9428" spans="1:28" ht="17.100000000000001" customHeight="1" thickTop="1">
      <c r="A9428" s="226" t="s">
        <v>26574</v>
      </c>
      <c r="B9428" s="28">
        <v>46168</v>
      </c>
      <c r="C9428" s="25">
        <v>1942</v>
      </c>
      <c r="D9428" s="13" t="s">
        <v>2610</v>
      </c>
      <c r="E9428" s="228"/>
      <c r="F9428" s="109" t="s">
        <v>15947</v>
      </c>
      <c r="G9428" s="24"/>
      <c r="H9428" s="230">
        <v>4</v>
      </c>
      <c r="I9428" s="220">
        <v>685000</v>
      </c>
      <c r="J9428" s="220">
        <f>I9428*0.1</f>
        <v>68500</v>
      </c>
      <c r="K9428" s="220">
        <v>0</v>
      </c>
      <c r="L9428" s="220">
        <v>8850</v>
      </c>
      <c r="M9428" s="220">
        <v>15950</v>
      </c>
      <c r="N9428" s="220">
        <f>SUM(I9428:M9429)</f>
        <v>778300</v>
      </c>
      <c r="O9428" s="224"/>
      <c r="P9428" s="110"/>
      <c r="Q9428" s="15" t="s">
        <v>19</v>
      </c>
      <c r="R9428" s="205"/>
      <c r="S9428" s="189"/>
      <c r="T9428" s="114"/>
      <c r="U9428" s="21"/>
      <c r="V9428" s="115"/>
      <c r="W9428" s="116"/>
      <c r="X9428" s="220"/>
      <c r="Y9428" s="220">
        <f>X9428*0.1</f>
        <v>0</v>
      </c>
      <c r="Z9428" s="220"/>
      <c r="AA9428" s="220">
        <f>SUM(X9428:Z9428)</f>
        <v>0</v>
      </c>
      <c r="AB9428" s="222"/>
    </row>
    <row r="9429" spans="1:28" ht="17.100000000000001" customHeight="1" thickBot="1">
      <c r="A9429" s="227"/>
      <c r="B9429" s="27" t="s">
        <v>2103</v>
      </c>
      <c r="C9429" s="27">
        <v>3309</v>
      </c>
      <c r="D9429" s="14" t="s">
        <v>2014</v>
      </c>
      <c r="E9429" s="229"/>
      <c r="F9429" s="117" t="s">
        <v>26597</v>
      </c>
      <c r="G9429" s="26">
        <v>23287</v>
      </c>
      <c r="H9429" s="231"/>
      <c r="I9429" s="221"/>
      <c r="J9429" s="221"/>
      <c r="K9429" s="221"/>
      <c r="L9429" s="221"/>
      <c r="M9429" s="221"/>
      <c r="N9429" s="221"/>
      <c r="O9429" s="225"/>
      <c r="P9429" s="118"/>
      <c r="Q9429" s="16" t="s">
        <v>20</v>
      </c>
      <c r="R9429" s="17"/>
      <c r="S9429" s="121"/>
      <c r="T9429" s="122"/>
      <c r="U9429" s="22"/>
      <c r="V9429" s="123"/>
      <c r="W9429" s="122"/>
      <c r="X9429" s="221"/>
      <c r="Y9429" s="221"/>
      <c r="Z9429" s="221"/>
      <c r="AA9429" s="221"/>
      <c r="AB9429" s="223"/>
    </row>
    <row r="9430" spans="1:28" ht="17.100000000000001" customHeight="1" thickTop="1">
      <c r="A9430" s="226" t="s">
        <v>26575</v>
      </c>
      <c r="B9430" s="28">
        <v>46168</v>
      </c>
      <c r="C9430" s="25">
        <v>1942</v>
      </c>
      <c r="D9430" s="13" t="s">
        <v>2239</v>
      </c>
      <c r="E9430" s="228"/>
      <c r="F9430" s="109" t="s">
        <v>26598</v>
      </c>
      <c r="G9430" s="24"/>
      <c r="H9430" s="230">
        <v>4.5</v>
      </c>
      <c r="I9430" s="220">
        <v>1085000</v>
      </c>
      <c r="J9430" s="220">
        <f>I9430*0.1</f>
        <v>108500</v>
      </c>
      <c r="K9430" s="220">
        <v>0</v>
      </c>
      <c r="L9430" s="220">
        <v>8200</v>
      </c>
      <c r="M9430" s="220">
        <v>15950</v>
      </c>
      <c r="N9430" s="220">
        <f>SUM(I9430:M9431)</f>
        <v>1217650</v>
      </c>
      <c r="O9430" s="224"/>
      <c r="P9430" s="110"/>
      <c r="Q9430" s="15" t="s">
        <v>19</v>
      </c>
      <c r="R9430" s="205"/>
      <c r="S9430" s="189" t="s">
        <v>4360</v>
      </c>
      <c r="T9430" s="114"/>
      <c r="U9430" s="21"/>
      <c r="V9430" s="115"/>
      <c r="W9430" s="116"/>
      <c r="X9430" s="220"/>
      <c r="Y9430" s="220">
        <f>X9430*0.1</f>
        <v>0</v>
      </c>
      <c r="Z9430" s="220"/>
      <c r="AA9430" s="220">
        <f>SUM(X9430:Z9430)</f>
        <v>0</v>
      </c>
      <c r="AB9430" s="222"/>
    </row>
    <row r="9431" spans="1:28" ht="17.100000000000001" customHeight="1" thickBot="1">
      <c r="A9431" s="227"/>
      <c r="B9431" s="27" t="s">
        <v>2103</v>
      </c>
      <c r="C9431" s="27">
        <v>3480</v>
      </c>
      <c r="D9431" s="14" t="s">
        <v>2520</v>
      </c>
      <c r="E9431" s="229"/>
      <c r="F9431" s="117" t="s">
        <v>26599</v>
      </c>
      <c r="G9431" s="26">
        <v>53092</v>
      </c>
      <c r="H9431" s="231"/>
      <c r="I9431" s="221"/>
      <c r="J9431" s="221"/>
      <c r="K9431" s="221"/>
      <c r="L9431" s="221"/>
      <c r="M9431" s="221"/>
      <c r="N9431" s="221"/>
      <c r="O9431" s="225"/>
      <c r="P9431" s="118"/>
      <c r="Q9431" s="16" t="s">
        <v>20</v>
      </c>
      <c r="R9431" s="17"/>
      <c r="S9431" s="121"/>
      <c r="T9431" s="122"/>
      <c r="U9431" s="22"/>
      <c r="V9431" s="123"/>
      <c r="W9431" s="122"/>
      <c r="X9431" s="221"/>
      <c r="Y9431" s="221"/>
      <c r="Z9431" s="221"/>
      <c r="AA9431" s="221"/>
      <c r="AB9431" s="223"/>
    </row>
    <row r="9432" spans="1:28" ht="17.100000000000001" customHeight="1" thickTop="1">
      <c r="A9432" s="226" t="s">
        <v>26576</v>
      </c>
      <c r="B9432" s="28">
        <v>46168</v>
      </c>
      <c r="C9432" s="25">
        <v>1942</v>
      </c>
      <c r="D9432" s="13" t="s">
        <v>2158</v>
      </c>
      <c r="E9432" s="228"/>
      <c r="F9432" s="109" t="s">
        <v>26600</v>
      </c>
      <c r="G9432" s="24"/>
      <c r="H9432" s="230">
        <v>4</v>
      </c>
      <c r="I9432" s="220">
        <v>771000</v>
      </c>
      <c r="J9432" s="220">
        <f>I9432*0.1</f>
        <v>77100</v>
      </c>
      <c r="K9432" s="220">
        <v>0</v>
      </c>
      <c r="L9432" s="220">
        <v>7150</v>
      </c>
      <c r="M9432" s="220">
        <v>15950</v>
      </c>
      <c r="N9432" s="220">
        <f>SUM(I9432:M9433)</f>
        <v>871200</v>
      </c>
      <c r="O9432" s="224"/>
      <c r="P9432" s="110"/>
      <c r="Q9432" s="15" t="s">
        <v>19</v>
      </c>
      <c r="R9432" s="205"/>
      <c r="S9432" s="189" t="s">
        <v>4360</v>
      </c>
      <c r="T9432" s="114"/>
      <c r="U9432" s="21"/>
      <c r="V9432" s="115"/>
      <c r="W9432" s="116"/>
      <c r="X9432" s="220"/>
      <c r="Y9432" s="220">
        <f>X9432*0.1</f>
        <v>0</v>
      </c>
      <c r="Z9432" s="220"/>
      <c r="AA9432" s="220">
        <f>SUM(X9432:Z9432)</f>
        <v>0</v>
      </c>
      <c r="AB9432" s="222"/>
    </row>
    <row r="9433" spans="1:28" ht="17.100000000000001" customHeight="1" thickBot="1">
      <c r="A9433" s="227"/>
      <c r="B9433" s="27" t="s">
        <v>2103</v>
      </c>
      <c r="C9433" s="27">
        <v>5432</v>
      </c>
      <c r="D9433" s="14" t="s">
        <v>273</v>
      </c>
      <c r="E9433" s="229"/>
      <c r="F9433" s="117" t="s">
        <v>26601</v>
      </c>
      <c r="G9433" s="26">
        <v>54632</v>
      </c>
      <c r="H9433" s="231"/>
      <c r="I9433" s="221"/>
      <c r="J9433" s="221"/>
      <c r="K9433" s="221"/>
      <c r="L9433" s="221"/>
      <c r="M9433" s="221"/>
      <c r="N9433" s="221"/>
      <c r="O9433" s="225"/>
      <c r="P9433" s="118"/>
      <c r="Q9433" s="16" t="s">
        <v>20</v>
      </c>
      <c r="R9433" s="17"/>
      <c r="S9433" s="121"/>
      <c r="T9433" s="122"/>
      <c r="U9433" s="22"/>
      <c r="V9433" s="123"/>
      <c r="W9433" s="122"/>
      <c r="X9433" s="221"/>
      <c r="Y9433" s="221"/>
      <c r="Z9433" s="221"/>
      <c r="AA9433" s="221"/>
      <c r="AB9433" s="223"/>
    </row>
    <row r="9434" spans="1:28" ht="17.100000000000001" customHeight="1" thickTop="1">
      <c r="A9434" s="226" t="s">
        <v>26577</v>
      </c>
      <c r="B9434" s="28">
        <v>46168</v>
      </c>
      <c r="C9434" s="25">
        <v>1942</v>
      </c>
      <c r="D9434" s="13" t="s">
        <v>894</v>
      </c>
      <c r="E9434" s="228"/>
      <c r="F9434" s="109" t="s">
        <v>16457</v>
      </c>
      <c r="G9434" s="24"/>
      <c r="H9434" s="230">
        <v>4</v>
      </c>
      <c r="I9434" s="220">
        <v>118000</v>
      </c>
      <c r="J9434" s="220">
        <f>I9434*0.1</f>
        <v>11800</v>
      </c>
      <c r="K9434" s="220">
        <v>0</v>
      </c>
      <c r="L9434" s="220">
        <v>8490</v>
      </c>
      <c r="M9434" s="220">
        <v>15950</v>
      </c>
      <c r="N9434" s="220">
        <f>SUM(I9434:M9435)</f>
        <v>154240</v>
      </c>
      <c r="O9434" s="224"/>
      <c r="P9434" s="110"/>
      <c r="Q9434" s="15" t="s">
        <v>19</v>
      </c>
      <c r="R9434" s="205"/>
      <c r="S9434" s="189"/>
      <c r="T9434" s="114"/>
      <c r="U9434" s="21"/>
      <c r="V9434" s="115"/>
      <c r="W9434" s="116"/>
      <c r="X9434" s="220"/>
      <c r="Y9434" s="220">
        <f>X9434*0.1</f>
        <v>0</v>
      </c>
      <c r="Z9434" s="220"/>
      <c r="AA9434" s="220">
        <f>SUM(X9434:Z9434)</f>
        <v>0</v>
      </c>
      <c r="AB9434" s="222"/>
    </row>
    <row r="9435" spans="1:28" ht="17.100000000000001" customHeight="1" thickBot="1">
      <c r="A9435" s="227"/>
      <c r="B9435" s="27" t="s">
        <v>2103</v>
      </c>
      <c r="C9435" s="27">
        <v>79109</v>
      </c>
      <c r="D9435" s="14" t="s">
        <v>19450</v>
      </c>
      <c r="E9435" s="229"/>
      <c r="F9435" s="117" t="s">
        <v>26602</v>
      </c>
      <c r="G9435" s="26">
        <v>52712</v>
      </c>
      <c r="H9435" s="231"/>
      <c r="I9435" s="221"/>
      <c r="J9435" s="221"/>
      <c r="K9435" s="221"/>
      <c r="L9435" s="221"/>
      <c r="M9435" s="221"/>
      <c r="N9435" s="221"/>
      <c r="O9435" s="225"/>
      <c r="P9435" s="118"/>
      <c r="Q9435" s="16" t="s">
        <v>20</v>
      </c>
      <c r="R9435" s="17"/>
      <c r="S9435" s="121"/>
      <c r="T9435" s="122"/>
      <c r="U9435" s="22"/>
      <c r="V9435" s="123"/>
      <c r="W9435" s="122"/>
      <c r="X9435" s="221"/>
      <c r="Y9435" s="221"/>
      <c r="Z9435" s="221"/>
      <c r="AA9435" s="221"/>
      <c r="AB9435" s="223"/>
    </row>
    <row r="9436" spans="1:28" ht="17.100000000000001" customHeight="1" thickTop="1">
      <c r="A9436" s="226" t="s">
        <v>26578</v>
      </c>
      <c r="B9436" s="28">
        <v>46168</v>
      </c>
      <c r="C9436" s="25">
        <v>1942</v>
      </c>
      <c r="D9436" s="13" t="s">
        <v>1961</v>
      </c>
      <c r="E9436" s="228"/>
      <c r="F9436" s="109" t="s">
        <v>26603</v>
      </c>
      <c r="G9436" s="24"/>
      <c r="H9436" s="230">
        <v>4</v>
      </c>
      <c r="I9436" s="220">
        <v>3782000</v>
      </c>
      <c r="J9436" s="220">
        <f>I9436*0.1</f>
        <v>378200</v>
      </c>
      <c r="K9436" s="220">
        <v>0</v>
      </c>
      <c r="L9436" s="220">
        <v>10250</v>
      </c>
      <c r="M9436" s="220">
        <v>15950</v>
      </c>
      <c r="N9436" s="220">
        <f>SUM(I9436:M9437)</f>
        <v>4186400</v>
      </c>
      <c r="O9436" s="224"/>
      <c r="P9436" s="110"/>
      <c r="Q9436" s="15" t="s">
        <v>19</v>
      </c>
      <c r="R9436" s="205"/>
      <c r="S9436" s="189"/>
      <c r="T9436" s="114"/>
      <c r="U9436" s="21"/>
      <c r="V9436" s="115"/>
      <c r="W9436" s="116"/>
      <c r="X9436" s="220"/>
      <c r="Y9436" s="220">
        <f>X9436*0.1</f>
        <v>0</v>
      </c>
      <c r="Z9436" s="220"/>
      <c r="AA9436" s="220">
        <f>SUM(X9436:Z9436)</f>
        <v>0</v>
      </c>
      <c r="AB9436" s="222"/>
    </row>
    <row r="9437" spans="1:28" ht="17.100000000000001" customHeight="1" thickBot="1">
      <c r="A9437" s="227"/>
      <c r="B9437" s="27" t="s">
        <v>2103</v>
      </c>
      <c r="C9437" s="27">
        <v>79172</v>
      </c>
      <c r="D9437" s="14" t="s">
        <v>1710</v>
      </c>
      <c r="E9437" s="229"/>
      <c r="F9437" s="117" t="s">
        <v>26604</v>
      </c>
      <c r="G9437" s="26">
        <v>49176</v>
      </c>
      <c r="H9437" s="231"/>
      <c r="I9437" s="221"/>
      <c r="J9437" s="221"/>
      <c r="K9437" s="221"/>
      <c r="L9437" s="221"/>
      <c r="M9437" s="221"/>
      <c r="N9437" s="221"/>
      <c r="O9437" s="225"/>
      <c r="P9437" s="118"/>
      <c r="Q9437" s="16" t="s">
        <v>20</v>
      </c>
      <c r="R9437" s="17"/>
      <c r="S9437" s="121"/>
      <c r="T9437" s="122"/>
      <c r="U9437" s="22"/>
      <c r="V9437" s="123"/>
      <c r="W9437" s="122"/>
      <c r="X9437" s="221"/>
      <c r="Y9437" s="221"/>
      <c r="Z9437" s="221"/>
      <c r="AA9437" s="221"/>
      <c r="AB9437" s="223"/>
    </row>
    <row r="9438" spans="1:28" ht="17.100000000000001" customHeight="1" thickTop="1">
      <c r="A9438" s="226" t="s">
        <v>26579</v>
      </c>
      <c r="B9438" s="28">
        <v>46168</v>
      </c>
      <c r="C9438" s="25">
        <v>1942</v>
      </c>
      <c r="D9438" s="13" t="s">
        <v>2057</v>
      </c>
      <c r="E9438" s="228"/>
      <c r="F9438" s="109" t="s">
        <v>20311</v>
      </c>
      <c r="G9438" s="24"/>
      <c r="H9438" s="230">
        <v>4</v>
      </c>
      <c r="I9438" s="220">
        <v>1007000</v>
      </c>
      <c r="J9438" s="220">
        <f>I9438*0.1</f>
        <v>100700</v>
      </c>
      <c r="K9438" s="220">
        <v>0</v>
      </c>
      <c r="L9438" s="220">
        <v>8630</v>
      </c>
      <c r="M9438" s="220">
        <v>15950</v>
      </c>
      <c r="N9438" s="220">
        <f>SUM(I9438:M9439)</f>
        <v>1132280</v>
      </c>
      <c r="O9438" s="224"/>
      <c r="P9438" s="110"/>
      <c r="Q9438" s="15" t="s">
        <v>19</v>
      </c>
      <c r="R9438" s="205"/>
      <c r="S9438" s="189"/>
      <c r="T9438" s="114"/>
      <c r="U9438" s="21"/>
      <c r="V9438" s="115"/>
      <c r="W9438" s="116"/>
      <c r="X9438" s="220"/>
      <c r="Y9438" s="220">
        <f>X9438*0.1</f>
        <v>0</v>
      </c>
      <c r="Z9438" s="220"/>
      <c r="AA9438" s="220">
        <f>SUM(X9438:Z9438)</f>
        <v>0</v>
      </c>
      <c r="AB9438" s="222"/>
    </row>
    <row r="9439" spans="1:28" ht="17.100000000000001" customHeight="1" thickBot="1">
      <c r="A9439" s="227"/>
      <c r="B9439" s="27" t="s">
        <v>2103</v>
      </c>
      <c r="C9439" s="27">
        <v>79175</v>
      </c>
      <c r="D9439" s="14" t="s">
        <v>273</v>
      </c>
      <c r="E9439" s="229"/>
      <c r="F9439" s="117" t="s">
        <v>26605</v>
      </c>
      <c r="G9439" s="26">
        <v>58572</v>
      </c>
      <c r="H9439" s="231"/>
      <c r="I9439" s="221"/>
      <c r="J9439" s="221"/>
      <c r="K9439" s="221"/>
      <c r="L9439" s="221"/>
      <c r="M9439" s="221"/>
      <c r="N9439" s="221"/>
      <c r="O9439" s="225"/>
      <c r="P9439" s="118"/>
      <c r="Q9439" s="16" t="s">
        <v>20</v>
      </c>
      <c r="R9439" s="17"/>
      <c r="S9439" s="121"/>
      <c r="T9439" s="122"/>
      <c r="U9439" s="22"/>
      <c r="V9439" s="123"/>
      <c r="W9439" s="122"/>
      <c r="X9439" s="221"/>
      <c r="Y9439" s="221"/>
      <c r="Z9439" s="221"/>
      <c r="AA9439" s="221"/>
      <c r="AB9439" s="223"/>
    </row>
    <row r="9440" spans="1:28" ht="17.100000000000001" customHeight="1" thickTop="1">
      <c r="A9440" s="226" t="s">
        <v>26580</v>
      </c>
      <c r="B9440" s="28">
        <v>46168</v>
      </c>
      <c r="C9440" s="25">
        <v>820</v>
      </c>
      <c r="D9440" s="13" t="s">
        <v>2264</v>
      </c>
      <c r="E9440" s="228"/>
      <c r="F9440" s="109" t="s">
        <v>26606</v>
      </c>
      <c r="G9440" s="24" t="s">
        <v>2543</v>
      </c>
      <c r="H9440" s="230">
        <v>4.5</v>
      </c>
      <c r="I9440" s="220">
        <v>1521000</v>
      </c>
      <c r="J9440" s="220">
        <f>I9440*0.1</f>
        <v>152100</v>
      </c>
      <c r="K9440" s="220">
        <v>33000</v>
      </c>
      <c r="L9440" s="220">
        <v>1190</v>
      </c>
      <c r="M9440" s="220">
        <v>17050</v>
      </c>
      <c r="N9440" s="220">
        <f>SUM(I9440:M9441)</f>
        <v>1724340</v>
      </c>
      <c r="O9440" s="224"/>
      <c r="P9440" s="110" t="s">
        <v>26632</v>
      </c>
      <c r="Q9440" s="15" t="s">
        <v>19</v>
      </c>
      <c r="R9440" s="205"/>
      <c r="S9440" s="189"/>
      <c r="T9440" s="114"/>
      <c r="U9440" s="21"/>
      <c r="V9440" s="115"/>
      <c r="W9440" s="116"/>
      <c r="X9440" s="220"/>
      <c r="Y9440" s="220">
        <f>X9440*0.1</f>
        <v>0</v>
      </c>
      <c r="Z9440" s="220"/>
      <c r="AA9440" s="220">
        <f>SUM(X9440:Z9440)</f>
        <v>0</v>
      </c>
      <c r="AB9440" s="222"/>
    </row>
    <row r="9441" spans="1:28" ht="17.100000000000001" customHeight="1" thickBot="1">
      <c r="A9441" s="227"/>
      <c r="B9441" s="27" t="s">
        <v>3314</v>
      </c>
      <c r="C9441" s="27">
        <v>2006</v>
      </c>
      <c r="D9441" s="14" t="s">
        <v>1710</v>
      </c>
      <c r="E9441" s="229"/>
      <c r="F9441" s="117" t="s">
        <v>26607</v>
      </c>
      <c r="G9441" s="26">
        <v>15551</v>
      </c>
      <c r="H9441" s="231"/>
      <c r="I9441" s="221"/>
      <c r="J9441" s="221"/>
      <c r="K9441" s="221"/>
      <c r="L9441" s="221"/>
      <c r="M9441" s="221"/>
      <c r="N9441" s="221"/>
      <c r="O9441" s="225"/>
      <c r="P9441" s="118"/>
      <c r="Q9441" s="16" t="s">
        <v>20</v>
      </c>
      <c r="R9441" s="17"/>
      <c r="S9441" s="121"/>
      <c r="T9441" s="122"/>
      <c r="U9441" s="22"/>
      <c r="V9441" s="123"/>
      <c r="W9441" s="122"/>
      <c r="X9441" s="221"/>
      <c r="Y9441" s="221"/>
      <c r="Z9441" s="221"/>
      <c r="AA9441" s="221"/>
      <c r="AB9441" s="223"/>
    </row>
    <row r="9442" spans="1:28" ht="17.100000000000001" customHeight="1" thickTop="1">
      <c r="A9442" s="226" t="s">
        <v>26581</v>
      </c>
      <c r="B9442" s="28">
        <v>46168</v>
      </c>
      <c r="C9442" s="25">
        <v>820</v>
      </c>
      <c r="D9442" s="13" t="s">
        <v>2573</v>
      </c>
      <c r="E9442" s="228"/>
      <c r="F9442" s="109" t="s">
        <v>19429</v>
      </c>
      <c r="G9442" s="24"/>
      <c r="H9442" s="230">
        <v>4</v>
      </c>
      <c r="I9442" s="220">
        <v>544000</v>
      </c>
      <c r="J9442" s="220">
        <f>I9442*0.1</f>
        <v>54400</v>
      </c>
      <c r="K9442" s="220">
        <v>0</v>
      </c>
      <c r="L9442" s="220">
        <v>7510</v>
      </c>
      <c r="M9442" s="220">
        <v>15950</v>
      </c>
      <c r="N9442" s="220">
        <f>SUM(I9442:M9443)</f>
        <v>621860</v>
      </c>
      <c r="O9442" s="224"/>
      <c r="P9442" s="110"/>
      <c r="Q9442" s="15" t="s">
        <v>19</v>
      </c>
      <c r="R9442" s="205"/>
      <c r="S9442" s="189"/>
      <c r="T9442" s="114"/>
      <c r="U9442" s="21"/>
      <c r="V9442" s="115"/>
      <c r="W9442" s="116"/>
      <c r="X9442" s="220"/>
      <c r="Y9442" s="220">
        <f>X9442*0.1</f>
        <v>0</v>
      </c>
      <c r="Z9442" s="220"/>
      <c r="AA9442" s="220">
        <f>SUM(X9442:Z9442)</f>
        <v>0</v>
      </c>
      <c r="AB9442" s="222"/>
    </row>
    <row r="9443" spans="1:28" ht="17.100000000000001" customHeight="1" thickBot="1">
      <c r="A9443" s="227"/>
      <c r="B9443" s="27" t="s">
        <v>3314</v>
      </c>
      <c r="C9443" s="27">
        <v>3014</v>
      </c>
      <c r="D9443" s="14" t="s">
        <v>1584</v>
      </c>
      <c r="E9443" s="229"/>
      <c r="F9443" s="117" t="s">
        <v>26608</v>
      </c>
      <c r="G9443" s="26">
        <v>51636</v>
      </c>
      <c r="H9443" s="231"/>
      <c r="I9443" s="221"/>
      <c r="J9443" s="221"/>
      <c r="K9443" s="221"/>
      <c r="L9443" s="221"/>
      <c r="M9443" s="221"/>
      <c r="N9443" s="221"/>
      <c r="O9443" s="225"/>
      <c r="P9443" s="118"/>
      <c r="Q9443" s="16" t="s">
        <v>20</v>
      </c>
      <c r="R9443" s="17"/>
      <c r="S9443" s="121"/>
      <c r="T9443" s="122"/>
      <c r="U9443" s="22"/>
      <c r="V9443" s="123"/>
      <c r="W9443" s="122"/>
      <c r="X9443" s="221"/>
      <c r="Y9443" s="221"/>
      <c r="Z9443" s="221"/>
      <c r="AA9443" s="221"/>
      <c r="AB9443" s="223"/>
    </row>
    <row r="9444" spans="1:28" ht="17.100000000000001" customHeight="1" thickTop="1">
      <c r="A9444" s="226" t="s">
        <v>26582</v>
      </c>
      <c r="B9444" s="28">
        <v>46168</v>
      </c>
      <c r="C9444" s="25">
        <v>820</v>
      </c>
      <c r="D9444" s="13" t="s">
        <v>1831</v>
      </c>
      <c r="E9444" s="228"/>
      <c r="F9444" s="109" t="s">
        <v>19429</v>
      </c>
      <c r="G9444" s="24"/>
      <c r="H9444" s="230">
        <v>4.5</v>
      </c>
      <c r="I9444" s="220">
        <v>681000</v>
      </c>
      <c r="J9444" s="220">
        <f>I9444*0.1</f>
        <v>68100</v>
      </c>
      <c r="K9444" s="220">
        <v>0</v>
      </c>
      <c r="L9444" s="220">
        <v>8510</v>
      </c>
      <c r="M9444" s="220">
        <v>15950</v>
      </c>
      <c r="N9444" s="220">
        <f>SUM(I9444:M9445)</f>
        <v>773560</v>
      </c>
      <c r="O9444" s="224"/>
      <c r="P9444" s="110"/>
      <c r="Q9444" s="15" t="s">
        <v>19</v>
      </c>
      <c r="R9444" s="205"/>
      <c r="S9444" s="189" t="s">
        <v>26633</v>
      </c>
      <c r="T9444" s="114"/>
      <c r="U9444" s="21"/>
      <c r="V9444" s="115"/>
      <c r="W9444" s="116"/>
      <c r="X9444" s="220"/>
      <c r="Y9444" s="220">
        <f>X9444*0.1</f>
        <v>0</v>
      </c>
      <c r="Z9444" s="220"/>
      <c r="AA9444" s="220">
        <f>SUM(X9444:Z9444)</f>
        <v>0</v>
      </c>
      <c r="AB9444" s="222"/>
    </row>
    <row r="9445" spans="1:28" ht="17.100000000000001" customHeight="1" thickBot="1">
      <c r="A9445" s="227"/>
      <c r="B9445" s="27" t="s">
        <v>3314</v>
      </c>
      <c r="C9445" s="27">
        <v>3126</v>
      </c>
      <c r="D9445" s="14" t="s">
        <v>1584</v>
      </c>
      <c r="E9445" s="229"/>
      <c r="F9445" s="117" t="s">
        <v>26609</v>
      </c>
      <c r="G9445" s="26">
        <v>54658</v>
      </c>
      <c r="H9445" s="231"/>
      <c r="I9445" s="221"/>
      <c r="J9445" s="221"/>
      <c r="K9445" s="221"/>
      <c r="L9445" s="221"/>
      <c r="M9445" s="221"/>
      <c r="N9445" s="221"/>
      <c r="O9445" s="225"/>
      <c r="P9445" s="118"/>
      <c r="Q9445" s="16" t="s">
        <v>20</v>
      </c>
      <c r="R9445" s="17"/>
      <c r="S9445" s="121"/>
      <c r="T9445" s="122"/>
      <c r="U9445" s="22"/>
      <c r="V9445" s="123"/>
      <c r="W9445" s="122"/>
      <c r="X9445" s="221"/>
      <c r="Y9445" s="221"/>
      <c r="Z9445" s="221"/>
      <c r="AA9445" s="221"/>
      <c r="AB9445" s="223"/>
    </row>
    <row r="9446" spans="1:28" ht="17.100000000000001" customHeight="1" thickTop="1">
      <c r="A9446" s="226" t="s">
        <v>26583</v>
      </c>
      <c r="B9446" s="28">
        <v>46168</v>
      </c>
      <c r="C9446" s="25">
        <v>820</v>
      </c>
      <c r="D9446" s="13" t="s">
        <v>4213</v>
      </c>
      <c r="E9446" s="228"/>
      <c r="F9446" s="109" t="s">
        <v>15619</v>
      </c>
      <c r="G9446" s="24" t="s">
        <v>4120</v>
      </c>
      <c r="H9446" s="230">
        <v>6</v>
      </c>
      <c r="I9446" s="220">
        <v>1418000</v>
      </c>
      <c r="J9446" s="220">
        <f>I9446*0.1</f>
        <v>141800</v>
      </c>
      <c r="K9446" s="220">
        <v>0</v>
      </c>
      <c r="L9446" s="220">
        <v>6850</v>
      </c>
      <c r="M9446" s="220">
        <v>15950</v>
      </c>
      <c r="N9446" s="220">
        <f>SUM(I9446:M9447)</f>
        <v>1582600</v>
      </c>
      <c r="O9446" s="224"/>
      <c r="P9446" s="110" t="s">
        <v>26634</v>
      </c>
      <c r="Q9446" s="15" t="s">
        <v>19</v>
      </c>
      <c r="R9446" s="205"/>
      <c r="S9446" s="189"/>
      <c r="T9446" s="114"/>
      <c r="U9446" s="21"/>
      <c r="V9446" s="115"/>
      <c r="W9446" s="116"/>
      <c r="X9446" s="220"/>
      <c r="Y9446" s="220">
        <f>X9446*0.1</f>
        <v>0</v>
      </c>
      <c r="Z9446" s="220"/>
      <c r="AA9446" s="220">
        <f>SUM(X9446:Z9446)</f>
        <v>0</v>
      </c>
      <c r="AB9446" s="222"/>
    </row>
    <row r="9447" spans="1:28" ht="17.100000000000001" customHeight="1" thickBot="1">
      <c r="A9447" s="227"/>
      <c r="B9447" s="27" t="s">
        <v>3314</v>
      </c>
      <c r="C9447" s="27">
        <v>3143</v>
      </c>
      <c r="D9447" s="14" t="s">
        <v>1584</v>
      </c>
      <c r="E9447" s="229"/>
      <c r="F9447" s="117" t="s">
        <v>26610</v>
      </c>
      <c r="G9447" s="26">
        <v>12119</v>
      </c>
      <c r="H9447" s="231"/>
      <c r="I9447" s="221"/>
      <c r="J9447" s="221"/>
      <c r="K9447" s="221"/>
      <c r="L9447" s="221"/>
      <c r="M9447" s="221"/>
      <c r="N9447" s="221"/>
      <c r="O9447" s="225"/>
      <c r="P9447" s="118"/>
      <c r="Q9447" s="16" t="s">
        <v>20</v>
      </c>
      <c r="R9447" s="17"/>
      <c r="S9447" s="121"/>
      <c r="T9447" s="122"/>
      <c r="U9447" s="22"/>
      <c r="V9447" s="123"/>
      <c r="W9447" s="122"/>
      <c r="X9447" s="221"/>
      <c r="Y9447" s="221"/>
      <c r="Z9447" s="221"/>
      <c r="AA9447" s="221"/>
      <c r="AB9447" s="223"/>
    </row>
    <row r="9448" spans="1:28" ht="17.100000000000001" customHeight="1" thickTop="1">
      <c r="A9448" s="226" t="s">
        <v>26584</v>
      </c>
      <c r="B9448" s="28">
        <v>46168</v>
      </c>
      <c r="C9448" s="25">
        <v>820</v>
      </c>
      <c r="D9448" s="13" t="s">
        <v>2107</v>
      </c>
      <c r="E9448" s="228"/>
      <c r="F9448" s="109" t="s">
        <v>26611</v>
      </c>
      <c r="G9448" s="24"/>
      <c r="H9448" s="230">
        <v>4</v>
      </c>
      <c r="I9448" s="220">
        <v>530000</v>
      </c>
      <c r="J9448" s="220">
        <f>I9448*0.1</f>
        <v>53000</v>
      </c>
      <c r="K9448" s="220">
        <v>0</v>
      </c>
      <c r="L9448" s="220">
        <v>20440</v>
      </c>
      <c r="M9448" s="220">
        <v>15950</v>
      </c>
      <c r="N9448" s="220">
        <f>SUM(I9448:M9449)</f>
        <v>619390</v>
      </c>
      <c r="O9448" s="224"/>
      <c r="P9448" s="110"/>
      <c r="Q9448" s="15" t="s">
        <v>19</v>
      </c>
      <c r="R9448" s="205"/>
      <c r="S9448" s="189"/>
      <c r="T9448" s="114"/>
      <c r="U9448" s="21"/>
      <c r="V9448" s="115"/>
      <c r="W9448" s="116"/>
      <c r="X9448" s="220"/>
      <c r="Y9448" s="220">
        <f>X9448*0.1</f>
        <v>0</v>
      </c>
      <c r="Z9448" s="220"/>
      <c r="AA9448" s="220">
        <f>SUM(X9448:Z9448)</f>
        <v>0</v>
      </c>
      <c r="AB9448" s="222"/>
    </row>
    <row r="9449" spans="1:28" ht="17.100000000000001" customHeight="1" thickBot="1">
      <c r="A9449" s="227"/>
      <c r="B9449" s="27" t="s">
        <v>3314</v>
      </c>
      <c r="C9449" s="27">
        <v>5017</v>
      </c>
      <c r="D9449" s="14" t="s">
        <v>273</v>
      </c>
      <c r="E9449" s="229"/>
      <c r="F9449" s="117" t="s">
        <v>26635</v>
      </c>
      <c r="G9449" s="26">
        <v>87286</v>
      </c>
      <c r="H9449" s="231"/>
      <c r="I9449" s="221"/>
      <c r="J9449" s="221"/>
      <c r="K9449" s="221"/>
      <c r="L9449" s="221"/>
      <c r="M9449" s="221"/>
      <c r="N9449" s="221"/>
      <c r="O9449" s="225"/>
      <c r="P9449" s="118"/>
      <c r="Q9449" s="16" t="s">
        <v>20</v>
      </c>
      <c r="R9449" s="17"/>
      <c r="S9449" s="121"/>
      <c r="T9449" s="122"/>
      <c r="U9449" s="22"/>
      <c r="V9449" s="123"/>
      <c r="W9449" s="122"/>
      <c r="X9449" s="221"/>
      <c r="Y9449" s="221"/>
      <c r="Z9449" s="221"/>
      <c r="AA9449" s="221"/>
      <c r="AB9449" s="223"/>
    </row>
    <row r="9450" spans="1:28" ht="17.100000000000001" customHeight="1" thickTop="1">
      <c r="A9450" s="226" t="s">
        <v>26585</v>
      </c>
      <c r="B9450" s="28">
        <v>46168</v>
      </c>
      <c r="C9450" s="25">
        <v>940</v>
      </c>
      <c r="D9450" s="13" t="s">
        <v>2866</v>
      </c>
      <c r="E9450" s="228"/>
      <c r="F9450" s="109" t="s">
        <v>16471</v>
      </c>
      <c r="G9450" s="24"/>
      <c r="H9450" s="230">
        <v>4</v>
      </c>
      <c r="I9450" s="220">
        <v>836000</v>
      </c>
      <c r="J9450" s="220">
        <f>I9450*0.1</f>
        <v>83600</v>
      </c>
      <c r="K9450" s="220">
        <v>0</v>
      </c>
      <c r="L9450" s="220">
        <v>9310</v>
      </c>
      <c r="M9450" s="220">
        <v>15950</v>
      </c>
      <c r="N9450" s="220">
        <f>SUM(I9450:M9451)</f>
        <v>944860</v>
      </c>
      <c r="O9450" s="224"/>
      <c r="P9450" s="110"/>
      <c r="Q9450" s="15" t="s">
        <v>19</v>
      </c>
      <c r="R9450" s="205"/>
      <c r="S9450" s="189"/>
      <c r="T9450" s="114"/>
      <c r="U9450" s="21"/>
      <c r="V9450" s="115"/>
      <c r="W9450" s="116"/>
      <c r="X9450" s="220"/>
      <c r="Y9450" s="220">
        <f>X9450*0.1</f>
        <v>0</v>
      </c>
      <c r="Z9450" s="220"/>
      <c r="AA9450" s="220">
        <f>SUM(X9450:Z9450)</f>
        <v>0</v>
      </c>
      <c r="AB9450" s="222"/>
    </row>
    <row r="9451" spans="1:28" ht="17.100000000000001" customHeight="1" thickBot="1">
      <c r="A9451" s="227"/>
      <c r="B9451" s="27" t="s">
        <v>2654</v>
      </c>
      <c r="C9451" s="27">
        <v>3021</v>
      </c>
      <c r="D9451" s="14" t="s">
        <v>898</v>
      </c>
      <c r="E9451" s="229"/>
      <c r="F9451" s="117" t="s">
        <v>26612</v>
      </c>
      <c r="G9451" s="26">
        <v>49770</v>
      </c>
      <c r="H9451" s="231"/>
      <c r="I9451" s="221"/>
      <c r="J9451" s="221"/>
      <c r="K9451" s="221"/>
      <c r="L9451" s="221"/>
      <c r="M9451" s="221"/>
      <c r="N9451" s="221"/>
      <c r="O9451" s="225"/>
      <c r="P9451" s="118"/>
      <c r="Q9451" s="16" t="s">
        <v>20</v>
      </c>
      <c r="R9451" s="17"/>
      <c r="S9451" s="121"/>
      <c r="T9451" s="122"/>
      <c r="U9451" s="22"/>
      <c r="V9451" s="123"/>
      <c r="W9451" s="122"/>
      <c r="X9451" s="221"/>
      <c r="Y9451" s="221"/>
      <c r="Z9451" s="221"/>
      <c r="AA9451" s="221"/>
      <c r="AB9451" s="223"/>
    </row>
    <row r="9452" spans="1:28" ht="17.100000000000001" customHeight="1" thickTop="1">
      <c r="A9452" s="226" t="s">
        <v>26586</v>
      </c>
      <c r="B9452" s="28">
        <v>46168</v>
      </c>
      <c r="C9452" s="25">
        <v>940</v>
      </c>
      <c r="D9452" s="13" t="s">
        <v>19449</v>
      </c>
      <c r="E9452" s="228"/>
      <c r="F9452" s="109" t="s">
        <v>14900</v>
      </c>
      <c r="G9452" s="24"/>
      <c r="H9452" s="230">
        <v>4.5</v>
      </c>
      <c r="I9452" s="220">
        <v>861000</v>
      </c>
      <c r="J9452" s="220">
        <f>I9452*0.1</f>
        <v>86100</v>
      </c>
      <c r="K9452" s="220">
        <v>0</v>
      </c>
      <c r="L9452" s="220">
        <v>6830</v>
      </c>
      <c r="M9452" s="220">
        <v>15950</v>
      </c>
      <c r="N9452" s="220">
        <f>SUM(I9452:M9453)</f>
        <v>969880</v>
      </c>
      <c r="O9452" s="224"/>
      <c r="P9452" s="110"/>
      <c r="Q9452" s="15" t="s">
        <v>19</v>
      </c>
      <c r="R9452" s="205"/>
      <c r="S9452" s="189"/>
      <c r="T9452" s="114"/>
      <c r="U9452" s="21"/>
      <c r="V9452" s="115"/>
      <c r="W9452" s="116"/>
      <c r="X9452" s="220"/>
      <c r="Y9452" s="220">
        <f>X9452*0.1</f>
        <v>0</v>
      </c>
      <c r="Z9452" s="220"/>
      <c r="AA9452" s="220">
        <f>SUM(X9452:Z9452)</f>
        <v>0</v>
      </c>
      <c r="AB9452" s="222"/>
    </row>
    <row r="9453" spans="1:28" ht="17.100000000000001" customHeight="1" thickBot="1">
      <c r="A9453" s="227"/>
      <c r="B9453" s="27" t="s">
        <v>2654</v>
      </c>
      <c r="C9453" s="27">
        <v>3046</v>
      </c>
      <c r="D9453" s="14" t="s">
        <v>3792</v>
      </c>
      <c r="E9453" s="229"/>
      <c r="F9453" s="117" t="s">
        <v>26613</v>
      </c>
      <c r="G9453" s="26">
        <v>56731</v>
      </c>
      <c r="H9453" s="231"/>
      <c r="I9453" s="221"/>
      <c r="J9453" s="221"/>
      <c r="K9453" s="221"/>
      <c r="L9453" s="221"/>
      <c r="M9453" s="221"/>
      <c r="N9453" s="221"/>
      <c r="O9453" s="225"/>
      <c r="P9453" s="118"/>
      <c r="Q9453" s="16" t="s">
        <v>20</v>
      </c>
      <c r="R9453" s="17"/>
      <c r="S9453" s="121"/>
      <c r="T9453" s="122"/>
      <c r="U9453" s="22"/>
      <c r="V9453" s="123"/>
      <c r="W9453" s="122"/>
      <c r="X9453" s="221"/>
      <c r="Y9453" s="221"/>
      <c r="Z9453" s="221"/>
      <c r="AA9453" s="221"/>
      <c r="AB9453" s="223"/>
    </row>
    <row r="9454" spans="1:28" ht="17.100000000000001" customHeight="1" thickTop="1">
      <c r="A9454" s="226" t="s">
        <v>26587</v>
      </c>
      <c r="B9454" s="28">
        <v>46168</v>
      </c>
      <c r="C9454" s="25">
        <v>940</v>
      </c>
      <c r="D9454" s="13" t="s">
        <v>1961</v>
      </c>
      <c r="E9454" s="228"/>
      <c r="F9454" s="109" t="s">
        <v>5327</v>
      </c>
      <c r="G9454" s="24"/>
      <c r="H9454" s="230">
        <v>3.5</v>
      </c>
      <c r="I9454" s="220">
        <v>450000</v>
      </c>
      <c r="J9454" s="220">
        <f>I9454*0.1</f>
        <v>45000</v>
      </c>
      <c r="K9454" s="220">
        <v>0</v>
      </c>
      <c r="L9454" s="220">
        <v>5990</v>
      </c>
      <c r="M9454" s="220">
        <v>15950</v>
      </c>
      <c r="N9454" s="220">
        <f>SUM(I9454:M9455)</f>
        <v>516940</v>
      </c>
      <c r="O9454" s="224"/>
      <c r="P9454" s="110"/>
      <c r="Q9454" s="15" t="s">
        <v>19</v>
      </c>
      <c r="R9454" s="205"/>
      <c r="S9454" s="189"/>
      <c r="T9454" s="114"/>
      <c r="U9454" s="21"/>
      <c r="V9454" s="115"/>
      <c r="W9454" s="116"/>
      <c r="X9454" s="220"/>
      <c r="Y9454" s="220">
        <f>X9454*0.1</f>
        <v>0</v>
      </c>
      <c r="Z9454" s="220"/>
      <c r="AA9454" s="220">
        <f>SUM(X9454:Z9454)</f>
        <v>0</v>
      </c>
      <c r="AB9454" s="222"/>
    </row>
    <row r="9455" spans="1:28" ht="17.100000000000001" customHeight="1" thickBot="1">
      <c r="A9455" s="227"/>
      <c r="B9455" s="27" t="s">
        <v>2654</v>
      </c>
      <c r="C9455" s="27">
        <v>3089</v>
      </c>
      <c r="D9455" s="14" t="s">
        <v>898</v>
      </c>
      <c r="E9455" s="229"/>
      <c r="F9455" s="117" t="s">
        <v>26614</v>
      </c>
      <c r="G9455" s="26">
        <v>47898</v>
      </c>
      <c r="H9455" s="231"/>
      <c r="I9455" s="221"/>
      <c r="J9455" s="221"/>
      <c r="K9455" s="221"/>
      <c r="L9455" s="221"/>
      <c r="M9455" s="221"/>
      <c r="N9455" s="221"/>
      <c r="O9455" s="225"/>
      <c r="P9455" s="118"/>
      <c r="Q9455" s="16" t="s">
        <v>20</v>
      </c>
      <c r="R9455" s="17"/>
      <c r="S9455" s="121"/>
      <c r="T9455" s="122"/>
      <c r="U9455" s="22"/>
      <c r="V9455" s="123"/>
      <c r="W9455" s="122"/>
      <c r="X9455" s="221"/>
      <c r="Y9455" s="221"/>
      <c r="Z9455" s="221"/>
      <c r="AA9455" s="221"/>
      <c r="AB9455" s="223"/>
    </row>
    <row r="9456" spans="1:28" ht="17.100000000000001" customHeight="1" thickTop="1">
      <c r="A9456" s="226" t="s">
        <v>26588</v>
      </c>
      <c r="B9456" s="28">
        <v>46168</v>
      </c>
      <c r="C9456" s="25">
        <v>940</v>
      </c>
      <c r="D9456" s="13" t="s">
        <v>2113</v>
      </c>
      <c r="E9456" s="228"/>
      <c r="F9456" s="109" t="s">
        <v>7454</v>
      </c>
      <c r="G9456" s="24"/>
      <c r="H9456" s="230">
        <v>4</v>
      </c>
      <c r="I9456" s="220">
        <v>312000</v>
      </c>
      <c r="J9456" s="220">
        <f>I9456*0.1</f>
        <v>31200</v>
      </c>
      <c r="K9456" s="220">
        <v>0</v>
      </c>
      <c r="L9456" s="220">
        <v>9290</v>
      </c>
      <c r="M9456" s="220">
        <v>15950</v>
      </c>
      <c r="N9456" s="220">
        <f>SUM(I9456:M9457)</f>
        <v>368440</v>
      </c>
      <c r="O9456" s="224"/>
      <c r="P9456" s="110"/>
      <c r="Q9456" s="15" t="s">
        <v>19</v>
      </c>
      <c r="R9456" s="205"/>
      <c r="S9456" s="189"/>
      <c r="T9456" s="114"/>
      <c r="U9456" s="21"/>
      <c r="V9456" s="115"/>
      <c r="W9456" s="116"/>
      <c r="X9456" s="220"/>
      <c r="Y9456" s="220">
        <f>X9456*0.1</f>
        <v>0</v>
      </c>
      <c r="Z9456" s="220"/>
      <c r="AA9456" s="220">
        <f>SUM(X9456:Z9456)</f>
        <v>0</v>
      </c>
      <c r="AB9456" s="222"/>
    </row>
    <row r="9457" spans="1:28" ht="17.100000000000001" customHeight="1" thickBot="1">
      <c r="A9457" s="227"/>
      <c r="B9457" s="27" t="s">
        <v>2654</v>
      </c>
      <c r="C9457" s="27">
        <v>4250</v>
      </c>
      <c r="D9457" s="14" t="s">
        <v>19450</v>
      </c>
      <c r="E9457" s="229"/>
      <c r="F9457" s="117" t="s">
        <v>26615</v>
      </c>
      <c r="G9457" s="26">
        <v>46475</v>
      </c>
      <c r="H9457" s="231"/>
      <c r="I9457" s="221"/>
      <c r="J9457" s="221"/>
      <c r="K9457" s="221"/>
      <c r="L9457" s="221"/>
      <c r="M9457" s="221"/>
      <c r="N9457" s="221"/>
      <c r="O9457" s="225"/>
      <c r="P9457" s="118"/>
      <c r="Q9457" s="16" t="s">
        <v>20</v>
      </c>
      <c r="R9457" s="17"/>
      <c r="S9457" s="121"/>
      <c r="T9457" s="122"/>
      <c r="U9457" s="22"/>
      <c r="V9457" s="123"/>
      <c r="W9457" s="122"/>
      <c r="X9457" s="221"/>
      <c r="Y9457" s="221"/>
      <c r="Z9457" s="221"/>
      <c r="AA9457" s="221"/>
      <c r="AB9457" s="223"/>
    </row>
    <row r="9458" spans="1:28" ht="17.100000000000001" customHeight="1" thickTop="1">
      <c r="A9458" s="226" t="s">
        <v>26589</v>
      </c>
      <c r="B9458" s="28">
        <v>46168</v>
      </c>
      <c r="C9458" s="25">
        <v>940</v>
      </c>
      <c r="D9458" s="13" t="s">
        <v>1931</v>
      </c>
      <c r="E9458" s="228"/>
      <c r="F9458" s="109" t="s">
        <v>26616</v>
      </c>
      <c r="G9458" s="24"/>
      <c r="H9458" s="230">
        <v>4.5</v>
      </c>
      <c r="I9458" s="220">
        <v>1744000</v>
      </c>
      <c r="J9458" s="220">
        <f>I9458*0.1</f>
        <v>174400</v>
      </c>
      <c r="K9458" s="220">
        <v>0</v>
      </c>
      <c r="L9458" s="220">
        <v>21330</v>
      </c>
      <c r="M9458" s="220">
        <v>15950</v>
      </c>
      <c r="N9458" s="220">
        <f>SUM(I9458:M9459)</f>
        <v>1955680</v>
      </c>
      <c r="O9458" s="224"/>
      <c r="P9458" s="110"/>
      <c r="Q9458" s="15" t="s">
        <v>19</v>
      </c>
      <c r="R9458" s="205"/>
      <c r="S9458" s="189"/>
      <c r="T9458" s="114"/>
      <c r="U9458" s="21"/>
      <c r="V9458" s="115"/>
      <c r="W9458" s="116"/>
      <c r="X9458" s="220"/>
      <c r="Y9458" s="220">
        <f>X9458*0.1</f>
        <v>0</v>
      </c>
      <c r="Z9458" s="220"/>
      <c r="AA9458" s="220">
        <f>SUM(X9458:Z9458)</f>
        <v>0</v>
      </c>
      <c r="AB9458" s="222"/>
    </row>
    <row r="9459" spans="1:28" ht="17.100000000000001" customHeight="1" thickBot="1">
      <c r="A9459" s="227"/>
      <c r="B9459" s="27" t="s">
        <v>2654</v>
      </c>
      <c r="C9459" s="27">
        <v>5022</v>
      </c>
      <c r="D9459" s="14" t="s">
        <v>2559</v>
      </c>
      <c r="E9459" s="229"/>
      <c r="F9459" s="117" t="s">
        <v>26636</v>
      </c>
      <c r="G9459" s="26">
        <v>36271</v>
      </c>
      <c r="H9459" s="231"/>
      <c r="I9459" s="221"/>
      <c r="J9459" s="221"/>
      <c r="K9459" s="221"/>
      <c r="L9459" s="221"/>
      <c r="M9459" s="221"/>
      <c r="N9459" s="221"/>
      <c r="O9459" s="225"/>
      <c r="P9459" s="118"/>
      <c r="Q9459" s="16" t="s">
        <v>20</v>
      </c>
      <c r="R9459" s="17"/>
      <c r="S9459" s="121"/>
      <c r="T9459" s="122"/>
      <c r="U9459" s="22"/>
      <c r="V9459" s="123"/>
      <c r="W9459" s="122"/>
      <c r="X9459" s="221"/>
      <c r="Y9459" s="221"/>
      <c r="Z9459" s="221"/>
      <c r="AA9459" s="221"/>
      <c r="AB9459" s="223"/>
    </row>
    <row r="9460" spans="1:28" ht="17.100000000000001" customHeight="1" thickTop="1">
      <c r="A9460" s="226" t="s">
        <v>26590</v>
      </c>
      <c r="B9460" s="28">
        <v>46168</v>
      </c>
      <c r="C9460" s="25">
        <v>1241</v>
      </c>
      <c r="D9460" s="13" t="s">
        <v>2920</v>
      </c>
      <c r="E9460" s="228"/>
      <c r="F9460" s="109" t="s">
        <v>26617</v>
      </c>
      <c r="G9460" s="24"/>
      <c r="H9460" s="230">
        <v>4.5</v>
      </c>
      <c r="I9460" s="220">
        <v>1702000</v>
      </c>
      <c r="J9460" s="220">
        <f>I9460*0.1</f>
        <v>170200</v>
      </c>
      <c r="K9460" s="220">
        <v>0</v>
      </c>
      <c r="L9460" s="220">
        <v>17680</v>
      </c>
      <c r="M9460" s="220">
        <v>15950</v>
      </c>
      <c r="N9460" s="220">
        <f>SUM(I9460:M9461)</f>
        <v>1905830</v>
      </c>
      <c r="O9460" s="224"/>
      <c r="P9460" s="110"/>
      <c r="Q9460" s="15" t="s">
        <v>19</v>
      </c>
      <c r="R9460" s="205"/>
      <c r="S9460" s="189" t="s">
        <v>26638</v>
      </c>
      <c r="T9460" s="114"/>
      <c r="U9460" s="21"/>
      <c r="V9460" s="115"/>
      <c r="W9460" s="116"/>
      <c r="X9460" s="220"/>
      <c r="Y9460" s="220">
        <f>X9460*0.1</f>
        <v>0</v>
      </c>
      <c r="Z9460" s="220"/>
      <c r="AA9460" s="220">
        <f>SUM(X9460:Z9460)</f>
        <v>0</v>
      </c>
      <c r="AB9460" s="222"/>
    </row>
    <row r="9461" spans="1:28" ht="17.100000000000001" customHeight="1" thickBot="1">
      <c r="A9461" s="227"/>
      <c r="B9461" s="27" t="s">
        <v>2344</v>
      </c>
      <c r="C9461" s="27">
        <v>5027</v>
      </c>
      <c r="D9461" s="14" t="s">
        <v>1584</v>
      </c>
      <c r="E9461" s="229"/>
      <c r="F9461" s="117" t="s">
        <v>26637</v>
      </c>
      <c r="G9461" s="26">
        <v>47998</v>
      </c>
      <c r="H9461" s="231"/>
      <c r="I9461" s="221"/>
      <c r="J9461" s="221"/>
      <c r="K9461" s="221"/>
      <c r="L9461" s="221"/>
      <c r="M9461" s="221"/>
      <c r="N9461" s="221"/>
      <c r="O9461" s="225"/>
      <c r="P9461" s="118"/>
      <c r="Q9461" s="16" t="s">
        <v>20</v>
      </c>
      <c r="R9461" s="17"/>
      <c r="S9461" s="121"/>
      <c r="T9461" s="122"/>
      <c r="U9461" s="22"/>
      <c r="V9461" s="123"/>
      <c r="W9461" s="122"/>
      <c r="X9461" s="221"/>
      <c r="Y9461" s="221"/>
      <c r="Z9461" s="221"/>
      <c r="AA9461" s="221"/>
      <c r="AB9461" s="223"/>
    </row>
    <row r="9462" spans="1:28" ht="17.100000000000001" customHeight="1" thickTop="1">
      <c r="A9462" s="226" t="s">
        <v>26591</v>
      </c>
      <c r="B9462" s="28">
        <v>46168</v>
      </c>
      <c r="C9462" s="25">
        <v>1241</v>
      </c>
      <c r="D9462" s="13" t="s">
        <v>2429</v>
      </c>
      <c r="E9462" s="228"/>
      <c r="F9462" s="109" t="s">
        <v>26618</v>
      </c>
      <c r="G9462" s="24"/>
      <c r="H9462" s="230">
        <v>4</v>
      </c>
      <c r="I9462" s="220">
        <v>677000</v>
      </c>
      <c r="J9462" s="220">
        <f>I9462*0.1</f>
        <v>67700</v>
      </c>
      <c r="K9462" s="220">
        <v>0</v>
      </c>
      <c r="L9462" s="220">
        <v>12450</v>
      </c>
      <c r="M9462" s="220">
        <v>15950</v>
      </c>
      <c r="N9462" s="220">
        <f>SUM(I9462:M9463)</f>
        <v>773100</v>
      </c>
      <c r="O9462" s="224"/>
      <c r="P9462" s="110"/>
      <c r="Q9462" s="15" t="s">
        <v>19</v>
      </c>
      <c r="R9462" s="205"/>
      <c r="S9462" s="189"/>
      <c r="T9462" s="114"/>
      <c r="U9462" s="21"/>
      <c r="V9462" s="115"/>
      <c r="W9462" s="116"/>
      <c r="X9462" s="220"/>
      <c r="Y9462" s="220">
        <f>X9462*0.1</f>
        <v>0</v>
      </c>
      <c r="Z9462" s="220"/>
      <c r="AA9462" s="220">
        <f>SUM(X9462:Z9462)</f>
        <v>0</v>
      </c>
      <c r="AB9462" s="222"/>
    </row>
    <row r="9463" spans="1:28" ht="17.100000000000001" customHeight="1" thickBot="1">
      <c r="A9463" s="227"/>
      <c r="B9463" s="27" t="s">
        <v>2344</v>
      </c>
      <c r="C9463" s="27">
        <v>5050</v>
      </c>
      <c r="D9463" s="14" t="s">
        <v>1584</v>
      </c>
      <c r="E9463" s="229"/>
      <c r="F9463" s="117" t="s">
        <v>26639</v>
      </c>
      <c r="G9463" s="26">
        <v>79718</v>
      </c>
      <c r="H9463" s="231"/>
      <c r="I9463" s="221"/>
      <c r="J9463" s="221"/>
      <c r="K9463" s="221"/>
      <c r="L9463" s="221"/>
      <c r="M9463" s="221"/>
      <c r="N9463" s="221"/>
      <c r="O9463" s="225"/>
      <c r="P9463" s="118"/>
      <c r="Q9463" s="16" t="s">
        <v>20</v>
      </c>
      <c r="R9463" s="17"/>
      <c r="S9463" s="121"/>
      <c r="T9463" s="122"/>
      <c r="U9463" s="22"/>
      <c r="V9463" s="123"/>
      <c r="W9463" s="122"/>
      <c r="X9463" s="221"/>
      <c r="Y9463" s="221"/>
      <c r="Z9463" s="221"/>
      <c r="AA9463" s="221"/>
      <c r="AB9463" s="223"/>
    </row>
    <row r="9464" spans="1:28" ht="17.100000000000001" customHeight="1" thickTop="1">
      <c r="A9464" s="226" t="s">
        <v>26592</v>
      </c>
      <c r="B9464" s="28">
        <v>46168</v>
      </c>
      <c r="C9464" s="25">
        <v>1094</v>
      </c>
      <c r="D9464" s="13" t="s">
        <v>3327</v>
      </c>
      <c r="E9464" s="228"/>
      <c r="F9464" s="109" t="s">
        <v>26619</v>
      </c>
      <c r="G9464" s="24" t="s">
        <v>2124</v>
      </c>
      <c r="H9464" s="230">
        <v>3.5</v>
      </c>
      <c r="I9464" s="220">
        <v>1180000</v>
      </c>
      <c r="J9464" s="220">
        <f>I9464*0.1</f>
        <v>118000</v>
      </c>
      <c r="K9464" s="220">
        <v>36190</v>
      </c>
      <c r="L9464" s="220">
        <v>19440</v>
      </c>
      <c r="M9464" s="220">
        <v>16500</v>
      </c>
      <c r="N9464" s="220">
        <f>SUM(I9464:M9465)</f>
        <v>1370130</v>
      </c>
      <c r="O9464" s="224"/>
      <c r="P9464" s="110" t="s">
        <v>26629</v>
      </c>
      <c r="Q9464" s="15" t="s">
        <v>19</v>
      </c>
      <c r="R9464" s="205"/>
      <c r="S9464" s="189" t="s">
        <v>1661</v>
      </c>
      <c r="T9464" s="114"/>
      <c r="U9464" s="21"/>
      <c r="V9464" s="115"/>
      <c r="W9464" s="116"/>
      <c r="X9464" s="220"/>
      <c r="Y9464" s="220">
        <f>X9464*0.1</f>
        <v>0</v>
      </c>
      <c r="Z9464" s="220"/>
      <c r="AA9464" s="220">
        <f>SUM(X9464:Z9464)</f>
        <v>0</v>
      </c>
      <c r="AB9464" s="222"/>
    </row>
    <row r="9465" spans="1:28" ht="17.100000000000001" customHeight="1" thickBot="1">
      <c r="A9465" s="227"/>
      <c r="B9465" s="27" t="s">
        <v>1583</v>
      </c>
      <c r="C9465" s="27">
        <v>84314</v>
      </c>
      <c r="D9465" s="14" t="s">
        <v>273</v>
      </c>
      <c r="E9465" s="229"/>
      <c r="F9465" s="117" t="s">
        <v>26628</v>
      </c>
      <c r="G9465" s="26">
        <v>57739</v>
      </c>
      <c r="H9465" s="231"/>
      <c r="I9465" s="221"/>
      <c r="J9465" s="221"/>
      <c r="K9465" s="221"/>
      <c r="L9465" s="221"/>
      <c r="M9465" s="221"/>
      <c r="N9465" s="221"/>
      <c r="O9465" s="225"/>
      <c r="P9465" s="118"/>
      <c r="Q9465" s="16" t="s">
        <v>20</v>
      </c>
      <c r="R9465" s="17"/>
      <c r="S9465" s="121"/>
      <c r="T9465" s="122"/>
      <c r="U9465" s="22"/>
      <c r="V9465" s="123"/>
      <c r="W9465" s="122"/>
      <c r="X9465" s="221"/>
      <c r="Y9465" s="221"/>
      <c r="Z9465" s="221"/>
      <c r="AA9465" s="221"/>
      <c r="AB9465" s="223"/>
    </row>
    <row r="9466" spans="1:28" ht="17.100000000000001" customHeight="1" thickTop="1">
      <c r="A9466" s="226" t="s">
        <v>26593</v>
      </c>
      <c r="B9466" s="28">
        <v>46168</v>
      </c>
      <c r="C9466" s="25">
        <v>991</v>
      </c>
      <c r="D9466" s="13" t="s">
        <v>1961</v>
      </c>
      <c r="E9466" s="228"/>
      <c r="F9466" s="109" t="s">
        <v>15607</v>
      </c>
      <c r="G9466" s="24"/>
      <c r="H9466" s="230">
        <v>4</v>
      </c>
      <c r="I9466" s="220">
        <v>403000</v>
      </c>
      <c r="J9466" s="220">
        <f>I9466*0.1</f>
        <v>40300</v>
      </c>
      <c r="K9466" s="220">
        <v>0</v>
      </c>
      <c r="L9466" s="220">
        <v>7140</v>
      </c>
      <c r="M9466" s="220">
        <v>22000</v>
      </c>
      <c r="N9466" s="220">
        <f>SUM(I9466:M9467)</f>
        <v>472440</v>
      </c>
      <c r="O9466" s="224"/>
      <c r="P9466" s="110"/>
      <c r="Q9466" s="15" t="s">
        <v>19</v>
      </c>
      <c r="R9466" s="205"/>
      <c r="S9466" s="189" t="s">
        <v>2028</v>
      </c>
      <c r="T9466" s="114"/>
      <c r="U9466" s="21"/>
      <c r="V9466" s="115"/>
      <c r="W9466" s="116"/>
      <c r="X9466" s="220"/>
      <c r="Y9466" s="220">
        <f>X9466*0.1</f>
        <v>0</v>
      </c>
      <c r="Z9466" s="220"/>
      <c r="AA9466" s="220">
        <f>SUM(X9466:Z9466)</f>
        <v>0</v>
      </c>
      <c r="AB9466" s="222"/>
    </row>
    <row r="9467" spans="1:28" ht="17.100000000000001" customHeight="1" thickBot="1">
      <c r="A9467" s="227"/>
      <c r="B9467" s="27" t="s">
        <v>17765</v>
      </c>
      <c r="C9467" s="27">
        <v>11</v>
      </c>
      <c r="D9467" s="14" t="s">
        <v>1584</v>
      </c>
      <c r="E9467" s="229"/>
      <c r="F9467" s="117" t="s">
        <v>26620</v>
      </c>
      <c r="G9467" s="26">
        <v>30982</v>
      </c>
      <c r="H9467" s="231"/>
      <c r="I9467" s="221"/>
      <c r="J9467" s="221"/>
      <c r="K9467" s="221"/>
      <c r="L9467" s="221"/>
      <c r="M9467" s="221"/>
      <c r="N9467" s="221"/>
      <c r="O9467" s="225"/>
      <c r="P9467" s="118"/>
      <c r="Q9467" s="16" t="s">
        <v>20</v>
      </c>
      <c r="R9467" s="17"/>
      <c r="S9467" s="121"/>
      <c r="T9467" s="122"/>
      <c r="U9467" s="22"/>
      <c r="V9467" s="123"/>
      <c r="W9467" s="122"/>
      <c r="X9467" s="221"/>
      <c r="Y9467" s="221"/>
      <c r="Z9467" s="221"/>
      <c r="AA9467" s="221"/>
      <c r="AB9467" s="223"/>
    </row>
    <row r="9468" spans="1:28" ht="17.100000000000001" customHeight="1" thickTop="1">
      <c r="A9468" s="226" t="s">
        <v>26625</v>
      </c>
      <c r="B9468" s="28">
        <v>46168</v>
      </c>
      <c r="C9468" s="25">
        <v>991</v>
      </c>
      <c r="D9468" s="13" t="s">
        <v>1740</v>
      </c>
      <c r="E9468" s="228"/>
      <c r="F9468" s="109" t="s">
        <v>7450</v>
      </c>
      <c r="G9468" s="24"/>
      <c r="H9468" s="230">
        <v>4</v>
      </c>
      <c r="I9468" s="220">
        <v>223000</v>
      </c>
      <c r="J9468" s="220">
        <f>I9468*0.1</f>
        <v>22300</v>
      </c>
      <c r="K9468" s="220">
        <v>0</v>
      </c>
      <c r="L9468" s="220">
        <v>8930</v>
      </c>
      <c r="M9468" s="220">
        <v>22000</v>
      </c>
      <c r="N9468" s="220">
        <f>SUM(I9468:M9469)</f>
        <v>276230</v>
      </c>
      <c r="O9468" s="224"/>
      <c r="P9468" s="110"/>
      <c r="Q9468" s="15" t="s">
        <v>19</v>
      </c>
      <c r="R9468" s="205"/>
      <c r="S9468" s="189" t="s">
        <v>2028</v>
      </c>
      <c r="T9468" s="114"/>
      <c r="U9468" s="21"/>
      <c r="V9468" s="115"/>
      <c r="W9468" s="116"/>
      <c r="X9468" s="220"/>
      <c r="Y9468" s="220">
        <f>X9468*0.1</f>
        <v>0</v>
      </c>
      <c r="Z9468" s="220"/>
      <c r="AA9468" s="220">
        <f>SUM(X9468:Z9468)</f>
        <v>0</v>
      </c>
      <c r="AB9468" s="222"/>
    </row>
    <row r="9469" spans="1:28" ht="17.100000000000001" customHeight="1" thickBot="1">
      <c r="A9469" s="227"/>
      <c r="B9469" s="27" t="s">
        <v>17765</v>
      </c>
      <c r="C9469" s="27">
        <v>199</v>
      </c>
      <c r="D9469" s="14" t="s">
        <v>1710</v>
      </c>
      <c r="E9469" s="229"/>
      <c r="F9469" s="117" t="s">
        <v>26621</v>
      </c>
      <c r="G9469" s="26">
        <v>21748</v>
      </c>
      <c r="H9469" s="231"/>
      <c r="I9469" s="221"/>
      <c r="J9469" s="221"/>
      <c r="K9469" s="221"/>
      <c r="L9469" s="221"/>
      <c r="M9469" s="221"/>
      <c r="N9469" s="221"/>
      <c r="O9469" s="225"/>
      <c r="P9469" s="118"/>
      <c r="Q9469" s="16" t="s">
        <v>20</v>
      </c>
      <c r="R9469" s="17"/>
      <c r="S9469" s="121"/>
      <c r="T9469" s="122"/>
      <c r="U9469" s="22"/>
      <c r="V9469" s="123"/>
      <c r="W9469" s="122"/>
      <c r="X9469" s="221"/>
      <c r="Y9469" s="221"/>
      <c r="Z9469" s="221"/>
      <c r="AA9469" s="221"/>
      <c r="AB9469" s="223"/>
    </row>
    <row r="9470" spans="1:28" ht="17.100000000000001" customHeight="1" thickTop="1">
      <c r="A9470" s="226" t="s">
        <v>26626</v>
      </c>
      <c r="B9470" s="28">
        <v>46168</v>
      </c>
      <c r="C9470" s="25">
        <v>991</v>
      </c>
      <c r="D9470" s="13" t="s">
        <v>1642</v>
      </c>
      <c r="E9470" s="228"/>
      <c r="F9470" s="109" t="s">
        <v>26622</v>
      </c>
      <c r="G9470" s="24"/>
      <c r="H9470" s="230">
        <v>4</v>
      </c>
      <c r="I9470" s="220">
        <v>1193000</v>
      </c>
      <c r="J9470" s="220">
        <f>I9470*0.1</f>
        <v>119300</v>
      </c>
      <c r="K9470" s="220">
        <v>0</v>
      </c>
      <c r="L9470" s="220">
        <v>8990</v>
      </c>
      <c r="M9470" s="220">
        <v>22000</v>
      </c>
      <c r="N9470" s="220">
        <f>SUM(I9470:M9471)</f>
        <v>1343290</v>
      </c>
      <c r="O9470" s="224"/>
      <c r="P9470" s="110"/>
      <c r="Q9470" s="15" t="s">
        <v>19</v>
      </c>
      <c r="R9470" s="205"/>
      <c r="S9470" s="189" t="s">
        <v>2028</v>
      </c>
      <c r="T9470" s="114"/>
      <c r="U9470" s="21"/>
      <c r="V9470" s="115"/>
      <c r="W9470" s="116"/>
      <c r="X9470" s="220"/>
      <c r="Y9470" s="220">
        <f>X9470*0.1</f>
        <v>0</v>
      </c>
      <c r="Z9470" s="220"/>
      <c r="AA9470" s="220">
        <f>SUM(X9470:Z9470)</f>
        <v>0</v>
      </c>
      <c r="AB9470" s="222"/>
    </row>
    <row r="9471" spans="1:28" ht="17.100000000000001" customHeight="1" thickBot="1">
      <c r="A9471" s="227"/>
      <c r="B9471" s="27" t="s">
        <v>17765</v>
      </c>
      <c r="C9471" s="27">
        <v>371</v>
      </c>
      <c r="D9471" s="14" t="s">
        <v>1584</v>
      </c>
      <c r="E9471" s="229"/>
      <c r="F9471" s="117" t="s">
        <v>26623</v>
      </c>
      <c r="G9471" s="26">
        <v>48543</v>
      </c>
      <c r="H9471" s="231"/>
      <c r="I9471" s="221"/>
      <c r="J9471" s="221"/>
      <c r="K9471" s="221"/>
      <c r="L9471" s="221"/>
      <c r="M9471" s="221"/>
      <c r="N9471" s="221"/>
      <c r="O9471" s="225"/>
      <c r="P9471" s="118"/>
      <c r="Q9471" s="16" t="s">
        <v>20</v>
      </c>
      <c r="R9471" s="17"/>
      <c r="S9471" s="121"/>
      <c r="T9471" s="122"/>
      <c r="U9471" s="22"/>
      <c r="V9471" s="123"/>
      <c r="W9471" s="122"/>
      <c r="X9471" s="221"/>
      <c r="Y9471" s="221"/>
      <c r="Z9471" s="221"/>
      <c r="AA9471" s="221"/>
      <c r="AB9471" s="223"/>
    </row>
    <row r="9472" spans="1:28" ht="17.100000000000001" customHeight="1" thickTop="1">
      <c r="A9472" s="226" t="s">
        <v>26627</v>
      </c>
      <c r="B9472" s="28">
        <v>46168</v>
      </c>
      <c r="C9472" s="25">
        <v>991</v>
      </c>
      <c r="D9472" s="13" t="s">
        <v>3739</v>
      </c>
      <c r="E9472" s="228"/>
      <c r="F9472" s="109" t="s">
        <v>18257</v>
      </c>
      <c r="G9472" s="24"/>
      <c r="H9472" s="230">
        <v>4.5</v>
      </c>
      <c r="I9472" s="220">
        <v>713000</v>
      </c>
      <c r="J9472" s="220">
        <f>I9472*0.1</f>
        <v>71300</v>
      </c>
      <c r="K9472" s="220">
        <v>0</v>
      </c>
      <c r="L9472" s="220">
        <v>8110</v>
      </c>
      <c r="M9472" s="220">
        <v>22000</v>
      </c>
      <c r="N9472" s="220">
        <f>SUM(I9472:M9473)</f>
        <v>814410</v>
      </c>
      <c r="O9472" s="224"/>
      <c r="P9472" s="110"/>
      <c r="Q9472" s="15" t="s">
        <v>19</v>
      </c>
      <c r="R9472" s="205"/>
      <c r="S9472" s="189" t="s">
        <v>26630</v>
      </c>
      <c r="T9472" s="114"/>
      <c r="U9472" s="21"/>
      <c r="V9472" s="115"/>
      <c r="W9472" s="116"/>
      <c r="X9472" s="220"/>
      <c r="Y9472" s="220">
        <f>X9472*0.1</f>
        <v>0</v>
      </c>
      <c r="Z9472" s="220"/>
      <c r="AA9472" s="220">
        <f>SUM(X9472:Z9472)</f>
        <v>0</v>
      </c>
      <c r="AB9472" s="222"/>
    </row>
    <row r="9473" spans="1:28" ht="17.100000000000001" customHeight="1" thickBot="1">
      <c r="A9473" s="227"/>
      <c r="B9473" s="27" t="s">
        <v>17765</v>
      </c>
      <c r="C9473" s="27">
        <v>1019</v>
      </c>
      <c r="D9473" s="14" t="s">
        <v>1710</v>
      </c>
      <c r="E9473" s="229"/>
      <c r="F9473" s="117" t="s">
        <v>26624</v>
      </c>
      <c r="G9473" s="26">
        <v>54004</v>
      </c>
      <c r="H9473" s="231"/>
      <c r="I9473" s="221"/>
      <c r="J9473" s="221"/>
      <c r="K9473" s="221"/>
      <c r="L9473" s="221"/>
      <c r="M9473" s="221"/>
      <c r="N9473" s="221"/>
      <c r="O9473" s="225"/>
      <c r="P9473" s="118"/>
      <c r="Q9473" s="16" t="s">
        <v>20</v>
      </c>
      <c r="R9473" s="17"/>
      <c r="S9473" s="121"/>
      <c r="T9473" s="122"/>
      <c r="U9473" s="22"/>
      <c r="V9473" s="123"/>
      <c r="W9473" s="122"/>
      <c r="X9473" s="221"/>
      <c r="Y9473" s="221"/>
      <c r="Z9473" s="221"/>
      <c r="AA9473" s="221"/>
      <c r="AB9473" s="223"/>
    </row>
    <row r="9474" spans="1:28" ht="17.100000000000001" customHeight="1" thickTop="1">
      <c r="A9474" s="226" t="s">
        <v>26640</v>
      </c>
      <c r="B9474" s="28">
        <v>46168</v>
      </c>
      <c r="C9474" s="25">
        <v>935</v>
      </c>
      <c r="D9474" s="13" t="s">
        <v>2913</v>
      </c>
      <c r="E9474" s="228"/>
      <c r="F9474" s="109" t="s">
        <v>1141</v>
      </c>
      <c r="G9474" s="24" t="s">
        <v>1540</v>
      </c>
      <c r="H9474" s="230">
        <v>4.5</v>
      </c>
      <c r="I9474" s="220">
        <v>1721000</v>
      </c>
      <c r="J9474" s="220">
        <f>I9474*0.1</f>
        <v>172100</v>
      </c>
      <c r="K9474" s="220">
        <v>0</v>
      </c>
      <c r="L9474" s="220">
        <v>17600</v>
      </c>
      <c r="M9474" s="220"/>
      <c r="N9474" s="220">
        <f>SUM(I9474:M9475)</f>
        <v>1910700</v>
      </c>
      <c r="O9474" s="224"/>
      <c r="P9474" s="110" t="s">
        <v>26643</v>
      </c>
      <c r="Q9474" s="15" t="s">
        <v>19</v>
      </c>
      <c r="R9474" s="205"/>
      <c r="S9474" s="189"/>
      <c r="T9474" s="114"/>
      <c r="U9474" s="21"/>
      <c r="V9474" s="115"/>
      <c r="W9474" s="116"/>
      <c r="X9474" s="220"/>
      <c r="Y9474" s="220">
        <f>X9474*0.1</f>
        <v>0</v>
      </c>
      <c r="Z9474" s="220"/>
      <c r="AA9474" s="220">
        <f>SUM(X9474:Z9474)</f>
        <v>0</v>
      </c>
      <c r="AB9474" s="222"/>
    </row>
    <row r="9475" spans="1:28" ht="17.100000000000001" customHeight="1" thickBot="1">
      <c r="A9475" s="227"/>
      <c r="B9475" s="27" t="s">
        <v>26641</v>
      </c>
      <c r="C9475" s="27">
        <v>3044</v>
      </c>
      <c r="D9475" s="14" t="s">
        <v>273</v>
      </c>
      <c r="E9475" s="229"/>
      <c r="F9475" s="117" t="s">
        <v>26642</v>
      </c>
      <c r="G9475" s="26">
        <v>57871</v>
      </c>
      <c r="H9475" s="231"/>
      <c r="I9475" s="221"/>
      <c r="J9475" s="221"/>
      <c r="K9475" s="221"/>
      <c r="L9475" s="221"/>
      <c r="M9475" s="221"/>
      <c r="N9475" s="221"/>
      <c r="O9475" s="225"/>
      <c r="P9475" s="118"/>
      <c r="Q9475" s="16" t="s">
        <v>20</v>
      </c>
      <c r="R9475" s="17"/>
      <c r="S9475" s="121"/>
      <c r="T9475" s="122"/>
      <c r="U9475" s="22"/>
      <c r="V9475" s="123"/>
      <c r="W9475" s="122"/>
      <c r="X9475" s="221"/>
      <c r="Y9475" s="221"/>
      <c r="Z9475" s="221"/>
      <c r="AA9475" s="221"/>
      <c r="AB9475" s="223"/>
    </row>
    <row r="9476" spans="1:28" ht="17.100000000000001" customHeight="1" thickTop="1">
      <c r="A9476" s="226"/>
      <c r="B9476" s="28"/>
      <c r="C9476" s="25"/>
      <c r="D9476" s="13"/>
      <c r="E9476" s="228"/>
      <c r="F9476" s="109"/>
      <c r="G9476" s="24"/>
      <c r="H9476" s="230"/>
      <c r="I9476" s="220"/>
      <c r="J9476" s="220">
        <f>I9476*0.1</f>
        <v>0</v>
      </c>
      <c r="K9476" s="220">
        <v>0</v>
      </c>
      <c r="L9476" s="220"/>
      <c r="M9476" s="220"/>
      <c r="N9476" s="220">
        <f>SUM(I9476:M9477)</f>
        <v>0</v>
      </c>
      <c r="O9476" s="224"/>
      <c r="P9476" s="110"/>
      <c r="Q9476" s="15" t="s">
        <v>19</v>
      </c>
      <c r="R9476" s="205"/>
      <c r="S9476" s="189"/>
      <c r="T9476" s="114"/>
      <c r="U9476" s="21"/>
      <c r="V9476" s="115"/>
      <c r="W9476" s="116"/>
      <c r="X9476" s="220"/>
      <c r="Y9476" s="220">
        <f>X9476*0.1</f>
        <v>0</v>
      </c>
      <c r="Z9476" s="220"/>
      <c r="AA9476" s="220">
        <f>SUM(X9476:Z9476)</f>
        <v>0</v>
      </c>
      <c r="AB9476" s="222"/>
    </row>
    <row r="9477" spans="1:28" ht="17.100000000000001" customHeight="1" thickBot="1">
      <c r="A9477" s="227"/>
      <c r="B9477" s="27"/>
      <c r="C9477" s="27"/>
      <c r="D9477" s="14"/>
      <c r="E9477" s="229"/>
      <c r="F9477" s="117"/>
      <c r="G9477" s="26"/>
      <c r="H9477" s="231"/>
      <c r="I9477" s="221"/>
      <c r="J9477" s="221"/>
      <c r="K9477" s="221"/>
      <c r="L9477" s="221"/>
      <c r="M9477" s="221"/>
      <c r="N9477" s="221"/>
      <c r="O9477" s="225"/>
      <c r="P9477" s="118"/>
      <c r="Q9477" s="16" t="s">
        <v>20</v>
      </c>
      <c r="R9477" s="17"/>
      <c r="S9477" s="121"/>
      <c r="T9477" s="122"/>
      <c r="U9477" s="22"/>
      <c r="V9477" s="123"/>
      <c r="W9477" s="122"/>
      <c r="X9477" s="221"/>
      <c r="Y9477" s="221"/>
      <c r="Z9477" s="221"/>
      <c r="AA9477" s="221"/>
      <c r="AB9477" s="223"/>
    </row>
    <row r="9478" spans="1:28" ht="17.100000000000001" customHeight="1" thickTop="1">
      <c r="A9478" s="226"/>
      <c r="B9478" s="28"/>
      <c r="C9478" s="25"/>
      <c r="D9478" s="13"/>
      <c r="E9478" s="228"/>
      <c r="F9478" s="109"/>
      <c r="G9478" s="24"/>
      <c r="H9478" s="230"/>
      <c r="I9478" s="220"/>
      <c r="J9478" s="220">
        <f>I9478*0.1</f>
        <v>0</v>
      </c>
      <c r="K9478" s="220">
        <v>0</v>
      </c>
      <c r="L9478" s="220"/>
      <c r="M9478" s="220"/>
      <c r="N9478" s="220">
        <f>SUM(I9478:M9479)</f>
        <v>0</v>
      </c>
      <c r="O9478" s="224"/>
      <c r="P9478" s="110"/>
      <c r="Q9478" s="15" t="s">
        <v>19</v>
      </c>
      <c r="R9478" s="205"/>
      <c r="S9478" s="189"/>
      <c r="T9478" s="114"/>
      <c r="U9478" s="21"/>
      <c r="V9478" s="115"/>
      <c r="W9478" s="116"/>
      <c r="X9478" s="220"/>
      <c r="Y9478" s="220">
        <f>X9478*0.1</f>
        <v>0</v>
      </c>
      <c r="Z9478" s="220"/>
      <c r="AA9478" s="220">
        <f>SUM(X9478:Z9478)</f>
        <v>0</v>
      </c>
      <c r="AB9478" s="222"/>
    </row>
    <row r="9479" spans="1:28" ht="17.100000000000001" customHeight="1" thickBot="1">
      <c r="A9479" s="227"/>
      <c r="B9479" s="27"/>
      <c r="C9479" s="27"/>
      <c r="D9479" s="14"/>
      <c r="E9479" s="229"/>
      <c r="F9479" s="117"/>
      <c r="G9479" s="26"/>
      <c r="H9479" s="231"/>
      <c r="I9479" s="221"/>
      <c r="J9479" s="221"/>
      <c r="K9479" s="221"/>
      <c r="L9479" s="221"/>
      <c r="M9479" s="221"/>
      <c r="N9479" s="221"/>
      <c r="O9479" s="225"/>
      <c r="P9479" s="118"/>
      <c r="Q9479" s="16" t="s">
        <v>20</v>
      </c>
      <c r="R9479" s="17"/>
      <c r="S9479" s="121"/>
      <c r="T9479" s="122"/>
      <c r="U9479" s="22"/>
      <c r="V9479" s="123"/>
      <c r="W9479" s="122"/>
      <c r="X9479" s="221"/>
      <c r="Y9479" s="221"/>
      <c r="Z9479" s="221"/>
      <c r="AA9479" s="221"/>
      <c r="AB9479" s="223"/>
    </row>
    <row r="9480" spans="1:28" ht="17.100000000000001" customHeight="1" thickTop="1">
      <c r="A9480" s="226"/>
      <c r="B9480" s="28"/>
      <c r="C9480" s="25"/>
      <c r="D9480" s="13"/>
      <c r="E9480" s="228"/>
      <c r="F9480" s="109"/>
      <c r="G9480" s="24"/>
      <c r="H9480" s="230"/>
      <c r="I9480" s="220"/>
      <c r="J9480" s="220">
        <f>I9480*0.1</f>
        <v>0</v>
      </c>
      <c r="K9480" s="220">
        <v>0</v>
      </c>
      <c r="L9480" s="220"/>
      <c r="M9480" s="220"/>
      <c r="N9480" s="220">
        <f>SUM(I9480:M9481)</f>
        <v>0</v>
      </c>
      <c r="O9480" s="224"/>
      <c r="P9480" s="110"/>
      <c r="Q9480" s="15" t="s">
        <v>19</v>
      </c>
      <c r="R9480" s="205"/>
      <c r="S9480" s="189"/>
      <c r="T9480" s="114"/>
      <c r="U9480" s="21"/>
      <c r="V9480" s="115"/>
      <c r="W9480" s="116"/>
      <c r="X9480" s="220"/>
      <c r="Y9480" s="220">
        <f>X9480*0.1</f>
        <v>0</v>
      </c>
      <c r="Z9480" s="220"/>
      <c r="AA9480" s="220">
        <f>SUM(X9480:Z9480)</f>
        <v>0</v>
      </c>
      <c r="AB9480" s="222"/>
    </row>
    <row r="9481" spans="1:28" ht="17.100000000000001" customHeight="1" thickBot="1">
      <c r="A9481" s="227"/>
      <c r="B9481" s="27"/>
      <c r="C9481" s="27"/>
      <c r="D9481" s="14"/>
      <c r="E9481" s="229"/>
      <c r="F9481" s="117"/>
      <c r="G9481" s="26"/>
      <c r="H9481" s="231"/>
      <c r="I9481" s="221"/>
      <c r="J9481" s="221"/>
      <c r="K9481" s="221"/>
      <c r="L9481" s="221"/>
      <c r="M9481" s="221"/>
      <c r="N9481" s="221"/>
      <c r="O9481" s="225"/>
      <c r="P9481" s="118"/>
      <c r="Q9481" s="16" t="s">
        <v>20</v>
      </c>
      <c r="R9481" s="17"/>
      <c r="S9481" s="121"/>
      <c r="T9481" s="122"/>
      <c r="U9481" s="22"/>
      <c r="V9481" s="123"/>
      <c r="W9481" s="122"/>
      <c r="X9481" s="221"/>
      <c r="Y9481" s="221"/>
      <c r="Z9481" s="221"/>
      <c r="AA9481" s="221"/>
      <c r="AB9481" s="223"/>
    </row>
    <row r="9482" spans="1:28" ht="17.100000000000001" customHeight="1" thickTop="1">
      <c r="A9482" s="226"/>
      <c r="B9482" s="28"/>
      <c r="C9482" s="25"/>
      <c r="D9482" s="13"/>
      <c r="E9482" s="228"/>
      <c r="F9482" s="109"/>
      <c r="G9482" s="24"/>
      <c r="H9482" s="230"/>
      <c r="I9482" s="220"/>
      <c r="J9482" s="220">
        <f>I9482*0.1</f>
        <v>0</v>
      </c>
      <c r="K9482" s="220">
        <v>0</v>
      </c>
      <c r="L9482" s="220"/>
      <c r="M9482" s="220"/>
      <c r="N9482" s="220">
        <f>SUM(I9482:M9483)</f>
        <v>0</v>
      </c>
      <c r="O9482" s="224"/>
      <c r="P9482" s="110"/>
      <c r="Q9482" s="15" t="s">
        <v>19</v>
      </c>
      <c r="R9482" s="205"/>
      <c r="S9482" s="189"/>
      <c r="T9482" s="114"/>
      <c r="U9482" s="21"/>
      <c r="V9482" s="115"/>
      <c r="W9482" s="116"/>
      <c r="X9482" s="220"/>
      <c r="Y9482" s="220">
        <f>X9482*0.1</f>
        <v>0</v>
      </c>
      <c r="Z9482" s="220"/>
      <c r="AA9482" s="220">
        <f>SUM(X9482:Z9482)</f>
        <v>0</v>
      </c>
      <c r="AB9482" s="222"/>
    </row>
    <row r="9483" spans="1:28" ht="17.100000000000001" customHeight="1" thickBot="1">
      <c r="A9483" s="227"/>
      <c r="B9483" s="27"/>
      <c r="C9483" s="27"/>
      <c r="D9483" s="14"/>
      <c r="E9483" s="229"/>
      <c r="F9483" s="117"/>
      <c r="G9483" s="26"/>
      <c r="H9483" s="231"/>
      <c r="I9483" s="221"/>
      <c r="J9483" s="221"/>
      <c r="K9483" s="221"/>
      <c r="L9483" s="221"/>
      <c r="M9483" s="221"/>
      <c r="N9483" s="221"/>
      <c r="O9483" s="225"/>
      <c r="P9483" s="118"/>
      <c r="Q9483" s="16" t="s">
        <v>20</v>
      </c>
      <c r="R9483" s="17"/>
      <c r="S9483" s="121"/>
      <c r="T9483" s="122"/>
      <c r="U9483" s="22"/>
      <c r="V9483" s="123"/>
      <c r="W9483" s="122"/>
      <c r="X9483" s="221"/>
      <c r="Y9483" s="221"/>
      <c r="Z9483" s="221"/>
      <c r="AA9483" s="221"/>
      <c r="AB9483" s="223"/>
    </row>
    <row r="9484" spans="1:28" ht="17.100000000000001" customHeight="1" thickTop="1">
      <c r="A9484" s="226"/>
      <c r="B9484" s="28"/>
      <c r="C9484" s="25"/>
      <c r="D9484" s="13"/>
      <c r="E9484" s="228"/>
      <c r="F9484" s="109"/>
      <c r="G9484" s="24"/>
      <c r="H9484" s="230"/>
      <c r="I9484" s="220"/>
      <c r="J9484" s="220">
        <f>I9484*0.1</f>
        <v>0</v>
      </c>
      <c r="K9484" s="220">
        <v>0</v>
      </c>
      <c r="L9484" s="220"/>
      <c r="M9484" s="220"/>
      <c r="N9484" s="220">
        <f>SUM(I9484:M9485)</f>
        <v>0</v>
      </c>
      <c r="O9484" s="224"/>
      <c r="P9484" s="110"/>
      <c r="Q9484" s="15" t="s">
        <v>19</v>
      </c>
      <c r="R9484" s="205"/>
      <c r="S9484" s="189"/>
      <c r="T9484" s="114"/>
      <c r="U9484" s="21"/>
      <c r="V9484" s="115"/>
      <c r="W9484" s="116"/>
      <c r="X9484" s="220"/>
      <c r="Y9484" s="220">
        <f>X9484*0.1</f>
        <v>0</v>
      </c>
      <c r="Z9484" s="220"/>
      <c r="AA9484" s="220">
        <f>SUM(X9484:Z9484)</f>
        <v>0</v>
      </c>
      <c r="AB9484" s="222"/>
    </row>
    <row r="9485" spans="1:28" ht="17.100000000000001" customHeight="1" thickBot="1">
      <c r="A9485" s="227"/>
      <c r="B9485" s="27"/>
      <c r="C9485" s="27"/>
      <c r="D9485" s="14"/>
      <c r="E9485" s="229"/>
      <c r="F9485" s="117"/>
      <c r="G9485" s="26"/>
      <c r="H9485" s="231"/>
      <c r="I9485" s="221"/>
      <c r="J9485" s="221"/>
      <c r="K9485" s="221"/>
      <c r="L9485" s="221"/>
      <c r="M9485" s="221"/>
      <c r="N9485" s="221"/>
      <c r="O9485" s="225"/>
      <c r="P9485" s="118"/>
      <c r="Q9485" s="16" t="s">
        <v>20</v>
      </c>
      <c r="R9485" s="17"/>
      <c r="S9485" s="121"/>
      <c r="T9485" s="122"/>
      <c r="U9485" s="22"/>
      <c r="V9485" s="123"/>
      <c r="W9485" s="122"/>
      <c r="X9485" s="221"/>
      <c r="Y9485" s="221"/>
      <c r="Z9485" s="221"/>
      <c r="AA9485" s="221"/>
      <c r="AB9485" s="223"/>
    </row>
    <row r="9486" spans="1:28" ht="17.100000000000001" customHeight="1" thickTop="1">
      <c r="A9486" s="226"/>
      <c r="B9486" s="28"/>
      <c r="C9486" s="25"/>
      <c r="D9486" s="13"/>
      <c r="E9486" s="228"/>
      <c r="F9486" s="109"/>
      <c r="G9486" s="24"/>
      <c r="H9486" s="230"/>
      <c r="I9486" s="220"/>
      <c r="J9486" s="220">
        <f>I9486*0.1</f>
        <v>0</v>
      </c>
      <c r="K9486" s="220">
        <v>0</v>
      </c>
      <c r="L9486" s="220"/>
      <c r="M9486" s="220"/>
      <c r="N9486" s="220">
        <f>SUM(I9486:M9487)</f>
        <v>0</v>
      </c>
      <c r="O9486" s="224"/>
      <c r="P9486" s="110"/>
      <c r="Q9486" s="15" t="s">
        <v>19</v>
      </c>
      <c r="R9486" s="205"/>
      <c r="S9486" s="189"/>
      <c r="T9486" s="114"/>
      <c r="U9486" s="21"/>
      <c r="V9486" s="115"/>
      <c r="W9486" s="116"/>
      <c r="X9486" s="220"/>
      <c r="Y9486" s="220">
        <f>X9486*0.1</f>
        <v>0</v>
      </c>
      <c r="Z9486" s="220"/>
      <c r="AA9486" s="220">
        <f>SUM(X9486:Z9486)</f>
        <v>0</v>
      </c>
      <c r="AB9486" s="222"/>
    </row>
    <row r="9487" spans="1:28" ht="17.100000000000001" customHeight="1" thickBot="1">
      <c r="A9487" s="227"/>
      <c r="B9487" s="27"/>
      <c r="C9487" s="27"/>
      <c r="D9487" s="14"/>
      <c r="E9487" s="229"/>
      <c r="F9487" s="117"/>
      <c r="G9487" s="26"/>
      <c r="H9487" s="231"/>
      <c r="I9487" s="221"/>
      <c r="J9487" s="221"/>
      <c r="K9487" s="221"/>
      <c r="L9487" s="221"/>
      <c r="M9487" s="221"/>
      <c r="N9487" s="221"/>
      <c r="O9487" s="225"/>
      <c r="P9487" s="118"/>
      <c r="Q9487" s="16" t="s">
        <v>20</v>
      </c>
      <c r="R9487" s="17"/>
      <c r="S9487" s="121"/>
      <c r="T9487" s="122"/>
      <c r="U9487" s="22"/>
      <c r="V9487" s="123"/>
      <c r="W9487" s="122"/>
      <c r="X9487" s="221"/>
      <c r="Y9487" s="221"/>
      <c r="Z9487" s="221"/>
      <c r="AA9487" s="221"/>
      <c r="AB9487" s="223"/>
    </row>
    <row r="9488" spans="1:28" ht="17.100000000000001" customHeight="1" thickTop="1">
      <c r="A9488" s="226"/>
      <c r="B9488" s="28"/>
      <c r="C9488" s="25"/>
      <c r="D9488" s="13"/>
      <c r="E9488" s="228"/>
      <c r="F9488" s="109"/>
      <c r="G9488" s="24"/>
      <c r="H9488" s="230"/>
      <c r="I9488" s="220"/>
      <c r="J9488" s="220">
        <f>I9488*0.1</f>
        <v>0</v>
      </c>
      <c r="K9488" s="220">
        <v>0</v>
      </c>
      <c r="L9488" s="220"/>
      <c r="M9488" s="220"/>
      <c r="N9488" s="220">
        <f>SUM(I9488:M9489)</f>
        <v>0</v>
      </c>
      <c r="O9488" s="224"/>
      <c r="P9488" s="110"/>
      <c r="Q9488" s="15" t="s">
        <v>19</v>
      </c>
      <c r="R9488" s="205"/>
      <c r="S9488" s="189"/>
      <c r="T9488" s="114"/>
      <c r="U9488" s="21"/>
      <c r="V9488" s="115"/>
      <c r="W9488" s="116"/>
      <c r="X9488" s="220"/>
      <c r="Y9488" s="220">
        <f>X9488*0.1</f>
        <v>0</v>
      </c>
      <c r="Z9488" s="220"/>
      <c r="AA9488" s="220">
        <f>SUM(X9488:Z9488)</f>
        <v>0</v>
      </c>
      <c r="AB9488" s="222"/>
    </row>
    <row r="9489" spans="1:28" ht="17.100000000000001" customHeight="1" thickBot="1">
      <c r="A9489" s="227"/>
      <c r="B9489" s="27"/>
      <c r="C9489" s="27"/>
      <c r="D9489" s="14"/>
      <c r="E9489" s="229"/>
      <c r="F9489" s="117"/>
      <c r="G9489" s="26"/>
      <c r="H9489" s="231"/>
      <c r="I9489" s="221"/>
      <c r="J9489" s="221"/>
      <c r="K9489" s="221"/>
      <c r="L9489" s="221"/>
      <c r="M9489" s="221"/>
      <c r="N9489" s="221"/>
      <c r="O9489" s="225"/>
      <c r="P9489" s="118"/>
      <c r="Q9489" s="16" t="s">
        <v>20</v>
      </c>
      <c r="R9489" s="17"/>
      <c r="S9489" s="121"/>
      <c r="T9489" s="122"/>
      <c r="U9489" s="22"/>
      <c r="V9489" s="123"/>
      <c r="W9489" s="122"/>
      <c r="X9489" s="221"/>
      <c r="Y9489" s="221"/>
      <c r="Z9489" s="221"/>
      <c r="AA9489" s="221"/>
      <c r="AB9489" s="223"/>
    </row>
    <row r="9490" spans="1:28" ht="17.100000000000001" customHeight="1" thickTop="1">
      <c r="A9490" s="226"/>
      <c r="B9490" s="28"/>
      <c r="C9490" s="25"/>
      <c r="D9490" s="13"/>
      <c r="E9490" s="228"/>
      <c r="F9490" s="109"/>
      <c r="G9490" s="24"/>
      <c r="H9490" s="230"/>
      <c r="I9490" s="220"/>
      <c r="J9490" s="220">
        <f>I9490*0.1</f>
        <v>0</v>
      </c>
      <c r="K9490" s="220">
        <v>0</v>
      </c>
      <c r="L9490" s="220"/>
      <c r="M9490" s="220"/>
      <c r="N9490" s="220">
        <f>SUM(I9490:M9491)</f>
        <v>0</v>
      </c>
      <c r="O9490" s="224"/>
      <c r="P9490" s="110"/>
      <c r="Q9490" s="15" t="s">
        <v>19</v>
      </c>
      <c r="R9490" s="205"/>
      <c r="S9490" s="189"/>
      <c r="T9490" s="114"/>
      <c r="U9490" s="21"/>
      <c r="V9490" s="115"/>
      <c r="W9490" s="116"/>
      <c r="X9490" s="220"/>
      <c r="Y9490" s="220">
        <f>X9490*0.1</f>
        <v>0</v>
      </c>
      <c r="Z9490" s="220"/>
      <c r="AA9490" s="220">
        <f>SUM(X9490:Z9490)</f>
        <v>0</v>
      </c>
      <c r="AB9490" s="222"/>
    </row>
    <row r="9491" spans="1:28" ht="17.100000000000001" customHeight="1" thickBot="1">
      <c r="A9491" s="227"/>
      <c r="B9491" s="27"/>
      <c r="C9491" s="27"/>
      <c r="D9491" s="14"/>
      <c r="E9491" s="229"/>
      <c r="F9491" s="117"/>
      <c r="G9491" s="26"/>
      <c r="H9491" s="231"/>
      <c r="I9491" s="221"/>
      <c r="J9491" s="221"/>
      <c r="K9491" s="221"/>
      <c r="L9491" s="221"/>
      <c r="M9491" s="221"/>
      <c r="N9491" s="221"/>
      <c r="O9491" s="225"/>
      <c r="P9491" s="118"/>
      <c r="Q9491" s="16" t="s">
        <v>20</v>
      </c>
      <c r="R9491" s="17"/>
      <c r="S9491" s="121"/>
      <c r="T9491" s="122"/>
      <c r="U9491" s="22"/>
      <c r="V9491" s="123"/>
      <c r="W9491" s="122"/>
      <c r="X9491" s="221"/>
      <c r="Y9491" s="221"/>
      <c r="Z9491" s="221"/>
      <c r="AA9491" s="221"/>
      <c r="AB9491" s="223"/>
    </row>
    <row r="9492" spans="1:28" ht="17.100000000000001" customHeight="1" thickTop="1">
      <c r="A9492" s="226"/>
      <c r="B9492" s="28"/>
      <c r="C9492" s="25"/>
      <c r="D9492" s="13"/>
      <c r="E9492" s="228"/>
      <c r="F9492" s="109"/>
      <c r="G9492" s="24"/>
      <c r="H9492" s="230"/>
      <c r="I9492" s="220"/>
      <c r="J9492" s="220">
        <f>I9492*0.1</f>
        <v>0</v>
      </c>
      <c r="K9492" s="220">
        <v>0</v>
      </c>
      <c r="L9492" s="220"/>
      <c r="M9492" s="220"/>
      <c r="N9492" s="220">
        <f>SUM(I9492:M9493)</f>
        <v>0</v>
      </c>
      <c r="O9492" s="224"/>
      <c r="P9492" s="110"/>
      <c r="Q9492" s="15" t="s">
        <v>19</v>
      </c>
      <c r="R9492" s="205"/>
      <c r="S9492" s="189"/>
      <c r="T9492" s="114"/>
      <c r="U9492" s="21"/>
      <c r="V9492" s="115"/>
      <c r="W9492" s="116"/>
      <c r="X9492" s="220"/>
      <c r="Y9492" s="220">
        <f>X9492*0.1</f>
        <v>0</v>
      </c>
      <c r="Z9492" s="220"/>
      <c r="AA9492" s="220">
        <f>SUM(X9492:Z9492)</f>
        <v>0</v>
      </c>
      <c r="AB9492" s="222"/>
    </row>
    <row r="9493" spans="1:28" ht="17.100000000000001" customHeight="1" thickBot="1">
      <c r="A9493" s="227"/>
      <c r="B9493" s="27"/>
      <c r="C9493" s="27"/>
      <c r="D9493" s="14"/>
      <c r="E9493" s="229"/>
      <c r="F9493" s="117"/>
      <c r="G9493" s="26"/>
      <c r="H9493" s="231"/>
      <c r="I9493" s="221"/>
      <c r="J9493" s="221"/>
      <c r="K9493" s="221"/>
      <c r="L9493" s="221"/>
      <c r="M9493" s="221"/>
      <c r="N9493" s="221"/>
      <c r="O9493" s="225"/>
      <c r="P9493" s="118"/>
      <c r="Q9493" s="16" t="s">
        <v>20</v>
      </c>
      <c r="R9493" s="17"/>
      <c r="S9493" s="121"/>
      <c r="T9493" s="122"/>
      <c r="U9493" s="22"/>
      <c r="V9493" s="123"/>
      <c r="W9493" s="122"/>
      <c r="X9493" s="221"/>
      <c r="Y9493" s="221"/>
      <c r="Z9493" s="221"/>
      <c r="AA9493" s="221"/>
      <c r="AB9493" s="223"/>
    </row>
    <row r="9494" spans="1:28" ht="17.100000000000001" customHeight="1" thickTop="1">
      <c r="A9494" s="226"/>
      <c r="B9494" s="28"/>
      <c r="C9494" s="25"/>
      <c r="D9494" s="13"/>
      <c r="E9494" s="228"/>
      <c r="F9494" s="109"/>
      <c r="G9494" s="24"/>
      <c r="H9494" s="230"/>
      <c r="I9494" s="220"/>
      <c r="J9494" s="220">
        <f>I9494*0.1</f>
        <v>0</v>
      </c>
      <c r="K9494" s="220">
        <v>0</v>
      </c>
      <c r="L9494" s="220"/>
      <c r="M9494" s="220"/>
      <c r="N9494" s="220">
        <f>SUM(I9494:M9495)</f>
        <v>0</v>
      </c>
      <c r="O9494" s="224"/>
      <c r="P9494" s="110"/>
      <c r="Q9494" s="15" t="s">
        <v>19</v>
      </c>
      <c r="R9494" s="205"/>
      <c r="S9494" s="189"/>
      <c r="T9494" s="114"/>
      <c r="U9494" s="21"/>
      <c r="V9494" s="115"/>
      <c r="W9494" s="116"/>
      <c r="X9494" s="220"/>
      <c r="Y9494" s="220">
        <f>X9494*0.1</f>
        <v>0</v>
      </c>
      <c r="Z9494" s="220"/>
      <c r="AA9494" s="220">
        <f>SUM(X9494:Z9494)</f>
        <v>0</v>
      </c>
      <c r="AB9494" s="222"/>
    </row>
    <row r="9495" spans="1:28" ht="17.100000000000001" customHeight="1" thickBot="1">
      <c r="A9495" s="227"/>
      <c r="B9495" s="27"/>
      <c r="C9495" s="27"/>
      <c r="D9495" s="14"/>
      <c r="E9495" s="229"/>
      <c r="F9495" s="117"/>
      <c r="G9495" s="26"/>
      <c r="H9495" s="231"/>
      <c r="I9495" s="221"/>
      <c r="J9495" s="221"/>
      <c r="K9495" s="221"/>
      <c r="L9495" s="221"/>
      <c r="M9495" s="221"/>
      <c r="N9495" s="221"/>
      <c r="O9495" s="225"/>
      <c r="P9495" s="118"/>
      <c r="Q9495" s="16" t="s">
        <v>20</v>
      </c>
      <c r="R9495" s="17"/>
      <c r="S9495" s="121"/>
      <c r="T9495" s="122"/>
      <c r="U9495" s="22"/>
      <c r="V9495" s="123"/>
      <c r="W9495" s="122"/>
      <c r="X9495" s="221"/>
      <c r="Y9495" s="221"/>
      <c r="Z9495" s="221"/>
      <c r="AA9495" s="221"/>
      <c r="AB9495" s="223"/>
    </row>
    <row r="9496" spans="1:28" ht="17.100000000000001" customHeight="1" thickTop="1">
      <c r="A9496" s="226"/>
      <c r="B9496" s="28"/>
      <c r="C9496" s="25"/>
      <c r="D9496" s="13"/>
      <c r="E9496" s="228"/>
      <c r="F9496" s="109"/>
      <c r="G9496" s="24"/>
      <c r="H9496" s="230"/>
      <c r="I9496" s="220"/>
      <c r="J9496" s="220">
        <f>I9496*0.1</f>
        <v>0</v>
      </c>
      <c r="K9496" s="220">
        <v>0</v>
      </c>
      <c r="L9496" s="220"/>
      <c r="M9496" s="220"/>
      <c r="N9496" s="220">
        <f>SUM(I9496:M9497)</f>
        <v>0</v>
      </c>
      <c r="O9496" s="224"/>
      <c r="P9496" s="110"/>
      <c r="Q9496" s="15" t="s">
        <v>19</v>
      </c>
      <c r="R9496" s="205"/>
      <c r="S9496" s="189"/>
      <c r="T9496" s="114"/>
      <c r="U9496" s="21"/>
      <c r="V9496" s="115"/>
      <c r="W9496" s="116"/>
      <c r="X9496" s="220"/>
      <c r="Y9496" s="220">
        <f>X9496*0.1</f>
        <v>0</v>
      </c>
      <c r="Z9496" s="220"/>
      <c r="AA9496" s="220">
        <f>SUM(X9496:Z9496)</f>
        <v>0</v>
      </c>
      <c r="AB9496" s="222"/>
    </row>
    <row r="9497" spans="1:28" ht="17.100000000000001" customHeight="1" thickBot="1">
      <c r="A9497" s="227"/>
      <c r="B9497" s="27"/>
      <c r="C9497" s="27"/>
      <c r="D9497" s="14"/>
      <c r="E9497" s="229"/>
      <c r="F9497" s="117"/>
      <c r="G9497" s="26"/>
      <c r="H9497" s="231"/>
      <c r="I9497" s="221"/>
      <c r="J9497" s="221"/>
      <c r="K9497" s="221"/>
      <c r="L9497" s="221"/>
      <c r="M9497" s="221"/>
      <c r="N9497" s="221"/>
      <c r="O9497" s="225"/>
      <c r="P9497" s="118"/>
      <c r="Q9497" s="16" t="s">
        <v>20</v>
      </c>
      <c r="R9497" s="17"/>
      <c r="S9497" s="121"/>
      <c r="T9497" s="122"/>
      <c r="U9497" s="22"/>
      <c r="V9497" s="123"/>
      <c r="W9497" s="122"/>
      <c r="X9497" s="221"/>
      <c r="Y9497" s="221"/>
      <c r="Z9497" s="221"/>
      <c r="AA9497" s="221"/>
      <c r="AB9497" s="223"/>
    </row>
    <row r="9498" spans="1:28" ht="17.100000000000001" customHeight="1" thickTop="1">
      <c r="A9498" s="226"/>
      <c r="B9498" s="28"/>
      <c r="C9498" s="25"/>
      <c r="D9498" s="13"/>
      <c r="E9498" s="228"/>
      <c r="F9498" s="109"/>
      <c r="G9498" s="24"/>
      <c r="H9498" s="230"/>
      <c r="I9498" s="220"/>
      <c r="J9498" s="220">
        <f>I9498*0.1</f>
        <v>0</v>
      </c>
      <c r="K9498" s="220">
        <v>0</v>
      </c>
      <c r="L9498" s="220"/>
      <c r="M9498" s="220"/>
      <c r="N9498" s="220">
        <f>SUM(I9498:M9499)</f>
        <v>0</v>
      </c>
      <c r="O9498" s="224"/>
      <c r="P9498" s="110"/>
      <c r="Q9498" s="15" t="s">
        <v>19</v>
      </c>
      <c r="R9498" s="205"/>
      <c r="S9498" s="189"/>
      <c r="T9498" s="114"/>
      <c r="U9498" s="21"/>
      <c r="V9498" s="115"/>
      <c r="W9498" s="116"/>
      <c r="X9498" s="220"/>
      <c r="Y9498" s="220">
        <f>X9498*0.1</f>
        <v>0</v>
      </c>
      <c r="Z9498" s="220"/>
      <c r="AA9498" s="220">
        <f>SUM(X9498:Z9498)</f>
        <v>0</v>
      </c>
      <c r="AB9498" s="222"/>
    </row>
    <row r="9499" spans="1:28" ht="17.100000000000001" customHeight="1" thickBot="1">
      <c r="A9499" s="227"/>
      <c r="B9499" s="27"/>
      <c r="C9499" s="27"/>
      <c r="D9499" s="14"/>
      <c r="E9499" s="229"/>
      <c r="F9499" s="117"/>
      <c r="G9499" s="26"/>
      <c r="H9499" s="231"/>
      <c r="I9499" s="221"/>
      <c r="J9499" s="221"/>
      <c r="K9499" s="221"/>
      <c r="L9499" s="221"/>
      <c r="M9499" s="221"/>
      <c r="N9499" s="221"/>
      <c r="O9499" s="225"/>
      <c r="P9499" s="118"/>
      <c r="Q9499" s="16" t="s">
        <v>20</v>
      </c>
      <c r="R9499" s="17"/>
      <c r="S9499" s="121"/>
      <c r="T9499" s="122"/>
      <c r="U9499" s="22"/>
      <c r="V9499" s="123"/>
      <c r="W9499" s="122"/>
      <c r="X9499" s="221"/>
      <c r="Y9499" s="221"/>
      <c r="Z9499" s="221"/>
      <c r="AA9499" s="221"/>
      <c r="AB9499" s="223"/>
    </row>
    <row r="9500" spans="1:28" ht="17.100000000000001" customHeight="1" thickTop="1">
      <c r="A9500" s="226"/>
      <c r="B9500" s="28"/>
      <c r="C9500" s="25"/>
      <c r="D9500" s="13"/>
      <c r="E9500" s="228"/>
      <c r="F9500" s="109"/>
      <c r="G9500" s="24"/>
      <c r="H9500" s="230"/>
      <c r="I9500" s="220"/>
      <c r="J9500" s="220">
        <f>I9500*0.1</f>
        <v>0</v>
      </c>
      <c r="K9500" s="220">
        <v>0</v>
      </c>
      <c r="L9500" s="220"/>
      <c r="M9500" s="220"/>
      <c r="N9500" s="220">
        <f>SUM(I9500:M9501)</f>
        <v>0</v>
      </c>
      <c r="O9500" s="224"/>
      <c r="P9500" s="110"/>
      <c r="Q9500" s="15" t="s">
        <v>19</v>
      </c>
      <c r="R9500" s="205"/>
      <c r="S9500" s="189"/>
      <c r="T9500" s="114"/>
      <c r="U9500" s="21"/>
      <c r="V9500" s="115"/>
      <c r="W9500" s="116"/>
      <c r="X9500" s="220"/>
      <c r="Y9500" s="220">
        <f>X9500*0.1</f>
        <v>0</v>
      </c>
      <c r="Z9500" s="220"/>
      <c r="AA9500" s="220">
        <f>SUM(X9500:Z9500)</f>
        <v>0</v>
      </c>
      <c r="AB9500" s="222"/>
    </row>
    <row r="9501" spans="1:28" ht="17.100000000000001" customHeight="1" thickBot="1">
      <c r="A9501" s="227"/>
      <c r="B9501" s="27"/>
      <c r="C9501" s="27"/>
      <c r="D9501" s="14"/>
      <c r="E9501" s="229"/>
      <c r="F9501" s="117"/>
      <c r="G9501" s="26"/>
      <c r="H9501" s="231"/>
      <c r="I9501" s="221"/>
      <c r="J9501" s="221"/>
      <c r="K9501" s="221"/>
      <c r="L9501" s="221"/>
      <c r="M9501" s="221"/>
      <c r="N9501" s="221"/>
      <c r="O9501" s="225"/>
      <c r="P9501" s="118"/>
      <c r="Q9501" s="16" t="s">
        <v>20</v>
      </c>
      <c r="R9501" s="17"/>
      <c r="S9501" s="121"/>
      <c r="T9501" s="122"/>
      <c r="U9501" s="22"/>
      <c r="V9501" s="123"/>
      <c r="W9501" s="122"/>
      <c r="X9501" s="221"/>
      <c r="Y9501" s="221"/>
      <c r="Z9501" s="221"/>
      <c r="AA9501" s="221"/>
      <c r="AB9501" s="223"/>
    </row>
    <row r="9502" spans="1:28" ht="17.100000000000001" customHeight="1" thickTop="1">
      <c r="A9502" s="226"/>
      <c r="B9502" s="28"/>
      <c r="C9502" s="25"/>
      <c r="D9502" s="13"/>
      <c r="E9502" s="228"/>
      <c r="F9502" s="109"/>
      <c r="G9502" s="24"/>
      <c r="H9502" s="230"/>
      <c r="I9502" s="220"/>
      <c r="J9502" s="220">
        <f>I9502*0.1</f>
        <v>0</v>
      </c>
      <c r="K9502" s="220">
        <v>0</v>
      </c>
      <c r="L9502" s="220"/>
      <c r="M9502" s="220"/>
      <c r="N9502" s="220">
        <f>SUM(I9502:M9503)</f>
        <v>0</v>
      </c>
      <c r="O9502" s="224"/>
      <c r="P9502" s="110"/>
      <c r="Q9502" s="15" t="s">
        <v>19</v>
      </c>
      <c r="R9502" s="205"/>
      <c r="S9502" s="189"/>
      <c r="T9502" s="114"/>
      <c r="U9502" s="21"/>
      <c r="V9502" s="115"/>
      <c r="W9502" s="116"/>
      <c r="X9502" s="220"/>
      <c r="Y9502" s="220">
        <f>X9502*0.1</f>
        <v>0</v>
      </c>
      <c r="Z9502" s="220"/>
      <c r="AA9502" s="220">
        <f>SUM(X9502:Z9502)</f>
        <v>0</v>
      </c>
      <c r="AB9502" s="222"/>
    </row>
    <row r="9503" spans="1:28" ht="17.100000000000001" customHeight="1" thickBot="1">
      <c r="A9503" s="227"/>
      <c r="B9503" s="27"/>
      <c r="C9503" s="27"/>
      <c r="D9503" s="14"/>
      <c r="E9503" s="229"/>
      <c r="F9503" s="117"/>
      <c r="G9503" s="26"/>
      <c r="H9503" s="231"/>
      <c r="I9503" s="221"/>
      <c r="J9503" s="221"/>
      <c r="K9503" s="221"/>
      <c r="L9503" s="221"/>
      <c r="M9503" s="221"/>
      <c r="N9503" s="221"/>
      <c r="O9503" s="225"/>
      <c r="P9503" s="118"/>
      <c r="Q9503" s="16" t="s">
        <v>20</v>
      </c>
      <c r="R9503" s="17"/>
      <c r="S9503" s="121"/>
      <c r="T9503" s="122"/>
      <c r="U9503" s="22"/>
      <c r="V9503" s="123"/>
      <c r="W9503" s="122"/>
      <c r="X9503" s="221"/>
      <c r="Y9503" s="221"/>
      <c r="Z9503" s="221"/>
      <c r="AA9503" s="221"/>
      <c r="AB9503" s="223"/>
    </row>
    <row r="9504" spans="1:28" ht="17.100000000000001" customHeight="1" thickTop="1">
      <c r="A9504" s="226"/>
      <c r="B9504" s="28"/>
      <c r="C9504" s="25"/>
      <c r="D9504" s="13"/>
      <c r="E9504" s="228"/>
      <c r="F9504" s="109"/>
      <c r="G9504" s="24"/>
      <c r="H9504" s="230"/>
      <c r="I9504" s="220"/>
      <c r="J9504" s="220">
        <f>I9504*0.1</f>
        <v>0</v>
      </c>
      <c r="K9504" s="220">
        <v>0</v>
      </c>
      <c r="L9504" s="220"/>
      <c r="M9504" s="220"/>
      <c r="N9504" s="220">
        <f>SUM(I9504:M9505)</f>
        <v>0</v>
      </c>
      <c r="O9504" s="224"/>
      <c r="P9504" s="110"/>
      <c r="Q9504" s="15" t="s">
        <v>19</v>
      </c>
      <c r="R9504" s="205"/>
      <c r="S9504" s="189"/>
      <c r="T9504" s="114"/>
      <c r="U9504" s="21"/>
      <c r="V9504" s="115"/>
      <c r="W9504" s="116"/>
      <c r="X9504" s="220"/>
      <c r="Y9504" s="220">
        <f>X9504*0.1</f>
        <v>0</v>
      </c>
      <c r="Z9504" s="220"/>
      <c r="AA9504" s="220">
        <f>SUM(X9504:Z9504)</f>
        <v>0</v>
      </c>
      <c r="AB9504" s="222"/>
    </row>
    <row r="9505" spans="1:28" ht="17.100000000000001" customHeight="1" thickBot="1">
      <c r="A9505" s="227"/>
      <c r="B9505" s="27"/>
      <c r="C9505" s="27"/>
      <c r="D9505" s="14"/>
      <c r="E9505" s="229"/>
      <c r="F9505" s="117"/>
      <c r="G9505" s="26"/>
      <c r="H9505" s="231"/>
      <c r="I9505" s="221"/>
      <c r="J9505" s="221"/>
      <c r="K9505" s="221"/>
      <c r="L9505" s="221"/>
      <c r="M9505" s="221"/>
      <c r="N9505" s="221"/>
      <c r="O9505" s="225"/>
      <c r="P9505" s="118"/>
      <c r="Q9505" s="16" t="s">
        <v>20</v>
      </c>
      <c r="R9505" s="17"/>
      <c r="S9505" s="121"/>
      <c r="T9505" s="122"/>
      <c r="U9505" s="22"/>
      <c r="V9505" s="123"/>
      <c r="W9505" s="122"/>
      <c r="X9505" s="221"/>
      <c r="Y9505" s="221"/>
      <c r="Z9505" s="221"/>
      <c r="AA9505" s="221"/>
      <c r="AB9505" s="223"/>
    </row>
    <row r="9506" spans="1:28" ht="17.100000000000001" customHeight="1" thickTop="1">
      <c r="A9506" s="226"/>
      <c r="B9506" s="28"/>
      <c r="C9506" s="25"/>
      <c r="D9506" s="13"/>
      <c r="E9506" s="228"/>
      <c r="F9506" s="109"/>
      <c r="G9506" s="24"/>
      <c r="H9506" s="230"/>
      <c r="I9506" s="220"/>
      <c r="J9506" s="220">
        <f>I9506*0.1</f>
        <v>0</v>
      </c>
      <c r="K9506" s="220">
        <v>0</v>
      </c>
      <c r="L9506" s="220"/>
      <c r="M9506" s="220"/>
      <c r="N9506" s="220">
        <f>SUM(I9506:M9507)</f>
        <v>0</v>
      </c>
      <c r="O9506" s="224"/>
      <c r="P9506" s="110"/>
      <c r="Q9506" s="15" t="s">
        <v>19</v>
      </c>
      <c r="R9506" s="205"/>
      <c r="S9506" s="189"/>
      <c r="T9506" s="114"/>
      <c r="U9506" s="21"/>
      <c r="V9506" s="115"/>
      <c r="W9506" s="116"/>
      <c r="X9506" s="220"/>
      <c r="Y9506" s="220">
        <f>X9506*0.1</f>
        <v>0</v>
      </c>
      <c r="Z9506" s="220"/>
      <c r="AA9506" s="220">
        <f>SUM(X9506:Z9506)</f>
        <v>0</v>
      </c>
      <c r="AB9506" s="222"/>
    </row>
    <row r="9507" spans="1:28" ht="17.100000000000001" customHeight="1" thickBot="1">
      <c r="A9507" s="227"/>
      <c r="B9507" s="27"/>
      <c r="C9507" s="27"/>
      <c r="D9507" s="14"/>
      <c r="E9507" s="229"/>
      <c r="F9507" s="117"/>
      <c r="G9507" s="26"/>
      <c r="H9507" s="231"/>
      <c r="I9507" s="221"/>
      <c r="J9507" s="221"/>
      <c r="K9507" s="221"/>
      <c r="L9507" s="221"/>
      <c r="M9507" s="221"/>
      <c r="N9507" s="221"/>
      <c r="O9507" s="225"/>
      <c r="P9507" s="118"/>
      <c r="Q9507" s="16" t="s">
        <v>20</v>
      </c>
      <c r="R9507" s="17"/>
      <c r="S9507" s="121"/>
      <c r="T9507" s="122"/>
      <c r="U9507" s="22"/>
      <c r="V9507" s="123"/>
      <c r="W9507" s="122"/>
      <c r="X9507" s="221"/>
      <c r="Y9507" s="221"/>
      <c r="Z9507" s="221"/>
      <c r="AA9507" s="221"/>
      <c r="AB9507" s="223"/>
    </row>
    <row r="9508" spans="1:28" ht="17.100000000000001" customHeight="1" thickTop="1">
      <c r="A9508" s="226"/>
      <c r="B9508" s="28"/>
      <c r="C9508" s="25"/>
      <c r="D9508" s="13"/>
      <c r="E9508" s="228"/>
      <c r="F9508" s="109"/>
      <c r="G9508" s="24"/>
      <c r="H9508" s="230"/>
      <c r="I9508" s="220"/>
      <c r="J9508" s="220">
        <f>I9508*0.1</f>
        <v>0</v>
      </c>
      <c r="K9508" s="220">
        <v>0</v>
      </c>
      <c r="L9508" s="220"/>
      <c r="M9508" s="220"/>
      <c r="N9508" s="220">
        <f>SUM(I9508:M9509)</f>
        <v>0</v>
      </c>
      <c r="O9508" s="224"/>
      <c r="P9508" s="110"/>
      <c r="Q9508" s="15" t="s">
        <v>19</v>
      </c>
      <c r="R9508" s="205"/>
      <c r="S9508" s="189"/>
      <c r="T9508" s="114"/>
      <c r="U9508" s="21"/>
      <c r="V9508" s="115"/>
      <c r="W9508" s="116"/>
      <c r="X9508" s="220"/>
      <c r="Y9508" s="220">
        <f>X9508*0.1</f>
        <v>0</v>
      </c>
      <c r="Z9508" s="220"/>
      <c r="AA9508" s="220">
        <f>SUM(X9508:Z9508)</f>
        <v>0</v>
      </c>
      <c r="AB9508" s="222"/>
    </row>
    <row r="9509" spans="1:28" ht="17.100000000000001" customHeight="1" thickBot="1">
      <c r="A9509" s="227"/>
      <c r="B9509" s="27"/>
      <c r="C9509" s="27"/>
      <c r="D9509" s="14"/>
      <c r="E9509" s="229"/>
      <c r="F9509" s="117"/>
      <c r="G9509" s="26"/>
      <c r="H9509" s="231"/>
      <c r="I9509" s="221"/>
      <c r="J9509" s="221"/>
      <c r="K9509" s="221"/>
      <c r="L9509" s="221"/>
      <c r="M9509" s="221"/>
      <c r="N9509" s="221"/>
      <c r="O9509" s="225"/>
      <c r="P9509" s="118"/>
      <c r="Q9509" s="16" t="s">
        <v>20</v>
      </c>
      <c r="R9509" s="17"/>
      <c r="S9509" s="121"/>
      <c r="T9509" s="122"/>
      <c r="U9509" s="22"/>
      <c r="V9509" s="123"/>
      <c r="W9509" s="122"/>
      <c r="X9509" s="221"/>
      <c r="Y9509" s="221"/>
      <c r="Z9509" s="221"/>
      <c r="AA9509" s="221"/>
      <c r="AB9509" s="223"/>
    </row>
    <row r="9510" spans="1:28" ht="17.100000000000001" customHeight="1" thickTop="1">
      <c r="A9510" s="226"/>
      <c r="B9510" s="28"/>
      <c r="C9510" s="25"/>
      <c r="D9510" s="13"/>
      <c r="E9510" s="228"/>
      <c r="F9510" s="109"/>
      <c r="G9510" s="24"/>
      <c r="H9510" s="230"/>
      <c r="I9510" s="220"/>
      <c r="J9510" s="220">
        <f>I9510*0.1</f>
        <v>0</v>
      </c>
      <c r="K9510" s="220">
        <v>0</v>
      </c>
      <c r="L9510" s="220"/>
      <c r="M9510" s="220"/>
      <c r="N9510" s="220">
        <f>SUM(I9510:M9511)</f>
        <v>0</v>
      </c>
      <c r="O9510" s="224"/>
      <c r="P9510" s="110"/>
      <c r="Q9510" s="15" t="s">
        <v>19</v>
      </c>
      <c r="R9510" s="205"/>
      <c r="S9510" s="189"/>
      <c r="T9510" s="114"/>
      <c r="U9510" s="21"/>
      <c r="V9510" s="115"/>
      <c r="W9510" s="116"/>
      <c r="X9510" s="220"/>
      <c r="Y9510" s="220">
        <f>X9510*0.1</f>
        <v>0</v>
      </c>
      <c r="Z9510" s="220"/>
      <c r="AA9510" s="220">
        <f>SUM(X9510:Z9510)</f>
        <v>0</v>
      </c>
      <c r="AB9510" s="222"/>
    </row>
    <row r="9511" spans="1:28" ht="17.100000000000001" customHeight="1" thickBot="1">
      <c r="A9511" s="227"/>
      <c r="B9511" s="27"/>
      <c r="C9511" s="27"/>
      <c r="D9511" s="14"/>
      <c r="E9511" s="229"/>
      <c r="F9511" s="117"/>
      <c r="G9511" s="26"/>
      <c r="H9511" s="231"/>
      <c r="I9511" s="221"/>
      <c r="J9511" s="221"/>
      <c r="K9511" s="221"/>
      <c r="L9511" s="221"/>
      <c r="M9511" s="221"/>
      <c r="N9511" s="221"/>
      <c r="O9511" s="225"/>
      <c r="P9511" s="118"/>
      <c r="Q9511" s="16" t="s">
        <v>20</v>
      </c>
      <c r="R9511" s="17"/>
      <c r="S9511" s="121"/>
      <c r="T9511" s="122"/>
      <c r="U9511" s="22"/>
      <c r="V9511" s="123"/>
      <c r="W9511" s="122"/>
      <c r="X9511" s="221"/>
      <c r="Y9511" s="221"/>
      <c r="Z9511" s="221"/>
      <c r="AA9511" s="221"/>
      <c r="AB9511" s="223"/>
    </row>
    <row r="9512" spans="1:28" ht="17.100000000000001" customHeight="1" thickTop="1">
      <c r="A9512" s="226"/>
      <c r="B9512" s="28"/>
      <c r="C9512" s="25"/>
      <c r="D9512" s="13"/>
      <c r="E9512" s="228"/>
      <c r="F9512" s="109"/>
      <c r="G9512" s="24"/>
      <c r="H9512" s="230"/>
      <c r="I9512" s="220"/>
      <c r="J9512" s="220">
        <f>I9512*0.1</f>
        <v>0</v>
      </c>
      <c r="K9512" s="220">
        <v>0</v>
      </c>
      <c r="L9512" s="220"/>
      <c r="M9512" s="220"/>
      <c r="N9512" s="220">
        <f>SUM(I9512:M9513)</f>
        <v>0</v>
      </c>
      <c r="O9512" s="224"/>
      <c r="P9512" s="110"/>
      <c r="Q9512" s="15" t="s">
        <v>19</v>
      </c>
      <c r="R9512" s="205"/>
      <c r="S9512" s="189"/>
      <c r="T9512" s="114"/>
      <c r="U9512" s="21"/>
      <c r="V9512" s="115"/>
      <c r="W9512" s="116"/>
      <c r="X9512" s="220"/>
      <c r="Y9512" s="220">
        <f>X9512*0.1</f>
        <v>0</v>
      </c>
      <c r="Z9512" s="220"/>
      <c r="AA9512" s="220">
        <f>SUM(X9512:Z9512)</f>
        <v>0</v>
      </c>
      <c r="AB9512" s="222"/>
    </row>
    <row r="9513" spans="1:28" ht="17.100000000000001" customHeight="1" thickBot="1">
      <c r="A9513" s="227"/>
      <c r="B9513" s="27"/>
      <c r="C9513" s="27"/>
      <c r="D9513" s="14"/>
      <c r="E9513" s="229"/>
      <c r="F9513" s="117"/>
      <c r="G9513" s="26"/>
      <c r="H9513" s="231"/>
      <c r="I9513" s="221"/>
      <c r="J9513" s="221"/>
      <c r="K9513" s="221"/>
      <c r="L9513" s="221"/>
      <c r="M9513" s="221"/>
      <c r="N9513" s="221"/>
      <c r="O9513" s="225"/>
      <c r="P9513" s="118"/>
      <c r="Q9513" s="16" t="s">
        <v>20</v>
      </c>
      <c r="R9513" s="17"/>
      <c r="S9513" s="121"/>
      <c r="T9513" s="122"/>
      <c r="U9513" s="22"/>
      <c r="V9513" s="123"/>
      <c r="W9513" s="122"/>
      <c r="X9513" s="221"/>
      <c r="Y9513" s="221"/>
      <c r="Z9513" s="221"/>
      <c r="AA9513" s="221"/>
      <c r="AB9513" s="223"/>
    </row>
    <row r="9514" spans="1:28" ht="17.100000000000001" customHeight="1" thickTop="1">
      <c r="A9514" s="226"/>
      <c r="B9514" s="28"/>
      <c r="C9514" s="25"/>
      <c r="D9514" s="13"/>
      <c r="E9514" s="228"/>
      <c r="F9514" s="109"/>
      <c r="G9514" s="24"/>
      <c r="H9514" s="230"/>
      <c r="I9514" s="220"/>
      <c r="J9514" s="220">
        <f>I9514*0.1</f>
        <v>0</v>
      </c>
      <c r="K9514" s="220">
        <v>0</v>
      </c>
      <c r="L9514" s="220"/>
      <c r="M9514" s="220"/>
      <c r="N9514" s="220">
        <f>SUM(I9514:M9515)</f>
        <v>0</v>
      </c>
      <c r="O9514" s="224"/>
      <c r="P9514" s="110"/>
      <c r="Q9514" s="15" t="s">
        <v>19</v>
      </c>
      <c r="R9514" s="205"/>
      <c r="S9514" s="189"/>
      <c r="T9514" s="114"/>
      <c r="U9514" s="21"/>
      <c r="V9514" s="115"/>
      <c r="W9514" s="116"/>
      <c r="X9514" s="220"/>
      <c r="Y9514" s="220">
        <f>X9514*0.1</f>
        <v>0</v>
      </c>
      <c r="Z9514" s="220"/>
      <c r="AA9514" s="220">
        <f>SUM(X9514:Z9514)</f>
        <v>0</v>
      </c>
      <c r="AB9514" s="222"/>
    </row>
    <row r="9515" spans="1:28" ht="17.100000000000001" customHeight="1" thickBot="1">
      <c r="A9515" s="227"/>
      <c r="B9515" s="27"/>
      <c r="C9515" s="27"/>
      <c r="D9515" s="14"/>
      <c r="E9515" s="229"/>
      <c r="F9515" s="117"/>
      <c r="G9515" s="26"/>
      <c r="H9515" s="231"/>
      <c r="I9515" s="221"/>
      <c r="J9515" s="221"/>
      <c r="K9515" s="221"/>
      <c r="L9515" s="221"/>
      <c r="M9515" s="221"/>
      <c r="N9515" s="221"/>
      <c r="O9515" s="225"/>
      <c r="P9515" s="118"/>
      <c r="Q9515" s="16" t="s">
        <v>20</v>
      </c>
      <c r="R9515" s="17"/>
      <c r="S9515" s="121"/>
      <c r="T9515" s="122"/>
      <c r="U9515" s="22"/>
      <c r="V9515" s="123"/>
      <c r="W9515" s="122"/>
      <c r="X9515" s="221"/>
      <c r="Y9515" s="221"/>
      <c r="Z9515" s="221"/>
      <c r="AA9515" s="221"/>
      <c r="AB9515" s="223"/>
    </row>
    <row r="9516" spans="1:28" ht="17.100000000000001" customHeight="1" thickTop="1">
      <c r="A9516" s="226"/>
      <c r="B9516" s="28"/>
      <c r="C9516" s="25"/>
      <c r="D9516" s="13"/>
      <c r="E9516" s="228"/>
      <c r="F9516" s="109"/>
      <c r="G9516" s="24"/>
      <c r="H9516" s="230"/>
      <c r="I9516" s="220"/>
      <c r="J9516" s="220">
        <f>I9516*0.1</f>
        <v>0</v>
      </c>
      <c r="K9516" s="220">
        <v>0</v>
      </c>
      <c r="L9516" s="220"/>
      <c r="M9516" s="220"/>
      <c r="N9516" s="220">
        <f>SUM(I9516:M9517)</f>
        <v>0</v>
      </c>
      <c r="O9516" s="224"/>
      <c r="P9516" s="110"/>
      <c r="Q9516" s="15" t="s">
        <v>19</v>
      </c>
      <c r="R9516" s="205"/>
      <c r="S9516" s="189"/>
      <c r="T9516" s="114"/>
      <c r="U9516" s="21"/>
      <c r="V9516" s="115"/>
      <c r="W9516" s="116"/>
      <c r="X9516" s="220"/>
      <c r="Y9516" s="220">
        <f>X9516*0.1</f>
        <v>0</v>
      </c>
      <c r="Z9516" s="220"/>
      <c r="AA9516" s="220">
        <f>SUM(X9516:Z9516)</f>
        <v>0</v>
      </c>
      <c r="AB9516" s="222"/>
    </row>
    <row r="9517" spans="1:28" ht="17.100000000000001" customHeight="1" thickBot="1">
      <c r="A9517" s="227"/>
      <c r="B9517" s="27"/>
      <c r="C9517" s="27"/>
      <c r="D9517" s="14"/>
      <c r="E9517" s="229"/>
      <c r="F9517" s="117"/>
      <c r="G9517" s="26"/>
      <c r="H9517" s="231"/>
      <c r="I9517" s="221"/>
      <c r="J9517" s="221"/>
      <c r="K9517" s="221"/>
      <c r="L9517" s="221"/>
      <c r="M9517" s="221"/>
      <c r="N9517" s="221"/>
      <c r="O9517" s="225"/>
      <c r="P9517" s="118"/>
      <c r="Q9517" s="16" t="s">
        <v>20</v>
      </c>
      <c r="R9517" s="17"/>
      <c r="S9517" s="121"/>
      <c r="T9517" s="122"/>
      <c r="U9517" s="22"/>
      <c r="V9517" s="123"/>
      <c r="W9517" s="122"/>
      <c r="X9517" s="221"/>
      <c r="Y9517" s="221"/>
      <c r="Z9517" s="221"/>
      <c r="AA9517" s="221"/>
      <c r="AB9517" s="223"/>
    </row>
    <row r="9518" spans="1:28" ht="17.100000000000001" customHeight="1" thickTop="1">
      <c r="A9518" s="226"/>
      <c r="B9518" s="28"/>
      <c r="C9518" s="25"/>
      <c r="D9518" s="13"/>
      <c r="E9518" s="228"/>
      <c r="F9518" s="109"/>
      <c r="G9518" s="24"/>
      <c r="H9518" s="230"/>
      <c r="I9518" s="220"/>
      <c r="J9518" s="220">
        <f>I9518*0.1</f>
        <v>0</v>
      </c>
      <c r="K9518" s="220">
        <v>0</v>
      </c>
      <c r="L9518" s="220"/>
      <c r="M9518" s="220"/>
      <c r="N9518" s="220">
        <f>SUM(I9518:M9519)</f>
        <v>0</v>
      </c>
      <c r="O9518" s="224"/>
      <c r="P9518" s="110"/>
      <c r="Q9518" s="15" t="s">
        <v>19</v>
      </c>
      <c r="R9518" s="205"/>
      <c r="S9518" s="189"/>
      <c r="T9518" s="114"/>
      <c r="U9518" s="21"/>
      <c r="V9518" s="115"/>
      <c r="W9518" s="116"/>
      <c r="X9518" s="220"/>
      <c r="Y9518" s="220">
        <f>X9518*0.1</f>
        <v>0</v>
      </c>
      <c r="Z9518" s="220"/>
      <c r="AA9518" s="220">
        <f>SUM(X9518:Z9518)</f>
        <v>0</v>
      </c>
      <c r="AB9518" s="222"/>
    </row>
    <row r="9519" spans="1:28" ht="17.100000000000001" customHeight="1" thickBot="1">
      <c r="A9519" s="227"/>
      <c r="B9519" s="27"/>
      <c r="C9519" s="27"/>
      <c r="D9519" s="14"/>
      <c r="E9519" s="229"/>
      <c r="F9519" s="117"/>
      <c r="G9519" s="26"/>
      <c r="H9519" s="231"/>
      <c r="I9519" s="221"/>
      <c r="J9519" s="221"/>
      <c r="K9519" s="221"/>
      <c r="L9519" s="221"/>
      <c r="M9519" s="221"/>
      <c r="N9519" s="221"/>
      <c r="O9519" s="225"/>
      <c r="P9519" s="118"/>
      <c r="Q9519" s="16" t="s">
        <v>20</v>
      </c>
      <c r="R9519" s="17"/>
      <c r="S9519" s="121"/>
      <c r="T9519" s="122"/>
      <c r="U9519" s="22"/>
      <c r="V9519" s="123"/>
      <c r="W9519" s="122"/>
      <c r="X9519" s="221"/>
      <c r="Y9519" s="221"/>
      <c r="Z9519" s="221"/>
      <c r="AA9519" s="221"/>
      <c r="AB9519" s="223"/>
    </row>
    <row r="9520" spans="1:28" ht="17.100000000000001" customHeight="1" thickTop="1">
      <c r="A9520" s="226"/>
      <c r="B9520" s="28"/>
      <c r="C9520" s="25"/>
      <c r="D9520" s="13"/>
      <c r="E9520" s="228"/>
      <c r="F9520" s="109"/>
      <c r="G9520" s="24"/>
      <c r="H9520" s="230"/>
      <c r="I9520" s="220"/>
      <c r="J9520" s="220">
        <f>I9520*0.1</f>
        <v>0</v>
      </c>
      <c r="K9520" s="220">
        <v>0</v>
      </c>
      <c r="L9520" s="220"/>
      <c r="M9520" s="220"/>
      <c r="N9520" s="220">
        <f>SUM(I9520:M9521)</f>
        <v>0</v>
      </c>
      <c r="O9520" s="224"/>
      <c r="P9520" s="110"/>
      <c r="Q9520" s="15" t="s">
        <v>19</v>
      </c>
      <c r="R9520" s="205"/>
      <c r="S9520" s="189"/>
      <c r="T9520" s="114"/>
      <c r="U9520" s="21"/>
      <c r="V9520" s="115"/>
      <c r="W9520" s="116"/>
      <c r="X9520" s="220"/>
      <c r="Y9520" s="220">
        <f>X9520*0.1</f>
        <v>0</v>
      </c>
      <c r="Z9520" s="220"/>
      <c r="AA9520" s="220">
        <f>SUM(X9520:Z9520)</f>
        <v>0</v>
      </c>
      <c r="AB9520" s="222"/>
    </row>
    <row r="9521" spans="1:28" ht="17.100000000000001" customHeight="1" thickBot="1">
      <c r="A9521" s="227"/>
      <c r="B9521" s="27"/>
      <c r="C9521" s="27"/>
      <c r="D9521" s="14"/>
      <c r="E9521" s="229"/>
      <c r="F9521" s="117"/>
      <c r="G9521" s="26"/>
      <c r="H9521" s="231"/>
      <c r="I9521" s="221"/>
      <c r="J9521" s="221"/>
      <c r="K9521" s="221"/>
      <c r="L9521" s="221"/>
      <c r="M9521" s="221"/>
      <c r="N9521" s="221"/>
      <c r="O9521" s="225"/>
      <c r="P9521" s="118"/>
      <c r="Q9521" s="16" t="s">
        <v>20</v>
      </c>
      <c r="R9521" s="17"/>
      <c r="S9521" s="121"/>
      <c r="T9521" s="122"/>
      <c r="U9521" s="22"/>
      <c r="V9521" s="123"/>
      <c r="W9521" s="122"/>
      <c r="X9521" s="221"/>
      <c r="Y9521" s="221"/>
      <c r="Z9521" s="221"/>
      <c r="AA9521" s="221"/>
      <c r="AB9521" s="223"/>
    </row>
    <row r="9522" spans="1:28" ht="17.100000000000001" customHeight="1" thickTop="1">
      <c r="A9522" s="226"/>
      <c r="B9522" s="28"/>
      <c r="C9522" s="25"/>
      <c r="D9522" s="13"/>
      <c r="E9522" s="228"/>
      <c r="F9522" s="109"/>
      <c r="G9522" s="24"/>
      <c r="H9522" s="230"/>
      <c r="I9522" s="220"/>
      <c r="J9522" s="220">
        <f>I9522*0.1</f>
        <v>0</v>
      </c>
      <c r="K9522" s="220">
        <v>0</v>
      </c>
      <c r="L9522" s="220"/>
      <c r="M9522" s="220"/>
      <c r="N9522" s="220">
        <f>SUM(I9522:M9523)</f>
        <v>0</v>
      </c>
      <c r="O9522" s="224"/>
      <c r="P9522" s="110"/>
      <c r="Q9522" s="15" t="s">
        <v>19</v>
      </c>
      <c r="R9522" s="205"/>
      <c r="S9522" s="189"/>
      <c r="T9522" s="114"/>
      <c r="U9522" s="21"/>
      <c r="V9522" s="115"/>
      <c r="W9522" s="116"/>
      <c r="X9522" s="220"/>
      <c r="Y9522" s="220">
        <f>X9522*0.1</f>
        <v>0</v>
      </c>
      <c r="Z9522" s="220"/>
      <c r="AA9522" s="220">
        <f>SUM(X9522:Z9522)</f>
        <v>0</v>
      </c>
      <c r="AB9522" s="222"/>
    </row>
    <row r="9523" spans="1:28" ht="17.100000000000001" customHeight="1" thickBot="1">
      <c r="A9523" s="227"/>
      <c r="B9523" s="27"/>
      <c r="C9523" s="27"/>
      <c r="D9523" s="14"/>
      <c r="E9523" s="229"/>
      <c r="F9523" s="117"/>
      <c r="G9523" s="26"/>
      <c r="H9523" s="231"/>
      <c r="I9523" s="221"/>
      <c r="J9523" s="221"/>
      <c r="K9523" s="221"/>
      <c r="L9523" s="221"/>
      <c r="M9523" s="221"/>
      <c r="N9523" s="221"/>
      <c r="O9523" s="225"/>
      <c r="P9523" s="118"/>
      <c r="Q9523" s="16" t="s">
        <v>20</v>
      </c>
      <c r="R9523" s="17"/>
      <c r="S9523" s="121"/>
      <c r="T9523" s="122"/>
      <c r="U9523" s="22"/>
      <c r="V9523" s="123"/>
      <c r="W9523" s="122"/>
      <c r="X9523" s="221"/>
      <c r="Y9523" s="221"/>
      <c r="Z9523" s="221"/>
      <c r="AA9523" s="221"/>
      <c r="AB9523" s="223"/>
    </row>
    <row r="9524" spans="1:28" ht="17.100000000000001" customHeight="1" thickTop="1">
      <c r="A9524" s="226"/>
      <c r="B9524" s="28"/>
      <c r="C9524" s="25"/>
      <c r="D9524" s="13"/>
      <c r="E9524" s="228"/>
      <c r="F9524" s="109"/>
      <c r="G9524" s="24"/>
      <c r="H9524" s="230"/>
      <c r="I9524" s="220"/>
      <c r="J9524" s="220">
        <f>I9524*0.1</f>
        <v>0</v>
      </c>
      <c r="K9524" s="220">
        <v>0</v>
      </c>
      <c r="L9524" s="220"/>
      <c r="M9524" s="220"/>
      <c r="N9524" s="220">
        <f>SUM(I9524:M9525)</f>
        <v>0</v>
      </c>
      <c r="O9524" s="224"/>
      <c r="P9524" s="110"/>
      <c r="Q9524" s="15" t="s">
        <v>19</v>
      </c>
      <c r="R9524" s="205"/>
      <c r="S9524" s="189"/>
      <c r="T9524" s="114"/>
      <c r="U9524" s="21"/>
      <c r="V9524" s="115"/>
      <c r="W9524" s="116"/>
      <c r="X9524" s="220"/>
      <c r="Y9524" s="220">
        <f>X9524*0.1</f>
        <v>0</v>
      </c>
      <c r="Z9524" s="220"/>
      <c r="AA9524" s="220">
        <f>SUM(X9524:Z9524)</f>
        <v>0</v>
      </c>
      <c r="AB9524" s="222"/>
    </row>
    <row r="9525" spans="1:28" ht="17.100000000000001" customHeight="1" thickBot="1">
      <c r="A9525" s="227"/>
      <c r="B9525" s="27"/>
      <c r="C9525" s="27"/>
      <c r="D9525" s="14"/>
      <c r="E9525" s="229"/>
      <c r="F9525" s="117"/>
      <c r="G9525" s="26"/>
      <c r="H9525" s="231"/>
      <c r="I9525" s="221"/>
      <c r="J9525" s="221"/>
      <c r="K9525" s="221"/>
      <c r="L9525" s="221"/>
      <c r="M9525" s="221"/>
      <c r="N9525" s="221"/>
      <c r="O9525" s="225"/>
      <c r="P9525" s="118"/>
      <c r="Q9525" s="16" t="s">
        <v>20</v>
      </c>
      <c r="R9525" s="17"/>
      <c r="S9525" s="121"/>
      <c r="T9525" s="122"/>
      <c r="U9525" s="22"/>
      <c r="V9525" s="123"/>
      <c r="W9525" s="122"/>
      <c r="X9525" s="221"/>
      <c r="Y9525" s="221"/>
      <c r="Z9525" s="221"/>
      <c r="AA9525" s="221"/>
      <c r="AB9525" s="223"/>
    </row>
    <row r="9526" spans="1:28" ht="17.100000000000001" customHeight="1" thickTop="1"/>
  </sheetData>
  <sheetProtection selectLockedCells="1" selectUnlockedCells="1"/>
  <mergeCells count="71348">
    <mergeCell ref="J9354:J9355"/>
    <mergeCell ref="K9354:K9355"/>
    <mergeCell ref="L9354:L9355"/>
    <mergeCell ref="M9354:M9355"/>
    <mergeCell ref="N9354:N9355"/>
    <mergeCell ref="O9354:O9355"/>
    <mergeCell ref="X9354:X9355"/>
    <mergeCell ref="Y9354:Y9355"/>
    <mergeCell ref="Z9354:Z9355"/>
    <mergeCell ref="AA9354:AA9355"/>
    <mergeCell ref="AB9354:AB9355"/>
    <mergeCell ref="Z9272:Z9273"/>
    <mergeCell ref="AA9272:AA9273"/>
    <mergeCell ref="AB9272:AB9273"/>
    <mergeCell ref="A9276:A9277"/>
    <mergeCell ref="E9276:E9277"/>
    <mergeCell ref="H9276:H9277"/>
    <mergeCell ref="I9276:I9277"/>
    <mergeCell ref="J9276:J9277"/>
    <mergeCell ref="K9276:K9277"/>
    <mergeCell ref="L9276:L9277"/>
    <mergeCell ref="M9276:M9277"/>
    <mergeCell ref="N9276:N9277"/>
    <mergeCell ref="O9276:O9277"/>
    <mergeCell ref="X9276:X9277"/>
    <mergeCell ref="Y9276:Y9277"/>
    <mergeCell ref="Z9276:Z9277"/>
    <mergeCell ref="AA9276:AA9277"/>
    <mergeCell ref="AB9276:AB9277"/>
    <mergeCell ref="A9278:A9279"/>
    <mergeCell ref="E9278:E9279"/>
    <mergeCell ref="H9278:H9279"/>
    <mergeCell ref="I9278:I9279"/>
    <mergeCell ref="J9278:J9279"/>
    <mergeCell ref="J9248:J9249"/>
    <mergeCell ref="K9248:K9249"/>
    <mergeCell ref="L9248:L9249"/>
    <mergeCell ref="M9248:M9249"/>
    <mergeCell ref="N9248:N9249"/>
    <mergeCell ref="O9248:O9249"/>
    <mergeCell ref="X9248:X9249"/>
    <mergeCell ref="Y9248:Y9249"/>
    <mergeCell ref="Z9248:Z9249"/>
    <mergeCell ref="AA9248:AA9249"/>
    <mergeCell ref="AB9248:AB9249"/>
    <mergeCell ref="A9250:A9251"/>
    <mergeCell ref="E9250:E9251"/>
    <mergeCell ref="H9250:H9251"/>
    <mergeCell ref="I9250:I9251"/>
    <mergeCell ref="J9250:J9251"/>
    <mergeCell ref="K9250:K9251"/>
    <mergeCell ref="L9250:L9251"/>
    <mergeCell ref="M9250:M9251"/>
    <mergeCell ref="N9250:N9251"/>
    <mergeCell ref="O9250:O9251"/>
    <mergeCell ref="X9250:X9251"/>
    <mergeCell ref="Y9250:Y9251"/>
    <mergeCell ref="Z9250:Z9251"/>
    <mergeCell ref="AA9250:AA9251"/>
    <mergeCell ref="AB9250:AB9251"/>
    <mergeCell ref="A9252:A9253"/>
    <mergeCell ref="E9252:E9253"/>
    <mergeCell ref="H9252:H9253"/>
    <mergeCell ref="I9252:I9253"/>
    <mergeCell ref="J9252:J9253"/>
    <mergeCell ref="K9252:K9253"/>
    <mergeCell ref="L9252:L9253"/>
    <mergeCell ref="M9252:M9253"/>
    <mergeCell ref="N9252:N9253"/>
    <mergeCell ref="O9252:O9253"/>
    <mergeCell ref="X9252:X9253"/>
    <mergeCell ref="Y9252:Y9253"/>
    <mergeCell ref="Z9252:Z9253"/>
    <mergeCell ref="AA9252:AA9253"/>
    <mergeCell ref="AB9252:AB9253"/>
    <mergeCell ref="A9268:A9269"/>
    <mergeCell ref="E9268:E9269"/>
    <mergeCell ref="H9268:H9269"/>
    <mergeCell ref="I9268:I9269"/>
    <mergeCell ref="J9268:J9269"/>
    <mergeCell ref="K9268:K9269"/>
    <mergeCell ref="L9268:L9269"/>
    <mergeCell ref="M9268:M9269"/>
    <mergeCell ref="N9268:N9269"/>
    <mergeCell ref="O9268:O9269"/>
    <mergeCell ref="X9268:X9269"/>
    <mergeCell ref="Y9268:Y9269"/>
    <mergeCell ref="Z9268:Z9269"/>
    <mergeCell ref="AA9268:AA9269"/>
    <mergeCell ref="AB9268:AB9269"/>
    <mergeCell ref="A9270:A9271"/>
    <mergeCell ref="E9270:E9271"/>
    <mergeCell ref="H9270:H9271"/>
    <mergeCell ref="I9270:I9271"/>
    <mergeCell ref="J9270:J9271"/>
    <mergeCell ref="K9270:K9271"/>
    <mergeCell ref="L9270:L9271"/>
    <mergeCell ref="M9270:M9271"/>
    <mergeCell ref="N9270:N9271"/>
    <mergeCell ref="O9270:O9271"/>
    <mergeCell ref="X9270:X9271"/>
    <mergeCell ref="Y9270:Y9271"/>
    <mergeCell ref="Z9270:Z9271"/>
    <mergeCell ref="AA9270:AA9271"/>
    <mergeCell ref="AB9270:AB9271"/>
    <mergeCell ref="A9274:A9275"/>
    <mergeCell ref="E9274:E9275"/>
    <mergeCell ref="H9274:H9275"/>
    <mergeCell ref="I9274:I9275"/>
    <mergeCell ref="J9274:J9275"/>
    <mergeCell ref="K9274:K9275"/>
    <mergeCell ref="L9274:L9275"/>
    <mergeCell ref="M9274:M9275"/>
    <mergeCell ref="N9274:N9275"/>
    <mergeCell ref="O9274:O9275"/>
    <mergeCell ref="X9274:X9275"/>
    <mergeCell ref="Y9274:Y9275"/>
    <mergeCell ref="Z9274:Z9275"/>
    <mergeCell ref="AA9274:AA9275"/>
    <mergeCell ref="AB9274:AB9275"/>
    <mergeCell ref="A9272:A9273"/>
    <mergeCell ref="E9272:E9273"/>
    <mergeCell ref="H9272:H9273"/>
    <mergeCell ref="I9272:I9273"/>
    <mergeCell ref="J9272:J9273"/>
    <mergeCell ref="K9272:K9273"/>
    <mergeCell ref="L9272:L9273"/>
    <mergeCell ref="M9272:M9273"/>
    <mergeCell ref="N9272:N9273"/>
    <mergeCell ref="O9272:O9273"/>
    <mergeCell ref="X9272:X9273"/>
    <mergeCell ref="Y9272:Y9273"/>
    <mergeCell ref="A9264:A9265"/>
    <mergeCell ref="E9264:E9265"/>
    <mergeCell ref="H9264:H9265"/>
    <mergeCell ref="I9264:I9265"/>
    <mergeCell ref="J9264:J9265"/>
    <mergeCell ref="K9264:K9265"/>
    <mergeCell ref="L9264:L9265"/>
    <mergeCell ref="M9264:M9265"/>
    <mergeCell ref="N9264:N9265"/>
    <mergeCell ref="O9264:O9265"/>
    <mergeCell ref="X9264:X9265"/>
    <mergeCell ref="Y9264:Y9265"/>
    <mergeCell ref="Z9264:Z9265"/>
    <mergeCell ref="AA9264:AA9265"/>
    <mergeCell ref="AB9264:AB9265"/>
    <mergeCell ref="A9266:A9267"/>
    <mergeCell ref="E9266:E9267"/>
    <mergeCell ref="H9266:H9267"/>
    <mergeCell ref="I9266:I9267"/>
    <mergeCell ref="J9266:J9267"/>
    <mergeCell ref="K9266:K9267"/>
    <mergeCell ref="L9266:L9267"/>
    <mergeCell ref="M9266:M9267"/>
    <mergeCell ref="N9266:N9267"/>
    <mergeCell ref="O9266:O9267"/>
    <mergeCell ref="X9266:X9267"/>
    <mergeCell ref="Y9266:Y9267"/>
    <mergeCell ref="Z9266:Z9267"/>
    <mergeCell ref="AA9266:AA9267"/>
    <mergeCell ref="AB9266:AB9267"/>
    <mergeCell ref="A9260:A9261"/>
    <mergeCell ref="E9260:E9261"/>
    <mergeCell ref="H9260:H9261"/>
    <mergeCell ref="I9260:I9261"/>
    <mergeCell ref="J9260:J9261"/>
    <mergeCell ref="K9260:K9261"/>
    <mergeCell ref="L9260:L9261"/>
    <mergeCell ref="M9260:M9261"/>
    <mergeCell ref="N9260:N9261"/>
    <mergeCell ref="O9260:O9261"/>
    <mergeCell ref="X9260:X9261"/>
    <mergeCell ref="Y9260:Y9261"/>
    <mergeCell ref="Z9260:Z9261"/>
    <mergeCell ref="AA9260:AA9261"/>
    <mergeCell ref="AB9260:AB9261"/>
    <mergeCell ref="A9262:A9263"/>
    <mergeCell ref="E9262:E9263"/>
    <mergeCell ref="H9262:H9263"/>
    <mergeCell ref="I9262:I9263"/>
    <mergeCell ref="J9262:J9263"/>
    <mergeCell ref="K9262:K9263"/>
    <mergeCell ref="L9262:L9263"/>
    <mergeCell ref="M9262:M9263"/>
    <mergeCell ref="N9262:N9263"/>
    <mergeCell ref="O9262:O9263"/>
    <mergeCell ref="X9262:X9263"/>
    <mergeCell ref="Y9262:Y9263"/>
    <mergeCell ref="Z9262:Z9263"/>
    <mergeCell ref="AA9262:AA9263"/>
    <mergeCell ref="AB9262:AB9263"/>
    <mergeCell ref="A9256:A9257"/>
    <mergeCell ref="E9256:E9257"/>
    <mergeCell ref="H9256:H9257"/>
    <mergeCell ref="I9256:I9257"/>
    <mergeCell ref="J9256:J9257"/>
    <mergeCell ref="K9256:K9257"/>
    <mergeCell ref="L9256:L9257"/>
    <mergeCell ref="M9256:M9257"/>
    <mergeCell ref="N9256:N9257"/>
    <mergeCell ref="O9256:O9257"/>
    <mergeCell ref="X9256:X9257"/>
    <mergeCell ref="Y9256:Y9257"/>
    <mergeCell ref="Z9256:Z9257"/>
    <mergeCell ref="AA9256:AA9257"/>
    <mergeCell ref="AB9256:AB9257"/>
    <mergeCell ref="A9258:A9259"/>
    <mergeCell ref="E9258:E9259"/>
    <mergeCell ref="H9258:H9259"/>
    <mergeCell ref="I9258:I9259"/>
    <mergeCell ref="J9258:J9259"/>
    <mergeCell ref="K9258:K9259"/>
    <mergeCell ref="L9258:L9259"/>
    <mergeCell ref="M9258:M9259"/>
    <mergeCell ref="N9258:N9259"/>
    <mergeCell ref="O9258:O9259"/>
    <mergeCell ref="X9258:X9259"/>
    <mergeCell ref="Y9258:Y9259"/>
    <mergeCell ref="Z9258:Z9259"/>
    <mergeCell ref="AA9258:AA9259"/>
    <mergeCell ref="AB9258:AB9259"/>
    <mergeCell ref="A9246:A9247"/>
    <mergeCell ref="E9246:E9247"/>
    <mergeCell ref="H9246:H9247"/>
    <mergeCell ref="I9246:I9247"/>
    <mergeCell ref="J9246:J9247"/>
    <mergeCell ref="K9246:K9247"/>
    <mergeCell ref="L9246:L9247"/>
    <mergeCell ref="M9246:M9247"/>
    <mergeCell ref="N9246:N9247"/>
    <mergeCell ref="O9246:O9247"/>
    <mergeCell ref="X9246:X9247"/>
    <mergeCell ref="Y9246:Y9247"/>
    <mergeCell ref="Z9246:Z9247"/>
    <mergeCell ref="AA9246:AA9247"/>
    <mergeCell ref="AB9246:AB9247"/>
    <mergeCell ref="A9254:A9255"/>
    <mergeCell ref="E9254:E9255"/>
    <mergeCell ref="H9254:H9255"/>
    <mergeCell ref="I9254:I9255"/>
    <mergeCell ref="J9254:J9255"/>
    <mergeCell ref="K9254:K9255"/>
    <mergeCell ref="L9254:L9255"/>
    <mergeCell ref="M9254:M9255"/>
    <mergeCell ref="N9254:N9255"/>
    <mergeCell ref="O9254:O9255"/>
    <mergeCell ref="X9254:X9255"/>
    <mergeCell ref="Y9254:Y9255"/>
    <mergeCell ref="Z9254:Z9255"/>
    <mergeCell ref="AA9254:AA9255"/>
    <mergeCell ref="AB9254:AB9255"/>
    <mergeCell ref="A9248:A9249"/>
    <mergeCell ref="E9248:E9249"/>
    <mergeCell ref="H9248:H9249"/>
    <mergeCell ref="I9248:I9249"/>
    <mergeCell ref="A9242:A9243"/>
    <mergeCell ref="E9242:E9243"/>
    <mergeCell ref="H9242:H9243"/>
    <mergeCell ref="I9242:I9243"/>
    <mergeCell ref="J9242:J9243"/>
    <mergeCell ref="K9242:K9243"/>
    <mergeCell ref="L9242:L9243"/>
    <mergeCell ref="M9242:M9243"/>
    <mergeCell ref="N9242:N9243"/>
    <mergeCell ref="O9242:O9243"/>
    <mergeCell ref="X9242:X9243"/>
    <mergeCell ref="Y9242:Y9243"/>
    <mergeCell ref="Z9242:Z9243"/>
    <mergeCell ref="AA9242:AA9243"/>
    <mergeCell ref="AB9242:AB9243"/>
    <mergeCell ref="A9244:A9245"/>
    <mergeCell ref="E9244:E9245"/>
    <mergeCell ref="H9244:H9245"/>
    <mergeCell ref="I9244:I9245"/>
    <mergeCell ref="J9244:J9245"/>
    <mergeCell ref="K9244:K9245"/>
    <mergeCell ref="L9244:L9245"/>
    <mergeCell ref="M9244:M9245"/>
    <mergeCell ref="N9244:N9245"/>
    <mergeCell ref="O9244:O9245"/>
    <mergeCell ref="X9244:X9245"/>
    <mergeCell ref="Y9244:Y9245"/>
    <mergeCell ref="Z9244:Z9245"/>
    <mergeCell ref="AA9244:AA9245"/>
    <mergeCell ref="AB9244:AB9245"/>
    <mergeCell ref="A9238:A9239"/>
    <mergeCell ref="E9238:E9239"/>
    <mergeCell ref="H9238:H9239"/>
    <mergeCell ref="I9238:I9239"/>
    <mergeCell ref="J9238:J9239"/>
    <mergeCell ref="K9238:K9239"/>
    <mergeCell ref="L9238:L9239"/>
    <mergeCell ref="M9238:M9239"/>
    <mergeCell ref="N9238:N9239"/>
    <mergeCell ref="O9238:O9239"/>
    <mergeCell ref="X9238:X9239"/>
    <mergeCell ref="Y9238:Y9239"/>
    <mergeCell ref="Z9238:Z9239"/>
    <mergeCell ref="AA9238:AA9239"/>
    <mergeCell ref="AB9238:AB9239"/>
    <mergeCell ref="A9240:A9241"/>
    <mergeCell ref="E9240:E9241"/>
    <mergeCell ref="H9240:H9241"/>
    <mergeCell ref="I9240:I9241"/>
    <mergeCell ref="J9240:J9241"/>
    <mergeCell ref="K9240:K9241"/>
    <mergeCell ref="L9240:L9241"/>
    <mergeCell ref="M9240:M9241"/>
    <mergeCell ref="N9240:N9241"/>
    <mergeCell ref="O9240:O9241"/>
    <mergeCell ref="X9240:X9241"/>
    <mergeCell ref="Y9240:Y9241"/>
    <mergeCell ref="Z9240:Z9241"/>
    <mergeCell ref="AA9240:AA9241"/>
    <mergeCell ref="AB9240:AB9241"/>
    <mergeCell ref="A9234:A9235"/>
    <mergeCell ref="E9234:E9235"/>
    <mergeCell ref="H9234:H9235"/>
    <mergeCell ref="I9234:I9235"/>
    <mergeCell ref="J9234:J9235"/>
    <mergeCell ref="K9234:K9235"/>
    <mergeCell ref="L9234:L9235"/>
    <mergeCell ref="M9234:M9235"/>
    <mergeCell ref="N9234:N9235"/>
    <mergeCell ref="O9234:O9235"/>
    <mergeCell ref="X9234:X9235"/>
    <mergeCell ref="Y9234:Y9235"/>
    <mergeCell ref="Z9234:Z9235"/>
    <mergeCell ref="AA9234:AA9235"/>
    <mergeCell ref="AB9234:AB9235"/>
    <mergeCell ref="A9236:A9237"/>
    <mergeCell ref="E9236:E9237"/>
    <mergeCell ref="H9236:H9237"/>
    <mergeCell ref="I9236:I9237"/>
    <mergeCell ref="J9236:J9237"/>
    <mergeCell ref="K9236:K9237"/>
    <mergeCell ref="L9236:L9237"/>
    <mergeCell ref="M9236:M9237"/>
    <mergeCell ref="N9236:N9237"/>
    <mergeCell ref="O9236:O9237"/>
    <mergeCell ref="X9236:X9237"/>
    <mergeCell ref="Y9236:Y9237"/>
    <mergeCell ref="Z9236:Z9237"/>
    <mergeCell ref="AA9236:AA9237"/>
    <mergeCell ref="AB9236:AB9237"/>
    <mergeCell ref="A9230:A9231"/>
    <mergeCell ref="E9230:E9231"/>
    <mergeCell ref="H9230:H9231"/>
    <mergeCell ref="I9230:I9231"/>
    <mergeCell ref="J9230:J9231"/>
    <mergeCell ref="K9230:K9231"/>
    <mergeCell ref="L9230:L9231"/>
    <mergeCell ref="M9230:M9231"/>
    <mergeCell ref="N9230:N9231"/>
    <mergeCell ref="O9230:O9231"/>
    <mergeCell ref="X9230:X9231"/>
    <mergeCell ref="Y9230:Y9231"/>
    <mergeCell ref="Z9230:Z9231"/>
    <mergeCell ref="AA9230:AA9231"/>
    <mergeCell ref="AB9230:AB9231"/>
    <mergeCell ref="A9232:A9233"/>
    <mergeCell ref="E9232:E9233"/>
    <mergeCell ref="H9232:H9233"/>
    <mergeCell ref="I9232:I9233"/>
    <mergeCell ref="J9232:J9233"/>
    <mergeCell ref="K9232:K9233"/>
    <mergeCell ref="L9232:L9233"/>
    <mergeCell ref="M9232:M9233"/>
    <mergeCell ref="N9232:N9233"/>
    <mergeCell ref="O9232:O9233"/>
    <mergeCell ref="X9232:X9233"/>
    <mergeCell ref="Y9232:Y9233"/>
    <mergeCell ref="Z9232:Z9233"/>
    <mergeCell ref="AA9232:AA9233"/>
    <mergeCell ref="AB9232:AB9233"/>
    <mergeCell ref="A9226:A9227"/>
    <mergeCell ref="E9226:E9227"/>
    <mergeCell ref="H9226:H9227"/>
    <mergeCell ref="I9226:I9227"/>
    <mergeCell ref="J9226:J9227"/>
    <mergeCell ref="K9226:K9227"/>
    <mergeCell ref="L9226:L9227"/>
    <mergeCell ref="M9226:M9227"/>
    <mergeCell ref="N9226:N9227"/>
    <mergeCell ref="O9226:O9227"/>
    <mergeCell ref="X9226:X9227"/>
    <mergeCell ref="Y9226:Y9227"/>
    <mergeCell ref="Z9226:Z9227"/>
    <mergeCell ref="AA9226:AA9227"/>
    <mergeCell ref="AB9226:AB9227"/>
    <mergeCell ref="A9228:A9229"/>
    <mergeCell ref="E9228:E9229"/>
    <mergeCell ref="H9228:H9229"/>
    <mergeCell ref="I9228:I9229"/>
    <mergeCell ref="J9228:J9229"/>
    <mergeCell ref="K9228:K9229"/>
    <mergeCell ref="L9228:L9229"/>
    <mergeCell ref="M9228:M9229"/>
    <mergeCell ref="N9228:N9229"/>
    <mergeCell ref="O9228:O9229"/>
    <mergeCell ref="X9228:X9229"/>
    <mergeCell ref="Y9228:Y9229"/>
    <mergeCell ref="Z9228:Z9229"/>
    <mergeCell ref="AA9228:AA9229"/>
    <mergeCell ref="AB9228:AB9229"/>
    <mergeCell ref="A9222:A9223"/>
    <mergeCell ref="E9222:E9223"/>
    <mergeCell ref="H9222:H9223"/>
    <mergeCell ref="I9222:I9223"/>
    <mergeCell ref="J9222:J9223"/>
    <mergeCell ref="K9222:K9223"/>
    <mergeCell ref="L9222:L9223"/>
    <mergeCell ref="M9222:M9223"/>
    <mergeCell ref="N9222:N9223"/>
    <mergeCell ref="O9222:O9223"/>
    <mergeCell ref="X9222:X9223"/>
    <mergeCell ref="Y9222:Y9223"/>
    <mergeCell ref="Z9222:Z9223"/>
    <mergeCell ref="AA9222:AA9223"/>
    <mergeCell ref="AB9222:AB9223"/>
    <mergeCell ref="A9224:A9225"/>
    <mergeCell ref="E9224:E9225"/>
    <mergeCell ref="H9224:H9225"/>
    <mergeCell ref="I9224:I9225"/>
    <mergeCell ref="J9224:J9225"/>
    <mergeCell ref="K9224:K9225"/>
    <mergeCell ref="L9224:L9225"/>
    <mergeCell ref="M9224:M9225"/>
    <mergeCell ref="N9224:N9225"/>
    <mergeCell ref="O9224:O9225"/>
    <mergeCell ref="X9224:X9225"/>
    <mergeCell ref="Y9224:Y9225"/>
    <mergeCell ref="Z9224:Z9225"/>
    <mergeCell ref="AA9224:AA9225"/>
    <mergeCell ref="AB9224:AB9225"/>
    <mergeCell ref="A9216:A9217"/>
    <mergeCell ref="E9216:E9217"/>
    <mergeCell ref="H9216:H9217"/>
    <mergeCell ref="I9216:I9217"/>
    <mergeCell ref="J9216:J9217"/>
    <mergeCell ref="K9216:K9217"/>
    <mergeCell ref="L9216:L9217"/>
    <mergeCell ref="M9216:M9217"/>
    <mergeCell ref="N9216:N9217"/>
    <mergeCell ref="O9216:O9217"/>
    <mergeCell ref="X9216:X9217"/>
    <mergeCell ref="Y9216:Y9217"/>
    <mergeCell ref="Z9216:Z9217"/>
    <mergeCell ref="AA9216:AA9217"/>
    <mergeCell ref="AB9216:AB9217"/>
    <mergeCell ref="A9220:A9221"/>
    <mergeCell ref="E9220:E9221"/>
    <mergeCell ref="H9220:H9221"/>
    <mergeCell ref="I9220:I9221"/>
    <mergeCell ref="J9220:J9221"/>
    <mergeCell ref="K9220:K9221"/>
    <mergeCell ref="L9220:L9221"/>
    <mergeCell ref="M9220:M9221"/>
    <mergeCell ref="N9220:N9221"/>
    <mergeCell ref="O9220:O9221"/>
    <mergeCell ref="X9220:X9221"/>
    <mergeCell ref="Y9220:Y9221"/>
    <mergeCell ref="Z9220:Z9221"/>
    <mergeCell ref="AA9220:AA9221"/>
    <mergeCell ref="AB9220:AB9221"/>
    <mergeCell ref="A9212:A9213"/>
    <mergeCell ref="E9212:E9213"/>
    <mergeCell ref="H9212:H9213"/>
    <mergeCell ref="I9212:I9213"/>
    <mergeCell ref="J9212:J9213"/>
    <mergeCell ref="K9212:K9213"/>
    <mergeCell ref="L9212:L9213"/>
    <mergeCell ref="M9212:M9213"/>
    <mergeCell ref="N9212:N9213"/>
    <mergeCell ref="O9212:O9213"/>
    <mergeCell ref="X9212:X9213"/>
    <mergeCell ref="Y9212:Y9213"/>
    <mergeCell ref="Z9212:Z9213"/>
    <mergeCell ref="AA9212:AA9213"/>
    <mergeCell ref="AB9212:AB9213"/>
    <mergeCell ref="A9214:A9215"/>
    <mergeCell ref="E9214:E9215"/>
    <mergeCell ref="H9214:H9215"/>
    <mergeCell ref="I9214:I9215"/>
    <mergeCell ref="J9214:J9215"/>
    <mergeCell ref="K9214:K9215"/>
    <mergeCell ref="L9214:L9215"/>
    <mergeCell ref="M9214:M9215"/>
    <mergeCell ref="N9214:N9215"/>
    <mergeCell ref="O9214:O9215"/>
    <mergeCell ref="X9214:X9215"/>
    <mergeCell ref="Y9214:Y9215"/>
    <mergeCell ref="Z9214:Z9215"/>
    <mergeCell ref="AA9214:AA9215"/>
    <mergeCell ref="AB9214:AB9215"/>
    <mergeCell ref="A9218:A9219"/>
    <mergeCell ref="E9218:E9219"/>
    <mergeCell ref="H9218:H9219"/>
    <mergeCell ref="I9218:I9219"/>
    <mergeCell ref="A9208:A9209"/>
    <mergeCell ref="E9208:E9209"/>
    <mergeCell ref="H9208:H9209"/>
    <mergeCell ref="I9208:I9209"/>
    <mergeCell ref="J9208:J9209"/>
    <mergeCell ref="K9208:K9209"/>
    <mergeCell ref="L9208:L9209"/>
    <mergeCell ref="M9208:M9209"/>
    <mergeCell ref="N9208:N9209"/>
    <mergeCell ref="O9208:O9209"/>
    <mergeCell ref="X9208:X9209"/>
    <mergeCell ref="Y9208:Y9209"/>
    <mergeCell ref="Z9208:Z9209"/>
    <mergeCell ref="AA9208:AA9209"/>
    <mergeCell ref="AB9208:AB9209"/>
    <mergeCell ref="A9210:A9211"/>
    <mergeCell ref="E9210:E9211"/>
    <mergeCell ref="H9210:H9211"/>
    <mergeCell ref="I9210:I9211"/>
    <mergeCell ref="J9210:J9211"/>
    <mergeCell ref="K9210:K9211"/>
    <mergeCell ref="L9210:L9211"/>
    <mergeCell ref="M9210:M9211"/>
    <mergeCell ref="N9210:N9211"/>
    <mergeCell ref="O9210:O9211"/>
    <mergeCell ref="X9210:X9211"/>
    <mergeCell ref="Y9210:Y9211"/>
    <mergeCell ref="Z9210:Z9211"/>
    <mergeCell ref="AA9210:AA9211"/>
    <mergeCell ref="AB9210:AB9211"/>
    <mergeCell ref="A9204:A9205"/>
    <mergeCell ref="E9204:E9205"/>
    <mergeCell ref="H9204:H9205"/>
    <mergeCell ref="I9204:I9205"/>
    <mergeCell ref="J9204:J9205"/>
    <mergeCell ref="K9204:K9205"/>
    <mergeCell ref="L9204:L9205"/>
    <mergeCell ref="M9204:M9205"/>
    <mergeCell ref="N9204:N9205"/>
    <mergeCell ref="O9204:O9205"/>
    <mergeCell ref="X9204:X9205"/>
    <mergeCell ref="Y9204:Y9205"/>
    <mergeCell ref="Z9204:Z9205"/>
    <mergeCell ref="AA9204:AA9205"/>
    <mergeCell ref="AB9204:AB9205"/>
    <mergeCell ref="A9206:A9207"/>
    <mergeCell ref="E9206:E9207"/>
    <mergeCell ref="H9206:H9207"/>
    <mergeCell ref="I9206:I9207"/>
    <mergeCell ref="J9206:J9207"/>
    <mergeCell ref="K9206:K9207"/>
    <mergeCell ref="L9206:L9207"/>
    <mergeCell ref="M9206:M9207"/>
    <mergeCell ref="N9206:N9207"/>
    <mergeCell ref="O9206:O9207"/>
    <mergeCell ref="X9206:X9207"/>
    <mergeCell ref="Y9206:Y9207"/>
    <mergeCell ref="Z9206:Z9207"/>
    <mergeCell ref="AA9206:AA9207"/>
    <mergeCell ref="AB9206:AB9207"/>
    <mergeCell ref="A9200:A9201"/>
    <mergeCell ref="E9200:E9201"/>
    <mergeCell ref="H9200:H9201"/>
    <mergeCell ref="I9200:I9201"/>
    <mergeCell ref="J9200:J9201"/>
    <mergeCell ref="K9200:K9201"/>
    <mergeCell ref="L9200:L9201"/>
    <mergeCell ref="M9200:M9201"/>
    <mergeCell ref="N9200:N9201"/>
    <mergeCell ref="O9200:O9201"/>
    <mergeCell ref="X9200:X9201"/>
    <mergeCell ref="Y9200:Y9201"/>
    <mergeCell ref="Z9200:Z9201"/>
    <mergeCell ref="AA9200:AA9201"/>
    <mergeCell ref="AB9200:AB9201"/>
    <mergeCell ref="A9202:A9203"/>
    <mergeCell ref="E9202:E9203"/>
    <mergeCell ref="H9202:H9203"/>
    <mergeCell ref="I9202:I9203"/>
    <mergeCell ref="J9202:J9203"/>
    <mergeCell ref="K9202:K9203"/>
    <mergeCell ref="L9202:L9203"/>
    <mergeCell ref="M9202:M9203"/>
    <mergeCell ref="N9202:N9203"/>
    <mergeCell ref="O9202:O9203"/>
    <mergeCell ref="X9202:X9203"/>
    <mergeCell ref="Y9202:Y9203"/>
    <mergeCell ref="Z9202:Z9203"/>
    <mergeCell ref="AA9202:AA9203"/>
    <mergeCell ref="AB9202:AB9203"/>
    <mergeCell ref="A9196:A9197"/>
    <mergeCell ref="E9196:E9197"/>
    <mergeCell ref="H9196:H9197"/>
    <mergeCell ref="I9196:I9197"/>
    <mergeCell ref="J9196:J9197"/>
    <mergeCell ref="K9196:K9197"/>
    <mergeCell ref="L9196:L9197"/>
    <mergeCell ref="M9196:M9197"/>
    <mergeCell ref="N9196:N9197"/>
    <mergeCell ref="O9196:O9197"/>
    <mergeCell ref="X9196:X9197"/>
    <mergeCell ref="Y9196:Y9197"/>
    <mergeCell ref="Z9196:Z9197"/>
    <mergeCell ref="AA9196:AA9197"/>
    <mergeCell ref="AB9196:AB9197"/>
    <mergeCell ref="A9198:A9199"/>
    <mergeCell ref="E9198:E9199"/>
    <mergeCell ref="H9198:H9199"/>
    <mergeCell ref="I9198:I9199"/>
    <mergeCell ref="J9198:J9199"/>
    <mergeCell ref="K9198:K9199"/>
    <mergeCell ref="L9198:L9199"/>
    <mergeCell ref="M9198:M9199"/>
    <mergeCell ref="N9198:N9199"/>
    <mergeCell ref="O9198:O9199"/>
    <mergeCell ref="X9198:X9199"/>
    <mergeCell ref="Y9198:Y9199"/>
    <mergeCell ref="Z9198:Z9199"/>
    <mergeCell ref="AA9198:AA9199"/>
    <mergeCell ref="AB9198:AB9199"/>
    <mergeCell ref="A9192:A9193"/>
    <mergeCell ref="E9192:E9193"/>
    <mergeCell ref="H9192:H9193"/>
    <mergeCell ref="I9192:I9193"/>
    <mergeCell ref="J9192:J9193"/>
    <mergeCell ref="K9192:K9193"/>
    <mergeCell ref="L9192:L9193"/>
    <mergeCell ref="M9192:M9193"/>
    <mergeCell ref="N9192:N9193"/>
    <mergeCell ref="O9192:O9193"/>
    <mergeCell ref="X9192:X9193"/>
    <mergeCell ref="Y9192:Y9193"/>
    <mergeCell ref="Z9192:Z9193"/>
    <mergeCell ref="AA9192:AA9193"/>
    <mergeCell ref="AB9192:AB9193"/>
    <mergeCell ref="A9194:A9195"/>
    <mergeCell ref="E9194:E9195"/>
    <mergeCell ref="H9194:H9195"/>
    <mergeCell ref="I9194:I9195"/>
    <mergeCell ref="J9194:J9195"/>
    <mergeCell ref="K9194:K9195"/>
    <mergeCell ref="L9194:L9195"/>
    <mergeCell ref="M9194:M9195"/>
    <mergeCell ref="N9194:N9195"/>
    <mergeCell ref="O9194:O9195"/>
    <mergeCell ref="X9194:X9195"/>
    <mergeCell ref="Y9194:Y9195"/>
    <mergeCell ref="Z9194:Z9195"/>
    <mergeCell ref="AA9194:AA9195"/>
    <mergeCell ref="AB9194:AB9195"/>
    <mergeCell ref="A9188:A9189"/>
    <mergeCell ref="E9188:E9189"/>
    <mergeCell ref="H9188:H9189"/>
    <mergeCell ref="I9188:I9189"/>
    <mergeCell ref="J9188:J9189"/>
    <mergeCell ref="K9188:K9189"/>
    <mergeCell ref="L9188:L9189"/>
    <mergeCell ref="M9188:M9189"/>
    <mergeCell ref="N9188:N9189"/>
    <mergeCell ref="O9188:O9189"/>
    <mergeCell ref="X9188:X9189"/>
    <mergeCell ref="Y9188:Y9189"/>
    <mergeCell ref="Z9188:Z9189"/>
    <mergeCell ref="AA9188:AA9189"/>
    <mergeCell ref="AB9188:AB9189"/>
    <mergeCell ref="A9190:A9191"/>
    <mergeCell ref="E9190:E9191"/>
    <mergeCell ref="H9190:H9191"/>
    <mergeCell ref="I9190:I9191"/>
    <mergeCell ref="J9190:J9191"/>
    <mergeCell ref="K9190:K9191"/>
    <mergeCell ref="L9190:L9191"/>
    <mergeCell ref="M9190:M9191"/>
    <mergeCell ref="N9190:N9191"/>
    <mergeCell ref="O9190:O9191"/>
    <mergeCell ref="X9190:X9191"/>
    <mergeCell ref="Y9190:Y9191"/>
    <mergeCell ref="Z9190:Z9191"/>
    <mergeCell ref="AA9190:AA9191"/>
    <mergeCell ref="AB9190:AB9191"/>
    <mergeCell ref="A9184:A9185"/>
    <mergeCell ref="E9184:E9185"/>
    <mergeCell ref="H9184:H9185"/>
    <mergeCell ref="I9184:I9185"/>
    <mergeCell ref="J9184:J9185"/>
    <mergeCell ref="K9184:K9185"/>
    <mergeCell ref="L9184:L9185"/>
    <mergeCell ref="M9184:M9185"/>
    <mergeCell ref="N9184:N9185"/>
    <mergeCell ref="O9184:O9185"/>
    <mergeCell ref="X9184:X9185"/>
    <mergeCell ref="Y9184:Y9185"/>
    <mergeCell ref="Z9184:Z9185"/>
    <mergeCell ref="AA9184:AA9185"/>
    <mergeCell ref="AB9184:AB9185"/>
    <mergeCell ref="A9186:A9187"/>
    <mergeCell ref="E9186:E9187"/>
    <mergeCell ref="H9186:H9187"/>
    <mergeCell ref="I9186:I9187"/>
    <mergeCell ref="J9186:J9187"/>
    <mergeCell ref="K9186:K9187"/>
    <mergeCell ref="L9186:L9187"/>
    <mergeCell ref="M9186:M9187"/>
    <mergeCell ref="N9186:N9187"/>
    <mergeCell ref="O9186:O9187"/>
    <mergeCell ref="X9186:X9187"/>
    <mergeCell ref="Y9186:Y9187"/>
    <mergeCell ref="Z9186:Z9187"/>
    <mergeCell ref="AA9186:AA9187"/>
    <mergeCell ref="AB9186:AB9187"/>
    <mergeCell ref="A9180:A9181"/>
    <mergeCell ref="E9180:E9181"/>
    <mergeCell ref="H9180:H9181"/>
    <mergeCell ref="I9180:I9181"/>
    <mergeCell ref="J9180:J9181"/>
    <mergeCell ref="K9180:K9181"/>
    <mergeCell ref="L9180:L9181"/>
    <mergeCell ref="M9180:M9181"/>
    <mergeCell ref="N9180:N9181"/>
    <mergeCell ref="O9180:O9181"/>
    <mergeCell ref="X9180:X9181"/>
    <mergeCell ref="Y9180:Y9181"/>
    <mergeCell ref="Z9180:Z9181"/>
    <mergeCell ref="AA9180:AA9181"/>
    <mergeCell ref="AB9180:AB9181"/>
    <mergeCell ref="A9182:A9183"/>
    <mergeCell ref="E9182:E9183"/>
    <mergeCell ref="H9182:H9183"/>
    <mergeCell ref="I9182:I9183"/>
    <mergeCell ref="J9182:J9183"/>
    <mergeCell ref="K9182:K9183"/>
    <mergeCell ref="L9182:L9183"/>
    <mergeCell ref="M9182:M9183"/>
    <mergeCell ref="N9182:N9183"/>
    <mergeCell ref="O9182:O9183"/>
    <mergeCell ref="X9182:X9183"/>
    <mergeCell ref="Y9182:Y9183"/>
    <mergeCell ref="Z9182:Z9183"/>
    <mergeCell ref="AA9182:AA9183"/>
    <mergeCell ref="AB9182:AB9183"/>
    <mergeCell ref="A9176:A9177"/>
    <mergeCell ref="E9176:E9177"/>
    <mergeCell ref="H9176:H9177"/>
    <mergeCell ref="I9176:I9177"/>
    <mergeCell ref="J9176:J9177"/>
    <mergeCell ref="K9176:K9177"/>
    <mergeCell ref="L9176:L9177"/>
    <mergeCell ref="M9176:M9177"/>
    <mergeCell ref="N9176:N9177"/>
    <mergeCell ref="O9176:O9177"/>
    <mergeCell ref="X9176:X9177"/>
    <mergeCell ref="Y9176:Y9177"/>
    <mergeCell ref="Z9176:Z9177"/>
    <mergeCell ref="AA9176:AA9177"/>
    <mergeCell ref="AB9176:AB9177"/>
    <mergeCell ref="A9178:A9179"/>
    <mergeCell ref="E9178:E9179"/>
    <mergeCell ref="H9178:H9179"/>
    <mergeCell ref="I9178:I9179"/>
    <mergeCell ref="J9178:J9179"/>
    <mergeCell ref="K9178:K9179"/>
    <mergeCell ref="L9178:L9179"/>
    <mergeCell ref="M9178:M9179"/>
    <mergeCell ref="N9178:N9179"/>
    <mergeCell ref="O9178:O9179"/>
    <mergeCell ref="X9178:X9179"/>
    <mergeCell ref="Y9178:Y9179"/>
    <mergeCell ref="Z9178:Z9179"/>
    <mergeCell ref="AA9178:AA9179"/>
    <mergeCell ref="AB9178:AB9179"/>
    <mergeCell ref="A9172:A9173"/>
    <mergeCell ref="E9172:E9173"/>
    <mergeCell ref="H9172:H9173"/>
    <mergeCell ref="I9172:I9173"/>
    <mergeCell ref="J9172:J9173"/>
    <mergeCell ref="K9172:K9173"/>
    <mergeCell ref="L9172:L9173"/>
    <mergeCell ref="M9172:M9173"/>
    <mergeCell ref="N9172:N9173"/>
    <mergeCell ref="O9172:O9173"/>
    <mergeCell ref="X9172:X9173"/>
    <mergeCell ref="Y9172:Y9173"/>
    <mergeCell ref="Z9172:Z9173"/>
    <mergeCell ref="AA9172:AA9173"/>
    <mergeCell ref="AB9172:AB9173"/>
    <mergeCell ref="A9174:A9175"/>
    <mergeCell ref="E9174:E9175"/>
    <mergeCell ref="H9174:H9175"/>
    <mergeCell ref="I9174:I9175"/>
    <mergeCell ref="J9174:J9175"/>
    <mergeCell ref="K9174:K9175"/>
    <mergeCell ref="L9174:L9175"/>
    <mergeCell ref="M9174:M9175"/>
    <mergeCell ref="N9174:N9175"/>
    <mergeCell ref="O9174:O9175"/>
    <mergeCell ref="X9174:X9175"/>
    <mergeCell ref="Y9174:Y9175"/>
    <mergeCell ref="Z9174:Z9175"/>
    <mergeCell ref="AA9174:AA9175"/>
    <mergeCell ref="AB9174:AB9175"/>
    <mergeCell ref="A9170:A9171"/>
    <mergeCell ref="E9170:E9171"/>
    <mergeCell ref="H9170:H9171"/>
    <mergeCell ref="I9170:I9171"/>
    <mergeCell ref="J9170:J9171"/>
    <mergeCell ref="K9170:K9171"/>
    <mergeCell ref="L9170:L9171"/>
    <mergeCell ref="M9170:M9171"/>
    <mergeCell ref="N9170:N9171"/>
    <mergeCell ref="O9170:O9171"/>
    <mergeCell ref="X9170:X9171"/>
    <mergeCell ref="Y9170:Y9171"/>
    <mergeCell ref="Z9170:Z9171"/>
    <mergeCell ref="AA9170:AA9171"/>
    <mergeCell ref="AB9170:AB9171"/>
    <mergeCell ref="A9166:A9167"/>
    <mergeCell ref="E9166:E9167"/>
    <mergeCell ref="H9166:H9167"/>
    <mergeCell ref="I9166:I9167"/>
    <mergeCell ref="J9166:J9167"/>
    <mergeCell ref="K9166:K9167"/>
    <mergeCell ref="L9166:L9167"/>
    <mergeCell ref="M9166:M9167"/>
    <mergeCell ref="N9166:N9167"/>
    <mergeCell ref="O9166:O9167"/>
    <mergeCell ref="X9166:X9167"/>
    <mergeCell ref="Y9166:Y9167"/>
    <mergeCell ref="Z9166:Z9167"/>
    <mergeCell ref="AA9166:AA9167"/>
    <mergeCell ref="AB9166:AB9167"/>
    <mergeCell ref="A9168:A9169"/>
    <mergeCell ref="E9168:E9169"/>
    <mergeCell ref="H9168:H9169"/>
    <mergeCell ref="I9168:I9169"/>
    <mergeCell ref="J9168:J9169"/>
    <mergeCell ref="K9168:K9169"/>
    <mergeCell ref="L9168:L9169"/>
    <mergeCell ref="M9168:M9169"/>
    <mergeCell ref="N9168:N9169"/>
    <mergeCell ref="O9168:O9169"/>
    <mergeCell ref="X9168:X9169"/>
    <mergeCell ref="Y9168:Y9169"/>
    <mergeCell ref="Z9168:Z9169"/>
    <mergeCell ref="AA9168:AA9169"/>
    <mergeCell ref="AB9168:AB9169"/>
    <mergeCell ref="O9162:O9163"/>
    <mergeCell ref="X9162:X9163"/>
    <mergeCell ref="Y9162:Y9163"/>
    <mergeCell ref="Z9162:Z9163"/>
    <mergeCell ref="AA9162:AA9163"/>
    <mergeCell ref="AB9162:AB9163"/>
    <mergeCell ref="A9164:A9165"/>
    <mergeCell ref="E9164:E9165"/>
    <mergeCell ref="H9164:H9165"/>
    <mergeCell ref="I9164:I9165"/>
    <mergeCell ref="J9164:J9165"/>
    <mergeCell ref="K9164:K9165"/>
    <mergeCell ref="L9164:L9165"/>
    <mergeCell ref="M9164:M9165"/>
    <mergeCell ref="N9164:N9165"/>
    <mergeCell ref="O9164:O9165"/>
    <mergeCell ref="X9164:X9165"/>
    <mergeCell ref="Y9164:Y9165"/>
    <mergeCell ref="Z9164:Z9165"/>
    <mergeCell ref="AA9164:AA9165"/>
    <mergeCell ref="AB9164:AB9165"/>
    <mergeCell ref="A9158:A9159"/>
    <mergeCell ref="E9158:E9159"/>
    <mergeCell ref="H9158:H9159"/>
    <mergeCell ref="I9158:I9159"/>
    <mergeCell ref="J9158:J9159"/>
    <mergeCell ref="K9158:K9159"/>
    <mergeCell ref="L9158:L9159"/>
    <mergeCell ref="M9158:M9159"/>
    <mergeCell ref="N9158:N9159"/>
    <mergeCell ref="O9158:O9159"/>
    <mergeCell ref="X9158:X9159"/>
    <mergeCell ref="Y9158:Y9159"/>
    <mergeCell ref="Z9158:Z9159"/>
    <mergeCell ref="AA9158:AA9159"/>
    <mergeCell ref="AB9158:AB9159"/>
    <mergeCell ref="A9160:A9161"/>
    <mergeCell ref="E9160:E9161"/>
    <mergeCell ref="H9160:H9161"/>
    <mergeCell ref="I9160:I9161"/>
    <mergeCell ref="J9160:J9161"/>
    <mergeCell ref="K9160:K9161"/>
    <mergeCell ref="L9160:L9161"/>
    <mergeCell ref="M9160:M9161"/>
    <mergeCell ref="N9160:N9161"/>
    <mergeCell ref="O9160:O9161"/>
    <mergeCell ref="X9160:X9161"/>
    <mergeCell ref="Y9160:Y9161"/>
    <mergeCell ref="Z9160:Z9161"/>
    <mergeCell ref="AA9160:AA9161"/>
    <mergeCell ref="AB9160:AB9161"/>
    <mergeCell ref="A9162:A9163"/>
    <mergeCell ref="E9162:E9163"/>
    <mergeCell ref="H9162:H9163"/>
    <mergeCell ref="I9162:I9163"/>
    <mergeCell ref="J9162:J9163"/>
    <mergeCell ref="K9162:K9163"/>
    <mergeCell ref="L9162:L9163"/>
    <mergeCell ref="M9162:M9163"/>
    <mergeCell ref="N9162:N9163"/>
    <mergeCell ref="A9154:A9155"/>
    <mergeCell ref="E9154:E9155"/>
    <mergeCell ref="H9154:H9155"/>
    <mergeCell ref="I9154:I9155"/>
    <mergeCell ref="J9154:J9155"/>
    <mergeCell ref="K9154:K9155"/>
    <mergeCell ref="L9154:L9155"/>
    <mergeCell ref="M9154:M9155"/>
    <mergeCell ref="N9154:N9155"/>
    <mergeCell ref="O9154:O9155"/>
    <mergeCell ref="X9154:X9155"/>
    <mergeCell ref="Y9154:Y9155"/>
    <mergeCell ref="Z9154:Z9155"/>
    <mergeCell ref="AA9154:AA9155"/>
    <mergeCell ref="AB9154:AB9155"/>
    <mergeCell ref="A9156:A9157"/>
    <mergeCell ref="E9156:E9157"/>
    <mergeCell ref="H9156:H9157"/>
    <mergeCell ref="I9156:I9157"/>
    <mergeCell ref="J9156:J9157"/>
    <mergeCell ref="K9156:K9157"/>
    <mergeCell ref="L9156:L9157"/>
    <mergeCell ref="M9156:M9157"/>
    <mergeCell ref="N9156:N9157"/>
    <mergeCell ref="O9156:O9157"/>
    <mergeCell ref="X9156:X9157"/>
    <mergeCell ref="Y9156:Y9157"/>
    <mergeCell ref="Z9156:Z9157"/>
    <mergeCell ref="AA9156:AA9157"/>
    <mergeCell ref="AB9156:AB9157"/>
    <mergeCell ref="A9150:A9151"/>
    <mergeCell ref="E9150:E9151"/>
    <mergeCell ref="H9150:H9151"/>
    <mergeCell ref="I9150:I9151"/>
    <mergeCell ref="J9150:J9151"/>
    <mergeCell ref="K9150:K9151"/>
    <mergeCell ref="L9150:L9151"/>
    <mergeCell ref="M9150:M9151"/>
    <mergeCell ref="N9150:N9151"/>
    <mergeCell ref="O9150:O9151"/>
    <mergeCell ref="X9150:X9151"/>
    <mergeCell ref="Y9150:Y9151"/>
    <mergeCell ref="Z9150:Z9151"/>
    <mergeCell ref="AA9150:AA9151"/>
    <mergeCell ref="AB9150:AB9151"/>
    <mergeCell ref="A9152:A9153"/>
    <mergeCell ref="E9152:E9153"/>
    <mergeCell ref="H9152:H9153"/>
    <mergeCell ref="I9152:I9153"/>
    <mergeCell ref="J9152:J9153"/>
    <mergeCell ref="K9152:K9153"/>
    <mergeCell ref="L9152:L9153"/>
    <mergeCell ref="M9152:M9153"/>
    <mergeCell ref="N9152:N9153"/>
    <mergeCell ref="O9152:O9153"/>
    <mergeCell ref="X9152:X9153"/>
    <mergeCell ref="Y9152:Y9153"/>
    <mergeCell ref="Z9152:Z9153"/>
    <mergeCell ref="AA9152:AA9153"/>
    <mergeCell ref="AB9152:AB9153"/>
    <mergeCell ref="A9146:A9147"/>
    <mergeCell ref="E9146:E9147"/>
    <mergeCell ref="H9146:H9147"/>
    <mergeCell ref="I9146:I9147"/>
    <mergeCell ref="J9146:J9147"/>
    <mergeCell ref="K9146:K9147"/>
    <mergeCell ref="L9146:L9147"/>
    <mergeCell ref="M9146:M9147"/>
    <mergeCell ref="N9146:N9147"/>
    <mergeCell ref="O9146:O9147"/>
    <mergeCell ref="X9146:X9147"/>
    <mergeCell ref="Y9146:Y9147"/>
    <mergeCell ref="Z9146:Z9147"/>
    <mergeCell ref="AA9146:AA9147"/>
    <mergeCell ref="AB9146:AB9147"/>
    <mergeCell ref="A9148:A9149"/>
    <mergeCell ref="E9148:E9149"/>
    <mergeCell ref="H9148:H9149"/>
    <mergeCell ref="I9148:I9149"/>
    <mergeCell ref="J9148:J9149"/>
    <mergeCell ref="K9148:K9149"/>
    <mergeCell ref="L9148:L9149"/>
    <mergeCell ref="M9148:M9149"/>
    <mergeCell ref="N9148:N9149"/>
    <mergeCell ref="O9148:O9149"/>
    <mergeCell ref="X9148:X9149"/>
    <mergeCell ref="Y9148:Y9149"/>
    <mergeCell ref="Z9148:Z9149"/>
    <mergeCell ref="AA9148:AA9149"/>
    <mergeCell ref="AB9148:AB9149"/>
    <mergeCell ref="A9142:A9143"/>
    <mergeCell ref="E9142:E9143"/>
    <mergeCell ref="H9142:H9143"/>
    <mergeCell ref="I9142:I9143"/>
    <mergeCell ref="J9142:J9143"/>
    <mergeCell ref="K9142:K9143"/>
    <mergeCell ref="L9142:L9143"/>
    <mergeCell ref="M9142:M9143"/>
    <mergeCell ref="N9142:N9143"/>
    <mergeCell ref="O9142:O9143"/>
    <mergeCell ref="X9142:X9143"/>
    <mergeCell ref="Y9142:Y9143"/>
    <mergeCell ref="Z9142:Z9143"/>
    <mergeCell ref="AA9142:AA9143"/>
    <mergeCell ref="AB9142:AB9143"/>
    <mergeCell ref="A9144:A9145"/>
    <mergeCell ref="E9144:E9145"/>
    <mergeCell ref="H9144:H9145"/>
    <mergeCell ref="I9144:I9145"/>
    <mergeCell ref="J9144:J9145"/>
    <mergeCell ref="K9144:K9145"/>
    <mergeCell ref="L9144:L9145"/>
    <mergeCell ref="M9144:M9145"/>
    <mergeCell ref="N9144:N9145"/>
    <mergeCell ref="O9144:O9145"/>
    <mergeCell ref="X9144:X9145"/>
    <mergeCell ref="Y9144:Y9145"/>
    <mergeCell ref="Z9144:Z9145"/>
    <mergeCell ref="AA9144:AA9145"/>
    <mergeCell ref="AB9144:AB9145"/>
    <mergeCell ref="A9138:A9139"/>
    <mergeCell ref="E9138:E9139"/>
    <mergeCell ref="H9138:H9139"/>
    <mergeCell ref="I9138:I9139"/>
    <mergeCell ref="J9138:J9139"/>
    <mergeCell ref="K9138:K9139"/>
    <mergeCell ref="L9138:L9139"/>
    <mergeCell ref="M9138:M9139"/>
    <mergeCell ref="N9138:N9139"/>
    <mergeCell ref="O9138:O9139"/>
    <mergeCell ref="X9138:X9139"/>
    <mergeCell ref="Y9138:Y9139"/>
    <mergeCell ref="Z9138:Z9139"/>
    <mergeCell ref="AA9138:AA9139"/>
    <mergeCell ref="AB9138:AB9139"/>
    <mergeCell ref="A9140:A9141"/>
    <mergeCell ref="E9140:E9141"/>
    <mergeCell ref="H9140:H9141"/>
    <mergeCell ref="I9140:I9141"/>
    <mergeCell ref="J9140:J9141"/>
    <mergeCell ref="K9140:K9141"/>
    <mergeCell ref="L9140:L9141"/>
    <mergeCell ref="M9140:M9141"/>
    <mergeCell ref="N9140:N9141"/>
    <mergeCell ref="O9140:O9141"/>
    <mergeCell ref="X9140:X9141"/>
    <mergeCell ref="Y9140:Y9141"/>
    <mergeCell ref="Z9140:Z9141"/>
    <mergeCell ref="AA9140:AA9141"/>
    <mergeCell ref="AB9140:AB9141"/>
    <mergeCell ref="A9134:A9135"/>
    <mergeCell ref="E9134:E9135"/>
    <mergeCell ref="H9134:H9135"/>
    <mergeCell ref="I9134:I9135"/>
    <mergeCell ref="J9134:J9135"/>
    <mergeCell ref="K9134:K9135"/>
    <mergeCell ref="L9134:L9135"/>
    <mergeCell ref="M9134:M9135"/>
    <mergeCell ref="N9134:N9135"/>
    <mergeCell ref="O9134:O9135"/>
    <mergeCell ref="X9134:X9135"/>
    <mergeCell ref="Y9134:Y9135"/>
    <mergeCell ref="Z9134:Z9135"/>
    <mergeCell ref="AA9134:AA9135"/>
    <mergeCell ref="AB9134:AB9135"/>
    <mergeCell ref="A9136:A9137"/>
    <mergeCell ref="E9136:E9137"/>
    <mergeCell ref="H9136:H9137"/>
    <mergeCell ref="I9136:I9137"/>
    <mergeCell ref="J9136:J9137"/>
    <mergeCell ref="K9136:K9137"/>
    <mergeCell ref="L9136:L9137"/>
    <mergeCell ref="M9136:M9137"/>
    <mergeCell ref="N9136:N9137"/>
    <mergeCell ref="O9136:O9137"/>
    <mergeCell ref="X9136:X9137"/>
    <mergeCell ref="Y9136:Y9137"/>
    <mergeCell ref="Z9136:Z9137"/>
    <mergeCell ref="AA9136:AA9137"/>
    <mergeCell ref="AB9136:AB9137"/>
    <mergeCell ref="A9130:A9131"/>
    <mergeCell ref="E9130:E9131"/>
    <mergeCell ref="H9130:H9131"/>
    <mergeCell ref="I9130:I9131"/>
    <mergeCell ref="J9130:J9131"/>
    <mergeCell ref="K9130:K9131"/>
    <mergeCell ref="L9130:L9131"/>
    <mergeCell ref="M9130:M9131"/>
    <mergeCell ref="N9130:N9131"/>
    <mergeCell ref="O9130:O9131"/>
    <mergeCell ref="X9130:X9131"/>
    <mergeCell ref="Y9130:Y9131"/>
    <mergeCell ref="Z9130:Z9131"/>
    <mergeCell ref="AA9130:AA9131"/>
    <mergeCell ref="AB9130:AB9131"/>
    <mergeCell ref="A9132:A9133"/>
    <mergeCell ref="E9132:E9133"/>
    <mergeCell ref="H9132:H9133"/>
    <mergeCell ref="I9132:I9133"/>
    <mergeCell ref="J9132:J9133"/>
    <mergeCell ref="K9132:K9133"/>
    <mergeCell ref="L9132:L9133"/>
    <mergeCell ref="M9132:M9133"/>
    <mergeCell ref="N9132:N9133"/>
    <mergeCell ref="O9132:O9133"/>
    <mergeCell ref="X9132:X9133"/>
    <mergeCell ref="Y9132:Y9133"/>
    <mergeCell ref="Z9132:Z9133"/>
    <mergeCell ref="AA9132:AA9133"/>
    <mergeCell ref="AB9132:AB9133"/>
    <mergeCell ref="A9126:A9127"/>
    <mergeCell ref="E9126:E9127"/>
    <mergeCell ref="H9126:H9127"/>
    <mergeCell ref="I9126:I9127"/>
    <mergeCell ref="J9126:J9127"/>
    <mergeCell ref="K9126:K9127"/>
    <mergeCell ref="L9126:L9127"/>
    <mergeCell ref="M9126:M9127"/>
    <mergeCell ref="N9126:N9127"/>
    <mergeCell ref="O9126:O9127"/>
    <mergeCell ref="X9126:X9127"/>
    <mergeCell ref="Y9126:Y9127"/>
    <mergeCell ref="Z9126:Z9127"/>
    <mergeCell ref="AA9126:AA9127"/>
    <mergeCell ref="AB9126:AB9127"/>
    <mergeCell ref="A9128:A9129"/>
    <mergeCell ref="E9128:E9129"/>
    <mergeCell ref="H9128:H9129"/>
    <mergeCell ref="I9128:I9129"/>
    <mergeCell ref="J9128:J9129"/>
    <mergeCell ref="K9128:K9129"/>
    <mergeCell ref="L9128:L9129"/>
    <mergeCell ref="M9128:M9129"/>
    <mergeCell ref="N9128:N9129"/>
    <mergeCell ref="O9128:O9129"/>
    <mergeCell ref="X9128:X9129"/>
    <mergeCell ref="Y9128:Y9129"/>
    <mergeCell ref="Z9128:Z9129"/>
    <mergeCell ref="AA9128:AA9129"/>
    <mergeCell ref="AB9128:AB9129"/>
    <mergeCell ref="A9122:A9123"/>
    <mergeCell ref="E9122:E9123"/>
    <mergeCell ref="H9122:H9123"/>
    <mergeCell ref="I9122:I9123"/>
    <mergeCell ref="J9122:J9123"/>
    <mergeCell ref="K9122:K9123"/>
    <mergeCell ref="L9122:L9123"/>
    <mergeCell ref="M9122:M9123"/>
    <mergeCell ref="N9122:N9123"/>
    <mergeCell ref="O9122:O9123"/>
    <mergeCell ref="X9122:X9123"/>
    <mergeCell ref="Y9122:Y9123"/>
    <mergeCell ref="Z9122:Z9123"/>
    <mergeCell ref="AA9122:AA9123"/>
    <mergeCell ref="AB9122:AB9123"/>
    <mergeCell ref="A9124:A9125"/>
    <mergeCell ref="E9124:E9125"/>
    <mergeCell ref="H9124:H9125"/>
    <mergeCell ref="I9124:I9125"/>
    <mergeCell ref="J9124:J9125"/>
    <mergeCell ref="K9124:K9125"/>
    <mergeCell ref="L9124:L9125"/>
    <mergeCell ref="M9124:M9125"/>
    <mergeCell ref="N9124:N9125"/>
    <mergeCell ref="O9124:O9125"/>
    <mergeCell ref="X9124:X9125"/>
    <mergeCell ref="Y9124:Y9125"/>
    <mergeCell ref="Z9124:Z9125"/>
    <mergeCell ref="AA9124:AA9125"/>
    <mergeCell ref="AB9124:AB9125"/>
    <mergeCell ref="A9118:A9119"/>
    <mergeCell ref="E9118:E9119"/>
    <mergeCell ref="H9118:H9119"/>
    <mergeCell ref="I9118:I9119"/>
    <mergeCell ref="J9118:J9119"/>
    <mergeCell ref="K9118:K9119"/>
    <mergeCell ref="L9118:L9119"/>
    <mergeCell ref="M9118:M9119"/>
    <mergeCell ref="N9118:N9119"/>
    <mergeCell ref="O9118:O9119"/>
    <mergeCell ref="X9118:X9119"/>
    <mergeCell ref="Y9118:Y9119"/>
    <mergeCell ref="Z9118:Z9119"/>
    <mergeCell ref="AA9118:AA9119"/>
    <mergeCell ref="AB9118:AB9119"/>
    <mergeCell ref="A9120:A9121"/>
    <mergeCell ref="E9120:E9121"/>
    <mergeCell ref="H9120:H9121"/>
    <mergeCell ref="I9120:I9121"/>
    <mergeCell ref="J9120:J9121"/>
    <mergeCell ref="K9120:K9121"/>
    <mergeCell ref="L9120:L9121"/>
    <mergeCell ref="M9120:M9121"/>
    <mergeCell ref="N9120:N9121"/>
    <mergeCell ref="O9120:O9121"/>
    <mergeCell ref="X9120:X9121"/>
    <mergeCell ref="Y9120:Y9121"/>
    <mergeCell ref="Z9120:Z9121"/>
    <mergeCell ref="AA9120:AA9121"/>
    <mergeCell ref="AB9120:AB9121"/>
    <mergeCell ref="A9114:A9115"/>
    <mergeCell ref="E9114:E9115"/>
    <mergeCell ref="H9114:H9115"/>
    <mergeCell ref="I9114:I9115"/>
    <mergeCell ref="J9114:J9115"/>
    <mergeCell ref="K9114:K9115"/>
    <mergeCell ref="L9114:L9115"/>
    <mergeCell ref="M9114:M9115"/>
    <mergeCell ref="N9114:N9115"/>
    <mergeCell ref="O9114:O9115"/>
    <mergeCell ref="X9114:X9115"/>
    <mergeCell ref="Y9114:Y9115"/>
    <mergeCell ref="Z9114:Z9115"/>
    <mergeCell ref="AA9114:AA9115"/>
    <mergeCell ref="AB9114:AB9115"/>
    <mergeCell ref="A9116:A9117"/>
    <mergeCell ref="E9116:E9117"/>
    <mergeCell ref="H9116:H9117"/>
    <mergeCell ref="I9116:I9117"/>
    <mergeCell ref="J9116:J9117"/>
    <mergeCell ref="K9116:K9117"/>
    <mergeCell ref="L9116:L9117"/>
    <mergeCell ref="M9116:M9117"/>
    <mergeCell ref="N9116:N9117"/>
    <mergeCell ref="O9116:O9117"/>
    <mergeCell ref="X9116:X9117"/>
    <mergeCell ref="Y9116:Y9117"/>
    <mergeCell ref="Z9116:Z9117"/>
    <mergeCell ref="AA9116:AA9117"/>
    <mergeCell ref="AB9116:AB9117"/>
    <mergeCell ref="A9110:A9111"/>
    <mergeCell ref="E9110:E9111"/>
    <mergeCell ref="H9110:H9111"/>
    <mergeCell ref="I9110:I9111"/>
    <mergeCell ref="J9110:J9111"/>
    <mergeCell ref="K9110:K9111"/>
    <mergeCell ref="L9110:L9111"/>
    <mergeCell ref="M9110:M9111"/>
    <mergeCell ref="N9110:N9111"/>
    <mergeCell ref="O9110:O9111"/>
    <mergeCell ref="X9110:X9111"/>
    <mergeCell ref="Y9110:Y9111"/>
    <mergeCell ref="Z9110:Z9111"/>
    <mergeCell ref="AA9110:AA9111"/>
    <mergeCell ref="AB9110:AB9111"/>
    <mergeCell ref="A9112:A9113"/>
    <mergeCell ref="E9112:E9113"/>
    <mergeCell ref="H9112:H9113"/>
    <mergeCell ref="I9112:I9113"/>
    <mergeCell ref="J9112:J9113"/>
    <mergeCell ref="K9112:K9113"/>
    <mergeCell ref="L9112:L9113"/>
    <mergeCell ref="M9112:M9113"/>
    <mergeCell ref="N9112:N9113"/>
    <mergeCell ref="O9112:O9113"/>
    <mergeCell ref="X9112:X9113"/>
    <mergeCell ref="Y9112:Y9113"/>
    <mergeCell ref="Z9112:Z9113"/>
    <mergeCell ref="AA9112:AA9113"/>
    <mergeCell ref="AB9112:AB9113"/>
    <mergeCell ref="A9106:A9107"/>
    <mergeCell ref="E9106:E9107"/>
    <mergeCell ref="H9106:H9107"/>
    <mergeCell ref="I9106:I9107"/>
    <mergeCell ref="J9106:J9107"/>
    <mergeCell ref="K9106:K9107"/>
    <mergeCell ref="L9106:L9107"/>
    <mergeCell ref="M9106:M9107"/>
    <mergeCell ref="N9106:N9107"/>
    <mergeCell ref="O9106:O9107"/>
    <mergeCell ref="X9106:X9107"/>
    <mergeCell ref="Y9106:Y9107"/>
    <mergeCell ref="Z9106:Z9107"/>
    <mergeCell ref="AA9106:AA9107"/>
    <mergeCell ref="AB9106:AB9107"/>
    <mergeCell ref="A9108:A9109"/>
    <mergeCell ref="E9108:E9109"/>
    <mergeCell ref="H9108:H9109"/>
    <mergeCell ref="I9108:I9109"/>
    <mergeCell ref="J9108:J9109"/>
    <mergeCell ref="K9108:K9109"/>
    <mergeCell ref="L9108:L9109"/>
    <mergeCell ref="M9108:M9109"/>
    <mergeCell ref="N9108:N9109"/>
    <mergeCell ref="O9108:O9109"/>
    <mergeCell ref="X9108:X9109"/>
    <mergeCell ref="Y9108:Y9109"/>
    <mergeCell ref="Z9108:Z9109"/>
    <mergeCell ref="AA9108:AA9109"/>
    <mergeCell ref="AB9108:AB9109"/>
    <mergeCell ref="A9102:A9103"/>
    <mergeCell ref="E9102:E9103"/>
    <mergeCell ref="H9102:H9103"/>
    <mergeCell ref="I9102:I9103"/>
    <mergeCell ref="J9102:J9103"/>
    <mergeCell ref="K9102:K9103"/>
    <mergeCell ref="L9102:L9103"/>
    <mergeCell ref="M9102:M9103"/>
    <mergeCell ref="N9102:N9103"/>
    <mergeCell ref="O9102:O9103"/>
    <mergeCell ref="X9102:X9103"/>
    <mergeCell ref="Y9102:Y9103"/>
    <mergeCell ref="Z9102:Z9103"/>
    <mergeCell ref="AA9102:AA9103"/>
    <mergeCell ref="AB9102:AB9103"/>
    <mergeCell ref="A9104:A9105"/>
    <mergeCell ref="E9104:E9105"/>
    <mergeCell ref="H9104:H9105"/>
    <mergeCell ref="I9104:I9105"/>
    <mergeCell ref="J9104:J9105"/>
    <mergeCell ref="K9104:K9105"/>
    <mergeCell ref="L9104:L9105"/>
    <mergeCell ref="M9104:M9105"/>
    <mergeCell ref="N9104:N9105"/>
    <mergeCell ref="O9104:O9105"/>
    <mergeCell ref="X9104:X9105"/>
    <mergeCell ref="Y9104:Y9105"/>
    <mergeCell ref="Z9104:Z9105"/>
    <mergeCell ref="AA9104:AA9105"/>
    <mergeCell ref="AB9104:AB9105"/>
    <mergeCell ref="A9098:A9099"/>
    <mergeCell ref="E9098:E9099"/>
    <mergeCell ref="H9098:H9099"/>
    <mergeCell ref="I9098:I9099"/>
    <mergeCell ref="J9098:J9099"/>
    <mergeCell ref="K9098:K9099"/>
    <mergeCell ref="L9098:L9099"/>
    <mergeCell ref="M9098:M9099"/>
    <mergeCell ref="N9098:N9099"/>
    <mergeCell ref="O9098:O9099"/>
    <mergeCell ref="X9098:X9099"/>
    <mergeCell ref="Y9098:Y9099"/>
    <mergeCell ref="Z9098:Z9099"/>
    <mergeCell ref="AA9098:AA9099"/>
    <mergeCell ref="AB9098:AB9099"/>
    <mergeCell ref="A9100:A9101"/>
    <mergeCell ref="E9100:E9101"/>
    <mergeCell ref="H9100:H9101"/>
    <mergeCell ref="I9100:I9101"/>
    <mergeCell ref="J9100:J9101"/>
    <mergeCell ref="K9100:K9101"/>
    <mergeCell ref="L9100:L9101"/>
    <mergeCell ref="M9100:M9101"/>
    <mergeCell ref="N9100:N9101"/>
    <mergeCell ref="O9100:O9101"/>
    <mergeCell ref="X9100:X9101"/>
    <mergeCell ref="Y9100:Y9101"/>
    <mergeCell ref="Z9100:Z9101"/>
    <mergeCell ref="AA9100:AA9101"/>
    <mergeCell ref="AB9100:AB9101"/>
    <mergeCell ref="A9094:A9095"/>
    <mergeCell ref="E9094:E9095"/>
    <mergeCell ref="H9094:H9095"/>
    <mergeCell ref="I9094:I9095"/>
    <mergeCell ref="J9094:J9095"/>
    <mergeCell ref="K9094:K9095"/>
    <mergeCell ref="L9094:L9095"/>
    <mergeCell ref="M9094:M9095"/>
    <mergeCell ref="N9094:N9095"/>
    <mergeCell ref="O9094:O9095"/>
    <mergeCell ref="X9094:X9095"/>
    <mergeCell ref="Y9094:Y9095"/>
    <mergeCell ref="Z9094:Z9095"/>
    <mergeCell ref="AA9094:AA9095"/>
    <mergeCell ref="AB9094:AB9095"/>
    <mergeCell ref="A9096:A9097"/>
    <mergeCell ref="E9096:E9097"/>
    <mergeCell ref="H9096:H9097"/>
    <mergeCell ref="I9096:I9097"/>
    <mergeCell ref="J9096:J9097"/>
    <mergeCell ref="K9096:K9097"/>
    <mergeCell ref="L9096:L9097"/>
    <mergeCell ref="M9096:M9097"/>
    <mergeCell ref="N9096:N9097"/>
    <mergeCell ref="O9096:O9097"/>
    <mergeCell ref="X9096:X9097"/>
    <mergeCell ref="Y9096:Y9097"/>
    <mergeCell ref="Z9096:Z9097"/>
    <mergeCell ref="AA9096:AA9097"/>
    <mergeCell ref="AB9096:AB9097"/>
    <mergeCell ref="A9090:A9091"/>
    <mergeCell ref="E9090:E9091"/>
    <mergeCell ref="H9090:H9091"/>
    <mergeCell ref="I9090:I9091"/>
    <mergeCell ref="J9090:J9091"/>
    <mergeCell ref="K9090:K9091"/>
    <mergeCell ref="L9090:L9091"/>
    <mergeCell ref="M9090:M9091"/>
    <mergeCell ref="N9090:N9091"/>
    <mergeCell ref="O9090:O9091"/>
    <mergeCell ref="X9090:X9091"/>
    <mergeCell ref="Y9090:Y9091"/>
    <mergeCell ref="Z9090:Z9091"/>
    <mergeCell ref="AA9090:AA9091"/>
    <mergeCell ref="AB9090:AB9091"/>
    <mergeCell ref="A9092:A9093"/>
    <mergeCell ref="E9092:E9093"/>
    <mergeCell ref="H9092:H9093"/>
    <mergeCell ref="I9092:I9093"/>
    <mergeCell ref="J9092:J9093"/>
    <mergeCell ref="K9092:K9093"/>
    <mergeCell ref="L9092:L9093"/>
    <mergeCell ref="M9092:M9093"/>
    <mergeCell ref="N9092:N9093"/>
    <mergeCell ref="O9092:O9093"/>
    <mergeCell ref="X9092:X9093"/>
    <mergeCell ref="Y9092:Y9093"/>
    <mergeCell ref="Z9092:Z9093"/>
    <mergeCell ref="AA9092:AA9093"/>
    <mergeCell ref="AB9092:AB9093"/>
    <mergeCell ref="A9086:A9087"/>
    <mergeCell ref="E9086:E9087"/>
    <mergeCell ref="H9086:H9087"/>
    <mergeCell ref="I9086:I9087"/>
    <mergeCell ref="J9086:J9087"/>
    <mergeCell ref="K9086:K9087"/>
    <mergeCell ref="L9086:L9087"/>
    <mergeCell ref="M9086:M9087"/>
    <mergeCell ref="N9086:N9087"/>
    <mergeCell ref="O9086:O9087"/>
    <mergeCell ref="X9086:X9087"/>
    <mergeCell ref="Y9086:Y9087"/>
    <mergeCell ref="Z9086:Z9087"/>
    <mergeCell ref="AA9086:AA9087"/>
    <mergeCell ref="AB9086:AB9087"/>
    <mergeCell ref="A9088:A9089"/>
    <mergeCell ref="E9088:E9089"/>
    <mergeCell ref="H9088:H9089"/>
    <mergeCell ref="I9088:I9089"/>
    <mergeCell ref="J9088:J9089"/>
    <mergeCell ref="K9088:K9089"/>
    <mergeCell ref="L9088:L9089"/>
    <mergeCell ref="M9088:M9089"/>
    <mergeCell ref="N9088:N9089"/>
    <mergeCell ref="O9088:O9089"/>
    <mergeCell ref="X9088:X9089"/>
    <mergeCell ref="Y9088:Y9089"/>
    <mergeCell ref="Z9088:Z9089"/>
    <mergeCell ref="AA9088:AA9089"/>
    <mergeCell ref="AB9088:AB9089"/>
    <mergeCell ref="A9082:A9083"/>
    <mergeCell ref="E9082:E9083"/>
    <mergeCell ref="H9082:H9083"/>
    <mergeCell ref="I9082:I9083"/>
    <mergeCell ref="J9082:J9083"/>
    <mergeCell ref="K9082:K9083"/>
    <mergeCell ref="L9082:L9083"/>
    <mergeCell ref="M9082:M9083"/>
    <mergeCell ref="N9082:N9083"/>
    <mergeCell ref="O9082:O9083"/>
    <mergeCell ref="X9082:X9083"/>
    <mergeCell ref="Y9082:Y9083"/>
    <mergeCell ref="Z9082:Z9083"/>
    <mergeCell ref="AA9082:AA9083"/>
    <mergeCell ref="AB9082:AB9083"/>
    <mergeCell ref="A9084:A9085"/>
    <mergeCell ref="E9084:E9085"/>
    <mergeCell ref="H9084:H9085"/>
    <mergeCell ref="I9084:I9085"/>
    <mergeCell ref="J9084:J9085"/>
    <mergeCell ref="K9084:K9085"/>
    <mergeCell ref="L9084:L9085"/>
    <mergeCell ref="M9084:M9085"/>
    <mergeCell ref="N9084:N9085"/>
    <mergeCell ref="O9084:O9085"/>
    <mergeCell ref="X9084:X9085"/>
    <mergeCell ref="Y9084:Y9085"/>
    <mergeCell ref="Z9084:Z9085"/>
    <mergeCell ref="AA9084:AA9085"/>
    <mergeCell ref="AB9084:AB9085"/>
    <mergeCell ref="A9078:A9079"/>
    <mergeCell ref="E9078:E9079"/>
    <mergeCell ref="H9078:H9079"/>
    <mergeCell ref="I9078:I9079"/>
    <mergeCell ref="J9078:J9079"/>
    <mergeCell ref="K9078:K9079"/>
    <mergeCell ref="L9078:L9079"/>
    <mergeCell ref="M9078:M9079"/>
    <mergeCell ref="N9078:N9079"/>
    <mergeCell ref="O9078:O9079"/>
    <mergeCell ref="X9078:X9079"/>
    <mergeCell ref="Y9078:Y9079"/>
    <mergeCell ref="Z9078:Z9079"/>
    <mergeCell ref="AA9078:AA9079"/>
    <mergeCell ref="AB9078:AB9079"/>
    <mergeCell ref="A9080:A9081"/>
    <mergeCell ref="E9080:E9081"/>
    <mergeCell ref="H9080:H9081"/>
    <mergeCell ref="I9080:I9081"/>
    <mergeCell ref="J9080:J9081"/>
    <mergeCell ref="K9080:K9081"/>
    <mergeCell ref="L9080:L9081"/>
    <mergeCell ref="M9080:M9081"/>
    <mergeCell ref="N9080:N9081"/>
    <mergeCell ref="O9080:O9081"/>
    <mergeCell ref="X9080:X9081"/>
    <mergeCell ref="Y9080:Y9081"/>
    <mergeCell ref="Z9080:Z9081"/>
    <mergeCell ref="AA9080:AA9081"/>
    <mergeCell ref="AB9080:AB9081"/>
    <mergeCell ref="O9064:O9065"/>
    <mergeCell ref="X9064:X9065"/>
    <mergeCell ref="Y9064:Y9065"/>
    <mergeCell ref="Z9064:Z9065"/>
    <mergeCell ref="AA9064:AA9065"/>
    <mergeCell ref="AB9064:AB9065"/>
    <mergeCell ref="A9058:A9059"/>
    <mergeCell ref="E9058:E9059"/>
    <mergeCell ref="H9058:H9059"/>
    <mergeCell ref="I9058:I9059"/>
    <mergeCell ref="J9058:J9059"/>
    <mergeCell ref="A9072:A9073"/>
    <mergeCell ref="E9072:E9073"/>
    <mergeCell ref="H9072:H9073"/>
    <mergeCell ref="I9072:I9073"/>
    <mergeCell ref="J9072:J9073"/>
    <mergeCell ref="K9072:K9073"/>
    <mergeCell ref="L9072:L9073"/>
    <mergeCell ref="M9072:M9073"/>
    <mergeCell ref="N9072:N9073"/>
    <mergeCell ref="O9072:O9073"/>
    <mergeCell ref="X9072:X9073"/>
    <mergeCell ref="Y9072:Y9073"/>
    <mergeCell ref="Z9072:Z9073"/>
    <mergeCell ref="AA9072:AA9073"/>
    <mergeCell ref="AB9072:AB9073"/>
    <mergeCell ref="A9076:A9077"/>
    <mergeCell ref="E9076:E9077"/>
    <mergeCell ref="H9076:H9077"/>
    <mergeCell ref="I9076:I9077"/>
    <mergeCell ref="J9076:J9077"/>
    <mergeCell ref="K9076:K9077"/>
    <mergeCell ref="L9076:L9077"/>
    <mergeCell ref="M9076:M9077"/>
    <mergeCell ref="N9076:N9077"/>
    <mergeCell ref="O9076:O9077"/>
    <mergeCell ref="X9076:X9077"/>
    <mergeCell ref="Y9076:Y9077"/>
    <mergeCell ref="Z9076:Z9077"/>
    <mergeCell ref="AA9076:AA9077"/>
    <mergeCell ref="AB9076:AB9077"/>
    <mergeCell ref="A9074:A9075"/>
    <mergeCell ref="E9074:E9075"/>
    <mergeCell ref="H9074:H9075"/>
    <mergeCell ref="I9074:I9075"/>
    <mergeCell ref="J9074:J9075"/>
    <mergeCell ref="K9074:K9075"/>
    <mergeCell ref="L9074:L9075"/>
    <mergeCell ref="M9074:M9075"/>
    <mergeCell ref="N9074:N9075"/>
    <mergeCell ref="O9074:O9075"/>
    <mergeCell ref="X9074:X9075"/>
    <mergeCell ref="Y9074:Y9075"/>
    <mergeCell ref="Z9074:Z9075"/>
    <mergeCell ref="AA9074:AA9075"/>
    <mergeCell ref="AB9074:AB9075"/>
    <mergeCell ref="K9058:K9059"/>
    <mergeCell ref="L9058:L9059"/>
    <mergeCell ref="M9058:M9059"/>
    <mergeCell ref="N9058:N9059"/>
    <mergeCell ref="O9058:O9059"/>
    <mergeCell ref="X9058:X9059"/>
    <mergeCell ref="Y9058:Y9059"/>
    <mergeCell ref="Z9058:Z9059"/>
    <mergeCell ref="O8752:O8753"/>
    <mergeCell ref="X8752:X8753"/>
    <mergeCell ref="Y8752:Y8753"/>
    <mergeCell ref="Z8752:Z8753"/>
    <mergeCell ref="AA8752:AA8753"/>
    <mergeCell ref="AB8752:AB8753"/>
    <mergeCell ref="O8754:O8755"/>
    <mergeCell ref="X8754:X8755"/>
    <mergeCell ref="Y8754:Y8755"/>
    <mergeCell ref="Z8754:Z8755"/>
    <mergeCell ref="AA8754:AA8755"/>
    <mergeCell ref="A8850:A8851"/>
    <mergeCell ref="E8850:E8851"/>
    <mergeCell ref="H8850:H8851"/>
    <mergeCell ref="I8850:I8851"/>
    <mergeCell ref="A9068:A9069"/>
    <mergeCell ref="E9068:E9069"/>
    <mergeCell ref="H9068:H9069"/>
    <mergeCell ref="I9068:I9069"/>
    <mergeCell ref="J9068:J9069"/>
    <mergeCell ref="K9068:K9069"/>
    <mergeCell ref="L9068:L9069"/>
    <mergeCell ref="M9068:M9069"/>
    <mergeCell ref="N9068:N9069"/>
    <mergeCell ref="O9068:O9069"/>
    <mergeCell ref="X9068:X9069"/>
    <mergeCell ref="Y9068:Y9069"/>
    <mergeCell ref="Z9068:Z9069"/>
    <mergeCell ref="AA9068:AA9069"/>
    <mergeCell ref="AB9068:AB9069"/>
    <mergeCell ref="A9070:A9071"/>
    <mergeCell ref="E9070:E9071"/>
    <mergeCell ref="H9070:H9071"/>
    <mergeCell ref="I9070:I9071"/>
    <mergeCell ref="J9070:J9071"/>
    <mergeCell ref="K9070:K9071"/>
    <mergeCell ref="L9070:L9071"/>
    <mergeCell ref="M9070:M9071"/>
    <mergeCell ref="N9070:N9071"/>
    <mergeCell ref="O9070:O9071"/>
    <mergeCell ref="X9070:X9071"/>
    <mergeCell ref="Y9070:Y9071"/>
    <mergeCell ref="Z9070:Z9071"/>
    <mergeCell ref="AA9070:AA9071"/>
    <mergeCell ref="AB9070:AB9071"/>
    <mergeCell ref="A8858:A8859"/>
    <mergeCell ref="E8858:E8859"/>
    <mergeCell ref="H8858:H8859"/>
    <mergeCell ref="I8858:I8859"/>
    <mergeCell ref="J8858:J8859"/>
    <mergeCell ref="K8858:K8859"/>
    <mergeCell ref="L8858:L8859"/>
    <mergeCell ref="M8858:M8859"/>
    <mergeCell ref="N8858:N8859"/>
    <mergeCell ref="O8858:O8859"/>
    <mergeCell ref="X8858:X8859"/>
    <mergeCell ref="Y8858:Y8859"/>
    <mergeCell ref="Z8858:Z8859"/>
    <mergeCell ref="AA8858:AA8859"/>
    <mergeCell ref="AB8858:AB8859"/>
    <mergeCell ref="K9064:K9065"/>
    <mergeCell ref="L9064:L9065"/>
    <mergeCell ref="M9064:M9065"/>
    <mergeCell ref="N9064:N9065"/>
    <mergeCell ref="A8374:A8375"/>
    <mergeCell ref="E8374:E8375"/>
    <mergeCell ref="H8374:H8375"/>
    <mergeCell ref="I8374:I8375"/>
    <mergeCell ref="J8374:J8375"/>
    <mergeCell ref="K8374:K8375"/>
    <mergeCell ref="L8374:L8375"/>
    <mergeCell ref="M8374:M8375"/>
    <mergeCell ref="N8374:N8375"/>
    <mergeCell ref="O8374:O8375"/>
    <mergeCell ref="X8374:X8375"/>
    <mergeCell ref="Y8374:Y8375"/>
    <mergeCell ref="Z8374:Z8375"/>
    <mergeCell ref="AA8374:AA8375"/>
    <mergeCell ref="AB8374:AB8375"/>
    <mergeCell ref="A8378:A8379"/>
    <mergeCell ref="E8378:E8379"/>
    <mergeCell ref="H8378:H8379"/>
    <mergeCell ref="I8378:I8379"/>
    <mergeCell ref="J8378:J8379"/>
    <mergeCell ref="K8378:K8379"/>
    <mergeCell ref="L8378:L8379"/>
    <mergeCell ref="M8378:M8379"/>
    <mergeCell ref="N8378:N8379"/>
    <mergeCell ref="A8376:A8377"/>
    <mergeCell ref="E8376:E8377"/>
    <mergeCell ref="A9066:A9067"/>
    <mergeCell ref="E9066:E9067"/>
    <mergeCell ref="H9066:H9067"/>
    <mergeCell ref="I9066:I9067"/>
    <mergeCell ref="J9066:J9067"/>
    <mergeCell ref="K9066:K9067"/>
    <mergeCell ref="L9066:L9067"/>
    <mergeCell ref="M9066:M9067"/>
    <mergeCell ref="N9066:N9067"/>
    <mergeCell ref="O9066:O9067"/>
    <mergeCell ref="X9066:X9067"/>
    <mergeCell ref="Y9066:Y9067"/>
    <mergeCell ref="Z9066:Z9067"/>
    <mergeCell ref="AA9066:AA9067"/>
    <mergeCell ref="AB9066:AB9067"/>
    <mergeCell ref="A9062:A9063"/>
    <mergeCell ref="E9062:E9063"/>
    <mergeCell ref="H9062:H9063"/>
    <mergeCell ref="I9062:I9063"/>
    <mergeCell ref="J9062:J9063"/>
    <mergeCell ref="K9062:K9063"/>
    <mergeCell ref="L9062:L9063"/>
    <mergeCell ref="M9062:M9063"/>
    <mergeCell ref="N9062:N9063"/>
    <mergeCell ref="O9062:O9063"/>
    <mergeCell ref="X9062:X9063"/>
    <mergeCell ref="Y9062:Y9063"/>
    <mergeCell ref="Z9062:Z9063"/>
    <mergeCell ref="AA9062:AA9063"/>
    <mergeCell ref="AB9062:AB9063"/>
    <mergeCell ref="A9064:A9065"/>
    <mergeCell ref="E9064:E9065"/>
    <mergeCell ref="H9064:H9065"/>
    <mergeCell ref="I9064:I9065"/>
    <mergeCell ref="J9064:J9065"/>
    <mergeCell ref="O8806:O8807"/>
    <mergeCell ref="X8806:X8807"/>
    <mergeCell ref="Y8806:Y8807"/>
    <mergeCell ref="AA9058:AA9059"/>
    <mergeCell ref="AB9058:AB9059"/>
    <mergeCell ref="A9060:A9061"/>
    <mergeCell ref="E9060:E9061"/>
    <mergeCell ref="H9060:H9061"/>
    <mergeCell ref="I9060:I9061"/>
    <mergeCell ref="J9060:J9061"/>
    <mergeCell ref="K9060:K9061"/>
    <mergeCell ref="L9060:L9061"/>
    <mergeCell ref="M9060:M9061"/>
    <mergeCell ref="N9060:N9061"/>
    <mergeCell ref="O9060:O9061"/>
    <mergeCell ref="X9060:X9061"/>
    <mergeCell ref="Y9060:Y9061"/>
    <mergeCell ref="Z9060:Z9061"/>
    <mergeCell ref="AA9060:AA9061"/>
    <mergeCell ref="AB9060:AB9061"/>
    <mergeCell ref="A9054:A9055"/>
    <mergeCell ref="E9054:E9055"/>
    <mergeCell ref="H9054:H9055"/>
    <mergeCell ref="I9054:I9055"/>
    <mergeCell ref="J9054:J9055"/>
    <mergeCell ref="K9054:K9055"/>
    <mergeCell ref="L9054:L9055"/>
    <mergeCell ref="M9054:M9055"/>
    <mergeCell ref="N9054:N9055"/>
    <mergeCell ref="O9054:O9055"/>
    <mergeCell ref="X9054:X9055"/>
    <mergeCell ref="Y9054:Y9055"/>
    <mergeCell ref="Z9054:Z9055"/>
    <mergeCell ref="AA9054:AA9055"/>
    <mergeCell ref="AB9054:AB9055"/>
    <mergeCell ref="A9056:A9057"/>
    <mergeCell ref="E9056:E9057"/>
    <mergeCell ref="H9056:H9057"/>
    <mergeCell ref="I9056:I9057"/>
    <mergeCell ref="J9056:J9057"/>
    <mergeCell ref="K9056:K9057"/>
    <mergeCell ref="L9056:L9057"/>
    <mergeCell ref="M9056:M9057"/>
    <mergeCell ref="N9056:N9057"/>
    <mergeCell ref="O9056:O9057"/>
    <mergeCell ref="X9056:X9057"/>
    <mergeCell ref="Y9056:Y9057"/>
    <mergeCell ref="Z9056:Z9057"/>
    <mergeCell ref="AA9056:AA9057"/>
    <mergeCell ref="AB9056:AB9057"/>
    <mergeCell ref="A9050:A9051"/>
    <mergeCell ref="E9050:E9051"/>
    <mergeCell ref="H9050:H9051"/>
    <mergeCell ref="I9050:I9051"/>
    <mergeCell ref="J9050:J9051"/>
    <mergeCell ref="K9050:K9051"/>
    <mergeCell ref="L9050:L9051"/>
    <mergeCell ref="M9050:M9051"/>
    <mergeCell ref="N9050:N9051"/>
    <mergeCell ref="O9050:O9051"/>
    <mergeCell ref="X9050:X9051"/>
    <mergeCell ref="Y9050:Y9051"/>
    <mergeCell ref="Z9050:Z9051"/>
    <mergeCell ref="AA9050:AA9051"/>
    <mergeCell ref="AB9050:AB9051"/>
    <mergeCell ref="A9052:A9053"/>
    <mergeCell ref="E9052:E9053"/>
    <mergeCell ref="H9052:H9053"/>
    <mergeCell ref="I9052:I9053"/>
    <mergeCell ref="J9052:J9053"/>
    <mergeCell ref="K9052:K9053"/>
    <mergeCell ref="L9052:L9053"/>
    <mergeCell ref="M9052:M9053"/>
    <mergeCell ref="N9052:N9053"/>
    <mergeCell ref="O9052:O9053"/>
    <mergeCell ref="X9052:X9053"/>
    <mergeCell ref="Y9052:Y9053"/>
    <mergeCell ref="Z9052:Z9053"/>
    <mergeCell ref="AA9052:AA9053"/>
    <mergeCell ref="AB9052:AB9053"/>
    <mergeCell ref="A9046:A9047"/>
    <mergeCell ref="E9046:E9047"/>
    <mergeCell ref="H9046:H9047"/>
    <mergeCell ref="I9046:I9047"/>
    <mergeCell ref="J9046:J9047"/>
    <mergeCell ref="K9046:K9047"/>
    <mergeCell ref="L9046:L9047"/>
    <mergeCell ref="M9046:M9047"/>
    <mergeCell ref="N9046:N9047"/>
    <mergeCell ref="O9046:O9047"/>
    <mergeCell ref="X9046:X9047"/>
    <mergeCell ref="Y9046:Y9047"/>
    <mergeCell ref="Z9046:Z9047"/>
    <mergeCell ref="AA9046:AA9047"/>
    <mergeCell ref="AB9046:AB9047"/>
    <mergeCell ref="A9048:A9049"/>
    <mergeCell ref="E9048:E9049"/>
    <mergeCell ref="H9048:H9049"/>
    <mergeCell ref="I9048:I9049"/>
    <mergeCell ref="J9048:J9049"/>
    <mergeCell ref="K9048:K9049"/>
    <mergeCell ref="L9048:L9049"/>
    <mergeCell ref="M9048:M9049"/>
    <mergeCell ref="N9048:N9049"/>
    <mergeCell ref="O9048:O9049"/>
    <mergeCell ref="X9048:X9049"/>
    <mergeCell ref="Y9048:Y9049"/>
    <mergeCell ref="Z9048:Z9049"/>
    <mergeCell ref="AA9048:AA9049"/>
    <mergeCell ref="AB9048:AB9049"/>
    <mergeCell ref="A9042:A9043"/>
    <mergeCell ref="E9042:E9043"/>
    <mergeCell ref="H9042:H9043"/>
    <mergeCell ref="I9042:I9043"/>
    <mergeCell ref="J9042:J9043"/>
    <mergeCell ref="K9042:K9043"/>
    <mergeCell ref="L9042:L9043"/>
    <mergeCell ref="M9042:M9043"/>
    <mergeCell ref="N9042:N9043"/>
    <mergeCell ref="O9042:O9043"/>
    <mergeCell ref="X9042:X9043"/>
    <mergeCell ref="Y9042:Y9043"/>
    <mergeCell ref="Z9042:Z9043"/>
    <mergeCell ref="AA9042:AA9043"/>
    <mergeCell ref="AB9042:AB9043"/>
    <mergeCell ref="A9044:A9045"/>
    <mergeCell ref="E9044:E9045"/>
    <mergeCell ref="H9044:H9045"/>
    <mergeCell ref="I9044:I9045"/>
    <mergeCell ref="J9044:J9045"/>
    <mergeCell ref="K9044:K9045"/>
    <mergeCell ref="L9044:L9045"/>
    <mergeCell ref="M9044:M9045"/>
    <mergeCell ref="N9044:N9045"/>
    <mergeCell ref="O9044:O9045"/>
    <mergeCell ref="X9044:X9045"/>
    <mergeCell ref="Y9044:Y9045"/>
    <mergeCell ref="Z9044:Z9045"/>
    <mergeCell ref="AA9044:AA9045"/>
    <mergeCell ref="AB9044:AB9045"/>
    <mergeCell ref="A9038:A9039"/>
    <mergeCell ref="E9038:E9039"/>
    <mergeCell ref="H9038:H9039"/>
    <mergeCell ref="I9038:I9039"/>
    <mergeCell ref="J9038:J9039"/>
    <mergeCell ref="K9038:K9039"/>
    <mergeCell ref="L9038:L9039"/>
    <mergeCell ref="M9038:M9039"/>
    <mergeCell ref="N9038:N9039"/>
    <mergeCell ref="O9038:O9039"/>
    <mergeCell ref="X9038:X9039"/>
    <mergeCell ref="Y9038:Y9039"/>
    <mergeCell ref="Z9038:Z9039"/>
    <mergeCell ref="AA9038:AA9039"/>
    <mergeCell ref="AB9038:AB9039"/>
    <mergeCell ref="A9040:A9041"/>
    <mergeCell ref="E9040:E9041"/>
    <mergeCell ref="H9040:H9041"/>
    <mergeCell ref="I9040:I9041"/>
    <mergeCell ref="J9040:J9041"/>
    <mergeCell ref="K9040:K9041"/>
    <mergeCell ref="L9040:L9041"/>
    <mergeCell ref="M9040:M9041"/>
    <mergeCell ref="N9040:N9041"/>
    <mergeCell ref="O9040:O9041"/>
    <mergeCell ref="X9040:X9041"/>
    <mergeCell ref="Y9040:Y9041"/>
    <mergeCell ref="Z9040:Z9041"/>
    <mergeCell ref="AA9040:AA9041"/>
    <mergeCell ref="AB9040:AB9041"/>
    <mergeCell ref="A9034:A9035"/>
    <mergeCell ref="E9034:E9035"/>
    <mergeCell ref="H9034:H9035"/>
    <mergeCell ref="I9034:I9035"/>
    <mergeCell ref="J9034:J9035"/>
    <mergeCell ref="K9034:K9035"/>
    <mergeCell ref="L9034:L9035"/>
    <mergeCell ref="M9034:M9035"/>
    <mergeCell ref="N9034:N9035"/>
    <mergeCell ref="O9034:O9035"/>
    <mergeCell ref="X9034:X9035"/>
    <mergeCell ref="Y9034:Y9035"/>
    <mergeCell ref="Z9034:Z9035"/>
    <mergeCell ref="AA9034:AA9035"/>
    <mergeCell ref="AB9034:AB9035"/>
    <mergeCell ref="A9036:A9037"/>
    <mergeCell ref="E9036:E9037"/>
    <mergeCell ref="H9036:H9037"/>
    <mergeCell ref="I9036:I9037"/>
    <mergeCell ref="J9036:J9037"/>
    <mergeCell ref="K9036:K9037"/>
    <mergeCell ref="L9036:L9037"/>
    <mergeCell ref="M9036:M9037"/>
    <mergeCell ref="N9036:N9037"/>
    <mergeCell ref="O9036:O9037"/>
    <mergeCell ref="X9036:X9037"/>
    <mergeCell ref="Y9036:Y9037"/>
    <mergeCell ref="Z9036:Z9037"/>
    <mergeCell ref="AA9036:AA9037"/>
    <mergeCell ref="AB9036:AB9037"/>
    <mergeCell ref="A9030:A9031"/>
    <mergeCell ref="E9030:E9031"/>
    <mergeCell ref="H9030:H9031"/>
    <mergeCell ref="I9030:I9031"/>
    <mergeCell ref="J9030:J9031"/>
    <mergeCell ref="K9030:K9031"/>
    <mergeCell ref="L9030:L9031"/>
    <mergeCell ref="M9030:M9031"/>
    <mergeCell ref="N9030:N9031"/>
    <mergeCell ref="O9030:O9031"/>
    <mergeCell ref="X9030:X9031"/>
    <mergeCell ref="Y9030:Y9031"/>
    <mergeCell ref="Z9030:Z9031"/>
    <mergeCell ref="AA9030:AA9031"/>
    <mergeCell ref="AB9030:AB9031"/>
    <mergeCell ref="A9032:A9033"/>
    <mergeCell ref="E9032:E9033"/>
    <mergeCell ref="H9032:H9033"/>
    <mergeCell ref="I9032:I9033"/>
    <mergeCell ref="J9032:J9033"/>
    <mergeCell ref="K9032:K9033"/>
    <mergeCell ref="L9032:L9033"/>
    <mergeCell ref="M9032:M9033"/>
    <mergeCell ref="N9032:N9033"/>
    <mergeCell ref="O9032:O9033"/>
    <mergeCell ref="X9032:X9033"/>
    <mergeCell ref="Y9032:Y9033"/>
    <mergeCell ref="Z9032:Z9033"/>
    <mergeCell ref="AA9032:AA9033"/>
    <mergeCell ref="AB9032:AB9033"/>
    <mergeCell ref="A9026:A9027"/>
    <mergeCell ref="E9026:E9027"/>
    <mergeCell ref="H9026:H9027"/>
    <mergeCell ref="I9026:I9027"/>
    <mergeCell ref="J9026:J9027"/>
    <mergeCell ref="K9026:K9027"/>
    <mergeCell ref="L9026:L9027"/>
    <mergeCell ref="M9026:M9027"/>
    <mergeCell ref="N9026:N9027"/>
    <mergeCell ref="O9026:O9027"/>
    <mergeCell ref="X9026:X9027"/>
    <mergeCell ref="Y9026:Y9027"/>
    <mergeCell ref="Z9026:Z9027"/>
    <mergeCell ref="AA9026:AA9027"/>
    <mergeCell ref="AB9026:AB9027"/>
    <mergeCell ref="A9028:A9029"/>
    <mergeCell ref="E9028:E9029"/>
    <mergeCell ref="H9028:H9029"/>
    <mergeCell ref="I9028:I9029"/>
    <mergeCell ref="J9028:J9029"/>
    <mergeCell ref="K9028:K9029"/>
    <mergeCell ref="L9028:L9029"/>
    <mergeCell ref="M9028:M9029"/>
    <mergeCell ref="N9028:N9029"/>
    <mergeCell ref="O9028:O9029"/>
    <mergeCell ref="X9028:X9029"/>
    <mergeCell ref="Y9028:Y9029"/>
    <mergeCell ref="Z9028:Z9029"/>
    <mergeCell ref="AA9028:AA9029"/>
    <mergeCell ref="AB9028:AB9029"/>
    <mergeCell ref="A9022:A9023"/>
    <mergeCell ref="E9022:E9023"/>
    <mergeCell ref="H9022:H9023"/>
    <mergeCell ref="I9022:I9023"/>
    <mergeCell ref="J9022:J9023"/>
    <mergeCell ref="K9022:K9023"/>
    <mergeCell ref="L9022:L9023"/>
    <mergeCell ref="M9022:M9023"/>
    <mergeCell ref="N9022:N9023"/>
    <mergeCell ref="O9022:O9023"/>
    <mergeCell ref="X9022:X9023"/>
    <mergeCell ref="Y9022:Y9023"/>
    <mergeCell ref="Z9022:Z9023"/>
    <mergeCell ref="AA9022:AA9023"/>
    <mergeCell ref="AB9022:AB9023"/>
    <mergeCell ref="A9024:A9025"/>
    <mergeCell ref="E9024:E9025"/>
    <mergeCell ref="H9024:H9025"/>
    <mergeCell ref="I9024:I9025"/>
    <mergeCell ref="J9024:J9025"/>
    <mergeCell ref="K9024:K9025"/>
    <mergeCell ref="L9024:L9025"/>
    <mergeCell ref="M9024:M9025"/>
    <mergeCell ref="N9024:N9025"/>
    <mergeCell ref="O9024:O9025"/>
    <mergeCell ref="X9024:X9025"/>
    <mergeCell ref="Y9024:Y9025"/>
    <mergeCell ref="Z9024:Z9025"/>
    <mergeCell ref="AA9024:AA9025"/>
    <mergeCell ref="AB9024:AB9025"/>
    <mergeCell ref="A9018:A9019"/>
    <mergeCell ref="E9018:E9019"/>
    <mergeCell ref="H9018:H9019"/>
    <mergeCell ref="I9018:I9019"/>
    <mergeCell ref="J9018:J9019"/>
    <mergeCell ref="K9018:K9019"/>
    <mergeCell ref="L9018:L9019"/>
    <mergeCell ref="M9018:M9019"/>
    <mergeCell ref="N9018:N9019"/>
    <mergeCell ref="O9018:O9019"/>
    <mergeCell ref="X9018:X9019"/>
    <mergeCell ref="Y9018:Y9019"/>
    <mergeCell ref="Z9018:Z9019"/>
    <mergeCell ref="AA9018:AA9019"/>
    <mergeCell ref="AB9018:AB9019"/>
    <mergeCell ref="A9020:A9021"/>
    <mergeCell ref="E9020:E9021"/>
    <mergeCell ref="H9020:H9021"/>
    <mergeCell ref="I9020:I9021"/>
    <mergeCell ref="J9020:J9021"/>
    <mergeCell ref="K9020:K9021"/>
    <mergeCell ref="L9020:L9021"/>
    <mergeCell ref="M9020:M9021"/>
    <mergeCell ref="N9020:N9021"/>
    <mergeCell ref="O9020:O9021"/>
    <mergeCell ref="X9020:X9021"/>
    <mergeCell ref="Y9020:Y9021"/>
    <mergeCell ref="Z9020:Z9021"/>
    <mergeCell ref="AA9020:AA9021"/>
    <mergeCell ref="AB9020:AB9021"/>
    <mergeCell ref="A9014:A9015"/>
    <mergeCell ref="E9014:E9015"/>
    <mergeCell ref="H9014:H9015"/>
    <mergeCell ref="I9014:I9015"/>
    <mergeCell ref="J9014:J9015"/>
    <mergeCell ref="K9014:K9015"/>
    <mergeCell ref="L9014:L9015"/>
    <mergeCell ref="M9014:M9015"/>
    <mergeCell ref="N9014:N9015"/>
    <mergeCell ref="O9014:O9015"/>
    <mergeCell ref="X9014:X9015"/>
    <mergeCell ref="Y9014:Y9015"/>
    <mergeCell ref="Z9014:Z9015"/>
    <mergeCell ref="AA9014:AA9015"/>
    <mergeCell ref="AB9014:AB9015"/>
    <mergeCell ref="A9016:A9017"/>
    <mergeCell ref="E9016:E9017"/>
    <mergeCell ref="H9016:H9017"/>
    <mergeCell ref="I9016:I9017"/>
    <mergeCell ref="J9016:J9017"/>
    <mergeCell ref="K9016:K9017"/>
    <mergeCell ref="L9016:L9017"/>
    <mergeCell ref="M9016:M9017"/>
    <mergeCell ref="N9016:N9017"/>
    <mergeCell ref="O9016:O9017"/>
    <mergeCell ref="X9016:X9017"/>
    <mergeCell ref="Y9016:Y9017"/>
    <mergeCell ref="Z9016:Z9017"/>
    <mergeCell ref="AA9016:AA9017"/>
    <mergeCell ref="AB9016:AB9017"/>
    <mergeCell ref="A9010:A9011"/>
    <mergeCell ref="E9010:E9011"/>
    <mergeCell ref="H9010:H9011"/>
    <mergeCell ref="I9010:I9011"/>
    <mergeCell ref="J9010:J9011"/>
    <mergeCell ref="K9010:K9011"/>
    <mergeCell ref="L9010:L9011"/>
    <mergeCell ref="M9010:M9011"/>
    <mergeCell ref="N9010:N9011"/>
    <mergeCell ref="O9010:O9011"/>
    <mergeCell ref="X9010:X9011"/>
    <mergeCell ref="Y9010:Y9011"/>
    <mergeCell ref="Z9010:Z9011"/>
    <mergeCell ref="AA9010:AA9011"/>
    <mergeCell ref="AB9010:AB9011"/>
    <mergeCell ref="A9012:A9013"/>
    <mergeCell ref="E9012:E9013"/>
    <mergeCell ref="H9012:H9013"/>
    <mergeCell ref="I9012:I9013"/>
    <mergeCell ref="J9012:J9013"/>
    <mergeCell ref="K9012:K9013"/>
    <mergeCell ref="L9012:L9013"/>
    <mergeCell ref="M9012:M9013"/>
    <mergeCell ref="N9012:N9013"/>
    <mergeCell ref="O9012:O9013"/>
    <mergeCell ref="X9012:X9013"/>
    <mergeCell ref="Y9012:Y9013"/>
    <mergeCell ref="Z9012:Z9013"/>
    <mergeCell ref="AA9012:AA9013"/>
    <mergeCell ref="AB9012:AB9013"/>
    <mergeCell ref="A9006:A9007"/>
    <mergeCell ref="E9006:E9007"/>
    <mergeCell ref="H9006:H9007"/>
    <mergeCell ref="I9006:I9007"/>
    <mergeCell ref="J9006:J9007"/>
    <mergeCell ref="K9006:K9007"/>
    <mergeCell ref="L9006:L9007"/>
    <mergeCell ref="M9006:M9007"/>
    <mergeCell ref="N9006:N9007"/>
    <mergeCell ref="O9006:O9007"/>
    <mergeCell ref="X9006:X9007"/>
    <mergeCell ref="Y9006:Y9007"/>
    <mergeCell ref="Z9006:Z9007"/>
    <mergeCell ref="AA9006:AA9007"/>
    <mergeCell ref="AB9006:AB9007"/>
    <mergeCell ref="A9008:A9009"/>
    <mergeCell ref="E9008:E9009"/>
    <mergeCell ref="H9008:H9009"/>
    <mergeCell ref="I9008:I9009"/>
    <mergeCell ref="J9008:J9009"/>
    <mergeCell ref="K9008:K9009"/>
    <mergeCell ref="L9008:L9009"/>
    <mergeCell ref="M9008:M9009"/>
    <mergeCell ref="N9008:N9009"/>
    <mergeCell ref="O9008:O9009"/>
    <mergeCell ref="X9008:X9009"/>
    <mergeCell ref="Y9008:Y9009"/>
    <mergeCell ref="Z9008:Z9009"/>
    <mergeCell ref="AA9008:AA9009"/>
    <mergeCell ref="AB9008:AB9009"/>
    <mergeCell ref="A9002:A9003"/>
    <mergeCell ref="E9002:E9003"/>
    <mergeCell ref="H9002:H9003"/>
    <mergeCell ref="I9002:I9003"/>
    <mergeCell ref="J9002:J9003"/>
    <mergeCell ref="K9002:K9003"/>
    <mergeCell ref="L9002:L9003"/>
    <mergeCell ref="M9002:M9003"/>
    <mergeCell ref="N9002:N9003"/>
    <mergeCell ref="O9002:O9003"/>
    <mergeCell ref="X9002:X9003"/>
    <mergeCell ref="Y9002:Y9003"/>
    <mergeCell ref="Z9002:Z9003"/>
    <mergeCell ref="AA9002:AA9003"/>
    <mergeCell ref="AB9002:AB9003"/>
    <mergeCell ref="A9004:A9005"/>
    <mergeCell ref="E9004:E9005"/>
    <mergeCell ref="H9004:H9005"/>
    <mergeCell ref="I9004:I9005"/>
    <mergeCell ref="J9004:J9005"/>
    <mergeCell ref="K9004:K9005"/>
    <mergeCell ref="L9004:L9005"/>
    <mergeCell ref="M9004:M9005"/>
    <mergeCell ref="N9004:N9005"/>
    <mergeCell ref="O9004:O9005"/>
    <mergeCell ref="X9004:X9005"/>
    <mergeCell ref="Y9004:Y9005"/>
    <mergeCell ref="Z9004:Z9005"/>
    <mergeCell ref="AA9004:AA9005"/>
    <mergeCell ref="AB9004:AB9005"/>
    <mergeCell ref="A8998:A8999"/>
    <mergeCell ref="E8998:E8999"/>
    <mergeCell ref="H8998:H8999"/>
    <mergeCell ref="I8998:I8999"/>
    <mergeCell ref="J8998:J8999"/>
    <mergeCell ref="K8998:K8999"/>
    <mergeCell ref="L8998:L8999"/>
    <mergeCell ref="M8998:M8999"/>
    <mergeCell ref="N8998:N8999"/>
    <mergeCell ref="O8998:O8999"/>
    <mergeCell ref="X8998:X8999"/>
    <mergeCell ref="Y8998:Y8999"/>
    <mergeCell ref="Z8998:Z8999"/>
    <mergeCell ref="AA8998:AA8999"/>
    <mergeCell ref="AB8998:AB8999"/>
    <mergeCell ref="A9000:A9001"/>
    <mergeCell ref="E9000:E9001"/>
    <mergeCell ref="H9000:H9001"/>
    <mergeCell ref="I9000:I9001"/>
    <mergeCell ref="J9000:J9001"/>
    <mergeCell ref="K9000:K9001"/>
    <mergeCell ref="L9000:L9001"/>
    <mergeCell ref="M9000:M9001"/>
    <mergeCell ref="N9000:N9001"/>
    <mergeCell ref="O9000:O9001"/>
    <mergeCell ref="X9000:X9001"/>
    <mergeCell ref="Y9000:Y9001"/>
    <mergeCell ref="Z9000:Z9001"/>
    <mergeCell ref="AA9000:AA9001"/>
    <mergeCell ref="AB9000:AB9001"/>
    <mergeCell ref="A8994:A8995"/>
    <mergeCell ref="E8994:E8995"/>
    <mergeCell ref="H8994:H8995"/>
    <mergeCell ref="I8994:I8995"/>
    <mergeCell ref="J8994:J8995"/>
    <mergeCell ref="K8994:K8995"/>
    <mergeCell ref="L8994:L8995"/>
    <mergeCell ref="M8994:M8995"/>
    <mergeCell ref="N8994:N8995"/>
    <mergeCell ref="O8994:O8995"/>
    <mergeCell ref="X8994:X8995"/>
    <mergeCell ref="Y8994:Y8995"/>
    <mergeCell ref="Z8994:Z8995"/>
    <mergeCell ref="AA8994:AA8995"/>
    <mergeCell ref="AB8994:AB8995"/>
    <mergeCell ref="A8996:A8997"/>
    <mergeCell ref="E8996:E8997"/>
    <mergeCell ref="H8996:H8997"/>
    <mergeCell ref="I8996:I8997"/>
    <mergeCell ref="J8996:J8997"/>
    <mergeCell ref="K8996:K8997"/>
    <mergeCell ref="L8996:L8997"/>
    <mergeCell ref="M8996:M8997"/>
    <mergeCell ref="N8996:N8997"/>
    <mergeCell ref="O8996:O8997"/>
    <mergeCell ref="X8996:X8997"/>
    <mergeCell ref="Y8996:Y8997"/>
    <mergeCell ref="Z8996:Z8997"/>
    <mergeCell ref="AA8996:AA8997"/>
    <mergeCell ref="AB8996:AB8997"/>
    <mergeCell ref="A8990:A8991"/>
    <mergeCell ref="E8990:E8991"/>
    <mergeCell ref="H8990:H8991"/>
    <mergeCell ref="I8990:I8991"/>
    <mergeCell ref="J8990:J8991"/>
    <mergeCell ref="K8990:K8991"/>
    <mergeCell ref="L8990:L8991"/>
    <mergeCell ref="M8990:M8991"/>
    <mergeCell ref="N8990:N8991"/>
    <mergeCell ref="O8990:O8991"/>
    <mergeCell ref="X8990:X8991"/>
    <mergeCell ref="Y8990:Y8991"/>
    <mergeCell ref="Z8990:Z8991"/>
    <mergeCell ref="AA8990:AA8991"/>
    <mergeCell ref="AB8990:AB8991"/>
    <mergeCell ref="A8992:A8993"/>
    <mergeCell ref="E8992:E8993"/>
    <mergeCell ref="H8992:H8993"/>
    <mergeCell ref="I8992:I8993"/>
    <mergeCell ref="J8992:J8993"/>
    <mergeCell ref="K8992:K8993"/>
    <mergeCell ref="L8992:L8993"/>
    <mergeCell ref="M8992:M8993"/>
    <mergeCell ref="N8992:N8993"/>
    <mergeCell ref="O8992:O8993"/>
    <mergeCell ref="X8992:X8993"/>
    <mergeCell ref="Y8992:Y8993"/>
    <mergeCell ref="Z8992:Z8993"/>
    <mergeCell ref="AA8992:AA8993"/>
    <mergeCell ref="AB8992:AB8993"/>
    <mergeCell ref="A8986:A8987"/>
    <mergeCell ref="E8986:E8987"/>
    <mergeCell ref="H8986:H8987"/>
    <mergeCell ref="I8986:I8987"/>
    <mergeCell ref="J8986:J8987"/>
    <mergeCell ref="K8986:K8987"/>
    <mergeCell ref="L8986:L8987"/>
    <mergeCell ref="M8986:M8987"/>
    <mergeCell ref="N8986:N8987"/>
    <mergeCell ref="O8986:O8987"/>
    <mergeCell ref="X8986:X8987"/>
    <mergeCell ref="Y8986:Y8987"/>
    <mergeCell ref="Z8986:Z8987"/>
    <mergeCell ref="AA8986:AA8987"/>
    <mergeCell ref="AB8986:AB8987"/>
    <mergeCell ref="A8988:A8989"/>
    <mergeCell ref="E8988:E8989"/>
    <mergeCell ref="H8988:H8989"/>
    <mergeCell ref="I8988:I8989"/>
    <mergeCell ref="J8988:J8989"/>
    <mergeCell ref="K8988:K8989"/>
    <mergeCell ref="L8988:L8989"/>
    <mergeCell ref="M8988:M8989"/>
    <mergeCell ref="N8988:N8989"/>
    <mergeCell ref="O8988:O8989"/>
    <mergeCell ref="X8988:X8989"/>
    <mergeCell ref="Y8988:Y8989"/>
    <mergeCell ref="Z8988:Z8989"/>
    <mergeCell ref="AA8988:AA8989"/>
    <mergeCell ref="AB8988:AB8989"/>
    <mergeCell ref="A8982:A8983"/>
    <mergeCell ref="E8982:E8983"/>
    <mergeCell ref="H8982:H8983"/>
    <mergeCell ref="I8982:I8983"/>
    <mergeCell ref="J8982:J8983"/>
    <mergeCell ref="K8982:K8983"/>
    <mergeCell ref="L8982:L8983"/>
    <mergeCell ref="M8982:M8983"/>
    <mergeCell ref="N8982:N8983"/>
    <mergeCell ref="O8982:O8983"/>
    <mergeCell ref="X8982:X8983"/>
    <mergeCell ref="Y8982:Y8983"/>
    <mergeCell ref="Z8982:Z8983"/>
    <mergeCell ref="AA8982:AA8983"/>
    <mergeCell ref="AB8982:AB8983"/>
    <mergeCell ref="A8984:A8985"/>
    <mergeCell ref="E8984:E8985"/>
    <mergeCell ref="H8984:H8985"/>
    <mergeCell ref="I8984:I8985"/>
    <mergeCell ref="J8984:J8985"/>
    <mergeCell ref="K8984:K8985"/>
    <mergeCell ref="L8984:L8985"/>
    <mergeCell ref="M8984:M8985"/>
    <mergeCell ref="N8984:N8985"/>
    <mergeCell ref="O8984:O8985"/>
    <mergeCell ref="X8984:X8985"/>
    <mergeCell ref="Y8984:Y8985"/>
    <mergeCell ref="Z8984:Z8985"/>
    <mergeCell ref="AA8984:AA8985"/>
    <mergeCell ref="AB8984:AB8985"/>
    <mergeCell ref="A8978:A8979"/>
    <mergeCell ref="E8978:E8979"/>
    <mergeCell ref="H8978:H8979"/>
    <mergeCell ref="I8978:I8979"/>
    <mergeCell ref="J8978:J8979"/>
    <mergeCell ref="K8978:K8979"/>
    <mergeCell ref="L8978:L8979"/>
    <mergeCell ref="M8978:M8979"/>
    <mergeCell ref="N8978:N8979"/>
    <mergeCell ref="O8978:O8979"/>
    <mergeCell ref="X8978:X8979"/>
    <mergeCell ref="Y8978:Y8979"/>
    <mergeCell ref="Z8978:Z8979"/>
    <mergeCell ref="AA8978:AA8979"/>
    <mergeCell ref="AB8978:AB8979"/>
    <mergeCell ref="A8980:A8981"/>
    <mergeCell ref="E8980:E8981"/>
    <mergeCell ref="H8980:H8981"/>
    <mergeCell ref="I8980:I8981"/>
    <mergeCell ref="J8980:J8981"/>
    <mergeCell ref="K8980:K8981"/>
    <mergeCell ref="L8980:L8981"/>
    <mergeCell ref="M8980:M8981"/>
    <mergeCell ref="N8980:N8981"/>
    <mergeCell ref="O8980:O8981"/>
    <mergeCell ref="X8980:X8981"/>
    <mergeCell ref="Y8980:Y8981"/>
    <mergeCell ref="Z8980:Z8981"/>
    <mergeCell ref="AA8980:AA8981"/>
    <mergeCell ref="AB8980:AB8981"/>
    <mergeCell ref="A8974:A8975"/>
    <mergeCell ref="E8974:E8975"/>
    <mergeCell ref="H8974:H8975"/>
    <mergeCell ref="I8974:I8975"/>
    <mergeCell ref="J8974:J8975"/>
    <mergeCell ref="K8974:K8975"/>
    <mergeCell ref="L8974:L8975"/>
    <mergeCell ref="M8974:M8975"/>
    <mergeCell ref="N8974:N8975"/>
    <mergeCell ref="O8974:O8975"/>
    <mergeCell ref="X8974:X8975"/>
    <mergeCell ref="Y8974:Y8975"/>
    <mergeCell ref="Z8974:Z8975"/>
    <mergeCell ref="AA8974:AA8975"/>
    <mergeCell ref="AB8974:AB8975"/>
    <mergeCell ref="A8976:A8977"/>
    <mergeCell ref="E8976:E8977"/>
    <mergeCell ref="H8976:H8977"/>
    <mergeCell ref="I8976:I8977"/>
    <mergeCell ref="J8976:J8977"/>
    <mergeCell ref="K8976:K8977"/>
    <mergeCell ref="L8976:L8977"/>
    <mergeCell ref="M8976:M8977"/>
    <mergeCell ref="N8976:N8977"/>
    <mergeCell ref="O8976:O8977"/>
    <mergeCell ref="X8976:X8977"/>
    <mergeCell ref="Y8976:Y8977"/>
    <mergeCell ref="Z8976:Z8977"/>
    <mergeCell ref="AA8976:AA8977"/>
    <mergeCell ref="AB8976:AB8977"/>
    <mergeCell ref="A8970:A8971"/>
    <mergeCell ref="E8970:E8971"/>
    <mergeCell ref="H8970:H8971"/>
    <mergeCell ref="I8970:I8971"/>
    <mergeCell ref="J8970:J8971"/>
    <mergeCell ref="K8970:K8971"/>
    <mergeCell ref="L8970:L8971"/>
    <mergeCell ref="M8970:M8971"/>
    <mergeCell ref="N8970:N8971"/>
    <mergeCell ref="O8970:O8971"/>
    <mergeCell ref="X8970:X8971"/>
    <mergeCell ref="Y8970:Y8971"/>
    <mergeCell ref="Z8970:Z8971"/>
    <mergeCell ref="AA8970:AA8971"/>
    <mergeCell ref="AB8970:AB8971"/>
    <mergeCell ref="A8972:A8973"/>
    <mergeCell ref="E8972:E8973"/>
    <mergeCell ref="H8972:H8973"/>
    <mergeCell ref="I8972:I8973"/>
    <mergeCell ref="J8972:J8973"/>
    <mergeCell ref="K8972:K8973"/>
    <mergeCell ref="L8972:L8973"/>
    <mergeCell ref="M8972:M8973"/>
    <mergeCell ref="N8972:N8973"/>
    <mergeCell ref="O8972:O8973"/>
    <mergeCell ref="X8972:X8973"/>
    <mergeCell ref="Y8972:Y8973"/>
    <mergeCell ref="Z8972:Z8973"/>
    <mergeCell ref="AA8972:AA8973"/>
    <mergeCell ref="AB8972:AB8973"/>
    <mergeCell ref="A8966:A8967"/>
    <mergeCell ref="E8966:E8967"/>
    <mergeCell ref="H8966:H8967"/>
    <mergeCell ref="I8966:I8967"/>
    <mergeCell ref="J8966:J8967"/>
    <mergeCell ref="K8966:K8967"/>
    <mergeCell ref="L8966:L8967"/>
    <mergeCell ref="M8966:M8967"/>
    <mergeCell ref="N8966:N8967"/>
    <mergeCell ref="O8966:O8967"/>
    <mergeCell ref="X8966:X8967"/>
    <mergeCell ref="Y8966:Y8967"/>
    <mergeCell ref="Z8966:Z8967"/>
    <mergeCell ref="AA8966:AA8967"/>
    <mergeCell ref="AB8966:AB8967"/>
    <mergeCell ref="A8968:A8969"/>
    <mergeCell ref="E8968:E8969"/>
    <mergeCell ref="H8968:H8969"/>
    <mergeCell ref="I8968:I8969"/>
    <mergeCell ref="J8968:J8969"/>
    <mergeCell ref="K8968:K8969"/>
    <mergeCell ref="L8968:L8969"/>
    <mergeCell ref="M8968:M8969"/>
    <mergeCell ref="N8968:N8969"/>
    <mergeCell ref="O8968:O8969"/>
    <mergeCell ref="X8968:X8969"/>
    <mergeCell ref="Y8968:Y8969"/>
    <mergeCell ref="Z8968:Z8969"/>
    <mergeCell ref="AA8968:AA8969"/>
    <mergeCell ref="AB8968:AB8969"/>
    <mergeCell ref="A8962:A8963"/>
    <mergeCell ref="E8962:E8963"/>
    <mergeCell ref="H8962:H8963"/>
    <mergeCell ref="I8962:I8963"/>
    <mergeCell ref="J8962:J8963"/>
    <mergeCell ref="K8962:K8963"/>
    <mergeCell ref="L8962:L8963"/>
    <mergeCell ref="M8962:M8963"/>
    <mergeCell ref="N8962:N8963"/>
    <mergeCell ref="O8962:O8963"/>
    <mergeCell ref="X8962:X8963"/>
    <mergeCell ref="Y8962:Y8963"/>
    <mergeCell ref="Z8962:Z8963"/>
    <mergeCell ref="AA8962:AA8963"/>
    <mergeCell ref="AB8962:AB8963"/>
    <mergeCell ref="A8964:A8965"/>
    <mergeCell ref="E8964:E8965"/>
    <mergeCell ref="H8964:H8965"/>
    <mergeCell ref="I8964:I8965"/>
    <mergeCell ref="J8964:J8965"/>
    <mergeCell ref="K8964:K8965"/>
    <mergeCell ref="L8964:L8965"/>
    <mergeCell ref="M8964:M8965"/>
    <mergeCell ref="N8964:N8965"/>
    <mergeCell ref="O8964:O8965"/>
    <mergeCell ref="X8964:X8965"/>
    <mergeCell ref="Y8964:Y8965"/>
    <mergeCell ref="Z8964:Z8965"/>
    <mergeCell ref="AA8964:AA8965"/>
    <mergeCell ref="AB8964:AB8965"/>
    <mergeCell ref="A8958:A8959"/>
    <mergeCell ref="E8958:E8959"/>
    <mergeCell ref="H8958:H8959"/>
    <mergeCell ref="I8958:I8959"/>
    <mergeCell ref="J8958:J8959"/>
    <mergeCell ref="K8958:K8959"/>
    <mergeCell ref="L8958:L8959"/>
    <mergeCell ref="M8958:M8959"/>
    <mergeCell ref="N8958:N8959"/>
    <mergeCell ref="O8958:O8959"/>
    <mergeCell ref="X8958:X8959"/>
    <mergeCell ref="Y8958:Y8959"/>
    <mergeCell ref="Z8958:Z8959"/>
    <mergeCell ref="AA8958:AA8959"/>
    <mergeCell ref="AB8958:AB8959"/>
    <mergeCell ref="A8960:A8961"/>
    <mergeCell ref="E8960:E8961"/>
    <mergeCell ref="H8960:H8961"/>
    <mergeCell ref="I8960:I8961"/>
    <mergeCell ref="J8960:J8961"/>
    <mergeCell ref="K8960:K8961"/>
    <mergeCell ref="L8960:L8961"/>
    <mergeCell ref="M8960:M8961"/>
    <mergeCell ref="N8960:N8961"/>
    <mergeCell ref="O8960:O8961"/>
    <mergeCell ref="X8960:X8961"/>
    <mergeCell ref="Y8960:Y8961"/>
    <mergeCell ref="Z8960:Z8961"/>
    <mergeCell ref="AA8960:AA8961"/>
    <mergeCell ref="AB8960:AB8961"/>
    <mergeCell ref="A8954:A8955"/>
    <mergeCell ref="E8954:E8955"/>
    <mergeCell ref="H8954:H8955"/>
    <mergeCell ref="I8954:I8955"/>
    <mergeCell ref="J8954:J8955"/>
    <mergeCell ref="K8954:K8955"/>
    <mergeCell ref="L8954:L8955"/>
    <mergeCell ref="M8954:M8955"/>
    <mergeCell ref="N8954:N8955"/>
    <mergeCell ref="O8954:O8955"/>
    <mergeCell ref="X8954:X8955"/>
    <mergeCell ref="Y8954:Y8955"/>
    <mergeCell ref="Z8954:Z8955"/>
    <mergeCell ref="AA8954:AA8955"/>
    <mergeCell ref="AB8954:AB8955"/>
    <mergeCell ref="A8956:A8957"/>
    <mergeCell ref="E8956:E8957"/>
    <mergeCell ref="H8956:H8957"/>
    <mergeCell ref="I8956:I8957"/>
    <mergeCell ref="J8956:J8957"/>
    <mergeCell ref="K8956:K8957"/>
    <mergeCell ref="L8956:L8957"/>
    <mergeCell ref="M8956:M8957"/>
    <mergeCell ref="N8956:N8957"/>
    <mergeCell ref="O8956:O8957"/>
    <mergeCell ref="X8956:X8957"/>
    <mergeCell ref="Y8956:Y8957"/>
    <mergeCell ref="Z8956:Z8957"/>
    <mergeCell ref="AA8956:AA8957"/>
    <mergeCell ref="AB8956:AB8957"/>
    <mergeCell ref="A8950:A8951"/>
    <mergeCell ref="E8950:E8951"/>
    <mergeCell ref="H8950:H8951"/>
    <mergeCell ref="I8950:I8951"/>
    <mergeCell ref="J8950:J8951"/>
    <mergeCell ref="K8950:K8951"/>
    <mergeCell ref="L8950:L8951"/>
    <mergeCell ref="M8950:M8951"/>
    <mergeCell ref="N8950:N8951"/>
    <mergeCell ref="O8950:O8951"/>
    <mergeCell ref="X8950:X8951"/>
    <mergeCell ref="Y8950:Y8951"/>
    <mergeCell ref="Z8950:Z8951"/>
    <mergeCell ref="AA8950:AA8951"/>
    <mergeCell ref="AB8950:AB8951"/>
    <mergeCell ref="A8952:A8953"/>
    <mergeCell ref="E8952:E8953"/>
    <mergeCell ref="H8952:H8953"/>
    <mergeCell ref="I8952:I8953"/>
    <mergeCell ref="J8952:J8953"/>
    <mergeCell ref="K8952:K8953"/>
    <mergeCell ref="L8952:L8953"/>
    <mergeCell ref="M8952:M8953"/>
    <mergeCell ref="N8952:N8953"/>
    <mergeCell ref="O8952:O8953"/>
    <mergeCell ref="X8952:X8953"/>
    <mergeCell ref="Y8952:Y8953"/>
    <mergeCell ref="Z8952:Z8953"/>
    <mergeCell ref="AA8952:AA8953"/>
    <mergeCell ref="AB8952:AB8953"/>
    <mergeCell ref="A8946:A8947"/>
    <mergeCell ref="E8946:E8947"/>
    <mergeCell ref="H8946:H8947"/>
    <mergeCell ref="I8946:I8947"/>
    <mergeCell ref="J8946:J8947"/>
    <mergeCell ref="K8946:K8947"/>
    <mergeCell ref="L8946:L8947"/>
    <mergeCell ref="M8946:M8947"/>
    <mergeCell ref="N8946:N8947"/>
    <mergeCell ref="O8946:O8947"/>
    <mergeCell ref="X8946:X8947"/>
    <mergeCell ref="Y8946:Y8947"/>
    <mergeCell ref="Z8946:Z8947"/>
    <mergeCell ref="AA8946:AA8947"/>
    <mergeCell ref="AB8946:AB8947"/>
    <mergeCell ref="A8948:A8949"/>
    <mergeCell ref="E8948:E8949"/>
    <mergeCell ref="H8948:H8949"/>
    <mergeCell ref="I8948:I8949"/>
    <mergeCell ref="J8948:J8949"/>
    <mergeCell ref="K8948:K8949"/>
    <mergeCell ref="L8948:L8949"/>
    <mergeCell ref="M8948:M8949"/>
    <mergeCell ref="N8948:N8949"/>
    <mergeCell ref="O8948:O8949"/>
    <mergeCell ref="X8948:X8949"/>
    <mergeCell ref="Y8948:Y8949"/>
    <mergeCell ref="Z8948:Z8949"/>
    <mergeCell ref="AA8948:AA8949"/>
    <mergeCell ref="AB8948:AB8949"/>
    <mergeCell ref="A8942:A8943"/>
    <mergeCell ref="E8942:E8943"/>
    <mergeCell ref="H8942:H8943"/>
    <mergeCell ref="I8942:I8943"/>
    <mergeCell ref="J8942:J8943"/>
    <mergeCell ref="K8942:K8943"/>
    <mergeCell ref="L8942:L8943"/>
    <mergeCell ref="M8942:M8943"/>
    <mergeCell ref="N8942:N8943"/>
    <mergeCell ref="O8942:O8943"/>
    <mergeCell ref="X8942:X8943"/>
    <mergeCell ref="Y8942:Y8943"/>
    <mergeCell ref="Z8942:Z8943"/>
    <mergeCell ref="AA8942:AA8943"/>
    <mergeCell ref="AB8942:AB8943"/>
    <mergeCell ref="A8944:A8945"/>
    <mergeCell ref="E8944:E8945"/>
    <mergeCell ref="H8944:H8945"/>
    <mergeCell ref="I8944:I8945"/>
    <mergeCell ref="J8944:J8945"/>
    <mergeCell ref="K8944:K8945"/>
    <mergeCell ref="L8944:L8945"/>
    <mergeCell ref="M8944:M8945"/>
    <mergeCell ref="N8944:N8945"/>
    <mergeCell ref="O8944:O8945"/>
    <mergeCell ref="X8944:X8945"/>
    <mergeCell ref="Y8944:Y8945"/>
    <mergeCell ref="Z8944:Z8945"/>
    <mergeCell ref="AA8944:AA8945"/>
    <mergeCell ref="AB8944:AB8945"/>
    <mergeCell ref="A8938:A8939"/>
    <mergeCell ref="E8938:E8939"/>
    <mergeCell ref="H8938:H8939"/>
    <mergeCell ref="I8938:I8939"/>
    <mergeCell ref="J8938:J8939"/>
    <mergeCell ref="K8938:K8939"/>
    <mergeCell ref="L8938:L8939"/>
    <mergeCell ref="M8938:M8939"/>
    <mergeCell ref="N8938:N8939"/>
    <mergeCell ref="O8938:O8939"/>
    <mergeCell ref="X8938:X8939"/>
    <mergeCell ref="Y8938:Y8939"/>
    <mergeCell ref="Z8938:Z8939"/>
    <mergeCell ref="AA8938:AA8939"/>
    <mergeCell ref="AB8938:AB8939"/>
    <mergeCell ref="A8940:A8941"/>
    <mergeCell ref="E8940:E8941"/>
    <mergeCell ref="H8940:H8941"/>
    <mergeCell ref="I8940:I8941"/>
    <mergeCell ref="J8940:J8941"/>
    <mergeCell ref="K8940:K8941"/>
    <mergeCell ref="L8940:L8941"/>
    <mergeCell ref="M8940:M8941"/>
    <mergeCell ref="N8940:N8941"/>
    <mergeCell ref="O8940:O8941"/>
    <mergeCell ref="X8940:X8941"/>
    <mergeCell ref="Y8940:Y8941"/>
    <mergeCell ref="Z8940:Z8941"/>
    <mergeCell ref="AA8940:AA8941"/>
    <mergeCell ref="AB8940:AB8941"/>
    <mergeCell ref="A8934:A8935"/>
    <mergeCell ref="E8934:E8935"/>
    <mergeCell ref="H8934:H8935"/>
    <mergeCell ref="I8934:I8935"/>
    <mergeCell ref="J8934:J8935"/>
    <mergeCell ref="K8934:K8935"/>
    <mergeCell ref="L8934:L8935"/>
    <mergeCell ref="M8934:M8935"/>
    <mergeCell ref="N8934:N8935"/>
    <mergeCell ref="O8934:O8935"/>
    <mergeCell ref="X8934:X8935"/>
    <mergeCell ref="Y8934:Y8935"/>
    <mergeCell ref="Z8934:Z8935"/>
    <mergeCell ref="AA8934:AA8935"/>
    <mergeCell ref="AB8934:AB8935"/>
    <mergeCell ref="A8936:A8937"/>
    <mergeCell ref="E8936:E8937"/>
    <mergeCell ref="H8936:H8937"/>
    <mergeCell ref="I8936:I8937"/>
    <mergeCell ref="J8936:J8937"/>
    <mergeCell ref="K8936:K8937"/>
    <mergeCell ref="L8936:L8937"/>
    <mergeCell ref="M8936:M8937"/>
    <mergeCell ref="N8936:N8937"/>
    <mergeCell ref="O8936:O8937"/>
    <mergeCell ref="X8936:X8937"/>
    <mergeCell ref="Y8936:Y8937"/>
    <mergeCell ref="Z8936:Z8937"/>
    <mergeCell ref="AA8936:AA8937"/>
    <mergeCell ref="AB8936:AB8937"/>
    <mergeCell ref="A8930:A8931"/>
    <mergeCell ref="E8930:E8931"/>
    <mergeCell ref="H8930:H8931"/>
    <mergeCell ref="I8930:I8931"/>
    <mergeCell ref="J8930:J8931"/>
    <mergeCell ref="K8930:K8931"/>
    <mergeCell ref="L8930:L8931"/>
    <mergeCell ref="M8930:M8931"/>
    <mergeCell ref="N8930:N8931"/>
    <mergeCell ref="O8930:O8931"/>
    <mergeCell ref="X8930:X8931"/>
    <mergeCell ref="Y8930:Y8931"/>
    <mergeCell ref="Z8930:Z8931"/>
    <mergeCell ref="AA8930:AA8931"/>
    <mergeCell ref="AB8930:AB8931"/>
    <mergeCell ref="A8932:A8933"/>
    <mergeCell ref="E8932:E8933"/>
    <mergeCell ref="H8932:H8933"/>
    <mergeCell ref="I8932:I8933"/>
    <mergeCell ref="J8932:J8933"/>
    <mergeCell ref="K8932:K8933"/>
    <mergeCell ref="L8932:L8933"/>
    <mergeCell ref="M8932:M8933"/>
    <mergeCell ref="N8932:N8933"/>
    <mergeCell ref="O8932:O8933"/>
    <mergeCell ref="X8932:X8933"/>
    <mergeCell ref="Y8932:Y8933"/>
    <mergeCell ref="Z8932:Z8933"/>
    <mergeCell ref="AA8932:AA8933"/>
    <mergeCell ref="AB8932:AB8933"/>
    <mergeCell ref="A8926:A8927"/>
    <mergeCell ref="E8926:E8927"/>
    <mergeCell ref="H8926:H8927"/>
    <mergeCell ref="I8926:I8927"/>
    <mergeCell ref="J8926:J8927"/>
    <mergeCell ref="K8926:K8927"/>
    <mergeCell ref="L8926:L8927"/>
    <mergeCell ref="M8926:M8927"/>
    <mergeCell ref="N8926:N8927"/>
    <mergeCell ref="O8926:O8927"/>
    <mergeCell ref="X8926:X8927"/>
    <mergeCell ref="Y8926:Y8927"/>
    <mergeCell ref="Z8926:Z8927"/>
    <mergeCell ref="AA8926:AA8927"/>
    <mergeCell ref="AB8926:AB8927"/>
    <mergeCell ref="A8928:A8929"/>
    <mergeCell ref="E8928:E8929"/>
    <mergeCell ref="H8928:H8929"/>
    <mergeCell ref="I8928:I8929"/>
    <mergeCell ref="J8928:J8929"/>
    <mergeCell ref="K8928:K8929"/>
    <mergeCell ref="L8928:L8929"/>
    <mergeCell ref="M8928:M8929"/>
    <mergeCell ref="N8928:N8929"/>
    <mergeCell ref="O8928:O8929"/>
    <mergeCell ref="X8928:X8929"/>
    <mergeCell ref="Y8928:Y8929"/>
    <mergeCell ref="Z8928:Z8929"/>
    <mergeCell ref="AA8928:AA8929"/>
    <mergeCell ref="AB8928:AB8929"/>
    <mergeCell ref="A8922:A8923"/>
    <mergeCell ref="E8922:E8923"/>
    <mergeCell ref="H8922:H8923"/>
    <mergeCell ref="I8922:I8923"/>
    <mergeCell ref="J8922:J8923"/>
    <mergeCell ref="K8922:K8923"/>
    <mergeCell ref="L8922:L8923"/>
    <mergeCell ref="M8922:M8923"/>
    <mergeCell ref="N8922:N8923"/>
    <mergeCell ref="O8922:O8923"/>
    <mergeCell ref="X8922:X8923"/>
    <mergeCell ref="Y8922:Y8923"/>
    <mergeCell ref="Z8922:Z8923"/>
    <mergeCell ref="AA8922:AA8923"/>
    <mergeCell ref="AB8922:AB8923"/>
    <mergeCell ref="A8924:A8925"/>
    <mergeCell ref="E8924:E8925"/>
    <mergeCell ref="H8924:H8925"/>
    <mergeCell ref="I8924:I8925"/>
    <mergeCell ref="J8924:J8925"/>
    <mergeCell ref="K8924:K8925"/>
    <mergeCell ref="L8924:L8925"/>
    <mergeCell ref="M8924:M8925"/>
    <mergeCell ref="N8924:N8925"/>
    <mergeCell ref="O8924:O8925"/>
    <mergeCell ref="X8924:X8925"/>
    <mergeCell ref="Y8924:Y8925"/>
    <mergeCell ref="Z8924:Z8925"/>
    <mergeCell ref="AA8924:AA8925"/>
    <mergeCell ref="AB8924:AB8925"/>
    <mergeCell ref="A8918:A8919"/>
    <mergeCell ref="E8918:E8919"/>
    <mergeCell ref="H8918:H8919"/>
    <mergeCell ref="I8918:I8919"/>
    <mergeCell ref="J8918:J8919"/>
    <mergeCell ref="K8918:K8919"/>
    <mergeCell ref="L8918:L8919"/>
    <mergeCell ref="M8918:M8919"/>
    <mergeCell ref="N8918:N8919"/>
    <mergeCell ref="O8918:O8919"/>
    <mergeCell ref="X8918:X8919"/>
    <mergeCell ref="Y8918:Y8919"/>
    <mergeCell ref="Z8918:Z8919"/>
    <mergeCell ref="AA8918:AA8919"/>
    <mergeCell ref="AB8918:AB8919"/>
    <mergeCell ref="A8920:A8921"/>
    <mergeCell ref="E8920:E8921"/>
    <mergeCell ref="H8920:H8921"/>
    <mergeCell ref="I8920:I8921"/>
    <mergeCell ref="J8920:J8921"/>
    <mergeCell ref="K8920:K8921"/>
    <mergeCell ref="L8920:L8921"/>
    <mergeCell ref="M8920:M8921"/>
    <mergeCell ref="N8920:N8921"/>
    <mergeCell ref="O8920:O8921"/>
    <mergeCell ref="X8920:X8921"/>
    <mergeCell ref="Y8920:Y8921"/>
    <mergeCell ref="Z8920:Z8921"/>
    <mergeCell ref="AA8920:AA8921"/>
    <mergeCell ref="AB8920:AB8921"/>
    <mergeCell ref="A8914:A8915"/>
    <mergeCell ref="E8914:E8915"/>
    <mergeCell ref="H8914:H8915"/>
    <mergeCell ref="I8914:I8915"/>
    <mergeCell ref="J8914:J8915"/>
    <mergeCell ref="K8914:K8915"/>
    <mergeCell ref="L8914:L8915"/>
    <mergeCell ref="M8914:M8915"/>
    <mergeCell ref="N8914:N8915"/>
    <mergeCell ref="O8914:O8915"/>
    <mergeCell ref="X8914:X8915"/>
    <mergeCell ref="Y8914:Y8915"/>
    <mergeCell ref="Z8914:Z8915"/>
    <mergeCell ref="AA8914:AA8915"/>
    <mergeCell ref="AB8914:AB8915"/>
    <mergeCell ref="A8916:A8917"/>
    <mergeCell ref="E8916:E8917"/>
    <mergeCell ref="H8916:H8917"/>
    <mergeCell ref="I8916:I8917"/>
    <mergeCell ref="J8916:J8917"/>
    <mergeCell ref="K8916:K8917"/>
    <mergeCell ref="L8916:L8917"/>
    <mergeCell ref="M8916:M8917"/>
    <mergeCell ref="N8916:N8917"/>
    <mergeCell ref="O8916:O8917"/>
    <mergeCell ref="X8916:X8917"/>
    <mergeCell ref="Y8916:Y8917"/>
    <mergeCell ref="Z8916:Z8917"/>
    <mergeCell ref="AA8916:AA8917"/>
    <mergeCell ref="AB8916:AB8917"/>
    <mergeCell ref="A8910:A8911"/>
    <mergeCell ref="E8910:E8911"/>
    <mergeCell ref="H8910:H8911"/>
    <mergeCell ref="I8910:I8911"/>
    <mergeCell ref="J8910:J8911"/>
    <mergeCell ref="K8910:K8911"/>
    <mergeCell ref="L8910:L8911"/>
    <mergeCell ref="M8910:M8911"/>
    <mergeCell ref="N8910:N8911"/>
    <mergeCell ref="O8910:O8911"/>
    <mergeCell ref="X8910:X8911"/>
    <mergeCell ref="Y8910:Y8911"/>
    <mergeCell ref="Z8910:Z8911"/>
    <mergeCell ref="AA8910:AA8911"/>
    <mergeCell ref="AB8910:AB8911"/>
    <mergeCell ref="A8912:A8913"/>
    <mergeCell ref="E8912:E8913"/>
    <mergeCell ref="H8912:H8913"/>
    <mergeCell ref="I8912:I8913"/>
    <mergeCell ref="J8912:J8913"/>
    <mergeCell ref="K8912:K8913"/>
    <mergeCell ref="L8912:L8913"/>
    <mergeCell ref="M8912:M8913"/>
    <mergeCell ref="N8912:N8913"/>
    <mergeCell ref="O8912:O8913"/>
    <mergeCell ref="X8912:X8913"/>
    <mergeCell ref="Y8912:Y8913"/>
    <mergeCell ref="Z8912:Z8913"/>
    <mergeCell ref="AA8912:AA8913"/>
    <mergeCell ref="AB8912:AB8913"/>
    <mergeCell ref="A8906:A8907"/>
    <mergeCell ref="E8906:E8907"/>
    <mergeCell ref="H8906:H8907"/>
    <mergeCell ref="I8906:I8907"/>
    <mergeCell ref="J8906:J8907"/>
    <mergeCell ref="K8906:K8907"/>
    <mergeCell ref="L8906:L8907"/>
    <mergeCell ref="M8906:M8907"/>
    <mergeCell ref="N8906:N8907"/>
    <mergeCell ref="O8906:O8907"/>
    <mergeCell ref="X8906:X8907"/>
    <mergeCell ref="Y8906:Y8907"/>
    <mergeCell ref="Z8906:Z8907"/>
    <mergeCell ref="AA8906:AA8907"/>
    <mergeCell ref="AB8906:AB8907"/>
    <mergeCell ref="A8908:A8909"/>
    <mergeCell ref="E8908:E8909"/>
    <mergeCell ref="H8908:H8909"/>
    <mergeCell ref="I8908:I8909"/>
    <mergeCell ref="J8908:J8909"/>
    <mergeCell ref="K8908:K8909"/>
    <mergeCell ref="L8908:L8909"/>
    <mergeCell ref="M8908:M8909"/>
    <mergeCell ref="N8908:N8909"/>
    <mergeCell ref="O8908:O8909"/>
    <mergeCell ref="X8908:X8909"/>
    <mergeCell ref="Y8908:Y8909"/>
    <mergeCell ref="Z8908:Z8909"/>
    <mergeCell ref="AA8908:AA8909"/>
    <mergeCell ref="AB8908:AB8909"/>
    <mergeCell ref="A8902:A8903"/>
    <mergeCell ref="E8902:E8903"/>
    <mergeCell ref="H8902:H8903"/>
    <mergeCell ref="I8902:I8903"/>
    <mergeCell ref="J8902:J8903"/>
    <mergeCell ref="K8902:K8903"/>
    <mergeCell ref="L8902:L8903"/>
    <mergeCell ref="M8902:M8903"/>
    <mergeCell ref="N8902:N8903"/>
    <mergeCell ref="O8902:O8903"/>
    <mergeCell ref="X8902:X8903"/>
    <mergeCell ref="Y8902:Y8903"/>
    <mergeCell ref="Z8902:Z8903"/>
    <mergeCell ref="AA8902:AA8903"/>
    <mergeCell ref="AB8902:AB8903"/>
    <mergeCell ref="A8904:A8905"/>
    <mergeCell ref="E8904:E8905"/>
    <mergeCell ref="H8904:H8905"/>
    <mergeCell ref="I8904:I8905"/>
    <mergeCell ref="J8904:J8905"/>
    <mergeCell ref="K8904:K8905"/>
    <mergeCell ref="L8904:L8905"/>
    <mergeCell ref="M8904:M8905"/>
    <mergeCell ref="N8904:N8905"/>
    <mergeCell ref="O8904:O8905"/>
    <mergeCell ref="X8904:X8905"/>
    <mergeCell ref="Y8904:Y8905"/>
    <mergeCell ref="Z8904:Z8905"/>
    <mergeCell ref="AA8904:AA8905"/>
    <mergeCell ref="AB8904:AB8905"/>
    <mergeCell ref="A8898:A8899"/>
    <mergeCell ref="E8898:E8899"/>
    <mergeCell ref="H8898:H8899"/>
    <mergeCell ref="I8898:I8899"/>
    <mergeCell ref="J8898:J8899"/>
    <mergeCell ref="K8898:K8899"/>
    <mergeCell ref="L8898:L8899"/>
    <mergeCell ref="M8898:M8899"/>
    <mergeCell ref="N8898:N8899"/>
    <mergeCell ref="O8898:O8899"/>
    <mergeCell ref="X8898:X8899"/>
    <mergeCell ref="Y8898:Y8899"/>
    <mergeCell ref="Z8898:Z8899"/>
    <mergeCell ref="AA8898:AA8899"/>
    <mergeCell ref="AB8898:AB8899"/>
    <mergeCell ref="A8900:A8901"/>
    <mergeCell ref="E8900:E8901"/>
    <mergeCell ref="H8900:H8901"/>
    <mergeCell ref="I8900:I8901"/>
    <mergeCell ref="J8900:J8901"/>
    <mergeCell ref="K8900:K8901"/>
    <mergeCell ref="L8900:L8901"/>
    <mergeCell ref="M8900:M8901"/>
    <mergeCell ref="N8900:N8901"/>
    <mergeCell ref="O8900:O8901"/>
    <mergeCell ref="X8900:X8901"/>
    <mergeCell ref="Y8900:Y8901"/>
    <mergeCell ref="Z8900:Z8901"/>
    <mergeCell ref="AA8900:AA8901"/>
    <mergeCell ref="AB8900:AB8901"/>
    <mergeCell ref="A8894:A8895"/>
    <mergeCell ref="E8894:E8895"/>
    <mergeCell ref="H8894:H8895"/>
    <mergeCell ref="I8894:I8895"/>
    <mergeCell ref="J8894:J8895"/>
    <mergeCell ref="K8894:K8895"/>
    <mergeCell ref="L8894:L8895"/>
    <mergeCell ref="M8894:M8895"/>
    <mergeCell ref="N8894:N8895"/>
    <mergeCell ref="O8894:O8895"/>
    <mergeCell ref="X8894:X8895"/>
    <mergeCell ref="Y8894:Y8895"/>
    <mergeCell ref="Z8894:Z8895"/>
    <mergeCell ref="AA8894:AA8895"/>
    <mergeCell ref="AB8894:AB8895"/>
    <mergeCell ref="A8896:A8897"/>
    <mergeCell ref="E8896:E8897"/>
    <mergeCell ref="H8896:H8897"/>
    <mergeCell ref="I8896:I8897"/>
    <mergeCell ref="J8896:J8897"/>
    <mergeCell ref="K8896:K8897"/>
    <mergeCell ref="L8896:L8897"/>
    <mergeCell ref="M8896:M8897"/>
    <mergeCell ref="N8896:N8897"/>
    <mergeCell ref="O8896:O8897"/>
    <mergeCell ref="X8896:X8897"/>
    <mergeCell ref="Y8896:Y8897"/>
    <mergeCell ref="Z8896:Z8897"/>
    <mergeCell ref="AA8896:AA8897"/>
    <mergeCell ref="AB8896:AB8897"/>
    <mergeCell ref="A8890:A8891"/>
    <mergeCell ref="E8890:E8891"/>
    <mergeCell ref="H8890:H8891"/>
    <mergeCell ref="I8890:I8891"/>
    <mergeCell ref="J8890:J8891"/>
    <mergeCell ref="K8890:K8891"/>
    <mergeCell ref="L8890:L8891"/>
    <mergeCell ref="M8890:M8891"/>
    <mergeCell ref="N8890:N8891"/>
    <mergeCell ref="O8890:O8891"/>
    <mergeCell ref="X8890:X8891"/>
    <mergeCell ref="Y8890:Y8891"/>
    <mergeCell ref="Z8890:Z8891"/>
    <mergeCell ref="AA8890:AA8891"/>
    <mergeCell ref="AB8890:AB8891"/>
    <mergeCell ref="A8892:A8893"/>
    <mergeCell ref="E8892:E8893"/>
    <mergeCell ref="H8892:H8893"/>
    <mergeCell ref="I8892:I8893"/>
    <mergeCell ref="J8892:J8893"/>
    <mergeCell ref="K8892:K8893"/>
    <mergeCell ref="L8892:L8893"/>
    <mergeCell ref="M8892:M8893"/>
    <mergeCell ref="N8892:N8893"/>
    <mergeCell ref="O8892:O8893"/>
    <mergeCell ref="X8892:X8893"/>
    <mergeCell ref="Y8892:Y8893"/>
    <mergeCell ref="Z8892:Z8893"/>
    <mergeCell ref="AA8892:AA8893"/>
    <mergeCell ref="AB8892:AB8893"/>
    <mergeCell ref="A8886:A8887"/>
    <mergeCell ref="E8886:E8887"/>
    <mergeCell ref="H8886:H8887"/>
    <mergeCell ref="I8886:I8887"/>
    <mergeCell ref="J8886:J8887"/>
    <mergeCell ref="K8886:K8887"/>
    <mergeCell ref="L8886:L8887"/>
    <mergeCell ref="M8886:M8887"/>
    <mergeCell ref="N8886:N8887"/>
    <mergeCell ref="O8886:O8887"/>
    <mergeCell ref="X8886:X8887"/>
    <mergeCell ref="Y8886:Y8887"/>
    <mergeCell ref="Z8886:Z8887"/>
    <mergeCell ref="AA8886:AA8887"/>
    <mergeCell ref="AB8886:AB8887"/>
    <mergeCell ref="A8888:A8889"/>
    <mergeCell ref="E8888:E8889"/>
    <mergeCell ref="H8888:H8889"/>
    <mergeCell ref="I8888:I8889"/>
    <mergeCell ref="J8888:J8889"/>
    <mergeCell ref="K8888:K8889"/>
    <mergeCell ref="L8888:L8889"/>
    <mergeCell ref="M8888:M8889"/>
    <mergeCell ref="N8888:N8889"/>
    <mergeCell ref="O8888:O8889"/>
    <mergeCell ref="X8888:X8889"/>
    <mergeCell ref="Y8888:Y8889"/>
    <mergeCell ref="Z8888:Z8889"/>
    <mergeCell ref="AA8888:AA8889"/>
    <mergeCell ref="AB8888:AB8889"/>
    <mergeCell ref="A8882:A8883"/>
    <mergeCell ref="E8882:E8883"/>
    <mergeCell ref="H8882:H8883"/>
    <mergeCell ref="I8882:I8883"/>
    <mergeCell ref="J8882:J8883"/>
    <mergeCell ref="K8882:K8883"/>
    <mergeCell ref="L8882:L8883"/>
    <mergeCell ref="M8882:M8883"/>
    <mergeCell ref="N8882:N8883"/>
    <mergeCell ref="O8882:O8883"/>
    <mergeCell ref="X8882:X8883"/>
    <mergeCell ref="Y8882:Y8883"/>
    <mergeCell ref="Z8882:Z8883"/>
    <mergeCell ref="AA8882:AA8883"/>
    <mergeCell ref="AB8882:AB8883"/>
    <mergeCell ref="A8884:A8885"/>
    <mergeCell ref="E8884:E8885"/>
    <mergeCell ref="H8884:H8885"/>
    <mergeCell ref="I8884:I8885"/>
    <mergeCell ref="J8884:J8885"/>
    <mergeCell ref="K8884:K8885"/>
    <mergeCell ref="L8884:L8885"/>
    <mergeCell ref="M8884:M8885"/>
    <mergeCell ref="N8884:N8885"/>
    <mergeCell ref="O8884:O8885"/>
    <mergeCell ref="X8884:X8885"/>
    <mergeCell ref="Y8884:Y8885"/>
    <mergeCell ref="Z8884:Z8885"/>
    <mergeCell ref="AA8884:AA8885"/>
    <mergeCell ref="AB8884:AB8885"/>
    <mergeCell ref="A8878:A8879"/>
    <mergeCell ref="E8878:E8879"/>
    <mergeCell ref="H8878:H8879"/>
    <mergeCell ref="I8878:I8879"/>
    <mergeCell ref="J8878:J8879"/>
    <mergeCell ref="K8878:K8879"/>
    <mergeCell ref="L8878:L8879"/>
    <mergeCell ref="M8878:M8879"/>
    <mergeCell ref="N8878:N8879"/>
    <mergeCell ref="O8878:O8879"/>
    <mergeCell ref="X8878:X8879"/>
    <mergeCell ref="Y8878:Y8879"/>
    <mergeCell ref="Z8878:Z8879"/>
    <mergeCell ref="AA8878:AA8879"/>
    <mergeCell ref="AB8878:AB8879"/>
    <mergeCell ref="A8880:A8881"/>
    <mergeCell ref="E8880:E8881"/>
    <mergeCell ref="H8880:H8881"/>
    <mergeCell ref="I8880:I8881"/>
    <mergeCell ref="J8880:J8881"/>
    <mergeCell ref="K8880:K8881"/>
    <mergeCell ref="L8880:L8881"/>
    <mergeCell ref="M8880:M8881"/>
    <mergeCell ref="N8880:N8881"/>
    <mergeCell ref="O8880:O8881"/>
    <mergeCell ref="X8880:X8881"/>
    <mergeCell ref="Y8880:Y8881"/>
    <mergeCell ref="Z8880:Z8881"/>
    <mergeCell ref="AA8880:AA8881"/>
    <mergeCell ref="AB8880:AB8881"/>
    <mergeCell ref="A8874:A8875"/>
    <mergeCell ref="E8874:E8875"/>
    <mergeCell ref="H8874:H8875"/>
    <mergeCell ref="I8874:I8875"/>
    <mergeCell ref="J8874:J8875"/>
    <mergeCell ref="K8874:K8875"/>
    <mergeCell ref="L8874:L8875"/>
    <mergeCell ref="M8874:M8875"/>
    <mergeCell ref="N8874:N8875"/>
    <mergeCell ref="O8874:O8875"/>
    <mergeCell ref="X8874:X8875"/>
    <mergeCell ref="Y8874:Y8875"/>
    <mergeCell ref="Z8874:Z8875"/>
    <mergeCell ref="AA8874:AA8875"/>
    <mergeCell ref="AB8874:AB8875"/>
    <mergeCell ref="A8876:A8877"/>
    <mergeCell ref="E8876:E8877"/>
    <mergeCell ref="H8876:H8877"/>
    <mergeCell ref="I8876:I8877"/>
    <mergeCell ref="J8876:J8877"/>
    <mergeCell ref="K8876:K8877"/>
    <mergeCell ref="L8876:L8877"/>
    <mergeCell ref="M8876:M8877"/>
    <mergeCell ref="N8876:N8877"/>
    <mergeCell ref="O8876:O8877"/>
    <mergeCell ref="X8876:X8877"/>
    <mergeCell ref="Y8876:Y8877"/>
    <mergeCell ref="Z8876:Z8877"/>
    <mergeCell ref="AA8876:AA8877"/>
    <mergeCell ref="AB8876:AB8877"/>
    <mergeCell ref="A8868:A8869"/>
    <mergeCell ref="E8868:E8869"/>
    <mergeCell ref="H8868:H8869"/>
    <mergeCell ref="I8868:I8869"/>
    <mergeCell ref="J8868:J8869"/>
    <mergeCell ref="K8868:K8869"/>
    <mergeCell ref="L8868:L8869"/>
    <mergeCell ref="M8868:M8869"/>
    <mergeCell ref="N8868:N8869"/>
    <mergeCell ref="O8868:O8869"/>
    <mergeCell ref="X8868:X8869"/>
    <mergeCell ref="Y8868:Y8869"/>
    <mergeCell ref="Z8868:Z8869"/>
    <mergeCell ref="AA8868:AA8869"/>
    <mergeCell ref="AB8868:AB8869"/>
    <mergeCell ref="A8872:A8873"/>
    <mergeCell ref="E8872:E8873"/>
    <mergeCell ref="H8872:H8873"/>
    <mergeCell ref="I8872:I8873"/>
    <mergeCell ref="J8872:J8873"/>
    <mergeCell ref="K8872:K8873"/>
    <mergeCell ref="L8872:L8873"/>
    <mergeCell ref="M8872:M8873"/>
    <mergeCell ref="N8872:N8873"/>
    <mergeCell ref="O8872:O8873"/>
    <mergeCell ref="X8872:X8873"/>
    <mergeCell ref="Y8872:Y8873"/>
    <mergeCell ref="Z8872:Z8873"/>
    <mergeCell ref="AA8872:AA8873"/>
    <mergeCell ref="AB8872:AB8873"/>
    <mergeCell ref="A8870:A8871"/>
    <mergeCell ref="E8870:E8871"/>
    <mergeCell ref="H8870:H8871"/>
    <mergeCell ref="I8870:I8871"/>
    <mergeCell ref="J8870:J8871"/>
    <mergeCell ref="K8870:K8871"/>
    <mergeCell ref="L8870:L8871"/>
    <mergeCell ref="M8870:M8871"/>
    <mergeCell ref="N8870:N8871"/>
    <mergeCell ref="A8864:A8865"/>
    <mergeCell ref="E8864:E8865"/>
    <mergeCell ref="H8864:H8865"/>
    <mergeCell ref="I8864:I8865"/>
    <mergeCell ref="J8864:J8865"/>
    <mergeCell ref="K8864:K8865"/>
    <mergeCell ref="L8864:L8865"/>
    <mergeCell ref="M8864:M8865"/>
    <mergeCell ref="N8864:N8865"/>
    <mergeCell ref="O8864:O8865"/>
    <mergeCell ref="X8864:X8865"/>
    <mergeCell ref="Y8864:Y8865"/>
    <mergeCell ref="Z8864:Z8865"/>
    <mergeCell ref="AA8864:AA8865"/>
    <mergeCell ref="AB8864:AB8865"/>
    <mergeCell ref="A8866:A8867"/>
    <mergeCell ref="E8866:E8867"/>
    <mergeCell ref="H8866:H8867"/>
    <mergeCell ref="I8866:I8867"/>
    <mergeCell ref="J8866:J8867"/>
    <mergeCell ref="K8866:K8867"/>
    <mergeCell ref="L8866:L8867"/>
    <mergeCell ref="M8866:M8867"/>
    <mergeCell ref="N8866:N8867"/>
    <mergeCell ref="O8866:O8867"/>
    <mergeCell ref="X8866:X8867"/>
    <mergeCell ref="Y8866:Y8867"/>
    <mergeCell ref="Z8866:Z8867"/>
    <mergeCell ref="AA8866:AA8867"/>
    <mergeCell ref="AB8866:AB8867"/>
    <mergeCell ref="A8860:A8861"/>
    <mergeCell ref="E8860:E8861"/>
    <mergeCell ref="H8860:H8861"/>
    <mergeCell ref="I8860:I8861"/>
    <mergeCell ref="J8860:J8861"/>
    <mergeCell ref="K8860:K8861"/>
    <mergeCell ref="L8860:L8861"/>
    <mergeCell ref="M8860:M8861"/>
    <mergeCell ref="N8860:N8861"/>
    <mergeCell ref="O8860:O8861"/>
    <mergeCell ref="X8860:X8861"/>
    <mergeCell ref="Y8860:Y8861"/>
    <mergeCell ref="Z8860:Z8861"/>
    <mergeCell ref="AA8860:AA8861"/>
    <mergeCell ref="AB8860:AB8861"/>
    <mergeCell ref="A8862:A8863"/>
    <mergeCell ref="E8862:E8863"/>
    <mergeCell ref="H8862:H8863"/>
    <mergeCell ref="I8862:I8863"/>
    <mergeCell ref="J8862:J8863"/>
    <mergeCell ref="K8862:K8863"/>
    <mergeCell ref="L8862:L8863"/>
    <mergeCell ref="M8862:M8863"/>
    <mergeCell ref="N8862:N8863"/>
    <mergeCell ref="O8862:O8863"/>
    <mergeCell ref="X8862:X8863"/>
    <mergeCell ref="Y8862:Y8863"/>
    <mergeCell ref="Z8862:Z8863"/>
    <mergeCell ref="AA8862:AA8863"/>
    <mergeCell ref="AB8862:AB8863"/>
    <mergeCell ref="AB8854:AB8855"/>
    <mergeCell ref="A8856:A8857"/>
    <mergeCell ref="E8856:E8857"/>
    <mergeCell ref="H8856:H8857"/>
    <mergeCell ref="I8856:I8857"/>
    <mergeCell ref="J8856:J8857"/>
    <mergeCell ref="K8856:K8857"/>
    <mergeCell ref="L8856:L8857"/>
    <mergeCell ref="M8856:M8857"/>
    <mergeCell ref="N8856:N8857"/>
    <mergeCell ref="O8856:O8857"/>
    <mergeCell ref="X8856:X8857"/>
    <mergeCell ref="Y8856:Y8857"/>
    <mergeCell ref="Z8856:Z8857"/>
    <mergeCell ref="AA8856:AA8857"/>
    <mergeCell ref="AB8856:AB8857"/>
    <mergeCell ref="A8854:A8855"/>
    <mergeCell ref="E8854:E8855"/>
    <mergeCell ref="H8854:H8855"/>
    <mergeCell ref="I8854:I8855"/>
    <mergeCell ref="J8854:J8855"/>
    <mergeCell ref="K8854:K8855"/>
    <mergeCell ref="L8854:L8855"/>
    <mergeCell ref="M8854:M8855"/>
    <mergeCell ref="N8854:N8855"/>
    <mergeCell ref="O8854:O8855"/>
    <mergeCell ref="X8854:X8855"/>
    <mergeCell ref="Y8854:Y8855"/>
    <mergeCell ref="Z8854:Z8855"/>
    <mergeCell ref="AA8854:AA8855"/>
    <mergeCell ref="J8850:J8851"/>
    <mergeCell ref="K8850:K8851"/>
    <mergeCell ref="L8850:L8851"/>
    <mergeCell ref="M8850:M8851"/>
    <mergeCell ref="N8850:N8851"/>
    <mergeCell ref="O8850:O8851"/>
    <mergeCell ref="X8850:X8851"/>
    <mergeCell ref="Y8850:Y8851"/>
    <mergeCell ref="Z8850:Z8851"/>
    <mergeCell ref="AA8850:AA8851"/>
    <mergeCell ref="AB8850:AB8851"/>
    <mergeCell ref="A8852:A8853"/>
    <mergeCell ref="E8852:E8853"/>
    <mergeCell ref="H8852:H8853"/>
    <mergeCell ref="I8852:I8853"/>
    <mergeCell ref="J8852:J8853"/>
    <mergeCell ref="K8852:K8853"/>
    <mergeCell ref="L8852:L8853"/>
    <mergeCell ref="M8852:M8853"/>
    <mergeCell ref="N8852:N8853"/>
    <mergeCell ref="O8852:O8853"/>
    <mergeCell ref="X8852:X8853"/>
    <mergeCell ref="Y8852:Y8853"/>
    <mergeCell ref="Z8852:Z8853"/>
    <mergeCell ref="AA8852:AA8853"/>
    <mergeCell ref="AB8852:AB8853"/>
    <mergeCell ref="A8846:A8847"/>
    <mergeCell ref="E8846:E8847"/>
    <mergeCell ref="H8846:H8847"/>
    <mergeCell ref="I8846:I8847"/>
    <mergeCell ref="J8846:J8847"/>
    <mergeCell ref="K8846:K8847"/>
    <mergeCell ref="L8846:L8847"/>
    <mergeCell ref="M8846:M8847"/>
    <mergeCell ref="N8846:N8847"/>
    <mergeCell ref="O8846:O8847"/>
    <mergeCell ref="X8846:X8847"/>
    <mergeCell ref="Y8846:Y8847"/>
    <mergeCell ref="Z8846:Z8847"/>
    <mergeCell ref="AA8846:AA8847"/>
    <mergeCell ref="AB8846:AB8847"/>
    <mergeCell ref="A8848:A8849"/>
    <mergeCell ref="E8848:E8849"/>
    <mergeCell ref="H8848:H8849"/>
    <mergeCell ref="I8848:I8849"/>
    <mergeCell ref="J8848:J8849"/>
    <mergeCell ref="K8848:K8849"/>
    <mergeCell ref="L8848:L8849"/>
    <mergeCell ref="M8848:M8849"/>
    <mergeCell ref="N8848:N8849"/>
    <mergeCell ref="O8848:O8849"/>
    <mergeCell ref="X8848:X8849"/>
    <mergeCell ref="Y8848:Y8849"/>
    <mergeCell ref="Z8848:Z8849"/>
    <mergeCell ref="AA8848:AA8849"/>
    <mergeCell ref="AB8848:AB8849"/>
    <mergeCell ref="A8842:A8843"/>
    <mergeCell ref="E8842:E8843"/>
    <mergeCell ref="H8842:H8843"/>
    <mergeCell ref="I8842:I8843"/>
    <mergeCell ref="J8842:J8843"/>
    <mergeCell ref="K8842:K8843"/>
    <mergeCell ref="L8842:L8843"/>
    <mergeCell ref="M8842:M8843"/>
    <mergeCell ref="N8842:N8843"/>
    <mergeCell ref="O8842:O8843"/>
    <mergeCell ref="X8842:X8843"/>
    <mergeCell ref="Y8842:Y8843"/>
    <mergeCell ref="Z8842:Z8843"/>
    <mergeCell ref="AA8842:AA8843"/>
    <mergeCell ref="AB8842:AB8843"/>
    <mergeCell ref="A8844:A8845"/>
    <mergeCell ref="E8844:E8845"/>
    <mergeCell ref="H8844:H8845"/>
    <mergeCell ref="I8844:I8845"/>
    <mergeCell ref="J8844:J8845"/>
    <mergeCell ref="K8844:K8845"/>
    <mergeCell ref="L8844:L8845"/>
    <mergeCell ref="M8844:M8845"/>
    <mergeCell ref="N8844:N8845"/>
    <mergeCell ref="O8844:O8845"/>
    <mergeCell ref="X8844:X8845"/>
    <mergeCell ref="Y8844:Y8845"/>
    <mergeCell ref="Z8844:Z8845"/>
    <mergeCell ref="AA8844:AA8845"/>
    <mergeCell ref="AB8844:AB8845"/>
    <mergeCell ref="A8838:A8839"/>
    <mergeCell ref="E8838:E8839"/>
    <mergeCell ref="H8838:H8839"/>
    <mergeCell ref="I8838:I8839"/>
    <mergeCell ref="J8838:J8839"/>
    <mergeCell ref="K8838:K8839"/>
    <mergeCell ref="L8838:L8839"/>
    <mergeCell ref="M8838:M8839"/>
    <mergeCell ref="N8838:N8839"/>
    <mergeCell ref="O8838:O8839"/>
    <mergeCell ref="X8838:X8839"/>
    <mergeCell ref="Y8838:Y8839"/>
    <mergeCell ref="Z8838:Z8839"/>
    <mergeCell ref="AA8838:AA8839"/>
    <mergeCell ref="AB8838:AB8839"/>
    <mergeCell ref="A8840:A8841"/>
    <mergeCell ref="E8840:E8841"/>
    <mergeCell ref="H8840:H8841"/>
    <mergeCell ref="I8840:I8841"/>
    <mergeCell ref="J8840:J8841"/>
    <mergeCell ref="K8840:K8841"/>
    <mergeCell ref="L8840:L8841"/>
    <mergeCell ref="M8840:M8841"/>
    <mergeCell ref="N8840:N8841"/>
    <mergeCell ref="O8840:O8841"/>
    <mergeCell ref="X8840:X8841"/>
    <mergeCell ref="Y8840:Y8841"/>
    <mergeCell ref="Z8840:Z8841"/>
    <mergeCell ref="AA8840:AA8841"/>
    <mergeCell ref="AB8840:AB8841"/>
    <mergeCell ref="A8834:A8835"/>
    <mergeCell ref="E8834:E8835"/>
    <mergeCell ref="H8834:H8835"/>
    <mergeCell ref="I8834:I8835"/>
    <mergeCell ref="J8834:J8835"/>
    <mergeCell ref="K8834:K8835"/>
    <mergeCell ref="L8834:L8835"/>
    <mergeCell ref="M8834:M8835"/>
    <mergeCell ref="N8834:N8835"/>
    <mergeCell ref="O8834:O8835"/>
    <mergeCell ref="X8834:X8835"/>
    <mergeCell ref="Y8834:Y8835"/>
    <mergeCell ref="Z8834:Z8835"/>
    <mergeCell ref="AA8834:AA8835"/>
    <mergeCell ref="AB8834:AB8835"/>
    <mergeCell ref="A8836:A8837"/>
    <mergeCell ref="E8836:E8837"/>
    <mergeCell ref="H8836:H8837"/>
    <mergeCell ref="I8836:I8837"/>
    <mergeCell ref="J8836:J8837"/>
    <mergeCell ref="K8836:K8837"/>
    <mergeCell ref="L8836:L8837"/>
    <mergeCell ref="M8836:M8837"/>
    <mergeCell ref="N8836:N8837"/>
    <mergeCell ref="O8836:O8837"/>
    <mergeCell ref="X8836:X8837"/>
    <mergeCell ref="Y8836:Y8837"/>
    <mergeCell ref="Z8836:Z8837"/>
    <mergeCell ref="AA8836:AA8837"/>
    <mergeCell ref="AB8836:AB8837"/>
    <mergeCell ref="A8830:A8831"/>
    <mergeCell ref="E8830:E8831"/>
    <mergeCell ref="H8830:H8831"/>
    <mergeCell ref="I8830:I8831"/>
    <mergeCell ref="J8830:J8831"/>
    <mergeCell ref="K8830:K8831"/>
    <mergeCell ref="L8830:L8831"/>
    <mergeCell ref="M8830:M8831"/>
    <mergeCell ref="N8830:N8831"/>
    <mergeCell ref="O8830:O8831"/>
    <mergeCell ref="X8830:X8831"/>
    <mergeCell ref="Y8830:Y8831"/>
    <mergeCell ref="Z8830:Z8831"/>
    <mergeCell ref="AA8830:AA8831"/>
    <mergeCell ref="AB8830:AB8831"/>
    <mergeCell ref="A8832:A8833"/>
    <mergeCell ref="E8832:E8833"/>
    <mergeCell ref="H8832:H8833"/>
    <mergeCell ref="I8832:I8833"/>
    <mergeCell ref="J8832:J8833"/>
    <mergeCell ref="K8832:K8833"/>
    <mergeCell ref="L8832:L8833"/>
    <mergeCell ref="M8832:M8833"/>
    <mergeCell ref="N8832:N8833"/>
    <mergeCell ref="O8832:O8833"/>
    <mergeCell ref="X8832:X8833"/>
    <mergeCell ref="Y8832:Y8833"/>
    <mergeCell ref="Z8832:Z8833"/>
    <mergeCell ref="AA8832:AA8833"/>
    <mergeCell ref="AB8832:AB8833"/>
    <mergeCell ref="J8818:J8819"/>
    <mergeCell ref="K8818:K8819"/>
    <mergeCell ref="L8818:L8819"/>
    <mergeCell ref="M8818:M8819"/>
    <mergeCell ref="N8818:N8819"/>
    <mergeCell ref="O8818:O8819"/>
    <mergeCell ref="X8818:X8819"/>
    <mergeCell ref="Y8818:Y8819"/>
    <mergeCell ref="Z8818:Z8819"/>
    <mergeCell ref="AA8818:AA8819"/>
    <mergeCell ref="AB8818:AB8819"/>
    <mergeCell ref="A8828:A8829"/>
    <mergeCell ref="E8828:E8829"/>
    <mergeCell ref="H8828:H8829"/>
    <mergeCell ref="I8828:I8829"/>
    <mergeCell ref="J8828:J8829"/>
    <mergeCell ref="K8828:K8829"/>
    <mergeCell ref="L8828:L8829"/>
    <mergeCell ref="M8828:M8829"/>
    <mergeCell ref="N8828:N8829"/>
    <mergeCell ref="O8828:O8829"/>
    <mergeCell ref="X8828:X8829"/>
    <mergeCell ref="Y8828:Y8829"/>
    <mergeCell ref="Z8828:Z8829"/>
    <mergeCell ref="AA8828:AA8829"/>
    <mergeCell ref="AB8828:AB8829"/>
    <mergeCell ref="A8824:A8825"/>
    <mergeCell ref="E8824:E8825"/>
    <mergeCell ref="H8824:H8825"/>
    <mergeCell ref="I8824:I8825"/>
    <mergeCell ref="J8824:J8825"/>
    <mergeCell ref="K8824:K8825"/>
    <mergeCell ref="L8824:L8825"/>
    <mergeCell ref="M8824:M8825"/>
    <mergeCell ref="N8824:N8825"/>
    <mergeCell ref="O8824:O8825"/>
    <mergeCell ref="X8824:X8825"/>
    <mergeCell ref="Y8824:Y8825"/>
    <mergeCell ref="Z8824:Z8825"/>
    <mergeCell ref="AA8824:AA8825"/>
    <mergeCell ref="AB8824:AB8825"/>
    <mergeCell ref="A8826:A8827"/>
    <mergeCell ref="E8826:E8827"/>
    <mergeCell ref="H8826:H8827"/>
    <mergeCell ref="I8826:I8827"/>
    <mergeCell ref="J8826:J8827"/>
    <mergeCell ref="K8826:K8827"/>
    <mergeCell ref="L8826:L8827"/>
    <mergeCell ref="M8826:M8827"/>
    <mergeCell ref="N8826:N8827"/>
    <mergeCell ref="O8826:O8827"/>
    <mergeCell ref="X8826:X8827"/>
    <mergeCell ref="Y8826:Y8827"/>
    <mergeCell ref="Z8826:Z8827"/>
    <mergeCell ref="AA8826:AA8827"/>
    <mergeCell ref="AB8826:AB8827"/>
    <mergeCell ref="A8814:A8815"/>
    <mergeCell ref="E8814:E8815"/>
    <mergeCell ref="H8814:H8815"/>
    <mergeCell ref="I8814:I8815"/>
    <mergeCell ref="J8814:J8815"/>
    <mergeCell ref="K8814:K8815"/>
    <mergeCell ref="L8814:L8815"/>
    <mergeCell ref="M8814:M8815"/>
    <mergeCell ref="N8814:N8815"/>
    <mergeCell ref="O8814:O8815"/>
    <mergeCell ref="X8814:X8815"/>
    <mergeCell ref="Y8814:Y8815"/>
    <mergeCell ref="Z8814:Z8815"/>
    <mergeCell ref="AA8814:AA8815"/>
    <mergeCell ref="AB8814:AB8815"/>
    <mergeCell ref="AB8822:AB8823"/>
    <mergeCell ref="A8816:A8817"/>
    <mergeCell ref="E8816:E8817"/>
    <mergeCell ref="H8816:H8817"/>
    <mergeCell ref="I8816:I8817"/>
    <mergeCell ref="J8816:J8817"/>
    <mergeCell ref="K8816:K8817"/>
    <mergeCell ref="L8816:L8817"/>
    <mergeCell ref="M8816:M8817"/>
    <mergeCell ref="N8816:N8817"/>
    <mergeCell ref="O8816:O8817"/>
    <mergeCell ref="X8816:X8817"/>
    <mergeCell ref="Y8816:Y8817"/>
    <mergeCell ref="Z8816:Z8817"/>
    <mergeCell ref="AA8816:AA8817"/>
    <mergeCell ref="AB8816:AB8817"/>
    <mergeCell ref="A8818:A8819"/>
    <mergeCell ref="E8818:E8819"/>
    <mergeCell ref="A8820:A8821"/>
    <mergeCell ref="E8820:E8821"/>
    <mergeCell ref="H8820:H8821"/>
    <mergeCell ref="I8820:I8821"/>
    <mergeCell ref="J8820:J8821"/>
    <mergeCell ref="K8820:K8821"/>
    <mergeCell ref="L8820:L8821"/>
    <mergeCell ref="M8820:M8821"/>
    <mergeCell ref="N8820:N8821"/>
    <mergeCell ref="O8820:O8821"/>
    <mergeCell ref="X8820:X8821"/>
    <mergeCell ref="Y8820:Y8821"/>
    <mergeCell ref="Z8820:Z8821"/>
    <mergeCell ref="AA8820:AA8821"/>
    <mergeCell ref="AB8820:AB8821"/>
    <mergeCell ref="A8822:A8823"/>
    <mergeCell ref="E8822:E8823"/>
    <mergeCell ref="H8822:H8823"/>
    <mergeCell ref="I8822:I8823"/>
    <mergeCell ref="J8822:J8823"/>
    <mergeCell ref="K8822:K8823"/>
    <mergeCell ref="L8822:L8823"/>
    <mergeCell ref="M8822:M8823"/>
    <mergeCell ref="N8822:N8823"/>
    <mergeCell ref="O8822:O8823"/>
    <mergeCell ref="X8822:X8823"/>
    <mergeCell ref="Y8822:Y8823"/>
    <mergeCell ref="Z8822:Z8823"/>
    <mergeCell ref="AA8822:AA8823"/>
    <mergeCell ref="H8818:H8819"/>
    <mergeCell ref="I8818:I8819"/>
    <mergeCell ref="A8810:A8811"/>
    <mergeCell ref="E8810:E8811"/>
    <mergeCell ref="H8810:H8811"/>
    <mergeCell ref="I8810:I8811"/>
    <mergeCell ref="J8810:J8811"/>
    <mergeCell ref="K8810:K8811"/>
    <mergeCell ref="L8810:L8811"/>
    <mergeCell ref="M8810:M8811"/>
    <mergeCell ref="N8810:N8811"/>
    <mergeCell ref="O8810:O8811"/>
    <mergeCell ref="X8810:X8811"/>
    <mergeCell ref="Y8810:Y8811"/>
    <mergeCell ref="Z8810:Z8811"/>
    <mergeCell ref="AA8810:AA8811"/>
    <mergeCell ref="AB8810:AB8811"/>
    <mergeCell ref="A8812:A8813"/>
    <mergeCell ref="E8812:E8813"/>
    <mergeCell ref="H8812:H8813"/>
    <mergeCell ref="I8812:I8813"/>
    <mergeCell ref="J8812:J8813"/>
    <mergeCell ref="K8812:K8813"/>
    <mergeCell ref="L8812:L8813"/>
    <mergeCell ref="M8812:M8813"/>
    <mergeCell ref="N8812:N8813"/>
    <mergeCell ref="O8812:O8813"/>
    <mergeCell ref="X8812:X8813"/>
    <mergeCell ref="Y8812:Y8813"/>
    <mergeCell ref="Z8812:Z8813"/>
    <mergeCell ref="AA8812:AA8813"/>
    <mergeCell ref="AB8812:AB8813"/>
    <mergeCell ref="A8804:A8805"/>
    <mergeCell ref="E8804:E8805"/>
    <mergeCell ref="H8804:H8805"/>
    <mergeCell ref="I8804:I8805"/>
    <mergeCell ref="J8804:J8805"/>
    <mergeCell ref="K8804:K8805"/>
    <mergeCell ref="L8804:L8805"/>
    <mergeCell ref="M8804:M8805"/>
    <mergeCell ref="N8804:N8805"/>
    <mergeCell ref="O8804:O8805"/>
    <mergeCell ref="X8804:X8805"/>
    <mergeCell ref="Y8804:Y8805"/>
    <mergeCell ref="Z8804:Z8805"/>
    <mergeCell ref="AA8804:AA8805"/>
    <mergeCell ref="AB8804:AB8805"/>
    <mergeCell ref="A8808:A8809"/>
    <mergeCell ref="E8808:E8809"/>
    <mergeCell ref="H8808:H8809"/>
    <mergeCell ref="I8808:I8809"/>
    <mergeCell ref="J8808:J8809"/>
    <mergeCell ref="K8808:K8809"/>
    <mergeCell ref="L8808:L8809"/>
    <mergeCell ref="M8808:M8809"/>
    <mergeCell ref="N8808:N8809"/>
    <mergeCell ref="O8808:O8809"/>
    <mergeCell ref="X8808:X8809"/>
    <mergeCell ref="Y8808:Y8809"/>
    <mergeCell ref="Z8808:Z8809"/>
    <mergeCell ref="AA8808:AA8809"/>
    <mergeCell ref="AB8808:AB8809"/>
    <mergeCell ref="Z8806:Z8807"/>
    <mergeCell ref="AA8806:AA8807"/>
    <mergeCell ref="AB8806:AB8807"/>
    <mergeCell ref="A8806:A8807"/>
    <mergeCell ref="E8806:E8807"/>
    <mergeCell ref="H8806:H8807"/>
    <mergeCell ref="I8806:I8807"/>
    <mergeCell ref="J8806:J8807"/>
    <mergeCell ref="K8806:K8807"/>
    <mergeCell ref="L8806:L8807"/>
    <mergeCell ref="M8806:M8807"/>
    <mergeCell ref="N8806:N8807"/>
    <mergeCell ref="A8800:A8801"/>
    <mergeCell ref="E8800:E8801"/>
    <mergeCell ref="H8800:H8801"/>
    <mergeCell ref="I8800:I8801"/>
    <mergeCell ref="J8800:J8801"/>
    <mergeCell ref="K8800:K8801"/>
    <mergeCell ref="L8800:L8801"/>
    <mergeCell ref="M8800:M8801"/>
    <mergeCell ref="N8800:N8801"/>
    <mergeCell ref="O8800:O8801"/>
    <mergeCell ref="X8800:X8801"/>
    <mergeCell ref="Y8800:Y8801"/>
    <mergeCell ref="Z8800:Z8801"/>
    <mergeCell ref="AA8800:AA8801"/>
    <mergeCell ref="AB8800:AB8801"/>
    <mergeCell ref="A8802:A8803"/>
    <mergeCell ref="E8802:E8803"/>
    <mergeCell ref="H8802:H8803"/>
    <mergeCell ref="I8802:I8803"/>
    <mergeCell ref="J8802:J8803"/>
    <mergeCell ref="K8802:K8803"/>
    <mergeCell ref="L8802:L8803"/>
    <mergeCell ref="M8802:M8803"/>
    <mergeCell ref="N8802:N8803"/>
    <mergeCell ref="O8802:O8803"/>
    <mergeCell ref="X8802:X8803"/>
    <mergeCell ref="Y8802:Y8803"/>
    <mergeCell ref="Z8802:Z8803"/>
    <mergeCell ref="AA8802:AA8803"/>
    <mergeCell ref="AB8802:AB8803"/>
    <mergeCell ref="A8796:A8797"/>
    <mergeCell ref="E8796:E8797"/>
    <mergeCell ref="H8796:H8797"/>
    <mergeCell ref="I8796:I8797"/>
    <mergeCell ref="J8796:J8797"/>
    <mergeCell ref="K8796:K8797"/>
    <mergeCell ref="L8796:L8797"/>
    <mergeCell ref="M8796:M8797"/>
    <mergeCell ref="N8796:N8797"/>
    <mergeCell ref="O8796:O8797"/>
    <mergeCell ref="X8796:X8797"/>
    <mergeCell ref="Y8796:Y8797"/>
    <mergeCell ref="Z8796:Z8797"/>
    <mergeCell ref="AA8796:AA8797"/>
    <mergeCell ref="AB8796:AB8797"/>
    <mergeCell ref="A8798:A8799"/>
    <mergeCell ref="E8798:E8799"/>
    <mergeCell ref="H8798:H8799"/>
    <mergeCell ref="I8798:I8799"/>
    <mergeCell ref="J8798:J8799"/>
    <mergeCell ref="K8798:K8799"/>
    <mergeCell ref="L8798:L8799"/>
    <mergeCell ref="M8798:M8799"/>
    <mergeCell ref="N8798:N8799"/>
    <mergeCell ref="O8798:O8799"/>
    <mergeCell ref="X8798:X8799"/>
    <mergeCell ref="Y8798:Y8799"/>
    <mergeCell ref="Z8798:Z8799"/>
    <mergeCell ref="AA8798:AA8799"/>
    <mergeCell ref="AB8798:AB8799"/>
    <mergeCell ref="A8792:A8793"/>
    <mergeCell ref="E8792:E8793"/>
    <mergeCell ref="H8792:H8793"/>
    <mergeCell ref="I8792:I8793"/>
    <mergeCell ref="J8792:J8793"/>
    <mergeCell ref="K8792:K8793"/>
    <mergeCell ref="L8792:L8793"/>
    <mergeCell ref="M8792:M8793"/>
    <mergeCell ref="N8792:N8793"/>
    <mergeCell ref="O8792:O8793"/>
    <mergeCell ref="X8792:X8793"/>
    <mergeCell ref="Y8792:Y8793"/>
    <mergeCell ref="Z8792:Z8793"/>
    <mergeCell ref="AA8792:AA8793"/>
    <mergeCell ref="AB8792:AB8793"/>
    <mergeCell ref="A8794:A8795"/>
    <mergeCell ref="E8794:E8795"/>
    <mergeCell ref="H8794:H8795"/>
    <mergeCell ref="I8794:I8795"/>
    <mergeCell ref="J8794:J8795"/>
    <mergeCell ref="K8794:K8795"/>
    <mergeCell ref="L8794:L8795"/>
    <mergeCell ref="M8794:M8795"/>
    <mergeCell ref="N8794:N8795"/>
    <mergeCell ref="O8794:O8795"/>
    <mergeCell ref="X8794:X8795"/>
    <mergeCell ref="Y8794:Y8795"/>
    <mergeCell ref="Z8794:Z8795"/>
    <mergeCell ref="AA8794:AA8795"/>
    <mergeCell ref="AB8794:AB8795"/>
    <mergeCell ref="A8788:A8789"/>
    <mergeCell ref="E8788:E8789"/>
    <mergeCell ref="H8788:H8789"/>
    <mergeCell ref="I8788:I8789"/>
    <mergeCell ref="J8788:J8789"/>
    <mergeCell ref="K8788:K8789"/>
    <mergeCell ref="L8788:L8789"/>
    <mergeCell ref="M8788:M8789"/>
    <mergeCell ref="N8788:N8789"/>
    <mergeCell ref="O8788:O8789"/>
    <mergeCell ref="X8788:X8789"/>
    <mergeCell ref="Y8788:Y8789"/>
    <mergeCell ref="Z8788:Z8789"/>
    <mergeCell ref="AA8788:AA8789"/>
    <mergeCell ref="AB8788:AB8789"/>
    <mergeCell ref="A8790:A8791"/>
    <mergeCell ref="E8790:E8791"/>
    <mergeCell ref="H8790:H8791"/>
    <mergeCell ref="I8790:I8791"/>
    <mergeCell ref="J8790:J8791"/>
    <mergeCell ref="K8790:K8791"/>
    <mergeCell ref="L8790:L8791"/>
    <mergeCell ref="M8790:M8791"/>
    <mergeCell ref="N8790:N8791"/>
    <mergeCell ref="O8790:O8791"/>
    <mergeCell ref="X8790:X8791"/>
    <mergeCell ref="Y8790:Y8791"/>
    <mergeCell ref="Z8790:Z8791"/>
    <mergeCell ref="AA8790:AA8791"/>
    <mergeCell ref="AB8790:AB8791"/>
    <mergeCell ref="A8784:A8785"/>
    <mergeCell ref="E8784:E8785"/>
    <mergeCell ref="H8784:H8785"/>
    <mergeCell ref="I8784:I8785"/>
    <mergeCell ref="J8784:J8785"/>
    <mergeCell ref="K8784:K8785"/>
    <mergeCell ref="L8784:L8785"/>
    <mergeCell ref="M8784:M8785"/>
    <mergeCell ref="N8784:N8785"/>
    <mergeCell ref="O8784:O8785"/>
    <mergeCell ref="X8784:X8785"/>
    <mergeCell ref="Y8784:Y8785"/>
    <mergeCell ref="Z8784:Z8785"/>
    <mergeCell ref="AA8784:AA8785"/>
    <mergeCell ref="AB8784:AB8785"/>
    <mergeCell ref="A8786:A8787"/>
    <mergeCell ref="E8786:E8787"/>
    <mergeCell ref="H8786:H8787"/>
    <mergeCell ref="I8786:I8787"/>
    <mergeCell ref="J8786:J8787"/>
    <mergeCell ref="K8786:K8787"/>
    <mergeCell ref="L8786:L8787"/>
    <mergeCell ref="M8786:M8787"/>
    <mergeCell ref="N8786:N8787"/>
    <mergeCell ref="O8786:O8787"/>
    <mergeCell ref="X8786:X8787"/>
    <mergeCell ref="Y8786:Y8787"/>
    <mergeCell ref="Z8786:Z8787"/>
    <mergeCell ref="AA8786:AA8787"/>
    <mergeCell ref="AB8786:AB8787"/>
    <mergeCell ref="A8780:A8781"/>
    <mergeCell ref="E8780:E8781"/>
    <mergeCell ref="H8780:H8781"/>
    <mergeCell ref="I8780:I8781"/>
    <mergeCell ref="J8780:J8781"/>
    <mergeCell ref="K8780:K8781"/>
    <mergeCell ref="L8780:L8781"/>
    <mergeCell ref="M8780:M8781"/>
    <mergeCell ref="N8780:N8781"/>
    <mergeCell ref="O8780:O8781"/>
    <mergeCell ref="X8780:X8781"/>
    <mergeCell ref="Y8780:Y8781"/>
    <mergeCell ref="Z8780:Z8781"/>
    <mergeCell ref="AA8780:AA8781"/>
    <mergeCell ref="AB8780:AB8781"/>
    <mergeCell ref="A8782:A8783"/>
    <mergeCell ref="E8782:E8783"/>
    <mergeCell ref="H8782:H8783"/>
    <mergeCell ref="I8782:I8783"/>
    <mergeCell ref="J8782:J8783"/>
    <mergeCell ref="K8782:K8783"/>
    <mergeCell ref="L8782:L8783"/>
    <mergeCell ref="M8782:M8783"/>
    <mergeCell ref="N8782:N8783"/>
    <mergeCell ref="O8782:O8783"/>
    <mergeCell ref="X8782:X8783"/>
    <mergeCell ref="Y8782:Y8783"/>
    <mergeCell ref="Z8782:Z8783"/>
    <mergeCell ref="AA8782:AA8783"/>
    <mergeCell ref="AB8782:AB8783"/>
    <mergeCell ref="A8776:A8777"/>
    <mergeCell ref="E8776:E8777"/>
    <mergeCell ref="H8776:H8777"/>
    <mergeCell ref="I8776:I8777"/>
    <mergeCell ref="J8776:J8777"/>
    <mergeCell ref="K8776:K8777"/>
    <mergeCell ref="L8776:L8777"/>
    <mergeCell ref="M8776:M8777"/>
    <mergeCell ref="N8776:N8777"/>
    <mergeCell ref="O8776:O8777"/>
    <mergeCell ref="X8776:X8777"/>
    <mergeCell ref="Y8776:Y8777"/>
    <mergeCell ref="Z8776:Z8777"/>
    <mergeCell ref="AA8776:AA8777"/>
    <mergeCell ref="AB8776:AB8777"/>
    <mergeCell ref="A8778:A8779"/>
    <mergeCell ref="E8778:E8779"/>
    <mergeCell ref="H8778:H8779"/>
    <mergeCell ref="I8778:I8779"/>
    <mergeCell ref="J8778:J8779"/>
    <mergeCell ref="K8778:K8779"/>
    <mergeCell ref="L8778:L8779"/>
    <mergeCell ref="M8778:M8779"/>
    <mergeCell ref="N8778:N8779"/>
    <mergeCell ref="O8778:O8779"/>
    <mergeCell ref="X8778:X8779"/>
    <mergeCell ref="Y8778:Y8779"/>
    <mergeCell ref="Z8778:Z8779"/>
    <mergeCell ref="AA8778:AA8779"/>
    <mergeCell ref="AB8778:AB8779"/>
    <mergeCell ref="A8772:A8773"/>
    <mergeCell ref="E8772:E8773"/>
    <mergeCell ref="H8772:H8773"/>
    <mergeCell ref="I8772:I8773"/>
    <mergeCell ref="J8772:J8773"/>
    <mergeCell ref="K8772:K8773"/>
    <mergeCell ref="L8772:L8773"/>
    <mergeCell ref="M8772:M8773"/>
    <mergeCell ref="N8772:N8773"/>
    <mergeCell ref="O8772:O8773"/>
    <mergeCell ref="X8772:X8773"/>
    <mergeCell ref="Y8772:Y8773"/>
    <mergeCell ref="Z8772:Z8773"/>
    <mergeCell ref="AA8772:AA8773"/>
    <mergeCell ref="AB8772:AB8773"/>
    <mergeCell ref="A8774:A8775"/>
    <mergeCell ref="E8774:E8775"/>
    <mergeCell ref="H8774:H8775"/>
    <mergeCell ref="I8774:I8775"/>
    <mergeCell ref="J8774:J8775"/>
    <mergeCell ref="K8774:K8775"/>
    <mergeCell ref="L8774:L8775"/>
    <mergeCell ref="M8774:M8775"/>
    <mergeCell ref="N8774:N8775"/>
    <mergeCell ref="O8774:O8775"/>
    <mergeCell ref="X8774:X8775"/>
    <mergeCell ref="Y8774:Y8775"/>
    <mergeCell ref="Z8774:Z8775"/>
    <mergeCell ref="AA8774:AA8775"/>
    <mergeCell ref="AB8774:AB8775"/>
    <mergeCell ref="A8768:A8769"/>
    <mergeCell ref="E8768:E8769"/>
    <mergeCell ref="H8768:H8769"/>
    <mergeCell ref="I8768:I8769"/>
    <mergeCell ref="J8768:J8769"/>
    <mergeCell ref="K8768:K8769"/>
    <mergeCell ref="L8768:L8769"/>
    <mergeCell ref="M8768:M8769"/>
    <mergeCell ref="N8768:N8769"/>
    <mergeCell ref="O8768:O8769"/>
    <mergeCell ref="X8768:X8769"/>
    <mergeCell ref="Y8768:Y8769"/>
    <mergeCell ref="Z8768:Z8769"/>
    <mergeCell ref="AA8768:AA8769"/>
    <mergeCell ref="AB8768:AB8769"/>
    <mergeCell ref="A8770:A8771"/>
    <mergeCell ref="E8770:E8771"/>
    <mergeCell ref="H8770:H8771"/>
    <mergeCell ref="I8770:I8771"/>
    <mergeCell ref="J8770:J8771"/>
    <mergeCell ref="K8770:K8771"/>
    <mergeCell ref="L8770:L8771"/>
    <mergeCell ref="M8770:M8771"/>
    <mergeCell ref="N8770:N8771"/>
    <mergeCell ref="O8770:O8771"/>
    <mergeCell ref="X8770:X8771"/>
    <mergeCell ref="Y8770:Y8771"/>
    <mergeCell ref="Z8770:Z8771"/>
    <mergeCell ref="AA8770:AA8771"/>
    <mergeCell ref="AB8770:AB8771"/>
    <mergeCell ref="A8764:A8765"/>
    <mergeCell ref="E8764:E8765"/>
    <mergeCell ref="H8764:H8765"/>
    <mergeCell ref="I8764:I8765"/>
    <mergeCell ref="J8764:J8765"/>
    <mergeCell ref="K8764:K8765"/>
    <mergeCell ref="L8764:L8765"/>
    <mergeCell ref="M8764:M8765"/>
    <mergeCell ref="N8764:N8765"/>
    <mergeCell ref="O8764:O8765"/>
    <mergeCell ref="X8764:X8765"/>
    <mergeCell ref="Y8764:Y8765"/>
    <mergeCell ref="Z8764:Z8765"/>
    <mergeCell ref="AA8764:AA8765"/>
    <mergeCell ref="AB8764:AB8765"/>
    <mergeCell ref="A8766:A8767"/>
    <mergeCell ref="E8766:E8767"/>
    <mergeCell ref="H8766:H8767"/>
    <mergeCell ref="I8766:I8767"/>
    <mergeCell ref="J8766:J8767"/>
    <mergeCell ref="K8766:K8767"/>
    <mergeCell ref="L8766:L8767"/>
    <mergeCell ref="M8766:M8767"/>
    <mergeCell ref="N8766:N8767"/>
    <mergeCell ref="O8766:O8767"/>
    <mergeCell ref="X8766:X8767"/>
    <mergeCell ref="Y8766:Y8767"/>
    <mergeCell ref="Z8766:Z8767"/>
    <mergeCell ref="AA8766:AA8767"/>
    <mergeCell ref="AB8766:AB8767"/>
    <mergeCell ref="A8760:A8761"/>
    <mergeCell ref="E8760:E8761"/>
    <mergeCell ref="H8760:H8761"/>
    <mergeCell ref="I8760:I8761"/>
    <mergeCell ref="J8760:J8761"/>
    <mergeCell ref="K8760:K8761"/>
    <mergeCell ref="L8760:L8761"/>
    <mergeCell ref="M8760:M8761"/>
    <mergeCell ref="N8760:N8761"/>
    <mergeCell ref="O8760:O8761"/>
    <mergeCell ref="X8760:X8761"/>
    <mergeCell ref="Y8760:Y8761"/>
    <mergeCell ref="Z8760:Z8761"/>
    <mergeCell ref="AA8760:AA8761"/>
    <mergeCell ref="AB8760:AB8761"/>
    <mergeCell ref="A8762:A8763"/>
    <mergeCell ref="E8762:E8763"/>
    <mergeCell ref="H8762:H8763"/>
    <mergeCell ref="I8762:I8763"/>
    <mergeCell ref="J8762:J8763"/>
    <mergeCell ref="K8762:K8763"/>
    <mergeCell ref="L8762:L8763"/>
    <mergeCell ref="M8762:M8763"/>
    <mergeCell ref="N8762:N8763"/>
    <mergeCell ref="O8762:O8763"/>
    <mergeCell ref="X8762:X8763"/>
    <mergeCell ref="Y8762:Y8763"/>
    <mergeCell ref="Z8762:Z8763"/>
    <mergeCell ref="AA8762:AA8763"/>
    <mergeCell ref="AB8762:AB8763"/>
    <mergeCell ref="A8758:A8759"/>
    <mergeCell ref="E8758:E8759"/>
    <mergeCell ref="H8758:H8759"/>
    <mergeCell ref="I8758:I8759"/>
    <mergeCell ref="J8758:J8759"/>
    <mergeCell ref="K8758:K8759"/>
    <mergeCell ref="L8758:L8759"/>
    <mergeCell ref="M8758:M8759"/>
    <mergeCell ref="N8758:N8759"/>
    <mergeCell ref="O8758:O8759"/>
    <mergeCell ref="X8758:X8759"/>
    <mergeCell ref="Y8758:Y8759"/>
    <mergeCell ref="Z8758:Z8759"/>
    <mergeCell ref="AA8758:AA8759"/>
    <mergeCell ref="AB8758:AB8759"/>
    <mergeCell ref="AB8754:AB8755"/>
    <mergeCell ref="A8750:A8751"/>
    <mergeCell ref="E8750:E8751"/>
    <mergeCell ref="H8750:H8751"/>
    <mergeCell ref="I8750:I8751"/>
    <mergeCell ref="J8750:J8751"/>
    <mergeCell ref="K8750:K8751"/>
    <mergeCell ref="L8750:L8751"/>
    <mergeCell ref="M8750:M8751"/>
    <mergeCell ref="N8750:N8751"/>
    <mergeCell ref="O8750:O8751"/>
    <mergeCell ref="X8750:X8751"/>
    <mergeCell ref="Y8750:Y8751"/>
    <mergeCell ref="Z8750:Z8751"/>
    <mergeCell ref="AA8750:AA8751"/>
    <mergeCell ref="AB8750:AB8751"/>
    <mergeCell ref="A8756:A8757"/>
    <mergeCell ref="E8756:E8757"/>
    <mergeCell ref="H8756:H8757"/>
    <mergeCell ref="I8756:I8757"/>
    <mergeCell ref="J8756:J8757"/>
    <mergeCell ref="K8756:K8757"/>
    <mergeCell ref="L8756:L8757"/>
    <mergeCell ref="M8756:M8757"/>
    <mergeCell ref="N8756:N8757"/>
    <mergeCell ref="O8756:O8757"/>
    <mergeCell ref="X8756:X8757"/>
    <mergeCell ref="Y8756:Y8757"/>
    <mergeCell ref="Z8756:Z8757"/>
    <mergeCell ref="AA8756:AA8757"/>
    <mergeCell ref="AB8756:AB8757"/>
    <mergeCell ref="A8752:A8753"/>
    <mergeCell ref="E8752:E8753"/>
    <mergeCell ref="H8752:H8753"/>
    <mergeCell ref="I8752:I8753"/>
    <mergeCell ref="J8752:J8753"/>
    <mergeCell ref="K8752:K8753"/>
    <mergeCell ref="L8752:L8753"/>
    <mergeCell ref="M8752:M8753"/>
    <mergeCell ref="N8752:N8753"/>
    <mergeCell ref="A8754:A8755"/>
    <mergeCell ref="E8754:E8755"/>
    <mergeCell ref="H8754:H8755"/>
    <mergeCell ref="I8754:I8755"/>
    <mergeCell ref="J8754:J8755"/>
    <mergeCell ref="K8754:K8755"/>
    <mergeCell ref="L8754:L8755"/>
    <mergeCell ref="M8754:M8755"/>
    <mergeCell ref="N8754:N8755"/>
    <mergeCell ref="A8746:A8747"/>
    <mergeCell ref="E8746:E8747"/>
    <mergeCell ref="H8746:H8747"/>
    <mergeCell ref="I8746:I8747"/>
    <mergeCell ref="J8746:J8747"/>
    <mergeCell ref="K8746:K8747"/>
    <mergeCell ref="L8746:L8747"/>
    <mergeCell ref="M8746:M8747"/>
    <mergeCell ref="N8746:N8747"/>
    <mergeCell ref="O8746:O8747"/>
    <mergeCell ref="X8746:X8747"/>
    <mergeCell ref="Y8746:Y8747"/>
    <mergeCell ref="Z8746:Z8747"/>
    <mergeCell ref="AA8746:AA8747"/>
    <mergeCell ref="AB8746:AB8747"/>
    <mergeCell ref="AB8748:AB8749"/>
    <mergeCell ref="A8748:A8749"/>
    <mergeCell ref="E8748:E8749"/>
    <mergeCell ref="H8748:H8749"/>
    <mergeCell ref="I8748:I8749"/>
    <mergeCell ref="J8748:J8749"/>
    <mergeCell ref="K8748:K8749"/>
    <mergeCell ref="L8748:L8749"/>
    <mergeCell ref="M8748:M8749"/>
    <mergeCell ref="N8748:N8749"/>
    <mergeCell ref="O8748:O8749"/>
    <mergeCell ref="X8748:X8749"/>
    <mergeCell ref="Y8748:Y8749"/>
    <mergeCell ref="Z8748:Z8749"/>
    <mergeCell ref="AA8748:AA8749"/>
    <mergeCell ref="A8742:A8743"/>
    <mergeCell ref="E8742:E8743"/>
    <mergeCell ref="H8742:H8743"/>
    <mergeCell ref="I8742:I8743"/>
    <mergeCell ref="J8742:J8743"/>
    <mergeCell ref="K8742:K8743"/>
    <mergeCell ref="L8742:L8743"/>
    <mergeCell ref="M8742:M8743"/>
    <mergeCell ref="N8742:N8743"/>
    <mergeCell ref="O8742:O8743"/>
    <mergeCell ref="X8742:X8743"/>
    <mergeCell ref="Y8742:Y8743"/>
    <mergeCell ref="Z8742:Z8743"/>
    <mergeCell ref="AA8742:AA8743"/>
    <mergeCell ref="AB8742:AB8743"/>
    <mergeCell ref="A8744:A8745"/>
    <mergeCell ref="E8744:E8745"/>
    <mergeCell ref="H8744:H8745"/>
    <mergeCell ref="I8744:I8745"/>
    <mergeCell ref="J8744:J8745"/>
    <mergeCell ref="K8744:K8745"/>
    <mergeCell ref="L8744:L8745"/>
    <mergeCell ref="M8744:M8745"/>
    <mergeCell ref="N8744:N8745"/>
    <mergeCell ref="O8744:O8745"/>
    <mergeCell ref="X8744:X8745"/>
    <mergeCell ref="Y8744:Y8745"/>
    <mergeCell ref="Z8744:Z8745"/>
    <mergeCell ref="AA8744:AA8745"/>
    <mergeCell ref="AB8744:AB8745"/>
    <mergeCell ref="A8738:A8739"/>
    <mergeCell ref="E8738:E8739"/>
    <mergeCell ref="H8738:H8739"/>
    <mergeCell ref="I8738:I8739"/>
    <mergeCell ref="J8738:J8739"/>
    <mergeCell ref="K8738:K8739"/>
    <mergeCell ref="L8738:L8739"/>
    <mergeCell ref="M8738:M8739"/>
    <mergeCell ref="N8738:N8739"/>
    <mergeCell ref="O8738:O8739"/>
    <mergeCell ref="X8738:X8739"/>
    <mergeCell ref="Y8738:Y8739"/>
    <mergeCell ref="Z8738:Z8739"/>
    <mergeCell ref="AA8738:AA8739"/>
    <mergeCell ref="AB8738:AB8739"/>
    <mergeCell ref="A8740:A8741"/>
    <mergeCell ref="E8740:E8741"/>
    <mergeCell ref="H8740:H8741"/>
    <mergeCell ref="I8740:I8741"/>
    <mergeCell ref="J8740:J8741"/>
    <mergeCell ref="K8740:K8741"/>
    <mergeCell ref="L8740:L8741"/>
    <mergeCell ref="M8740:M8741"/>
    <mergeCell ref="N8740:N8741"/>
    <mergeCell ref="O8740:O8741"/>
    <mergeCell ref="X8740:X8741"/>
    <mergeCell ref="Y8740:Y8741"/>
    <mergeCell ref="Z8740:Z8741"/>
    <mergeCell ref="AA8740:AA8741"/>
    <mergeCell ref="AB8740:AB8741"/>
    <mergeCell ref="A8734:A8735"/>
    <mergeCell ref="E8734:E8735"/>
    <mergeCell ref="H8734:H8735"/>
    <mergeCell ref="I8734:I8735"/>
    <mergeCell ref="J8734:J8735"/>
    <mergeCell ref="K8734:K8735"/>
    <mergeCell ref="L8734:L8735"/>
    <mergeCell ref="M8734:M8735"/>
    <mergeCell ref="N8734:N8735"/>
    <mergeCell ref="O8734:O8735"/>
    <mergeCell ref="X8734:X8735"/>
    <mergeCell ref="Y8734:Y8735"/>
    <mergeCell ref="Z8734:Z8735"/>
    <mergeCell ref="AA8734:AA8735"/>
    <mergeCell ref="AB8734:AB8735"/>
    <mergeCell ref="A8736:A8737"/>
    <mergeCell ref="E8736:E8737"/>
    <mergeCell ref="H8736:H8737"/>
    <mergeCell ref="I8736:I8737"/>
    <mergeCell ref="J8736:J8737"/>
    <mergeCell ref="K8736:K8737"/>
    <mergeCell ref="L8736:L8737"/>
    <mergeCell ref="M8736:M8737"/>
    <mergeCell ref="N8736:N8737"/>
    <mergeCell ref="O8736:O8737"/>
    <mergeCell ref="X8736:X8737"/>
    <mergeCell ref="Y8736:Y8737"/>
    <mergeCell ref="Z8736:Z8737"/>
    <mergeCell ref="AA8736:AA8737"/>
    <mergeCell ref="AB8736:AB8737"/>
    <mergeCell ref="A8730:A8731"/>
    <mergeCell ref="E8730:E8731"/>
    <mergeCell ref="H8730:H8731"/>
    <mergeCell ref="I8730:I8731"/>
    <mergeCell ref="J8730:J8731"/>
    <mergeCell ref="K8730:K8731"/>
    <mergeCell ref="L8730:L8731"/>
    <mergeCell ref="M8730:M8731"/>
    <mergeCell ref="N8730:N8731"/>
    <mergeCell ref="O8730:O8731"/>
    <mergeCell ref="X8730:X8731"/>
    <mergeCell ref="Y8730:Y8731"/>
    <mergeCell ref="Z8730:Z8731"/>
    <mergeCell ref="AA8730:AA8731"/>
    <mergeCell ref="AB8730:AB8731"/>
    <mergeCell ref="A8732:A8733"/>
    <mergeCell ref="E8732:E8733"/>
    <mergeCell ref="H8732:H8733"/>
    <mergeCell ref="I8732:I8733"/>
    <mergeCell ref="J8732:J8733"/>
    <mergeCell ref="K8732:K8733"/>
    <mergeCell ref="L8732:L8733"/>
    <mergeCell ref="M8732:M8733"/>
    <mergeCell ref="N8732:N8733"/>
    <mergeCell ref="O8732:O8733"/>
    <mergeCell ref="X8732:X8733"/>
    <mergeCell ref="Y8732:Y8733"/>
    <mergeCell ref="Z8732:Z8733"/>
    <mergeCell ref="AA8732:AA8733"/>
    <mergeCell ref="AB8732:AB8733"/>
    <mergeCell ref="A8726:A8727"/>
    <mergeCell ref="E8726:E8727"/>
    <mergeCell ref="H8726:H8727"/>
    <mergeCell ref="I8726:I8727"/>
    <mergeCell ref="J8726:J8727"/>
    <mergeCell ref="K8726:K8727"/>
    <mergeCell ref="L8726:L8727"/>
    <mergeCell ref="M8726:M8727"/>
    <mergeCell ref="N8726:N8727"/>
    <mergeCell ref="O8726:O8727"/>
    <mergeCell ref="X8726:X8727"/>
    <mergeCell ref="Y8726:Y8727"/>
    <mergeCell ref="Z8726:Z8727"/>
    <mergeCell ref="AA8726:AA8727"/>
    <mergeCell ref="AB8726:AB8727"/>
    <mergeCell ref="A8728:A8729"/>
    <mergeCell ref="E8728:E8729"/>
    <mergeCell ref="H8728:H8729"/>
    <mergeCell ref="I8728:I8729"/>
    <mergeCell ref="J8728:J8729"/>
    <mergeCell ref="K8728:K8729"/>
    <mergeCell ref="L8728:L8729"/>
    <mergeCell ref="M8728:M8729"/>
    <mergeCell ref="N8728:N8729"/>
    <mergeCell ref="O8728:O8729"/>
    <mergeCell ref="X8728:X8729"/>
    <mergeCell ref="Y8728:Y8729"/>
    <mergeCell ref="Z8728:Z8729"/>
    <mergeCell ref="AA8728:AA8729"/>
    <mergeCell ref="AB8728:AB8729"/>
    <mergeCell ref="A8722:A8723"/>
    <mergeCell ref="E8722:E8723"/>
    <mergeCell ref="H8722:H8723"/>
    <mergeCell ref="I8722:I8723"/>
    <mergeCell ref="J8722:J8723"/>
    <mergeCell ref="K8722:K8723"/>
    <mergeCell ref="L8722:L8723"/>
    <mergeCell ref="M8722:M8723"/>
    <mergeCell ref="N8722:N8723"/>
    <mergeCell ref="O8722:O8723"/>
    <mergeCell ref="X8722:X8723"/>
    <mergeCell ref="Y8722:Y8723"/>
    <mergeCell ref="Z8722:Z8723"/>
    <mergeCell ref="AA8722:AA8723"/>
    <mergeCell ref="AB8722:AB8723"/>
    <mergeCell ref="A8724:A8725"/>
    <mergeCell ref="E8724:E8725"/>
    <mergeCell ref="H8724:H8725"/>
    <mergeCell ref="I8724:I8725"/>
    <mergeCell ref="J8724:J8725"/>
    <mergeCell ref="K8724:K8725"/>
    <mergeCell ref="L8724:L8725"/>
    <mergeCell ref="M8724:M8725"/>
    <mergeCell ref="N8724:N8725"/>
    <mergeCell ref="O8724:O8725"/>
    <mergeCell ref="X8724:X8725"/>
    <mergeCell ref="Y8724:Y8725"/>
    <mergeCell ref="Z8724:Z8725"/>
    <mergeCell ref="AA8724:AA8725"/>
    <mergeCell ref="AB8724:AB8725"/>
    <mergeCell ref="A8718:A8719"/>
    <mergeCell ref="E8718:E8719"/>
    <mergeCell ref="H8718:H8719"/>
    <mergeCell ref="I8718:I8719"/>
    <mergeCell ref="J8718:J8719"/>
    <mergeCell ref="K8718:K8719"/>
    <mergeCell ref="L8718:L8719"/>
    <mergeCell ref="M8718:M8719"/>
    <mergeCell ref="N8718:N8719"/>
    <mergeCell ref="O8718:O8719"/>
    <mergeCell ref="X8718:X8719"/>
    <mergeCell ref="Y8718:Y8719"/>
    <mergeCell ref="Z8718:Z8719"/>
    <mergeCell ref="AA8718:AA8719"/>
    <mergeCell ref="AB8718:AB8719"/>
    <mergeCell ref="A8720:A8721"/>
    <mergeCell ref="E8720:E8721"/>
    <mergeCell ref="H8720:H8721"/>
    <mergeCell ref="I8720:I8721"/>
    <mergeCell ref="J8720:J8721"/>
    <mergeCell ref="K8720:K8721"/>
    <mergeCell ref="L8720:L8721"/>
    <mergeCell ref="M8720:M8721"/>
    <mergeCell ref="N8720:N8721"/>
    <mergeCell ref="O8720:O8721"/>
    <mergeCell ref="X8720:X8721"/>
    <mergeCell ref="Y8720:Y8721"/>
    <mergeCell ref="Z8720:Z8721"/>
    <mergeCell ref="AA8720:AA8721"/>
    <mergeCell ref="AB8720:AB8721"/>
    <mergeCell ref="A8714:A8715"/>
    <mergeCell ref="E8714:E8715"/>
    <mergeCell ref="H8714:H8715"/>
    <mergeCell ref="I8714:I8715"/>
    <mergeCell ref="J8714:J8715"/>
    <mergeCell ref="K8714:K8715"/>
    <mergeCell ref="L8714:L8715"/>
    <mergeCell ref="M8714:M8715"/>
    <mergeCell ref="N8714:N8715"/>
    <mergeCell ref="O8714:O8715"/>
    <mergeCell ref="X8714:X8715"/>
    <mergeCell ref="Y8714:Y8715"/>
    <mergeCell ref="Z8714:Z8715"/>
    <mergeCell ref="AA8714:AA8715"/>
    <mergeCell ref="AB8714:AB8715"/>
    <mergeCell ref="A8716:A8717"/>
    <mergeCell ref="E8716:E8717"/>
    <mergeCell ref="H8716:H8717"/>
    <mergeCell ref="I8716:I8717"/>
    <mergeCell ref="J8716:J8717"/>
    <mergeCell ref="K8716:K8717"/>
    <mergeCell ref="L8716:L8717"/>
    <mergeCell ref="M8716:M8717"/>
    <mergeCell ref="N8716:N8717"/>
    <mergeCell ref="O8716:O8717"/>
    <mergeCell ref="X8716:X8717"/>
    <mergeCell ref="Y8716:Y8717"/>
    <mergeCell ref="Z8716:Z8717"/>
    <mergeCell ref="AA8716:AA8717"/>
    <mergeCell ref="AB8716:AB8717"/>
    <mergeCell ref="A8710:A8711"/>
    <mergeCell ref="E8710:E8711"/>
    <mergeCell ref="H8710:H8711"/>
    <mergeCell ref="I8710:I8711"/>
    <mergeCell ref="J8710:J8711"/>
    <mergeCell ref="K8710:K8711"/>
    <mergeCell ref="L8710:L8711"/>
    <mergeCell ref="M8710:M8711"/>
    <mergeCell ref="N8710:N8711"/>
    <mergeCell ref="O8710:O8711"/>
    <mergeCell ref="X8710:X8711"/>
    <mergeCell ref="Y8710:Y8711"/>
    <mergeCell ref="Z8710:Z8711"/>
    <mergeCell ref="AA8710:AA8711"/>
    <mergeCell ref="AB8710:AB8711"/>
    <mergeCell ref="A8712:A8713"/>
    <mergeCell ref="E8712:E8713"/>
    <mergeCell ref="H8712:H8713"/>
    <mergeCell ref="I8712:I8713"/>
    <mergeCell ref="J8712:J8713"/>
    <mergeCell ref="K8712:K8713"/>
    <mergeCell ref="L8712:L8713"/>
    <mergeCell ref="M8712:M8713"/>
    <mergeCell ref="N8712:N8713"/>
    <mergeCell ref="O8712:O8713"/>
    <mergeCell ref="X8712:X8713"/>
    <mergeCell ref="Y8712:Y8713"/>
    <mergeCell ref="Z8712:Z8713"/>
    <mergeCell ref="AA8712:AA8713"/>
    <mergeCell ref="AB8712:AB8713"/>
    <mergeCell ref="A8706:A8707"/>
    <mergeCell ref="E8706:E8707"/>
    <mergeCell ref="H8706:H8707"/>
    <mergeCell ref="I8706:I8707"/>
    <mergeCell ref="J8706:J8707"/>
    <mergeCell ref="K8706:K8707"/>
    <mergeCell ref="L8706:L8707"/>
    <mergeCell ref="M8706:M8707"/>
    <mergeCell ref="N8706:N8707"/>
    <mergeCell ref="O8706:O8707"/>
    <mergeCell ref="X8706:X8707"/>
    <mergeCell ref="Y8706:Y8707"/>
    <mergeCell ref="Z8706:Z8707"/>
    <mergeCell ref="AA8706:AA8707"/>
    <mergeCell ref="AB8706:AB8707"/>
    <mergeCell ref="A8708:A8709"/>
    <mergeCell ref="E8708:E8709"/>
    <mergeCell ref="H8708:H8709"/>
    <mergeCell ref="I8708:I8709"/>
    <mergeCell ref="J8708:J8709"/>
    <mergeCell ref="K8708:K8709"/>
    <mergeCell ref="L8708:L8709"/>
    <mergeCell ref="M8708:M8709"/>
    <mergeCell ref="N8708:N8709"/>
    <mergeCell ref="O8708:O8709"/>
    <mergeCell ref="X8708:X8709"/>
    <mergeCell ref="Y8708:Y8709"/>
    <mergeCell ref="Z8708:Z8709"/>
    <mergeCell ref="AA8708:AA8709"/>
    <mergeCell ref="AB8708:AB8709"/>
    <mergeCell ref="A8702:A8703"/>
    <mergeCell ref="E8702:E8703"/>
    <mergeCell ref="H8702:H8703"/>
    <mergeCell ref="I8702:I8703"/>
    <mergeCell ref="J8702:J8703"/>
    <mergeCell ref="K8702:K8703"/>
    <mergeCell ref="L8702:L8703"/>
    <mergeCell ref="M8702:M8703"/>
    <mergeCell ref="N8702:N8703"/>
    <mergeCell ref="O8702:O8703"/>
    <mergeCell ref="X8702:X8703"/>
    <mergeCell ref="Y8702:Y8703"/>
    <mergeCell ref="Z8702:Z8703"/>
    <mergeCell ref="AA8702:AA8703"/>
    <mergeCell ref="AB8702:AB8703"/>
    <mergeCell ref="A8704:A8705"/>
    <mergeCell ref="E8704:E8705"/>
    <mergeCell ref="H8704:H8705"/>
    <mergeCell ref="I8704:I8705"/>
    <mergeCell ref="J8704:J8705"/>
    <mergeCell ref="K8704:K8705"/>
    <mergeCell ref="L8704:L8705"/>
    <mergeCell ref="M8704:M8705"/>
    <mergeCell ref="N8704:N8705"/>
    <mergeCell ref="O8704:O8705"/>
    <mergeCell ref="X8704:X8705"/>
    <mergeCell ref="Y8704:Y8705"/>
    <mergeCell ref="Z8704:Z8705"/>
    <mergeCell ref="AA8704:AA8705"/>
    <mergeCell ref="AB8704:AB8705"/>
    <mergeCell ref="A8698:A8699"/>
    <mergeCell ref="E8698:E8699"/>
    <mergeCell ref="H8698:H8699"/>
    <mergeCell ref="I8698:I8699"/>
    <mergeCell ref="J8698:J8699"/>
    <mergeCell ref="K8698:K8699"/>
    <mergeCell ref="L8698:L8699"/>
    <mergeCell ref="M8698:M8699"/>
    <mergeCell ref="N8698:N8699"/>
    <mergeCell ref="O8698:O8699"/>
    <mergeCell ref="X8698:X8699"/>
    <mergeCell ref="Y8698:Y8699"/>
    <mergeCell ref="Z8698:Z8699"/>
    <mergeCell ref="AA8698:AA8699"/>
    <mergeCell ref="AB8698:AB8699"/>
    <mergeCell ref="A8700:A8701"/>
    <mergeCell ref="E8700:E8701"/>
    <mergeCell ref="H8700:H8701"/>
    <mergeCell ref="I8700:I8701"/>
    <mergeCell ref="J8700:J8701"/>
    <mergeCell ref="K8700:K8701"/>
    <mergeCell ref="L8700:L8701"/>
    <mergeCell ref="M8700:M8701"/>
    <mergeCell ref="N8700:N8701"/>
    <mergeCell ref="O8700:O8701"/>
    <mergeCell ref="X8700:X8701"/>
    <mergeCell ref="Y8700:Y8701"/>
    <mergeCell ref="Z8700:Z8701"/>
    <mergeCell ref="AA8700:AA8701"/>
    <mergeCell ref="AB8700:AB8701"/>
    <mergeCell ref="A8694:A8695"/>
    <mergeCell ref="E8694:E8695"/>
    <mergeCell ref="H8694:H8695"/>
    <mergeCell ref="I8694:I8695"/>
    <mergeCell ref="J8694:J8695"/>
    <mergeCell ref="K8694:K8695"/>
    <mergeCell ref="L8694:L8695"/>
    <mergeCell ref="M8694:M8695"/>
    <mergeCell ref="N8694:N8695"/>
    <mergeCell ref="O8694:O8695"/>
    <mergeCell ref="X8694:X8695"/>
    <mergeCell ref="Y8694:Y8695"/>
    <mergeCell ref="Z8694:Z8695"/>
    <mergeCell ref="AA8694:AA8695"/>
    <mergeCell ref="AB8694:AB8695"/>
    <mergeCell ref="A8696:A8697"/>
    <mergeCell ref="E8696:E8697"/>
    <mergeCell ref="H8696:H8697"/>
    <mergeCell ref="I8696:I8697"/>
    <mergeCell ref="J8696:J8697"/>
    <mergeCell ref="K8696:K8697"/>
    <mergeCell ref="L8696:L8697"/>
    <mergeCell ref="M8696:M8697"/>
    <mergeCell ref="N8696:N8697"/>
    <mergeCell ref="O8696:O8697"/>
    <mergeCell ref="X8696:X8697"/>
    <mergeCell ref="Y8696:Y8697"/>
    <mergeCell ref="Z8696:Z8697"/>
    <mergeCell ref="AA8696:AA8697"/>
    <mergeCell ref="AB8696:AB8697"/>
    <mergeCell ref="A8690:A8691"/>
    <mergeCell ref="E8690:E8691"/>
    <mergeCell ref="H8690:H8691"/>
    <mergeCell ref="I8690:I8691"/>
    <mergeCell ref="J8690:J8691"/>
    <mergeCell ref="K8690:K8691"/>
    <mergeCell ref="L8690:L8691"/>
    <mergeCell ref="M8690:M8691"/>
    <mergeCell ref="N8690:N8691"/>
    <mergeCell ref="O8690:O8691"/>
    <mergeCell ref="X8690:X8691"/>
    <mergeCell ref="Y8690:Y8691"/>
    <mergeCell ref="Z8690:Z8691"/>
    <mergeCell ref="AA8690:AA8691"/>
    <mergeCell ref="AB8690:AB8691"/>
    <mergeCell ref="A8692:A8693"/>
    <mergeCell ref="E8692:E8693"/>
    <mergeCell ref="H8692:H8693"/>
    <mergeCell ref="I8692:I8693"/>
    <mergeCell ref="J8692:J8693"/>
    <mergeCell ref="K8692:K8693"/>
    <mergeCell ref="L8692:L8693"/>
    <mergeCell ref="M8692:M8693"/>
    <mergeCell ref="N8692:N8693"/>
    <mergeCell ref="O8692:O8693"/>
    <mergeCell ref="X8692:X8693"/>
    <mergeCell ref="Y8692:Y8693"/>
    <mergeCell ref="Z8692:Z8693"/>
    <mergeCell ref="AA8692:AA8693"/>
    <mergeCell ref="AB8692:AB8693"/>
    <mergeCell ref="A8686:A8687"/>
    <mergeCell ref="E8686:E8687"/>
    <mergeCell ref="H8686:H8687"/>
    <mergeCell ref="I8686:I8687"/>
    <mergeCell ref="J8686:J8687"/>
    <mergeCell ref="K8686:K8687"/>
    <mergeCell ref="L8686:L8687"/>
    <mergeCell ref="M8686:M8687"/>
    <mergeCell ref="N8686:N8687"/>
    <mergeCell ref="O8686:O8687"/>
    <mergeCell ref="X8686:X8687"/>
    <mergeCell ref="Y8686:Y8687"/>
    <mergeCell ref="Z8686:Z8687"/>
    <mergeCell ref="AA8686:AA8687"/>
    <mergeCell ref="AB8686:AB8687"/>
    <mergeCell ref="A8688:A8689"/>
    <mergeCell ref="E8688:E8689"/>
    <mergeCell ref="H8688:H8689"/>
    <mergeCell ref="I8688:I8689"/>
    <mergeCell ref="J8688:J8689"/>
    <mergeCell ref="K8688:K8689"/>
    <mergeCell ref="L8688:L8689"/>
    <mergeCell ref="M8688:M8689"/>
    <mergeCell ref="N8688:N8689"/>
    <mergeCell ref="O8688:O8689"/>
    <mergeCell ref="X8688:X8689"/>
    <mergeCell ref="Y8688:Y8689"/>
    <mergeCell ref="Z8688:Z8689"/>
    <mergeCell ref="AA8688:AA8689"/>
    <mergeCell ref="AB8688:AB8689"/>
    <mergeCell ref="A8682:A8683"/>
    <mergeCell ref="E8682:E8683"/>
    <mergeCell ref="H8682:H8683"/>
    <mergeCell ref="I8682:I8683"/>
    <mergeCell ref="J8682:J8683"/>
    <mergeCell ref="K8682:K8683"/>
    <mergeCell ref="L8682:L8683"/>
    <mergeCell ref="M8682:M8683"/>
    <mergeCell ref="N8682:N8683"/>
    <mergeCell ref="O8682:O8683"/>
    <mergeCell ref="X8682:X8683"/>
    <mergeCell ref="Y8682:Y8683"/>
    <mergeCell ref="Z8682:Z8683"/>
    <mergeCell ref="AA8682:AA8683"/>
    <mergeCell ref="AB8682:AB8683"/>
    <mergeCell ref="A8684:A8685"/>
    <mergeCell ref="E8684:E8685"/>
    <mergeCell ref="H8684:H8685"/>
    <mergeCell ref="I8684:I8685"/>
    <mergeCell ref="J8684:J8685"/>
    <mergeCell ref="K8684:K8685"/>
    <mergeCell ref="L8684:L8685"/>
    <mergeCell ref="M8684:M8685"/>
    <mergeCell ref="N8684:N8685"/>
    <mergeCell ref="O8684:O8685"/>
    <mergeCell ref="X8684:X8685"/>
    <mergeCell ref="Y8684:Y8685"/>
    <mergeCell ref="Z8684:Z8685"/>
    <mergeCell ref="AA8684:AA8685"/>
    <mergeCell ref="AB8684:AB8685"/>
    <mergeCell ref="A8678:A8679"/>
    <mergeCell ref="E8678:E8679"/>
    <mergeCell ref="H8678:H8679"/>
    <mergeCell ref="I8678:I8679"/>
    <mergeCell ref="J8678:J8679"/>
    <mergeCell ref="K8678:K8679"/>
    <mergeCell ref="L8678:L8679"/>
    <mergeCell ref="M8678:M8679"/>
    <mergeCell ref="N8678:N8679"/>
    <mergeCell ref="O8678:O8679"/>
    <mergeCell ref="X8678:X8679"/>
    <mergeCell ref="Y8678:Y8679"/>
    <mergeCell ref="Z8678:Z8679"/>
    <mergeCell ref="AA8678:AA8679"/>
    <mergeCell ref="AB8678:AB8679"/>
    <mergeCell ref="A8680:A8681"/>
    <mergeCell ref="E8680:E8681"/>
    <mergeCell ref="H8680:H8681"/>
    <mergeCell ref="I8680:I8681"/>
    <mergeCell ref="J8680:J8681"/>
    <mergeCell ref="K8680:K8681"/>
    <mergeCell ref="L8680:L8681"/>
    <mergeCell ref="M8680:M8681"/>
    <mergeCell ref="N8680:N8681"/>
    <mergeCell ref="O8680:O8681"/>
    <mergeCell ref="X8680:X8681"/>
    <mergeCell ref="Y8680:Y8681"/>
    <mergeCell ref="Z8680:Z8681"/>
    <mergeCell ref="AA8680:AA8681"/>
    <mergeCell ref="AB8680:AB8681"/>
    <mergeCell ref="A8674:A8675"/>
    <mergeCell ref="E8674:E8675"/>
    <mergeCell ref="H8674:H8675"/>
    <mergeCell ref="I8674:I8675"/>
    <mergeCell ref="J8674:J8675"/>
    <mergeCell ref="K8674:K8675"/>
    <mergeCell ref="L8674:L8675"/>
    <mergeCell ref="M8674:M8675"/>
    <mergeCell ref="N8674:N8675"/>
    <mergeCell ref="O8674:O8675"/>
    <mergeCell ref="X8674:X8675"/>
    <mergeCell ref="Y8674:Y8675"/>
    <mergeCell ref="Z8674:Z8675"/>
    <mergeCell ref="AA8674:AA8675"/>
    <mergeCell ref="AB8674:AB8675"/>
    <mergeCell ref="A8676:A8677"/>
    <mergeCell ref="E8676:E8677"/>
    <mergeCell ref="H8676:H8677"/>
    <mergeCell ref="I8676:I8677"/>
    <mergeCell ref="J8676:J8677"/>
    <mergeCell ref="K8676:K8677"/>
    <mergeCell ref="L8676:L8677"/>
    <mergeCell ref="M8676:M8677"/>
    <mergeCell ref="N8676:N8677"/>
    <mergeCell ref="O8676:O8677"/>
    <mergeCell ref="X8676:X8677"/>
    <mergeCell ref="Y8676:Y8677"/>
    <mergeCell ref="Z8676:Z8677"/>
    <mergeCell ref="AA8676:AA8677"/>
    <mergeCell ref="AB8676:AB8677"/>
    <mergeCell ref="A8670:A8671"/>
    <mergeCell ref="E8670:E8671"/>
    <mergeCell ref="H8670:H8671"/>
    <mergeCell ref="I8670:I8671"/>
    <mergeCell ref="J8670:J8671"/>
    <mergeCell ref="K8670:K8671"/>
    <mergeCell ref="L8670:L8671"/>
    <mergeCell ref="M8670:M8671"/>
    <mergeCell ref="N8670:N8671"/>
    <mergeCell ref="O8670:O8671"/>
    <mergeCell ref="X8670:X8671"/>
    <mergeCell ref="Y8670:Y8671"/>
    <mergeCell ref="Z8670:Z8671"/>
    <mergeCell ref="AA8670:AA8671"/>
    <mergeCell ref="AB8670:AB8671"/>
    <mergeCell ref="A8672:A8673"/>
    <mergeCell ref="E8672:E8673"/>
    <mergeCell ref="H8672:H8673"/>
    <mergeCell ref="I8672:I8673"/>
    <mergeCell ref="J8672:J8673"/>
    <mergeCell ref="K8672:K8673"/>
    <mergeCell ref="L8672:L8673"/>
    <mergeCell ref="M8672:M8673"/>
    <mergeCell ref="N8672:N8673"/>
    <mergeCell ref="O8672:O8673"/>
    <mergeCell ref="X8672:X8673"/>
    <mergeCell ref="Y8672:Y8673"/>
    <mergeCell ref="Z8672:Z8673"/>
    <mergeCell ref="AA8672:AA8673"/>
    <mergeCell ref="AB8672:AB8673"/>
    <mergeCell ref="A8666:A8667"/>
    <mergeCell ref="E8666:E8667"/>
    <mergeCell ref="H8666:H8667"/>
    <mergeCell ref="I8666:I8667"/>
    <mergeCell ref="J8666:J8667"/>
    <mergeCell ref="K8666:K8667"/>
    <mergeCell ref="L8666:L8667"/>
    <mergeCell ref="M8666:M8667"/>
    <mergeCell ref="N8666:N8667"/>
    <mergeCell ref="O8666:O8667"/>
    <mergeCell ref="X8666:X8667"/>
    <mergeCell ref="Y8666:Y8667"/>
    <mergeCell ref="Z8666:Z8667"/>
    <mergeCell ref="AA8666:AA8667"/>
    <mergeCell ref="AB8666:AB8667"/>
    <mergeCell ref="A8668:A8669"/>
    <mergeCell ref="E8668:E8669"/>
    <mergeCell ref="H8668:H8669"/>
    <mergeCell ref="I8668:I8669"/>
    <mergeCell ref="J8668:J8669"/>
    <mergeCell ref="K8668:K8669"/>
    <mergeCell ref="L8668:L8669"/>
    <mergeCell ref="M8668:M8669"/>
    <mergeCell ref="N8668:N8669"/>
    <mergeCell ref="O8668:O8669"/>
    <mergeCell ref="X8668:X8669"/>
    <mergeCell ref="Y8668:Y8669"/>
    <mergeCell ref="Z8668:Z8669"/>
    <mergeCell ref="AA8668:AA8669"/>
    <mergeCell ref="AB8668:AB8669"/>
    <mergeCell ref="A8662:A8663"/>
    <mergeCell ref="E8662:E8663"/>
    <mergeCell ref="H8662:H8663"/>
    <mergeCell ref="I8662:I8663"/>
    <mergeCell ref="J8662:J8663"/>
    <mergeCell ref="K8662:K8663"/>
    <mergeCell ref="L8662:L8663"/>
    <mergeCell ref="M8662:M8663"/>
    <mergeCell ref="N8662:N8663"/>
    <mergeCell ref="O8662:O8663"/>
    <mergeCell ref="X8662:X8663"/>
    <mergeCell ref="Y8662:Y8663"/>
    <mergeCell ref="Z8662:Z8663"/>
    <mergeCell ref="AA8662:AA8663"/>
    <mergeCell ref="AB8662:AB8663"/>
    <mergeCell ref="A8664:A8665"/>
    <mergeCell ref="E8664:E8665"/>
    <mergeCell ref="H8664:H8665"/>
    <mergeCell ref="I8664:I8665"/>
    <mergeCell ref="J8664:J8665"/>
    <mergeCell ref="K8664:K8665"/>
    <mergeCell ref="L8664:L8665"/>
    <mergeCell ref="M8664:M8665"/>
    <mergeCell ref="N8664:N8665"/>
    <mergeCell ref="O8664:O8665"/>
    <mergeCell ref="X8664:X8665"/>
    <mergeCell ref="Y8664:Y8665"/>
    <mergeCell ref="Z8664:Z8665"/>
    <mergeCell ref="AA8664:AA8665"/>
    <mergeCell ref="AB8664:AB8665"/>
    <mergeCell ref="A8658:A8659"/>
    <mergeCell ref="E8658:E8659"/>
    <mergeCell ref="H8658:H8659"/>
    <mergeCell ref="I8658:I8659"/>
    <mergeCell ref="J8658:J8659"/>
    <mergeCell ref="K8658:K8659"/>
    <mergeCell ref="L8658:L8659"/>
    <mergeCell ref="M8658:M8659"/>
    <mergeCell ref="N8658:N8659"/>
    <mergeCell ref="O8658:O8659"/>
    <mergeCell ref="X8658:X8659"/>
    <mergeCell ref="Y8658:Y8659"/>
    <mergeCell ref="Z8658:Z8659"/>
    <mergeCell ref="AA8658:AA8659"/>
    <mergeCell ref="AB8658:AB8659"/>
    <mergeCell ref="A8660:A8661"/>
    <mergeCell ref="E8660:E8661"/>
    <mergeCell ref="H8660:H8661"/>
    <mergeCell ref="I8660:I8661"/>
    <mergeCell ref="J8660:J8661"/>
    <mergeCell ref="K8660:K8661"/>
    <mergeCell ref="L8660:L8661"/>
    <mergeCell ref="M8660:M8661"/>
    <mergeCell ref="N8660:N8661"/>
    <mergeCell ref="O8660:O8661"/>
    <mergeCell ref="X8660:X8661"/>
    <mergeCell ref="Y8660:Y8661"/>
    <mergeCell ref="Z8660:Z8661"/>
    <mergeCell ref="AA8660:AA8661"/>
    <mergeCell ref="AB8660:AB8661"/>
    <mergeCell ref="A8654:A8655"/>
    <mergeCell ref="E8654:E8655"/>
    <mergeCell ref="H8654:H8655"/>
    <mergeCell ref="I8654:I8655"/>
    <mergeCell ref="J8654:J8655"/>
    <mergeCell ref="K8654:K8655"/>
    <mergeCell ref="L8654:L8655"/>
    <mergeCell ref="M8654:M8655"/>
    <mergeCell ref="N8654:N8655"/>
    <mergeCell ref="O8654:O8655"/>
    <mergeCell ref="X8654:X8655"/>
    <mergeCell ref="Y8654:Y8655"/>
    <mergeCell ref="Z8654:Z8655"/>
    <mergeCell ref="AA8654:AA8655"/>
    <mergeCell ref="AB8654:AB8655"/>
    <mergeCell ref="A8656:A8657"/>
    <mergeCell ref="E8656:E8657"/>
    <mergeCell ref="H8656:H8657"/>
    <mergeCell ref="I8656:I8657"/>
    <mergeCell ref="J8656:J8657"/>
    <mergeCell ref="K8656:K8657"/>
    <mergeCell ref="L8656:L8657"/>
    <mergeCell ref="M8656:M8657"/>
    <mergeCell ref="N8656:N8657"/>
    <mergeCell ref="O8656:O8657"/>
    <mergeCell ref="X8656:X8657"/>
    <mergeCell ref="Y8656:Y8657"/>
    <mergeCell ref="Z8656:Z8657"/>
    <mergeCell ref="AA8656:AA8657"/>
    <mergeCell ref="AB8656:AB8657"/>
    <mergeCell ref="A8650:A8651"/>
    <mergeCell ref="E8650:E8651"/>
    <mergeCell ref="H8650:H8651"/>
    <mergeCell ref="I8650:I8651"/>
    <mergeCell ref="J8650:J8651"/>
    <mergeCell ref="K8650:K8651"/>
    <mergeCell ref="L8650:L8651"/>
    <mergeCell ref="M8650:M8651"/>
    <mergeCell ref="N8650:N8651"/>
    <mergeCell ref="O8650:O8651"/>
    <mergeCell ref="X8650:X8651"/>
    <mergeCell ref="Y8650:Y8651"/>
    <mergeCell ref="Z8650:Z8651"/>
    <mergeCell ref="AA8650:AA8651"/>
    <mergeCell ref="AB8650:AB8651"/>
    <mergeCell ref="A8652:A8653"/>
    <mergeCell ref="E8652:E8653"/>
    <mergeCell ref="H8652:H8653"/>
    <mergeCell ref="I8652:I8653"/>
    <mergeCell ref="J8652:J8653"/>
    <mergeCell ref="K8652:K8653"/>
    <mergeCell ref="L8652:L8653"/>
    <mergeCell ref="M8652:M8653"/>
    <mergeCell ref="N8652:N8653"/>
    <mergeCell ref="O8652:O8653"/>
    <mergeCell ref="X8652:X8653"/>
    <mergeCell ref="Y8652:Y8653"/>
    <mergeCell ref="Z8652:Z8653"/>
    <mergeCell ref="AA8652:AA8653"/>
    <mergeCell ref="AB8652:AB8653"/>
    <mergeCell ref="A8646:A8647"/>
    <mergeCell ref="E8646:E8647"/>
    <mergeCell ref="H8646:H8647"/>
    <mergeCell ref="I8646:I8647"/>
    <mergeCell ref="J8646:J8647"/>
    <mergeCell ref="K8646:K8647"/>
    <mergeCell ref="L8646:L8647"/>
    <mergeCell ref="M8646:M8647"/>
    <mergeCell ref="N8646:N8647"/>
    <mergeCell ref="O8646:O8647"/>
    <mergeCell ref="X8646:X8647"/>
    <mergeCell ref="Y8646:Y8647"/>
    <mergeCell ref="Z8646:Z8647"/>
    <mergeCell ref="AA8646:AA8647"/>
    <mergeCell ref="AB8646:AB8647"/>
    <mergeCell ref="A8648:A8649"/>
    <mergeCell ref="E8648:E8649"/>
    <mergeCell ref="H8648:H8649"/>
    <mergeCell ref="I8648:I8649"/>
    <mergeCell ref="J8648:J8649"/>
    <mergeCell ref="K8648:K8649"/>
    <mergeCell ref="L8648:L8649"/>
    <mergeCell ref="M8648:M8649"/>
    <mergeCell ref="N8648:N8649"/>
    <mergeCell ref="O8648:O8649"/>
    <mergeCell ref="X8648:X8649"/>
    <mergeCell ref="Y8648:Y8649"/>
    <mergeCell ref="Z8648:Z8649"/>
    <mergeCell ref="AA8648:AA8649"/>
    <mergeCell ref="AB8648:AB8649"/>
    <mergeCell ref="A8642:A8643"/>
    <mergeCell ref="E8642:E8643"/>
    <mergeCell ref="H8642:H8643"/>
    <mergeCell ref="I8642:I8643"/>
    <mergeCell ref="J8642:J8643"/>
    <mergeCell ref="K8642:K8643"/>
    <mergeCell ref="L8642:L8643"/>
    <mergeCell ref="M8642:M8643"/>
    <mergeCell ref="N8642:N8643"/>
    <mergeCell ref="O8642:O8643"/>
    <mergeCell ref="X8642:X8643"/>
    <mergeCell ref="Y8642:Y8643"/>
    <mergeCell ref="Z8642:Z8643"/>
    <mergeCell ref="AA8642:AA8643"/>
    <mergeCell ref="AB8642:AB8643"/>
    <mergeCell ref="A8644:A8645"/>
    <mergeCell ref="E8644:E8645"/>
    <mergeCell ref="H8644:H8645"/>
    <mergeCell ref="I8644:I8645"/>
    <mergeCell ref="J8644:J8645"/>
    <mergeCell ref="K8644:K8645"/>
    <mergeCell ref="L8644:L8645"/>
    <mergeCell ref="M8644:M8645"/>
    <mergeCell ref="N8644:N8645"/>
    <mergeCell ref="O8644:O8645"/>
    <mergeCell ref="X8644:X8645"/>
    <mergeCell ref="Y8644:Y8645"/>
    <mergeCell ref="Z8644:Z8645"/>
    <mergeCell ref="AA8644:AA8645"/>
    <mergeCell ref="AB8644:AB8645"/>
    <mergeCell ref="A8638:A8639"/>
    <mergeCell ref="E8638:E8639"/>
    <mergeCell ref="H8638:H8639"/>
    <mergeCell ref="I8638:I8639"/>
    <mergeCell ref="J8638:J8639"/>
    <mergeCell ref="K8638:K8639"/>
    <mergeCell ref="L8638:L8639"/>
    <mergeCell ref="M8638:M8639"/>
    <mergeCell ref="N8638:N8639"/>
    <mergeCell ref="O8638:O8639"/>
    <mergeCell ref="X8638:X8639"/>
    <mergeCell ref="Y8638:Y8639"/>
    <mergeCell ref="Z8638:Z8639"/>
    <mergeCell ref="AA8638:AA8639"/>
    <mergeCell ref="AB8638:AB8639"/>
    <mergeCell ref="A8640:A8641"/>
    <mergeCell ref="E8640:E8641"/>
    <mergeCell ref="H8640:H8641"/>
    <mergeCell ref="I8640:I8641"/>
    <mergeCell ref="J8640:J8641"/>
    <mergeCell ref="K8640:K8641"/>
    <mergeCell ref="L8640:L8641"/>
    <mergeCell ref="M8640:M8641"/>
    <mergeCell ref="N8640:N8641"/>
    <mergeCell ref="O8640:O8641"/>
    <mergeCell ref="X8640:X8641"/>
    <mergeCell ref="Y8640:Y8641"/>
    <mergeCell ref="Z8640:Z8641"/>
    <mergeCell ref="AA8640:AA8641"/>
    <mergeCell ref="AB8640:AB8641"/>
    <mergeCell ref="A8634:A8635"/>
    <mergeCell ref="E8634:E8635"/>
    <mergeCell ref="H8634:H8635"/>
    <mergeCell ref="I8634:I8635"/>
    <mergeCell ref="J8634:J8635"/>
    <mergeCell ref="K8634:K8635"/>
    <mergeCell ref="L8634:L8635"/>
    <mergeCell ref="M8634:M8635"/>
    <mergeCell ref="N8634:N8635"/>
    <mergeCell ref="O8634:O8635"/>
    <mergeCell ref="X8634:X8635"/>
    <mergeCell ref="Y8634:Y8635"/>
    <mergeCell ref="Z8634:Z8635"/>
    <mergeCell ref="AA8634:AA8635"/>
    <mergeCell ref="AB8634:AB8635"/>
    <mergeCell ref="A8636:A8637"/>
    <mergeCell ref="E8636:E8637"/>
    <mergeCell ref="H8636:H8637"/>
    <mergeCell ref="I8636:I8637"/>
    <mergeCell ref="J8636:J8637"/>
    <mergeCell ref="K8636:K8637"/>
    <mergeCell ref="L8636:L8637"/>
    <mergeCell ref="M8636:M8637"/>
    <mergeCell ref="N8636:N8637"/>
    <mergeCell ref="O8636:O8637"/>
    <mergeCell ref="X8636:X8637"/>
    <mergeCell ref="Y8636:Y8637"/>
    <mergeCell ref="Z8636:Z8637"/>
    <mergeCell ref="AA8636:AA8637"/>
    <mergeCell ref="AB8636:AB8637"/>
    <mergeCell ref="A8630:A8631"/>
    <mergeCell ref="E8630:E8631"/>
    <mergeCell ref="H8630:H8631"/>
    <mergeCell ref="I8630:I8631"/>
    <mergeCell ref="J8630:J8631"/>
    <mergeCell ref="K8630:K8631"/>
    <mergeCell ref="L8630:L8631"/>
    <mergeCell ref="M8630:M8631"/>
    <mergeCell ref="N8630:N8631"/>
    <mergeCell ref="O8630:O8631"/>
    <mergeCell ref="X8630:X8631"/>
    <mergeCell ref="Y8630:Y8631"/>
    <mergeCell ref="Z8630:Z8631"/>
    <mergeCell ref="AA8630:AA8631"/>
    <mergeCell ref="AB8630:AB8631"/>
    <mergeCell ref="A8632:A8633"/>
    <mergeCell ref="E8632:E8633"/>
    <mergeCell ref="H8632:H8633"/>
    <mergeCell ref="I8632:I8633"/>
    <mergeCell ref="J8632:J8633"/>
    <mergeCell ref="K8632:K8633"/>
    <mergeCell ref="L8632:L8633"/>
    <mergeCell ref="M8632:M8633"/>
    <mergeCell ref="N8632:N8633"/>
    <mergeCell ref="O8632:O8633"/>
    <mergeCell ref="X8632:X8633"/>
    <mergeCell ref="Y8632:Y8633"/>
    <mergeCell ref="Z8632:Z8633"/>
    <mergeCell ref="AA8632:AA8633"/>
    <mergeCell ref="AB8632:AB8633"/>
    <mergeCell ref="A8626:A8627"/>
    <mergeCell ref="E8626:E8627"/>
    <mergeCell ref="H8626:H8627"/>
    <mergeCell ref="I8626:I8627"/>
    <mergeCell ref="J8626:J8627"/>
    <mergeCell ref="K8626:K8627"/>
    <mergeCell ref="L8626:L8627"/>
    <mergeCell ref="M8626:M8627"/>
    <mergeCell ref="N8626:N8627"/>
    <mergeCell ref="O8626:O8627"/>
    <mergeCell ref="X8626:X8627"/>
    <mergeCell ref="Y8626:Y8627"/>
    <mergeCell ref="Z8626:Z8627"/>
    <mergeCell ref="AA8626:AA8627"/>
    <mergeCell ref="AB8626:AB8627"/>
    <mergeCell ref="A8628:A8629"/>
    <mergeCell ref="E8628:E8629"/>
    <mergeCell ref="H8628:H8629"/>
    <mergeCell ref="I8628:I8629"/>
    <mergeCell ref="J8628:J8629"/>
    <mergeCell ref="K8628:K8629"/>
    <mergeCell ref="L8628:L8629"/>
    <mergeCell ref="M8628:M8629"/>
    <mergeCell ref="N8628:N8629"/>
    <mergeCell ref="O8628:O8629"/>
    <mergeCell ref="X8628:X8629"/>
    <mergeCell ref="Y8628:Y8629"/>
    <mergeCell ref="Z8628:Z8629"/>
    <mergeCell ref="AA8628:AA8629"/>
    <mergeCell ref="AB8628:AB8629"/>
    <mergeCell ref="A8622:A8623"/>
    <mergeCell ref="E8622:E8623"/>
    <mergeCell ref="H8622:H8623"/>
    <mergeCell ref="I8622:I8623"/>
    <mergeCell ref="J8622:J8623"/>
    <mergeCell ref="K8622:K8623"/>
    <mergeCell ref="L8622:L8623"/>
    <mergeCell ref="M8622:M8623"/>
    <mergeCell ref="N8622:N8623"/>
    <mergeCell ref="O8622:O8623"/>
    <mergeCell ref="X8622:X8623"/>
    <mergeCell ref="Y8622:Y8623"/>
    <mergeCell ref="Z8622:Z8623"/>
    <mergeCell ref="AA8622:AA8623"/>
    <mergeCell ref="AB8622:AB8623"/>
    <mergeCell ref="A8624:A8625"/>
    <mergeCell ref="E8624:E8625"/>
    <mergeCell ref="H8624:H8625"/>
    <mergeCell ref="I8624:I8625"/>
    <mergeCell ref="J8624:J8625"/>
    <mergeCell ref="K8624:K8625"/>
    <mergeCell ref="L8624:L8625"/>
    <mergeCell ref="M8624:M8625"/>
    <mergeCell ref="N8624:N8625"/>
    <mergeCell ref="O8624:O8625"/>
    <mergeCell ref="X8624:X8625"/>
    <mergeCell ref="Y8624:Y8625"/>
    <mergeCell ref="Z8624:Z8625"/>
    <mergeCell ref="AA8624:AA8625"/>
    <mergeCell ref="AB8624:AB8625"/>
    <mergeCell ref="A8618:A8619"/>
    <mergeCell ref="E8618:E8619"/>
    <mergeCell ref="H8618:H8619"/>
    <mergeCell ref="I8618:I8619"/>
    <mergeCell ref="J8618:J8619"/>
    <mergeCell ref="K8618:K8619"/>
    <mergeCell ref="L8618:L8619"/>
    <mergeCell ref="M8618:M8619"/>
    <mergeCell ref="N8618:N8619"/>
    <mergeCell ref="O8618:O8619"/>
    <mergeCell ref="X8618:X8619"/>
    <mergeCell ref="Y8618:Y8619"/>
    <mergeCell ref="Z8618:Z8619"/>
    <mergeCell ref="AA8618:AA8619"/>
    <mergeCell ref="AB8618:AB8619"/>
    <mergeCell ref="A8620:A8621"/>
    <mergeCell ref="E8620:E8621"/>
    <mergeCell ref="H8620:H8621"/>
    <mergeCell ref="I8620:I8621"/>
    <mergeCell ref="J8620:J8621"/>
    <mergeCell ref="K8620:K8621"/>
    <mergeCell ref="L8620:L8621"/>
    <mergeCell ref="M8620:M8621"/>
    <mergeCell ref="N8620:N8621"/>
    <mergeCell ref="O8620:O8621"/>
    <mergeCell ref="X8620:X8621"/>
    <mergeCell ref="Y8620:Y8621"/>
    <mergeCell ref="Z8620:Z8621"/>
    <mergeCell ref="AA8620:AA8621"/>
    <mergeCell ref="AB8620:AB8621"/>
    <mergeCell ref="A8614:A8615"/>
    <mergeCell ref="E8614:E8615"/>
    <mergeCell ref="H8614:H8615"/>
    <mergeCell ref="I8614:I8615"/>
    <mergeCell ref="J8614:J8615"/>
    <mergeCell ref="K8614:K8615"/>
    <mergeCell ref="L8614:L8615"/>
    <mergeCell ref="M8614:M8615"/>
    <mergeCell ref="N8614:N8615"/>
    <mergeCell ref="O8614:O8615"/>
    <mergeCell ref="X8614:X8615"/>
    <mergeCell ref="Y8614:Y8615"/>
    <mergeCell ref="Z8614:Z8615"/>
    <mergeCell ref="AA8614:AA8615"/>
    <mergeCell ref="AB8614:AB8615"/>
    <mergeCell ref="A8616:A8617"/>
    <mergeCell ref="E8616:E8617"/>
    <mergeCell ref="H8616:H8617"/>
    <mergeCell ref="I8616:I8617"/>
    <mergeCell ref="J8616:J8617"/>
    <mergeCell ref="K8616:K8617"/>
    <mergeCell ref="L8616:L8617"/>
    <mergeCell ref="M8616:M8617"/>
    <mergeCell ref="N8616:N8617"/>
    <mergeCell ref="O8616:O8617"/>
    <mergeCell ref="X8616:X8617"/>
    <mergeCell ref="Y8616:Y8617"/>
    <mergeCell ref="Z8616:Z8617"/>
    <mergeCell ref="AA8616:AA8617"/>
    <mergeCell ref="AB8616:AB8617"/>
    <mergeCell ref="A8610:A8611"/>
    <mergeCell ref="E8610:E8611"/>
    <mergeCell ref="H8610:H8611"/>
    <mergeCell ref="I8610:I8611"/>
    <mergeCell ref="J8610:J8611"/>
    <mergeCell ref="K8610:K8611"/>
    <mergeCell ref="L8610:L8611"/>
    <mergeCell ref="M8610:M8611"/>
    <mergeCell ref="N8610:N8611"/>
    <mergeCell ref="O8610:O8611"/>
    <mergeCell ref="X8610:X8611"/>
    <mergeCell ref="Y8610:Y8611"/>
    <mergeCell ref="Z8610:Z8611"/>
    <mergeCell ref="AA8610:AA8611"/>
    <mergeCell ref="AB8610:AB8611"/>
    <mergeCell ref="A8612:A8613"/>
    <mergeCell ref="E8612:E8613"/>
    <mergeCell ref="H8612:H8613"/>
    <mergeCell ref="I8612:I8613"/>
    <mergeCell ref="J8612:J8613"/>
    <mergeCell ref="K8612:K8613"/>
    <mergeCell ref="L8612:L8613"/>
    <mergeCell ref="M8612:M8613"/>
    <mergeCell ref="N8612:N8613"/>
    <mergeCell ref="O8612:O8613"/>
    <mergeCell ref="X8612:X8613"/>
    <mergeCell ref="Y8612:Y8613"/>
    <mergeCell ref="Z8612:Z8613"/>
    <mergeCell ref="AA8612:AA8613"/>
    <mergeCell ref="AB8612:AB8613"/>
    <mergeCell ref="A8606:A8607"/>
    <mergeCell ref="E8606:E8607"/>
    <mergeCell ref="H8606:H8607"/>
    <mergeCell ref="I8606:I8607"/>
    <mergeCell ref="J8606:J8607"/>
    <mergeCell ref="K8606:K8607"/>
    <mergeCell ref="L8606:L8607"/>
    <mergeCell ref="M8606:M8607"/>
    <mergeCell ref="N8606:N8607"/>
    <mergeCell ref="O8606:O8607"/>
    <mergeCell ref="X8606:X8607"/>
    <mergeCell ref="Y8606:Y8607"/>
    <mergeCell ref="Z8606:Z8607"/>
    <mergeCell ref="AA8606:AA8607"/>
    <mergeCell ref="AB8606:AB8607"/>
    <mergeCell ref="A8608:A8609"/>
    <mergeCell ref="E8608:E8609"/>
    <mergeCell ref="H8608:H8609"/>
    <mergeCell ref="I8608:I8609"/>
    <mergeCell ref="J8608:J8609"/>
    <mergeCell ref="K8608:K8609"/>
    <mergeCell ref="L8608:L8609"/>
    <mergeCell ref="M8608:M8609"/>
    <mergeCell ref="N8608:N8609"/>
    <mergeCell ref="O8608:O8609"/>
    <mergeCell ref="X8608:X8609"/>
    <mergeCell ref="Y8608:Y8609"/>
    <mergeCell ref="Z8608:Z8609"/>
    <mergeCell ref="AA8608:AA8609"/>
    <mergeCell ref="AB8608:AB8609"/>
    <mergeCell ref="A8602:A8603"/>
    <mergeCell ref="E8602:E8603"/>
    <mergeCell ref="H8602:H8603"/>
    <mergeCell ref="I8602:I8603"/>
    <mergeCell ref="J8602:J8603"/>
    <mergeCell ref="K8602:K8603"/>
    <mergeCell ref="L8602:L8603"/>
    <mergeCell ref="M8602:M8603"/>
    <mergeCell ref="N8602:N8603"/>
    <mergeCell ref="O8602:O8603"/>
    <mergeCell ref="X8602:X8603"/>
    <mergeCell ref="Y8602:Y8603"/>
    <mergeCell ref="Z8602:Z8603"/>
    <mergeCell ref="AA8602:AA8603"/>
    <mergeCell ref="AB8602:AB8603"/>
    <mergeCell ref="A8604:A8605"/>
    <mergeCell ref="E8604:E8605"/>
    <mergeCell ref="H8604:H8605"/>
    <mergeCell ref="I8604:I8605"/>
    <mergeCell ref="J8604:J8605"/>
    <mergeCell ref="K8604:K8605"/>
    <mergeCell ref="L8604:L8605"/>
    <mergeCell ref="M8604:M8605"/>
    <mergeCell ref="N8604:N8605"/>
    <mergeCell ref="O8604:O8605"/>
    <mergeCell ref="X8604:X8605"/>
    <mergeCell ref="Y8604:Y8605"/>
    <mergeCell ref="Z8604:Z8605"/>
    <mergeCell ref="AA8604:AA8605"/>
    <mergeCell ref="AB8604:AB8605"/>
    <mergeCell ref="A8598:A8599"/>
    <mergeCell ref="E8598:E8599"/>
    <mergeCell ref="H8598:H8599"/>
    <mergeCell ref="I8598:I8599"/>
    <mergeCell ref="J8598:J8599"/>
    <mergeCell ref="K8598:K8599"/>
    <mergeCell ref="L8598:L8599"/>
    <mergeCell ref="M8598:M8599"/>
    <mergeCell ref="N8598:N8599"/>
    <mergeCell ref="O8598:O8599"/>
    <mergeCell ref="X8598:X8599"/>
    <mergeCell ref="Y8598:Y8599"/>
    <mergeCell ref="Z8598:Z8599"/>
    <mergeCell ref="AA8598:AA8599"/>
    <mergeCell ref="AB8598:AB8599"/>
    <mergeCell ref="A8600:A8601"/>
    <mergeCell ref="E8600:E8601"/>
    <mergeCell ref="H8600:H8601"/>
    <mergeCell ref="I8600:I8601"/>
    <mergeCell ref="J8600:J8601"/>
    <mergeCell ref="K8600:K8601"/>
    <mergeCell ref="L8600:L8601"/>
    <mergeCell ref="M8600:M8601"/>
    <mergeCell ref="N8600:N8601"/>
    <mergeCell ref="O8600:O8601"/>
    <mergeCell ref="X8600:X8601"/>
    <mergeCell ref="Y8600:Y8601"/>
    <mergeCell ref="Z8600:Z8601"/>
    <mergeCell ref="AA8600:AA8601"/>
    <mergeCell ref="AB8600:AB8601"/>
    <mergeCell ref="A8594:A8595"/>
    <mergeCell ref="E8594:E8595"/>
    <mergeCell ref="H8594:H8595"/>
    <mergeCell ref="I8594:I8595"/>
    <mergeCell ref="J8594:J8595"/>
    <mergeCell ref="K8594:K8595"/>
    <mergeCell ref="L8594:L8595"/>
    <mergeCell ref="M8594:M8595"/>
    <mergeCell ref="N8594:N8595"/>
    <mergeCell ref="O8594:O8595"/>
    <mergeCell ref="X8594:X8595"/>
    <mergeCell ref="Y8594:Y8595"/>
    <mergeCell ref="Z8594:Z8595"/>
    <mergeCell ref="AA8594:AA8595"/>
    <mergeCell ref="AB8594:AB8595"/>
    <mergeCell ref="A8596:A8597"/>
    <mergeCell ref="E8596:E8597"/>
    <mergeCell ref="H8596:H8597"/>
    <mergeCell ref="I8596:I8597"/>
    <mergeCell ref="J8596:J8597"/>
    <mergeCell ref="K8596:K8597"/>
    <mergeCell ref="L8596:L8597"/>
    <mergeCell ref="M8596:M8597"/>
    <mergeCell ref="N8596:N8597"/>
    <mergeCell ref="O8596:O8597"/>
    <mergeCell ref="X8596:X8597"/>
    <mergeCell ref="Y8596:Y8597"/>
    <mergeCell ref="Z8596:Z8597"/>
    <mergeCell ref="AA8596:AA8597"/>
    <mergeCell ref="AB8596:AB8597"/>
    <mergeCell ref="A8590:A8591"/>
    <mergeCell ref="E8590:E8591"/>
    <mergeCell ref="H8590:H8591"/>
    <mergeCell ref="I8590:I8591"/>
    <mergeCell ref="J8590:J8591"/>
    <mergeCell ref="K8590:K8591"/>
    <mergeCell ref="L8590:L8591"/>
    <mergeCell ref="M8590:M8591"/>
    <mergeCell ref="N8590:N8591"/>
    <mergeCell ref="O8590:O8591"/>
    <mergeCell ref="X8590:X8591"/>
    <mergeCell ref="Y8590:Y8591"/>
    <mergeCell ref="Z8590:Z8591"/>
    <mergeCell ref="AA8590:AA8591"/>
    <mergeCell ref="AB8590:AB8591"/>
    <mergeCell ref="A8592:A8593"/>
    <mergeCell ref="E8592:E8593"/>
    <mergeCell ref="H8592:H8593"/>
    <mergeCell ref="I8592:I8593"/>
    <mergeCell ref="J8592:J8593"/>
    <mergeCell ref="K8592:K8593"/>
    <mergeCell ref="L8592:L8593"/>
    <mergeCell ref="M8592:M8593"/>
    <mergeCell ref="N8592:N8593"/>
    <mergeCell ref="O8592:O8593"/>
    <mergeCell ref="X8592:X8593"/>
    <mergeCell ref="Y8592:Y8593"/>
    <mergeCell ref="Z8592:Z8593"/>
    <mergeCell ref="AA8592:AA8593"/>
    <mergeCell ref="AB8592:AB8593"/>
    <mergeCell ref="A8586:A8587"/>
    <mergeCell ref="E8586:E8587"/>
    <mergeCell ref="H8586:H8587"/>
    <mergeCell ref="I8586:I8587"/>
    <mergeCell ref="J8586:J8587"/>
    <mergeCell ref="K8586:K8587"/>
    <mergeCell ref="L8586:L8587"/>
    <mergeCell ref="M8586:M8587"/>
    <mergeCell ref="N8586:N8587"/>
    <mergeCell ref="O8586:O8587"/>
    <mergeCell ref="X8586:X8587"/>
    <mergeCell ref="Y8586:Y8587"/>
    <mergeCell ref="Z8586:Z8587"/>
    <mergeCell ref="AA8586:AA8587"/>
    <mergeCell ref="AB8586:AB8587"/>
    <mergeCell ref="A8588:A8589"/>
    <mergeCell ref="E8588:E8589"/>
    <mergeCell ref="H8588:H8589"/>
    <mergeCell ref="I8588:I8589"/>
    <mergeCell ref="J8588:J8589"/>
    <mergeCell ref="K8588:K8589"/>
    <mergeCell ref="L8588:L8589"/>
    <mergeCell ref="M8588:M8589"/>
    <mergeCell ref="N8588:N8589"/>
    <mergeCell ref="O8588:O8589"/>
    <mergeCell ref="X8588:X8589"/>
    <mergeCell ref="Y8588:Y8589"/>
    <mergeCell ref="Z8588:Z8589"/>
    <mergeCell ref="AA8588:AA8589"/>
    <mergeCell ref="AB8588:AB8589"/>
    <mergeCell ref="A8582:A8583"/>
    <mergeCell ref="E8582:E8583"/>
    <mergeCell ref="H8582:H8583"/>
    <mergeCell ref="I8582:I8583"/>
    <mergeCell ref="J8582:J8583"/>
    <mergeCell ref="K8582:K8583"/>
    <mergeCell ref="L8582:L8583"/>
    <mergeCell ref="M8582:M8583"/>
    <mergeCell ref="N8582:N8583"/>
    <mergeCell ref="O8582:O8583"/>
    <mergeCell ref="X8582:X8583"/>
    <mergeCell ref="Y8582:Y8583"/>
    <mergeCell ref="Z8582:Z8583"/>
    <mergeCell ref="AA8582:AA8583"/>
    <mergeCell ref="AB8582:AB8583"/>
    <mergeCell ref="A8584:A8585"/>
    <mergeCell ref="E8584:E8585"/>
    <mergeCell ref="H8584:H8585"/>
    <mergeCell ref="I8584:I8585"/>
    <mergeCell ref="J8584:J8585"/>
    <mergeCell ref="K8584:K8585"/>
    <mergeCell ref="L8584:L8585"/>
    <mergeCell ref="M8584:M8585"/>
    <mergeCell ref="N8584:N8585"/>
    <mergeCell ref="O8584:O8585"/>
    <mergeCell ref="X8584:X8585"/>
    <mergeCell ref="Y8584:Y8585"/>
    <mergeCell ref="Z8584:Z8585"/>
    <mergeCell ref="AA8584:AA8585"/>
    <mergeCell ref="AB8584:AB8585"/>
    <mergeCell ref="A8578:A8579"/>
    <mergeCell ref="E8578:E8579"/>
    <mergeCell ref="H8578:H8579"/>
    <mergeCell ref="I8578:I8579"/>
    <mergeCell ref="J8578:J8579"/>
    <mergeCell ref="K8578:K8579"/>
    <mergeCell ref="L8578:L8579"/>
    <mergeCell ref="M8578:M8579"/>
    <mergeCell ref="N8578:N8579"/>
    <mergeCell ref="O8578:O8579"/>
    <mergeCell ref="X8578:X8579"/>
    <mergeCell ref="Y8578:Y8579"/>
    <mergeCell ref="Z8578:Z8579"/>
    <mergeCell ref="AA8578:AA8579"/>
    <mergeCell ref="AB8578:AB8579"/>
    <mergeCell ref="A8580:A8581"/>
    <mergeCell ref="E8580:E8581"/>
    <mergeCell ref="H8580:H8581"/>
    <mergeCell ref="I8580:I8581"/>
    <mergeCell ref="J8580:J8581"/>
    <mergeCell ref="K8580:K8581"/>
    <mergeCell ref="L8580:L8581"/>
    <mergeCell ref="M8580:M8581"/>
    <mergeCell ref="N8580:N8581"/>
    <mergeCell ref="O8580:O8581"/>
    <mergeCell ref="X8580:X8581"/>
    <mergeCell ref="Y8580:Y8581"/>
    <mergeCell ref="Z8580:Z8581"/>
    <mergeCell ref="AA8580:AA8581"/>
    <mergeCell ref="AB8580:AB8581"/>
    <mergeCell ref="A8574:A8575"/>
    <mergeCell ref="E8574:E8575"/>
    <mergeCell ref="H8574:H8575"/>
    <mergeCell ref="I8574:I8575"/>
    <mergeCell ref="J8574:J8575"/>
    <mergeCell ref="K8574:K8575"/>
    <mergeCell ref="L8574:L8575"/>
    <mergeCell ref="M8574:M8575"/>
    <mergeCell ref="N8574:N8575"/>
    <mergeCell ref="O8574:O8575"/>
    <mergeCell ref="X8574:X8575"/>
    <mergeCell ref="Y8574:Y8575"/>
    <mergeCell ref="Z8574:Z8575"/>
    <mergeCell ref="AA8574:AA8575"/>
    <mergeCell ref="AB8574:AB8575"/>
    <mergeCell ref="A8576:A8577"/>
    <mergeCell ref="E8576:E8577"/>
    <mergeCell ref="H8576:H8577"/>
    <mergeCell ref="I8576:I8577"/>
    <mergeCell ref="J8576:J8577"/>
    <mergeCell ref="K8576:K8577"/>
    <mergeCell ref="L8576:L8577"/>
    <mergeCell ref="M8576:M8577"/>
    <mergeCell ref="N8576:N8577"/>
    <mergeCell ref="O8576:O8577"/>
    <mergeCell ref="X8576:X8577"/>
    <mergeCell ref="Y8576:Y8577"/>
    <mergeCell ref="Z8576:Z8577"/>
    <mergeCell ref="AA8576:AA8577"/>
    <mergeCell ref="AB8576:AB8577"/>
    <mergeCell ref="A8570:A8571"/>
    <mergeCell ref="E8570:E8571"/>
    <mergeCell ref="H8570:H8571"/>
    <mergeCell ref="I8570:I8571"/>
    <mergeCell ref="J8570:J8571"/>
    <mergeCell ref="K8570:K8571"/>
    <mergeCell ref="L8570:L8571"/>
    <mergeCell ref="M8570:M8571"/>
    <mergeCell ref="N8570:N8571"/>
    <mergeCell ref="O8570:O8571"/>
    <mergeCell ref="X8570:X8571"/>
    <mergeCell ref="Y8570:Y8571"/>
    <mergeCell ref="Z8570:Z8571"/>
    <mergeCell ref="AA8570:AA8571"/>
    <mergeCell ref="AB8570:AB8571"/>
    <mergeCell ref="A8572:A8573"/>
    <mergeCell ref="E8572:E8573"/>
    <mergeCell ref="H8572:H8573"/>
    <mergeCell ref="I8572:I8573"/>
    <mergeCell ref="J8572:J8573"/>
    <mergeCell ref="K8572:K8573"/>
    <mergeCell ref="L8572:L8573"/>
    <mergeCell ref="M8572:M8573"/>
    <mergeCell ref="N8572:N8573"/>
    <mergeCell ref="O8572:O8573"/>
    <mergeCell ref="X8572:X8573"/>
    <mergeCell ref="Y8572:Y8573"/>
    <mergeCell ref="Z8572:Z8573"/>
    <mergeCell ref="AA8572:AA8573"/>
    <mergeCell ref="AB8572:AB8573"/>
    <mergeCell ref="A8566:A8567"/>
    <mergeCell ref="E8566:E8567"/>
    <mergeCell ref="H8566:H8567"/>
    <mergeCell ref="I8566:I8567"/>
    <mergeCell ref="J8566:J8567"/>
    <mergeCell ref="K8566:K8567"/>
    <mergeCell ref="L8566:L8567"/>
    <mergeCell ref="M8566:M8567"/>
    <mergeCell ref="N8566:N8567"/>
    <mergeCell ref="O8566:O8567"/>
    <mergeCell ref="X8566:X8567"/>
    <mergeCell ref="Y8566:Y8567"/>
    <mergeCell ref="Z8566:Z8567"/>
    <mergeCell ref="AA8566:AA8567"/>
    <mergeCell ref="AB8566:AB8567"/>
    <mergeCell ref="A8568:A8569"/>
    <mergeCell ref="E8568:E8569"/>
    <mergeCell ref="H8568:H8569"/>
    <mergeCell ref="I8568:I8569"/>
    <mergeCell ref="J8568:J8569"/>
    <mergeCell ref="K8568:K8569"/>
    <mergeCell ref="L8568:L8569"/>
    <mergeCell ref="M8568:M8569"/>
    <mergeCell ref="N8568:N8569"/>
    <mergeCell ref="O8568:O8569"/>
    <mergeCell ref="X8568:X8569"/>
    <mergeCell ref="Y8568:Y8569"/>
    <mergeCell ref="Z8568:Z8569"/>
    <mergeCell ref="AA8568:AA8569"/>
    <mergeCell ref="AB8568:AB8569"/>
    <mergeCell ref="A8562:A8563"/>
    <mergeCell ref="E8562:E8563"/>
    <mergeCell ref="H8562:H8563"/>
    <mergeCell ref="I8562:I8563"/>
    <mergeCell ref="J8562:J8563"/>
    <mergeCell ref="K8562:K8563"/>
    <mergeCell ref="L8562:L8563"/>
    <mergeCell ref="M8562:M8563"/>
    <mergeCell ref="N8562:N8563"/>
    <mergeCell ref="O8562:O8563"/>
    <mergeCell ref="X8562:X8563"/>
    <mergeCell ref="Y8562:Y8563"/>
    <mergeCell ref="Z8562:Z8563"/>
    <mergeCell ref="AA8562:AA8563"/>
    <mergeCell ref="AB8562:AB8563"/>
    <mergeCell ref="A8564:A8565"/>
    <mergeCell ref="E8564:E8565"/>
    <mergeCell ref="H8564:H8565"/>
    <mergeCell ref="I8564:I8565"/>
    <mergeCell ref="J8564:J8565"/>
    <mergeCell ref="K8564:K8565"/>
    <mergeCell ref="L8564:L8565"/>
    <mergeCell ref="M8564:M8565"/>
    <mergeCell ref="N8564:N8565"/>
    <mergeCell ref="O8564:O8565"/>
    <mergeCell ref="X8564:X8565"/>
    <mergeCell ref="Y8564:Y8565"/>
    <mergeCell ref="Z8564:Z8565"/>
    <mergeCell ref="AA8564:AA8565"/>
    <mergeCell ref="AB8564:AB8565"/>
    <mergeCell ref="A8558:A8559"/>
    <mergeCell ref="E8558:E8559"/>
    <mergeCell ref="H8558:H8559"/>
    <mergeCell ref="I8558:I8559"/>
    <mergeCell ref="J8558:J8559"/>
    <mergeCell ref="K8558:K8559"/>
    <mergeCell ref="L8558:L8559"/>
    <mergeCell ref="M8558:M8559"/>
    <mergeCell ref="N8558:N8559"/>
    <mergeCell ref="O8558:O8559"/>
    <mergeCell ref="X8558:X8559"/>
    <mergeCell ref="Y8558:Y8559"/>
    <mergeCell ref="Z8558:Z8559"/>
    <mergeCell ref="AA8558:AA8559"/>
    <mergeCell ref="AB8558:AB8559"/>
    <mergeCell ref="A8560:A8561"/>
    <mergeCell ref="E8560:E8561"/>
    <mergeCell ref="H8560:H8561"/>
    <mergeCell ref="I8560:I8561"/>
    <mergeCell ref="J8560:J8561"/>
    <mergeCell ref="K8560:K8561"/>
    <mergeCell ref="L8560:L8561"/>
    <mergeCell ref="M8560:M8561"/>
    <mergeCell ref="N8560:N8561"/>
    <mergeCell ref="O8560:O8561"/>
    <mergeCell ref="X8560:X8561"/>
    <mergeCell ref="Y8560:Y8561"/>
    <mergeCell ref="Z8560:Z8561"/>
    <mergeCell ref="AA8560:AA8561"/>
    <mergeCell ref="AB8560:AB8561"/>
    <mergeCell ref="A8554:A8555"/>
    <mergeCell ref="E8554:E8555"/>
    <mergeCell ref="H8554:H8555"/>
    <mergeCell ref="I8554:I8555"/>
    <mergeCell ref="J8554:J8555"/>
    <mergeCell ref="K8554:K8555"/>
    <mergeCell ref="L8554:L8555"/>
    <mergeCell ref="M8554:M8555"/>
    <mergeCell ref="N8554:N8555"/>
    <mergeCell ref="O8554:O8555"/>
    <mergeCell ref="X8554:X8555"/>
    <mergeCell ref="Y8554:Y8555"/>
    <mergeCell ref="Z8554:Z8555"/>
    <mergeCell ref="AA8554:AA8555"/>
    <mergeCell ref="AB8554:AB8555"/>
    <mergeCell ref="A8556:A8557"/>
    <mergeCell ref="E8556:E8557"/>
    <mergeCell ref="H8556:H8557"/>
    <mergeCell ref="I8556:I8557"/>
    <mergeCell ref="J8556:J8557"/>
    <mergeCell ref="K8556:K8557"/>
    <mergeCell ref="L8556:L8557"/>
    <mergeCell ref="M8556:M8557"/>
    <mergeCell ref="N8556:N8557"/>
    <mergeCell ref="O8556:O8557"/>
    <mergeCell ref="X8556:X8557"/>
    <mergeCell ref="Y8556:Y8557"/>
    <mergeCell ref="Z8556:Z8557"/>
    <mergeCell ref="AA8556:AA8557"/>
    <mergeCell ref="AB8556:AB8557"/>
    <mergeCell ref="A8550:A8551"/>
    <mergeCell ref="E8550:E8551"/>
    <mergeCell ref="H8550:H8551"/>
    <mergeCell ref="I8550:I8551"/>
    <mergeCell ref="J8550:J8551"/>
    <mergeCell ref="K8550:K8551"/>
    <mergeCell ref="L8550:L8551"/>
    <mergeCell ref="M8550:M8551"/>
    <mergeCell ref="N8550:N8551"/>
    <mergeCell ref="O8550:O8551"/>
    <mergeCell ref="X8550:X8551"/>
    <mergeCell ref="Y8550:Y8551"/>
    <mergeCell ref="Z8550:Z8551"/>
    <mergeCell ref="AA8550:AA8551"/>
    <mergeCell ref="AB8550:AB8551"/>
    <mergeCell ref="A8552:A8553"/>
    <mergeCell ref="E8552:E8553"/>
    <mergeCell ref="H8552:H8553"/>
    <mergeCell ref="I8552:I8553"/>
    <mergeCell ref="J8552:J8553"/>
    <mergeCell ref="K8552:K8553"/>
    <mergeCell ref="L8552:L8553"/>
    <mergeCell ref="M8552:M8553"/>
    <mergeCell ref="N8552:N8553"/>
    <mergeCell ref="O8552:O8553"/>
    <mergeCell ref="X8552:X8553"/>
    <mergeCell ref="Y8552:Y8553"/>
    <mergeCell ref="Z8552:Z8553"/>
    <mergeCell ref="AA8552:AA8553"/>
    <mergeCell ref="AB8552:AB8553"/>
    <mergeCell ref="A8546:A8547"/>
    <mergeCell ref="E8546:E8547"/>
    <mergeCell ref="H8546:H8547"/>
    <mergeCell ref="I8546:I8547"/>
    <mergeCell ref="J8546:J8547"/>
    <mergeCell ref="K8546:K8547"/>
    <mergeCell ref="L8546:L8547"/>
    <mergeCell ref="M8546:M8547"/>
    <mergeCell ref="N8546:N8547"/>
    <mergeCell ref="O8546:O8547"/>
    <mergeCell ref="X8546:X8547"/>
    <mergeCell ref="Y8546:Y8547"/>
    <mergeCell ref="Z8546:Z8547"/>
    <mergeCell ref="AA8546:AA8547"/>
    <mergeCell ref="AB8546:AB8547"/>
    <mergeCell ref="A8548:A8549"/>
    <mergeCell ref="E8548:E8549"/>
    <mergeCell ref="H8548:H8549"/>
    <mergeCell ref="I8548:I8549"/>
    <mergeCell ref="J8548:J8549"/>
    <mergeCell ref="K8548:K8549"/>
    <mergeCell ref="L8548:L8549"/>
    <mergeCell ref="M8548:M8549"/>
    <mergeCell ref="N8548:N8549"/>
    <mergeCell ref="O8548:O8549"/>
    <mergeCell ref="X8548:X8549"/>
    <mergeCell ref="Y8548:Y8549"/>
    <mergeCell ref="Z8548:Z8549"/>
    <mergeCell ref="AA8548:AA8549"/>
    <mergeCell ref="AB8548:AB8549"/>
    <mergeCell ref="A8542:A8543"/>
    <mergeCell ref="E8542:E8543"/>
    <mergeCell ref="H8542:H8543"/>
    <mergeCell ref="I8542:I8543"/>
    <mergeCell ref="J8542:J8543"/>
    <mergeCell ref="K8542:K8543"/>
    <mergeCell ref="L8542:L8543"/>
    <mergeCell ref="M8542:M8543"/>
    <mergeCell ref="N8542:N8543"/>
    <mergeCell ref="O8542:O8543"/>
    <mergeCell ref="X8542:X8543"/>
    <mergeCell ref="Y8542:Y8543"/>
    <mergeCell ref="Z8542:Z8543"/>
    <mergeCell ref="AA8542:AA8543"/>
    <mergeCell ref="AB8542:AB8543"/>
    <mergeCell ref="A8544:A8545"/>
    <mergeCell ref="E8544:E8545"/>
    <mergeCell ref="H8544:H8545"/>
    <mergeCell ref="I8544:I8545"/>
    <mergeCell ref="J8544:J8545"/>
    <mergeCell ref="K8544:K8545"/>
    <mergeCell ref="L8544:L8545"/>
    <mergeCell ref="M8544:M8545"/>
    <mergeCell ref="N8544:N8545"/>
    <mergeCell ref="O8544:O8545"/>
    <mergeCell ref="X8544:X8545"/>
    <mergeCell ref="Y8544:Y8545"/>
    <mergeCell ref="Z8544:Z8545"/>
    <mergeCell ref="AA8544:AA8545"/>
    <mergeCell ref="AB8544:AB8545"/>
    <mergeCell ref="A8538:A8539"/>
    <mergeCell ref="E8538:E8539"/>
    <mergeCell ref="H8538:H8539"/>
    <mergeCell ref="I8538:I8539"/>
    <mergeCell ref="J8538:J8539"/>
    <mergeCell ref="K8538:K8539"/>
    <mergeCell ref="L8538:L8539"/>
    <mergeCell ref="M8538:M8539"/>
    <mergeCell ref="N8538:N8539"/>
    <mergeCell ref="O8538:O8539"/>
    <mergeCell ref="X8538:X8539"/>
    <mergeCell ref="Y8538:Y8539"/>
    <mergeCell ref="Z8538:Z8539"/>
    <mergeCell ref="AA8538:AA8539"/>
    <mergeCell ref="AB8538:AB8539"/>
    <mergeCell ref="A8540:A8541"/>
    <mergeCell ref="E8540:E8541"/>
    <mergeCell ref="H8540:H8541"/>
    <mergeCell ref="I8540:I8541"/>
    <mergeCell ref="J8540:J8541"/>
    <mergeCell ref="K8540:K8541"/>
    <mergeCell ref="L8540:L8541"/>
    <mergeCell ref="M8540:M8541"/>
    <mergeCell ref="N8540:N8541"/>
    <mergeCell ref="O8540:O8541"/>
    <mergeCell ref="X8540:X8541"/>
    <mergeCell ref="Y8540:Y8541"/>
    <mergeCell ref="Z8540:Z8541"/>
    <mergeCell ref="AA8540:AA8541"/>
    <mergeCell ref="AB8540:AB8541"/>
    <mergeCell ref="A8534:A8535"/>
    <mergeCell ref="E8534:E8535"/>
    <mergeCell ref="H8534:H8535"/>
    <mergeCell ref="I8534:I8535"/>
    <mergeCell ref="J8534:J8535"/>
    <mergeCell ref="K8534:K8535"/>
    <mergeCell ref="L8534:L8535"/>
    <mergeCell ref="M8534:M8535"/>
    <mergeCell ref="N8534:N8535"/>
    <mergeCell ref="O8534:O8535"/>
    <mergeCell ref="X8534:X8535"/>
    <mergeCell ref="Y8534:Y8535"/>
    <mergeCell ref="Z8534:Z8535"/>
    <mergeCell ref="AA8534:AA8535"/>
    <mergeCell ref="AB8534:AB8535"/>
    <mergeCell ref="A8536:A8537"/>
    <mergeCell ref="E8536:E8537"/>
    <mergeCell ref="H8536:H8537"/>
    <mergeCell ref="I8536:I8537"/>
    <mergeCell ref="J8536:J8537"/>
    <mergeCell ref="K8536:K8537"/>
    <mergeCell ref="L8536:L8537"/>
    <mergeCell ref="M8536:M8537"/>
    <mergeCell ref="N8536:N8537"/>
    <mergeCell ref="O8536:O8537"/>
    <mergeCell ref="X8536:X8537"/>
    <mergeCell ref="Y8536:Y8537"/>
    <mergeCell ref="Z8536:Z8537"/>
    <mergeCell ref="AA8536:AA8537"/>
    <mergeCell ref="AB8536:AB8537"/>
    <mergeCell ref="A8530:A8531"/>
    <mergeCell ref="E8530:E8531"/>
    <mergeCell ref="H8530:H8531"/>
    <mergeCell ref="I8530:I8531"/>
    <mergeCell ref="J8530:J8531"/>
    <mergeCell ref="K8530:K8531"/>
    <mergeCell ref="L8530:L8531"/>
    <mergeCell ref="M8530:M8531"/>
    <mergeCell ref="N8530:N8531"/>
    <mergeCell ref="O8530:O8531"/>
    <mergeCell ref="X8530:X8531"/>
    <mergeCell ref="Y8530:Y8531"/>
    <mergeCell ref="Z8530:Z8531"/>
    <mergeCell ref="AA8530:AA8531"/>
    <mergeCell ref="AB8530:AB8531"/>
    <mergeCell ref="A8532:A8533"/>
    <mergeCell ref="E8532:E8533"/>
    <mergeCell ref="H8532:H8533"/>
    <mergeCell ref="I8532:I8533"/>
    <mergeCell ref="J8532:J8533"/>
    <mergeCell ref="K8532:K8533"/>
    <mergeCell ref="L8532:L8533"/>
    <mergeCell ref="M8532:M8533"/>
    <mergeCell ref="N8532:N8533"/>
    <mergeCell ref="O8532:O8533"/>
    <mergeCell ref="X8532:X8533"/>
    <mergeCell ref="Y8532:Y8533"/>
    <mergeCell ref="Z8532:Z8533"/>
    <mergeCell ref="AA8532:AA8533"/>
    <mergeCell ref="AB8532:AB8533"/>
    <mergeCell ref="A8526:A8527"/>
    <mergeCell ref="E8526:E8527"/>
    <mergeCell ref="H8526:H8527"/>
    <mergeCell ref="I8526:I8527"/>
    <mergeCell ref="J8526:J8527"/>
    <mergeCell ref="K8526:K8527"/>
    <mergeCell ref="L8526:L8527"/>
    <mergeCell ref="M8526:M8527"/>
    <mergeCell ref="N8526:N8527"/>
    <mergeCell ref="O8526:O8527"/>
    <mergeCell ref="X8526:X8527"/>
    <mergeCell ref="Y8526:Y8527"/>
    <mergeCell ref="Z8526:Z8527"/>
    <mergeCell ref="AA8526:AA8527"/>
    <mergeCell ref="AB8526:AB8527"/>
    <mergeCell ref="A8528:A8529"/>
    <mergeCell ref="E8528:E8529"/>
    <mergeCell ref="H8528:H8529"/>
    <mergeCell ref="I8528:I8529"/>
    <mergeCell ref="J8528:J8529"/>
    <mergeCell ref="K8528:K8529"/>
    <mergeCell ref="L8528:L8529"/>
    <mergeCell ref="M8528:M8529"/>
    <mergeCell ref="N8528:N8529"/>
    <mergeCell ref="O8528:O8529"/>
    <mergeCell ref="X8528:X8529"/>
    <mergeCell ref="Y8528:Y8529"/>
    <mergeCell ref="Z8528:Z8529"/>
    <mergeCell ref="AA8528:AA8529"/>
    <mergeCell ref="AB8528:AB8529"/>
    <mergeCell ref="A8522:A8523"/>
    <mergeCell ref="E8522:E8523"/>
    <mergeCell ref="H8522:H8523"/>
    <mergeCell ref="I8522:I8523"/>
    <mergeCell ref="J8522:J8523"/>
    <mergeCell ref="K8522:K8523"/>
    <mergeCell ref="L8522:L8523"/>
    <mergeCell ref="M8522:M8523"/>
    <mergeCell ref="N8522:N8523"/>
    <mergeCell ref="O8522:O8523"/>
    <mergeCell ref="X8522:X8523"/>
    <mergeCell ref="Y8522:Y8523"/>
    <mergeCell ref="Z8522:Z8523"/>
    <mergeCell ref="AA8522:AA8523"/>
    <mergeCell ref="AB8522:AB8523"/>
    <mergeCell ref="A8524:A8525"/>
    <mergeCell ref="E8524:E8525"/>
    <mergeCell ref="H8524:H8525"/>
    <mergeCell ref="I8524:I8525"/>
    <mergeCell ref="J8524:J8525"/>
    <mergeCell ref="K8524:K8525"/>
    <mergeCell ref="L8524:L8525"/>
    <mergeCell ref="M8524:M8525"/>
    <mergeCell ref="N8524:N8525"/>
    <mergeCell ref="O8524:O8525"/>
    <mergeCell ref="X8524:X8525"/>
    <mergeCell ref="Y8524:Y8525"/>
    <mergeCell ref="Z8524:Z8525"/>
    <mergeCell ref="AA8524:AA8525"/>
    <mergeCell ref="AB8524:AB8525"/>
    <mergeCell ref="A8518:A8519"/>
    <mergeCell ref="E8518:E8519"/>
    <mergeCell ref="H8518:H8519"/>
    <mergeCell ref="I8518:I8519"/>
    <mergeCell ref="J8518:J8519"/>
    <mergeCell ref="K8518:K8519"/>
    <mergeCell ref="L8518:L8519"/>
    <mergeCell ref="M8518:M8519"/>
    <mergeCell ref="N8518:N8519"/>
    <mergeCell ref="O8518:O8519"/>
    <mergeCell ref="X8518:X8519"/>
    <mergeCell ref="Y8518:Y8519"/>
    <mergeCell ref="Z8518:Z8519"/>
    <mergeCell ref="AA8518:AA8519"/>
    <mergeCell ref="AB8518:AB8519"/>
    <mergeCell ref="A8520:A8521"/>
    <mergeCell ref="E8520:E8521"/>
    <mergeCell ref="H8520:H8521"/>
    <mergeCell ref="I8520:I8521"/>
    <mergeCell ref="J8520:J8521"/>
    <mergeCell ref="K8520:K8521"/>
    <mergeCell ref="L8520:L8521"/>
    <mergeCell ref="M8520:M8521"/>
    <mergeCell ref="N8520:N8521"/>
    <mergeCell ref="O8520:O8521"/>
    <mergeCell ref="X8520:X8521"/>
    <mergeCell ref="Y8520:Y8521"/>
    <mergeCell ref="Z8520:Z8521"/>
    <mergeCell ref="AA8520:AA8521"/>
    <mergeCell ref="AB8520:AB8521"/>
    <mergeCell ref="A8514:A8515"/>
    <mergeCell ref="E8514:E8515"/>
    <mergeCell ref="H8514:H8515"/>
    <mergeCell ref="I8514:I8515"/>
    <mergeCell ref="J8514:J8515"/>
    <mergeCell ref="K8514:K8515"/>
    <mergeCell ref="L8514:L8515"/>
    <mergeCell ref="M8514:M8515"/>
    <mergeCell ref="N8514:N8515"/>
    <mergeCell ref="O8514:O8515"/>
    <mergeCell ref="X8514:X8515"/>
    <mergeCell ref="Y8514:Y8515"/>
    <mergeCell ref="Z8514:Z8515"/>
    <mergeCell ref="AA8514:AA8515"/>
    <mergeCell ref="AB8514:AB8515"/>
    <mergeCell ref="A8516:A8517"/>
    <mergeCell ref="E8516:E8517"/>
    <mergeCell ref="H8516:H8517"/>
    <mergeCell ref="I8516:I8517"/>
    <mergeCell ref="J8516:J8517"/>
    <mergeCell ref="K8516:K8517"/>
    <mergeCell ref="L8516:L8517"/>
    <mergeCell ref="M8516:M8517"/>
    <mergeCell ref="N8516:N8517"/>
    <mergeCell ref="O8516:O8517"/>
    <mergeCell ref="X8516:X8517"/>
    <mergeCell ref="Y8516:Y8517"/>
    <mergeCell ref="Z8516:Z8517"/>
    <mergeCell ref="AA8516:AA8517"/>
    <mergeCell ref="AB8516:AB8517"/>
    <mergeCell ref="A8510:A8511"/>
    <mergeCell ref="E8510:E8511"/>
    <mergeCell ref="H8510:H8511"/>
    <mergeCell ref="I8510:I8511"/>
    <mergeCell ref="J8510:J8511"/>
    <mergeCell ref="K8510:K8511"/>
    <mergeCell ref="L8510:L8511"/>
    <mergeCell ref="M8510:M8511"/>
    <mergeCell ref="N8510:N8511"/>
    <mergeCell ref="O8510:O8511"/>
    <mergeCell ref="X8510:X8511"/>
    <mergeCell ref="Y8510:Y8511"/>
    <mergeCell ref="Z8510:Z8511"/>
    <mergeCell ref="AA8510:AA8511"/>
    <mergeCell ref="AB8510:AB8511"/>
    <mergeCell ref="A8512:A8513"/>
    <mergeCell ref="E8512:E8513"/>
    <mergeCell ref="H8512:H8513"/>
    <mergeCell ref="I8512:I8513"/>
    <mergeCell ref="J8512:J8513"/>
    <mergeCell ref="K8512:K8513"/>
    <mergeCell ref="L8512:L8513"/>
    <mergeCell ref="M8512:M8513"/>
    <mergeCell ref="N8512:N8513"/>
    <mergeCell ref="O8512:O8513"/>
    <mergeCell ref="X8512:X8513"/>
    <mergeCell ref="Y8512:Y8513"/>
    <mergeCell ref="Z8512:Z8513"/>
    <mergeCell ref="AA8512:AA8513"/>
    <mergeCell ref="AB8512:AB8513"/>
    <mergeCell ref="A8506:A8507"/>
    <mergeCell ref="E8506:E8507"/>
    <mergeCell ref="H8506:H8507"/>
    <mergeCell ref="I8506:I8507"/>
    <mergeCell ref="J8506:J8507"/>
    <mergeCell ref="K8506:K8507"/>
    <mergeCell ref="L8506:L8507"/>
    <mergeCell ref="M8506:M8507"/>
    <mergeCell ref="N8506:N8507"/>
    <mergeCell ref="O8506:O8507"/>
    <mergeCell ref="X8506:X8507"/>
    <mergeCell ref="Y8506:Y8507"/>
    <mergeCell ref="Z8506:Z8507"/>
    <mergeCell ref="AA8506:AA8507"/>
    <mergeCell ref="AB8506:AB8507"/>
    <mergeCell ref="A8508:A8509"/>
    <mergeCell ref="E8508:E8509"/>
    <mergeCell ref="H8508:H8509"/>
    <mergeCell ref="I8508:I8509"/>
    <mergeCell ref="J8508:J8509"/>
    <mergeCell ref="K8508:K8509"/>
    <mergeCell ref="L8508:L8509"/>
    <mergeCell ref="M8508:M8509"/>
    <mergeCell ref="N8508:N8509"/>
    <mergeCell ref="O8508:O8509"/>
    <mergeCell ref="X8508:X8509"/>
    <mergeCell ref="Y8508:Y8509"/>
    <mergeCell ref="Z8508:Z8509"/>
    <mergeCell ref="AA8508:AA8509"/>
    <mergeCell ref="AB8508:AB8509"/>
    <mergeCell ref="A8502:A8503"/>
    <mergeCell ref="E8502:E8503"/>
    <mergeCell ref="H8502:H8503"/>
    <mergeCell ref="I8502:I8503"/>
    <mergeCell ref="J8502:J8503"/>
    <mergeCell ref="K8502:K8503"/>
    <mergeCell ref="L8502:L8503"/>
    <mergeCell ref="M8502:M8503"/>
    <mergeCell ref="N8502:N8503"/>
    <mergeCell ref="O8502:O8503"/>
    <mergeCell ref="X8502:X8503"/>
    <mergeCell ref="Y8502:Y8503"/>
    <mergeCell ref="Z8502:Z8503"/>
    <mergeCell ref="AA8502:AA8503"/>
    <mergeCell ref="AB8502:AB8503"/>
    <mergeCell ref="A8504:A8505"/>
    <mergeCell ref="E8504:E8505"/>
    <mergeCell ref="H8504:H8505"/>
    <mergeCell ref="I8504:I8505"/>
    <mergeCell ref="J8504:J8505"/>
    <mergeCell ref="K8504:K8505"/>
    <mergeCell ref="L8504:L8505"/>
    <mergeCell ref="M8504:M8505"/>
    <mergeCell ref="N8504:N8505"/>
    <mergeCell ref="O8504:O8505"/>
    <mergeCell ref="X8504:X8505"/>
    <mergeCell ref="Y8504:Y8505"/>
    <mergeCell ref="Z8504:Z8505"/>
    <mergeCell ref="AA8504:AA8505"/>
    <mergeCell ref="AB8504:AB8505"/>
    <mergeCell ref="A8498:A8499"/>
    <mergeCell ref="E8498:E8499"/>
    <mergeCell ref="H8498:H8499"/>
    <mergeCell ref="I8498:I8499"/>
    <mergeCell ref="J8498:J8499"/>
    <mergeCell ref="K8498:K8499"/>
    <mergeCell ref="L8498:L8499"/>
    <mergeCell ref="M8498:M8499"/>
    <mergeCell ref="N8498:N8499"/>
    <mergeCell ref="O8498:O8499"/>
    <mergeCell ref="X8498:X8499"/>
    <mergeCell ref="Y8498:Y8499"/>
    <mergeCell ref="Z8498:Z8499"/>
    <mergeCell ref="AA8498:AA8499"/>
    <mergeCell ref="AB8498:AB8499"/>
    <mergeCell ref="A8500:A8501"/>
    <mergeCell ref="E8500:E8501"/>
    <mergeCell ref="H8500:H8501"/>
    <mergeCell ref="I8500:I8501"/>
    <mergeCell ref="J8500:J8501"/>
    <mergeCell ref="K8500:K8501"/>
    <mergeCell ref="L8500:L8501"/>
    <mergeCell ref="M8500:M8501"/>
    <mergeCell ref="N8500:N8501"/>
    <mergeCell ref="O8500:O8501"/>
    <mergeCell ref="X8500:X8501"/>
    <mergeCell ref="Y8500:Y8501"/>
    <mergeCell ref="Z8500:Z8501"/>
    <mergeCell ref="AA8500:AA8501"/>
    <mergeCell ref="AB8500:AB8501"/>
    <mergeCell ref="A8494:A8495"/>
    <mergeCell ref="E8494:E8495"/>
    <mergeCell ref="H8494:H8495"/>
    <mergeCell ref="I8494:I8495"/>
    <mergeCell ref="J8494:J8495"/>
    <mergeCell ref="K8494:K8495"/>
    <mergeCell ref="L8494:L8495"/>
    <mergeCell ref="M8494:M8495"/>
    <mergeCell ref="N8494:N8495"/>
    <mergeCell ref="O8494:O8495"/>
    <mergeCell ref="X8494:X8495"/>
    <mergeCell ref="Y8494:Y8495"/>
    <mergeCell ref="Z8494:Z8495"/>
    <mergeCell ref="AA8494:AA8495"/>
    <mergeCell ref="AB8494:AB8495"/>
    <mergeCell ref="A8496:A8497"/>
    <mergeCell ref="E8496:E8497"/>
    <mergeCell ref="H8496:H8497"/>
    <mergeCell ref="I8496:I8497"/>
    <mergeCell ref="J8496:J8497"/>
    <mergeCell ref="K8496:K8497"/>
    <mergeCell ref="L8496:L8497"/>
    <mergeCell ref="M8496:M8497"/>
    <mergeCell ref="N8496:N8497"/>
    <mergeCell ref="O8496:O8497"/>
    <mergeCell ref="X8496:X8497"/>
    <mergeCell ref="Y8496:Y8497"/>
    <mergeCell ref="Z8496:Z8497"/>
    <mergeCell ref="AA8496:AA8497"/>
    <mergeCell ref="AB8496:AB8497"/>
    <mergeCell ref="A8490:A8491"/>
    <mergeCell ref="E8490:E8491"/>
    <mergeCell ref="H8490:H8491"/>
    <mergeCell ref="I8490:I8491"/>
    <mergeCell ref="J8490:J8491"/>
    <mergeCell ref="K8490:K8491"/>
    <mergeCell ref="L8490:L8491"/>
    <mergeCell ref="M8490:M8491"/>
    <mergeCell ref="N8490:N8491"/>
    <mergeCell ref="O8490:O8491"/>
    <mergeCell ref="X8490:X8491"/>
    <mergeCell ref="Y8490:Y8491"/>
    <mergeCell ref="Z8490:Z8491"/>
    <mergeCell ref="AA8490:AA8491"/>
    <mergeCell ref="AB8490:AB8491"/>
    <mergeCell ref="A8492:A8493"/>
    <mergeCell ref="E8492:E8493"/>
    <mergeCell ref="H8492:H8493"/>
    <mergeCell ref="I8492:I8493"/>
    <mergeCell ref="J8492:J8493"/>
    <mergeCell ref="K8492:K8493"/>
    <mergeCell ref="L8492:L8493"/>
    <mergeCell ref="M8492:M8493"/>
    <mergeCell ref="N8492:N8493"/>
    <mergeCell ref="O8492:O8493"/>
    <mergeCell ref="X8492:X8493"/>
    <mergeCell ref="Y8492:Y8493"/>
    <mergeCell ref="Z8492:Z8493"/>
    <mergeCell ref="AA8492:AA8493"/>
    <mergeCell ref="AB8492:AB8493"/>
    <mergeCell ref="A8486:A8487"/>
    <mergeCell ref="E8486:E8487"/>
    <mergeCell ref="H8486:H8487"/>
    <mergeCell ref="I8486:I8487"/>
    <mergeCell ref="J8486:J8487"/>
    <mergeCell ref="K8486:K8487"/>
    <mergeCell ref="L8486:L8487"/>
    <mergeCell ref="M8486:M8487"/>
    <mergeCell ref="N8486:N8487"/>
    <mergeCell ref="O8486:O8487"/>
    <mergeCell ref="X8486:X8487"/>
    <mergeCell ref="Y8486:Y8487"/>
    <mergeCell ref="Z8486:Z8487"/>
    <mergeCell ref="AA8486:AA8487"/>
    <mergeCell ref="AB8486:AB8487"/>
    <mergeCell ref="A8488:A8489"/>
    <mergeCell ref="E8488:E8489"/>
    <mergeCell ref="H8488:H8489"/>
    <mergeCell ref="I8488:I8489"/>
    <mergeCell ref="J8488:J8489"/>
    <mergeCell ref="K8488:K8489"/>
    <mergeCell ref="L8488:L8489"/>
    <mergeCell ref="M8488:M8489"/>
    <mergeCell ref="N8488:N8489"/>
    <mergeCell ref="O8488:O8489"/>
    <mergeCell ref="X8488:X8489"/>
    <mergeCell ref="Y8488:Y8489"/>
    <mergeCell ref="Z8488:Z8489"/>
    <mergeCell ref="AA8488:AA8489"/>
    <mergeCell ref="AB8488:AB8489"/>
    <mergeCell ref="A8482:A8483"/>
    <mergeCell ref="E8482:E8483"/>
    <mergeCell ref="H8482:H8483"/>
    <mergeCell ref="I8482:I8483"/>
    <mergeCell ref="J8482:J8483"/>
    <mergeCell ref="K8482:K8483"/>
    <mergeCell ref="L8482:L8483"/>
    <mergeCell ref="M8482:M8483"/>
    <mergeCell ref="N8482:N8483"/>
    <mergeCell ref="O8482:O8483"/>
    <mergeCell ref="X8482:X8483"/>
    <mergeCell ref="Y8482:Y8483"/>
    <mergeCell ref="Z8482:Z8483"/>
    <mergeCell ref="AA8482:AA8483"/>
    <mergeCell ref="AB8482:AB8483"/>
    <mergeCell ref="A8484:A8485"/>
    <mergeCell ref="E8484:E8485"/>
    <mergeCell ref="H8484:H8485"/>
    <mergeCell ref="I8484:I8485"/>
    <mergeCell ref="J8484:J8485"/>
    <mergeCell ref="K8484:K8485"/>
    <mergeCell ref="L8484:L8485"/>
    <mergeCell ref="M8484:M8485"/>
    <mergeCell ref="N8484:N8485"/>
    <mergeCell ref="O8484:O8485"/>
    <mergeCell ref="X8484:X8485"/>
    <mergeCell ref="Y8484:Y8485"/>
    <mergeCell ref="Z8484:Z8485"/>
    <mergeCell ref="AA8484:AA8485"/>
    <mergeCell ref="AB8484:AB8485"/>
    <mergeCell ref="A8478:A8479"/>
    <mergeCell ref="E8478:E8479"/>
    <mergeCell ref="H8478:H8479"/>
    <mergeCell ref="I8478:I8479"/>
    <mergeCell ref="J8478:J8479"/>
    <mergeCell ref="K8478:K8479"/>
    <mergeCell ref="L8478:L8479"/>
    <mergeCell ref="M8478:M8479"/>
    <mergeCell ref="N8478:N8479"/>
    <mergeCell ref="O8478:O8479"/>
    <mergeCell ref="X8478:X8479"/>
    <mergeCell ref="Y8478:Y8479"/>
    <mergeCell ref="Z8478:Z8479"/>
    <mergeCell ref="AA8478:AA8479"/>
    <mergeCell ref="AB8478:AB8479"/>
    <mergeCell ref="A8480:A8481"/>
    <mergeCell ref="E8480:E8481"/>
    <mergeCell ref="H8480:H8481"/>
    <mergeCell ref="I8480:I8481"/>
    <mergeCell ref="J8480:J8481"/>
    <mergeCell ref="K8480:K8481"/>
    <mergeCell ref="L8480:L8481"/>
    <mergeCell ref="M8480:M8481"/>
    <mergeCell ref="N8480:N8481"/>
    <mergeCell ref="O8480:O8481"/>
    <mergeCell ref="X8480:X8481"/>
    <mergeCell ref="Y8480:Y8481"/>
    <mergeCell ref="Z8480:Z8481"/>
    <mergeCell ref="AA8480:AA8481"/>
    <mergeCell ref="AB8480:AB8481"/>
    <mergeCell ref="A8474:A8475"/>
    <mergeCell ref="E8474:E8475"/>
    <mergeCell ref="H8474:H8475"/>
    <mergeCell ref="I8474:I8475"/>
    <mergeCell ref="J8474:J8475"/>
    <mergeCell ref="K8474:K8475"/>
    <mergeCell ref="L8474:L8475"/>
    <mergeCell ref="M8474:M8475"/>
    <mergeCell ref="N8474:N8475"/>
    <mergeCell ref="O8474:O8475"/>
    <mergeCell ref="X8474:X8475"/>
    <mergeCell ref="Y8474:Y8475"/>
    <mergeCell ref="Z8474:Z8475"/>
    <mergeCell ref="AA8474:AA8475"/>
    <mergeCell ref="AB8474:AB8475"/>
    <mergeCell ref="A8476:A8477"/>
    <mergeCell ref="E8476:E8477"/>
    <mergeCell ref="H8476:H8477"/>
    <mergeCell ref="I8476:I8477"/>
    <mergeCell ref="J8476:J8477"/>
    <mergeCell ref="K8476:K8477"/>
    <mergeCell ref="L8476:L8477"/>
    <mergeCell ref="M8476:M8477"/>
    <mergeCell ref="N8476:N8477"/>
    <mergeCell ref="O8476:O8477"/>
    <mergeCell ref="X8476:X8477"/>
    <mergeCell ref="Y8476:Y8477"/>
    <mergeCell ref="Z8476:Z8477"/>
    <mergeCell ref="AA8476:AA8477"/>
    <mergeCell ref="AB8476:AB8477"/>
    <mergeCell ref="A8470:A8471"/>
    <mergeCell ref="E8470:E8471"/>
    <mergeCell ref="H8470:H8471"/>
    <mergeCell ref="I8470:I8471"/>
    <mergeCell ref="J8470:J8471"/>
    <mergeCell ref="K8470:K8471"/>
    <mergeCell ref="L8470:L8471"/>
    <mergeCell ref="M8470:M8471"/>
    <mergeCell ref="N8470:N8471"/>
    <mergeCell ref="O8470:O8471"/>
    <mergeCell ref="X8470:X8471"/>
    <mergeCell ref="Y8470:Y8471"/>
    <mergeCell ref="Z8470:Z8471"/>
    <mergeCell ref="AA8470:AA8471"/>
    <mergeCell ref="AB8470:AB8471"/>
    <mergeCell ref="A8472:A8473"/>
    <mergeCell ref="E8472:E8473"/>
    <mergeCell ref="H8472:H8473"/>
    <mergeCell ref="I8472:I8473"/>
    <mergeCell ref="J8472:J8473"/>
    <mergeCell ref="K8472:K8473"/>
    <mergeCell ref="L8472:L8473"/>
    <mergeCell ref="M8472:M8473"/>
    <mergeCell ref="N8472:N8473"/>
    <mergeCell ref="O8472:O8473"/>
    <mergeCell ref="X8472:X8473"/>
    <mergeCell ref="Y8472:Y8473"/>
    <mergeCell ref="Z8472:Z8473"/>
    <mergeCell ref="AA8472:AA8473"/>
    <mergeCell ref="AB8472:AB8473"/>
    <mergeCell ref="A8466:A8467"/>
    <mergeCell ref="E8466:E8467"/>
    <mergeCell ref="H8466:H8467"/>
    <mergeCell ref="I8466:I8467"/>
    <mergeCell ref="J8466:J8467"/>
    <mergeCell ref="K8466:K8467"/>
    <mergeCell ref="L8466:L8467"/>
    <mergeCell ref="M8466:M8467"/>
    <mergeCell ref="N8466:N8467"/>
    <mergeCell ref="O8466:O8467"/>
    <mergeCell ref="X8466:X8467"/>
    <mergeCell ref="Y8466:Y8467"/>
    <mergeCell ref="Z8466:Z8467"/>
    <mergeCell ref="AA8466:AA8467"/>
    <mergeCell ref="AB8466:AB8467"/>
    <mergeCell ref="A8468:A8469"/>
    <mergeCell ref="E8468:E8469"/>
    <mergeCell ref="H8468:H8469"/>
    <mergeCell ref="I8468:I8469"/>
    <mergeCell ref="J8468:J8469"/>
    <mergeCell ref="K8468:K8469"/>
    <mergeCell ref="L8468:L8469"/>
    <mergeCell ref="M8468:M8469"/>
    <mergeCell ref="N8468:N8469"/>
    <mergeCell ref="O8468:O8469"/>
    <mergeCell ref="X8468:X8469"/>
    <mergeCell ref="Y8468:Y8469"/>
    <mergeCell ref="Z8468:Z8469"/>
    <mergeCell ref="AA8468:AA8469"/>
    <mergeCell ref="AB8468:AB8469"/>
    <mergeCell ref="A8462:A8463"/>
    <mergeCell ref="E8462:E8463"/>
    <mergeCell ref="H8462:H8463"/>
    <mergeCell ref="I8462:I8463"/>
    <mergeCell ref="J8462:J8463"/>
    <mergeCell ref="K8462:K8463"/>
    <mergeCell ref="L8462:L8463"/>
    <mergeCell ref="M8462:M8463"/>
    <mergeCell ref="N8462:N8463"/>
    <mergeCell ref="O8462:O8463"/>
    <mergeCell ref="X8462:X8463"/>
    <mergeCell ref="Y8462:Y8463"/>
    <mergeCell ref="Z8462:Z8463"/>
    <mergeCell ref="AA8462:AA8463"/>
    <mergeCell ref="AB8462:AB8463"/>
    <mergeCell ref="A8464:A8465"/>
    <mergeCell ref="E8464:E8465"/>
    <mergeCell ref="H8464:H8465"/>
    <mergeCell ref="I8464:I8465"/>
    <mergeCell ref="J8464:J8465"/>
    <mergeCell ref="K8464:K8465"/>
    <mergeCell ref="L8464:L8465"/>
    <mergeCell ref="M8464:M8465"/>
    <mergeCell ref="N8464:N8465"/>
    <mergeCell ref="O8464:O8465"/>
    <mergeCell ref="X8464:X8465"/>
    <mergeCell ref="Y8464:Y8465"/>
    <mergeCell ref="Z8464:Z8465"/>
    <mergeCell ref="AA8464:AA8465"/>
    <mergeCell ref="AB8464:AB8465"/>
    <mergeCell ref="H8458:H8459"/>
    <mergeCell ref="I8458:I8459"/>
    <mergeCell ref="J8458:J8459"/>
    <mergeCell ref="K8458:K8459"/>
    <mergeCell ref="L8458:L8459"/>
    <mergeCell ref="M8458:M8459"/>
    <mergeCell ref="N8458:N8459"/>
    <mergeCell ref="O8458:O8459"/>
    <mergeCell ref="X8458:X8459"/>
    <mergeCell ref="Y8458:Y8459"/>
    <mergeCell ref="Z8458:Z8459"/>
    <mergeCell ref="AA8458:AA8459"/>
    <mergeCell ref="AB8458:AB8459"/>
    <mergeCell ref="A8460:A8461"/>
    <mergeCell ref="E8460:E8461"/>
    <mergeCell ref="H8460:H8461"/>
    <mergeCell ref="I8460:I8461"/>
    <mergeCell ref="J8460:J8461"/>
    <mergeCell ref="K8460:K8461"/>
    <mergeCell ref="L8460:L8461"/>
    <mergeCell ref="M8460:M8461"/>
    <mergeCell ref="N8460:N8461"/>
    <mergeCell ref="O8460:O8461"/>
    <mergeCell ref="X8460:X8461"/>
    <mergeCell ref="Y8460:Y8461"/>
    <mergeCell ref="Z8460:Z8461"/>
    <mergeCell ref="AA8460:AA8461"/>
    <mergeCell ref="AB8460:AB8461"/>
    <mergeCell ref="A8450:A8451"/>
    <mergeCell ref="E8450:E8451"/>
    <mergeCell ref="H8450:H8451"/>
    <mergeCell ref="I8450:I8451"/>
    <mergeCell ref="J8450:J8451"/>
    <mergeCell ref="K8450:K8451"/>
    <mergeCell ref="L8450:L8451"/>
    <mergeCell ref="M8450:M8451"/>
    <mergeCell ref="N8450:N8451"/>
    <mergeCell ref="O8450:O8451"/>
    <mergeCell ref="X8450:X8451"/>
    <mergeCell ref="Y8450:Y8451"/>
    <mergeCell ref="Z8450:Z8451"/>
    <mergeCell ref="AA8450:AA8451"/>
    <mergeCell ref="AB8450:AB8451"/>
    <mergeCell ref="AB8454:AB8455"/>
    <mergeCell ref="A8452:A8453"/>
    <mergeCell ref="E8452:E8453"/>
    <mergeCell ref="H8452:H8453"/>
    <mergeCell ref="I8452:I8453"/>
    <mergeCell ref="J8452:J8453"/>
    <mergeCell ref="K8452:K8453"/>
    <mergeCell ref="L8452:L8453"/>
    <mergeCell ref="M8452:M8453"/>
    <mergeCell ref="N8452:N8453"/>
    <mergeCell ref="AB8452:AB8453"/>
    <mergeCell ref="A8454:A8455"/>
    <mergeCell ref="E8454:E8455"/>
    <mergeCell ref="H8454:H8455"/>
    <mergeCell ref="I8454:I8455"/>
    <mergeCell ref="J8454:J8455"/>
    <mergeCell ref="K8454:K8455"/>
    <mergeCell ref="L8454:L8455"/>
    <mergeCell ref="M8454:M8455"/>
    <mergeCell ref="N8454:N8455"/>
    <mergeCell ref="O8454:O8455"/>
    <mergeCell ref="A8446:A8447"/>
    <mergeCell ref="E8446:E8447"/>
    <mergeCell ref="H8446:H8447"/>
    <mergeCell ref="I8446:I8447"/>
    <mergeCell ref="J8446:J8447"/>
    <mergeCell ref="K8446:K8447"/>
    <mergeCell ref="L8446:L8447"/>
    <mergeCell ref="M8446:M8447"/>
    <mergeCell ref="N8446:N8447"/>
    <mergeCell ref="O8446:O8447"/>
    <mergeCell ref="X8446:X8447"/>
    <mergeCell ref="Y8446:Y8447"/>
    <mergeCell ref="Z8446:Z8447"/>
    <mergeCell ref="AA8446:AA8447"/>
    <mergeCell ref="AB8446:AB8447"/>
    <mergeCell ref="A8448:A8449"/>
    <mergeCell ref="E8448:E8449"/>
    <mergeCell ref="H8448:H8449"/>
    <mergeCell ref="I8448:I8449"/>
    <mergeCell ref="J8448:J8449"/>
    <mergeCell ref="K8448:K8449"/>
    <mergeCell ref="L8448:L8449"/>
    <mergeCell ref="M8448:M8449"/>
    <mergeCell ref="N8448:N8449"/>
    <mergeCell ref="O8448:O8449"/>
    <mergeCell ref="X8448:X8449"/>
    <mergeCell ref="Y8448:Y8449"/>
    <mergeCell ref="Z8448:Z8449"/>
    <mergeCell ref="AA8448:AA8449"/>
    <mergeCell ref="AB8448:AB8449"/>
    <mergeCell ref="A8442:A8443"/>
    <mergeCell ref="E8442:E8443"/>
    <mergeCell ref="H8442:H8443"/>
    <mergeCell ref="I8442:I8443"/>
    <mergeCell ref="J8442:J8443"/>
    <mergeCell ref="K8442:K8443"/>
    <mergeCell ref="L8442:L8443"/>
    <mergeCell ref="M8442:M8443"/>
    <mergeCell ref="N8442:N8443"/>
    <mergeCell ref="O8442:O8443"/>
    <mergeCell ref="X8442:X8443"/>
    <mergeCell ref="Y8442:Y8443"/>
    <mergeCell ref="Z8442:Z8443"/>
    <mergeCell ref="AA8442:AA8443"/>
    <mergeCell ref="AB8442:AB8443"/>
    <mergeCell ref="A8444:A8445"/>
    <mergeCell ref="E8444:E8445"/>
    <mergeCell ref="H8444:H8445"/>
    <mergeCell ref="I8444:I8445"/>
    <mergeCell ref="J8444:J8445"/>
    <mergeCell ref="K8444:K8445"/>
    <mergeCell ref="L8444:L8445"/>
    <mergeCell ref="M8444:M8445"/>
    <mergeCell ref="N8444:N8445"/>
    <mergeCell ref="O8444:O8445"/>
    <mergeCell ref="X8444:X8445"/>
    <mergeCell ref="Y8444:Y8445"/>
    <mergeCell ref="Z8444:Z8445"/>
    <mergeCell ref="AA8444:AA8445"/>
    <mergeCell ref="AB8444:AB8445"/>
    <mergeCell ref="A8438:A8439"/>
    <mergeCell ref="E8438:E8439"/>
    <mergeCell ref="H8438:H8439"/>
    <mergeCell ref="I8438:I8439"/>
    <mergeCell ref="J8438:J8439"/>
    <mergeCell ref="K8438:K8439"/>
    <mergeCell ref="L8438:L8439"/>
    <mergeCell ref="M8438:M8439"/>
    <mergeCell ref="N8438:N8439"/>
    <mergeCell ref="O8438:O8439"/>
    <mergeCell ref="X8438:X8439"/>
    <mergeCell ref="Y8438:Y8439"/>
    <mergeCell ref="Z8438:Z8439"/>
    <mergeCell ref="AA8438:AA8439"/>
    <mergeCell ref="AB8438:AB8439"/>
    <mergeCell ref="A8440:A8441"/>
    <mergeCell ref="E8440:E8441"/>
    <mergeCell ref="H8440:H8441"/>
    <mergeCell ref="I8440:I8441"/>
    <mergeCell ref="J8440:J8441"/>
    <mergeCell ref="K8440:K8441"/>
    <mergeCell ref="L8440:L8441"/>
    <mergeCell ref="M8440:M8441"/>
    <mergeCell ref="N8440:N8441"/>
    <mergeCell ref="O8440:O8441"/>
    <mergeCell ref="X8440:X8441"/>
    <mergeCell ref="Y8440:Y8441"/>
    <mergeCell ref="Z8440:Z8441"/>
    <mergeCell ref="AA8440:AA8441"/>
    <mergeCell ref="AB8440:AB8441"/>
    <mergeCell ref="A8434:A8435"/>
    <mergeCell ref="E8434:E8435"/>
    <mergeCell ref="H8434:H8435"/>
    <mergeCell ref="I8434:I8435"/>
    <mergeCell ref="J8434:J8435"/>
    <mergeCell ref="K8434:K8435"/>
    <mergeCell ref="L8434:L8435"/>
    <mergeCell ref="M8434:M8435"/>
    <mergeCell ref="N8434:N8435"/>
    <mergeCell ref="O8434:O8435"/>
    <mergeCell ref="X8434:X8435"/>
    <mergeCell ref="Y8434:Y8435"/>
    <mergeCell ref="Z8434:Z8435"/>
    <mergeCell ref="AA8434:AA8435"/>
    <mergeCell ref="AB8434:AB8435"/>
    <mergeCell ref="A8436:A8437"/>
    <mergeCell ref="E8436:E8437"/>
    <mergeCell ref="H8436:H8437"/>
    <mergeCell ref="I8436:I8437"/>
    <mergeCell ref="J8436:J8437"/>
    <mergeCell ref="K8436:K8437"/>
    <mergeCell ref="L8436:L8437"/>
    <mergeCell ref="M8436:M8437"/>
    <mergeCell ref="N8436:N8437"/>
    <mergeCell ref="O8436:O8437"/>
    <mergeCell ref="X8436:X8437"/>
    <mergeCell ref="Y8436:Y8437"/>
    <mergeCell ref="Z8436:Z8437"/>
    <mergeCell ref="AA8436:AA8437"/>
    <mergeCell ref="AB8436:AB8437"/>
    <mergeCell ref="A8430:A8431"/>
    <mergeCell ref="E8430:E8431"/>
    <mergeCell ref="H8430:H8431"/>
    <mergeCell ref="I8430:I8431"/>
    <mergeCell ref="J8430:J8431"/>
    <mergeCell ref="K8430:K8431"/>
    <mergeCell ref="L8430:L8431"/>
    <mergeCell ref="M8430:M8431"/>
    <mergeCell ref="N8430:N8431"/>
    <mergeCell ref="O8430:O8431"/>
    <mergeCell ref="X8430:X8431"/>
    <mergeCell ref="Y8430:Y8431"/>
    <mergeCell ref="Z8430:Z8431"/>
    <mergeCell ref="AA8430:AA8431"/>
    <mergeCell ref="AB8430:AB8431"/>
    <mergeCell ref="A8432:A8433"/>
    <mergeCell ref="E8432:E8433"/>
    <mergeCell ref="H8432:H8433"/>
    <mergeCell ref="I8432:I8433"/>
    <mergeCell ref="J8432:J8433"/>
    <mergeCell ref="K8432:K8433"/>
    <mergeCell ref="L8432:L8433"/>
    <mergeCell ref="M8432:M8433"/>
    <mergeCell ref="N8432:N8433"/>
    <mergeCell ref="O8432:O8433"/>
    <mergeCell ref="X8432:X8433"/>
    <mergeCell ref="Y8432:Y8433"/>
    <mergeCell ref="Z8432:Z8433"/>
    <mergeCell ref="AA8432:AA8433"/>
    <mergeCell ref="AB8432:AB8433"/>
    <mergeCell ref="A8426:A8427"/>
    <mergeCell ref="E8426:E8427"/>
    <mergeCell ref="H8426:H8427"/>
    <mergeCell ref="I8426:I8427"/>
    <mergeCell ref="J8426:J8427"/>
    <mergeCell ref="K8426:K8427"/>
    <mergeCell ref="L8426:L8427"/>
    <mergeCell ref="M8426:M8427"/>
    <mergeCell ref="N8426:N8427"/>
    <mergeCell ref="O8426:O8427"/>
    <mergeCell ref="X8426:X8427"/>
    <mergeCell ref="Y8426:Y8427"/>
    <mergeCell ref="Z8426:Z8427"/>
    <mergeCell ref="AA8426:AA8427"/>
    <mergeCell ref="AB8426:AB8427"/>
    <mergeCell ref="A8428:A8429"/>
    <mergeCell ref="E8428:E8429"/>
    <mergeCell ref="H8428:H8429"/>
    <mergeCell ref="I8428:I8429"/>
    <mergeCell ref="J8428:J8429"/>
    <mergeCell ref="K8428:K8429"/>
    <mergeCell ref="L8428:L8429"/>
    <mergeCell ref="M8428:M8429"/>
    <mergeCell ref="N8428:N8429"/>
    <mergeCell ref="O8428:O8429"/>
    <mergeCell ref="X8428:X8429"/>
    <mergeCell ref="Y8428:Y8429"/>
    <mergeCell ref="Z8428:Z8429"/>
    <mergeCell ref="AA8428:AA8429"/>
    <mergeCell ref="AB8428:AB8429"/>
    <mergeCell ref="A8422:A8423"/>
    <mergeCell ref="E8422:E8423"/>
    <mergeCell ref="H8422:H8423"/>
    <mergeCell ref="I8422:I8423"/>
    <mergeCell ref="J8422:J8423"/>
    <mergeCell ref="K8422:K8423"/>
    <mergeCell ref="L8422:L8423"/>
    <mergeCell ref="M8422:M8423"/>
    <mergeCell ref="N8422:N8423"/>
    <mergeCell ref="O8422:O8423"/>
    <mergeCell ref="X8422:X8423"/>
    <mergeCell ref="Y8422:Y8423"/>
    <mergeCell ref="Z8422:Z8423"/>
    <mergeCell ref="AA8422:AA8423"/>
    <mergeCell ref="AB8422:AB8423"/>
    <mergeCell ref="A8424:A8425"/>
    <mergeCell ref="E8424:E8425"/>
    <mergeCell ref="H8424:H8425"/>
    <mergeCell ref="I8424:I8425"/>
    <mergeCell ref="J8424:J8425"/>
    <mergeCell ref="K8424:K8425"/>
    <mergeCell ref="L8424:L8425"/>
    <mergeCell ref="M8424:M8425"/>
    <mergeCell ref="N8424:N8425"/>
    <mergeCell ref="O8424:O8425"/>
    <mergeCell ref="X8424:X8425"/>
    <mergeCell ref="Y8424:Y8425"/>
    <mergeCell ref="Z8424:Z8425"/>
    <mergeCell ref="AA8424:AA8425"/>
    <mergeCell ref="AB8424:AB8425"/>
    <mergeCell ref="A8418:A8419"/>
    <mergeCell ref="E8418:E8419"/>
    <mergeCell ref="H8418:H8419"/>
    <mergeCell ref="I8418:I8419"/>
    <mergeCell ref="J8418:J8419"/>
    <mergeCell ref="K8418:K8419"/>
    <mergeCell ref="L8418:L8419"/>
    <mergeCell ref="M8418:M8419"/>
    <mergeCell ref="N8418:N8419"/>
    <mergeCell ref="O8418:O8419"/>
    <mergeCell ref="X8418:X8419"/>
    <mergeCell ref="Y8418:Y8419"/>
    <mergeCell ref="Z8418:Z8419"/>
    <mergeCell ref="AA8418:AA8419"/>
    <mergeCell ref="AB8418:AB8419"/>
    <mergeCell ref="A8420:A8421"/>
    <mergeCell ref="E8420:E8421"/>
    <mergeCell ref="H8420:H8421"/>
    <mergeCell ref="I8420:I8421"/>
    <mergeCell ref="J8420:J8421"/>
    <mergeCell ref="K8420:K8421"/>
    <mergeCell ref="L8420:L8421"/>
    <mergeCell ref="M8420:M8421"/>
    <mergeCell ref="N8420:N8421"/>
    <mergeCell ref="O8420:O8421"/>
    <mergeCell ref="X8420:X8421"/>
    <mergeCell ref="Y8420:Y8421"/>
    <mergeCell ref="Z8420:Z8421"/>
    <mergeCell ref="AA8420:AA8421"/>
    <mergeCell ref="AB8420:AB8421"/>
    <mergeCell ref="A8414:A8415"/>
    <mergeCell ref="E8414:E8415"/>
    <mergeCell ref="H8414:H8415"/>
    <mergeCell ref="I8414:I8415"/>
    <mergeCell ref="J8414:J8415"/>
    <mergeCell ref="K8414:K8415"/>
    <mergeCell ref="L8414:L8415"/>
    <mergeCell ref="M8414:M8415"/>
    <mergeCell ref="N8414:N8415"/>
    <mergeCell ref="O8414:O8415"/>
    <mergeCell ref="X8414:X8415"/>
    <mergeCell ref="Y8414:Y8415"/>
    <mergeCell ref="Z8414:Z8415"/>
    <mergeCell ref="AA8414:AA8415"/>
    <mergeCell ref="AB8414:AB8415"/>
    <mergeCell ref="A8416:A8417"/>
    <mergeCell ref="E8416:E8417"/>
    <mergeCell ref="H8416:H8417"/>
    <mergeCell ref="I8416:I8417"/>
    <mergeCell ref="J8416:J8417"/>
    <mergeCell ref="K8416:K8417"/>
    <mergeCell ref="L8416:L8417"/>
    <mergeCell ref="M8416:M8417"/>
    <mergeCell ref="N8416:N8417"/>
    <mergeCell ref="O8416:O8417"/>
    <mergeCell ref="X8416:X8417"/>
    <mergeCell ref="Y8416:Y8417"/>
    <mergeCell ref="Z8416:Z8417"/>
    <mergeCell ref="AA8416:AA8417"/>
    <mergeCell ref="AB8416:AB8417"/>
    <mergeCell ref="Y8400:Y8401"/>
    <mergeCell ref="Z8400:Z8401"/>
    <mergeCell ref="AA8400:AA8401"/>
    <mergeCell ref="AB8400:AB8401"/>
    <mergeCell ref="A8410:A8411"/>
    <mergeCell ref="E8410:E8411"/>
    <mergeCell ref="H8410:H8411"/>
    <mergeCell ref="I8410:I8411"/>
    <mergeCell ref="J8410:J8411"/>
    <mergeCell ref="K8410:K8411"/>
    <mergeCell ref="L8410:L8411"/>
    <mergeCell ref="M8410:M8411"/>
    <mergeCell ref="N8410:N8411"/>
    <mergeCell ref="O8410:O8411"/>
    <mergeCell ref="X8410:X8411"/>
    <mergeCell ref="Y8410:Y8411"/>
    <mergeCell ref="Z8410:Z8411"/>
    <mergeCell ref="AA8410:AA8411"/>
    <mergeCell ref="AB8410:AB8411"/>
    <mergeCell ref="A8412:A8413"/>
    <mergeCell ref="E8412:E8413"/>
    <mergeCell ref="H8412:H8413"/>
    <mergeCell ref="I8412:I8413"/>
    <mergeCell ref="J8412:J8413"/>
    <mergeCell ref="K8412:K8413"/>
    <mergeCell ref="L8412:L8413"/>
    <mergeCell ref="M8412:M8413"/>
    <mergeCell ref="N8412:N8413"/>
    <mergeCell ref="O8412:O8413"/>
    <mergeCell ref="X8412:X8413"/>
    <mergeCell ref="Y8412:Y8413"/>
    <mergeCell ref="Z8412:Z8413"/>
    <mergeCell ref="AA8412:AA8413"/>
    <mergeCell ref="AB8412:AB8413"/>
    <mergeCell ref="A8406:A8407"/>
    <mergeCell ref="E8406:E8407"/>
    <mergeCell ref="H8406:H8407"/>
    <mergeCell ref="I8406:I8407"/>
    <mergeCell ref="J8406:J8407"/>
    <mergeCell ref="K8406:K8407"/>
    <mergeCell ref="L8406:L8407"/>
    <mergeCell ref="M8406:M8407"/>
    <mergeCell ref="N8406:N8407"/>
    <mergeCell ref="O8406:O8407"/>
    <mergeCell ref="X8406:X8407"/>
    <mergeCell ref="Y8406:Y8407"/>
    <mergeCell ref="Z8406:Z8407"/>
    <mergeCell ref="AA8406:AA8407"/>
    <mergeCell ref="AB8406:AB8407"/>
    <mergeCell ref="A8408:A8409"/>
    <mergeCell ref="E8408:E8409"/>
    <mergeCell ref="H8408:H8409"/>
    <mergeCell ref="I8408:I8409"/>
    <mergeCell ref="J8408:J8409"/>
    <mergeCell ref="K8408:K8409"/>
    <mergeCell ref="L8408:L8409"/>
    <mergeCell ref="M8408:M8409"/>
    <mergeCell ref="N8408:N8409"/>
    <mergeCell ref="O8408:O8409"/>
    <mergeCell ref="X8408:X8409"/>
    <mergeCell ref="Y8408:Y8409"/>
    <mergeCell ref="Z8408:Z8409"/>
    <mergeCell ref="AA8408:AA8409"/>
    <mergeCell ref="AB8408:AB8409"/>
    <mergeCell ref="M8392:M8393"/>
    <mergeCell ref="N8392:N8393"/>
    <mergeCell ref="O8392:O8393"/>
    <mergeCell ref="X8392:X8393"/>
    <mergeCell ref="Y8392:Y8393"/>
    <mergeCell ref="Z8392:Z8393"/>
    <mergeCell ref="AA8392:AA8393"/>
    <mergeCell ref="AB8392:AB8393"/>
    <mergeCell ref="A8402:A8403"/>
    <mergeCell ref="E8402:E8403"/>
    <mergeCell ref="H8402:H8403"/>
    <mergeCell ref="I8402:I8403"/>
    <mergeCell ref="J8402:J8403"/>
    <mergeCell ref="K8402:K8403"/>
    <mergeCell ref="L8402:L8403"/>
    <mergeCell ref="M8402:M8403"/>
    <mergeCell ref="N8402:N8403"/>
    <mergeCell ref="O8402:O8403"/>
    <mergeCell ref="X8402:X8403"/>
    <mergeCell ref="Y8402:Y8403"/>
    <mergeCell ref="Z8402:Z8403"/>
    <mergeCell ref="AA8402:AA8403"/>
    <mergeCell ref="AB8402:AB8403"/>
    <mergeCell ref="A8404:A8405"/>
    <mergeCell ref="E8404:E8405"/>
    <mergeCell ref="H8404:H8405"/>
    <mergeCell ref="I8404:I8405"/>
    <mergeCell ref="J8404:J8405"/>
    <mergeCell ref="K8404:K8405"/>
    <mergeCell ref="L8404:L8405"/>
    <mergeCell ref="M8404:M8405"/>
    <mergeCell ref="N8404:N8405"/>
    <mergeCell ref="O8404:O8405"/>
    <mergeCell ref="X8404:X8405"/>
    <mergeCell ref="Y8404:Y8405"/>
    <mergeCell ref="Z8404:Z8405"/>
    <mergeCell ref="AA8404:AA8405"/>
    <mergeCell ref="AB8404:AB8405"/>
    <mergeCell ref="A8398:A8399"/>
    <mergeCell ref="E8398:E8399"/>
    <mergeCell ref="H8398:H8399"/>
    <mergeCell ref="I8398:I8399"/>
    <mergeCell ref="J8398:J8399"/>
    <mergeCell ref="K8398:K8399"/>
    <mergeCell ref="L8398:L8399"/>
    <mergeCell ref="M8398:M8399"/>
    <mergeCell ref="N8398:N8399"/>
    <mergeCell ref="O8398:O8399"/>
    <mergeCell ref="X8398:X8399"/>
    <mergeCell ref="Y8398:Y8399"/>
    <mergeCell ref="Z8398:Z8399"/>
    <mergeCell ref="AA8398:AA8399"/>
    <mergeCell ref="AB8398:AB8399"/>
    <mergeCell ref="A8400:A8401"/>
    <mergeCell ref="E8400:E8401"/>
    <mergeCell ref="H8400:H8401"/>
    <mergeCell ref="I8400:I8401"/>
    <mergeCell ref="J8400:J8401"/>
    <mergeCell ref="K8400:K8401"/>
    <mergeCell ref="L8400:L8401"/>
    <mergeCell ref="M8400:M8401"/>
    <mergeCell ref="N8400:N8401"/>
    <mergeCell ref="O8400:O8401"/>
    <mergeCell ref="X8400:X8401"/>
    <mergeCell ref="I8372:I8373"/>
    <mergeCell ref="J8372:J8373"/>
    <mergeCell ref="K8372:K8373"/>
    <mergeCell ref="L8372:L8373"/>
    <mergeCell ref="M8372:M8373"/>
    <mergeCell ref="N8372:N8373"/>
    <mergeCell ref="O8372:O8373"/>
    <mergeCell ref="X8372:X8373"/>
    <mergeCell ref="Y8372:Y8373"/>
    <mergeCell ref="Z8372:Z8373"/>
    <mergeCell ref="AA8372:AA8373"/>
    <mergeCell ref="Z8382:Z8383"/>
    <mergeCell ref="A8394:A8395"/>
    <mergeCell ref="E8394:E8395"/>
    <mergeCell ref="H8394:H8395"/>
    <mergeCell ref="I8394:I8395"/>
    <mergeCell ref="J8394:J8395"/>
    <mergeCell ref="K8394:K8395"/>
    <mergeCell ref="L8394:L8395"/>
    <mergeCell ref="M8394:M8395"/>
    <mergeCell ref="N8394:N8395"/>
    <mergeCell ref="O8394:O8395"/>
    <mergeCell ref="X8394:X8395"/>
    <mergeCell ref="Y8394:Y8395"/>
    <mergeCell ref="Z8394:Z8395"/>
    <mergeCell ref="AA8394:AA8395"/>
    <mergeCell ref="AB8394:AB8395"/>
    <mergeCell ref="A8396:A8397"/>
    <mergeCell ref="E8396:E8397"/>
    <mergeCell ref="H8396:H8397"/>
    <mergeCell ref="I8396:I8397"/>
    <mergeCell ref="J8396:J8397"/>
    <mergeCell ref="K8396:K8397"/>
    <mergeCell ref="L8396:L8397"/>
    <mergeCell ref="M8396:M8397"/>
    <mergeCell ref="N8396:N8397"/>
    <mergeCell ref="O8396:O8397"/>
    <mergeCell ref="X8396:X8397"/>
    <mergeCell ref="Y8396:Y8397"/>
    <mergeCell ref="Z8396:Z8397"/>
    <mergeCell ref="AA8396:AA8397"/>
    <mergeCell ref="AB8396:AB8397"/>
    <mergeCell ref="A8390:A8391"/>
    <mergeCell ref="E8390:E8391"/>
    <mergeCell ref="H8390:H8391"/>
    <mergeCell ref="I8390:I8391"/>
    <mergeCell ref="J8390:J8391"/>
    <mergeCell ref="K8390:K8391"/>
    <mergeCell ref="L8390:L8391"/>
    <mergeCell ref="M8390:M8391"/>
    <mergeCell ref="N8390:N8391"/>
    <mergeCell ref="O8390:O8391"/>
    <mergeCell ref="X8390:X8391"/>
    <mergeCell ref="Y8390:Y8391"/>
    <mergeCell ref="Z8390:Z8391"/>
    <mergeCell ref="AA8390:AA8391"/>
    <mergeCell ref="AB8390:AB8391"/>
    <mergeCell ref="A8392:A8393"/>
    <mergeCell ref="E8392:E8393"/>
    <mergeCell ref="H8392:H8393"/>
    <mergeCell ref="I8392:I8393"/>
    <mergeCell ref="J8392:J8393"/>
    <mergeCell ref="K8392:K8393"/>
    <mergeCell ref="L8392:L8393"/>
    <mergeCell ref="O8378:O8379"/>
    <mergeCell ref="X8378:X8379"/>
    <mergeCell ref="Y8378:Y8379"/>
    <mergeCell ref="Z8378:Z8379"/>
    <mergeCell ref="AA8378:AA8379"/>
    <mergeCell ref="AB8378:AB8379"/>
    <mergeCell ref="L8382:L8383"/>
    <mergeCell ref="M8382:M8383"/>
    <mergeCell ref="N8382:N8383"/>
    <mergeCell ref="O8382:O8383"/>
    <mergeCell ref="X8382:X8383"/>
    <mergeCell ref="Y8382:Y8383"/>
    <mergeCell ref="AA8382:AA8383"/>
    <mergeCell ref="AB8382:AB8383"/>
    <mergeCell ref="A8384:A8385"/>
    <mergeCell ref="E8384:E8385"/>
    <mergeCell ref="H8384:H8385"/>
    <mergeCell ref="I8384:I8385"/>
    <mergeCell ref="J8384:J8385"/>
    <mergeCell ref="K8384:K8385"/>
    <mergeCell ref="L8384:L8385"/>
    <mergeCell ref="M8384:M8385"/>
    <mergeCell ref="N8384:N8385"/>
    <mergeCell ref="O8384:O8385"/>
    <mergeCell ref="X8384:X8385"/>
    <mergeCell ref="Y8384:Y8385"/>
    <mergeCell ref="Z8384:Z8385"/>
    <mergeCell ref="AA8384:AA8385"/>
    <mergeCell ref="AB8384:AB8385"/>
    <mergeCell ref="H8376:H8377"/>
    <mergeCell ref="I8376:I8377"/>
    <mergeCell ref="J8376:J8377"/>
    <mergeCell ref="K8376:K8377"/>
    <mergeCell ref="L8376:L8377"/>
    <mergeCell ref="M8376:M8377"/>
    <mergeCell ref="N8376:N8377"/>
    <mergeCell ref="O8376:O8377"/>
    <mergeCell ref="X8376:X8377"/>
    <mergeCell ref="Y8376:Y8377"/>
    <mergeCell ref="Z8376:Z8377"/>
    <mergeCell ref="AA8376:AA8377"/>
    <mergeCell ref="AB8376:AB8377"/>
    <mergeCell ref="H8386:H8387"/>
    <mergeCell ref="I8386:I8387"/>
    <mergeCell ref="J8386:J8387"/>
    <mergeCell ref="K8386:K8387"/>
    <mergeCell ref="L8386:L8387"/>
    <mergeCell ref="M8386:M8387"/>
    <mergeCell ref="N8386:N8387"/>
    <mergeCell ref="O8386:O8387"/>
    <mergeCell ref="X8386:X8387"/>
    <mergeCell ref="Y8386:Y8387"/>
    <mergeCell ref="Z8386:Z8387"/>
    <mergeCell ref="AA8386:AA8387"/>
    <mergeCell ref="AB8386:AB8387"/>
    <mergeCell ref="A8388:A8389"/>
    <mergeCell ref="E8388:E8389"/>
    <mergeCell ref="H8388:H8389"/>
    <mergeCell ref="I8388:I8389"/>
    <mergeCell ref="J8388:J8389"/>
    <mergeCell ref="K8388:K8389"/>
    <mergeCell ref="L8388:L8389"/>
    <mergeCell ref="M8388:M8389"/>
    <mergeCell ref="N8388:N8389"/>
    <mergeCell ref="O8388:O8389"/>
    <mergeCell ref="X8388:X8389"/>
    <mergeCell ref="Y8388:Y8389"/>
    <mergeCell ref="Z8388:Z8389"/>
    <mergeCell ref="AA8388:AA8389"/>
    <mergeCell ref="AB8388:AB8389"/>
    <mergeCell ref="A8386:A8387"/>
    <mergeCell ref="E8386:E8387"/>
    <mergeCell ref="A8380:A8381"/>
    <mergeCell ref="E8380:E8381"/>
    <mergeCell ref="H8380:H8381"/>
    <mergeCell ref="I8380:I8381"/>
    <mergeCell ref="J8380:J8381"/>
    <mergeCell ref="K8380:K8381"/>
    <mergeCell ref="L8380:L8381"/>
    <mergeCell ref="M8380:M8381"/>
    <mergeCell ref="N8380:N8381"/>
    <mergeCell ref="O8380:O8381"/>
    <mergeCell ref="X8380:X8381"/>
    <mergeCell ref="Y8380:Y8381"/>
    <mergeCell ref="Z8380:Z8381"/>
    <mergeCell ref="AA8380:AA8381"/>
    <mergeCell ref="AB8380:AB8381"/>
    <mergeCell ref="A8382:A8383"/>
    <mergeCell ref="E8382:E8383"/>
    <mergeCell ref="H8382:H8383"/>
    <mergeCell ref="I8382:I8383"/>
    <mergeCell ref="J8382:J8383"/>
    <mergeCell ref="K8382:K8383"/>
    <mergeCell ref="A8364:A8365"/>
    <mergeCell ref="E8364:E8365"/>
    <mergeCell ref="H8364:H8365"/>
    <mergeCell ref="I8364:I8365"/>
    <mergeCell ref="J8364:J8365"/>
    <mergeCell ref="K8364:K8365"/>
    <mergeCell ref="L8364:L8365"/>
    <mergeCell ref="M8364:M8365"/>
    <mergeCell ref="N8364:N8365"/>
    <mergeCell ref="O8364:O8365"/>
    <mergeCell ref="X8364:X8365"/>
    <mergeCell ref="Y8364:Y8365"/>
    <mergeCell ref="Z8364:Z8365"/>
    <mergeCell ref="AA8364:AA8365"/>
    <mergeCell ref="AB8364:AB8365"/>
    <mergeCell ref="AB8372:AB8373"/>
    <mergeCell ref="A8366:A8367"/>
    <mergeCell ref="E8366:E8367"/>
    <mergeCell ref="H8366:H8367"/>
    <mergeCell ref="I8366:I8367"/>
    <mergeCell ref="J8366:J8367"/>
    <mergeCell ref="K8366:K8367"/>
    <mergeCell ref="L8366:L8367"/>
    <mergeCell ref="M8366:M8367"/>
    <mergeCell ref="N8366:N8367"/>
    <mergeCell ref="O8366:O8367"/>
    <mergeCell ref="X8366:X8367"/>
    <mergeCell ref="Y8366:Y8367"/>
    <mergeCell ref="Z8366:Z8367"/>
    <mergeCell ref="AA8366:AA8367"/>
    <mergeCell ref="AB8366:AB8367"/>
    <mergeCell ref="A8368:A8369"/>
    <mergeCell ref="E8368:E8369"/>
    <mergeCell ref="H8368:H8369"/>
    <mergeCell ref="I8368:I8369"/>
    <mergeCell ref="J8368:J8369"/>
    <mergeCell ref="K8368:K8369"/>
    <mergeCell ref="L8368:L8369"/>
    <mergeCell ref="M8368:M8369"/>
    <mergeCell ref="N8368:N8369"/>
    <mergeCell ref="O8368:O8369"/>
    <mergeCell ref="X8368:X8369"/>
    <mergeCell ref="Y8368:Y8369"/>
    <mergeCell ref="Z8368:Z8369"/>
    <mergeCell ref="AA8368:AA8369"/>
    <mergeCell ref="AB8368:AB8369"/>
    <mergeCell ref="A8370:A8371"/>
    <mergeCell ref="E8370:E8371"/>
    <mergeCell ref="H8370:H8371"/>
    <mergeCell ref="I8370:I8371"/>
    <mergeCell ref="J8370:J8371"/>
    <mergeCell ref="K8370:K8371"/>
    <mergeCell ref="L8370:L8371"/>
    <mergeCell ref="M8370:M8371"/>
    <mergeCell ref="N8370:N8371"/>
    <mergeCell ref="O8370:O8371"/>
    <mergeCell ref="X8370:X8371"/>
    <mergeCell ref="Y8370:Y8371"/>
    <mergeCell ref="Z8370:Z8371"/>
    <mergeCell ref="AA8370:AA8371"/>
    <mergeCell ref="AB8370:AB8371"/>
    <mergeCell ref="A8372:A8373"/>
    <mergeCell ref="E8372:E8373"/>
    <mergeCell ref="H8372:H8373"/>
    <mergeCell ref="A8360:A8361"/>
    <mergeCell ref="E8360:E8361"/>
    <mergeCell ref="H8360:H8361"/>
    <mergeCell ref="I8360:I8361"/>
    <mergeCell ref="J8360:J8361"/>
    <mergeCell ref="K8360:K8361"/>
    <mergeCell ref="L8360:L8361"/>
    <mergeCell ref="M8360:M8361"/>
    <mergeCell ref="N8360:N8361"/>
    <mergeCell ref="O8360:O8361"/>
    <mergeCell ref="X8360:X8361"/>
    <mergeCell ref="Y8360:Y8361"/>
    <mergeCell ref="Z8360:Z8361"/>
    <mergeCell ref="AA8360:AA8361"/>
    <mergeCell ref="AB8360:AB8361"/>
    <mergeCell ref="A8362:A8363"/>
    <mergeCell ref="E8362:E8363"/>
    <mergeCell ref="H8362:H8363"/>
    <mergeCell ref="I8362:I8363"/>
    <mergeCell ref="J8362:J8363"/>
    <mergeCell ref="K8362:K8363"/>
    <mergeCell ref="L8362:L8363"/>
    <mergeCell ref="M8362:M8363"/>
    <mergeCell ref="N8362:N8363"/>
    <mergeCell ref="O8362:O8363"/>
    <mergeCell ref="X8362:X8363"/>
    <mergeCell ref="Y8362:Y8363"/>
    <mergeCell ref="Z8362:Z8363"/>
    <mergeCell ref="AA8362:AA8363"/>
    <mergeCell ref="AB8362:AB8363"/>
    <mergeCell ref="A8356:A8357"/>
    <mergeCell ref="E8356:E8357"/>
    <mergeCell ref="H8356:H8357"/>
    <mergeCell ref="I8356:I8357"/>
    <mergeCell ref="J8356:J8357"/>
    <mergeCell ref="K8356:K8357"/>
    <mergeCell ref="L8356:L8357"/>
    <mergeCell ref="M8356:M8357"/>
    <mergeCell ref="N8356:N8357"/>
    <mergeCell ref="O8356:O8357"/>
    <mergeCell ref="X8356:X8357"/>
    <mergeCell ref="Y8356:Y8357"/>
    <mergeCell ref="Z8356:Z8357"/>
    <mergeCell ref="AA8356:AA8357"/>
    <mergeCell ref="AB8356:AB8357"/>
    <mergeCell ref="A8358:A8359"/>
    <mergeCell ref="E8358:E8359"/>
    <mergeCell ref="H8358:H8359"/>
    <mergeCell ref="I8358:I8359"/>
    <mergeCell ref="J8358:J8359"/>
    <mergeCell ref="K8358:K8359"/>
    <mergeCell ref="L8358:L8359"/>
    <mergeCell ref="M8358:M8359"/>
    <mergeCell ref="N8358:N8359"/>
    <mergeCell ref="O8358:O8359"/>
    <mergeCell ref="X8358:X8359"/>
    <mergeCell ref="Y8358:Y8359"/>
    <mergeCell ref="Z8358:Z8359"/>
    <mergeCell ref="AA8358:AA8359"/>
    <mergeCell ref="AB8358:AB8359"/>
    <mergeCell ref="A8352:A8353"/>
    <mergeCell ref="E8352:E8353"/>
    <mergeCell ref="H8352:H8353"/>
    <mergeCell ref="I8352:I8353"/>
    <mergeCell ref="J8352:J8353"/>
    <mergeCell ref="K8352:K8353"/>
    <mergeCell ref="L8352:L8353"/>
    <mergeCell ref="M8352:M8353"/>
    <mergeCell ref="N8352:N8353"/>
    <mergeCell ref="O8352:O8353"/>
    <mergeCell ref="X8352:X8353"/>
    <mergeCell ref="Y8352:Y8353"/>
    <mergeCell ref="Z8352:Z8353"/>
    <mergeCell ref="AA8352:AA8353"/>
    <mergeCell ref="AB8352:AB8353"/>
    <mergeCell ref="A8354:A8355"/>
    <mergeCell ref="E8354:E8355"/>
    <mergeCell ref="H8354:H8355"/>
    <mergeCell ref="I8354:I8355"/>
    <mergeCell ref="J8354:J8355"/>
    <mergeCell ref="K8354:K8355"/>
    <mergeCell ref="L8354:L8355"/>
    <mergeCell ref="M8354:M8355"/>
    <mergeCell ref="N8354:N8355"/>
    <mergeCell ref="O8354:O8355"/>
    <mergeCell ref="X8354:X8355"/>
    <mergeCell ref="Y8354:Y8355"/>
    <mergeCell ref="Z8354:Z8355"/>
    <mergeCell ref="AA8354:AA8355"/>
    <mergeCell ref="AB8354:AB8355"/>
    <mergeCell ref="A8348:A8349"/>
    <mergeCell ref="E8348:E8349"/>
    <mergeCell ref="H8348:H8349"/>
    <mergeCell ref="I8348:I8349"/>
    <mergeCell ref="J8348:J8349"/>
    <mergeCell ref="K8348:K8349"/>
    <mergeCell ref="L8348:L8349"/>
    <mergeCell ref="M8348:M8349"/>
    <mergeCell ref="N8348:N8349"/>
    <mergeCell ref="O8348:O8349"/>
    <mergeCell ref="X8348:X8349"/>
    <mergeCell ref="Y8348:Y8349"/>
    <mergeCell ref="Z8348:Z8349"/>
    <mergeCell ref="AA8348:AA8349"/>
    <mergeCell ref="AB8348:AB8349"/>
    <mergeCell ref="A8350:A8351"/>
    <mergeCell ref="E8350:E8351"/>
    <mergeCell ref="H8350:H8351"/>
    <mergeCell ref="I8350:I8351"/>
    <mergeCell ref="J8350:J8351"/>
    <mergeCell ref="K8350:K8351"/>
    <mergeCell ref="L8350:L8351"/>
    <mergeCell ref="M8350:M8351"/>
    <mergeCell ref="N8350:N8351"/>
    <mergeCell ref="O8350:O8351"/>
    <mergeCell ref="X8350:X8351"/>
    <mergeCell ref="Y8350:Y8351"/>
    <mergeCell ref="Z8350:Z8351"/>
    <mergeCell ref="AA8350:AA8351"/>
    <mergeCell ref="AB8350:AB8351"/>
    <mergeCell ref="A8344:A8345"/>
    <mergeCell ref="E8344:E8345"/>
    <mergeCell ref="H8344:H8345"/>
    <mergeCell ref="I8344:I8345"/>
    <mergeCell ref="J8344:J8345"/>
    <mergeCell ref="K8344:K8345"/>
    <mergeCell ref="L8344:L8345"/>
    <mergeCell ref="M8344:M8345"/>
    <mergeCell ref="N8344:N8345"/>
    <mergeCell ref="O8344:O8345"/>
    <mergeCell ref="X8344:X8345"/>
    <mergeCell ref="Y8344:Y8345"/>
    <mergeCell ref="Z8344:Z8345"/>
    <mergeCell ref="AA8344:AA8345"/>
    <mergeCell ref="AB8344:AB8345"/>
    <mergeCell ref="A8346:A8347"/>
    <mergeCell ref="E8346:E8347"/>
    <mergeCell ref="H8346:H8347"/>
    <mergeCell ref="I8346:I8347"/>
    <mergeCell ref="J8346:J8347"/>
    <mergeCell ref="K8346:K8347"/>
    <mergeCell ref="L8346:L8347"/>
    <mergeCell ref="M8346:M8347"/>
    <mergeCell ref="N8346:N8347"/>
    <mergeCell ref="O8346:O8347"/>
    <mergeCell ref="X8346:X8347"/>
    <mergeCell ref="Y8346:Y8347"/>
    <mergeCell ref="Z8346:Z8347"/>
    <mergeCell ref="AA8346:AA8347"/>
    <mergeCell ref="AB8346:AB8347"/>
    <mergeCell ref="A8340:A8341"/>
    <mergeCell ref="E8340:E8341"/>
    <mergeCell ref="H8340:H8341"/>
    <mergeCell ref="I8340:I8341"/>
    <mergeCell ref="J8340:J8341"/>
    <mergeCell ref="K8340:K8341"/>
    <mergeCell ref="L8340:L8341"/>
    <mergeCell ref="M8340:M8341"/>
    <mergeCell ref="N8340:N8341"/>
    <mergeCell ref="O8340:O8341"/>
    <mergeCell ref="X8340:X8341"/>
    <mergeCell ref="Y8340:Y8341"/>
    <mergeCell ref="Z8340:Z8341"/>
    <mergeCell ref="AA8340:AA8341"/>
    <mergeCell ref="AB8340:AB8341"/>
    <mergeCell ref="A8342:A8343"/>
    <mergeCell ref="E8342:E8343"/>
    <mergeCell ref="H8342:H8343"/>
    <mergeCell ref="I8342:I8343"/>
    <mergeCell ref="J8342:J8343"/>
    <mergeCell ref="K8342:K8343"/>
    <mergeCell ref="L8342:L8343"/>
    <mergeCell ref="M8342:M8343"/>
    <mergeCell ref="N8342:N8343"/>
    <mergeCell ref="O8342:O8343"/>
    <mergeCell ref="X8342:X8343"/>
    <mergeCell ref="Y8342:Y8343"/>
    <mergeCell ref="Z8342:Z8343"/>
    <mergeCell ref="AA8342:AA8343"/>
    <mergeCell ref="AB8342:AB8343"/>
    <mergeCell ref="A8336:A8337"/>
    <mergeCell ref="E8336:E8337"/>
    <mergeCell ref="H8336:H8337"/>
    <mergeCell ref="I8336:I8337"/>
    <mergeCell ref="J8336:J8337"/>
    <mergeCell ref="K8336:K8337"/>
    <mergeCell ref="L8336:L8337"/>
    <mergeCell ref="M8336:M8337"/>
    <mergeCell ref="N8336:N8337"/>
    <mergeCell ref="O8336:O8337"/>
    <mergeCell ref="X8336:X8337"/>
    <mergeCell ref="Y8336:Y8337"/>
    <mergeCell ref="Z8336:Z8337"/>
    <mergeCell ref="AA8336:AA8337"/>
    <mergeCell ref="AB8336:AB8337"/>
    <mergeCell ref="A8338:A8339"/>
    <mergeCell ref="E8338:E8339"/>
    <mergeCell ref="H8338:H8339"/>
    <mergeCell ref="I8338:I8339"/>
    <mergeCell ref="J8338:J8339"/>
    <mergeCell ref="K8338:K8339"/>
    <mergeCell ref="L8338:L8339"/>
    <mergeCell ref="M8338:M8339"/>
    <mergeCell ref="N8338:N8339"/>
    <mergeCell ref="O8338:O8339"/>
    <mergeCell ref="X8338:X8339"/>
    <mergeCell ref="Y8338:Y8339"/>
    <mergeCell ref="Z8338:Z8339"/>
    <mergeCell ref="AA8338:AA8339"/>
    <mergeCell ref="AB8338:AB8339"/>
    <mergeCell ref="A8332:A8333"/>
    <mergeCell ref="E8332:E8333"/>
    <mergeCell ref="H8332:H8333"/>
    <mergeCell ref="I8332:I8333"/>
    <mergeCell ref="J8332:J8333"/>
    <mergeCell ref="K8332:K8333"/>
    <mergeCell ref="L8332:L8333"/>
    <mergeCell ref="M8332:M8333"/>
    <mergeCell ref="N8332:N8333"/>
    <mergeCell ref="O8332:O8333"/>
    <mergeCell ref="X8332:X8333"/>
    <mergeCell ref="Y8332:Y8333"/>
    <mergeCell ref="Z8332:Z8333"/>
    <mergeCell ref="AA8332:AA8333"/>
    <mergeCell ref="AB8332:AB8333"/>
    <mergeCell ref="A8334:A8335"/>
    <mergeCell ref="E8334:E8335"/>
    <mergeCell ref="H8334:H8335"/>
    <mergeCell ref="I8334:I8335"/>
    <mergeCell ref="J8334:J8335"/>
    <mergeCell ref="K8334:K8335"/>
    <mergeCell ref="L8334:L8335"/>
    <mergeCell ref="M8334:M8335"/>
    <mergeCell ref="N8334:N8335"/>
    <mergeCell ref="O8334:O8335"/>
    <mergeCell ref="X8334:X8335"/>
    <mergeCell ref="Y8334:Y8335"/>
    <mergeCell ref="Z8334:Z8335"/>
    <mergeCell ref="AA8334:AA8335"/>
    <mergeCell ref="AB8334:AB8335"/>
    <mergeCell ref="A8328:A8329"/>
    <mergeCell ref="E8328:E8329"/>
    <mergeCell ref="H8328:H8329"/>
    <mergeCell ref="I8328:I8329"/>
    <mergeCell ref="J8328:J8329"/>
    <mergeCell ref="K8328:K8329"/>
    <mergeCell ref="L8328:L8329"/>
    <mergeCell ref="M8328:M8329"/>
    <mergeCell ref="N8328:N8329"/>
    <mergeCell ref="O8328:O8329"/>
    <mergeCell ref="X8328:X8329"/>
    <mergeCell ref="Y8328:Y8329"/>
    <mergeCell ref="Z8328:Z8329"/>
    <mergeCell ref="AA8328:AA8329"/>
    <mergeCell ref="AB8328:AB8329"/>
    <mergeCell ref="A8330:A8331"/>
    <mergeCell ref="E8330:E8331"/>
    <mergeCell ref="H8330:H8331"/>
    <mergeCell ref="I8330:I8331"/>
    <mergeCell ref="J8330:J8331"/>
    <mergeCell ref="K8330:K8331"/>
    <mergeCell ref="L8330:L8331"/>
    <mergeCell ref="M8330:M8331"/>
    <mergeCell ref="N8330:N8331"/>
    <mergeCell ref="O8330:O8331"/>
    <mergeCell ref="X8330:X8331"/>
    <mergeCell ref="Y8330:Y8331"/>
    <mergeCell ref="Z8330:Z8331"/>
    <mergeCell ref="AA8330:AA8331"/>
    <mergeCell ref="AB8330:AB8331"/>
    <mergeCell ref="A8324:A8325"/>
    <mergeCell ref="E8324:E8325"/>
    <mergeCell ref="H8324:H8325"/>
    <mergeCell ref="I8324:I8325"/>
    <mergeCell ref="J8324:J8325"/>
    <mergeCell ref="K8324:K8325"/>
    <mergeCell ref="L8324:L8325"/>
    <mergeCell ref="M8324:M8325"/>
    <mergeCell ref="N8324:N8325"/>
    <mergeCell ref="O8324:O8325"/>
    <mergeCell ref="X8324:X8325"/>
    <mergeCell ref="Y8324:Y8325"/>
    <mergeCell ref="Z8324:Z8325"/>
    <mergeCell ref="AA8324:AA8325"/>
    <mergeCell ref="AB8324:AB8325"/>
    <mergeCell ref="A8326:A8327"/>
    <mergeCell ref="E8326:E8327"/>
    <mergeCell ref="H8326:H8327"/>
    <mergeCell ref="I8326:I8327"/>
    <mergeCell ref="J8326:J8327"/>
    <mergeCell ref="K8326:K8327"/>
    <mergeCell ref="L8326:L8327"/>
    <mergeCell ref="M8326:M8327"/>
    <mergeCell ref="N8326:N8327"/>
    <mergeCell ref="O8326:O8327"/>
    <mergeCell ref="X8326:X8327"/>
    <mergeCell ref="Y8326:Y8327"/>
    <mergeCell ref="Z8326:Z8327"/>
    <mergeCell ref="AA8326:AA8327"/>
    <mergeCell ref="AB8326:AB8327"/>
    <mergeCell ref="A8320:A8321"/>
    <mergeCell ref="E8320:E8321"/>
    <mergeCell ref="H8320:H8321"/>
    <mergeCell ref="I8320:I8321"/>
    <mergeCell ref="J8320:J8321"/>
    <mergeCell ref="K8320:K8321"/>
    <mergeCell ref="L8320:L8321"/>
    <mergeCell ref="M8320:M8321"/>
    <mergeCell ref="N8320:N8321"/>
    <mergeCell ref="O8320:O8321"/>
    <mergeCell ref="X8320:X8321"/>
    <mergeCell ref="Y8320:Y8321"/>
    <mergeCell ref="Z8320:Z8321"/>
    <mergeCell ref="AA8320:AA8321"/>
    <mergeCell ref="AB8320:AB8321"/>
    <mergeCell ref="A8322:A8323"/>
    <mergeCell ref="E8322:E8323"/>
    <mergeCell ref="H8322:H8323"/>
    <mergeCell ref="I8322:I8323"/>
    <mergeCell ref="J8322:J8323"/>
    <mergeCell ref="K8322:K8323"/>
    <mergeCell ref="L8322:L8323"/>
    <mergeCell ref="M8322:M8323"/>
    <mergeCell ref="N8322:N8323"/>
    <mergeCell ref="O8322:O8323"/>
    <mergeCell ref="X8322:X8323"/>
    <mergeCell ref="Y8322:Y8323"/>
    <mergeCell ref="Z8322:Z8323"/>
    <mergeCell ref="AA8322:AA8323"/>
    <mergeCell ref="AB8322:AB8323"/>
    <mergeCell ref="A8316:A8317"/>
    <mergeCell ref="E8316:E8317"/>
    <mergeCell ref="H8316:H8317"/>
    <mergeCell ref="I8316:I8317"/>
    <mergeCell ref="J8316:J8317"/>
    <mergeCell ref="K8316:K8317"/>
    <mergeCell ref="L8316:L8317"/>
    <mergeCell ref="M8316:M8317"/>
    <mergeCell ref="N8316:N8317"/>
    <mergeCell ref="O8316:O8317"/>
    <mergeCell ref="X8316:X8317"/>
    <mergeCell ref="Y8316:Y8317"/>
    <mergeCell ref="Z8316:Z8317"/>
    <mergeCell ref="AA8316:AA8317"/>
    <mergeCell ref="AB8316:AB8317"/>
    <mergeCell ref="A8318:A8319"/>
    <mergeCell ref="E8318:E8319"/>
    <mergeCell ref="H8318:H8319"/>
    <mergeCell ref="I8318:I8319"/>
    <mergeCell ref="J8318:J8319"/>
    <mergeCell ref="K8318:K8319"/>
    <mergeCell ref="L8318:L8319"/>
    <mergeCell ref="M8318:M8319"/>
    <mergeCell ref="N8318:N8319"/>
    <mergeCell ref="O8318:O8319"/>
    <mergeCell ref="X8318:X8319"/>
    <mergeCell ref="Y8318:Y8319"/>
    <mergeCell ref="Z8318:Z8319"/>
    <mergeCell ref="AA8318:AA8319"/>
    <mergeCell ref="AB8318:AB8319"/>
    <mergeCell ref="A8312:A8313"/>
    <mergeCell ref="E8312:E8313"/>
    <mergeCell ref="H8312:H8313"/>
    <mergeCell ref="I8312:I8313"/>
    <mergeCell ref="J8312:J8313"/>
    <mergeCell ref="K8312:K8313"/>
    <mergeCell ref="L8312:L8313"/>
    <mergeCell ref="M8312:M8313"/>
    <mergeCell ref="N8312:N8313"/>
    <mergeCell ref="O8312:O8313"/>
    <mergeCell ref="X8312:X8313"/>
    <mergeCell ref="Y8312:Y8313"/>
    <mergeCell ref="Z8312:Z8313"/>
    <mergeCell ref="AA8312:AA8313"/>
    <mergeCell ref="AB8312:AB8313"/>
    <mergeCell ref="A8314:A8315"/>
    <mergeCell ref="E8314:E8315"/>
    <mergeCell ref="H8314:H8315"/>
    <mergeCell ref="I8314:I8315"/>
    <mergeCell ref="J8314:J8315"/>
    <mergeCell ref="K8314:K8315"/>
    <mergeCell ref="L8314:L8315"/>
    <mergeCell ref="M8314:M8315"/>
    <mergeCell ref="N8314:N8315"/>
    <mergeCell ref="O8314:O8315"/>
    <mergeCell ref="X8314:X8315"/>
    <mergeCell ref="Y8314:Y8315"/>
    <mergeCell ref="Z8314:Z8315"/>
    <mergeCell ref="AA8314:AA8315"/>
    <mergeCell ref="AB8314:AB8315"/>
    <mergeCell ref="A8308:A8309"/>
    <mergeCell ref="E8308:E8309"/>
    <mergeCell ref="H8308:H8309"/>
    <mergeCell ref="I8308:I8309"/>
    <mergeCell ref="J8308:J8309"/>
    <mergeCell ref="K8308:K8309"/>
    <mergeCell ref="L8308:L8309"/>
    <mergeCell ref="M8308:M8309"/>
    <mergeCell ref="N8308:N8309"/>
    <mergeCell ref="O8308:O8309"/>
    <mergeCell ref="X8308:X8309"/>
    <mergeCell ref="Y8308:Y8309"/>
    <mergeCell ref="Z8308:Z8309"/>
    <mergeCell ref="AA8308:AA8309"/>
    <mergeCell ref="AB8308:AB8309"/>
    <mergeCell ref="A8310:A8311"/>
    <mergeCell ref="E8310:E8311"/>
    <mergeCell ref="H8310:H8311"/>
    <mergeCell ref="I8310:I8311"/>
    <mergeCell ref="J8310:J8311"/>
    <mergeCell ref="K8310:K8311"/>
    <mergeCell ref="L8310:L8311"/>
    <mergeCell ref="M8310:M8311"/>
    <mergeCell ref="N8310:N8311"/>
    <mergeCell ref="O8310:O8311"/>
    <mergeCell ref="X8310:X8311"/>
    <mergeCell ref="Y8310:Y8311"/>
    <mergeCell ref="Z8310:Z8311"/>
    <mergeCell ref="AA8310:AA8311"/>
    <mergeCell ref="AB8310:AB8311"/>
    <mergeCell ref="A8304:A8305"/>
    <mergeCell ref="E8304:E8305"/>
    <mergeCell ref="H8304:H8305"/>
    <mergeCell ref="I8304:I8305"/>
    <mergeCell ref="J8304:J8305"/>
    <mergeCell ref="K8304:K8305"/>
    <mergeCell ref="L8304:L8305"/>
    <mergeCell ref="M8304:M8305"/>
    <mergeCell ref="N8304:N8305"/>
    <mergeCell ref="O8304:O8305"/>
    <mergeCell ref="X8304:X8305"/>
    <mergeCell ref="Y8304:Y8305"/>
    <mergeCell ref="Z8304:Z8305"/>
    <mergeCell ref="AA8304:AA8305"/>
    <mergeCell ref="AB8304:AB8305"/>
    <mergeCell ref="A8306:A8307"/>
    <mergeCell ref="E8306:E8307"/>
    <mergeCell ref="H8306:H8307"/>
    <mergeCell ref="I8306:I8307"/>
    <mergeCell ref="J8306:J8307"/>
    <mergeCell ref="K8306:K8307"/>
    <mergeCell ref="L8306:L8307"/>
    <mergeCell ref="M8306:M8307"/>
    <mergeCell ref="N8306:N8307"/>
    <mergeCell ref="O8306:O8307"/>
    <mergeCell ref="X8306:X8307"/>
    <mergeCell ref="Y8306:Y8307"/>
    <mergeCell ref="Z8306:Z8307"/>
    <mergeCell ref="AA8306:AA8307"/>
    <mergeCell ref="AB8306:AB8307"/>
    <mergeCell ref="A8300:A8301"/>
    <mergeCell ref="E8300:E8301"/>
    <mergeCell ref="H8300:H8301"/>
    <mergeCell ref="I8300:I8301"/>
    <mergeCell ref="J8300:J8301"/>
    <mergeCell ref="K8300:K8301"/>
    <mergeCell ref="L8300:L8301"/>
    <mergeCell ref="M8300:M8301"/>
    <mergeCell ref="N8300:N8301"/>
    <mergeCell ref="O8300:O8301"/>
    <mergeCell ref="X8300:X8301"/>
    <mergeCell ref="Y8300:Y8301"/>
    <mergeCell ref="Z8300:Z8301"/>
    <mergeCell ref="AA8300:AA8301"/>
    <mergeCell ref="AB8300:AB8301"/>
    <mergeCell ref="A8302:A8303"/>
    <mergeCell ref="E8302:E8303"/>
    <mergeCell ref="H8302:H8303"/>
    <mergeCell ref="I8302:I8303"/>
    <mergeCell ref="J8302:J8303"/>
    <mergeCell ref="K8302:K8303"/>
    <mergeCell ref="L8302:L8303"/>
    <mergeCell ref="M8302:M8303"/>
    <mergeCell ref="N8302:N8303"/>
    <mergeCell ref="O8302:O8303"/>
    <mergeCell ref="X8302:X8303"/>
    <mergeCell ref="Y8302:Y8303"/>
    <mergeCell ref="Z8302:Z8303"/>
    <mergeCell ref="AA8302:AA8303"/>
    <mergeCell ref="AB8302:AB8303"/>
    <mergeCell ref="A8296:A8297"/>
    <mergeCell ref="E8296:E8297"/>
    <mergeCell ref="H8296:H8297"/>
    <mergeCell ref="I8296:I8297"/>
    <mergeCell ref="J8296:J8297"/>
    <mergeCell ref="K8296:K8297"/>
    <mergeCell ref="L8296:L8297"/>
    <mergeCell ref="M8296:M8297"/>
    <mergeCell ref="N8296:N8297"/>
    <mergeCell ref="O8296:O8297"/>
    <mergeCell ref="X8296:X8297"/>
    <mergeCell ref="Y8296:Y8297"/>
    <mergeCell ref="Z8296:Z8297"/>
    <mergeCell ref="AA8296:AA8297"/>
    <mergeCell ref="AB8296:AB8297"/>
    <mergeCell ref="A8298:A8299"/>
    <mergeCell ref="E8298:E8299"/>
    <mergeCell ref="H8298:H8299"/>
    <mergeCell ref="I8298:I8299"/>
    <mergeCell ref="J8298:J8299"/>
    <mergeCell ref="K8298:K8299"/>
    <mergeCell ref="L8298:L8299"/>
    <mergeCell ref="M8298:M8299"/>
    <mergeCell ref="N8298:N8299"/>
    <mergeCell ref="O8298:O8299"/>
    <mergeCell ref="X8298:X8299"/>
    <mergeCell ref="Y8298:Y8299"/>
    <mergeCell ref="Z8298:Z8299"/>
    <mergeCell ref="AA8298:AA8299"/>
    <mergeCell ref="AB8298:AB8299"/>
    <mergeCell ref="A8292:A8293"/>
    <mergeCell ref="E8292:E8293"/>
    <mergeCell ref="H8292:H8293"/>
    <mergeCell ref="I8292:I8293"/>
    <mergeCell ref="J8292:J8293"/>
    <mergeCell ref="K8292:K8293"/>
    <mergeCell ref="L8292:L8293"/>
    <mergeCell ref="M8292:M8293"/>
    <mergeCell ref="N8292:N8293"/>
    <mergeCell ref="O8292:O8293"/>
    <mergeCell ref="X8292:X8293"/>
    <mergeCell ref="Y8292:Y8293"/>
    <mergeCell ref="Z8292:Z8293"/>
    <mergeCell ref="AA8292:AA8293"/>
    <mergeCell ref="AB8292:AB8293"/>
    <mergeCell ref="A8294:A8295"/>
    <mergeCell ref="E8294:E8295"/>
    <mergeCell ref="H8294:H8295"/>
    <mergeCell ref="I8294:I8295"/>
    <mergeCell ref="J8294:J8295"/>
    <mergeCell ref="K8294:K8295"/>
    <mergeCell ref="L8294:L8295"/>
    <mergeCell ref="M8294:M8295"/>
    <mergeCell ref="N8294:N8295"/>
    <mergeCell ref="O8294:O8295"/>
    <mergeCell ref="X8294:X8295"/>
    <mergeCell ref="Y8294:Y8295"/>
    <mergeCell ref="Z8294:Z8295"/>
    <mergeCell ref="AA8294:AA8295"/>
    <mergeCell ref="AB8294:AB8295"/>
    <mergeCell ref="A8288:A8289"/>
    <mergeCell ref="E8288:E8289"/>
    <mergeCell ref="H8288:H8289"/>
    <mergeCell ref="I8288:I8289"/>
    <mergeCell ref="J8288:J8289"/>
    <mergeCell ref="K8288:K8289"/>
    <mergeCell ref="L8288:L8289"/>
    <mergeCell ref="M8288:M8289"/>
    <mergeCell ref="N8288:N8289"/>
    <mergeCell ref="O8288:O8289"/>
    <mergeCell ref="X8288:X8289"/>
    <mergeCell ref="Y8288:Y8289"/>
    <mergeCell ref="Z8288:Z8289"/>
    <mergeCell ref="AA8288:AA8289"/>
    <mergeCell ref="AB8288:AB8289"/>
    <mergeCell ref="A8290:A8291"/>
    <mergeCell ref="E8290:E8291"/>
    <mergeCell ref="H8290:H8291"/>
    <mergeCell ref="I8290:I8291"/>
    <mergeCell ref="J8290:J8291"/>
    <mergeCell ref="K8290:K8291"/>
    <mergeCell ref="L8290:L8291"/>
    <mergeCell ref="M8290:M8291"/>
    <mergeCell ref="N8290:N8291"/>
    <mergeCell ref="O8290:O8291"/>
    <mergeCell ref="X8290:X8291"/>
    <mergeCell ref="Y8290:Y8291"/>
    <mergeCell ref="Z8290:Z8291"/>
    <mergeCell ref="AA8290:AA8291"/>
    <mergeCell ref="AB8290:AB8291"/>
    <mergeCell ref="A8284:A8285"/>
    <mergeCell ref="E8284:E8285"/>
    <mergeCell ref="H8284:H8285"/>
    <mergeCell ref="I8284:I8285"/>
    <mergeCell ref="J8284:J8285"/>
    <mergeCell ref="K8284:K8285"/>
    <mergeCell ref="L8284:L8285"/>
    <mergeCell ref="M8284:M8285"/>
    <mergeCell ref="N8284:N8285"/>
    <mergeCell ref="O8284:O8285"/>
    <mergeCell ref="X8284:X8285"/>
    <mergeCell ref="Y8284:Y8285"/>
    <mergeCell ref="Z8284:Z8285"/>
    <mergeCell ref="AA8284:AA8285"/>
    <mergeCell ref="AB8284:AB8285"/>
    <mergeCell ref="A8286:A8287"/>
    <mergeCell ref="E8286:E8287"/>
    <mergeCell ref="H8286:H8287"/>
    <mergeCell ref="I8286:I8287"/>
    <mergeCell ref="J8286:J8287"/>
    <mergeCell ref="K8286:K8287"/>
    <mergeCell ref="L8286:L8287"/>
    <mergeCell ref="M8286:M8287"/>
    <mergeCell ref="N8286:N8287"/>
    <mergeCell ref="O8286:O8287"/>
    <mergeCell ref="X8286:X8287"/>
    <mergeCell ref="Y8286:Y8287"/>
    <mergeCell ref="Z8286:Z8287"/>
    <mergeCell ref="AA8286:AA8287"/>
    <mergeCell ref="AB8286:AB8287"/>
    <mergeCell ref="A8280:A8281"/>
    <mergeCell ref="E8280:E8281"/>
    <mergeCell ref="H8280:H8281"/>
    <mergeCell ref="I8280:I8281"/>
    <mergeCell ref="J8280:J8281"/>
    <mergeCell ref="K8280:K8281"/>
    <mergeCell ref="L8280:L8281"/>
    <mergeCell ref="M8280:M8281"/>
    <mergeCell ref="N8280:N8281"/>
    <mergeCell ref="O8280:O8281"/>
    <mergeCell ref="X8280:X8281"/>
    <mergeCell ref="Y8280:Y8281"/>
    <mergeCell ref="Z8280:Z8281"/>
    <mergeCell ref="AA8280:AA8281"/>
    <mergeCell ref="AB8280:AB8281"/>
    <mergeCell ref="A8282:A8283"/>
    <mergeCell ref="E8282:E8283"/>
    <mergeCell ref="H8282:H8283"/>
    <mergeCell ref="I8282:I8283"/>
    <mergeCell ref="J8282:J8283"/>
    <mergeCell ref="K8282:K8283"/>
    <mergeCell ref="L8282:L8283"/>
    <mergeCell ref="M8282:M8283"/>
    <mergeCell ref="N8282:N8283"/>
    <mergeCell ref="O8282:O8283"/>
    <mergeCell ref="X8282:X8283"/>
    <mergeCell ref="Y8282:Y8283"/>
    <mergeCell ref="Z8282:Z8283"/>
    <mergeCell ref="AA8282:AA8283"/>
    <mergeCell ref="AB8282:AB8283"/>
    <mergeCell ref="A8276:A8277"/>
    <mergeCell ref="E8276:E8277"/>
    <mergeCell ref="H8276:H8277"/>
    <mergeCell ref="I8276:I8277"/>
    <mergeCell ref="J8276:J8277"/>
    <mergeCell ref="K8276:K8277"/>
    <mergeCell ref="L8276:L8277"/>
    <mergeCell ref="M8276:M8277"/>
    <mergeCell ref="N8276:N8277"/>
    <mergeCell ref="O8276:O8277"/>
    <mergeCell ref="X8276:X8277"/>
    <mergeCell ref="Y8276:Y8277"/>
    <mergeCell ref="Z8276:Z8277"/>
    <mergeCell ref="AA8276:AA8277"/>
    <mergeCell ref="AB8276:AB8277"/>
    <mergeCell ref="A8278:A8279"/>
    <mergeCell ref="E8278:E8279"/>
    <mergeCell ref="H8278:H8279"/>
    <mergeCell ref="I8278:I8279"/>
    <mergeCell ref="J8278:J8279"/>
    <mergeCell ref="K8278:K8279"/>
    <mergeCell ref="L8278:L8279"/>
    <mergeCell ref="M8278:M8279"/>
    <mergeCell ref="N8278:N8279"/>
    <mergeCell ref="O8278:O8279"/>
    <mergeCell ref="X8278:X8279"/>
    <mergeCell ref="Y8278:Y8279"/>
    <mergeCell ref="Z8278:Z8279"/>
    <mergeCell ref="AA8278:AA8279"/>
    <mergeCell ref="AB8278:AB8279"/>
    <mergeCell ref="A8272:A8273"/>
    <mergeCell ref="E8272:E8273"/>
    <mergeCell ref="H8272:H8273"/>
    <mergeCell ref="I8272:I8273"/>
    <mergeCell ref="J8272:J8273"/>
    <mergeCell ref="K8272:K8273"/>
    <mergeCell ref="L8272:L8273"/>
    <mergeCell ref="M8272:M8273"/>
    <mergeCell ref="N8272:N8273"/>
    <mergeCell ref="O8272:O8273"/>
    <mergeCell ref="X8272:X8273"/>
    <mergeCell ref="Y8272:Y8273"/>
    <mergeCell ref="Z8272:Z8273"/>
    <mergeCell ref="AA8272:AA8273"/>
    <mergeCell ref="AB8272:AB8273"/>
    <mergeCell ref="A8274:A8275"/>
    <mergeCell ref="E8274:E8275"/>
    <mergeCell ref="H8274:H8275"/>
    <mergeCell ref="I8274:I8275"/>
    <mergeCell ref="J8274:J8275"/>
    <mergeCell ref="K8274:K8275"/>
    <mergeCell ref="L8274:L8275"/>
    <mergeCell ref="M8274:M8275"/>
    <mergeCell ref="N8274:N8275"/>
    <mergeCell ref="O8274:O8275"/>
    <mergeCell ref="X8274:X8275"/>
    <mergeCell ref="Y8274:Y8275"/>
    <mergeCell ref="Z8274:Z8275"/>
    <mergeCell ref="AA8274:AA8275"/>
    <mergeCell ref="AB8274:AB8275"/>
    <mergeCell ref="A8268:A8269"/>
    <mergeCell ref="E8268:E8269"/>
    <mergeCell ref="H8268:H8269"/>
    <mergeCell ref="I8268:I8269"/>
    <mergeCell ref="J8268:J8269"/>
    <mergeCell ref="K8268:K8269"/>
    <mergeCell ref="L8268:L8269"/>
    <mergeCell ref="M8268:M8269"/>
    <mergeCell ref="N8268:N8269"/>
    <mergeCell ref="O8268:O8269"/>
    <mergeCell ref="X8268:X8269"/>
    <mergeCell ref="Y8268:Y8269"/>
    <mergeCell ref="Z8268:Z8269"/>
    <mergeCell ref="AA8268:AA8269"/>
    <mergeCell ref="AB8268:AB8269"/>
    <mergeCell ref="A8270:A8271"/>
    <mergeCell ref="E8270:E8271"/>
    <mergeCell ref="H8270:H8271"/>
    <mergeCell ref="I8270:I8271"/>
    <mergeCell ref="J8270:J8271"/>
    <mergeCell ref="K8270:K8271"/>
    <mergeCell ref="L8270:L8271"/>
    <mergeCell ref="M8270:M8271"/>
    <mergeCell ref="N8270:N8271"/>
    <mergeCell ref="O8270:O8271"/>
    <mergeCell ref="X8270:X8271"/>
    <mergeCell ref="Y8270:Y8271"/>
    <mergeCell ref="Z8270:Z8271"/>
    <mergeCell ref="AA8270:AA8271"/>
    <mergeCell ref="AB8270:AB8271"/>
    <mergeCell ref="A8264:A8265"/>
    <mergeCell ref="E8264:E8265"/>
    <mergeCell ref="H8264:H8265"/>
    <mergeCell ref="I8264:I8265"/>
    <mergeCell ref="J8264:J8265"/>
    <mergeCell ref="K8264:K8265"/>
    <mergeCell ref="L8264:L8265"/>
    <mergeCell ref="M8264:M8265"/>
    <mergeCell ref="N8264:N8265"/>
    <mergeCell ref="O8264:O8265"/>
    <mergeCell ref="X8264:X8265"/>
    <mergeCell ref="Y8264:Y8265"/>
    <mergeCell ref="Z8264:Z8265"/>
    <mergeCell ref="AA8264:AA8265"/>
    <mergeCell ref="AB8264:AB8265"/>
    <mergeCell ref="A8266:A8267"/>
    <mergeCell ref="E8266:E8267"/>
    <mergeCell ref="H8266:H8267"/>
    <mergeCell ref="I8266:I8267"/>
    <mergeCell ref="J8266:J8267"/>
    <mergeCell ref="K8266:K8267"/>
    <mergeCell ref="L8266:L8267"/>
    <mergeCell ref="M8266:M8267"/>
    <mergeCell ref="N8266:N8267"/>
    <mergeCell ref="O8266:O8267"/>
    <mergeCell ref="X8266:X8267"/>
    <mergeCell ref="Y8266:Y8267"/>
    <mergeCell ref="Z8266:Z8267"/>
    <mergeCell ref="AA8266:AA8267"/>
    <mergeCell ref="AB8266:AB8267"/>
    <mergeCell ref="A8260:A8261"/>
    <mergeCell ref="E8260:E8261"/>
    <mergeCell ref="H8260:H8261"/>
    <mergeCell ref="I8260:I8261"/>
    <mergeCell ref="J8260:J8261"/>
    <mergeCell ref="K8260:K8261"/>
    <mergeCell ref="L8260:L8261"/>
    <mergeCell ref="M8260:M8261"/>
    <mergeCell ref="N8260:N8261"/>
    <mergeCell ref="O8260:O8261"/>
    <mergeCell ref="X8260:X8261"/>
    <mergeCell ref="Y8260:Y8261"/>
    <mergeCell ref="Z8260:Z8261"/>
    <mergeCell ref="AA8260:AA8261"/>
    <mergeCell ref="AB8260:AB8261"/>
    <mergeCell ref="A8262:A8263"/>
    <mergeCell ref="E8262:E8263"/>
    <mergeCell ref="H8262:H8263"/>
    <mergeCell ref="I8262:I8263"/>
    <mergeCell ref="J8262:J8263"/>
    <mergeCell ref="K8262:K8263"/>
    <mergeCell ref="L8262:L8263"/>
    <mergeCell ref="M8262:M8263"/>
    <mergeCell ref="N8262:N8263"/>
    <mergeCell ref="O8262:O8263"/>
    <mergeCell ref="X8262:X8263"/>
    <mergeCell ref="Y8262:Y8263"/>
    <mergeCell ref="Z8262:Z8263"/>
    <mergeCell ref="AA8262:AA8263"/>
    <mergeCell ref="AB8262:AB8263"/>
    <mergeCell ref="A8256:A8257"/>
    <mergeCell ref="E8256:E8257"/>
    <mergeCell ref="H8256:H8257"/>
    <mergeCell ref="I8256:I8257"/>
    <mergeCell ref="J8256:J8257"/>
    <mergeCell ref="K8256:K8257"/>
    <mergeCell ref="L8256:L8257"/>
    <mergeCell ref="M8256:M8257"/>
    <mergeCell ref="N8256:N8257"/>
    <mergeCell ref="O8256:O8257"/>
    <mergeCell ref="X8256:X8257"/>
    <mergeCell ref="Y8256:Y8257"/>
    <mergeCell ref="Z8256:Z8257"/>
    <mergeCell ref="AA8256:AA8257"/>
    <mergeCell ref="AB8256:AB8257"/>
    <mergeCell ref="A8258:A8259"/>
    <mergeCell ref="E8258:E8259"/>
    <mergeCell ref="H8258:H8259"/>
    <mergeCell ref="I8258:I8259"/>
    <mergeCell ref="J8258:J8259"/>
    <mergeCell ref="K8258:K8259"/>
    <mergeCell ref="L8258:L8259"/>
    <mergeCell ref="M8258:M8259"/>
    <mergeCell ref="N8258:N8259"/>
    <mergeCell ref="O8258:O8259"/>
    <mergeCell ref="X8258:X8259"/>
    <mergeCell ref="Y8258:Y8259"/>
    <mergeCell ref="Z8258:Z8259"/>
    <mergeCell ref="AA8258:AA8259"/>
    <mergeCell ref="AB8258:AB8259"/>
    <mergeCell ref="A8252:A8253"/>
    <mergeCell ref="E8252:E8253"/>
    <mergeCell ref="H8252:H8253"/>
    <mergeCell ref="I8252:I8253"/>
    <mergeCell ref="J8252:J8253"/>
    <mergeCell ref="K8252:K8253"/>
    <mergeCell ref="L8252:L8253"/>
    <mergeCell ref="M8252:M8253"/>
    <mergeCell ref="N8252:N8253"/>
    <mergeCell ref="O8252:O8253"/>
    <mergeCell ref="X8252:X8253"/>
    <mergeCell ref="Y8252:Y8253"/>
    <mergeCell ref="Z8252:Z8253"/>
    <mergeCell ref="AA8252:AA8253"/>
    <mergeCell ref="AB8252:AB8253"/>
    <mergeCell ref="A8254:A8255"/>
    <mergeCell ref="E8254:E8255"/>
    <mergeCell ref="H8254:H8255"/>
    <mergeCell ref="I8254:I8255"/>
    <mergeCell ref="J8254:J8255"/>
    <mergeCell ref="K8254:K8255"/>
    <mergeCell ref="L8254:L8255"/>
    <mergeCell ref="M8254:M8255"/>
    <mergeCell ref="N8254:N8255"/>
    <mergeCell ref="O8254:O8255"/>
    <mergeCell ref="X8254:X8255"/>
    <mergeCell ref="Y8254:Y8255"/>
    <mergeCell ref="Z8254:Z8255"/>
    <mergeCell ref="AA8254:AA8255"/>
    <mergeCell ref="AB8254:AB8255"/>
    <mergeCell ref="A8248:A8249"/>
    <mergeCell ref="E8248:E8249"/>
    <mergeCell ref="H8248:H8249"/>
    <mergeCell ref="I8248:I8249"/>
    <mergeCell ref="J8248:J8249"/>
    <mergeCell ref="K8248:K8249"/>
    <mergeCell ref="L8248:L8249"/>
    <mergeCell ref="M8248:M8249"/>
    <mergeCell ref="N8248:N8249"/>
    <mergeCell ref="O8248:O8249"/>
    <mergeCell ref="X8248:X8249"/>
    <mergeCell ref="Y8248:Y8249"/>
    <mergeCell ref="Z8248:Z8249"/>
    <mergeCell ref="AA8248:AA8249"/>
    <mergeCell ref="AB8248:AB8249"/>
    <mergeCell ref="A8250:A8251"/>
    <mergeCell ref="E8250:E8251"/>
    <mergeCell ref="H8250:H8251"/>
    <mergeCell ref="I8250:I8251"/>
    <mergeCell ref="J8250:J8251"/>
    <mergeCell ref="K8250:K8251"/>
    <mergeCell ref="L8250:L8251"/>
    <mergeCell ref="M8250:M8251"/>
    <mergeCell ref="N8250:N8251"/>
    <mergeCell ref="O8250:O8251"/>
    <mergeCell ref="X8250:X8251"/>
    <mergeCell ref="Y8250:Y8251"/>
    <mergeCell ref="Z8250:Z8251"/>
    <mergeCell ref="AA8250:AA8251"/>
    <mergeCell ref="AB8250:AB8251"/>
    <mergeCell ref="A8244:A8245"/>
    <mergeCell ref="E8244:E8245"/>
    <mergeCell ref="H8244:H8245"/>
    <mergeCell ref="I8244:I8245"/>
    <mergeCell ref="J8244:J8245"/>
    <mergeCell ref="K8244:K8245"/>
    <mergeCell ref="L8244:L8245"/>
    <mergeCell ref="M8244:M8245"/>
    <mergeCell ref="N8244:N8245"/>
    <mergeCell ref="O8244:O8245"/>
    <mergeCell ref="X8244:X8245"/>
    <mergeCell ref="Y8244:Y8245"/>
    <mergeCell ref="Z8244:Z8245"/>
    <mergeCell ref="AA8244:AA8245"/>
    <mergeCell ref="AB8244:AB8245"/>
    <mergeCell ref="A8246:A8247"/>
    <mergeCell ref="E8246:E8247"/>
    <mergeCell ref="H8246:H8247"/>
    <mergeCell ref="I8246:I8247"/>
    <mergeCell ref="J8246:J8247"/>
    <mergeCell ref="K8246:K8247"/>
    <mergeCell ref="L8246:L8247"/>
    <mergeCell ref="M8246:M8247"/>
    <mergeCell ref="N8246:N8247"/>
    <mergeCell ref="O8246:O8247"/>
    <mergeCell ref="X8246:X8247"/>
    <mergeCell ref="Y8246:Y8247"/>
    <mergeCell ref="Z8246:Z8247"/>
    <mergeCell ref="AA8246:AA8247"/>
    <mergeCell ref="AB8246:AB8247"/>
    <mergeCell ref="A8240:A8241"/>
    <mergeCell ref="E8240:E8241"/>
    <mergeCell ref="H8240:H8241"/>
    <mergeCell ref="I8240:I8241"/>
    <mergeCell ref="J8240:J8241"/>
    <mergeCell ref="K8240:K8241"/>
    <mergeCell ref="L8240:L8241"/>
    <mergeCell ref="M8240:M8241"/>
    <mergeCell ref="N8240:N8241"/>
    <mergeCell ref="O8240:O8241"/>
    <mergeCell ref="X8240:X8241"/>
    <mergeCell ref="Y8240:Y8241"/>
    <mergeCell ref="Z8240:Z8241"/>
    <mergeCell ref="AA8240:AA8241"/>
    <mergeCell ref="AB8240:AB8241"/>
    <mergeCell ref="A8242:A8243"/>
    <mergeCell ref="E8242:E8243"/>
    <mergeCell ref="H8242:H8243"/>
    <mergeCell ref="I8242:I8243"/>
    <mergeCell ref="J8242:J8243"/>
    <mergeCell ref="K8242:K8243"/>
    <mergeCell ref="L8242:L8243"/>
    <mergeCell ref="M8242:M8243"/>
    <mergeCell ref="N8242:N8243"/>
    <mergeCell ref="O8242:O8243"/>
    <mergeCell ref="X8242:X8243"/>
    <mergeCell ref="Y8242:Y8243"/>
    <mergeCell ref="Z8242:Z8243"/>
    <mergeCell ref="AA8242:AA8243"/>
    <mergeCell ref="AB8242:AB8243"/>
    <mergeCell ref="A8236:A8237"/>
    <mergeCell ref="E8236:E8237"/>
    <mergeCell ref="H8236:H8237"/>
    <mergeCell ref="I8236:I8237"/>
    <mergeCell ref="J8236:J8237"/>
    <mergeCell ref="K8236:K8237"/>
    <mergeCell ref="L8236:L8237"/>
    <mergeCell ref="M8236:M8237"/>
    <mergeCell ref="N8236:N8237"/>
    <mergeCell ref="O8236:O8237"/>
    <mergeCell ref="X8236:X8237"/>
    <mergeCell ref="Y8236:Y8237"/>
    <mergeCell ref="Z8236:Z8237"/>
    <mergeCell ref="AA8236:AA8237"/>
    <mergeCell ref="AB8236:AB8237"/>
    <mergeCell ref="A8238:A8239"/>
    <mergeCell ref="E8238:E8239"/>
    <mergeCell ref="H8238:H8239"/>
    <mergeCell ref="I8238:I8239"/>
    <mergeCell ref="J8238:J8239"/>
    <mergeCell ref="K8238:K8239"/>
    <mergeCell ref="L8238:L8239"/>
    <mergeCell ref="M8238:M8239"/>
    <mergeCell ref="N8238:N8239"/>
    <mergeCell ref="O8238:O8239"/>
    <mergeCell ref="X8238:X8239"/>
    <mergeCell ref="Y8238:Y8239"/>
    <mergeCell ref="Z8238:Z8239"/>
    <mergeCell ref="AA8238:AA8239"/>
    <mergeCell ref="AB8238:AB8239"/>
    <mergeCell ref="A8232:A8233"/>
    <mergeCell ref="E8232:E8233"/>
    <mergeCell ref="H8232:H8233"/>
    <mergeCell ref="I8232:I8233"/>
    <mergeCell ref="J8232:J8233"/>
    <mergeCell ref="K8232:K8233"/>
    <mergeCell ref="L8232:L8233"/>
    <mergeCell ref="M8232:M8233"/>
    <mergeCell ref="N8232:N8233"/>
    <mergeCell ref="O8232:O8233"/>
    <mergeCell ref="X8232:X8233"/>
    <mergeCell ref="Y8232:Y8233"/>
    <mergeCell ref="Z8232:Z8233"/>
    <mergeCell ref="AA8232:AA8233"/>
    <mergeCell ref="AB8232:AB8233"/>
    <mergeCell ref="A8234:A8235"/>
    <mergeCell ref="E8234:E8235"/>
    <mergeCell ref="H8234:H8235"/>
    <mergeCell ref="I8234:I8235"/>
    <mergeCell ref="J8234:J8235"/>
    <mergeCell ref="K8234:K8235"/>
    <mergeCell ref="L8234:L8235"/>
    <mergeCell ref="M8234:M8235"/>
    <mergeCell ref="N8234:N8235"/>
    <mergeCell ref="O8234:O8235"/>
    <mergeCell ref="X8234:X8235"/>
    <mergeCell ref="Y8234:Y8235"/>
    <mergeCell ref="Z8234:Z8235"/>
    <mergeCell ref="AA8234:AA8235"/>
    <mergeCell ref="AB8234:AB8235"/>
    <mergeCell ref="A8228:A8229"/>
    <mergeCell ref="E8228:E8229"/>
    <mergeCell ref="H8228:H8229"/>
    <mergeCell ref="I8228:I8229"/>
    <mergeCell ref="J8228:J8229"/>
    <mergeCell ref="K8228:K8229"/>
    <mergeCell ref="L8228:L8229"/>
    <mergeCell ref="M8228:M8229"/>
    <mergeCell ref="N8228:N8229"/>
    <mergeCell ref="O8228:O8229"/>
    <mergeCell ref="X8228:X8229"/>
    <mergeCell ref="Y8228:Y8229"/>
    <mergeCell ref="Z8228:Z8229"/>
    <mergeCell ref="AA8228:AA8229"/>
    <mergeCell ref="AB8228:AB8229"/>
    <mergeCell ref="A8230:A8231"/>
    <mergeCell ref="E8230:E8231"/>
    <mergeCell ref="H8230:H8231"/>
    <mergeCell ref="I8230:I8231"/>
    <mergeCell ref="J8230:J8231"/>
    <mergeCell ref="K8230:K8231"/>
    <mergeCell ref="L8230:L8231"/>
    <mergeCell ref="M8230:M8231"/>
    <mergeCell ref="N8230:N8231"/>
    <mergeCell ref="O8230:O8231"/>
    <mergeCell ref="X8230:X8231"/>
    <mergeCell ref="Y8230:Y8231"/>
    <mergeCell ref="Z8230:Z8231"/>
    <mergeCell ref="AA8230:AA8231"/>
    <mergeCell ref="AB8230:AB8231"/>
    <mergeCell ref="A8224:A8225"/>
    <mergeCell ref="E8224:E8225"/>
    <mergeCell ref="H8224:H8225"/>
    <mergeCell ref="I8224:I8225"/>
    <mergeCell ref="J8224:J8225"/>
    <mergeCell ref="K8224:K8225"/>
    <mergeCell ref="L8224:L8225"/>
    <mergeCell ref="M8224:M8225"/>
    <mergeCell ref="N8224:N8225"/>
    <mergeCell ref="O8224:O8225"/>
    <mergeCell ref="X8224:X8225"/>
    <mergeCell ref="Y8224:Y8225"/>
    <mergeCell ref="Z8224:Z8225"/>
    <mergeCell ref="AA8224:AA8225"/>
    <mergeCell ref="AB8224:AB8225"/>
    <mergeCell ref="A8226:A8227"/>
    <mergeCell ref="E8226:E8227"/>
    <mergeCell ref="H8226:H8227"/>
    <mergeCell ref="I8226:I8227"/>
    <mergeCell ref="J8226:J8227"/>
    <mergeCell ref="K8226:K8227"/>
    <mergeCell ref="L8226:L8227"/>
    <mergeCell ref="M8226:M8227"/>
    <mergeCell ref="N8226:N8227"/>
    <mergeCell ref="O8226:O8227"/>
    <mergeCell ref="X8226:X8227"/>
    <mergeCell ref="Y8226:Y8227"/>
    <mergeCell ref="Z8226:Z8227"/>
    <mergeCell ref="AA8226:AA8227"/>
    <mergeCell ref="AB8226:AB8227"/>
    <mergeCell ref="A8220:A8221"/>
    <mergeCell ref="E8220:E8221"/>
    <mergeCell ref="H8220:H8221"/>
    <mergeCell ref="I8220:I8221"/>
    <mergeCell ref="J8220:J8221"/>
    <mergeCell ref="K8220:K8221"/>
    <mergeCell ref="L8220:L8221"/>
    <mergeCell ref="M8220:M8221"/>
    <mergeCell ref="N8220:N8221"/>
    <mergeCell ref="O8220:O8221"/>
    <mergeCell ref="X8220:X8221"/>
    <mergeCell ref="Y8220:Y8221"/>
    <mergeCell ref="Z8220:Z8221"/>
    <mergeCell ref="AA8220:AA8221"/>
    <mergeCell ref="AB8220:AB8221"/>
    <mergeCell ref="A8222:A8223"/>
    <mergeCell ref="E8222:E8223"/>
    <mergeCell ref="H8222:H8223"/>
    <mergeCell ref="I8222:I8223"/>
    <mergeCell ref="J8222:J8223"/>
    <mergeCell ref="K8222:K8223"/>
    <mergeCell ref="L8222:L8223"/>
    <mergeCell ref="M8222:M8223"/>
    <mergeCell ref="N8222:N8223"/>
    <mergeCell ref="O8222:O8223"/>
    <mergeCell ref="X8222:X8223"/>
    <mergeCell ref="Y8222:Y8223"/>
    <mergeCell ref="Z8222:Z8223"/>
    <mergeCell ref="AA8222:AA8223"/>
    <mergeCell ref="AB8222:AB8223"/>
    <mergeCell ref="A8216:A8217"/>
    <mergeCell ref="E8216:E8217"/>
    <mergeCell ref="H8216:H8217"/>
    <mergeCell ref="I8216:I8217"/>
    <mergeCell ref="J8216:J8217"/>
    <mergeCell ref="K8216:K8217"/>
    <mergeCell ref="L8216:L8217"/>
    <mergeCell ref="M8216:M8217"/>
    <mergeCell ref="N8216:N8217"/>
    <mergeCell ref="O8216:O8217"/>
    <mergeCell ref="X8216:X8217"/>
    <mergeCell ref="Y8216:Y8217"/>
    <mergeCell ref="Z8216:Z8217"/>
    <mergeCell ref="AA8216:AA8217"/>
    <mergeCell ref="AB8216:AB8217"/>
    <mergeCell ref="A8218:A8219"/>
    <mergeCell ref="E8218:E8219"/>
    <mergeCell ref="H8218:H8219"/>
    <mergeCell ref="I8218:I8219"/>
    <mergeCell ref="J8218:J8219"/>
    <mergeCell ref="K8218:K8219"/>
    <mergeCell ref="L8218:L8219"/>
    <mergeCell ref="M8218:M8219"/>
    <mergeCell ref="N8218:N8219"/>
    <mergeCell ref="O8218:O8219"/>
    <mergeCell ref="X8218:X8219"/>
    <mergeCell ref="Y8218:Y8219"/>
    <mergeCell ref="Z8218:Z8219"/>
    <mergeCell ref="AA8218:AA8219"/>
    <mergeCell ref="AB8218:AB8219"/>
    <mergeCell ref="A8212:A8213"/>
    <mergeCell ref="E8212:E8213"/>
    <mergeCell ref="H8212:H8213"/>
    <mergeCell ref="I8212:I8213"/>
    <mergeCell ref="J8212:J8213"/>
    <mergeCell ref="K8212:K8213"/>
    <mergeCell ref="L8212:L8213"/>
    <mergeCell ref="M8212:M8213"/>
    <mergeCell ref="N8212:N8213"/>
    <mergeCell ref="O8212:O8213"/>
    <mergeCell ref="X8212:X8213"/>
    <mergeCell ref="Y8212:Y8213"/>
    <mergeCell ref="Z8212:Z8213"/>
    <mergeCell ref="AA8212:AA8213"/>
    <mergeCell ref="AB8212:AB8213"/>
    <mergeCell ref="A8214:A8215"/>
    <mergeCell ref="E8214:E8215"/>
    <mergeCell ref="H8214:H8215"/>
    <mergeCell ref="I8214:I8215"/>
    <mergeCell ref="J8214:J8215"/>
    <mergeCell ref="K8214:K8215"/>
    <mergeCell ref="L8214:L8215"/>
    <mergeCell ref="M8214:M8215"/>
    <mergeCell ref="N8214:N8215"/>
    <mergeCell ref="O8214:O8215"/>
    <mergeCell ref="X8214:X8215"/>
    <mergeCell ref="Y8214:Y8215"/>
    <mergeCell ref="Z8214:Z8215"/>
    <mergeCell ref="AA8214:AA8215"/>
    <mergeCell ref="AB8214:AB8215"/>
    <mergeCell ref="A8208:A8209"/>
    <mergeCell ref="E8208:E8209"/>
    <mergeCell ref="H8208:H8209"/>
    <mergeCell ref="I8208:I8209"/>
    <mergeCell ref="J8208:J8209"/>
    <mergeCell ref="K8208:K8209"/>
    <mergeCell ref="L8208:L8209"/>
    <mergeCell ref="M8208:M8209"/>
    <mergeCell ref="N8208:N8209"/>
    <mergeCell ref="O8208:O8209"/>
    <mergeCell ref="X8208:X8209"/>
    <mergeCell ref="Y8208:Y8209"/>
    <mergeCell ref="Z8208:Z8209"/>
    <mergeCell ref="AA8208:AA8209"/>
    <mergeCell ref="AB8208:AB8209"/>
    <mergeCell ref="A8210:A8211"/>
    <mergeCell ref="E8210:E8211"/>
    <mergeCell ref="H8210:H8211"/>
    <mergeCell ref="I8210:I8211"/>
    <mergeCell ref="J8210:J8211"/>
    <mergeCell ref="K8210:K8211"/>
    <mergeCell ref="L8210:L8211"/>
    <mergeCell ref="M8210:M8211"/>
    <mergeCell ref="N8210:N8211"/>
    <mergeCell ref="O8210:O8211"/>
    <mergeCell ref="X8210:X8211"/>
    <mergeCell ref="Y8210:Y8211"/>
    <mergeCell ref="Z8210:Z8211"/>
    <mergeCell ref="AA8210:AA8211"/>
    <mergeCell ref="AB8210:AB8211"/>
    <mergeCell ref="A8204:A8205"/>
    <mergeCell ref="E8204:E8205"/>
    <mergeCell ref="H8204:H8205"/>
    <mergeCell ref="I8204:I8205"/>
    <mergeCell ref="J8204:J8205"/>
    <mergeCell ref="K8204:K8205"/>
    <mergeCell ref="L8204:L8205"/>
    <mergeCell ref="M8204:M8205"/>
    <mergeCell ref="N8204:N8205"/>
    <mergeCell ref="O8204:O8205"/>
    <mergeCell ref="X8204:X8205"/>
    <mergeCell ref="Y8204:Y8205"/>
    <mergeCell ref="Z8204:Z8205"/>
    <mergeCell ref="AA8204:AA8205"/>
    <mergeCell ref="AB8204:AB8205"/>
    <mergeCell ref="A8206:A8207"/>
    <mergeCell ref="E8206:E8207"/>
    <mergeCell ref="H8206:H8207"/>
    <mergeCell ref="I8206:I8207"/>
    <mergeCell ref="J8206:J8207"/>
    <mergeCell ref="K8206:K8207"/>
    <mergeCell ref="L8206:L8207"/>
    <mergeCell ref="M8206:M8207"/>
    <mergeCell ref="N8206:N8207"/>
    <mergeCell ref="O8206:O8207"/>
    <mergeCell ref="X8206:X8207"/>
    <mergeCell ref="Y8206:Y8207"/>
    <mergeCell ref="Z8206:Z8207"/>
    <mergeCell ref="AA8206:AA8207"/>
    <mergeCell ref="AB8206:AB8207"/>
    <mergeCell ref="A8200:A8201"/>
    <mergeCell ref="E8200:E8201"/>
    <mergeCell ref="H8200:H8201"/>
    <mergeCell ref="I8200:I8201"/>
    <mergeCell ref="J8200:J8201"/>
    <mergeCell ref="K8200:K8201"/>
    <mergeCell ref="L8200:L8201"/>
    <mergeCell ref="M8200:M8201"/>
    <mergeCell ref="N8200:N8201"/>
    <mergeCell ref="O8200:O8201"/>
    <mergeCell ref="X8200:X8201"/>
    <mergeCell ref="Y8200:Y8201"/>
    <mergeCell ref="Z8200:Z8201"/>
    <mergeCell ref="AA8200:AA8201"/>
    <mergeCell ref="AB8200:AB8201"/>
    <mergeCell ref="A8202:A8203"/>
    <mergeCell ref="E8202:E8203"/>
    <mergeCell ref="H8202:H8203"/>
    <mergeCell ref="I8202:I8203"/>
    <mergeCell ref="J8202:J8203"/>
    <mergeCell ref="K8202:K8203"/>
    <mergeCell ref="L8202:L8203"/>
    <mergeCell ref="M8202:M8203"/>
    <mergeCell ref="N8202:N8203"/>
    <mergeCell ref="O8202:O8203"/>
    <mergeCell ref="X8202:X8203"/>
    <mergeCell ref="Y8202:Y8203"/>
    <mergeCell ref="Z8202:Z8203"/>
    <mergeCell ref="AA8202:AA8203"/>
    <mergeCell ref="AB8202:AB8203"/>
    <mergeCell ref="A8196:A8197"/>
    <mergeCell ref="E8196:E8197"/>
    <mergeCell ref="H8196:H8197"/>
    <mergeCell ref="I8196:I8197"/>
    <mergeCell ref="J8196:J8197"/>
    <mergeCell ref="K8196:K8197"/>
    <mergeCell ref="L8196:L8197"/>
    <mergeCell ref="M8196:M8197"/>
    <mergeCell ref="N8196:N8197"/>
    <mergeCell ref="O8196:O8197"/>
    <mergeCell ref="X8196:X8197"/>
    <mergeCell ref="Y8196:Y8197"/>
    <mergeCell ref="Z8196:Z8197"/>
    <mergeCell ref="AA8196:AA8197"/>
    <mergeCell ref="AB8196:AB8197"/>
    <mergeCell ref="A8198:A8199"/>
    <mergeCell ref="E8198:E8199"/>
    <mergeCell ref="H8198:H8199"/>
    <mergeCell ref="I8198:I8199"/>
    <mergeCell ref="J8198:J8199"/>
    <mergeCell ref="K8198:K8199"/>
    <mergeCell ref="L8198:L8199"/>
    <mergeCell ref="M8198:M8199"/>
    <mergeCell ref="N8198:N8199"/>
    <mergeCell ref="O8198:O8199"/>
    <mergeCell ref="X8198:X8199"/>
    <mergeCell ref="Y8198:Y8199"/>
    <mergeCell ref="Z8198:Z8199"/>
    <mergeCell ref="AA8198:AA8199"/>
    <mergeCell ref="AB8198:AB8199"/>
    <mergeCell ref="A8192:A8193"/>
    <mergeCell ref="E8192:E8193"/>
    <mergeCell ref="H8192:H8193"/>
    <mergeCell ref="I8192:I8193"/>
    <mergeCell ref="J8192:J8193"/>
    <mergeCell ref="K8192:K8193"/>
    <mergeCell ref="L8192:L8193"/>
    <mergeCell ref="M8192:M8193"/>
    <mergeCell ref="N8192:N8193"/>
    <mergeCell ref="O8192:O8193"/>
    <mergeCell ref="X8192:X8193"/>
    <mergeCell ref="Y8192:Y8193"/>
    <mergeCell ref="Z8192:Z8193"/>
    <mergeCell ref="AA8192:AA8193"/>
    <mergeCell ref="AB8192:AB8193"/>
    <mergeCell ref="A8194:A8195"/>
    <mergeCell ref="E8194:E8195"/>
    <mergeCell ref="H8194:H8195"/>
    <mergeCell ref="I8194:I8195"/>
    <mergeCell ref="J8194:J8195"/>
    <mergeCell ref="K8194:K8195"/>
    <mergeCell ref="L8194:L8195"/>
    <mergeCell ref="M8194:M8195"/>
    <mergeCell ref="N8194:N8195"/>
    <mergeCell ref="O8194:O8195"/>
    <mergeCell ref="X8194:X8195"/>
    <mergeCell ref="Y8194:Y8195"/>
    <mergeCell ref="Z8194:Z8195"/>
    <mergeCell ref="AA8194:AA8195"/>
    <mergeCell ref="AB8194:AB8195"/>
    <mergeCell ref="A8188:A8189"/>
    <mergeCell ref="E8188:E8189"/>
    <mergeCell ref="H8188:H8189"/>
    <mergeCell ref="I8188:I8189"/>
    <mergeCell ref="J8188:J8189"/>
    <mergeCell ref="K8188:K8189"/>
    <mergeCell ref="L8188:L8189"/>
    <mergeCell ref="M8188:M8189"/>
    <mergeCell ref="N8188:N8189"/>
    <mergeCell ref="O8188:O8189"/>
    <mergeCell ref="X8188:X8189"/>
    <mergeCell ref="Y8188:Y8189"/>
    <mergeCell ref="Z8188:Z8189"/>
    <mergeCell ref="AA8188:AA8189"/>
    <mergeCell ref="AB8188:AB8189"/>
    <mergeCell ref="A8190:A8191"/>
    <mergeCell ref="E8190:E8191"/>
    <mergeCell ref="H8190:H8191"/>
    <mergeCell ref="I8190:I8191"/>
    <mergeCell ref="J8190:J8191"/>
    <mergeCell ref="K8190:K8191"/>
    <mergeCell ref="L8190:L8191"/>
    <mergeCell ref="M8190:M8191"/>
    <mergeCell ref="N8190:N8191"/>
    <mergeCell ref="O8190:O8191"/>
    <mergeCell ref="X8190:X8191"/>
    <mergeCell ref="Y8190:Y8191"/>
    <mergeCell ref="Z8190:Z8191"/>
    <mergeCell ref="AA8190:AA8191"/>
    <mergeCell ref="AB8190:AB8191"/>
    <mergeCell ref="A8184:A8185"/>
    <mergeCell ref="E8184:E8185"/>
    <mergeCell ref="H8184:H8185"/>
    <mergeCell ref="I8184:I8185"/>
    <mergeCell ref="J8184:J8185"/>
    <mergeCell ref="K8184:K8185"/>
    <mergeCell ref="L8184:L8185"/>
    <mergeCell ref="M8184:M8185"/>
    <mergeCell ref="N8184:N8185"/>
    <mergeCell ref="O8184:O8185"/>
    <mergeCell ref="X8184:X8185"/>
    <mergeCell ref="Y8184:Y8185"/>
    <mergeCell ref="Z8184:Z8185"/>
    <mergeCell ref="AA8184:AA8185"/>
    <mergeCell ref="AB8184:AB8185"/>
    <mergeCell ref="A8186:A8187"/>
    <mergeCell ref="E8186:E8187"/>
    <mergeCell ref="H8186:H8187"/>
    <mergeCell ref="I8186:I8187"/>
    <mergeCell ref="J8186:J8187"/>
    <mergeCell ref="K8186:K8187"/>
    <mergeCell ref="L8186:L8187"/>
    <mergeCell ref="M8186:M8187"/>
    <mergeCell ref="N8186:N8187"/>
    <mergeCell ref="O8186:O8187"/>
    <mergeCell ref="X8186:X8187"/>
    <mergeCell ref="Y8186:Y8187"/>
    <mergeCell ref="Z8186:Z8187"/>
    <mergeCell ref="AA8186:AA8187"/>
    <mergeCell ref="AB8186:AB8187"/>
    <mergeCell ref="A8180:A8181"/>
    <mergeCell ref="E8180:E8181"/>
    <mergeCell ref="H8180:H8181"/>
    <mergeCell ref="I8180:I8181"/>
    <mergeCell ref="J8180:J8181"/>
    <mergeCell ref="K8180:K8181"/>
    <mergeCell ref="L8180:L8181"/>
    <mergeCell ref="M8180:M8181"/>
    <mergeCell ref="N8180:N8181"/>
    <mergeCell ref="O8180:O8181"/>
    <mergeCell ref="X8180:X8181"/>
    <mergeCell ref="Y8180:Y8181"/>
    <mergeCell ref="Z8180:Z8181"/>
    <mergeCell ref="AA8180:AA8181"/>
    <mergeCell ref="AB8180:AB8181"/>
    <mergeCell ref="A8182:A8183"/>
    <mergeCell ref="E8182:E8183"/>
    <mergeCell ref="H8182:H8183"/>
    <mergeCell ref="I8182:I8183"/>
    <mergeCell ref="J8182:J8183"/>
    <mergeCell ref="K8182:K8183"/>
    <mergeCell ref="L8182:L8183"/>
    <mergeCell ref="M8182:M8183"/>
    <mergeCell ref="N8182:N8183"/>
    <mergeCell ref="O8182:O8183"/>
    <mergeCell ref="X8182:X8183"/>
    <mergeCell ref="Y8182:Y8183"/>
    <mergeCell ref="Z8182:Z8183"/>
    <mergeCell ref="AA8182:AA8183"/>
    <mergeCell ref="AB8182:AB8183"/>
    <mergeCell ref="A8176:A8177"/>
    <mergeCell ref="E8176:E8177"/>
    <mergeCell ref="H8176:H8177"/>
    <mergeCell ref="I8176:I8177"/>
    <mergeCell ref="J8176:J8177"/>
    <mergeCell ref="K8176:K8177"/>
    <mergeCell ref="L8176:L8177"/>
    <mergeCell ref="M8176:M8177"/>
    <mergeCell ref="N8176:N8177"/>
    <mergeCell ref="O8176:O8177"/>
    <mergeCell ref="X8176:X8177"/>
    <mergeCell ref="Y8176:Y8177"/>
    <mergeCell ref="Z8176:Z8177"/>
    <mergeCell ref="AA8176:AA8177"/>
    <mergeCell ref="AB8176:AB8177"/>
    <mergeCell ref="A8178:A8179"/>
    <mergeCell ref="E8178:E8179"/>
    <mergeCell ref="H8178:H8179"/>
    <mergeCell ref="I8178:I8179"/>
    <mergeCell ref="J8178:J8179"/>
    <mergeCell ref="K8178:K8179"/>
    <mergeCell ref="L8178:L8179"/>
    <mergeCell ref="M8178:M8179"/>
    <mergeCell ref="N8178:N8179"/>
    <mergeCell ref="O8178:O8179"/>
    <mergeCell ref="X8178:X8179"/>
    <mergeCell ref="Y8178:Y8179"/>
    <mergeCell ref="Z8178:Z8179"/>
    <mergeCell ref="AA8178:AA8179"/>
    <mergeCell ref="AB8178:AB8179"/>
    <mergeCell ref="A8172:A8173"/>
    <mergeCell ref="E8172:E8173"/>
    <mergeCell ref="H8172:H8173"/>
    <mergeCell ref="I8172:I8173"/>
    <mergeCell ref="J8172:J8173"/>
    <mergeCell ref="K8172:K8173"/>
    <mergeCell ref="L8172:L8173"/>
    <mergeCell ref="M8172:M8173"/>
    <mergeCell ref="N8172:N8173"/>
    <mergeCell ref="O8172:O8173"/>
    <mergeCell ref="X8172:X8173"/>
    <mergeCell ref="Y8172:Y8173"/>
    <mergeCell ref="Z8172:Z8173"/>
    <mergeCell ref="AA8172:AA8173"/>
    <mergeCell ref="AB8172:AB8173"/>
    <mergeCell ref="A8174:A8175"/>
    <mergeCell ref="E8174:E8175"/>
    <mergeCell ref="H8174:H8175"/>
    <mergeCell ref="I8174:I8175"/>
    <mergeCell ref="J8174:J8175"/>
    <mergeCell ref="K8174:K8175"/>
    <mergeCell ref="L8174:L8175"/>
    <mergeCell ref="M8174:M8175"/>
    <mergeCell ref="N8174:N8175"/>
    <mergeCell ref="O8174:O8175"/>
    <mergeCell ref="X8174:X8175"/>
    <mergeCell ref="Y8174:Y8175"/>
    <mergeCell ref="Z8174:Z8175"/>
    <mergeCell ref="AA8174:AA8175"/>
    <mergeCell ref="AB8174:AB8175"/>
    <mergeCell ref="A8168:A8169"/>
    <mergeCell ref="E8168:E8169"/>
    <mergeCell ref="H8168:H8169"/>
    <mergeCell ref="I8168:I8169"/>
    <mergeCell ref="J8168:J8169"/>
    <mergeCell ref="K8168:K8169"/>
    <mergeCell ref="L8168:L8169"/>
    <mergeCell ref="M8168:M8169"/>
    <mergeCell ref="N8168:N8169"/>
    <mergeCell ref="O8168:O8169"/>
    <mergeCell ref="X8168:X8169"/>
    <mergeCell ref="Y8168:Y8169"/>
    <mergeCell ref="Z8168:Z8169"/>
    <mergeCell ref="AA8168:AA8169"/>
    <mergeCell ref="AB8168:AB8169"/>
    <mergeCell ref="A8170:A8171"/>
    <mergeCell ref="E8170:E8171"/>
    <mergeCell ref="H8170:H8171"/>
    <mergeCell ref="I8170:I8171"/>
    <mergeCell ref="J8170:J8171"/>
    <mergeCell ref="K8170:K8171"/>
    <mergeCell ref="L8170:L8171"/>
    <mergeCell ref="M8170:M8171"/>
    <mergeCell ref="N8170:N8171"/>
    <mergeCell ref="O8170:O8171"/>
    <mergeCell ref="X8170:X8171"/>
    <mergeCell ref="Y8170:Y8171"/>
    <mergeCell ref="Z8170:Z8171"/>
    <mergeCell ref="AA8170:AA8171"/>
    <mergeCell ref="AB8170:AB8171"/>
    <mergeCell ref="A8164:A8165"/>
    <mergeCell ref="E8164:E8165"/>
    <mergeCell ref="H8164:H8165"/>
    <mergeCell ref="I8164:I8165"/>
    <mergeCell ref="J8164:J8165"/>
    <mergeCell ref="K8164:K8165"/>
    <mergeCell ref="L8164:L8165"/>
    <mergeCell ref="M8164:M8165"/>
    <mergeCell ref="N8164:N8165"/>
    <mergeCell ref="O8164:O8165"/>
    <mergeCell ref="X8164:X8165"/>
    <mergeCell ref="Y8164:Y8165"/>
    <mergeCell ref="Z8164:Z8165"/>
    <mergeCell ref="AA8164:AA8165"/>
    <mergeCell ref="AB8164:AB8165"/>
    <mergeCell ref="A8166:A8167"/>
    <mergeCell ref="E8166:E8167"/>
    <mergeCell ref="H8166:H8167"/>
    <mergeCell ref="I8166:I8167"/>
    <mergeCell ref="J8166:J8167"/>
    <mergeCell ref="K8166:K8167"/>
    <mergeCell ref="L8166:L8167"/>
    <mergeCell ref="M8166:M8167"/>
    <mergeCell ref="N8166:N8167"/>
    <mergeCell ref="O8166:O8167"/>
    <mergeCell ref="X8166:X8167"/>
    <mergeCell ref="Y8166:Y8167"/>
    <mergeCell ref="Z8166:Z8167"/>
    <mergeCell ref="AA8166:AA8167"/>
    <mergeCell ref="AB8166:AB8167"/>
    <mergeCell ref="A8160:A8161"/>
    <mergeCell ref="E8160:E8161"/>
    <mergeCell ref="H8160:H8161"/>
    <mergeCell ref="I8160:I8161"/>
    <mergeCell ref="J8160:J8161"/>
    <mergeCell ref="K8160:K8161"/>
    <mergeCell ref="L8160:L8161"/>
    <mergeCell ref="M8160:M8161"/>
    <mergeCell ref="N8160:N8161"/>
    <mergeCell ref="O8160:O8161"/>
    <mergeCell ref="X8160:X8161"/>
    <mergeCell ref="Y8160:Y8161"/>
    <mergeCell ref="Z8160:Z8161"/>
    <mergeCell ref="AA8160:AA8161"/>
    <mergeCell ref="AB8160:AB8161"/>
    <mergeCell ref="A8162:A8163"/>
    <mergeCell ref="E8162:E8163"/>
    <mergeCell ref="H8162:H8163"/>
    <mergeCell ref="I8162:I8163"/>
    <mergeCell ref="J8162:J8163"/>
    <mergeCell ref="K8162:K8163"/>
    <mergeCell ref="L8162:L8163"/>
    <mergeCell ref="M8162:M8163"/>
    <mergeCell ref="N8162:N8163"/>
    <mergeCell ref="O8162:O8163"/>
    <mergeCell ref="X8162:X8163"/>
    <mergeCell ref="Y8162:Y8163"/>
    <mergeCell ref="Z8162:Z8163"/>
    <mergeCell ref="AA8162:AA8163"/>
    <mergeCell ref="AB8162:AB8163"/>
    <mergeCell ref="A8156:A8157"/>
    <mergeCell ref="E8156:E8157"/>
    <mergeCell ref="H8156:H8157"/>
    <mergeCell ref="I8156:I8157"/>
    <mergeCell ref="J8156:J8157"/>
    <mergeCell ref="K8156:K8157"/>
    <mergeCell ref="L8156:L8157"/>
    <mergeCell ref="M8156:M8157"/>
    <mergeCell ref="N8156:N8157"/>
    <mergeCell ref="O8156:O8157"/>
    <mergeCell ref="X8156:X8157"/>
    <mergeCell ref="Y8156:Y8157"/>
    <mergeCell ref="Z8156:Z8157"/>
    <mergeCell ref="AA8156:AA8157"/>
    <mergeCell ref="AB8156:AB8157"/>
    <mergeCell ref="A8158:A8159"/>
    <mergeCell ref="E8158:E8159"/>
    <mergeCell ref="H8158:H8159"/>
    <mergeCell ref="I8158:I8159"/>
    <mergeCell ref="J8158:J8159"/>
    <mergeCell ref="K8158:K8159"/>
    <mergeCell ref="L8158:L8159"/>
    <mergeCell ref="M8158:M8159"/>
    <mergeCell ref="N8158:N8159"/>
    <mergeCell ref="O8158:O8159"/>
    <mergeCell ref="X8158:X8159"/>
    <mergeCell ref="Y8158:Y8159"/>
    <mergeCell ref="Z8158:Z8159"/>
    <mergeCell ref="AA8158:AA8159"/>
    <mergeCell ref="AB8158:AB8159"/>
    <mergeCell ref="A8152:A8153"/>
    <mergeCell ref="E8152:E8153"/>
    <mergeCell ref="H8152:H8153"/>
    <mergeCell ref="I8152:I8153"/>
    <mergeCell ref="J8152:J8153"/>
    <mergeCell ref="K8152:K8153"/>
    <mergeCell ref="L8152:L8153"/>
    <mergeCell ref="M8152:M8153"/>
    <mergeCell ref="N8152:N8153"/>
    <mergeCell ref="O8152:O8153"/>
    <mergeCell ref="X8152:X8153"/>
    <mergeCell ref="Y8152:Y8153"/>
    <mergeCell ref="Z8152:Z8153"/>
    <mergeCell ref="AA8152:AA8153"/>
    <mergeCell ref="AB8152:AB8153"/>
    <mergeCell ref="A8154:A8155"/>
    <mergeCell ref="E8154:E8155"/>
    <mergeCell ref="H8154:H8155"/>
    <mergeCell ref="I8154:I8155"/>
    <mergeCell ref="J8154:J8155"/>
    <mergeCell ref="K8154:K8155"/>
    <mergeCell ref="L8154:L8155"/>
    <mergeCell ref="M8154:M8155"/>
    <mergeCell ref="N8154:N8155"/>
    <mergeCell ref="O8154:O8155"/>
    <mergeCell ref="X8154:X8155"/>
    <mergeCell ref="Y8154:Y8155"/>
    <mergeCell ref="Z8154:Z8155"/>
    <mergeCell ref="AA8154:AA8155"/>
    <mergeCell ref="AB8154:AB8155"/>
    <mergeCell ref="A8148:A8149"/>
    <mergeCell ref="E8148:E8149"/>
    <mergeCell ref="H8148:H8149"/>
    <mergeCell ref="I8148:I8149"/>
    <mergeCell ref="J8148:J8149"/>
    <mergeCell ref="K8148:K8149"/>
    <mergeCell ref="L8148:L8149"/>
    <mergeCell ref="M8148:M8149"/>
    <mergeCell ref="N8148:N8149"/>
    <mergeCell ref="O8148:O8149"/>
    <mergeCell ref="X8148:X8149"/>
    <mergeCell ref="Y8148:Y8149"/>
    <mergeCell ref="Z8148:Z8149"/>
    <mergeCell ref="AA8148:AA8149"/>
    <mergeCell ref="AB8148:AB8149"/>
    <mergeCell ref="A8150:A8151"/>
    <mergeCell ref="E8150:E8151"/>
    <mergeCell ref="H8150:H8151"/>
    <mergeCell ref="I8150:I8151"/>
    <mergeCell ref="J8150:J8151"/>
    <mergeCell ref="K8150:K8151"/>
    <mergeCell ref="L8150:L8151"/>
    <mergeCell ref="M8150:M8151"/>
    <mergeCell ref="N8150:N8151"/>
    <mergeCell ref="O8150:O8151"/>
    <mergeCell ref="X8150:X8151"/>
    <mergeCell ref="Y8150:Y8151"/>
    <mergeCell ref="Z8150:Z8151"/>
    <mergeCell ref="AA8150:AA8151"/>
    <mergeCell ref="AB8150:AB8151"/>
    <mergeCell ref="H8146:H8147"/>
    <mergeCell ref="I8146:I8147"/>
    <mergeCell ref="J8146:J8147"/>
    <mergeCell ref="K8146:K8147"/>
    <mergeCell ref="L8146:L8147"/>
    <mergeCell ref="M8146:M8147"/>
    <mergeCell ref="N8146:N8147"/>
    <mergeCell ref="O8146:O8147"/>
    <mergeCell ref="X8146:X8147"/>
    <mergeCell ref="Y8146:Y8147"/>
    <mergeCell ref="Z8146:Z8147"/>
    <mergeCell ref="AA8146:AA8147"/>
    <mergeCell ref="AB8146:AB8147"/>
    <mergeCell ref="A8140:A8141"/>
    <mergeCell ref="E8140:E8141"/>
    <mergeCell ref="H8140:H8141"/>
    <mergeCell ref="I8140:I8141"/>
    <mergeCell ref="J8140:J8141"/>
    <mergeCell ref="K8140:K8141"/>
    <mergeCell ref="L8140:L8141"/>
    <mergeCell ref="M8140:M8141"/>
    <mergeCell ref="N8140:N8141"/>
    <mergeCell ref="O8140:O8141"/>
    <mergeCell ref="X8140:X8141"/>
    <mergeCell ref="Y8140:Y8141"/>
    <mergeCell ref="Z8140:Z8141"/>
    <mergeCell ref="AA8140:AA8141"/>
    <mergeCell ref="AB8140:AB8141"/>
    <mergeCell ref="A8142:A8143"/>
    <mergeCell ref="E8142:E8143"/>
    <mergeCell ref="H8142:H8143"/>
    <mergeCell ref="I8142:I8143"/>
    <mergeCell ref="J8142:J8143"/>
    <mergeCell ref="K8142:K8143"/>
    <mergeCell ref="L8142:L8143"/>
    <mergeCell ref="M8142:M8143"/>
    <mergeCell ref="N8142:N8143"/>
    <mergeCell ref="O8142:O8143"/>
    <mergeCell ref="X8142:X8143"/>
    <mergeCell ref="Y8142:Y8143"/>
    <mergeCell ref="Z8142:Z8143"/>
    <mergeCell ref="AA8142:AA8143"/>
    <mergeCell ref="AB8142:AB8143"/>
    <mergeCell ref="A8132:A8133"/>
    <mergeCell ref="E8132:E8133"/>
    <mergeCell ref="H8132:H8133"/>
    <mergeCell ref="I8132:I8133"/>
    <mergeCell ref="J8132:J8133"/>
    <mergeCell ref="K8132:K8133"/>
    <mergeCell ref="L8132:L8133"/>
    <mergeCell ref="M8132:M8133"/>
    <mergeCell ref="N8132:N8133"/>
    <mergeCell ref="O8132:O8133"/>
    <mergeCell ref="X8132:X8133"/>
    <mergeCell ref="Y8132:Y8133"/>
    <mergeCell ref="Z8132:Z8133"/>
    <mergeCell ref="AA8132:AA8133"/>
    <mergeCell ref="AB8132:AB8133"/>
    <mergeCell ref="A8134:A8135"/>
    <mergeCell ref="E8134:E8135"/>
    <mergeCell ref="H8134:H8135"/>
    <mergeCell ref="I8134:I8135"/>
    <mergeCell ref="J8134:J8135"/>
    <mergeCell ref="K8134:K8135"/>
    <mergeCell ref="L8134:L8135"/>
    <mergeCell ref="M8134:M8135"/>
    <mergeCell ref="N8134:N8135"/>
    <mergeCell ref="O8134:O8135"/>
    <mergeCell ref="X8134:X8135"/>
    <mergeCell ref="Y8134:Y8135"/>
    <mergeCell ref="Z8134:Z8135"/>
    <mergeCell ref="AA8134:AA8135"/>
    <mergeCell ref="AB8134:AB8135"/>
    <mergeCell ref="A8128:A8129"/>
    <mergeCell ref="E8128:E8129"/>
    <mergeCell ref="H8128:H8129"/>
    <mergeCell ref="I8128:I8129"/>
    <mergeCell ref="J8128:J8129"/>
    <mergeCell ref="K8128:K8129"/>
    <mergeCell ref="L8128:L8129"/>
    <mergeCell ref="M8128:M8129"/>
    <mergeCell ref="N8128:N8129"/>
    <mergeCell ref="O8128:O8129"/>
    <mergeCell ref="X8128:X8129"/>
    <mergeCell ref="Y8128:Y8129"/>
    <mergeCell ref="Z8128:Z8129"/>
    <mergeCell ref="AA8128:AA8129"/>
    <mergeCell ref="AB8128:AB8129"/>
    <mergeCell ref="A8130:A8131"/>
    <mergeCell ref="E8130:E8131"/>
    <mergeCell ref="H8130:H8131"/>
    <mergeCell ref="I8130:I8131"/>
    <mergeCell ref="J8130:J8131"/>
    <mergeCell ref="K8130:K8131"/>
    <mergeCell ref="L8130:L8131"/>
    <mergeCell ref="M8130:M8131"/>
    <mergeCell ref="N8130:N8131"/>
    <mergeCell ref="O8130:O8131"/>
    <mergeCell ref="X8130:X8131"/>
    <mergeCell ref="Y8130:Y8131"/>
    <mergeCell ref="Z8130:Z8131"/>
    <mergeCell ref="AA8130:AA8131"/>
    <mergeCell ref="AB8130:AB8131"/>
    <mergeCell ref="A8124:A8125"/>
    <mergeCell ref="E8124:E8125"/>
    <mergeCell ref="H8124:H8125"/>
    <mergeCell ref="I8124:I8125"/>
    <mergeCell ref="J8124:J8125"/>
    <mergeCell ref="K8124:K8125"/>
    <mergeCell ref="L8124:L8125"/>
    <mergeCell ref="M8124:M8125"/>
    <mergeCell ref="N8124:N8125"/>
    <mergeCell ref="O8124:O8125"/>
    <mergeCell ref="X8124:X8125"/>
    <mergeCell ref="Y8124:Y8125"/>
    <mergeCell ref="Z8124:Z8125"/>
    <mergeCell ref="AA8124:AA8125"/>
    <mergeCell ref="AB8124:AB8125"/>
    <mergeCell ref="A8126:A8127"/>
    <mergeCell ref="E8126:E8127"/>
    <mergeCell ref="H8126:H8127"/>
    <mergeCell ref="I8126:I8127"/>
    <mergeCell ref="J8126:J8127"/>
    <mergeCell ref="K8126:K8127"/>
    <mergeCell ref="L8126:L8127"/>
    <mergeCell ref="M8126:M8127"/>
    <mergeCell ref="N8126:N8127"/>
    <mergeCell ref="O8126:O8127"/>
    <mergeCell ref="X8126:X8127"/>
    <mergeCell ref="Y8126:Y8127"/>
    <mergeCell ref="Z8126:Z8127"/>
    <mergeCell ref="AA8126:AA8127"/>
    <mergeCell ref="AB8126:AB8127"/>
    <mergeCell ref="A8120:A8121"/>
    <mergeCell ref="E8120:E8121"/>
    <mergeCell ref="H8120:H8121"/>
    <mergeCell ref="I8120:I8121"/>
    <mergeCell ref="J8120:J8121"/>
    <mergeCell ref="K8120:K8121"/>
    <mergeCell ref="L8120:L8121"/>
    <mergeCell ref="M8120:M8121"/>
    <mergeCell ref="N8120:N8121"/>
    <mergeCell ref="O8120:O8121"/>
    <mergeCell ref="X8120:X8121"/>
    <mergeCell ref="Y8120:Y8121"/>
    <mergeCell ref="Z8120:Z8121"/>
    <mergeCell ref="AA8120:AA8121"/>
    <mergeCell ref="AB8120:AB8121"/>
    <mergeCell ref="A8122:A8123"/>
    <mergeCell ref="E8122:E8123"/>
    <mergeCell ref="H8122:H8123"/>
    <mergeCell ref="I8122:I8123"/>
    <mergeCell ref="J8122:J8123"/>
    <mergeCell ref="K8122:K8123"/>
    <mergeCell ref="L8122:L8123"/>
    <mergeCell ref="M8122:M8123"/>
    <mergeCell ref="N8122:N8123"/>
    <mergeCell ref="O8122:O8123"/>
    <mergeCell ref="X8122:X8123"/>
    <mergeCell ref="Y8122:Y8123"/>
    <mergeCell ref="Z8122:Z8123"/>
    <mergeCell ref="AA8122:AA8123"/>
    <mergeCell ref="AB8122:AB8123"/>
    <mergeCell ref="A8116:A8117"/>
    <mergeCell ref="E8116:E8117"/>
    <mergeCell ref="H8116:H8117"/>
    <mergeCell ref="I8116:I8117"/>
    <mergeCell ref="J8116:J8117"/>
    <mergeCell ref="K8116:K8117"/>
    <mergeCell ref="L8116:L8117"/>
    <mergeCell ref="M8116:M8117"/>
    <mergeCell ref="N8116:N8117"/>
    <mergeCell ref="O8116:O8117"/>
    <mergeCell ref="X8116:X8117"/>
    <mergeCell ref="Y8116:Y8117"/>
    <mergeCell ref="Z8116:Z8117"/>
    <mergeCell ref="AA8116:AA8117"/>
    <mergeCell ref="AB8116:AB8117"/>
    <mergeCell ref="A8118:A8119"/>
    <mergeCell ref="E8118:E8119"/>
    <mergeCell ref="H8118:H8119"/>
    <mergeCell ref="I8118:I8119"/>
    <mergeCell ref="J8118:J8119"/>
    <mergeCell ref="K8118:K8119"/>
    <mergeCell ref="L8118:L8119"/>
    <mergeCell ref="M8118:M8119"/>
    <mergeCell ref="N8118:N8119"/>
    <mergeCell ref="O8118:O8119"/>
    <mergeCell ref="X8118:X8119"/>
    <mergeCell ref="Y8118:Y8119"/>
    <mergeCell ref="Z8118:Z8119"/>
    <mergeCell ref="AA8118:AA8119"/>
    <mergeCell ref="AB8118:AB8119"/>
    <mergeCell ref="A8112:A8113"/>
    <mergeCell ref="E8112:E8113"/>
    <mergeCell ref="H8112:H8113"/>
    <mergeCell ref="I8112:I8113"/>
    <mergeCell ref="J8112:J8113"/>
    <mergeCell ref="K8112:K8113"/>
    <mergeCell ref="L8112:L8113"/>
    <mergeCell ref="M8112:M8113"/>
    <mergeCell ref="N8112:N8113"/>
    <mergeCell ref="O8112:O8113"/>
    <mergeCell ref="X8112:X8113"/>
    <mergeCell ref="Y8112:Y8113"/>
    <mergeCell ref="Z8112:Z8113"/>
    <mergeCell ref="AA8112:AA8113"/>
    <mergeCell ref="AB8112:AB8113"/>
    <mergeCell ref="A8114:A8115"/>
    <mergeCell ref="E8114:E8115"/>
    <mergeCell ref="H8114:H8115"/>
    <mergeCell ref="I8114:I8115"/>
    <mergeCell ref="J8114:J8115"/>
    <mergeCell ref="K8114:K8115"/>
    <mergeCell ref="L8114:L8115"/>
    <mergeCell ref="M8114:M8115"/>
    <mergeCell ref="N8114:N8115"/>
    <mergeCell ref="O8114:O8115"/>
    <mergeCell ref="X8114:X8115"/>
    <mergeCell ref="Y8114:Y8115"/>
    <mergeCell ref="Z8114:Z8115"/>
    <mergeCell ref="AA8114:AA8115"/>
    <mergeCell ref="AB8114:AB8115"/>
    <mergeCell ref="A8108:A8109"/>
    <mergeCell ref="E8108:E8109"/>
    <mergeCell ref="H8108:H8109"/>
    <mergeCell ref="I8108:I8109"/>
    <mergeCell ref="J8108:J8109"/>
    <mergeCell ref="K8108:K8109"/>
    <mergeCell ref="L8108:L8109"/>
    <mergeCell ref="M8108:M8109"/>
    <mergeCell ref="N8108:N8109"/>
    <mergeCell ref="O8108:O8109"/>
    <mergeCell ref="X8108:X8109"/>
    <mergeCell ref="Y8108:Y8109"/>
    <mergeCell ref="Z8108:Z8109"/>
    <mergeCell ref="AA8108:AA8109"/>
    <mergeCell ref="AB8108:AB8109"/>
    <mergeCell ref="A8110:A8111"/>
    <mergeCell ref="E8110:E8111"/>
    <mergeCell ref="H8110:H8111"/>
    <mergeCell ref="I8110:I8111"/>
    <mergeCell ref="J8110:J8111"/>
    <mergeCell ref="K8110:K8111"/>
    <mergeCell ref="L8110:L8111"/>
    <mergeCell ref="M8110:M8111"/>
    <mergeCell ref="N8110:N8111"/>
    <mergeCell ref="O8110:O8111"/>
    <mergeCell ref="X8110:X8111"/>
    <mergeCell ref="Y8110:Y8111"/>
    <mergeCell ref="Z8110:Z8111"/>
    <mergeCell ref="AA8110:AA8111"/>
    <mergeCell ref="AB8110:AB8111"/>
    <mergeCell ref="A8104:A8105"/>
    <mergeCell ref="E8104:E8105"/>
    <mergeCell ref="H8104:H8105"/>
    <mergeCell ref="I8104:I8105"/>
    <mergeCell ref="J8104:J8105"/>
    <mergeCell ref="K8104:K8105"/>
    <mergeCell ref="L8104:L8105"/>
    <mergeCell ref="M8104:M8105"/>
    <mergeCell ref="N8104:N8105"/>
    <mergeCell ref="O8104:O8105"/>
    <mergeCell ref="X8104:X8105"/>
    <mergeCell ref="Y8104:Y8105"/>
    <mergeCell ref="Z8104:Z8105"/>
    <mergeCell ref="AA8104:AA8105"/>
    <mergeCell ref="AB8104:AB8105"/>
    <mergeCell ref="A8106:A8107"/>
    <mergeCell ref="E8106:E8107"/>
    <mergeCell ref="H8106:H8107"/>
    <mergeCell ref="I8106:I8107"/>
    <mergeCell ref="J8106:J8107"/>
    <mergeCell ref="K8106:K8107"/>
    <mergeCell ref="L8106:L8107"/>
    <mergeCell ref="M8106:M8107"/>
    <mergeCell ref="N8106:N8107"/>
    <mergeCell ref="O8106:O8107"/>
    <mergeCell ref="X8106:X8107"/>
    <mergeCell ref="Y8106:Y8107"/>
    <mergeCell ref="Z8106:Z8107"/>
    <mergeCell ref="AA8106:AA8107"/>
    <mergeCell ref="AB8106:AB8107"/>
    <mergeCell ref="A8100:A8101"/>
    <mergeCell ref="E8100:E8101"/>
    <mergeCell ref="H8100:H8101"/>
    <mergeCell ref="I8100:I8101"/>
    <mergeCell ref="J8100:J8101"/>
    <mergeCell ref="K8100:K8101"/>
    <mergeCell ref="L8100:L8101"/>
    <mergeCell ref="M8100:M8101"/>
    <mergeCell ref="N8100:N8101"/>
    <mergeCell ref="O8100:O8101"/>
    <mergeCell ref="X8100:X8101"/>
    <mergeCell ref="Y8100:Y8101"/>
    <mergeCell ref="Z8100:Z8101"/>
    <mergeCell ref="AA8100:AA8101"/>
    <mergeCell ref="AB8100:AB8101"/>
    <mergeCell ref="A8102:A8103"/>
    <mergeCell ref="E8102:E8103"/>
    <mergeCell ref="H8102:H8103"/>
    <mergeCell ref="I8102:I8103"/>
    <mergeCell ref="J8102:J8103"/>
    <mergeCell ref="K8102:K8103"/>
    <mergeCell ref="L8102:L8103"/>
    <mergeCell ref="M8102:M8103"/>
    <mergeCell ref="N8102:N8103"/>
    <mergeCell ref="O8102:O8103"/>
    <mergeCell ref="X8102:X8103"/>
    <mergeCell ref="Y8102:Y8103"/>
    <mergeCell ref="Z8102:Z8103"/>
    <mergeCell ref="AA8102:AA8103"/>
    <mergeCell ref="AB8102:AB8103"/>
    <mergeCell ref="A8096:A8097"/>
    <mergeCell ref="E8096:E8097"/>
    <mergeCell ref="H8096:H8097"/>
    <mergeCell ref="I8096:I8097"/>
    <mergeCell ref="J8096:J8097"/>
    <mergeCell ref="K8096:K8097"/>
    <mergeCell ref="L8096:L8097"/>
    <mergeCell ref="M8096:M8097"/>
    <mergeCell ref="N8096:N8097"/>
    <mergeCell ref="O8096:O8097"/>
    <mergeCell ref="X8096:X8097"/>
    <mergeCell ref="Y8096:Y8097"/>
    <mergeCell ref="Z8096:Z8097"/>
    <mergeCell ref="AA8096:AA8097"/>
    <mergeCell ref="AB8096:AB8097"/>
    <mergeCell ref="A8098:A8099"/>
    <mergeCell ref="E8098:E8099"/>
    <mergeCell ref="H8098:H8099"/>
    <mergeCell ref="I8098:I8099"/>
    <mergeCell ref="J8098:J8099"/>
    <mergeCell ref="K8098:K8099"/>
    <mergeCell ref="L8098:L8099"/>
    <mergeCell ref="M8098:M8099"/>
    <mergeCell ref="N8098:N8099"/>
    <mergeCell ref="O8098:O8099"/>
    <mergeCell ref="X8098:X8099"/>
    <mergeCell ref="Y8098:Y8099"/>
    <mergeCell ref="Z8098:Z8099"/>
    <mergeCell ref="AA8098:AA8099"/>
    <mergeCell ref="AB8098:AB8099"/>
    <mergeCell ref="A8092:A8093"/>
    <mergeCell ref="E8092:E8093"/>
    <mergeCell ref="H8092:H8093"/>
    <mergeCell ref="I8092:I8093"/>
    <mergeCell ref="J8092:J8093"/>
    <mergeCell ref="K8092:K8093"/>
    <mergeCell ref="L8092:L8093"/>
    <mergeCell ref="M8092:M8093"/>
    <mergeCell ref="N8092:N8093"/>
    <mergeCell ref="O8092:O8093"/>
    <mergeCell ref="X8092:X8093"/>
    <mergeCell ref="Y8092:Y8093"/>
    <mergeCell ref="Z8092:Z8093"/>
    <mergeCell ref="AA8092:AA8093"/>
    <mergeCell ref="AB8092:AB8093"/>
    <mergeCell ref="A8094:A8095"/>
    <mergeCell ref="E8094:E8095"/>
    <mergeCell ref="H8094:H8095"/>
    <mergeCell ref="I8094:I8095"/>
    <mergeCell ref="J8094:J8095"/>
    <mergeCell ref="K8094:K8095"/>
    <mergeCell ref="L8094:L8095"/>
    <mergeCell ref="M8094:M8095"/>
    <mergeCell ref="N8094:N8095"/>
    <mergeCell ref="O8094:O8095"/>
    <mergeCell ref="X8094:X8095"/>
    <mergeCell ref="Y8094:Y8095"/>
    <mergeCell ref="Z8094:Z8095"/>
    <mergeCell ref="AA8094:AA8095"/>
    <mergeCell ref="AB8094:AB8095"/>
    <mergeCell ref="A8088:A8089"/>
    <mergeCell ref="A8090:A8091"/>
    <mergeCell ref="E8088:E8089"/>
    <mergeCell ref="H8088:H8089"/>
    <mergeCell ref="I8088:I8089"/>
    <mergeCell ref="J8088:J8089"/>
    <mergeCell ref="K8088:K8089"/>
    <mergeCell ref="L8088:L8089"/>
    <mergeCell ref="M8088:M8089"/>
    <mergeCell ref="N8088:N8089"/>
    <mergeCell ref="O8088:O8089"/>
    <mergeCell ref="X8088:X8089"/>
    <mergeCell ref="Y8088:Y8089"/>
    <mergeCell ref="Z8088:Z8089"/>
    <mergeCell ref="AA8088:AA8089"/>
    <mergeCell ref="AB8088:AB8089"/>
    <mergeCell ref="E8090:E8091"/>
    <mergeCell ref="H8090:H8091"/>
    <mergeCell ref="I8090:I8091"/>
    <mergeCell ref="J8090:J8091"/>
    <mergeCell ref="K8090:K8091"/>
    <mergeCell ref="L8090:L8091"/>
    <mergeCell ref="M8090:M8091"/>
    <mergeCell ref="N8090:N8091"/>
    <mergeCell ref="O8090:O8091"/>
    <mergeCell ref="X8090:X8091"/>
    <mergeCell ref="Y8090:Y8091"/>
    <mergeCell ref="Z8090:Z8091"/>
    <mergeCell ref="AA8090:AA8091"/>
    <mergeCell ref="AB8090:AB8091"/>
    <mergeCell ref="A8084:A8085"/>
    <mergeCell ref="E8084:E8085"/>
    <mergeCell ref="H8084:H8085"/>
    <mergeCell ref="I8084:I8085"/>
    <mergeCell ref="J8084:J8085"/>
    <mergeCell ref="K8084:K8085"/>
    <mergeCell ref="L8084:L8085"/>
    <mergeCell ref="M8084:M8085"/>
    <mergeCell ref="N8084:N8085"/>
    <mergeCell ref="O8084:O8085"/>
    <mergeCell ref="X8084:X8085"/>
    <mergeCell ref="Y8084:Y8085"/>
    <mergeCell ref="Z8084:Z8085"/>
    <mergeCell ref="AA8084:AA8085"/>
    <mergeCell ref="AB8084:AB8085"/>
    <mergeCell ref="A8086:A8087"/>
    <mergeCell ref="E8086:E8087"/>
    <mergeCell ref="H8086:H8087"/>
    <mergeCell ref="I8086:I8087"/>
    <mergeCell ref="J8086:J8087"/>
    <mergeCell ref="K8086:K8087"/>
    <mergeCell ref="L8086:L8087"/>
    <mergeCell ref="M8086:M8087"/>
    <mergeCell ref="N8086:N8087"/>
    <mergeCell ref="O8086:O8087"/>
    <mergeCell ref="X8086:X8087"/>
    <mergeCell ref="Y8086:Y8087"/>
    <mergeCell ref="Z8086:Z8087"/>
    <mergeCell ref="AA8086:AA8087"/>
    <mergeCell ref="AB8086:AB8087"/>
    <mergeCell ref="A8080:A8081"/>
    <mergeCell ref="E8080:E8081"/>
    <mergeCell ref="H8080:H8081"/>
    <mergeCell ref="I8080:I8081"/>
    <mergeCell ref="J8080:J8081"/>
    <mergeCell ref="K8080:K8081"/>
    <mergeCell ref="L8080:L8081"/>
    <mergeCell ref="M8080:M8081"/>
    <mergeCell ref="N8080:N8081"/>
    <mergeCell ref="O8080:O8081"/>
    <mergeCell ref="X8080:X8081"/>
    <mergeCell ref="Y8080:Y8081"/>
    <mergeCell ref="Z8080:Z8081"/>
    <mergeCell ref="AA8080:AA8081"/>
    <mergeCell ref="AB8080:AB8081"/>
    <mergeCell ref="A8082:A8083"/>
    <mergeCell ref="E8082:E8083"/>
    <mergeCell ref="H8082:H8083"/>
    <mergeCell ref="I8082:I8083"/>
    <mergeCell ref="J8082:J8083"/>
    <mergeCell ref="K8082:K8083"/>
    <mergeCell ref="L8082:L8083"/>
    <mergeCell ref="M8082:M8083"/>
    <mergeCell ref="N8082:N8083"/>
    <mergeCell ref="O8082:O8083"/>
    <mergeCell ref="X8082:X8083"/>
    <mergeCell ref="Y8082:Y8083"/>
    <mergeCell ref="Z8082:Z8083"/>
    <mergeCell ref="AA8082:AA8083"/>
    <mergeCell ref="AB8082:AB8083"/>
    <mergeCell ref="A8076:A8077"/>
    <mergeCell ref="E8076:E8077"/>
    <mergeCell ref="H8076:H8077"/>
    <mergeCell ref="I8076:I8077"/>
    <mergeCell ref="J8076:J8077"/>
    <mergeCell ref="K8076:K8077"/>
    <mergeCell ref="L8076:L8077"/>
    <mergeCell ref="M8076:M8077"/>
    <mergeCell ref="N8076:N8077"/>
    <mergeCell ref="O8076:O8077"/>
    <mergeCell ref="X8076:X8077"/>
    <mergeCell ref="Y8076:Y8077"/>
    <mergeCell ref="Z8076:Z8077"/>
    <mergeCell ref="AA8076:AA8077"/>
    <mergeCell ref="AB8076:AB8077"/>
    <mergeCell ref="A8078:A8079"/>
    <mergeCell ref="E8078:E8079"/>
    <mergeCell ref="H8078:H8079"/>
    <mergeCell ref="I8078:I8079"/>
    <mergeCell ref="J8078:J8079"/>
    <mergeCell ref="K8078:K8079"/>
    <mergeCell ref="L8078:L8079"/>
    <mergeCell ref="M8078:M8079"/>
    <mergeCell ref="N8078:N8079"/>
    <mergeCell ref="O8078:O8079"/>
    <mergeCell ref="X8078:X8079"/>
    <mergeCell ref="Y8078:Y8079"/>
    <mergeCell ref="Z8078:Z8079"/>
    <mergeCell ref="AA8078:AA8079"/>
    <mergeCell ref="AB8078:AB8079"/>
    <mergeCell ref="A8072:A8073"/>
    <mergeCell ref="E8072:E8073"/>
    <mergeCell ref="H8072:H8073"/>
    <mergeCell ref="I8072:I8073"/>
    <mergeCell ref="J8072:J8073"/>
    <mergeCell ref="K8072:K8073"/>
    <mergeCell ref="L8072:L8073"/>
    <mergeCell ref="M8072:M8073"/>
    <mergeCell ref="N8072:N8073"/>
    <mergeCell ref="O8072:O8073"/>
    <mergeCell ref="X8072:X8073"/>
    <mergeCell ref="Y8072:Y8073"/>
    <mergeCell ref="Z8072:Z8073"/>
    <mergeCell ref="AA8072:AA8073"/>
    <mergeCell ref="AB8072:AB8073"/>
    <mergeCell ref="A8074:A8075"/>
    <mergeCell ref="E8074:E8075"/>
    <mergeCell ref="H8074:H8075"/>
    <mergeCell ref="I8074:I8075"/>
    <mergeCell ref="J8074:J8075"/>
    <mergeCell ref="K8074:K8075"/>
    <mergeCell ref="L8074:L8075"/>
    <mergeCell ref="M8074:M8075"/>
    <mergeCell ref="N8074:N8075"/>
    <mergeCell ref="O8074:O8075"/>
    <mergeCell ref="X8074:X8075"/>
    <mergeCell ref="Y8074:Y8075"/>
    <mergeCell ref="Z8074:Z8075"/>
    <mergeCell ref="AA8074:AA8075"/>
    <mergeCell ref="AB8074:AB8075"/>
    <mergeCell ref="A8068:A8069"/>
    <mergeCell ref="E8068:E8069"/>
    <mergeCell ref="H8068:H8069"/>
    <mergeCell ref="I8068:I8069"/>
    <mergeCell ref="J8068:J8069"/>
    <mergeCell ref="K8068:K8069"/>
    <mergeCell ref="L8068:L8069"/>
    <mergeCell ref="M8068:M8069"/>
    <mergeCell ref="N8068:N8069"/>
    <mergeCell ref="O8068:O8069"/>
    <mergeCell ref="X8068:X8069"/>
    <mergeCell ref="Y8068:Y8069"/>
    <mergeCell ref="Z8068:Z8069"/>
    <mergeCell ref="AA8068:AA8069"/>
    <mergeCell ref="AB8068:AB8069"/>
    <mergeCell ref="A8070:A8071"/>
    <mergeCell ref="E8070:E8071"/>
    <mergeCell ref="H8070:H8071"/>
    <mergeCell ref="I8070:I8071"/>
    <mergeCell ref="J8070:J8071"/>
    <mergeCell ref="K8070:K8071"/>
    <mergeCell ref="L8070:L8071"/>
    <mergeCell ref="M8070:M8071"/>
    <mergeCell ref="N8070:N8071"/>
    <mergeCell ref="O8070:O8071"/>
    <mergeCell ref="X8070:X8071"/>
    <mergeCell ref="Y8070:Y8071"/>
    <mergeCell ref="Z8070:Z8071"/>
    <mergeCell ref="AA8070:AA8071"/>
    <mergeCell ref="AB8070:AB8071"/>
    <mergeCell ref="A8064:A8065"/>
    <mergeCell ref="E8064:E8065"/>
    <mergeCell ref="H8064:H8065"/>
    <mergeCell ref="I8064:I8065"/>
    <mergeCell ref="J8064:J8065"/>
    <mergeCell ref="K8064:K8065"/>
    <mergeCell ref="L8064:L8065"/>
    <mergeCell ref="M8064:M8065"/>
    <mergeCell ref="N8064:N8065"/>
    <mergeCell ref="O8064:O8065"/>
    <mergeCell ref="X8064:X8065"/>
    <mergeCell ref="Y8064:Y8065"/>
    <mergeCell ref="Z8064:Z8065"/>
    <mergeCell ref="AA8064:AA8065"/>
    <mergeCell ref="AB8064:AB8065"/>
    <mergeCell ref="A8066:A8067"/>
    <mergeCell ref="E8066:E8067"/>
    <mergeCell ref="H8066:H8067"/>
    <mergeCell ref="I8066:I8067"/>
    <mergeCell ref="J8066:J8067"/>
    <mergeCell ref="K8066:K8067"/>
    <mergeCell ref="L8066:L8067"/>
    <mergeCell ref="M8066:M8067"/>
    <mergeCell ref="N8066:N8067"/>
    <mergeCell ref="O8066:O8067"/>
    <mergeCell ref="X8066:X8067"/>
    <mergeCell ref="Y8066:Y8067"/>
    <mergeCell ref="Z8066:Z8067"/>
    <mergeCell ref="AA8066:AA8067"/>
    <mergeCell ref="AB8066:AB8067"/>
    <mergeCell ref="A8060:A8061"/>
    <mergeCell ref="E8060:E8061"/>
    <mergeCell ref="H8060:H8061"/>
    <mergeCell ref="I8060:I8061"/>
    <mergeCell ref="J8060:J8061"/>
    <mergeCell ref="K8060:K8061"/>
    <mergeCell ref="L8060:L8061"/>
    <mergeCell ref="M8060:M8061"/>
    <mergeCell ref="N8060:N8061"/>
    <mergeCell ref="O8060:O8061"/>
    <mergeCell ref="X8060:X8061"/>
    <mergeCell ref="Y8060:Y8061"/>
    <mergeCell ref="Z8060:Z8061"/>
    <mergeCell ref="AA8060:AA8061"/>
    <mergeCell ref="AB8060:AB8061"/>
    <mergeCell ref="A8062:A8063"/>
    <mergeCell ref="E8062:E8063"/>
    <mergeCell ref="H8062:H8063"/>
    <mergeCell ref="I8062:I8063"/>
    <mergeCell ref="J8062:J8063"/>
    <mergeCell ref="K8062:K8063"/>
    <mergeCell ref="L8062:L8063"/>
    <mergeCell ref="M8062:M8063"/>
    <mergeCell ref="N8062:N8063"/>
    <mergeCell ref="O8062:O8063"/>
    <mergeCell ref="X8062:X8063"/>
    <mergeCell ref="Y8062:Y8063"/>
    <mergeCell ref="Z8062:Z8063"/>
    <mergeCell ref="AA8062:AA8063"/>
    <mergeCell ref="AB8062:AB8063"/>
    <mergeCell ref="A8056:A8057"/>
    <mergeCell ref="E8056:E8057"/>
    <mergeCell ref="H8056:H8057"/>
    <mergeCell ref="I8056:I8057"/>
    <mergeCell ref="J8056:J8057"/>
    <mergeCell ref="K8056:K8057"/>
    <mergeCell ref="L8056:L8057"/>
    <mergeCell ref="M8056:M8057"/>
    <mergeCell ref="N8056:N8057"/>
    <mergeCell ref="O8056:O8057"/>
    <mergeCell ref="X8056:X8057"/>
    <mergeCell ref="Y8056:Y8057"/>
    <mergeCell ref="Z8056:Z8057"/>
    <mergeCell ref="AA8056:AA8057"/>
    <mergeCell ref="AB8056:AB8057"/>
    <mergeCell ref="A8058:A8059"/>
    <mergeCell ref="E8058:E8059"/>
    <mergeCell ref="H8058:H8059"/>
    <mergeCell ref="I8058:I8059"/>
    <mergeCell ref="J8058:J8059"/>
    <mergeCell ref="K8058:K8059"/>
    <mergeCell ref="L8058:L8059"/>
    <mergeCell ref="M8058:M8059"/>
    <mergeCell ref="N8058:N8059"/>
    <mergeCell ref="O8058:O8059"/>
    <mergeCell ref="X8058:X8059"/>
    <mergeCell ref="Y8058:Y8059"/>
    <mergeCell ref="Z8058:Z8059"/>
    <mergeCell ref="AA8058:AA8059"/>
    <mergeCell ref="AB8058:AB8059"/>
    <mergeCell ref="A8052:A8053"/>
    <mergeCell ref="E8052:E8053"/>
    <mergeCell ref="H8052:H8053"/>
    <mergeCell ref="I8052:I8053"/>
    <mergeCell ref="J8052:J8053"/>
    <mergeCell ref="K8052:K8053"/>
    <mergeCell ref="L8052:L8053"/>
    <mergeCell ref="M8052:M8053"/>
    <mergeCell ref="N8052:N8053"/>
    <mergeCell ref="O8052:O8053"/>
    <mergeCell ref="X8052:X8053"/>
    <mergeCell ref="Y8052:Y8053"/>
    <mergeCell ref="Z8052:Z8053"/>
    <mergeCell ref="AA8052:AA8053"/>
    <mergeCell ref="AB8052:AB8053"/>
    <mergeCell ref="A8054:A8055"/>
    <mergeCell ref="E8054:E8055"/>
    <mergeCell ref="H8054:H8055"/>
    <mergeCell ref="I8054:I8055"/>
    <mergeCell ref="J8054:J8055"/>
    <mergeCell ref="K8054:K8055"/>
    <mergeCell ref="L8054:L8055"/>
    <mergeCell ref="M8054:M8055"/>
    <mergeCell ref="N8054:N8055"/>
    <mergeCell ref="O8054:O8055"/>
    <mergeCell ref="X8054:X8055"/>
    <mergeCell ref="Y8054:Y8055"/>
    <mergeCell ref="Z8054:Z8055"/>
    <mergeCell ref="AA8054:AA8055"/>
    <mergeCell ref="AB8054:AB8055"/>
    <mergeCell ref="A8048:A8049"/>
    <mergeCell ref="E8048:E8049"/>
    <mergeCell ref="H8048:H8049"/>
    <mergeCell ref="I8048:I8049"/>
    <mergeCell ref="J8048:J8049"/>
    <mergeCell ref="K8048:K8049"/>
    <mergeCell ref="L8048:L8049"/>
    <mergeCell ref="M8048:M8049"/>
    <mergeCell ref="N8048:N8049"/>
    <mergeCell ref="O8048:O8049"/>
    <mergeCell ref="X8048:X8049"/>
    <mergeCell ref="Y8048:Y8049"/>
    <mergeCell ref="Z8048:Z8049"/>
    <mergeCell ref="AA8048:AA8049"/>
    <mergeCell ref="AB8048:AB8049"/>
    <mergeCell ref="A8050:A8051"/>
    <mergeCell ref="E8050:E8051"/>
    <mergeCell ref="H8050:H8051"/>
    <mergeCell ref="I8050:I8051"/>
    <mergeCell ref="J8050:J8051"/>
    <mergeCell ref="K8050:K8051"/>
    <mergeCell ref="L8050:L8051"/>
    <mergeCell ref="M8050:M8051"/>
    <mergeCell ref="N8050:N8051"/>
    <mergeCell ref="O8050:O8051"/>
    <mergeCell ref="X8050:X8051"/>
    <mergeCell ref="Y8050:Y8051"/>
    <mergeCell ref="Z8050:Z8051"/>
    <mergeCell ref="AA8050:AA8051"/>
    <mergeCell ref="AB8050:AB8051"/>
    <mergeCell ref="A8044:A8045"/>
    <mergeCell ref="E8044:E8045"/>
    <mergeCell ref="H8044:H8045"/>
    <mergeCell ref="I8044:I8045"/>
    <mergeCell ref="J8044:J8045"/>
    <mergeCell ref="K8044:K8045"/>
    <mergeCell ref="L8044:L8045"/>
    <mergeCell ref="M8044:M8045"/>
    <mergeCell ref="N8044:N8045"/>
    <mergeCell ref="O8044:O8045"/>
    <mergeCell ref="X8044:X8045"/>
    <mergeCell ref="Y8044:Y8045"/>
    <mergeCell ref="Z8044:Z8045"/>
    <mergeCell ref="AA8044:AA8045"/>
    <mergeCell ref="AB8044:AB8045"/>
    <mergeCell ref="A8046:A8047"/>
    <mergeCell ref="E8046:E8047"/>
    <mergeCell ref="H8046:H8047"/>
    <mergeCell ref="I8046:I8047"/>
    <mergeCell ref="J8046:J8047"/>
    <mergeCell ref="K8046:K8047"/>
    <mergeCell ref="L8046:L8047"/>
    <mergeCell ref="M8046:M8047"/>
    <mergeCell ref="N8046:N8047"/>
    <mergeCell ref="O8046:O8047"/>
    <mergeCell ref="X8046:X8047"/>
    <mergeCell ref="Y8046:Y8047"/>
    <mergeCell ref="Z8046:Z8047"/>
    <mergeCell ref="AA8046:AA8047"/>
    <mergeCell ref="AB8046:AB8047"/>
    <mergeCell ref="A8040:A8041"/>
    <mergeCell ref="E8040:E8041"/>
    <mergeCell ref="H8040:H8041"/>
    <mergeCell ref="I8040:I8041"/>
    <mergeCell ref="J8040:J8041"/>
    <mergeCell ref="K8040:K8041"/>
    <mergeCell ref="L8040:L8041"/>
    <mergeCell ref="M8040:M8041"/>
    <mergeCell ref="N8040:N8041"/>
    <mergeCell ref="O8040:O8041"/>
    <mergeCell ref="X8040:X8041"/>
    <mergeCell ref="Y8040:Y8041"/>
    <mergeCell ref="Z8040:Z8041"/>
    <mergeCell ref="AA8040:AA8041"/>
    <mergeCell ref="AB8040:AB8041"/>
    <mergeCell ref="A8042:A8043"/>
    <mergeCell ref="E8042:E8043"/>
    <mergeCell ref="H8042:H8043"/>
    <mergeCell ref="I8042:I8043"/>
    <mergeCell ref="J8042:J8043"/>
    <mergeCell ref="K8042:K8043"/>
    <mergeCell ref="L8042:L8043"/>
    <mergeCell ref="M8042:M8043"/>
    <mergeCell ref="N8042:N8043"/>
    <mergeCell ref="O8042:O8043"/>
    <mergeCell ref="X8042:X8043"/>
    <mergeCell ref="Y8042:Y8043"/>
    <mergeCell ref="Z8042:Z8043"/>
    <mergeCell ref="AA8042:AA8043"/>
    <mergeCell ref="AB8042:AB8043"/>
    <mergeCell ref="A8036:A8037"/>
    <mergeCell ref="E8036:E8037"/>
    <mergeCell ref="H8036:H8037"/>
    <mergeCell ref="I8036:I8037"/>
    <mergeCell ref="J8036:J8037"/>
    <mergeCell ref="K8036:K8037"/>
    <mergeCell ref="L8036:L8037"/>
    <mergeCell ref="M8036:M8037"/>
    <mergeCell ref="N8036:N8037"/>
    <mergeCell ref="O8036:O8037"/>
    <mergeCell ref="X8036:X8037"/>
    <mergeCell ref="Y8036:Y8037"/>
    <mergeCell ref="Z8036:Z8037"/>
    <mergeCell ref="AA8036:AA8037"/>
    <mergeCell ref="AB8036:AB8037"/>
    <mergeCell ref="A8038:A8039"/>
    <mergeCell ref="E8038:E8039"/>
    <mergeCell ref="H8038:H8039"/>
    <mergeCell ref="I8038:I8039"/>
    <mergeCell ref="J8038:J8039"/>
    <mergeCell ref="K8038:K8039"/>
    <mergeCell ref="L8038:L8039"/>
    <mergeCell ref="M8038:M8039"/>
    <mergeCell ref="N8038:N8039"/>
    <mergeCell ref="O8038:O8039"/>
    <mergeCell ref="X8038:X8039"/>
    <mergeCell ref="Y8038:Y8039"/>
    <mergeCell ref="Z8038:Z8039"/>
    <mergeCell ref="AA8038:AA8039"/>
    <mergeCell ref="AB8038:AB8039"/>
    <mergeCell ref="A8032:A8033"/>
    <mergeCell ref="E8032:E8033"/>
    <mergeCell ref="H8032:H8033"/>
    <mergeCell ref="I8032:I8033"/>
    <mergeCell ref="J8032:J8033"/>
    <mergeCell ref="K8032:K8033"/>
    <mergeCell ref="L8032:L8033"/>
    <mergeCell ref="M8032:M8033"/>
    <mergeCell ref="N8032:N8033"/>
    <mergeCell ref="O8032:O8033"/>
    <mergeCell ref="X8032:X8033"/>
    <mergeCell ref="Y8032:Y8033"/>
    <mergeCell ref="Z8032:Z8033"/>
    <mergeCell ref="AA8032:AA8033"/>
    <mergeCell ref="AB8032:AB8033"/>
    <mergeCell ref="A8034:A8035"/>
    <mergeCell ref="E8034:E8035"/>
    <mergeCell ref="H8034:H8035"/>
    <mergeCell ref="I8034:I8035"/>
    <mergeCell ref="J8034:J8035"/>
    <mergeCell ref="K8034:K8035"/>
    <mergeCell ref="L8034:L8035"/>
    <mergeCell ref="M8034:M8035"/>
    <mergeCell ref="N8034:N8035"/>
    <mergeCell ref="O8034:O8035"/>
    <mergeCell ref="X8034:X8035"/>
    <mergeCell ref="Y8034:Y8035"/>
    <mergeCell ref="Z8034:Z8035"/>
    <mergeCell ref="AA8034:AA8035"/>
    <mergeCell ref="AB8034:AB8035"/>
    <mergeCell ref="A8028:A8029"/>
    <mergeCell ref="E8028:E8029"/>
    <mergeCell ref="H8028:H8029"/>
    <mergeCell ref="I8028:I8029"/>
    <mergeCell ref="J8028:J8029"/>
    <mergeCell ref="K8028:K8029"/>
    <mergeCell ref="L8028:L8029"/>
    <mergeCell ref="M8028:M8029"/>
    <mergeCell ref="N8028:N8029"/>
    <mergeCell ref="O8028:O8029"/>
    <mergeCell ref="X8028:X8029"/>
    <mergeCell ref="Y8028:Y8029"/>
    <mergeCell ref="Z8028:Z8029"/>
    <mergeCell ref="AA8028:AA8029"/>
    <mergeCell ref="AB8028:AB8029"/>
    <mergeCell ref="A8030:A8031"/>
    <mergeCell ref="E8030:E8031"/>
    <mergeCell ref="H8030:H8031"/>
    <mergeCell ref="I8030:I8031"/>
    <mergeCell ref="J8030:J8031"/>
    <mergeCell ref="K8030:K8031"/>
    <mergeCell ref="L8030:L8031"/>
    <mergeCell ref="M8030:M8031"/>
    <mergeCell ref="N8030:N8031"/>
    <mergeCell ref="O8030:O8031"/>
    <mergeCell ref="X8030:X8031"/>
    <mergeCell ref="Y8030:Y8031"/>
    <mergeCell ref="Z8030:Z8031"/>
    <mergeCell ref="AA8030:AA8031"/>
    <mergeCell ref="AB8030:AB8031"/>
    <mergeCell ref="A8024:A8025"/>
    <mergeCell ref="E8024:E8025"/>
    <mergeCell ref="H8024:H8025"/>
    <mergeCell ref="I8024:I8025"/>
    <mergeCell ref="J8024:J8025"/>
    <mergeCell ref="K8024:K8025"/>
    <mergeCell ref="L8024:L8025"/>
    <mergeCell ref="M8024:M8025"/>
    <mergeCell ref="N8024:N8025"/>
    <mergeCell ref="O8024:O8025"/>
    <mergeCell ref="X8024:X8025"/>
    <mergeCell ref="Y8024:Y8025"/>
    <mergeCell ref="Z8024:Z8025"/>
    <mergeCell ref="AA8024:AA8025"/>
    <mergeCell ref="AB8024:AB8025"/>
    <mergeCell ref="A8026:A8027"/>
    <mergeCell ref="E8026:E8027"/>
    <mergeCell ref="H8026:H8027"/>
    <mergeCell ref="I8026:I8027"/>
    <mergeCell ref="J8026:J8027"/>
    <mergeCell ref="K8026:K8027"/>
    <mergeCell ref="L8026:L8027"/>
    <mergeCell ref="M8026:M8027"/>
    <mergeCell ref="N8026:N8027"/>
    <mergeCell ref="O8026:O8027"/>
    <mergeCell ref="X8026:X8027"/>
    <mergeCell ref="Y8026:Y8027"/>
    <mergeCell ref="Z8026:Z8027"/>
    <mergeCell ref="AA8026:AA8027"/>
    <mergeCell ref="AB8026:AB8027"/>
    <mergeCell ref="A8020:A8021"/>
    <mergeCell ref="E8020:E8021"/>
    <mergeCell ref="H8020:H8021"/>
    <mergeCell ref="I8020:I8021"/>
    <mergeCell ref="J8020:J8021"/>
    <mergeCell ref="K8020:K8021"/>
    <mergeCell ref="L8020:L8021"/>
    <mergeCell ref="M8020:M8021"/>
    <mergeCell ref="N8020:N8021"/>
    <mergeCell ref="O8020:O8021"/>
    <mergeCell ref="X8020:X8021"/>
    <mergeCell ref="Y8020:Y8021"/>
    <mergeCell ref="Z8020:Z8021"/>
    <mergeCell ref="AA8020:AA8021"/>
    <mergeCell ref="AB8020:AB8021"/>
    <mergeCell ref="A8022:A8023"/>
    <mergeCell ref="E8022:E8023"/>
    <mergeCell ref="H8022:H8023"/>
    <mergeCell ref="I8022:I8023"/>
    <mergeCell ref="J8022:J8023"/>
    <mergeCell ref="K8022:K8023"/>
    <mergeCell ref="L8022:L8023"/>
    <mergeCell ref="M8022:M8023"/>
    <mergeCell ref="N8022:N8023"/>
    <mergeCell ref="O8022:O8023"/>
    <mergeCell ref="X8022:X8023"/>
    <mergeCell ref="Y8022:Y8023"/>
    <mergeCell ref="Z8022:Z8023"/>
    <mergeCell ref="AA8022:AA8023"/>
    <mergeCell ref="AB8022:AB8023"/>
    <mergeCell ref="A8016:A8017"/>
    <mergeCell ref="E8016:E8017"/>
    <mergeCell ref="H8016:H8017"/>
    <mergeCell ref="I8016:I8017"/>
    <mergeCell ref="J8016:J8017"/>
    <mergeCell ref="K8016:K8017"/>
    <mergeCell ref="L8016:L8017"/>
    <mergeCell ref="M8016:M8017"/>
    <mergeCell ref="N8016:N8017"/>
    <mergeCell ref="O8016:O8017"/>
    <mergeCell ref="X8016:X8017"/>
    <mergeCell ref="Y8016:Y8017"/>
    <mergeCell ref="Z8016:Z8017"/>
    <mergeCell ref="AA8016:AA8017"/>
    <mergeCell ref="AB8016:AB8017"/>
    <mergeCell ref="A8018:A8019"/>
    <mergeCell ref="E8018:E8019"/>
    <mergeCell ref="H8018:H8019"/>
    <mergeCell ref="I8018:I8019"/>
    <mergeCell ref="J8018:J8019"/>
    <mergeCell ref="K8018:K8019"/>
    <mergeCell ref="L8018:L8019"/>
    <mergeCell ref="M8018:M8019"/>
    <mergeCell ref="N8018:N8019"/>
    <mergeCell ref="O8018:O8019"/>
    <mergeCell ref="X8018:X8019"/>
    <mergeCell ref="Y8018:Y8019"/>
    <mergeCell ref="Z8018:Z8019"/>
    <mergeCell ref="AA8018:AA8019"/>
    <mergeCell ref="AB8018:AB8019"/>
    <mergeCell ref="A8012:A8013"/>
    <mergeCell ref="E8012:E8013"/>
    <mergeCell ref="H8012:H8013"/>
    <mergeCell ref="I8012:I8013"/>
    <mergeCell ref="J8012:J8013"/>
    <mergeCell ref="K8012:K8013"/>
    <mergeCell ref="L8012:L8013"/>
    <mergeCell ref="M8012:M8013"/>
    <mergeCell ref="N8012:N8013"/>
    <mergeCell ref="O8012:O8013"/>
    <mergeCell ref="X8012:X8013"/>
    <mergeCell ref="Y8012:Y8013"/>
    <mergeCell ref="Z8012:Z8013"/>
    <mergeCell ref="AA8012:AA8013"/>
    <mergeCell ref="AB8012:AB8013"/>
    <mergeCell ref="A8014:A8015"/>
    <mergeCell ref="E8014:E8015"/>
    <mergeCell ref="H8014:H8015"/>
    <mergeCell ref="I8014:I8015"/>
    <mergeCell ref="J8014:J8015"/>
    <mergeCell ref="K8014:K8015"/>
    <mergeCell ref="L8014:L8015"/>
    <mergeCell ref="M8014:M8015"/>
    <mergeCell ref="N8014:N8015"/>
    <mergeCell ref="O8014:O8015"/>
    <mergeCell ref="X8014:X8015"/>
    <mergeCell ref="Y8014:Y8015"/>
    <mergeCell ref="Z8014:Z8015"/>
    <mergeCell ref="AA8014:AA8015"/>
    <mergeCell ref="AB8014:AB8015"/>
    <mergeCell ref="A8008:A8009"/>
    <mergeCell ref="E8008:E8009"/>
    <mergeCell ref="H8008:H8009"/>
    <mergeCell ref="I8008:I8009"/>
    <mergeCell ref="J8008:J8009"/>
    <mergeCell ref="K8008:K8009"/>
    <mergeCell ref="L8008:L8009"/>
    <mergeCell ref="M8008:M8009"/>
    <mergeCell ref="N8008:N8009"/>
    <mergeCell ref="O8008:O8009"/>
    <mergeCell ref="X8008:X8009"/>
    <mergeCell ref="Y8008:Y8009"/>
    <mergeCell ref="Z8008:Z8009"/>
    <mergeCell ref="AA8008:AA8009"/>
    <mergeCell ref="AB8008:AB8009"/>
    <mergeCell ref="A8010:A8011"/>
    <mergeCell ref="E8010:E8011"/>
    <mergeCell ref="H8010:H8011"/>
    <mergeCell ref="I8010:I8011"/>
    <mergeCell ref="J8010:J8011"/>
    <mergeCell ref="K8010:K8011"/>
    <mergeCell ref="L8010:L8011"/>
    <mergeCell ref="M8010:M8011"/>
    <mergeCell ref="N8010:N8011"/>
    <mergeCell ref="O8010:O8011"/>
    <mergeCell ref="X8010:X8011"/>
    <mergeCell ref="Y8010:Y8011"/>
    <mergeCell ref="Z8010:Z8011"/>
    <mergeCell ref="AA8010:AA8011"/>
    <mergeCell ref="AB8010:AB8011"/>
    <mergeCell ref="A8004:A8005"/>
    <mergeCell ref="E8004:E8005"/>
    <mergeCell ref="H8004:H8005"/>
    <mergeCell ref="I8004:I8005"/>
    <mergeCell ref="J8004:J8005"/>
    <mergeCell ref="K8004:K8005"/>
    <mergeCell ref="L8004:L8005"/>
    <mergeCell ref="M8004:M8005"/>
    <mergeCell ref="N8004:N8005"/>
    <mergeCell ref="O8004:O8005"/>
    <mergeCell ref="X8004:X8005"/>
    <mergeCell ref="Y8004:Y8005"/>
    <mergeCell ref="Z8004:Z8005"/>
    <mergeCell ref="AA8004:AA8005"/>
    <mergeCell ref="AB8004:AB8005"/>
    <mergeCell ref="A8006:A8007"/>
    <mergeCell ref="E8006:E8007"/>
    <mergeCell ref="H8006:H8007"/>
    <mergeCell ref="I8006:I8007"/>
    <mergeCell ref="J8006:J8007"/>
    <mergeCell ref="K8006:K8007"/>
    <mergeCell ref="L8006:L8007"/>
    <mergeCell ref="M8006:M8007"/>
    <mergeCell ref="N8006:N8007"/>
    <mergeCell ref="O8006:O8007"/>
    <mergeCell ref="X8006:X8007"/>
    <mergeCell ref="Y8006:Y8007"/>
    <mergeCell ref="Z8006:Z8007"/>
    <mergeCell ref="AA8006:AA8007"/>
    <mergeCell ref="AB8006:AB8007"/>
    <mergeCell ref="A8000:A8001"/>
    <mergeCell ref="E8000:E8001"/>
    <mergeCell ref="H8000:H8001"/>
    <mergeCell ref="I8000:I8001"/>
    <mergeCell ref="J8000:J8001"/>
    <mergeCell ref="K8000:K8001"/>
    <mergeCell ref="L8000:L8001"/>
    <mergeCell ref="M8000:M8001"/>
    <mergeCell ref="N8000:N8001"/>
    <mergeCell ref="O8000:O8001"/>
    <mergeCell ref="X8000:X8001"/>
    <mergeCell ref="Y8000:Y8001"/>
    <mergeCell ref="Z8000:Z8001"/>
    <mergeCell ref="AA8000:AA8001"/>
    <mergeCell ref="AB8000:AB8001"/>
    <mergeCell ref="A8002:A8003"/>
    <mergeCell ref="E8002:E8003"/>
    <mergeCell ref="H8002:H8003"/>
    <mergeCell ref="I8002:I8003"/>
    <mergeCell ref="J8002:J8003"/>
    <mergeCell ref="K8002:K8003"/>
    <mergeCell ref="L8002:L8003"/>
    <mergeCell ref="M8002:M8003"/>
    <mergeCell ref="N8002:N8003"/>
    <mergeCell ref="O8002:O8003"/>
    <mergeCell ref="X8002:X8003"/>
    <mergeCell ref="Y8002:Y8003"/>
    <mergeCell ref="Z8002:Z8003"/>
    <mergeCell ref="AA8002:AA8003"/>
    <mergeCell ref="AB8002:AB8003"/>
    <mergeCell ref="A7996:A7997"/>
    <mergeCell ref="E7996:E7997"/>
    <mergeCell ref="H7996:H7997"/>
    <mergeCell ref="I7996:I7997"/>
    <mergeCell ref="J7996:J7997"/>
    <mergeCell ref="K7996:K7997"/>
    <mergeCell ref="L7996:L7997"/>
    <mergeCell ref="M7996:M7997"/>
    <mergeCell ref="N7996:N7997"/>
    <mergeCell ref="O7996:O7997"/>
    <mergeCell ref="X7996:X7997"/>
    <mergeCell ref="Y7996:Y7997"/>
    <mergeCell ref="Z7996:Z7997"/>
    <mergeCell ref="AA7996:AA7997"/>
    <mergeCell ref="AB7996:AB7997"/>
    <mergeCell ref="A7998:A7999"/>
    <mergeCell ref="E7998:E7999"/>
    <mergeCell ref="H7998:H7999"/>
    <mergeCell ref="I7998:I7999"/>
    <mergeCell ref="J7998:J7999"/>
    <mergeCell ref="K7998:K7999"/>
    <mergeCell ref="L7998:L7999"/>
    <mergeCell ref="M7998:M7999"/>
    <mergeCell ref="N7998:N7999"/>
    <mergeCell ref="O7998:O7999"/>
    <mergeCell ref="X7998:X7999"/>
    <mergeCell ref="Y7998:Y7999"/>
    <mergeCell ref="Z7998:Z7999"/>
    <mergeCell ref="AA7998:AA7999"/>
    <mergeCell ref="AB7998:AB7999"/>
    <mergeCell ref="A7992:A7993"/>
    <mergeCell ref="E7992:E7993"/>
    <mergeCell ref="H7992:H7993"/>
    <mergeCell ref="I7992:I7993"/>
    <mergeCell ref="J7992:J7993"/>
    <mergeCell ref="K7992:K7993"/>
    <mergeCell ref="L7992:L7993"/>
    <mergeCell ref="M7992:M7993"/>
    <mergeCell ref="N7992:N7993"/>
    <mergeCell ref="O7992:O7993"/>
    <mergeCell ref="X7992:X7993"/>
    <mergeCell ref="Y7992:Y7993"/>
    <mergeCell ref="Z7992:Z7993"/>
    <mergeCell ref="AA7992:AA7993"/>
    <mergeCell ref="AB7992:AB7993"/>
    <mergeCell ref="A7994:A7995"/>
    <mergeCell ref="E7994:E7995"/>
    <mergeCell ref="H7994:H7995"/>
    <mergeCell ref="I7994:I7995"/>
    <mergeCell ref="J7994:J7995"/>
    <mergeCell ref="K7994:K7995"/>
    <mergeCell ref="L7994:L7995"/>
    <mergeCell ref="M7994:M7995"/>
    <mergeCell ref="N7994:N7995"/>
    <mergeCell ref="O7994:O7995"/>
    <mergeCell ref="X7994:X7995"/>
    <mergeCell ref="Y7994:Y7995"/>
    <mergeCell ref="Z7994:Z7995"/>
    <mergeCell ref="AA7994:AA7995"/>
    <mergeCell ref="AB7994:AB7995"/>
    <mergeCell ref="A7988:A7989"/>
    <mergeCell ref="E7988:E7989"/>
    <mergeCell ref="H7988:H7989"/>
    <mergeCell ref="I7988:I7989"/>
    <mergeCell ref="J7988:J7989"/>
    <mergeCell ref="K7988:K7989"/>
    <mergeCell ref="L7988:L7989"/>
    <mergeCell ref="M7988:M7989"/>
    <mergeCell ref="N7988:N7989"/>
    <mergeCell ref="O7988:O7989"/>
    <mergeCell ref="X7988:X7989"/>
    <mergeCell ref="Y7988:Y7989"/>
    <mergeCell ref="Z7988:Z7989"/>
    <mergeCell ref="AA7988:AA7989"/>
    <mergeCell ref="AB7988:AB7989"/>
    <mergeCell ref="A7990:A7991"/>
    <mergeCell ref="E7990:E7991"/>
    <mergeCell ref="H7990:H7991"/>
    <mergeCell ref="I7990:I7991"/>
    <mergeCell ref="J7990:J7991"/>
    <mergeCell ref="K7990:K7991"/>
    <mergeCell ref="L7990:L7991"/>
    <mergeCell ref="M7990:M7991"/>
    <mergeCell ref="N7990:N7991"/>
    <mergeCell ref="O7990:O7991"/>
    <mergeCell ref="X7990:X7991"/>
    <mergeCell ref="Y7990:Y7991"/>
    <mergeCell ref="Z7990:Z7991"/>
    <mergeCell ref="AA7990:AA7991"/>
    <mergeCell ref="AB7990:AB7991"/>
    <mergeCell ref="A7984:A7985"/>
    <mergeCell ref="E7984:E7985"/>
    <mergeCell ref="H7984:H7985"/>
    <mergeCell ref="I7984:I7985"/>
    <mergeCell ref="J7984:J7985"/>
    <mergeCell ref="K7984:K7985"/>
    <mergeCell ref="L7984:L7985"/>
    <mergeCell ref="M7984:M7985"/>
    <mergeCell ref="N7984:N7985"/>
    <mergeCell ref="O7984:O7985"/>
    <mergeCell ref="X7984:X7985"/>
    <mergeCell ref="Y7984:Y7985"/>
    <mergeCell ref="Z7984:Z7985"/>
    <mergeCell ref="AA7984:AA7985"/>
    <mergeCell ref="AB7984:AB7985"/>
    <mergeCell ref="A7986:A7987"/>
    <mergeCell ref="E7986:E7987"/>
    <mergeCell ref="H7986:H7987"/>
    <mergeCell ref="I7986:I7987"/>
    <mergeCell ref="J7986:J7987"/>
    <mergeCell ref="K7986:K7987"/>
    <mergeCell ref="L7986:L7987"/>
    <mergeCell ref="M7986:M7987"/>
    <mergeCell ref="N7986:N7987"/>
    <mergeCell ref="O7986:O7987"/>
    <mergeCell ref="X7986:X7987"/>
    <mergeCell ref="Y7986:Y7987"/>
    <mergeCell ref="Z7986:Z7987"/>
    <mergeCell ref="AA7986:AA7987"/>
    <mergeCell ref="AB7986:AB7987"/>
    <mergeCell ref="A7980:A7981"/>
    <mergeCell ref="E7980:E7981"/>
    <mergeCell ref="H7980:H7981"/>
    <mergeCell ref="I7980:I7981"/>
    <mergeCell ref="J7980:J7981"/>
    <mergeCell ref="K7980:K7981"/>
    <mergeCell ref="L7980:L7981"/>
    <mergeCell ref="M7980:M7981"/>
    <mergeCell ref="N7980:N7981"/>
    <mergeCell ref="O7980:O7981"/>
    <mergeCell ref="X7980:X7981"/>
    <mergeCell ref="Y7980:Y7981"/>
    <mergeCell ref="Z7980:Z7981"/>
    <mergeCell ref="AA7980:AA7981"/>
    <mergeCell ref="AB7980:AB7981"/>
    <mergeCell ref="A7982:A7983"/>
    <mergeCell ref="E7982:E7983"/>
    <mergeCell ref="H7982:H7983"/>
    <mergeCell ref="I7982:I7983"/>
    <mergeCell ref="J7982:J7983"/>
    <mergeCell ref="K7982:K7983"/>
    <mergeCell ref="L7982:L7983"/>
    <mergeCell ref="M7982:M7983"/>
    <mergeCell ref="N7982:N7983"/>
    <mergeCell ref="O7982:O7983"/>
    <mergeCell ref="X7982:X7983"/>
    <mergeCell ref="Y7982:Y7983"/>
    <mergeCell ref="Z7982:Z7983"/>
    <mergeCell ref="AA7982:AA7983"/>
    <mergeCell ref="AB7982:AB7983"/>
    <mergeCell ref="A7976:A7977"/>
    <mergeCell ref="E7976:E7977"/>
    <mergeCell ref="H7976:H7977"/>
    <mergeCell ref="I7976:I7977"/>
    <mergeCell ref="J7976:J7977"/>
    <mergeCell ref="K7976:K7977"/>
    <mergeCell ref="L7976:L7977"/>
    <mergeCell ref="M7976:M7977"/>
    <mergeCell ref="N7976:N7977"/>
    <mergeCell ref="O7976:O7977"/>
    <mergeCell ref="X7976:X7977"/>
    <mergeCell ref="Y7976:Y7977"/>
    <mergeCell ref="Z7976:Z7977"/>
    <mergeCell ref="AA7976:AA7977"/>
    <mergeCell ref="AB7976:AB7977"/>
    <mergeCell ref="A7978:A7979"/>
    <mergeCell ref="E7978:E7979"/>
    <mergeCell ref="H7978:H7979"/>
    <mergeCell ref="I7978:I7979"/>
    <mergeCell ref="J7978:J7979"/>
    <mergeCell ref="K7978:K7979"/>
    <mergeCell ref="L7978:L7979"/>
    <mergeCell ref="M7978:M7979"/>
    <mergeCell ref="N7978:N7979"/>
    <mergeCell ref="O7978:O7979"/>
    <mergeCell ref="X7978:X7979"/>
    <mergeCell ref="Y7978:Y7979"/>
    <mergeCell ref="Z7978:Z7979"/>
    <mergeCell ref="AA7978:AA7979"/>
    <mergeCell ref="AB7978:AB7979"/>
    <mergeCell ref="A7972:A7973"/>
    <mergeCell ref="E7972:E7973"/>
    <mergeCell ref="H7972:H7973"/>
    <mergeCell ref="I7972:I7973"/>
    <mergeCell ref="J7972:J7973"/>
    <mergeCell ref="K7972:K7973"/>
    <mergeCell ref="L7972:L7973"/>
    <mergeCell ref="M7972:M7973"/>
    <mergeCell ref="N7972:N7973"/>
    <mergeCell ref="O7972:O7973"/>
    <mergeCell ref="X7972:X7973"/>
    <mergeCell ref="Y7972:Y7973"/>
    <mergeCell ref="Z7972:Z7973"/>
    <mergeCell ref="AA7972:AA7973"/>
    <mergeCell ref="AB7972:AB7973"/>
    <mergeCell ref="A7974:A7975"/>
    <mergeCell ref="E7974:E7975"/>
    <mergeCell ref="H7974:H7975"/>
    <mergeCell ref="I7974:I7975"/>
    <mergeCell ref="J7974:J7975"/>
    <mergeCell ref="K7974:K7975"/>
    <mergeCell ref="L7974:L7975"/>
    <mergeCell ref="M7974:M7975"/>
    <mergeCell ref="N7974:N7975"/>
    <mergeCell ref="O7974:O7975"/>
    <mergeCell ref="X7974:X7975"/>
    <mergeCell ref="Y7974:Y7975"/>
    <mergeCell ref="Z7974:Z7975"/>
    <mergeCell ref="AA7974:AA7975"/>
    <mergeCell ref="AB7974:AB7975"/>
    <mergeCell ref="A7968:A7969"/>
    <mergeCell ref="E7968:E7969"/>
    <mergeCell ref="H7968:H7969"/>
    <mergeCell ref="I7968:I7969"/>
    <mergeCell ref="J7968:J7969"/>
    <mergeCell ref="K7968:K7969"/>
    <mergeCell ref="L7968:L7969"/>
    <mergeCell ref="M7968:M7969"/>
    <mergeCell ref="N7968:N7969"/>
    <mergeCell ref="O7968:O7969"/>
    <mergeCell ref="X7968:X7969"/>
    <mergeCell ref="Y7968:Y7969"/>
    <mergeCell ref="Z7968:Z7969"/>
    <mergeCell ref="AA7968:AA7969"/>
    <mergeCell ref="AB7968:AB7969"/>
    <mergeCell ref="A7970:A7971"/>
    <mergeCell ref="E7970:E7971"/>
    <mergeCell ref="H7970:H7971"/>
    <mergeCell ref="I7970:I7971"/>
    <mergeCell ref="J7970:J7971"/>
    <mergeCell ref="K7970:K7971"/>
    <mergeCell ref="L7970:L7971"/>
    <mergeCell ref="M7970:M7971"/>
    <mergeCell ref="N7970:N7971"/>
    <mergeCell ref="O7970:O7971"/>
    <mergeCell ref="X7970:X7971"/>
    <mergeCell ref="Y7970:Y7971"/>
    <mergeCell ref="Z7970:Z7971"/>
    <mergeCell ref="AA7970:AA7971"/>
    <mergeCell ref="AB7970:AB7971"/>
    <mergeCell ref="A7964:A7965"/>
    <mergeCell ref="E7964:E7965"/>
    <mergeCell ref="H7964:H7965"/>
    <mergeCell ref="I7964:I7965"/>
    <mergeCell ref="J7964:J7965"/>
    <mergeCell ref="K7964:K7965"/>
    <mergeCell ref="L7964:L7965"/>
    <mergeCell ref="M7964:M7965"/>
    <mergeCell ref="N7964:N7965"/>
    <mergeCell ref="O7964:O7965"/>
    <mergeCell ref="X7964:X7965"/>
    <mergeCell ref="Y7964:Y7965"/>
    <mergeCell ref="Z7964:Z7965"/>
    <mergeCell ref="AA7964:AA7965"/>
    <mergeCell ref="AB7964:AB7965"/>
    <mergeCell ref="A7966:A7967"/>
    <mergeCell ref="E7966:E7967"/>
    <mergeCell ref="H7966:H7967"/>
    <mergeCell ref="I7966:I7967"/>
    <mergeCell ref="J7966:J7967"/>
    <mergeCell ref="K7966:K7967"/>
    <mergeCell ref="L7966:L7967"/>
    <mergeCell ref="M7966:M7967"/>
    <mergeCell ref="N7966:N7967"/>
    <mergeCell ref="O7966:O7967"/>
    <mergeCell ref="X7966:X7967"/>
    <mergeCell ref="Y7966:Y7967"/>
    <mergeCell ref="Z7966:Z7967"/>
    <mergeCell ref="AA7966:AA7967"/>
    <mergeCell ref="AB7966:AB7967"/>
    <mergeCell ref="A7960:A7961"/>
    <mergeCell ref="E7960:E7961"/>
    <mergeCell ref="H7960:H7961"/>
    <mergeCell ref="I7960:I7961"/>
    <mergeCell ref="J7960:J7961"/>
    <mergeCell ref="K7960:K7961"/>
    <mergeCell ref="L7960:L7961"/>
    <mergeCell ref="M7960:M7961"/>
    <mergeCell ref="N7960:N7961"/>
    <mergeCell ref="O7960:O7961"/>
    <mergeCell ref="X7960:X7961"/>
    <mergeCell ref="Y7960:Y7961"/>
    <mergeCell ref="Z7960:Z7961"/>
    <mergeCell ref="AA7960:AA7961"/>
    <mergeCell ref="AB7960:AB7961"/>
    <mergeCell ref="A7962:A7963"/>
    <mergeCell ref="E7962:E7963"/>
    <mergeCell ref="H7962:H7963"/>
    <mergeCell ref="I7962:I7963"/>
    <mergeCell ref="J7962:J7963"/>
    <mergeCell ref="K7962:K7963"/>
    <mergeCell ref="L7962:L7963"/>
    <mergeCell ref="M7962:M7963"/>
    <mergeCell ref="N7962:N7963"/>
    <mergeCell ref="O7962:O7963"/>
    <mergeCell ref="X7962:X7963"/>
    <mergeCell ref="Y7962:Y7963"/>
    <mergeCell ref="Z7962:Z7963"/>
    <mergeCell ref="AA7962:AA7963"/>
    <mergeCell ref="AB7962:AB7963"/>
    <mergeCell ref="A7956:A7957"/>
    <mergeCell ref="E7956:E7957"/>
    <mergeCell ref="H7956:H7957"/>
    <mergeCell ref="I7956:I7957"/>
    <mergeCell ref="J7956:J7957"/>
    <mergeCell ref="K7956:K7957"/>
    <mergeCell ref="L7956:L7957"/>
    <mergeCell ref="M7956:M7957"/>
    <mergeCell ref="N7956:N7957"/>
    <mergeCell ref="O7956:O7957"/>
    <mergeCell ref="X7956:X7957"/>
    <mergeCell ref="Y7956:Y7957"/>
    <mergeCell ref="Z7956:Z7957"/>
    <mergeCell ref="AA7956:AA7957"/>
    <mergeCell ref="AB7956:AB7957"/>
    <mergeCell ref="A7958:A7959"/>
    <mergeCell ref="E7958:E7959"/>
    <mergeCell ref="H7958:H7959"/>
    <mergeCell ref="I7958:I7959"/>
    <mergeCell ref="J7958:J7959"/>
    <mergeCell ref="K7958:K7959"/>
    <mergeCell ref="L7958:L7959"/>
    <mergeCell ref="M7958:M7959"/>
    <mergeCell ref="N7958:N7959"/>
    <mergeCell ref="O7958:O7959"/>
    <mergeCell ref="X7958:X7959"/>
    <mergeCell ref="Y7958:Y7959"/>
    <mergeCell ref="Z7958:Z7959"/>
    <mergeCell ref="AA7958:AA7959"/>
    <mergeCell ref="AB7958:AB7959"/>
    <mergeCell ref="A7952:A7953"/>
    <mergeCell ref="E7952:E7953"/>
    <mergeCell ref="H7952:H7953"/>
    <mergeCell ref="I7952:I7953"/>
    <mergeCell ref="J7952:J7953"/>
    <mergeCell ref="K7952:K7953"/>
    <mergeCell ref="L7952:L7953"/>
    <mergeCell ref="M7952:M7953"/>
    <mergeCell ref="N7952:N7953"/>
    <mergeCell ref="O7952:O7953"/>
    <mergeCell ref="X7952:X7953"/>
    <mergeCell ref="Y7952:Y7953"/>
    <mergeCell ref="Z7952:Z7953"/>
    <mergeCell ref="AA7952:AA7953"/>
    <mergeCell ref="AB7952:AB7953"/>
    <mergeCell ref="A7954:A7955"/>
    <mergeCell ref="E7954:E7955"/>
    <mergeCell ref="H7954:H7955"/>
    <mergeCell ref="I7954:I7955"/>
    <mergeCell ref="J7954:J7955"/>
    <mergeCell ref="K7954:K7955"/>
    <mergeCell ref="L7954:L7955"/>
    <mergeCell ref="M7954:M7955"/>
    <mergeCell ref="N7954:N7955"/>
    <mergeCell ref="O7954:O7955"/>
    <mergeCell ref="X7954:X7955"/>
    <mergeCell ref="Y7954:Y7955"/>
    <mergeCell ref="Z7954:Z7955"/>
    <mergeCell ref="AA7954:AA7955"/>
    <mergeCell ref="AB7954:AB7955"/>
    <mergeCell ref="A7948:A7949"/>
    <mergeCell ref="E7948:E7949"/>
    <mergeCell ref="H7948:H7949"/>
    <mergeCell ref="I7948:I7949"/>
    <mergeCell ref="J7948:J7949"/>
    <mergeCell ref="K7948:K7949"/>
    <mergeCell ref="L7948:L7949"/>
    <mergeCell ref="M7948:M7949"/>
    <mergeCell ref="N7948:N7949"/>
    <mergeCell ref="O7948:O7949"/>
    <mergeCell ref="X7948:X7949"/>
    <mergeCell ref="Y7948:Y7949"/>
    <mergeCell ref="Z7948:Z7949"/>
    <mergeCell ref="AA7948:AA7949"/>
    <mergeCell ref="AB7948:AB7949"/>
    <mergeCell ref="A7950:A7951"/>
    <mergeCell ref="E7950:E7951"/>
    <mergeCell ref="H7950:H7951"/>
    <mergeCell ref="I7950:I7951"/>
    <mergeCell ref="J7950:J7951"/>
    <mergeCell ref="K7950:K7951"/>
    <mergeCell ref="L7950:L7951"/>
    <mergeCell ref="M7950:M7951"/>
    <mergeCell ref="N7950:N7951"/>
    <mergeCell ref="O7950:O7951"/>
    <mergeCell ref="X7950:X7951"/>
    <mergeCell ref="Y7950:Y7951"/>
    <mergeCell ref="Z7950:Z7951"/>
    <mergeCell ref="AA7950:AA7951"/>
    <mergeCell ref="AB7950:AB7951"/>
    <mergeCell ref="A7944:A7945"/>
    <mergeCell ref="E7944:E7945"/>
    <mergeCell ref="H7944:H7945"/>
    <mergeCell ref="I7944:I7945"/>
    <mergeCell ref="J7944:J7945"/>
    <mergeCell ref="K7944:K7945"/>
    <mergeCell ref="L7944:L7945"/>
    <mergeCell ref="M7944:M7945"/>
    <mergeCell ref="N7944:N7945"/>
    <mergeCell ref="O7944:O7945"/>
    <mergeCell ref="X7944:X7945"/>
    <mergeCell ref="Y7944:Y7945"/>
    <mergeCell ref="Z7944:Z7945"/>
    <mergeCell ref="AA7944:AA7945"/>
    <mergeCell ref="AB7944:AB7945"/>
    <mergeCell ref="A7946:A7947"/>
    <mergeCell ref="E7946:E7947"/>
    <mergeCell ref="H7946:H7947"/>
    <mergeCell ref="I7946:I7947"/>
    <mergeCell ref="J7946:J7947"/>
    <mergeCell ref="K7946:K7947"/>
    <mergeCell ref="L7946:L7947"/>
    <mergeCell ref="M7946:M7947"/>
    <mergeCell ref="N7946:N7947"/>
    <mergeCell ref="O7946:O7947"/>
    <mergeCell ref="X7946:X7947"/>
    <mergeCell ref="Y7946:Y7947"/>
    <mergeCell ref="Z7946:Z7947"/>
    <mergeCell ref="AA7946:AA7947"/>
    <mergeCell ref="AB7946:AB7947"/>
    <mergeCell ref="A7940:A7941"/>
    <mergeCell ref="E7940:E7941"/>
    <mergeCell ref="H7940:H7941"/>
    <mergeCell ref="I7940:I7941"/>
    <mergeCell ref="J7940:J7941"/>
    <mergeCell ref="K7940:K7941"/>
    <mergeCell ref="L7940:L7941"/>
    <mergeCell ref="M7940:M7941"/>
    <mergeCell ref="N7940:N7941"/>
    <mergeCell ref="O7940:O7941"/>
    <mergeCell ref="X7940:X7941"/>
    <mergeCell ref="Y7940:Y7941"/>
    <mergeCell ref="Z7940:Z7941"/>
    <mergeCell ref="AA7940:AA7941"/>
    <mergeCell ref="AB7940:AB7941"/>
    <mergeCell ref="A7942:A7943"/>
    <mergeCell ref="E7942:E7943"/>
    <mergeCell ref="H7942:H7943"/>
    <mergeCell ref="I7942:I7943"/>
    <mergeCell ref="J7942:J7943"/>
    <mergeCell ref="K7942:K7943"/>
    <mergeCell ref="L7942:L7943"/>
    <mergeCell ref="M7942:M7943"/>
    <mergeCell ref="N7942:N7943"/>
    <mergeCell ref="O7942:O7943"/>
    <mergeCell ref="X7942:X7943"/>
    <mergeCell ref="Y7942:Y7943"/>
    <mergeCell ref="Z7942:Z7943"/>
    <mergeCell ref="AA7942:AA7943"/>
    <mergeCell ref="AB7942:AB7943"/>
    <mergeCell ref="A7936:A7937"/>
    <mergeCell ref="E7936:E7937"/>
    <mergeCell ref="H7936:H7937"/>
    <mergeCell ref="I7936:I7937"/>
    <mergeCell ref="J7936:J7937"/>
    <mergeCell ref="K7936:K7937"/>
    <mergeCell ref="L7936:L7937"/>
    <mergeCell ref="M7936:M7937"/>
    <mergeCell ref="N7936:N7937"/>
    <mergeCell ref="O7936:O7937"/>
    <mergeCell ref="X7936:X7937"/>
    <mergeCell ref="Y7936:Y7937"/>
    <mergeCell ref="Z7936:Z7937"/>
    <mergeCell ref="AA7936:AA7937"/>
    <mergeCell ref="AB7936:AB7937"/>
    <mergeCell ref="A7938:A7939"/>
    <mergeCell ref="E7938:E7939"/>
    <mergeCell ref="H7938:H7939"/>
    <mergeCell ref="I7938:I7939"/>
    <mergeCell ref="J7938:J7939"/>
    <mergeCell ref="K7938:K7939"/>
    <mergeCell ref="L7938:L7939"/>
    <mergeCell ref="M7938:M7939"/>
    <mergeCell ref="N7938:N7939"/>
    <mergeCell ref="O7938:O7939"/>
    <mergeCell ref="X7938:X7939"/>
    <mergeCell ref="Y7938:Y7939"/>
    <mergeCell ref="Z7938:Z7939"/>
    <mergeCell ref="AA7938:AA7939"/>
    <mergeCell ref="AB7938:AB7939"/>
    <mergeCell ref="A7932:A7933"/>
    <mergeCell ref="E7932:E7933"/>
    <mergeCell ref="H7932:H7933"/>
    <mergeCell ref="I7932:I7933"/>
    <mergeCell ref="J7932:J7933"/>
    <mergeCell ref="K7932:K7933"/>
    <mergeCell ref="L7932:L7933"/>
    <mergeCell ref="M7932:M7933"/>
    <mergeCell ref="N7932:N7933"/>
    <mergeCell ref="O7932:O7933"/>
    <mergeCell ref="X7932:X7933"/>
    <mergeCell ref="Y7932:Y7933"/>
    <mergeCell ref="Z7932:Z7933"/>
    <mergeCell ref="AA7932:AA7933"/>
    <mergeCell ref="AB7932:AB7933"/>
    <mergeCell ref="A7934:A7935"/>
    <mergeCell ref="E7934:E7935"/>
    <mergeCell ref="H7934:H7935"/>
    <mergeCell ref="I7934:I7935"/>
    <mergeCell ref="J7934:J7935"/>
    <mergeCell ref="K7934:K7935"/>
    <mergeCell ref="L7934:L7935"/>
    <mergeCell ref="M7934:M7935"/>
    <mergeCell ref="N7934:N7935"/>
    <mergeCell ref="O7934:O7935"/>
    <mergeCell ref="X7934:X7935"/>
    <mergeCell ref="Y7934:Y7935"/>
    <mergeCell ref="Z7934:Z7935"/>
    <mergeCell ref="AA7934:AA7935"/>
    <mergeCell ref="AB7934:AB7935"/>
    <mergeCell ref="A7928:A7929"/>
    <mergeCell ref="E7928:E7929"/>
    <mergeCell ref="H7928:H7929"/>
    <mergeCell ref="I7928:I7929"/>
    <mergeCell ref="J7928:J7929"/>
    <mergeCell ref="K7928:K7929"/>
    <mergeCell ref="L7928:L7929"/>
    <mergeCell ref="M7928:M7929"/>
    <mergeCell ref="N7928:N7929"/>
    <mergeCell ref="O7928:O7929"/>
    <mergeCell ref="X7928:X7929"/>
    <mergeCell ref="Y7928:Y7929"/>
    <mergeCell ref="Z7928:Z7929"/>
    <mergeCell ref="AA7928:AA7929"/>
    <mergeCell ref="AB7928:AB7929"/>
    <mergeCell ref="A7930:A7931"/>
    <mergeCell ref="E7930:E7931"/>
    <mergeCell ref="H7930:H7931"/>
    <mergeCell ref="I7930:I7931"/>
    <mergeCell ref="J7930:J7931"/>
    <mergeCell ref="K7930:K7931"/>
    <mergeCell ref="L7930:L7931"/>
    <mergeCell ref="M7930:M7931"/>
    <mergeCell ref="N7930:N7931"/>
    <mergeCell ref="O7930:O7931"/>
    <mergeCell ref="X7930:X7931"/>
    <mergeCell ref="Y7930:Y7931"/>
    <mergeCell ref="Z7930:Z7931"/>
    <mergeCell ref="AA7930:AA7931"/>
    <mergeCell ref="AB7930:AB7931"/>
    <mergeCell ref="A7924:A7925"/>
    <mergeCell ref="E7924:E7925"/>
    <mergeCell ref="H7924:H7925"/>
    <mergeCell ref="I7924:I7925"/>
    <mergeCell ref="J7924:J7925"/>
    <mergeCell ref="K7924:K7925"/>
    <mergeCell ref="L7924:L7925"/>
    <mergeCell ref="M7924:M7925"/>
    <mergeCell ref="N7924:N7925"/>
    <mergeCell ref="O7924:O7925"/>
    <mergeCell ref="X7924:X7925"/>
    <mergeCell ref="Y7924:Y7925"/>
    <mergeCell ref="Z7924:Z7925"/>
    <mergeCell ref="AA7924:AA7925"/>
    <mergeCell ref="AB7924:AB7925"/>
    <mergeCell ref="A7926:A7927"/>
    <mergeCell ref="E7926:E7927"/>
    <mergeCell ref="H7926:H7927"/>
    <mergeCell ref="I7926:I7927"/>
    <mergeCell ref="J7926:J7927"/>
    <mergeCell ref="K7926:K7927"/>
    <mergeCell ref="L7926:L7927"/>
    <mergeCell ref="M7926:M7927"/>
    <mergeCell ref="N7926:N7927"/>
    <mergeCell ref="O7926:O7927"/>
    <mergeCell ref="X7926:X7927"/>
    <mergeCell ref="Y7926:Y7927"/>
    <mergeCell ref="Z7926:Z7927"/>
    <mergeCell ref="AA7926:AA7927"/>
    <mergeCell ref="AB7926:AB7927"/>
    <mergeCell ref="A7920:A7921"/>
    <mergeCell ref="E7920:E7921"/>
    <mergeCell ref="H7920:H7921"/>
    <mergeCell ref="I7920:I7921"/>
    <mergeCell ref="J7920:J7921"/>
    <mergeCell ref="K7920:K7921"/>
    <mergeCell ref="L7920:L7921"/>
    <mergeCell ref="M7920:M7921"/>
    <mergeCell ref="N7920:N7921"/>
    <mergeCell ref="O7920:O7921"/>
    <mergeCell ref="X7920:X7921"/>
    <mergeCell ref="Y7920:Y7921"/>
    <mergeCell ref="Z7920:Z7921"/>
    <mergeCell ref="AA7920:AA7921"/>
    <mergeCell ref="AB7920:AB7921"/>
    <mergeCell ref="A7922:A7923"/>
    <mergeCell ref="E7922:E7923"/>
    <mergeCell ref="H7922:H7923"/>
    <mergeCell ref="I7922:I7923"/>
    <mergeCell ref="J7922:J7923"/>
    <mergeCell ref="K7922:K7923"/>
    <mergeCell ref="L7922:L7923"/>
    <mergeCell ref="M7922:M7923"/>
    <mergeCell ref="N7922:N7923"/>
    <mergeCell ref="O7922:O7923"/>
    <mergeCell ref="X7922:X7923"/>
    <mergeCell ref="Y7922:Y7923"/>
    <mergeCell ref="Z7922:Z7923"/>
    <mergeCell ref="AA7922:AA7923"/>
    <mergeCell ref="AB7922:AB7923"/>
    <mergeCell ref="A7916:A7917"/>
    <mergeCell ref="E7916:E7917"/>
    <mergeCell ref="H7916:H7917"/>
    <mergeCell ref="I7916:I7917"/>
    <mergeCell ref="J7916:J7917"/>
    <mergeCell ref="K7916:K7917"/>
    <mergeCell ref="L7916:L7917"/>
    <mergeCell ref="M7916:M7917"/>
    <mergeCell ref="N7916:N7917"/>
    <mergeCell ref="O7916:O7917"/>
    <mergeCell ref="X7916:X7917"/>
    <mergeCell ref="Y7916:Y7917"/>
    <mergeCell ref="Z7916:Z7917"/>
    <mergeCell ref="AA7916:AA7917"/>
    <mergeCell ref="AB7916:AB7917"/>
    <mergeCell ref="A7918:A7919"/>
    <mergeCell ref="E7918:E7919"/>
    <mergeCell ref="H7918:H7919"/>
    <mergeCell ref="I7918:I7919"/>
    <mergeCell ref="J7918:J7919"/>
    <mergeCell ref="K7918:K7919"/>
    <mergeCell ref="L7918:L7919"/>
    <mergeCell ref="M7918:M7919"/>
    <mergeCell ref="N7918:N7919"/>
    <mergeCell ref="O7918:O7919"/>
    <mergeCell ref="X7918:X7919"/>
    <mergeCell ref="Y7918:Y7919"/>
    <mergeCell ref="Z7918:Z7919"/>
    <mergeCell ref="AA7918:AA7919"/>
    <mergeCell ref="AB7918:AB7919"/>
    <mergeCell ref="A7912:A7913"/>
    <mergeCell ref="E7912:E7913"/>
    <mergeCell ref="H7912:H7913"/>
    <mergeCell ref="I7912:I7913"/>
    <mergeCell ref="J7912:J7913"/>
    <mergeCell ref="K7912:K7913"/>
    <mergeCell ref="L7912:L7913"/>
    <mergeCell ref="M7912:M7913"/>
    <mergeCell ref="N7912:N7913"/>
    <mergeCell ref="O7912:O7913"/>
    <mergeCell ref="X7912:X7913"/>
    <mergeCell ref="Y7912:Y7913"/>
    <mergeCell ref="Z7912:Z7913"/>
    <mergeCell ref="AA7912:AA7913"/>
    <mergeCell ref="AB7912:AB7913"/>
    <mergeCell ref="A7914:A7915"/>
    <mergeCell ref="E7914:E7915"/>
    <mergeCell ref="H7914:H7915"/>
    <mergeCell ref="I7914:I7915"/>
    <mergeCell ref="J7914:J7915"/>
    <mergeCell ref="K7914:K7915"/>
    <mergeCell ref="L7914:L7915"/>
    <mergeCell ref="M7914:M7915"/>
    <mergeCell ref="N7914:N7915"/>
    <mergeCell ref="O7914:O7915"/>
    <mergeCell ref="X7914:X7915"/>
    <mergeCell ref="Y7914:Y7915"/>
    <mergeCell ref="Z7914:Z7915"/>
    <mergeCell ref="AA7914:AA7915"/>
    <mergeCell ref="AB7914:AB7915"/>
    <mergeCell ref="A7908:A7909"/>
    <mergeCell ref="E7908:E7909"/>
    <mergeCell ref="H7908:H7909"/>
    <mergeCell ref="I7908:I7909"/>
    <mergeCell ref="J7908:J7909"/>
    <mergeCell ref="K7908:K7909"/>
    <mergeCell ref="L7908:L7909"/>
    <mergeCell ref="M7908:M7909"/>
    <mergeCell ref="N7908:N7909"/>
    <mergeCell ref="O7908:O7909"/>
    <mergeCell ref="X7908:X7909"/>
    <mergeCell ref="Y7908:Y7909"/>
    <mergeCell ref="Z7908:Z7909"/>
    <mergeCell ref="AA7908:AA7909"/>
    <mergeCell ref="AB7908:AB7909"/>
    <mergeCell ref="A7910:A7911"/>
    <mergeCell ref="E7910:E7911"/>
    <mergeCell ref="H7910:H7911"/>
    <mergeCell ref="I7910:I7911"/>
    <mergeCell ref="J7910:J7911"/>
    <mergeCell ref="K7910:K7911"/>
    <mergeCell ref="L7910:L7911"/>
    <mergeCell ref="M7910:M7911"/>
    <mergeCell ref="N7910:N7911"/>
    <mergeCell ref="O7910:O7911"/>
    <mergeCell ref="X7910:X7911"/>
    <mergeCell ref="Y7910:Y7911"/>
    <mergeCell ref="Z7910:Z7911"/>
    <mergeCell ref="AA7910:AA7911"/>
    <mergeCell ref="AB7910:AB7911"/>
    <mergeCell ref="A7904:A7905"/>
    <mergeCell ref="E7904:E7905"/>
    <mergeCell ref="H7904:H7905"/>
    <mergeCell ref="I7904:I7905"/>
    <mergeCell ref="J7904:J7905"/>
    <mergeCell ref="K7904:K7905"/>
    <mergeCell ref="L7904:L7905"/>
    <mergeCell ref="M7904:M7905"/>
    <mergeCell ref="N7904:N7905"/>
    <mergeCell ref="O7904:O7905"/>
    <mergeCell ref="X7904:X7905"/>
    <mergeCell ref="Y7904:Y7905"/>
    <mergeCell ref="Z7904:Z7905"/>
    <mergeCell ref="AA7904:AA7905"/>
    <mergeCell ref="AB7904:AB7905"/>
    <mergeCell ref="A7906:A7907"/>
    <mergeCell ref="E7906:E7907"/>
    <mergeCell ref="H7906:H7907"/>
    <mergeCell ref="I7906:I7907"/>
    <mergeCell ref="J7906:J7907"/>
    <mergeCell ref="K7906:K7907"/>
    <mergeCell ref="L7906:L7907"/>
    <mergeCell ref="M7906:M7907"/>
    <mergeCell ref="N7906:N7907"/>
    <mergeCell ref="O7906:O7907"/>
    <mergeCell ref="X7906:X7907"/>
    <mergeCell ref="Y7906:Y7907"/>
    <mergeCell ref="Z7906:Z7907"/>
    <mergeCell ref="AA7906:AA7907"/>
    <mergeCell ref="AB7906:AB7907"/>
    <mergeCell ref="A7900:A7901"/>
    <mergeCell ref="E7900:E7901"/>
    <mergeCell ref="H7900:H7901"/>
    <mergeCell ref="I7900:I7901"/>
    <mergeCell ref="J7900:J7901"/>
    <mergeCell ref="K7900:K7901"/>
    <mergeCell ref="L7900:L7901"/>
    <mergeCell ref="M7900:M7901"/>
    <mergeCell ref="N7900:N7901"/>
    <mergeCell ref="O7900:O7901"/>
    <mergeCell ref="X7900:X7901"/>
    <mergeCell ref="Y7900:Y7901"/>
    <mergeCell ref="Z7900:Z7901"/>
    <mergeCell ref="AA7900:AA7901"/>
    <mergeCell ref="AB7900:AB7901"/>
    <mergeCell ref="A7902:A7903"/>
    <mergeCell ref="E7902:E7903"/>
    <mergeCell ref="H7902:H7903"/>
    <mergeCell ref="I7902:I7903"/>
    <mergeCell ref="J7902:J7903"/>
    <mergeCell ref="K7902:K7903"/>
    <mergeCell ref="L7902:L7903"/>
    <mergeCell ref="M7902:M7903"/>
    <mergeCell ref="N7902:N7903"/>
    <mergeCell ref="O7902:O7903"/>
    <mergeCell ref="X7902:X7903"/>
    <mergeCell ref="Y7902:Y7903"/>
    <mergeCell ref="Z7902:Z7903"/>
    <mergeCell ref="AA7902:AA7903"/>
    <mergeCell ref="AB7902:AB7903"/>
    <mergeCell ref="A7896:A7897"/>
    <mergeCell ref="E7896:E7897"/>
    <mergeCell ref="H7896:H7897"/>
    <mergeCell ref="I7896:I7897"/>
    <mergeCell ref="J7896:J7897"/>
    <mergeCell ref="K7896:K7897"/>
    <mergeCell ref="L7896:L7897"/>
    <mergeCell ref="M7896:M7897"/>
    <mergeCell ref="N7896:N7897"/>
    <mergeCell ref="O7896:O7897"/>
    <mergeCell ref="X7896:X7897"/>
    <mergeCell ref="Y7896:Y7897"/>
    <mergeCell ref="Z7896:Z7897"/>
    <mergeCell ref="AA7896:AA7897"/>
    <mergeCell ref="AB7896:AB7897"/>
    <mergeCell ref="A7898:A7899"/>
    <mergeCell ref="E7898:E7899"/>
    <mergeCell ref="H7898:H7899"/>
    <mergeCell ref="I7898:I7899"/>
    <mergeCell ref="J7898:J7899"/>
    <mergeCell ref="K7898:K7899"/>
    <mergeCell ref="L7898:L7899"/>
    <mergeCell ref="M7898:M7899"/>
    <mergeCell ref="N7898:N7899"/>
    <mergeCell ref="O7898:O7899"/>
    <mergeCell ref="X7898:X7899"/>
    <mergeCell ref="Y7898:Y7899"/>
    <mergeCell ref="Z7898:Z7899"/>
    <mergeCell ref="AA7898:AA7899"/>
    <mergeCell ref="AB7898:AB7899"/>
    <mergeCell ref="A7892:A7893"/>
    <mergeCell ref="E7892:E7893"/>
    <mergeCell ref="H7892:H7893"/>
    <mergeCell ref="I7892:I7893"/>
    <mergeCell ref="J7892:J7893"/>
    <mergeCell ref="K7892:K7893"/>
    <mergeCell ref="L7892:L7893"/>
    <mergeCell ref="M7892:M7893"/>
    <mergeCell ref="N7892:N7893"/>
    <mergeCell ref="O7892:O7893"/>
    <mergeCell ref="X7892:X7893"/>
    <mergeCell ref="Y7892:Y7893"/>
    <mergeCell ref="Z7892:Z7893"/>
    <mergeCell ref="AA7892:AA7893"/>
    <mergeCell ref="AB7892:AB7893"/>
    <mergeCell ref="A7894:A7895"/>
    <mergeCell ref="E7894:E7895"/>
    <mergeCell ref="H7894:H7895"/>
    <mergeCell ref="I7894:I7895"/>
    <mergeCell ref="J7894:J7895"/>
    <mergeCell ref="K7894:K7895"/>
    <mergeCell ref="L7894:L7895"/>
    <mergeCell ref="M7894:M7895"/>
    <mergeCell ref="N7894:N7895"/>
    <mergeCell ref="O7894:O7895"/>
    <mergeCell ref="X7894:X7895"/>
    <mergeCell ref="Y7894:Y7895"/>
    <mergeCell ref="Z7894:Z7895"/>
    <mergeCell ref="AA7894:AA7895"/>
    <mergeCell ref="AB7894:AB7895"/>
    <mergeCell ref="A7888:A7889"/>
    <mergeCell ref="E7888:E7889"/>
    <mergeCell ref="H7888:H7889"/>
    <mergeCell ref="I7888:I7889"/>
    <mergeCell ref="J7888:J7889"/>
    <mergeCell ref="K7888:K7889"/>
    <mergeCell ref="L7888:L7889"/>
    <mergeCell ref="M7888:M7889"/>
    <mergeCell ref="N7888:N7889"/>
    <mergeCell ref="O7888:O7889"/>
    <mergeCell ref="X7888:X7889"/>
    <mergeCell ref="Y7888:Y7889"/>
    <mergeCell ref="Z7888:Z7889"/>
    <mergeCell ref="AA7888:AA7889"/>
    <mergeCell ref="AB7888:AB7889"/>
    <mergeCell ref="A7890:A7891"/>
    <mergeCell ref="E7890:E7891"/>
    <mergeCell ref="H7890:H7891"/>
    <mergeCell ref="I7890:I7891"/>
    <mergeCell ref="J7890:J7891"/>
    <mergeCell ref="K7890:K7891"/>
    <mergeCell ref="L7890:L7891"/>
    <mergeCell ref="M7890:M7891"/>
    <mergeCell ref="N7890:N7891"/>
    <mergeCell ref="O7890:O7891"/>
    <mergeCell ref="X7890:X7891"/>
    <mergeCell ref="Y7890:Y7891"/>
    <mergeCell ref="Z7890:Z7891"/>
    <mergeCell ref="AA7890:AA7891"/>
    <mergeCell ref="AB7890:AB7891"/>
    <mergeCell ref="A7884:A7885"/>
    <mergeCell ref="E7884:E7885"/>
    <mergeCell ref="H7884:H7885"/>
    <mergeCell ref="I7884:I7885"/>
    <mergeCell ref="J7884:J7885"/>
    <mergeCell ref="K7884:K7885"/>
    <mergeCell ref="L7884:L7885"/>
    <mergeCell ref="M7884:M7885"/>
    <mergeCell ref="N7884:N7885"/>
    <mergeCell ref="O7884:O7885"/>
    <mergeCell ref="X7884:X7885"/>
    <mergeCell ref="Y7884:Y7885"/>
    <mergeCell ref="Z7884:Z7885"/>
    <mergeCell ref="AA7884:AA7885"/>
    <mergeCell ref="AB7884:AB7885"/>
    <mergeCell ref="A7886:A7887"/>
    <mergeCell ref="E7886:E7887"/>
    <mergeCell ref="H7886:H7887"/>
    <mergeCell ref="I7886:I7887"/>
    <mergeCell ref="J7886:J7887"/>
    <mergeCell ref="K7886:K7887"/>
    <mergeCell ref="L7886:L7887"/>
    <mergeCell ref="M7886:M7887"/>
    <mergeCell ref="N7886:N7887"/>
    <mergeCell ref="O7886:O7887"/>
    <mergeCell ref="X7886:X7887"/>
    <mergeCell ref="Y7886:Y7887"/>
    <mergeCell ref="Z7886:Z7887"/>
    <mergeCell ref="AA7886:AA7887"/>
    <mergeCell ref="AB7886:AB7887"/>
    <mergeCell ref="A7880:A7881"/>
    <mergeCell ref="E7880:E7881"/>
    <mergeCell ref="H7880:H7881"/>
    <mergeCell ref="I7880:I7881"/>
    <mergeCell ref="J7880:J7881"/>
    <mergeCell ref="K7880:K7881"/>
    <mergeCell ref="L7880:L7881"/>
    <mergeCell ref="M7880:M7881"/>
    <mergeCell ref="N7880:N7881"/>
    <mergeCell ref="O7880:O7881"/>
    <mergeCell ref="X7880:X7881"/>
    <mergeCell ref="Y7880:Y7881"/>
    <mergeCell ref="Z7880:Z7881"/>
    <mergeCell ref="AA7880:AA7881"/>
    <mergeCell ref="AB7880:AB7881"/>
    <mergeCell ref="A7882:A7883"/>
    <mergeCell ref="E7882:E7883"/>
    <mergeCell ref="H7882:H7883"/>
    <mergeCell ref="I7882:I7883"/>
    <mergeCell ref="J7882:J7883"/>
    <mergeCell ref="K7882:K7883"/>
    <mergeCell ref="L7882:L7883"/>
    <mergeCell ref="M7882:M7883"/>
    <mergeCell ref="N7882:N7883"/>
    <mergeCell ref="O7882:O7883"/>
    <mergeCell ref="X7882:X7883"/>
    <mergeCell ref="Y7882:Y7883"/>
    <mergeCell ref="Z7882:Z7883"/>
    <mergeCell ref="AA7882:AA7883"/>
    <mergeCell ref="AB7882:AB7883"/>
    <mergeCell ref="A7876:A7877"/>
    <mergeCell ref="E7876:E7877"/>
    <mergeCell ref="H7876:H7877"/>
    <mergeCell ref="I7876:I7877"/>
    <mergeCell ref="J7876:J7877"/>
    <mergeCell ref="K7876:K7877"/>
    <mergeCell ref="L7876:L7877"/>
    <mergeCell ref="M7876:M7877"/>
    <mergeCell ref="N7876:N7877"/>
    <mergeCell ref="O7876:O7877"/>
    <mergeCell ref="X7876:X7877"/>
    <mergeCell ref="Y7876:Y7877"/>
    <mergeCell ref="Z7876:Z7877"/>
    <mergeCell ref="AA7876:AA7877"/>
    <mergeCell ref="AB7876:AB7877"/>
    <mergeCell ref="A7878:A7879"/>
    <mergeCell ref="E7878:E7879"/>
    <mergeCell ref="H7878:H7879"/>
    <mergeCell ref="I7878:I7879"/>
    <mergeCell ref="J7878:J7879"/>
    <mergeCell ref="K7878:K7879"/>
    <mergeCell ref="L7878:L7879"/>
    <mergeCell ref="M7878:M7879"/>
    <mergeCell ref="N7878:N7879"/>
    <mergeCell ref="O7878:O7879"/>
    <mergeCell ref="X7878:X7879"/>
    <mergeCell ref="Y7878:Y7879"/>
    <mergeCell ref="Z7878:Z7879"/>
    <mergeCell ref="AA7878:AA7879"/>
    <mergeCell ref="AB7878:AB7879"/>
    <mergeCell ref="A7872:A7873"/>
    <mergeCell ref="E7872:E7873"/>
    <mergeCell ref="H7872:H7873"/>
    <mergeCell ref="I7872:I7873"/>
    <mergeCell ref="J7872:J7873"/>
    <mergeCell ref="K7872:K7873"/>
    <mergeCell ref="L7872:L7873"/>
    <mergeCell ref="M7872:M7873"/>
    <mergeCell ref="N7872:N7873"/>
    <mergeCell ref="O7872:O7873"/>
    <mergeCell ref="X7872:X7873"/>
    <mergeCell ref="Y7872:Y7873"/>
    <mergeCell ref="Z7872:Z7873"/>
    <mergeCell ref="AA7872:AA7873"/>
    <mergeCell ref="AB7872:AB7873"/>
    <mergeCell ref="A7874:A7875"/>
    <mergeCell ref="E7874:E7875"/>
    <mergeCell ref="H7874:H7875"/>
    <mergeCell ref="I7874:I7875"/>
    <mergeCell ref="J7874:J7875"/>
    <mergeCell ref="K7874:K7875"/>
    <mergeCell ref="L7874:L7875"/>
    <mergeCell ref="M7874:M7875"/>
    <mergeCell ref="N7874:N7875"/>
    <mergeCell ref="O7874:O7875"/>
    <mergeCell ref="X7874:X7875"/>
    <mergeCell ref="Y7874:Y7875"/>
    <mergeCell ref="Z7874:Z7875"/>
    <mergeCell ref="AA7874:AA7875"/>
    <mergeCell ref="AB7874:AB7875"/>
    <mergeCell ref="A7868:A7869"/>
    <mergeCell ref="E7868:E7869"/>
    <mergeCell ref="H7868:H7869"/>
    <mergeCell ref="I7868:I7869"/>
    <mergeCell ref="J7868:J7869"/>
    <mergeCell ref="K7868:K7869"/>
    <mergeCell ref="L7868:L7869"/>
    <mergeCell ref="M7868:M7869"/>
    <mergeCell ref="N7868:N7869"/>
    <mergeCell ref="O7868:O7869"/>
    <mergeCell ref="X7868:X7869"/>
    <mergeCell ref="Y7868:Y7869"/>
    <mergeCell ref="Z7868:Z7869"/>
    <mergeCell ref="AA7868:AA7869"/>
    <mergeCell ref="AB7868:AB7869"/>
    <mergeCell ref="A7870:A7871"/>
    <mergeCell ref="E7870:E7871"/>
    <mergeCell ref="H7870:H7871"/>
    <mergeCell ref="I7870:I7871"/>
    <mergeCell ref="J7870:J7871"/>
    <mergeCell ref="K7870:K7871"/>
    <mergeCell ref="L7870:L7871"/>
    <mergeCell ref="M7870:M7871"/>
    <mergeCell ref="N7870:N7871"/>
    <mergeCell ref="O7870:O7871"/>
    <mergeCell ref="X7870:X7871"/>
    <mergeCell ref="Y7870:Y7871"/>
    <mergeCell ref="Z7870:Z7871"/>
    <mergeCell ref="AA7870:AA7871"/>
    <mergeCell ref="AB7870:AB7871"/>
    <mergeCell ref="A7864:A7865"/>
    <mergeCell ref="E7864:E7865"/>
    <mergeCell ref="H7864:H7865"/>
    <mergeCell ref="I7864:I7865"/>
    <mergeCell ref="J7864:J7865"/>
    <mergeCell ref="K7864:K7865"/>
    <mergeCell ref="L7864:L7865"/>
    <mergeCell ref="M7864:M7865"/>
    <mergeCell ref="N7864:N7865"/>
    <mergeCell ref="O7864:O7865"/>
    <mergeCell ref="X7864:X7865"/>
    <mergeCell ref="Y7864:Y7865"/>
    <mergeCell ref="Z7864:Z7865"/>
    <mergeCell ref="AA7864:AA7865"/>
    <mergeCell ref="AB7864:AB7865"/>
    <mergeCell ref="A7866:A7867"/>
    <mergeCell ref="E7866:E7867"/>
    <mergeCell ref="H7866:H7867"/>
    <mergeCell ref="I7866:I7867"/>
    <mergeCell ref="J7866:J7867"/>
    <mergeCell ref="K7866:K7867"/>
    <mergeCell ref="L7866:L7867"/>
    <mergeCell ref="M7866:M7867"/>
    <mergeCell ref="N7866:N7867"/>
    <mergeCell ref="O7866:O7867"/>
    <mergeCell ref="X7866:X7867"/>
    <mergeCell ref="Y7866:Y7867"/>
    <mergeCell ref="Z7866:Z7867"/>
    <mergeCell ref="AA7866:AA7867"/>
    <mergeCell ref="AB7866:AB7867"/>
    <mergeCell ref="A7860:A7861"/>
    <mergeCell ref="E7860:E7861"/>
    <mergeCell ref="H7860:H7861"/>
    <mergeCell ref="I7860:I7861"/>
    <mergeCell ref="J7860:J7861"/>
    <mergeCell ref="K7860:K7861"/>
    <mergeCell ref="L7860:L7861"/>
    <mergeCell ref="M7860:M7861"/>
    <mergeCell ref="N7860:N7861"/>
    <mergeCell ref="O7860:O7861"/>
    <mergeCell ref="X7860:X7861"/>
    <mergeCell ref="Y7860:Y7861"/>
    <mergeCell ref="Z7860:Z7861"/>
    <mergeCell ref="AA7860:AA7861"/>
    <mergeCell ref="AB7860:AB7861"/>
    <mergeCell ref="A7862:A7863"/>
    <mergeCell ref="E7862:E7863"/>
    <mergeCell ref="H7862:H7863"/>
    <mergeCell ref="I7862:I7863"/>
    <mergeCell ref="J7862:J7863"/>
    <mergeCell ref="K7862:K7863"/>
    <mergeCell ref="L7862:L7863"/>
    <mergeCell ref="M7862:M7863"/>
    <mergeCell ref="N7862:N7863"/>
    <mergeCell ref="O7862:O7863"/>
    <mergeCell ref="X7862:X7863"/>
    <mergeCell ref="Y7862:Y7863"/>
    <mergeCell ref="Z7862:Z7863"/>
    <mergeCell ref="AA7862:AA7863"/>
    <mergeCell ref="AB7862:AB7863"/>
    <mergeCell ref="A7856:A7857"/>
    <mergeCell ref="E7856:E7857"/>
    <mergeCell ref="H7856:H7857"/>
    <mergeCell ref="I7856:I7857"/>
    <mergeCell ref="J7856:J7857"/>
    <mergeCell ref="K7856:K7857"/>
    <mergeCell ref="L7856:L7857"/>
    <mergeCell ref="M7856:M7857"/>
    <mergeCell ref="N7856:N7857"/>
    <mergeCell ref="O7856:O7857"/>
    <mergeCell ref="X7856:X7857"/>
    <mergeCell ref="Y7856:Y7857"/>
    <mergeCell ref="Z7856:Z7857"/>
    <mergeCell ref="AA7856:AA7857"/>
    <mergeCell ref="AB7856:AB7857"/>
    <mergeCell ref="A7858:A7859"/>
    <mergeCell ref="E7858:E7859"/>
    <mergeCell ref="H7858:H7859"/>
    <mergeCell ref="I7858:I7859"/>
    <mergeCell ref="J7858:J7859"/>
    <mergeCell ref="K7858:K7859"/>
    <mergeCell ref="L7858:L7859"/>
    <mergeCell ref="M7858:M7859"/>
    <mergeCell ref="N7858:N7859"/>
    <mergeCell ref="O7858:O7859"/>
    <mergeCell ref="X7858:X7859"/>
    <mergeCell ref="Y7858:Y7859"/>
    <mergeCell ref="Z7858:Z7859"/>
    <mergeCell ref="AA7858:AA7859"/>
    <mergeCell ref="AB7858:AB7859"/>
    <mergeCell ref="A7852:A7853"/>
    <mergeCell ref="E7852:E7853"/>
    <mergeCell ref="H7852:H7853"/>
    <mergeCell ref="I7852:I7853"/>
    <mergeCell ref="J7852:J7853"/>
    <mergeCell ref="K7852:K7853"/>
    <mergeCell ref="L7852:L7853"/>
    <mergeCell ref="M7852:M7853"/>
    <mergeCell ref="N7852:N7853"/>
    <mergeCell ref="O7852:O7853"/>
    <mergeCell ref="X7852:X7853"/>
    <mergeCell ref="Y7852:Y7853"/>
    <mergeCell ref="Z7852:Z7853"/>
    <mergeCell ref="AA7852:AA7853"/>
    <mergeCell ref="AB7852:AB7853"/>
    <mergeCell ref="A7854:A7855"/>
    <mergeCell ref="E7854:E7855"/>
    <mergeCell ref="H7854:H7855"/>
    <mergeCell ref="I7854:I7855"/>
    <mergeCell ref="J7854:J7855"/>
    <mergeCell ref="K7854:K7855"/>
    <mergeCell ref="L7854:L7855"/>
    <mergeCell ref="M7854:M7855"/>
    <mergeCell ref="N7854:N7855"/>
    <mergeCell ref="O7854:O7855"/>
    <mergeCell ref="X7854:X7855"/>
    <mergeCell ref="Y7854:Y7855"/>
    <mergeCell ref="Z7854:Z7855"/>
    <mergeCell ref="AA7854:AA7855"/>
    <mergeCell ref="AB7854:AB7855"/>
    <mergeCell ref="A7632:A7633"/>
    <mergeCell ref="E7632:E7633"/>
    <mergeCell ref="H7632:H7633"/>
    <mergeCell ref="I7632:I7633"/>
    <mergeCell ref="J7632:J7633"/>
    <mergeCell ref="K7632:K7633"/>
    <mergeCell ref="L7632:L7633"/>
    <mergeCell ref="M7632:M7633"/>
    <mergeCell ref="N7632:N7633"/>
    <mergeCell ref="O7632:O7633"/>
    <mergeCell ref="X7632:X7633"/>
    <mergeCell ref="Y7632:Y7633"/>
    <mergeCell ref="Z7632:Z7633"/>
    <mergeCell ref="AA7632:AA7633"/>
    <mergeCell ref="AB7632:AB7633"/>
    <mergeCell ref="A7634:A7635"/>
    <mergeCell ref="E7634:E7635"/>
    <mergeCell ref="H7634:H7635"/>
    <mergeCell ref="I7634:I7635"/>
    <mergeCell ref="J7634:J7635"/>
    <mergeCell ref="K7634:K7635"/>
    <mergeCell ref="L7634:L7635"/>
    <mergeCell ref="M7634:M7635"/>
    <mergeCell ref="N7634:N7635"/>
    <mergeCell ref="O7634:O7635"/>
    <mergeCell ref="X7634:X7635"/>
    <mergeCell ref="Y7634:Y7635"/>
    <mergeCell ref="Z7634:Z7635"/>
    <mergeCell ref="AA7634:AA7635"/>
    <mergeCell ref="AB7634:AB7635"/>
    <mergeCell ref="J7840:J7841"/>
    <mergeCell ref="K7840:K7841"/>
    <mergeCell ref="L7840:L7841"/>
    <mergeCell ref="M7840:M7841"/>
    <mergeCell ref="N7840:N7841"/>
    <mergeCell ref="O7840:O7841"/>
    <mergeCell ref="X7840:X7841"/>
    <mergeCell ref="Y7840:Y7841"/>
    <mergeCell ref="Z7840:Z7841"/>
    <mergeCell ref="AA7840:AA7841"/>
    <mergeCell ref="AB7840:AB7841"/>
    <mergeCell ref="A7850:A7851"/>
    <mergeCell ref="E7850:E7851"/>
    <mergeCell ref="H7850:H7851"/>
    <mergeCell ref="I7850:I7851"/>
    <mergeCell ref="J7850:J7851"/>
    <mergeCell ref="K7850:K7851"/>
    <mergeCell ref="L7850:L7851"/>
    <mergeCell ref="M7850:M7851"/>
    <mergeCell ref="N7850:N7851"/>
    <mergeCell ref="O7850:O7851"/>
    <mergeCell ref="X7850:X7851"/>
    <mergeCell ref="Y7850:Y7851"/>
    <mergeCell ref="Z7850:Z7851"/>
    <mergeCell ref="AA7850:AA7851"/>
    <mergeCell ref="AB7850:AB7851"/>
    <mergeCell ref="A7846:A7847"/>
    <mergeCell ref="E7846:E7847"/>
    <mergeCell ref="H7846:H7847"/>
    <mergeCell ref="I7846:I7847"/>
    <mergeCell ref="J7846:J7847"/>
    <mergeCell ref="K7846:K7847"/>
    <mergeCell ref="L7846:L7847"/>
    <mergeCell ref="M7846:M7847"/>
    <mergeCell ref="N7846:N7847"/>
    <mergeCell ref="O7846:O7847"/>
    <mergeCell ref="X7846:X7847"/>
    <mergeCell ref="Y7846:Y7847"/>
    <mergeCell ref="Z7846:Z7847"/>
    <mergeCell ref="AA7846:AA7847"/>
    <mergeCell ref="AB7846:AB7847"/>
    <mergeCell ref="A7848:A7849"/>
    <mergeCell ref="E7848:E7849"/>
    <mergeCell ref="H7848:H7849"/>
    <mergeCell ref="I7848:I7849"/>
    <mergeCell ref="J7848:J7849"/>
    <mergeCell ref="K7848:K7849"/>
    <mergeCell ref="L7848:L7849"/>
    <mergeCell ref="M7848:M7849"/>
    <mergeCell ref="N7848:N7849"/>
    <mergeCell ref="O7848:O7849"/>
    <mergeCell ref="X7848:X7849"/>
    <mergeCell ref="Y7848:Y7849"/>
    <mergeCell ref="Z7848:Z7849"/>
    <mergeCell ref="AA7848:AA7849"/>
    <mergeCell ref="AB7848:AB7849"/>
    <mergeCell ref="A7836:A7837"/>
    <mergeCell ref="E7836:E7837"/>
    <mergeCell ref="H7836:H7837"/>
    <mergeCell ref="I7836:I7837"/>
    <mergeCell ref="J7836:J7837"/>
    <mergeCell ref="K7836:K7837"/>
    <mergeCell ref="L7836:L7837"/>
    <mergeCell ref="M7836:M7837"/>
    <mergeCell ref="N7836:N7837"/>
    <mergeCell ref="O7836:O7837"/>
    <mergeCell ref="X7836:X7837"/>
    <mergeCell ref="Y7836:Y7837"/>
    <mergeCell ref="Z7836:Z7837"/>
    <mergeCell ref="AA7836:AA7837"/>
    <mergeCell ref="AB7836:AB7837"/>
    <mergeCell ref="AB7844:AB7845"/>
    <mergeCell ref="A7838:A7839"/>
    <mergeCell ref="E7838:E7839"/>
    <mergeCell ref="H7838:H7839"/>
    <mergeCell ref="I7838:I7839"/>
    <mergeCell ref="J7838:J7839"/>
    <mergeCell ref="K7838:K7839"/>
    <mergeCell ref="L7838:L7839"/>
    <mergeCell ref="M7838:M7839"/>
    <mergeCell ref="N7838:N7839"/>
    <mergeCell ref="O7838:O7839"/>
    <mergeCell ref="X7838:X7839"/>
    <mergeCell ref="Y7838:Y7839"/>
    <mergeCell ref="Z7838:Z7839"/>
    <mergeCell ref="AA7838:AA7839"/>
    <mergeCell ref="AB7838:AB7839"/>
    <mergeCell ref="A7840:A7841"/>
    <mergeCell ref="E7840:E7841"/>
    <mergeCell ref="A7842:A7843"/>
    <mergeCell ref="E7842:E7843"/>
    <mergeCell ref="H7842:H7843"/>
    <mergeCell ref="I7842:I7843"/>
    <mergeCell ref="J7842:J7843"/>
    <mergeCell ref="K7842:K7843"/>
    <mergeCell ref="L7842:L7843"/>
    <mergeCell ref="M7842:M7843"/>
    <mergeCell ref="N7842:N7843"/>
    <mergeCell ref="O7842:O7843"/>
    <mergeCell ref="X7842:X7843"/>
    <mergeCell ref="Y7842:Y7843"/>
    <mergeCell ref="Z7842:Z7843"/>
    <mergeCell ref="AA7842:AA7843"/>
    <mergeCell ref="AB7842:AB7843"/>
    <mergeCell ref="A7844:A7845"/>
    <mergeCell ref="E7844:E7845"/>
    <mergeCell ref="H7844:H7845"/>
    <mergeCell ref="I7844:I7845"/>
    <mergeCell ref="J7844:J7845"/>
    <mergeCell ref="K7844:K7845"/>
    <mergeCell ref="L7844:L7845"/>
    <mergeCell ref="M7844:M7845"/>
    <mergeCell ref="N7844:N7845"/>
    <mergeCell ref="O7844:O7845"/>
    <mergeCell ref="X7844:X7845"/>
    <mergeCell ref="Y7844:Y7845"/>
    <mergeCell ref="Z7844:Z7845"/>
    <mergeCell ref="AA7844:AA7845"/>
    <mergeCell ref="H7840:H7841"/>
    <mergeCell ref="I7840:I7841"/>
    <mergeCell ref="A7832:A7833"/>
    <mergeCell ref="E7832:E7833"/>
    <mergeCell ref="H7832:H7833"/>
    <mergeCell ref="I7832:I7833"/>
    <mergeCell ref="J7832:J7833"/>
    <mergeCell ref="K7832:K7833"/>
    <mergeCell ref="L7832:L7833"/>
    <mergeCell ref="M7832:M7833"/>
    <mergeCell ref="N7832:N7833"/>
    <mergeCell ref="O7832:O7833"/>
    <mergeCell ref="X7832:X7833"/>
    <mergeCell ref="Y7832:Y7833"/>
    <mergeCell ref="Z7832:Z7833"/>
    <mergeCell ref="AA7832:AA7833"/>
    <mergeCell ref="AB7832:AB7833"/>
    <mergeCell ref="A7834:A7835"/>
    <mergeCell ref="E7834:E7835"/>
    <mergeCell ref="H7834:H7835"/>
    <mergeCell ref="I7834:I7835"/>
    <mergeCell ref="J7834:J7835"/>
    <mergeCell ref="K7834:K7835"/>
    <mergeCell ref="L7834:L7835"/>
    <mergeCell ref="M7834:M7835"/>
    <mergeCell ref="N7834:N7835"/>
    <mergeCell ref="O7834:O7835"/>
    <mergeCell ref="X7834:X7835"/>
    <mergeCell ref="Y7834:Y7835"/>
    <mergeCell ref="Z7834:Z7835"/>
    <mergeCell ref="AA7834:AA7835"/>
    <mergeCell ref="AB7834:AB7835"/>
    <mergeCell ref="A7828:A7829"/>
    <mergeCell ref="E7828:E7829"/>
    <mergeCell ref="H7828:H7829"/>
    <mergeCell ref="I7828:I7829"/>
    <mergeCell ref="J7828:J7829"/>
    <mergeCell ref="K7828:K7829"/>
    <mergeCell ref="L7828:L7829"/>
    <mergeCell ref="M7828:M7829"/>
    <mergeCell ref="N7828:N7829"/>
    <mergeCell ref="O7828:O7829"/>
    <mergeCell ref="X7828:X7829"/>
    <mergeCell ref="Y7828:Y7829"/>
    <mergeCell ref="Z7828:Z7829"/>
    <mergeCell ref="AA7828:AA7829"/>
    <mergeCell ref="AB7828:AB7829"/>
    <mergeCell ref="A7830:A7831"/>
    <mergeCell ref="E7830:E7831"/>
    <mergeCell ref="H7830:H7831"/>
    <mergeCell ref="I7830:I7831"/>
    <mergeCell ref="J7830:J7831"/>
    <mergeCell ref="K7830:K7831"/>
    <mergeCell ref="L7830:L7831"/>
    <mergeCell ref="M7830:M7831"/>
    <mergeCell ref="N7830:N7831"/>
    <mergeCell ref="O7830:O7831"/>
    <mergeCell ref="X7830:X7831"/>
    <mergeCell ref="Y7830:Y7831"/>
    <mergeCell ref="Z7830:Z7831"/>
    <mergeCell ref="AA7830:AA7831"/>
    <mergeCell ref="AB7830:AB7831"/>
    <mergeCell ref="A7824:A7825"/>
    <mergeCell ref="E7824:E7825"/>
    <mergeCell ref="H7824:H7825"/>
    <mergeCell ref="I7824:I7825"/>
    <mergeCell ref="J7824:J7825"/>
    <mergeCell ref="K7824:K7825"/>
    <mergeCell ref="L7824:L7825"/>
    <mergeCell ref="M7824:M7825"/>
    <mergeCell ref="N7824:N7825"/>
    <mergeCell ref="O7824:O7825"/>
    <mergeCell ref="X7824:X7825"/>
    <mergeCell ref="Y7824:Y7825"/>
    <mergeCell ref="Z7824:Z7825"/>
    <mergeCell ref="AA7824:AA7825"/>
    <mergeCell ref="AB7824:AB7825"/>
    <mergeCell ref="A7826:A7827"/>
    <mergeCell ref="E7826:E7827"/>
    <mergeCell ref="H7826:H7827"/>
    <mergeCell ref="I7826:I7827"/>
    <mergeCell ref="J7826:J7827"/>
    <mergeCell ref="K7826:K7827"/>
    <mergeCell ref="L7826:L7827"/>
    <mergeCell ref="M7826:M7827"/>
    <mergeCell ref="N7826:N7827"/>
    <mergeCell ref="O7826:O7827"/>
    <mergeCell ref="X7826:X7827"/>
    <mergeCell ref="Y7826:Y7827"/>
    <mergeCell ref="Z7826:Z7827"/>
    <mergeCell ref="AA7826:AA7827"/>
    <mergeCell ref="AB7826:AB7827"/>
    <mergeCell ref="A7820:A7821"/>
    <mergeCell ref="E7820:E7821"/>
    <mergeCell ref="H7820:H7821"/>
    <mergeCell ref="I7820:I7821"/>
    <mergeCell ref="J7820:J7821"/>
    <mergeCell ref="K7820:K7821"/>
    <mergeCell ref="L7820:L7821"/>
    <mergeCell ref="M7820:M7821"/>
    <mergeCell ref="N7820:N7821"/>
    <mergeCell ref="O7820:O7821"/>
    <mergeCell ref="X7820:X7821"/>
    <mergeCell ref="Y7820:Y7821"/>
    <mergeCell ref="Z7820:Z7821"/>
    <mergeCell ref="AA7820:AA7821"/>
    <mergeCell ref="AB7820:AB7821"/>
    <mergeCell ref="A7822:A7823"/>
    <mergeCell ref="E7822:E7823"/>
    <mergeCell ref="H7822:H7823"/>
    <mergeCell ref="I7822:I7823"/>
    <mergeCell ref="J7822:J7823"/>
    <mergeCell ref="K7822:K7823"/>
    <mergeCell ref="L7822:L7823"/>
    <mergeCell ref="M7822:M7823"/>
    <mergeCell ref="N7822:N7823"/>
    <mergeCell ref="O7822:O7823"/>
    <mergeCell ref="X7822:X7823"/>
    <mergeCell ref="Y7822:Y7823"/>
    <mergeCell ref="Z7822:Z7823"/>
    <mergeCell ref="AA7822:AA7823"/>
    <mergeCell ref="AB7822:AB7823"/>
    <mergeCell ref="A7816:A7817"/>
    <mergeCell ref="E7816:E7817"/>
    <mergeCell ref="H7816:H7817"/>
    <mergeCell ref="I7816:I7817"/>
    <mergeCell ref="J7816:J7817"/>
    <mergeCell ref="K7816:K7817"/>
    <mergeCell ref="L7816:L7817"/>
    <mergeCell ref="M7816:M7817"/>
    <mergeCell ref="N7816:N7817"/>
    <mergeCell ref="O7816:O7817"/>
    <mergeCell ref="X7816:X7817"/>
    <mergeCell ref="Y7816:Y7817"/>
    <mergeCell ref="Z7816:Z7817"/>
    <mergeCell ref="AA7816:AA7817"/>
    <mergeCell ref="AB7816:AB7817"/>
    <mergeCell ref="A7818:A7819"/>
    <mergeCell ref="E7818:E7819"/>
    <mergeCell ref="H7818:H7819"/>
    <mergeCell ref="I7818:I7819"/>
    <mergeCell ref="J7818:J7819"/>
    <mergeCell ref="K7818:K7819"/>
    <mergeCell ref="L7818:L7819"/>
    <mergeCell ref="M7818:M7819"/>
    <mergeCell ref="N7818:N7819"/>
    <mergeCell ref="O7818:O7819"/>
    <mergeCell ref="X7818:X7819"/>
    <mergeCell ref="Y7818:Y7819"/>
    <mergeCell ref="Z7818:Z7819"/>
    <mergeCell ref="AA7818:AA7819"/>
    <mergeCell ref="AB7818:AB7819"/>
    <mergeCell ref="A7812:A7813"/>
    <mergeCell ref="E7812:E7813"/>
    <mergeCell ref="H7812:H7813"/>
    <mergeCell ref="I7812:I7813"/>
    <mergeCell ref="J7812:J7813"/>
    <mergeCell ref="K7812:K7813"/>
    <mergeCell ref="L7812:L7813"/>
    <mergeCell ref="M7812:M7813"/>
    <mergeCell ref="N7812:N7813"/>
    <mergeCell ref="O7812:O7813"/>
    <mergeCell ref="X7812:X7813"/>
    <mergeCell ref="Y7812:Y7813"/>
    <mergeCell ref="Z7812:Z7813"/>
    <mergeCell ref="AA7812:AA7813"/>
    <mergeCell ref="AB7812:AB7813"/>
    <mergeCell ref="A7814:A7815"/>
    <mergeCell ref="E7814:E7815"/>
    <mergeCell ref="H7814:H7815"/>
    <mergeCell ref="I7814:I7815"/>
    <mergeCell ref="J7814:J7815"/>
    <mergeCell ref="K7814:K7815"/>
    <mergeCell ref="L7814:L7815"/>
    <mergeCell ref="M7814:M7815"/>
    <mergeCell ref="N7814:N7815"/>
    <mergeCell ref="O7814:O7815"/>
    <mergeCell ref="X7814:X7815"/>
    <mergeCell ref="Y7814:Y7815"/>
    <mergeCell ref="Z7814:Z7815"/>
    <mergeCell ref="AA7814:AA7815"/>
    <mergeCell ref="AB7814:AB7815"/>
    <mergeCell ref="A7808:A7809"/>
    <mergeCell ref="E7808:E7809"/>
    <mergeCell ref="H7808:H7809"/>
    <mergeCell ref="I7808:I7809"/>
    <mergeCell ref="J7808:J7809"/>
    <mergeCell ref="K7808:K7809"/>
    <mergeCell ref="L7808:L7809"/>
    <mergeCell ref="M7808:M7809"/>
    <mergeCell ref="N7808:N7809"/>
    <mergeCell ref="O7808:O7809"/>
    <mergeCell ref="X7808:X7809"/>
    <mergeCell ref="Y7808:Y7809"/>
    <mergeCell ref="Z7808:Z7809"/>
    <mergeCell ref="AA7808:AA7809"/>
    <mergeCell ref="AB7808:AB7809"/>
    <mergeCell ref="A7810:A7811"/>
    <mergeCell ref="E7810:E7811"/>
    <mergeCell ref="H7810:H7811"/>
    <mergeCell ref="I7810:I7811"/>
    <mergeCell ref="J7810:J7811"/>
    <mergeCell ref="K7810:K7811"/>
    <mergeCell ref="L7810:L7811"/>
    <mergeCell ref="M7810:M7811"/>
    <mergeCell ref="N7810:N7811"/>
    <mergeCell ref="O7810:O7811"/>
    <mergeCell ref="X7810:X7811"/>
    <mergeCell ref="Y7810:Y7811"/>
    <mergeCell ref="Z7810:Z7811"/>
    <mergeCell ref="AA7810:AA7811"/>
    <mergeCell ref="AB7810:AB7811"/>
    <mergeCell ref="A7804:A7805"/>
    <mergeCell ref="E7804:E7805"/>
    <mergeCell ref="H7804:H7805"/>
    <mergeCell ref="I7804:I7805"/>
    <mergeCell ref="J7804:J7805"/>
    <mergeCell ref="K7804:K7805"/>
    <mergeCell ref="L7804:L7805"/>
    <mergeCell ref="M7804:M7805"/>
    <mergeCell ref="N7804:N7805"/>
    <mergeCell ref="O7804:O7805"/>
    <mergeCell ref="X7804:X7805"/>
    <mergeCell ref="Y7804:Y7805"/>
    <mergeCell ref="Z7804:Z7805"/>
    <mergeCell ref="AA7804:AA7805"/>
    <mergeCell ref="AB7804:AB7805"/>
    <mergeCell ref="A7806:A7807"/>
    <mergeCell ref="E7806:E7807"/>
    <mergeCell ref="H7806:H7807"/>
    <mergeCell ref="I7806:I7807"/>
    <mergeCell ref="J7806:J7807"/>
    <mergeCell ref="K7806:K7807"/>
    <mergeCell ref="L7806:L7807"/>
    <mergeCell ref="M7806:M7807"/>
    <mergeCell ref="N7806:N7807"/>
    <mergeCell ref="O7806:O7807"/>
    <mergeCell ref="X7806:X7807"/>
    <mergeCell ref="Y7806:Y7807"/>
    <mergeCell ref="Z7806:Z7807"/>
    <mergeCell ref="AA7806:AA7807"/>
    <mergeCell ref="AB7806:AB7807"/>
    <mergeCell ref="A7800:A7801"/>
    <mergeCell ref="E7800:E7801"/>
    <mergeCell ref="H7800:H7801"/>
    <mergeCell ref="I7800:I7801"/>
    <mergeCell ref="J7800:J7801"/>
    <mergeCell ref="K7800:K7801"/>
    <mergeCell ref="L7800:L7801"/>
    <mergeCell ref="M7800:M7801"/>
    <mergeCell ref="N7800:N7801"/>
    <mergeCell ref="O7800:O7801"/>
    <mergeCell ref="X7800:X7801"/>
    <mergeCell ref="Y7800:Y7801"/>
    <mergeCell ref="Z7800:Z7801"/>
    <mergeCell ref="AA7800:AA7801"/>
    <mergeCell ref="AB7800:AB7801"/>
    <mergeCell ref="A7802:A7803"/>
    <mergeCell ref="E7802:E7803"/>
    <mergeCell ref="H7802:H7803"/>
    <mergeCell ref="I7802:I7803"/>
    <mergeCell ref="J7802:J7803"/>
    <mergeCell ref="K7802:K7803"/>
    <mergeCell ref="L7802:L7803"/>
    <mergeCell ref="M7802:M7803"/>
    <mergeCell ref="N7802:N7803"/>
    <mergeCell ref="O7802:O7803"/>
    <mergeCell ref="X7802:X7803"/>
    <mergeCell ref="Y7802:Y7803"/>
    <mergeCell ref="Z7802:Z7803"/>
    <mergeCell ref="AA7802:AA7803"/>
    <mergeCell ref="AB7802:AB7803"/>
    <mergeCell ref="A7796:A7797"/>
    <mergeCell ref="E7796:E7797"/>
    <mergeCell ref="H7796:H7797"/>
    <mergeCell ref="I7796:I7797"/>
    <mergeCell ref="J7796:J7797"/>
    <mergeCell ref="K7796:K7797"/>
    <mergeCell ref="L7796:L7797"/>
    <mergeCell ref="M7796:M7797"/>
    <mergeCell ref="N7796:N7797"/>
    <mergeCell ref="O7796:O7797"/>
    <mergeCell ref="X7796:X7797"/>
    <mergeCell ref="Y7796:Y7797"/>
    <mergeCell ref="Z7796:Z7797"/>
    <mergeCell ref="AA7796:AA7797"/>
    <mergeCell ref="AB7796:AB7797"/>
    <mergeCell ref="A7798:A7799"/>
    <mergeCell ref="E7798:E7799"/>
    <mergeCell ref="H7798:H7799"/>
    <mergeCell ref="I7798:I7799"/>
    <mergeCell ref="J7798:J7799"/>
    <mergeCell ref="K7798:K7799"/>
    <mergeCell ref="L7798:L7799"/>
    <mergeCell ref="M7798:M7799"/>
    <mergeCell ref="N7798:N7799"/>
    <mergeCell ref="O7798:O7799"/>
    <mergeCell ref="X7798:X7799"/>
    <mergeCell ref="Y7798:Y7799"/>
    <mergeCell ref="Z7798:Z7799"/>
    <mergeCell ref="AA7798:AA7799"/>
    <mergeCell ref="AB7798:AB7799"/>
    <mergeCell ref="A7792:A7793"/>
    <mergeCell ref="E7792:E7793"/>
    <mergeCell ref="H7792:H7793"/>
    <mergeCell ref="I7792:I7793"/>
    <mergeCell ref="J7792:J7793"/>
    <mergeCell ref="K7792:K7793"/>
    <mergeCell ref="L7792:L7793"/>
    <mergeCell ref="M7792:M7793"/>
    <mergeCell ref="N7792:N7793"/>
    <mergeCell ref="O7792:O7793"/>
    <mergeCell ref="X7792:X7793"/>
    <mergeCell ref="Y7792:Y7793"/>
    <mergeCell ref="Z7792:Z7793"/>
    <mergeCell ref="AA7792:AA7793"/>
    <mergeCell ref="AB7792:AB7793"/>
    <mergeCell ref="A7794:A7795"/>
    <mergeCell ref="E7794:E7795"/>
    <mergeCell ref="H7794:H7795"/>
    <mergeCell ref="I7794:I7795"/>
    <mergeCell ref="J7794:J7795"/>
    <mergeCell ref="K7794:K7795"/>
    <mergeCell ref="L7794:L7795"/>
    <mergeCell ref="M7794:M7795"/>
    <mergeCell ref="N7794:N7795"/>
    <mergeCell ref="O7794:O7795"/>
    <mergeCell ref="X7794:X7795"/>
    <mergeCell ref="Y7794:Y7795"/>
    <mergeCell ref="Z7794:Z7795"/>
    <mergeCell ref="AA7794:AA7795"/>
    <mergeCell ref="AB7794:AB7795"/>
    <mergeCell ref="A7788:A7789"/>
    <mergeCell ref="E7788:E7789"/>
    <mergeCell ref="H7788:H7789"/>
    <mergeCell ref="I7788:I7789"/>
    <mergeCell ref="J7788:J7789"/>
    <mergeCell ref="K7788:K7789"/>
    <mergeCell ref="L7788:L7789"/>
    <mergeCell ref="M7788:M7789"/>
    <mergeCell ref="N7788:N7789"/>
    <mergeCell ref="O7788:O7789"/>
    <mergeCell ref="X7788:X7789"/>
    <mergeCell ref="Y7788:Y7789"/>
    <mergeCell ref="Z7788:Z7789"/>
    <mergeCell ref="AA7788:AA7789"/>
    <mergeCell ref="AB7788:AB7789"/>
    <mergeCell ref="A7790:A7791"/>
    <mergeCell ref="E7790:E7791"/>
    <mergeCell ref="H7790:H7791"/>
    <mergeCell ref="I7790:I7791"/>
    <mergeCell ref="J7790:J7791"/>
    <mergeCell ref="K7790:K7791"/>
    <mergeCell ref="L7790:L7791"/>
    <mergeCell ref="M7790:M7791"/>
    <mergeCell ref="N7790:N7791"/>
    <mergeCell ref="O7790:O7791"/>
    <mergeCell ref="X7790:X7791"/>
    <mergeCell ref="Y7790:Y7791"/>
    <mergeCell ref="Z7790:Z7791"/>
    <mergeCell ref="AA7790:AA7791"/>
    <mergeCell ref="AB7790:AB7791"/>
    <mergeCell ref="A7784:A7785"/>
    <mergeCell ref="E7784:E7785"/>
    <mergeCell ref="H7784:H7785"/>
    <mergeCell ref="I7784:I7785"/>
    <mergeCell ref="J7784:J7785"/>
    <mergeCell ref="K7784:K7785"/>
    <mergeCell ref="L7784:L7785"/>
    <mergeCell ref="M7784:M7785"/>
    <mergeCell ref="N7784:N7785"/>
    <mergeCell ref="O7784:O7785"/>
    <mergeCell ref="X7784:X7785"/>
    <mergeCell ref="Y7784:Y7785"/>
    <mergeCell ref="Z7784:Z7785"/>
    <mergeCell ref="AA7784:AA7785"/>
    <mergeCell ref="AB7784:AB7785"/>
    <mergeCell ref="A7786:A7787"/>
    <mergeCell ref="E7786:E7787"/>
    <mergeCell ref="H7786:H7787"/>
    <mergeCell ref="I7786:I7787"/>
    <mergeCell ref="J7786:J7787"/>
    <mergeCell ref="K7786:K7787"/>
    <mergeCell ref="L7786:L7787"/>
    <mergeCell ref="M7786:M7787"/>
    <mergeCell ref="N7786:N7787"/>
    <mergeCell ref="O7786:O7787"/>
    <mergeCell ref="X7786:X7787"/>
    <mergeCell ref="Y7786:Y7787"/>
    <mergeCell ref="Z7786:Z7787"/>
    <mergeCell ref="AA7786:AA7787"/>
    <mergeCell ref="AB7786:AB7787"/>
    <mergeCell ref="A7780:A7781"/>
    <mergeCell ref="E7780:E7781"/>
    <mergeCell ref="H7780:H7781"/>
    <mergeCell ref="I7780:I7781"/>
    <mergeCell ref="J7780:J7781"/>
    <mergeCell ref="K7780:K7781"/>
    <mergeCell ref="L7780:L7781"/>
    <mergeCell ref="M7780:M7781"/>
    <mergeCell ref="N7780:N7781"/>
    <mergeCell ref="O7780:O7781"/>
    <mergeCell ref="X7780:X7781"/>
    <mergeCell ref="Y7780:Y7781"/>
    <mergeCell ref="Z7780:Z7781"/>
    <mergeCell ref="AA7780:AA7781"/>
    <mergeCell ref="AB7780:AB7781"/>
    <mergeCell ref="A7782:A7783"/>
    <mergeCell ref="E7782:E7783"/>
    <mergeCell ref="H7782:H7783"/>
    <mergeCell ref="I7782:I7783"/>
    <mergeCell ref="J7782:J7783"/>
    <mergeCell ref="K7782:K7783"/>
    <mergeCell ref="L7782:L7783"/>
    <mergeCell ref="M7782:M7783"/>
    <mergeCell ref="N7782:N7783"/>
    <mergeCell ref="O7782:O7783"/>
    <mergeCell ref="X7782:X7783"/>
    <mergeCell ref="Y7782:Y7783"/>
    <mergeCell ref="Z7782:Z7783"/>
    <mergeCell ref="AA7782:AA7783"/>
    <mergeCell ref="AB7782:AB7783"/>
    <mergeCell ref="A7776:A7777"/>
    <mergeCell ref="E7776:E7777"/>
    <mergeCell ref="H7776:H7777"/>
    <mergeCell ref="I7776:I7777"/>
    <mergeCell ref="J7776:J7777"/>
    <mergeCell ref="K7776:K7777"/>
    <mergeCell ref="L7776:L7777"/>
    <mergeCell ref="M7776:M7777"/>
    <mergeCell ref="N7776:N7777"/>
    <mergeCell ref="O7776:O7777"/>
    <mergeCell ref="X7776:X7777"/>
    <mergeCell ref="Y7776:Y7777"/>
    <mergeCell ref="Z7776:Z7777"/>
    <mergeCell ref="AA7776:AA7777"/>
    <mergeCell ref="AB7776:AB7777"/>
    <mergeCell ref="A7778:A7779"/>
    <mergeCell ref="E7778:E7779"/>
    <mergeCell ref="H7778:H7779"/>
    <mergeCell ref="I7778:I7779"/>
    <mergeCell ref="J7778:J7779"/>
    <mergeCell ref="K7778:K7779"/>
    <mergeCell ref="L7778:L7779"/>
    <mergeCell ref="M7778:M7779"/>
    <mergeCell ref="N7778:N7779"/>
    <mergeCell ref="O7778:O7779"/>
    <mergeCell ref="X7778:X7779"/>
    <mergeCell ref="Y7778:Y7779"/>
    <mergeCell ref="Z7778:Z7779"/>
    <mergeCell ref="AA7778:AA7779"/>
    <mergeCell ref="AB7778:AB7779"/>
    <mergeCell ref="A7772:A7773"/>
    <mergeCell ref="E7772:E7773"/>
    <mergeCell ref="H7772:H7773"/>
    <mergeCell ref="I7772:I7773"/>
    <mergeCell ref="J7772:J7773"/>
    <mergeCell ref="K7772:K7773"/>
    <mergeCell ref="L7772:L7773"/>
    <mergeCell ref="M7772:M7773"/>
    <mergeCell ref="N7772:N7773"/>
    <mergeCell ref="O7772:O7773"/>
    <mergeCell ref="X7772:X7773"/>
    <mergeCell ref="Y7772:Y7773"/>
    <mergeCell ref="Z7772:Z7773"/>
    <mergeCell ref="AA7772:AA7773"/>
    <mergeCell ref="AB7772:AB7773"/>
    <mergeCell ref="A7774:A7775"/>
    <mergeCell ref="E7774:E7775"/>
    <mergeCell ref="H7774:H7775"/>
    <mergeCell ref="I7774:I7775"/>
    <mergeCell ref="J7774:J7775"/>
    <mergeCell ref="K7774:K7775"/>
    <mergeCell ref="L7774:L7775"/>
    <mergeCell ref="M7774:M7775"/>
    <mergeCell ref="N7774:N7775"/>
    <mergeCell ref="O7774:O7775"/>
    <mergeCell ref="X7774:X7775"/>
    <mergeCell ref="Y7774:Y7775"/>
    <mergeCell ref="Z7774:Z7775"/>
    <mergeCell ref="AA7774:AA7775"/>
    <mergeCell ref="AB7774:AB7775"/>
    <mergeCell ref="A7768:A7769"/>
    <mergeCell ref="E7768:E7769"/>
    <mergeCell ref="H7768:H7769"/>
    <mergeCell ref="I7768:I7769"/>
    <mergeCell ref="J7768:J7769"/>
    <mergeCell ref="K7768:K7769"/>
    <mergeCell ref="L7768:L7769"/>
    <mergeCell ref="M7768:M7769"/>
    <mergeCell ref="N7768:N7769"/>
    <mergeCell ref="O7768:O7769"/>
    <mergeCell ref="X7768:X7769"/>
    <mergeCell ref="Y7768:Y7769"/>
    <mergeCell ref="Z7768:Z7769"/>
    <mergeCell ref="AA7768:AA7769"/>
    <mergeCell ref="AB7768:AB7769"/>
    <mergeCell ref="A7770:A7771"/>
    <mergeCell ref="E7770:E7771"/>
    <mergeCell ref="H7770:H7771"/>
    <mergeCell ref="I7770:I7771"/>
    <mergeCell ref="J7770:J7771"/>
    <mergeCell ref="K7770:K7771"/>
    <mergeCell ref="L7770:L7771"/>
    <mergeCell ref="M7770:M7771"/>
    <mergeCell ref="N7770:N7771"/>
    <mergeCell ref="O7770:O7771"/>
    <mergeCell ref="X7770:X7771"/>
    <mergeCell ref="Y7770:Y7771"/>
    <mergeCell ref="Z7770:Z7771"/>
    <mergeCell ref="AA7770:AA7771"/>
    <mergeCell ref="AB7770:AB7771"/>
    <mergeCell ref="A7764:A7765"/>
    <mergeCell ref="E7764:E7765"/>
    <mergeCell ref="H7764:H7765"/>
    <mergeCell ref="I7764:I7765"/>
    <mergeCell ref="J7764:J7765"/>
    <mergeCell ref="K7764:K7765"/>
    <mergeCell ref="L7764:L7765"/>
    <mergeCell ref="M7764:M7765"/>
    <mergeCell ref="N7764:N7765"/>
    <mergeCell ref="O7764:O7765"/>
    <mergeCell ref="X7764:X7765"/>
    <mergeCell ref="Y7764:Y7765"/>
    <mergeCell ref="Z7764:Z7765"/>
    <mergeCell ref="AA7764:AA7765"/>
    <mergeCell ref="AB7764:AB7765"/>
    <mergeCell ref="A7766:A7767"/>
    <mergeCell ref="E7766:E7767"/>
    <mergeCell ref="H7766:H7767"/>
    <mergeCell ref="I7766:I7767"/>
    <mergeCell ref="J7766:J7767"/>
    <mergeCell ref="K7766:K7767"/>
    <mergeCell ref="L7766:L7767"/>
    <mergeCell ref="M7766:M7767"/>
    <mergeCell ref="N7766:N7767"/>
    <mergeCell ref="O7766:O7767"/>
    <mergeCell ref="X7766:X7767"/>
    <mergeCell ref="Y7766:Y7767"/>
    <mergeCell ref="Z7766:Z7767"/>
    <mergeCell ref="AA7766:AA7767"/>
    <mergeCell ref="AB7766:AB7767"/>
    <mergeCell ref="A7760:A7761"/>
    <mergeCell ref="E7760:E7761"/>
    <mergeCell ref="H7760:H7761"/>
    <mergeCell ref="I7760:I7761"/>
    <mergeCell ref="J7760:J7761"/>
    <mergeCell ref="K7760:K7761"/>
    <mergeCell ref="L7760:L7761"/>
    <mergeCell ref="M7760:M7761"/>
    <mergeCell ref="N7760:N7761"/>
    <mergeCell ref="O7760:O7761"/>
    <mergeCell ref="X7760:X7761"/>
    <mergeCell ref="Y7760:Y7761"/>
    <mergeCell ref="Z7760:Z7761"/>
    <mergeCell ref="AA7760:AA7761"/>
    <mergeCell ref="AB7760:AB7761"/>
    <mergeCell ref="A7762:A7763"/>
    <mergeCell ref="E7762:E7763"/>
    <mergeCell ref="H7762:H7763"/>
    <mergeCell ref="I7762:I7763"/>
    <mergeCell ref="J7762:J7763"/>
    <mergeCell ref="K7762:K7763"/>
    <mergeCell ref="L7762:L7763"/>
    <mergeCell ref="M7762:M7763"/>
    <mergeCell ref="N7762:N7763"/>
    <mergeCell ref="O7762:O7763"/>
    <mergeCell ref="X7762:X7763"/>
    <mergeCell ref="Y7762:Y7763"/>
    <mergeCell ref="Z7762:Z7763"/>
    <mergeCell ref="AA7762:AA7763"/>
    <mergeCell ref="AB7762:AB7763"/>
    <mergeCell ref="A7756:A7757"/>
    <mergeCell ref="E7756:E7757"/>
    <mergeCell ref="H7756:H7757"/>
    <mergeCell ref="I7756:I7757"/>
    <mergeCell ref="J7756:J7757"/>
    <mergeCell ref="K7756:K7757"/>
    <mergeCell ref="L7756:L7757"/>
    <mergeCell ref="M7756:M7757"/>
    <mergeCell ref="N7756:N7757"/>
    <mergeCell ref="O7756:O7757"/>
    <mergeCell ref="X7756:X7757"/>
    <mergeCell ref="Y7756:Y7757"/>
    <mergeCell ref="Z7756:Z7757"/>
    <mergeCell ref="AA7756:AA7757"/>
    <mergeCell ref="AB7756:AB7757"/>
    <mergeCell ref="A7758:A7759"/>
    <mergeCell ref="E7758:E7759"/>
    <mergeCell ref="H7758:H7759"/>
    <mergeCell ref="I7758:I7759"/>
    <mergeCell ref="J7758:J7759"/>
    <mergeCell ref="K7758:K7759"/>
    <mergeCell ref="L7758:L7759"/>
    <mergeCell ref="M7758:M7759"/>
    <mergeCell ref="N7758:N7759"/>
    <mergeCell ref="O7758:O7759"/>
    <mergeCell ref="X7758:X7759"/>
    <mergeCell ref="Y7758:Y7759"/>
    <mergeCell ref="Z7758:Z7759"/>
    <mergeCell ref="AA7758:AA7759"/>
    <mergeCell ref="AB7758:AB7759"/>
    <mergeCell ref="A7752:A7753"/>
    <mergeCell ref="E7752:E7753"/>
    <mergeCell ref="H7752:H7753"/>
    <mergeCell ref="I7752:I7753"/>
    <mergeCell ref="J7752:J7753"/>
    <mergeCell ref="K7752:K7753"/>
    <mergeCell ref="L7752:L7753"/>
    <mergeCell ref="M7752:M7753"/>
    <mergeCell ref="N7752:N7753"/>
    <mergeCell ref="O7752:O7753"/>
    <mergeCell ref="X7752:X7753"/>
    <mergeCell ref="Y7752:Y7753"/>
    <mergeCell ref="Z7752:Z7753"/>
    <mergeCell ref="AA7752:AA7753"/>
    <mergeCell ref="AB7752:AB7753"/>
    <mergeCell ref="A7754:A7755"/>
    <mergeCell ref="E7754:E7755"/>
    <mergeCell ref="H7754:H7755"/>
    <mergeCell ref="I7754:I7755"/>
    <mergeCell ref="J7754:J7755"/>
    <mergeCell ref="K7754:K7755"/>
    <mergeCell ref="L7754:L7755"/>
    <mergeCell ref="M7754:M7755"/>
    <mergeCell ref="N7754:N7755"/>
    <mergeCell ref="O7754:O7755"/>
    <mergeCell ref="X7754:X7755"/>
    <mergeCell ref="Y7754:Y7755"/>
    <mergeCell ref="Z7754:Z7755"/>
    <mergeCell ref="AA7754:AA7755"/>
    <mergeCell ref="AB7754:AB7755"/>
    <mergeCell ref="A7748:A7749"/>
    <mergeCell ref="E7748:E7749"/>
    <mergeCell ref="H7748:H7749"/>
    <mergeCell ref="I7748:I7749"/>
    <mergeCell ref="J7748:J7749"/>
    <mergeCell ref="K7748:K7749"/>
    <mergeCell ref="L7748:L7749"/>
    <mergeCell ref="M7748:M7749"/>
    <mergeCell ref="N7748:N7749"/>
    <mergeCell ref="O7748:O7749"/>
    <mergeCell ref="X7748:X7749"/>
    <mergeCell ref="Y7748:Y7749"/>
    <mergeCell ref="Z7748:Z7749"/>
    <mergeCell ref="AA7748:AA7749"/>
    <mergeCell ref="AB7748:AB7749"/>
    <mergeCell ref="A7750:A7751"/>
    <mergeCell ref="E7750:E7751"/>
    <mergeCell ref="H7750:H7751"/>
    <mergeCell ref="I7750:I7751"/>
    <mergeCell ref="J7750:J7751"/>
    <mergeCell ref="K7750:K7751"/>
    <mergeCell ref="L7750:L7751"/>
    <mergeCell ref="M7750:M7751"/>
    <mergeCell ref="N7750:N7751"/>
    <mergeCell ref="O7750:O7751"/>
    <mergeCell ref="X7750:X7751"/>
    <mergeCell ref="Y7750:Y7751"/>
    <mergeCell ref="Z7750:Z7751"/>
    <mergeCell ref="AA7750:AA7751"/>
    <mergeCell ref="AB7750:AB7751"/>
    <mergeCell ref="A7746:A7747"/>
    <mergeCell ref="E7746:E7747"/>
    <mergeCell ref="H7746:H7747"/>
    <mergeCell ref="I7746:I7747"/>
    <mergeCell ref="J7746:J7747"/>
    <mergeCell ref="K7746:K7747"/>
    <mergeCell ref="L7746:L7747"/>
    <mergeCell ref="M7746:M7747"/>
    <mergeCell ref="N7746:N7747"/>
    <mergeCell ref="O7746:O7747"/>
    <mergeCell ref="X7746:X7747"/>
    <mergeCell ref="Y7746:Y7747"/>
    <mergeCell ref="Z7746:Z7747"/>
    <mergeCell ref="AA7746:AA7747"/>
    <mergeCell ref="AB7746:AB7747"/>
    <mergeCell ref="A7742:A7743"/>
    <mergeCell ref="E7742:E7743"/>
    <mergeCell ref="H7742:H7743"/>
    <mergeCell ref="I7742:I7743"/>
    <mergeCell ref="J7742:J7743"/>
    <mergeCell ref="K7742:K7743"/>
    <mergeCell ref="L7742:L7743"/>
    <mergeCell ref="M7742:M7743"/>
    <mergeCell ref="N7742:N7743"/>
    <mergeCell ref="O7742:O7743"/>
    <mergeCell ref="X7742:X7743"/>
    <mergeCell ref="Y7742:Y7743"/>
    <mergeCell ref="Z7742:Z7743"/>
    <mergeCell ref="AA7742:AA7743"/>
    <mergeCell ref="AB7742:AB7743"/>
    <mergeCell ref="A7744:A7745"/>
    <mergeCell ref="E7744:E7745"/>
    <mergeCell ref="H7744:H7745"/>
    <mergeCell ref="I7744:I7745"/>
    <mergeCell ref="J7744:J7745"/>
    <mergeCell ref="K7744:K7745"/>
    <mergeCell ref="L7744:L7745"/>
    <mergeCell ref="M7744:M7745"/>
    <mergeCell ref="N7744:N7745"/>
    <mergeCell ref="O7744:O7745"/>
    <mergeCell ref="X7744:X7745"/>
    <mergeCell ref="Y7744:Y7745"/>
    <mergeCell ref="Z7744:Z7745"/>
    <mergeCell ref="AA7744:AA7745"/>
    <mergeCell ref="AB7744:AB7745"/>
    <mergeCell ref="A7738:A7739"/>
    <mergeCell ref="E7738:E7739"/>
    <mergeCell ref="H7738:H7739"/>
    <mergeCell ref="I7738:I7739"/>
    <mergeCell ref="J7738:J7739"/>
    <mergeCell ref="K7738:K7739"/>
    <mergeCell ref="L7738:L7739"/>
    <mergeCell ref="M7738:M7739"/>
    <mergeCell ref="N7738:N7739"/>
    <mergeCell ref="O7738:O7739"/>
    <mergeCell ref="X7738:X7739"/>
    <mergeCell ref="Y7738:Y7739"/>
    <mergeCell ref="Z7738:Z7739"/>
    <mergeCell ref="AA7738:AA7739"/>
    <mergeCell ref="AB7738:AB7739"/>
    <mergeCell ref="A7740:A7741"/>
    <mergeCell ref="E7740:E7741"/>
    <mergeCell ref="H7740:H7741"/>
    <mergeCell ref="I7740:I7741"/>
    <mergeCell ref="J7740:J7741"/>
    <mergeCell ref="K7740:K7741"/>
    <mergeCell ref="L7740:L7741"/>
    <mergeCell ref="M7740:M7741"/>
    <mergeCell ref="N7740:N7741"/>
    <mergeCell ref="O7740:O7741"/>
    <mergeCell ref="X7740:X7741"/>
    <mergeCell ref="Y7740:Y7741"/>
    <mergeCell ref="Z7740:Z7741"/>
    <mergeCell ref="AA7740:AA7741"/>
    <mergeCell ref="AB7740:AB7741"/>
    <mergeCell ref="A7734:A7735"/>
    <mergeCell ref="E7734:E7735"/>
    <mergeCell ref="H7734:H7735"/>
    <mergeCell ref="I7734:I7735"/>
    <mergeCell ref="J7734:J7735"/>
    <mergeCell ref="K7734:K7735"/>
    <mergeCell ref="L7734:L7735"/>
    <mergeCell ref="M7734:M7735"/>
    <mergeCell ref="N7734:N7735"/>
    <mergeCell ref="O7734:O7735"/>
    <mergeCell ref="X7734:X7735"/>
    <mergeCell ref="Y7734:Y7735"/>
    <mergeCell ref="Z7734:Z7735"/>
    <mergeCell ref="AA7734:AA7735"/>
    <mergeCell ref="AB7734:AB7735"/>
    <mergeCell ref="A7736:A7737"/>
    <mergeCell ref="E7736:E7737"/>
    <mergeCell ref="H7736:H7737"/>
    <mergeCell ref="I7736:I7737"/>
    <mergeCell ref="J7736:J7737"/>
    <mergeCell ref="K7736:K7737"/>
    <mergeCell ref="L7736:L7737"/>
    <mergeCell ref="M7736:M7737"/>
    <mergeCell ref="N7736:N7737"/>
    <mergeCell ref="O7736:O7737"/>
    <mergeCell ref="X7736:X7737"/>
    <mergeCell ref="Y7736:Y7737"/>
    <mergeCell ref="Z7736:Z7737"/>
    <mergeCell ref="AA7736:AA7737"/>
    <mergeCell ref="AB7736:AB7737"/>
    <mergeCell ref="A7730:A7731"/>
    <mergeCell ref="E7730:E7731"/>
    <mergeCell ref="H7730:H7731"/>
    <mergeCell ref="I7730:I7731"/>
    <mergeCell ref="J7730:J7731"/>
    <mergeCell ref="K7730:K7731"/>
    <mergeCell ref="L7730:L7731"/>
    <mergeCell ref="M7730:M7731"/>
    <mergeCell ref="N7730:N7731"/>
    <mergeCell ref="O7730:O7731"/>
    <mergeCell ref="X7730:X7731"/>
    <mergeCell ref="Y7730:Y7731"/>
    <mergeCell ref="Z7730:Z7731"/>
    <mergeCell ref="AA7730:AA7731"/>
    <mergeCell ref="AB7730:AB7731"/>
    <mergeCell ref="A7732:A7733"/>
    <mergeCell ref="E7732:E7733"/>
    <mergeCell ref="H7732:H7733"/>
    <mergeCell ref="I7732:I7733"/>
    <mergeCell ref="J7732:J7733"/>
    <mergeCell ref="K7732:K7733"/>
    <mergeCell ref="L7732:L7733"/>
    <mergeCell ref="M7732:M7733"/>
    <mergeCell ref="N7732:N7733"/>
    <mergeCell ref="O7732:O7733"/>
    <mergeCell ref="X7732:X7733"/>
    <mergeCell ref="Y7732:Y7733"/>
    <mergeCell ref="Z7732:Z7733"/>
    <mergeCell ref="AA7732:AA7733"/>
    <mergeCell ref="AB7732:AB7733"/>
    <mergeCell ref="A7726:A7727"/>
    <mergeCell ref="E7726:E7727"/>
    <mergeCell ref="H7726:H7727"/>
    <mergeCell ref="I7726:I7727"/>
    <mergeCell ref="J7726:J7727"/>
    <mergeCell ref="K7726:K7727"/>
    <mergeCell ref="L7726:L7727"/>
    <mergeCell ref="M7726:M7727"/>
    <mergeCell ref="N7726:N7727"/>
    <mergeCell ref="O7726:O7727"/>
    <mergeCell ref="X7726:X7727"/>
    <mergeCell ref="Y7726:Y7727"/>
    <mergeCell ref="Z7726:Z7727"/>
    <mergeCell ref="AA7726:AA7727"/>
    <mergeCell ref="AB7726:AB7727"/>
    <mergeCell ref="A7728:A7729"/>
    <mergeCell ref="E7728:E7729"/>
    <mergeCell ref="H7728:H7729"/>
    <mergeCell ref="I7728:I7729"/>
    <mergeCell ref="J7728:J7729"/>
    <mergeCell ref="K7728:K7729"/>
    <mergeCell ref="L7728:L7729"/>
    <mergeCell ref="M7728:M7729"/>
    <mergeCell ref="N7728:N7729"/>
    <mergeCell ref="O7728:O7729"/>
    <mergeCell ref="X7728:X7729"/>
    <mergeCell ref="Y7728:Y7729"/>
    <mergeCell ref="Z7728:Z7729"/>
    <mergeCell ref="AA7728:AA7729"/>
    <mergeCell ref="AB7728:AB7729"/>
    <mergeCell ref="A7722:A7723"/>
    <mergeCell ref="E7722:E7723"/>
    <mergeCell ref="H7722:H7723"/>
    <mergeCell ref="I7722:I7723"/>
    <mergeCell ref="J7722:J7723"/>
    <mergeCell ref="K7722:K7723"/>
    <mergeCell ref="L7722:L7723"/>
    <mergeCell ref="M7722:M7723"/>
    <mergeCell ref="N7722:N7723"/>
    <mergeCell ref="O7722:O7723"/>
    <mergeCell ref="X7722:X7723"/>
    <mergeCell ref="Y7722:Y7723"/>
    <mergeCell ref="Z7722:Z7723"/>
    <mergeCell ref="AA7722:AA7723"/>
    <mergeCell ref="AB7722:AB7723"/>
    <mergeCell ref="A7724:A7725"/>
    <mergeCell ref="E7724:E7725"/>
    <mergeCell ref="H7724:H7725"/>
    <mergeCell ref="I7724:I7725"/>
    <mergeCell ref="J7724:J7725"/>
    <mergeCell ref="K7724:K7725"/>
    <mergeCell ref="L7724:L7725"/>
    <mergeCell ref="M7724:M7725"/>
    <mergeCell ref="N7724:N7725"/>
    <mergeCell ref="O7724:O7725"/>
    <mergeCell ref="X7724:X7725"/>
    <mergeCell ref="Y7724:Y7725"/>
    <mergeCell ref="Z7724:Z7725"/>
    <mergeCell ref="AA7724:AA7725"/>
    <mergeCell ref="AB7724:AB7725"/>
    <mergeCell ref="A7718:A7719"/>
    <mergeCell ref="E7718:E7719"/>
    <mergeCell ref="H7718:H7719"/>
    <mergeCell ref="I7718:I7719"/>
    <mergeCell ref="J7718:J7719"/>
    <mergeCell ref="K7718:K7719"/>
    <mergeCell ref="L7718:L7719"/>
    <mergeCell ref="M7718:M7719"/>
    <mergeCell ref="N7718:N7719"/>
    <mergeCell ref="O7718:O7719"/>
    <mergeCell ref="X7718:X7719"/>
    <mergeCell ref="Y7718:Y7719"/>
    <mergeCell ref="Z7718:Z7719"/>
    <mergeCell ref="AA7718:AA7719"/>
    <mergeCell ref="AB7718:AB7719"/>
    <mergeCell ref="A7720:A7721"/>
    <mergeCell ref="E7720:E7721"/>
    <mergeCell ref="H7720:H7721"/>
    <mergeCell ref="I7720:I7721"/>
    <mergeCell ref="J7720:J7721"/>
    <mergeCell ref="K7720:K7721"/>
    <mergeCell ref="L7720:L7721"/>
    <mergeCell ref="M7720:M7721"/>
    <mergeCell ref="N7720:N7721"/>
    <mergeCell ref="O7720:O7721"/>
    <mergeCell ref="X7720:X7721"/>
    <mergeCell ref="Y7720:Y7721"/>
    <mergeCell ref="Z7720:Z7721"/>
    <mergeCell ref="AA7720:AA7721"/>
    <mergeCell ref="AB7720:AB7721"/>
    <mergeCell ref="A7714:A7715"/>
    <mergeCell ref="E7714:E7715"/>
    <mergeCell ref="H7714:H7715"/>
    <mergeCell ref="I7714:I7715"/>
    <mergeCell ref="J7714:J7715"/>
    <mergeCell ref="K7714:K7715"/>
    <mergeCell ref="L7714:L7715"/>
    <mergeCell ref="M7714:M7715"/>
    <mergeCell ref="N7714:N7715"/>
    <mergeCell ref="O7714:O7715"/>
    <mergeCell ref="X7714:X7715"/>
    <mergeCell ref="Y7714:Y7715"/>
    <mergeCell ref="Z7714:Z7715"/>
    <mergeCell ref="AA7714:AA7715"/>
    <mergeCell ref="AB7714:AB7715"/>
    <mergeCell ref="A7716:A7717"/>
    <mergeCell ref="E7716:E7717"/>
    <mergeCell ref="H7716:H7717"/>
    <mergeCell ref="I7716:I7717"/>
    <mergeCell ref="J7716:J7717"/>
    <mergeCell ref="K7716:K7717"/>
    <mergeCell ref="L7716:L7717"/>
    <mergeCell ref="M7716:M7717"/>
    <mergeCell ref="N7716:N7717"/>
    <mergeCell ref="O7716:O7717"/>
    <mergeCell ref="X7716:X7717"/>
    <mergeCell ref="Y7716:Y7717"/>
    <mergeCell ref="Z7716:Z7717"/>
    <mergeCell ref="AA7716:AA7717"/>
    <mergeCell ref="AB7716:AB7717"/>
    <mergeCell ref="A7710:A7711"/>
    <mergeCell ref="E7710:E7711"/>
    <mergeCell ref="H7710:H7711"/>
    <mergeCell ref="I7710:I7711"/>
    <mergeCell ref="J7710:J7711"/>
    <mergeCell ref="K7710:K7711"/>
    <mergeCell ref="L7710:L7711"/>
    <mergeCell ref="M7710:M7711"/>
    <mergeCell ref="N7710:N7711"/>
    <mergeCell ref="O7710:O7711"/>
    <mergeCell ref="X7710:X7711"/>
    <mergeCell ref="Y7710:Y7711"/>
    <mergeCell ref="Z7710:Z7711"/>
    <mergeCell ref="AA7710:AA7711"/>
    <mergeCell ref="AB7710:AB7711"/>
    <mergeCell ref="A7712:A7713"/>
    <mergeCell ref="E7712:E7713"/>
    <mergeCell ref="H7712:H7713"/>
    <mergeCell ref="I7712:I7713"/>
    <mergeCell ref="J7712:J7713"/>
    <mergeCell ref="K7712:K7713"/>
    <mergeCell ref="L7712:L7713"/>
    <mergeCell ref="M7712:M7713"/>
    <mergeCell ref="N7712:N7713"/>
    <mergeCell ref="O7712:O7713"/>
    <mergeCell ref="X7712:X7713"/>
    <mergeCell ref="Y7712:Y7713"/>
    <mergeCell ref="Z7712:Z7713"/>
    <mergeCell ref="AA7712:AA7713"/>
    <mergeCell ref="AB7712:AB7713"/>
    <mergeCell ref="A7706:A7707"/>
    <mergeCell ref="E7706:E7707"/>
    <mergeCell ref="H7706:H7707"/>
    <mergeCell ref="I7706:I7707"/>
    <mergeCell ref="J7706:J7707"/>
    <mergeCell ref="K7706:K7707"/>
    <mergeCell ref="L7706:L7707"/>
    <mergeCell ref="M7706:M7707"/>
    <mergeCell ref="N7706:N7707"/>
    <mergeCell ref="O7706:O7707"/>
    <mergeCell ref="X7706:X7707"/>
    <mergeCell ref="Y7706:Y7707"/>
    <mergeCell ref="Z7706:Z7707"/>
    <mergeCell ref="AA7706:AA7707"/>
    <mergeCell ref="AB7706:AB7707"/>
    <mergeCell ref="A7708:A7709"/>
    <mergeCell ref="E7708:E7709"/>
    <mergeCell ref="H7708:H7709"/>
    <mergeCell ref="I7708:I7709"/>
    <mergeCell ref="J7708:J7709"/>
    <mergeCell ref="K7708:K7709"/>
    <mergeCell ref="L7708:L7709"/>
    <mergeCell ref="M7708:M7709"/>
    <mergeCell ref="N7708:N7709"/>
    <mergeCell ref="O7708:O7709"/>
    <mergeCell ref="X7708:X7709"/>
    <mergeCell ref="Y7708:Y7709"/>
    <mergeCell ref="Z7708:Z7709"/>
    <mergeCell ref="AA7708:AA7709"/>
    <mergeCell ref="AB7708:AB7709"/>
    <mergeCell ref="A7702:A7703"/>
    <mergeCell ref="E7702:E7703"/>
    <mergeCell ref="H7702:H7703"/>
    <mergeCell ref="I7702:I7703"/>
    <mergeCell ref="J7702:J7703"/>
    <mergeCell ref="K7702:K7703"/>
    <mergeCell ref="L7702:L7703"/>
    <mergeCell ref="M7702:M7703"/>
    <mergeCell ref="N7702:N7703"/>
    <mergeCell ref="O7702:O7703"/>
    <mergeCell ref="X7702:X7703"/>
    <mergeCell ref="Y7702:Y7703"/>
    <mergeCell ref="Z7702:Z7703"/>
    <mergeCell ref="AA7702:AA7703"/>
    <mergeCell ref="AB7702:AB7703"/>
    <mergeCell ref="A7704:A7705"/>
    <mergeCell ref="E7704:E7705"/>
    <mergeCell ref="H7704:H7705"/>
    <mergeCell ref="I7704:I7705"/>
    <mergeCell ref="J7704:J7705"/>
    <mergeCell ref="K7704:K7705"/>
    <mergeCell ref="L7704:L7705"/>
    <mergeCell ref="M7704:M7705"/>
    <mergeCell ref="N7704:N7705"/>
    <mergeCell ref="O7704:O7705"/>
    <mergeCell ref="X7704:X7705"/>
    <mergeCell ref="Y7704:Y7705"/>
    <mergeCell ref="Z7704:Z7705"/>
    <mergeCell ref="AA7704:AA7705"/>
    <mergeCell ref="AB7704:AB7705"/>
    <mergeCell ref="A7698:A7699"/>
    <mergeCell ref="E7698:E7699"/>
    <mergeCell ref="H7698:H7699"/>
    <mergeCell ref="I7698:I7699"/>
    <mergeCell ref="J7698:J7699"/>
    <mergeCell ref="K7698:K7699"/>
    <mergeCell ref="L7698:L7699"/>
    <mergeCell ref="M7698:M7699"/>
    <mergeCell ref="N7698:N7699"/>
    <mergeCell ref="O7698:O7699"/>
    <mergeCell ref="X7698:X7699"/>
    <mergeCell ref="Y7698:Y7699"/>
    <mergeCell ref="Z7698:Z7699"/>
    <mergeCell ref="AA7698:AA7699"/>
    <mergeCell ref="AB7698:AB7699"/>
    <mergeCell ref="A7700:A7701"/>
    <mergeCell ref="E7700:E7701"/>
    <mergeCell ref="H7700:H7701"/>
    <mergeCell ref="I7700:I7701"/>
    <mergeCell ref="J7700:J7701"/>
    <mergeCell ref="K7700:K7701"/>
    <mergeCell ref="L7700:L7701"/>
    <mergeCell ref="M7700:M7701"/>
    <mergeCell ref="N7700:N7701"/>
    <mergeCell ref="O7700:O7701"/>
    <mergeCell ref="X7700:X7701"/>
    <mergeCell ref="Y7700:Y7701"/>
    <mergeCell ref="Z7700:Z7701"/>
    <mergeCell ref="AA7700:AA7701"/>
    <mergeCell ref="AB7700:AB7701"/>
    <mergeCell ref="A7694:A7695"/>
    <mergeCell ref="E7694:E7695"/>
    <mergeCell ref="H7694:H7695"/>
    <mergeCell ref="I7694:I7695"/>
    <mergeCell ref="J7694:J7695"/>
    <mergeCell ref="K7694:K7695"/>
    <mergeCell ref="L7694:L7695"/>
    <mergeCell ref="M7694:M7695"/>
    <mergeCell ref="N7694:N7695"/>
    <mergeCell ref="O7694:O7695"/>
    <mergeCell ref="X7694:X7695"/>
    <mergeCell ref="Y7694:Y7695"/>
    <mergeCell ref="Z7694:Z7695"/>
    <mergeCell ref="AA7694:AA7695"/>
    <mergeCell ref="AB7694:AB7695"/>
    <mergeCell ref="A7696:A7697"/>
    <mergeCell ref="E7696:E7697"/>
    <mergeCell ref="H7696:H7697"/>
    <mergeCell ref="I7696:I7697"/>
    <mergeCell ref="J7696:J7697"/>
    <mergeCell ref="K7696:K7697"/>
    <mergeCell ref="L7696:L7697"/>
    <mergeCell ref="M7696:M7697"/>
    <mergeCell ref="N7696:N7697"/>
    <mergeCell ref="O7696:O7697"/>
    <mergeCell ref="X7696:X7697"/>
    <mergeCell ref="Y7696:Y7697"/>
    <mergeCell ref="Z7696:Z7697"/>
    <mergeCell ref="AA7696:AA7697"/>
    <mergeCell ref="AB7696:AB7697"/>
    <mergeCell ref="J7692:J7693"/>
    <mergeCell ref="K7692:K7693"/>
    <mergeCell ref="L7692:L7693"/>
    <mergeCell ref="M7692:M7693"/>
    <mergeCell ref="N7692:N7693"/>
    <mergeCell ref="O7692:O7693"/>
    <mergeCell ref="X7692:X7693"/>
    <mergeCell ref="Y7692:Y7693"/>
    <mergeCell ref="Z7692:Z7693"/>
    <mergeCell ref="AA7692:AA7693"/>
    <mergeCell ref="AB7692:AB7693"/>
    <mergeCell ref="A7686:A7687"/>
    <mergeCell ref="E7686:E7687"/>
    <mergeCell ref="H7686:H7687"/>
    <mergeCell ref="I7686:I7687"/>
    <mergeCell ref="J7686:J7687"/>
    <mergeCell ref="K7686:K7687"/>
    <mergeCell ref="L7686:L7687"/>
    <mergeCell ref="M7686:M7687"/>
    <mergeCell ref="N7686:N7687"/>
    <mergeCell ref="O7686:O7687"/>
    <mergeCell ref="X7686:X7687"/>
    <mergeCell ref="Y7686:Y7687"/>
    <mergeCell ref="Z7686:Z7687"/>
    <mergeCell ref="AA7686:AA7687"/>
    <mergeCell ref="AB7686:AB7687"/>
    <mergeCell ref="A7688:A7689"/>
    <mergeCell ref="E7688:E7689"/>
    <mergeCell ref="H7688:H7689"/>
    <mergeCell ref="I7688:I7689"/>
    <mergeCell ref="J7688:J7689"/>
    <mergeCell ref="K7688:K7689"/>
    <mergeCell ref="L7688:L7689"/>
    <mergeCell ref="M7688:M7689"/>
    <mergeCell ref="N7688:N7689"/>
    <mergeCell ref="O7688:O7689"/>
    <mergeCell ref="X7688:X7689"/>
    <mergeCell ref="Y7688:Y7689"/>
    <mergeCell ref="Z7688:Z7689"/>
    <mergeCell ref="AA7688:AA7689"/>
    <mergeCell ref="AB7688:AB7689"/>
    <mergeCell ref="A7678:A7679"/>
    <mergeCell ref="E7678:E7679"/>
    <mergeCell ref="H7678:H7679"/>
    <mergeCell ref="I7678:I7679"/>
    <mergeCell ref="J7678:J7679"/>
    <mergeCell ref="K7678:K7679"/>
    <mergeCell ref="L7678:L7679"/>
    <mergeCell ref="M7678:M7679"/>
    <mergeCell ref="N7678:N7679"/>
    <mergeCell ref="O7678:O7679"/>
    <mergeCell ref="X7678:X7679"/>
    <mergeCell ref="Y7678:Y7679"/>
    <mergeCell ref="Z7678:Z7679"/>
    <mergeCell ref="AA7678:AA7679"/>
    <mergeCell ref="AB7678:AB7679"/>
    <mergeCell ref="A7680:A7681"/>
    <mergeCell ref="E7680:E7681"/>
    <mergeCell ref="H7680:H7681"/>
    <mergeCell ref="I7680:I7681"/>
    <mergeCell ref="J7680:J7681"/>
    <mergeCell ref="K7680:K7681"/>
    <mergeCell ref="L7680:L7681"/>
    <mergeCell ref="M7680:M7681"/>
    <mergeCell ref="N7680:N7681"/>
    <mergeCell ref="O7680:O7681"/>
    <mergeCell ref="X7680:X7681"/>
    <mergeCell ref="Y7680:Y7681"/>
    <mergeCell ref="Z7680:Z7681"/>
    <mergeCell ref="AA7680:AA7681"/>
    <mergeCell ref="AB7680:AB7681"/>
    <mergeCell ref="A7674:A7675"/>
    <mergeCell ref="E7674:E7675"/>
    <mergeCell ref="H7674:H7675"/>
    <mergeCell ref="I7674:I7675"/>
    <mergeCell ref="J7674:J7675"/>
    <mergeCell ref="K7674:K7675"/>
    <mergeCell ref="L7674:L7675"/>
    <mergeCell ref="M7674:M7675"/>
    <mergeCell ref="N7674:N7675"/>
    <mergeCell ref="O7674:O7675"/>
    <mergeCell ref="X7674:X7675"/>
    <mergeCell ref="Y7674:Y7675"/>
    <mergeCell ref="Z7674:Z7675"/>
    <mergeCell ref="AA7674:AA7675"/>
    <mergeCell ref="AB7674:AB7675"/>
    <mergeCell ref="A7676:A7677"/>
    <mergeCell ref="E7676:E7677"/>
    <mergeCell ref="H7676:H7677"/>
    <mergeCell ref="I7676:I7677"/>
    <mergeCell ref="J7676:J7677"/>
    <mergeCell ref="K7676:K7677"/>
    <mergeCell ref="L7676:L7677"/>
    <mergeCell ref="M7676:M7677"/>
    <mergeCell ref="N7676:N7677"/>
    <mergeCell ref="O7676:O7677"/>
    <mergeCell ref="X7676:X7677"/>
    <mergeCell ref="Y7676:Y7677"/>
    <mergeCell ref="Z7676:Z7677"/>
    <mergeCell ref="AA7676:AA7677"/>
    <mergeCell ref="AB7676:AB7677"/>
    <mergeCell ref="A7670:A7671"/>
    <mergeCell ref="E7670:E7671"/>
    <mergeCell ref="H7670:H7671"/>
    <mergeCell ref="I7670:I7671"/>
    <mergeCell ref="J7670:J7671"/>
    <mergeCell ref="K7670:K7671"/>
    <mergeCell ref="L7670:L7671"/>
    <mergeCell ref="M7670:M7671"/>
    <mergeCell ref="N7670:N7671"/>
    <mergeCell ref="O7670:O7671"/>
    <mergeCell ref="X7670:X7671"/>
    <mergeCell ref="Y7670:Y7671"/>
    <mergeCell ref="Z7670:Z7671"/>
    <mergeCell ref="AA7670:AA7671"/>
    <mergeCell ref="AB7670:AB7671"/>
    <mergeCell ref="A7672:A7673"/>
    <mergeCell ref="E7672:E7673"/>
    <mergeCell ref="H7672:H7673"/>
    <mergeCell ref="I7672:I7673"/>
    <mergeCell ref="J7672:J7673"/>
    <mergeCell ref="K7672:K7673"/>
    <mergeCell ref="L7672:L7673"/>
    <mergeCell ref="M7672:M7673"/>
    <mergeCell ref="N7672:N7673"/>
    <mergeCell ref="O7672:O7673"/>
    <mergeCell ref="X7672:X7673"/>
    <mergeCell ref="Y7672:Y7673"/>
    <mergeCell ref="Z7672:Z7673"/>
    <mergeCell ref="AA7672:AA7673"/>
    <mergeCell ref="AB7672:AB7673"/>
    <mergeCell ref="A7666:A7667"/>
    <mergeCell ref="E7666:E7667"/>
    <mergeCell ref="H7666:H7667"/>
    <mergeCell ref="I7666:I7667"/>
    <mergeCell ref="J7666:J7667"/>
    <mergeCell ref="K7666:K7667"/>
    <mergeCell ref="L7666:L7667"/>
    <mergeCell ref="M7666:M7667"/>
    <mergeCell ref="N7666:N7667"/>
    <mergeCell ref="O7666:O7667"/>
    <mergeCell ref="X7666:X7667"/>
    <mergeCell ref="Y7666:Y7667"/>
    <mergeCell ref="Z7666:Z7667"/>
    <mergeCell ref="AA7666:AA7667"/>
    <mergeCell ref="AB7666:AB7667"/>
    <mergeCell ref="A7668:A7669"/>
    <mergeCell ref="E7668:E7669"/>
    <mergeCell ref="H7668:H7669"/>
    <mergeCell ref="I7668:I7669"/>
    <mergeCell ref="J7668:J7669"/>
    <mergeCell ref="K7668:K7669"/>
    <mergeCell ref="L7668:L7669"/>
    <mergeCell ref="M7668:M7669"/>
    <mergeCell ref="N7668:N7669"/>
    <mergeCell ref="O7668:O7669"/>
    <mergeCell ref="X7668:X7669"/>
    <mergeCell ref="Y7668:Y7669"/>
    <mergeCell ref="Z7668:Z7669"/>
    <mergeCell ref="AA7668:AA7669"/>
    <mergeCell ref="AB7668:AB7669"/>
    <mergeCell ref="A7662:A7663"/>
    <mergeCell ref="E7662:E7663"/>
    <mergeCell ref="H7662:H7663"/>
    <mergeCell ref="I7662:I7663"/>
    <mergeCell ref="J7662:J7663"/>
    <mergeCell ref="K7662:K7663"/>
    <mergeCell ref="L7662:L7663"/>
    <mergeCell ref="M7662:M7663"/>
    <mergeCell ref="N7662:N7663"/>
    <mergeCell ref="O7662:O7663"/>
    <mergeCell ref="X7662:X7663"/>
    <mergeCell ref="Y7662:Y7663"/>
    <mergeCell ref="Z7662:Z7663"/>
    <mergeCell ref="AA7662:AA7663"/>
    <mergeCell ref="AB7662:AB7663"/>
    <mergeCell ref="A7664:A7665"/>
    <mergeCell ref="E7664:E7665"/>
    <mergeCell ref="H7664:H7665"/>
    <mergeCell ref="I7664:I7665"/>
    <mergeCell ref="J7664:J7665"/>
    <mergeCell ref="K7664:K7665"/>
    <mergeCell ref="L7664:L7665"/>
    <mergeCell ref="M7664:M7665"/>
    <mergeCell ref="N7664:N7665"/>
    <mergeCell ref="O7664:O7665"/>
    <mergeCell ref="X7664:X7665"/>
    <mergeCell ref="Y7664:Y7665"/>
    <mergeCell ref="Z7664:Z7665"/>
    <mergeCell ref="AA7664:AA7665"/>
    <mergeCell ref="AB7664:AB7665"/>
    <mergeCell ref="A7660:A7661"/>
    <mergeCell ref="E7660:E7661"/>
    <mergeCell ref="H7660:H7661"/>
    <mergeCell ref="I7660:I7661"/>
    <mergeCell ref="J7660:J7661"/>
    <mergeCell ref="K7660:K7661"/>
    <mergeCell ref="L7660:L7661"/>
    <mergeCell ref="M7660:M7661"/>
    <mergeCell ref="N7660:N7661"/>
    <mergeCell ref="O7660:O7661"/>
    <mergeCell ref="X7660:X7661"/>
    <mergeCell ref="Y7660:Y7661"/>
    <mergeCell ref="Z7660:Z7661"/>
    <mergeCell ref="AA7660:AA7661"/>
    <mergeCell ref="AB7660:AB7661"/>
    <mergeCell ref="A7656:A7657"/>
    <mergeCell ref="E7656:E7657"/>
    <mergeCell ref="H7656:H7657"/>
    <mergeCell ref="I7656:I7657"/>
    <mergeCell ref="J7656:J7657"/>
    <mergeCell ref="K7656:K7657"/>
    <mergeCell ref="L7656:L7657"/>
    <mergeCell ref="M7656:M7657"/>
    <mergeCell ref="N7656:N7657"/>
    <mergeCell ref="O7656:O7657"/>
    <mergeCell ref="X7656:X7657"/>
    <mergeCell ref="Y7656:Y7657"/>
    <mergeCell ref="Z7656:Z7657"/>
    <mergeCell ref="AA7656:AA7657"/>
    <mergeCell ref="AB7656:AB7657"/>
    <mergeCell ref="A7658:A7659"/>
    <mergeCell ref="E7658:E7659"/>
    <mergeCell ref="H7658:H7659"/>
    <mergeCell ref="I7658:I7659"/>
    <mergeCell ref="J7658:J7659"/>
    <mergeCell ref="K7658:K7659"/>
    <mergeCell ref="L7658:L7659"/>
    <mergeCell ref="M7658:M7659"/>
    <mergeCell ref="N7658:N7659"/>
    <mergeCell ref="O7658:O7659"/>
    <mergeCell ref="X7658:X7659"/>
    <mergeCell ref="Y7658:Y7659"/>
    <mergeCell ref="Z7658:Z7659"/>
    <mergeCell ref="AA7658:AA7659"/>
    <mergeCell ref="AB7658:AB7659"/>
    <mergeCell ref="A7652:A7653"/>
    <mergeCell ref="E7652:E7653"/>
    <mergeCell ref="H7652:H7653"/>
    <mergeCell ref="I7652:I7653"/>
    <mergeCell ref="J7652:J7653"/>
    <mergeCell ref="K7652:K7653"/>
    <mergeCell ref="L7652:L7653"/>
    <mergeCell ref="M7652:M7653"/>
    <mergeCell ref="N7652:N7653"/>
    <mergeCell ref="O7652:O7653"/>
    <mergeCell ref="X7652:X7653"/>
    <mergeCell ref="Y7652:Y7653"/>
    <mergeCell ref="Z7652:Z7653"/>
    <mergeCell ref="AA7652:AA7653"/>
    <mergeCell ref="AB7652:AB7653"/>
    <mergeCell ref="A7654:A7655"/>
    <mergeCell ref="E7654:E7655"/>
    <mergeCell ref="H7654:H7655"/>
    <mergeCell ref="I7654:I7655"/>
    <mergeCell ref="J7654:J7655"/>
    <mergeCell ref="K7654:K7655"/>
    <mergeCell ref="L7654:L7655"/>
    <mergeCell ref="M7654:M7655"/>
    <mergeCell ref="N7654:N7655"/>
    <mergeCell ref="O7654:O7655"/>
    <mergeCell ref="X7654:X7655"/>
    <mergeCell ref="Y7654:Y7655"/>
    <mergeCell ref="Z7654:Z7655"/>
    <mergeCell ref="AA7654:AA7655"/>
    <mergeCell ref="AB7654:AB7655"/>
    <mergeCell ref="A7648:A7649"/>
    <mergeCell ref="E7648:E7649"/>
    <mergeCell ref="H7648:H7649"/>
    <mergeCell ref="I7648:I7649"/>
    <mergeCell ref="J7648:J7649"/>
    <mergeCell ref="K7648:K7649"/>
    <mergeCell ref="L7648:L7649"/>
    <mergeCell ref="M7648:M7649"/>
    <mergeCell ref="N7648:N7649"/>
    <mergeCell ref="O7648:O7649"/>
    <mergeCell ref="X7648:X7649"/>
    <mergeCell ref="Y7648:Y7649"/>
    <mergeCell ref="Z7648:Z7649"/>
    <mergeCell ref="AA7648:AA7649"/>
    <mergeCell ref="AB7648:AB7649"/>
    <mergeCell ref="A7650:A7651"/>
    <mergeCell ref="E7650:E7651"/>
    <mergeCell ref="H7650:H7651"/>
    <mergeCell ref="I7650:I7651"/>
    <mergeCell ref="J7650:J7651"/>
    <mergeCell ref="K7650:K7651"/>
    <mergeCell ref="L7650:L7651"/>
    <mergeCell ref="M7650:M7651"/>
    <mergeCell ref="N7650:N7651"/>
    <mergeCell ref="O7650:O7651"/>
    <mergeCell ref="X7650:X7651"/>
    <mergeCell ref="Y7650:Y7651"/>
    <mergeCell ref="Z7650:Z7651"/>
    <mergeCell ref="AA7650:AA7651"/>
    <mergeCell ref="AB7650:AB7651"/>
    <mergeCell ref="A7644:A7645"/>
    <mergeCell ref="E7644:E7645"/>
    <mergeCell ref="H7644:H7645"/>
    <mergeCell ref="I7644:I7645"/>
    <mergeCell ref="J7644:J7645"/>
    <mergeCell ref="K7644:K7645"/>
    <mergeCell ref="L7644:L7645"/>
    <mergeCell ref="M7644:M7645"/>
    <mergeCell ref="N7644:N7645"/>
    <mergeCell ref="O7644:O7645"/>
    <mergeCell ref="X7644:X7645"/>
    <mergeCell ref="Y7644:Y7645"/>
    <mergeCell ref="Z7644:Z7645"/>
    <mergeCell ref="AA7644:AA7645"/>
    <mergeCell ref="AB7644:AB7645"/>
    <mergeCell ref="A7646:A7647"/>
    <mergeCell ref="E7646:E7647"/>
    <mergeCell ref="H7646:H7647"/>
    <mergeCell ref="I7646:I7647"/>
    <mergeCell ref="J7646:J7647"/>
    <mergeCell ref="K7646:K7647"/>
    <mergeCell ref="L7646:L7647"/>
    <mergeCell ref="M7646:M7647"/>
    <mergeCell ref="N7646:N7647"/>
    <mergeCell ref="O7646:O7647"/>
    <mergeCell ref="X7646:X7647"/>
    <mergeCell ref="Y7646:Y7647"/>
    <mergeCell ref="Z7646:Z7647"/>
    <mergeCell ref="AA7646:AA7647"/>
    <mergeCell ref="AB7646:AB7647"/>
    <mergeCell ref="A7640:A7641"/>
    <mergeCell ref="E7640:E7641"/>
    <mergeCell ref="H7640:H7641"/>
    <mergeCell ref="I7640:I7641"/>
    <mergeCell ref="J7640:J7641"/>
    <mergeCell ref="K7640:K7641"/>
    <mergeCell ref="L7640:L7641"/>
    <mergeCell ref="M7640:M7641"/>
    <mergeCell ref="N7640:N7641"/>
    <mergeCell ref="O7640:O7641"/>
    <mergeCell ref="X7640:X7641"/>
    <mergeCell ref="Y7640:Y7641"/>
    <mergeCell ref="Z7640:Z7641"/>
    <mergeCell ref="AA7640:AA7641"/>
    <mergeCell ref="AB7640:AB7641"/>
    <mergeCell ref="A7642:A7643"/>
    <mergeCell ref="E7642:E7643"/>
    <mergeCell ref="H7642:H7643"/>
    <mergeCell ref="I7642:I7643"/>
    <mergeCell ref="J7642:J7643"/>
    <mergeCell ref="K7642:K7643"/>
    <mergeCell ref="L7642:L7643"/>
    <mergeCell ref="M7642:M7643"/>
    <mergeCell ref="N7642:N7643"/>
    <mergeCell ref="O7642:O7643"/>
    <mergeCell ref="X7642:X7643"/>
    <mergeCell ref="Y7642:Y7643"/>
    <mergeCell ref="Z7642:Z7643"/>
    <mergeCell ref="AA7642:AA7643"/>
    <mergeCell ref="AB7642:AB7643"/>
    <mergeCell ref="A7636:A7637"/>
    <mergeCell ref="E7636:E7637"/>
    <mergeCell ref="H7636:H7637"/>
    <mergeCell ref="I7636:I7637"/>
    <mergeCell ref="J7636:J7637"/>
    <mergeCell ref="K7636:K7637"/>
    <mergeCell ref="L7636:L7637"/>
    <mergeCell ref="M7636:M7637"/>
    <mergeCell ref="N7636:N7637"/>
    <mergeCell ref="O7636:O7637"/>
    <mergeCell ref="X7636:X7637"/>
    <mergeCell ref="Y7636:Y7637"/>
    <mergeCell ref="Z7636:Z7637"/>
    <mergeCell ref="AA7636:AA7637"/>
    <mergeCell ref="AB7636:AB7637"/>
    <mergeCell ref="A7638:A7639"/>
    <mergeCell ref="E7638:E7639"/>
    <mergeCell ref="H7638:H7639"/>
    <mergeCell ref="I7638:I7639"/>
    <mergeCell ref="J7638:J7639"/>
    <mergeCell ref="K7638:K7639"/>
    <mergeCell ref="L7638:L7639"/>
    <mergeCell ref="M7638:M7639"/>
    <mergeCell ref="N7638:N7639"/>
    <mergeCell ref="O7638:O7639"/>
    <mergeCell ref="X7638:X7639"/>
    <mergeCell ref="Y7638:Y7639"/>
    <mergeCell ref="Z7638:Z7639"/>
    <mergeCell ref="AA7638:AA7639"/>
    <mergeCell ref="AB7638:AB7639"/>
    <mergeCell ref="A7628:A7629"/>
    <mergeCell ref="E7628:E7629"/>
    <mergeCell ref="H7628:H7629"/>
    <mergeCell ref="I7628:I7629"/>
    <mergeCell ref="J7628:J7629"/>
    <mergeCell ref="K7628:K7629"/>
    <mergeCell ref="L7628:L7629"/>
    <mergeCell ref="M7628:M7629"/>
    <mergeCell ref="N7628:N7629"/>
    <mergeCell ref="O7628:O7629"/>
    <mergeCell ref="X7628:X7629"/>
    <mergeCell ref="Y7628:Y7629"/>
    <mergeCell ref="Z7628:Z7629"/>
    <mergeCell ref="AA7628:AA7629"/>
    <mergeCell ref="AB7628:AB7629"/>
    <mergeCell ref="A7630:A7631"/>
    <mergeCell ref="E7630:E7631"/>
    <mergeCell ref="H7630:H7631"/>
    <mergeCell ref="I7630:I7631"/>
    <mergeCell ref="J7630:J7631"/>
    <mergeCell ref="K7630:K7631"/>
    <mergeCell ref="L7630:L7631"/>
    <mergeCell ref="M7630:M7631"/>
    <mergeCell ref="N7630:N7631"/>
    <mergeCell ref="O7630:O7631"/>
    <mergeCell ref="X7630:X7631"/>
    <mergeCell ref="Y7630:Y7631"/>
    <mergeCell ref="Z7630:Z7631"/>
    <mergeCell ref="AA7630:AA7631"/>
    <mergeCell ref="AB7630:AB7631"/>
    <mergeCell ref="A7624:A7625"/>
    <mergeCell ref="E7624:E7625"/>
    <mergeCell ref="H7624:H7625"/>
    <mergeCell ref="I7624:I7625"/>
    <mergeCell ref="J7624:J7625"/>
    <mergeCell ref="K7624:K7625"/>
    <mergeCell ref="L7624:L7625"/>
    <mergeCell ref="M7624:M7625"/>
    <mergeCell ref="N7624:N7625"/>
    <mergeCell ref="O7624:O7625"/>
    <mergeCell ref="X7624:X7625"/>
    <mergeCell ref="Y7624:Y7625"/>
    <mergeCell ref="Z7624:Z7625"/>
    <mergeCell ref="AA7624:AA7625"/>
    <mergeCell ref="AB7624:AB7625"/>
    <mergeCell ref="A7626:A7627"/>
    <mergeCell ref="E7626:E7627"/>
    <mergeCell ref="H7626:H7627"/>
    <mergeCell ref="I7626:I7627"/>
    <mergeCell ref="J7626:J7627"/>
    <mergeCell ref="K7626:K7627"/>
    <mergeCell ref="L7626:L7627"/>
    <mergeCell ref="M7626:M7627"/>
    <mergeCell ref="N7626:N7627"/>
    <mergeCell ref="O7626:O7627"/>
    <mergeCell ref="X7626:X7627"/>
    <mergeCell ref="Y7626:Y7627"/>
    <mergeCell ref="Z7626:Z7627"/>
    <mergeCell ref="AA7626:AA7627"/>
    <mergeCell ref="AB7626:AB7627"/>
    <mergeCell ref="A7622:A7623"/>
    <mergeCell ref="E7622:E7623"/>
    <mergeCell ref="H7622:H7623"/>
    <mergeCell ref="I7622:I7623"/>
    <mergeCell ref="J7622:J7623"/>
    <mergeCell ref="K7622:K7623"/>
    <mergeCell ref="L7622:L7623"/>
    <mergeCell ref="M7622:M7623"/>
    <mergeCell ref="N7622:N7623"/>
    <mergeCell ref="O7622:O7623"/>
    <mergeCell ref="X7622:X7623"/>
    <mergeCell ref="Y7622:Y7623"/>
    <mergeCell ref="Z7622:Z7623"/>
    <mergeCell ref="AA7622:AA7623"/>
    <mergeCell ref="AB7622:AB7623"/>
    <mergeCell ref="A7618:A7619"/>
    <mergeCell ref="E7618:E7619"/>
    <mergeCell ref="H7618:H7619"/>
    <mergeCell ref="I7618:I7619"/>
    <mergeCell ref="J7618:J7619"/>
    <mergeCell ref="K7618:K7619"/>
    <mergeCell ref="L7618:L7619"/>
    <mergeCell ref="M7618:M7619"/>
    <mergeCell ref="N7618:N7619"/>
    <mergeCell ref="O7618:O7619"/>
    <mergeCell ref="X7618:X7619"/>
    <mergeCell ref="Y7618:Y7619"/>
    <mergeCell ref="Z7618:Z7619"/>
    <mergeCell ref="AA7618:AA7619"/>
    <mergeCell ref="AB7618:AB7619"/>
    <mergeCell ref="A7620:A7621"/>
    <mergeCell ref="E7620:E7621"/>
    <mergeCell ref="H7620:H7621"/>
    <mergeCell ref="I7620:I7621"/>
    <mergeCell ref="J7620:J7621"/>
    <mergeCell ref="K7620:K7621"/>
    <mergeCell ref="L7620:L7621"/>
    <mergeCell ref="M7620:M7621"/>
    <mergeCell ref="N7620:N7621"/>
    <mergeCell ref="O7620:O7621"/>
    <mergeCell ref="X7620:X7621"/>
    <mergeCell ref="Y7620:Y7621"/>
    <mergeCell ref="Z7620:Z7621"/>
    <mergeCell ref="AA7620:AA7621"/>
    <mergeCell ref="AB7620:AB7621"/>
    <mergeCell ref="A7614:A7615"/>
    <mergeCell ref="E7614:E7615"/>
    <mergeCell ref="H7614:H7615"/>
    <mergeCell ref="I7614:I7615"/>
    <mergeCell ref="J7614:J7615"/>
    <mergeCell ref="K7614:K7615"/>
    <mergeCell ref="L7614:L7615"/>
    <mergeCell ref="M7614:M7615"/>
    <mergeCell ref="N7614:N7615"/>
    <mergeCell ref="O7614:O7615"/>
    <mergeCell ref="X7614:X7615"/>
    <mergeCell ref="Y7614:Y7615"/>
    <mergeCell ref="Z7614:Z7615"/>
    <mergeCell ref="AA7614:AA7615"/>
    <mergeCell ref="AB7614:AB7615"/>
    <mergeCell ref="A7616:A7617"/>
    <mergeCell ref="E7616:E7617"/>
    <mergeCell ref="H7616:H7617"/>
    <mergeCell ref="I7616:I7617"/>
    <mergeCell ref="J7616:J7617"/>
    <mergeCell ref="K7616:K7617"/>
    <mergeCell ref="L7616:L7617"/>
    <mergeCell ref="M7616:M7617"/>
    <mergeCell ref="N7616:N7617"/>
    <mergeCell ref="O7616:O7617"/>
    <mergeCell ref="X7616:X7617"/>
    <mergeCell ref="Y7616:Y7617"/>
    <mergeCell ref="Z7616:Z7617"/>
    <mergeCell ref="AA7616:AA7617"/>
    <mergeCell ref="AB7616:AB7617"/>
    <mergeCell ref="A7610:A7611"/>
    <mergeCell ref="E7610:E7611"/>
    <mergeCell ref="H7610:H7611"/>
    <mergeCell ref="I7610:I7611"/>
    <mergeCell ref="J7610:J7611"/>
    <mergeCell ref="K7610:K7611"/>
    <mergeCell ref="L7610:L7611"/>
    <mergeCell ref="M7610:M7611"/>
    <mergeCell ref="N7610:N7611"/>
    <mergeCell ref="O7610:O7611"/>
    <mergeCell ref="X7610:X7611"/>
    <mergeCell ref="Y7610:Y7611"/>
    <mergeCell ref="Z7610:Z7611"/>
    <mergeCell ref="AA7610:AA7611"/>
    <mergeCell ref="AB7610:AB7611"/>
    <mergeCell ref="A7612:A7613"/>
    <mergeCell ref="E7612:E7613"/>
    <mergeCell ref="H7612:H7613"/>
    <mergeCell ref="I7612:I7613"/>
    <mergeCell ref="J7612:J7613"/>
    <mergeCell ref="K7612:K7613"/>
    <mergeCell ref="L7612:L7613"/>
    <mergeCell ref="M7612:M7613"/>
    <mergeCell ref="N7612:N7613"/>
    <mergeCell ref="O7612:O7613"/>
    <mergeCell ref="X7612:X7613"/>
    <mergeCell ref="Y7612:Y7613"/>
    <mergeCell ref="Z7612:Z7613"/>
    <mergeCell ref="AA7612:AA7613"/>
    <mergeCell ref="AB7612:AB7613"/>
    <mergeCell ref="A7606:A7607"/>
    <mergeCell ref="E7606:E7607"/>
    <mergeCell ref="H7606:H7607"/>
    <mergeCell ref="I7606:I7607"/>
    <mergeCell ref="J7606:J7607"/>
    <mergeCell ref="K7606:K7607"/>
    <mergeCell ref="L7606:L7607"/>
    <mergeCell ref="M7606:M7607"/>
    <mergeCell ref="N7606:N7607"/>
    <mergeCell ref="O7606:O7607"/>
    <mergeCell ref="X7606:X7607"/>
    <mergeCell ref="Y7606:Y7607"/>
    <mergeCell ref="Z7606:Z7607"/>
    <mergeCell ref="AA7606:AA7607"/>
    <mergeCell ref="AB7606:AB7607"/>
    <mergeCell ref="A7608:A7609"/>
    <mergeCell ref="E7608:E7609"/>
    <mergeCell ref="H7608:H7609"/>
    <mergeCell ref="I7608:I7609"/>
    <mergeCell ref="J7608:J7609"/>
    <mergeCell ref="K7608:K7609"/>
    <mergeCell ref="L7608:L7609"/>
    <mergeCell ref="M7608:M7609"/>
    <mergeCell ref="N7608:N7609"/>
    <mergeCell ref="O7608:O7609"/>
    <mergeCell ref="X7608:X7609"/>
    <mergeCell ref="Y7608:Y7609"/>
    <mergeCell ref="Z7608:Z7609"/>
    <mergeCell ref="AA7608:AA7609"/>
    <mergeCell ref="AB7608:AB7609"/>
    <mergeCell ref="A7602:A7603"/>
    <mergeCell ref="E7602:E7603"/>
    <mergeCell ref="H7602:H7603"/>
    <mergeCell ref="I7602:I7603"/>
    <mergeCell ref="J7602:J7603"/>
    <mergeCell ref="K7602:K7603"/>
    <mergeCell ref="L7602:L7603"/>
    <mergeCell ref="M7602:M7603"/>
    <mergeCell ref="N7602:N7603"/>
    <mergeCell ref="O7602:O7603"/>
    <mergeCell ref="X7602:X7603"/>
    <mergeCell ref="Y7602:Y7603"/>
    <mergeCell ref="Z7602:Z7603"/>
    <mergeCell ref="AA7602:AA7603"/>
    <mergeCell ref="AB7602:AB7603"/>
    <mergeCell ref="A7604:A7605"/>
    <mergeCell ref="E7604:E7605"/>
    <mergeCell ref="H7604:H7605"/>
    <mergeCell ref="I7604:I7605"/>
    <mergeCell ref="J7604:J7605"/>
    <mergeCell ref="K7604:K7605"/>
    <mergeCell ref="L7604:L7605"/>
    <mergeCell ref="M7604:M7605"/>
    <mergeCell ref="N7604:N7605"/>
    <mergeCell ref="O7604:O7605"/>
    <mergeCell ref="X7604:X7605"/>
    <mergeCell ref="Y7604:Y7605"/>
    <mergeCell ref="Z7604:Z7605"/>
    <mergeCell ref="AA7604:AA7605"/>
    <mergeCell ref="AB7604:AB7605"/>
    <mergeCell ref="A7598:A7599"/>
    <mergeCell ref="E7598:E7599"/>
    <mergeCell ref="H7598:H7599"/>
    <mergeCell ref="I7598:I7599"/>
    <mergeCell ref="J7598:J7599"/>
    <mergeCell ref="K7598:K7599"/>
    <mergeCell ref="L7598:L7599"/>
    <mergeCell ref="M7598:M7599"/>
    <mergeCell ref="N7598:N7599"/>
    <mergeCell ref="O7598:O7599"/>
    <mergeCell ref="X7598:X7599"/>
    <mergeCell ref="Y7598:Y7599"/>
    <mergeCell ref="Z7598:Z7599"/>
    <mergeCell ref="AA7598:AA7599"/>
    <mergeCell ref="AB7598:AB7599"/>
    <mergeCell ref="A7600:A7601"/>
    <mergeCell ref="E7600:E7601"/>
    <mergeCell ref="H7600:H7601"/>
    <mergeCell ref="I7600:I7601"/>
    <mergeCell ref="J7600:J7601"/>
    <mergeCell ref="K7600:K7601"/>
    <mergeCell ref="L7600:L7601"/>
    <mergeCell ref="M7600:M7601"/>
    <mergeCell ref="N7600:N7601"/>
    <mergeCell ref="O7600:O7601"/>
    <mergeCell ref="X7600:X7601"/>
    <mergeCell ref="Y7600:Y7601"/>
    <mergeCell ref="Z7600:Z7601"/>
    <mergeCell ref="AA7600:AA7601"/>
    <mergeCell ref="AB7600:AB7601"/>
    <mergeCell ref="A7594:A7595"/>
    <mergeCell ref="E7594:E7595"/>
    <mergeCell ref="H7594:H7595"/>
    <mergeCell ref="I7594:I7595"/>
    <mergeCell ref="J7594:J7595"/>
    <mergeCell ref="K7594:K7595"/>
    <mergeCell ref="L7594:L7595"/>
    <mergeCell ref="M7594:M7595"/>
    <mergeCell ref="N7594:N7595"/>
    <mergeCell ref="O7594:O7595"/>
    <mergeCell ref="X7594:X7595"/>
    <mergeCell ref="Y7594:Y7595"/>
    <mergeCell ref="Z7594:Z7595"/>
    <mergeCell ref="AA7594:AA7595"/>
    <mergeCell ref="AB7594:AB7595"/>
    <mergeCell ref="A7596:A7597"/>
    <mergeCell ref="E7596:E7597"/>
    <mergeCell ref="H7596:H7597"/>
    <mergeCell ref="I7596:I7597"/>
    <mergeCell ref="J7596:J7597"/>
    <mergeCell ref="K7596:K7597"/>
    <mergeCell ref="L7596:L7597"/>
    <mergeCell ref="M7596:M7597"/>
    <mergeCell ref="N7596:N7597"/>
    <mergeCell ref="O7596:O7597"/>
    <mergeCell ref="X7596:X7597"/>
    <mergeCell ref="Y7596:Y7597"/>
    <mergeCell ref="Z7596:Z7597"/>
    <mergeCell ref="AA7596:AA7597"/>
    <mergeCell ref="AB7596:AB7597"/>
    <mergeCell ref="A7590:A7591"/>
    <mergeCell ref="E7590:E7591"/>
    <mergeCell ref="H7590:H7591"/>
    <mergeCell ref="I7590:I7591"/>
    <mergeCell ref="J7590:J7591"/>
    <mergeCell ref="K7590:K7591"/>
    <mergeCell ref="L7590:L7591"/>
    <mergeCell ref="M7590:M7591"/>
    <mergeCell ref="N7590:N7591"/>
    <mergeCell ref="O7590:O7591"/>
    <mergeCell ref="X7590:X7591"/>
    <mergeCell ref="Y7590:Y7591"/>
    <mergeCell ref="Z7590:Z7591"/>
    <mergeCell ref="AA7590:AA7591"/>
    <mergeCell ref="AB7590:AB7591"/>
    <mergeCell ref="A7592:A7593"/>
    <mergeCell ref="E7592:E7593"/>
    <mergeCell ref="H7592:H7593"/>
    <mergeCell ref="I7592:I7593"/>
    <mergeCell ref="J7592:J7593"/>
    <mergeCell ref="K7592:K7593"/>
    <mergeCell ref="L7592:L7593"/>
    <mergeCell ref="M7592:M7593"/>
    <mergeCell ref="N7592:N7593"/>
    <mergeCell ref="O7592:O7593"/>
    <mergeCell ref="X7592:X7593"/>
    <mergeCell ref="Y7592:Y7593"/>
    <mergeCell ref="Z7592:Z7593"/>
    <mergeCell ref="AA7592:AA7593"/>
    <mergeCell ref="AB7592:AB7593"/>
    <mergeCell ref="A7586:A7587"/>
    <mergeCell ref="E7586:E7587"/>
    <mergeCell ref="H7586:H7587"/>
    <mergeCell ref="I7586:I7587"/>
    <mergeCell ref="J7586:J7587"/>
    <mergeCell ref="K7586:K7587"/>
    <mergeCell ref="L7586:L7587"/>
    <mergeCell ref="M7586:M7587"/>
    <mergeCell ref="N7586:N7587"/>
    <mergeCell ref="O7586:O7587"/>
    <mergeCell ref="X7586:X7587"/>
    <mergeCell ref="Y7586:Y7587"/>
    <mergeCell ref="Z7586:Z7587"/>
    <mergeCell ref="AA7586:AA7587"/>
    <mergeCell ref="AB7586:AB7587"/>
    <mergeCell ref="A7588:A7589"/>
    <mergeCell ref="E7588:E7589"/>
    <mergeCell ref="H7588:H7589"/>
    <mergeCell ref="I7588:I7589"/>
    <mergeCell ref="J7588:J7589"/>
    <mergeCell ref="K7588:K7589"/>
    <mergeCell ref="L7588:L7589"/>
    <mergeCell ref="M7588:M7589"/>
    <mergeCell ref="N7588:N7589"/>
    <mergeCell ref="O7588:O7589"/>
    <mergeCell ref="X7588:X7589"/>
    <mergeCell ref="Y7588:Y7589"/>
    <mergeCell ref="Z7588:Z7589"/>
    <mergeCell ref="AA7588:AA7589"/>
    <mergeCell ref="AB7588:AB7589"/>
    <mergeCell ref="A7582:A7583"/>
    <mergeCell ref="E7582:E7583"/>
    <mergeCell ref="H7582:H7583"/>
    <mergeCell ref="I7582:I7583"/>
    <mergeCell ref="J7582:J7583"/>
    <mergeCell ref="K7582:K7583"/>
    <mergeCell ref="L7582:L7583"/>
    <mergeCell ref="M7582:M7583"/>
    <mergeCell ref="N7582:N7583"/>
    <mergeCell ref="O7582:O7583"/>
    <mergeCell ref="X7582:X7583"/>
    <mergeCell ref="Y7582:Y7583"/>
    <mergeCell ref="Z7582:Z7583"/>
    <mergeCell ref="AA7582:AA7583"/>
    <mergeCell ref="AB7582:AB7583"/>
    <mergeCell ref="A7584:A7585"/>
    <mergeCell ref="E7584:E7585"/>
    <mergeCell ref="H7584:H7585"/>
    <mergeCell ref="I7584:I7585"/>
    <mergeCell ref="J7584:J7585"/>
    <mergeCell ref="K7584:K7585"/>
    <mergeCell ref="L7584:L7585"/>
    <mergeCell ref="M7584:M7585"/>
    <mergeCell ref="N7584:N7585"/>
    <mergeCell ref="O7584:O7585"/>
    <mergeCell ref="X7584:X7585"/>
    <mergeCell ref="Y7584:Y7585"/>
    <mergeCell ref="Z7584:Z7585"/>
    <mergeCell ref="AA7584:AA7585"/>
    <mergeCell ref="AB7584:AB7585"/>
    <mergeCell ref="A7578:A7579"/>
    <mergeCell ref="E7578:E7579"/>
    <mergeCell ref="H7578:H7579"/>
    <mergeCell ref="I7578:I7579"/>
    <mergeCell ref="J7578:J7579"/>
    <mergeCell ref="K7578:K7579"/>
    <mergeCell ref="L7578:L7579"/>
    <mergeCell ref="M7578:M7579"/>
    <mergeCell ref="N7578:N7579"/>
    <mergeCell ref="O7578:O7579"/>
    <mergeCell ref="X7578:X7579"/>
    <mergeCell ref="Y7578:Y7579"/>
    <mergeCell ref="Z7578:Z7579"/>
    <mergeCell ref="AA7578:AA7579"/>
    <mergeCell ref="AB7578:AB7579"/>
    <mergeCell ref="A7580:A7581"/>
    <mergeCell ref="E7580:E7581"/>
    <mergeCell ref="H7580:H7581"/>
    <mergeCell ref="I7580:I7581"/>
    <mergeCell ref="J7580:J7581"/>
    <mergeCell ref="K7580:K7581"/>
    <mergeCell ref="L7580:L7581"/>
    <mergeCell ref="M7580:M7581"/>
    <mergeCell ref="N7580:N7581"/>
    <mergeCell ref="O7580:O7581"/>
    <mergeCell ref="X7580:X7581"/>
    <mergeCell ref="Y7580:Y7581"/>
    <mergeCell ref="Z7580:Z7581"/>
    <mergeCell ref="AA7580:AA7581"/>
    <mergeCell ref="AB7580:AB7581"/>
    <mergeCell ref="A7574:A7575"/>
    <mergeCell ref="E7574:E7575"/>
    <mergeCell ref="H7574:H7575"/>
    <mergeCell ref="I7574:I7575"/>
    <mergeCell ref="J7574:J7575"/>
    <mergeCell ref="K7574:K7575"/>
    <mergeCell ref="L7574:L7575"/>
    <mergeCell ref="M7574:M7575"/>
    <mergeCell ref="N7574:N7575"/>
    <mergeCell ref="O7574:O7575"/>
    <mergeCell ref="X7574:X7575"/>
    <mergeCell ref="Y7574:Y7575"/>
    <mergeCell ref="Z7574:Z7575"/>
    <mergeCell ref="AA7574:AA7575"/>
    <mergeCell ref="AB7574:AB7575"/>
    <mergeCell ref="A7576:A7577"/>
    <mergeCell ref="E7576:E7577"/>
    <mergeCell ref="H7576:H7577"/>
    <mergeCell ref="I7576:I7577"/>
    <mergeCell ref="J7576:J7577"/>
    <mergeCell ref="K7576:K7577"/>
    <mergeCell ref="L7576:L7577"/>
    <mergeCell ref="M7576:M7577"/>
    <mergeCell ref="N7576:N7577"/>
    <mergeCell ref="O7576:O7577"/>
    <mergeCell ref="X7576:X7577"/>
    <mergeCell ref="Y7576:Y7577"/>
    <mergeCell ref="Z7576:Z7577"/>
    <mergeCell ref="AA7576:AA7577"/>
    <mergeCell ref="AB7576:AB7577"/>
    <mergeCell ref="A7570:A7571"/>
    <mergeCell ref="E7570:E7571"/>
    <mergeCell ref="H7570:H7571"/>
    <mergeCell ref="I7570:I7571"/>
    <mergeCell ref="J7570:J7571"/>
    <mergeCell ref="K7570:K7571"/>
    <mergeCell ref="L7570:L7571"/>
    <mergeCell ref="M7570:M7571"/>
    <mergeCell ref="N7570:N7571"/>
    <mergeCell ref="O7570:O7571"/>
    <mergeCell ref="X7570:X7571"/>
    <mergeCell ref="Y7570:Y7571"/>
    <mergeCell ref="Z7570:Z7571"/>
    <mergeCell ref="AA7570:AA7571"/>
    <mergeCell ref="AB7570:AB7571"/>
    <mergeCell ref="A7572:A7573"/>
    <mergeCell ref="E7572:E7573"/>
    <mergeCell ref="H7572:H7573"/>
    <mergeCell ref="I7572:I7573"/>
    <mergeCell ref="J7572:J7573"/>
    <mergeCell ref="K7572:K7573"/>
    <mergeCell ref="L7572:L7573"/>
    <mergeCell ref="M7572:M7573"/>
    <mergeCell ref="N7572:N7573"/>
    <mergeCell ref="O7572:O7573"/>
    <mergeCell ref="X7572:X7573"/>
    <mergeCell ref="Y7572:Y7573"/>
    <mergeCell ref="Z7572:Z7573"/>
    <mergeCell ref="AA7572:AA7573"/>
    <mergeCell ref="AB7572:AB7573"/>
    <mergeCell ref="A7566:A7567"/>
    <mergeCell ref="E7566:E7567"/>
    <mergeCell ref="H7566:H7567"/>
    <mergeCell ref="I7566:I7567"/>
    <mergeCell ref="J7566:J7567"/>
    <mergeCell ref="K7566:K7567"/>
    <mergeCell ref="L7566:L7567"/>
    <mergeCell ref="M7566:M7567"/>
    <mergeCell ref="N7566:N7567"/>
    <mergeCell ref="O7566:O7567"/>
    <mergeCell ref="X7566:X7567"/>
    <mergeCell ref="Y7566:Y7567"/>
    <mergeCell ref="Z7566:Z7567"/>
    <mergeCell ref="AA7566:AA7567"/>
    <mergeCell ref="AB7566:AB7567"/>
    <mergeCell ref="A7568:A7569"/>
    <mergeCell ref="E7568:E7569"/>
    <mergeCell ref="H7568:H7569"/>
    <mergeCell ref="I7568:I7569"/>
    <mergeCell ref="J7568:J7569"/>
    <mergeCell ref="K7568:K7569"/>
    <mergeCell ref="L7568:L7569"/>
    <mergeCell ref="M7568:M7569"/>
    <mergeCell ref="N7568:N7569"/>
    <mergeCell ref="O7568:O7569"/>
    <mergeCell ref="X7568:X7569"/>
    <mergeCell ref="Y7568:Y7569"/>
    <mergeCell ref="Z7568:Z7569"/>
    <mergeCell ref="AA7568:AA7569"/>
    <mergeCell ref="AB7568:AB7569"/>
    <mergeCell ref="A7562:A7563"/>
    <mergeCell ref="E7562:E7563"/>
    <mergeCell ref="H7562:H7563"/>
    <mergeCell ref="I7562:I7563"/>
    <mergeCell ref="J7562:J7563"/>
    <mergeCell ref="K7562:K7563"/>
    <mergeCell ref="L7562:L7563"/>
    <mergeCell ref="M7562:M7563"/>
    <mergeCell ref="N7562:N7563"/>
    <mergeCell ref="O7562:O7563"/>
    <mergeCell ref="X7562:X7563"/>
    <mergeCell ref="Y7562:Y7563"/>
    <mergeCell ref="Z7562:Z7563"/>
    <mergeCell ref="AA7562:AA7563"/>
    <mergeCell ref="AB7562:AB7563"/>
    <mergeCell ref="A7564:A7565"/>
    <mergeCell ref="E7564:E7565"/>
    <mergeCell ref="H7564:H7565"/>
    <mergeCell ref="I7564:I7565"/>
    <mergeCell ref="J7564:J7565"/>
    <mergeCell ref="K7564:K7565"/>
    <mergeCell ref="L7564:L7565"/>
    <mergeCell ref="M7564:M7565"/>
    <mergeCell ref="N7564:N7565"/>
    <mergeCell ref="O7564:O7565"/>
    <mergeCell ref="X7564:X7565"/>
    <mergeCell ref="Y7564:Y7565"/>
    <mergeCell ref="Z7564:Z7565"/>
    <mergeCell ref="AA7564:AA7565"/>
    <mergeCell ref="AB7564:AB7565"/>
    <mergeCell ref="A7558:A7559"/>
    <mergeCell ref="E7558:E7559"/>
    <mergeCell ref="H7558:H7559"/>
    <mergeCell ref="I7558:I7559"/>
    <mergeCell ref="J7558:J7559"/>
    <mergeCell ref="K7558:K7559"/>
    <mergeCell ref="L7558:L7559"/>
    <mergeCell ref="M7558:M7559"/>
    <mergeCell ref="N7558:N7559"/>
    <mergeCell ref="O7558:O7559"/>
    <mergeCell ref="X7558:X7559"/>
    <mergeCell ref="Y7558:Y7559"/>
    <mergeCell ref="Z7558:Z7559"/>
    <mergeCell ref="AA7558:AA7559"/>
    <mergeCell ref="AB7558:AB7559"/>
    <mergeCell ref="A7560:A7561"/>
    <mergeCell ref="E7560:E7561"/>
    <mergeCell ref="H7560:H7561"/>
    <mergeCell ref="I7560:I7561"/>
    <mergeCell ref="J7560:J7561"/>
    <mergeCell ref="K7560:K7561"/>
    <mergeCell ref="L7560:L7561"/>
    <mergeCell ref="M7560:M7561"/>
    <mergeCell ref="N7560:N7561"/>
    <mergeCell ref="O7560:O7561"/>
    <mergeCell ref="X7560:X7561"/>
    <mergeCell ref="Y7560:Y7561"/>
    <mergeCell ref="Z7560:Z7561"/>
    <mergeCell ref="AA7560:AA7561"/>
    <mergeCell ref="AB7560:AB7561"/>
    <mergeCell ref="A7554:A7555"/>
    <mergeCell ref="E7554:E7555"/>
    <mergeCell ref="H7554:H7555"/>
    <mergeCell ref="I7554:I7555"/>
    <mergeCell ref="J7554:J7555"/>
    <mergeCell ref="K7554:K7555"/>
    <mergeCell ref="L7554:L7555"/>
    <mergeCell ref="M7554:M7555"/>
    <mergeCell ref="N7554:N7555"/>
    <mergeCell ref="O7554:O7555"/>
    <mergeCell ref="X7554:X7555"/>
    <mergeCell ref="Y7554:Y7555"/>
    <mergeCell ref="Z7554:Z7555"/>
    <mergeCell ref="AA7554:AA7555"/>
    <mergeCell ref="AB7554:AB7555"/>
    <mergeCell ref="A7556:A7557"/>
    <mergeCell ref="E7556:E7557"/>
    <mergeCell ref="H7556:H7557"/>
    <mergeCell ref="I7556:I7557"/>
    <mergeCell ref="J7556:J7557"/>
    <mergeCell ref="K7556:K7557"/>
    <mergeCell ref="L7556:L7557"/>
    <mergeCell ref="M7556:M7557"/>
    <mergeCell ref="N7556:N7557"/>
    <mergeCell ref="O7556:O7557"/>
    <mergeCell ref="X7556:X7557"/>
    <mergeCell ref="Y7556:Y7557"/>
    <mergeCell ref="Z7556:Z7557"/>
    <mergeCell ref="AA7556:AA7557"/>
    <mergeCell ref="AB7556:AB7557"/>
    <mergeCell ref="A7550:A7551"/>
    <mergeCell ref="E7550:E7551"/>
    <mergeCell ref="H7550:H7551"/>
    <mergeCell ref="I7550:I7551"/>
    <mergeCell ref="J7550:J7551"/>
    <mergeCell ref="K7550:K7551"/>
    <mergeCell ref="L7550:L7551"/>
    <mergeCell ref="M7550:M7551"/>
    <mergeCell ref="N7550:N7551"/>
    <mergeCell ref="O7550:O7551"/>
    <mergeCell ref="X7550:X7551"/>
    <mergeCell ref="Y7550:Y7551"/>
    <mergeCell ref="Z7550:Z7551"/>
    <mergeCell ref="AA7550:AA7551"/>
    <mergeCell ref="AB7550:AB7551"/>
    <mergeCell ref="A7552:A7553"/>
    <mergeCell ref="E7552:E7553"/>
    <mergeCell ref="H7552:H7553"/>
    <mergeCell ref="I7552:I7553"/>
    <mergeCell ref="J7552:J7553"/>
    <mergeCell ref="K7552:K7553"/>
    <mergeCell ref="L7552:L7553"/>
    <mergeCell ref="M7552:M7553"/>
    <mergeCell ref="N7552:N7553"/>
    <mergeCell ref="O7552:O7553"/>
    <mergeCell ref="X7552:X7553"/>
    <mergeCell ref="Y7552:Y7553"/>
    <mergeCell ref="Z7552:Z7553"/>
    <mergeCell ref="AA7552:AA7553"/>
    <mergeCell ref="AB7552:AB7553"/>
    <mergeCell ref="A7546:A7547"/>
    <mergeCell ref="E7546:E7547"/>
    <mergeCell ref="H7546:H7547"/>
    <mergeCell ref="I7546:I7547"/>
    <mergeCell ref="J7546:J7547"/>
    <mergeCell ref="K7546:K7547"/>
    <mergeCell ref="L7546:L7547"/>
    <mergeCell ref="M7546:M7547"/>
    <mergeCell ref="N7546:N7547"/>
    <mergeCell ref="O7546:O7547"/>
    <mergeCell ref="X7546:X7547"/>
    <mergeCell ref="Y7546:Y7547"/>
    <mergeCell ref="Z7546:Z7547"/>
    <mergeCell ref="AA7546:AA7547"/>
    <mergeCell ref="AB7546:AB7547"/>
    <mergeCell ref="A7548:A7549"/>
    <mergeCell ref="E7548:E7549"/>
    <mergeCell ref="H7548:H7549"/>
    <mergeCell ref="I7548:I7549"/>
    <mergeCell ref="J7548:J7549"/>
    <mergeCell ref="K7548:K7549"/>
    <mergeCell ref="L7548:L7549"/>
    <mergeCell ref="M7548:M7549"/>
    <mergeCell ref="N7548:N7549"/>
    <mergeCell ref="O7548:O7549"/>
    <mergeCell ref="X7548:X7549"/>
    <mergeCell ref="Y7548:Y7549"/>
    <mergeCell ref="Z7548:Z7549"/>
    <mergeCell ref="AA7548:AA7549"/>
    <mergeCell ref="AB7548:AB7549"/>
    <mergeCell ref="A7542:A7543"/>
    <mergeCell ref="E7542:E7543"/>
    <mergeCell ref="H7542:H7543"/>
    <mergeCell ref="I7542:I7543"/>
    <mergeCell ref="J7542:J7543"/>
    <mergeCell ref="K7542:K7543"/>
    <mergeCell ref="L7542:L7543"/>
    <mergeCell ref="M7542:M7543"/>
    <mergeCell ref="N7542:N7543"/>
    <mergeCell ref="O7542:O7543"/>
    <mergeCell ref="X7542:X7543"/>
    <mergeCell ref="Y7542:Y7543"/>
    <mergeCell ref="Z7542:Z7543"/>
    <mergeCell ref="AA7542:AA7543"/>
    <mergeCell ref="AB7542:AB7543"/>
    <mergeCell ref="A7544:A7545"/>
    <mergeCell ref="E7544:E7545"/>
    <mergeCell ref="H7544:H7545"/>
    <mergeCell ref="I7544:I7545"/>
    <mergeCell ref="J7544:J7545"/>
    <mergeCell ref="K7544:K7545"/>
    <mergeCell ref="L7544:L7545"/>
    <mergeCell ref="M7544:M7545"/>
    <mergeCell ref="N7544:N7545"/>
    <mergeCell ref="O7544:O7545"/>
    <mergeCell ref="X7544:X7545"/>
    <mergeCell ref="Y7544:Y7545"/>
    <mergeCell ref="Z7544:Z7545"/>
    <mergeCell ref="AA7544:AA7545"/>
    <mergeCell ref="AB7544:AB7545"/>
    <mergeCell ref="A7538:A7539"/>
    <mergeCell ref="E7538:E7539"/>
    <mergeCell ref="H7538:H7539"/>
    <mergeCell ref="I7538:I7539"/>
    <mergeCell ref="J7538:J7539"/>
    <mergeCell ref="K7538:K7539"/>
    <mergeCell ref="L7538:L7539"/>
    <mergeCell ref="M7538:M7539"/>
    <mergeCell ref="N7538:N7539"/>
    <mergeCell ref="O7538:O7539"/>
    <mergeCell ref="X7538:X7539"/>
    <mergeCell ref="Y7538:Y7539"/>
    <mergeCell ref="Z7538:Z7539"/>
    <mergeCell ref="AA7538:AA7539"/>
    <mergeCell ref="AB7538:AB7539"/>
    <mergeCell ref="A7540:A7541"/>
    <mergeCell ref="E7540:E7541"/>
    <mergeCell ref="H7540:H7541"/>
    <mergeCell ref="I7540:I7541"/>
    <mergeCell ref="J7540:J7541"/>
    <mergeCell ref="K7540:K7541"/>
    <mergeCell ref="L7540:L7541"/>
    <mergeCell ref="M7540:M7541"/>
    <mergeCell ref="N7540:N7541"/>
    <mergeCell ref="O7540:O7541"/>
    <mergeCell ref="X7540:X7541"/>
    <mergeCell ref="Y7540:Y7541"/>
    <mergeCell ref="Z7540:Z7541"/>
    <mergeCell ref="AA7540:AA7541"/>
    <mergeCell ref="AB7540:AB7541"/>
    <mergeCell ref="A7534:A7535"/>
    <mergeCell ref="E7534:E7535"/>
    <mergeCell ref="H7534:H7535"/>
    <mergeCell ref="I7534:I7535"/>
    <mergeCell ref="J7534:J7535"/>
    <mergeCell ref="K7534:K7535"/>
    <mergeCell ref="L7534:L7535"/>
    <mergeCell ref="M7534:M7535"/>
    <mergeCell ref="N7534:N7535"/>
    <mergeCell ref="O7534:O7535"/>
    <mergeCell ref="X7534:X7535"/>
    <mergeCell ref="Y7534:Y7535"/>
    <mergeCell ref="Z7534:Z7535"/>
    <mergeCell ref="AA7534:AA7535"/>
    <mergeCell ref="AB7534:AB7535"/>
    <mergeCell ref="A7536:A7537"/>
    <mergeCell ref="E7536:E7537"/>
    <mergeCell ref="H7536:H7537"/>
    <mergeCell ref="I7536:I7537"/>
    <mergeCell ref="J7536:J7537"/>
    <mergeCell ref="K7536:K7537"/>
    <mergeCell ref="L7536:L7537"/>
    <mergeCell ref="M7536:M7537"/>
    <mergeCell ref="N7536:N7537"/>
    <mergeCell ref="O7536:O7537"/>
    <mergeCell ref="X7536:X7537"/>
    <mergeCell ref="Y7536:Y7537"/>
    <mergeCell ref="Z7536:Z7537"/>
    <mergeCell ref="AA7536:AA7537"/>
    <mergeCell ref="AB7536:AB7537"/>
    <mergeCell ref="A7530:A7531"/>
    <mergeCell ref="E7530:E7531"/>
    <mergeCell ref="H7530:H7531"/>
    <mergeCell ref="I7530:I7531"/>
    <mergeCell ref="J7530:J7531"/>
    <mergeCell ref="K7530:K7531"/>
    <mergeCell ref="L7530:L7531"/>
    <mergeCell ref="M7530:M7531"/>
    <mergeCell ref="N7530:N7531"/>
    <mergeCell ref="O7530:O7531"/>
    <mergeCell ref="X7530:X7531"/>
    <mergeCell ref="Y7530:Y7531"/>
    <mergeCell ref="Z7530:Z7531"/>
    <mergeCell ref="AA7530:AA7531"/>
    <mergeCell ref="AB7530:AB7531"/>
    <mergeCell ref="A7532:A7533"/>
    <mergeCell ref="E7532:E7533"/>
    <mergeCell ref="H7532:H7533"/>
    <mergeCell ref="I7532:I7533"/>
    <mergeCell ref="J7532:J7533"/>
    <mergeCell ref="K7532:K7533"/>
    <mergeCell ref="L7532:L7533"/>
    <mergeCell ref="M7532:M7533"/>
    <mergeCell ref="N7532:N7533"/>
    <mergeCell ref="O7532:O7533"/>
    <mergeCell ref="X7532:X7533"/>
    <mergeCell ref="Y7532:Y7533"/>
    <mergeCell ref="Z7532:Z7533"/>
    <mergeCell ref="AA7532:AA7533"/>
    <mergeCell ref="AB7532:AB7533"/>
    <mergeCell ref="A7526:A7527"/>
    <mergeCell ref="E7526:E7527"/>
    <mergeCell ref="H7526:H7527"/>
    <mergeCell ref="I7526:I7527"/>
    <mergeCell ref="J7526:J7527"/>
    <mergeCell ref="K7526:K7527"/>
    <mergeCell ref="L7526:L7527"/>
    <mergeCell ref="M7526:M7527"/>
    <mergeCell ref="N7526:N7527"/>
    <mergeCell ref="O7526:O7527"/>
    <mergeCell ref="X7526:X7527"/>
    <mergeCell ref="Y7526:Y7527"/>
    <mergeCell ref="Z7526:Z7527"/>
    <mergeCell ref="AA7526:AA7527"/>
    <mergeCell ref="AB7526:AB7527"/>
    <mergeCell ref="A7528:A7529"/>
    <mergeCell ref="E7528:E7529"/>
    <mergeCell ref="H7528:H7529"/>
    <mergeCell ref="I7528:I7529"/>
    <mergeCell ref="J7528:J7529"/>
    <mergeCell ref="K7528:K7529"/>
    <mergeCell ref="L7528:L7529"/>
    <mergeCell ref="M7528:M7529"/>
    <mergeCell ref="N7528:N7529"/>
    <mergeCell ref="O7528:O7529"/>
    <mergeCell ref="X7528:X7529"/>
    <mergeCell ref="Y7528:Y7529"/>
    <mergeCell ref="Z7528:Z7529"/>
    <mergeCell ref="AA7528:AA7529"/>
    <mergeCell ref="AB7528:AB7529"/>
    <mergeCell ref="A7522:A7523"/>
    <mergeCell ref="E7522:E7523"/>
    <mergeCell ref="H7522:H7523"/>
    <mergeCell ref="I7522:I7523"/>
    <mergeCell ref="J7522:J7523"/>
    <mergeCell ref="K7522:K7523"/>
    <mergeCell ref="L7522:L7523"/>
    <mergeCell ref="M7522:M7523"/>
    <mergeCell ref="N7522:N7523"/>
    <mergeCell ref="O7522:O7523"/>
    <mergeCell ref="X7522:X7523"/>
    <mergeCell ref="Y7522:Y7523"/>
    <mergeCell ref="Z7522:Z7523"/>
    <mergeCell ref="AA7522:AA7523"/>
    <mergeCell ref="AB7522:AB7523"/>
    <mergeCell ref="A7524:A7525"/>
    <mergeCell ref="E7524:E7525"/>
    <mergeCell ref="H7524:H7525"/>
    <mergeCell ref="I7524:I7525"/>
    <mergeCell ref="J7524:J7525"/>
    <mergeCell ref="K7524:K7525"/>
    <mergeCell ref="L7524:L7525"/>
    <mergeCell ref="M7524:M7525"/>
    <mergeCell ref="N7524:N7525"/>
    <mergeCell ref="O7524:O7525"/>
    <mergeCell ref="X7524:X7525"/>
    <mergeCell ref="Y7524:Y7525"/>
    <mergeCell ref="Z7524:Z7525"/>
    <mergeCell ref="AA7524:AA7525"/>
    <mergeCell ref="AB7524:AB7525"/>
    <mergeCell ref="A7518:A7519"/>
    <mergeCell ref="E7518:E7519"/>
    <mergeCell ref="H7518:H7519"/>
    <mergeCell ref="I7518:I7519"/>
    <mergeCell ref="J7518:J7519"/>
    <mergeCell ref="K7518:K7519"/>
    <mergeCell ref="L7518:L7519"/>
    <mergeCell ref="M7518:M7519"/>
    <mergeCell ref="N7518:N7519"/>
    <mergeCell ref="O7518:O7519"/>
    <mergeCell ref="X7518:X7519"/>
    <mergeCell ref="Y7518:Y7519"/>
    <mergeCell ref="Z7518:Z7519"/>
    <mergeCell ref="AA7518:AA7519"/>
    <mergeCell ref="AB7518:AB7519"/>
    <mergeCell ref="A7520:A7521"/>
    <mergeCell ref="E7520:E7521"/>
    <mergeCell ref="H7520:H7521"/>
    <mergeCell ref="I7520:I7521"/>
    <mergeCell ref="J7520:J7521"/>
    <mergeCell ref="K7520:K7521"/>
    <mergeCell ref="L7520:L7521"/>
    <mergeCell ref="M7520:M7521"/>
    <mergeCell ref="N7520:N7521"/>
    <mergeCell ref="O7520:O7521"/>
    <mergeCell ref="X7520:X7521"/>
    <mergeCell ref="Y7520:Y7521"/>
    <mergeCell ref="Z7520:Z7521"/>
    <mergeCell ref="AA7520:AA7521"/>
    <mergeCell ref="AB7520:AB7521"/>
    <mergeCell ref="A7514:A7515"/>
    <mergeCell ref="E7514:E7515"/>
    <mergeCell ref="H7514:H7515"/>
    <mergeCell ref="I7514:I7515"/>
    <mergeCell ref="J7514:J7515"/>
    <mergeCell ref="K7514:K7515"/>
    <mergeCell ref="L7514:L7515"/>
    <mergeCell ref="M7514:M7515"/>
    <mergeCell ref="N7514:N7515"/>
    <mergeCell ref="O7514:O7515"/>
    <mergeCell ref="X7514:X7515"/>
    <mergeCell ref="Y7514:Y7515"/>
    <mergeCell ref="Z7514:Z7515"/>
    <mergeCell ref="AA7514:AA7515"/>
    <mergeCell ref="AB7514:AB7515"/>
    <mergeCell ref="A7516:A7517"/>
    <mergeCell ref="E7516:E7517"/>
    <mergeCell ref="H7516:H7517"/>
    <mergeCell ref="I7516:I7517"/>
    <mergeCell ref="J7516:J7517"/>
    <mergeCell ref="K7516:K7517"/>
    <mergeCell ref="L7516:L7517"/>
    <mergeCell ref="M7516:M7517"/>
    <mergeCell ref="N7516:N7517"/>
    <mergeCell ref="O7516:O7517"/>
    <mergeCell ref="X7516:X7517"/>
    <mergeCell ref="Y7516:Y7517"/>
    <mergeCell ref="Z7516:Z7517"/>
    <mergeCell ref="AA7516:AA7517"/>
    <mergeCell ref="AB7516:AB7517"/>
    <mergeCell ref="A7510:A7511"/>
    <mergeCell ref="E7510:E7511"/>
    <mergeCell ref="H7510:H7511"/>
    <mergeCell ref="I7510:I7511"/>
    <mergeCell ref="J7510:J7511"/>
    <mergeCell ref="K7510:K7511"/>
    <mergeCell ref="L7510:L7511"/>
    <mergeCell ref="M7510:M7511"/>
    <mergeCell ref="N7510:N7511"/>
    <mergeCell ref="O7510:O7511"/>
    <mergeCell ref="X7510:X7511"/>
    <mergeCell ref="Y7510:Y7511"/>
    <mergeCell ref="Z7510:Z7511"/>
    <mergeCell ref="AA7510:AA7511"/>
    <mergeCell ref="AB7510:AB7511"/>
    <mergeCell ref="A7512:A7513"/>
    <mergeCell ref="E7512:E7513"/>
    <mergeCell ref="H7512:H7513"/>
    <mergeCell ref="I7512:I7513"/>
    <mergeCell ref="J7512:J7513"/>
    <mergeCell ref="K7512:K7513"/>
    <mergeCell ref="L7512:L7513"/>
    <mergeCell ref="M7512:M7513"/>
    <mergeCell ref="N7512:N7513"/>
    <mergeCell ref="O7512:O7513"/>
    <mergeCell ref="X7512:X7513"/>
    <mergeCell ref="Y7512:Y7513"/>
    <mergeCell ref="Z7512:Z7513"/>
    <mergeCell ref="AA7512:AA7513"/>
    <mergeCell ref="AB7512:AB7513"/>
    <mergeCell ref="A7506:A7507"/>
    <mergeCell ref="E7506:E7507"/>
    <mergeCell ref="H7506:H7507"/>
    <mergeCell ref="I7506:I7507"/>
    <mergeCell ref="J7506:J7507"/>
    <mergeCell ref="K7506:K7507"/>
    <mergeCell ref="L7506:L7507"/>
    <mergeCell ref="M7506:M7507"/>
    <mergeCell ref="N7506:N7507"/>
    <mergeCell ref="O7506:O7507"/>
    <mergeCell ref="X7506:X7507"/>
    <mergeCell ref="Y7506:Y7507"/>
    <mergeCell ref="Z7506:Z7507"/>
    <mergeCell ref="AA7506:AA7507"/>
    <mergeCell ref="AB7506:AB7507"/>
    <mergeCell ref="A7508:A7509"/>
    <mergeCell ref="E7508:E7509"/>
    <mergeCell ref="H7508:H7509"/>
    <mergeCell ref="I7508:I7509"/>
    <mergeCell ref="J7508:J7509"/>
    <mergeCell ref="K7508:K7509"/>
    <mergeCell ref="L7508:L7509"/>
    <mergeCell ref="M7508:M7509"/>
    <mergeCell ref="N7508:N7509"/>
    <mergeCell ref="O7508:O7509"/>
    <mergeCell ref="X7508:X7509"/>
    <mergeCell ref="Y7508:Y7509"/>
    <mergeCell ref="Z7508:Z7509"/>
    <mergeCell ref="AA7508:AA7509"/>
    <mergeCell ref="AB7508:AB7509"/>
    <mergeCell ref="A7502:A7503"/>
    <mergeCell ref="E7502:E7503"/>
    <mergeCell ref="H7502:H7503"/>
    <mergeCell ref="I7502:I7503"/>
    <mergeCell ref="J7502:J7503"/>
    <mergeCell ref="K7502:K7503"/>
    <mergeCell ref="L7502:L7503"/>
    <mergeCell ref="M7502:M7503"/>
    <mergeCell ref="N7502:N7503"/>
    <mergeCell ref="O7502:O7503"/>
    <mergeCell ref="X7502:X7503"/>
    <mergeCell ref="Y7502:Y7503"/>
    <mergeCell ref="Z7502:Z7503"/>
    <mergeCell ref="AA7502:AA7503"/>
    <mergeCell ref="AB7502:AB7503"/>
    <mergeCell ref="A7504:A7505"/>
    <mergeCell ref="E7504:E7505"/>
    <mergeCell ref="H7504:H7505"/>
    <mergeCell ref="I7504:I7505"/>
    <mergeCell ref="J7504:J7505"/>
    <mergeCell ref="K7504:K7505"/>
    <mergeCell ref="L7504:L7505"/>
    <mergeCell ref="M7504:M7505"/>
    <mergeCell ref="N7504:N7505"/>
    <mergeCell ref="O7504:O7505"/>
    <mergeCell ref="X7504:X7505"/>
    <mergeCell ref="Y7504:Y7505"/>
    <mergeCell ref="Z7504:Z7505"/>
    <mergeCell ref="AA7504:AA7505"/>
    <mergeCell ref="AB7504:AB7505"/>
    <mergeCell ref="A7498:A7499"/>
    <mergeCell ref="E7498:E7499"/>
    <mergeCell ref="H7498:H7499"/>
    <mergeCell ref="I7498:I7499"/>
    <mergeCell ref="J7498:J7499"/>
    <mergeCell ref="K7498:K7499"/>
    <mergeCell ref="L7498:L7499"/>
    <mergeCell ref="M7498:M7499"/>
    <mergeCell ref="N7498:N7499"/>
    <mergeCell ref="O7498:O7499"/>
    <mergeCell ref="X7498:X7499"/>
    <mergeCell ref="Y7498:Y7499"/>
    <mergeCell ref="Z7498:Z7499"/>
    <mergeCell ref="AA7498:AA7499"/>
    <mergeCell ref="AB7498:AB7499"/>
    <mergeCell ref="A7500:A7501"/>
    <mergeCell ref="E7500:E7501"/>
    <mergeCell ref="H7500:H7501"/>
    <mergeCell ref="I7500:I7501"/>
    <mergeCell ref="J7500:J7501"/>
    <mergeCell ref="K7500:K7501"/>
    <mergeCell ref="L7500:L7501"/>
    <mergeCell ref="M7500:M7501"/>
    <mergeCell ref="N7500:N7501"/>
    <mergeCell ref="O7500:O7501"/>
    <mergeCell ref="X7500:X7501"/>
    <mergeCell ref="Y7500:Y7501"/>
    <mergeCell ref="Z7500:Z7501"/>
    <mergeCell ref="AA7500:AA7501"/>
    <mergeCell ref="AB7500:AB7501"/>
    <mergeCell ref="A7496:A7497"/>
    <mergeCell ref="E7496:E7497"/>
    <mergeCell ref="H7496:H7497"/>
    <mergeCell ref="I7496:I7497"/>
    <mergeCell ref="J7496:J7497"/>
    <mergeCell ref="K7496:K7497"/>
    <mergeCell ref="L7496:L7497"/>
    <mergeCell ref="M7496:M7497"/>
    <mergeCell ref="N7496:N7497"/>
    <mergeCell ref="O7496:O7497"/>
    <mergeCell ref="X7496:X7497"/>
    <mergeCell ref="Y7496:Y7497"/>
    <mergeCell ref="Z7496:Z7497"/>
    <mergeCell ref="AA7496:AA7497"/>
    <mergeCell ref="AB7496:AB7497"/>
    <mergeCell ref="A7492:A7493"/>
    <mergeCell ref="E7492:E7493"/>
    <mergeCell ref="H7492:H7493"/>
    <mergeCell ref="I7492:I7493"/>
    <mergeCell ref="J7492:J7493"/>
    <mergeCell ref="K7492:K7493"/>
    <mergeCell ref="L7492:L7493"/>
    <mergeCell ref="M7492:M7493"/>
    <mergeCell ref="N7492:N7493"/>
    <mergeCell ref="O7492:O7493"/>
    <mergeCell ref="X7492:X7493"/>
    <mergeCell ref="Y7492:Y7493"/>
    <mergeCell ref="Z7492:Z7493"/>
    <mergeCell ref="AA7492:AA7493"/>
    <mergeCell ref="AB7492:AB7493"/>
    <mergeCell ref="A7494:A7495"/>
    <mergeCell ref="E7494:E7495"/>
    <mergeCell ref="H7494:H7495"/>
    <mergeCell ref="I7494:I7495"/>
    <mergeCell ref="J7494:J7495"/>
    <mergeCell ref="K7494:K7495"/>
    <mergeCell ref="L7494:L7495"/>
    <mergeCell ref="M7494:M7495"/>
    <mergeCell ref="N7494:N7495"/>
    <mergeCell ref="O7494:O7495"/>
    <mergeCell ref="X7494:X7495"/>
    <mergeCell ref="Y7494:Y7495"/>
    <mergeCell ref="Z7494:Z7495"/>
    <mergeCell ref="AA7494:AA7495"/>
    <mergeCell ref="AB7494:AB7495"/>
    <mergeCell ref="A7488:A7489"/>
    <mergeCell ref="E7488:E7489"/>
    <mergeCell ref="H7488:H7489"/>
    <mergeCell ref="I7488:I7489"/>
    <mergeCell ref="J7488:J7489"/>
    <mergeCell ref="K7488:K7489"/>
    <mergeCell ref="L7488:L7489"/>
    <mergeCell ref="M7488:M7489"/>
    <mergeCell ref="N7488:N7489"/>
    <mergeCell ref="O7488:O7489"/>
    <mergeCell ref="X7488:X7489"/>
    <mergeCell ref="Y7488:Y7489"/>
    <mergeCell ref="Z7488:Z7489"/>
    <mergeCell ref="AA7488:AA7489"/>
    <mergeCell ref="AB7488:AB7489"/>
    <mergeCell ref="A7490:A7491"/>
    <mergeCell ref="E7490:E7491"/>
    <mergeCell ref="H7490:H7491"/>
    <mergeCell ref="I7490:I7491"/>
    <mergeCell ref="J7490:J7491"/>
    <mergeCell ref="K7490:K7491"/>
    <mergeCell ref="L7490:L7491"/>
    <mergeCell ref="M7490:M7491"/>
    <mergeCell ref="N7490:N7491"/>
    <mergeCell ref="O7490:O7491"/>
    <mergeCell ref="X7490:X7491"/>
    <mergeCell ref="Y7490:Y7491"/>
    <mergeCell ref="Z7490:Z7491"/>
    <mergeCell ref="AA7490:AA7491"/>
    <mergeCell ref="AB7490:AB7491"/>
    <mergeCell ref="A7484:A7485"/>
    <mergeCell ref="E7484:E7485"/>
    <mergeCell ref="H7484:H7485"/>
    <mergeCell ref="I7484:I7485"/>
    <mergeCell ref="J7484:J7485"/>
    <mergeCell ref="K7484:K7485"/>
    <mergeCell ref="L7484:L7485"/>
    <mergeCell ref="M7484:M7485"/>
    <mergeCell ref="N7484:N7485"/>
    <mergeCell ref="O7484:O7485"/>
    <mergeCell ref="X7484:X7485"/>
    <mergeCell ref="Y7484:Y7485"/>
    <mergeCell ref="Z7484:Z7485"/>
    <mergeCell ref="AA7484:AA7485"/>
    <mergeCell ref="AB7484:AB7485"/>
    <mergeCell ref="A7486:A7487"/>
    <mergeCell ref="E7486:E7487"/>
    <mergeCell ref="H7486:H7487"/>
    <mergeCell ref="I7486:I7487"/>
    <mergeCell ref="J7486:J7487"/>
    <mergeCell ref="K7486:K7487"/>
    <mergeCell ref="L7486:L7487"/>
    <mergeCell ref="M7486:M7487"/>
    <mergeCell ref="N7486:N7487"/>
    <mergeCell ref="O7486:O7487"/>
    <mergeCell ref="X7486:X7487"/>
    <mergeCell ref="Y7486:Y7487"/>
    <mergeCell ref="Z7486:Z7487"/>
    <mergeCell ref="AA7486:AA7487"/>
    <mergeCell ref="AB7486:AB7487"/>
    <mergeCell ref="A7482:A7483"/>
    <mergeCell ref="E7482:E7483"/>
    <mergeCell ref="H7482:H7483"/>
    <mergeCell ref="I7482:I7483"/>
    <mergeCell ref="J7482:J7483"/>
    <mergeCell ref="K7482:K7483"/>
    <mergeCell ref="L7482:L7483"/>
    <mergeCell ref="M7482:M7483"/>
    <mergeCell ref="N7482:N7483"/>
    <mergeCell ref="O7482:O7483"/>
    <mergeCell ref="X7482:X7483"/>
    <mergeCell ref="Y7482:Y7483"/>
    <mergeCell ref="Z7482:Z7483"/>
    <mergeCell ref="AA7482:AA7483"/>
    <mergeCell ref="AB7482:AB7483"/>
    <mergeCell ref="A7480:A7481"/>
    <mergeCell ref="E7480:E7481"/>
    <mergeCell ref="H7480:H7481"/>
    <mergeCell ref="I7480:I7481"/>
    <mergeCell ref="J7480:J7481"/>
    <mergeCell ref="K7480:K7481"/>
    <mergeCell ref="L7480:L7481"/>
    <mergeCell ref="M7480:M7481"/>
    <mergeCell ref="N7480:N7481"/>
    <mergeCell ref="O7480:O7481"/>
    <mergeCell ref="X7480:X7481"/>
    <mergeCell ref="Y7480:Y7481"/>
    <mergeCell ref="Z7480:Z7481"/>
    <mergeCell ref="AA7480:AA7481"/>
    <mergeCell ref="AB7480:AB7481"/>
    <mergeCell ref="O7196:O7197"/>
    <mergeCell ref="X7196:X7197"/>
    <mergeCell ref="Y7196:Y7197"/>
    <mergeCell ref="Z7196:Z7197"/>
    <mergeCell ref="AA7196:AA7197"/>
    <mergeCell ref="AB7196:AB7197"/>
    <mergeCell ref="A7198:A7199"/>
    <mergeCell ref="E7198:E7199"/>
    <mergeCell ref="H7198:H7199"/>
    <mergeCell ref="I7198:I7199"/>
    <mergeCell ref="J7198:J7199"/>
    <mergeCell ref="K7198:K7199"/>
    <mergeCell ref="L7198:L7199"/>
    <mergeCell ref="M7198:M7199"/>
    <mergeCell ref="N7198:N7199"/>
    <mergeCell ref="O7198:O7199"/>
    <mergeCell ref="X7198:X7199"/>
    <mergeCell ref="Y7198:Y7199"/>
    <mergeCell ref="Z7198:Z7199"/>
    <mergeCell ref="AA7198:AA7199"/>
    <mergeCell ref="AB7198:AB7199"/>
    <mergeCell ref="H7476:H7477"/>
    <mergeCell ref="I7476:I7477"/>
    <mergeCell ref="J7476:J7477"/>
    <mergeCell ref="K7476:K7477"/>
    <mergeCell ref="L7476:L7477"/>
    <mergeCell ref="M7476:M7477"/>
    <mergeCell ref="N7476:N7477"/>
    <mergeCell ref="O7476:O7477"/>
    <mergeCell ref="X7476:X7477"/>
    <mergeCell ref="Y7476:Y7477"/>
    <mergeCell ref="Z7476:Z7477"/>
    <mergeCell ref="AA7476:AA7477"/>
    <mergeCell ref="AB7476:AB7477"/>
    <mergeCell ref="A7478:A7479"/>
    <mergeCell ref="E7478:E7479"/>
    <mergeCell ref="H7478:H7479"/>
    <mergeCell ref="I7478:I7479"/>
    <mergeCell ref="J7478:J7479"/>
    <mergeCell ref="K7478:K7479"/>
    <mergeCell ref="L7478:L7479"/>
    <mergeCell ref="M7478:M7479"/>
    <mergeCell ref="N7478:N7479"/>
    <mergeCell ref="O7478:O7479"/>
    <mergeCell ref="X7478:X7479"/>
    <mergeCell ref="Y7478:Y7479"/>
    <mergeCell ref="Z7478:Z7479"/>
    <mergeCell ref="AA7478:AA7479"/>
    <mergeCell ref="AB7478:AB7479"/>
    <mergeCell ref="A7476:A7477"/>
    <mergeCell ref="E7476:E7477"/>
    <mergeCell ref="A7472:A7473"/>
    <mergeCell ref="E7472:E7473"/>
    <mergeCell ref="H7472:H7473"/>
    <mergeCell ref="I7472:I7473"/>
    <mergeCell ref="J7472:J7473"/>
    <mergeCell ref="K7472:K7473"/>
    <mergeCell ref="L7472:L7473"/>
    <mergeCell ref="M7472:M7473"/>
    <mergeCell ref="N7472:N7473"/>
    <mergeCell ref="O7472:O7473"/>
    <mergeCell ref="X7472:X7473"/>
    <mergeCell ref="Y7472:Y7473"/>
    <mergeCell ref="Z7472:Z7473"/>
    <mergeCell ref="AA7472:AA7473"/>
    <mergeCell ref="AB7472:AB7473"/>
    <mergeCell ref="A7474:A7475"/>
    <mergeCell ref="E7474:E7475"/>
    <mergeCell ref="H7474:H7475"/>
    <mergeCell ref="I7474:I7475"/>
    <mergeCell ref="J7474:J7475"/>
    <mergeCell ref="K7474:K7475"/>
    <mergeCell ref="L7474:L7475"/>
    <mergeCell ref="M7474:M7475"/>
    <mergeCell ref="N7474:N7475"/>
    <mergeCell ref="O7474:O7475"/>
    <mergeCell ref="X7474:X7475"/>
    <mergeCell ref="Y7474:Y7475"/>
    <mergeCell ref="Z7474:Z7475"/>
    <mergeCell ref="AA7474:AA7475"/>
    <mergeCell ref="AB7474:AB7475"/>
    <mergeCell ref="A7468:A7469"/>
    <mergeCell ref="E7468:E7469"/>
    <mergeCell ref="H7468:H7469"/>
    <mergeCell ref="I7468:I7469"/>
    <mergeCell ref="J7468:J7469"/>
    <mergeCell ref="K7468:K7469"/>
    <mergeCell ref="L7468:L7469"/>
    <mergeCell ref="M7468:M7469"/>
    <mergeCell ref="N7468:N7469"/>
    <mergeCell ref="O7468:O7469"/>
    <mergeCell ref="X7468:X7469"/>
    <mergeCell ref="Y7468:Y7469"/>
    <mergeCell ref="Z7468:Z7469"/>
    <mergeCell ref="AA7468:AA7469"/>
    <mergeCell ref="AB7468:AB7469"/>
    <mergeCell ref="A7470:A7471"/>
    <mergeCell ref="E7470:E7471"/>
    <mergeCell ref="H7470:H7471"/>
    <mergeCell ref="I7470:I7471"/>
    <mergeCell ref="J7470:J7471"/>
    <mergeCell ref="K7470:K7471"/>
    <mergeCell ref="L7470:L7471"/>
    <mergeCell ref="M7470:M7471"/>
    <mergeCell ref="N7470:N7471"/>
    <mergeCell ref="O7470:O7471"/>
    <mergeCell ref="X7470:X7471"/>
    <mergeCell ref="Y7470:Y7471"/>
    <mergeCell ref="Z7470:Z7471"/>
    <mergeCell ref="AA7470:AA7471"/>
    <mergeCell ref="AB7470:AB7471"/>
    <mergeCell ref="A7464:A7465"/>
    <mergeCell ref="E7464:E7465"/>
    <mergeCell ref="H7464:H7465"/>
    <mergeCell ref="I7464:I7465"/>
    <mergeCell ref="J7464:J7465"/>
    <mergeCell ref="K7464:K7465"/>
    <mergeCell ref="L7464:L7465"/>
    <mergeCell ref="M7464:M7465"/>
    <mergeCell ref="N7464:N7465"/>
    <mergeCell ref="O7464:O7465"/>
    <mergeCell ref="X7464:X7465"/>
    <mergeCell ref="Y7464:Y7465"/>
    <mergeCell ref="Z7464:Z7465"/>
    <mergeCell ref="AA7464:AA7465"/>
    <mergeCell ref="AB7464:AB7465"/>
    <mergeCell ref="A7466:A7467"/>
    <mergeCell ref="E7466:E7467"/>
    <mergeCell ref="H7466:H7467"/>
    <mergeCell ref="I7466:I7467"/>
    <mergeCell ref="J7466:J7467"/>
    <mergeCell ref="K7466:K7467"/>
    <mergeCell ref="L7466:L7467"/>
    <mergeCell ref="M7466:M7467"/>
    <mergeCell ref="N7466:N7467"/>
    <mergeCell ref="O7466:O7467"/>
    <mergeCell ref="X7466:X7467"/>
    <mergeCell ref="Y7466:Y7467"/>
    <mergeCell ref="Z7466:Z7467"/>
    <mergeCell ref="AA7466:AA7467"/>
    <mergeCell ref="AB7466:AB7467"/>
    <mergeCell ref="A7460:A7461"/>
    <mergeCell ref="E7460:E7461"/>
    <mergeCell ref="H7460:H7461"/>
    <mergeCell ref="I7460:I7461"/>
    <mergeCell ref="J7460:J7461"/>
    <mergeCell ref="K7460:K7461"/>
    <mergeCell ref="L7460:L7461"/>
    <mergeCell ref="M7460:M7461"/>
    <mergeCell ref="N7460:N7461"/>
    <mergeCell ref="O7460:O7461"/>
    <mergeCell ref="X7460:X7461"/>
    <mergeCell ref="Y7460:Y7461"/>
    <mergeCell ref="Z7460:Z7461"/>
    <mergeCell ref="AA7460:AA7461"/>
    <mergeCell ref="AB7460:AB7461"/>
    <mergeCell ref="A7462:A7463"/>
    <mergeCell ref="E7462:E7463"/>
    <mergeCell ref="H7462:H7463"/>
    <mergeCell ref="I7462:I7463"/>
    <mergeCell ref="J7462:J7463"/>
    <mergeCell ref="K7462:K7463"/>
    <mergeCell ref="L7462:L7463"/>
    <mergeCell ref="M7462:M7463"/>
    <mergeCell ref="N7462:N7463"/>
    <mergeCell ref="O7462:O7463"/>
    <mergeCell ref="X7462:X7463"/>
    <mergeCell ref="Y7462:Y7463"/>
    <mergeCell ref="Z7462:Z7463"/>
    <mergeCell ref="AA7462:AA7463"/>
    <mergeCell ref="AB7462:AB7463"/>
    <mergeCell ref="A7456:A7457"/>
    <mergeCell ref="E7456:E7457"/>
    <mergeCell ref="H7456:H7457"/>
    <mergeCell ref="I7456:I7457"/>
    <mergeCell ref="J7456:J7457"/>
    <mergeCell ref="K7456:K7457"/>
    <mergeCell ref="L7456:L7457"/>
    <mergeCell ref="M7456:M7457"/>
    <mergeCell ref="N7456:N7457"/>
    <mergeCell ref="O7456:O7457"/>
    <mergeCell ref="X7456:X7457"/>
    <mergeCell ref="Y7456:Y7457"/>
    <mergeCell ref="Z7456:Z7457"/>
    <mergeCell ref="AA7456:AA7457"/>
    <mergeCell ref="AB7456:AB7457"/>
    <mergeCell ref="A7458:A7459"/>
    <mergeCell ref="E7458:E7459"/>
    <mergeCell ref="H7458:H7459"/>
    <mergeCell ref="I7458:I7459"/>
    <mergeCell ref="J7458:J7459"/>
    <mergeCell ref="K7458:K7459"/>
    <mergeCell ref="L7458:L7459"/>
    <mergeCell ref="M7458:M7459"/>
    <mergeCell ref="N7458:N7459"/>
    <mergeCell ref="O7458:O7459"/>
    <mergeCell ref="X7458:X7459"/>
    <mergeCell ref="Y7458:Y7459"/>
    <mergeCell ref="Z7458:Z7459"/>
    <mergeCell ref="AA7458:AA7459"/>
    <mergeCell ref="AB7458:AB7459"/>
    <mergeCell ref="A7452:A7453"/>
    <mergeCell ref="E7452:E7453"/>
    <mergeCell ref="H7452:H7453"/>
    <mergeCell ref="I7452:I7453"/>
    <mergeCell ref="J7452:J7453"/>
    <mergeCell ref="K7452:K7453"/>
    <mergeCell ref="L7452:L7453"/>
    <mergeCell ref="M7452:M7453"/>
    <mergeCell ref="N7452:N7453"/>
    <mergeCell ref="O7452:O7453"/>
    <mergeCell ref="X7452:X7453"/>
    <mergeCell ref="Y7452:Y7453"/>
    <mergeCell ref="Z7452:Z7453"/>
    <mergeCell ref="AA7452:AA7453"/>
    <mergeCell ref="AB7452:AB7453"/>
    <mergeCell ref="A7454:A7455"/>
    <mergeCell ref="E7454:E7455"/>
    <mergeCell ref="H7454:H7455"/>
    <mergeCell ref="I7454:I7455"/>
    <mergeCell ref="J7454:J7455"/>
    <mergeCell ref="K7454:K7455"/>
    <mergeCell ref="L7454:L7455"/>
    <mergeCell ref="M7454:M7455"/>
    <mergeCell ref="N7454:N7455"/>
    <mergeCell ref="O7454:O7455"/>
    <mergeCell ref="X7454:X7455"/>
    <mergeCell ref="Y7454:Y7455"/>
    <mergeCell ref="Z7454:Z7455"/>
    <mergeCell ref="AA7454:AA7455"/>
    <mergeCell ref="AB7454:AB7455"/>
    <mergeCell ref="A7448:A7449"/>
    <mergeCell ref="E7448:E7449"/>
    <mergeCell ref="H7448:H7449"/>
    <mergeCell ref="I7448:I7449"/>
    <mergeCell ref="J7448:J7449"/>
    <mergeCell ref="K7448:K7449"/>
    <mergeCell ref="L7448:L7449"/>
    <mergeCell ref="M7448:M7449"/>
    <mergeCell ref="N7448:N7449"/>
    <mergeCell ref="O7448:O7449"/>
    <mergeCell ref="X7448:X7449"/>
    <mergeCell ref="Y7448:Y7449"/>
    <mergeCell ref="Z7448:Z7449"/>
    <mergeCell ref="AA7448:AA7449"/>
    <mergeCell ref="AB7448:AB7449"/>
    <mergeCell ref="A7450:A7451"/>
    <mergeCell ref="E7450:E7451"/>
    <mergeCell ref="H7450:H7451"/>
    <mergeCell ref="I7450:I7451"/>
    <mergeCell ref="J7450:J7451"/>
    <mergeCell ref="K7450:K7451"/>
    <mergeCell ref="L7450:L7451"/>
    <mergeCell ref="M7450:M7451"/>
    <mergeCell ref="N7450:N7451"/>
    <mergeCell ref="O7450:O7451"/>
    <mergeCell ref="X7450:X7451"/>
    <mergeCell ref="Y7450:Y7451"/>
    <mergeCell ref="Z7450:Z7451"/>
    <mergeCell ref="AA7450:AA7451"/>
    <mergeCell ref="AB7450:AB7451"/>
    <mergeCell ref="A7444:A7445"/>
    <mergeCell ref="E7444:E7445"/>
    <mergeCell ref="H7444:H7445"/>
    <mergeCell ref="I7444:I7445"/>
    <mergeCell ref="J7444:J7445"/>
    <mergeCell ref="K7444:K7445"/>
    <mergeCell ref="L7444:L7445"/>
    <mergeCell ref="M7444:M7445"/>
    <mergeCell ref="N7444:N7445"/>
    <mergeCell ref="O7444:O7445"/>
    <mergeCell ref="X7444:X7445"/>
    <mergeCell ref="Y7444:Y7445"/>
    <mergeCell ref="Z7444:Z7445"/>
    <mergeCell ref="AA7444:AA7445"/>
    <mergeCell ref="AB7444:AB7445"/>
    <mergeCell ref="A7446:A7447"/>
    <mergeCell ref="E7446:E7447"/>
    <mergeCell ref="H7446:H7447"/>
    <mergeCell ref="I7446:I7447"/>
    <mergeCell ref="J7446:J7447"/>
    <mergeCell ref="K7446:K7447"/>
    <mergeCell ref="L7446:L7447"/>
    <mergeCell ref="M7446:M7447"/>
    <mergeCell ref="N7446:N7447"/>
    <mergeCell ref="O7446:O7447"/>
    <mergeCell ref="X7446:X7447"/>
    <mergeCell ref="Y7446:Y7447"/>
    <mergeCell ref="Z7446:Z7447"/>
    <mergeCell ref="AA7446:AA7447"/>
    <mergeCell ref="AB7446:AB7447"/>
    <mergeCell ref="A7440:A7441"/>
    <mergeCell ref="E7440:E7441"/>
    <mergeCell ref="H7440:H7441"/>
    <mergeCell ref="I7440:I7441"/>
    <mergeCell ref="J7440:J7441"/>
    <mergeCell ref="K7440:K7441"/>
    <mergeCell ref="L7440:L7441"/>
    <mergeCell ref="M7440:M7441"/>
    <mergeCell ref="N7440:N7441"/>
    <mergeCell ref="O7440:O7441"/>
    <mergeCell ref="X7440:X7441"/>
    <mergeCell ref="Y7440:Y7441"/>
    <mergeCell ref="Z7440:Z7441"/>
    <mergeCell ref="AA7440:AA7441"/>
    <mergeCell ref="AB7440:AB7441"/>
    <mergeCell ref="A7442:A7443"/>
    <mergeCell ref="E7442:E7443"/>
    <mergeCell ref="H7442:H7443"/>
    <mergeCell ref="I7442:I7443"/>
    <mergeCell ref="J7442:J7443"/>
    <mergeCell ref="K7442:K7443"/>
    <mergeCell ref="L7442:L7443"/>
    <mergeCell ref="M7442:M7443"/>
    <mergeCell ref="N7442:N7443"/>
    <mergeCell ref="O7442:O7443"/>
    <mergeCell ref="X7442:X7443"/>
    <mergeCell ref="Y7442:Y7443"/>
    <mergeCell ref="Z7442:Z7443"/>
    <mergeCell ref="AA7442:AA7443"/>
    <mergeCell ref="AB7442:AB7443"/>
    <mergeCell ref="A7436:A7437"/>
    <mergeCell ref="E7436:E7437"/>
    <mergeCell ref="H7436:H7437"/>
    <mergeCell ref="I7436:I7437"/>
    <mergeCell ref="J7436:J7437"/>
    <mergeCell ref="K7436:K7437"/>
    <mergeCell ref="L7436:L7437"/>
    <mergeCell ref="M7436:M7437"/>
    <mergeCell ref="N7436:N7437"/>
    <mergeCell ref="O7436:O7437"/>
    <mergeCell ref="X7436:X7437"/>
    <mergeCell ref="Y7436:Y7437"/>
    <mergeCell ref="Z7436:Z7437"/>
    <mergeCell ref="AA7436:AA7437"/>
    <mergeCell ref="AB7436:AB7437"/>
    <mergeCell ref="A7438:A7439"/>
    <mergeCell ref="E7438:E7439"/>
    <mergeCell ref="H7438:H7439"/>
    <mergeCell ref="I7438:I7439"/>
    <mergeCell ref="J7438:J7439"/>
    <mergeCell ref="K7438:K7439"/>
    <mergeCell ref="L7438:L7439"/>
    <mergeCell ref="M7438:M7439"/>
    <mergeCell ref="N7438:N7439"/>
    <mergeCell ref="O7438:O7439"/>
    <mergeCell ref="X7438:X7439"/>
    <mergeCell ref="Y7438:Y7439"/>
    <mergeCell ref="Z7438:Z7439"/>
    <mergeCell ref="AA7438:AA7439"/>
    <mergeCell ref="AB7438:AB7439"/>
    <mergeCell ref="A7432:A7433"/>
    <mergeCell ref="E7432:E7433"/>
    <mergeCell ref="H7432:H7433"/>
    <mergeCell ref="I7432:I7433"/>
    <mergeCell ref="J7432:J7433"/>
    <mergeCell ref="K7432:K7433"/>
    <mergeCell ref="L7432:L7433"/>
    <mergeCell ref="M7432:M7433"/>
    <mergeCell ref="N7432:N7433"/>
    <mergeCell ref="O7432:O7433"/>
    <mergeCell ref="X7432:X7433"/>
    <mergeCell ref="Y7432:Y7433"/>
    <mergeCell ref="Z7432:Z7433"/>
    <mergeCell ref="AA7432:AA7433"/>
    <mergeCell ref="AB7432:AB7433"/>
    <mergeCell ref="A7434:A7435"/>
    <mergeCell ref="E7434:E7435"/>
    <mergeCell ref="H7434:H7435"/>
    <mergeCell ref="I7434:I7435"/>
    <mergeCell ref="J7434:J7435"/>
    <mergeCell ref="K7434:K7435"/>
    <mergeCell ref="L7434:L7435"/>
    <mergeCell ref="M7434:M7435"/>
    <mergeCell ref="N7434:N7435"/>
    <mergeCell ref="O7434:O7435"/>
    <mergeCell ref="X7434:X7435"/>
    <mergeCell ref="Y7434:Y7435"/>
    <mergeCell ref="Z7434:Z7435"/>
    <mergeCell ref="AA7434:AA7435"/>
    <mergeCell ref="AB7434:AB7435"/>
    <mergeCell ref="A7428:A7429"/>
    <mergeCell ref="E7428:E7429"/>
    <mergeCell ref="H7428:H7429"/>
    <mergeCell ref="I7428:I7429"/>
    <mergeCell ref="J7428:J7429"/>
    <mergeCell ref="K7428:K7429"/>
    <mergeCell ref="L7428:L7429"/>
    <mergeCell ref="M7428:M7429"/>
    <mergeCell ref="N7428:N7429"/>
    <mergeCell ref="O7428:O7429"/>
    <mergeCell ref="X7428:X7429"/>
    <mergeCell ref="Y7428:Y7429"/>
    <mergeCell ref="Z7428:Z7429"/>
    <mergeCell ref="AA7428:AA7429"/>
    <mergeCell ref="AB7428:AB7429"/>
    <mergeCell ref="A7430:A7431"/>
    <mergeCell ref="E7430:E7431"/>
    <mergeCell ref="H7430:H7431"/>
    <mergeCell ref="I7430:I7431"/>
    <mergeCell ref="J7430:J7431"/>
    <mergeCell ref="K7430:K7431"/>
    <mergeCell ref="L7430:L7431"/>
    <mergeCell ref="M7430:M7431"/>
    <mergeCell ref="N7430:N7431"/>
    <mergeCell ref="O7430:O7431"/>
    <mergeCell ref="X7430:X7431"/>
    <mergeCell ref="Y7430:Y7431"/>
    <mergeCell ref="Z7430:Z7431"/>
    <mergeCell ref="AA7430:AA7431"/>
    <mergeCell ref="AB7430:AB7431"/>
    <mergeCell ref="A7424:A7425"/>
    <mergeCell ref="E7424:E7425"/>
    <mergeCell ref="H7424:H7425"/>
    <mergeCell ref="I7424:I7425"/>
    <mergeCell ref="J7424:J7425"/>
    <mergeCell ref="K7424:K7425"/>
    <mergeCell ref="L7424:L7425"/>
    <mergeCell ref="M7424:M7425"/>
    <mergeCell ref="N7424:N7425"/>
    <mergeCell ref="O7424:O7425"/>
    <mergeCell ref="X7424:X7425"/>
    <mergeCell ref="Y7424:Y7425"/>
    <mergeCell ref="Z7424:Z7425"/>
    <mergeCell ref="AA7424:AA7425"/>
    <mergeCell ref="AB7424:AB7425"/>
    <mergeCell ref="A7426:A7427"/>
    <mergeCell ref="E7426:E7427"/>
    <mergeCell ref="H7426:H7427"/>
    <mergeCell ref="I7426:I7427"/>
    <mergeCell ref="J7426:J7427"/>
    <mergeCell ref="K7426:K7427"/>
    <mergeCell ref="L7426:L7427"/>
    <mergeCell ref="M7426:M7427"/>
    <mergeCell ref="N7426:N7427"/>
    <mergeCell ref="O7426:O7427"/>
    <mergeCell ref="X7426:X7427"/>
    <mergeCell ref="Y7426:Y7427"/>
    <mergeCell ref="Z7426:Z7427"/>
    <mergeCell ref="AA7426:AA7427"/>
    <mergeCell ref="AB7426:AB7427"/>
    <mergeCell ref="A7420:A7421"/>
    <mergeCell ref="E7420:E7421"/>
    <mergeCell ref="H7420:H7421"/>
    <mergeCell ref="I7420:I7421"/>
    <mergeCell ref="J7420:J7421"/>
    <mergeCell ref="K7420:K7421"/>
    <mergeCell ref="L7420:L7421"/>
    <mergeCell ref="M7420:M7421"/>
    <mergeCell ref="N7420:N7421"/>
    <mergeCell ref="O7420:O7421"/>
    <mergeCell ref="X7420:X7421"/>
    <mergeCell ref="Y7420:Y7421"/>
    <mergeCell ref="Z7420:Z7421"/>
    <mergeCell ref="AA7420:AA7421"/>
    <mergeCell ref="AB7420:AB7421"/>
    <mergeCell ref="A7422:A7423"/>
    <mergeCell ref="E7422:E7423"/>
    <mergeCell ref="H7422:H7423"/>
    <mergeCell ref="I7422:I7423"/>
    <mergeCell ref="J7422:J7423"/>
    <mergeCell ref="K7422:K7423"/>
    <mergeCell ref="L7422:L7423"/>
    <mergeCell ref="M7422:M7423"/>
    <mergeCell ref="N7422:N7423"/>
    <mergeCell ref="O7422:O7423"/>
    <mergeCell ref="X7422:X7423"/>
    <mergeCell ref="Y7422:Y7423"/>
    <mergeCell ref="Z7422:Z7423"/>
    <mergeCell ref="AA7422:AA7423"/>
    <mergeCell ref="AB7422:AB7423"/>
    <mergeCell ref="A7416:A7417"/>
    <mergeCell ref="E7416:E7417"/>
    <mergeCell ref="H7416:H7417"/>
    <mergeCell ref="I7416:I7417"/>
    <mergeCell ref="J7416:J7417"/>
    <mergeCell ref="K7416:K7417"/>
    <mergeCell ref="L7416:L7417"/>
    <mergeCell ref="M7416:M7417"/>
    <mergeCell ref="N7416:N7417"/>
    <mergeCell ref="O7416:O7417"/>
    <mergeCell ref="X7416:X7417"/>
    <mergeCell ref="Y7416:Y7417"/>
    <mergeCell ref="Z7416:Z7417"/>
    <mergeCell ref="AA7416:AA7417"/>
    <mergeCell ref="AB7416:AB7417"/>
    <mergeCell ref="A7418:A7419"/>
    <mergeCell ref="E7418:E7419"/>
    <mergeCell ref="H7418:H7419"/>
    <mergeCell ref="I7418:I7419"/>
    <mergeCell ref="J7418:J7419"/>
    <mergeCell ref="K7418:K7419"/>
    <mergeCell ref="L7418:L7419"/>
    <mergeCell ref="M7418:M7419"/>
    <mergeCell ref="N7418:N7419"/>
    <mergeCell ref="O7418:O7419"/>
    <mergeCell ref="X7418:X7419"/>
    <mergeCell ref="Y7418:Y7419"/>
    <mergeCell ref="Z7418:Z7419"/>
    <mergeCell ref="AA7418:AA7419"/>
    <mergeCell ref="AB7418:AB7419"/>
    <mergeCell ref="A7412:A7413"/>
    <mergeCell ref="E7412:E7413"/>
    <mergeCell ref="H7412:H7413"/>
    <mergeCell ref="I7412:I7413"/>
    <mergeCell ref="J7412:J7413"/>
    <mergeCell ref="K7412:K7413"/>
    <mergeCell ref="L7412:L7413"/>
    <mergeCell ref="M7412:M7413"/>
    <mergeCell ref="N7412:N7413"/>
    <mergeCell ref="O7412:O7413"/>
    <mergeCell ref="X7412:X7413"/>
    <mergeCell ref="Y7412:Y7413"/>
    <mergeCell ref="Z7412:Z7413"/>
    <mergeCell ref="AA7412:AA7413"/>
    <mergeCell ref="AB7412:AB7413"/>
    <mergeCell ref="A7414:A7415"/>
    <mergeCell ref="E7414:E7415"/>
    <mergeCell ref="H7414:H7415"/>
    <mergeCell ref="I7414:I7415"/>
    <mergeCell ref="J7414:J7415"/>
    <mergeCell ref="K7414:K7415"/>
    <mergeCell ref="L7414:L7415"/>
    <mergeCell ref="M7414:M7415"/>
    <mergeCell ref="N7414:N7415"/>
    <mergeCell ref="O7414:O7415"/>
    <mergeCell ref="X7414:X7415"/>
    <mergeCell ref="Y7414:Y7415"/>
    <mergeCell ref="Z7414:Z7415"/>
    <mergeCell ref="AA7414:AA7415"/>
    <mergeCell ref="AB7414:AB7415"/>
    <mergeCell ref="A7406:A7407"/>
    <mergeCell ref="E7406:E7407"/>
    <mergeCell ref="H7406:H7407"/>
    <mergeCell ref="I7406:I7407"/>
    <mergeCell ref="J7406:J7407"/>
    <mergeCell ref="K7406:K7407"/>
    <mergeCell ref="L7406:L7407"/>
    <mergeCell ref="M7406:M7407"/>
    <mergeCell ref="N7406:N7407"/>
    <mergeCell ref="O7406:O7407"/>
    <mergeCell ref="X7406:X7407"/>
    <mergeCell ref="Y7406:Y7407"/>
    <mergeCell ref="Z7406:Z7407"/>
    <mergeCell ref="AA7406:AA7407"/>
    <mergeCell ref="AB7406:AB7407"/>
    <mergeCell ref="A7410:A7411"/>
    <mergeCell ref="E7410:E7411"/>
    <mergeCell ref="H7410:H7411"/>
    <mergeCell ref="I7410:I7411"/>
    <mergeCell ref="J7410:J7411"/>
    <mergeCell ref="K7410:K7411"/>
    <mergeCell ref="L7410:L7411"/>
    <mergeCell ref="M7410:M7411"/>
    <mergeCell ref="N7410:N7411"/>
    <mergeCell ref="O7410:O7411"/>
    <mergeCell ref="X7410:X7411"/>
    <mergeCell ref="Y7410:Y7411"/>
    <mergeCell ref="Z7410:Z7411"/>
    <mergeCell ref="AA7410:AA7411"/>
    <mergeCell ref="AB7410:AB7411"/>
    <mergeCell ref="A7408:A7409"/>
    <mergeCell ref="E7408:E7409"/>
    <mergeCell ref="H7408:H7409"/>
    <mergeCell ref="I7408:I7409"/>
    <mergeCell ref="J7408:J7409"/>
    <mergeCell ref="K7408:K7409"/>
    <mergeCell ref="L7408:L7409"/>
    <mergeCell ref="M7408:M7409"/>
    <mergeCell ref="N7408:N7409"/>
    <mergeCell ref="A7402:A7403"/>
    <mergeCell ref="E7402:E7403"/>
    <mergeCell ref="H7402:H7403"/>
    <mergeCell ref="I7402:I7403"/>
    <mergeCell ref="J7402:J7403"/>
    <mergeCell ref="K7402:K7403"/>
    <mergeCell ref="L7402:L7403"/>
    <mergeCell ref="M7402:M7403"/>
    <mergeCell ref="N7402:N7403"/>
    <mergeCell ref="O7402:O7403"/>
    <mergeCell ref="X7402:X7403"/>
    <mergeCell ref="Y7402:Y7403"/>
    <mergeCell ref="Z7402:Z7403"/>
    <mergeCell ref="AA7402:AA7403"/>
    <mergeCell ref="AB7402:AB7403"/>
    <mergeCell ref="A7404:A7405"/>
    <mergeCell ref="E7404:E7405"/>
    <mergeCell ref="H7404:H7405"/>
    <mergeCell ref="I7404:I7405"/>
    <mergeCell ref="J7404:J7405"/>
    <mergeCell ref="K7404:K7405"/>
    <mergeCell ref="L7404:L7405"/>
    <mergeCell ref="M7404:M7405"/>
    <mergeCell ref="N7404:N7405"/>
    <mergeCell ref="O7404:O7405"/>
    <mergeCell ref="X7404:X7405"/>
    <mergeCell ref="Y7404:Y7405"/>
    <mergeCell ref="Z7404:Z7405"/>
    <mergeCell ref="AA7404:AA7405"/>
    <mergeCell ref="AB7404:AB7405"/>
    <mergeCell ref="O7408:O7409"/>
    <mergeCell ref="X7408:X7409"/>
    <mergeCell ref="Y7408:Y7409"/>
    <mergeCell ref="Z7408:Z7409"/>
    <mergeCell ref="AA7408:AA7409"/>
    <mergeCell ref="AB7408:AB7409"/>
    <mergeCell ref="A7398:A7399"/>
    <mergeCell ref="E7398:E7399"/>
    <mergeCell ref="H7398:H7399"/>
    <mergeCell ref="I7398:I7399"/>
    <mergeCell ref="J7398:J7399"/>
    <mergeCell ref="K7398:K7399"/>
    <mergeCell ref="L7398:L7399"/>
    <mergeCell ref="M7398:M7399"/>
    <mergeCell ref="N7398:N7399"/>
    <mergeCell ref="O7398:O7399"/>
    <mergeCell ref="X7398:X7399"/>
    <mergeCell ref="Y7398:Y7399"/>
    <mergeCell ref="Z7398:Z7399"/>
    <mergeCell ref="AA7398:AA7399"/>
    <mergeCell ref="AB7398:AB7399"/>
    <mergeCell ref="A7400:A7401"/>
    <mergeCell ref="E7400:E7401"/>
    <mergeCell ref="H7400:H7401"/>
    <mergeCell ref="I7400:I7401"/>
    <mergeCell ref="J7400:J7401"/>
    <mergeCell ref="K7400:K7401"/>
    <mergeCell ref="L7400:L7401"/>
    <mergeCell ref="M7400:M7401"/>
    <mergeCell ref="N7400:N7401"/>
    <mergeCell ref="O7400:O7401"/>
    <mergeCell ref="X7400:X7401"/>
    <mergeCell ref="Y7400:Y7401"/>
    <mergeCell ref="Z7400:Z7401"/>
    <mergeCell ref="AA7400:AA7401"/>
    <mergeCell ref="AB7400:AB7401"/>
    <mergeCell ref="A7394:A7395"/>
    <mergeCell ref="E7394:E7395"/>
    <mergeCell ref="H7394:H7395"/>
    <mergeCell ref="I7394:I7395"/>
    <mergeCell ref="J7394:J7395"/>
    <mergeCell ref="K7394:K7395"/>
    <mergeCell ref="L7394:L7395"/>
    <mergeCell ref="M7394:M7395"/>
    <mergeCell ref="N7394:N7395"/>
    <mergeCell ref="O7394:O7395"/>
    <mergeCell ref="X7394:X7395"/>
    <mergeCell ref="Y7394:Y7395"/>
    <mergeCell ref="Z7394:Z7395"/>
    <mergeCell ref="AA7394:AA7395"/>
    <mergeCell ref="AB7394:AB7395"/>
    <mergeCell ref="A7396:A7397"/>
    <mergeCell ref="E7396:E7397"/>
    <mergeCell ref="H7396:H7397"/>
    <mergeCell ref="I7396:I7397"/>
    <mergeCell ref="J7396:J7397"/>
    <mergeCell ref="K7396:K7397"/>
    <mergeCell ref="L7396:L7397"/>
    <mergeCell ref="M7396:M7397"/>
    <mergeCell ref="N7396:N7397"/>
    <mergeCell ref="O7396:O7397"/>
    <mergeCell ref="X7396:X7397"/>
    <mergeCell ref="Y7396:Y7397"/>
    <mergeCell ref="Z7396:Z7397"/>
    <mergeCell ref="AA7396:AA7397"/>
    <mergeCell ref="AB7396:AB7397"/>
    <mergeCell ref="A7390:A7391"/>
    <mergeCell ref="E7390:E7391"/>
    <mergeCell ref="H7390:H7391"/>
    <mergeCell ref="I7390:I7391"/>
    <mergeCell ref="J7390:J7391"/>
    <mergeCell ref="K7390:K7391"/>
    <mergeCell ref="L7390:L7391"/>
    <mergeCell ref="M7390:M7391"/>
    <mergeCell ref="N7390:N7391"/>
    <mergeCell ref="O7390:O7391"/>
    <mergeCell ref="X7390:X7391"/>
    <mergeCell ref="Y7390:Y7391"/>
    <mergeCell ref="Z7390:Z7391"/>
    <mergeCell ref="AA7390:AA7391"/>
    <mergeCell ref="AB7390:AB7391"/>
    <mergeCell ref="A7392:A7393"/>
    <mergeCell ref="E7392:E7393"/>
    <mergeCell ref="H7392:H7393"/>
    <mergeCell ref="I7392:I7393"/>
    <mergeCell ref="J7392:J7393"/>
    <mergeCell ref="K7392:K7393"/>
    <mergeCell ref="L7392:L7393"/>
    <mergeCell ref="M7392:M7393"/>
    <mergeCell ref="N7392:N7393"/>
    <mergeCell ref="O7392:O7393"/>
    <mergeCell ref="X7392:X7393"/>
    <mergeCell ref="Y7392:Y7393"/>
    <mergeCell ref="Z7392:Z7393"/>
    <mergeCell ref="AA7392:AA7393"/>
    <mergeCell ref="AB7392:AB7393"/>
    <mergeCell ref="A7386:A7387"/>
    <mergeCell ref="E7386:E7387"/>
    <mergeCell ref="H7386:H7387"/>
    <mergeCell ref="I7386:I7387"/>
    <mergeCell ref="J7386:J7387"/>
    <mergeCell ref="K7386:K7387"/>
    <mergeCell ref="L7386:L7387"/>
    <mergeCell ref="M7386:M7387"/>
    <mergeCell ref="N7386:N7387"/>
    <mergeCell ref="O7386:O7387"/>
    <mergeCell ref="X7386:X7387"/>
    <mergeCell ref="Y7386:Y7387"/>
    <mergeCell ref="Z7386:Z7387"/>
    <mergeCell ref="AA7386:AA7387"/>
    <mergeCell ref="AB7386:AB7387"/>
    <mergeCell ref="A7388:A7389"/>
    <mergeCell ref="E7388:E7389"/>
    <mergeCell ref="H7388:H7389"/>
    <mergeCell ref="I7388:I7389"/>
    <mergeCell ref="J7388:J7389"/>
    <mergeCell ref="K7388:K7389"/>
    <mergeCell ref="L7388:L7389"/>
    <mergeCell ref="M7388:M7389"/>
    <mergeCell ref="N7388:N7389"/>
    <mergeCell ref="O7388:O7389"/>
    <mergeCell ref="X7388:X7389"/>
    <mergeCell ref="Y7388:Y7389"/>
    <mergeCell ref="Z7388:Z7389"/>
    <mergeCell ref="AA7388:AA7389"/>
    <mergeCell ref="AB7388:AB7389"/>
    <mergeCell ref="A7382:A7383"/>
    <mergeCell ref="E7382:E7383"/>
    <mergeCell ref="H7382:H7383"/>
    <mergeCell ref="I7382:I7383"/>
    <mergeCell ref="J7382:J7383"/>
    <mergeCell ref="K7382:K7383"/>
    <mergeCell ref="L7382:L7383"/>
    <mergeCell ref="M7382:M7383"/>
    <mergeCell ref="N7382:N7383"/>
    <mergeCell ref="O7382:O7383"/>
    <mergeCell ref="X7382:X7383"/>
    <mergeCell ref="Y7382:Y7383"/>
    <mergeCell ref="Z7382:Z7383"/>
    <mergeCell ref="AA7382:AA7383"/>
    <mergeCell ref="AB7382:AB7383"/>
    <mergeCell ref="A7384:A7385"/>
    <mergeCell ref="E7384:E7385"/>
    <mergeCell ref="H7384:H7385"/>
    <mergeCell ref="I7384:I7385"/>
    <mergeCell ref="J7384:J7385"/>
    <mergeCell ref="K7384:K7385"/>
    <mergeCell ref="L7384:L7385"/>
    <mergeCell ref="M7384:M7385"/>
    <mergeCell ref="N7384:N7385"/>
    <mergeCell ref="O7384:O7385"/>
    <mergeCell ref="X7384:X7385"/>
    <mergeCell ref="Y7384:Y7385"/>
    <mergeCell ref="Z7384:Z7385"/>
    <mergeCell ref="AA7384:AA7385"/>
    <mergeCell ref="AB7384:AB7385"/>
    <mergeCell ref="A7378:A7379"/>
    <mergeCell ref="E7378:E7379"/>
    <mergeCell ref="H7378:H7379"/>
    <mergeCell ref="I7378:I7379"/>
    <mergeCell ref="J7378:J7379"/>
    <mergeCell ref="K7378:K7379"/>
    <mergeCell ref="L7378:L7379"/>
    <mergeCell ref="M7378:M7379"/>
    <mergeCell ref="N7378:N7379"/>
    <mergeCell ref="O7378:O7379"/>
    <mergeCell ref="X7378:X7379"/>
    <mergeCell ref="Y7378:Y7379"/>
    <mergeCell ref="Z7378:Z7379"/>
    <mergeCell ref="AA7378:AA7379"/>
    <mergeCell ref="AB7378:AB7379"/>
    <mergeCell ref="A7380:A7381"/>
    <mergeCell ref="E7380:E7381"/>
    <mergeCell ref="H7380:H7381"/>
    <mergeCell ref="I7380:I7381"/>
    <mergeCell ref="J7380:J7381"/>
    <mergeCell ref="K7380:K7381"/>
    <mergeCell ref="L7380:L7381"/>
    <mergeCell ref="M7380:M7381"/>
    <mergeCell ref="N7380:N7381"/>
    <mergeCell ref="O7380:O7381"/>
    <mergeCell ref="X7380:X7381"/>
    <mergeCell ref="Y7380:Y7381"/>
    <mergeCell ref="Z7380:Z7381"/>
    <mergeCell ref="AA7380:AA7381"/>
    <mergeCell ref="AB7380:AB7381"/>
    <mergeCell ref="A7374:A7375"/>
    <mergeCell ref="E7374:E7375"/>
    <mergeCell ref="H7374:H7375"/>
    <mergeCell ref="I7374:I7375"/>
    <mergeCell ref="J7374:J7375"/>
    <mergeCell ref="K7374:K7375"/>
    <mergeCell ref="L7374:L7375"/>
    <mergeCell ref="M7374:M7375"/>
    <mergeCell ref="N7374:N7375"/>
    <mergeCell ref="O7374:O7375"/>
    <mergeCell ref="X7374:X7375"/>
    <mergeCell ref="Y7374:Y7375"/>
    <mergeCell ref="Z7374:Z7375"/>
    <mergeCell ref="AA7374:AA7375"/>
    <mergeCell ref="AB7374:AB7375"/>
    <mergeCell ref="A7376:A7377"/>
    <mergeCell ref="E7376:E7377"/>
    <mergeCell ref="H7376:H7377"/>
    <mergeCell ref="I7376:I7377"/>
    <mergeCell ref="J7376:J7377"/>
    <mergeCell ref="K7376:K7377"/>
    <mergeCell ref="L7376:L7377"/>
    <mergeCell ref="M7376:M7377"/>
    <mergeCell ref="N7376:N7377"/>
    <mergeCell ref="O7376:O7377"/>
    <mergeCell ref="X7376:X7377"/>
    <mergeCell ref="Y7376:Y7377"/>
    <mergeCell ref="Z7376:Z7377"/>
    <mergeCell ref="AA7376:AA7377"/>
    <mergeCell ref="AB7376:AB7377"/>
    <mergeCell ref="A7370:A7371"/>
    <mergeCell ref="E7370:E7371"/>
    <mergeCell ref="H7370:H7371"/>
    <mergeCell ref="I7370:I7371"/>
    <mergeCell ref="J7370:J7371"/>
    <mergeCell ref="K7370:K7371"/>
    <mergeCell ref="L7370:L7371"/>
    <mergeCell ref="M7370:M7371"/>
    <mergeCell ref="N7370:N7371"/>
    <mergeCell ref="O7370:O7371"/>
    <mergeCell ref="X7370:X7371"/>
    <mergeCell ref="Y7370:Y7371"/>
    <mergeCell ref="Z7370:Z7371"/>
    <mergeCell ref="AA7370:AA7371"/>
    <mergeCell ref="AB7370:AB7371"/>
    <mergeCell ref="A7372:A7373"/>
    <mergeCell ref="E7372:E7373"/>
    <mergeCell ref="H7372:H7373"/>
    <mergeCell ref="I7372:I7373"/>
    <mergeCell ref="J7372:J7373"/>
    <mergeCell ref="K7372:K7373"/>
    <mergeCell ref="L7372:L7373"/>
    <mergeCell ref="M7372:M7373"/>
    <mergeCell ref="N7372:N7373"/>
    <mergeCell ref="O7372:O7373"/>
    <mergeCell ref="X7372:X7373"/>
    <mergeCell ref="Y7372:Y7373"/>
    <mergeCell ref="Z7372:Z7373"/>
    <mergeCell ref="AA7372:AA7373"/>
    <mergeCell ref="AB7372:AB7373"/>
    <mergeCell ref="A7366:A7367"/>
    <mergeCell ref="E7366:E7367"/>
    <mergeCell ref="H7366:H7367"/>
    <mergeCell ref="I7366:I7367"/>
    <mergeCell ref="J7366:J7367"/>
    <mergeCell ref="K7366:K7367"/>
    <mergeCell ref="L7366:L7367"/>
    <mergeCell ref="M7366:M7367"/>
    <mergeCell ref="N7366:N7367"/>
    <mergeCell ref="O7366:O7367"/>
    <mergeCell ref="X7366:X7367"/>
    <mergeCell ref="Y7366:Y7367"/>
    <mergeCell ref="Z7366:Z7367"/>
    <mergeCell ref="AA7366:AA7367"/>
    <mergeCell ref="AB7366:AB7367"/>
    <mergeCell ref="A7368:A7369"/>
    <mergeCell ref="E7368:E7369"/>
    <mergeCell ref="H7368:H7369"/>
    <mergeCell ref="I7368:I7369"/>
    <mergeCell ref="J7368:J7369"/>
    <mergeCell ref="K7368:K7369"/>
    <mergeCell ref="L7368:L7369"/>
    <mergeCell ref="M7368:M7369"/>
    <mergeCell ref="N7368:N7369"/>
    <mergeCell ref="O7368:O7369"/>
    <mergeCell ref="X7368:X7369"/>
    <mergeCell ref="Y7368:Y7369"/>
    <mergeCell ref="Z7368:Z7369"/>
    <mergeCell ref="AA7368:AA7369"/>
    <mergeCell ref="AB7368:AB7369"/>
    <mergeCell ref="A7362:A7363"/>
    <mergeCell ref="E7362:E7363"/>
    <mergeCell ref="H7362:H7363"/>
    <mergeCell ref="I7362:I7363"/>
    <mergeCell ref="J7362:J7363"/>
    <mergeCell ref="K7362:K7363"/>
    <mergeCell ref="L7362:L7363"/>
    <mergeCell ref="M7362:M7363"/>
    <mergeCell ref="N7362:N7363"/>
    <mergeCell ref="O7362:O7363"/>
    <mergeCell ref="X7362:X7363"/>
    <mergeCell ref="Y7362:Y7363"/>
    <mergeCell ref="Z7362:Z7363"/>
    <mergeCell ref="AA7362:AA7363"/>
    <mergeCell ref="AB7362:AB7363"/>
    <mergeCell ref="A7364:A7365"/>
    <mergeCell ref="E7364:E7365"/>
    <mergeCell ref="H7364:H7365"/>
    <mergeCell ref="I7364:I7365"/>
    <mergeCell ref="J7364:J7365"/>
    <mergeCell ref="K7364:K7365"/>
    <mergeCell ref="L7364:L7365"/>
    <mergeCell ref="M7364:M7365"/>
    <mergeCell ref="N7364:N7365"/>
    <mergeCell ref="O7364:O7365"/>
    <mergeCell ref="X7364:X7365"/>
    <mergeCell ref="Y7364:Y7365"/>
    <mergeCell ref="Z7364:Z7365"/>
    <mergeCell ref="AA7364:AA7365"/>
    <mergeCell ref="AB7364:AB7365"/>
    <mergeCell ref="A7358:A7359"/>
    <mergeCell ref="E7358:E7359"/>
    <mergeCell ref="H7358:H7359"/>
    <mergeCell ref="I7358:I7359"/>
    <mergeCell ref="J7358:J7359"/>
    <mergeCell ref="K7358:K7359"/>
    <mergeCell ref="L7358:L7359"/>
    <mergeCell ref="M7358:M7359"/>
    <mergeCell ref="N7358:N7359"/>
    <mergeCell ref="O7358:O7359"/>
    <mergeCell ref="X7358:X7359"/>
    <mergeCell ref="Y7358:Y7359"/>
    <mergeCell ref="Z7358:Z7359"/>
    <mergeCell ref="AA7358:AA7359"/>
    <mergeCell ref="AB7358:AB7359"/>
    <mergeCell ref="A7360:A7361"/>
    <mergeCell ref="E7360:E7361"/>
    <mergeCell ref="H7360:H7361"/>
    <mergeCell ref="I7360:I7361"/>
    <mergeCell ref="J7360:J7361"/>
    <mergeCell ref="K7360:K7361"/>
    <mergeCell ref="L7360:L7361"/>
    <mergeCell ref="M7360:M7361"/>
    <mergeCell ref="N7360:N7361"/>
    <mergeCell ref="O7360:O7361"/>
    <mergeCell ref="X7360:X7361"/>
    <mergeCell ref="Y7360:Y7361"/>
    <mergeCell ref="Z7360:Z7361"/>
    <mergeCell ref="AA7360:AA7361"/>
    <mergeCell ref="AB7360:AB7361"/>
    <mergeCell ref="A7354:A7355"/>
    <mergeCell ref="E7354:E7355"/>
    <mergeCell ref="H7354:H7355"/>
    <mergeCell ref="I7354:I7355"/>
    <mergeCell ref="J7354:J7355"/>
    <mergeCell ref="K7354:K7355"/>
    <mergeCell ref="L7354:L7355"/>
    <mergeCell ref="M7354:M7355"/>
    <mergeCell ref="N7354:N7355"/>
    <mergeCell ref="O7354:O7355"/>
    <mergeCell ref="X7354:X7355"/>
    <mergeCell ref="Y7354:Y7355"/>
    <mergeCell ref="Z7354:Z7355"/>
    <mergeCell ref="AA7354:AA7355"/>
    <mergeCell ref="AB7354:AB7355"/>
    <mergeCell ref="A7356:A7357"/>
    <mergeCell ref="E7356:E7357"/>
    <mergeCell ref="H7356:H7357"/>
    <mergeCell ref="I7356:I7357"/>
    <mergeCell ref="J7356:J7357"/>
    <mergeCell ref="K7356:K7357"/>
    <mergeCell ref="L7356:L7357"/>
    <mergeCell ref="M7356:M7357"/>
    <mergeCell ref="N7356:N7357"/>
    <mergeCell ref="O7356:O7357"/>
    <mergeCell ref="X7356:X7357"/>
    <mergeCell ref="Y7356:Y7357"/>
    <mergeCell ref="Z7356:Z7357"/>
    <mergeCell ref="AA7356:AA7357"/>
    <mergeCell ref="AB7356:AB7357"/>
    <mergeCell ref="A7350:A7351"/>
    <mergeCell ref="E7350:E7351"/>
    <mergeCell ref="H7350:H7351"/>
    <mergeCell ref="I7350:I7351"/>
    <mergeCell ref="J7350:J7351"/>
    <mergeCell ref="K7350:K7351"/>
    <mergeCell ref="L7350:L7351"/>
    <mergeCell ref="M7350:M7351"/>
    <mergeCell ref="N7350:N7351"/>
    <mergeCell ref="O7350:O7351"/>
    <mergeCell ref="X7350:X7351"/>
    <mergeCell ref="Y7350:Y7351"/>
    <mergeCell ref="Z7350:Z7351"/>
    <mergeCell ref="AA7350:AA7351"/>
    <mergeCell ref="AB7350:AB7351"/>
    <mergeCell ref="A7352:A7353"/>
    <mergeCell ref="E7352:E7353"/>
    <mergeCell ref="H7352:H7353"/>
    <mergeCell ref="I7352:I7353"/>
    <mergeCell ref="J7352:J7353"/>
    <mergeCell ref="K7352:K7353"/>
    <mergeCell ref="L7352:L7353"/>
    <mergeCell ref="M7352:M7353"/>
    <mergeCell ref="N7352:N7353"/>
    <mergeCell ref="O7352:O7353"/>
    <mergeCell ref="X7352:X7353"/>
    <mergeCell ref="Y7352:Y7353"/>
    <mergeCell ref="Z7352:Z7353"/>
    <mergeCell ref="AA7352:AA7353"/>
    <mergeCell ref="AB7352:AB7353"/>
    <mergeCell ref="A7346:A7347"/>
    <mergeCell ref="E7346:E7347"/>
    <mergeCell ref="H7346:H7347"/>
    <mergeCell ref="I7346:I7347"/>
    <mergeCell ref="J7346:J7347"/>
    <mergeCell ref="K7346:K7347"/>
    <mergeCell ref="L7346:L7347"/>
    <mergeCell ref="M7346:M7347"/>
    <mergeCell ref="N7346:N7347"/>
    <mergeCell ref="O7346:O7347"/>
    <mergeCell ref="X7346:X7347"/>
    <mergeCell ref="Y7346:Y7347"/>
    <mergeCell ref="Z7346:Z7347"/>
    <mergeCell ref="AA7346:AA7347"/>
    <mergeCell ref="AB7346:AB7347"/>
    <mergeCell ref="A7348:A7349"/>
    <mergeCell ref="E7348:E7349"/>
    <mergeCell ref="H7348:H7349"/>
    <mergeCell ref="I7348:I7349"/>
    <mergeCell ref="J7348:J7349"/>
    <mergeCell ref="K7348:K7349"/>
    <mergeCell ref="L7348:L7349"/>
    <mergeCell ref="M7348:M7349"/>
    <mergeCell ref="N7348:N7349"/>
    <mergeCell ref="O7348:O7349"/>
    <mergeCell ref="X7348:X7349"/>
    <mergeCell ref="Y7348:Y7349"/>
    <mergeCell ref="Z7348:Z7349"/>
    <mergeCell ref="AA7348:AA7349"/>
    <mergeCell ref="AB7348:AB7349"/>
    <mergeCell ref="A7342:A7343"/>
    <mergeCell ref="E7342:E7343"/>
    <mergeCell ref="H7342:H7343"/>
    <mergeCell ref="I7342:I7343"/>
    <mergeCell ref="J7342:J7343"/>
    <mergeCell ref="K7342:K7343"/>
    <mergeCell ref="L7342:L7343"/>
    <mergeCell ref="M7342:M7343"/>
    <mergeCell ref="N7342:N7343"/>
    <mergeCell ref="O7342:O7343"/>
    <mergeCell ref="X7342:X7343"/>
    <mergeCell ref="Y7342:Y7343"/>
    <mergeCell ref="Z7342:Z7343"/>
    <mergeCell ref="AA7342:AA7343"/>
    <mergeCell ref="AB7342:AB7343"/>
    <mergeCell ref="A7344:A7345"/>
    <mergeCell ref="E7344:E7345"/>
    <mergeCell ref="H7344:H7345"/>
    <mergeCell ref="I7344:I7345"/>
    <mergeCell ref="J7344:J7345"/>
    <mergeCell ref="K7344:K7345"/>
    <mergeCell ref="L7344:L7345"/>
    <mergeCell ref="M7344:M7345"/>
    <mergeCell ref="N7344:N7345"/>
    <mergeCell ref="O7344:O7345"/>
    <mergeCell ref="X7344:X7345"/>
    <mergeCell ref="Y7344:Y7345"/>
    <mergeCell ref="Z7344:Z7345"/>
    <mergeCell ref="AA7344:AA7345"/>
    <mergeCell ref="AB7344:AB7345"/>
    <mergeCell ref="A7338:A7339"/>
    <mergeCell ref="E7338:E7339"/>
    <mergeCell ref="H7338:H7339"/>
    <mergeCell ref="I7338:I7339"/>
    <mergeCell ref="J7338:J7339"/>
    <mergeCell ref="K7338:K7339"/>
    <mergeCell ref="L7338:L7339"/>
    <mergeCell ref="M7338:M7339"/>
    <mergeCell ref="N7338:N7339"/>
    <mergeCell ref="O7338:O7339"/>
    <mergeCell ref="X7338:X7339"/>
    <mergeCell ref="Y7338:Y7339"/>
    <mergeCell ref="Z7338:Z7339"/>
    <mergeCell ref="AA7338:AA7339"/>
    <mergeCell ref="AB7338:AB7339"/>
    <mergeCell ref="A7340:A7341"/>
    <mergeCell ref="E7340:E7341"/>
    <mergeCell ref="H7340:H7341"/>
    <mergeCell ref="I7340:I7341"/>
    <mergeCell ref="J7340:J7341"/>
    <mergeCell ref="K7340:K7341"/>
    <mergeCell ref="L7340:L7341"/>
    <mergeCell ref="M7340:M7341"/>
    <mergeCell ref="N7340:N7341"/>
    <mergeCell ref="O7340:O7341"/>
    <mergeCell ref="X7340:X7341"/>
    <mergeCell ref="Y7340:Y7341"/>
    <mergeCell ref="Z7340:Z7341"/>
    <mergeCell ref="AA7340:AA7341"/>
    <mergeCell ref="AB7340:AB7341"/>
    <mergeCell ref="A7334:A7335"/>
    <mergeCell ref="E7334:E7335"/>
    <mergeCell ref="H7334:H7335"/>
    <mergeCell ref="I7334:I7335"/>
    <mergeCell ref="J7334:J7335"/>
    <mergeCell ref="K7334:K7335"/>
    <mergeCell ref="L7334:L7335"/>
    <mergeCell ref="M7334:M7335"/>
    <mergeCell ref="N7334:N7335"/>
    <mergeCell ref="O7334:O7335"/>
    <mergeCell ref="X7334:X7335"/>
    <mergeCell ref="Y7334:Y7335"/>
    <mergeCell ref="Z7334:Z7335"/>
    <mergeCell ref="AA7334:AA7335"/>
    <mergeCell ref="AB7334:AB7335"/>
    <mergeCell ref="A7336:A7337"/>
    <mergeCell ref="E7336:E7337"/>
    <mergeCell ref="H7336:H7337"/>
    <mergeCell ref="I7336:I7337"/>
    <mergeCell ref="J7336:J7337"/>
    <mergeCell ref="K7336:K7337"/>
    <mergeCell ref="L7336:L7337"/>
    <mergeCell ref="M7336:M7337"/>
    <mergeCell ref="N7336:N7337"/>
    <mergeCell ref="O7336:O7337"/>
    <mergeCell ref="X7336:X7337"/>
    <mergeCell ref="Y7336:Y7337"/>
    <mergeCell ref="Z7336:Z7337"/>
    <mergeCell ref="AA7336:AA7337"/>
    <mergeCell ref="AB7336:AB7337"/>
    <mergeCell ref="A7330:A7331"/>
    <mergeCell ref="E7330:E7331"/>
    <mergeCell ref="H7330:H7331"/>
    <mergeCell ref="I7330:I7331"/>
    <mergeCell ref="J7330:J7331"/>
    <mergeCell ref="K7330:K7331"/>
    <mergeCell ref="L7330:L7331"/>
    <mergeCell ref="M7330:M7331"/>
    <mergeCell ref="N7330:N7331"/>
    <mergeCell ref="O7330:O7331"/>
    <mergeCell ref="X7330:X7331"/>
    <mergeCell ref="Y7330:Y7331"/>
    <mergeCell ref="Z7330:Z7331"/>
    <mergeCell ref="AA7330:AA7331"/>
    <mergeCell ref="AB7330:AB7331"/>
    <mergeCell ref="A7332:A7333"/>
    <mergeCell ref="E7332:E7333"/>
    <mergeCell ref="H7332:H7333"/>
    <mergeCell ref="I7332:I7333"/>
    <mergeCell ref="J7332:J7333"/>
    <mergeCell ref="K7332:K7333"/>
    <mergeCell ref="L7332:L7333"/>
    <mergeCell ref="M7332:M7333"/>
    <mergeCell ref="N7332:N7333"/>
    <mergeCell ref="O7332:O7333"/>
    <mergeCell ref="X7332:X7333"/>
    <mergeCell ref="Y7332:Y7333"/>
    <mergeCell ref="Z7332:Z7333"/>
    <mergeCell ref="AA7332:AA7333"/>
    <mergeCell ref="AB7332:AB7333"/>
    <mergeCell ref="A7326:A7327"/>
    <mergeCell ref="E7326:E7327"/>
    <mergeCell ref="H7326:H7327"/>
    <mergeCell ref="I7326:I7327"/>
    <mergeCell ref="J7326:J7327"/>
    <mergeCell ref="K7326:K7327"/>
    <mergeCell ref="L7326:L7327"/>
    <mergeCell ref="M7326:M7327"/>
    <mergeCell ref="N7326:N7327"/>
    <mergeCell ref="O7326:O7327"/>
    <mergeCell ref="X7326:X7327"/>
    <mergeCell ref="Y7326:Y7327"/>
    <mergeCell ref="Z7326:Z7327"/>
    <mergeCell ref="AA7326:AA7327"/>
    <mergeCell ref="AB7326:AB7327"/>
    <mergeCell ref="A7328:A7329"/>
    <mergeCell ref="E7328:E7329"/>
    <mergeCell ref="H7328:H7329"/>
    <mergeCell ref="I7328:I7329"/>
    <mergeCell ref="J7328:J7329"/>
    <mergeCell ref="K7328:K7329"/>
    <mergeCell ref="L7328:L7329"/>
    <mergeCell ref="M7328:M7329"/>
    <mergeCell ref="N7328:N7329"/>
    <mergeCell ref="O7328:O7329"/>
    <mergeCell ref="X7328:X7329"/>
    <mergeCell ref="Y7328:Y7329"/>
    <mergeCell ref="Z7328:Z7329"/>
    <mergeCell ref="AA7328:AA7329"/>
    <mergeCell ref="AB7328:AB7329"/>
    <mergeCell ref="A7322:A7323"/>
    <mergeCell ref="E7322:E7323"/>
    <mergeCell ref="H7322:H7323"/>
    <mergeCell ref="I7322:I7323"/>
    <mergeCell ref="J7322:J7323"/>
    <mergeCell ref="K7322:K7323"/>
    <mergeCell ref="L7322:L7323"/>
    <mergeCell ref="M7322:M7323"/>
    <mergeCell ref="N7322:N7323"/>
    <mergeCell ref="O7322:O7323"/>
    <mergeCell ref="X7322:X7323"/>
    <mergeCell ref="Y7322:Y7323"/>
    <mergeCell ref="Z7322:Z7323"/>
    <mergeCell ref="AA7322:AA7323"/>
    <mergeCell ref="AB7322:AB7323"/>
    <mergeCell ref="A7324:A7325"/>
    <mergeCell ref="E7324:E7325"/>
    <mergeCell ref="H7324:H7325"/>
    <mergeCell ref="I7324:I7325"/>
    <mergeCell ref="J7324:J7325"/>
    <mergeCell ref="K7324:K7325"/>
    <mergeCell ref="L7324:L7325"/>
    <mergeCell ref="M7324:M7325"/>
    <mergeCell ref="N7324:N7325"/>
    <mergeCell ref="O7324:O7325"/>
    <mergeCell ref="X7324:X7325"/>
    <mergeCell ref="Y7324:Y7325"/>
    <mergeCell ref="Z7324:Z7325"/>
    <mergeCell ref="AA7324:AA7325"/>
    <mergeCell ref="AB7324:AB7325"/>
    <mergeCell ref="A7318:A7319"/>
    <mergeCell ref="E7318:E7319"/>
    <mergeCell ref="H7318:H7319"/>
    <mergeCell ref="I7318:I7319"/>
    <mergeCell ref="J7318:J7319"/>
    <mergeCell ref="K7318:K7319"/>
    <mergeCell ref="L7318:L7319"/>
    <mergeCell ref="M7318:M7319"/>
    <mergeCell ref="N7318:N7319"/>
    <mergeCell ref="O7318:O7319"/>
    <mergeCell ref="X7318:X7319"/>
    <mergeCell ref="Y7318:Y7319"/>
    <mergeCell ref="Z7318:Z7319"/>
    <mergeCell ref="AA7318:AA7319"/>
    <mergeCell ref="AB7318:AB7319"/>
    <mergeCell ref="A7320:A7321"/>
    <mergeCell ref="E7320:E7321"/>
    <mergeCell ref="H7320:H7321"/>
    <mergeCell ref="I7320:I7321"/>
    <mergeCell ref="J7320:J7321"/>
    <mergeCell ref="K7320:K7321"/>
    <mergeCell ref="L7320:L7321"/>
    <mergeCell ref="M7320:M7321"/>
    <mergeCell ref="N7320:N7321"/>
    <mergeCell ref="O7320:O7321"/>
    <mergeCell ref="X7320:X7321"/>
    <mergeCell ref="Y7320:Y7321"/>
    <mergeCell ref="Z7320:Z7321"/>
    <mergeCell ref="AA7320:AA7321"/>
    <mergeCell ref="AB7320:AB7321"/>
    <mergeCell ref="A7314:A7315"/>
    <mergeCell ref="E7314:E7315"/>
    <mergeCell ref="H7314:H7315"/>
    <mergeCell ref="I7314:I7315"/>
    <mergeCell ref="J7314:J7315"/>
    <mergeCell ref="K7314:K7315"/>
    <mergeCell ref="L7314:L7315"/>
    <mergeCell ref="M7314:M7315"/>
    <mergeCell ref="N7314:N7315"/>
    <mergeCell ref="O7314:O7315"/>
    <mergeCell ref="X7314:X7315"/>
    <mergeCell ref="Y7314:Y7315"/>
    <mergeCell ref="Z7314:Z7315"/>
    <mergeCell ref="AA7314:AA7315"/>
    <mergeCell ref="AB7314:AB7315"/>
    <mergeCell ref="A7316:A7317"/>
    <mergeCell ref="E7316:E7317"/>
    <mergeCell ref="H7316:H7317"/>
    <mergeCell ref="I7316:I7317"/>
    <mergeCell ref="J7316:J7317"/>
    <mergeCell ref="K7316:K7317"/>
    <mergeCell ref="L7316:L7317"/>
    <mergeCell ref="M7316:M7317"/>
    <mergeCell ref="N7316:N7317"/>
    <mergeCell ref="O7316:O7317"/>
    <mergeCell ref="X7316:X7317"/>
    <mergeCell ref="Y7316:Y7317"/>
    <mergeCell ref="Z7316:Z7317"/>
    <mergeCell ref="AA7316:AA7317"/>
    <mergeCell ref="AB7316:AB7317"/>
    <mergeCell ref="A7310:A7311"/>
    <mergeCell ref="E7310:E7311"/>
    <mergeCell ref="H7310:H7311"/>
    <mergeCell ref="I7310:I7311"/>
    <mergeCell ref="J7310:J7311"/>
    <mergeCell ref="K7310:K7311"/>
    <mergeCell ref="L7310:L7311"/>
    <mergeCell ref="M7310:M7311"/>
    <mergeCell ref="N7310:N7311"/>
    <mergeCell ref="O7310:O7311"/>
    <mergeCell ref="X7310:X7311"/>
    <mergeCell ref="Y7310:Y7311"/>
    <mergeCell ref="Z7310:Z7311"/>
    <mergeCell ref="AA7310:AA7311"/>
    <mergeCell ref="AB7310:AB7311"/>
    <mergeCell ref="A7312:A7313"/>
    <mergeCell ref="E7312:E7313"/>
    <mergeCell ref="H7312:H7313"/>
    <mergeCell ref="I7312:I7313"/>
    <mergeCell ref="J7312:J7313"/>
    <mergeCell ref="K7312:K7313"/>
    <mergeCell ref="L7312:L7313"/>
    <mergeCell ref="M7312:M7313"/>
    <mergeCell ref="N7312:N7313"/>
    <mergeCell ref="O7312:O7313"/>
    <mergeCell ref="X7312:X7313"/>
    <mergeCell ref="Y7312:Y7313"/>
    <mergeCell ref="Z7312:Z7313"/>
    <mergeCell ref="AA7312:AA7313"/>
    <mergeCell ref="AB7312:AB7313"/>
    <mergeCell ref="A7306:A7307"/>
    <mergeCell ref="E7306:E7307"/>
    <mergeCell ref="H7306:H7307"/>
    <mergeCell ref="I7306:I7307"/>
    <mergeCell ref="J7306:J7307"/>
    <mergeCell ref="K7306:K7307"/>
    <mergeCell ref="L7306:L7307"/>
    <mergeCell ref="M7306:M7307"/>
    <mergeCell ref="N7306:N7307"/>
    <mergeCell ref="O7306:O7307"/>
    <mergeCell ref="X7306:X7307"/>
    <mergeCell ref="Y7306:Y7307"/>
    <mergeCell ref="Z7306:Z7307"/>
    <mergeCell ref="AA7306:AA7307"/>
    <mergeCell ref="AB7306:AB7307"/>
    <mergeCell ref="A7308:A7309"/>
    <mergeCell ref="E7308:E7309"/>
    <mergeCell ref="H7308:H7309"/>
    <mergeCell ref="I7308:I7309"/>
    <mergeCell ref="J7308:J7309"/>
    <mergeCell ref="K7308:K7309"/>
    <mergeCell ref="L7308:L7309"/>
    <mergeCell ref="M7308:M7309"/>
    <mergeCell ref="N7308:N7309"/>
    <mergeCell ref="O7308:O7309"/>
    <mergeCell ref="X7308:X7309"/>
    <mergeCell ref="Y7308:Y7309"/>
    <mergeCell ref="Z7308:Z7309"/>
    <mergeCell ref="AA7308:AA7309"/>
    <mergeCell ref="AB7308:AB7309"/>
    <mergeCell ref="A7302:A7303"/>
    <mergeCell ref="E7302:E7303"/>
    <mergeCell ref="H7302:H7303"/>
    <mergeCell ref="I7302:I7303"/>
    <mergeCell ref="J7302:J7303"/>
    <mergeCell ref="K7302:K7303"/>
    <mergeCell ref="L7302:L7303"/>
    <mergeCell ref="M7302:M7303"/>
    <mergeCell ref="N7302:N7303"/>
    <mergeCell ref="O7302:O7303"/>
    <mergeCell ref="X7302:X7303"/>
    <mergeCell ref="Y7302:Y7303"/>
    <mergeCell ref="Z7302:Z7303"/>
    <mergeCell ref="AA7302:AA7303"/>
    <mergeCell ref="AB7302:AB7303"/>
    <mergeCell ref="A7304:A7305"/>
    <mergeCell ref="E7304:E7305"/>
    <mergeCell ref="H7304:H7305"/>
    <mergeCell ref="I7304:I7305"/>
    <mergeCell ref="J7304:J7305"/>
    <mergeCell ref="K7304:K7305"/>
    <mergeCell ref="L7304:L7305"/>
    <mergeCell ref="M7304:M7305"/>
    <mergeCell ref="N7304:N7305"/>
    <mergeCell ref="O7304:O7305"/>
    <mergeCell ref="X7304:X7305"/>
    <mergeCell ref="Y7304:Y7305"/>
    <mergeCell ref="Z7304:Z7305"/>
    <mergeCell ref="AA7304:AA7305"/>
    <mergeCell ref="AB7304:AB7305"/>
    <mergeCell ref="A7298:A7299"/>
    <mergeCell ref="E7298:E7299"/>
    <mergeCell ref="H7298:H7299"/>
    <mergeCell ref="I7298:I7299"/>
    <mergeCell ref="J7298:J7299"/>
    <mergeCell ref="K7298:K7299"/>
    <mergeCell ref="L7298:L7299"/>
    <mergeCell ref="M7298:M7299"/>
    <mergeCell ref="N7298:N7299"/>
    <mergeCell ref="O7298:O7299"/>
    <mergeCell ref="X7298:X7299"/>
    <mergeCell ref="Y7298:Y7299"/>
    <mergeCell ref="Z7298:Z7299"/>
    <mergeCell ref="AA7298:AA7299"/>
    <mergeCell ref="AB7298:AB7299"/>
    <mergeCell ref="A7300:A7301"/>
    <mergeCell ref="E7300:E7301"/>
    <mergeCell ref="H7300:H7301"/>
    <mergeCell ref="I7300:I7301"/>
    <mergeCell ref="J7300:J7301"/>
    <mergeCell ref="K7300:K7301"/>
    <mergeCell ref="L7300:L7301"/>
    <mergeCell ref="M7300:M7301"/>
    <mergeCell ref="N7300:N7301"/>
    <mergeCell ref="O7300:O7301"/>
    <mergeCell ref="X7300:X7301"/>
    <mergeCell ref="Y7300:Y7301"/>
    <mergeCell ref="Z7300:Z7301"/>
    <mergeCell ref="AA7300:AA7301"/>
    <mergeCell ref="AB7300:AB7301"/>
    <mergeCell ref="A7294:A7295"/>
    <mergeCell ref="E7294:E7295"/>
    <mergeCell ref="H7294:H7295"/>
    <mergeCell ref="I7294:I7295"/>
    <mergeCell ref="J7294:J7295"/>
    <mergeCell ref="K7294:K7295"/>
    <mergeCell ref="L7294:L7295"/>
    <mergeCell ref="M7294:M7295"/>
    <mergeCell ref="N7294:N7295"/>
    <mergeCell ref="O7294:O7295"/>
    <mergeCell ref="X7294:X7295"/>
    <mergeCell ref="Y7294:Y7295"/>
    <mergeCell ref="Z7294:Z7295"/>
    <mergeCell ref="AA7294:AA7295"/>
    <mergeCell ref="AB7294:AB7295"/>
    <mergeCell ref="A7296:A7297"/>
    <mergeCell ref="E7296:E7297"/>
    <mergeCell ref="H7296:H7297"/>
    <mergeCell ref="I7296:I7297"/>
    <mergeCell ref="J7296:J7297"/>
    <mergeCell ref="K7296:K7297"/>
    <mergeCell ref="L7296:L7297"/>
    <mergeCell ref="M7296:M7297"/>
    <mergeCell ref="N7296:N7297"/>
    <mergeCell ref="O7296:O7297"/>
    <mergeCell ref="X7296:X7297"/>
    <mergeCell ref="Y7296:Y7297"/>
    <mergeCell ref="Z7296:Z7297"/>
    <mergeCell ref="AA7296:AA7297"/>
    <mergeCell ref="AB7296:AB7297"/>
    <mergeCell ref="A7290:A7291"/>
    <mergeCell ref="E7290:E7291"/>
    <mergeCell ref="H7290:H7291"/>
    <mergeCell ref="I7290:I7291"/>
    <mergeCell ref="J7290:J7291"/>
    <mergeCell ref="K7290:K7291"/>
    <mergeCell ref="L7290:L7291"/>
    <mergeCell ref="M7290:M7291"/>
    <mergeCell ref="N7290:N7291"/>
    <mergeCell ref="O7290:O7291"/>
    <mergeCell ref="X7290:X7291"/>
    <mergeCell ref="Y7290:Y7291"/>
    <mergeCell ref="Z7290:Z7291"/>
    <mergeCell ref="AA7290:AA7291"/>
    <mergeCell ref="AB7290:AB7291"/>
    <mergeCell ref="A7292:A7293"/>
    <mergeCell ref="E7292:E7293"/>
    <mergeCell ref="H7292:H7293"/>
    <mergeCell ref="I7292:I7293"/>
    <mergeCell ref="J7292:J7293"/>
    <mergeCell ref="K7292:K7293"/>
    <mergeCell ref="L7292:L7293"/>
    <mergeCell ref="M7292:M7293"/>
    <mergeCell ref="N7292:N7293"/>
    <mergeCell ref="O7292:O7293"/>
    <mergeCell ref="X7292:X7293"/>
    <mergeCell ref="Y7292:Y7293"/>
    <mergeCell ref="Z7292:Z7293"/>
    <mergeCell ref="AA7292:AA7293"/>
    <mergeCell ref="AB7292:AB7293"/>
    <mergeCell ref="A7286:A7287"/>
    <mergeCell ref="E7286:E7287"/>
    <mergeCell ref="H7286:H7287"/>
    <mergeCell ref="I7286:I7287"/>
    <mergeCell ref="J7286:J7287"/>
    <mergeCell ref="K7286:K7287"/>
    <mergeCell ref="L7286:L7287"/>
    <mergeCell ref="M7286:M7287"/>
    <mergeCell ref="N7286:N7287"/>
    <mergeCell ref="O7286:O7287"/>
    <mergeCell ref="X7286:X7287"/>
    <mergeCell ref="Y7286:Y7287"/>
    <mergeCell ref="Z7286:Z7287"/>
    <mergeCell ref="AA7286:AA7287"/>
    <mergeCell ref="AB7286:AB7287"/>
    <mergeCell ref="A7288:A7289"/>
    <mergeCell ref="E7288:E7289"/>
    <mergeCell ref="H7288:H7289"/>
    <mergeCell ref="I7288:I7289"/>
    <mergeCell ref="J7288:J7289"/>
    <mergeCell ref="K7288:K7289"/>
    <mergeCell ref="L7288:L7289"/>
    <mergeCell ref="M7288:M7289"/>
    <mergeCell ref="N7288:N7289"/>
    <mergeCell ref="O7288:O7289"/>
    <mergeCell ref="X7288:X7289"/>
    <mergeCell ref="Y7288:Y7289"/>
    <mergeCell ref="Z7288:Z7289"/>
    <mergeCell ref="AA7288:AA7289"/>
    <mergeCell ref="AB7288:AB7289"/>
    <mergeCell ref="A7282:A7283"/>
    <mergeCell ref="E7282:E7283"/>
    <mergeCell ref="H7282:H7283"/>
    <mergeCell ref="I7282:I7283"/>
    <mergeCell ref="J7282:J7283"/>
    <mergeCell ref="K7282:K7283"/>
    <mergeCell ref="L7282:L7283"/>
    <mergeCell ref="M7282:M7283"/>
    <mergeCell ref="N7282:N7283"/>
    <mergeCell ref="O7282:O7283"/>
    <mergeCell ref="X7282:X7283"/>
    <mergeCell ref="Y7282:Y7283"/>
    <mergeCell ref="Z7282:Z7283"/>
    <mergeCell ref="AA7282:AA7283"/>
    <mergeCell ref="AB7282:AB7283"/>
    <mergeCell ref="A7284:A7285"/>
    <mergeCell ref="E7284:E7285"/>
    <mergeCell ref="H7284:H7285"/>
    <mergeCell ref="I7284:I7285"/>
    <mergeCell ref="J7284:J7285"/>
    <mergeCell ref="K7284:K7285"/>
    <mergeCell ref="L7284:L7285"/>
    <mergeCell ref="M7284:M7285"/>
    <mergeCell ref="N7284:N7285"/>
    <mergeCell ref="O7284:O7285"/>
    <mergeCell ref="X7284:X7285"/>
    <mergeCell ref="Y7284:Y7285"/>
    <mergeCell ref="Z7284:Z7285"/>
    <mergeCell ref="AA7284:AA7285"/>
    <mergeCell ref="AB7284:AB7285"/>
    <mergeCell ref="A7278:A7279"/>
    <mergeCell ref="E7278:E7279"/>
    <mergeCell ref="H7278:H7279"/>
    <mergeCell ref="I7278:I7279"/>
    <mergeCell ref="J7278:J7279"/>
    <mergeCell ref="K7278:K7279"/>
    <mergeCell ref="L7278:L7279"/>
    <mergeCell ref="M7278:M7279"/>
    <mergeCell ref="N7278:N7279"/>
    <mergeCell ref="O7278:O7279"/>
    <mergeCell ref="X7278:X7279"/>
    <mergeCell ref="Y7278:Y7279"/>
    <mergeCell ref="Z7278:Z7279"/>
    <mergeCell ref="AA7278:AA7279"/>
    <mergeCell ref="AB7278:AB7279"/>
    <mergeCell ref="A7280:A7281"/>
    <mergeCell ref="E7280:E7281"/>
    <mergeCell ref="H7280:H7281"/>
    <mergeCell ref="I7280:I7281"/>
    <mergeCell ref="J7280:J7281"/>
    <mergeCell ref="K7280:K7281"/>
    <mergeCell ref="L7280:L7281"/>
    <mergeCell ref="M7280:M7281"/>
    <mergeCell ref="N7280:N7281"/>
    <mergeCell ref="O7280:O7281"/>
    <mergeCell ref="X7280:X7281"/>
    <mergeCell ref="Y7280:Y7281"/>
    <mergeCell ref="Z7280:Z7281"/>
    <mergeCell ref="AA7280:AA7281"/>
    <mergeCell ref="AB7280:AB7281"/>
    <mergeCell ref="A7274:A7275"/>
    <mergeCell ref="E7274:E7275"/>
    <mergeCell ref="H7274:H7275"/>
    <mergeCell ref="I7274:I7275"/>
    <mergeCell ref="J7274:J7275"/>
    <mergeCell ref="K7274:K7275"/>
    <mergeCell ref="L7274:L7275"/>
    <mergeCell ref="M7274:M7275"/>
    <mergeCell ref="N7274:N7275"/>
    <mergeCell ref="O7274:O7275"/>
    <mergeCell ref="X7274:X7275"/>
    <mergeCell ref="Y7274:Y7275"/>
    <mergeCell ref="Z7274:Z7275"/>
    <mergeCell ref="AA7274:AA7275"/>
    <mergeCell ref="AB7274:AB7275"/>
    <mergeCell ref="A7276:A7277"/>
    <mergeCell ref="E7276:E7277"/>
    <mergeCell ref="H7276:H7277"/>
    <mergeCell ref="I7276:I7277"/>
    <mergeCell ref="J7276:J7277"/>
    <mergeCell ref="K7276:K7277"/>
    <mergeCell ref="L7276:L7277"/>
    <mergeCell ref="M7276:M7277"/>
    <mergeCell ref="N7276:N7277"/>
    <mergeCell ref="O7276:O7277"/>
    <mergeCell ref="X7276:X7277"/>
    <mergeCell ref="Y7276:Y7277"/>
    <mergeCell ref="Z7276:Z7277"/>
    <mergeCell ref="AA7276:AA7277"/>
    <mergeCell ref="AB7276:AB7277"/>
    <mergeCell ref="A7270:A7271"/>
    <mergeCell ref="E7270:E7271"/>
    <mergeCell ref="H7270:H7271"/>
    <mergeCell ref="I7270:I7271"/>
    <mergeCell ref="J7270:J7271"/>
    <mergeCell ref="K7270:K7271"/>
    <mergeCell ref="L7270:L7271"/>
    <mergeCell ref="M7270:M7271"/>
    <mergeCell ref="N7270:N7271"/>
    <mergeCell ref="O7270:O7271"/>
    <mergeCell ref="X7270:X7271"/>
    <mergeCell ref="Y7270:Y7271"/>
    <mergeCell ref="Z7270:Z7271"/>
    <mergeCell ref="AA7270:AA7271"/>
    <mergeCell ref="AB7270:AB7271"/>
    <mergeCell ref="A7272:A7273"/>
    <mergeCell ref="E7272:E7273"/>
    <mergeCell ref="H7272:H7273"/>
    <mergeCell ref="I7272:I7273"/>
    <mergeCell ref="J7272:J7273"/>
    <mergeCell ref="K7272:K7273"/>
    <mergeCell ref="L7272:L7273"/>
    <mergeCell ref="M7272:M7273"/>
    <mergeCell ref="N7272:N7273"/>
    <mergeCell ref="O7272:O7273"/>
    <mergeCell ref="X7272:X7273"/>
    <mergeCell ref="Y7272:Y7273"/>
    <mergeCell ref="Z7272:Z7273"/>
    <mergeCell ref="AA7272:AA7273"/>
    <mergeCell ref="AB7272:AB7273"/>
    <mergeCell ref="A7266:A7267"/>
    <mergeCell ref="E7266:E7267"/>
    <mergeCell ref="H7266:H7267"/>
    <mergeCell ref="I7266:I7267"/>
    <mergeCell ref="J7266:J7267"/>
    <mergeCell ref="K7266:K7267"/>
    <mergeCell ref="L7266:L7267"/>
    <mergeCell ref="M7266:M7267"/>
    <mergeCell ref="N7266:N7267"/>
    <mergeCell ref="O7266:O7267"/>
    <mergeCell ref="X7266:X7267"/>
    <mergeCell ref="Y7266:Y7267"/>
    <mergeCell ref="Z7266:Z7267"/>
    <mergeCell ref="AA7266:AA7267"/>
    <mergeCell ref="AB7266:AB7267"/>
    <mergeCell ref="A7268:A7269"/>
    <mergeCell ref="E7268:E7269"/>
    <mergeCell ref="H7268:H7269"/>
    <mergeCell ref="I7268:I7269"/>
    <mergeCell ref="J7268:J7269"/>
    <mergeCell ref="K7268:K7269"/>
    <mergeCell ref="L7268:L7269"/>
    <mergeCell ref="M7268:M7269"/>
    <mergeCell ref="N7268:N7269"/>
    <mergeCell ref="O7268:O7269"/>
    <mergeCell ref="X7268:X7269"/>
    <mergeCell ref="Y7268:Y7269"/>
    <mergeCell ref="Z7268:Z7269"/>
    <mergeCell ref="AA7268:AA7269"/>
    <mergeCell ref="AB7268:AB7269"/>
    <mergeCell ref="A7262:A7263"/>
    <mergeCell ref="E7262:E7263"/>
    <mergeCell ref="H7262:H7263"/>
    <mergeCell ref="I7262:I7263"/>
    <mergeCell ref="J7262:J7263"/>
    <mergeCell ref="K7262:K7263"/>
    <mergeCell ref="L7262:L7263"/>
    <mergeCell ref="M7262:M7263"/>
    <mergeCell ref="N7262:N7263"/>
    <mergeCell ref="O7262:O7263"/>
    <mergeCell ref="X7262:X7263"/>
    <mergeCell ref="Y7262:Y7263"/>
    <mergeCell ref="Z7262:Z7263"/>
    <mergeCell ref="AA7262:AA7263"/>
    <mergeCell ref="AB7262:AB7263"/>
    <mergeCell ref="A7264:A7265"/>
    <mergeCell ref="E7264:E7265"/>
    <mergeCell ref="H7264:H7265"/>
    <mergeCell ref="I7264:I7265"/>
    <mergeCell ref="J7264:J7265"/>
    <mergeCell ref="K7264:K7265"/>
    <mergeCell ref="L7264:L7265"/>
    <mergeCell ref="M7264:M7265"/>
    <mergeCell ref="N7264:N7265"/>
    <mergeCell ref="O7264:O7265"/>
    <mergeCell ref="X7264:X7265"/>
    <mergeCell ref="Y7264:Y7265"/>
    <mergeCell ref="Z7264:Z7265"/>
    <mergeCell ref="AA7264:AA7265"/>
    <mergeCell ref="AB7264:AB7265"/>
    <mergeCell ref="A7258:A7259"/>
    <mergeCell ref="E7258:E7259"/>
    <mergeCell ref="H7258:H7259"/>
    <mergeCell ref="I7258:I7259"/>
    <mergeCell ref="J7258:J7259"/>
    <mergeCell ref="K7258:K7259"/>
    <mergeCell ref="L7258:L7259"/>
    <mergeCell ref="M7258:M7259"/>
    <mergeCell ref="N7258:N7259"/>
    <mergeCell ref="O7258:O7259"/>
    <mergeCell ref="X7258:X7259"/>
    <mergeCell ref="Y7258:Y7259"/>
    <mergeCell ref="Z7258:Z7259"/>
    <mergeCell ref="AA7258:AA7259"/>
    <mergeCell ref="AB7258:AB7259"/>
    <mergeCell ref="A7260:A7261"/>
    <mergeCell ref="E7260:E7261"/>
    <mergeCell ref="H7260:H7261"/>
    <mergeCell ref="I7260:I7261"/>
    <mergeCell ref="J7260:J7261"/>
    <mergeCell ref="K7260:K7261"/>
    <mergeCell ref="L7260:L7261"/>
    <mergeCell ref="M7260:M7261"/>
    <mergeCell ref="N7260:N7261"/>
    <mergeCell ref="O7260:O7261"/>
    <mergeCell ref="X7260:X7261"/>
    <mergeCell ref="Y7260:Y7261"/>
    <mergeCell ref="Z7260:Z7261"/>
    <mergeCell ref="AA7260:AA7261"/>
    <mergeCell ref="AB7260:AB7261"/>
    <mergeCell ref="A7254:A7255"/>
    <mergeCell ref="E7254:E7255"/>
    <mergeCell ref="H7254:H7255"/>
    <mergeCell ref="I7254:I7255"/>
    <mergeCell ref="J7254:J7255"/>
    <mergeCell ref="K7254:K7255"/>
    <mergeCell ref="L7254:L7255"/>
    <mergeCell ref="M7254:M7255"/>
    <mergeCell ref="N7254:N7255"/>
    <mergeCell ref="O7254:O7255"/>
    <mergeCell ref="X7254:X7255"/>
    <mergeCell ref="Y7254:Y7255"/>
    <mergeCell ref="Z7254:Z7255"/>
    <mergeCell ref="AA7254:AA7255"/>
    <mergeCell ref="AB7254:AB7255"/>
    <mergeCell ref="A7256:A7257"/>
    <mergeCell ref="E7256:E7257"/>
    <mergeCell ref="H7256:H7257"/>
    <mergeCell ref="I7256:I7257"/>
    <mergeCell ref="J7256:J7257"/>
    <mergeCell ref="K7256:K7257"/>
    <mergeCell ref="L7256:L7257"/>
    <mergeCell ref="M7256:M7257"/>
    <mergeCell ref="N7256:N7257"/>
    <mergeCell ref="O7256:O7257"/>
    <mergeCell ref="X7256:X7257"/>
    <mergeCell ref="Y7256:Y7257"/>
    <mergeCell ref="Z7256:Z7257"/>
    <mergeCell ref="AA7256:AA7257"/>
    <mergeCell ref="AB7256:AB7257"/>
    <mergeCell ref="A7250:A7251"/>
    <mergeCell ref="E7250:E7251"/>
    <mergeCell ref="H7250:H7251"/>
    <mergeCell ref="I7250:I7251"/>
    <mergeCell ref="J7250:J7251"/>
    <mergeCell ref="K7250:K7251"/>
    <mergeCell ref="L7250:L7251"/>
    <mergeCell ref="M7250:M7251"/>
    <mergeCell ref="N7250:N7251"/>
    <mergeCell ref="O7250:O7251"/>
    <mergeCell ref="X7250:X7251"/>
    <mergeCell ref="Y7250:Y7251"/>
    <mergeCell ref="Z7250:Z7251"/>
    <mergeCell ref="AA7250:AA7251"/>
    <mergeCell ref="AB7250:AB7251"/>
    <mergeCell ref="A7252:A7253"/>
    <mergeCell ref="E7252:E7253"/>
    <mergeCell ref="H7252:H7253"/>
    <mergeCell ref="I7252:I7253"/>
    <mergeCell ref="J7252:J7253"/>
    <mergeCell ref="K7252:K7253"/>
    <mergeCell ref="L7252:L7253"/>
    <mergeCell ref="M7252:M7253"/>
    <mergeCell ref="N7252:N7253"/>
    <mergeCell ref="O7252:O7253"/>
    <mergeCell ref="X7252:X7253"/>
    <mergeCell ref="Y7252:Y7253"/>
    <mergeCell ref="Z7252:Z7253"/>
    <mergeCell ref="AA7252:AA7253"/>
    <mergeCell ref="AB7252:AB7253"/>
    <mergeCell ref="A7246:A7247"/>
    <mergeCell ref="E7246:E7247"/>
    <mergeCell ref="H7246:H7247"/>
    <mergeCell ref="I7246:I7247"/>
    <mergeCell ref="J7246:J7247"/>
    <mergeCell ref="K7246:K7247"/>
    <mergeCell ref="L7246:L7247"/>
    <mergeCell ref="M7246:M7247"/>
    <mergeCell ref="N7246:N7247"/>
    <mergeCell ref="O7246:O7247"/>
    <mergeCell ref="X7246:X7247"/>
    <mergeCell ref="Y7246:Y7247"/>
    <mergeCell ref="Z7246:Z7247"/>
    <mergeCell ref="AA7246:AA7247"/>
    <mergeCell ref="AB7246:AB7247"/>
    <mergeCell ref="A7248:A7249"/>
    <mergeCell ref="E7248:E7249"/>
    <mergeCell ref="H7248:H7249"/>
    <mergeCell ref="I7248:I7249"/>
    <mergeCell ref="J7248:J7249"/>
    <mergeCell ref="K7248:K7249"/>
    <mergeCell ref="L7248:L7249"/>
    <mergeCell ref="M7248:M7249"/>
    <mergeCell ref="N7248:N7249"/>
    <mergeCell ref="O7248:O7249"/>
    <mergeCell ref="X7248:X7249"/>
    <mergeCell ref="Y7248:Y7249"/>
    <mergeCell ref="Z7248:Z7249"/>
    <mergeCell ref="AA7248:AA7249"/>
    <mergeCell ref="AB7248:AB7249"/>
    <mergeCell ref="A7242:A7243"/>
    <mergeCell ref="E7242:E7243"/>
    <mergeCell ref="H7242:H7243"/>
    <mergeCell ref="I7242:I7243"/>
    <mergeCell ref="J7242:J7243"/>
    <mergeCell ref="K7242:K7243"/>
    <mergeCell ref="L7242:L7243"/>
    <mergeCell ref="M7242:M7243"/>
    <mergeCell ref="N7242:N7243"/>
    <mergeCell ref="O7242:O7243"/>
    <mergeCell ref="X7242:X7243"/>
    <mergeCell ref="Y7242:Y7243"/>
    <mergeCell ref="Z7242:Z7243"/>
    <mergeCell ref="AA7242:AA7243"/>
    <mergeCell ref="AB7242:AB7243"/>
    <mergeCell ref="A7244:A7245"/>
    <mergeCell ref="E7244:E7245"/>
    <mergeCell ref="H7244:H7245"/>
    <mergeCell ref="I7244:I7245"/>
    <mergeCell ref="J7244:J7245"/>
    <mergeCell ref="K7244:K7245"/>
    <mergeCell ref="L7244:L7245"/>
    <mergeCell ref="M7244:M7245"/>
    <mergeCell ref="N7244:N7245"/>
    <mergeCell ref="O7244:O7245"/>
    <mergeCell ref="X7244:X7245"/>
    <mergeCell ref="Y7244:Y7245"/>
    <mergeCell ref="Z7244:Z7245"/>
    <mergeCell ref="AA7244:AA7245"/>
    <mergeCell ref="AB7244:AB7245"/>
    <mergeCell ref="A7238:A7239"/>
    <mergeCell ref="E7238:E7239"/>
    <mergeCell ref="H7238:H7239"/>
    <mergeCell ref="I7238:I7239"/>
    <mergeCell ref="J7238:J7239"/>
    <mergeCell ref="K7238:K7239"/>
    <mergeCell ref="L7238:L7239"/>
    <mergeCell ref="M7238:M7239"/>
    <mergeCell ref="N7238:N7239"/>
    <mergeCell ref="O7238:O7239"/>
    <mergeCell ref="X7238:X7239"/>
    <mergeCell ref="Y7238:Y7239"/>
    <mergeCell ref="Z7238:Z7239"/>
    <mergeCell ref="AA7238:AA7239"/>
    <mergeCell ref="AB7238:AB7239"/>
    <mergeCell ref="A7240:A7241"/>
    <mergeCell ref="E7240:E7241"/>
    <mergeCell ref="H7240:H7241"/>
    <mergeCell ref="I7240:I7241"/>
    <mergeCell ref="J7240:J7241"/>
    <mergeCell ref="K7240:K7241"/>
    <mergeCell ref="L7240:L7241"/>
    <mergeCell ref="M7240:M7241"/>
    <mergeCell ref="N7240:N7241"/>
    <mergeCell ref="O7240:O7241"/>
    <mergeCell ref="X7240:X7241"/>
    <mergeCell ref="Y7240:Y7241"/>
    <mergeCell ref="Z7240:Z7241"/>
    <mergeCell ref="AA7240:AA7241"/>
    <mergeCell ref="AB7240:AB7241"/>
    <mergeCell ref="A7234:A7235"/>
    <mergeCell ref="E7234:E7235"/>
    <mergeCell ref="H7234:H7235"/>
    <mergeCell ref="I7234:I7235"/>
    <mergeCell ref="J7234:J7235"/>
    <mergeCell ref="K7234:K7235"/>
    <mergeCell ref="L7234:L7235"/>
    <mergeCell ref="M7234:M7235"/>
    <mergeCell ref="N7234:N7235"/>
    <mergeCell ref="O7234:O7235"/>
    <mergeCell ref="X7234:X7235"/>
    <mergeCell ref="Y7234:Y7235"/>
    <mergeCell ref="Z7234:Z7235"/>
    <mergeCell ref="AA7234:AA7235"/>
    <mergeCell ref="AB7234:AB7235"/>
    <mergeCell ref="A7236:A7237"/>
    <mergeCell ref="E7236:E7237"/>
    <mergeCell ref="H7236:H7237"/>
    <mergeCell ref="I7236:I7237"/>
    <mergeCell ref="J7236:J7237"/>
    <mergeCell ref="K7236:K7237"/>
    <mergeCell ref="L7236:L7237"/>
    <mergeCell ref="M7236:M7237"/>
    <mergeCell ref="N7236:N7237"/>
    <mergeCell ref="O7236:O7237"/>
    <mergeCell ref="X7236:X7237"/>
    <mergeCell ref="Y7236:Y7237"/>
    <mergeCell ref="Z7236:Z7237"/>
    <mergeCell ref="AA7236:AA7237"/>
    <mergeCell ref="AB7236:AB7237"/>
    <mergeCell ref="A7230:A7231"/>
    <mergeCell ref="E7230:E7231"/>
    <mergeCell ref="H7230:H7231"/>
    <mergeCell ref="I7230:I7231"/>
    <mergeCell ref="J7230:J7231"/>
    <mergeCell ref="K7230:K7231"/>
    <mergeCell ref="L7230:L7231"/>
    <mergeCell ref="M7230:M7231"/>
    <mergeCell ref="N7230:N7231"/>
    <mergeCell ref="O7230:O7231"/>
    <mergeCell ref="X7230:X7231"/>
    <mergeCell ref="Y7230:Y7231"/>
    <mergeCell ref="Z7230:Z7231"/>
    <mergeCell ref="AA7230:AA7231"/>
    <mergeCell ref="AB7230:AB7231"/>
    <mergeCell ref="A7232:A7233"/>
    <mergeCell ref="E7232:E7233"/>
    <mergeCell ref="H7232:H7233"/>
    <mergeCell ref="I7232:I7233"/>
    <mergeCell ref="J7232:J7233"/>
    <mergeCell ref="K7232:K7233"/>
    <mergeCell ref="L7232:L7233"/>
    <mergeCell ref="M7232:M7233"/>
    <mergeCell ref="N7232:N7233"/>
    <mergeCell ref="O7232:O7233"/>
    <mergeCell ref="X7232:X7233"/>
    <mergeCell ref="Y7232:Y7233"/>
    <mergeCell ref="Z7232:Z7233"/>
    <mergeCell ref="AA7232:AA7233"/>
    <mergeCell ref="AB7232:AB7233"/>
    <mergeCell ref="A7226:A7227"/>
    <mergeCell ref="E7226:E7227"/>
    <mergeCell ref="H7226:H7227"/>
    <mergeCell ref="I7226:I7227"/>
    <mergeCell ref="J7226:J7227"/>
    <mergeCell ref="K7226:K7227"/>
    <mergeCell ref="L7226:L7227"/>
    <mergeCell ref="M7226:M7227"/>
    <mergeCell ref="N7226:N7227"/>
    <mergeCell ref="O7226:O7227"/>
    <mergeCell ref="X7226:X7227"/>
    <mergeCell ref="Y7226:Y7227"/>
    <mergeCell ref="Z7226:Z7227"/>
    <mergeCell ref="AA7226:AA7227"/>
    <mergeCell ref="AB7226:AB7227"/>
    <mergeCell ref="A7228:A7229"/>
    <mergeCell ref="E7228:E7229"/>
    <mergeCell ref="H7228:H7229"/>
    <mergeCell ref="I7228:I7229"/>
    <mergeCell ref="J7228:J7229"/>
    <mergeCell ref="K7228:K7229"/>
    <mergeCell ref="L7228:L7229"/>
    <mergeCell ref="M7228:M7229"/>
    <mergeCell ref="N7228:N7229"/>
    <mergeCell ref="O7228:O7229"/>
    <mergeCell ref="X7228:X7229"/>
    <mergeCell ref="Y7228:Y7229"/>
    <mergeCell ref="Z7228:Z7229"/>
    <mergeCell ref="AA7228:AA7229"/>
    <mergeCell ref="AB7228:AB7229"/>
    <mergeCell ref="A7222:A7223"/>
    <mergeCell ref="E7222:E7223"/>
    <mergeCell ref="H7222:H7223"/>
    <mergeCell ref="I7222:I7223"/>
    <mergeCell ref="J7222:J7223"/>
    <mergeCell ref="K7222:K7223"/>
    <mergeCell ref="L7222:L7223"/>
    <mergeCell ref="M7222:M7223"/>
    <mergeCell ref="N7222:N7223"/>
    <mergeCell ref="O7222:O7223"/>
    <mergeCell ref="X7222:X7223"/>
    <mergeCell ref="Y7222:Y7223"/>
    <mergeCell ref="Z7222:Z7223"/>
    <mergeCell ref="AA7222:AA7223"/>
    <mergeCell ref="AB7222:AB7223"/>
    <mergeCell ref="A7224:A7225"/>
    <mergeCell ref="E7224:E7225"/>
    <mergeCell ref="H7224:H7225"/>
    <mergeCell ref="I7224:I7225"/>
    <mergeCell ref="J7224:J7225"/>
    <mergeCell ref="K7224:K7225"/>
    <mergeCell ref="L7224:L7225"/>
    <mergeCell ref="M7224:M7225"/>
    <mergeCell ref="N7224:N7225"/>
    <mergeCell ref="O7224:O7225"/>
    <mergeCell ref="X7224:X7225"/>
    <mergeCell ref="Y7224:Y7225"/>
    <mergeCell ref="Z7224:Z7225"/>
    <mergeCell ref="AA7224:AA7225"/>
    <mergeCell ref="AB7224:AB7225"/>
    <mergeCell ref="A7218:A7219"/>
    <mergeCell ref="E7218:E7219"/>
    <mergeCell ref="H7218:H7219"/>
    <mergeCell ref="I7218:I7219"/>
    <mergeCell ref="J7218:J7219"/>
    <mergeCell ref="K7218:K7219"/>
    <mergeCell ref="L7218:L7219"/>
    <mergeCell ref="M7218:M7219"/>
    <mergeCell ref="N7218:N7219"/>
    <mergeCell ref="O7218:O7219"/>
    <mergeCell ref="X7218:X7219"/>
    <mergeCell ref="Y7218:Y7219"/>
    <mergeCell ref="Z7218:Z7219"/>
    <mergeCell ref="AA7218:AA7219"/>
    <mergeCell ref="AB7218:AB7219"/>
    <mergeCell ref="A7220:A7221"/>
    <mergeCell ref="E7220:E7221"/>
    <mergeCell ref="H7220:H7221"/>
    <mergeCell ref="I7220:I7221"/>
    <mergeCell ref="J7220:J7221"/>
    <mergeCell ref="K7220:K7221"/>
    <mergeCell ref="L7220:L7221"/>
    <mergeCell ref="M7220:M7221"/>
    <mergeCell ref="N7220:N7221"/>
    <mergeCell ref="O7220:O7221"/>
    <mergeCell ref="X7220:X7221"/>
    <mergeCell ref="Y7220:Y7221"/>
    <mergeCell ref="Z7220:Z7221"/>
    <mergeCell ref="AA7220:AA7221"/>
    <mergeCell ref="AB7220:AB7221"/>
    <mergeCell ref="A7214:A7215"/>
    <mergeCell ref="E7214:E7215"/>
    <mergeCell ref="H7214:H7215"/>
    <mergeCell ref="I7214:I7215"/>
    <mergeCell ref="J7214:J7215"/>
    <mergeCell ref="K7214:K7215"/>
    <mergeCell ref="L7214:L7215"/>
    <mergeCell ref="M7214:M7215"/>
    <mergeCell ref="N7214:N7215"/>
    <mergeCell ref="O7214:O7215"/>
    <mergeCell ref="X7214:X7215"/>
    <mergeCell ref="Y7214:Y7215"/>
    <mergeCell ref="Z7214:Z7215"/>
    <mergeCell ref="AA7214:AA7215"/>
    <mergeCell ref="AB7214:AB7215"/>
    <mergeCell ref="A7216:A7217"/>
    <mergeCell ref="E7216:E7217"/>
    <mergeCell ref="H7216:H7217"/>
    <mergeCell ref="I7216:I7217"/>
    <mergeCell ref="J7216:J7217"/>
    <mergeCell ref="K7216:K7217"/>
    <mergeCell ref="L7216:L7217"/>
    <mergeCell ref="M7216:M7217"/>
    <mergeCell ref="N7216:N7217"/>
    <mergeCell ref="O7216:O7217"/>
    <mergeCell ref="X7216:X7217"/>
    <mergeCell ref="Y7216:Y7217"/>
    <mergeCell ref="Z7216:Z7217"/>
    <mergeCell ref="AA7216:AA7217"/>
    <mergeCell ref="AB7216:AB7217"/>
    <mergeCell ref="A7210:A7211"/>
    <mergeCell ref="E7210:E7211"/>
    <mergeCell ref="H7210:H7211"/>
    <mergeCell ref="I7210:I7211"/>
    <mergeCell ref="J7210:J7211"/>
    <mergeCell ref="K7210:K7211"/>
    <mergeCell ref="L7210:L7211"/>
    <mergeCell ref="M7210:M7211"/>
    <mergeCell ref="N7210:N7211"/>
    <mergeCell ref="O7210:O7211"/>
    <mergeCell ref="X7210:X7211"/>
    <mergeCell ref="Y7210:Y7211"/>
    <mergeCell ref="Z7210:Z7211"/>
    <mergeCell ref="AA7210:AA7211"/>
    <mergeCell ref="AB7210:AB7211"/>
    <mergeCell ref="A7212:A7213"/>
    <mergeCell ref="E7212:E7213"/>
    <mergeCell ref="H7212:H7213"/>
    <mergeCell ref="I7212:I7213"/>
    <mergeCell ref="J7212:J7213"/>
    <mergeCell ref="K7212:K7213"/>
    <mergeCell ref="L7212:L7213"/>
    <mergeCell ref="M7212:M7213"/>
    <mergeCell ref="N7212:N7213"/>
    <mergeCell ref="O7212:O7213"/>
    <mergeCell ref="X7212:X7213"/>
    <mergeCell ref="Y7212:Y7213"/>
    <mergeCell ref="Z7212:Z7213"/>
    <mergeCell ref="AA7212:AA7213"/>
    <mergeCell ref="AB7212:AB7213"/>
    <mergeCell ref="A7206:A7207"/>
    <mergeCell ref="E7206:E7207"/>
    <mergeCell ref="H7206:H7207"/>
    <mergeCell ref="I7206:I7207"/>
    <mergeCell ref="J7206:J7207"/>
    <mergeCell ref="K7206:K7207"/>
    <mergeCell ref="L7206:L7207"/>
    <mergeCell ref="M7206:M7207"/>
    <mergeCell ref="N7206:N7207"/>
    <mergeCell ref="O7206:O7207"/>
    <mergeCell ref="X7206:X7207"/>
    <mergeCell ref="Y7206:Y7207"/>
    <mergeCell ref="Z7206:Z7207"/>
    <mergeCell ref="AA7206:AA7207"/>
    <mergeCell ref="AB7206:AB7207"/>
    <mergeCell ref="A7208:A7209"/>
    <mergeCell ref="E7208:E7209"/>
    <mergeCell ref="H7208:H7209"/>
    <mergeCell ref="I7208:I7209"/>
    <mergeCell ref="J7208:J7209"/>
    <mergeCell ref="K7208:K7209"/>
    <mergeCell ref="L7208:L7209"/>
    <mergeCell ref="M7208:M7209"/>
    <mergeCell ref="N7208:N7209"/>
    <mergeCell ref="O7208:O7209"/>
    <mergeCell ref="X7208:X7209"/>
    <mergeCell ref="Y7208:Y7209"/>
    <mergeCell ref="Z7208:Z7209"/>
    <mergeCell ref="AA7208:AA7209"/>
    <mergeCell ref="AB7208:AB7209"/>
    <mergeCell ref="A7202:A7203"/>
    <mergeCell ref="E7202:E7203"/>
    <mergeCell ref="H7202:H7203"/>
    <mergeCell ref="I7202:I7203"/>
    <mergeCell ref="J7202:J7203"/>
    <mergeCell ref="K7202:K7203"/>
    <mergeCell ref="L7202:L7203"/>
    <mergeCell ref="M7202:M7203"/>
    <mergeCell ref="N7202:N7203"/>
    <mergeCell ref="O7202:O7203"/>
    <mergeCell ref="X7202:X7203"/>
    <mergeCell ref="Y7202:Y7203"/>
    <mergeCell ref="Z7202:Z7203"/>
    <mergeCell ref="AA7202:AA7203"/>
    <mergeCell ref="AB7202:AB7203"/>
    <mergeCell ref="A7204:A7205"/>
    <mergeCell ref="E7204:E7205"/>
    <mergeCell ref="H7204:H7205"/>
    <mergeCell ref="I7204:I7205"/>
    <mergeCell ref="J7204:J7205"/>
    <mergeCell ref="K7204:K7205"/>
    <mergeCell ref="L7204:L7205"/>
    <mergeCell ref="M7204:M7205"/>
    <mergeCell ref="N7204:N7205"/>
    <mergeCell ref="O7204:O7205"/>
    <mergeCell ref="X7204:X7205"/>
    <mergeCell ref="Y7204:Y7205"/>
    <mergeCell ref="Z7204:Z7205"/>
    <mergeCell ref="AA7204:AA7205"/>
    <mergeCell ref="AB7204:AB7205"/>
    <mergeCell ref="A7194:A7195"/>
    <mergeCell ref="E7194:E7195"/>
    <mergeCell ref="H7194:H7195"/>
    <mergeCell ref="I7194:I7195"/>
    <mergeCell ref="J7194:J7195"/>
    <mergeCell ref="K7194:K7195"/>
    <mergeCell ref="L7194:L7195"/>
    <mergeCell ref="M7194:M7195"/>
    <mergeCell ref="N7194:N7195"/>
    <mergeCell ref="O7194:O7195"/>
    <mergeCell ref="X7194:X7195"/>
    <mergeCell ref="Y7194:Y7195"/>
    <mergeCell ref="Z7194:Z7195"/>
    <mergeCell ref="AA7194:AA7195"/>
    <mergeCell ref="AB7194:AB7195"/>
    <mergeCell ref="A7200:A7201"/>
    <mergeCell ref="E7200:E7201"/>
    <mergeCell ref="H7200:H7201"/>
    <mergeCell ref="I7200:I7201"/>
    <mergeCell ref="J7200:J7201"/>
    <mergeCell ref="K7200:K7201"/>
    <mergeCell ref="L7200:L7201"/>
    <mergeCell ref="M7200:M7201"/>
    <mergeCell ref="N7200:N7201"/>
    <mergeCell ref="O7200:O7201"/>
    <mergeCell ref="X7200:X7201"/>
    <mergeCell ref="Y7200:Y7201"/>
    <mergeCell ref="Z7200:Z7201"/>
    <mergeCell ref="AA7200:AA7201"/>
    <mergeCell ref="AB7200:AB7201"/>
    <mergeCell ref="A7196:A7197"/>
    <mergeCell ref="E7196:E7197"/>
    <mergeCell ref="H7196:H7197"/>
    <mergeCell ref="I7196:I7197"/>
    <mergeCell ref="J7196:J7197"/>
    <mergeCell ref="K7196:K7197"/>
    <mergeCell ref="L7196:L7197"/>
    <mergeCell ref="M7196:M7197"/>
    <mergeCell ref="N7196:N7197"/>
    <mergeCell ref="A7190:A7191"/>
    <mergeCell ref="E7190:E7191"/>
    <mergeCell ref="H7190:H7191"/>
    <mergeCell ref="I7190:I7191"/>
    <mergeCell ref="J7190:J7191"/>
    <mergeCell ref="K7190:K7191"/>
    <mergeCell ref="L7190:L7191"/>
    <mergeCell ref="M7190:M7191"/>
    <mergeCell ref="N7190:N7191"/>
    <mergeCell ref="O7190:O7191"/>
    <mergeCell ref="X7190:X7191"/>
    <mergeCell ref="Y7190:Y7191"/>
    <mergeCell ref="Z7190:Z7191"/>
    <mergeCell ref="AA7190:AA7191"/>
    <mergeCell ref="AB7190:AB7191"/>
    <mergeCell ref="A7192:A7193"/>
    <mergeCell ref="E7192:E7193"/>
    <mergeCell ref="H7192:H7193"/>
    <mergeCell ref="I7192:I7193"/>
    <mergeCell ref="J7192:J7193"/>
    <mergeCell ref="K7192:K7193"/>
    <mergeCell ref="L7192:L7193"/>
    <mergeCell ref="M7192:M7193"/>
    <mergeCell ref="N7192:N7193"/>
    <mergeCell ref="O7192:O7193"/>
    <mergeCell ref="X7192:X7193"/>
    <mergeCell ref="Y7192:Y7193"/>
    <mergeCell ref="Z7192:Z7193"/>
    <mergeCell ref="AA7192:AA7193"/>
    <mergeCell ref="AB7192:AB7193"/>
    <mergeCell ref="A7186:A7187"/>
    <mergeCell ref="E7186:E7187"/>
    <mergeCell ref="H7186:H7187"/>
    <mergeCell ref="I7186:I7187"/>
    <mergeCell ref="J7186:J7187"/>
    <mergeCell ref="K7186:K7187"/>
    <mergeCell ref="L7186:L7187"/>
    <mergeCell ref="M7186:M7187"/>
    <mergeCell ref="N7186:N7187"/>
    <mergeCell ref="O7186:O7187"/>
    <mergeCell ref="X7186:X7187"/>
    <mergeCell ref="Y7186:Y7187"/>
    <mergeCell ref="Z7186:Z7187"/>
    <mergeCell ref="AA7186:AA7187"/>
    <mergeCell ref="AB7186:AB7187"/>
    <mergeCell ref="A7188:A7189"/>
    <mergeCell ref="E7188:E7189"/>
    <mergeCell ref="H7188:H7189"/>
    <mergeCell ref="I7188:I7189"/>
    <mergeCell ref="J7188:J7189"/>
    <mergeCell ref="K7188:K7189"/>
    <mergeCell ref="L7188:L7189"/>
    <mergeCell ref="M7188:M7189"/>
    <mergeCell ref="N7188:N7189"/>
    <mergeCell ref="O7188:O7189"/>
    <mergeCell ref="X7188:X7189"/>
    <mergeCell ref="Y7188:Y7189"/>
    <mergeCell ref="Z7188:Z7189"/>
    <mergeCell ref="AA7188:AA7189"/>
    <mergeCell ref="AB7188:AB7189"/>
    <mergeCell ref="A7182:A7183"/>
    <mergeCell ref="E7182:E7183"/>
    <mergeCell ref="H7182:H7183"/>
    <mergeCell ref="I7182:I7183"/>
    <mergeCell ref="J7182:J7183"/>
    <mergeCell ref="K7182:K7183"/>
    <mergeCell ref="L7182:L7183"/>
    <mergeCell ref="M7182:M7183"/>
    <mergeCell ref="N7182:N7183"/>
    <mergeCell ref="O7182:O7183"/>
    <mergeCell ref="X7182:X7183"/>
    <mergeCell ref="Y7182:Y7183"/>
    <mergeCell ref="Z7182:Z7183"/>
    <mergeCell ref="AA7182:AA7183"/>
    <mergeCell ref="AB7182:AB7183"/>
    <mergeCell ref="A7184:A7185"/>
    <mergeCell ref="E7184:E7185"/>
    <mergeCell ref="H7184:H7185"/>
    <mergeCell ref="I7184:I7185"/>
    <mergeCell ref="J7184:J7185"/>
    <mergeCell ref="K7184:K7185"/>
    <mergeCell ref="L7184:L7185"/>
    <mergeCell ref="M7184:M7185"/>
    <mergeCell ref="N7184:N7185"/>
    <mergeCell ref="O7184:O7185"/>
    <mergeCell ref="X7184:X7185"/>
    <mergeCell ref="Y7184:Y7185"/>
    <mergeCell ref="Z7184:Z7185"/>
    <mergeCell ref="AA7184:AA7185"/>
    <mergeCell ref="AB7184:AB7185"/>
    <mergeCell ref="A7178:A7179"/>
    <mergeCell ref="E7178:E7179"/>
    <mergeCell ref="H7178:H7179"/>
    <mergeCell ref="I7178:I7179"/>
    <mergeCell ref="J7178:J7179"/>
    <mergeCell ref="K7178:K7179"/>
    <mergeCell ref="L7178:L7179"/>
    <mergeCell ref="M7178:M7179"/>
    <mergeCell ref="N7178:N7179"/>
    <mergeCell ref="O7178:O7179"/>
    <mergeCell ref="X7178:X7179"/>
    <mergeCell ref="Y7178:Y7179"/>
    <mergeCell ref="Z7178:Z7179"/>
    <mergeCell ref="AA7178:AA7179"/>
    <mergeCell ref="AB7178:AB7179"/>
    <mergeCell ref="A7180:A7181"/>
    <mergeCell ref="E7180:E7181"/>
    <mergeCell ref="H7180:H7181"/>
    <mergeCell ref="I7180:I7181"/>
    <mergeCell ref="J7180:J7181"/>
    <mergeCell ref="K7180:K7181"/>
    <mergeCell ref="L7180:L7181"/>
    <mergeCell ref="M7180:M7181"/>
    <mergeCell ref="N7180:N7181"/>
    <mergeCell ref="O7180:O7181"/>
    <mergeCell ref="X7180:X7181"/>
    <mergeCell ref="Y7180:Y7181"/>
    <mergeCell ref="Z7180:Z7181"/>
    <mergeCell ref="AA7180:AA7181"/>
    <mergeCell ref="AB7180:AB7181"/>
    <mergeCell ref="A7174:A7175"/>
    <mergeCell ref="E7174:E7175"/>
    <mergeCell ref="H7174:H7175"/>
    <mergeCell ref="I7174:I7175"/>
    <mergeCell ref="J7174:J7175"/>
    <mergeCell ref="K7174:K7175"/>
    <mergeCell ref="L7174:L7175"/>
    <mergeCell ref="M7174:M7175"/>
    <mergeCell ref="N7174:N7175"/>
    <mergeCell ref="O7174:O7175"/>
    <mergeCell ref="X7174:X7175"/>
    <mergeCell ref="Y7174:Y7175"/>
    <mergeCell ref="Z7174:Z7175"/>
    <mergeCell ref="AA7174:AA7175"/>
    <mergeCell ref="AB7174:AB7175"/>
    <mergeCell ref="A7176:A7177"/>
    <mergeCell ref="E7176:E7177"/>
    <mergeCell ref="H7176:H7177"/>
    <mergeCell ref="I7176:I7177"/>
    <mergeCell ref="J7176:J7177"/>
    <mergeCell ref="K7176:K7177"/>
    <mergeCell ref="L7176:L7177"/>
    <mergeCell ref="M7176:M7177"/>
    <mergeCell ref="N7176:N7177"/>
    <mergeCell ref="O7176:O7177"/>
    <mergeCell ref="X7176:X7177"/>
    <mergeCell ref="Y7176:Y7177"/>
    <mergeCell ref="Z7176:Z7177"/>
    <mergeCell ref="AA7176:AA7177"/>
    <mergeCell ref="AB7176:AB7177"/>
    <mergeCell ref="A7170:A7171"/>
    <mergeCell ref="E7170:E7171"/>
    <mergeCell ref="H7170:H7171"/>
    <mergeCell ref="I7170:I7171"/>
    <mergeCell ref="J7170:J7171"/>
    <mergeCell ref="K7170:K7171"/>
    <mergeCell ref="L7170:L7171"/>
    <mergeCell ref="M7170:M7171"/>
    <mergeCell ref="N7170:N7171"/>
    <mergeCell ref="O7170:O7171"/>
    <mergeCell ref="X7170:X7171"/>
    <mergeCell ref="Y7170:Y7171"/>
    <mergeCell ref="Z7170:Z7171"/>
    <mergeCell ref="AA7170:AA7171"/>
    <mergeCell ref="AB7170:AB7171"/>
    <mergeCell ref="A7172:A7173"/>
    <mergeCell ref="E7172:E7173"/>
    <mergeCell ref="H7172:H7173"/>
    <mergeCell ref="I7172:I7173"/>
    <mergeCell ref="J7172:J7173"/>
    <mergeCell ref="K7172:K7173"/>
    <mergeCell ref="L7172:L7173"/>
    <mergeCell ref="M7172:M7173"/>
    <mergeCell ref="N7172:N7173"/>
    <mergeCell ref="O7172:O7173"/>
    <mergeCell ref="X7172:X7173"/>
    <mergeCell ref="Y7172:Y7173"/>
    <mergeCell ref="Z7172:Z7173"/>
    <mergeCell ref="AA7172:AA7173"/>
    <mergeCell ref="AB7172:AB7173"/>
    <mergeCell ref="A7166:A7167"/>
    <mergeCell ref="E7166:E7167"/>
    <mergeCell ref="H7166:H7167"/>
    <mergeCell ref="I7166:I7167"/>
    <mergeCell ref="J7166:J7167"/>
    <mergeCell ref="K7166:K7167"/>
    <mergeCell ref="L7166:L7167"/>
    <mergeCell ref="M7166:M7167"/>
    <mergeCell ref="N7166:N7167"/>
    <mergeCell ref="O7166:O7167"/>
    <mergeCell ref="X7166:X7167"/>
    <mergeCell ref="Y7166:Y7167"/>
    <mergeCell ref="Z7166:Z7167"/>
    <mergeCell ref="AA7166:AA7167"/>
    <mergeCell ref="AB7166:AB7167"/>
    <mergeCell ref="A7168:A7169"/>
    <mergeCell ref="E7168:E7169"/>
    <mergeCell ref="H7168:H7169"/>
    <mergeCell ref="I7168:I7169"/>
    <mergeCell ref="J7168:J7169"/>
    <mergeCell ref="K7168:K7169"/>
    <mergeCell ref="L7168:L7169"/>
    <mergeCell ref="M7168:M7169"/>
    <mergeCell ref="N7168:N7169"/>
    <mergeCell ref="O7168:O7169"/>
    <mergeCell ref="X7168:X7169"/>
    <mergeCell ref="Y7168:Y7169"/>
    <mergeCell ref="Z7168:Z7169"/>
    <mergeCell ref="AA7168:AA7169"/>
    <mergeCell ref="AB7168:AB7169"/>
    <mergeCell ref="A7162:A7163"/>
    <mergeCell ref="E7162:E7163"/>
    <mergeCell ref="H7162:H7163"/>
    <mergeCell ref="I7162:I7163"/>
    <mergeCell ref="J7162:J7163"/>
    <mergeCell ref="K7162:K7163"/>
    <mergeCell ref="L7162:L7163"/>
    <mergeCell ref="M7162:M7163"/>
    <mergeCell ref="N7162:N7163"/>
    <mergeCell ref="O7162:O7163"/>
    <mergeCell ref="X7162:X7163"/>
    <mergeCell ref="Y7162:Y7163"/>
    <mergeCell ref="Z7162:Z7163"/>
    <mergeCell ref="AA7162:AA7163"/>
    <mergeCell ref="AB7162:AB7163"/>
    <mergeCell ref="A7164:A7165"/>
    <mergeCell ref="E7164:E7165"/>
    <mergeCell ref="H7164:H7165"/>
    <mergeCell ref="I7164:I7165"/>
    <mergeCell ref="J7164:J7165"/>
    <mergeCell ref="K7164:K7165"/>
    <mergeCell ref="L7164:L7165"/>
    <mergeCell ref="M7164:M7165"/>
    <mergeCell ref="N7164:N7165"/>
    <mergeCell ref="O7164:O7165"/>
    <mergeCell ref="X7164:X7165"/>
    <mergeCell ref="Y7164:Y7165"/>
    <mergeCell ref="Z7164:Z7165"/>
    <mergeCell ref="AA7164:AA7165"/>
    <mergeCell ref="AB7164:AB7165"/>
    <mergeCell ref="A7160:A7161"/>
    <mergeCell ref="E7160:E7161"/>
    <mergeCell ref="H7160:H7161"/>
    <mergeCell ref="I7160:I7161"/>
    <mergeCell ref="J7160:J7161"/>
    <mergeCell ref="K7160:K7161"/>
    <mergeCell ref="L7160:L7161"/>
    <mergeCell ref="M7160:M7161"/>
    <mergeCell ref="N7160:N7161"/>
    <mergeCell ref="O7160:O7161"/>
    <mergeCell ref="X7160:X7161"/>
    <mergeCell ref="Y7160:Y7161"/>
    <mergeCell ref="Z7160:Z7161"/>
    <mergeCell ref="AA7160:AA7161"/>
    <mergeCell ref="AB7160:AB7161"/>
    <mergeCell ref="A7156:A7157"/>
    <mergeCell ref="E7156:E7157"/>
    <mergeCell ref="H7156:H7157"/>
    <mergeCell ref="I7156:I7157"/>
    <mergeCell ref="J7156:J7157"/>
    <mergeCell ref="K7156:K7157"/>
    <mergeCell ref="L7156:L7157"/>
    <mergeCell ref="M7156:M7157"/>
    <mergeCell ref="N7156:N7157"/>
    <mergeCell ref="O7156:O7157"/>
    <mergeCell ref="X7156:X7157"/>
    <mergeCell ref="Y7156:Y7157"/>
    <mergeCell ref="Z7156:Z7157"/>
    <mergeCell ref="AA7156:AA7157"/>
    <mergeCell ref="AB7156:AB7157"/>
    <mergeCell ref="A7158:A7159"/>
    <mergeCell ref="E7158:E7159"/>
    <mergeCell ref="H7158:H7159"/>
    <mergeCell ref="I7158:I7159"/>
    <mergeCell ref="J7158:J7159"/>
    <mergeCell ref="K7158:K7159"/>
    <mergeCell ref="L7158:L7159"/>
    <mergeCell ref="M7158:M7159"/>
    <mergeCell ref="N7158:N7159"/>
    <mergeCell ref="O7158:O7159"/>
    <mergeCell ref="X7158:X7159"/>
    <mergeCell ref="Y7158:Y7159"/>
    <mergeCell ref="Z7158:Z7159"/>
    <mergeCell ref="AA7158:AA7159"/>
    <mergeCell ref="AB7158:AB7159"/>
    <mergeCell ref="A7152:A7153"/>
    <mergeCell ref="E7152:E7153"/>
    <mergeCell ref="H7152:H7153"/>
    <mergeCell ref="I7152:I7153"/>
    <mergeCell ref="J7152:J7153"/>
    <mergeCell ref="K7152:K7153"/>
    <mergeCell ref="L7152:L7153"/>
    <mergeCell ref="M7152:M7153"/>
    <mergeCell ref="N7152:N7153"/>
    <mergeCell ref="O7152:O7153"/>
    <mergeCell ref="X7152:X7153"/>
    <mergeCell ref="Y7152:Y7153"/>
    <mergeCell ref="Z7152:Z7153"/>
    <mergeCell ref="AA7152:AA7153"/>
    <mergeCell ref="AB7152:AB7153"/>
    <mergeCell ref="A7154:A7155"/>
    <mergeCell ref="E7154:E7155"/>
    <mergeCell ref="H7154:H7155"/>
    <mergeCell ref="I7154:I7155"/>
    <mergeCell ref="J7154:J7155"/>
    <mergeCell ref="K7154:K7155"/>
    <mergeCell ref="L7154:L7155"/>
    <mergeCell ref="M7154:M7155"/>
    <mergeCell ref="N7154:N7155"/>
    <mergeCell ref="O7154:O7155"/>
    <mergeCell ref="X7154:X7155"/>
    <mergeCell ref="Y7154:Y7155"/>
    <mergeCell ref="Z7154:Z7155"/>
    <mergeCell ref="AA7154:AA7155"/>
    <mergeCell ref="AB7154:AB7155"/>
    <mergeCell ref="A7148:A7149"/>
    <mergeCell ref="E7148:E7149"/>
    <mergeCell ref="H7148:H7149"/>
    <mergeCell ref="I7148:I7149"/>
    <mergeCell ref="J7148:J7149"/>
    <mergeCell ref="K7148:K7149"/>
    <mergeCell ref="L7148:L7149"/>
    <mergeCell ref="M7148:M7149"/>
    <mergeCell ref="N7148:N7149"/>
    <mergeCell ref="O7148:O7149"/>
    <mergeCell ref="X7148:X7149"/>
    <mergeCell ref="Y7148:Y7149"/>
    <mergeCell ref="Z7148:Z7149"/>
    <mergeCell ref="AA7148:AA7149"/>
    <mergeCell ref="AB7148:AB7149"/>
    <mergeCell ref="A7150:A7151"/>
    <mergeCell ref="E7150:E7151"/>
    <mergeCell ref="H7150:H7151"/>
    <mergeCell ref="I7150:I7151"/>
    <mergeCell ref="J7150:J7151"/>
    <mergeCell ref="K7150:K7151"/>
    <mergeCell ref="L7150:L7151"/>
    <mergeCell ref="M7150:M7151"/>
    <mergeCell ref="N7150:N7151"/>
    <mergeCell ref="O7150:O7151"/>
    <mergeCell ref="X7150:X7151"/>
    <mergeCell ref="Y7150:Y7151"/>
    <mergeCell ref="Z7150:Z7151"/>
    <mergeCell ref="AA7150:AA7151"/>
    <mergeCell ref="AB7150:AB7151"/>
    <mergeCell ref="A7144:A7145"/>
    <mergeCell ref="E7144:E7145"/>
    <mergeCell ref="H7144:H7145"/>
    <mergeCell ref="I7144:I7145"/>
    <mergeCell ref="J7144:J7145"/>
    <mergeCell ref="K7144:K7145"/>
    <mergeCell ref="L7144:L7145"/>
    <mergeCell ref="M7144:M7145"/>
    <mergeCell ref="N7144:N7145"/>
    <mergeCell ref="O7144:O7145"/>
    <mergeCell ref="X7144:X7145"/>
    <mergeCell ref="Y7144:Y7145"/>
    <mergeCell ref="Z7144:Z7145"/>
    <mergeCell ref="AA7144:AA7145"/>
    <mergeCell ref="AB7144:AB7145"/>
    <mergeCell ref="A7146:A7147"/>
    <mergeCell ref="E7146:E7147"/>
    <mergeCell ref="H7146:H7147"/>
    <mergeCell ref="I7146:I7147"/>
    <mergeCell ref="J7146:J7147"/>
    <mergeCell ref="K7146:K7147"/>
    <mergeCell ref="L7146:L7147"/>
    <mergeCell ref="M7146:M7147"/>
    <mergeCell ref="N7146:N7147"/>
    <mergeCell ref="O7146:O7147"/>
    <mergeCell ref="X7146:X7147"/>
    <mergeCell ref="Y7146:Y7147"/>
    <mergeCell ref="Z7146:Z7147"/>
    <mergeCell ref="AA7146:AA7147"/>
    <mergeCell ref="AB7146:AB7147"/>
    <mergeCell ref="A7140:A7141"/>
    <mergeCell ref="E7140:E7141"/>
    <mergeCell ref="H7140:H7141"/>
    <mergeCell ref="I7140:I7141"/>
    <mergeCell ref="J7140:J7141"/>
    <mergeCell ref="K7140:K7141"/>
    <mergeCell ref="L7140:L7141"/>
    <mergeCell ref="M7140:M7141"/>
    <mergeCell ref="N7140:N7141"/>
    <mergeCell ref="O7140:O7141"/>
    <mergeCell ref="X7140:X7141"/>
    <mergeCell ref="Y7140:Y7141"/>
    <mergeCell ref="Z7140:Z7141"/>
    <mergeCell ref="AA7140:AA7141"/>
    <mergeCell ref="AB7140:AB7141"/>
    <mergeCell ref="A7142:A7143"/>
    <mergeCell ref="E7142:E7143"/>
    <mergeCell ref="H7142:H7143"/>
    <mergeCell ref="I7142:I7143"/>
    <mergeCell ref="J7142:J7143"/>
    <mergeCell ref="K7142:K7143"/>
    <mergeCell ref="L7142:L7143"/>
    <mergeCell ref="M7142:M7143"/>
    <mergeCell ref="N7142:N7143"/>
    <mergeCell ref="O7142:O7143"/>
    <mergeCell ref="X7142:X7143"/>
    <mergeCell ref="Y7142:Y7143"/>
    <mergeCell ref="Z7142:Z7143"/>
    <mergeCell ref="AA7142:AA7143"/>
    <mergeCell ref="AB7142:AB7143"/>
    <mergeCell ref="A7136:A7137"/>
    <mergeCell ref="E7136:E7137"/>
    <mergeCell ref="H7136:H7137"/>
    <mergeCell ref="I7136:I7137"/>
    <mergeCell ref="J7136:J7137"/>
    <mergeCell ref="K7136:K7137"/>
    <mergeCell ref="L7136:L7137"/>
    <mergeCell ref="M7136:M7137"/>
    <mergeCell ref="N7136:N7137"/>
    <mergeCell ref="O7136:O7137"/>
    <mergeCell ref="X7136:X7137"/>
    <mergeCell ref="Y7136:Y7137"/>
    <mergeCell ref="Z7136:Z7137"/>
    <mergeCell ref="AA7136:AA7137"/>
    <mergeCell ref="AB7136:AB7137"/>
    <mergeCell ref="A7138:A7139"/>
    <mergeCell ref="E7138:E7139"/>
    <mergeCell ref="H7138:H7139"/>
    <mergeCell ref="I7138:I7139"/>
    <mergeCell ref="J7138:J7139"/>
    <mergeCell ref="K7138:K7139"/>
    <mergeCell ref="L7138:L7139"/>
    <mergeCell ref="M7138:M7139"/>
    <mergeCell ref="N7138:N7139"/>
    <mergeCell ref="O7138:O7139"/>
    <mergeCell ref="X7138:X7139"/>
    <mergeCell ref="Y7138:Y7139"/>
    <mergeCell ref="Z7138:Z7139"/>
    <mergeCell ref="AA7138:AA7139"/>
    <mergeCell ref="AB7138:AB7139"/>
    <mergeCell ref="A7132:A7133"/>
    <mergeCell ref="E7132:E7133"/>
    <mergeCell ref="H7132:H7133"/>
    <mergeCell ref="I7132:I7133"/>
    <mergeCell ref="J7132:J7133"/>
    <mergeCell ref="K7132:K7133"/>
    <mergeCell ref="L7132:L7133"/>
    <mergeCell ref="M7132:M7133"/>
    <mergeCell ref="N7132:N7133"/>
    <mergeCell ref="O7132:O7133"/>
    <mergeCell ref="X7132:X7133"/>
    <mergeCell ref="Y7132:Y7133"/>
    <mergeCell ref="Z7132:Z7133"/>
    <mergeCell ref="AA7132:AA7133"/>
    <mergeCell ref="AB7132:AB7133"/>
    <mergeCell ref="A7134:A7135"/>
    <mergeCell ref="E7134:E7135"/>
    <mergeCell ref="H7134:H7135"/>
    <mergeCell ref="I7134:I7135"/>
    <mergeCell ref="J7134:J7135"/>
    <mergeCell ref="K7134:K7135"/>
    <mergeCell ref="L7134:L7135"/>
    <mergeCell ref="M7134:M7135"/>
    <mergeCell ref="N7134:N7135"/>
    <mergeCell ref="O7134:O7135"/>
    <mergeCell ref="X7134:X7135"/>
    <mergeCell ref="Y7134:Y7135"/>
    <mergeCell ref="Z7134:Z7135"/>
    <mergeCell ref="AA7134:AA7135"/>
    <mergeCell ref="AB7134:AB7135"/>
    <mergeCell ref="A7128:A7129"/>
    <mergeCell ref="E7128:E7129"/>
    <mergeCell ref="H7128:H7129"/>
    <mergeCell ref="I7128:I7129"/>
    <mergeCell ref="J7128:J7129"/>
    <mergeCell ref="K7128:K7129"/>
    <mergeCell ref="L7128:L7129"/>
    <mergeCell ref="M7128:M7129"/>
    <mergeCell ref="N7128:N7129"/>
    <mergeCell ref="O7128:O7129"/>
    <mergeCell ref="X7128:X7129"/>
    <mergeCell ref="Y7128:Y7129"/>
    <mergeCell ref="Z7128:Z7129"/>
    <mergeCell ref="AA7128:AA7129"/>
    <mergeCell ref="AB7128:AB7129"/>
    <mergeCell ref="A7130:A7131"/>
    <mergeCell ref="E7130:E7131"/>
    <mergeCell ref="H7130:H7131"/>
    <mergeCell ref="I7130:I7131"/>
    <mergeCell ref="J7130:J7131"/>
    <mergeCell ref="K7130:K7131"/>
    <mergeCell ref="L7130:L7131"/>
    <mergeCell ref="M7130:M7131"/>
    <mergeCell ref="N7130:N7131"/>
    <mergeCell ref="O7130:O7131"/>
    <mergeCell ref="X7130:X7131"/>
    <mergeCell ref="Y7130:Y7131"/>
    <mergeCell ref="Z7130:Z7131"/>
    <mergeCell ref="AA7130:AA7131"/>
    <mergeCell ref="AB7130:AB7131"/>
    <mergeCell ref="A7124:A7125"/>
    <mergeCell ref="E7124:E7125"/>
    <mergeCell ref="H7124:H7125"/>
    <mergeCell ref="I7124:I7125"/>
    <mergeCell ref="J7124:J7125"/>
    <mergeCell ref="K7124:K7125"/>
    <mergeCell ref="L7124:L7125"/>
    <mergeCell ref="M7124:M7125"/>
    <mergeCell ref="N7124:N7125"/>
    <mergeCell ref="O7124:O7125"/>
    <mergeCell ref="X7124:X7125"/>
    <mergeCell ref="Y7124:Y7125"/>
    <mergeCell ref="Z7124:Z7125"/>
    <mergeCell ref="AA7124:AA7125"/>
    <mergeCell ref="AB7124:AB7125"/>
    <mergeCell ref="A7126:A7127"/>
    <mergeCell ref="E7126:E7127"/>
    <mergeCell ref="H7126:H7127"/>
    <mergeCell ref="I7126:I7127"/>
    <mergeCell ref="J7126:J7127"/>
    <mergeCell ref="K7126:K7127"/>
    <mergeCell ref="L7126:L7127"/>
    <mergeCell ref="M7126:M7127"/>
    <mergeCell ref="N7126:N7127"/>
    <mergeCell ref="O7126:O7127"/>
    <mergeCell ref="X7126:X7127"/>
    <mergeCell ref="Y7126:Y7127"/>
    <mergeCell ref="Z7126:Z7127"/>
    <mergeCell ref="AA7126:AA7127"/>
    <mergeCell ref="AB7126:AB7127"/>
    <mergeCell ref="A7120:A7121"/>
    <mergeCell ref="E7120:E7121"/>
    <mergeCell ref="H7120:H7121"/>
    <mergeCell ref="I7120:I7121"/>
    <mergeCell ref="J7120:J7121"/>
    <mergeCell ref="K7120:K7121"/>
    <mergeCell ref="L7120:L7121"/>
    <mergeCell ref="M7120:M7121"/>
    <mergeCell ref="N7120:N7121"/>
    <mergeCell ref="O7120:O7121"/>
    <mergeCell ref="X7120:X7121"/>
    <mergeCell ref="Y7120:Y7121"/>
    <mergeCell ref="Z7120:Z7121"/>
    <mergeCell ref="AA7120:AA7121"/>
    <mergeCell ref="AB7120:AB7121"/>
    <mergeCell ref="A7122:A7123"/>
    <mergeCell ref="E7122:E7123"/>
    <mergeCell ref="H7122:H7123"/>
    <mergeCell ref="I7122:I7123"/>
    <mergeCell ref="J7122:J7123"/>
    <mergeCell ref="K7122:K7123"/>
    <mergeCell ref="L7122:L7123"/>
    <mergeCell ref="M7122:M7123"/>
    <mergeCell ref="N7122:N7123"/>
    <mergeCell ref="O7122:O7123"/>
    <mergeCell ref="X7122:X7123"/>
    <mergeCell ref="Y7122:Y7123"/>
    <mergeCell ref="Z7122:Z7123"/>
    <mergeCell ref="AA7122:AA7123"/>
    <mergeCell ref="AB7122:AB7123"/>
    <mergeCell ref="A7116:A7117"/>
    <mergeCell ref="E7116:E7117"/>
    <mergeCell ref="H7116:H7117"/>
    <mergeCell ref="I7116:I7117"/>
    <mergeCell ref="J7116:J7117"/>
    <mergeCell ref="K7116:K7117"/>
    <mergeCell ref="L7116:L7117"/>
    <mergeCell ref="M7116:M7117"/>
    <mergeCell ref="N7116:N7117"/>
    <mergeCell ref="O7116:O7117"/>
    <mergeCell ref="X7116:X7117"/>
    <mergeCell ref="Y7116:Y7117"/>
    <mergeCell ref="Z7116:Z7117"/>
    <mergeCell ref="AA7116:AA7117"/>
    <mergeCell ref="AB7116:AB7117"/>
    <mergeCell ref="A7118:A7119"/>
    <mergeCell ref="E7118:E7119"/>
    <mergeCell ref="H7118:H7119"/>
    <mergeCell ref="I7118:I7119"/>
    <mergeCell ref="J7118:J7119"/>
    <mergeCell ref="K7118:K7119"/>
    <mergeCell ref="L7118:L7119"/>
    <mergeCell ref="M7118:M7119"/>
    <mergeCell ref="N7118:N7119"/>
    <mergeCell ref="O7118:O7119"/>
    <mergeCell ref="X7118:X7119"/>
    <mergeCell ref="Y7118:Y7119"/>
    <mergeCell ref="Z7118:Z7119"/>
    <mergeCell ref="AA7118:AA7119"/>
    <mergeCell ref="AB7118:AB7119"/>
    <mergeCell ref="A7112:A7113"/>
    <mergeCell ref="E7112:E7113"/>
    <mergeCell ref="H7112:H7113"/>
    <mergeCell ref="I7112:I7113"/>
    <mergeCell ref="J7112:J7113"/>
    <mergeCell ref="K7112:K7113"/>
    <mergeCell ref="L7112:L7113"/>
    <mergeCell ref="M7112:M7113"/>
    <mergeCell ref="N7112:N7113"/>
    <mergeCell ref="O7112:O7113"/>
    <mergeCell ref="X7112:X7113"/>
    <mergeCell ref="Y7112:Y7113"/>
    <mergeCell ref="Z7112:Z7113"/>
    <mergeCell ref="AA7112:AA7113"/>
    <mergeCell ref="AB7112:AB7113"/>
    <mergeCell ref="A7114:A7115"/>
    <mergeCell ref="E7114:E7115"/>
    <mergeCell ref="H7114:H7115"/>
    <mergeCell ref="I7114:I7115"/>
    <mergeCell ref="J7114:J7115"/>
    <mergeCell ref="K7114:K7115"/>
    <mergeCell ref="L7114:L7115"/>
    <mergeCell ref="M7114:M7115"/>
    <mergeCell ref="N7114:N7115"/>
    <mergeCell ref="O7114:O7115"/>
    <mergeCell ref="X7114:X7115"/>
    <mergeCell ref="Y7114:Y7115"/>
    <mergeCell ref="Z7114:Z7115"/>
    <mergeCell ref="AA7114:AA7115"/>
    <mergeCell ref="AB7114:AB7115"/>
    <mergeCell ref="A7108:A7109"/>
    <mergeCell ref="E7108:E7109"/>
    <mergeCell ref="H7108:H7109"/>
    <mergeCell ref="I7108:I7109"/>
    <mergeCell ref="J7108:J7109"/>
    <mergeCell ref="K7108:K7109"/>
    <mergeCell ref="L7108:L7109"/>
    <mergeCell ref="M7108:M7109"/>
    <mergeCell ref="N7108:N7109"/>
    <mergeCell ref="O7108:O7109"/>
    <mergeCell ref="X7108:X7109"/>
    <mergeCell ref="Y7108:Y7109"/>
    <mergeCell ref="Z7108:Z7109"/>
    <mergeCell ref="AA7108:AA7109"/>
    <mergeCell ref="AB7108:AB7109"/>
    <mergeCell ref="A7110:A7111"/>
    <mergeCell ref="E7110:E7111"/>
    <mergeCell ref="H7110:H7111"/>
    <mergeCell ref="I7110:I7111"/>
    <mergeCell ref="J7110:J7111"/>
    <mergeCell ref="K7110:K7111"/>
    <mergeCell ref="L7110:L7111"/>
    <mergeCell ref="M7110:M7111"/>
    <mergeCell ref="N7110:N7111"/>
    <mergeCell ref="O7110:O7111"/>
    <mergeCell ref="X7110:X7111"/>
    <mergeCell ref="Y7110:Y7111"/>
    <mergeCell ref="Z7110:Z7111"/>
    <mergeCell ref="AA7110:AA7111"/>
    <mergeCell ref="AB7110:AB7111"/>
    <mergeCell ref="A7104:A7105"/>
    <mergeCell ref="E7104:E7105"/>
    <mergeCell ref="H7104:H7105"/>
    <mergeCell ref="I7104:I7105"/>
    <mergeCell ref="J7104:J7105"/>
    <mergeCell ref="K7104:K7105"/>
    <mergeCell ref="L7104:L7105"/>
    <mergeCell ref="M7104:M7105"/>
    <mergeCell ref="N7104:N7105"/>
    <mergeCell ref="O7104:O7105"/>
    <mergeCell ref="X7104:X7105"/>
    <mergeCell ref="Y7104:Y7105"/>
    <mergeCell ref="Z7104:Z7105"/>
    <mergeCell ref="AA7104:AA7105"/>
    <mergeCell ref="AB7104:AB7105"/>
    <mergeCell ref="A7106:A7107"/>
    <mergeCell ref="E7106:E7107"/>
    <mergeCell ref="H7106:H7107"/>
    <mergeCell ref="I7106:I7107"/>
    <mergeCell ref="J7106:J7107"/>
    <mergeCell ref="K7106:K7107"/>
    <mergeCell ref="L7106:L7107"/>
    <mergeCell ref="M7106:M7107"/>
    <mergeCell ref="N7106:N7107"/>
    <mergeCell ref="O7106:O7107"/>
    <mergeCell ref="X7106:X7107"/>
    <mergeCell ref="Y7106:Y7107"/>
    <mergeCell ref="Z7106:Z7107"/>
    <mergeCell ref="AA7106:AA7107"/>
    <mergeCell ref="AB7106:AB7107"/>
    <mergeCell ref="A7100:A7101"/>
    <mergeCell ref="E7100:E7101"/>
    <mergeCell ref="H7100:H7101"/>
    <mergeCell ref="I7100:I7101"/>
    <mergeCell ref="J7100:J7101"/>
    <mergeCell ref="K7100:K7101"/>
    <mergeCell ref="L7100:L7101"/>
    <mergeCell ref="M7100:M7101"/>
    <mergeCell ref="N7100:N7101"/>
    <mergeCell ref="O7100:O7101"/>
    <mergeCell ref="X7100:X7101"/>
    <mergeCell ref="Y7100:Y7101"/>
    <mergeCell ref="Z7100:Z7101"/>
    <mergeCell ref="AA7100:AA7101"/>
    <mergeCell ref="AB7100:AB7101"/>
    <mergeCell ref="A7102:A7103"/>
    <mergeCell ref="E7102:E7103"/>
    <mergeCell ref="H7102:H7103"/>
    <mergeCell ref="I7102:I7103"/>
    <mergeCell ref="J7102:J7103"/>
    <mergeCell ref="K7102:K7103"/>
    <mergeCell ref="L7102:L7103"/>
    <mergeCell ref="M7102:M7103"/>
    <mergeCell ref="N7102:N7103"/>
    <mergeCell ref="O7102:O7103"/>
    <mergeCell ref="X7102:X7103"/>
    <mergeCell ref="Y7102:Y7103"/>
    <mergeCell ref="Z7102:Z7103"/>
    <mergeCell ref="AA7102:AA7103"/>
    <mergeCell ref="AB7102:AB7103"/>
    <mergeCell ref="A7096:A7097"/>
    <mergeCell ref="E7096:E7097"/>
    <mergeCell ref="H7096:H7097"/>
    <mergeCell ref="I7096:I7097"/>
    <mergeCell ref="J7096:J7097"/>
    <mergeCell ref="K7096:K7097"/>
    <mergeCell ref="L7096:L7097"/>
    <mergeCell ref="M7096:M7097"/>
    <mergeCell ref="N7096:N7097"/>
    <mergeCell ref="O7096:O7097"/>
    <mergeCell ref="X7096:X7097"/>
    <mergeCell ref="Y7096:Y7097"/>
    <mergeCell ref="Z7096:Z7097"/>
    <mergeCell ref="AA7096:AA7097"/>
    <mergeCell ref="AB7096:AB7097"/>
    <mergeCell ref="A7098:A7099"/>
    <mergeCell ref="E7098:E7099"/>
    <mergeCell ref="H7098:H7099"/>
    <mergeCell ref="I7098:I7099"/>
    <mergeCell ref="J7098:J7099"/>
    <mergeCell ref="K7098:K7099"/>
    <mergeCell ref="L7098:L7099"/>
    <mergeCell ref="M7098:M7099"/>
    <mergeCell ref="N7098:N7099"/>
    <mergeCell ref="O7098:O7099"/>
    <mergeCell ref="X7098:X7099"/>
    <mergeCell ref="Y7098:Y7099"/>
    <mergeCell ref="Z7098:Z7099"/>
    <mergeCell ref="AA7098:AA7099"/>
    <mergeCell ref="AB7098:AB7099"/>
    <mergeCell ref="A7092:A7093"/>
    <mergeCell ref="E7092:E7093"/>
    <mergeCell ref="H7092:H7093"/>
    <mergeCell ref="I7092:I7093"/>
    <mergeCell ref="J7092:J7093"/>
    <mergeCell ref="K7092:K7093"/>
    <mergeCell ref="L7092:L7093"/>
    <mergeCell ref="M7092:M7093"/>
    <mergeCell ref="N7092:N7093"/>
    <mergeCell ref="O7092:O7093"/>
    <mergeCell ref="X7092:X7093"/>
    <mergeCell ref="Y7092:Y7093"/>
    <mergeCell ref="Z7092:Z7093"/>
    <mergeCell ref="AA7092:AA7093"/>
    <mergeCell ref="AB7092:AB7093"/>
    <mergeCell ref="A7094:A7095"/>
    <mergeCell ref="E7094:E7095"/>
    <mergeCell ref="H7094:H7095"/>
    <mergeCell ref="I7094:I7095"/>
    <mergeCell ref="J7094:J7095"/>
    <mergeCell ref="K7094:K7095"/>
    <mergeCell ref="L7094:L7095"/>
    <mergeCell ref="M7094:M7095"/>
    <mergeCell ref="N7094:N7095"/>
    <mergeCell ref="O7094:O7095"/>
    <mergeCell ref="X7094:X7095"/>
    <mergeCell ref="Y7094:Y7095"/>
    <mergeCell ref="Z7094:Z7095"/>
    <mergeCell ref="AA7094:AA7095"/>
    <mergeCell ref="AB7094:AB7095"/>
    <mergeCell ref="A7088:A7089"/>
    <mergeCell ref="E7088:E7089"/>
    <mergeCell ref="H7088:H7089"/>
    <mergeCell ref="I7088:I7089"/>
    <mergeCell ref="J7088:J7089"/>
    <mergeCell ref="K7088:K7089"/>
    <mergeCell ref="L7088:L7089"/>
    <mergeCell ref="M7088:M7089"/>
    <mergeCell ref="N7088:N7089"/>
    <mergeCell ref="O7088:O7089"/>
    <mergeCell ref="X7088:X7089"/>
    <mergeCell ref="Y7088:Y7089"/>
    <mergeCell ref="Z7088:Z7089"/>
    <mergeCell ref="AA7088:AA7089"/>
    <mergeCell ref="AB7088:AB7089"/>
    <mergeCell ref="A7090:A7091"/>
    <mergeCell ref="E7090:E7091"/>
    <mergeCell ref="H7090:H7091"/>
    <mergeCell ref="I7090:I7091"/>
    <mergeCell ref="J7090:J7091"/>
    <mergeCell ref="K7090:K7091"/>
    <mergeCell ref="L7090:L7091"/>
    <mergeCell ref="M7090:M7091"/>
    <mergeCell ref="N7090:N7091"/>
    <mergeCell ref="O7090:O7091"/>
    <mergeCell ref="X7090:X7091"/>
    <mergeCell ref="Y7090:Y7091"/>
    <mergeCell ref="Z7090:Z7091"/>
    <mergeCell ref="AA7090:AA7091"/>
    <mergeCell ref="AB7090:AB7091"/>
    <mergeCell ref="A7084:A7085"/>
    <mergeCell ref="E7084:E7085"/>
    <mergeCell ref="H7084:H7085"/>
    <mergeCell ref="I7084:I7085"/>
    <mergeCell ref="J7084:J7085"/>
    <mergeCell ref="K7084:K7085"/>
    <mergeCell ref="L7084:L7085"/>
    <mergeCell ref="M7084:M7085"/>
    <mergeCell ref="N7084:N7085"/>
    <mergeCell ref="O7084:O7085"/>
    <mergeCell ref="X7084:X7085"/>
    <mergeCell ref="Y7084:Y7085"/>
    <mergeCell ref="Z7084:Z7085"/>
    <mergeCell ref="AA7084:AA7085"/>
    <mergeCell ref="AB7084:AB7085"/>
    <mergeCell ref="A7086:A7087"/>
    <mergeCell ref="E7086:E7087"/>
    <mergeCell ref="H7086:H7087"/>
    <mergeCell ref="I7086:I7087"/>
    <mergeCell ref="J7086:J7087"/>
    <mergeCell ref="K7086:K7087"/>
    <mergeCell ref="L7086:L7087"/>
    <mergeCell ref="M7086:M7087"/>
    <mergeCell ref="N7086:N7087"/>
    <mergeCell ref="O7086:O7087"/>
    <mergeCell ref="X7086:X7087"/>
    <mergeCell ref="Y7086:Y7087"/>
    <mergeCell ref="Z7086:Z7087"/>
    <mergeCell ref="AA7086:AA7087"/>
    <mergeCell ref="AB7086:AB7087"/>
    <mergeCell ref="A7080:A7081"/>
    <mergeCell ref="E7080:E7081"/>
    <mergeCell ref="H7080:H7081"/>
    <mergeCell ref="I7080:I7081"/>
    <mergeCell ref="J7080:J7081"/>
    <mergeCell ref="K7080:K7081"/>
    <mergeCell ref="L7080:L7081"/>
    <mergeCell ref="M7080:M7081"/>
    <mergeCell ref="N7080:N7081"/>
    <mergeCell ref="O7080:O7081"/>
    <mergeCell ref="X7080:X7081"/>
    <mergeCell ref="Y7080:Y7081"/>
    <mergeCell ref="Z7080:Z7081"/>
    <mergeCell ref="AA7080:AA7081"/>
    <mergeCell ref="AB7080:AB7081"/>
    <mergeCell ref="A7082:A7083"/>
    <mergeCell ref="E7082:E7083"/>
    <mergeCell ref="H7082:H7083"/>
    <mergeCell ref="I7082:I7083"/>
    <mergeCell ref="J7082:J7083"/>
    <mergeCell ref="K7082:K7083"/>
    <mergeCell ref="L7082:L7083"/>
    <mergeCell ref="M7082:M7083"/>
    <mergeCell ref="N7082:N7083"/>
    <mergeCell ref="O7082:O7083"/>
    <mergeCell ref="X7082:X7083"/>
    <mergeCell ref="Y7082:Y7083"/>
    <mergeCell ref="Z7082:Z7083"/>
    <mergeCell ref="AA7082:AA7083"/>
    <mergeCell ref="AB7082:AB7083"/>
    <mergeCell ref="A7076:A7077"/>
    <mergeCell ref="E7076:E7077"/>
    <mergeCell ref="H7076:H7077"/>
    <mergeCell ref="I7076:I7077"/>
    <mergeCell ref="J7076:J7077"/>
    <mergeCell ref="K7076:K7077"/>
    <mergeCell ref="L7076:L7077"/>
    <mergeCell ref="M7076:M7077"/>
    <mergeCell ref="N7076:N7077"/>
    <mergeCell ref="O7076:O7077"/>
    <mergeCell ref="X7076:X7077"/>
    <mergeCell ref="Y7076:Y7077"/>
    <mergeCell ref="Z7076:Z7077"/>
    <mergeCell ref="AA7076:AA7077"/>
    <mergeCell ref="AB7076:AB7077"/>
    <mergeCell ref="A7078:A7079"/>
    <mergeCell ref="E7078:E7079"/>
    <mergeCell ref="H7078:H7079"/>
    <mergeCell ref="I7078:I7079"/>
    <mergeCell ref="J7078:J7079"/>
    <mergeCell ref="K7078:K7079"/>
    <mergeCell ref="L7078:L7079"/>
    <mergeCell ref="M7078:M7079"/>
    <mergeCell ref="N7078:N7079"/>
    <mergeCell ref="O7078:O7079"/>
    <mergeCell ref="X7078:X7079"/>
    <mergeCell ref="Y7078:Y7079"/>
    <mergeCell ref="Z7078:Z7079"/>
    <mergeCell ref="AA7078:AA7079"/>
    <mergeCell ref="AB7078:AB7079"/>
    <mergeCell ref="A7072:A7073"/>
    <mergeCell ref="E7072:E7073"/>
    <mergeCell ref="H7072:H7073"/>
    <mergeCell ref="I7072:I7073"/>
    <mergeCell ref="J7072:J7073"/>
    <mergeCell ref="K7072:K7073"/>
    <mergeCell ref="L7072:L7073"/>
    <mergeCell ref="M7072:M7073"/>
    <mergeCell ref="N7072:N7073"/>
    <mergeCell ref="O7072:O7073"/>
    <mergeCell ref="X7072:X7073"/>
    <mergeCell ref="Y7072:Y7073"/>
    <mergeCell ref="Z7072:Z7073"/>
    <mergeCell ref="AA7072:AA7073"/>
    <mergeCell ref="AB7072:AB7073"/>
    <mergeCell ref="A7074:A7075"/>
    <mergeCell ref="E7074:E7075"/>
    <mergeCell ref="H7074:H7075"/>
    <mergeCell ref="I7074:I7075"/>
    <mergeCell ref="J7074:J7075"/>
    <mergeCell ref="K7074:K7075"/>
    <mergeCell ref="L7074:L7075"/>
    <mergeCell ref="M7074:M7075"/>
    <mergeCell ref="N7074:N7075"/>
    <mergeCell ref="O7074:O7075"/>
    <mergeCell ref="X7074:X7075"/>
    <mergeCell ref="Y7074:Y7075"/>
    <mergeCell ref="Z7074:Z7075"/>
    <mergeCell ref="AA7074:AA7075"/>
    <mergeCell ref="AB7074:AB7075"/>
    <mergeCell ref="A7068:A7069"/>
    <mergeCell ref="E7068:E7069"/>
    <mergeCell ref="H7068:H7069"/>
    <mergeCell ref="I7068:I7069"/>
    <mergeCell ref="J7068:J7069"/>
    <mergeCell ref="K7068:K7069"/>
    <mergeCell ref="L7068:L7069"/>
    <mergeCell ref="M7068:M7069"/>
    <mergeCell ref="N7068:N7069"/>
    <mergeCell ref="O7068:O7069"/>
    <mergeCell ref="X7068:X7069"/>
    <mergeCell ref="Y7068:Y7069"/>
    <mergeCell ref="Z7068:Z7069"/>
    <mergeCell ref="AA7068:AA7069"/>
    <mergeCell ref="AB7068:AB7069"/>
    <mergeCell ref="A7070:A7071"/>
    <mergeCell ref="E7070:E7071"/>
    <mergeCell ref="H7070:H7071"/>
    <mergeCell ref="I7070:I7071"/>
    <mergeCell ref="J7070:J7071"/>
    <mergeCell ref="K7070:K7071"/>
    <mergeCell ref="L7070:L7071"/>
    <mergeCell ref="M7070:M7071"/>
    <mergeCell ref="N7070:N7071"/>
    <mergeCell ref="O7070:O7071"/>
    <mergeCell ref="X7070:X7071"/>
    <mergeCell ref="Y7070:Y7071"/>
    <mergeCell ref="Z7070:Z7071"/>
    <mergeCell ref="AA7070:AA7071"/>
    <mergeCell ref="AB7070:AB7071"/>
    <mergeCell ref="A7064:A7065"/>
    <mergeCell ref="E7064:E7065"/>
    <mergeCell ref="H7064:H7065"/>
    <mergeCell ref="I7064:I7065"/>
    <mergeCell ref="J7064:J7065"/>
    <mergeCell ref="K7064:K7065"/>
    <mergeCell ref="L7064:L7065"/>
    <mergeCell ref="M7064:M7065"/>
    <mergeCell ref="N7064:N7065"/>
    <mergeCell ref="O7064:O7065"/>
    <mergeCell ref="X7064:X7065"/>
    <mergeCell ref="Y7064:Y7065"/>
    <mergeCell ref="Z7064:Z7065"/>
    <mergeCell ref="AA7064:AA7065"/>
    <mergeCell ref="AB7064:AB7065"/>
    <mergeCell ref="A7066:A7067"/>
    <mergeCell ref="E7066:E7067"/>
    <mergeCell ref="H7066:H7067"/>
    <mergeCell ref="I7066:I7067"/>
    <mergeCell ref="J7066:J7067"/>
    <mergeCell ref="K7066:K7067"/>
    <mergeCell ref="L7066:L7067"/>
    <mergeCell ref="M7066:M7067"/>
    <mergeCell ref="N7066:N7067"/>
    <mergeCell ref="O7066:O7067"/>
    <mergeCell ref="X7066:X7067"/>
    <mergeCell ref="Y7066:Y7067"/>
    <mergeCell ref="Z7066:Z7067"/>
    <mergeCell ref="AA7066:AA7067"/>
    <mergeCell ref="AB7066:AB7067"/>
    <mergeCell ref="A7060:A7061"/>
    <mergeCell ref="E7060:E7061"/>
    <mergeCell ref="H7060:H7061"/>
    <mergeCell ref="I7060:I7061"/>
    <mergeCell ref="J7060:J7061"/>
    <mergeCell ref="K7060:K7061"/>
    <mergeCell ref="L7060:L7061"/>
    <mergeCell ref="M7060:M7061"/>
    <mergeCell ref="N7060:N7061"/>
    <mergeCell ref="O7060:O7061"/>
    <mergeCell ref="X7060:X7061"/>
    <mergeCell ref="Y7060:Y7061"/>
    <mergeCell ref="Z7060:Z7061"/>
    <mergeCell ref="AA7060:AA7061"/>
    <mergeCell ref="AB7060:AB7061"/>
    <mergeCell ref="A7062:A7063"/>
    <mergeCell ref="E7062:E7063"/>
    <mergeCell ref="H7062:H7063"/>
    <mergeCell ref="I7062:I7063"/>
    <mergeCell ref="J7062:J7063"/>
    <mergeCell ref="K7062:K7063"/>
    <mergeCell ref="L7062:L7063"/>
    <mergeCell ref="M7062:M7063"/>
    <mergeCell ref="N7062:N7063"/>
    <mergeCell ref="O7062:O7063"/>
    <mergeCell ref="X7062:X7063"/>
    <mergeCell ref="Y7062:Y7063"/>
    <mergeCell ref="Z7062:Z7063"/>
    <mergeCell ref="AA7062:AA7063"/>
    <mergeCell ref="AB7062:AB7063"/>
    <mergeCell ref="A7056:A7057"/>
    <mergeCell ref="E7056:E7057"/>
    <mergeCell ref="H7056:H7057"/>
    <mergeCell ref="I7056:I7057"/>
    <mergeCell ref="J7056:J7057"/>
    <mergeCell ref="K7056:K7057"/>
    <mergeCell ref="L7056:L7057"/>
    <mergeCell ref="M7056:M7057"/>
    <mergeCell ref="N7056:N7057"/>
    <mergeCell ref="O7056:O7057"/>
    <mergeCell ref="X7056:X7057"/>
    <mergeCell ref="Y7056:Y7057"/>
    <mergeCell ref="Z7056:Z7057"/>
    <mergeCell ref="AA7056:AA7057"/>
    <mergeCell ref="AB7056:AB7057"/>
    <mergeCell ref="A7058:A7059"/>
    <mergeCell ref="E7058:E7059"/>
    <mergeCell ref="H7058:H7059"/>
    <mergeCell ref="I7058:I7059"/>
    <mergeCell ref="J7058:J7059"/>
    <mergeCell ref="K7058:K7059"/>
    <mergeCell ref="L7058:L7059"/>
    <mergeCell ref="M7058:M7059"/>
    <mergeCell ref="N7058:N7059"/>
    <mergeCell ref="O7058:O7059"/>
    <mergeCell ref="X7058:X7059"/>
    <mergeCell ref="Y7058:Y7059"/>
    <mergeCell ref="Z7058:Z7059"/>
    <mergeCell ref="AA7058:AA7059"/>
    <mergeCell ref="AB7058:AB7059"/>
    <mergeCell ref="A7052:A7053"/>
    <mergeCell ref="E7052:E7053"/>
    <mergeCell ref="H7052:H7053"/>
    <mergeCell ref="I7052:I7053"/>
    <mergeCell ref="J7052:J7053"/>
    <mergeCell ref="K7052:K7053"/>
    <mergeCell ref="L7052:L7053"/>
    <mergeCell ref="M7052:M7053"/>
    <mergeCell ref="N7052:N7053"/>
    <mergeCell ref="O7052:O7053"/>
    <mergeCell ref="X7052:X7053"/>
    <mergeCell ref="Y7052:Y7053"/>
    <mergeCell ref="Z7052:Z7053"/>
    <mergeCell ref="AA7052:AA7053"/>
    <mergeCell ref="AB7052:AB7053"/>
    <mergeCell ref="A7054:A7055"/>
    <mergeCell ref="E7054:E7055"/>
    <mergeCell ref="H7054:H7055"/>
    <mergeCell ref="I7054:I7055"/>
    <mergeCell ref="J7054:J7055"/>
    <mergeCell ref="K7054:K7055"/>
    <mergeCell ref="L7054:L7055"/>
    <mergeCell ref="M7054:M7055"/>
    <mergeCell ref="N7054:N7055"/>
    <mergeCell ref="O7054:O7055"/>
    <mergeCell ref="X7054:X7055"/>
    <mergeCell ref="Y7054:Y7055"/>
    <mergeCell ref="Z7054:Z7055"/>
    <mergeCell ref="AA7054:AA7055"/>
    <mergeCell ref="AB7054:AB7055"/>
    <mergeCell ref="A7048:A7049"/>
    <mergeCell ref="E7048:E7049"/>
    <mergeCell ref="H7048:H7049"/>
    <mergeCell ref="I7048:I7049"/>
    <mergeCell ref="J7048:J7049"/>
    <mergeCell ref="K7048:K7049"/>
    <mergeCell ref="L7048:L7049"/>
    <mergeCell ref="M7048:M7049"/>
    <mergeCell ref="N7048:N7049"/>
    <mergeCell ref="O7048:O7049"/>
    <mergeCell ref="X7048:X7049"/>
    <mergeCell ref="Y7048:Y7049"/>
    <mergeCell ref="Z7048:Z7049"/>
    <mergeCell ref="AA7048:AA7049"/>
    <mergeCell ref="AB7048:AB7049"/>
    <mergeCell ref="A7050:A7051"/>
    <mergeCell ref="E7050:E7051"/>
    <mergeCell ref="H7050:H7051"/>
    <mergeCell ref="I7050:I7051"/>
    <mergeCell ref="J7050:J7051"/>
    <mergeCell ref="K7050:K7051"/>
    <mergeCell ref="L7050:L7051"/>
    <mergeCell ref="M7050:M7051"/>
    <mergeCell ref="N7050:N7051"/>
    <mergeCell ref="O7050:O7051"/>
    <mergeCell ref="X7050:X7051"/>
    <mergeCell ref="Y7050:Y7051"/>
    <mergeCell ref="Z7050:Z7051"/>
    <mergeCell ref="AA7050:AA7051"/>
    <mergeCell ref="AB7050:AB7051"/>
    <mergeCell ref="A7044:A7045"/>
    <mergeCell ref="E7044:E7045"/>
    <mergeCell ref="H7044:H7045"/>
    <mergeCell ref="I7044:I7045"/>
    <mergeCell ref="J7044:J7045"/>
    <mergeCell ref="K7044:K7045"/>
    <mergeCell ref="L7044:L7045"/>
    <mergeCell ref="M7044:M7045"/>
    <mergeCell ref="N7044:N7045"/>
    <mergeCell ref="O7044:O7045"/>
    <mergeCell ref="X7044:X7045"/>
    <mergeCell ref="Y7044:Y7045"/>
    <mergeCell ref="Z7044:Z7045"/>
    <mergeCell ref="AA7044:AA7045"/>
    <mergeCell ref="AB7044:AB7045"/>
    <mergeCell ref="A7046:A7047"/>
    <mergeCell ref="E7046:E7047"/>
    <mergeCell ref="H7046:H7047"/>
    <mergeCell ref="I7046:I7047"/>
    <mergeCell ref="J7046:J7047"/>
    <mergeCell ref="K7046:K7047"/>
    <mergeCell ref="L7046:L7047"/>
    <mergeCell ref="M7046:M7047"/>
    <mergeCell ref="N7046:N7047"/>
    <mergeCell ref="O7046:O7047"/>
    <mergeCell ref="X7046:X7047"/>
    <mergeCell ref="Y7046:Y7047"/>
    <mergeCell ref="Z7046:Z7047"/>
    <mergeCell ref="AA7046:AA7047"/>
    <mergeCell ref="AB7046:AB7047"/>
    <mergeCell ref="A7040:A7041"/>
    <mergeCell ref="E7040:E7041"/>
    <mergeCell ref="H7040:H7041"/>
    <mergeCell ref="I7040:I7041"/>
    <mergeCell ref="J7040:J7041"/>
    <mergeCell ref="K7040:K7041"/>
    <mergeCell ref="L7040:L7041"/>
    <mergeCell ref="M7040:M7041"/>
    <mergeCell ref="N7040:N7041"/>
    <mergeCell ref="O7040:O7041"/>
    <mergeCell ref="X7040:X7041"/>
    <mergeCell ref="Y7040:Y7041"/>
    <mergeCell ref="Z7040:Z7041"/>
    <mergeCell ref="AA7040:AA7041"/>
    <mergeCell ref="AB7040:AB7041"/>
    <mergeCell ref="A7042:A7043"/>
    <mergeCell ref="E7042:E7043"/>
    <mergeCell ref="H7042:H7043"/>
    <mergeCell ref="I7042:I7043"/>
    <mergeCell ref="J7042:J7043"/>
    <mergeCell ref="K7042:K7043"/>
    <mergeCell ref="L7042:L7043"/>
    <mergeCell ref="M7042:M7043"/>
    <mergeCell ref="N7042:N7043"/>
    <mergeCell ref="O7042:O7043"/>
    <mergeCell ref="X7042:X7043"/>
    <mergeCell ref="Y7042:Y7043"/>
    <mergeCell ref="Z7042:Z7043"/>
    <mergeCell ref="AA7042:AA7043"/>
    <mergeCell ref="AB7042:AB7043"/>
    <mergeCell ref="A7036:A7037"/>
    <mergeCell ref="E7036:E7037"/>
    <mergeCell ref="H7036:H7037"/>
    <mergeCell ref="I7036:I7037"/>
    <mergeCell ref="J7036:J7037"/>
    <mergeCell ref="K7036:K7037"/>
    <mergeCell ref="L7036:L7037"/>
    <mergeCell ref="M7036:M7037"/>
    <mergeCell ref="N7036:N7037"/>
    <mergeCell ref="O7036:O7037"/>
    <mergeCell ref="X7036:X7037"/>
    <mergeCell ref="Y7036:Y7037"/>
    <mergeCell ref="Z7036:Z7037"/>
    <mergeCell ref="AA7036:AA7037"/>
    <mergeCell ref="AB7036:AB7037"/>
    <mergeCell ref="A7038:A7039"/>
    <mergeCell ref="E7038:E7039"/>
    <mergeCell ref="H7038:H7039"/>
    <mergeCell ref="I7038:I7039"/>
    <mergeCell ref="J7038:J7039"/>
    <mergeCell ref="K7038:K7039"/>
    <mergeCell ref="L7038:L7039"/>
    <mergeCell ref="M7038:M7039"/>
    <mergeCell ref="N7038:N7039"/>
    <mergeCell ref="O7038:O7039"/>
    <mergeCell ref="X7038:X7039"/>
    <mergeCell ref="Y7038:Y7039"/>
    <mergeCell ref="Z7038:Z7039"/>
    <mergeCell ref="AA7038:AA7039"/>
    <mergeCell ref="AB7038:AB7039"/>
    <mergeCell ref="A7032:A7033"/>
    <mergeCell ref="E7032:E7033"/>
    <mergeCell ref="H7032:H7033"/>
    <mergeCell ref="I7032:I7033"/>
    <mergeCell ref="J7032:J7033"/>
    <mergeCell ref="K7032:K7033"/>
    <mergeCell ref="L7032:L7033"/>
    <mergeCell ref="M7032:M7033"/>
    <mergeCell ref="N7032:N7033"/>
    <mergeCell ref="O7032:O7033"/>
    <mergeCell ref="X7032:X7033"/>
    <mergeCell ref="Y7032:Y7033"/>
    <mergeCell ref="Z7032:Z7033"/>
    <mergeCell ref="AA7032:AA7033"/>
    <mergeCell ref="AB7032:AB7033"/>
    <mergeCell ref="A7034:A7035"/>
    <mergeCell ref="E7034:E7035"/>
    <mergeCell ref="H7034:H7035"/>
    <mergeCell ref="I7034:I7035"/>
    <mergeCell ref="J7034:J7035"/>
    <mergeCell ref="K7034:K7035"/>
    <mergeCell ref="L7034:L7035"/>
    <mergeCell ref="M7034:M7035"/>
    <mergeCell ref="N7034:N7035"/>
    <mergeCell ref="O7034:O7035"/>
    <mergeCell ref="X7034:X7035"/>
    <mergeCell ref="Y7034:Y7035"/>
    <mergeCell ref="Z7034:Z7035"/>
    <mergeCell ref="AA7034:AA7035"/>
    <mergeCell ref="AB7034:AB7035"/>
    <mergeCell ref="A7028:A7029"/>
    <mergeCell ref="E7028:E7029"/>
    <mergeCell ref="H7028:H7029"/>
    <mergeCell ref="I7028:I7029"/>
    <mergeCell ref="J7028:J7029"/>
    <mergeCell ref="K7028:K7029"/>
    <mergeCell ref="L7028:L7029"/>
    <mergeCell ref="M7028:M7029"/>
    <mergeCell ref="N7028:N7029"/>
    <mergeCell ref="O7028:O7029"/>
    <mergeCell ref="X7028:X7029"/>
    <mergeCell ref="Y7028:Y7029"/>
    <mergeCell ref="Z7028:Z7029"/>
    <mergeCell ref="AA7028:AA7029"/>
    <mergeCell ref="AB7028:AB7029"/>
    <mergeCell ref="A7030:A7031"/>
    <mergeCell ref="E7030:E7031"/>
    <mergeCell ref="H7030:H7031"/>
    <mergeCell ref="I7030:I7031"/>
    <mergeCell ref="J7030:J7031"/>
    <mergeCell ref="K7030:K7031"/>
    <mergeCell ref="L7030:L7031"/>
    <mergeCell ref="M7030:M7031"/>
    <mergeCell ref="N7030:N7031"/>
    <mergeCell ref="O7030:O7031"/>
    <mergeCell ref="X7030:X7031"/>
    <mergeCell ref="Y7030:Y7031"/>
    <mergeCell ref="Z7030:Z7031"/>
    <mergeCell ref="AA7030:AA7031"/>
    <mergeCell ref="AB7030:AB7031"/>
    <mergeCell ref="A7024:A7025"/>
    <mergeCell ref="E7024:E7025"/>
    <mergeCell ref="H7024:H7025"/>
    <mergeCell ref="I7024:I7025"/>
    <mergeCell ref="J7024:J7025"/>
    <mergeCell ref="K7024:K7025"/>
    <mergeCell ref="L7024:L7025"/>
    <mergeCell ref="M7024:M7025"/>
    <mergeCell ref="N7024:N7025"/>
    <mergeCell ref="O7024:O7025"/>
    <mergeCell ref="X7024:X7025"/>
    <mergeCell ref="Y7024:Y7025"/>
    <mergeCell ref="Z7024:Z7025"/>
    <mergeCell ref="AA7024:AA7025"/>
    <mergeCell ref="AB7024:AB7025"/>
    <mergeCell ref="A7026:A7027"/>
    <mergeCell ref="E7026:E7027"/>
    <mergeCell ref="H7026:H7027"/>
    <mergeCell ref="I7026:I7027"/>
    <mergeCell ref="J7026:J7027"/>
    <mergeCell ref="K7026:K7027"/>
    <mergeCell ref="L7026:L7027"/>
    <mergeCell ref="M7026:M7027"/>
    <mergeCell ref="N7026:N7027"/>
    <mergeCell ref="O7026:O7027"/>
    <mergeCell ref="X7026:X7027"/>
    <mergeCell ref="Y7026:Y7027"/>
    <mergeCell ref="Z7026:Z7027"/>
    <mergeCell ref="AA7026:AA7027"/>
    <mergeCell ref="AB7026:AB7027"/>
    <mergeCell ref="A7020:A7021"/>
    <mergeCell ref="E7020:E7021"/>
    <mergeCell ref="H7020:H7021"/>
    <mergeCell ref="I7020:I7021"/>
    <mergeCell ref="J7020:J7021"/>
    <mergeCell ref="K7020:K7021"/>
    <mergeCell ref="L7020:L7021"/>
    <mergeCell ref="M7020:M7021"/>
    <mergeCell ref="N7020:N7021"/>
    <mergeCell ref="O7020:O7021"/>
    <mergeCell ref="X7020:X7021"/>
    <mergeCell ref="Y7020:Y7021"/>
    <mergeCell ref="Z7020:Z7021"/>
    <mergeCell ref="AA7020:AA7021"/>
    <mergeCell ref="AB7020:AB7021"/>
    <mergeCell ref="A7022:A7023"/>
    <mergeCell ref="E7022:E7023"/>
    <mergeCell ref="H7022:H7023"/>
    <mergeCell ref="I7022:I7023"/>
    <mergeCell ref="J7022:J7023"/>
    <mergeCell ref="K7022:K7023"/>
    <mergeCell ref="L7022:L7023"/>
    <mergeCell ref="M7022:M7023"/>
    <mergeCell ref="N7022:N7023"/>
    <mergeCell ref="O7022:O7023"/>
    <mergeCell ref="X7022:X7023"/>
    <mergeCell ref="Y7022:Y7023"/>
    <mergeCell ref="Z7022:Z7023"/>
    <mergeCell ref="AA7022:AA7023"/>
    <mergeCell ref="AB7022:AB7023"/>
    <mergeCell ref="A7016:A7017"/>
    <mergeCell ref="E7016:E7017"/>
    <mergeCell ref="H7016:H7017"/>
    <mergeCell ref="I7016:I7017"/>
    <mergeCell ref="J7016:J7017"/>
    <mergeCell ref="K7016:K7017"/>
    <mergeCell ref="L7016:L7017"/>
    <mergeCell ref="M7016:M7017"/>
    <mergeCell ref="N7016:N7017"/>
    <mergeCell ref="O7016:O7017"/>
    <mergeCell ref="X7016:X7017"/>
    <mergeCell ref="Y7016:Y7017"/>
    <mergeCell ref="Z7016:Z7017"/>
    <mergeCell ref="AA7016:AA7017"/>
    <mergeCell ref="AB7016:AB7017"/>
    <mergeCell ref="A7018:A7019"/>
    <mergeCell ref="E7018:E7019"/>
    <mergeCell ref="H7018:H7019"/>
    <mergeCell ref="I7018:I7019"/>
    <mergeCell ref="J7018:J7019"/>
    <mergeCell ref="K7018:K7019"/>
    <mergeCell ref="L7018:L7019"/>
    <mergeCell ref="M7018:M7019"/>
    <mergeCell ref="N7018:N7019"/>
    <mergeCell ref="O7018:O7019"/>
    <mergeCell ref="X7018:X7019"/>
    <mergeCell ref="Y7018:Y7019"/>
    <mergeCell ref="Z7018:Z7019"/>
    <mergeCell ref="AA7018:AA7019"/>
    <mergeCell ref="AB7018:AB7019"/>
    <mergeCell ref="A7012:A7013"/>
    <mergeCell ref="E7012:E7013"/>
    <mergeCell ref="H7012:H7013"/>
    <mergeCell ref="I7012:I7013"/>
    <mergeCell ref="J7012:J7013"/>
    <mergeCell ref="K7012:K7013"/>
    <mergeCell ref="L7012:L7013"/>
    <mergeCell ref="M7012:M7013"/>
    <mergeCell ref="N7012:N7013"/>
    <mergeCell ref="O7012:O7013"/>
    <mergeCell ref="X7012:X7013"/>
    <mergeCell ref="Y7012:Y7013"/>
    <mergeCell ref="Z7012:Z7013"/>
    <mergeCell ref="AA7012:AA7013"/>
    <mergeCell ref="AB7012:AB7013"/>
    <mergeCell ref="A7014:A7015"/>
    <mergeCell ref="E7014:E7015"/>
    <mergeCell ref="H7014:H7015"/>
    <mergeCell ref="I7014:I7015"/>
    <mergeCell ref="J7014:J7015"/>
    <mergeCell ref="K7014:K7015"/>
    <mergeCell ref="L7014:L7015"/>
    <mergeCell ref="M7014:M7015"/>
    <mergeCell ref="N7014:N7015"/>
    <mergeCell ref="O7014:O7015"/>
    <mergeCell ref="X7014:X7015"/>
    <mergeCell ref="Y7014:Y7015"/>
    <mergeCell ref="Z7014:Z7015"/>
    <mergeCell ref="AA7014:AA7015"/>
    <mergeCell ref="AB7014:AB7015"/>
    <mergeCell ref="A7008:A7009"/>
    <mergeCell ref="E7008:E7009"/>
    <mergeCell ref="H7008:H7009"/>
    <mergeCell ref="I7008:I7009"/>
    <mergeCell ref="J7008:J7009"/>
    <mergeCell ref="K7008:K7009"/>
    <mergeCell ref="L7008:L7009"/>
    <mergeCell ref="M7008:M7009"/>
    <mergeCell ref="N7008:N7009"/>
    <mergeCell ref="O7008:O7009"/>
    <mergeCell ref="X7008:X7009"/>
    <mergeCell ref="Y7008:Y7009"/>
    <mergeCell ref="Z7008:Z7009"/>
    <mergeCell ref="AA7008:AA7009"/>
    <mergeCell ref="AB7008:AB7009"/>
    <mergeCell ref="A7010:A7011"/>
    <mergeCell ref="E7010:E7011"/>
    <mergeCell ref="H7010:H7011"/>
    <mergeCell ref="I7010:I7011"/>
    <mergeCell ref="J7010:J7011"/>
    <mergeCell ref="K7010:K7011"/>
    <mergeCell ref="L7010:L7011"/>
    <mergeCell ref="M7010:M7011"/>
    <mergeCell ref="N7010:N7011"/>
    <mergeCell ref="O7010:O7011"/>
    <mergeCell ref="X7010:X7011"/>
    <mergeCell ref="Y7010:Y7011"/>
    <mergeCell ref="Z7010:Z7011"/>
    <mergeCell ref="AA7010:AA7011"/>
    <mergeCell ref="AB7010:AB7011"/>
    <mergeCell ref="A7004:A7005"/>
    <mergeCell ref="E7004:E7005"/>
    <mergeCell ref="H7004:H7005"/>
    <mergeCell ref="I7004:I7005"/>
    <mergeCell ref="J7004:J7005"/>
    <mergeCell ref="K7004:K7005"/>
    <mergeCell ref="L7004:L7005"/>
    <mergeCell ref="M7004:M7005"/>
    <mergeCell ref="N7004:N7005"/>
    <mergeCell ref="O7004:O7005"/>
    <mergeCell ref="X7004:X7005"/>
    <mergeCell ref="Y7004:Y7005"/>
    <mergeCell ref="Z7004:Z7005"/>
    <mergeCell ref="AA7004:AA7005"/>
    <mergeCell ref="AB7004:AB7005"/>
    <mergeCell ref="A7006:A7007"/>
    <mergeCell ref="E7006:E7007"/>
    <mergeCell ref="H7006:H7007"/>
    <mergeCell ref="I7006:I7007"/>
    <mergeCell ref="J7006:J7007"/>
    <mergeCell ref="K7006:K7007"/>
    <mergeCell ref="L7006:L7007"/>
    <mergeCell ref="M7006:M7007"/>
    <mergeCell ref="N7006:N7007"/>
    <mergeCell ref="O7006:O7007"/>
    <mergeCell ref="X7006:X7007"/>
    <mergeCell ref="Y7006:Y7007"/>
    <mergeCell ref="Z7006:Z7007"/>
    <mergeCell ref="AA7006:AA7007"/>
    <mergeCell ref="AB7006:AB7007"/>
    <mergeCell ref="A7000:A7001"/>
    <mergeCell ref="E7000:E7001"/>
    <mergeCell ref="H7000:H7001"/>
    <mergeCell ref="I7000:I7001"/>
    <mergeCell ref="J7000:J7001"/>
    <mergeCell ref="K7000:K7001"/>
    <mergeCell ref="L7000:L7001"/>
    <mergeCell ref="M7000:M7001"/>
    <mergeCell ref="N7000:N7001"/>
    <mergeCell ref="O7000:O7001"/>
    <mergeCell ref="X7000:X7001"/>
    <mergeCell ref="Y7000:Y7001"/>
    <mergeCell ref="Z7000:Z7001"/>
    <mergeCell ref="AA7000:AA7001"/>
    <mergeCell ref="AB7000:AB7001"/>
    <mergeCell ref="A7002:A7003"/>
    <mergeCell ref="E7002:E7003"/>
    <mergeCell ref="H7002:H7003"/>
    <mergeCell ref="I7002:I7003"/>
    <mergeCell ref="J7002:J7003"/>
    <mergeCell ref="K7002:K7003"/>
    <mergeCell ref="L7002:L7003"/>
    <mergeCell ref="M7002:M7003"/>
    <mergeCell ref="N7002:N7003"/>
    <mergeCell ref="O7002:O7003"/>
    <mergeCell ref="X7002:X7003"/>
    <mergeCell ref="Y7002:Y7003"/>
    <mergeCell ref="Z7002:Z7003"/>
    <mergeCell ref="AA7002:AA7003"/>
    <mergeCell ref="AB7002:AB7003"/>
    <mergeCell ref="A6996:A6997"/>
    <mergeCell ref="E6996:E6997"/>
    <mergeCell ref="H6996:H6997"/>
    <mergeCell ref="I6996:I6997"/>
    <mergeCell ref="J6996:J6997"/>
    <mergeCell ref="K6996:K6997"/>
    <mergeCell ref="L6996:L6997"/>
    <mergeCell ref="M6996:M6997"/>
    <mergeCell ref="N6996:N6997"/>
    <mergeCell ref="O6996:O6997"/>
    <mergeCell ref="X6996:X6997"/>
    <mergeCell ref="Y6996:Y6997"/>
    <mergeCell ref="Z6996:Z6997"/>
    <mergeCell ref="AA6996:AA6997"/>
    <mergeCell ref="AB6996:AB6997"/>
    <mergeCell ref="A6998:A6999"/>
    <mergeCell ref="E6998:E6999"/>
    <mergeCell ref="H6998:H6999"/>
    <mergeCell ref="I6998:I6999"/>
    <mergeCell ref="J6998:J6999"/>
    <mergeCell ref="K6998:K6999"/>
    <mergeCell ref="L6998:L6999"/>
    <mergeCell ref="M6998:M6999"/>
    <mergeCell ref="N6998:N6999"/>
    <mergeCell ref="O6998:O6999"/>
    <mergeCell ref="X6998:X6999"/>
    <mergeCell ref="Y6998:Y6999"/>
    <mergeCell ref="Z6998:Z6999"/>
    <mergeCell ref="AA6998:AA6999"/>
    <mergeCell ref="AB6998:AB6999"/>
    <mergeCell ref="A6992:A6993"/>
    <mergeCell ref="E6992:E6993"/>
    <mergeCell ref="H6992:H6993"/>
    <mergeCell ref="I6992:I6993"/>
    <mergeCell ref="J6992:J6993"/>
    <mergeCell ref="K6992:K6993"/>
    <mergeCell ref="L6992:L6993"/>
    <mergeCell ref="M6992:M6993"/>
    <mergeCell ref="N6992:N6993"/>
    <mergeCell ref="O6992:O6993"/>
    <mergeCell ref="X6992:X6993"/>
    <mergeCell ref="Y6992:Y6993"/>
    <mergeCell ref="Z6992:Z6993"/>
    <mergeCell ref="AA6992:AA6993"/>
    <mergeCell ref="AB6992:AB6993"/>
    <mergeCell ref="A6994:A6995"/>
    <mergeCell ref="E6994:E6995"/>
    <mergeCell ref="H6994:H6995"/>
    <mergeCell ref="I6994:I6995"/>
    <mergeCell ref="J6994:J6995"/>
    <mergeCell ref="K6994:K6995"/>
    <mergeCell ref="L6994:L6995"/>
    <mergeCell ref="M6994:M6995"/>
    <mergeCell ref="N6994:N6995"/>
    <mergeCell ref="O6994:O6995"/>
    <mergeCell ref="X6994:X6995"/>
    <mergeCell ref="Y6994:Y6995"/>
    <mergeCell ref="Z6994:Z6995"/>
    <mergeCell ref="AA6994:AA6995"/>
    <mergeCell ref="AB6994:AB6995"/>
    <mergeCell ref="A6988:A6989"/>
    <mergeCell ref="E6988:E6989"/>
    <mergeCell ref="H6988:H6989"/>
    <mergeCell ref="I6988:I6989"/>
    <mergeCell ref="J6988:J6989"/>
    <mergeCell ref="K6988:K6989"/>
    <mergeCell ref="L6988:L6989"/>
    <mergeCell ref="M6988:M6989"/>
    <mergeCell ref="N6988:N6989"/>
    <mergeCell ref="O6988:O6989"/>
    <mergeCell ref="X6988:X6989"/>
    <mergeCell ref="Y6988:Y6989"/>
    <mergeCell ref="Z6988:Z6989"/>
    <mergeCell ref="AA6988:AA6989"/>
    <mergeCell ref="AB6988:AB6989"/>
    <mergeCell ref="A6990:A6991"/>
    <mergeCell ref="E6990:E6991"/>
    <mergeCell ref="H6990:H6991"/>
    <mergeCell ref="I6990:I6991"/>
    <mergeCell ref="J6990:J6991"/>
    <mergeCell ref="K6990:K6991"/>
    <mergeCell ref="L6990:L6991"/>
    <mergeCell ref="M6990:M6991"/>
    <mergeCell ref="N6990:N6991"/>
    <mergeCell ref="O6990:O6991"/>
    <mergeCell ref="X6990:X6991"/>
    <mergeCell ref="Y6990:Y6991"/>
    <mergeCell ref="Z6990:Z6991"/>
    <mergeCell ref="AA6990:AA6991"/>
    <mergeCell ref="AB6990:AB6991"/>
    <mergeCell ref="A6984:A6985"/>
    <mergeCell ref="E6984:E6985"/>
    <mergeCell ref="H6984:H6985"/>
    <mergeCell ref="I6984:I6985"/>
    <mergeCell ref="J6984:J6985"/>
    <mergeCell ref="K6984:K6985"/>
    <mergeCell ref="L6984:L6985"/>
    <mergeCell ref="M6984:M6985"/>
    <mergeCell ref="N6984:N6985"/>
    <mergeCell ref="O6984:O6985"/>
    <mergeCell ref="X6984:X6985"/>
    <mergeCell ref="Y6984:Y6985"/>
    <mergeCell ref="Z6984:Z6985"/>
    <mergeCell ref="AA6984:AA6985"/>
    <mergeCell ref="AB6984:AB6985"/>
    <mergeCell ref="A6986:A6987"/>
    <mergeCell ref="E6986:E6987"/>
    <mergeCell ref="H6986:H6987"/>
    <mergeCell ref="I6986:I6987"/>
    <mergeCell ref="J6986:J6987"/>
    <mergeCell ref="K6986:K6987"/>
    <mergeCell ref="L6986:L6987"/>
    <mergeCell ref="M6986:M6987"/>
    <mergeCell ref="N6986:N6987"/>
    <mergeCell ref="O6986:O6987"/>
    <mergeCell ref="X6986:X6987"/>
    <mergeCell ref="Y6986:Y6987"/>
    <mergeCell ref="Z6986:Z6987"/>
    <mergeCell ref="AA6986:AA6987"/>
    <mergeCell ref="AB6986:AB6987"/>
    <mergeCell ref="A6980:A6981"/>
    <mergeCell ref="E6980:E6981"/>
    <mergeCell ref="H6980:H6981"/>
    <mergeCell ref="I6980:I6981"/>
    <mergeCell ref="J6980:J6981"/>
    <mergeCell ref="K6980:K6981"/>
    <mergeCell ref="L6980:L6981"/>
    <mergeCell ref="M6980:M6981"/>
    <mergeCell ref="N6980:N6981"/>
    <mergeCell ref="O6980:O6981"/>
    <mergeCell ref="X6980:X6981"/>
    <mergeCell ref="Y6980:Y6981"/>
    <mergeCell ref="Z6980:Z6981"/>
    <mergeCell ref="AA6980:AA6981"/>
    <mergeCell ref="AB6980:AB6981"/>
    <mergeCell ref="A6982:A6983"/>
    <mergeCell ref="E6982:E6983"/>
    <mergeCell ref="H6982:H6983"/>
    <mergeCell ref="I6982:I6983"/>
    <mergeCell ref="J6982:J6983"/>
    <mergeCell ref="K6982:K6983"/>
    <mergeCell ref="L6982:L6983"/>
    <mergeCell ref="M6982:M6983"/>
    <mergeCell ref="N6982:N6983"/>
    <mergeCell ref="O6982:O6983"/>
    <mergeCell ref="X6982:X6983"/>
    <mergeCell ref="Y6982:Y6983"/>
    <mergeCell ref="Z6982:Z6983"/>
    <mergeCell ref="AA6982:AA6983"/>
    <mergeCell ref="AB6982:AB6983"/>
    <mergeCell ref="A6976:A6977"/>
    <mergeCell ref="E6976:E6977"/>
    <mergeCell ref="H6976:H6977"/>
    <mergeCell ref="I6976:I6977"/>
    <mergeCell ref="J6976:J6977"/>
    <mergeCell ref="K6976:K6977"/>
    <mergeCell ref="L6976:L6977"/>
    <mergeCell ref="M6976:M6977"/>
    <mergeCell ref="N6976:N6977"/>
    <mergeCell ref="O6976:O6977"/>
    <mergeCell ref="X6976:X6977"/>
    <mergeCell ref="Y6976:Y6977"/>
    <mergeCell ref="Z6976:Z6977"/>
    <mergeCell ref="AA6976:AA6977"/>
    <mergeCell ref="AB6976:AB6977"/>
    <mergeCell ref="A6978:A6979"/>
    <mergeCell ref="E6978:E6979"/>
    <mergeCell ref="H6978:H6979"/>
    <mergeCell ref="I6978:I6979"/>
    <mergeCell ref="J6978:J6979"/>
    <mergeCell ref="K6978:K6979"/>
    <mergeCell ref="L6978:L6979"/>
    <mergeCell ref="M6978:M6979"/>
    <mergeCell ref="N6978:N6979"/>
    <mergeCell ref="O6978:O6979"/>
    <mergeCell ref="X6978:X6979"/>
    <mergeCell ref="Y6978:Y6979"/>
    <mergeCell ref="Z6978:Z6979"/>
    <mergeCell ref="AA6978:AA6979"/>
    <mergeCell ref="AB6978:AB6979"/>
    <mergeCell ref="A6972:A6973"/>
    <mergeCell ref="E6972:E6973"/>
    <mergeCell ref="H6972:H6973"/>
    <mergeCell ref="I6972:I6973"/>
    <mergeCell ref="J6972:J6973"/>
    <mergeCell ref="K6972:K6973"/>
    <mergeCell ref="L6972:L6973"/>
    <mergeCell ref="M6972:M6973"/>
    <mergeCell ref="N6972:N6973"/>
    <mergeCell ref="O6972:O6973"/>
    <mergeCell ref="X6972:X6973"/>
    <mergeCell ref="Y6972:Y6973"/>
    <mergeCell ref="Z6972:Z6973"/>
    <mergeCell ref="AA6972:AA6973"/>
    <mergeCell ref="AB6972:AB6973"/>
    <mergeCell ref="A6974:A6975"/>
    <mergeCell ref="E6974:E6975"/>
    <mergeCell ref="H6974:H6975"/>
    <mergeCell ref="I6974:I6975"/>
    <mergeCell ref="J6974:J6975"/>
    <mergeCell ref="K6974:K6975"/>
    <mergeCell ref="L6974:L6975"/>
    <mergeCell ref="M6974:M6975"/>
    <mergeCell ref="N6974:N6975"/>
    <mergeCell ref="O6974:O6975"/>
    <mergeCell ref="X6974:X6975"/>
    <mergeCell ref="Y6974:Y6975"/>
    <mergeCell ref="Z6974:Z6975"/>
    <mergeCell ref="AA6974:AA6975"/>
    <mergeCell ref="AB6974:AB6975"/>
    <mergeCell ref="A6968:A6969"/>
    <mergeCell ref="E6968:E6969"/>
    <mergeCell ref="H6968:H6969"/>
    <mergeCell ref="I6968:I6969"/>
    <mergeCell ref="J6968:J6969"/>
    <mergeCell ref="K6968:K6969"/>
    <mergeCell ref="L6968:L6969"/>
    <mergeCell ref="M6968:M6969"/>
    <mergeCell ref="N6968:N6969"/>
    <mergeCell ref="O6968:O6969"/>
    <mergeCell ref="X6968:X6969"/>
    <mergeCell ref="Y6968:Y6969"/>
    <mergeCell ref="Z6968:Z6969"/>
    <mergeCell ref="AA6968:AA6969"/>
    <mergeCell ref="AB6968:AB6969"/>
    <mergeCell ref="A6970:A6971"/>
    <mergeCell ref="E6970:E6971"/>
    <mergeCell ref="H6970:H6971"/>
    <mergeCell ref="I6970:I6971"/>
    <mergeCell ref="J6970:J6971"/>
    <mergeCell ref="K6970:K6971"/>
    <mergeCell ref="L6970:L6971"/>
    <mergeCell ref="M6970:M6971"/>
    <mergeCell ref="N6970:N6971"/>
    <mergeCell ref="O6970:O6971"/>
    <mergeCell ref="X6970:X6971"/>
    <mergeCell ref="Y6970:Y6971"/>
    <mergeCell ref="Z6970:Z6971"/>
    <mergeCell ref="AA6970:AA6971"/>
    <mergeCell ref="AB6970:AB6971"/>
    <mergeCell ref="A6964:A6965"/>
    <mergeCell ref="E6964:E6965"/>
    <mergeCell ref="H6964:H6965"/>
    <mergeCell ref="I6964:I6965"/>
    <mergeCell ref="J6964:J6965"/>
    <mergeCell ref="K6964:K6965"/>
    <mergeCell ref="L6964:L6965"/>
    <mergeCell ref="M6964:M6965"/>
    <mergeCell ref="N6964:N6965"/>
    <mergeCell ref="O6964:O6965"/>
    <mergeCell ref="X6964:X6965"/>
    <mergeCell ref="Y6964:Y6965"/>
    <mergeCell ref="Z6964:Z6965"/>
    <mergeCell ref="AA6964:AA6965"/>
    <mergeCell ref="AB6964:AB6965"/>
    <mergeCell ref="A6966:A6967"/>
    <mergeCell ref="E6966:E6967"/>
    <mergeCell ref="H6966:H6967"/>
    <mergeCell ref="I6966:I6967"/>
    <mergeCell ref="J6966:J6967"/>
    <mergeCell ref="K6966:K6967"/>
    <mergeCell ref="L6966:L6967"/>
    <mergeCell ref="M6966:M6967"/>
    <mergeCell ref="N6966:N6967"/>
    <mergeCell ref="O6966:O6967"/>
    <mergeCell ref="X6966:X6967"/>
    <mergeCell ref="Y6966:Y6967"/>
    <mergeCell ref="Z6966:Z6967"/>
    <mergeCell ref="AA6966:AA6967"/>
    <mergeCell ref="AB6966:AB6967"/>
    <mergeCell ref="A6960:A6961"/>
    <mergeCell ref="E6960:E6961"/>
    <mergeCell ref="H6960:H6961"/>
    <mergeCell ref="I6960:I6961"/>
    <mergeCell ref="J6960:J6961"/>
    <mergeCell ref="K6960:K6961"/>
    <mergeCell ref="L6960:L6961"/>
    <mergeCell ref="M6960:M6961"/>
    <mergeCell ref="N6960:N6961"/>
    <mergeCell ref="O6960:O6961"/>
    <mergeCell ref="X6960:X6961"/>
    <mergeCell ref="Y6960:Y6961"/>
    <mergeCell ref="Z6960:Z6961"/>
    <mergeCell ref="AA6960:AA6961"/>
    <mergeCell ref="AB6960:AB6961"/>
    <mergeCell ref="A6962:A6963"/>
    <mergeCell ref="E6962:E6963"/>
    <mergeCell ref="H6962:H6963"/>
    <mergeCell ref="I6962:I6963"/>
    <mergeCell ref="J6962:J6963"/>
    <mergeCell ref="K6962:K6963"/>
    <mergeCell ref="L6962:L6963"/>
    <mergeCell ref="M6962:M6963"/>
    <mergeCell ref="N6962:N6963"/>
    <mergeCell ref="O6962:O6963"/>
    <mergeCell ref="X6962:X6963"/>
    <mergeCell ref="Y6962:Y6963"/>
    <mergeCell ref="Z6962:Z6963"/>
    <mergeCell ref="AA6962:AA6963"/>
    <mergeCell ref="AB6962:AB6963"/>
    <mergeCell ref="A6956:A6957"/>
    <mergeCell ref="E6956:E6957"/>
    <mergeCell ref="H6956:H6957"/>
    <mergeCell ref="I6956:I6957"/>
    <mergeCell ref="J6956:J6957"/>
    <mergeCell ref="K6956:K6957"/>
    <mergeCell ref="L6956:L6957"/>
    <mergeCell ref="M6956:M6957"/>
    <mergeCell ref="N6956:N6957"/>
    <mergeCell ref="O6956:O6957"/>
    <mergeCell ref="X6956:X6957"/>
    <mergeCell ref="Y6956:Y6957"/>
    <mergeCell ref="Z6956:Z6957"/>
    <mergeCell ref="AA6956:AA6957"/>
    <mergeCell ref="AB6956:AB6957"/>
    <mergeCell ref="A6958:A6959"/>
    <mergeCell ref="E6958:E6959"/>
    <mergeCell ref="H6958:H6959"/>
    <mergeCell ref="I6958:I6959"/>
    <mergeCell ref="J6958:J6959"/>
    <mergeCell ref="K6958:K6959"/>
    <mergeCell ref="L6958:L6959"/>
    <mergeCell ref="M6958:M6959"/>
    <mergeCell ref="N6958:N6959"/>
    <mergeCell ref="O6958:O6959"/>
    <mergeCell ref="X6958:X6959"/>
    <mergeCell ref="Y6958:Y6959"/>
    <mergeCell ref="Z6958:Z6959"/>
    <mergeCell ref="AA6958:AA6959"/>
    <mergeCell ref="AB6958:AB6959"/>
    <mergeCell ref="A6952:A6953"/>
    <mergeCell ref="E6952:E6953"/>
    <mergeCell ref="H6952:H6953"/>
    <mergeCell ref="I6952:I6953"/>
    <mergeCell ref="J6952:J6953"/>
    <mergeCell ref="K6952:K6953"/>
    <mergeCell ref="L6952:L6953"/>
    <mergeCell ref="M6952:M6953"/>
    <mergeCell ref="N6952:N6953"/>
    <mergeCell ref="O6952:O6953"/>
    <mergeCell ref="X6952:X6953"/>
    <mergeCell ref="Y6952:Y6953"/>
    <mergeCell ref="Z6952:Z6953"/>
    <mergeCell ref="AA6952:AA6953"/>
    <mergeCell ref="AB6952:AB6953"/>
    <mergeCell ref="A6954:A6955"/>
    <mergeCell ref="E6954:E6955"/>
    <mergeCell ref="H6954:H6955"/>
    <mergeCell ref="I6954:I6955"/>
    <mergeCell ref="J6954:J6955"/>
    <mergeCell ref="K6954:K6955"/>
    <mergeCell ref="L6954:L6955"/>
    <mergeCell ref="M6954:M6955"/>
    <mergeCell ref="N6954:N6955"/>
    <mergeCell ref="O6954:O6955"/>
    <mergeCell ref="X6954:X6955"/>
    <mergeCell ref="Y6954:Y6955"/>
    <mergeCell ref="Z6954:Z6955"/>
    <mergeCell ref="AA6954:AA6955"/>
    <mergeCell ref="AB6954:AB6955"/>
    <mergeCell ref="A6948:A6949"/>
    <mergeCell ref="E6948:E6949"/>
    <mergeCell ref="H6948:H6949"/>
    <mergeCell ref="I6948:I6949"/>
    <mergeCell ref="J6948:J6949"/>
    <mergeCell ref="K6948:K6949"/>
    <mergeCell ref="L6948:L6949"/>
    <mergeCell ref="M6948:M6949"/>
    <mergeCell ref="N6948:N6949"/>
    <mergeCell ref="O6948:O6949"/>
    <mergeCell ref="X6948:X6949"/>
    <mergeCell ref="Y6948:Y6949"/>
    <mergeCell ref="Z6948:Z6949"/>
    <mergeCell ref="AA6948:AA6949"/>
    <mergeCell ref="AB6948:AB6949"/>
    <mergeCell ref="A6950:A6951"/>
    <mergeCell ref="E6950:E6951"/>
    <mergeCell ref="H6950:H6951"/>
    <mergeCell ref="I6950:I6951"/>
    <mergeCell ref="J6950:J6951"/>
    <mergeCell ref="K6950:K6951"/>
    <mergeCell ref="L6950:L6951"/>
    <mergeCell ref="M6950:M6951"/>
    <mergeCell ref="N6950:N6951"/>
    <mergeCell ref="O6950:O6951"/>
    <mergeCell ref="X6950:X6951"/>
    <mergeCell ref="Y6950:Y6951"/>
    <mergeCell ref="Z6950:Z6951"/>
    <mergeCell ref="AA6950:AA6951"/>
    <mergeCell ref="AB6950:AB6951"/>
    <mergeCell ref="A6944:A6945"/>
    <mergeCell ref="E6944:E6945"/>
    <mergeCell ref="H6944:H6945"/>
    <mergeCell ref="I6944:I6945"/>
    <mergeCell ref="J6944:J6945"/>
    <mergeCell ref="K6944:K6945"/>
    <mergeCell ref="L6944:L6945"/>
    <mergeCell ref="M6944:M6945"/>
    <mergeCell ref="N6944:N6945"/>
    <mergeCell ref="O6944:O6945"/>
    <mergeCell ref="X6944:X6945"/>
    <mergeCell ref="Y6944:Y6945"/>
    <mergeCell ref="Z6944:Z6945"/>
    <mergeCell ref="AA6944:AA6945"/>
    <mergeCell ref="AB6944:AB6945"/>
    <mergeCell ref="A6946:A6947"/>
    <mergeCell ref="E6946:E6947"/>
    <mergeCell ref="H6946:H6947"/>
    <mergeCell ref="I6946:I6947"/>
    <mergeCell ref="J6946:J6947"/>
    <mergeCell ref="K6946:K6947"/>
    <mergeCell ref="L6946:L6947"/>
    <mergeCell ref="M6946:M6947"/>
    <mergeCell ref="N6946:N6947"/>
    <mergeCell ref="O6946:O6947"/>
    <mergeCell ref="X6946:X6947"/>
    <mergeCell ref="Y6946:Y6947"/>
    <mergeCell ref="Z6946:Z6947"/>
    <mergeCell ref="AA6946:AA6947"/>
    <mergeCell ref="AB6946:AB6947"/>
    <mergeCell ref="A6940:A6941"/>
    <mergeCell ref="E6940:E6941"/>
    <mergeCell ref="H6940:H6941"/>
    <mergeCell ref="I6940:I6941"/>
    <mergeCell ref="J6940:J6941"/>
    <mergeCell ref="K6940:K6941"/>
    <mergeCell ref="L6940:L6941"/>
    <mergeCell ref="M6940:M6941"/>
    <mergeCell ref="N6940:N6941"/>
    <mergeCell ref="O6940:O6941"/>
    <mergeCell ref="X6940:X6941"/>
    <mergeCell ref="Y6940:Y6941"/>
    <mergeCell ref="Z6940:Z6941"/>
    <mergeCell ref="AA6940:AA6941"/>
    <mergeCell ref="AB6940:AB6941"/>
    <mergeCell ref="A6942:A6943"/>
    <mergeCell ref="E6942:E6943"/>
    <mergeCell ref="H6942:H6943"/>
    <mergeCell ref="I6942:I6943"/>
    <mergeCell ref="J6942:J6943"/>
    <mergeCell ref="K6942:K6943"/>
    <mergeCell ref="L6942:L6943"/>
    <mergeCell ref="M6942:M6943"/>
    <mergeCell ref="N6942:N6943"/>
    <mergeCell ref="O6942:O6943"/>
    <mergeCell ref="X6942:X6943"/>
    <mergeCell ref="Y6942:Y6943"/>
    <mergeCell ref="Z6942:Z6943"/>
    <mergeCell ref="AA6942:AA6943"/>
    <mergeCell ref="AB6942:AB6943"/>
    <mergeCell ref="A6936:A6937"/>
    <mergeCell ref="E6936:E6937"/>
    <mergeCell ref="H6936:H6937"/>
    <mergeCell ref="I6936:I6937"/>
    <mergeCell ref="J6936:J6937"/>
    <mergeCell ref="K6936:K6937"/>
    <mergeCell ref="L6936:L6937"/>
    <mergeCell ref="M6936:M6937"/>
    <mergeCell ref="N6936:N6937"/>
    <mergeCell ref="O6936:O6937"/>
    <mergeCell ref="X6936:X6937"/>
    <mergeCell ref="Y6936:Y6937"/>
    <mergeCell ref="Z6936:Z6937"/>
    <mergeCell ref="AA6936:AA6937"/>
    <mergeCell ref="AB6936:AB6937"/>
    <mergeCell ref="A6938:A6939"/>
    <mergeCell ref="E6938:E6939"/>
    <mergeCell ref="H6938:H6939"/>
    <mergeCell ref="I6938:I6939"/>
    <mergeCell ref="J6938:J6939"/>
    <mergeCell ref="K6938:K6939"/>
    <mergeCell ref="L6938:L6939"/>
    <mergeCell ref="M6938:M6939"/>
    <mergeCell ref="N6938:N6939"/>
    <mergeCell ref="O6938:O6939"/>
    <mergeCell ref="X6938:X6939"/>
    <mergeCell ref="Y6938:Y6939"/>
    <mergeCell ref="Z6938:Z6939"/>
    <mergeCell ref="AA6938:AA6939"/>
    <mergeCell ref="AB6938:AB6939"/>
    <mergeCell ref="A6932:A6933"/>
    <mergeCell ref="E6932:E6933"/>
    <mergeCell ref="H6932:H6933"/>
    <mergeCell ref="I6932:I6933"/>
    <mergeCell ref="J6932:J6933"/>
    <mergeCell ref="K6932:K6933"/>
    <mergeCell ref="L6932:L6933"/>
    <mergeCell ref="M6932:M6933"/>
    <mergeCell ref="N6932:N6933"/>
    <mergeCell ref="O6932:O6933"/>
    <mergeCell ref="X6932:X6933"/>
    <mergeCell ref="Y6932:Y6933"/>
    <mergeCell ref="Z6932:Z6933"/>
    <mergeCell ref="AA6932:AA6933"/>
    <mergeCell ref="AB6932:AB6933"/>
    <mergeCell ref="A6934:A6935"/>
    <mergeCell ref="E6934:E6935"/>
    <mergeCell ref="H6934:H6935"/>
    <mergeCell ref="I6934:I6935"/>
    <mergeCell ref="J6934:J6935"/>
    <mergeCell ref="K6934:K6935"/>
    <mergeCell ref="L6934:L6935"/>
    <mergeCell ref="M6934:M6935"/>
    <mergeCell ref="N6934:N6935"/>
    <mergeCell ref="O6934:O6935"/>
    <mergeCell ref="X6934:X6935"/>
    <mergeCell ref="Y6934:Y6935"/>
    <mergeCell ref="Z6934:Z6935"/>
    <mergeCell ref="AA6934:AA6935"/>
    <mergeCell ref="AB6934:AB6935"/>
    <mergeCell ref="A6928:A6929"/>
    <mergeCell ref="E6928:E6929"/>
    <mergeCell ref="H6928:H6929"/>
    <mergeCell ref="I6928:I6929"/>
    <mergeCell ref="J6928:J6929"/>
    <mergeCell ref="K6928:K6929"/>
    <mergeCell ref="L6928:L6929"/>
    <mergeCell ref="M6928:M6929"/>
    <mergeCell ref="N6928:N6929"/>
    <mergeCell ref="O6928:O6929"/>
    <mergeCell ref="X6928:X6929"/>
    <mergeCell ref="Y6928:Y6929"/>
    <mergeCell ref="Z6928:Z6929"/>
    <mergeCell ref="AA6928:AA6929"/>
    <mergeCell ref="AB6928:AB6929"/>
    <mergeCell ref="A6930:A6931"/>
    <mergeCell ref="E6930:E6931"/>
    <mergeCell ref="H6930:H6931"/>
    <mergeCell ref="I6930:I6931"/>
    <mergeCell ref="J6930:J6931"/>
    <mergeCell ref="K6930:K6931"/>
    <mergeCell ref="L6930:L6931"/>
    <mergeCell ref="M6930:M6931"/>
    <mergeCell ref="N6930:N6931"/>
    <mergeCell ref="O6930:O6931"/>
    <mergeCell ref="X6930:X6931"/>
    <mergeCell ref="Y6930:Y6931"/>
    <mergeCell ref="Z6930:Z6931"/>
    <mergeCell ref="AA6930:AA6931"/>
    <mergeCell ref="AB6930:AB6931"/>
    <mergeCell ref="A6924:A6925"/>
    <mergeCell ref="E6924:E6925"/>
    <mergeCell ref="H6924:H6925"/>
    <mergeCell ref="I6924:I6925"/>
    <mergeCell ref="J6924:J6925"/>
    <mergeCell ref="K6924:K6925"/>
    <mergeCell ref="L6924:L6925"/>
    <mergeCell ref="M6924:M6925"/>
    <mergeCell ref="N6924:N6925"/>
    <mergeCell ref="O6924:O6925"/>
    <mergeCell ref="X6924:X6925"/>
    <mergeCell ref="Y6924:Y6925"/>
    <mergeCell ref="Z6924:Z6925"/>
    <mergeCell ref="AA6924:AA6925"/>
    <mergeCell ref="AB6924:AB6925"/>
    <mergeCell ref="A6926:A6927"/>
    <mergeCell ref="E6926:E6927"/>
    <mergeCell ref="H6926:H6927"/>
    <mergeCell ref="I6926:I6927"/>
    <mergeCell ref="J6926:J6927"/>
    <mergeCell ref="K6926:K6927"/>
    <mergeCell ref="L6926:L6927"/>
    <mergeCell ref="M6926:M6927"/>
    <mergeCell ref="N6926:N6927"/>
    <mergeCell ref="O6926:O6927"/>
    <mergeCell ref="X6926:X6927"/>
    <mergeCell ref="Y6926:Y6927"/>
    <mergeCell ref="Z6926:Z6927"/>
    <mergeCell ref="AA6926:AA6927"/>
    <mergeCell ref="AB6926:AB6927"/>
    <mergeCell ref="A6920:A6921"/>
    <mergeCell ref="E6920:E6921"/>
    <mergeCell ref="H6920:H6921"/>
    <mergeCell ref="I6920:I6921"/>
    <mergeCell ref="J6920:J6921"/>
    <mergeCell ref="K6920:K6921"/>
    <mergeCell ref="L6920:L6921"/>
    <mergeCell ref="M6920:M6921"/>
    <mergeCell ref="N6920:N6921"/>
    <mergeCell ref="O6920:O6921"/>
    <mergeCell ref="X6920:X6921"/>
    <mergeCell ref="Y6920:Y6921"/>
    <mergeCell ref="Z6920:Z6921"/>
    <mergeCell ref="AA6920:AA6921"/>
    <mergeCell ref="AB6920:AB6921"/>
    <mergeCell ref="A6922:A6923"/>
    <mergeCell ref="E6922:E6923"/>
    <mergeCell ref="H6922:H6923"/>
    <mergeCell ref="I6922:I6923"/>
    <mergeCell ref="J6922:J6923"/>
    <mergeCell ref="K6922:K6923"/>
    <mergeCell ref="L6922:L6923"/>
    <mergeCell ref="M6922:M6923"/>
    <mergeCell ref="N6922:N6923"/>
    <mergeCell ref="O6922:O6923"/>
    <mergeCell ref="X6922:X6923"/>
    <mergeCell ref="Y6922:Y6923"/>
    <mergeCell ref="Z6922:Z6923"/>
    <mergeCell ref="AA6922:AA6923"/>
    <mergeCell ref="AB6922:AB6923"/>
    <mergeCell ref="A6916:A6917"/>
    <mergeCell ref="E6916:E6917"/>
    <mergeCell ref="H6916:H6917"/>
    <mergeCell ref="I6916:I6917"/>
    <mergeCell ref="J6916:J6917"/>
    <mergeCell ref="K6916:K6917"/>
    <mergeCell ref="L6916:L6917"/>
    <mergeCell ref="M6916:M6917"/>
    <mergeCell ref="N6916:N6917"/>
    <mergeCell ref="O6916:O6917"/>
    <mergeCell ref="X6916:X6917"/>
    <mergeCell ref="Y6916:Y6917"/>
    <mergeCell ref="Z6916:Z6917"/>
    <mergeCell ref="AA6916:AA6917"/>
    <mergeCell ref="AB6916:AB6917"/>
    <mergeCell ref="A6918:A6919"/>
    <mergeCell ref="E6918:E6919"/>
    <mergeCell ref="H6918:H6919"/>
    <mergeCell ref="I6918:I6919"/>
    <mergeCell ref="J6918:J6919"/>
    <mergeCell ref="K6918:K6919"/>
    <mergeCell ref="L6918:L6919"/>
    <mergeCell ref="M6918:M6919"/>
    <mergeCell ref="N6918:N6919"/>
    <mergeCell ref="O6918:O6919"/>
    <mergeCell ref="X6918:X6919"/>
    <mergeCell ref="Y6918:Y6919"/>
    <mergeCell ref="Z6918:Z6919"/>
    <mergeCell ref="AA6918:AA6919"/>
    <mergeCell ref="AB6918:AB6919"/>
    <mergeCell ref="A6912:A6913"/>
    <mergeCell ref="E6912:E6913"/>
    <mergeCell ref="H6912:H6913"/>
    <mergeCell ref="I6912:I6913"/>
    <mergeCell ref="J6912:J6913"/>
    <mergeCell ref="K6912:K6913"/>
    <mergeCell ref="L6912:L6913"/>
    <mergeCell ref="M6912:M6913"/>
    <mergeCell ref="N6912:N6913"/>
    <mergeCell ref="O6912:O6913"/>
    <mergeCell ref="X6912:X6913"/>
    <mergeCell ref="Y6912:Y6913"/>
    <mergeCell ref="Z6912:Z6913"/>
    <mergeCell ref="AA6912:AA6913"/>
    <mergeCell ref="AB6912:AB6913"/>
    <mergeCell ref="A6914:A6915"/>
    <mergeCell ref="E6914:E6915"/>
    <mergeCell ref="H6914:H6915"/>
    <mergeCell ref="I6914:I6915"/>
    <mergeCell ref="J6914:J6915"/>
    <mergeCell ref="K6914:K6915"/>
    <mergeCell ref="L6914:L6915"/>
    <mergeCell ref="M6914:M6915"/>
    <mergeCell ref="N6914:N6915"/>
    <mergeCell ref="O6914:O6915"/>
    <mergeCell ref="X6914:X6915"/>
    <mergeCell ref="Y6914:Y6915"/>
    <mergeCell ref="Z6914:Z6915"/>
    <mergeCell ref="AA6914:AA6915"/>
    <mergeCell ref="AB6914:AB6915"/>
    <mergeCell ref="A6908:A6909"/>
    <mergeCell ref="E6908:E6909"/>
    <mergeCell ref="H6908:H6909"/>
    <mergeCell ref="I6908:I6909"/>
    <mergeCell ref="J6908:J6909"/>
    <mergeCell ref="K6908:K6909"/>
    <mergeCell ref="L6908:L6909"/>
    <mergeCell ref="M6908:M6909"/>
    <mergeCell ref="N6908:N6909"/>
    <mergeCell ref="O6908:O6909"/>
    <mergeCell ref="X6908:X6909"/>
    <mergeCell ref="Y6908:Y6909"/>
    <mergeCell ref="Z6908:Z6909"/>
    <mergeCell ref="AA6908:AA6909"/>
    <mergeCell ref="AB6908:AB6909"/>
    <mergeCell ref="A6910:A6911"/>
    <mergeCell ref="E6910:E6911"/>
    <mergeCell ref="H6910:H6911"/>
    <mergeCell ref="I6910:I6911"/>
    <mergeCell ref="J6910:J6911"/>
    <mergeCell ref="K6910:K6911"/>
    <mergeCell ref="L6910:L6911"/>
    <mergeCell ref="M6910:M6911"/>
    <mergeCell ref="N6910:N6911"/>
    <mergeCell ref="O6910:O6911"/>
    <mergeCell ref="X6910:X6911"/>
    <mergeCell ref="Y6910:Y6911"/>
    <mergeCell ref="Z6910:Z6911"/>
    <mergeCell ref="AA6910:AA6911"/>
    <mergeCell ref="AB6910:AB6911"/>
    <mergeCell ref="A6904:A6905"/>
    <mergeCell ref="E6904:E6905"/>
    <mergeCell ref="H6904:H6905"/>
    <mergeCell ref="I6904:I6905"/>
    <mergeCell ref="J6904:J6905"/>
    <mergeCell ref="K6904:K6905"/>
    <mergeCell ref="L6904:L6905"/>
    <mergeCell ref="M6904:M6905"/>
    <mergeCell ref="N6904:N6905"/>
    <mergeCell ref="O6904:O6905"/>
    <mergeCell ref="X6904:X6905"/>
    <mergeCell ref="Y6904:Y6905"/>
    <mergeCell ref="Z6904:Z6905"/>
    <mergeCell ref="AA6904:AA6905"/>
    <mergeCell ref="AB6904:AB6905"/>
    <mergeCell ref="A6906:A6907"/>
    <mergeCell ref="E6906:E6907"/>
    <mergeCell ref="H6906:H6907"/>
    <mergeCell ref="I6906:I6907"/>
    <mergeCell ref="J6906:J6907"/>
    <mergeCell ref="K6906:K6907"/>
    <mergeCell ref="L6906:L6907"/>
    <mergeCell ref="M6906:M6907"/>
    <mergeCell ref="N6906:N6907"/>
    <mergeCell ref="O6906:O6907"/>
    <mergeCell ref="X6906:X6907"/>
    <mergeCell ref="Y6906:Y6907"/>
    <mergeCell ref="Z6906:Z6907"/>
    <mergeCell ref="AA6906:AA6907"/>
    <mergeCell ref="AB6906:AB6907"/>
    <mergeCell ref="A6900:A6901"/>
    <mergeCell ref="E6900:E6901"/>
    <mergeCell ref="H6900:H6901"/>
    <mergeCell ref="I6900:I6901"/>
    <mergeCell ref="J6900:J6901"/>
    <mergeCell ref="K6900:K6901"/>
    <mergeCell ref="L6900:L6901"/>
    <mergeCell ref="M6900:M6901"/>
    <mergeCell ref="N6900:N6901"/>
    <mergeCell ref="O6900:O6901"/>
    <mergeCell ref="X6900:X6901"/>
    <mergeCell ref="Y6900:Y6901"/>
    <mergeCell ref="Z6900:Z6901"/>
    <mergeCell ref="AA6900:AA6901"/>
    <mergeCell ref="AB6900:AB6901"/>
    <mergeCell ref="A6902:A6903"/>
    <mergeCell ref="E6902:E6903"/>
    <mergeCell ref="H6902:H6903"/>
    <mergeCell ref="I6902:I6903"/>
    <mergeCell ref="J6902:J6903"/>
    <mergeCell ref="K6902:K6903"/>
    <mergeCell ref="L6902:L6903"/>
    <mergeCell ref="M6902:M6903"/>
    <mergeCell ref="N6902:N6903"/>
    <mergeCell ref="O6902:O6903"/>
    <mergeCell ref="X6902:X6903"/>
    <mergeCell ref="Y6902:Y6903"/>
    <mergeCell ref="Z6902:Z6903"/>
    <mergeCell ref="AA6902:AA6903"/>
    <mergeCell ref="AB6902:AB6903"/>
    <mergeCell ref="A6896:A6897"/>
    <mergeCell ref="E6896:E6897"/>
    <mergeCell ref="H6896:H6897"/>
    <mergeCell ref="I6896:I6897"/>
    <mergeCell ref="J6896:J6897"/>
    <mergeCell ref="K6896:K6897"/>
    <mergeCell ref="L6896:L6897"/>
    <mergeCell ref="M6896:M6897"/>
    <mergeCell ref="N6896:N6897"/>
    <mergeCell ref="O6896:O6897"/>
    <mergeCell ref="X6896:X6897"/>
    <mergeCell ref="Y6896:Y6897"/>
    <mergeCell ref="Z6896:Z6897"/>
    <mergeCell ref="AA6896:AA6897"/>
    <mergeCell ref="AB6896:AB6897"/>
    <mergeCell ref="A6898:A6899"/>
    <mergeCell ref="E6898:E6899"/>
    <mergeCell ref="H6898:H6899"/>
    <mergeCell ref="I6898:I6899"/>
    <mergeCell ref="J6898:J6899"/>
    <mergeCell ref="K6898:K6899"/>
    <mergeCell ref="L6898:L6899"/>
    <mergeCell ref="M6898:M6899"/>
    <mergeCell ref="N6898:N6899"/>
    <mergeCell ref="O6898:O6899"/>
    <mergeCell ref="X6898:X6899"/>
    <mergeCell ref="Y6898:Y6899"/>
    <mergeCell ref="Z6898:Z6899"/>
    <mergeCell ref="AA6898:AA6899"/>
    <mergeCell ref="AB6898:AB6899"/>
    <mergeCell ref="A6892:A6893"/>
    <mergeCell ref="E6892:E6893"/>
    <mergeCell ref="H6892:H6893"/>
    <mergeCell ref="I6892:I6893"/>
    <mergeCell ref="J6892:J6893"/>
    <mergeCell ref="K6892:K6893"/>
    <mergeCell ref="L6892:L6893"/>
    <mergeCell ref="M6892:M6893"/>
    <mergeCell ref="N6892:N6893"/>
    <mergeCell ref="O6892:O6893"/>
    <mergeCell ref="X6892:X6893"/>
    <mergeCell ref="Y6892:Y6893"/>
    <mergeCell ref="Z6892:Z6893"/>
    <mergeCell ref="AA6892:AA6893"/>
    <mergeCell ref="AB6892:AB6893"/>
    <mergeCell ref="A6894:A6895"/>
    <mergeCell ref="E6894:E6895"/>
    <mergeCell ref="H6894:H6895"/>
    <mergeCell ref="I6894:I6895"/>
    <mergeCell ref="J6894:J6895"/>
    <mergeCell ref="K6894:K6895"/>
    <mergeCell ref="L6894:L6895"/>
    <mergeCell ref="M6894:M6895"/>
    <mergeCell ref="N6894:N6895"/>
    <mergeCell ref="O6894:O6895"/>
    <mergeCell ref="X6894:X6895"/>
    <mergeCell ref="Y6894:Y6895"/>
    <mergeCell ref="Z6894:Z6895"/>
    <mergeCell ref="AA6894:AA6895"/>
    <mergeCell ref="AB6894:AB6895"/>
    <mergeCell ref="A6888:A6889"/>
    <mergeCell ref="E6888:E6889"/>
    <mergeCell ref="H6888:H6889"/>
    <mergeCell ref="I6888:I6889"/>
    <mergeCell ref="J6888:J6889"/>
    <mergeCell ref="K6888:K6889"/>
    <mergeCell ref="L6888:L6889"/>
    <mergeCell ref="M6888:M6889"/>
    <mergeCell ref="N6888:N6889"/>
    <mergeCell ref="O6888:O6889"/>
    <mergeCell ref="X6888:X6889"/>
    <mergeCell ref="Y6888:Y6889"/>
    <mergeCell ref="Z6888:Z6889"/>
    <mergeCell ref="AA6888:AA6889"/>
    <mergeCell ref="AB6888:AB6889"/>
    <mergeCell ref="A6890:A6891"/>
    <mergeCell ref="E6890:E6891"/>
    <mergeCell ref="H6890:H6891"/>
    <mergeCell ref="I6890:I6891"/>
    <mergeCell ref="J6890:J6891"/>
    <mergeCell ref="K6890:K6891"/>
    <mergeCell ref="L6890:L6891"/>
    <mergeCell ref="M6890:M6891"/>
    <mergeCell ref="N6890:N6891"/>
    <mergeCell ref="O6890:O6891"/>
    <mergeCell ref="X6890:X6891"/>
    <mergeCell ref="Y6890:Y6891"/>
    <mergeCell ref="Z6890:Z6891"/>
    <mergeCell ref="AA6890:AA6891"/>
    <mergeCell ref="AB6890:AB6891"/>
    <mergeCell ref="A6884:A6885"/>
    <mergeCell ref="E6884:E6885"/>
    <mergeCell ref="H6884:H6885"/>
    <mergeCell ref="I6884:I6885"/>
    <mergeCell ref="J6884:J6885"/>
    <mergeCell ref="K6884:K6885"/>
    <mergeCell ref="L6884:L6885"/>
    <mergeCell ref="M6884:M6885"/>
    <mergeCell ref="N6884:N6885"/>
    <mergeCell ref="O6884:O6885"/>
    <mergeCell ref="X6884:X6885"/>
    <mergeCell ref="Y6884:Y6885"/>
    <mergeCell ref="Z6884:Z6885"/>
    <mergeCell ref="AA6884:AA6885"/>
    <mergeCell ref="AB6884:AB6885"/>
    <mergeCell ref="A6886:A6887"/>
    <mergeCell ref="E6886:E6887"/>
    <mergeCell ref="H6886:H6887"/>
    <mergeCell ref="I6886:I6887"/>
    <mergeCell ref="J6886:J6887"/>
    <mergeCell ref="K6886:K6887"/>
    <mergeCell ref="L6886:L6887"/>
    <mergeCell ref="M6886:M6887"/>
    <mergeCell ref="N6886:N6887"/>
    <mergeCell ref="O6886:O6887"/>
    <mergeCell ref="X6886:X6887"/>
    <mergeCell ref="Y6886:Y6887"/>
    <mergeCell ref="Z6886:Z6887"/>
    <mergeCell ref="AA6886:AA6887"/>
    <mergeCell ref="AB6886:AB6887"/>
    <mergeCell ref="A6880:A6881"/>
    <mergeCell ref="E6880:E6881"/>
    <mergeCell ref="H6880:H6881"/>
    <mergeCell ref="I6880:I6881"/>
    <mergeCell ref="J6880:J6881"/>
    <mergeCell ref="K6880:K6881"/>
    <mergeCell ref="L6880:L6881"/>
    <mergeCell ref="M6880:M6881"/>
    <mergeCell ref="N6880:N6881"/>
    <mergeCell ref="O6880:O6881"/>
    <mergeCell ref="X6880:X6881"/>
    <mergeCell ref="Y6880:Y6881"/>
    <mergeCell ref="Z6880:Z6881"/>
    <mergeCell ref="AA6880:AA6881"/>
    <mergeCell ref="AB6880:AB6881"/>
    <mergeCell ref="A6882:A6883"/>
    <mergeCell ref="E6882:E6883"/>
    <mergeCell ref="H6882:H6883"/>
    <mergeCell ref="I6882:I6883"/>
    <mergeCell ref="J6882:J6883"/>
    <mergeCell ref="K6882:K6883"/>
    <mergeCell ref="L6882:L6883"/>
    <mergeCell ref="M6882:M6883"/>
    <mergeCell ref="N6882:N6883"/>
    <mergeCell ref="O6882:O6883"/>
    <mergeCell ref="X6882:X6883"/>
    <mergeCell ref="Y6882:Y6883"/>
    <mergeCell ref="Z6882:Z6883"/>
    <mergeCell ref="AA6882:AA6883"/>
    <mergeCell ref="AB6882:AB6883"/>
    <mergeCell ref="A6878:A6879"/>
    <mergeCell ref="E6878:E6879"/>
    <mergeCell ref="H6878:H6879"/>
    <mergeCell ref="I6878:I6879"/>
    <mergeCell ref="J6878:J6879"/>
    <mergeCell ref="K6878:K6879"/>
    <mergeCell ref="L6878:L6879"/>
    <mergeCell ref="M6878:M6879"/>
    <mergeCell ref="N6878:N6879"/>
    <mergeCell ref="O6878:O6879"/>
    <mergeCell ref="X6878:X6879"/>
    <mergeCell ref="Y6878:Y6879"/>
    <mergeCell ref="Z6878:Z6879"/>
    <mergeCell ref="AA6878:AA6879"/>
    <mergeCell ref="AB6878:AB6879"/>
    <mergeCell ref="A6866:A6867"/>
    <mergeCell ref="E6866:E6867"/>
    <mergeCell ref="A6874:A6875"/>
    <mergeCell ref="E6874:E6875"/>
    <mergeCell ref="H6874:H6875"/>
    <mergeCell ref="I6874:I6875"/>
    <mergeCell ref="J6874:J6875"/>
    <mergeCell ref="K6874:K6875"/>
    <mergeCell ref="L6874:L6875"/>
    <mergeCell ref="M6874:M6875"/>
    <mergeCell ref="N6874:N6875"/>
    <mergeCell ref="O6874:O6875"/>
    <mergeCell ref="X6874:X6875"/>
    <mergeCell ref="Y6874:Y6875"/>
    <mergeCell ref="Z6874:Z6875"/>
    <mergeCell ref="AA6874:AA6875"/>
    <mergeCell ref="AB6874:AB6875"/>
    <mergeCell ref="A6876:A6877"/>
    <mergeCell ref="E6876:E6877"/>
    <mergeCell ref="H6876:H6877"/>
    <mergeCell ref="I6876:I6877"/>
    <mergeCell ref="J6876:J6877"/>
    <mergeCell ref="K6876:K6877"/>
    <mergeCell ref="L6876:L6877"/>
    <mergeCell ref="M6876:M6877"/>
    <mergeCell ref="N6876:N6877"/>
    <mergeCell ref="A6692:A6693"/>
    <mergeCell ref="E6692:E6693"/>
    <mergeCell ref="H6692:H6693"/>
    <mergeCell ref="I6692:I6693"/>
    <mergeCell ref="J6692:J6693"/>
    <mergeCell ref="K6692:K6693"/>
    <mergeCell ref="L6692:L6693"/>
    <mergeCell ref="M6692:M6693"/>
    <mergeCell ref="N6692:N6693"/>
    <mergeCell ref="H6866:H6867"/>
    <mergeCell ref="I6866:I6867"/>
    <mergeCell ref="J6866:J6867"/>
    <mergeCell ref="K6866:K6867"/>
    <mergeCell ref="L6866:L6867"/>
    <mergeCell ref="M6866:M6867"/>
    <mergeCell ref="N6866:N6867"/>
    <mergeCell ref="O6866:O6867"/>
    <mergeCell ref="X6866:X6867"/>
    <mergeCell ref="Y6866:Y6867"/>
    <mergeCell ref="Z6866:Z6867"/>
    <mergeCell ref="AA6866:AA6867"/>
    <mergeCell ref="AB6866:AB6867"/>
    <mergeCell ref="A6868:A6869"/>
    <mergeCell ref="E6868:E6869"/>
    <mergeCell ref="H6868:H6869"/>
    <mergeCell ref="I6868:I6869"/>
    <mergeCell ref="J6868:J6869"/>
    <mergeCell ref="K6868:K6869"/>
    <mergeCell ref="L6868:L6869"/>
    <mergeCell ref="M6868:M6869"/>
    <mergeCell ref="N6868:N6869"/>
    <mergeCell ref="O6868:O6869"/>
    <mergeCell ref="X6868:X6869"/>
    <mergeCell ref="Y6868:Y6869"/>
    <mergeCell ref="Z6868:Z6869"/>
    <mergeCell ref="AA6868:AA6869"/>
    <mergeCell ref="AB6868:AB6869"/>
    <mergeCell ref="O6876:O6877"/>
    <mergeCell ref="X6876:X6877"/>
    <mergeCell ref="Y6876:Y6877"/>
    <mergeCell ref="Z6876:Z6877"/>
    <mergeCell ref="AA6876:AA6877"/>
    <mergeCell ref="AB6876:AB6877"/>
    <mergeCell ref="A6870:A6871"/>
    <mergeCell ref="E6870:E6871"/>
    <mergeCell ref="H6870:H6871"/>
    <mergeCell ref="I6870:I6871"/>
    <mergeCell ref="J6870:J6871"/>
    <mergeCell ref="K6870:K6871"/>
    <mergeCell ref="L6870:L6871"/>
    <mergeCell ref="M6870:M6871"/>
    <mergeCell ref="N6870:N6871"/>
    <mergeCell ref="O6870:O6871"/>
    <mergeCell ref="X6870:X6871"/>
    <mergeCell ref="Y6870:Y6871"/>
    <mergeCell ref="Z6870:Z6871"/>
    <mergeCell ref="AA6870:AA6871"/>
    <mergeCell ref="AB6870:AB6871"/>
    <mergeCell ref="A6872:A6873"/>
    <mergeCell ref="E6872:E6873"/>
    <mergeCell ref="H6872:H6873"/>
    <mergeCell ref="I6872:I6873"/>
    <mergeCell ref="J6872:J6873"/>
    <mergeCell ref="K6872:K6873"/>
    <mergeCell ref="L6872:L6873"/>
    <mergeCell ref="M6872:M6873"/>
    <mergeCell ref="N6872:N6873"/>
    <mergeCell ref="O6872:O6873"/>
    <mergeCell ref="X6872:X6873"/>
    <mergeCell ref="Y6872:Y6873"/>
    <mergeCell ref="Z6872:Z6873"/>
    <mergeCell ref="AA6872:AA6873"/>
    <mergeCell ref="AB6872:AB6873"/>
    <mergeCell ref="A6862:A6863"/>
    <mergeCell ref="E6862:E6863"/>
    <mergeCell ref="H6862:H6863"/>
    <mergeCell ref="I6862:I6863"/>
    <mergeCell ref="J6862:J6863"/>
    <mergeCell ref="K6862:K6863"/>
    <mergeCell ref="L6862:L6863"/>
    <mergeCell ref="M6862:M6863"/>
    <mergeCell ref="N6862:N6863"/>
    <mergeCell ref="O6862:O6863"/>
    <mergeCell ref="X6862:X6863"/>
    <mergeCell ref="Y6862:Y6863"/>
    <mergeCell ref="Z6862:Z6863"/>
    <mergeCell ref="AA6862:AA6863"/>
    <mergeCell ref="AB6862:AB6863"/>
    <mergeCell ref="A6864:A6865"/>
    <mergeCell ref="E6864:E6865"/>
    <mergeCell ref="H6864:H6865"/>
    <mergeCell ref="I6864:I6865"/>
    <mergeCell ref="J6864:J6865"/>
    <mergeCell ref="K6864:K6865"/>
    <mergeCell ref="L6864:L6865"/>
    <mergeCell ref="M6864:M6865"/>
    <mergeCell ref="N6864:N6865"/>
    <mergeCell ref="O6864:O6865"/>
    <mergeCell ref="X6864:X6865"/>
    <mergeCell ref="Y6864:Y6865"/>
    <mergeCell ref="Z6864:Z6865"/>
    <mergeCell ref="AA6864:AA6865"/>
    <mergeCell ref="AB6864:AB6865"/>
    <mergeCell ref="A6858:A6859"/>
    <mergeCell ref="E6858:E6859"/>
    <mergeCell ref="H6858:H6859"/>
    <mergeCell ref="I6858:I6859"/>
    <mergeCell ref="J6858:J6859"/>
    <mergeCell ref="K6858:K6859"/>
    <mergeCell ref="L6858:L6859"/>
    <mergeCell ref="M6858:M6859"/>
    <mergeCell ref="N6858:N6859"/>
    <mergeCell ref="O6858:O6859"/>
    <mergeCell ref="X6858:X6859"/>
    <mergeCell ref="Y6858:Y6859"/>
    <mergeCell ref="Z6858:Z6859"/>
    <mergeCell ref="AA6858:AA6859"/>
    <mergeCell ref="AB6858:AB6859"/>
    <mergeCell ref="A6860:A6861"/>
    <mergeCell ref="E6860:E6861"/>
    <mergeCell ref="H6860:H6861"/>
    <mergeCell ref="I6860:I6861"/>
    <mergeCell ref="J6860:J6861"/>
    <mergeCell ref="K6860:K6861"/>
    <mergeCell ref="L6860:L6861"/>
    <mergeCell ref="M6860:M6861"/>
    <mergeCell ref="N6860:N6861"/>
    <mergeCell ref="O6860:O6861"/>
    <mergeCell ref="X6860:X6861"/>
    <mergeCell ref="Y6860:Y6861"/>
    <mergeCell ref="Z6860:Z6861"/>
    <mergeCell ref="AA6860:AA6861"/>
    <mergeCell ref="AB6860:AB6861"/>
    <mergeCell ref="A6854:A6855"/>
    <mergeCell ref="E6854:E6855"/>
    <mergeCell ref="H6854:H6855"/>
    <mergeCell ref="I6854:I6855"/>
    <mergeCell ref="J6854:J6855"/>
    <mergeCell ref="K6854:K6855"/>
    <mergeCell ref="L6854:L6855"/>
    <mergeCell ref="M6854:M6855"/>
    <mergeCell ref="N6854:N6855"/>
    <mergeCell ref="O6854:O6855"/>
    <mergeCell ref="X6854:X6855"/>
    <mergeCell ref="Y6854:Y6855"/>
    <mergeCell ref="Z6854:Z6855"/>
    <mergeCell ref="AA6854:AA6855"/>
    <mergeCell ref="AB6854:AB6855"/>
    <mergeCell ref="A6856:A6857"/>
    <mergeCell ref="E6856:E6857"/>
    <mergeCell ref="H6856:H6857"/>
    <mergeCell ref="I6856:I6857"/>
    <mergeCell ref="J6856:J6857"/>
    <mergeCell ref="K6856:K6857"/>
    <mergeCell ref="L6856:L6857"/>
    <mergeCell ref="M6856:M6857"/>
    <mergeCell ref="N6856:N6857"/>
    <mergeCell ref="O6856:O6857"/>
    <mergeCell ref="X6856:X6857"/>
    <mergeCell ref="Y6856:Y6857"/>
    <mergeCell ref="Z6856:Z6857"/>
    <mergeCell ref="AA6856:AA6857"/>
    <mergeCell ref="AB6856:AB6857"/>
    <mergeCell ref="A6850:A6851"/>
    <mergeCell ref="E6850:E6851"/>
    <mergeCell ref="H6850:H6851"/>
    <mergeCell ref="I6850:I6851"/>
    <mergeCell ref="J6850:J6851"/>
    <mergeCell ref="K6850:K6851"/>
    <mergeCell ref="L6850:L6851"/>
    <mergeCell ref="M6850:M6851"/>
    <mergeCell ref="N6850:N6851"/>
    <mergeCell ref="O6850:O6851"/>
    <mergeCell ref="X6850:X6851"/>
    <mergeCell ref="Y6850:Y6851"/>
    <mergeCell ref="Z6850:Z6851"/>
    <mergeCell ref="AA6850:AA6851"/>
    <mergeCell ref="AB6850:AB6851"/>
    <mergeCell ref="A6852:A6853"/>
    <mergeCell ref="E6852:E6853"/>
    <mergeCell ref="H6852:H6853"/>
    <mergeCell ref="I6852:I6853"/>
    <mergeCell ref="J6852:J6853"/>
    <mergeCell ref="K6852:K6853"/>
    <mergeCell ref="L6852:L6853"/>
    <mergeCell ref="M6852:M6853"/>
    <mergeCell ref="N6852:N6853"/>
    <mergeCell ref="O6852:O6853"/>
    <mergeCell ref="X6852:X6853"/>
    <mergeCell ref="Y6852:Y6853"/>
    <mergeCell ref="Z6852:Z6853"/>
    <mergeCell ref="AA6852:AA6853"/>
    <mergeCell ref="AB6852:AB6853"/>
    <mergeCell ref="A6846:A6847"/>
    <mergeCell ref="E6846:E6847"/>
    <mergeCell ref="H6846:H6847"/>
    <mergeCell ref="I6846:I6847"/>
    <mergeCell ref="J6846:J6847"/>
    <mergeCell ref="K6846:K6847"/>
    <mergeCell ref="L6846:L6847"/>
    <mergeCell ref="M6846:M6847"/>
    <mergeCell ref="N6846:N6847"/>
    <mergeCell ref="O6846:O6847"/>
    <mergeCell ref="X6846:X6847"/>
    <mergeCell ref="Y6846:Y6847"/>
    <mergeCell ref="Z6846:Z6847"/>
    <mergeCell ref="AA6846:AA6847"/>
    <mergeCell ref="AB6846:AB6847"/>
    <mergeCell ref="A6848:A6849"/>
    <mergeCell ref="E6848:E6849"/>
    <mergeCell ref="H6848:H6849"/>
    <mergeCell ref="I6848:I6849"/>
    <mergeCell ref="J6848:J6849"/>
    <mergeCell ref="K6848:K6849"/>
    <mergeCell ref="L6848:L6849"/>
    <mergeCell ref="M6848:M6849"/>
    <mergeCell ref="N6848:N6849"/>
    <mergeCell ref="O6848:O6849"/>
    <mergeCell ref="X6848:X6849"/>
    <mergeCell ref="Y6848:Y6849"/>
    <mergeCell ref="Z6848:Z6849"/>
    <mergeCell ref="AA6848:AA6849"/>
    <mergeCell ref="AB6848:AB6849"/>
    <mergeCell ref="A6842:A6843"/>
    <mergeCell ref="E6842:E6843"/>
    <mergeCell ref="H6842:H6843"/>
    <mergeCell ref="I6842:I6843"/>
    <mergeCell ref="J6842:J6843"/>
    <mergeCell ref="K6842:K6843"/>
    <mergeCell ref="L6842:L6843"/>
    <mergeCell ref="M6842:M6843"/>
    <mergeCell ref="N6842:N6843"/>
    <mergeCell ref="O6842:O6843"/>
    <mergeCell ref="X6842:X6843"/>
    <mergeCell ref="Y6842:Y6843"/>
    <mergeCell ref="Z6842:Z6843"/>
    <mergeCell ref="AA6842:AA6843"/>
    <mergeCell ref="AB6842:AB6843"/>
    <mergeCell ref="A6844:A6845"/>
    <mergeCell ref="E6844:E6845"/>
    <mergeCell ref="H6844:H6845"/>
    <mergeCell ref="I6844:I6845"/>
    <mergeCell ref="J6844:J6845"/>
    <mergeCell ref="K6844:K6845"/>
    <mergeCell ref="L6844:L6845"/>
    <mergeCell ref="M6844:M6845"/>
    <mergeCell ref="N6844:N6845"/>
    <mergeCell ref="O6844:O6845"/>
    <mergeCell ref="X6844:X6845"/>
    <mergeCell ref="Y6844:Y6845"/>
    <mergeCell ref="Z6844:Z6845"/>
    <mergeCell ref="AA6844:AA6845"/>
    <mergeCell ref="AB6844:AB6845"/>
    <mergeCell ref="A6838:A6839"/>
    <mergeCell ref="E6838:E6839"/>
    <mergeCell ref="H6838:H6839"/>
    <mergeCell ref="I6838:I6839"/>
    <mergeCell ref="J6838:J6839"/>
    <mergeCell ref="K6838:K6839"/>
    <mergeCell ref="L6838:L6839"/>
    <mergeCell ref="M6838:M6839"/>
    <mergeCell ref="N6838:N6839"/>
    <mergeCell ref="O6838:O6839"/>
    <mergeCell ref="X6838:X6839"/>
    <mergeCell ref="Y6838:Y6839"/>
    <mergeCell ref="Z6838:Z6839"/>
    <mergeCell ref="AA6838:AA6839"/>
    <mergeCell ref="AB6838:AB6839"/>
    <mergeCell ref="A6840:A6841"/>
    <mergeCell ref="E6840:E6841"/>
    <mergeCell ref="H6840:H6841"/>
    <mergeCell ref="I6840:I6841"/>
    <mergeCell ref="J6840:J6841"/>
    <mergeCell ref="K6840:K6841"/>
    <mergeCell ref="L6840:L6841"/>
    <mergeCell ref="M6840:M6841"/>
    <mergeCell ref="N6840:N6841"/>
    <mergeCell ref="O6840:O6841"/>
    <mergeCell ref="X6840:X6841"/>
    <mergeCell ref="Y6840:Y6841"/>
    <mergeCell ref="Z6840:Z6841"/>
    <mergeCell ref="AA6840:AA6841"/>
    <mergeCell ref="AB6840:AB6841"/>
    <mergeCell ref="A6834:A6835"/>
    <mergeCell ref="E6834:E6835"/>
    <mergeCell ref="H6834:H6835"/>
    <mergeCell ref="I6834:I6835"/>
    <mergeCell ref="J6834:J6835"/>
    <mergeCell ref="K6834:K6835"/>
    <mergeCell ref="L6834:L6835"/>
    <mergeCell ref="M6834:M6835"/>
    <mergeCell ref="N6834:N6835"/>
    <mergeCell ref="O6834:O6835"/>
    <mergeCell ref="X6834:X6835"/>
    <mergeCell ref="Y6834:Y6835"/>
    <mergeCell ref="Z6834:Z6835"/>
    <mergeCell ref="AA6834:AA6835"/>
    <mergeCell ref="AB6834:AB6835"/>
    <mergeCell ref="A6836:A6837"/>
    <mergeCell ref="E6836:E6837"/>
    <mergeCell ref="H6836:H6837"/>
    <mergeCell ref="I6836:I6837"/>
    <mergeCell ref="J6836:J6837"/>
    <mergeCell ref="K6836:K6837"/>
    <mergeCell ref="L6836:L6837"/>
    <mergeCell ref="M6836:M6837"/>
    <mergeCell ref="N6836:N6837"/>
    <mergeCell ref="O6836:O6837"/>
    <mergeCell ref="X6836:X6837"/>
    <mergeCell ref="Y6836:Y6837"/>
    <mergeCell ref="Z6836:Z6837"/>
    <mergeCell ref="AA6836:AA6837"/>
    <mergeCell ref="AB6836:AB6837"/>
    <mergeCell ref="A6830:A6831"/>
    <mergeCell ref="E6830:E6831"/>
    <mergeCell ref="H6830:H6831"/>
    <mergeCell ref="I6830:I6831"/>
    <mergeCell ref="J6830:J6831"/>
    <mergeCell ref="K6830:K6831"/>
    <mergeCell ref="L6830:L6831"/>
    <mergeCell ref="M6830:M6831"/>
    <mergeCell ref="N6830:N6831"/>
    <mergeCell ref="O6830:O6831"/>
    <mergeCell ref="X6830:X6831"/>
    <mergeCell ref="Y6830:Y6831"/>
    <mergeCell ref="Z6830:Z6831"/>
    <mergeCell ref="AA6830:AA6831"/>
    <mergeCell ref="AB6830:AB6831"/>
    <mergeCell ref="A6832:A6833"/>
    <mergeCell ref="E6832:E6833"/>
    <mergeCell ref="H6832:H6833"/>
    <mergeCell ref="I6832:I6833"/>
    <mergeCell ref="J6832:J6833"/>
    <mergeCell ref="K6832:K6833"/>
    <mergeCell ref="L6832:L6833"/>
    <mergeCell ref="M6832:M6833"/>
    <mergeCell ref="N6832:N6833"/>
    <mergeCell ref="O6832:O6833"/>
    <mergeCell ref="X6832:X6833"/>
    <mergeCell ref="Y6832:Y6833"/>
    <mergeCell ref="Z6832:Z6833"/>
    <mergeCell ref="AA6832:AA6833"/>
    <mergeCell ref="AB6832:AB6833"/>
    <mergeCell ref="A6826:A6827"/>
    <mergeCell ref="E6826:E6827"/>
    <mergeCell ref="H6826:H6827"/>
    <mergeCell ref="I6826:I6827"/>
    <mergeCell ref="J6826:J6827"/>
    <mergeCell ref="K6826:K6827"/>
    <mergeCell ref="L6826:L6827"/>
    <mergeCell ref="M6826:M6827"/>
    <mergeCell ref="N6826:N6827"/>
    <mergeCell ref="O6826:O6827"/>
    <mergeCell ref="X6826:X6827"/>
    <mergeCell ref="Y6826:Y6827"/>
    <mergeCell ref="Z6826:Z6827"/>
    <mergeCell ref="AA6826:AA6827"/>
    <mergeCell ref="AB6826:AB6827"/>
    <mergeCell ref="A6828:A6829"/>
    <mergeCell ref="E6828:E6829"/>
    <mergeCell ref="H6828:H6829"/>
    <mergeCell ref="I6828:I6829"/>
    <mergeCell ref="J6828:J6829"/>
    <mergeCell ref="K6828:K6829"/>
    <mergeCell ref="L6828:L6829"/>
    <mergeCell ref="M6828:M6829"/>
    <mergeCell ref="N6828:N6829"/>
    <mergeCell ref="O6828:O6829"/>
    <mergeCell ref="X6828:X6829"/>
    <mergeCell ref="Y6828:Y6829"/>
    <mergeCell ref="Z6828:Z6829"/>
    <mergeCell ref="AA6828:AA6829"/>
    <mergeCell ref="AB6828:AB6829"/>
    <mergeCell ref="A6822:A6823"/>
    <mergeCell ref="E6822:E6823"/>
    <mergeCell ref="H6822:H6823"/>
    <mergeCell ref="I6822:I6823"/>
    <mergeCell ref="J6822:J6823"/>
    <mergeCell ref="K6822:K6823"/>
    <mergeCell ref="L6822:L6823"/>
    <mergeCell ref="M6822:M6823"/>
    <mergeCell ref="N6822:N6823"/>
    <mergeCell ref="O6822:O6823"/>
    <mergeCell ref="X6822:X6823"/>
    <mergeCell ref="Y6822:Y6823"/>
    <mergeCell ref="Z6822:Z6823"/>
    <mergeCell ref="AA6822:AA6823"/>
    <mergeCell ref="AB6822:AB6823"/>
    <mergeCell ref="A6824:A6825"/>
    <mergeCell ref="E6824:E6825"/>
    <mergeCell ref="H6824:H6825"/>
    <mergeCell ref="I6824:I6825"/>
    <mergeCell ref="J6824:J6825"/>
    <mergeCell ref="K6824:K6825"/>
    <mergeCell ref="L6824:L6825"/>
    <mergeCell ref="M6824:M6825"/>
    <mergeCell ref="N6824:N6825"/>
    <mergeCell ref="O6824:O6825"/>
    <mergeCell ref="X6824:X6825"/>
    <mergeCell ref="Y6824:Y6825"/>
    <mergeCell ref="Z6824:Z6825"/>
    <mergeCell ref="AA6824:AA6825"/>
    <mergeCell ref="AB6824:AB6825"/>
    <mergeCell ref="A6818:A6819"/>
    <mergeCell ref="E6818:E6819"/>
    <mergeCell ref="H6818:H6819"/>
    <mergeCell ref="I6818:I6819"/>
    <mergeCell ref="J6818:J6819"/>
    <mergeCell ref="K6818:K6819"/>
    <mergeCell ref="L6818:L6819"/>
    <mergeCell ref="M6818:M6819"/>
    <mergeCell ref="N6818:N6819"/>
    <mergeCell ref="O6818:O6819"/>
    <mergeCell ref="X6818:X6819"/>
    <mergeCell ref="Y6818:Y6819"/>
    <mergeCell ref="Z6818:Z6819"/>
    <mergeCell ref="AA6818:AA6819"/>
    <mergeCell ref="AB6818:AB6819"/>
    <mergeCell ref="A6820:A6821"/>
    <mergeCell ref="E6820:E6821"/>
    <mergeCell ref="H6820:H6821"/>
    <mergeCell ref="I6820:I6821"/>
    <mergeCell ref="J6820:J6821"/>
    <mergeCell ref="K6820:K6821"/>
    <mergeCell ref="L6820:L6821"/>
    <mergeCell ref="M6820:M6821"/>
    <mergeCell ref="N6820:N6821"/>
    <mergeCell ref="O6820:O6821"/>
    <mergeCell ref="X6820:X6821"/>
    <mergeCell ref="Y6820:Y6821"/>
    <mergeCell ref="Z6820:Z6821"/>
    <mergeCell ref="AA6820:AA6821"/>
    <mergeCell ref="AB6820:AB6821"/>
    <mergeCell ref="A6814:A6815"/>
    <mergeCell ref="E6814:E6815"/>
    <mergeCell ref="H6814:H6815"/>
    <mergeCell ref="I6814:I6815"/>
    <mergeCell ref="J6814:J6815"/>
    <mergeCell ref="K6814:K6815"/>
    <mergeCell ref="L6814:L6815"/>
    <mergeCell ref="M6814:M6815"/>
    <mergeCell ref="N6814:N6815"/>
    <mergeCell ref="O6814:O6815"/>
    <mergeCell ref="X6814:X6815"/>
    <mergeCell ref="Y6814:Y6815"/>
    <mergeCell ref="Z6814:Z6815"/>
    <mergeCell ref="AA6814:AA6815"/>
    <mergeCell ref="AB6814:AB6815"/>
    <mergeCell ref="A6816:A6817"/>
    <mergeCell ref="E6816:E6817"/>
    <mergeCell ref="H6816:H6817"/>
    <mergeCell ref="I6816:I6817"/>
    <mergeCell ref="J6816:J6817"/>
    <mergeCell ref="K6816:K6817"/>
    <mergeCell ref="L6816:L6817"/>
    <mergeCell ref="M6816:M6817"/>
    <mergeCell ref="N6816:N6817"/>
    <mergeCell ref="O6816:O6817"/>
    <mergeCell ref="X6816:X6817"/>
    <mergeCell ref="Y6816:Y6817"/>
    <mergeCell ref="Z6816:Z6817"/>
    <mergeCell ref="AA6816:AA6817"/>
    <mergeCell ref="AB6816:AB6817"/>
    <mergeCell ref="A6810:A6811"/>
    <mergeCell ref="E6810:E6811"/>
    <mergeCell ref="H6810:H6811"/>
    <mergeCell ref="I6810:I6811"/>
    <mergeCell ref="J6810:J6811"/>
    <mergeCell ref="K6810:K6811"/>
    <mergeCell ref="L6810:L6811"/>
    <mergeCell ref="M6810:M6811"/>
    <mergeCell ref="N6810:N6811"/>
    <mergeCell ref="O6810:O6811"/>
    <mergeCell ref="X6810:X6811"/>
    <mergeCell ref="Y6810:Y6811"/>
    <mergeCell ref="Z6810:Z6811"/>
    <mergeCell ref="AA6810:AA6811"/>
    <mergeCell ref="AB6810:AB6811"/>
    <mergeCell ref="A6812:A6813"/>
    <mergeCell ref="E6812:E6813"/>
    <mergeCell ref="H6812:H6813"/>
    <mergeCell ref="I6812:I6813"/>
    <mergeCell ref="J6812:J6813"/>
    <mergeCell ref="K6812:K6813"/>
    <mergeCell ref="L6812:L6813"/>
    <mergeCell ref="M6812:M6813"/>
    <mergeCell ref="N6812:N6813"/>
    <mergeCell ref="O6812:O6813"/>
    <mergeCell ref="X6812:X6813"/>
    <mergeCell ref="Y6812:Y6813"/>
    <mergeCell ref="Z6812:Z6813"/>
    <mergeCell ref="AA6812:AA6813"/>
    <mergeCell ref="AB6812:AB6813"/>
    <mergeCell ref="A6806:A6807"/>
    <mergeCell ref="E6806:E6807"/>
    <mergeCell ref="H6806:H6807"/>
    <mergeCell ref="I6806:I6807"/>
    <mergeCell ref="J6806:J6807"/>
    <mergeCell ref="K6806:K6807"/>
    <mergeCell ref="L6806:L6807"/>
    <mergeCell ref="M6806:M6807"/>
    <mergeCell ref="N6806:N6807"/>
    <mergeCell ref="O6806:O6807"/>
    <mergeCell ref="X6806:X6807"/>
    <mergeCell ref="Y6806:Y6807"/>
    <mergeCell ref="Z6806:Z6807"/>
    <mergeCell ref="AA6806:AA6807"/>
    <mergeCell ref="AB6806:AB6807"/>
    <mergeCell ref="A6808:A6809"/>
    <mergeCell ref="E6808:E6809"/>
    <mergeCell ref="H6808:H6809"/>
    <mergeCell ref="I6808:I6809"/>
    <mergeCell ref="J6808:J6809"/>
    <mergeCell ref="K6808:K6809"/>
    <mergeCell ref="L6808:L6809"/>
    <mergeCell ref="M6808:M6809"/>
    <mergeCell ref="N6808:N6809"/>
    <mergeCell ref="O6808:O6809"/>
    <mergeCell ref="X6808:X6809"/>
    <mergeCell ref="Y6808:Y6809"/>
    <mergeCell ref="Z6808:Z6809"/>
    <mergeCell ref="AA6808:AA6809"/>
    <mergeCell ref="AB6808:AB6809"/>
    <mergeCell ref="A6802:A6803"/>
    <mergeCell ref="E6802:E6803"/>
    <mergeCell ref="H6802:H6803"/>
    <mergeCell ref="I6802:I6803"/>
    <mergeCell ref="J6802:J6803"/>
    <mergeCell ref="K6802:K6803"/>
    <mergeCell ref="L6802:L6803"/>
    <mergeCell ref="M6802:M6803"/>
    <mergeCell ref="N6802:N6803"/>
    <mergeCell ref="O6802:O6803"/>
    <mergeCell ref="X6802:X6803"/>
    <mergeCell ref="Y6802:Y6803"/>
    <mergeCell ref="Z6802:Z6803"/>
    <mergeCell ref="AA6802:AA6803"/>
    <mergeCell ref="AB6802:AB6803"/>
    <mergeCell ref="A6804:A6805"/>
    <mergeCell ref="E6804:E6805"/>
    <mergeCell ref="H6804:H6805"/>
    <mergeCell ref="I6804:I6805"/>
    <mergeCell ref="J6804:J6805"/>
    <mergeCell ref="K6804:K6805"/>
    <mergeCell ref="L6804:L6805"/>
    <mergeCell ref="M6804:M6805"/>
    <mergeCell ref="N6804:N6805"/>
    <mergeCell ref="O6804:O6805"/>
    <mergeCell ref="X6804:X6805"/>
    <mergeCell ref="Y6804:Y6805"/>
    <mergeCell ref="Z6804:Z6805"/>
    <mergeCell ref="AA6804:AA6805"/>
    <mergeCell ref="AB6804:AB6805"/>
    <mergeCell ref="A6798:A6799"/>
    <mergeCell ref="E6798:E6799"/>
    <mergeCell ref="H6798:H6799"/>
    <mergeCell ref="I6798:I6799"/>
    <mergeCell ref="J6798:J6799"/>
    <mergeCell ref="K6798:K6799"/>
    <mergeCell ref="L6798:L6799"/>
    <mergeCell ref="M6798:M6799"/>
    <mergeCell ref="N6798:N6799"/>
    <mergeCell ref="O6798:O6799"/>
    <mergeCell ref="X6798:X6799"/>
    <mergeCell ref="Y6798:Y6799"/>
    <mergeCell ref="Z6798:Z6799"/>
    <mergeCell ref="AA6798:AA6799"/>
    <mergeCell ref="AB6798:AB6799"/>
    <mergeCell ref="A6800:A6801"/>
    <mergeCell ref="E6800:E6801"/>
    <mergeCell ref="H6800:H6801"/>
    <mergeCell ref="I6800:I6801"/>
    <mergeCell ref="J6800:J6801"/>
    <mergeCell ref="K6800:K6801"/>
    <mergeCell ref="L6800:L6801"/>
    <mergeCell ref="M6800:M6801"/>
    <mergeCell ref="N6800:N6801"/>
    <mergeCell ref="O6800:O6801"/>
    <mergeCell ref="X6800:X6801"/>
    <mergeCell ref="Y6800:Y6801"/>
    <mergeCell ref="Z6800:Z6801"/>
    <mergeCell ref="AA6800:AA6801"/>
    <mergeCell ref="AB6800:AB6801"/>
    <mergeCell ref="A6794:A6795"/>
    <mergeCell ref="E6794:E6795"/>
    <mergeCell ref="H6794:H6795"/>
    <mergeCell ref="I6794:I6795"/>
    <mergeCell ref="J6794:J6795"/>
    <mergeCell ref="K6794:K6795"/>
    <mergeCell ref="L6794:L6795"/>
    <mergeCell ref="M6794:M6795"/>
    <mergeCell ref="N6794:N6795"/>
    <mergeCell ref="O6794:O6795"/>
    <mergeCell ref="X6794:X6795"/>
    <mergeCell ref="Y6794:Y6795"/>
    <mergeCell ref="Z6794:Z6795"/>
    <mergeCell ref="AA6794:AA6795"/>
    <mergeCell ref="AB6794:AB6795"/>
    <mergeCell ref="A6796:A6797"/>
    <mergeCell ref="E6796:E6797"/>
    <mergeCell ref="H6796:H6797"/>
    <mergeCell ref="I6796:I6797"/>
    <mergeCell ref="J6796:J6797"/>
    <mergeCell ref="K6796:K6797"/>
    <mergeCell ref="L6796:L6797"/>
    <mergeCell ref="M6796:M6797"/>
    <mergeCell ref="N6796:N6797"/>
    <mergeCell ref="O6796:O6797"/>
    <mergeCell ref="X6796:X6797"/>
    <mergeCell ref="Y6796:Y6797"/>
    <mergeCell ref="Z6796:Z6797"/>
    <mergeCell ref="AA6796:AA6797"/>
    <mergeCell ref="AB6796:AB6797"/>
    <mergeCell ref="A6790:A6791"/>
    <mergeCell ref="E6790:E6791"/>
    <mergeCell ref="H6790:H6791"/>
    <mergeCell ref="I6790:I6791"/>
    <mergeCell ref="J6790:J6791"/>
    <mergeCell ref="K6790:K6791"/>
    <mergeCell ref="L6790:L6791"/>
    <mergeCell ref="M6790:M6791"/>
    <mergeCell ref="N6790:N6791"/>
    <mergeCell ref="O6790:O6791"/>
    <mergeCell ref="X6790:X6791"/>
    <mergeCell ref="Y6790:Y6791"/>
    <mergeCell ref="Z6790:Z6791"/>
    <mergeCell ref="AA6790:AA6791"/>
    <mergeCell ref="AB6790:AB6791"/>
    <mergeCell ref="A6792:A6793"/>
    <mergeCell ref="E6792:E6793"/>
    <mergeCell ref="H6792:H6793"/>
    <mergeCell ref="I6792:I6793"/>
    <mergeCell ref="J6792:J6793"/>
    <mergeCell ref="K6792:K6793"/>
    <mergeCell ref="L6792:L6793"/>
    <mergeCell ref="M6792:M6793"/>
    <mergeCell ref="N6792:N6793"/>
    <mergeCell ref="O6792:O6793"/>
    <mergeCell ref="X6792:X6793"/>
    <mergeCell ref="Y6792:Y6793"/>
    <mergeCell ref="Z6792:Z6793"/>
    <mergeCell ref="AA6792:AA6793"/>
    <mergeCell ref="AB6792:AB6793"/>
    <mergeCell ref="A6786:A6787"/>
    <mergeCell ref="E6786:E6787"/>
    <mergeCell ref="H6786:H6787"/>
    <mergeCell ref="I6786:I6787"/>
    <mergeCell ref="J6786:J6787"/>
    <mergeCell ref="K6786:K6787"/>
    <mergeCell ref="L6786:L6787"/>
    <mergeCell ref="M6786:M6787"/>
    <mergeCell ref="N6786:N6787"/>
    <mergeCell ref="O6786:O6787"/>
    <mergeCell ref="X6786:X6787"/>
    <mergeCell ref="Y6786:Y6787"/>
    <mergeCell ref="Z6786:Z6787"/>
    <mergeCell ref="AA6786:AA6787"/>
    <mergeCell ref="AB6786:AB6787"/>
    <mergeCell ref="A6788:A6789"/>
    <mergeCell ref="E6788:E6789"/>
    <mergeCell ref="H6788:H6789"/>
    <mergeCell ref="I6788:I6789"/>
    <mergeCell ref="J6788:J6789"/>
    <mergeCell ref="K6788:K6789"/>
    <mergeCell ref="L6788:L6789"/>
    <mergeCell ref="M6788:M6789"/>
    <mergeCell ref="N6788:N6789"/>
    <mergeCell ref="O6788:O6789"/>
    <mergeCell ref="X6788:X6789"/>
    <mergeCell ref="Y6788:Y6789"/>
    <mergeCell ref="Z6788:Z6789"/>
    <mergeCell ref="AA6788:AA6789"/>
    <mergeCell ref="AB6788:AB6789"/>
    <mergeCell ref="A6782:A6783"/>
    <mergeCell ref="E6782:E6783"/>
    <mergeCell ref="H6782:H6783"/>
    <mergeCell ref="I6782:I6783"/>
    <mergeCell ref="J6782:J6783"/>
    <mergeCell ref="K6782:K6783"/>
    <mergeCell ref="L6782:L6783"/>
    <mergeCell ref="M6782:M6783"/>
    <mergeCell ref="N6782:N6783"/>
    <mergeCell ref="O6782:O6783"/>
    <mergeCell ref="X6782:X6783"/>
    <mergeCell ref="Y6782:Y6783"/>
    <mergeCell ref="Z6782:Z6783"/>
    <mergeCell ref="AA6782:AA6783"/>
    <mergeCell ref="AB6782:AB6783"/>
    <mergeCell ref="A6784:A6785"/>
    <mergeCell ref="E6784:E6785"/>
    <mergeCell ref="H6784:H6785"/>
    <mergeCell ref="I6784:I6785"/>
    <mergeCell ref="J6784:J6785"/>
    <mergeCell ref="K6784:K6785"/>
    <mergeCell ref="L6784:L6785"/>
    <mergeCell ref="M6784:M6785"/>
    <mergeCell ref="N6784:N6785"/>
    <mergeCell ref="O6784:O6785"/>
    <mergeCell ref="X6784:X6785"/>
    <mergeCell ref="Y6784:Y6785"/>
    <mergeCell ref="Z6784:Z6785"/>
    <mergeCell ref="AA6784:AA6785"/>
    <mergeCell ref="AB6784:AB6785"/>
    <mergeCell ref="A6778:A6779"/>
    <mergeCell ref="E6778:E6779"/>
    <mergeCell ref="H6778:H6779"/>
    <mergeCell ref="I6778:I6779"/>
    <mergeCell ref="J6778:J6779"/>
    <mergeCell ref="K6778:K6779"/>
    <mergeCell ref="L6778:L6779"/>
    <mergeCell ref="M6778:M6779"/>
    <mergeCell ref="N6778:N6779"/>
    <mergeCell ref="O6778:O6779"/>
    <mergeCell ref="X6778:X6779"/>
    <mergeCell ref="Y6778:Y6779"/>
    <mergeCell ref="Z6778:Z6779"/>
    <mergeCell ref="AA6778:AA6779"/>
    <mergeCell ref="AB6778:AB6779"/>
    <mergeCell ref="A6780:A6781"/>
    <mergeCell ref="E6780:E6781"/>
    <mergeCell ref="H6780:H6781"/>
    <mergeCell ref="I6780:I6781"/>
    <mergeCell ref="J6780:J6781"/>
    <mergeCell ref="K6780:K6781"/>
    <mergeCell ref="L6780:L6781"/>
    <mergeCell ref="M6780:M6781"/>
    <mergeCell ref="N6780:N6781"/>
    <mergeCell ref="O6780:O6781"/>
    <mergeCell ref="X6780:X6781"/>
    <mergeCell ref="Y6780:Y6781"/>
    <mergeCell ref="Z6780:Z6781"/>
    <mergeCell ref="AA6780:AA6781"/>
    <mergeCell ref="AB6780:AB6781"/>
    <mergeCell ref="A6774:A6775"/>
    <mergeCell ref="E6774:E6775"/>
    <mergeCell ref="H6774:H6775"/>
    <mergeCell ref="I6774:I6775"/>
    <mergeCell ref="J6774:J6775"/>
    <mergeCell ref="K6774:K6775"/>
    <mergeCell ref="L6774:L6775"/>
    <mergeCell ref="M6774:M6775"/>
    <mergeCell ref="N6774:N6775"/>
    <mergeCell ref="O6774:O6775"/>
    <mergeCell ref="X6774:X6775"/>
    <mergeCell ref="Y6774:Y6775"/>
    <mergeCell ref="Z6774:Z6775"/>
    <mergeCell ref="AA6774:AA6775"/>
    <mergeCell ref="AB6774:AB6775"/>
    <mergeCell ref="A6776:A6777"/>
    <mergeCell ref="E6776:E6777"/>
    <mergeCell ref="H6776:H6777"/>
    <mergeCell ref="I6776:I6777"/>
    <mergeCell ref="J6776:J6777"/>
    <mergeCell ref="K6776:K6777"/>
    <mergeCell ref="L6776:L6777"/>
    <mergeCell ref="M6776:M6777"/>
    <mergeCell ref="N6776:N6777"/>
    <mergeCell ref="O6776:O6777"/>
    <mergeCell ref="X6776:X6777"/>
    <mergeCell ref="Y6776:Y6777"/>
    <mergeCell ref="Z6776:Z6777"/>
    <mergeCell ref="AA6776:AA6777"/>
    <mergeCell ref="AB6776:AB6777"/>
    <mergeCell ref="A6770:A6771"/>
    <mergeCell ref="E6770:E6771"/>
    <mergeCell ref="H6770:H6771"/>
    <mergeCell ref="I6770:I6771"/>
    <mergeCell ref="J6770:J6771"/>
    <mergeCell ref="K6770:K6771"/>
    <mergeCell ref="L6770:L6771"/>
    <mergeCell ref="M6770:M6771"/>
    <mergeCell ref="N6770:N6771"/>
    <mergeCell ref="O6770:O6771"/>
    <mergeCell ref="X6770:X6771"/>
    <mergeCell ref="Y6770:Y6771"/>
    <mergeCell ref="Z6770:Z6771"/>
    <mergeCell ref="AA6770:AA6771"/>
    <mergeCell ref="AB6770:AB6771"/>
    <mergeCell ref="A6772:A6773"/>
    <mergeCell ref="E6772:E6773"/>
    <mergeCell ref="H6772:H6773"/>
    <mergeCell ref="I6772:I6773"/>
    <mergeCell ref="J6772:J6773"/>
    <mergeCell ref="K6772:K6773"/>
    <mergeCell ref="L6772:L6773"/>
    <mergeCell ref="M6772:M6773"/>
    <mergeCell ref="N6772:N6773"/>
    <mergeCell ref="O6772:O6773"/>
    <mergeCell ref="X6772:X6773"/>
    <mergeCell ref="Y6772:Y6773"/>
    <mergeCell ref="Z6772:Z6773"/>
    <mergeCell ref="AA6772:AA6773"/>
    <mergeCell ref="AB6772:AB6773"/>
    <mergeCell ref="A6766:A6767"/>
    <mergeCell ref="E6766:E6767"/>
    <mergeCell ref="H6766:H6767"/>
    <mergeCell ref="I6766:I6767"/>
    <mergeCell ref="J6766:J6767"/>
    <mergeCell ref="K6766:K6767"/>
    <mergeCell ref="L6766:L6767"/>
    <mergeCell ref="M6766:M6767"/>
    <mergeCell ref="N6766:N6767"/>
    <mergeCell ref="O6766:O6767"/>
    <mergeCell ref="X6766:X6767"/>
    <mergeCell ref="Y6766:Y6767"/>
    <mergeCell ref="Z6766:Z6767"/>
    <mergeCell ref="AA6766:AA6767"/>
    <mergeCell ref="AB6766:AB6767"/>
    <mergeCell ref="A6768:A6769"/>
    <mergeCell ref="E6768:E6769"/>
    <mergeCell ref="H6768:H6769"/>
    <mergeCell ref="I6768:I6769"/>
    <mergeCell ref="J6768:J6769"/>
    <mergeCell ref="K6768:K6769"/>
    <mergeCell ref="L6768:L6769"/>
    <mergeCell ref="M6768:M6769"/>
    <mergeCell ref="N6768:N6769"/>
    <mergeCell ref="O6768:O6769"/>
    <mergeCell ref="X6768:X6769"/>
    <mergeCell ref="Y6768:Y6769"/>
    <mergeCell ref="Z6768:Z6769"/>
    <mergeCell ref="AA6768:AA6769"/>
    <mergeCell ref="AB6768:AB6769"/>
    <mergeCell ref="A6762:A6763"/>
    <mergeCell ref="E6762:E6763"/>
    <mergeCell ref="H6762:H6763"/>
    <mergeCell ref="I6762:I6763"/>
    <mergeCell ref="J6762:J6763"/>
    <mergeCell ref="K6762:K6763"/>
    <mergeCell ref="L6762:L6763"/>
    <mergeCell ref="M6762:M6763"/>
    <mergeCell ref="N6762:N6763"/>
    <mergeCell ref="O6762:O6763"/>
    <mergeCell ref="X6762:X6763"/>
    <mergeCell ref="Y6762:Y6763"/>
    <mergeCell ref="Z6762:Z6763"/>
    <mergeCell ref="AA6762:AA6763"/>
    <mergeCell ref="AB6762:AB6763"/>
    <mergeCell ref="A6764:A6765"/>
    <mergeCell ref="E6764:E6765"/>
    <mergeCell ref="H6764:H6765"/>
    <mergeCell ref="I6764:I6765"/>
    <mergeCell ref="J6764:J6765"/>
    <mergeCell ref="K6764:K6765"/>
    <mergeCell ref="L6764:L6765"/>
    <mergeCell ref="M6764:M6765"/>
    <mergeCell ref="N6764:N6765"/>
    <mergeCell ref="O6764:O6765"/>
    <mergeCell ref="X6764:X6765"/>
    <mergeCell ref="Y6764:Y6765"/>
    <mergeCell ref="Z6764:Z6765"/>
    <mergeCell ref="AA6764:AA6765"/>
    <mergeCell ref="AB6764:AB6765"/>
    <mergeCell ref="A6758:A6759"/>
    <mergeCell ref="E6758:E6759"/>
    <mergeCell ref="H6758:H6759"/>
    <mergeCell ref="I6758:I6759"/>
    <mergeCell ref="J6758:J6759"/>
    <mergeCell ref="K6758:K6759"/>
    <mergeCell ref="L6758:L6759"/>
    <mergeCell ref="M6758:M6759"/>
    <mergeCell ref="N6758:N6759"/>
    <mergeCell ref="O6758:O6759"/>
    <mergeCell ref="X6758:X6759"/>
    <mergeCell ref="Y6758:Y6759"/>
    <mergeCell ref="Z6758:Z6759"/>
    <mergeCell ref="AA6758:AA6759"/>
    <mergeCell ref="AB6758:AB6759"/>
    <mergeCell ref="A6760:A6761"/>
    <mergeCell ref="E6760:E6761"/>
    <mergeCell ref="H6760:H6761"/>
    <mergeCell ref="I6760:I6761"/>
    <mergeCell ref="J6760:J6761"/>
    <mergeCell ref="K6760:K6761"/>
    <mergeCell ref="L6760:L6761"/>
    <mergeCell ref="M6760:M6761"/>
    <mergeCell ref="N6760:N6761"/>
    <mergeCell ref="O6760:O6761"/>
    <mergeCell ref="X6760:X6761"/>
    <mergeCell ref="Y6760:Y6761"/>
    <mergeCell ref="Z6760:Z6761"/>
    <mergeCell ref="AA6760:AA6761"/>
    <mergeCell ref="AB6760:AB6761"/>
    <mergeCell ref="A6754:A6755"/>
    <mergeCell ref="E6754:E6755"/>
    <mergeCell ref="H6754:H6755"/>
    <mergeCell ref="I6754:I6755"/>
    <mergeCell ref="J6754:J6755"/>
    <mergeCell ref="K6754:K6755"/>
    <mergeCell ref="L6754:L6755"/>
    <mergeCell ref="M6754:M6755"/>
    <mergeCell ref="N6754:N6755"/>
    <mergeCell ref="O6754:O6755"/>
    <mergeCell ref="X6754:X6755"/>
    <mergeCell ref="Y6754:Y6755"/>
    <mergeCell ref="Z6754:Z6755"/>
    <mergeCell ref="AA6754:AA6755"/>
    <mergeCell ref="AB6754:AB6755"/>
    <mergeCell ref="A6756:A6757"/>
    <mergeCell ref="E6756:E6757"/>
    <mergeCell ref="H6756:H6757"/>
    <mergeCell ref="I6756:I6757"/>
    <mergeCell ref="J6756:J6757"/>
    <mergeCell ref="K6756:K6757"/>
    <mergeCell ref="L6756:L6757"/>
    <mergeCell ref="M6756:M6757"/>
    <mergeCell ref="N6756:N6757"/>
    <mergeCell ref="O6756:O6757"/>
    <mergeCell ref="X6756:X6757"/>
    <mergeCell ref="Y6756:Y6757"/>
    <mergeCell ref="Z6756:Z6757"/>
    <mergeCell ref="AA6756:AA6757"/>
    <mergeCell ref="AB6756:AB6757"/>
    <mergeCell ref="A6750:A6751"/>
    <mergeCell ref="E6750:E6751"/>
    <mergeCell ref="H6750:H6751"/>
    <mergeCell ref="I6750:I6751"/>
    <mergeCell ref="J6750:J6751"/>
    <mergeCell ref="K6750:K6751"/>
    <mergeCell ref="L6750:L6751"/>
    <mergeCell ref="M6750:M6751"/>
    <mergeCell ref="N6750:N6751"/>
    <mergeCell ref="O6750:O6751"/>
    <mergeCell ref="X6750:X6751"/>
    <mergeCell ref="Y6750:Y6751"/>
    <mergeCell ref="Z6750:Z6751"/>
    <mergeCell ref="AA6750:AA6751"/>
    <mergeCell ref="AB6750:AB6751"/>
    <mergeCell ref="A6752:A6753"/>
    <mergeCell ref="E6752:E6753"/>
    <mergeCell ref="H6752:H6753"/>
    <mergeCell ref="I6752:I6753"/>
    <mergeCell ref="J6752:J6753"/>
    <mergeCell ref="K6752:K6753"/>
    <mergeCell ref="L6752:L6753"/>
    <mergeCell ref="M6752:M6753"/>
    <mergeCell ref="N6752:N6753"/>
    <mergeCell ref="O6752:O6753"/>
    <mergeCell ref="X6752:X6753"/>
    <mergeCell ref="Y6752:Y6753"/>
    <mergeCell ref="Z6752:Z6753"/>
    <mergeCell ref="AA6752:AA6753"/>
    <mergeCell ref="AB6752:AB6753"/>
    <mergeCell ref="A6746:A6747"/>
    <mergeCell ref="E6746:E6747"/>
    <mergeCell ref="H6746:H6747"/>
    <mergeCell ref="I6746:I6747"/>
    <mergeCell ref="J6746:J6747"/>
    <mergeCell ref="K6746:K6747"/>
    <mergeCell ref="L6746:L6747"/>
    <mergeCell ref="M6746:M6747"/>
    <mergeCell ref="N6746:N6747"/>
    <mergeCell ref="O6746:O6747"/>
    <mergeCell ref="X6746:X6747"/>
    <mergeCell ref="Y6746:Y6747"/>
    <mergeCell ref="Z6746:Z6747"/>
    <mergeCell ref="AA6746:AA6747"/>
    <mergeCell ref="AB6746:AB6747"/>
    <mergeCell ref="A6748:A6749"/>
    <mergeCell ref="E6748:E6749"/>
    <mergeCell ref="H6748:H6749"/>
    <mergeCell ref="I6748:I6749"/>
    <mergeCell ref="J6748:J6749"/>
    <mergeCell ref="K6748:K6749"/>
    <mergeCell ref="L6748:L6749"/>
    <mergeCell ref="M6748:M6749"/>
    <mergeCell ref="N6748:N6749"/>
    <mergeCell ref="O6748:O6749"/>
    <mergeCell ref="X6748:X6749"/>
    <mergeCell ref="Y6748:Y6749"/>
    <mergeCell ref="Z6748:Z6749"/>
    <mergeCell ref="AA6748:AA6749"/>
    <mergeCell ref="AB6748:AB6749"/>
    <mergeCell ref="A6742:A6743"/>
    <mergeCell ref="E6742:E6743"/>
    <mergeCell ref="H6742:H6743"/>
    <mergeCell ref="I6742:I6743"/>
    <mergeCell ref="J6742:J6743"/>
    <mergeCell ref="K6742:K6743"/>
    <mergeCell ref="L6742:L6743"/>
    <mergeCell ref="M6742:M6743"/>
    <mergeCell ref="N6742:N6743"/>
    <mergeCell ref="O6742:O6743"/>
    <mergeCell ref="X6742:X6743"/>
    <mergeCell ref="Y6742:Y6743"/>
    <mergeCell ref="Z6742:Z6743"/>
    <mergeCell ref="AA6742:AA6743"/>
    <mergeCell ref="AB6742:AB6743"/>
    <mergeCell ref="A6744:A6745"/>
    <mergeCell ref="E6744:E6745"/>
    <mergeCell ref="H6744:H6745"/>
    <mergeCell ref="I6744:I6745"/>
    <mergeCell ref="J6744:J6745"/>
    <mergeCell ref="K6744:K6745"/>
    <mergeCell ref="L6744:L6745"/>
    <mergeCell ref="M6744:M6745"/>
    <mergeCell ref="N6744:N6745"/>
    <mergeCell ref="O6744:O6745"/>
    <mergeCell ref="X6744:X6745"/>
    <mergeCell ref="Y6744:Y6745"/>
    <mergeCell ref="Z6744:Z6745"/>
    <mergeCell ref="AA6744:AA6745"/>
    <mergeCell ref="AB6744:AB6745"/>
    <mergeCell ref="A6698:A6699"/>
    <mergeCell ref="E6698:E6699"/>
    <mergeCell ref="H6698:H6699"/>
    <mergeCell ref="I6698:I6699"/>
    <mergeCell ref="J6698:J6699"/>
    <mergeCell ref="K6698:K6699"/>
    <mergeCell ref="L6698:L6699"/>
    <mergeCell ref="M6698:M6699"/>
    <mergeCell ref="N6698:N6699"/>
    <mergeCell ref="O6698:O6699"/>
    <mergeCell ref="X6698:X6699"/>
    <mergeCell ref="Y6698:Y6699"/>
    <mergeCell ref="Z6698:Z6699"/>
    <mergeCell ref="AA6698:AA6699"/>
    <mergeCell ref="AB6698:AB6699"/>
    <mergeCell ref="A6740:A6741"/>
    <mergeCell ref="E6740:E6741"/>
    <mergeCell ref="H6740:H6741"/>
    <mergeCell ref="I6740:I6741"/>
    <mergeCell ref="J6740:J6741"/>
    <mergeCell ref="K6740:K6741"/>
    <mergeCell ref="L6740:L6741"/>
    <mergeCell ref="M6740:M6741"/>
    <mergeCell ref="N6740:N6741"/>
    <mergeCell ref="O6740:O6741"/>
    <mergeCell ref="X6740:X6741"/>
    <mergeCell ref="Y6740:Y6741"/>
    <mergeCell ref="Z6740:Z6741"/>
    <mergeCell ref="AA6740:AA6741"/>
    <mergeCell ref="AB6740:AB6741"/>
    <mergeCell ref="A6736:A6737"/>
    <mergeCell ref="E6736:E6737"/>
    <mergeCell ref="H6736:H6737"/>
    <mergeCell ref="I6736:I6737"/>
    <mergeCell ref="J6736:J6737"/>
    <mergeCell ref="K6736:K6737"/>
    <mergeCell ref="L6736:L6737"/>
    <mergeCell ref="M6736:M6737"/>
    <mergeCell ref="N6736:N6737"/>
    <mergeCell ref="O6736:O6737"/>
    <mergeCell ref="X6736:X6737"/>
    <mergeCell ref="Y6736:Y6737"/>
    <mergeCell ref="Z6736:Z6737"/>
    <mergeCell ref="AA6736:AA6737"/>
    <mergeCell ref="AB6736:AB6737"/>
    <mergeCell ref="A6738:A6739"/>
    <mergeCell ref="E6738:E6739"/>
    <mergeCell ref="H6738:H6739"/>
    <mergeCell ref="I6738:I6739"/>
    <mergeCell ref="J6738:J6739"/>
    <mergeCell ref="K6738:K6739"/>
    <mergeCell ref="L6738:L6739"/>
    <mergeCell ref="M6738:M6739"/>
    <mergeCell ref="N6738:N6739"/>
    <mergeCell ref="O6738:O6739"/>
    <mergeCell ref="X6738:X6739"/>
    <mergeCell ref="Y6738:Y6739"/>
    <mergeCell ref="Z6738:Z6739"/>
    <mergeCell ref="AA6738:AA6739"/>
    <mergeCell ref="AB6738:AB6739"/>
    <mergeCell ref="A6732:A6733"/>
    <mergeCell ref="E6732:E6733"/>
    <mergeCell ref="H6732:H6733"/>
    <mergeCell ref="I6732:I6733"/>
    <mergeCell ref="J6732:J6733"/>
    <mergeCell ref="K6732:K6733"/>
    <mergeCell ref="L6732:L6733"/>
    <mergeCell ref="M6732:M6733"/>
    <mergeCell ref="N6732:N6733"/>
    <mergeCell ref="O6732:O6733"/>
    <mergeCell ref="X6732:X6733"/>
    <mergeCell ref="Y6732:Y6733"/>
    <mergeCell ref="Z6732:Z6733"/>
    <mergeCell ref="AA6732:AA6733"/>
    <mergeCell ref="AB6732:AB6733"/>
    <mergeCell ref="A6734:A6735"/>
    <mergeCell ref="E6734:E6735"/>
    <mergeCell ref="H6734:H6735"/>
    <mergeCell ref="I6734:I6735"/>
    <mergeCell ref="J6734:J6735"/>
    <mergeCell ref="K6734:K6735"/>
    <mergeCell ref="L6734:L6735"/>
    <mergeCell ref="M6734:M6735"/>
    <mergeCell ref="N6734:N6735"/>
    <mergeCell ref="O6734:O6735"/>
    <mergeCell ref="X6734:X6735"/>
    <mergeCell ref="Y6734:Y6735"/>
    <mergeCell ref="Z6734:Z6735"/>
    <mergeCell ref="AA6734:AA6735"/>
    <mergeCell ref="AB6734:AB6735"/>
    <mergeCell ref="A6728:A6729"/>
    <mergeCell ref="E6728:E6729"/>
    <mergeCell ref="H6728:H6729"/>
    <mergeCell ref="I6728:I6729"/>
    <mergeCell ref="J6728:J6729"/>
    <mergeCell ref="K6728:K6729"/>
    <mergeCell ref="L6728:L6729"/>
    <mergeCell ref="M6728:M6729"/>
    <mergeCell ref="N6728:N6729"/>
    <mergeCell ref="O6728:O6729"/>
    <mergeCell ref="X6728:X6729"/>
    <mergeCell ref="Y6728:Y6729"/>
    <mergeCell ref="Z6728:Z6729"/>
    <mergeCell ref="AA6728:AA6729"/>
    <mergeCell ref="AB6728:AB6729"/>
    <mergeCell ref="A6730:A6731"/>
    <mergeCell ref="E6730:E6731"/>
    <mergeCell ref="H6730:H6731"/>
    <mergeCell ref="I6730:I6731"/>
    <mergeCell ref="J6730:J6731"/>
    <mergeCell ref="K6730:K6731"/>
    <mergeCell ref="L6730:L6731"/>
    <mergeCell ref="M6730:M6731"/>
    <mergeCell ref="N6730:N6731"/>
    <mergeCell ref="O6730:O6731"/>
    <mergeCell ref="X6730:X6731"/>
    <mergeCell ref="Y6730:Y6731"/>
    <mergeCell ref="Z6730:Z6731"/>
    <mergeCell ref="AA6730:AA6731"/>
    <mergeCell ref="AB6730:AB6731"/>
    <mergeCell ref="A6724:A6725"/>
    <mergeCell ref="E6724:E6725"/>
    <mergeCell ref="H6724:H6725"/>
    <mergeCell ref="I6724:I6725"/>
    <mergeCell ref="J6724:J6725"/>
    <mergeCell ref="K6724:K6725"/>
    <mergeCell ref="L6724:L6725"/>
    <mergeCell ref="M6724:M6725"/>
    <mergeCell ref="N6724:N6725"/>
    <mergeCell ref="O6724:O6725"/>
    <mergeCell ref="X6724:X6725"/>
    <mergeCell ref="Y6724:Y6725"/>
    <mergeCell ref="Z6724:Z6725"/>
    <mergeCell ref="AA6724:AA6725"/>
    <mergeCell ref="AB6724:AB6725"/>
    <mergeCell ref="A6726:A6727"/>
    <mergeCell ref="E6726:E6727"/>
    <mergeCell ref="H6726:H6727"/>
    <mergeCell ref="I6726:I6727"/>
    <mergeCell ref="J6726:J6727"/>
    <mergeCell ref="K6726:K6727"/>
    <mergeCell ref="L6726:L6727"/>
    <mergeCell ref="M6726:M6727"/>
    <mergeCell ref="N6726:N6727"/>
    <mergeCell ref="O6726:O6727"/>
    <mergeCell ref="X6726:X6727"/>
    <mergeCell ref="Y6726:Y6727"/>
    <mergeCell ref="Z6726:Z6727"/>
    <mergeCell ref="AA6726:AA6727"/>
    <mergeCell ref="AB6726:AB6727"/>
    <mergeCell ref="A6720:A6721"/>
    <mergeCell ref="E6720:E6721"/>
    <mergeCell ref="H6720:H6721"/>
    <mergeCell ref="I6720:I6721"/>
    <mergeCell ref="J6720:J6721"/>
    <mergeCell ref="K6720:K6721"/>
    <mergeCell ref="L6720:L6721"/>
    <mergeCell ref="M6720:M6721"/>
    <mergeCell ref="N6720:N6721"/>
    <mergeCell ref="O6720:O6721"/>
    <mergeCell ref="X6720:X6721"/>
    <mergeCell ref="Y6720:Y6721"/>
    <mergeCell ref="Z6720:Z6721"/>
    <mergeCell ref="AA6720:AA6721"/>
    <mergeCell ref="AB6720:AB6721"/>
    <mergeCell ref="A6722:A6723"/>
    <mergeCell ref="E6722:E6723"/>
    <mergeCell ref="H6722:H6723"/>
    <mergeCell ref="I6722:I6723"/>
    <mergeCell ref="J6722:J6723"/>
    <mergeCell ref="K6722:K6723"/>
    <mergeCell ref="L6722:L6723"/>
    <mergeCell ref="M6722:M6723"/>
    <mergeCell ref="N6722:N6723"/>
    <mergeCell ref="O6722:O6723"/>
    <mergeCell ref="X6722:X6723"/>
    <mergeCell ref="Y6722:Y6723"/>
    <mergeCell ref="Z6722:Z6723"/>
    <mergeCell ref="AA6722:AA6723"/>
    <mergeCell ref="AB6722:AB6723"/>
    <mergeCell ref="A6716:A6717"/>
    <mergeCell ref="E6716:E6717"/>
    <mergeCell ref="H6716:H6717"/>
    <mergeCell ref="I6716:I6717"/>
    <mergeCell ref="J6716:J6717"/>
    <mergeCell ref="K6716:K6717"/>
    <mergeCell ref="L6716:L6717"/>
    <mergeCell ref="M6716:M6717"/>
    <mergeCell ref="N6716:N6717"/>
    <mergeCell ref="O6716:O6717"/>
    <mergeCell ref="X6716:X6717"/>
    <mergeCell ref="Y6716:Y6717"/>
    <mergeCell ref="Z6716:Z6717"/>
    <mergeCell ref="AA6716:AA6717"/>
    <mergeCell ref="AB6716:AB6717"/>
    <mergeCell ref="A6718:A6719"/>
    <mergeCell ref="E6718:E6719"/>
    <mergeCell ref="H6718:H6719"/>
    <mergeCell ref="I6718:I6719"/>
    <mergeCell ref="J6718:J6719"/>
    <mergeCell ref="K6718:K6719"/>
    <mergeCell ref="L6718:L6719"/>
    <mergeCell ref="M6718:M6719"/>
    <mergeCell ref="N6718:N6719"/>
    <mergeCell ref="O6718:O6719"/>
    <mergeCell ref="X6718:X6719"/>
    <mergeCell ref="Y6718:Y6719"/>
    <mergeCell ref="Z6718:Z6719"/>
    <mergeCell ref="AA6718:AA6719"/>
    <mergeCell ref="AB6718:AB6719"/>
    <mergeCell ref="A6712:A6713"/>
    <mergeCell ref="E6712:E6713"/>
    <mergeCell ref="H6712:H6713"/>
    <mergeCell ref="I6712:I6713"/>
    <mergeCell ref="J6712:J6713"/>
    <mergeCell ref="K6712:K6713"/>
    <mergeCell ref="L6712:L6713"/>
    <mergeCell ref="M6712:M6713"/>
    <mergeCell ref="N6712:N6713"/>
    <mergeCell ref="O6712:O6713"/>
    <mergeCell ref="X6712:X6713"/>
    <mergeCell ref="Y6712:Y6713"/>
    <mergeCell ref="Z6712:Z6713"/>
    <mergeCell ref="AA6712:AA6713"/>
    <mergeCell ref="AB6712:AB6713"/>
    <mergeCell ref="A6714:A6715"/>
    <mergeCell ref="E6714:E6715"/>
    <mergeCell ref="H6714:H6715"/>
    <mergeCell ref="I6714:I6715"/>
    <mergeCell ref="J6714:J6715"/>
    <mergeCell ref="K6714:K6715"/>
    <mergeCell ref="L6714:L6715"/>
    <mergeCell ref="M6714:M6715"/>
    <mergeCell ref="N6714:N6715"/>
    <mergeCell ref="O6714:O6715"/>
    <mergeCell ref="X6714:X6715"/>
    <mergeCell ref="Y6714:Y6715"/>
    <mergeCell ref="Z6714:Z6715"/>
    <mergeCell ref="AA6714:AA6715"/>
    <mergeCell ref="AB6714:AB6715"/>
    <mergeCell ref="A6708:A6709"/>
    <mergeCell ref="E6708:E6709"/>
    <mergeCell ref="H6708:H6709"/>
    <mergeCell ref="I6708:I6709"/>
    <mergeCell ref="J6708:J6709"/>
    <mergeCell ref="K6708:K6709"/>
    <mergeCell ref="L6708:L6709"/>
    <mergeCell ref="M6708:M6709"/>
    <mergeCell ref="N6708:N6709"/>
    <mergeCell ref="O6708:O6709"/>
    <mergeCell ref="X6708:X6709"/>
    <mergeCell ref="Y6708:Y6709"/>
    <mergeCell ref="Z6708:Z6709"/>
    <mergeCell ref="AA6708:AA6709"/>
    <mergeCell ref="AB6708:AB6709"/>
    <mergeCell ref="A6710:A6711"/>
    <mergeCell ref="E6710:E6711"/>
    <mergeCell ref="H6710:H6711"/>
    <mergeCell ref="I6710:I6711"/>
    <mergeCell ref="J6710:J6711"/>
    <mergeCell ref="K6710:K6711"/>
    <mergeCell ref="L6710:L6711"/>
    <mergeCell ref="M6710:M6711"/>
    <mergeCell ref="N6710:N6711"/>
    <mergeCell ref="O6710:O6711"/>
    <mergeCell ref="X6710:X6711"/>
    <mergeCell ref="Y6710:Y6711"/>
    <mergeCell ref="Z6710:Z6711"/>
    <mergeCell ref="AA6710:AA6711"/>
    <mergeCell ref="AB6710:AB6711"/>
    <mergeCell ref="A6706:A6707"/>
    <mergeCell ref="E6706:E6707"/>
    <mergeCell ref="H6706:H6707"/>
    <mergeCell ref="I6706:I6707"/>
    <mergeCell ref="J6706:J6707"/>
    <mergeCell ref="K6706:K6707"/>
    <mergeCell ref="L6706:L6707"/>
    <mergeCell ref="M6706:M6707"/>
    <mergeCell ref="N6706:N6707"/>
    <mergeCell ref="O6706:O6707"/>
    <mergeCell ref="X6706:X6707"/>
    <mergeCell ref="Y6706:Y6707"/>
    <mergeCell ref="Z6706:Z6707"/>
    <mergeCell ref="AA6706:AA6707"/>
    <mergeCell ref="AB6706:AB6707"/>
    <mergeCell ref="A6654:A6655"/>
    <mergeCell ref="E6654:E6655"/>
    <mergeCell ref="H6654:H6655"/>
    <mergeCell ref="I6654:I6655"/>
    <mergeCell ref="J6654:J6655"/>
    <mergeCell ref="K6654:K6655"/>
    <mergeCell ref="L6654:L6655"/>
    <mergeCell ref="M6654:M6655"/>
    <mergeCell ref="N6654:N6655"/>
    <mergeCell ref="O6654:O6655"/>
    <mergeCell ref="X6654:X6655"/>
    <mergeCell ref="Y6654:Y6655"/>
    <mergeCell ref="Z6654:Z6655"/>
    <mergeCell ref="AA6654:AA6655"/>
    <mergeCell ref="AB6654:AB6655"/>
    <mergeCell ref="A6656:A6657"/>
    <mergeCell ref="E6656:E6657"/>
    <mergeCell ref="H6656:H6657"/>
    <mergeCell ref="I6656:I6657"/>
    <mergeCell ref="J6656:J6657"/>
    <mergeCell ref="K6656:K6657"/>
    <mergeCell ref="L6656:L6657"/>
    <mergeCell ref="M6656:M6657"/>
    <mergeCell ref="N6656:N6657"/>
    <mergeCell ref="O6656:O6657"/>
    <mergeCell ref="X6656:X6657"/>
    <mergeCell ref="Y6656:Y6657"/>
    <mergeCell ref="Z6656:Z6657"/>
    <mergeCell ref="AA6656:AA6657"/>
    <mergeCell ref="AB6656:AB6657"/>
    <mergeCell ref="H6688:H6689"/>
    <mergeCell ref="I6688:I6689"/>
    <mergeCell ref="J6688:J6689"/>
    <mergeCell ref="K6688:K6689"/>
    <mergeCell ref="L6688:L6689"/>
    <mergeCell ref="M6688:M6689"/>
    <mergeCell ref="N6688:N6689"/>
    <mergeCell ref="O6688:O6689"/>
    <mergeCell ref="X6688:X6689"/>
    <mergeCell ref="Y6688:Y6689"/>
    <mergeCell ref="Z6688:Z6689"/>
    <mergeCell ref="AA6688:AA6689"/>
    <mergeCell ref="AB6688:AB6689"/>
    <mergeCell ref="A6690:A6691"/>
    <mergeCell ref="E6690:E6691"/>
    <mergeCell ref="O6692:O6693"/>
    <mergeCell ref="X6692:X6693"/>
    <mergeCell ref="Y6692:Y6693"/>
    <mergeCell ref="Z6692:Z6693"/>
    <mergeCell ref="A6704:A6705"/>
    <mergeCell ref="E6704:E6705"/>
    <mergeCell ref="H6704:H6705"/>
    <mergeCell ref="I6704:I6705"/>
    <mergeCell ref="J6704:J6705"/>
    <mergeCell ref="K6704:K6705"/>
    <mergeCell ref="L6704:L6705"/>
    <mergeCell ref="M6704:M6705"/>
    <mergeCell ref="N6704:N6705"/>
    <mergeCell ref="O6704:O6705"/>
    <mergeCell ref="X6704:X6705"/>
    <mergeCell ref="Y6704:Y6705"/>
    <mergeCell ref="Z6704:Z6705"/>
    <mergeCell ref="AA6704:AA6705"/>
    <mergeCell ref="AB6704:AB6705"/>
    <mergeCell ref="AA6692:AA6693"/>
    <mergeCell ref="AB6692:AB6693"/>
    <mergeCell ref="A6700:A6701"/>
    <mergeCell ref="E6700:E6701"/>
    <mergeCell ref="H6700:H6701"/>
    <mergeCell ref="I6700:I6701"/>
    <mergeCell ref="J6700:J6701"/>
    <mergeCell ref="K6700:K6701"/>
    <mergeCell ref="L6700:L6701"/>
    <mergeCell ref="M6700:M6701"/>
    <mergeCell ref="N6700:N6701"/>
    <mergeCell ref="O6700:O6701"/>
    <mergeCell ref="X6700:X6701"/>
    <mergeCell ref="Y6700:Y6701"/>
    <mergeCell ref="Z6700:Z6701"/>
    <mergeCell ref="AA6700:AA6701"/>
    <mergeCell ref="AB6700:AB6701"/>
    <mergeCell ref="O6696:O6697"/>
    <mergeCell ref="X6696:X6697"/>
    <mergeCell ref="Y6696:Y6697"/>
    <mergeCell ref="Z6696:Z6697"/>
    <mergeCell ref="AA6696:AA6697"/>
    <mergeCell ref="AB6696:AB6697"/>
    <mergeCell ref="A6702:A6703"/>
    <mergeCell ref="E6702:E6703"/>
    <mergeCell ref="H6702:H6703"/>
    <mergeCell ref="I6702:I6703"/>
    <mergeCell ref="J6702:J6703"/>
    <mergeCell ref="K6702:K6703"/>
    <mergeCell ref="L6702:L6703"/>
    <mergeCell ref="M6702:M6703"/>
    <mergeCell ref="N6702:N6703"/>
    <mergeCell ref="O6702:O6703"/>
    <mergeCell ref="X6702:X6703"/>
    <mergeCell ref="Y6702:Y6703"/>
    <mergeCell ref="Z6702:Z6703"/>
    <mergeCell ref="AA6702:AA6703"/>
    <mergeCell ref="AB6702:AB6703"/>
    <mergeCell ref="A6694:A6695"/>
    <mergeCell ref="E6694:E6695"/>
    <mergeCell ref="H6694:H6695"/>
    <mergeCell ref="I6694:I6695"/>
    <mergeCell ref="J6694:J6695"/>
    <mergeCell ref="K6694:K6695"/>
    <mergeCell ref="L6694:L6695"/>
    <mergeCell ref="M6694:M6695"/>
    <mergeCell ref="N6694:N6695"/>
    <mergeCell ref="O6694:O6695"/>
    <mergeCell ref="X6694:X6695"/>
    <mergeCell ref="Y6694:Y6695"/>
    <mergeCell ref="Z6694:Z6695"/>
    <mergeCell ref="AA6694:AA6695"/>
    <mergeCell ref="AB6694:AB6695"/>
    <mergeCell ref="A6696:A6697"/>
    <mergeCell ref="E6696:E6697"/>
    <mergeCell ref="H6696:H6697"/>
    <mergeCell ref="I6696:I6697"/>
    <mergeCell ref="J6696:J6697"/>
    <mergeCell ref="K6696:K6697"/>
    <mergeCell ref="L6696:L6697"/>
    <mergeCell ref="M6696:M6697"/>
    <mergeCell ref="N6696:N6697"/>
    <mergeCell ref="H6690:H6691"/>
    <mergeCell ref="I6690:I6691"/>
    <mergeCell ref="J6690:J6691"/>
    <mergeCell ref="K6690:K6691"/>
    <mergeCell ref="L6690:L6691"/>
    <mergeCell ref="M6690:M6691"/>
    <mergeCell ref="N6690:N6691"/>
    <mergeCell ref="O6690:O6691"/>
    <mergeCell ref="X6690:X6691"/>
    <mergeCell ref="Y6690:Y6691"/>
    <mergeCell ref="Z6690:Z6691"/>
    <mergeCell ref="AA6690:AA6691"/>
    <mergeCell ref="AB6690:AB6691"/>
    <mergeCell ref="A6684:A6685"/>
    <mergeCell ref="A6686:A6687"/>
    <mergeCell ref="E6686:E6687"/>
    <mergeCell ref="H6686:H6687"/>
    <mergeCell ref="I6686:I6687"/>
    <mergeCell ref="J6686:J6687"/>
    <mergeCell ref="K6686:K6687"/>
    <mergeCell ref="L6686:L6687"/>
    <mergeCell ref="M6686:M6687"/>
    <mergeCell ref="N6686:N6687"/>
    <mergeCell ref="O6686:O6687"/>
    <mergeCell ref="X6686:X6687"/>
    <mergeCell ref="Y6686:Y6687"/>
    <mergeCell ref="Z6686:Z6687"/>
    <mergeCell ref="AA6686:AA6687"/>
    <mergeCell ref="AB6686:AB6687"/>
    <mergeCell ref="E6684:E6685"/>
    <mergeCell ref="H6684:H6685"/>
    <mergeCell ref="I6684:I6685"/>
    <mergeCell ref="J6684:J6685"/>
    <mergeCell ref="K6684:K6685"/>
    <mergeCell ref="L6684:L6685"/>
    <mergeCell ref="M6684:M6685"/>
    <mergeCell ref="N6684:N6685"/>
    <mergeCell ref="O6684:O6685"/>
    <mergeCell ref="X6684:X6685"/>
    <mergeCell ref="Y6684:Y6685"/>
    <mergeCell ref="Z6684:Z6685"/>
    <mergeCell ref="AA6684:AA6685"/>
    <mergeCell ref="AB6684:AB6685"/>
    <mergeCell ref="A6688:A6689"/>
    <mergeCell ref="E6688:E6689"/>
    <mergeCell ref="A6662:A6663"/>
    <mergeCell ref="E6662:E6663"/>
    <mergeCell ref="H6662:H6663"/>
    <mergeCell ref="I6662:I6663"/>
    <mergeCell ref="J6662:J6663"/>
    <mergeCell ref="K6662:K6663"/>
    <mergeCell ref="L6662:L6663"/>
    <mergeCell ref="M6662:M6663"/>
    <mergeCell ref="N6662:N6663"/>
    <mergeCell ref="O6662:O6663"/>
    <mergeCell ref="X6662:X6663"/>
    <mergeCell ref="Y6662:Y6663"/>
    <mergeCell ref="Z6662:Z6663"/>
    <mergeCell ref="AA6662:AA6663"/>
    <mergeCell ref="AB6662:AB6663"/>
    <mergeCell ref="A6664:A6665"/>
    <mergeCell ref="E6664:E6665"/>
    <mergeCell ref="H6664:H6665"/>
    <mergeCell ref="I6664:I6665"/>
    <mergeCell ref="J6664:J6665"/>
    <mergeCell ref="K6664:K6665"/>
    <mergeCell ref="L6664:L6665"/>
    <mergeCell ref="M6664:M6665"/>
    <mergeCell ref="N6664:N6665"/>
    <mergeCell ref="O6664:O6665"/>
    <mergeCell ref="X6664:X6665"/>
    <mergeCell ref="Y6664:Y6665"/>
    <mergeCell ref="Z6664:Z6665"/>
    <mergeCell ref="AA6664:AA6665"/>
    <mergeCell ref="AB6664:AB6665"/>
    <mergeCell ref="A6666:A6667"/>
    <mergeCell ref="E6666:E6667"/>
    <mergeCell ref="H6666:H6667"/>
    <mergeCell ref="I6666:I6667"/>
    <mergeCell ref="J6666:J6667"/>
    <mergeCell ref="K6666:K6667"/>
    <mergeCell ref="L6666:L6667"/>
    <mergeCell ref="M6666:M6667"/>
    <mergeCell ref="N6666:N6667"/>
    <mergeCell ref="O6666:O6667"/>
    <mergeCell ref="X6666:X6667"/>
    <mergeCell ref="Y6666:Y6667"/>
    <mergeCell ref="Z6666:Z6667"/>
    <mergeCell ref="AA6666:AA6667"/>
    <mergeCell ref="AB6666:AB6667"/>
    <mergeCell ref="A6658:A6659"/>
    <mergeCell ref="E6658:E6659"/>
    <mergeCell ref="H6658:H6659"/>
    <mergeCell ref="I6658:I6659"/>
    <mergeCell ref="J6658:J6659"/>
    <mergeCell ref="K6658:K6659"/>
    <mergeCell ref="L6658:L6659"/>
    <mergeCell ref="M6658:M6659"/>
    <mergeCell ref="N6658:N6659"/>
    <mergeCell ref="O6658:O6659"/>
    <mergeCell ref="X6658:X6659"/>
    <mergeCell ref="Y6658:Y6659"/>
    <mergeCell ref="Z6658:Z6659"/>
    <mergeCell ref="AA6658:AA6659"/>
    <mergeCell ref="AB6658:AB6659"/>
    <mergeCell ref="A6660:A6661"/>
    <mergeCell ref="E6660:E6661"/>
    <mergeCell ref="H6660:H6661"/>
    <mergeCell ref="I6660:I6661"/>
    <mergeCell ref="J6660:J6661"/>
    <mergeCell ref="K6660:K6661"/>
    <mergeCell ref="L6660:L6661"/>
    <mergeCell ref="M6660:M6661"/>
    <mergeCell ref="N6660:N6661"/>
    <mergeCell ref="O6660:O6661"/>
    <mergeCell ref="X6660:X6661"/>
    <mergeCell ref="Y6660:Y6661"/>
    <mergeCell ref="Z6660:Z6661"/>
    <mergeCell ref="AA6660:AA6661"/>
    <mergeCell ref="AB6660:AB6661"/>
    <mergeCell ref="A6650:A6651"/>
    <mergeCell ref="E6650:E6651"/>
    <mergeCell ref="H6650:H6651"/>
    <mergeCell ref="I6650:I6651"/>
    <mergeCell ref="J6650:J6651"/>
    <mergeCell ref="K6650:K6651"/>
    <mergeCell ref="L6650:L6651"/>
    <mergeCell ref="M6650:M6651"/>
    <mergeCell ref="N6650:N6651"/>
    <mergeCell ref="O6650:O6651"/>
    <mergeCell ref="X6650:X6651"/>
    <mergeCell ref="Y6650:Y6651"/>
    <mergeCell ref="Z6650:Z6651"/>
    <mergeCell ref="AA6650:AA6651"/>
    <mergeCell ref="AB6650:AB6651"/>
    <mergeCell ref="A6652:A6653"/>
    <mergeCell ref="E6652:E6653"/>
    <mergeCell ref="H6652:H6653"/>
    <mergeCell ref="I6652:I6653"/>
    <mergeCell ref="J6652:J6653"/>
    <mergeCell ref="K6652:K6653"/>
    <mergeCell ref="L6652:L6653"/>
    <mergeCell ref="M6652:M6653"/>
    <mergeCell ref="N6652:N6653"/>
    <mergeCell ref="O6652:O6653"/>
    <mergeCell ref="X6652:X6653"/>
    <mergeCell ref="Y6652:Y6653"/>
    <mergeCell ref="Z6652:Z6653"/>
    <mergeCell ref="AA6652:AA6653"/>
    <mergeCell ref="AB6652:AB6653"/>
    <mergeCell ref="A6646:A6647"/>
    <mergeCell ref="E6646:E6647"/>
    <mergeCell ref="H6646:H6647"/>
    <mergeCell ref="I6646:I6647"/>
    <mergeCell ref="J6646:J6647"/>
    <mergeCell ref="K6646:K6647"/>
    <mergeCell ref="L6646:L6647"/>
    <mergeCell ref="M6646:M6647"/>
    <mergeCell ref="N6646:N6647"/>
    <mergeCell ref="O6646:O6647"/>
    <mergeCell ref="X6646:X6647"/>
    <mergeCell ref="Y6646:Y6647"/>
    <mergeCell ref="Z6646:Z6647"/>
    <mergeCell ref="AA6646:AA6647"/>
    <mergeCell ref="AB6646:AB6647"/>
    <mergeCell ref="A6648:A6649"/>
    <mergeCell ref="E6648:E6649"/>
    <mergeCell ref="H6648:H6649"/>
    <mergeCell ref="I6648:I6649"/>
    <mergeCell ref="J6648:J6649"/>
    <mergeCell ref="K6648:K6649"/>
    <mergeCell ref="L6648:L6649"/>
    <mergeCell ref="M6648:M6649"/>
    <mergeCell ref="N6648:N6649"/>
    <mergeCell ref="O6648:O6649"/>
    <mergeCell ref="X6648:X6649"/>
    <mergeCell ref="Y6648:Y6649"/>
    <mergeCell ref="Z6648:Z6649"/>
    <mergeCell ref="AA6648:AA6649"/>
    <mergeCell ref="AB6648:AB6649"/>
    <mergeCell ref="A6642:A6643"/>
    <mergeCell ref="E6642:E6643"/>
    <mergeCell ref="H6642:H6643"/>
    <mergeCell ref="I6642:I6643"/>
    <mergeCell ref="J6642:J6643"/>
    <mergeCell ref="K6642:K6643"/>
    <mergeCell ref="L6642:L6643"/>
    <mergeCell ref="M6642:M6643"/>
    <mergeCell ref="N6642:N6643"/>
    <mergeCell ref="O6642:O6643"/>
    <mergeCell ref="X6642:X6643"/>
    <mergeCell ref="Y6642:Y6643"/>
    <mergeCell ref="Z6642:Z6643"/>
    <mergeCell ref="AA6642:AA6643"/>
    <mergeCell ref="AB6642:AB6643"/>
    <mergeCell ref="A6644:A6645"/>
    <mergeCell ref="E6644:E6645"/>
    <mergeCell ref="H6644:H6645"/>
    <mergeCell ref="I6644:I6645"/>
    <mergeCell ref="J6644:J6645"/>
    <mergeCell ref="K6644:K6645"/>
    <mergeCell ref="L6644:L6645"/>
    <mergeCell ref="M6644:M6645"/>
    <mergeCell ref="N6644:N6645"/>
    <mergeCell ref="O6644:O6645"/>
    <mergeCell ref="X6644:X6645"/>
    <mergeCell ref="Y6644:Y6645"/>
    <mergeCell ref="Z6644:Z6645"/>
    <mergeCell ref="AA6644:AA6645"/>
    <mergeCell ref="AB6644:AB6645"/>
    <mergeCell ref="A6638:A6639"/>
    <mergeCell ref="E6638:E6639"/>
    <mergeCell ref="H6638:H6639"/>
    <mergeCell ref="I6638:I6639"/>
    <mergeCell ref="J6638:J6639"/>
    <mergeCell ref="K6638:K6639"/>
    <mergeCell ref="L6638:L6639"/>
    <mergeCell ref="M6638:M6639"/>
    <mergeCell ref="N6638:N6639"/>
    <mergeCell ref="O6638:O6639"/>
    <mergeCell ref="X6638:X6639"/>
    <mergeCell ref="Y6638:Y6639"/>
    <mergeCell ref="Z6638:Z6639"/>
    <mergeCell ref="AA6638:AA6639"/>
    <mergeCell ref="AB6638:AB6639"/>
    <mergeCell ref="A6640:A6641"/>
    <mergeCell ref="E6640:E6641"/>
    <mergeCell ref="H6640:H6641"/>
    <mergeCell ref="I6640:I6641"/>
    <mergeCell ref="J6640:J6641"/>
    <mergeCell ref="K6640:K6641"/>
    <mergeCell ref="L6640:L6641"/>
    <mergeCell ref="M6640:M6641"/>
    <mergeCell ref="N6640:N6641"/>
    <mergeCell ref="O6640:O6641"/>
    <mergeCell ref="X6640:X6641"/>
    <mergeCell ref="Y6640:Y6641"/>
    <mergeCell ref="Z6640:Z6641"/>
    <mergeCell ref="AA6640:AA6641"/>
    <mergeCell ref="AB6640:AB6641"/>
    <mergeCell ref="A6634:A6635"/>
    <mergeCell ref="E6634:E6635"/>
    <mergeCell ref="H6634:H6635"/>
    <mergeCell ref="I6634:I6635"/>
    <mergeCell ref="J6634:J6635"/>
    <mergeCell ref="K6634:K6635"/>
    <mergeCell ref="L6634:L6635"/>
    <mergeCell ref="M6634:M6635"/>
    <mergeCell ref="N6634:N6635"/>
    <mergeCell ref="O6634:O6635"/>
    <mergeCell ref="X6634:X6635"/>
    <mergeCell ref="Y6634:Y6635"/>
    <mergeCell ref="Z6634:Z6635"/>
    <mergeCell ref="AA6634:AA6635"/>
    <mergeCell ref="AB6634:AB6635"/>
    <mergeCell ref="A6636:A6637"/>
    <mergeCell ref="E6636:E6637"/>
    <mergeCell ref="H6636:H6637"/>
    <mergeCell ref="I6636:I6637"/>
    <mergeCell ref="J6636:J6637"/>
    <mergeCell ref="K6636:K6637"/>
    <mergeCell ref="L6636:L6637"/>
    <mergeCell ref="M6636:M6637"/>
    <mergeCell ref="N6636:N6637"/>
    <mergeCell ref="O6636:O6637"/>
    <mergeCell ref="X6636:X6637"/>
    <mergeCell ref="Y6636:Y6637"/>
    <mergeCell ref="Z6636:Z6637"/>
    <mergeCell ref="AA6636:AA6637"/>
    <mergeCell ref="AB6636:AB6637"/>
    <mergeCell ref="A6630:A6631"/>
    <mergeCell ref="E6630:E6631"/>
    <mergeCell ref="H6630:H6631"/>
    <mergeCell ref="I6630:I6631"/>
    <mergeCell ref="J6630:J6631"/>
    <mergeCell ref="K6630:K6631"/>
    <mergeCell ref="L6630:L6631"/>
    <mergeCell ref="M6630:M6631"/>
    <mergeCell ref="N6630:N6631"/>
    <mergeCell ref="O6630:O6631"/>
    <mergeCell ref="X6630:X6631"/>
    <mergeCell ref="Y6630:Y6631"/>
    <mergeCell ref="Z6630:Z6631"/>
    <mergeCell ref="AA6630:AA6631"/>
    <mergeCell ref="AB6630:AB6631"/>
    <mergeCell ref="A6632:A6633"/>
    <mergeCell ref="E6632:E6633"/>
    <mergeCell ref="H6632:H6633"/>
    <mergeCell ref="I6632:I6633"/>
    <mergeCell ref="J6632:J6633"/>
    <mergeCell ref="K6632:K6633"/>
    <mergeCell ref="L6632:L6633"/>
    <mergeCell ref="M6632:M6633"/>
    <mergeCell ref="N6632:N6633"/>
    <mergeCell ref="O6632:O6633"/>
    <mergeCell ref="X6632:X6633"/>
    <mergeCell ref="Y6632:Y6633"/>
    <mergeCell ref="Z6632:Z6633"/>
    <mergeCell ref="AA6632:AA6633"/>
    <mergeCell ref="AB6632:AB6633"/>
    <mergeCell ref="A6626:A6627"/>
    <mergeCell ref="E6626:E6627"/>
    <mergeCell ref="H6626:H6627"/>
    <mergeCell ref="I6626:I6627"/>
    <mergeCell ref="J6626:J6627"/>
    <mergeCell ref="K6626:K6627"/>
    <mergeCell ref="L6626:L6627"/>
    <mergeCell ref="M6626:M6627"/>
    <mergeCell ref="N6626:N6627"/>
    <mergeCell ref="O6626:O6627"/>
    <mergeCell ref="X6626:X6627"/>
    <mergeCell ref="Y6626:Y6627"/>
    <mergeCell ref="Z6626:Z6627"/>
    <mergeCell ref="AA6626:AA6627"/>
    <mergeCell ref="AB6626:AB6627"/>
    <mergeCell ref="A6628:A6629"/>
    <mergeCell ref="E6628:E6629"/>
    <mergeCell ref="H6628:H6629"/>
    <mergeCell ref="I6628:I6629"/>
    <mergeCell ref="J6628:J6629"/>
    <mergeCell ref="K6628:K6629"/>
    <mergeCell ref="L6628:L6629"/>
    <mergeCell ref="M6628:M6629"/>
    <mergeCell ref="N6628:N6629"/>
    <mergeCell ref="O6628:O6629"/>
    <mergeCell ref="X6628:X6629"/>
    <mergeCell ref="Y6628:Y6629"/>
    <mergeCell ref="Z6628:Z6629"/>
    <mergeCell ref="AA6628:AA6629"/>
    <mergeCell ref="AB6628:AB6629"/>
    <mergeCell ref="A6622:A6623"/>
    <mergeCell ref="E6622:E6623"/>
    <mergeCell ref="H6622:H6623"/>
    <mergeCell ref="I6622:I6623"/>
    <mergeCell ref="J6622:J6623"/>
    <mergeCell ref="K6622:K6623"/>
    <mergeCell ref="L6622:L6623"/>
    <mergeCell ref="M6622:M6623"/>
    <mergeCell ref="N6622:N6623"/>
    <mergeCell ref="O6622:O6623"/>
    <mergeCell ref="X6622:X6623"/>
    <mergeCell ref="Y6622:Y6623"/>
    <mergeCell ref="Z6622:Z6623"/>
    <mergeCell ref="AA6622:AA6623"/>
    <mergeCell ref="AB6622:AB6623"/>
    <mergeCell ref="A6624:A6625"/>
    <mergeCell ref="E6624:E6625"/>
    <mergeCell ref="H6624:H6625"/>
    <mergeCell ref="I6624:I6625"/>
    <mergeCell ref="J6624:J6625"/>
    <mergeCell ref="K6624:K6625"/>
    <mergeCell ref="L6624:L6625"/>
    <mergeCell ref="M6624:M6625"/>
    <mergeCell ref="N6624:N6625"/>
    <mergeCell ref="O6624:O6625"/>
    <mergeCell ref="X6624:X6625"/>
    <mergeCell ref="Y6624:Y6625"/>
    <mergeCell ref="Z6624:Z6625"/>
    <mergeCell ref="AA6624:AA6625"/>
    <mergeCell ref="AB6624:AB6625"/>
    <mergeCell ref="A6618:A6619"/>
    <mergeCell ref="E6618:E6619"/>
    <mergeCell ref="H6618:H6619"/>
    <mergeCell ref="I6618:I6619"/>
    <mergeCell ref="J6618:J6619"/>
    <mergeCell ref="K6618:K6619"/>
    <mergeCell ref="L6618:L6619"/>
    <mergeCell ref="M6618:M6619"/>
    <mergeCell ref="N6618:N6619"/>
    <mergeCell ref="O6618:O6619"/>
    <mergeCell ref="X6618:X6619"/>
    <mergeCell ref="Y6618:Y6619"/>
    <mergeCell ref="Z6618:Z6619"/>
    <mergeCell ref="AA6618:AA6619"/>
    <mergeCell ref="AB6618:AB6619"/>
    <mergeCell ref="A6620:A6621"/>
    <mergeCell ref="E6620:E6621"/>
    <mergeCell ref="H6620:H6621"/>
    <mergeCell ref="I6620:I6621"/>
    <mergeCell ref="J6620:J6621"/>
    <mergeCell ref="K6620:K6621"/>
    <mergeCell ref="L6620:L6621"/>
    <mergeCell ref="M6620:M6621"/>
    <mergeCell ref="N6620:N6621"/>
    <mergeCell ref="O6620:O6621"/>
    <mergeCell ref="X6620:X6621"/>
    <mergeCell ref="Y6620:Y6621"/>
    <mergeCell ref="Z6620:Z6621"/>
    <mergeCell ref="AA6620:AA6621"/>
    <mergeCell ref="AB6620:AB6621"/>
    <mergeCell ref="A6614:A6615"/>
    <mergeCell ref="E6614:E6615"/>
    <mergeCell ref="H6614:H6615"/>
    <mergeCell ref="I6614:I6615"/>
    <mergeCell ref="J6614:J6615"/>
    <mergeCell ref="K6614:K6615"/>
    <mergeCell ref="L6614:L6615"/>
    <mergeCell ref="M6614:M6615"/>
    <mergeCell ref="N6614:N6615"/>
    <mergeCell ref="O6614:O6615"/>
    <mergeCell ref="X6614:X6615"/>
    <mergeCell ref="Y6614:Y6615"/>
    <mergeCell ref="Z6614:Z6615"/>
    <mergeCell ref="AA6614:AA6615"/>
    <mergeCell ref="AB6614:AB6615"/>
    <mergeCell ref="A6616:A6617"/>
    <mergeCell ref="E6616:E6617"/>
    <mergeCell ref="H6616:H6617"/>
    <mergeCell ref="I6616:I6617"/>
    <mergeCell ref="J6616:J6617"/>
    <mergeCell ref="K6616:K6617"/>
    <mergeCell ref="L6616:L6617"/>
    <mergeCell ref="M6616:M6617"/>
    <mergeCell ref="N6616:N6617"/>
    <mergeCell ref="O6616:O6617"/>
    <mergeCell ref="X6616:X6617"/>
    <mergeCell ref="Y6616:Y6617"/>
    <mergeCell ref="Z6616:Z6617"/>
    <mergeCell ref="AA6616:AA6617"/>
    <mergeCell ref="AB6616:AB6617"/>
    <mergeCell ref="A6610:A6611"/>
    <mergeCell ref="E6610:E6611"/>
    <mergeCell ref="H6610:H6611"/>
    <mergeCell ref="I6610:I6611"/>
    <mergeCell ref="J6610:J6611"/>
    <mergeCell ref="K6610:K6611"/>
    <mergeCell ref="L6610:L6611"/>
    <mergeCell ref="M6610:M6611"/>
    <mergeCell ref="N6610:N6611"/>
    <mergeCell ref="O6610:O6611"/>
    <mergeCell ref="X6610:X6611"/>
    <mergeCell ref="Y6610:Y6611"/>
    <mergeCell ref="Z6610:Z6611"/>
    <mergeCell ref="AA6610:AA6611"/>
    <mergeCell ref="AB6610:AB6611"/>
    <mergeCell ref="A6612:A6613"/>
    <mergeCell ref="E6612:E6613"/>
    <mergeCell ref="H6612:H6613"/>
    <mergeCell ref="I6612:I6613"/>
    <mergeCell ref="J6612:J6613"/>
    <mergeCell ref="K6612:K6613"/>
    <mergeCell ref="L6612:L6613"/>
    <mergeCell ref="M6612:M6613"/>
    <mergeCell ref="N6612:N6613"/>
    <mergeCell ref="O6612:O6613"/>
    <mergeCell ref="X6612:X6613"/>
    <mergeCell ref="Y6612:Y6613"/>
    <mergeCell ref="Z6612:Z6613"/>
    <mergeCell ref="AA6612:AA6613"/>
    <mergeCell ref="AB6612:AB6613"/>
    <mergeCell ref="A6606:A6607"/>
    <mergeCell ref="E6606:E6607"/>
    <mergeCell ref="H6606:H6607"/>
    <mergeCell ref="I6606:I6607"/>
    <mergeCell ref="J6606:J6607"/>
    <mergeCell ref="K6606:K6607"/>
    <mergeCell ref="L6606:L6607"/>
    <mergeCell ref="M6606:M6607"/>
    <mergeCell ref="N6606:N6607"/>
    <mergeCell ref="O6606:O6607"/>
    <mergeCell ref="X6606:X6607"/>
    <mergeCell ref="Y6606:Y6607"/>
    <mergeCell ref="Z6606:Z6607"/>
    <mergeCell ref="AA6606:AA6607"/>
    <mergeCell ref="AB6606:AB6607"/>
    <mergeCell ref="A6608:A6609"/>
    <mergeCell ref="E6608:E6609"/>
    <mergeCell ref="H6608:H6609"/>
    <mergeCell ref="I6608:I6609"/>
    <mergeCell ref="J6608:J6609"/>
    <mergeCell ref="K6608:K6609"/>
    <mergeCell ref="L6608:L6609"/>
    <mergeCell ref="M6608:M6609"/>
    <mergeCell ref="N6608:N6609"/>
    <mergeCell ref="O6608:O6609"/>
    <mergeCell ref="X6608:X6609"/>
    <mergeCell ref="Y6608:Y6609"/>
    <mergeCell ref="Z6608:Z6609"/>
    <mergeCell ref="AA6608:AA6609"/>
    <mergeCell ref="AB6608:AB6609"/>
    <mergeCell ref="A6602:A6603"/>
    <mergeCell ref="E6602:E6603"/>
    <mergeCell ref="H6602:H6603"/>
    <mergeCell ref="I6602:I6603"/>
    <mergeCell ref="J6602:J6603"/>
    <mergeCell ref="K6602:K6603"/>
    <mergeCell ref="L6602:L6603"/>
    <mergeCell ref="M6602:M6603"/>
    <mergeCell ref="N6602:N6603"/>
    <mergeCell ref="O6602:O6603"/>
    <mergeCell ref="X6602:X6603"/>
    <mergeCell ref="Y6602:Y6603"/>
    <mergeCell ref="Z6602:Z6603"/>
    <mergeCell ref="AA6602:AA6603"/>
    <mergeCell ref="AB6602:AB6603"/>
    <mergeCell ref="A6604:A6605"/>
    <mergeCell ref="E6604:E6605"/>
    <mergeCell ref="H6604:H6605"/>
    <mergeCell ref="I6604:I6605"/>
    <mergeCell ref="J6604:J6605"/>
    <mergeCell ref="K6604:K6605"/>
    <mergeCell ref="L6604:L6605"/>
    <mergeCell ref="M6604:M6605"/>
    <mergeCell ref="N6604:N6605"/>
    <mergeCell ref="O6604:O6605"/>
    <mergeCell ref="X6604:X6605"/>
    <mergeCell ref="Y6604:Y6605"/>
    <mergeCell ref="Z6604:Z6605"/>
    <mergeCell ref="AA6604:AA6605"/>
    <mergeCell ref="AB6604:AB6605"/>
    <mergeCell ref="A6598:A6599"/>
    <mergeCell ref="E6598:E6599"/>
    <mergeCell ref="H6598:H6599"/>
    <mergeCell ref="I6598:I6599"/>
    <mergeCell ref="J6598:J6599"/>
    <mergeCell ref="K6598:K6599"/>
    <mergeCell ref="L6598:L6599"/>
    <mergeCell ref="M6598:M6599"/>
    <mergeCell ref="N6598:N6599"/>
    <mergeCell ref="O6598:O6599"/>
    <mergeCell ref="X6598:X6599"/>
    <mergeCell ref="Y6598:Y6599"/>
    <mergeCell ref="Z6598:Z6599"/>
    <mergeCell ref="AA6598:AA6599"/>
    <mergeCell ref="AB6598:AB6599"/>
    <mergeCell ref="A6600:A6601"/>
    <mergeCell ref="E6600:E6601"/>
    <mergeCell ref="H6600:H6601"/>
    <mergeCell ref="I6600:I6601"/>
    <mergeCell ref="J6600:J6601"/>
    <mergeCell ref="K6600:K6601"/>
    <mergeCell ref="L6600:L6601"/>
    <mergeCell ref="M6600:M6601"/>
    <mergeCell ref="N6600:N6601"/>
    <mergeCell ref="O6600:O6601"/>
    <mergeCell ref="X6600:X6601"/>
    <mergeCell ref="Y6600:Y6601"/>
    <mergeCell ref="Z6600:Z6601"/>
    <mergeCell ref="AA6600:AA6601"/>
    <mergeCell ref="AB6600:AB6601"/>
    <mergeCell ref="A6594:A6595"/>
    <mergeCell ref="E6594:E6595"/>
    <mergeCell ref="H6594:H6595"/>
    <mergeCell ref="I6594:I6595"/>
    <mergeCell ref="J6594:J6595"/>
    <mergeCell ref="K6594:K6595"/>
    <mergeCell ref="L6594:L6595"/>
    <mergeCell ref="M6594:M6595"/>
    <mergeCell ref="N6594:N6595"/>
    <mergeCell ref="O6594:O6595"/>
    <mergeCell ref="X6594:X6595"/>
    <mergeCell ref="Y6594:Y6595"/>
    <mergeCell ref="Z6594:Z6595"/>
    <mergeCell ref="AA6594:AA6595"/>
    <mergeCell ref="AB6594:AB6595"/>
    <mergeCell ref="A6596:A6597"/>
    <mergeCell ref="E6596:E6597"/>
    <mergeCell ref="H6596:H6597"/>
    <mergeCell ref="I6596:I6597"/>
    <mergeCell ref="J6596:J6597"/>
    <mergeCell ref="K6596:K6597"/>
    <mergeCell ref="L6596:L6597"/>
    <mergeCell ref="M6596:M6597"/>
    <mergeCell ref="N6596:N6597"/>
    <mergeCell ref="O6596:O6597"/>
    <mergeCell ref="X6596:X6597"/>
    <mergeCell ref="Y6596:Y6597"/>
    <mergeCell ref="Z6596:Z6597"/>
    <mergeCell ref="AA6596:AA6597"/>
    <mergeCell ref="AB6596:AB6597"/>
    <mergeCell ref="A6590:A6591"/>
    <mergeCell ref="E6590:E6591"/>
    <mergeCell ref="H6590:H6591"/>
    <mergeCell ref="I6590:I6591"/>
    <mergeCell ref="J6590:J6591"/>
    <mergeCell ref="K6590:K6591"/>
    <mergeCell ref="L6590:L6591"/>
    <mergeCell ref="M6590:M6591"/>
    <mergeCell ref="N6590:N6591"/>
    <mergeCell ref="O6590:O6591"/>
    <mergeCell ref="X6590:X6591"/>
    <mergeCell ref="Y6590:Y6591"/>
    <mergeCell ref="Z6590:Z6591"/>
    <mergeCell ref="AA6590:AA6591"/>
    <mergeCell ref="AB6590:AB6591"/>
    <mergeCell ref="A6592:A6593"/>
    <mergeCell ref="E6592:E6593"/>
    <mergeCell ref="H6592:H6593"/>
    <mergeCell ref="I6592:I6593"/>
    <mergeCell ref="J6592:J6593"/>
    <mergeCell ref="K6592:K6593"/>
    <mergeCell ref="L6592:L6593"/>
    <mergeCell ref="M6592:M6593"/>
    <mergeCell ref="N6592:N6593"/>
    <mergeCell ref="O6592:O6593"/>
    <mergeCell ref="X6592:X6593"/>
    <mergeCell ref="Y6592:Y6593"/>
    <mergeCell ref="Z6592:Z6593"/>
    <mergeCell ref="AA6592:AA6593"/>
    <mergeCell ref="AB6592:AB6593"/>
    <mergeCell ref="A6586:A6587"/>
    <mergeCell ref="E6586:E6587"/>
    <mergeCell ref="H6586:H6587"/>
    <mergeCell ref="I6586:I6587"/>
    <mergeCell ref="J6586:J6587"/>
    <mergeCell ref="K6586:K6587"/>
    <mergeCell ref="L6586:L6587"/>
    <mergeCell ref="M6586:M6587"/>
    <mergeCell ref="N6586:N6587"/>
    <mergeCell ref="O6586:O6587"/>
    <mergeCell ref="X6586:X6587"/>
    <mergeCell ref="Y6586:Y6587"/>
    <mergeCell ref="Z6586:Z6587"/>
    <mergeCell ref="AA6586:AA6587"/>
    <mergeCell ref="AB6586:AB6587"/>
    <mergeCell ref="A6588:A6589"/>
    <mergeCell ref="E6588:E6589"/>
    <mergeCell ref="H6588:H6589"/>
    <mergeCell ref="I6588:I6589"/>
    <mergeCell ref="J6588:J6589"/>
    <mergeCell ref="K6588:K6589"/>
    <mergeCell ref="L6588:L6589"/>
    <mergeCell ref="M6588:M6589"/>
    <mergeCell ref="N6588:N6589"/>
    <mergeCell ref="O6588:O6589"/>
    <mergeCell ref="X6588:X6589"/>
    <mergeCell ref="Y6588:Y6589"/>
    <mergeCell ref="Z6588:Z6589"/>
    <mergeCell ref="AA6588:AA6589"/>
    <mergeCell ref="AB6588:AB6589"/>
    <mergeCell ref="A6582:A6583"/>
    <mergeCell ref="E6582:E6583"/>
    <mergeCell ref="H6582:H6583"/>
    <mergeCell ref="I6582:I6583"/>
    <mergeCell ref="J6582:J6583"/>
    <mergeCell ref="K6582:K6583"/>
    <mergeCell ref="L6582:L6583"/>
    <mergeCell ref="M6582:M6583"/>
    <mergeCell ref="N6582:N6583"/>
    <mergeCell ref="O6582:O6583"/>
    <mergeCell ref="X6582:X6583"/>
    <mergeCell ref="Y6582:Y6583"/>
    <mergeCell ref="Z6582:Z6583"/>
    <mergeCell ref="AA6582:AA6583"/>
    <mergeCell ref="AB6582:AB6583"/>
    <mergeCell ref="A6584:A6585"/>
    <mergeCell ref="E6584:E6585"/>
    <mergeCell ref="H6584:H6585"/>
    <mergeCell ref="I6584:I6585"/>
    <mergeCell ref="J6584:J6585"/>
    <mergeCell ref="K6584:K6585"/>
    <mergeCell ref="L6584:L6585"/>
    <mergeCell ref="M6584:M6585"/>
    <mergeCell ref="N6584:N6585"/>
    <mergeCell ref="O6584:O6585"/>
    <mergeCell ref="X6584:X6585"/>
    <mergeCell ref="Y6584:Y6585"/>
    <mergeCell ref="Z6584:Z6585"/>
    <mergeCell ref="AA6584:AA6585"/>
    <mergeCell ref="AB6584:AB6585"/>
    <mergeCell ref="A6578:A6579"/>
    <mergeCell ref="E6578:E6579"/>
    <mergeCell ref="H6578:H6579"/>
    <mergeCell ref="I6578:I6579"/>
    <mergeCell ref="J6578:J6579"/>
    <mergeCell ref="K6578:K6579"/>
    <mergeCell ref="L6578:L6579"/>
    <mergeCell ref="M6578:M6579"/>
    <mergeCell ref="N6578:N6579"/>
    <mergeCell ref="O6578:O6579"/>
    <mergeCell ref="X6578:X6579"/>
    <mergeCell ref="Y6578:Y6579"/>
    <mergeCell ref="Z6578:Z6579"/>
    <mergeCell ref="AA6578:AA6579"/>
    <mergeCell ref="AB6578:AB6579"/>
    <mergeCell ref="A6580:A6581"/>
    <mergeCell ref="E6580:E6581"/>
    <mergeCell ref="H6580:H6581"/>
    <mergeCell ref="I6580:I6581"/>
    <mergeCell ref="J6580:J6581"/>
    <mergeCell ref="K6580:K6581"/>
    <mergeCell ref="L6580:L6581"/>
    <mergeCell ref="M6580:M6581"/>
    <mergeCell ref="N6580:N6581"/>
    <mergeCell ref="O6580:O6581"/>
    <mergeCell ref="X6580:X6581"/>
    <mergeCell ref="Y6580:Y6581"/>
    <mergeCell ref="Z6580:Z6581"/>
    <mergeCell ref="AA6580:AA6581"/>
    <mergeCell ref="AB6580:AB6581"/>
    <mergeCell ref="A6574:A6575"/>
    <mergeCell ref="E6574:E6575"/>
    <mergeCell ref="H6574:H6575"/>
    <mergeCell ref="I6574:I6575"/>
    <mergeCell ref="J6574:J6575"/>
    <mergeCell ref="K6574:K6575"/>
    <mergeCell ref="L6574:L6575"/>
    <mergeCell ref="M6574:M6575"/>
    <mergeCell ref="N6574:N6575"/>
    <mergeCell ref="O6574:O6575"/>
    <mergeCell ref="X6574:X6575"/>
    <mergeCell ref="Y6574:Y6575"/>
    <mergeCell ref="Z6574:Z6575"/>
    <mergeCell ref="AA6574:AA6575"/>
    <mergeCell ref="AB6574:AB6575"/>
    <mergeCell ref="A6576:A6577"/>
    <mergeCell ref="E6576:E6577"/>
    <mergeCell ref="H6576:H6577"/>
    <mergeCell ref="I6576:I6577"/>
    <mergeCell ref="J6576:J6577"/>
    <mergeCell ref="K6576:K6577"/>
    <mergeCell ref="L6576:L6577"/>
    <mergeCell ref="M6576:M6577"/>
    <mergeCell ref="N6576:N6577"/>
    <mergeCell ref="O6576:O6577"/>
    <mergeCell ref="X6576:X6577"/>
    <mergeCell ref="Y6576:Y6577"/>
    <mergeCell ref="Z6576:Z6577"/>
    <mergeCell ref="AA6576:AA6577"/>
    <mergeCell ref="AB6576:AB6577"/>
    <mergeCell ref="A6570:A6571"/>
    <mergeCell ref="E6570:E6571"/>
    <mergeCell ref="H6570:H6571"/>
    <mergeCell ref="I6570:I6571"/>
    <mergeCell ref="J6570:J6571"/>
    <mergeCell ref="K6570:K6571"/>
    <mergeCell ref="L6570:L6571"/>
    <mergeCell ref="M6570:M6571"/>
    <mergeCell ref="N6570:N6571"/>
    <mergeCell ref="O6570:O6571"/>
    <mergeCell ref="X6570:X6571"/>
    <mergeCell ref="Y6570:Y6571"/>
    <mergeCell ref="Z6570:Z6571"/>
    <mergeCell ref="AA6570:AA6571"/>
    <mergeCell ref="AB6570:AB6571"/>
    <mergeCell ref="A6572:A6573"/>
    <mergeCell ref="E6572:E6573"/>
    <mergeCell ref="H6572:H6573"/>
    <mergeCell ref="I6572:I6573"/>
    <mergeCell ref="J6572:J6573"/>
    <mergeCell ref="K6572:K6573"/>
    <mergeCell ref="L6572:L6573"/>
    <mergeCell ref="M6572:M6573"/>
    <mergeCell ref="N6572:N6573"/>
    <mergeCell ref="O6572:O6573"/>
    <mergeCell ref="X6572:X6573"/>
    <mergeCell ref="Y6572:Y6573"/>
    <mergeCell ref="Z6572:Z6573"/>
    <mergeCell ref="AA6572:AA6573"/>
    <mergeCell ref="AB6572:AB6573"/>
    <mergeCell ref="A6566:A6567"/>
    <mergeCell ref="E6566:E6567"/>
    <mergeCell ref="H6566:H6567"/>
    <mergeCell ref="I6566:I6567"/>
    <mergeCell ref="J6566:J6567"/>
    <mergeCell ref="K6566:K6567"/>
    <mergeCell ref="L6566:L6567"/>
    <mergeCell ref="M6566:M6567"/>
    <mergeCell ref="N6566:N6567"/>
    <mergeCell ref="O6566:O6567"/>
    <mergeCell ref="X6566:X6567"/>
    <mergeCell ref="Y6566:Y6567"/>
    <mergeCell ref="Z6566:Z6567"/>
    <mergeCell ref="AA6566:AA6567"/>
    <mergeCell ref="AB6566:AB6567"/>
    <mergeCell ref="A6568:A6569"/>
    <mergeCell ref="E6568:E6569"/>
    <mergeCell ref="H6568:H6569"/>
    <mergeCell ref="I6568:I6569"/>
    <mergeCell ref="J6568:J6569"/>
    <mergeCell ref="K6568:K6569"/>
    <mergeCell ref="L6568:L6569"/>
    <mergeCell ref="M6568:M6569"/>
    <mergeCell ref="N6568:N6569"/>
    <mergeCell ref="O6568:O6569"/>
    <mergeCell ref="X6568:X6569"/>
    <mergeCell ref="Y6568:Y6569"/>
    <mergeCell ref="Z6568:Z6569"/>
    <mergeCell ref="AA6568:AA6569"/>
    <mergeCell ref="AB6568:AB6569"/>
    <mergeCell ref="A6562:A6563"/>
    <mergeCell ref="E6562:E6563"/>
    <mergeCell ref="H6562:H6563"/>
    <mergeCell ref="I6562:I6563"/>
    <mergeCell ref="J6562:J6563"/>
    <mergeCell ref="K6562:K6563"/>
    <mergeCell ref="L6562:L6563"/>
    <mergeCell ref="M6562:M6563"/>
    <mergeCell ref="N6562:N6563"/>
    <mergeCell ref="O6562:O6563"/>
    <mergeCell ref="X6562:X6563"/>
    <mergeCell ref="Y6562:Y6563"/>
    <mergeCell ref="Z6562:Z6563"/>
    <mergeCell ref="AA6562:AA6563"/>
    <mergeCell ref="AB6562:AB6563"/>
    <mergeCell ref="A6564:A6565"/>
    <mergeCell ref="E6564:E6565"/>
    <mergeCell ref="H6564:H6565"/>
    <mergeCell ref="I6564:I6565"/>
    <mergeCell ref="J6564:J6565"/>
    <mergeCell ref="K6564:K6565"/>
    <mergeCell ref="L6564:L6565"/>
    <mergeCell ref="M6564:M6565"/>
    <mergeCell ref="N6564:N6565"/>
    <mergeCell ref="O6564:O6565"/>
    <mergeCell ref="X6564:X6565"/>
    <mergeCell ref="Y6564:Y6565"/>
    <mergeCell ref="Z6564:Z6565"/>
    <mergeCell ref="AA6564:AA6565"/>
    <mergeCell ref="AB6564:AB6565"/>
    <mergeCell ref="A6556:A6557"/>
    <mergeCell ref="E6556:E6557"/>
    <mergeCell ref="H6556:H6557"/>
    <mergeCell ref="I6556:I6557"/>
    <mergeCell ref="J6556:J6557"/>
    <mergeCell ref="K6556:K6557"/>
    <mergeCell ref="L6556:L6557"/>
    <mergeCell ref="M6556:M6557"/>
    <mergeCell ref="N6556:N6557"/>
    <mergeCell ref="O6556:O6557"/>
    <mergeCell ref="X6556:X6557"/>
    <mergeCell ref="Y6556:Y6557"/>
    <mergeCell ref="Z6556:Z6557"/>
    <mergeCell ref="AA6556:AA6557"/>
    <mergeCell ref="AB6556:AB6557"/>
    <mergeCell ref="A6558:A6559"/>
    <mergeCell ref="E6558:E6559"/>
    <mergeCell ref="H6558:H6559"/>
    <mergeCell ref="I6558:I6559"/>
    <mergeCell ref="J6558:J6559"/>
    <mergeCell ref="K6558:K6559"/>
    <mergeCell ref="L6558:L6559"/>
    <mergeCell ref="M6558:M6559"/>
    <mergeCell ref="N6558:N6559"/>
    <mergeCell ref="O6558:O6559"/>
    <mergeCell ref="X6558:X6559"/>
    <mergeCell ref="Y6558:Y6559"/>
    <mergeCell ref="Z6558:Z6559"/>
    <mergeCell ref="AA6558:AA6559"/>
    <mergeCell ref="AB6558:AB6559"/>
    <mergeCell ref="A6552:A6553"/>
    <mergeCell ref="E6552:E6553"/>
    <mergeCell ref="H6552:H6553"/>
    <mergeCell ref="I6552:I6553"/>
    <mergeCell ref="J6552:J6553"/>
    <mergeCell ref="K6552:K6553"/>
    <mergeCell ref="L6552:L6553"/>
    <mergeCell ref="M6552:M6553"/>
    <mergeCell ref="N6552:N6553"/>
    <mergeCell ref="O6552:O6553"/>
    <mergeCell ref="X6552:X6553"/>
    <mergeCell ref="Y6552:Y6553"/>
    <mergeCell ref="Z6552:Z6553"/>
    <mergeCell ref="AA6552:AA6553"/>
    <mergeCell ref="AB6552:AB6553"/>
    <mergeCell ref="A6554:A6555"/>
    <mergeCell ref="E6554:E6555"/>
    <mergeCell ref="H6554:H6555"/>
    <mergeCell ref="I6554:I6555"/>
    <mergeCell ref="J6554:J6555"/>
    <mergeCell ref="K6554:K6555"/>
    <mergeCell ref="L6554:L6555"/>
    <mergeCell ref="M6554:M6555"/>
    <mergeCell ref="N6554:N6555"/>
    <mergeCell ref="O6554:O6555"/>
    <mergeCell ref="X6554:X6555"/>
    <mergeCell ref="Y6554:Y6555"/>
    <mergeCell ref="Z6554:Z6555"/>
    <mergeCell ref="AA6554:AA6555"/>
    <mergeCell ref="AB6554:AB6555"/>
    <mergeCell ref="J6548:J6549"/>
    <mergeCell ref="K6548:K6549"/>
    <mergeCell ref="L6548:L6549"/>
    <mergeCell ref="M6548:M6549"/>
    <mergeCell ref="N6548:N6549"/>
    <mergeCell ref="O6548:O6549"/>
    <mergeCell ref="X6548:X6549"/>
    <mergeCell ref="Y6548:Y6549"/>
    <mergeCell ref="Z6548:Z6549"/>
    <mergeCell ref="AA6548:AA6549"/>
    <mergeCell ref="AB6548:AB6549"/>
    <mergeCell ref="A6550:A6551"/>
    <mergeCell ref="E6550:E6551"/>
    <mergeCell ref="H6550:H6551"/>
    <mergeCell ref="I6550:I6551"/>
    <mergeCell ref="J6550:J6551"/>
    <mergeCell ref="K6550:K6551"/>
    <mergeCell ref="L6550:L6551"/>
    <mergeCell ref="M6550:M6551"/>
    <mergeCell ref="N6550:N6551"/>
    <mergeCell ref="O6550:O6551"/>
    <mergeCell ref="X6550:X6551"/>
    <mergeCell ref="Y6550:Y6551"/>
    <mergeCell ref="Z6550:Z6551"/>
    <mergeCell ref="AA6550:AA6551"/>
    <mergeCell ref="AB6550:AB6551"/>
    <mergeCell ref="A6544:A6545"/>
    <mergeCell ref="E6544:E6545"/>
    <mergeCell ref="H6544:H6545"/>
    <mergeCell ref="I6544:I6545"/>
    <mergeCell ref="J6544:J6545"/>
    <mergeCell ref="K6544:K6545"/>
    <mergeCell ref="L6544:L6545"/>
    <mergeCell ref="M6544:M6545"/>
    <mergeCell ref="N6544:N6545"/>
    <mergeCell ref="O6544:O6545"/>
    <mergeCell ref="X6544:X6545"/>
    <mergeCell ref="Y6544:Y6545"/>
    <mergeCell ref="Z6544:Z6545"/>
    <mergeCell ref="AA6544:AA6545"/>
    <mergeCell ref="AB6544:AB6545"/>
    <mergeCell ref="A6546:A6547"/>
    <mergeCell ref="E6546:E6547"/>
    <mergeCell ref="H6546:H6547"/>
    <mergeCell ref="I6546:I6547"/>
    <mergeCell ref="J6546:J6547"/>
    <mergeCell ref="K6546:K6547"/>
    <mergeCell ref="L6546:L6547"/>
    <mergeCell ref="M6546:M6547"/>
    <mergeCell ref="N6546:N6547"/>
    <mergeCell ref="O6546:O6547"/>
    <mergeCell ref="X6546:X6547"/>
    <mergeCell ref="Y6546:Y6547"/>
    <mergeCell ref="Z6546:Z6547"/>
    <mergeCell ref="AA6546:AA6547"/>
    <mergeCell ref="AB6546:AB6547"/>
    <mergeCell ref="X6528:X6529"/>
    <mergeCell ref="Y6528:Y6529"/>
    <mergeCell ref="Z6528:Z6529"/>
    <mergeCell ref="AA6528:AA6529"/>
    <mergeCell ref="AB6528:AB6529"/>
    <mergeCell ref="A6530:A6531"/>
    <mergeCell ref="E6530:E6531"/>
    <mergeCell ref="H6530:H6531"/>
    <mergeCell ref="I6530:I6531"/>
    <mergeCell ref="J6530:J6531"/>
    <mergeCell ref="K6530:K6531"/>
    <mergeCell ref="L6530:L6531"/>
    <mergeCell ref="M6530:M6531"/>
    <mergeCell ref="N6530:N6531"/>
    <mergeCell ref="O6530:O6531"/>
    <mergeCell ref="X6530:X6531"/>
    <mergeCell ref="Y6530:Y6531"/>
    <mergeCell ref="Z6530:Z6531"/>
    <mergeCell ref="AA6530:AA6531"/>
    <mergeCell ref="AB6530:AB6531"/>
    <mergeCell ref="A6540:A6541"/>
    <mergeCell ref="E6540:E6541"/>
    <mergeCell ref="H6540:H6541"/>
    <mergeCell ref="I6540:I6541"/>
    <mergeCell ref="J6540:J6541"/>
    <mergeCell ref="K6540:K6541"/>
    <mergeCell ref="L6540:L6541"/>
    <mergeCell ref="M6540:M6541"/>
    <mergeCell ref="N6540:N6541"/>
    <mergeCell ref="O6540:O6541"/>
    <mergeCell ref="X6540:X6541"/>
    <mergeCell ref="Y6540:Y6541"/>
    <mergeCell ref="Z6540:Z6541"/>
    <mergeCell ref="AA6540:AA6541"/>
    <mergeCell ref="AB6540:AB6541"/>
    <mergeCell ref="J6538:J6539"/>
    <mergeCell ref="K6538:K6539"/>
    <mergeCell ref="L6538:L6539"/>
    <mergeCell ref="M6538:M6539"/>
    <mergeCell ref="N6538:N6539"/>
    <mergeCell ref="O6538:O6539"/>
    <mergeCell ref="X6538:X6539"/>
    <mergeCell ref="Y6538:Y6539"/>
    <mergeCell ref="Z6538:Z6539"/>
    <mergeCell ref="AA6538:AA6539"/>
    <mergeCell ref="AB6538:AB6539"/>
    <mergeCell ref="A6538:A6539"/>
    <mergeCell ref="E6538:E6539"/>
    <mergeCell ref="H6538:H6539"/>
    <mergeCell ref="I6538:I6539"/>
    <mergeCell ref="A6522:A6523"/>
    <mergeCell ref="E6522:E6523"/>
    <mergeCell ref="H6522:H6523"/>
    <mergeCell ref="I6522:I6523"/>
    <mergeCell ref="J6522:J6523"/>
    <mergeCell ref="K6522:K6523"/>
    <mergeCell ref="L6522:L6523"/>
    <mergeCell ref="M6522:M6523"/>
    <mergeCell ref="N6522:N6523"/>
    <mergeCell ref="O6522:O6523"/>
    <mergeCell ref="X6522:X6523"/>
    <mergeCell ref="Y6522:Y6523"/>
    <mergeCell ref="Z6522:Z6523"/>
    <mergeCell ref="AA6522:AA6523"/>
    <mergeCell ref="AB6522:AB6523"/>
    <mergeCell ref="X6524:X6525"/>
    <mergeCell ref="Y6524:Y6525"/>
    <mergeCell ref="Z6524:Z6525"/>
    <mergeCell ref="AA6524:AA6525"/>
    <mergeCell ref="AB6524:AB6525"/>
    <mergeCell ref="A6526:A6527"/>
    <mergeCell ref="E6526:E6527"/>
    <mergeCell ref="H6526:H6527"/>
    <mergeCell ref="I6526:I6527"/>
    <mergeCell ref="J6526:J6527"/>
    <mergeCell ref="K6526:K6527"/>
    <mergeCell ref="L6526:L6527"/>
    <mergeCell ref="M6526:M6527"/>
    <mergeCell ref="N6526:N6527"/>
    <mergeCell ref="O6526:O6527"/>
    <mergeCell ref="X6526:X6527"/>
    <mergeCell ref="Y6526:Y6527"/>
    <mergeCell ref="Z6526:Z6527"/>
    <mergeCell ref="AA6526:AA6527"/>
    <mergeCell ref="AB6526:AB6527"/>
    <mergeCell ref="O6524:O6525"/>
    <mergeCell ref="A6516:A6517"/>
    <mergeCell ref="E6516:E6517"/>
    <mergeCell ref="H6516:H6517"/>
    <mergeCell ref="I6516:I6517"/>
    <mergeCell ref="A6536:A6537"/>
    <mergeCell ref="E6536:E6537"/>
    <mergeCell ref="H6536:H6537"/>
    <mergeCell ref="I6536:I6537"/>
    <mergeCell ref="J6536:J6537"/>
    <mergeCell ref="K6536:K6537"/>
    <mergeCell ref="L6536:L6537"/>
    <mergeCell ref="M6536:M6537"/>
    <mergeCell ref="N6536:N6537"/>
    <mergeCell ref="O6536:O6537"/>
    <mergeCell ref="X6536:X6537"/>
    <mergeCell ref="Y6536:Y6537"/>
    <mergeCell ref="Z6536:Z6537"/>
    <mergeCell ref="AA6536:AA6537"/>
    <mergeCell ref="AB6536:AB6537"/>
    <mergeCell ref="J6516:J6517"/>
    <mergeCell ref="K6516:K6517"/>
    <mergeCell ref="L6516:L6517"/>
    <mergeCell ref="M6516:M6517"/>
    <mergeCell ref="N6516:N6517"/>
    <mergeCell ref="A6510:A6511"/>
    <mergeCell ref="E6510:E6511"/>
    <mergeCell ref="H6510:H6511"/>
    <mergeCell ref="I6510:I6511"/>
    <mergeCell ref="J6510:J6511"/>
    <mergeCell ref="K6510:K6511"/>
    <mergeCell ref="L6510:L6511"/>
    <mergeCell ref="M6510:M6511"/>
    <mergeCell ref="N6510:N6511"/>
    <mergeCell ref="O6510:O6511"/>
    <mergeCell ref="X6510:X6511"/>
    <mergeCell ref="Y6510:Y6511"/>
    <mergeCell ref="Z6510:Z6511"/>
    <mergeCell ref="AA6510:AA6511"/>
    <mergeCell ref="AB6510:AB6511"/>
    <mergeCell ref="A6512:A6513"/>
    <mergeCell ref="E6512:E6513"/>
    <mergeCell ref="H6512:H6513"/>
    <mergeCell ref="I6512:I6513"/>
    <mergeCell ref="J6512:J6513"/>
    <mergeCell ref="K6512:K6513"/>
    <mergeCell ref="L6512:L6513"/>
    <mergeCell ref="M6512:M6513"/>
    <mergeCell ref="N6512:N6513"/>
    <mergeCell ref="O6512:O6513"/>
    <mergeCell ref="X6512:X6513"/>
    <mergeCell ref="Y6512:Y6513"/>
    <mergeCell ref="Z6512:Z6513"/>
    <mergeCell ref="AA6512:AA6513"/>
    <mergeCell ref="AB6512:AB6513"/>
    <mergeCell ref="O6516:O6517"/>
    <mergeCell ref="X6516:X6517"/>
    <mergeCell ref="Y6516:Y6517"/>
    <mergeCell ref="Z6516:Z6517"/>
    <mergeCell ref="AA6516:AA6517"/>
    <mergeCell ref="AB6516:AB6517"/>
    <mergeCell ref="A6514:A6515"/>
    <mergeCell ref="E6514:E6515"/>
    <mergeCell ref="H6514:H6515"/>
    <mergeCell ref="I6514:I6515"/>
    <mergeCell ref="J6514:J6515"/>
    <mergeCell ref="K6514:K6515"/>
    <mergeCell ref="L6514:L6515"/>
    <mergeCell ref="M6514:M6515"/>
    <mergeCell ref="N6514:N6515"/>
    <mergeCell ref="O6514:O6515"/>
    <mergeCell ref="X6514:X6515"/>
    <mergeCell ref="Y6514:Y6515"/>
    <mergeCell ref="Z6514:Z6515"/>
    <mergeCell ref="AA6514:AA6515"/>
    <mergeCell ref="AB6514:AB6515"/>
    <mergeCell ref="A6506:A6507"/>
    <mergeCell ref="E6506:E6507"/>
    <mergeCell ref="H6506:H6507"/>
    <mergeCell ref="I6506:I6507"/>
    <mergeCell ref="J6506:J6507"/>
    <mergeCell ref="K6506:K6507"/>
    <mergeCell ref="L6506:L6507"/>
    <mergeCell ref="M6506:M6507"/>
    <mergeCell ref="N6506:N6507"/>
    <mergeCell ref="O6506:O6507"/>
    <mergeCell ref="X6506:X6507"/>
    <mergeCell ref="Y6506:Y6507"/>
    <mergeCell ref="Z6506:Z6507"/>
    <mergeCell ref="AA6506:AA6507"/>
    <mergeCell ref="AB6506:AB6507"/>
    <mergeCell ref="A6508:A6509"/>
    <mergeCell ref="E6508:E6509"/>
    <mergeCell ref="H6508:H6509"/>
    <mergeCell ref="I6508:I6509"/>
    <mergeCell ref="J6508:J6509"/>
    <mergeCell ref="K6508:K6509"/>
    <mergeCell ref="L6508:L6509"/>
    <mergeCell ref="M6508:M6509"/>
    <mergeCell ref="N6508:N6509"/>
    <mergeCell ref="O6508:O6509"/>
    <mergeCell ref="X6508:X6509"/>
    <mergeCell ref="Y6508:Y6509"/>
    <mergeCell ref="Z6508:Z6509"/>
    <mergeCell ref="AA6508:AA6509"/>
    <mergeCell ref="AB6508:AB6509"/>
    <mergeCell ref="A6502:A6503"/>
    <mergeCell ref="E6502:E6503"/>
    <mergeCell ref="H6502:H6503"/>
    <mergeCell ref="I6502:I6503"/>
    <mergeCell ref="J6502:J6503"/>
    <mergeCell ref="K6502:K6503"/>
    <mergeCell ref="L6502:L6503"/>
    <mergeCell ref="M6502:M6503"/>
    <mergeCell ref="N6502:N6503"/>
    <mergeCell ref="O6502:O6503"/>
    <mergeCell ref="X6502:X6503"/>
    <mergeCell ref="Y6502:Y6503"/>
    <mergeCell ref="Z6502:Z6503"/>
    <mergeCell ref="AA6502:AA6503"/>
    <mergeCell ref="AB6502:AB6503"/>
    <mergeCell ref="A6504:A6505"/>
    <mergeCell ref="E6504:E6505"/>
    <mergeCell ref="H6504:H6505"/>
    <mergeCell ref="I6504:I6505"/>
    <mergeCell ref="J6504:J6505"/>
    <mergeCell ref="K6504:K6505"/>
    <mergeCell ref="L6504:L6505"/>
    <mergeCell ref="M6504:M6505"/>
    <mergeCell ref="N6504:N6505"/>
    <mergeCell ref="O6504:O6505"/>
    <mergeCell ref="X6504:X6505"/>
    <mergeCell ref="Y6504:Y6505"/>
    <mergeCell ref="Z6504:Z6505"/>
    <mergeCell ref="AA6504:AA6505"/>
    <mergeCell ref="AB6504:AB6505"/>
    <mergeCell ref="A6498:A6499"/>
    <mergeCell ref="E6498:E6499"/>
    <mergeCell ref="H6498:H6499"/>
    <mergeCell ref="I6498:I6499"/>
    <mergeCell ref="J6498:J6499"/>
    <mergeCell ref="K6498:K6499"/>
    <mergeCell ref="L6498:L6499"/>
    <mergeCell ref="M6498:M6499"/>
    <mergeCell ref="N6498:N6499"/>
    <mergeCell ref="O6498:O6499"/>
    <mergeCell ref="X6498:X6499"/>
    <mergeCell ref="Y6498:Y6499"/>
    <mergeCell ref="Z6498:Z6499"/>
    <mergeCell ref="AA6498:AA6499"/>
    <mergeCell ref="AB6498:AB6499"/>
    <mergeCell ref="A6500:A6501"/>
    <mergeCell ref="E6500:E6501"/>
    <mergeCell ref="H6500:H6501"/>
    <mergeCell ref="I6500:I6501"/>
    <mergeCell ref="J6500:J6501"/>
    <mergeCell ref="K6500:K6501"/>
    <mergeCell ref="L6500:L6501"/>
    <mergeCell ref="M6500:M6501"/>
    <mergeCell ref="N6500:N6501"/>
    <mergeCell ref="O6500:O6501"/>
    <mergeCell ref="X6500:X6501"/>
    <mergeCell ref="Y6500:Y6501"/>
    <mergeCell ref="Z6500:Z6501"/>
    <mergeCell ref="AA6500:AA6501"/>
    <mergeCell ref="AB6500:AB6501"/>
    <mergeCell ref="A6494:A6495"/>
    <mergeCell ref="E6494:E6495"/>
    <mergeCell ref="H6494:H6495"/>
    <mergeCell ref="I6494:I6495"/>
    <mergeCell ref="J6494:J6495"/>
    <mergeCell ref="K6494:K6495"/>
    <mergeCell ref="L6494:L6495"/>
    <mergeCell ref="M6494:M6495"/>
    <mergeCell ref="N6494:N6495"/>
    <mergeCell ref="O6494:O6495"/>
    <mergeCell ref="X6494:X6495"/>
    <mergeCell ref="Y6494:Y6495"/>
    <mergeCell ref="Z6494:Z6495"/>
    <mergeCell ref="AA6494:AA6495"/>
    <mergeCell ref="AB6494:AB6495"/>
    <mergeCell ref="A6496:A6497"/>
    <mergeCell ref="E6496:E6497"/>
    <mergeCell ref="H6496:H6497"/>
    <mergeCell ref="I6496:I6497"/>
    <mergeCell ref="J6496:J6497"/>
    <mergeCell ref="K6496:K6497"/>
    <mergeCell ref="L6496:L6497"/>
    <mergeCell ref="M6496:M6497"/>
    <mergeCell ref="N6496:N6497"/>
    <mergeCell ref="O6496:O6497"/>
    <mergeCell ref="X6496:X6497"/>
    <mergeCell ref="Y6496:Y6497"/>
    <mergeCell ref="Z6496:Z6497"/>
    <mergeCell ref="AA6496:AA6497"/>
    <mergeCell ref="AB6496:AB6497"/>
    <mergeCell ref="A6490:A6491"/>
    <mergeCell ref="E6490:E6491"/>
    <mergeCell ref="H6490:H6491"/>
    <mergeCell ref="I6490:I6491"/>
    <mergeCell ref="J6490:J6491"/>
    <mergeCell ref="K6490:K6491"/>
    <mergeCell ref="L6490:L6491"/>
    <mergeCell ref="M6490:M6491"/>
    <mergeCell ref="N6490:N6491"/>
    <mergeCell ref="O6490:O6491"/>
    <mergeCell ref="X6490:X6491"/>
    <mergeCell ref="Y6490:Y6491"/>
    <mergeCell ref="Z6490:Z6491"/>
    <mergeCell ref="AA6490:AA6491"/>
    <mergeCell ref="AB6490:AB6491"/>
    <mergeCell ref="A6492:A6493"/>
    <mergeCell ref="E6492:E6493"/>
    <mergeCell ref="H6492:H6493"/>
    <mergeCell ref="I6492:I6493"/>
    <mergeCell ref="J6492:J6493"/>
    <mergeCell ref="K6492:K6493"/>
    <mergeCell ref="L6492:L6493"/>
    <mergeCell ref="M6492:M6493"/>
    <mergeCell ref="N6492:N6493"/>
    <mergeCell ref="O6492:O6493"/>
    <mergeCell ref="X6492:X6493"/>
    <mergeCell ref="Y6492:Y6493"/>
    <mergeCell ref="Z6492:Z6493"/>
    <mergeCell ref="AA6492:AA6493"/>
    <mergeCell ref="AB6492:AB6493"/>
    <mergeCell ref="A6486:A6487"/>
    <mergeCell ref="E6486:E6487"/>
    <mergeCell ref="H6486:H6487"/>
    <mergeCell ref="I6486:I6487"/>
    <mergeCell ref="J6486:J6487"/>
    <mergeCell ref="K6486:K6487"/>
    <mergeCell ref="L6486:L6487"/>
    <mergeCell ref="M6486:M6487"/>
    <mergeCell ref="N6486:N6487"/>
    <mergeCell ref="O6486:O6487"/>
    <mergeCell ref="X6486:X6487"/>
    <mergeCell ref="Y6486:Y6487"/>
    <mergeCell ref="Z6486:Z6487"/>
    <mergeCell ref="AA6486:AA6487"/>
    <mergeCell ref="AB6486:AB6487"/>
    <mergeCell ref="A6488:A6489"/>
    <mergeCell ref="E6488:E6489"/>
    <mergeCell ref="H6488:H6489"/>
    <mergeCell ref="I6488:I6489"/>
    <mergeCell ref="J6488:J6489"/>
    <mergeCell ref="K6488:K6489"/>
    <mergeCell ref="L6488:L6489"/>
    <mergeCell ref="M6488:M6489"/>
    <mergeCell ref="N6488:N6489"/>
    <mergeCell ref="O6488:O6489"/>
    <mergeCell ref="X6488:X6489"/>
    <mergeCell ref="Y6488:Y6489"/>
    <mergeCell ref="Z6488:Z6489"/>
    <mergeCell ref="AA6488:AA6489"/>
    <mergeCell ref="AB6488:AB6489"/>
    <mergeCell ref="A6482:A6483"/>
    <mergeCell ref="E6482:E6483"/>
    <mergeCell ref="H6482:H6483"/>
    <mergeCell ref="I6482:I6483"/>
    <mergeCell ref="J6482:J6483"/>
    <mergeCell ref="K6482:K6483"/>
    <mergeCell ref="L6482:L6483"/>
    <mergeCell ref="M6482:M6483"/>
    <mergeCell ref="N6482:N6483"/>
    <mergeCell ref="O6482:O6483"/>
    <mergeCell ref="X6482:X6483"/>
    <mergeCell ref="Y6482:Y6483"/>
    <mergeCell ref="Z6482:Z6483"/>
    <mergeCell ref="AA6482:AA6483"/>
    <mergeCell ref="AB6482:AB6483"/>
    <mergeCell ref="A6484:A6485"/>
    <mergeCell ref="E6484:E6485"/>
    <mergeCell ref="H6484:H6485"/>
    <mergeCell ref="I6484:I6485"/>
    <mergeCell ref="J6484:J6485"/>
    <mergeCell ref="K6484:K6485"/>
    <mergeCell ref="L6484:L6485"/>
    <mergeCell ref="M6484:M6485"/>
    <mergeCell ref="N6484:N6485"/>
    <mergeCell ref="O6484:O6485"/>
    <mergeCell ref="X6484:X6485"/>
    <mergeCell ref="Y6484:Y6485"/>
    <mergeCell ref="Z6484:Z6485"/>
    <mergeCell ref="AA6484:AA6485"/>
    <mergeCell ref="AB6484:AB6485"/>
    <mergeCell ref="A6478:A6479"/>
    <mergeCell ref="E6478:E6479"/>
    <mergeCell ref="H6478:H6479"/>
    <mergeCell ref="I6478:I6479"/>
    <mergeCell ref="J6478:J6479"/>
    <mergeCell ref="K6478:K6479"/>
    <mergeCell ref="L6478:L6479"/>
    <mergeCell ref="M6478:M6479"/>
    <mergeCell ref="N6478:N6479"/>
    <mergeCell ref="O6478:O6479"/>
    <mergeCell ref="X6478:X6479"/>
    <mergeCell ref="Y6478:Y6479"/>
    <mergeCell ref="Z6478:Z6479"/>
    <mergeCell ref="AA6478:AA6479"/>
    <mergeCell ref="AB6478:AB6479"/>
    <mergeCell ref="A6480:A6481"/>
    <mergeCell ref="E6480:E6481"/>
    <mergeCell ref="H6480:H6481"/>
    <mergeCell ref="I6480:I6481"/>
    <mergeCell ref="J6480:J6481"/>
    <mergeCell ref="K6480:K6481"/>
    <mergeCell ref="L6480:L6481"/>
    <mergeCell ref="M6480:M6481"/>
    <mergeCell ref="N6480:N6481"/>
    <mergeCell ref="O6480:O6481"/>
    <mergeCell ref="X6480:X6481"/>
    <mergeCell ref="Y6480:Y6481"/>
    <mergeCell ref="Z6480:Z6481"/>
    <mergeCell ref="AA6480:AA6481"/>
    <mergeCell ref="AB6480:AB6481"/>
    <mergeCell ref="A6474:A6475"/>
    <mergeCell ref="E6474:E6475"/>
    <mergeCell ref="H6474:H6475"/>
    <mergeCell ref="I6474:I6475"/>
    <mergeCell ref="J6474:J6475"/>
    <mergeCell ref="K6474:K6475"/>
    <mergeCell ref="L6474:L6475"/>
    <mergeCell ref="M6474:M6475"/>
    <mergeCell ref="N6474:N6475"/>
    <mergeCell ref="O6474:O6475"/>
    <mergeCell ref="X6474:X6475"/>
    <mergeCell ref="Y6474:Y6475"/>
    <mergeCell ref="Z6474:Z6475"/>
    <mergeCell ref="AA6474:AA6475"/>
    <mergeCell ref="AB6474:AB6475"/>
    <mergeCell ref="A6476:A6477"/>
    <mergeCell ref="E6476:E6477"/>
    <mergeCell ref="H6476:H6477"/>
    <mergeCell ref="I6476:I6477"/>
    <mergeCell ref="J6476:J6477"/>
    <mergeCell ref="K6476:K6477"/>
    <mergeCell ref="L6476:L6477"/>
    <mergeCell ref="M6476:M6477"/>
    <mergeCell ref="N6476:N6477"/>
    <mergeCell ref="O6476:O6477"/>
    <mergeCell ref="X6476:X6477"/>
    <mergeCell ref="Y6476:Y6477"/>
    <mergeCell ref="Z6476:Z6477"/>
    <mergeCell ref="AA6476:AA6477"/>
    <mergeCell ref="AB6476:AB6477"/>
    <mergeCell ref="A6470:A6471"/>
    <mergeCell ref="E6470:E6471"/>
    <mergeCell ref="H6470:H6471"/>
    <mergeCell ref="I6470:I6471"/>
    <mergeCell ref="J6470:J6471"/>
    <mergeCell ref="K6470:K6471"/>
    <mergeCell ref="L6470:L6471"/>
    <mergeCell ref="M6470:M6471"/>
    <mergeCell ref="N6470:N6471"/>
    <mergeCell ref="O6470:O6471"/>
    <mergeCell ref="X6470:X6471"/>
    <mergeCell ref="Y6470:Y6471"/>
    <mergeCell ref="Z6470:Z6471"/>
    <mergeCell ref="AA6470:AA6471"/>
    <mergeCell ref="AB6470:AB6471"/>
    <mergeCell ref="A6472:A6473"/>
    <mergeCell ref="E6472:E6473"/>
    <mergeCell ref="H6472:H6473"/>
    <mergeCell ref="I6472:I6473"/>
    <mergeCell ref="J6472:J6473"/>
    <mergeCell ref="K6472:K6473"/>
    <mergeCell ref="L6472:L6473"/>
    <mergeCell ref="M6472:M6473"/>
    <mergeCell ref="N6472:N6473"/>
    <mergeCell ref="O6472:O6473"/>
    <mergeCell ref="X6472:X6473"/>
    <mergeCell ref="Y6472:Y6473"/>
    <mergeCell ref="Z6472:Z6473"/>
    <mergeCell ref="AA6472:AA6473"/>
    <mergeCell ref="AB6472:AB6473"/>
    <mergeCell ref="A6466:A6467"/>
    <mergeCell ref="E6466:E6467"/>
    <mergeCell ref="H6466:H6467"/>
    <mergeCell ref="I6466:I6467"/>
    <mergeCell ref="J6466:J6467"/>
    <mergeCell ref="K6466:K6467"/>
    <mergeCell ref="L6466:L6467"/>
    <mergeCell ref="M6466:M6467"/>
    <mergeCell ref="N6466:N6467"/>
    <mergeCell ref="O6466:O6467"/>
    <mergeCell ref="X6466:X6467"/>
    <mergeCell ref="Y6466:Y6467"/>
    <mergeCell ref="Z6466:Z6467"/>
    <mergeCell ref="AA6466:AA6467"/>
    <mergeCell ref="AB6466:AB6467"/>
    <mergeCell ref="A6468:A6469"/>
    <mergeCell ref="E6468:E6469"/>
    <mergeCell ref="H6468:H6469"/>
    <mergeCell ref="I6468:I6469"/>
    <mergeCell ref="J6468:J6469"/>
    <mergeCell ref="K6468:K6469"/>
    <mergeCell ref="L6468:L6469"/>
    <mergeCell ref="M6468:M6469"/>
    <mergeCell ref="N6468:N6469"/>
    <mergeCell ref="O6468:O6469"/>
    <mergeCell ref="X6468:X6469"/>
    <mergeCell ref="Y6468:Y6469"/>
    <mergeCell ref="Z6468:Z6469"/>
    <mergeCell ref="AA6468:AA6469"/>
    <mergeCell ref="AB6468:AB6469"/>
    <mergeCell ref="A6462:A6463"/>
    <mergeCell ref="E6462:E6463"/>
    <mergeCell ref="H6462:H6463"/>
    <mergeCell ref="I6462:I6463"/>
    <mergeCell ref="J6462:J6463"/>
    <mergeCell ref="K6462:K6463"/>
    <mergeCell ref="L6462:L6463"/>
    <mergeCell ref="M6462:M6463"/>
    <mergeCell ref="N6462:N6463"/>
    <mergeCell ref="O6462:O6463"/>
    <mergeCell ref="X6462:X6463"/>
    <mergeCell ref="Y6462:Y6463"/>
    <mergeCell ref="Z6462:Z6463"/>
    <mergeCell ref="AA6462:AA6463"/>
    <mergeCell ref="AB6462:AB6463"/>
    <mergeCell ref="A6464:A6465"/>
    <mergeCell ref="E6464:E6465"/>
    <mergeCell ref="H6464:H6465"/>
    <mergeCell ref="I6464:I6465"/>
    <mergeCell ref="J6464:J6465"/>
    <mergeCell ref="K6464:K6465"/>
    <mergeCell ref="L6464:L6465"/>
    <mergeCell ref="M6464:M6465"/>
    <mergeCell ref="N6464:N6465"/>
    <mergeCell ref="O6464:O6465"/>
    <mergeCell ref="X6464:X6465"/>
    <mergeCell ref="Y6464:Y6465"/>
    <mergeCell ref="Z6464:Z6465"/>
    <mergeCell ref="AA6464:AA6465"/>
    <mergeCell ref="AB6464:AB6465"/>
    <mergeCell ref="A6458:A6459"/>
    <mergeCell ref="E6458:E6459"/>
    <mergeCell ref="H6458:H6459"/>
    <mergeCell ref="I6458:I6459"/>
    <mergeCell ref="J6458:J6459"/>
    <mergeCell ref="K6458:K6459"/>
    <mergeCell ref="L6458:L6459"/>
    <mergeCell ref="M6458:M6459"/>
    <mergeCell ref="N6458:N6459"/>
    <mergeCell ref="O6458:O6459"/>
    <mergeCell ref="X6458:X6459"/>
    <mergeCell ref="Y6458:Y6459"/>
    <mergeCell ref="Z6458:Z6459"/>
    <mergeCell ref="AA6458:AA6459"/>
    <mergeCell ref="AB6458:AB6459"/>
    <mergeCell ref="A6460:A6461"/>
    <mergeCell ref="E6460:E6461"/>
    <mergeCell ref="H6460:H6461"/>
    <mergeCell ref="I6460:I6461"/>
    <mergeCell ref="J6460:J6461"/>
    <mergeCell ref="K6460:K6461"/>
    <mergeCell ref="L6460:L6461"/>
    <mergeCell ref="M6460:M6461"/>
    <mergeCell ref="N6460:N6461"/>
    <mergeCell ref="O6460:O6461"/>
    <mergeCell ref="X6460:X6461"/>
    <mergeCell ref="Y6460:Y6461"/>
    <mergeCell ref="Z6460:Z6461"/>
    <mergeCell ref="AA6460:AA6461"/>
    <mergeCell ref="AB6460:AB6461"/>
    <mergeCell ref="A6454:A6455"/>
    <mergeCell ref="E6454:E6455"/>
    <mergeCell ref="H6454:H6455"/>
    <mergeCell ref="I6454:I6455"/>
    <mergeCell ref="J6454:J6455"/>
    <mergeCell ref="K6454:K6455"/>
    <mergeCell ref="L6454:L6455"/>
    <mergeCell ref="M6454:M6455"/>
    <mergeCell ref="N6454:N6455"/>
    <mergeCell ref="O6454:O6455"/>
    <mergeCell ref="X6454:X6455"/>
    <mergeCell ref="Y6454:Y6455"/>
    <mergeCell ref="Z6454:Z6455"/>
    <mergeCell ref="AA6454:AA6455"/>
    <mergeCell ref="AB6454:AB6455"/>
    <mergeCell ref="A6456:A6457"/>
    <mergeCell ref="E6456:E6457"/>
    <mergeCell ref="H6456:H6457"/>
    <mergeCell ref="I6456:I6457"/>
    <mergeCell ref="J6456:J6457"/>
    <mergeCell ref="K6456:K6457"/>
    <mergeCell ref="L6456:L6457"/>
    <mergeCell ref="M6456:M6457"/>
    <mergeCell ref="N6456:N6457"/>
    <mergeCell ref="O6456:O6457"/>
    <mergeCell ref="X6456:X6457"/>
    <mergeCell ref="Y6456:Y6457"/>
    <mergeCell ref="Z6456:Z6457"/>
    <mergeCell ref="AA6456:AA6457"/>
    <mergeCell ref="AB6456:AB6457"/>
    <mergeCell ref="A6450:A6451"/>
    <mergeCell ref="E6450:E6451"/>
    <mergeCell ref="H6450:H6451"/>
    <mergeCell ref="I6450:I6451"/>
    <mergeCell ref="J6450:J6451"/>
    <mergeCell ref="K6450:K6451"/>
    <mergeCell ref="L6450:L6451"/>
    <mergeCell ref="M6450:M6451"/>
    <mergeCell ref="N6450:N6451"/>
    <mergeCell ref="O6450:O6451"/>
    <mergeCell ref="X6450:X6451"/>
    <mergeCell ref="Y6450:Y6451"/>
    <mergeCell ref="Z6450:Z6451"/>
    <mergeCell ref="AA6450:AA6451"/>
    <mergeCell ref="AB6450:AB6451"/>
    <mergeCell ref="A6452:A6453"/>
    <mergeCell ref="E6452:E6453"/>
    <mergeCell ref="H6452:H6453"/>
    <mergeCell ref="I6452:I6453"/>
    <mergeCell ref="J6452:J6453"/>
    <mergeCell ref="K6452:K6453"/>
    <mergeCell ref="L6452:L6453"/>
    <mergeCell ref="M6452:M6453"/>
    <mergeCell ref="N6452:N6453"/>
    <mergeCell ref="O6452:O6453"/>
    <mergeCell ref="X6452:X6453"/>
    <mergeCell ref="Y6452:Y6453"/>
    <mergeCell ref="Z6452:Z6453"/>
    <mergeCell ref="AA6452:AA6453"/>
    <mergeCell ref="AB6452:AB6453"/>
    <mergeCell ref="A6446:A6447"/>
    <mergeCell ref="E6446:E6447"/>
    <mergeCell ref="H6446:H6447"/>
    <mergeCell ref="I6446:I6447"/>
    <mergeCell ref="J6446:J6447"/>
    <mergeCell ref="K6446:K6447"/>
    <mergeCell ref="L6446:L6447"/>
    <mergeCell ref="M6446:M6447"/>
    <mergeCell ref="N6446:N6447"/>
    <mergeCell ref="O6446:O6447"/>
    <mergeCell ref="X6446:X6447"/>
    <mergeCell ref="Y6446:Y6447"/>
    <mergeCell ref="Z6446:Z6447"/>
    <mergeCell ref="AA6446:AA6447"/>
    <mergeCell ref="AB6446:AB6447"/>
    <mergeCell ref="A6448:A6449"/>
    <mergeCell ref="E6448:E6449"/>
    <mergeCell ref="H6448:H6449"/>
    <mergeCell ref="I6448:I6449"/>
    <mergeCell ref="J6448:J6449"/>
    <mergeCell ref="K6448:K6449"/>
    <mergeCell ref="L6448:L6449"/>
    <mergeCell ref="M6448:M6449"/>
    <mergeCell ref="N6448:N6449"/>
    <mergeCell ref="O6448:O6449"/>
    <mergeCell ref="X6448:X6449"/>
    <mergeCell ref="Y6448:Y6449"/>
    <mergeCell ref="Z6448:Z6449"/>
    <mergeCell ref="AA6448:AA6449"/>
    <mergeCell ref="AB6448:AB6449"/>
    <mergeCell ref="A6442:A6443"/>
    <mergeCell ref="E6442:E6443"/>
    <mergeCell ref="H6442:H6443"/>
    <mergeCell ref="I6442:I6443"/>
    <mergeCell ref="J6442:J6443"/>
    <mergeCell ref="K6442:K6443"/>
    <mergeCell ref="L6442:L6443"/>
    <mergeCell ref="M6442:M6443"/>
    <mergeCell ref="N6442:N6443"/>
    <mergeCell ref="O6442:O6443"/>
    <mergeCell ref="X6442:X6443"/>
    <mergeCell ref="Y6442:Y6443"/>
    <mergeCell ref="Z6442:Z6443"/>
    <mergeCell ref="AA6442:AA6443"/>
    <mergeCell ref="AB6442:AB6443"/>
    <mergeCell ref="A6444:A6445"/>
    <mergeCell ref="E6444:E6445"/>
    <mergeCell ref="H6444:H6445"/>
    <mergeCell ref="I6444:I6445"/>
    <mergeCell ref="J6444:J6445"/>
    <mergeCell ref="K6444:K6445"/>
    <mergeCell ref="L6444:L6445"/>
    <mergeCell ref="M6444:M6445"/>
    <mergeCell ref="N6444:N6445"/>
    <mergeCell ref="O6444:O6445"/>
    <mergeCell ref="X6444:X6445"/>
    <mergeCell ref="Y6444:Y6445"/>
    <mergeCell ref="Z6444:Z6445"/>
    <mergeCell ref="AA6444:AA6445"/>
    <mergeCell ref="AB6444:AB6445"/>
    <mergeCell ref="A6438:A6439"/>
    <mergeCell ref="E6438:E6439"/>
    <mergeCell ref="H6438:H6439"/>
    <mergeCell ref="I6438:I6439"/>
    <mergeCell ref="J6438:J6439"/>
    <mergeCell ref="K6438:K6439"/>
    <mergeCell ref="L6438:L6439"/>
    <mergeCell ref="M6438:M6439"/>
    <mergeCell ref="N6438:N6439"/>
    <mergeCell ref="O6438:O6439"/>
    <mergeCell ref="X6438:X6439"/>
    <mergeCell ref="Y6438:Y6439"/>
    <mergeCell ref="Z6438:Z6439"/>
    <mergeCell ref="AA6438:AA6439"/>
    <mergeCell ref="AB6438:AB6439"/>
    <mergeCell ref="A6440:A6441"/>
    <mergeCell ref="E6440:E6441"/>
    <mergeCell ref="H6440:H6441"/>
    <mergeCell ref="I6440:I6441"/>
    <mergeCell ref="J6440:J6441"/>
    <mergeCell ref="K6440:K6441"/>
    <mergeCell ref="L6440:L6441"/>
    <mergeCell ref="M6440:M6441"/>
    <mergeCell ref="N6440:N6441"/>
    <mergeCell ref="O6440:O6441"/>
    <mergeCell ref="X6440:X6441"/>
    <mergeCell ref="Y6440:Y6441"/>
    <mergeCell ref="Z6440:Z6441"/>
    <mergeCell ref="AA6440:AA6441"/>
    <mergeCell ref="AB6440:AB6441"/>
    <mergeCell ref="A6434:A6435"/>
    <mergeCell ref="E6434:E6435"/>
    <mergeCell ref="H6434:H6435"/>
    <mergeCell ref="I6434:I6435"/>
    <mergeCell ref="J6434:J6435"/>
    <mergeCell ref="K6434:K6435"/>
    <mergeCell ref="L6434:L6435"/>
    <mergeCell ref="M6434:M6435"/>
    <mergeCell ref="N6434:N6435"/>
    <mergeCell ref="O6434:O6435"/>
    <mergeCell ref="X6434:X6435"/>
    <mergeCell ref="Y6434:Y6435"/>
    <mergeCell ref="Z6434:Z6435"/>
    <mergeCell ref="AA6434:AA6435"/>
    <mergeCell ref="AB6434:AB6435"/>
    <mergeCell ref="A6436:A6437"/>
    <mergeCell ref="E6436:E6437"/>
    <mergeCell ref="H6436:H6437"/>
    <mergeCell ref="I6436:I6437"/>
    <mergeCell ref="J6436:J6437"/>
    <mergeCell ref="K6436:K6437"/>
    <mergeCell ref="L6436:L6437"/>
    <mergeCell ref="M6436:M6437"/>
    <mergeCell ref="N6436:N6437"/>
    <mergeCell ref="O6436:O6437"/>
    <mergeCell ref="X6436:X6437"/>
    <mergeCell ref="Y6436:Y6437"/>
    <mergeCell ref="Z6436:Z6437"/>
    <mergeCell ref="AA6436:AA6437"/>
    <mergeCell ref="AB6436:AB6437"/>
    <mergeCell ref="A6430:A6431"/>
    <mergeCell ref="E6430:E6431"/>
    <mergeCell ref="H6430:H6431"/>
    <mergeCell ref="I6430:I6431"/>
    <mergeCell ref="J6430:J6431"/>
    <mergeCell ref="K6430:K6431"/>
    <mergeCell ref="L6430:L6431"/>
    <mergeCell ref="M6430:M6431"/>
    <mergeCell ref="N6430:N6431"/>
    <mergeCell ref="O6430:O6431"/>
    <mergeCell ref="X6430:X6431"/>
    <mergeCell ref="Y6430:Y6431"/>
    <mergeCell ref="Z6430:Z6431"/>
    <mergeCell ref="AA6430:AA6431"/>
    <mergeCell ref="AB6430:AB6431"/>
    <mergeCell ref="A6432:A6433"/>
    <mergeCell ref="E6432:E6433"/>
    <mergeCell ref="H6432:H6433"/>
    <mergeCell ref="I6432:I6433"/>
    <mergeCell ref="J6432:J6433"/>
    <mergeCell ref="K6432:K6433"/>
    <mergeCell ref="L6432:L6433"/>
    <mergeCell ref="M6432:M6433"/>
    <mergeCell ref="N6432:N6433"/>
    <mergeCell ref="O6432:O6433"/>
    <mergeCell ref="X6432:X6433"/>
    <mergeCell ref="Y6432:Y6433"/>
    <mergeCell ref="Z6432:Z6433"/>
    <mergeCell ref="AA6432:AA6433"/>
    <mergeCell ref="AB6432:AB6433"/>
    <mergeCell ref="A6426:A6427"/>
    <mergeCell ref="E6426:E6427"/>
    <mergeCell ref="H6426:H6427"/>
    <mergeCell ref="I6426:I6427"/>
    <mergeCell ref="J6426:J6427"/>
    <mergeCell ref="K6426:K6427"/>
    <mergeCell ref="L6426:L6427"/>
    <mergeCell ref="M6426:M6427"/>
    <mergeCell ref="N6426:N6427"/>
    <mergeCell ref="O6426:O6427"/>
    <mergeCell ref="X6426:X6427"/>
    <mergeCell ref="Y6426:Y6427"/>
    <mergeCell ref="Z6426:Z6427"/>
    <mergeCell ref="AA6426:AA6427"/>
    <mergeCell ref="AB6426:AB6427"/>
    <mergeCell ref="A6428:A6429"/>
    <mergeCell ref="E6428:E6429"/>
    <mergeCell ref="H6428:H6429"/>
    <mergeCell ref="I6428:I6429"/>
    <mergeCell ref="J6428:J6429"/>
    <mergeCell ref="K6428:K6429"/>
    <mergeCell ref="L6428:L6429"/>
    <mergeCell ref="M6428:M6429"/>
    <mergeCell ref="N6428:N6429"/>
    <mergeCell ref="O6428:O6429"/>
    <mergeCell ref="X6428:X6429"/>
    <mergeCell ref="Y6428:Y6429"/>
    <mergeCell ref="Z6428:Z6429"/>
    <mergeCell ref="AA6428:AA6429"/>
    <mergeCell ref="AB6428:AB6429"/>
    <mergeCell ref="A6422:A6423"/>
    <mergeCell ref="E6422:E6423"/>
    <mergeCell ref="H6422:H6423"/>
    <mergeCell ref="I6422:I6423"/>
    <mergeCell ref="J6422:J6423"/>
    <mergeCell ref="K6422:K6423"/>
    <mergeCell ref="L6422:L6423"/>
    <mergeCell ref="M6422:M6423"/>
    <mergeCell ref="N6422:N6423"/>
    <mergeCell ref="O6422:O6423"/>
    <mergeCell ref="X6422:X6423"/>
    <mergeCell ref="Y6422:Y6423"/>
    <mergeCell ref="Z6422:Z6423"/>
    <mergeCell ref="AA6422:AA6423"/>
    <mergeCell ref="AB6422:AB6423"/>
    <mergeCell ref="A6424:A6425"/>
    <mergeCell ref="E6424:E6425"/>
    <mergeCell ref="H6424:H6425"/>
    <mergeCell ref="I6424:I6425"/>
    <mergeCell ref="J6424:J6425"/>
    <mergeCell ref="K6424:K6425"/>
    <mergeCell ref="L6424:L6425"/>
    <mergeCell ref="M6424:M6425"/>
    <mergeCell ref="N6424:N6425"/>
    <mergeCell ref="O6424:O6425"/>
    <mergeCell ref="X6424:X6425"/>
    <mergeCell ref="Y6424:Y6425"/>
    <mergeCell ref="Z6424:Z6425"/>
    <mergeCell ref="AA6424:AA6425"/>
    <mergeCell ref="AB6424:AB6425"/>
    <mergeCell ref="A6418:A6419"/>
    <mergeCell ref="E6418:E6419"/>
    <mergeCell ref="H6418:H6419"/>
    <mergeCell ref="I6418:I6419"/>
    <mergeCell ref="J6418:J6419"/>
    <mergeCell ref="K6418:K6419"/>
    <mergeCell ref="L6418:L6419"/>
    <mergeCell ref="M6418:M6419"/>
    <mergeCell ref="N6418:N6419"/>
    <mergeCell ref="O6418:O6419"/>
    <mergeCell ref="X6418:X6419"/>
    <mergeCell ref="Y6418:Y6419"/>
    <mergeCell ref="Z6418:Z6419"/>
    <mergeCell ref="AA6418:AA6419"/>
    <mergeCell ref="AB6418:AB6419"/>
    <mergeCell ref="A6420:A6421"/>
    <mergeCell ref="E6420:E6421"/>
    <mergeCell ref="H6420:H6421"/>
    <mergeCell ref="I6420:I6421"/>
    <mergeCell ref="J6420:J6421"/>
    <mergeCell ref="K6420:K6421"/>
    <mergeCell ref="L6420:L6421"/>
    <mergeCell ref="M6420:M6421"/>
    <mergeCell ref="N6420:N6421"/>
    <mergeCell ref="O6420:O6421"/>
    <mergeCell ref="X6420:X6421"/>
    <mergeCell ref="Y6420:Y6421"/>
    <mergeCell ref="Z6420:Z6421"/>
    <mergeCell ref="AA6420:AA6421"/>
    <mergeCell ref="AB6420:AB6421"/>
    <mergeCell ref="A6414:A6415"/>
    <mergeCell ref="E6414:E6415"/>
    <mergeCell ref="H6414:H6415"/>
    <mergeCell ref="I6414:I6415"/>
    <mergeCell ref="J6414:J6415"/>
    <mergeCell ref="K6414:K6415"/>
    <mergeCell ref="L6414:L6415"/>
    <mergeCell ref="M6414:M6415"/>
    <mergeCell ref="N6414:N6415"/>
    <mergeCell ref="O6414:O6415"/>
    <mergeCell ref="X6414:X6415"/>
    <mergeCell ref="Y6414:Y6415"/>
    <mergeCell ref="Z6414:Z6415"/>
    <mergeCell ref="AA6414:AA6415"/>
    <mergeCell ref="AB6414:AB6415"/>
    <mergeCell ref="A6416:A6417"/>
    <mergeCell ref="E6416:E6417"/>
    <mergeCell ref="H6416:H6417"/>
    <mergeCell ref="I6416:I6417"/>
    <mergeCell ref="J6416:J6417"/>
    <mergeCell ref="K6416:K6417"/>
    <mergeCell ref="L6416:L6417"/>
    <mergeCell ref="M6416:M6417"/>
    <mergeCell ref="N6416:N6417"/>
    <mergeCell ref="O6416:O6417"/>
    <mergeCell ref="X6416:X6417"/>
    <mergeCell ref="Y6416:Y6417"/>
    <mergeCell ref="Z6416:Z6417"/>
    <mergeCell ref="AA6416:AA6417"/>
    <mergeCell ref="AB6416:AB6417"/>
    <mergeCell ref="A6410:A6411"/>
    <mergeCell ref="E6410:E6411"/>
    <mergeCell ref="H6410:H6411"/>
    <mergeCell ref="I6410:I6411"/>
    <mergeCell ref="J6410:J6411"/>
    <mergeCell ref="K6410:K6411"/>
    <mergeCell ref="L6410:L6411"/>
    <mergeCell ref="M6410:M6411"/>
    <mergeCell ref="N6410:N6411"/>
    <mergeCell ref="O6410:O6411"/>
    <mergeCell ref="X6410:X6411"/>
    <mergeCell ref="Y6410:Y6411"/>
    <mergeCell ref="Z6410:Z6411"/>
    <mergeCell ref="AA6410:AA6411"/>
    <mergeCell ref="AB6410:AB6411"/>
    <mergeCell ref="A6412:A6413"/>
    <mergeCell ref="E6412:E6413"/>
    <mergeCell ref="H6412:H6413"/>
    <mergeCell ref="I6412:I6413"/>
    <mergeCell ref="J6412:J6413"/>
    <mergeCell ref="K6412:K6413"/>
    <mergeCell ref="L6412:L6413"/>
    <mergeCell ref="M6412:M6413"/>
    <mergeCell ref="N6412:N6413"/>
    <mergeCell ref="O6412:O6413"/>
    <mergeCell ref="X6412:X6413"/>
    <mergeCell ref="Y6412:Y6413"/>
    <mergeCell ref="Z6412:Z6413"/>
    <mergeCell ref="AA6412:AA6413"/>
    <mergeCell ref="AB6412:AB6413"/>
    <mergeCell ref="A6406:A6407"/>
    <mergeCell ref="E6406:E6407"/>
    <mergeCell ref="H6406:H6407"/>
    <mergeCell ref="I6406:I6407"/>
    <mergeCell ref="J6406:J6407"/>
    <mergeCell ref="K6406:K6407"/>
    <mergeCell ref="L6406:L6407"/>
    <mergeCell ref="M6406:M6407"/>
    <mergeCell ref="N6406:N6407"/>
    <mergeCell ref="O6406:O6407"/>
    <mergeCell ref="X6406:X6407"/>
    <mergeCell ref="Y6406:Y6407"/>
    <mergeCell ref="Z6406:Z6407"/>
    <mergeCell ref="AA6406:AA6407"/>
    <mergeCell ref="AB6406:AB6407"/>
    <mergeCell ref="A6408:A6409"/>
    <mergeCell ref="E6408:E6409"/>
    <mergeCell ref="H6408:H6409"/>
    <mergeCell ref="I6408:I6409"/>
    <mergeCell ref="J6408:J6409"/>
    <mergeCell ref="K6408:K6409"/>
    <mergeCell ref="L6408:L6409"/>
    <mergeCell ref="M6408:M6409"/>
    <mergeCell ref="N6408:N6409"/>
    <mergeCell ref="O6408:O6409"/>
    <mergeCell ref="X6408:X6409"/>
    <mergeCell ref="Y6408:Y6409"/>
    <mergeCell ref="Z6408:Z6409"/>
    <mergeCell ref="AA6408:AA6409"/>
    <mergeCell ref="AB6408:AB6409"/>
    <mergeCell ref="A6402:A6403"/>
    <mergeCell ref="E6402:E6403"/>
    <mergeCell ref="H6402:H6403"/>
    <mergeCell ref="I6402:I6403"/>
    <mergeCell ref="J6402:J6403"/>
    <mergeCell ref="K6402:K6403"/>
    <mergeCell ref="L6402:L6403"/>
    <mergeCell ref="M6402:M6403"/>
    <mergeCell ref="N6402:N6403"/>
    <mergeCell ref="O6402:O6403"/>
    <mergeCell ref="X6402:X6403"/>
    <mergeCell ref="Y6402:Y6403"/>
    <mergeCell ref="Z6402:Z6403"/>
    <mergeCell ref="AA6402:AA6403"/>
    <mergeCell ref="AB6402:AB6403"/>
    <mergeCell ref="A6404:A6405"/>
    <mergeCell ref="E6404:E6405"/>
    <mergeCell ref="H6404:H6405"/>
    <mergeCell ref="I6404:I6405"/>
    <mergeCell ref="J6404:J6405"/>
    <mergeCell ref="K6404:K6405"/>
    <mergeCell ref="L6404:L6405"/>
    <mergeCell ref="M6404:M6405"/>
    <mergeCell ref="N6404:N6405"/>
    <mergeCell ref="O6404:O6405"/>
    <mergeCell ref="X6404:X6405"/>
    <mergeCell ref="Y6404:Y6405"/>
    <mergeCell ref="Z6404:Z6405"/>
    <mergeCell ref="AA6404:AA6405"/>
    <mergeCell ref="AB6404:AB6405"/>
    <mergeCell ref="A6398:A6399"/>
    <mergeCell ref="E6398:E6399"/>
    <mergeCell ref="H6398:H6399"/>
    <mergeCell ref="I6398:I6399"/>
    <mergeCell ref="J6398:J6399"/>
    <mergeCell ref="K6398:K6399"/>
    <mergeCell ref="L6398:L6399"/>
    <mergeCell ref="M6398:M6399"/>
    <mergeCell ref="N6398:N6399"/>
    <mergeCell ref="O6398:O6399"/>
    <mergeCell ref="X6398:X6399"/>
    <mergeCell ref="Y6398:Y6399"/>
    <mergeCell ref="Z6398:Z6399"/>
    <mergeCell ref="AA6398:AA6399"/>
    <mergeCell ref="AB6398:AB6399"/>
    <mergeCell ref="A6400:A6401"/>
    <mergeCell ref="E6400:E6401"/>
    <mergeCell ref="H6400:H6401"/>
    <mergeCell ref="I6400:I6401"/>
    <mergeCell ref="J6400:J6401"/>
    <mergeCell ref="K6400:K6401"/>
    <mergeCell ref="L6400:L6401"/>
    <mergeCell ref="M6400:M6401"/>
    <mergeCell ref="N6400:N6401"/>
    <mergeCell ref="O6400:O6401"/>
    <mergeCell ref="X6400:X6401"/>
    <mergeCell ref="Y6400:Y6401"/>
    <mergeCell ref="Z6400:Z6401"/>
    <mergeCell ref="AA6400:AA6401"/>
    <mergeCell ref="AB6400:AB6401"/>
    <mergeCell ref="A6394:A6395"/>
    <mergeCell ref="E6394:E6395"/>
    <mergeCell ref="H6394:H6395"/>
    <mergeCell ref="I6394:I6395"/>
    <mergeCell ref="J6394:J6395"/>
    <mergeCell ref="K6394:K6395"/>
    <mergeCell ref="L6394:L6395"/>
    <mergeCell ref="M6394:M6395"/>
    <mergeCell ref="N6394:N6395"/>
    <mergeCell ref="O6394:O6395"/>
    <mergeCell ref="X6394:X6395"/>
    <mergeCell ref="Y6394:Y6395"/>
    <mergeCell ref="Z6394:Z6395"/>
    <mergeCell ref="AA6394:AA6395"/>
    <mergeCell ref="AB6394:AB6395"/>
    <mergeCell ref="A6396:A6397"/>
    <mergeCell ref="E6396:E6397"/>
    <mergeCell ref="H6396:H6397"/>
    <mergeCell ref="I6396:I6397"/>
    <mergeCell ref="J6396:J6397"/>
    <mergeCell ref="K6396:K6397"/>
    <mergeCell ref="L6396:L6397"/>
    <mergeCell ref="M6396:M6397"/>
    <mergeCell ref="N6396:N6397"/>
    <mergeCell ref="O6396:O6397"/>
    <mergeCell ref="X6396:X6397"/>
    <mergeCell ref="Y6396:Y6397"/>
    <mergeCell ref="Z6396:Z6397"/>
    <mergeCell ref="AA6396:AA6397"/>
    <mergeCell ref="AB6396:AB6397"/>
    <mergeCell ref="A6390:A6391"/>
    <mergeCell ref="E6390:E6391"/>
    <mergeCell ref="H6390:H6391"/>
    <mergeCell ref="I6390:I6391"/>
    <mergeCell ref="J6390:J6391"/>
    <mergeCell ref="K6390:K6391"/>
    <mergeCell ref="L6390:L6391"/>
    <mergeCell ref="M6390:M6391"/>
    <mergeCell ref="N6390:N6391"/>
    <mergeCell ref="O6390:O6391"/>
    <mergeCell ref="X6390:X6391"/>
    <mergeCell ref="Y6390:Y6391"/>
    <mergeCell ref="Z6390:Z6391"/>
    <mergeCell ref="AA6390:AA6391"/>
    <mergeCell ref="AB6390:AB6391"/>
    <mergeCell ref="A6392:A6393"/>
    <mergeCell ref="E6392:E6393"/>
    <mergeCell ref="H6392:H6393"/>
    <mergeCell ref="I6392:I6393"/>
    <mergeCell ref="J6392:J6393"/>
    <mergeCell ref="K6392:K6393"/>
    <mergeCell ref="L6392:L6393"/>
    <mergeCell ref="M6392:M6393"/>
    <mergeCell ref="N6392:N6393"/>
    <mergeCell ref="O6392:O6393"/>
    <mergeCell ref="X6392:X6393"/>
    <mergeCell ref="Y6392:Y6393"/>
    <mergeCell ref="Z6392:Z6393"/>
    <mergeCell ref="AA6392:AA6393"/>
    <mergeCell ref="AB6392:AB6393"/>
    <mergeCell ref="A6386:A6387"/>
    <mergeCell ref="E6386:E6387"/>
    <mergeCell ref="H6386:H6387"/>
    <mergeCell ref="I6386:I6387"/>
    <mergeCell ref="J6386:J6387"/>
    <mergeCell ref="K6386:K6387"/>
    <mergeCell ref="L6386:L6387"/>
    <mergeCell ref="M6386:M6387"/>
    <mergeCell ref="N6386:N6387"/>
    <mergeCell ref="O6386:O6387"/>
    <mergeCell ref="X6386:X6387"/>
    <mergeCell ref="Y6386:Y6387"/>
    <mergeCell ref="Z6386:Z6387"/>
    <mergeCell ref="AA6386:AA6387"/>
    <mergeCell ref="AB6386:AB6387"/>
    <mergeCell ref="A6388:A6389"/>
    <mergeCell ref="E6388:E6389"/>
    <mergeCell ref="H6388:H6389"/>
    <mergeCell ref="I6388:I6389"/>
    <mergeCell ref="J6388:J6389"/>
    <mergeCell ref="K6388:K6389"/>
    <mergeCell ref="L6388:L6389"/>
    <mergeCell ref="M6388:M6389"/>
    <mergeCell ref="N6388:N6389"/>
    <mergeCell ref="O6388:O6389"/>
    <mergeCell ref="X6388:X6389"/>
    <mergeCell ref="Y6388:Y6389"/>
    <mergeCell ref="Z6388:Z6389"/>
    <mergeCell ref="AA6388:AA6389"/>
    <mergeCell ref="AB6388:AB6389"/>
    <mergeCell ref="A6382:A6383"/>
    <mergeCell ref="E6382:E6383"/>
    <mergeCell ref="H6382:H6383"/>
    <mergeCell ref="I6382:I6383"/>
    <mergeCell ref="J6382:J6383"/>
    <mergeCell ref="K6382:K6383"/>
    <mergeCell ref="L6382:L6383"/>
    <mergeCell ref="M6382:M6383"/>
    <mergeCell ref="N6382:N6383"/>
    <mergeCell ref="O6382:O6383"/>
    <mergeCell ref="X6382:X6383"/>
    <mergeCell ref="Y6382:Y6383"/>
    <mergeCell ref="Z6382:Z6383"/>
    <mergeCell ref="AA6382:AA6383"/>
    <mergeCell ref="AB6382:AB6383"/>
    <mergeCell ref="A6384:A6385"/>
    <mergeCell ref="E6384:E6385"/>
    <mergeCell ref="H6384:H6385"/>
    <mergeCell ref="I6384:I6385"/>
    <mergeCell ref="J6384:J6385"/>
    <mergeCell ref="K6384:K6385"/>
    <mergeCell ref="L6384:L6385"/>
    <mergeCell ref="M6384:M6385"/>
    <mergeCell ref="N6384:N6385"/>
    <mergeCell ref="O6384:O6385"/>
    <mergeCell ref="X6384:X6385"/>
    <mergeCell ref="Y6384:Y6385"/>
    <mergeCell ref="Z6384:Z6385"/>
    <mergeCell ref="AA6384:AA6385"/>
    <mergeCell ref="AB6384:AB6385"/>
    <mergeCell ref="A6378:A6379"/>
    <mergeCell ref="E6378:E6379"/>
    <mergeCell ref="H6378:H6379"/>
    <mergeCell ref="I6378:I6379"/>
    <mergeCell ref="J6378:J6379"/>
    <mergeCell ref="K6378:K6379"/>
    <mergeCell ref="L6378:L6379"/>
    <mergeCell ref="M6378:M6379"/>
    <mergeCell ref="N6378:N6379"/>
    <mergeCell ref="O6378:O6379"/>
    <mergeCell ref="X6378:X6379"/>
    <mergeCell ref="Y6378:Y6379"/>
    <mergeCell ref="Z6378:Z6379"/>
    <mergeCell ref="AA6378:AA6379"/>
    <mergeCell ref="AB6378:AB6379"/>
    <mergeCell ref="A6380:A6381"/>
    <mergeCell ref="E6380:E6381"/>
    <mergeCell ref="H6380:H6381"/>
    <mergeCell ref="I6380:I6381"/>
    <mergeCell ref="J6380:J6381"/>
    <mergeCell ref="K6380:K6381"/>
    <mergeCell ref="L6380:L6381"/>
    <mergeCell ref="M6380:M6381"/>
    <mergeCell ref="N6380:N6381"/>
    <mergeCell ref="O6380:O6381"/>
    <mergeCell ref="X6380:X6381"/>
    <mergeCell ref="Y6380:Y6381"/>
    <mergeCell ref="Z6380:Z6381"/>
    <mergeCell ref="AA6380:AA6381"/>
    <mergeCell ref="AB6380:AB6381"/>
    <mergeCell ref="A6374:A6375"/>
    <mergeCell ref="E6374:E6375"/>
    <mergeCell ref="H6374:H6375"/>
    <mergeCell ref="I6374:I6375"/>
    <mergeCell ref="J6374:J6375"/>
    <mergeCell ref="K6374:K6375"/>
    <mergeCell ref="L6374:L6375"/>
    <mergeCell ref="M6374:M6375"/>
    <mergeCell ref="N6374:N6375"/>
    <mergeCell ref="O6374:O6375"/>
    <mergeCell ref="X6374:X6375"/>
    <mergeCell ref="Y6374:Y6375"/>
    <mergeCell ref="Z6374:Z6375"/>
    <mergeCell ref="AA6374:AA6375"/>
    <mergeCell ref="AB6374:AB6375"/>
    <mergeCell ref="A6376:A6377"/>
    <mergeCell ref="E6376:E6377"/>
    <mergeCell ref="H6376:H6377"/>
    <mergeCell ref="I6376:I6377"/>
    <mergeCell ref="J6376:J6377"/>
    <mergeCell ref="K6376:K6377"/>
    <mergeCell ref="L6376:L6377"/>
    <mergeCell ref="M6376:M6377"/>
    <mergeCell ref="N6376:N6377"/>
    <mergeCell ref="O6376:O6377"/>
    <mergeCell ref="X6376:X6377"/>
    <mergeCell ref="Y6376:Y6377"/>
    <mergeCell ref="Z6376:Z6377"/>
    <mergeCell ref="AA6376:AA6377"/>
    <mergeCell ref="AB6376:AB6377"/>
    <mergeCell ref="A6370:A6371"/>
    <mergeCell ref="E6370:E6371"/>
    <mergeCell ref="H6370:H6371"/>
    <mergeCell ref="I6370:I6371"/>
    <mergeCell ref="J6370:J6371"/>
    <mergeCell ref="K6370:K6371"/>
    <mergeCell ref="L6370:L6371"/>
    <mergeCell ref="M6370:M6371"/>
    <mergeCell ref="N6370:N6371"/>
    <mergeCell ref="O6370:O6371"/>
    <mergeCell ref="X6370:X6371"/>
    <mergeCell ref="Y6370:Y6371"/>
    <mergeCell ref="Z6370:Z6371"/>
    <mergeCell ref="AA6370:AA6371"/>
    <mergeCell ref="AB6370:AB6371"/>
    <mergeCell ref="A6372:A6373"/>
    <mergeCell ref="E6372:E6373"/>
    <mergeCell ref="H6372:H6373"/>
    <mergeCell ref="I6372:I6373"/>
    <mergeCell ref="J6372:J6373"/>
    <mergeCell ref="K6372:K6373"/>
    <mergeCell ref="L6372:L6373"/>
    <mergeCell ref="M6372:M6373"/>
    <mergeCell ref="N6372:N6373"/>
    <mergeCell ref="O6372:O6373"/>
    <mergeCell ref="X6372:X6373"/>
    <mergeCell ref="Y6372:Y6373"/>
    <mergeCell ref="Z6372:Z6373"/>
    <mergeCell ref="AA6372:AA6373"/>
    <mergeCell ref="AB6372:AB6373"/>
    <mergeCell ref="A6366:A6367"/>
    <mergeCell ref="E6366:E6367"/>
    <mergeCell ref="H6366:H6367"/>
    <mergeCell ref="I6366:I6367"/>
    <mergeCell ref="J6366:J6367"/>
    <mergeCell ref="K6366:K6367"/>
    <mergeCell ref="L6366:L6367"/>
    <mergeCell ref="M6366:M6367"/>
    <mergeCell ref="N6366:N6367"/>
    <mergeCell ref="O6366:O6367"/>
    <mergeCell ref="X6366:X6367"/>
    <mergeCell ref="Y6366:Y6367"/>
    <mergeCell ref="Z6366:Z6367"/>
    <mergeCell ref="AA6366:AA6367"/>
    <mergeCell ref="AB6366:AB6367"/>
    <mergeCell ref="A6368:A6369"/>
    <mergeCell ref="E6368:E6369"/>
    <mergeCell ref="H6368:H6369"/>
    <mergeCell ref="I6368:I6369"/>
    <mergeCell ref="J6368:J6369"/>
    <mergeCell ref="K6368:K6369"/>
    <mergeCell ref="L6368:L6369"/>
    <mergeCell ref="M6368:M6369"/>
    <mergeCell ref="N6368:N6369"/>
    <mergeCell ref="O6368:O6369"/>
    <mergeCell ref="X6368:X6369"/>
    <mergeCell ref="Y6368:Y6369"/>
    <mergeCell ref="Z6368:Z6369"/>
    <mergeCell ref="AA6368:AA6369"/>
    <mergeCell ref="AB6368:AB6369"/>
    <mergeCell ref="A6362:A6363"/>
    <mergeCell ref="E6362:E6363"/>
    <mergeCell ref="H6362:H6363"/>
    <mergeCell ref="I6362:I6363"/>
    <mergeCell ref="J6362:J6363"/>
    <mergeCell ref="K6362:K6363"/>
    <mergeCell ref="L6362:L6363"/>
    <mergeCell ref="M6362:M6363"/>
    <mergeCell ref="N6362:N6363"/>
    <mergeCell ref="O6362:O6363"/>
    <mergeCell ref="X6362:X6363"/>
    <mergeCell ref="Y6362:Y6363"/>
    <mergeCell ref="Z6362:Z6363"/>
    <mergeCell ref="AA6362:AA6363"/>
    <mergeCell ref="AB6362:AB6363"/>
    <mergeCell ref="A6364:A6365"/>
    <mergeCell ref="E6364:E6365"/>
    <mergeCell ref="H6364:H6365"/>
    <mergeCell ref="I6364:I6365"/>
    <mergeCell ref="J6364:J6365"/>
    <mergeCell ref="K6364:K6365"/>
    <mergeCell ref="L6364:L6365"/>
    <mergeCell ref="M6364:M6365"/>
    <mergeCell ref="N6364:N6365"/>
    <mergeCell ref="O6364:O6365"/>
    <mergeCell ref="X6364:X6365"/>
    <mergeCell ref="Y6364:Y6365"/>
    <mergeCell ref="Z6364:Z6365"/>
    <mergeCell ref="AA6364:AA6365"/>
    <mergeCell ref="AB6364:AB6365"/>
    <mergeCell ref="A6358:A6359"/>
    <mergeCell ref="E6358:E6359"/>
    <mergeCell ref="H6358:H6359"/>
    <mergeCell ref="I6358:I6359"/>
    <mergeCell ref="J6358:J6359"/>
    <mergeCell ref="K6358:K6359"/>
    <mergeCell ref="L6358:L6359"/>
    <mergeCell ref="M6358:M6359"/>
    <mergeCell ref="N6358:N6359"/>
    <mergeCell ref="O6358:O6359"/>
    <mergeCell ref="X6358:X6359"/>
    <mergeCell ref="Y6358:Y6359"/>
    <mergeCell ref="Z6358:Z6359"/>
    <mergeCell ref="AA6358:AA6359"/>
    <mergeCell ref="AB6358:AB6359"/>
    <mergeCell ref="A6360:A6361"/>
    <mergeCell ref="E6360:E6361"/>
    <mergeCell ref="H6360:H6361"/>
    <mergeCell ref="I6360:I6361"/>
    <mergeCell ref="J6360:J6361"/>
    <mergeCell ref="K6360:K6361"/>
    <mergeCell ref="L6360:L6361"/>
    <mergeCell ref="M6360:M6361"/>
    <mergeCell ref="N6360:N6361"/>
    <mergeCell ref="O6360:O6361"/>
    <mergeCell ref="X6360:X6361"/>
    <mergeCell ref="Y6360:Y6361"/>
    <mergeCell ref="Z6360:Z6361"/>
    <mergeCell ref="AA6360:AA6361"/>
    <mergeCell ref="AB6360:AB6361"/>
    <mergeCell ref="A6354:A6355"/>
    <mergeCell ref="E6354:E6355"/>
    <mergeCell ref="H6354:H6355"/>
    <mergeCell ref="I6354:I6355"/>
    <mergeCell ref="J6354:J6355"/>
    <mergeCell ref="K6354:K6355"/>
    <mergeCell ref="L6354:L6355"/>
    <mergeCell ref="M6354:M6355"/>
    <mergeCell ref="N6354:N6355"/>
    <mergeCell ref="O6354:O6355"/>
    <mergeCell ref="X6354:X6355"/>
    <mergeCell ref="Y6354:Y6355"/>
    <mergeCell ref="Z6354:Z6355"/>
    <mergeCell ref="AA6354:AA6355"/>
    <mergeCell ref="AB6354:AB6355"/>
    <mergeCell ref="A6356:A6357"/>
    <mergeCell ref="E6356:E6357"/>
    <mergeCell ref="H6356:H6357"/>
    <mergeCell ref="I6356:I6357"/>
    <mergeCell ref="J6356:J6357"/>
    <mergeCell ref="K6356:K6357"/>
    <mergeCell ref="L6356:L6357"/>
    <mergeCell ref="M6356:M6357"/>
    <mergeCell ref="N6356:N6357"/>
    <mergeCell ref="O6356:O6357"/>
    <mergeCell ref="X6356:X6357"/>
    <mergeCell ref="Y6356:Y6357"/>
    <mergeCell ref="Z6356:Z6357"/>
    <mergeCell ref="AA6356:AA6357"/>
    <mergeCell ref="AB6356:AB6357"/>
    <mergeCell ref="A6350:A6351"/>
    <mergeCell ref="E6350:E6351"/>
    <mergeCell ref="H6350:H6351"/>
    <mergeCell ref="I6350:I6351"/>
    <mergeCell ref="J6350:J6351"/>
    <mergeCell ref="K6350:K6351"/>
    <mergeCell ref="L6350:L6351"/>
    <mergeCell ref="M6350:M6351"/>
    <mergeCell ref="N6350:N6351"/>
    <mergeCell ref="O6350:O6351"/>
    <mergeCell ref="X6350:X6351"/>
    <mergeCell ref="Y6350:Y6351"/>
    <mergeCell ref="Z6350:Z6351"/>
    <mergeCell ref="AA6350:AA6351"/>
    <mergeCell ref="AB6350:AB6351"/>
    <mergeCell ref="A6352:A6353"/>
    <mergeCell ref="E6352:E6353"/>
    <mergeCell ref="H6352:H6353"/>
    <mergeCell ref="I6352:I6353"/>
    <mergeCell ref="J6352:J6353"/>
    <mergeCell ref="K6352:K6353"/>
    <mergeCell ref="L6352:L6353"/>
    <mergeCell ref="M6352:M6353"/>
    <mergeCell ref="N6352:N6353"/>
    <mergeCell ref="O6352:O6353"/>
    <mergeCell ref="X6352:X6353"/>
    <mergeCell ref="Y6352:Y6353"/>
    <mergeCell ref="Z6352:Z6353"/>
    <mergeCell ref="AA6352:AA6353"/>
    <mergeCell ref="AB6352:AB6353"/>
    <mergeCell ref="A6346:A6347"/>
    <mergeCell ref="E6346:E6347"/>
    <mergeCell ref="H6346:H6347"/>
    <mergeCell ref="I6346:I6347"/>
    <mergeCell ref="J6346:J6347"/>
    <mergeCell ref="K6346:K6347"/>
    <mergeCell ref="L6346:L6347"/>
    <mergeCell ref="M6346:M6347"/>
    <mergeCell ref="N6346:N6347"/>
    <mergeCell ref="O6346:O6347"/>
    <mergeCell ref="X6346:X6347"/>
    <mergeCell ref="Y6346:Y6347"/>
    <mergeCell ref="Z6346:Z6347"/>
    <mergeCell ref="AA6346:AA6347"/>
    <mergeCell ref="AB6346:AB6347"/>
    <mergeCell ref="A6348:A6349"/>
    <mergeCell ref="E6348:E6349"/>
    <mergeCell ref="H6348:H6349"/>
    <mergeCell ref="I6348:I6349"/>
    <mergeCell ref="J6348:J6349"/>
    <mergeCell ref="K6348:K6349"/>
    <mergeCell ref="L6348:L6349"/>
    <mergeCell ref="M6348:M6349"/>
    <mergeCell ref="N6348:N6349"/>
    <mergeCell ref="O6348:O6349"/>
    <mergeCell ref="X6348:X6349"/>
    <mergeCell ref="Y6348:Y6349"/>
    <mergeCell ref="Z6348:Z6349"/>
    <mergeCell ref="AA6348:AA6349"/>
    <mergeCell ref="AB6348:AB6349"/>
    <mergeCell ref="A6342:A6343"/>
    <mergeCell ref="E6342:E6343"/>
    <mergeCell ref="H6342:H6343"/>
    <mergeCell ref="I6342:I6343"/>
    <mergeCell ref="J6342:J6343"/>
    <mergeCell ref="K6342:K6343"/>
    <mergeCell ref="L6342:L6343"/>
    <mergeCell ref="M6342:M6343"/>
    <mergeCell ref="N6342:N6343"/>
    <mergeCell ref="O6342:O6343"/>
    <mergeCell ref="X6342:X6343"/>
    <mergeCell ref="Y6342:Y6343"/>
    <mergeCell ref="Z6342:Z6343"/>
    <mergeCell ref="AA6342:AA6343"/>
    <mergeCell ref="AB6342:AB6343"/>
    <mergeCell ref="A6344:A6345"/>
    <mergeCell ref="E6344:E6345"/>
    <mergeCell ref="H6344:H6345"/>
    <mergeCell ref="I6344:I6345"/>
    <mergeCell ref="J6344:J6345"/>
    <mergeCell ref="K6344:K6345"/>
    <mergeCell ref="L6344:L6345"/>
    <mergeCell ref="M6344:M6345"/>
    <mergeCell ref="N6344:N6345"/>
    <mergeCell ref="O6344:O6345"/>
    <mergeCell ref="X6344:X6345"/>
    <mergeCell ref="Y6344:Y6345"/>
    <mergeCell ref="Z6344:Z6345"/>
    <mergeCell ref="AA6344:AA6345"/>
    <mergeCell ref="AB6344:AB6345"/>
    <mergeCell ref="A6338:A6339"/>
    <mergeCell ref="E6338:E6339"/>
    <mergeCell ref="H6338:H6339"/>
    <mergeCell ref="I6338:I6339"/>
    <mergeCell ref="J6338:J6339"/>
    <mergeCell ref="K6338:K6339"/>
    <mergeCell ref="L6338:L6339"/>
    <mergeCell ref="M6338:M6339"/>
    <mergeCell ref="N6338:N6339"/>
    <mergeCell ref="O6338:O6339"/>
    <mergeCell ref="X6338:X6339"/>
    <mergeCell ref="Y6338:Y6339"/>
    <mergeCell ref="Z6338:Z6339"/>
    <mergeCell ref="AA6338:AA6339"/>
    <mergeCell ref="AB6338:AB6339"/>
    <mergeCell ref="A6340:A6341"/>
    <mergeCell ref="E6340:E6341"/>
    <mergeCell ref="H6340:H6341"/>
    <mergeCell ref="I6340:I6341"/>
    <mergeCell ref="J6340:J6341"/>
    <mergeCell ref="K6340:K6341"/>
    <mergeCell ref="L6340:L6341"/>
    <mergeCell ref="M6340:M6341"/>
    <mergeCell ref="N6340:N6341"/>
    <mergeCell ref="O6340:O6341"/>
    <mergeCell ref="X6340:X6341"/>
    <mergeCell ref="Y6340:Y6341"/>
    <mergeCell ref="Z6340:Z6341"/>
    <mergeCell ref="AA6340:AA6341"/>
    <mergeCell ref="AB6340:AB6341"/>
    <mergeCell ref="A6336:A6337"/>
    <mergeCell ref="E6336:E6337"/>
    <mergeCell ref="H6336:H6337"/>
    <mergeCell ref="I6336:I6337"/>
    <mergeCell ref="J6336:J6337"/>
    <mergeCell ref="K6336:K6337"/>
    <mergeCell ref="L6336:L6337"/>
    <mergeCell ref="M6336:M6337"/>
    <mergeCell ref="N6336:N6337"/>
    <mergeCell ref="O6336:O6337"/>
    <mergeCell ref="X6336:X6337"/>
    <mergeCell ref="Y6336:Y6337"/>
    <mergeCell ref="Z6336:Z6337"/>
    <mergeCell ref="AA6336:AA6337"/>
    <mergeCell ref="AB6336:AB6337"/>
    <mergeCell ref="A6332:A6333"/>
    <mergeCell ref="E6332:E6333"/>
    <mergeCell ref="H6332:H6333"/>
    <mergeCell ref="I6332:I6333"/>
    <mergeCell ref="J6332:J6333"/>
    <mergeCell ref="K6332:K6333"/>
    <mergeCell ref="L6332:L6333"/>
    <mergeCell ref="M6332:M6333"/>
    <mergeCell ref="N6332:N6333"/>
    <mergeCell ref="O6332:O6333"/>
    <mergeCell ref="X6332:X6333"/>
    <mergeCell ref="Y6332:Y6333"/>
    <mergeCell ref="Z6332:Z6333"/>
    <mergeCell ref="AA6332:AA6333"/>
    <mergeCell ref="AB6332:AB6333"/>
    <mergeCell ref="A6334:A6335"/>
    <mergeCell ref="E6334:E6335"/>
    <mergeCell ref="H6334:H6335"/>
    <mergeCell ref="I6334:I6335"/>
    <mergeCell ref="J6334:J6335"/>
    <mergeCell ref="K6334:K6335"/>
    <mergeCell ref="L6334:L6335"/>
    <mergeCell ref="M6334:M6335"/>
    <mergeCell ref="N6334:N6335"/>
    <mergeCell ref="O6334:O6335"/>
    <mergeCell ref="X6334:X6335"/>
    <mergeCell ref="Y6334:Y6335"/>
    <mergeCell ref="Z6334:Z6335"/>
    <mergeCell ref="AA6334:AA6335"/>
    <mergeCell ref="AB6334:AB6335"/>
    <mergeCell ref="E6330:E6331"/>
    <mergeCell ref="H6330:H6331"/>
    <mergeCell ref="I6330:I6331"/>
    <mergeCell ref="J6330:J6331"/>
    <mergeCell ref="K6330:K6331"/>
    <mergeCell ref="L6330:L6331"/>
    <mergeCell ref="M6330:M6331"/>
    <mergeCell ref="N6330:N6331"/>
    <mergeCell ref="O6330:O6331"/>
    <mergeCell ref="X6330:X6331"/>
    <mergeCell ref="Y6330:Y6331"/>
    <mergeCell ref="Z6330:Z6331"/>
    <mergeCell ref="AA6330:AA6331"/>
    <mergeCell ref="AB6330:AB6331"/>
    <mergeCell ref="A6322:A6323"/>
    <mergeCell ref="E6322:E6323"/>
    <mergeCell ref="H6322:H6323"/>
    <mergeCell ref="I6322:I6323"/>
    <mergeCell ref="J6322:J6323"/>
    <mergeCell ref="K6322:K6323"/>
    <mergeCell ref="L6322:L6323"/>
    <mergeCell ref="M6322:M6323"/>
    <mergeCell ref="N6322:N6323"/>
    <mergeCell ref="A6330:A6331"/>
    <mergeCell ref="A6326:A6327"/>
    <mergeCell ref="E6326:E6327"/>
    <mergeCell ref="H6326:H6327"/>
    <mergeCell ref="I6326:I6327"/>
    <mergeCell ref="J6326:J6327"/>
    <mergeCell ref="K6326:K6327"/>
    <mergeCell ref="L6326:L6327"/>
    <mergeCell ref="M6326:M6327"/>
    <mergeCell ref="N6326:N6327"/>
    <mergeCell ref="O6326:O6327"/>
    <mergeCell ref="X6326:X6327"/>
    <mergeCell ref="Y6326:Y6327"/>
    <mergeCell ref="Z6326:Z6327"/>
    <mergeCell ref="AA6326:AA6327"/>
    <mergeCell ref="AB6326:AB6327"/>
    <mergeCell ref="A6328:A6329"/>
    <mergeCell ref="E6328:E6329"/>
    <mergeCell ref="H6328:H6329"/>
    <mergeCell ref="I6328:I6329"/>
    <mergeCell ref="J6328:J6329"/>
    <mergeCell ref="K6328:K6329"/>
    <mergeCell ref="L6328:L6329"/>
    <mergeCell ref="M6328:M6329"/>
    <mergeCell ref="N6328:N6329"/>
    <mergeCell ref="O6328:O6329"/>
    <mergeCell ref="AB6328:AB6329"/>
    <mergeCell ref="O6322:O6323"/>
    <mergeCell ref="X6322:X6323"/>
    <mergeCell ref="Y6322:Y6323"/>
    <mergeCell ref="Z6322:Z6323"/>
    <mergeCell ref="AA6322:AA6323"/>
    <mergeCell ref="AB6322:AB6323"/>
    <mergeCell ref="A6324:A6325"/>
    <mergeCell ref="E6324:E6325"/>
    <mergeCell ref="H6324:H6325"/>
    <mergeCell ref="I6324:I6325"/>
    <mergeCell ref="J6324:J6325"/>
    <mergeCell ref="K6324:K6325"/>
    <mergeCell ref="L6324:L6325"/>
    <mergeCell ref="M6324:M6325"/>
    <mergeCell ref="A6316:A6317"/>
    <mergeCell ref="E6316:E6317"/>
    <mergeCell ref="H6316:H6317"/>
    <mergeCell ref="I6316:I6317"/>
    <mergeCell ref="J6316:J6317"/>
    <mergeCell ref="K6316:K6317"/>
    <mergeCell ref="L6316:L6317"/>
    <mergeCell ref="M6316:M6317"/>
    <mergeCell ref="N6316:N6317"/>
    <mergeCell ref="O6316:O6317"/>
    <mergeCell ref="X6316:X6317"/>
    <mergeCell ref="Y6316:Y6317"/>
    <mergeCell ref="Z6316:Z6317"/>
    <mergeCell ref="AA6316:AA6317"/>
    <mergeCell ref="AB6316:AB6317"/>
    <mergeCell ref="A6318:A6319"/>
    <mergeCell ref="E6318:E6319"/>
    <mergeCell ref="H6318:H6319"/>
    <mergeCell ref="I6318:I6319"/>
    <mergeCell ref="J6318:J6319"/>
    <mergeCell ref="K6318:K6319"/>
    <mergeCell ref="L6318:L6319"/>
    <mergeCell ref="M6318:M6319"/>
    <mergeCell ref="N6318:N6319"/>
    <mergeCell ref="O6318:O6319"/>
    <mergeCell ref="X6318:X6319"/>
    <mergeCell ref="Y6318:Y6319"/>
    <mergeCell ref="Z6318:Z6319"/>
    <mergeCell ref="AA6318:AA6319"/>
    <mergeCell ref="AB6318:AB6319"/>
    <mergeCell ref="X6328:X6329"/>
    <mergeCell ref="Y6328:Y6329"/>
    <mergeCell ref="Z6328:Z6329"/>
    <mergeCell ref="AA6328:AA6329"/>
    <mergeCell ref="A6320:A6321"/>
    <mergeCell ref="E6320:E6321"/>
    <mergeCell ref="H6320:H6321"/>
    <mergeCell ref="I6320:I6321"/>
    <mergeCell ref="J6320:J6321"/>
    <mergeCell ref="K6320:K6321"/>
    <mergeCell ref="L6320:L6321"/>
    <mergeCell ref="M6320:M6321"/>
    <mergeCell ref="N6320:N6321"/>
    <mergeCell ref="O6320:O6321"/>
    <mergeCell ref="X6320:X6321"/>
    <mergeCell ref="Y6320:Y6321"/>
    <mergeCell ref="Z6320:Z6321"/>
    <mergeCell ref="AA6320:AA6321"/>
    <mergeCell ref="AB6320:AB6321"/>
    <mergeCell ref="N6324:N6325"/>
    <mergeCell ref="O6324:O6325"/>
    <mergeCell ref="X6324:X6325"/>
    <mergeCell ref="Y6324:Y6325"/>
    <mergeCell ref="Z6324:Z6325"/>
    <mergeCell ref="AA6324:AA6325"/>
    <mergeCell ref="AB6324:AB6325"/>
    <mergeCell ref="A6312:A6313"/>
    <mergeCell ref="E6312:E6313"/>
    <mergeCell ref="H6312:H6313"/>
    <mergeCell ref="I6312:I6313"/>
    <mergeCell ref="J6312:J6313"/>
    <mergeCell ref="K6312:K6313"/>
    <mergeCell ref="L6312:L6313"/>
    <mergeCell ref="M6312:M6313"/>
    <mergeCell ref="N6312:N6313"/>
    <mergeCell ref="O6312:O6313"/>
    <mergeCell ref="X6312:X6313"/>
    <mergeCell ref="Y6312:Y6313"/>
    <mergeCell ref="Z6312:Z6313"/>
    <mergeCell ref="AA6312:AA6313"/>
    <mergeCell ref="AB6312:AB6313"/>
    <mergeCell ref="A6314:A6315"/>
    <mergeCell ref="E6314:E6315"/>
    <mergeCell ref="H6314:H6315"/>
    <mergeCell ref="I6314:I6315"/>
    <mergeCell ref="J6314:J6315"/>
    <mergeCell ref="K6314:K6315"/>
    <mergeCell ref="L6314:L6315"/>
    <mergeCell ref="M6314:M6315"/>
    <mergeCell ref="N6314:N6315"/>
    <mergeCell ref="O6314:O6315"/>
    <mergeCell ref="X6314:X6315"/>
    <mergeCell ref="Y6314:Y6315"/>
    <mergeCell ref="Z6314:Z6315"/>
    <mergeCell ref="AA6314:AA6315"/>
    <mergeCell ref="AB6314:AB6315"/>
    <mergeCell ref="A6308:A6309"/>
    <mergeCell ref="E6308:E6309"/>
    <mergeCell ref="H6308:H6309"/>
    <mergeCell ref="I6308:I6309"/>
    <mergeCell ref="J6308:J6309"/>
    <mergeCell ref="K6308:K6309"/>
    <mergeCell ref="L6308:L6309"/>
    <mergeCell ref="M6308:M6309"/>
    <mergeCell ref="N6308:N6309"/>
    <mergeCell ref="O6308:O6309"/>
    <mergeCell ref="X6308:X6309"/>
    <mergeCell ref="Y6308:Y6309"/>
    <mergeCell ref="Z6308:Z6309"/>
    <mergeCell ref="AA6308:AA6309"/>
    <mergeCell ref="AB6308:AB6309"/>
    <mergeCell ref="A6310:A6311"/>
    <mergeCell ref="E6310:E6311"/>
    <mergeCell ref="H6310:H6311"/>
    <mergeCell ref="I6310:I6311"/>
    <mergeCell ref="J6310:J6311"/>
    <mergeCell ref="K6310:K6311"/>
    <mergeCell ref="L6310:L6311"/>
    <mergeCell ref="M6310:M6311"/>
    <mergeCell ref="N6310:N6311"/>
    <mergeCell ref="O6310:O6311"/>
    <mergeCell ref="X6310:X6311"/>
    <mergeCell ref="Y6310:Y6311"/>
    <mergeCell ref="Z6310:Z6311"/>
    <mergeCell ref="AA6310:AA6311"/>
    <mergeCell ref="AB6310:AB6311"/>
    <mergeCell ref="A6304:A6305"/>
    <mergeCell ref="E6304:E6305"/>
    <mergeCell ref="H6304:H6305"/>
    <mergeCell ref="I6304:I6305"/>
    <mergeCell ref="J6304:J6305"/>
    <mergeCell ref="K6304:K6305"/>
    <mergeCell ref="L6304:L6305"/>
    <mergeCell ref="M6304:M6305"/>
    <mergeCell ref="N6304:N6305"/>
    <mergeCell ref="O6304:O6305"/>
    <mergeCell ref="X6304:X6305"/>
    <mergeCell ref="Y6304:Y6305"/>
    <mergeCell ref="Z6304:Z6305"/>
    <mergeCell ref="AA6304:AA6305"/>
    <mergeCell ref="AB6304:AB6305"/>
    <mergeCell ref="A6306:A6307"/>
    <mergeCell ref="E6306:E6307"/>
    <mergeCell ref="H6306:H6307"/>
    <mergeCell ref="I6306:I6307"/>
    <mergeCell ref="J6306:J6307"/>
    <mergeCell ref="K6306:K6307"/>
    <mergeCell ref="L6306:L6307"/>
    <mergeCell ref="M6306:M6307"/>
    <mergeCell ref="N6306:N6307"/>
    <mergeCell ref="O6306:O6307"/>
    <mergeCell ref="X6306:X6307"/>
    <mergeCell ref="Y6306:Y6307"/>
    <mergeCell ref="Z6306:Z6307"/>
    <mergeCell ref="AA6306:AA6307"/>
    <mergeCell ref="AB6306:AB6307"/>
    <mergeCell ref="A6300:A6301"/>
    <mergeCell ref="E6300:E6301"/>
    <mergeCell ref="H6300:H6301"/>
    <mergeCell ref="I6300:I6301"/>
    <mergeCell ref="J6300:J6301"/>
    <mergeCell ref="K6300:K6301"/>
    <mergeCell ref="L6300:L6301"/>
    <mergeCell ref="M6300:M6301"/>
    <mergeCell ref="N6300:N6301"/>
    <mergeCell ref="O6300:O6301"/>
    <mergeCell ref="X6300:X6301"/>
    <mergeCell ref="Y6300:Y6301"/>
    <mergeCell ref="Z6300:Z6301"/>
    <mergeCell ref="AA6300:AA6301"/>
    <mergeCell ref="AB6300:AB6301"/>
    <mergeCell ref="A6302:A6303"/>
    <mergeCell ref="E6302:E6303"/>
    <mergeCell ref="H6302:H6303"/>
    <mergeCell ref="I6302:I6303"/>
    <mergeCell ref="J6302:J6303"/>
    <mergeCell ref="K6302:K6303"/>
    <mergeCell ref="L6302:L6303"/>
    <mergeCell ref="M6302:M6303"/>
    <mergeCell ref="N6302:N6303"/>
    <mergeCell ref="O6302:O6303"/>
    <mergeCell ref="X6302:X6303"/>
    <mergeCell ref="Y6302:Y6303"/>
    <mergeCell ref="Z6302:Z6303"/>
    <mergeCell ref="AA6302:AA6303"/>
    <mergeCell ref="AB6302:AB6303"/>
    <mergeCell ref="A6296:A6297"/>
    <mergeCell ref="E6296:E6297"/>
    <mergeCell ref="H6296:H6297"/>
    <mergeCell ref="I6296:I6297"/>
    <mergeCell ref="J6296:J6297"/>
    <mergeCell ref="K6296:K6297"/>
    <mergeCell ref="L6296:L6297"/>
    <mergeCell ref="M6296:M6297"/>
    <mergeCell ref="N6296:N6297"/>
    <mergeCell ref="O6296:O6297"/>
    <mergeCell ref="X6296:X6297"/>
    <mergeCell ref="Y6296:Y6297"/>
    <mergeCell ref="Z6296:Z6297"/>
    <mergeCell ref="AA6296:AA6297"/>
    <mergeCell ref="AB6296:AB6297"/>
    <mergeCell ref="A6298:A6299"/>
    <mergeCell ref="E6298:E6299"/>
    <mergeCell ref="H6298:H6299"/>
    <mergeCell ref="I6298:I6299"/>
    <mergeCell ref="J6298:J6299"/>
    <mergeCell ref="K6298:K6299"/>
    <mergeCell ref="L6298:L6299"/>
    <mergeCell ref="M6298:M6299"/>
    <mergeCell ref="N6298:N6299"/>
    <mergeCell ref="O6298:O6299"/>
    <mergeCell ref="X6298:X6299"/>
    <mergeCell ref="Y6298:Y6299"/>
    <mergeCell ref="Z6298:Z6299"/>
    <mergeCell ref="AA6298:AA6299"/>
    <mergeCell ref="AB6298:AB6299"/>
    <mergeCell ref="A6292:A6293"/>
    <mergeCell ref="E6292:E6293"/>
    <mergeCell ref="H6292:H6293"/>
    <mergeCell ref="I6292:I6293"/>
    <mergeCell ref="J6292:J6293"/>
    <mergeCell ref="K6292:K6293"/>
    <mergeCell ref="L6292:L6293"/>
    <mergeCell ref="M6292:M6293"/>
    <mergeCell ref="N6292:N6293"/>
    <mergeCell ref="O6292:O6293"/>
    <mergeCell ref="X6292:X6293"/>
    <mergeCell ref="Y6292:Y6293"/>
    <mergeCell ref="Z6292:Z6293"/>
    <mergeCell ref="AA6292:AA6293"/>
    <mergeCell ref="AB6292:AB6293"/>
    <mergeCell ref="A6294:A6295"/>
    <mergeCell ref="E6294:E6295"/>
    <mergeCell ref="H6294:H6295"/>
    <mergeCell ref="I6294:I6295"/>
    <mergeCell ref="J6294:J6295"/>
    <mergeCell ref="K6294:K6295"/>
    <mergeCell ref="L6294:L6295"/>
    <mergeCell ref="M6294:M6295"/>
    <mergeCell ref="N6294:N6295"/>
    <mergeCell ref="O6294:O6295"/>
    <mergeCell ref="X6294:X6295"/>
    <mergeCell ref="Y6294:Y6295"/>
    <mergeCell ref="Z6294:Z6295"/>
    <mergeCell ref="AA6294:AA6295"/>
    <mergeCell ref="AB6294:AB6295"/>
    <mergeCell ref="A6288:A6289"/>
    <mergeCell ref="E6288:E6289"/>
    <mergeCell ref="H6288:H6289"/>
    <mergeCell ref="I6288:I6289"/>
    <mergeCell ref="J6288:J6289"/>
    <mergeCell ref="K6288:K6289"/>
    <mergeCell ref="L6288:L6289"/>
    <mergeCell ref="M6288:M6289"/>
    <mergeCell ref="N6288:N6289"/>
    <mergeCell ref="O6288:O6289"/>
    <mergeCell ref="X6288:X6289"/>
    <mergeCell ref="Y6288:Y6289"/>
    <mergeCell ref="Z6288:Z6289"/>
    <mergeCell ref="AA6288:AA6289"/>
    <mergeCell ref="AB6288:AB6289"/>
    <mergeCell ref="A6290:A6291"/>
    <mergeCell ref="E6290:E6291"/>
    <mergeCell ref="H6290:H6291"/>
    <mergeCell ref="I6290:I6291"/>
    <mergeCell ref="J6290:J6291"/>
    <mergeCell ref="K6290:K6291"/>
    <mergeCell ref="L6290:L6291"/>
    <mergeCell ref="M6290:M6291"/>
    <mergeCell ref="N6290:N6291"/>
    <mergeCell ref="O6290:O6291"/>
    <mergeCell ref="X6290:X6291"/>
    <mergeCell ref="Y6290:Y6291"/>
    <mergeCell ref="Z6290:Z6291"/>
    <mergeCell ref="AA6290:AA6291"/>
    <mergeCell ref="AB6290:AB6291"/>
    <mergeCell ref="A6284:A6285"/>
    <mergeCell ref="E6284:E6285"/>
    <mergeCell ref="H6284:H6285"/>
    <mergeCell ref="I6284:I6285"/>
    <mergeCell ref="J6284:J6285"/>
    <mergeCell ref="K6284:K6285"/>
    <mergeCell ref="L6284:L6285"/>
    <mergeCell ref="M6284:M6285"/>
    <mergeCell ref="N6284:N6285"/>
    <mergeCell ref="O6284:O6285"/>
    <mergeCell ref="X6284:X6285"/>
    <mergeCell ref="Y6284:Y6285"/>
    <mergeCell ref="Z6284:Z6285"/>
    <mergeCell ref="AA6284:AA6285"/>
    <mergeCell ref="AB6284:AB6285"/>
    <mergeCell ref="A6286:A6287"/>
    <mergeCell ref="E6286:E6287"/>
    <mergeCell ref="H6286:H6287"/>
    <mergeCell ref="I6286:I6287"/>
    <mergeCell ref="J6286:J6287"/>
    <mergeCell ref="K6286:K6287"/>
    <mergeCell ref="L6286:L6287"/>
    <mergeCell ref="M6286:M6287"/>
    <mergeCell ref="N6286:N6287"/>
    <mergeCell ref="O6286:O6287"/>
    <mergeCell ref="X6286:X6287"/>
    <mergeCell ref="Y6286:Y6287"/>
    <mergeCell ref="Z6286:Z6287"/>
    <mergeCell ref="AA6286:AA6287"/>
    <mergeCell ref="AB6286:AB6287"/>
    <mergeCell ref="A6280:A6281"/>
    <mergeCell ref="E6280:E6281"/>
    <mergeCell ref="H6280:H6281"/>
    <mergeCell ref="I6280:I6281"/>
    <mergeCell ref="J6280:J6281"/>
    <mergeCell ref="K6280:K6281"/>
    <mergeCell ref="L6280:L6281"/>
    <mergeCell ref="M6280:M6281"/>
    <mergeCell ref="N6280:N6281"/>
    <mergeCell ref="O6280:O6281"/>
    <mergeCell ref="X6280:X6281"/>
    <mergeCell ref="Y6280:Y6281"/>
    <mergeCell ref="Z6280:Z6281"/>
    <mergeCell ref="AA6280:AA6281"/>
    <mergeCell ref="AB6280:AB6281"/>
    <mergeCell ref="A6282:A6283"/>
    <mergeCell ref="E6282:E6283"/>
    <mergeCell ref="H6282:H6283"/>
    <mergeCell ref="I6282:I6283"/>
    <mergeCell ref="J6282:J6283"/>
    <mergeCell ref="K6282:K6283"/>
    <mergeCell ref="L6282:L6283"/>
    <mergeCell ref="M6282:M6283"/>
    <mergeCell ref="N6282:N6283"/>
    <mergeCell ref="O6282:O6283"/>
    <mergeCell ref="X6282:X6283"/>
    <mergeCell ref="Y6282:Y6283"/>
    <mergeCell ref="Z6282:Z6283"/>
    <mergeCell ref="AA6282:AA6283"/>
    <mergeCell ref="AB6282:AB6283"/>
    <mergeCell ref="A6276:A6277"/>
    <mergeCell ref="E6276:E6277"/>
    <mergeCell ref="H6276:H6277"/>
    <mergeCell ref="I6276:I6277"/>
    <mergeCell ref="J6276:J6277"/>
    <mergeCell ref="K6276:K6277"/>
    <mergeCell ref="L6276:L6277"/>
    <mergeCell ref="M6276:M6277"/>
    <mergeCell ref="N6276:N6277"/>
    <mergeCell ref="O6276:O6277"/>
    <mergeCell ref="X6276:X6277"/>
    <mergeCell ref="Y6276:Y6277"/>
    <mergeCell ref="Z6276:Z6277"/>
    <mergeCell ref="AA6276:AA6277"/>
    <mergeCell ref="AB6276:AB6277"/>
    <mergeCell ref="A6278:A6279"/>
    <mergeCell ref="E6278:E6279"/>
    <mergeCell ref="H6278:H6279"/>
    <mergeCell ref="I6278:I6279"/>
    <mergeCell ref="J6278:J6279"/>
    <mergeCell ref="K6278:K6279"/>
    <mergeCell ref="L6278:L6279"/>
    <mergeCell ref="M6278:M6279"/>
    <mergeCell ref="N6278:N6279"/>
    <mergeCell ref="O6278:O6279"/>
    <mergeCell ref="X6278:X6279"/>
    <mergeCell ref="Y6278:Y6279"/>
    <mergeCell ref="Z6278:Z6279"/>
    <mergeCell ref="AA6278:AA6279"/>
    <mergeCell ref="AB6278:AB6279"/>
    <mergeCell ref="A6272:A6273"/>
    <mergeCell ref="E6272:E6273"/>
    <mergeCell ref="H6272:H6273"/>
    <mergeCell ref="I6272:I6273"/>
    <mergeCell ref="J6272:J6273"/>
    <mergeCell ref="K6272:K6273"/>
    <mergeCell ref="L6272:L6273"/>
    <mergeCell ref="M6272:M6273"/>
    <mergeCell ref="N6272:N6273"/>
    <mergeCell ref="O6272:O6273"/>
    <mergeCell ref="X6272:X6273"/>
    <mergeCell ref="Y6272:Y6273"/>
    <mergeCell ref="Z6272:Z6273"/>
    <mergeCell ref="AA6272:AA6273"/>
    <mergeCell ref="AB6272:AB6273"/>
    <mergeCell ref="A6274:A6275"/>
    <mergeCell ref="E6274:E6275"/>
    <mergeCell ref="H6274:H6275"/>
    <mergeCell ref="I6274:I6275"/>
    <mergeCell ref="J6274:J6275"/>
    <mergeCell ref="K6274:K6275"/>
    <mergeCell ref="L6274:L6275"/>
    <mergeCell ref="M6274:M6275"/>
    <mergeCell ref="N6274:N6275"/>
    <mergeCell ref="O6274:O6275"/>
    <mergeCell ref="X6274:X6275"/>
    <mergeCell ref="Y6274:Y6275"/>
    <mergeCell ref="Z6274:Z6275"/>
    <mergeCell ref="AA6274:AA6275"/>
    <mergeCell ref="AB6274:AB6275"/>
    <mergeCell ref="A6268:A6269"/>
    <mergeCell ref="E6268:E6269"/>
    <mergeCell ref="H6268:H6269"/>
    <mergeCell ref="I6268:I6269"/>
    <mergeCell ref="J6268:J6269"/>
    <mergeCell ref="K6268:K6269"/>
    <mergeCell ref="L6268:L6269"/>
    <mergeCell ref="M6268:M6269"/>
    <mergeCell ref="N6268:N6269"/>
    <mergeCell ref="O6268:O6269"/>
    <mergeCell ref="X6268:X6269"/>
    <mergeCell ref="Y6268:Y6269"/>
    <mergeCell ref="Z6268:Z6269"/>
    <mergeCell ref="AA6268:AA6269"/>
    <mergeCell ref="AB6268:AB6269"/>
    <mergeCell ref="A6270:A6271"/>
    <mergeCell ref="E6270:E6271"/>
    <mergeCell ref="H6270:H6271"/>
    <mergeCell ref="I6270:I6271"/>
    <mergeCell ref="J6270:J6271"/>
    <mergeCell ref="K6270:K6271"/>
    <mergeCell ref="L6270:L6271"/>
    <mergeCell ref="M6270:M6271"/>
    <mergeCell ref="N6270:N6271"/>
    <mergeCell ref="O6270:O6271"/>
    <mergeCell ref="X6270:X6271"/>
    <mergeCell ref="Y6270:Y6271"/>
    <mergeCell ref="Z6270:Z6271"/>
    <mergeCell ref="AA6270:AA6271"/>
    <mergeCell ref="AB6270:AB6271"/>
    <mergeCell ref="A6264:A6265"/>
    <mergeCell ref="E6264:E6265"/>
    <mergeCell ref="H6264:H6265"/>
    <mergeCell ref="I6264:I6265"/>
    <mergeCell ref="J6264:J6265"/>
    <mergeCell ref="K6264:K6265"/>
    <mergeCell ref="L6264:L6265"/>
    <mergeCell ref="M6264:M6265"/>
    <mergeCell ref="N6264:N6265"/>
    <mergeCell ref="O6264:O6265"/>
    <mergeCell ref="X6264:X6265"/>
    <mergeCell ref="Y6264:Y6265"/>
    <mergeCell ref="Z6264:Z6265"/>
    <mergeCell ref="AA6264:AA6265"/>
    <mergeCell ref="AB6264:AB6265"/>
    <mergeCell ref="A6266:A6267"/>
    <mergeCell ref="E6266:E6267"/>
    <mergeCell ref="H6266:H6267"/>
    <mergeCell ref="I6266:I6267"/>
    <mergeCell ref="J6266:J6267"/>
    <mergeCell ref="K6266:K6267"/>
    <mergeCell ref="L6266:L6267"/>
    <mergeCell ref="M6266:M6267"/>
    <mergeCell ref="N6266:N6267"/>
    <mergeCell ref="O6266:O6267"/>
    <mergeCell ref="X6266:X6267"/>
    <mergeCell ref="Y6266:Y6267"/>
    <mergeCell ref="Z6266:Z6267"/>
    <mergeCell ref="AA6266:AA6267"/>
    <mergeCell ref="AB6266:AB6267"/>
    <mergeCell ref="A6260:A6261"/>
    <mergeCell ref="E6260:E6261"/>
    <mergeCell ref="H6260:H6261"/>
    <mergeCell ref="I6260:I6261"/>
    <mergeCell ref="J6260:J6261"/>
    <mergeCell ref="K6260:K6261"/>
    <mergeCell ref="L6260:L6261"/>
    <mergeCell ref="M6260:M6261"/>
    <mergeCell ref="N6260:N6261"/>
    <mergeCell ref="O6260:O6261"/>
    <mergeCell ref="X6260:X6261"/>
    <mergeCell ref="Y6260:Y6261"/>
    <mergeCell ref="Z6260:Z6261"/>
    <mergeCell ref="AA6260:AA6261"/>
    <mergeCell ref="AB6260:AB6261"/>
    <mergeCell ref="A6262:A6263"/>
    <mergeCell ref="E6262:E6263"/>
    <mergeCell ref="H6262:H6263"/>
    <mergeCell ref="I6262:I6263"/>
    <mergeCell ref="J6262:J6263"/>
    <mergeCell ref="K6262:K6263"/>
    <mergeCell ref="L6262:L6263"/>
    <mergeCell ref="M6262:M6263"/>
    <mergeCell ref="N6262:N6263"/>
    <mergeCell ref="O6262:O6263"/>
    <mergeCell ref="X6262:X6263"/>
    <mergeCell ref="Y6262:Y6263"/>
    <mergeCell ref="Z6262:Z6263"/>
    <mergeCell ref="AA6262:AA6263"/>
    <mergeCell ref="AB6262:AB6263"/>
    <mergeCell ref="A6256:A6257"/>
    <mergeCell ref="E6256:E6257"/>
    <mergeCell ref="H6256:H6257"/>
    <mergeCell ref="I6256:I6257"/>
    <mergeCell ref="J6256:J6257"/>
    <mergeCell ref="K6256:K6257"/>
    <mergeCell ref="L6256:L6257"/>
    <mergeCell ref="M6256:M6257"/>
    <mergeCell ref="N6256:N6257"/>
    <mergeCell ref="O6256:O6257"/>
    <mergeCell ref="X6256:X6257"/>
    <mergeCell ref="Y6256:Y6257"/>
    <mergeCell ref="Z6256:Z6257"/>
    <mergeCell ref="AA6256:AA6257"/>
    <mergeCell ref="AB6256:AB6257"/>
    <mergeCell ref="A6258:A6259"/>
    <mergeCell ref="E6258:E6259"/>
    <mergeCell ref="H6258:H6259"/>
    <mergeCell ref="I6258:I6259"/>
    <mergeCell ref="J6258:J6259"/>
    <mergeCell ref="K6258:K6259"/>
    <mergeCell ref="L6258:L6259"/>
    <mergeCell ref="M6258:M6259"/>
    <mergeCell ref="N6258:N6259"/>
    <mergeCell ref="O6258:O6259"/>
    <mergeCell ref="X6258:X6259"/>
    <mergeCell ref="Y6258:Y6259"/>
    <mergeCell ref="Z6258:Z6259"/>
    <mergeCell ref="AA6258:AA6259"/>
    <mergeCell ref="AB6258:AB6259"/>
    <mergeCell ref="A6252:A6253"/>
    <mergeCell ref="E6252:E6253"/>
    <mergeCell ref="H6252:H6253"/>
    <mergeCell ref="I6252:I6253"/>
    <mergeCell ref="J6252:J6253"/>
    <mergeCell ref="K6252:K6253"/>
    <mergeCell ref="L6252:L6253"/>
    <mergeCell ref="M6252:M6253"/>
    <mergeCell ref="N6252:N6253"/>
    <mergeCell ref="O6252:O6253"/>
    <mergeCell ref="X6252:X6253"/>
    <mergeCell ref="Y6252:Y6253"/>
    <mergeCell ref="Z6252:Z6253"/>
    <mergeCell ref="AA6252:AA6253"/>
    <mergeCell ref="AB6252:AB6253"/>
    <mergeCell ref="A6254:A6255"/>
    <mergeCell ref="E6254:E6255"/>
    <mergeCell ref="H6254:H6255"/>
    <mergeCell ref="I6254:I6255"/>
    <mergeCell ref="J6254:J6255"/>
    <mergeCell ref="K6254:K6255"/>
    <mergeCell ref="L6254:L6255"/>
    <mergeCell ref="M6254:M6255"/>
    <mergeCell ref="N6254:N6255"/>
    <mergeCell ref="O6254:O6255"/>
    <mergeCell ref="X6254:X6255"/>
    <mergeCell ref="Y6254:Y6255"/>
    <mergeCell ref="Z6254:Z6255"/>
    <mergeCell ref="AA6254:AA6255"/>
    <mergeCell ref="AB6254:AB6255"/>
    <mergeCell ref="A6248:A6249"/>
    <mergeCell ref="E6248:E6249"/>
    <mergeCell ref="H6248:H6249"/>
    <mergeCell ref="I6248:I6249"/>
    <mergeCell ref="J6248:J6249"/>
    <mergeCell ref="K6248:K6249"/>
    <mergeCell ref="L6248:L6249"/>
    <mergeCell ref="M6248:M6249"/>
    <mergeCell ref="N6248:N6249"/>
    <mergeCell ref="O6248:O6249"/>
    <mergeCell ref="X6248:X6249"/>
    <mergeCell ref="Y6248:Y6249"/>
    <mergeCell ref="Z6248:Z6249"/>
    <mergeCell ref="AA6248:AA6249"/>
    <mergeCell ref="AB6248:AB6249"/>
    <mergeCell ref="A6250:A6251"/>
    <mergeCell ref="E6250:E6251"/>
    <mergeCell ref="H6250:H6251"/>
    <mergeCell ref="I6250:I6251"/>
    <mergeCell ref="J6250:J6251"/>
    <mergeCell ref="K6250:K6251"/>
    <mergeCell ref="L6250:L6251"/>
    <mergeCell ref="M6250:M6251"/>
    <mergeCell ref="N6250:N6251"/>
    <mergeCell ref="O6250:O6251"/>
    <mergeCell ref="X6250:X6251"/>
    <mergeCell ref="Y6250:Y6251"/>
    <mergeCell ref="Z6250:Z6251"/>
    <mergeCell ref="AA6250:AA6251"/>
    <mergeCell ref="AB6250:AB6251"/>
    <mergeCell ref="A6244:A6245"/>
    <mergeCell ref="E6244:E6245"/>
    <mergeCell ref="H6244:H6245"/>
    <mergeCell ref="I6244:I6245"/>
    <mergeCell ref="J6244:J6245"/>
    <mergeCell ref="K6244:K6245"/>
    <mergeCell ref="L6244:L6245"/>
    <mergeCell ref="M6244:M6245"/>
    <mergeCell ref="N6244:N6245"/>
    <mergeCell ref="O6244:O6245"/>
    <mergeCell ref="X6244:X6245"/>
    <mergeCell ref="Y6244:Y6245"/>
    <mergeCell ref="Z6244:Z6245"/>
    <mergeCell ref="AA6244:AA6245"/>
    <mergeCell ref="AB6244:AB6245"/>
    <mergeCell ref="A6246:A6247"/>
    <mergeCell ref="E6246:E6247"/>
    <mergeCell ref="H6246:H6247"/>
    <mergeCell ref="I6246:I6247"/>
    <mergeCell ref="J6246:J6247"/>
    <mergeCell ref="K6246:K6247"/>
    <mergeCell ref="L6246:L6247"/>
    <mergeCell ref="M6246:M6247"/>
    <mergeCell ref="N6246:N6247"/>
    <mergeCell ref="O6246:O6247"/>
    <mergeCell ref="X6246:X6247"/>
    <mergeCell ref="Y6246:Y6247"/>
    <mergeCell ref="Z6246:Z6247"/>
    <mergeCell ref="AA6246:AA6247"/>
    <mergeCell ref="AB6246:AB6247"/>
    <mergeCell ref="A6240:A6241"/>
    <mergeCell ref="E6240:E6241"/>
    <mergeCell ref="H6240:H6241"/>
    <mergeCell ref="I6240:I6241"/>
    <mergeCell ref="J6240:J6241"/>
    <mergeCell ref="K6240:K6241"/>
    <mergeCell ref="L6240:L6241"/>
    <mergeCell ref="M6240:M6241"/>
    <mergeCell ref="N6240:N6241"/>
    <mergeCell ref="O6240:O6241"/>
    <mergeCell ref="X6240:X6241"/>
    <mergeCell ref="Y6240:Y6241"/>
    <mergeCell ref="Z6240:Z6241"/>
    <mergeCell ref="AA6240:AA6241"/>
    <mergeCell ref="AB6240:AB6241"/>
    <mergeCell ref="A6242:A6243"/>
    <mergeCell ref="E6242:E6243"/>
    <mergeCell ref="H6242:H6243"/>
    <mergeCell ref="I6242:I6243"/>
    <mergeCell ref="J6242:J6243"/>
    <mergeCell ref="K6242:K6243"/>
    <mergeCell ref="L6242:L6243"/>
    <mergeCell ref="M6242:M6243"/>
    <mergeCell ref="N6242:N6243"/>
    <mergeCell ref="O6242:O6243"/>
    <mergeCell ref="X6242:X6243"/>
    <mergeCell ref="Y6242:Y6243"/>
    <mergeCell ref="Z6242:Z6243"/>
    <mergeCell ref="AA6242:AA6243"/>
    <mergeCell ref="AB6242:AB6243"/>
    <mergeCell ref="A6236:A6237"/>
    <mergeCell ref="E6236:E6237"/>
    <mergeCell ref="H6236:H6237"/>
    <mergeCell ref="I6236:I6237"/>
    <mergeCell ref="J6236:J6237"/>
    <mergeCell ref="K6236:K6237"/>
    <mergeCell ref="L6236:L6237"/>
    <mergeCell ref="M6236:M6237"/>
    <mergeCell ref="N6236:N6237"/>
    <mergeCell ref="O6236:O6237"/>
    <mergeCell ref="X6236:X6237"/>
    <mergeCell ref="Y6236:Y6237"/>
    <mergeCell ref="Z6236:Z6237"/>
    <mergeCell ref="AA6236:AA6237"/>
    <mergeCell ref="AB6236:AB6237"/>
    <mergeCell ref="A6238:A6239"/>
    <mergeCell ref="E6238:E6239"/>
    <mergeCell ref="H6238:H6239"/>
    <mergeCell ref="I6238:I6239"/>
    <mergeCell ref="J6238:J6239"/>
    <mergeCell ref="K6238:K6239"/>
    <mergeCell ref="L6238:L6239"/>
    <mergeCell ref="M6238:M6239"/>
    <mergeCell ref="N6238:N6239"/>
    <mergeCell ref="O6238:O6239"/>
    <mergeCell ref="X6238:X6239"/>
    <mergeCell ref="Y6238:Y6239"/>
    <mergeCell ref="Z6238:Z6239"/>
    <mergeCell ref="AA6238:AA6239"/>
    <mergeCell ref="AB6238:AB6239"/>
    <mergeCell ref="A6232:A6233"/>
    <mergeCell ref="E6232:E6233"/>
    <mergeCell ref="H6232:H6233"/>
    <mergeCell ref="I6232:I6233"/>
    <mergeCell ref="J6232:J6233"/>
    <mergeCell ref="K6232:K6233"/>
    <mergeCell ref="L6232:L6233"/>
    <mergeCell ref="M6232:M6233"/>
    <mergeCell ref="N6232:N6233"/>
    <mergeCell ref="O6232:O6233"/>
    <mergeCell ref="X6232:X6233"/>
    <mergeCell ref="Y6232:Y6233"/>
    <mergeCell ref="Z6232:Z6233"/>
    <mergeCell ref="AA6232:AA6233"/>
    <mergeCell ref="AB6232:AB6233"/>
    <mergeCell ref="A6234:A6235"/>
    <mergeCell ref="E6234:E6235"/>
    <mergeCell ref="H6234:H6235"/>
    <mergeCell ref="I6234:I6235"/>
    <mergeCell ref="J6234:J6235"/>
    <mergeCell ref="K6234:K6235"/>
    <mergeCell ref="L6234:L6235"/>
    <mergeCell ref="M6234:M6235"/>
    <mergeCell ref="N6234:N6235"/>
    <mergeCell ref="O6234:O6235"/>
    <mergeCell ref="X6234:X6235"/>
    <mergeCell ref="Y6234:Y6235"/>
    <mergeCell ref="Z6234:Z6235"/>
    <mergeCell ref="AA6234:AA6235"/>
    <mergeCell ref="AB6234:AB6235"/>
    <mergeCell ref="A6228:A6229"/>
    <mergeCell ref="E6228:E6229"/>
    <mergeCell ref="H6228:H6229"/>
    <mergeCell ref="I6228:I6229"/>
    <mergeCell ref="J6228:J6229"/>
    <mergeCell ref="K6228:K6229"/>
    <mergeCell ref="L6228:L6229"/>
    <mergeCell ref="M6228:M6229"/>
    <mergeCell ref="N6228:N6229"/>
    <mergeCell ref="O6228:O6229"/>
    <mergeCell ref="X6228:X6229"/>
    <mergeCell ref="Y6228:Y6229"/>
    <mergeCell ref="Z6228:Z6229"/>
    <mergeCell ref="AA6228:AA6229"/>
    <mergeCell ref="AB6228:AB6229"/>
    <mergeCell ref="A6230:A6231"/>
    <mergeCell ref="E6230:E6231"/>
    <mergeCell ref="H6230:H6231"/>
    <mergeCell ref="I6230:I6231"/>
    <mergeCell ref="J6230:J6231"/>
    <mergeCell ref="K6230:K6231"/>
    <mergeCell ref="L6230:L6231"/>
    <mergeCell ref="M6230:M6231"/>
    <mergeCell ref="N6230:N6231"/>
    <mergeCell ref="O6230:O6231"/>
    <mergeCell ref="X6230:X6231"/>
    <mergeCell ref="Y6230:Y6231"/>
    <mergeCell ref="Z6230:Z6231"/>
    <mergeCell ref="AA6230:AA6231"/>
    <mergeCell ref="AB6230:AB6231"/>
    <mergeCell ref="A6224:A6225"/>
    <mergeCell ref="E6224:E6225"/>
    <mergeCell ref="H6224:H6225"/>
    <mergeCell ref="I6224:I6225"/>
    <mergeCell ref="J6224:J6225"/>
    <mergeCell ref="K6224:K6225"/>
    <mergeCell ref="L6224:L6225"/>
    <mergeCell ref="M6224:M6225"/>
    <mergeCell ref="N6224:N6225"/>
    <mergeCell ref="O6224:O6225"/>
    <mergeCell ref="X6224:X6225"/>
    <mergeCell ref="Y6224:Y6225"/>
    <mergeCell ref="Z6224:Z6225"/>
    <mergeCell ref="AA6224:AA6225"/>
    <mergeCell ref="AB6224:AB6225"/>
    <mergeCell ref="A6226:A6227"/>
    <mergeCell ref="E6226:E6227"/>
    <mergeCell ref="H6226:H6227"/>
    <mergeCell ref="I6226:I6227"/>
    <mergeCell ref="J6226:J6227"/>
    <mergeCell ref="K6226:K6227"/>
    <mergeCell ref="L6226:L6227"/>
    <mergeCell ref="M6226:M6227"/>
    <mergeCell ref="N6226:N6227"/>
    <mergeCell ref="O6226:O6227"/>
    <mergeCell ref="X6226:X6227"/>
    <mergeCell ref="Y6226:Y6227"/>
    <mergeCell ref="Z6226:Z6227"/>
    <mergeCell ref="AA6226:AA6227"/>
    <mergeCell ref="AB6226:AB6227"/>
    <mergeCell ref="A6220:A6221"/>
    <mergeCell ref="E6220:E6221"/>
    <mergeCell ref="H6220:H6221"/>
    <mergeCell ref="I6220:I6221"/>
    <mergeCell ref="J6220:J6221"/>
    <mergeCell ref="K6220:K6221"/>
    <mergeCell ref="L6220:L6221"/>
    <mergeCell ref="M6220:M6221"/>
    <mergeCell ref="N6220:N6221"/>
    <mergeCell ref="O6220:O6221"/>
    <mergeCell ref="X6220:X6221"/>
    <mergeCell ref="Y6220:Y6221"/>
    <mergeCell ref="Z6220:Z6221"/>
    <mergeCell ref="AA6220:AA6221"/>
    <mergeCell ref="AB6220:AB6221"/>
    <mergeCell ref="A6222:A6223"/>
    <mergeCell ref="E6222:E6223"/>
    <mergeCell ref="H6222:H6223"/>
    <mergeCell ref="I6222:I6223"/>
    <mergeCell ref="J6222:J6223"/>
    <mergeCell ref="K6222:K6223"/>
    <mergeCell ref="L6222:L6223"/>
    <mergeCell ref="M6222:M6223"/>
    <mergeCell ref="N6222:N6223"/>
    <mergeCell ref="O6222:O6223"/>
    <mergeCell ref="X6222:X6223"/>
    <mergeCell ref="Y6222:Y6223"/>
    <mergeCell ref="Z6222:Z6223"/>
    <mergeCell ref="AA6222:AA6223"/>
    <mergeCell ref="AB6222:AB6223"/>
    <mergeCell ref="A6216:A6217"/>
    <mergeCell ref="E6216:E6217"/>
    <mergeCell ref="H6216:H6217"/>
    <mergeCell ref="I6216:I6217"/>
    <mergeCell ref="J6216:J6217"/>
    <mergeCell ref="K6216:K6217"/>
    <mergeCell ref="L6216:L6217"/>
    <mergeCell ref="M6216:M6217"/>
    <mergeCell ref="N6216:N6217"/>
    <mergeCell ref="O6216:O6217"/>
    <mergeCell ref="X6216:X6217"/>
    <mergeCell ref="Y6216:Y6217"/>
    <mergeCell ref="Z6216:Z6217"/>
    <mergeCell ref="AA6216:AA6217"/>
    <mergeCell ref="AB6216:AB6217"/>
    <mergeCell ref="A6218:A6219"/>
    <mergeCell ref="E6218:E6219"/>
    <mergeCell ref="H6218:H6219"/>
    <mergeCell ref="I6218:I6219"/>
    <mergeCell ref="J6218:J6219"/>
    <mergeCell ref="K6218:K6219"/>
    <mergeCell ref="L6218:L6219"/>
    <mergeCell ref="M6218:M6219"/>
    <mergeCell ref="N6218:N6219"/>
    <mergeCell ref="O6218:O6219"/>
    <mergeCell ref="X6218:X6219"/>
    <mergeCell ref="Y6218:Y6219"/>
    <mergeCell ref="Z6218:Z6219"/>
    <mergeCell ref="AA6218:AA6219"/>
    <mergeCell ref="AB6218:AB6219"/>
    <mergeCell ref="A6212:A6213"/>
    <mergeCell ref="E6212:E6213"/>
    <mergeCell ref="H6212:H6213"/>
    <mergeCell ref="I6212:I6213"/>
    <mergeCell ref="J6212:J6213"/>
    <mergeCell ref="K6212:K6213"/>
    <mergeCell ref="L6212:L6213"/>
    <mergeCell ref="M6212:M6213"/>
    <mergeCell ref="N6212:N6213"/>
    <mergeCell ref="O6212:O6213"/>
    <mergeCell ref="X6212:X6213"/>
    <mergeCell ref="Y6212:Y6213"/>
    <mergeCell ref="Z6212:Z6213"/>
    <mergeCell ref="AA6212:AA6213"/>
    <mergeCell ref="AB6212:AB6213"/>
    <mergeCell ref="A6214:A6215"/>
    <mergeCell ref="E6214:E6215"/>
    <mergeCell ref="H6214:H6215"/>
    <mergeCell ref="I6214:I6215"/>
    <mergeCell ref="J6214:J6215"/>
    <mergeCell ref="K6214:K6215"/>
    <mergeCell ref="L6214:L6215"/>
    <mergeCell ref="M6214:M6215"/>
    <mergeCell ref="N6214:N6215"/>
    <mergeCell ref="O6214:O6215"/>
    <mergeCell ref="X6214:X6215"/>
    <mergeCell ref="Y6214:Y6215"/>
    <mergeCell ref="Z6214:Z6215"/>
    <mergeCell ref="AA6214:AA6215"/>
    <mergeCell ref="AB6214:AB6215"/>
    <mergeCell ref="A6210:A6211"/>
    <mergeCell ref="E6210:E6211"/>
    <mergeCell ref="H6210:H6211"/>
    <mergeCell ref="I6210:I6211"/>
    <mergeCell ref="J6210:J6211"/>
    <mergeCell ref="K6210:K6211"/>
    <mergeCell ref="L6210:L6211"/>
    <mergeCell ref="M6210:M6211"/>
    <mergeCell ref="N6210:N6211"/>
    <mergeCell ref="O6210:O6211"/>
    <mergeCell ref="X6210:X6211"/>
    <mergeCell ref="Y6210:Y6211"/>
    <mergeCell ref="Z6210:Z6211"/>
    <mergeCell ref="AA6210:AA6211"/>
    <mergeCell ref="AB6210:AB6211"/>
    <mergeCell ref="A6206:A6207"/>
    <mergeCell ref="E6206:E6207"/>
    <mergeCell ref="H6206:H6207"/>
    <mergeCell ref="I6206:I6207"/>
    <mergeCell ref="J6206:J6207"/>
    <mergeCell ref="K6206:K6207"/>
    <mergeCell ref="L6206:L6207"/>
    <mergeCell ref="M6206:M6207"/>
    <mergeCell ref="N6206:N6207"/>
    <mergeCell ref="O6206:O6207"/>
    <mergeCell ref="X6206:X6207"/>
    <mergeCell ref="Y6206:Y6207"/>
    <mergeCell ref="Z6206:Z6207"/>
    <mergeCell ref="AA6206:AA6207"/>
    <mergeCell ref="AB6206:AB6207"/>
    <mergeCell ref="A6208:A6209"/>
    <mergeCell ref="E6208:E6209"/>
    <mergeCell ref="H6208:H6209"/>
    <mergeCell ref="I6208:I6209"/>
    <mergeCell ref="J6208:J6209"/>
    <mergeCell ref="K6208:K6209"/>
    <mergeCell ref="L6208:L6209"/>
    <mergeCell ref="M6208:M6209"/>
    <mergeCell ref="N6208:N6209"/>
    <mergeCell ref="O6208:O6209"/>
    <mergeCell ref="X6208:X6209"/>
    <mergeCell ref="Y6208:Y6209"/>
    <mergeCell ref="Z6208:Z6209"/>
    <mergeCell ref="AA6208:AA6209"/>
    <mergeCell ref="AB6208:AB6209"/>
    <mergeCell ref="A6202:A6203"/>
    <mergeCell ref="E6202:E6203"/>
    <mergeCell ref="H6202:H6203"/>
    <mergeCell ref="I6202:I6203"/>
    <mergeCell ref="J6202:J6203"/>
    <mergeCell ref="K6202:K6203"/>
    <mergeCell ref="L6202:L6203"/>
    <mergeCell ref="M6202:M6203"/>
    <mergeCell ref="N6202:N6203"/>
    <mergeCell ref="O6202:O6203"/>
    <mergeCell ref="X6202:X6203"/>
    <mergeCell ref="Y6202:Y6203"/>
    <mergeCell ref="Z6202:Z6203"/>
    <mergeCell ref="AA6202:AA6203"/>
    <mergeCell ref="AB6202:AB6203"/>
    <mergeCell ref="A6204:A6205"/>
    <mergeCell ref="E6204:E6205"/>
    <mergeCell ref="H6204:H6205"/>
    <mergeCell ref="I6204:I6205"/>
    <mergeCell ref="J6204:J6205"/>
    <mergeCell ref="K6204:K6205"/>
    <mergeCell ref="L6204:L6205"/>
    <mergeCell ref="M6204:M6205"/>
    <mergeCell ref="N6204:N6205"/>
    <mergeCell ref="O6204:O6205"/>
    <mergeCell ref="X6204:X6205"/>
    <mergeCell ref="Y6204:Y6205"/>
    <mergeCell ref="Z6204:Z6205"/>
    <mergeCell ref="AA6204:AA6205"/>
    <mergeCell ref="AB6204:AB6205"/>
    <mergeCell ref="A6198:A6199"/>
    <mergeCell ref="E6198:E6199"/>
    <mergeCell ref="H6198:H6199"/>
    <mergeCell ref="I6198:I6199"/>
    <mergeCell ref="J6198:J6199"/>
    <mergeCell ref="K6198:K6199"/>
    <mergeCell ref="L6198:L6199"/>
    <mergeCell ref="M6198:M6199"/>
    <mergeCell ref="N6198:N6199"/>
    <mergeCell ref="O6198:O6199"/>
    <mergeCell ref="X6198:X6199"/>
    <mergeCell ref="Y6198:Y6199"/>
    <mergeCell ref="Z6198:Z6199"/>
    <mergeCell ref="AA6198:AA6199"/>
    <mergeCell ref="AB6198:AB6199"/>
    <mergeCell ref="A6200:A6201"/>
    <mergeCell ref="E6200:E6201"/>
    <mergeCell ref="H6200:H6201"/>
    <mergeCell ref="I6200:I6201"/>
    <mergeCell ref="J6200:J6201"/>
    <mergeCell ref="K6200:K6201"/>
    <mergeCell ref="L6200:L6201"/>
    <mergeCell ref="M6200:M6201"/>
    <mergeCell ref="N6200:N6201"/>
    <mergeCell ref="O6200:O6201"/>
    <mergeCell ref="X6200:X6201"/>
    <mergeCell ref="Y6200:Y6201"/>
    <mergeCell ref="Z6200:Z6201"/>
    <mergeCell ref="AA6200:AA6201"/>
    <mergeCell ref="AB6200:AB6201"/>
    <mergeCell ref="A6194:A6195"/>
    <mergeCell ref="E6194:E6195"/>
    <mergeCell ref="H6194:H6195"/>
    <mergeCell ref="I6194:I6195"/>
    <mergeCell ref="J6194:J6195"/>
    <mergeCell ref="K6194:K6195"/>
    <mergeCell ref="L6194:L6195"/>
    <mergeCell ref="M6194:M6195"/>
    <mergeCell ref="N6194:N6195"/>
    <mergeCell ref="O6194:O6195"/>
    <mergeCell ref="X6194:X6195"/>
    <mergeCell ref="Y6194:Y6195"/>
    <mergeCell ref="Z6194:Z6195"/>
    <mergeCell ref="AA6194:AA6195"/>
    <mergeCell ref="AB6194:AB6195"/>
    <mergeCell ref="A6196:A6197"/>
    <mergeCell ref="E6196:E6197"/>
    <mergeCell ref="H6196:H6197"/>
    <mergeCell ref="I6196:I6197"/>
    <mergeCell ref="J6196:J6197"/>
    <mergeCell ref="K6196:K6197"/>
    <mergeCell ref="L6196:L6197"/>
    <mergeCell ref="M6196:M6197"/>
    <mergeCell ref="N6196:N6197"/>
    <mergeCell ref="O6196:O6197"/>
    <mergeCell ref="X6196:X6197"/>
    <mergeCell ref="Y6196:Y6197"/>
    <mergeCell ref="Z6196:Z6197"/>
    <mergeCell ref="AA6196:AA6197"/>
    <mergeCell ref="AB6196:AB6197"/>
    <mergeCell ref="A6190:A6191"/>
    <mergeCell ref="E6190:E6191"/>
    <mergeCell ref="H6190:H6191"/>
    <mergeCell ref="I6190:I6191"/>
    <mergeCell ref="J6190:J6191"/>
    <mergeCell ref="K6190:K6191"/>
    <mergeCell ref="L6190:L6191"/>
    <mergeCell ref="M6190:M6191"/>
    <mergeCell ref="N6190:N6191"/>
    <mergeCell ref="O6190:O6191"/>
    <mergeCell ref="X6190:X6191"/>
    <mergeCell ref="Y6190:Y6191"/>
    <mergeCell ref="Z6190:Z6191"/>
    <mergeCell ref="AA6190:AA6191"/>
    <mergeCell ref="AB6190:AB6191"/>
    <mergeCell ref="A6192:A6193"/>
    <mergeCell ref="E6192:E6193"/>
    <mergeCell ref="H6192:H6193"/>
    <mergeCell ref="I6192:I6193"/>
    <mergeCell ref="J6192:J6193"/>
    <mergeCell ref="K6192:K6193"/>
    <mergeCell ref="L6192:L6193"/>
    <mergeCell ref="M6192:M6193"/>
    <mergeCell ref="N6192:N6193"/>
    <mergeCell ref="O6192:O6193"/>
    <mergeCell ref="X6192:X6193"/>
    <mergeCell ref="Y6192:Y6193"/>
    <mergeCell ref="Z6192:Z6193"/>
    <mergeCell ref="AA6192:AA6193"/>
    <mergeCell ref="AB6192:AB6193"/>
    <mergeCell ref="A6186:A6187"/>
    <mergeCell ref="E6186:E6187"/>
    <mergeCell ref="H6186:H6187"/>
    <mergeCell ref="I6186:I6187"/>
    <mergeCell ref="J6186:J6187"/>
    <mergeCell ref="K6186:K6187"/>
    <mergeCell ref="L6186:L6187"/>
    <mergeCell ref="M6186:M6187"/>
    <mergeCell ref="N6186:N6187"/>
    <mergeCell ref="O6186:O6187"/>
    <mergeCell ref="X6186:X6187"/>
    <mergeCell ref="Y6186:Y6187"/>
    <mergeCell ref="Z6186:Z6187"/>
    <mergeCell ref="AA6186:AA6187"/>
    <mergeCell ref="AB6186:AB6187"/>
    <mergeCell ref="A6188:A6189"/>
    <mergeCell ref="E6188:E6189"/>
    <mergeCell ref="H6188:H6189"/>
    <mergeCell ref="I6188:I6189"/>
    <mergeCell ref="J6188:J6189"/>
    <mergeCell ref="K6188:K6189"/>
    <mergeCell ref="L6188:L6189"/>
    <mergeCell ref="M6188:M6189"/>
    <mergeCell ref="N6188:N6189"/>
    <mergeCell ref="O6188:O6189"/>
    <mergeCell ref="X6188:X6189"/>
    <mergeCell ref="Y6188:Y6189"/>
    <mergeCell ref="Z6188:Z6189"/>
    <mergeCell ref="AA6188:AA6189"/>
    <mergeCell ref="AB6188:AB6189"/>
    <mergeCell ref="A6182:A6183"/>
    <mergeCell ref="E6182:E6183"/>
    <mergeCell ref="H6182:H6183"/>
    <mergeCell ref="I6182:I6183"/>
    <mergeCell ref="J6182:J6183"/>
    <mergeCell ref="K6182:K6183"/>
    <mergeCell ref="L6182:L6183"/>
    <mergeCell ref="M6182:M6183"/>
    <mergeCell ref="N6182:N6183"/>
    <mergeCell ref="O6182:O6183"/>
    <mergeCell ref="X6182:X6183"/>
    <mergeCell ref="Y6182:Y6183"/>
    <mergeCell ref="Z6182:Z6183"/>
    <mergeCell ref="AA6182:AA6183"/>
    <mergeCell ref="AB6182:AB6183"/>
    <mergeCell ref="A6184:A6185"/>
    <mergeCell ref="E6184:E6185"/>
    <mergeCell ref="H6184:H6185"/>
    <mergeCell ref="I6184:I6185"/>
    <mergeCell ref="J6184:J6185"/>
    <mergeCell ref="K6184:K6185"/>
    <mergeCell ref="L6184:L6185"/>
    <mergeCell ref="M6184:M6185"/>
    <mergeCell ref="N6184:N6185"/>
    <mergeCell ref="O6184:O6185"/>
    <mergeCell ref="X6184:X6185"/>
    <mergeCell ref="Y6184:Y6185"/>
    <mergeCell ref="Z6184:Z6185"/>
    <mergeCell ref="AA6184:AA6185"/>
    <mergeCell ref="AB6184:AB6185"/>
    <mergeCell ref="A6178:A6179"/>
    <mergeCell ref="E6178:E6179"/>
    <mergeCell ref="H6178:H6179"/>
    <mergeCell ref="I6178:I6179"/>
    <mergeCell ref="J6178:J6179"/>
    <mergeCell ref="K6178:K6179"/>
    <mergeCell ref="L6178:L6179"/>
    <mergeCell ref="M6178:M6179"/>
    <mergeCell ref="N6178:N6179"/>
    <mergeCell ref="O6178:O6179"/>
    <mergeCell ref="X6178:X6179"/>
    <mergeCell ref="Y6178:Y6179"/>
    <mergeCell ref="Z6178:Z6179"/>
    <mergeCell ref="AA6178:AA6179"/>
    <mergeCell ref="AB6178:AB6179"/>
    <mergeCell ref="A6180:A6181"/>
    <mergeCell ref="E6180:E6181"/>
    <mergeCell ref="H6180:H6181"/>
    <mergeCell ref="I6180:I6181"/>
    <mergeCell ref="J6180:J6181"/>
    <mergeCell ref="K6180:K6181"/>
    <mergeCell ref="L6180:L6181"/>
    <mergeCell ref="M6180:M6181"/>
    <mergeCell ref="N6180:N6181"/>
    <mergeCell ref="O6180:O6181"/>
    <mergeCell ref="X6180:X6181"/>
    <mergeCell ref="Y6180:Y6181"/>
    <mergeCell ref="Z6180:Z6181"/>
    <mergeCell ref="AA6180:AA6181"/>
    <mergeCell ref="AB6180:AB6181"/>
    <mergeCell ref="A6174:A6175"/>
    <mergeCell ref="E6174:E6175"/>
    <mergeCell ref="H6174:H6175"/>
    <mergeCell ref="I6174:I6175"/>
    <mergeCell ref="J6174:J6175"/>
    <mergeCell ref="K6174:K6175"/>
    <mergeCell ref="L6174:L6175"/>
    <mergeCell ref="M6174:M6175"/>
    <mergeCell ref="N6174:N6175"/>
    <mergeCell ref="O6174:O6175"/>
    <mergeCell ref="X6174:X6175"/>
    <mergeCell ref="Y6174:Y6175"/>
    <mergeCell ref="Z6174:Z6175"/>
    <mergeCell ref="AA6174:AA6175"/>
    <mergeCell ref="AB6174:AB6175"/>
    <mergeCell ref="A6176:A6177"/>
    <mergeCell ref="E6176:E6177"/>
    <mergeCell ref="H6176:H6177"/>
    <mergeCell ref="I6176:I6177"/>
    <mergeCell ref="J6176:J6177"/>
    <mergeCell ref="K6176:K6177"/>
    <mergeCell ref="L6176:L6177"/>
    <mergeCell ref="M6176:M6177"/>
    <mergeCell ref="N6176:N6177"/>
    <mergeCell ref="O6176:O6177"/>
    <mergeCell ref="X6176:X6177"/>
    <mergeCell ref="Y6176:Y6177"/>
    <mergeCell ref="Z6176:Z6177"/>
    <mergeCell ref="AA6176:AA6177"/>
    <mergeCell ref="AB6176:AB6177"/>
    <mergeCell ref="A6170:A6171"/>
    <mergeCell ref="E6170:E6171"/>
    <mergeCell ref="H6170:H6171"/>
    <mergeCell ref="I6170:I6171"/>
    <mergeCell ref="J6170:J6171"/>
    <mergeCell ref="K6170:K6171"/>
    <mergeCell ref="L6170:L6171"/>
    <mergeCell ref="M6170:M6171"/>
    <mergeCell ref="N6170:N6171"/>
    <mergeCell ref="O6170:O6171"/>
    <mergeCell ref="X6170:X6171"/>
    <mergeCell ref="Y6170:Y6171"/>
    <mergeCell ref="Z6170:Z6171"/>
    <mergeCell ref="AA6170:AA6171"/>
    <mergeCell ref="AB6170:AB6171"/>
    <mergeCell ref="A6172:A6173"/>
    <mergeCell ref="E6172:E6173"/>
    <mergeCell ref="H6172:H6173"/>
    <mergeCell ref="I6172:I6173"/>
    <mergeCell ref="J6172:J6173"/>
    <mergeCell ref="K6172:K6173"/>
    <mergeCell ref="L6172:L6173"/>
    <mergeCell ref="M6172:M6173"/>
    <mergeCell ref="N6172:N6173"/>
    <mergeCell ref="O6172:O6173"/>
    <mergeCell ref="X6172:X6173"/>
    <mergeCell ref="Y6172:Y6173"/>
    <mergeCell ref="Z6172:Z6173"/>
    <mergeCell ref="AA6172:AA6173"/>
    <mergeCell ref="AB6172:AB6173"/>
    <mergeCell ref="A6166:A6167"/>
    <mergeCell ref="E6166:E6167"/>
    <mergeCell ref="H6166:H6167"/>
    <mergeCell ref="I6166:I6167"/>
    <mergeCell ref="J6166:J6167"/>
    <mergeCell ref="K6166:K6167"/>
    <mergeCell ref="L6166:L6167"/>
    <mergeCell ref="M6166:M6167"/>
    <mergeCell ref="N6166:N6167"/>
    <mergeCell ref="O6166:O6167"/>
    <mergeCell ref="X6166:X6167"/>
    <mergeCell ref="Y6166:Y6167"/>
    <mergeCell ref="Z6166:Z6167"/>
    <mergeCell ref="AA6166:AA6167"/>
    <mergeCell ref="AB6166:AB6167"/>
    <mergeCell ref="A6168:A6169"/>
    <mergeCell ref="E6168:E6169"/>
    <mergeCell ref="H6168:H6169"/>
    <mergeCell ref="I6168:I6169"/>
    <mergeCell ref="J6168:J6169"/>
    <mergeCell ref="K6168:K6169"/>
    <mergeCell ref="L6168:L6169"/>
    <mergeCell ref="M6168:M6169"/>
    <mergeCell ref="N6168:N6169"/>
    <mergeCell ref="O6168:O6169"/>
    <mergeCell ref="X6168:X6169"/>
    <mergeCell ref="Y6168:Y6169"/>
    <mergeCell ref="Z6168:Z6169"/>
    <mergeCell ref="AA6168:AA6169"/>
    <mergeCell ref="AB6168:AB6169"/>
    <mergeCell ref="A6162:A6163"/>
    <mergeCell ref="E6162:E6163"/>
    <mergeCell ref="H6162:H6163"/>
    <mergeCell ref="I6162:I6163"/>
    <mergeCell ref="J6162:J6163"/>
    <mergeCell ref="K6162:K6163"/>
    <mergeCell ref="L6162:L6163"/>
    <mergeCell ref="M6162:M6163"/>
    <mergeCell ref="N6162:N6163"/>
    <mergeCell ref="O6162:O6163"/>
    <mergeCell ref="X6162:X6163"/>
    <mergeCell ref="Y6162:Y6163"/>
    <mergeCell ref="Z6162:Z6163"/>
    <mergeCell ref="AA6162:AA6163"/>
    <mergeCell ref="AB6162:AB6163"/>
    <mergeCell ref="A6164:A6165"/>
    <mergeCell ref="E6164:E6165"/>
    <mergeCell ref="H6164:H6165"/>
    <mergeCell ref="I6164:I6165"/>
    <mergeCell ref="J6164:J6165"/>
    <mergeCell ref="K6164:K6165"/>
    <mergeCell ref="L6164:L6165"/>
    <mergeCell ref="M6164:M6165"/>
    <mergeCell ref="N6164:N6165"/>
    <mergeCell ref="O6164:O6165"/>
    <mergeCell ref="X6164:X6165"/>
    <mergeCell ref="Y6164:Y6165"/>
    <mergeCell ref="Z6164:Z6165"/>
    <mergeCell ref="AA6164:AA6165"/>
    <mergeCell ref="AB6164:AB6165"/>
    <mergeCell ref="A6158:A6159"/>
    <mergeCell ref="E6158:E6159"/>
    <mergeCell ref="H6158:H6159"/>
    <mergeCell ref="I6158:I6159"/>
    <mergeCell ref="J6158:J6159"/>
    <mergeCell ref="K6158:K6159"/>
    <mergeCell ref="L6158:L6159"/>
    <mergeCell ref="M6158:M6159"/>
    <mergeCell ref="N6158:N6159"/>
    <mergeCell ref="O6158:O6159"/>
    <mergeCell ref="X6158:X6159"/>
    <mergeCell ref="Y6158:Y6159"/>
    <mergeCell ref="Z6158:Z6159"/>
    <mergeCell ref="AA6158:AA6159"/>
    <mergeCell ref="AB6158:AB6159"/>
    <mergeCell ref="A6160:A6161"/>
    <mergeCell ref="E6160:E6161"/>
    <mergeCell ref="H6160:H6161"/>
    <mergeCell ref="I6160:I6161"/>
    <mergeCell ref="J6160:J6161"/>
    <mergeCell ref="K6160:K6161"/>
    <mergeCell ref="L6160:L6161"/>
    <mergeCell ref="M6160:M6161"/>
    <mergeCell ref="N6160:N6161"/>
    <mergeCell ref="O6160:O6161"/>
    <mergeCell ref="X6160:X6161"/>
    <mergeCell ref="Y6160:Y6161"/>
    <mergeCell ref="Z6160:Z6161"/>
    <mergeCell ref="AA6160:AA6161"/>
    <mergeCell ref="AB6160:AB6161"/>
    <mergeCell ref="A6154:A6155"/>
    <mergeCell ref="E6154:E6155"/>
    <mergeCell ref="H6154:H6155"/>
    <mergeCell ref="I6154:I6155"/>
    <mergeCell ref="J6154:J6155"/>
    <mergeCell ref="K6154:K6155"/>
    <mergeCell ref="L6154:L6155"/>
    <mergeCell ref="M6154:M6155"/>
    <mergeCell ref="N6154:N6155"/>
    <mergeCell ref="O6154:O6155"/>
    <mergeCell ref="X6154:X6155"/>
    <mergeCell ref="Y6154:Y6155"/>
    <mergeCell ref="Z6154:Z6155"/>
    <mergeCell ref="AA6154:AA6155"/>
    <mergeCell ref="AB6154:AB6155"/>
    <mergeCell ref="A6156:A6157"/>
    <mergeCell ref="E6156:E6157"/>
    <mergeCell ref="H6156:H6157"/>
    <mergeCell ref="I6156:I6157"/>
    <mergeCell ref="J6156:J6157"/>
    <mergeCell ref="K6156:K6157"/>
    <mergeCell ref="L6156:L6157"/>
    <mergeCell ref="M6156:M6157"/>
    <mergeCell ref="N6156:N6157"/>
    <mergeCell ref="O6156:O6157"/>
    <mergeCell ref="X6156:X6157"/>
    <mergeCell ref="Y6156:Y6157"/>
    <mergeCell ref="Z6156:Z6157"/>
    <mergeCell ref="AA6156:AA6157"/>
    <mergeCell ref="AB6156:AB6157"/>
    <mergeCell ref="A6150:A6151"/>
    <mergeCell ref="E6150:E6151"/>
    <mergeCell ref="H6150:H6151"/>
    <mergeCell ref="I6150:I6151"/>
    <mergeCell ref="J6150:J6151"/>
    <mergeCell ref="K6150:K6151"/>
    <mergeCell ref="L6150:L6151"/>
    <mergeCell ref="M6150:M6151"/>
    <mergeCell ref="N6150:N6151"/>
    <mergeCell ref="O6150:O6151"/>
    <mergeCell ref="X6150:X6151"/>
    <mergeCell ref="Y6150:Y6151"/>
    <mergeCell ref="Z6150:Z6151"/>
    <mergeCell ref="AA6150:AA6151"/>
    <mergeCell ref="AB6150:AB6151"/>
    <mergeCell ref="A6152:A6153"/>
    <mergeCell ref="E6152:E6153"/>
    <mergeCell ref="H6152:H6153"/>
    <mergeCell ref="I6152:I6153"/>
    <mergeCell ref="J6152:J6153"/>
    <mergeCell ref="K6152:K6153"/>
    <mergeCell ref="L6152:L6153"/>
    <mergeCell ref="M6152:M6153"/>
    <mergeCell ref="N6152:N6153"/>
    <mergeCell ref="O6152:O6153"/>
    <mergeCell ref="X6152:X6153"/>
    <mergeCell ref="Y6152:Y6153"/>
    <mergeCell ref="Z6152:Z6153"/>
    <mergeCell ref="AA6152:AA6153"/>
    <mergeCell ref="AB6152:AB6153"/>
    <mergeCell ref="A6146:A6147"/>
    <mergeCell ref="E6146:E6147"/>
    <mergeCell ref="H6146:H6147"/>
    <mergeCell ref="I6146:I6147"/>
    <mergeCell ref="J6146:J6147"/>
    <mergeCell ref="K6146:K6147"/>
    <mergeCell ref="L6146:L6147"/>
    <mergeCell ref="M6146:M6147"/>
    <mergeCell ref="N6146:N6147"/>
    <mergeCell ref="O6146:O6147"/>
    <mergeCell ref="X6146:X6147"/>
    <mergeCell ref="Y6146:Y6147"/>
    <mergeCell ref="Z6146:Z6147"/>
    <mergeCell ref="AA6146:AA6147"/>
    <mergeCell ref="AB6146:AB6147"/>
    <mergeCell ref="A6148:A6149"/>
    <mergeCell ref="E6148:E6149"/>
    <mergeCell ref="H6148:H6149"/>
    <mergeCell ref="I6148:I6149"/>
    <mergeCell ref="J6148:J6149"/>
    <mergeCell ref="K6148:K6149"/>
    <mergeCell ref="L6148:L6149"/>
    <mergeCell ref="M6148:M6149"/>
    <mergeCell ref="N6148:N6149"/>
    <mergeCell ref="O6148:O6149"/>
    <mergeCell ref="X6148:X6149"/>
    <mergeCell ref="Y6148:Y6149"/>
    <mergeCell ref="Z6148:Z6149"/>
    <mergeCell ref="AA6148:AA6149"/>
    <mergeCell ref="AB6148:AB6149"/>
    <mergeCell ref="A6142:A6143"/>
    <mergeCell ref="E6142:E6143"/>
    <mergeCell ref="H6142:H6143"/>
    <mergeCell ref="I6142:I6143"/>
    <mergeCell ref="J6142:J6143"/>
    <mergeCell ref="K6142:K6143"/>
    <mergeCell ref="L6142:L6143"/>
    <mergeCell ref="M6142:M6143"/>
    <mergeCell ref="N6142:N6143"/>
    <mergeCell ref="O6142:O6143"/>
    <mergeCell ref="X6142:X6143"/>
    <mergeCell ref="Y6142:Y6143"/>
    <mergeCell ref="Z6142:Z6143"/>
    <mergeCell ref="AA6142:AA6143"/>
    <mergeCell ref="AB6142:AB6143"/>
    <mergeCell ref="A6144:A6145"/>
    <mergeCell ref="E6144:E6145"/>
    <mergeCell ref="H6144:H6145"/>
    <mergeCell ref="I6144:I6145"/>
    <mergeCell ref="J6144:J6145"/>
    <mergeCell ref="K6144:K6145"/>
    <mergeCell ref="L6144:L6145"/>
    <mergeCell ref="M6144:M6145"/>
    <mergeCell ref="N6144:N6145"/>
    <mergeCell ref="O6144:O6145"/>
    <mergeCell ref="X6144:X6145"/>
    <mergeCell ref="Y6144:Y6145"/>
    <mergeCell ref="Z6144:Z6145"/>
    <mergeCell ref="AA6144:AA6145"/>
    <mergeCell ref="AB6144:AB6145"/>
    <mergeCell ref="A6138:A6139"/>
    <mergeCell ref="E6138:E6139"/>
    <mergeCell ref="H6138:H6139"/>
    <mergeCell ref="I6138:I6139"/>
    <mergeCell ref="J6138:J6139"/>
    <mergeCell ref="K6138:K6139"/>
    <mergeCell ref="L6138:L6139"/>
    <mergeCell ref="M6138:M6139"/>
    <mergeCell ref="N6138:N6139"/>
    <mergeCell ref="O6138:O6139"/>
    <mergeCell ref="X6138:X6139"/>
    <mergeCell ref="Y6138:Y6139"/>
    <mergeCell ref="Z6138:Z6139"/>
    <mergeCell ref="AA6138:AA6139"/>
    <mergeCell ref="AB6138:AB6139"/>
    <mergeCell ref="A6140:A6141"/>
    <mergeCell ref="E6140:E6141"/>
    <mergeCell ref="H6140:H6141"/>
    <mergeCell ref="I6140:I6141"/>
    <mergeCell ref="J6140:J6141"/>
    <mergeCell ref="K6140:K6141"/>
    <mergeCell ref="L6140:L6141"/>
    <mergeCell ref="M6140:M6141"/>
    <mergeCell ref="N6140:N6141"/>
    <mergeCell ref="O6140:O6141"/>
    <mergeCell ref="X6140:X6141"/>
    <mergeCell ref="Y6140:Y6141"/>
    <mergeCell ref="Z6140:Z6141"/>
    <mergeCell ref="AA6140:AA6141"/>
    <mergeCell ref="AB6140:AB6141"/>
    <mergeCell ref="A6134:A6135"/>
    <mergeCell ref="E6134:E6135"/>
    <mergeCell ref="H6134:H6135"/>
    <mergeCell ref="I6134:I6135"/>
    <mergeCell ref="J6134:J6135"/>
    <mergeCell ref="K6134:K6135"/>
    <mergeCell ref="L6134:L6135"/>
    <mergeCell ref="M6134:M6135"/>
    <mergeCell ref="N6134:N6135"/>
    <mergeCell ref="O6134:O6135"/>
    <mergeCell ref="X6134:X6135"/>
    <mergeCell ref="Y6134:Y6135"/>
    <mergeCell ref="Z6134:Z6135"/>
    <mergeCell ref="AA6134:AA6135"/>
    <mergeCell ref="AB6134:AB6135"/>
    <mergeCell ref="A6136:A6137"/>
    <mergeCell ref="E6136:E6137"/>
    <mergeCell ref="H6136:H6137"/>
    <mergeCell ref="I6136:I6137"/>
    <mergeCell ref="J6136:J6137"/>
    <mergeCell ref="K6136:K6137"/>
    <mergeCell ref="L6136:L6137"/>
    <mergeCell ref="M6136:M6137"/>
    <mergeCell ref="N6136:N6137"/>
    <mergeCell ref="O6136:O6137"/>
    <mergeCell ref="X6136:X6137"/>
    <mergeCell ref="Y6136:Y6137"/>
    <mergeCell ref="Z6136:Z6137"/>
    <mergeCell ref="AA6136:AA6137"/>
    <mergeCell ref="AB6136:AB6137"/>
    <mergeCell ref="A6130:A6131"/>
    <mergeCell ref="E6130:E6131"/>
    <mergeCell ref="H6130:H6131"/>
    <mergeCell ref="I6130:I6131"/>
    <mergeCell ref="J6130:J6131"/>
    <mergeCell ref="K6130:K6131"/>
    <mergeCell ref="L6130:L6131"/>
    <mergeCell ref="M6130:M6131"/>
    <mergeCell ref="N6130:N6131"/>
    <mergeCell ref="O6130:O6131"/>
    <mergeCell ref="X6130:X6131"/>
    <mergeCell ref="Y6130:Y6131"/>
    <mergeCell ref="Z6130:Z6131"/>
    <mergeCell ref="AA6130:AA6131"/>
    <mergeCell ref="AB6130:AB6131"/>
    <mergeCell ref="A6132:A6133"/>
    <mergeCell ref="E6132:E6133"/>
    <mergeCell ref="H6132:H6133"/>
    <mergeCell ref="I6132:I6133"/>
    <mergeCell ref="J6132:J6133"/>
    <mergeCell ref="K6132:K6133"/>
    <mergeCell ref="L6132:L6133"/>
    <mergeCell ref="M6132:M6133"/>
    <mergeCell ref="N6132:N6133"/>
    <mergeCell ref="O6132:O6133"/>
    <mergeCell ref="X6132:X6133"/>
    <mergeCell ref="Y6132:Y6133"/>
    <mergeCell ref="Z6132:Z6133"/>
    <mergeCell ref="AA6132:AA6133"/>
    <mergeCell ref="AB6132:AB6133"/>
    <mergeCell ref="A6126:A6127"/>
    <mergeCell ref="E6126:E6127"/>
    <mergeCell ref="H6126:H6127"/>
    <mergeCell ref="I6126:I6127"/>
    <mergeCell ref="J6126:J6127"/>
    <mergeCell ref="K6126:K6127"/>
    <mergeCell ref="L6126:L6127"/>
    <mergeCell ref="M6126:M6127"/>
    <mergeCell ref="N6126:N6127"/>
    <mergeCell ref="O6126:O6127"/>
    <mergeCell ref="X6126:X6127"/>
    <mergeCell ref="Y6126:Y6127"/>
    <mergeCell ref="Z6126:Z6127"/>
    <mergeCell ref="AA6126:AA6127"/>
    <mergeCell ref="AB6126:AB6127"/>
    <mergeCell ref="A6128:A6129"/>
    <mergeCell ref="E6128:E6129"/>
    <mergeCell ref="H6128:H6129"/>
    <mergeCell ref="I6128:I6129"/>
    <mergeCell ref="J6128:J6129"/>
    <mergeCell ref="K6128:K6129"/>
    <mergeCell ref="L6128:L6129"/>
    <mergeCell ref="M6128:M6129"/>
    <mergeCell ref="N6128:N6129"/>
    <mergeCell ref="O6128:O6129"/>
    <mergeCell ref="X6128:X6129"/>
    <mergeCell ref="Y6128:Y6129"/>
    <mergeCell ref="Z6128:Z6129"/>
    <mergeCell ref="AA6128:AA6129"/>
    <mergeCell ref="AB6128:AB6129"/>
    <mergeCell ref="A6122:A6123"/>
    <mergeCell ref="E6122:E6123"/>
    <mergeCell ref="H6122:H6123"/>
    <mergeCell ref="I6122:I6123"/>
    <mergeCell ref="J6122:J6123"/>
    <mergeCell ref="K6122:K6123"/>
    <mergeCell ref="L6122:L6123"/>
    <mergeCell ref="M6122:M6123"/>
    <mergeCell ref="N6122:N6123"/>
    <mergeCell ref="O6122:O6123"/>
    <mergeCell ref="X6122:X6123"/>
    <mergeCell ref="Y6122:Y6123"/>
    <mergeCell ref="Z6122:Z6123"/>
    <mergeCell ref="AA6122:AA6123"/>
    <mergeCell ref="AB6122:AB6123"/>
    <mergeCell ref="A6124:A6125"/>
    <mergeCell ref="E6124:E6125"/>
    <mergeCell ref="H6124:H6125"/>
    <mergeCell ref="I6124:I6125"/>
    <mergeCell ref="J6124:J6125"/>
    <mergeCell ref="K6124:K6125"/>
    <mergeCell ref="L6124:L6125"/>
    <mergeCell ref="M6124:M6125"/>
    <mergeCell ref="N6124:N6125"/>
    <mergeCell ref="O6124:O6125"/>
    <mergeCell ref="X6124:X6125"/>
    <mergeCell ref="Y6124:Y6125"/>
    <mergeCell ref="Z6124:Z6125"/>
    <mergeCell ref="AA6124:AA6125"/>
    <mergeCell ref="AB6124:AB6125"/>
    <mergeCell ref="A6118:A6119"/>
    <mergeCell ref="E6118:E6119"/>
    <mergeCell ref="H6118:H6119"/>
    <mergeCell ref="I6118:I6119"/>
    <mergeCell ref="J6118:J6119"/>
    <mergeCell ref="K6118:K6119"/>
    <mergeCell ref="L6118:L6119"/>
    <mergeCell ref="M6118:M6119"/>
    <mergeCell ref="N6118:N6119"/>
    <mergeCell ref="O6118:O6119"/>
    <mergeCell ref="X6118:X6119"/>
    <mergeCell ref="Y6118:Y6119"/>
    <mergeCell ref="Z6118:Z6119"/>
    <mergeCell ref="AA6118:AA6119"/>
    <mergeCell ref="AB6118:AB6119"/>
    <mergeCell ref="A6120:A6121"/>
    <mergeCell ref="E6120:E6121"/>
    <mergeCell ref="H6120:H6121"/>
    <mergeCell ref="I6120:I6121"/>
    <mergeCell ref="J6120:J6121"/>
    <mergeCell ref="K6120:K6121"/>
    <mergeCell ref="L6120:L6121"/>
    <mergeCell ref="M6120:M6121"/>
    <mergeCell ref="N6120:N6121"/>
    <mergeCell ref="O6120:O6121"/>
    <mergeCell ref="X6120:X6121"/>
    <mergeCell ref="Y6120:Y6121"/>
    <mergeCell ref="Z6120:Z6121"/>
    <mergeCell ref="AA6120:AA6121"/>
    <mergeCell ref="AB6120:AB6121"/>
    <mergeCell ref="A6114:A6115"/>
    <mergeCell ref="E6114:E6115"/>
    <mergeCell ref="H6114:H6115"/>
    <mergeCell ref="I6114:I6115"/>
    <mergeCell ref="J6114:J6115"/>
    <mergeCell ref="K6114:K6115"/>
    <mergeCell ref="L6114:L6115"/>
    <mergeCell ref="M6114:M6115"/>
    <mergeCell ref="N6114:N6115"/>
    <mergeCell ref="O6114:O6115"/>
    <mergeCell ref="X6114:X6115"/>
    <mergeCell ref="Y6114:Y6115"/>
    <mergeCell ref="Z6114:Z6115"/>
    <mergeCell ref="AA6114:AA6115"/>
    <mergeCell ref="AB6114:AB6115"/>
    <mergeCell ref="A6116:A6117"/>
    <mergeCell ref="E6116:E6117"/>
    <mergeCell ref="H6116:H6117"/>
    <mergeCell ref="I6116:I6117"/>
    <mergeCell ref="J6116:J6117"/>
    <mergeCell ref="K6116:K6117"/>
    <mergeCell ref="L6116:L6117"/>
    <mergeCell ref="M6116:M6117"/>
    <mergeCell ref="N6116:N6117"/>
    <mergeCell ref="O6116:O6117"/>
    <mergeCell ref="X6116:X6117"/>
    <mergeCell ref="Y6116:Y6117"/>
    <mergeCell ref="Z6116:Z6117"/>
    <mergeCell ref="AA6116:AA6117"/>
    <mergeCell ref="AB6116:AB6117"/>
    <mergeCell ref="A6110:A6111"/>
    <mergeCell ref="E6110:E6111"/>
    <mergeCell ref="H6110:H6111"/>
    <mergeCell ref="I6110:I6111"/>
    <mergeCell ref="J6110:J6111"/>
    <mergeCell ref="K6110:K6111"/>
    <mergeCell ref="L6110:L6111"/>
    <mergeCell ref="M6110:M6111"/>
    <mergeCell ref="N6110:N6111"/>
    <mergeCell ref="O6110:O6111"/>
    <mergeCell ref="X6110:X6111"/>
    <mergeCell ref="Y6110:Y6111"/>
    <mergeCell ref="Z6110:Z6111"/>
    <mergeCell ref="AA6110:AA6111"/>
    <mergeCell ref="AB6110:AB6111"/>
    <mergeCell ref="A6112:A6113"/>
    <mergeCell ref="E6112:E6113"/>
    <mergeCell ref="H6112:H6113"/>
    <mergeCell ref="I6112:I6113"/>
    <mergeCell ref="J6112:J6113"/>
    <mergeCell ref="K6112:K6113"/>
    <mergeCell ref="L6112:L6113"/>
    <mergeCell ref="M6112:M6113"/>
    <mergeCell ref="N6112:N6113"/>
    <mergeCell ref="O6112:O6113"/>
    <mergeCell ref="X6112:X6113"/>
    <mergeCell ref="Y6112:Y6113"/>
    <mergeCell ref="Z6112:Z6113"/>
    <mergeCell ref="AA6112:AA6113"/>
    <mergeCell ref="AB6112:AB6113"/>
    <mergeCell ref="A6106:A6107"/>
    <mergeCell ref="E6106:E6107"/>
    <mergeCell ref="H6106:H6107"/>
    <mergeCell ref="I6106:I6107"/>
    <mergeCell ref="J6106:J6107"/>
    <mergeCell ref="K6106:K6107"/>
    <mergeCell ref="L6106:L6107"/>
    <mergeCell ref="M6106:M6107"/>
    <mergeCell ref="N6106:N6107"/>
    <mergeCell ref="O6106:O6107"/>
    <mergeCell ref="X6106:X6107"/>
    <mergeCell ref="Y6106:Y6107"/>
    <mergeCell ref="Z6106:Z6107"/>
    <mergeCell ref="AA6106:AA6107"/>
    <mergeCell ref="AB6106:AB6107"/>
    <mergeCell ref="A6108:A6109"/>
    <mergeCell ref="E6108:E6109"/>
    <mergeCell ref="H6108:H6109"/>
    <mergeCell ref="I6108:I6109"/>
    <mergeCell ref="J6108:J6109"/>
    <mergeCell ref="K6108:K6109"/>
    <mergeCell ref="L6108:L6109"/>
    <mergeCell ref="M6108:M6109"/>
    <mergeCell ref="N6108:N6109"/>
    <mergeCell ref="O6108:O6109"/>
    <mergeCell ref="X6108:X6109"/>
    <mergeCell ref="Y6108:Y6109"/>
    <mergeCell ref="Z6108:Z6109"/>
    <mergeCell ref="AA6108:AA6109"/>
    <mergeCell ref="AB6108:AB6109"/>
    <mergeCell ref="A6102:A6103"/>
    <mergeCell ref="E6102:E6103"/>
    <mergeCell ref="H6102:H6103"/>
    <mergeCell ref="I6102:I6103"/>
    <mergeCell ref="J6102:J6103"/>
    <mergeCell ref="K6102:K6103"/>
    <mergeCell ref="L6102:L6103"/>
    <mergeCell ref="M6102:M6103"/>
    <mergeCell ref="N6102:N6103"/>
    <mergeCell ref="O6102:O6103"/>
    <mergeCell ref="X6102:X6103"/>
    <mergeCell ref="Y6102:Y6103"/>
    <mergeCell ref="Z6102:Z6103"/>
    <mergeCell ref="AA6102:AA6103"/>
    <mergeCell ref="AB6102:AB6103"/>
    <mergeCell ref="A6104:A6105"/>
    <mergeCell ref="E6104:E6105"/>
    <mergeCell ref="H6104:H6105"/>
    <mergeCell ref="I6104:I6105"/>
    <mergeCell ref="J6104:J6105"/>
    <mergeCell ref="K6104:K6105"/>
    <mergeCell ref="L6104:L6105"/>
    <mergeCell ref="M6104:M6105"/>
    <mergeCell ref="N6104:N6105"/>
    <mergeCell ref="O6104:O6105"/>
    <mergeCell ref="X6104:X6105"/>
    <mergeCell ref="Y6104:Y6105"/>
    <mergeCell ref="Z6104:Z6105"/>
    <mergeCell ref="AA6104:AA6105"/>
    <mergeCell ref="AB6104:AB6105"/>
    <mergeCell ref="A6098:A6099"/>
    <mergeCell ref="E6098:E6099"/>
    <mergeCell ref="H6098:H6099"/>
    <mergeCell ref="I6098:I6099"/>
    <mergeCell ref="J6098:J6099"/>
    <mergeCell ref="K6098:K6099"/>
    <mergeCell ref="L6098:L6099"/>
    <mergeCell ref="M6098:M6099"/>
    <mergeCell ref="N6098:N6099"/>
    <mergeCell ref="O6098:O6099"/>
    <mergeCell ref="X6098:X6099"/>
    <mergeCell ref="Y6098:Y6099"/>
    <mergeCell ref="Z6098:Z6099"/>
    <mergeCell ref="AA6098:AA6099"/>
    <mergeCell ref="AB6098:AB6099"/>
    <mergeCell ref="A6100:A6101"/>
    <mergeCell ref="E6100:E6101"/>
    <mergeCell ref="H6100:H6101"/>
    <mergeCell ref="I6100:I6101"/>
    <mergeCell ref="J6100:J6101"/>
    <mergeCell ref="K6100:K6101"/>
    <mergeCell ref="L6100:L6101"/>
    <mergeCell ref="M6100:M6101"/>
    <mergeCell ref="N6100:N6101"/>
    <mergeCell ref="O6100:O6101"/>
    <mergeCell ref="X6100:X6101"/>
    <mergeCell ref="Y6100:Y6101"/>
    <mergeCell ref="Z6100:Z6101"/>
    <mergeCell ref="AA6100:AA6101"/>
    <mergeCell ref="AB6100:AB6101"/>
    <mergeCell ref="A6094:A6095"/>
    <mergeCell ref="E6094:E6095"/>
    <mergeCell ref="H6094:H6095"/>
    <mergeCell ref="I6094:I6095"/>
    <mergeCell ref="J6094:J6095"/>
    <mergeCell ref="K6094:K6095"/>
    <mergeCell ref="L6094:L6095"/>
    <mergeCell ref="M6094:M6095"/>
    <mergeCell ref="N6094:N6095"/>
    <mergeCell ref="O6094:O6095"/>
    <mergeCell ref="X6094:X6095"/>
    <mergeCell ref="Y6094:Y6095"/>
    <mergeCell ref="Z6094:Z6095"/>
    <mergeCell ref="AA6094:AA6095"/>
    <mergeCell ref="AB6094:AB6095"/>
    <mergeCell ref="A6096:A6097"/>
    <mergeCell ref="E6096:E6097"/>
    <mergeCell ref="H6096:H6097"/>
    <mergeCell ref="I6096:I6097"/>
    <mergeCell ref="J6096:J6097"/>
    <mergeCell ref="K6096:K6097"/>
    <mergeCell ref="L6096:L6097"/>
    <mergeCell ref="M6096:M6097"/>
    <mergeCell ref="N6096:N6097"/>
    <mergeCell ref="O6096:O6097"/>
    <mergeCell ref="X6096:X6097"/>
    <mergeCell ref="Y6096:Y6097"/>
    <mergeCell ref="Z6096:Z6097"/>
    <mergeCell ref="AA6096:AA6097"/>
    <mergeCell ref="AB6096:AB6097"/>
    <mergeCell ref="A6090:A6091"/>
    <mergeCell ref="E6090:E6091"/>
    <mergeCell ref="H6090:H6091"/>
    <mergeCell ref="I6090:I6091"/>
    <mergeCell ref="J6090:J6091"/>
    <mergeCell ref="K6090:K6091"/>
    <mergeCell ref="L6090:L6091"/>
    <mergeCell ref="M6090:M6091"/>
    <mergeCell ref="N6090:N6091"/>
    <mergeCell ref="O6090:O6091"/>
    <mergeCell ref="X6090:X6091"/>
    <mergeCell ref="Y6090:Y6091"/>
    <mergeCell ref="Z6090:Z6091"/>
    <mergeCell ref="AA6090:AA6091"/>
    <mergeCell ref="AB6090:AB6091"/>
    <mergeCell ref="A6092:A6093"/>
    <mergeCell ref="E6092:E6093"/>
    <mergeCell ref="H6092:H6093"/>
    <mergeCell ref="I6092:I6093"/>
    <mergeCell ref="J6092:J6093"/>
    <mergeCell ref="K6092:K6093"/>
    <mergeCell ref="L6092:L6093"/>
    <mergeCell ref="M6092:M6093"/>
    <mergeCell ref="N6092:N6093"/>
    <mergeCell ref="O6092:O6093"/>
    <mergeCell ref="X6092:X6093"/>
    <mergeCell ref="Y6092:Y6093"/>
    <mergeCell ref="Z6092:Z6093"/>
    <mergeCell ref="AA6092:AA6093"/>
    <mergeCell ref="AB6092:AB6093"/>
    <mergeCell ref="A6086:A6087"/>
    <mergeCell ref="E6086:E6087"/>
    <mergeCell ref="H6086:H6087"/>
    <mergeCell ref="I6086:I6087"/>
    <mergeCell ref="J6086:J6087"/>
    <mergeCell ref="K6086:K6087"/>
    <mergeCell ref="L6086:L6087"/>
    <mergeCell ref="M6086:M6087"/>
    <mergeCell ref="N6086:N6087"/>
    <mergeCell ref="O6086:O6087"/>
    <mergeCell ref="X6086:X6087"/>
    <mergeCell ref="Y6086:Y6087"/>
    <mergeCell ref="Z6086:Z6087"/>
    <mergeCell ref="AA6086:AA6087"/>
    <mergeCell ref="AB6086:AB6087"/>
    <mergeCell ref="A6088:A6089"/>
    <mergeCell ref="E6088:E6089"/>
    <mergeCell ref="H6088:H6089"/>
    <mergeCell ref="I6088:I6089"/>
    <mergeCell ref="J6088:J6089"/>
    <mergeCell ref="K6088:K6089"/>
    <mergeCell ref="L6088:L6089"/>
    <mergeCell ref="M6088:M6089"/>
    <mergeCell ref="N6088:N6089"/>
    <mergeCell ref="O6088:O6089"/>
    <mergeCell ref="X6088:X6089"/>
    <mergeCell ref="Y6088:Y6089"/>
    <mergeCell ref="Z6088:Z6089"/>
    <mergeCell ref="AA6088:AA6089"/>
    <mergeCell ref="AB6088:AB6089"/>
    <mergeCell ref="A6082:A6083"/>
    <mergeCell ref="E6082:E6083"/>
    <mergeCell ref="H6082:H6083"/>
    <mergeCell ref="I6082:I6083"/>
    <mergeCell ref="J6082:J6083"/>
    <mergeCell ref="K6082:K6083"/>
    <mergeCell ref="L6082:L6083"/>
    <mergeCell ref="M6082:M6083"/>
    <mergeCell ref="N6082:N6083"/>
    <mergeCell ref="O6082:O6083"/>
    <mergeCell ref="X6082:X6083"/>
    <mergeCell ref="Y6082:Y6083"/>
    <mergeCell ref="Z6082:Z6083"/>
    <mergeCell ref="AA6082:AA6083"/>
    <mergeCell ref="AB6082:AB6083"/>
    <mergeCell ref="A6084:A6085"/>
    <mergeCell ref="E6084:E6085"/>
    <mergeCell ref="H6084:H6085"/>
    <mergeCell ref="I6084:I6085"/>
    <mergeCell ref="J6084:J6085"/>
    <mergeCell ref="K6084:K6085"/>
    <mergeCell ref="L6084:L6085"/>
    <mergeCell ref="M6084:M6085"/>
    <mergeCell ref="N6084:N6085"/>
    <mergeCell ref="O6084:O6085"/>
    <mergeCell ref="X6084:X6085"/>
    <mergeCell ref="Y6084:Y6085"/>
    <mergeCell ref="Z6084:Z6085"/>
    <mergeCell ref="AA6084:AA6085"/>
    <mergeCell ref="AB6084:AB6085"/>
    <mergeCell ref="A6078:A6079"/>
    <mergeCell ref="E6078:E6079"/>
    <mergeCell ref="H6078:H6079"/>
    <mergeCell ref="I6078:I6079"/>
    <mergeCell ref="J6078:J6079"/>
    <mergeCell ref="K6078:K6079"/>
    <mergeCell ref="L6078:L6079"/>
    <mergeCell ref="M6078:M6079"/>
    <mergeCell ref="N6078:N6079"/>
    <mergeCell ref="O6078:O6079"/>
    <mergeCell ref="X6078:X6079"/>
    <mergeCell ref="Y6078:Y6079"/>
    <mergeCell ref="Z6078:Z6079"/>
    <mergeCell ref="AA6078:AA6079"/>
    <mergeCell ref="AB6078:AB6079"/>
    <mergeCell ref="A6080:A6081"/>
    <mergeCell ref="E6080:E6081"/>
    <mergeCell ref="H6080:H6081"/>
    <mergeCell ref="I6080:I6081"/>
    <mergeCell ref="J6080:J6081"/>
    <mergeCell ref="K6080:K6081"/>
    <mergeCell ref="L6080:L6081"/>
    <mergeCell ref="M6080:M6081"/>
    <mergeCell ref="N6080:N6081"/>
    <mergeCell ref="O6080:O6081"/>
    <mergeCell ref="X6080:X6081"/>
    <mergeCell ref="Y6080:Y6081"/>
    <mergeCell ref="Z6080:Z6081"/>
    <mergeCell ref="AA6080:AA6081"/>
    <mergeCell ref="AB6080:AB6081"/>
    <mergeCell ref="A6074:A6075"/>
    <mergeCell ref="E6074:E6075"/>
    <mergeCell ref="H6074:H6075"/>
    <mergeCell ref="I6074:I6075"/>
    <mergeCell ref="J6074:J6075"/>
    <mergeCell ref="K6074:K6075"/>
    <mergeCell ref="L6074:L6075"/>
    <mergeCell ref="M6074:M6075"/>
    <mergeCell ref="N6074:N6075"/>
    <mergeCell ref="O6074:O6075"/>
    <mergeCell ref="X6074:X6075"/>
    <mergeCell ref="Y6074:Y6075"/>
    <mergeCell ref="Z6074:Z6075"/>
    <mergeCell ref="AA6074:AA6075"/>
    <mergeCell ref="AB6074:AB6075"/>
    <mergeCell ref="A6076:A6077"/>
    <mergeCell ref="E6076:E6077"/>
    <mergeCell ref="H6076:H6077"/>
    <mergeCell ref="I6076:I6077"/>
    <mergeCell ref="J6076:J6077"/>
    <mergeCell ref="K6076:K6077"/>
    <mergeCell ref="L6076:L6077"/>
    <mergeCell ref="M6076:M6077"/>
    <mergeCell ref="N6076:N6077"/>
    <mergeCell ref="O6076:O6077"/>
    <mergeCell ref="X6076:X6077"/>
    <mergeCell ref="Y6076:Y6077"/>
    <mergeCell ref="Z6076:Z6077"/>
    <mergeCell ref="AA6076:AA6077"/>
    <mergeCell ref="AB6076:AB6077"/>
    <mergeCell ref="A6070:A6071"/>
    <mergeCell ref="E6070:E6071"/>
    <mergeCell ref="H6070:H6071"/>
    <mergeCell ref="I6070:I6071"/>
    <mergeCell ref="J6070:J6071"/>
    <mergeCell ref="K6070:K6071"/>
    <mergeCell ref="L6070:L6071"/>
    <mergeCell ref="M6070:M6071"/>
    <mergeCell ref="N6070:N6071"/>
    <mergeCell ref="O6070:O6071"/>
    <mergeCell ref="X6070:X6071"/>
    <mergeCell ref="Y6070:Y6071"/>
    <mergeCell ref="Z6070:Z6071"/>
    <mergeCell ref="AA6070:AA6071"/>
    <mergeCell ref="AB6070:AB6071"/>
    <mergeCell ref="A6072:A6073"/>
    <mergeCell ref="E6072:E6073"/>
    <mergeCell ref="H6072:H6073"/>
    <mergeCell ref="I6072:I6073"/>
    <mergeCell ref="J6072:J6073"/>
    <mergeCell ref="K6072:K6073"/>
    <mergeCell ref="L6072:L6073"/>
    <mergeCell ref="M6072:M6073"/>
    <mergeCell ref="N6072:N6073"/>
    <mergeCell ref="O6072:O6073"/>
    <mergeCell ref="X6072:X6073"/>
    <mergeCell ref="Y6072:Y6073"/>
    <mergeCell ref="Z6072:Z6073"/>
    <mergeCell ref="AA6072:AA6073"/>
    <mergeCell ref="AB6072:AB6073"/>
    <mergeCell ref="A6066:A6067"/>
    <mergeCell ref="E6066:E6067"/>
    <mergeCell ref="H6066:H6067"/>
    <mergeCell ref="I6066:I6067"/>
    <mergeCell ref="J6066:J6067"/>
    <mergeCell ref="K6066:K6067"/>
    <mergeCell ref="L6066:L6067"/>
    <mergeCell ref="M6066:M6067"/>
    <mergeCell ref="N6066:N6067"/>
    <mergeCell ref="O6066:O6067"/>
    <mergeCell ref="X6066:X6067"/>
    <mergeCell ref="Y6066:Y6067"/>
    <mergeCell ref="Z6066:Z6067"/>
    <mergeCell ref="AA6066:AA6067"/>
    <mergeCell ref="AB6066:AB6067"/>
    <mergeCell ref="A6068:A6069"/>
    <mergeCell ref="E6068:E6069"/>
    <mergeCell ref="H6068:H6069"/>
    <mergeCell ref="I6068:I6069"/>
    <mergeCell ref="J6068:J6069"/>
    <mergeCell ref="K6068:K6069"/>
    <mergeCell ref="L6068:L6069"/>
    <mergeCell ref="M6068:M6069"/>
    <mergeCell ref="N6068:N6069"/>
    <mergeCell ref="O6068:O6069"/>
    <mergeCell ref="X6068:X6069"/>
    <mergeCell ref="Y6068:Y6069"/>
    <mergeCell ref="Z6068:Z6069"/>
    <mergeCell ref="AA6068:AA6069"/>
    <mergeCell ref="AB6068:AB6069"/>
    <mergeCell ref="A6062:A6063"/>
    <mergeCell ref="E6062:E6063"/>
    <mergeCell ref="H6062:H6063"/>
    <mergeCell ref="I6062:I6063"/>
    <mergeCell ref="J6062:J6063"/>
    <mergeCell ref="K6062:K6063"/>
    <mergeCell ref="L6062:L6063"/>
    <mergeCell ref="M6062:M6063"/>
    <mergeCell ref="N6062:N6063"/>
    <mergeCell ref="O6062:O6063"/>
    <mergeCell ref="X6062:X6063"/>
    <mergeCell ref="Y6062:Y6063"/>
    <mergeCell ref="Z6062:Z6063"/>
    <mergeCell ref="AA6062:AA6063"/>
    <mergeCell ref="AB6062:AB6063"/>
    <mergeCell ref="A6064:A6065"/>
    <mergeCell ref="E6064:E6065"/>
    <mergeCell ref="H6064:H6065"/>
    <mergeCell ref="I6064:I6065"/>
    <mergeCell ref="J6064:J6065"/>
    <mergeCell ref="K6064:K6065"/>
    <mergeCell ref="L6064:L6065"/>
    <mergeCell ref="M6064:M6065"/>
    <mergeCell ref="N6064:N6065"/>
    <mergeCell ref="O6064:O6065"/>
    <mergeCell ref="X6064:X6065"/>
    <mergeCell ref="Y6064:Y6065"/>
    <mergeCell ref="Z6064:Z6065"/>
    <mergeCell ref="AA6064:AA6065"/>
    <mergeCell ref="AB6064:AB6065"/>
    <mergeCell ref="H6056:H6057"/>
    <mergeCell ref="I6056:I6057"/>
    <mergeCell ref="J6056:J6057"/>
    <mergeCell ref="K6056:K6057"/>
    <mergeCell ref="L6056:L6057"/>
    <mergeCell ref="M6056:M6057"/>
    <mergeCell ref="N6056:N6057"/>
    <mergeCell ref="O6056:O6057"/>
    <mergeCell ref="X6056:X6057"/>
    <mergeCell ref="Y6056:Y6057"/>
    <mergeCell ref="Z6056:Z6057"/>
    <mergeCell ref="AA6056:AA6057"/>
    <mergeCell ref="AB6056:AB6057"/>
    <mergeCell ref="A6060:A6061"/>
    <mergeCell ref="E6060:E6061"/>
    <mergeCell ref="H6060:H6061"/>
    <mergeCell ref="I6060:I6061"/>
    <mergeCell ref="J6060:J6061"/>
    <mergeCell ref="K6060:K6061"/>
    <mergeCell ref="L6060:L6061"/>
    <mergeCell ref="M6060:M6061"/>
    <mergeCell ref="N6060:N6061"/>
    <mergeCell ref="O6060:O6061"/>
    <mergeCell ref="X6060:X6061"/>
    <mergeCell ref="Y6060:Y6061"/>
    <mergeCell ref="Z6060:Z6061"/>
    <mergeCell ref="AA6060:AA6061"/>
    <mergeCell ref="AB6060:AB6061"/>
    <mergeCell ref="O6058:O6059"/>
    <mergeCell ref="X6058:X6059"/>
    <mergeCell ref="Y6058:Y6059"/>
    <mergeCell ref="Z6058:Z6059"/>
    <mergeCell ref="A6058:A6059"/>
    <mergeCell ref="E6058:E6059"/>
    <mergeCell ref="H6058:H6059"/>
    <mergeCell ref="I6058:I6059"/>
    <mergeCell ref="J6058:J6059"/>
    <mergeCell ref="K6058:K6059"/>
    <mergeCell ref="L6058:L6059"/>
    <mergeCell ref="M6058:M6059"/>
    <mergeCell ref="N6058:N6059"/>
    <mergeCell ref="A6052:A6053"/>
    <mergeCell ref="E6052:E6053"/>
    <mergeCell ref="H6052:H6053"/>
    <mergeCell ref="I6052:I6053"/>
    <mergeCell ref="J6052:J6053"/>
    <mergeCell ref="K6052:K6053"/>
    <mergeCell ref="L6052:L6053"/>
    <mergeCell ref="M6052:M6053"/>
    <mergeCell ref="N6052:N6053"/>
    <mergeCell ref="O6052:O6053"/>
    <mergeCell ref="X6052:X6053"/>
    <mergeCell ref="Y6052:Y6053"/>
    <mergeCell ref="Z6052:Z6053"/>
    <mergeCell ref="AA6052:AA6053"/>
    <mergeCell ref="AB6052:AB6053"/>
    <mergeCell ref="A6054:A6055"/>
    <mergeCell ref="E6054:E6055"/>
    <mergeCell ref="H6054:H6055"/>
    <mergeCell ref="I6054:I6055"/>
    <mergeCell ref="J6054:J6055"/>
    <mergeCell ref="K6054:K6055"/>
    <mergeCell ref="L6054:L6055"/>
    <mergeCell ref="M6054:M6055"/>
    <mergeCell ref="N6054:N6055"/>
    <mergeCell ref="O6054:O6055"/>
    <mergeCell ref="X6054:X6055"/>
    <mergeCell ref="Y6054:Y6055"/>
    <mergeCell ref="Z6054:Z6055"/>
    <mergeCell ref="AA6054:AA6055"/>
    <mergeCell ref="AB6054:AB6055"/>
    <mergeCell ref="AA6058:AA6059"/>
    <mergeCell ref="AB6058:AB6059"/>
    <mergeCell ref="A6048:A6049"/>
    <mergeCell ref="E6048:E6049"/>
    <mergeCell ref="H6048:H6049"/>
    <mergeCell ref="I6048:I6049"/>
    <mergeCell ref="J6048:J6049"/>
    <mergeCell ref="K6048:K6049"/>
    <mergeCell ref="L6048:L6049"/>
    <mergeCell ref="M6048:M6049"/>
    <mergeCell ref="N6048:N6049"/>
    <mergeCell ref="O6048:O6049"/>
    <mergeCell ref="X6048:X6049"/>
    <mergeCell ref="Y6048:Y6049"/>
    <mergeCell ref="Z6048:Z6049"/>
    <mergeCell ref="AA6048:AA6049"/>
    <mergeCell ref="AB6048:AB6049"/>
    <mergeCell ref="A6050:A6051"/>
    <mergeCell ref="E6050:E6051"/>
    <mergeCell ref="H6050:H6051"/>
    <mergeCell ref="I6050:I6051"/>
    <mergeCell ref="J6050:J6051"/>
    <mergeCell ref="K6050:K6051"/>
    <mergeCell ref="L6050:L6051"/>
    <mergeCell ref="M6050:M6051"/>
    <mergeCell ref="N6050:N6051"/>
    <mergeCell ref="O6050:O6051"/>
    <mergeCell ref="X6050:X6051"/>
    <mergeCell ref="Y6050:Y6051"/>
    <mergeCell ref="Z6050:Z6051"/>
    <mergeCell ref="AA6050:AA6051"/>
    <mergeCell ref="AB6050:AB6051"/>
    <mergeCell ref="A6056:A6057"/>
    <mergeCell ref="E6056:E6057"/>
    <mergeCell ref="A6044:A6045"/>
    <mergeCell ref="E6044:E6045"/>
    <mergeCell ref="H6044:H6045"/>
    <mergeCell ref="I6044:I6045"/>
    <mergeCell ref="J6044:J6045"/>
    <mergeCell ref="K6044:K6045"/>
    <mergeCell ref="L6044:L6045"/>
    <mergeCell ref="M6044:M6045"/>
    <mergeCell ref="N6044:N6045"/>
    <mergeCell ref="O6044:O6045"/>
    <mergeCell ref="X6044:X6045"/>
    <mergeCell ref="Y6044:Y6045"/>
    <mergeCell ref="Z6044:Z6045"/>
    <mergeCell ref="AA6044:AA6045"/>
    <mergeCell ref="AB6044:AB6045"/>
    <mergeCell ref="A6046:A6047"/>
    <mergeCell ref="E6046:E6047"/>
    <mergeCell ref="H6046:H6047"/>
    <mergeCell ref="I6046:I6047"/>
    <mergeCell ref="J6046:J6047"/>
    <mergeCell ref="K6046:K6047"/>
    <mergeCell ref="L6046:L6047"/>
    <mergeCell ref="M6046:M6047"/>
    <mergeCell ref="N6046:N6047"/>
    <mergeCell ref="O6046:O6047"/>
    <mergeCell ref="X6046:X6047"/>
    <mergeCell ref="Y6046:Y6047"/>
    <mergeCell ref="Z6046:Z6047"/>
    <mergeCell ref="AA6046:AA6047"/>
    <mergeCell ref="AB6046:AB6047"/>
    <mergeCell ref="A6040:A6041"/>
    <mergeCell ref="E6040:E6041"/>
    <mergeCell ref="H6040:H6041"/>
    <mergeCell ref="I6040:I6041"/>
    <mergeCell ref="J6040:J6041"/>
    <mergeCell ref="K6040:K6041"/>
    <mergeCell ref="L6040:L6041"/>
    <mergeCell ref="M6040:M6041"/>
    <mergeCell ref="N6040:N6041"/>
    <mergeCell ref="O6040:O6041"/>
    <mergeCell ref="X6040:X6041"/>
    <mergeCell ref="Y6040:Y6041"/>
    <mergeCell ref="Z6040:Z6041"/>
    <mergeCell ref="AA6040:AA6041"/>
    <mergeCell ref="AB6040:AB6041"/>
    <mergeCell ref="A6042:A6043"/>
    <mergeCell ref="E6042:E6043"/>
    <mergeCell ref="H6042:H6043"/>
    <mergeCell ref="I6042:I6043"/>
    <mergeCell ref="J6042:J6043"/>
    <mergeCell ref="K6042:K6043"/>
    <mergeCell ref="L6042:L6043"/>
    <mergeCell ref="M6042:M6043"/>
    <mergeCell ref="N6042:N6043"/>
    <mergeCell ref="O6042:O6043"/>
    <mergeCell ref="X6042:X6043"/>
    <mergeCell ref="Y6042:Y6043"/>
    <mergeCell ref="Z6042:Z6043"/>
    <mergeCell ref="AA6042:AA6043"/>
    <mergeCell ref="AB6042:AB6043"/>
    <mergeCell ref="A6036:A6037"/>
    <mergeCell ref="E6036:E6037"/>
    <mergeCell ref="H6036:H6037"/>
    <mergeCell ref="I6036:I6037"/>
    <mergeCell ref="J6036:J6037"/>
    <mergeCell ref="K6036:K6037"/>
    <mergeCell ref="L6036:L6037"/>
    <mergeCell ref="M6036:M6037"/>
    <mergeCell ref="N6036:N6037"/>
    <mergeCell ref="O6036:O6037"/>
    <mergeCell ref="X6036:X6037"/>
    <mergeCell ref="Y6036:Y6037"/>
    <mergeCell ref="Z6036:Z6037"/>
    <mergeCell ref="AA6036:AA6037"/>
    <mergeCell ref="AB6036:AB6037"/>
    <mergeCell ref="A6038:A6039"/>
    <mergeCell ref="E6038:E6039"/>
    <mergeCell ref="H6038:H6039"/>
    <mergeCell ref="I6038:I6039"/>
    <mergeCell ref="J6038:J6039"/>
    <mergeCell ref="K6038:K6039"/>
    <mergeCell ref="L6038:L6039"/>
    <mergeCell ref="M6038:M6039"/>
    <mergeCell ref="N6038:N6039"/>
    <mergeCell ref="O6038:O6039"/>
    <mergeCell ref="X6038:X6039"/>
    <mergeCell ref="Y6038:Y6039"/>
    <mergeCell ref="Z6038:Z6039"/>
    <mergeCell ref="AA6038:AA6039"/>
    <mergeCell ref="AB6038:AB6039"/>
    <mergeCell ref="A6032:A6033"/>
    <mergeCell ref="E6032:E6033"/>
    <mergeCell ref="H6032:H6033"/>
    <mergeCell ref="I6032:I6033"/>
    <mergeCell ref="J6032:J6033"/>
    <mergeCell ref="K6032:K6033"/>
    <mergeCell ref="L6032:L6033"/>
    <mergeCell ref="M6032:M6033"/>
    <mergeCell ref="N6032:N6033"/>
    <mergeCell ref="O6032:O6033"/>
    <mergeCell ref="X6032:X6033"/>
    <mergeCell ref="Y6032:Y6033"/>
    <mergeCell ref="Z6032:Z6033"/>
    <mergeCell ref="AA6032:AA6033"/>
    <mergeCell ref="AB6032:AB6033"/>
    <mergeCell ref="A6034:A6035"/>
    <mergeCell ref="E6034:E6035"/>
    <mergeCell ref="H6034:H6035"/>
    <mergeCell ref="I6034:I6035"/>
    <mergeCell ref="J6034:J6035"/>
    <mergeCell ref="K6034:K6035"/>
    <mergeCell ref="L6034:L6035"/>
    <mergeCell ref="M6034:M6035"/>
    <mergeCell ref="N6034:N6035"/>
    <mergeCell ref="O6034:O6035"/>
    <mergeCell ref="X6034:X6035"/>
    <mergeCell ref="Y6034:Y6035"/>
    <mergeCell ref="Z6034:Z6035"/>
    <mergeCell ref="AA6034:AA6035"/>
    <mergeCell ref="AB6034:AB6035"/>
    <mergeCell ref="A6028:A6029"/>
    <mergeCell ref="E6028:E6029"/>
    <mergeCell ref="H6028:H6029"/>
    <mergeCell ref="I6028:I6029"/>
    <mergeCell ref="J6028:J6029"/>
    <mergeCell ref="K6028:K6029"/>
    <mergeCell ref="L6028:L6029"/>
    <mergeCell ref="M6028:M6029"/>
    <mergeCell ref="N6028:N6029"/>
    <mergeCell ref="O6028:O6029"/>
    <mergeCell ref="X6028:X6029"/>
    <mergeCell ref="Y6028:Y6029"/>
    <mergeCell ref="Z6028:Z6029"/>
    <mergeCell ref="AA6028:AA6029"/>
    <mergeCell ref="AB6028:AB6029"/>
    <mergeCell ref="A6030:A6031"/>
    <mergeCell ref="E6030:E6031"/>
    <mergeCell ref="H6030:H6031"/>
    <mergeCell ref="I6030:I6031"/>
    <mergeCell ref="J6030:J6031"/>
    <mergeCell ref="K6030:K6031"/>
    <mergeCell ref="L6030:L6031"/>
    <mergeCell ref="M6030:M6031"/>
    <mergeCell ref="N6030:N6031"/>
    <mergeCell ref="O6030:O6031"/>
    <mergeCell ref="X6030:X6031"/>
    <mergeCell ref="Y6030:Y6031"/>
    <mergeCell ref="Z6030:Z6031"/>
    <mergeCell ref="AA6030:AA6031"/>
    <mergeCell ref="AB6030:AB6031"/>
    <mergeCell ref="A6024:A6025"/>
    <mergeCell ref="E6024:E6025"/>
    <mergeCell ref="H6024:H6025"/>
    <mergeCell ref="I6024:I6025"/>
    <mergeCell ref="J6024:J6025"/>
    <mergeCell ref="K6024:K6025"/>
    <mergeCell ref="L6024:L6025"/>
    <mergeCell ref="M6024:M6025"/>
    <mergeCell ref="N6024:N6025"/>
    <mergeCell ref="O6024:O6025"/>
    <mergeCell ref="X6024:X6025"/>
    <mergeCell ref="Y6024:Y6025"/>
    <mergeCell ref="Z6024:Z6025"/>
    <mergeCell ref="AA6024:AA6025"/>
    <mergeCell ref="AB6024:AB6025"/>
    <mergeCell ref="A6026:A6027"/>
    <mergeCell ref="E6026:E6027"/>
    <mergeCell ref="H6026:H6027"/>
    <mergeCell ref="I6026:I6027"/>
    <mergeCell ref="J6026:J6027"/>
    <mergeCell ref="K6026:K6027"/>
    <mergeCell ref="L6026:L6027"/>
    <mergeCell ref="M6026:M6027"/>
    <mergeCell ref="N6026:N6027"/>
    <mergeCell ref="O6026:O6027"/>
    <mergeCell ref="X6026:X6027"/>
    <mergeCell ref="Y6026:Y6027"/>
    <mergeCell ref="Z6026:Z6027"/>
    <mergeCell ref="AA6026:AA6027"/>
    <mergeCell ref="AB6026:AB6027"/>
    <mergeCell ref="A6020:A6021"/>
    <mergeCell ref="E6020:E6021"/>
    <mergeCell ref="H6020:H6021"/>
    <mergeCell ref="I6020:I6021"/>
    <mergeCell ref="J6020:J6021"/>
    <mergeCell ref="K6020:K6021"/>
    <mergeCell ref="L6020:L6021"/>
    <mergeCell ref="M6020:M6021"/>
    <mergeCell ref="N6020:N6021"/>
    <mergeCell ref="O6020:O6021"/>
    <mergeCell ref="X6020:X6021"/>
    <mergeCell ref="Y6020:Y6021"/>
    <mergeCell ref="Z6020:Z6021"/>
    <mergeCell ref="AA6020:AA6021"/>
    <mergeCell ref="AB6020:AB6021"/>
    <mergeCell ref="A6022:A6023"/>
    <mergeCell ref="E6022:E6023"/>
    <mergeCell ref="H6022:H6023"/>
    <mergeCell ref="I6022:I6023"/>
    <mergeCell ref="J6022:J6023"/>
    <mergeCell ref="K6022:K6023"/>
    <mergeCell ref="L6022:L6023"/>
    <mergeCell ref="M6022:M6023"/>
    <mergeCell ref="N6022:N6023"/>
    <mergeCell ref="O6022:O6023"/>
    <mergeCell ref="X6022:X6023"/>
    <mergeCell ref="Y6022:Y6023"/>
    <mergeCell ref="Z6022:Z6023"/>
    <mergeCell ref="AA6022:AA6023"/>
    <mergeCell ref="AB6022:AB6023"/>
    <mergeCell ref="A6016:A6017"/>
    <mergeCell ref="E6016:E6017"/>
    <mergeCell ref="H6016:H6017"/>
    <mergeCell ref="I6016:I6017"/>
    <mergeCell ref="J6016:J6017"/>
    <mergeCell ref="K6016:K6017"/>
    <mergeCell ref="L6016:L6017"/>
    <mergeCell ref="M6016:M6017"/>
    <mergeCell ref="N6016:N6017"/>
    <mergeCell ref="O6016:O6017"/>
    <mergeCell ref="X6016:X6017"/>
    <mergeCell ref="Y6016:Y6017"/>
    <mergeCell ref="Z6016:Z6017"/>
    <mergeCell ref="AA6016:AA6017"/>
    <mergeCell ref="AB6016:AB6017"/>
    <mergeCell ref="A6018:A6019"/>
    <mergeCell ref="E6018:E6019"/>
    <mergeCell ref="H6018:H6019"/>
    <mergeCell ref="I6018:I6019"/>
    <mergeCell ref="J6018:J6019"/>
    <mergeCell ref="K6018:K6019"/>
    <mergeCell ref="L6018:L6019"/>
    <mergeCell ref="M6018:M6019"/>
    <mergeCell ref="N6018:N6019"/>
    <mergeCell ref="O6018:O6019"/>
    <mergeCell ref="X6018:X6019"/>
    <mergeCell ref="Y6018:Y6019"/>
    <mergeCell ref="Z6018:Z6019"/>
    <mergeCell ref="AA6018:AA6019"/>
    <mergeCell ref="AB6018:AB6019"/>
    <mergeCell ref="A6012:A6013"/>
    <mergeCell ref="E6012:E6013"/>
    <mergeCell ref="H6012:H6013"/>
    <mergeCell ref="I6012:I6013"/>
    <mergeCell ref="J6012:J6013"/>
    <mergeCell ref="K6012:K6013"/>
    <mergeCell ref="L6012:L6013"/>
    <mergeCell ref="M6012:M6013"/>
    <mergeCell ref="N6012:N6013"/>
    <mergeCell ref="O6012:O6013"/>
    <mergeCell ref="X6012:X6013"/>
    <mergeCell ref="Y6012:Y6013"/>
    <mergeCell ref="Z6012:Z6013"/>
    <mergeCell ref="AA6012:AA6013"/>
    <mergeCell ref="AB6012:AB6013"/>
    <mergeCell ref="A6014:A6015"/>
    <mergeCell ref="E6014:E6015"/>
    <mergeCell ref="H6014:H6015"/>
    <mergeCell ref="I6014:I6015"/>
    <mergeCell ref="J6014:J6015"/>
    <mergeCell ref="K6014:K6015"/>
    <mergeCell ref="L6014:L6015"/>
    <mergeCell ref="M6014:M6015"/>
    <mergeCell ref="N6014:N6015"/>
    <mergeCell ref="O6014:O6015"/>
    <mergeCell ref="X6014:X6015"/>
    <mergeCell ref="Y6014:Y6015"/>
    <mergeCell ref="Z6014:Z6015"/>
    <mergeCell ref="AA6014:AA6015"/>
    <mergeCell ref="AB6014:AB6015"/>
    <mergeCell ref="A6006:A6007"/>
    <mergeCell ref="E6006:E6007"/>
    <mergeCell ref="H6006:H6007"/>
    <mergeCell ref="I6006:I6007"/>
    <mergeCell ref="J6006:J6007"/>
    <mergeCell ref="K6006:K6007"/>
    <mergeCell ref="L6006:L6007"/>
    <mergeCell ref="M6006:M6007"/>
    <mergeCell ref="N6006:N6007"/>
    <mergeCell ref="O6006:O6007"/>
    <mergeCell ref="X6006:X6007"/>
    <mergeCell ref="Y6006:Y6007"/>
    <mergeCell ref="Z6006:Z6007"/>
    <mergeCell ref="AA6006:AA6007"/>
    <mergeCell ref="AB6006:AB6007"/>
    <mergeCell ref="A6008:A6009"/>
    <mergeCell ref="E6008:E6009"/>
    <mergeCell ref="H6008:H6009"/>
    <mergeCell ref="I6008:I6009"/>
    <mergeCell ref="J6008:J6009"/>
    <mergeCell ref="K6008:K6009"/>
    <mergeCell ref="L6008:L6009"/>
    <mergeCell ref="M6008:M6009"/>
    <mergeCell ref="N6008:N6009"/>
    <mergeCell ref="O6008:O6009"/>
    <mergeCell ref="X6008:X6009"/>
    <mergeCell ref="Y6008:Y6009"/>
    <mergeCell ref="Z6008:Z6009"/>
    <mergeCell ref="AA6008:AA6009"/>
    <mergeCell ref="AB6008:AB6009"/>
    <mergeCell ref="A6002:A6003"/>
    <mergeCell ref="E6002:E6003"/>
    <mergeCell ref="H6002:H6003"/>
    <mergeCell ref="I6002:I6003"/>
    <mergeCell ref="J6002:J6003"/>
    <mergeCell ref="K6002:K6003"/>
    <mergeCell ref="L6002:L6003"/>
    <mergeCell ref="M6002:M6003"/>
    <mergeCell ref="N6002:N6003"/>
    <mergeCell ref="O6002:O6003"/>
    <mergeCell ref="X6002:X6003"/>
    <mergeCell ref="Y6002:Y6003"/>
    <mergeCell ref="Z6002:Z6003"/>
    <mergeCell ref="AA6002:AA6003"/>
    <mergeCell ref="AB6002:AB6003"/>
    <mergeCell ref="A6004:A6005"/>
    <mergeCell ref="E6004:E6005"/>
    <mergeCell ref="H6004:H6005"/>
    <mergeCell ref="I6004:I6005"/>
    <mergeCell ref="J6004:J6005"/>
    <mergeCell ref="K6004:K6005"/>
    <mergeCell ref="L6004:L6005"/>
    <mergeCell ref="M6004:M6005"/>
    <mergeCell ref="N6004:N6005"/>
    <mergeCell ref="O6004:O6005"/>
    <mergeCell ref="X6004:X6005"/>
    <mergeCell ref="Y6004:Y6005"/>
    <mergeCell ref="Z6004:Z6005"/>
    <mergeCell ref="AA6004:AA6005"/>
    <mergeCell ref="AB6004:AB6005"/>
    <mergeCell ref="A5998:A5999"/>
    <mergeCell ref="E5998:E5999"/>
    <mergeCell ref="H5998:H5999"/>
    <mergeCell ref="I5998:I5999"/>
    <mergeCell ref="J5998:J5999"/>
    <mergeCell ref="K5998:K5999"/>
    <mergeCell ref="L5998:L5999"/>
    <mergeCell ref="M5998:M5999"/>
    <mergeCell ref="N5998:N5999"/>
    <mergeCell ref="O5998:O5999"/>
    <mergeCell ref="X5998:X5999"/>
    <mergeCell ref="Y5998:Y5999"/>
    <mergeCell ref="Z5998:Z5999"/>
    <mergeCell ref="AA5998:AA5999"/>
    <mergeCell ref="AB5998:AB5999"/>
    <mergeCell ref="A6000:A6001"/>
    <mergeCell ref="E6000:E6001"/>
    <mergeCell ref="H6000:H6001"/>
    <mergeCell ref="I6000:I6001"/>
    <mergeCell ref="J6000:J6001"/>
    <mergeCell ref="K6000:K6001"/>
    <mergeCell ref="L6000:L6001"/>
    <mergeCell ref="M6000:M6001"/>
    <mergeCell ref="N6000:N6001"/>
    <mergeCell ref="O6000:O6001"/>
    <mergeCell ref="X6000:X6001"/>
    <mergeCell ref="Y6000:Y6001"/>
    <mergeCell ref="Z6000:Z6001"/>
    <mergeCell ref="AA6000:AA6001"/>
    <mergeCell ref="AB6000:AB6001"/>
    <mergeCell ref="A5996:A5997"/>
    <mergeCell ref="E5996:E5997"/>
    <mergeCell ref="H5996:H5997"/>
    <mergeCell ref="I5996:I5997"/>
    <mergeCell ref="J5996:J5997"/>
    <mergeCell ref="K5996:K5997"/>
    <mergeCell ref="L5996:L5997"/>
    <mergeCell ref="M5996:M5997"/>
    <mergeCell ref="N5996:N5997"/>
    <mergeCell ref="O5996:O5997"/>
    <mergeCell ref="X5996:X5997"/>
    <mergeCell ref="Y5996:Y5997"/>
    <mergeCell ref="Z5996:Z5997"/>
    <mergeCell ref="AA5996:AA5997"/>
    <mergeCell ref="AB5996:AB5997"/>
    <mergeCell ref="A5990:A5991"/>
    <mergeCell ref="E5990:E5991"/>
    <mergeCell ref="H5990:H5991"/>
    <mergeCell ref="I5990:I5991"/>
    <mergeCell ref="J5990:J5991"/>
    <mergeCell ref="K5990:K5991"/>
    <mergeCell ref="L5990:L5991"/>
    <mergeCell ref="M5990:M5991"/>
    <mergeCell ref="N5990:N5991"/>
    <mergeCell ref="O5990:O5991"/>
    <mergeCell ref="X5990:X5991"/>
    <mergeCell ref="Y5990:Y5991"/>
    <mergeCell ref="Z5990:Z5991"/>
    <mergeCell ref="AA5990:AA5991"/>
    <mergeCell ref="AB5990:AB5991"/>
    <mergeCell ref="A5992:A5993"/>
    <mergeCell ref="E5992:E5993"/>
    <mergeCell ref="H5992:H5993"/>
    <mergeCell ref="I5992:I5993"/>
    <mergeCell ref="J5992:J5993"/>
    <mergeCell ref="K5992:K5993"/>
    <mergeCell ref="L5992:L5993"/>
    <mergeCell ref="M5992:M5993"/>
    <mergeCell ref="N5992:N5993"/>
    <mergeCell ref="O5992:O5993"/>
    <mergeCell ref="X5992:X5993"/>
    <mergeCell ref="Y5992:Y5993"/>
    <mergeCell ref="Z5992:Z5993"/>
    <mergeCell ref="AA5992:AA5993"/>
    <mergeCell ref="AB5992:AB5993"/>
    <mergeCell ref="I5978:I5979"/>
    <mergeCell ref="J5978:J5979"/>
    <mergeCell ref="K5978:K5979"/>
    <mergeCell ref="L5978:L5979"/>
    <mergeCell ref="M5978:M5979"/>
    <mergeCell ref="N5978:N5979"/>
    <mergeCell ref="O5978:O5979"/>
    <mergeCell ref="X5978:X5979"/>
    <mergeCell ref="Y5978:Y5979"/>
    <mergeCell ref="Z5978:Z5979"/>
    <mergeCell ref="AA5978:AA5979"/>
    <mergeCell ref="AB5978:AB5979"/>
    <mergeCell ref="A5980:A5981"/>
    <mergeCell ref="E5980:E5981"/>
    <mergeCell ref="H5980:H5981"/>
    <mergeCell ref="I5980:I5981"/>
    <mergeCell ref="J5980:J5981"/>
    <mergeCell ref="K5980:K5981"/>
    <mergeCell ref="L5980:L5981"/>
    <mergeCell ref="M5980:M5981"/>
    <mergeCell ref="N5980:N5981"/>
    <mergeCell ref="O5980:O5981"/>
    <mergeCell ref="X5980:X5981"/>
    <mergeCell ref="Y5980:Y5981"/>
    <mergeCell ref="Z5980:Z5981"/>
    <mergeCell ref="AA5980:AA5981"/>
    <mergeCell ref="A5994:A5995"/>
    <mergeCell ref="E5994:E5995"/>
    <mergeCell ref="H5994:H5995"/>
    <mergeCell ref="I5994:I5995"/>
    <mergeCell ref="J5994:J5995"/>
    <mergeCell ref="K5994:K5995"/>
    <mergeCell ref="L5994:L5995"/>
    <mergeCell ref="M5994:M5995"/>
    <mergeCell ref="N5994:N5995"/>
    <mergeCell ref="O5994:O5995"/>
    <mergeCell ref="X5994:X5995"/>
    <mergeCell ref="Y5994:Y5995"/>
    <mergeCell ref="Z5994:Z5995"/>
    <mergeCell ref="AA5994:AA5995"/>
    <mergeCell ref="AB5994:AB5995"/>
    <mergeCell ref="A5988:A5989"/>
    <mergeCell ref="E5988:E5989"/>
    <mergeCell ref="H5988:H5989"/>
    <mergeCell ref="I5988:I5989"/>
    <mergeCell ref="J5988:J5989"/>
    <mergeCell ref="K5988:K5989"/>
    <mergeCell ref="L5988:L5989"/>
    <mergeCell ref="M5988:M5989"/>
    <mergeCell ref="N5988:N5989"/>
    <mergeCell ref="O5988:O5989"/>
    <mergeCell ref="X5988:X5989"/>
    <mergeCell ref="Y5988:Y5989"/>
    <mergeCell ref="Z5988:Z5989"/>
    <mergeCell ref="AA5988:AA5989"/>
    <mergeCell ref="AB5988:AB5989"/>
    <mergeCell ref="A5982:A5983"/>
    <mergeCell ref="E5982:E5983"/>
    <mergeCell ref="H5982:H5983"/>
    <mergeCell ref="I5982:I5983"/>
    <mergeCell ref="J5982:J5983"/>
    <mergeCell ref="K5982:K5983"/>
    <mergeCell ref="L5982:L5983"/>
    <mergeCell ref="M5982:M5983"/>
    <mergeCell ref="N5982:N5983"/>
    <mergeCell ref="O5982:O5983"/>
    <mergeCell ref="X5982:X5983"/>
    <mergeCell ref="Y5982:Y5983"/>
    <mergeCell ref="Z5982:Z5983"/>
    <mergeCell ref="AA5982:AA5983"/>
    <mergeCell ref="AB5982:AB5983"/>
    <mergeCell ref="A5984:A5985"/>
    <mergeCell ref="E5984:E5985"/>
    <mergeCell ref="H5984:H5985"/>
    <mergeCell ref="I5984:I5985"/>
    <mergeCell ref="J5984:J5985"/>
    <mergeCell ref="K5984:K5985"/>
    <mergeCell ref="L5984:L5985"/>
    <mergeCell ref="M5984:M5985"/>
    <mergeCell ref="N5984:N5985"/>
    <mergeCell ref="AB5984:AB5985"/>
    <mergeCell ref="A5986:A5987"/>
    <mergeCell ref="E5986:E5987"/>
    <mergeCell ref="H5986:H5987"/>
    <mergeCell ref="I5986:I5987"/>
    <mergeCell ref="J5986:J5987"/>
    <mergeCell ref="K5986:K5987"/>
    <mergeCell ref="L5986:L5987"/>
    <mergeCell ref="M5986:M5987"/>
    <mergeCell ref="N5986:N5987"/>
    <mergeCell ref="O5986:O5987"/>
    <mergeCell ref="X5986:X5987"/>
    <mergeCell ref="Y5986:Y5987"/>
    <mergeCell ref="Z5986:Z5987"/>
    <mergeCell ref="AA5986:AA5987"/>
    <mergeCell ref="AB5986:AB5987"/>
    <mergeCell ref="O5984:O5985"/>
    <mergeCell ref="X5984:X5985"/>
    <mergeCell ref="Y5984:Y5985"/>
    <mergeCell ref="Z5984:Z5985"/>
    <mergeCell ref="AA5984:AA5985"/>
    <mergeCell ref="AB5980:AB5981"/>
    <mergeCell ref="A5974:A5975"/>
    <mergeCell ref="E5974:E5975"/>
    <mergeCell ref="H5974:H5975"/>
    <mergeCell ref="I5974:I5975"/>
    <mergeCell ref="J5974:J5975"/>
    <mergeCell ref="K5974:K5975"/>
    <mergeCell ref="L5974:L5975"/>
    <mergeCell ref="M5974:M5975"/>
    <mergeCell ref="N5974:N5975"/>
    <mergeCell ref="O5974:O5975"/>
    <mergeCell ref="X5974:X5975"/>
    <mergeCell ref="Y5974:Y5975"/>
    <mergeCell ref="Z5974:Z5975"/>
    <mergeCell ref="AA5974:AA5975"/>
    <mergeCell ref="AB5974:AB5975"/>
    <mergeCell ref="A5976:A5977"/>
    <mergeCell ref="E5976:E5977"/>
    <mergeCell ref="H5976:H5977"/>
    <mergeCell ref="I5976:I5977"/>
    <mergeCell ref="J5976:J5977"/>
    <mergeCell ref="K5976:K5977"/>
    <mergeCell ref="L5976:L5977"/>
    <mergeCell ref="M5976:M5977"/>
    <mergeCell ref="N5976:N5977"/>
    <mergeCell ref="O5976:O5977"/>
    <mergeCell ref="X5976:X5977"/>
    <mergeCell ref="Y5976:Y5977"/>
    <mergeCell ref="Z5976:Z5977"/>
    <mergeCell ref="AA5976:AA5977"/>
    <mergeCell ref="AB5976:AB5977"/>
    <mergeCell ref="A5970:A5971"/>
    <mergeCell ref="E5970:E5971"/>
    <mergeCell ref="H5970:H5971"/>
    <mergeCell ref="I5970:I5971"/>
    <mergeCell ref="J5970:J5971"/>
    <mergeCell ref="K5970:K5971"/>
    <mergeCell ref="L5970:L5971"/>
    <mergeCell ref="M5970:M5971"/>
    <mergeCell ref="N5970:N5971"/>
    <mergeCell ref="O5970:O5971"/>
    <mergeCell ref="X5970:X5971"/>
    <mergeCell ref="Y5970:Y5971"/>
    <mergeCell ref="Z5970:Z5971"/>
    <mergeCell ref="AA5970:AA5971"/>
    <mergeCell ref="AB5970:AB5971"/>
    <mergeCell ref="A5972:A5973"/>
    <mergeCell ref="E5972:E5973"/>
    <mergeCell ref="H5972:H5973"/>
    <mergeCell ref="I5972:I5973"/>
    <mergeCell ref="J5972:J5973"/>
    <mergeCell ref="K5972:K5973"/>
    <mergeCell ref="L5972:L5973"/>
    <mergeCell ref="M5972:M5973"/>
    <mergeCell ref="N5972:N5973"/>
    <mergeCell ref="O5972:O5973"/>
    <mergeCell ref="X5972:X5973"/>
    <mergeCell ref="Y5972:Y5973"/>
    <mergeCell ref="Z5972:Z5973"/>
    <mergeCell ref="AA5972:AA5973"/>
    <mergeCell ref="AB5972:AB5973"/>
    <mergeCell ref="A5978:A5979"/>
    <mergeCell ref="E5978:E5979"/>
    <mergeCell ref="H5978:H5979"/>
    <mergeCell ref="A5966:A5967"/>
    <mergeCell ref="E5966:E5967"/>
    <mergeCell ref="H5966:H5967"/>
    <mergeCell ref="I5966:I5967"/>
    <mergeCell ref="J5966:J5967"/>
    <mergeCell ref="K5966:K5967"/>
    <mergeCell ref="L5966:L5967"/>
    <mergeCell ref="M5966:M5967"/>
    <mergeCell ref="N5966:N5967"/>
    <mergeCell ref="O5966:O5967"/>
    <mergeCell ref="X5966:X5967"/>
    <mergeCell ref="Y5966:Y5967"/>
    <mergeCell ref="Z5966:Z5967"/>
    <mergeCell ref="AA5966:AA5967"/>
    <mergeCell ref="AB5966:AB5967"/>
    <mergeCell ref="A5968:A5969"/>
    <mergeCell ref="E5968:E5969"/>
    <mergeCell ref="H5968:H5969"/>
    <mergeCell ref="I5968:I5969"/>
    <mergeCell ref="J5968:J5969"/>
    <mergeCell ref="K5968:K5969"/>
    <mergeCell ref="L5968:L5969"/>
    <mergeCell ref="M5968:M5969"/>
    <mergeCell ref="N5968:N5969"/>
    <mergeCell ref="O5968:O5969"/>
    <mergeCell ref="X5968:X5969"/>
    <mergeCell ref="Y5968:Y5969"/>
    <mergeCell ref="Z5968:Z5969"/>
    <mergeCell ref="AA5968:AA5969"/>
    <mergeCell ref="AB5968:AB5969"/>
    <mergeCell ref="A5962:A5963"/>
    <mergeCell ref="E5962:E5963"/>
    <mergeCell ref="H5962:H5963"/>
    <mergeCell ref="I5962:I5963"/>
    <mergeCell ref="J5962:J5963"/>
    <mergeCell ref="K5962:K5963"/>
    <mergeCell ref="L5962:L5963"/>
    <mergeCell ref="M5962:M5963"/>
    <mergeCell ref="N5962:N5963"/>
    <mergeCell ref="O5962:O5963"/>
    <mergeCell ref="X5962:X5963"/>
    <mergeCell ref="Y5962:Y5963"/>
    <mergeCell ref="Z5962:Z5963"/>
    <mergeCell ref="AA5962:AA5963"/>
    <mergeCell ref="AB5962:AB5963"/>
    <mergeCell ref="A5964:A5965"/>
    <mergeCell ref="E5964:E5965"/>
    <mergeCell ref="H5964:H5965"/>
    <mergeCell ref="I5964:I5965"/>
    <mergeCell ref="J5964:J5965"/>
    <mergeCell ref="K5964:K5965"/>
    <mergeCell ref="L5964:L5965"/>
    <mergeCell ref="M5964:M5965"/>
    <mergeCell ref="N5964:N5965"/>
    <mergeCell ref="O5964:O5965"/>
    <mergeCell ref="X5964:X5965"/>
    <mergeCell ref="Y5964:Y5965"/>
    <mergeCell ref="Z5964:Z5965"/>
    <mergeCell ref="AA5964:AA5965"/>
    <mergeCell ref="AB5964:AB5965"/>
    <mergeCell ref="A5958:A5959"/>
    <mergeCell ref="E5958:E5959"/>
    <mergeCell ref="H5958:H5959"/>
    <mergeCell ref="I5958:I5959"/>
    <mergeCell ref="J5958:J5959"/>
    <mergeCell ref="K5958:K5959"/>
    <mergeCell ref="L5958:L5959"/>
    <mergeCell ref="M5958:M5959"/>
    <mergeCell ref="N5958:N5959"/>
    <mergeCell ref="O5958:O5959"/>
    <mergeCell ref="X5958:X5959"/>
    <mergeCell ref="Y5958:Y5959"/>
    <mergeCell ref="Z5958:Z5959"/>
    <mergeCell ref="AA5958:AA5959"/>
    <mergeCell ref="AB5958:AB5959"/>
    <mergeCell ref="A5960:A5961"/>
    <mergeCell ref="E5960:E5961"/>
    <mergeCell ref="H5960:H5961"/>
    <mergeCell ref="I5960:I5961"/>
    <mergeCell ref="J5960:J5961"/>
    <mergeCell ref="K5960:K5961"/>
    <mergeCell ref="L5960:L5961"/>
    <mergeCell ref="M5960:M5961"/>
    <mergeCell ref="N5960:N5961"/>
    <mergeCell ref="O5960:O5961"/>
    <mergeCell ref="X5960:X5961"/>
    <mergeCell ref="Y5960:Y5961"/>
    <mergeCell ref="Z5960:Z5961"/>
    <mergeCell ref="AA5960:AA5961"/>
    <mergeCell ref="AB5960:AB5961"/>
    <mergeCell ref="A5954:A5955"/>
    <mergeCell ref="E5954:E5955"/>
    <mergeCell ref="H5954:H5955"/>
    <mergeCell ref="I5954:I5955"/>
    <mergeCell ref="J5954:J5955"/>
    <mergeCell ref="K5954:K5955"/>
    <mergeCell ref="L5954:L5955"/>
    <mergeCell ref="M5954:M5955"/>
    <mergeCell ref="N5954:N5955"/>
    <mergeCell ref="O5954:O5955"/>
    <mergeCell ref="X5954:X5955"/>
    <mergeCell ref="Y5954:Y5955"/>
    <mergeCell ref="Z5954:Z5955"/>
    <mergeCell ref="AA5954:AA5955"/>
    <mergeCell ref="AB5954:AB5955"/>
    <mergeCell ref="A5956:A5957"/>
    <mergeCell ref="E5956:E5957"/>
    <mergeCell ref="H5956:H5957"/>
    <mergeCell ref="I5956:I5957"/>
    <mergeCell ref="J5956:J5957"/>
    <mergeCell ref="K5956:K5957"/>
    <mergeCell ref="L5956:L5957"/>
    <mergeCell ref="M5956:M5957"/>
    <mergeCell ref="N5956:N5957"/>
    <mergeCell ref="O5956:O5957"/>
    <mergeCell ref="X5956:X5957"/>
    <mergeCell ref="Y5956:Y5957"/>
    <mergeCell ref="Z5956:Z5957"/>
    <mergeCell ref="AA5956:AA5957"/>
    <mergeCell ref="AB5956:AB5957"/>
    <mergeCell ref="A5950:A5951"/>
    <mergeCell ref="E5950:E5951"/>
    <mergeCell ref="H5950:H5951"/>
    <mergeCell ref="I5950:I5951"/>
    <mergeCell ref="J5950:J5951"/>
    <mergeCell ref="K5950:K5951"/>
    <mergeCell ref="L5950:L5951"/>
    <mergeCell ref="M5950:M5951"/>
    <mergeCell ref="N5950:N5951"/>
    <mergeCell ref="O5950:O5951"/>
    <mergeCell ref="X5950:X5951"/>
    <mergeCell ref="Y5950:Y5951"/>
    <mergeCell ref="Z5950:Z5951"/>
    <mergeCell ref="AA5950:AA5951"/>
    <mergeCell ref="AB5950:AB5951"/>
    <mergeCell ref="A5952:A5953"/>
    <mergeCell ref="E5952:E5953"/>
    <mergeCell ref="H5952:H5953"/>
    <mergeCell ref="I5952:I5953"/>
    <mergeCell ref="J5952:J5953"/>
    <mergeCell ref="K5952:K5953"/>
    <mergeCell ref="L5952:L5953"/>
    <mergeCell ref="M5952:M5953"/>
    <mergeCell ref="N5952:N5953"/>
    <mergeCell ref="O5952:O5953"/>
    <mergeCell ref="X5952:X5953"/>
    <mergeCell ref="Y5952:Y5953"/>
    <mergeCell ref="Z5952:Z5953"/>
    <mergeCell ref="AA5952:AA5953"/>
    <mergeCell ref="AB5952:AB5953"/>
    <mergeCell ref="A5946:A5947"/>
    <mergeCell ref="E5946:E5947"/>
    <mergeCell ref="H5946:H5947"/>
    <mergeCell ref="I5946:I5947"/>
    <mergeCell ref="J5946:J5947"/>
    <mergeCell ref="K5946:K5947"/>
    <mergeCell ref="L5946:L5947"/>
    <mergeCell ref="M5946:M5947"/>
    <mergeCell ref="N5946:N5947"/>
    <mergeCell ref="O5946:O5947"/>
    <mergeCell ref="X5946:X5947"/>
    <mergeCell ref="Y5946:Y5947"/>
    <mergeCell ref="Z5946:Z5947"/>
    <mergeCell ref="AA5946:AA5947"/>
    <mergeCell ref="AB5946:AB5947"/>
    <mergeCell ref="A5948:A5949"/>
    <mergeCell ref="E5948:E5949"/>
    <mergeCell ref="H5948:H5949"/>
    <mergeCell ref="I5948:I5949"/>
    <mergeCell ref="J5948:J5949"/>
    <mergeCell ref="K5948:K5949"/>
    <mergeCell ref="L5948:L5949"/>
    <mergeCell ref="M5948:M5949"/>
    <mergeCell ref="N5948:N5949"/>
    <mergeCell ref="O5948:O5949"/>
    <mergeCell ref="X5948:X5949"/>
    <mergeCell ref="Y5948:Y5949"/>
    <mergeCell ref="Z5948:Z5949"/>
    <mergeCell ref="AA5948:AA5949"/>
    <mergeCell ref="AB5948:AB5949"/>
    <mergeCell ref="A5942:A5943"/>
    <mergeCell ref="E5942:E5943"/>
    <mergeCell ref="H5942:H5943"/>
    <mergeCell ref="I5942:I5943"/>
    <mergeCell ref="J5942:J5943"/>
    <mergeCell ref="K5942:K5943"/>
    <mergeCell ref="L5942:L5943"/>
    <mergeCell ref="M5942:M5943"/>
    <mergeCell ref="N5942:N5943"/>
    <mergeCell ref="O5942:O5943"/>
    <mergeCell ref="X5942:X5943"/>
    <mergeCell ref="Y5942:Y5943"/>
    <mergeCell ref="Z5942:Z5943"/>
    <mergeCell ref="AA5942:AA5943"/>
    <mergeCell ref="AB5942:AB5943"/>
    <mergeCell ref="A5944:A5945"/>
    <mergeCell ref="E5944:E5945"/>
    <mergeCell ref="H5944:H5945"/>
    <mergeCell ref="I5944:I5945"/>
    <mergeCell ref="J5944:J5945"/>
    <mergeCell ref="K5944:K5945"/>
    <mergeCell ref="L5944:L5945"/>
    <mergeCell ref="M5944:M5945"/>
    <mergeCell ref="N5944:N5945"/>
    <mergeCell ref="O5944:O5945"/>
    <mergeCell ref="X5944:X5945"/>
    <mergeCell ref="Y5944:Y5945"/>
    <mergeCell ref="Z5944:Z5945"/>
    <mergeCell ref="AA5944:AA5945"/>
    <mergeCell ref="AB5944:AB5945"/>
    <mergeCell ref="A5938:A5939"/>
    <mergeCell ref="E5938:E5939"/>
    <mergeCell ref="H5938:H5939"/>
    <mergeCell ref="I5938:I5939"/>
    <mergeCell ref="J5938:J5939"/>
    <mergeCell ref="K5938:K5939"/>
    <mergeCell ref="L5938:L5939"/>
    <mergeCell ref="M5938:M5939"/>
    <mergeCell ref="N5938:N5939"/>
    <mergeCell ref="O5938:O5939"/>
    <mergeCell ref="X5938:X5939"/>
    <mergeCell ref="Y5938:Y5939"/>
    <mergeCell ref="Z5938:Z5939"/>
    <mergeCell ref="AA5938:AA5939"/>
    <mergeCell ref="AB5938:AB5939"/>
    <mergeCell ref="A5940:A5941"/>
    <mergeCell ref="E5940:E5941"/>
    <mergeCell ref="H5940:H5941"/>
    <mergeCell ref="I5940:I5941"/>
    <mergeCell ref="J5940:J5941"/>
    <mergeCell ref="K5940:K5941"/>
    <mergeCell ref="L5940:L5941"/>
    <mergeCell ref="M5940:M5941"/>
    <mergeCell ref="N5940:N5941"/>
    <mergeCell ref="O5940:O5941"/>
    <mergeCell ref="X5940:X5941"/>
    <mergeCell ref="Y5940:Y5941"/>
    <mergeCell ref="Z5940:Z5941"/>
    <mergeCell ref="AA5940:AA5941"/>
    <mergeCell ref="AB5940:AB5941"/>
    <mergeCell ref="A5934:A5935"/>
    <mergeCell ref="E5934:E5935"/>
    <mergeCell ref="H5934:H5935"/>
    <mergeCell ref="I5934:I5935"/>
    <mergeCell ref="J5934:J5935"/>
    <mergeCell ref="K5934:K5935"/>
    <mergeCell ref="L5934:L5935"/>
    <mergeCell ref="M5934:M5935"/>
    <mergeCell ref="N5934:N5935"/>
    <mergeCell ref="O5934:O5935"/>
    <mergeCell ref="X5934:X5935"/>
    <mergeCell ref="Y5934:Y5935"/>
    <mergeCell ref="Z5934:Z5935"/>
    <mergeCell ref="AA5934:AA5935"/>
    <mergeCell ref="AB5934:AB5935"/>
    <mergeCell ref="A5936:A5937"/>
    <mergeCell ref="E5936:E5937"/>
    <mergeCell ref="H5936:H5937"/>
    <mergeCell ref="I5936:I5937"/>
    <mergeCell ref="J5936:J5937"/>
    <mergeCell ref="K5936:K5937"/>
    <mergeCell ref="L5936:L5937"/>
    <mergeCell ref="M5936:M5937"/>
    <mergeCell ref="N5936:N5937"/>
    <mergeCell ref="O5936:O5937"/>
    <mergeCell ref="X5936:X5937"/>
    <mergeCell ref="Y5936:Y5937"/>
    <mergeCell ref="Z5936:Z5937"/>
    <mergeCell ref="AA5936:AA5937"/>
    <mergeCell ref="AB5936:AB5937"/>
    <mergeCell ref="A5930:A5931"/>
    <mergeCell ref="E5930:E5931"/>
    <mergeCell ref="H5930:H5931"/>
    <mergeCell ref="I5930:I5931"/>
    <mergeCell ref="J5930:J5931"/>
    <mergeCell ref="K5930:K5931"/>
    <mergeCell ref="L5930:L5931"/>
    <mergeCell ref="M5930:M5931"/>
    <mergeCell ref="N5930:N5931"/>
    <mergeCell ref="O5930:O5931"/>
    <mergeCell ref="X5930:X5931"/>
    <mergeCell ref="Y5930:Y5931"/>
    <mergeCell ref="Z5930:Z5931"/>
    <mergeCell ref="AA5930:AA5931"/>
    <mergeCell ref="AB5930:AB5931"/>
    <mergeCell ref="A5932:A5933"/>
    <mergeCell ref="E5932:E5933"/>
    <mergeCell ref="H5932:H5933"/>
    <mergeCell ref="I5932:I5933"/>
    <mergeCell ref="J5932:J5933"/>
    <mergeCell ref="K5932:K5933"/>
    <mergeCell ref="L5932:L5933"/>
    <mergeCell ref="M5932:M5933"/>
    <mergeCell ref="N5932:N5933"/>
    <mergeCell ref="O5932:O5933"/>
    <mergeCell ref="X5932:X5933"/>
    <mergeCell ref="Y5932:Y5933"/>
    <mergeCell ref="Z5932:Z5933"/>
    <mergeCell ref="AA5932:AA5933"/>
    <mergeCell ref="AB5932:AB5933"/>
    <mergeCell ref="A5926:A5927"/>
    <mergeCell ref="E5926:E5927"/>
    <mergeCell ref="H5926:H5927"/>
    <mergeCell ref="I5926:I5927"/>
    <mergeCell ref="J5926:J5927"/>
    <mergeCell ref="K5926:K5927"/>
    <mergeCell ref="L5926:L5927"/>
    <mergeCell ref="M5926:M5927"/>
    <mergeCell ref="N5926:N5927"/>
    <mergeCell ref="O5926:O5927"/>
    <mergeCell ref="X5926:X5927"/>
    <mergeCell ref="Y5926:Y5927"/>
    <mergeCell ref="Z5926:Z5927"/>
    <mergeCell ref="AA5926:AA5927"/>
    <mergeCell ref="AB5926:AB5927"/>
    <mergeCell ref="A5928:A5929"/>
    <mergeCell ref="E5928:E5929"/>
    <mergeCell ref="H5928:H5929"/>
    <mergeCell ref="I5928:I5929"/>
    <mergeCell ref="J5928:J5929"/>
    <mergeCell ref="K5928:K5929"/>
    <mergeCell ref="L5928:L5929"/>
    <mergeCell ref="M5928:M5929"/>
    <mergeCell ref="N5928:N5929"/>
    <mergeCell ref="O5928:O5929"/>
    <mergeCell ref="X5928:X5929"/>
    <mergeCell ref="Y5928:Y5929"/>
    <mergeCell ref="Z5928:Z5929"/>
    <mergeCell ref="AA5928:AA5929"/>
    <mergeCell ref="AB5928:AB5929"/>
    <mergeCell ref="A5922:A5923"/>
    <mergeCell ref="E5922:E5923"/>
    <mergeCell ref="H5922:H5923"/>
    <mergeCell ref="I5922:I5923"/>
    <mergeCell ref="J5922:J5923"/>
    <mergeCell ref="K5922:K5923"/>
    <mergeCell ref="L5922:L5923"/>
    <mergeCell ref="M5922:M5923"/>
    <mergeCell ref="N5922:N5923"/>
    <mergeCell ref="O5922:O5923"/>
    <mergeCell ref="X5922:X5923"/>
    <mergeCell ref="Y5922:Y5923"/>
    <mergeCell ref="Z5922:Z5923"/>
    <mergeCell ref="AA5922:AA5923"/>
    <mergeCell ref="AB5922:AB5923"/>
    <mergeCell ref="A5924:A5925"/>
    <mergeCell ref="E5924:E5925"/>
    <mergeCell ref="H5924:H5925"/>
    <mergeCell ref="I5924:I5925"/>
    <mergeCell ref="J5924:J5925"/>
    <mergeCell ref="K5924:K5925"/>
    <mergeCell ref="L5924:L5925"/>
    <mergeCell ref="M5924:M5925"/>
    <mergeCell ref="N5924:N5925"/>
    <mergeCell ref="O5924:O5925"/>
    <mergeCell ref="X5924:X5925"/>
    <mergeCell ref="Y5924:Y5925"/>
    <mergeCell ref="Z5924:Z5925"/>
    <mergeCell ref="AA5924:AA5925"/>
    <mergeCell ref="AB5924:AB5925"/>
    <mergeCell ref="A5918:A5919"/>
    <mergeCell ref="E5918:E5919"/>
    <mergeCell ref="H5918:H5919"/>
    <mergeCell ref="I5918:I5919"/>
    <mergeCell ref="J5918:J5919"/>
    <mergeCell ref="K5918:K5919"/>
    <mergeCell ref="L5918:L5919"/>
    <mergeCell ref="M5918:M5919"/>
    <mergeCell ref="N5918:N5919"/>
    <mergeCell ref="O5918:O5919"/>
    <mergeCell ref="X5918:X5919"/>
    <mergeCell ref="Y5918:Y5919"/>
    <mergeCell ref="Z5918:Z5919"/>
    <mergeCell ref="AA5918:AA5919"/>
    <mergeCell ref="AB5918:AB5919"/>
    <mergeCell ref="A5920:A5921"/>
    <mergeCell ref="E5920:E5921"/>
    <mergeCell ref="H5920:H5921"/>
    <mergeCell ref="I5920:I5921"/>
    <mergeCell ref="J5920:J5921"/>
    <mergeCell ref="K5920:K5921"/>
    <mergeCell ref="L5920:L5921"/>
    <mergeCell ref="M5920:M5921"/>
    <mergeCell ref="N5920:N5921"/>
    <mergeCell ref="O5920:O5921"/>
    <mergeCell ref="X5920:X5921"/>
    <mergeCell ref="Y5920:Y5921"/>
    <mergeCell ref="Z5920:Z5921"/>
    <mergeCell ref="AA5920:AA5921"/>
    <mergeCell ref="AB5920:AB5921"/>
    <mergeCell ref="A5914:A5915"/>
    <mergeCell ref="E5914:E5915"/>
    <mergeCell ref="H5914:H5915"/>
    <mergeCell ref="I5914:I5915"/>
    <mergeCell ref="J5914:J5915"/>
    <mergeCell ref="K5914:K5915"/>
    <mergeCell ref="L5914:L5915"/>
    <mergeCell ref="M5914:M5915"/>
    <mergeCell ref="N5914:N5915"/>
    <mergeCell ref="O5914:O5915"/>
    <mergeCell ref="X5914:X5915"/>
    <mergeCell ref="Y5914:Y5915"/>
    <mergeCell ref="Z5914:Z5915"/>
    <mergeCell ref="AA5914:AA5915"/>
    <mergeCell ref="AB5914:AB5915"/>
    <mergeCell ref="A5916:A5917"/>
    <mergeCell ref="E5916:E5917"/>
    <mergeCell ref="H5916:H5917"/>
    <mergeCell ref="I5916:I5917"/>
    <mergeCell ref="J5916:J5917"/>
    <mergeCell ref="K5916:K5917"/>
    <mergeCell ref="L5916:L5917"/>
    <mergeCell ref="M5916:M5917"/>
    <mergeCell ref="N5916:N5917"/>
    <mergeCell ref="O5916:O5917"/>
    <mergeCell ref="X5916:X5917"/>
    <mergeCell ref="Y5916:Y5917"/>
    <mergeCell ref="Z5916:Z5917"/>
    <mergeCell ref="AA5916:AA5917"/>
    <mergeCell ref="AB5916:AB5917"/>
    <mergeCell ref="A5910:A5911"/>
    <mergeCell ref="E5910:E5911"/>
    <mergeCell ref="H5910:H5911"/>
    <mergeCell ref="I5910:I5911"/>
    <mergeCell ref="J5910:J5911"/>
    <mergeCell ref="K5910:K5911"/>
    <mergeCell ref="L5910:L5911"/>
    <mergeCell ref="M5910:M5911"/>
    <mergeCell ref="N5910:N5911"/>
    <mergeCell ref="O5910:O5911"/>
    <mergeCell ref="X5910:X5911"/>
    <mergeCell ref="Y5910:Y5911"/>
    <mergeCell ref="Z5910:Z5911"/>
    <mergeCell ref="AA5910:AA5911"/>
    <mergeCell ref="AB5910:AB5911"/>
    <mergeCell ref="A5912:A5913"/>
    <mergeCell ref="E5912:E5913"/>
    <mergeCell ref="H5912:H5913"/>
    <mergeCell ref="I5912:I5913"/>
    <mergeCell ref="J5912:J5913"/>
    <mergeCell ref="K5912:K5913"/>
    <mergeCell ref="L5912:L5913"/>
    <mergeCell ref="M5912:M5913"/>
    <mergeCell ref="N5912:N5913"/>
    <mergeCell ref="O5912:O5913"/>
    <mergeCell ref="X5912:X5913"/>
    <mergeCell ref="Y5912:Y5913"/>
    <mergeCell ref="Z5912:Z5913"/>
    <mergeCell ref="AA5912:AA5913"/>
    <mergeCell ref="AB5912:AB5913"/>
    <mergeCell ref="A5906:A5907"/>
    <mergeCell ref="E5906:E5907"/>
    <mergeCell ref="H5906:H5907"/>
    <mergeCell ref="I5906:I5907"/>
    <mergeCell ref="J5906:J5907"/>
    <mergeCell ref="K5906:K5907"/>
    <mergeCell ref="L5906:L5907"/>
    <mergeCell ref="M5906:M5907"/>
    <mergeCell ref="N5906:N5907"/>
    <mergeCell ref="O5906:O5907"/>
    <mergeCell ref="X5906:X5907"/>
    <mergeCell ref="Y5906:Y5907"/>
    <mergeCell ref="Z5906:Z5907"/>
    <mergeCell ref="AA5906:AA5907"/>
    <mergeCell ref="AB5906:AB5907"/>
    <mergeCell ref="A5908:A5909"/>
    <mergeCell ref="E5908:E5909"/>
    <mergeCell ref="H5908:H5909"/>
    <mergeCell ref="I5908:I5909"/>
    <mergeCell ref="J5908:J5909"/>
    <mergeCell ref="K5908:K5909"/>
    <mergeCell ref="L5908:L5909"/>
    <mergeCell ref="M5908:M5909"/>
    <mergeCell ref="N5908:N5909"/>
    <mergeCell ref="O5908:O5909"/>
    <mergeCell ref="X5908:X5909"/>
    <mergeCell ref="Y5908:Y5909"/>
    <mergeCell ref="Z5908:Z5909"/>
    <mergeCell ref="AA5908:AA5909"/>
    <mergeCell ref="AB5908:AB5909"/>
    <mergeCell ref="A5902:A5903"/>
    <mergeCell ref="E5902:E5903"/>
    <mergeCell ref="H5902:H5903"/>
    <mergeCell ref="I5902:I5903"/>
    <mergeCell ref="J5902:J5903"/>
    <mergeCell ref="K5902:K5903"/>
    <mergeCell ref="L5902:L5903"/>
    <mergeCell ref="M5902:M5903"/>
    <mergeCell ref="N5902:N5903"/>
    <mergeCell ref="O5902:O5903"/>
    <mergeCell ref="X5902:X5903"/>
    <mergeCell ref="Y5902:Y5903"/>
    <mergeCell ref="Z5902:Z5903"/>
    <mergeCell ref="AA5902:AA5903"/>
    <mergeCell ref="AB5902:AB5903"/>
    <mergeCell ref="A5904:A5905"/>
    <mergeCell ref="E5904:E5905"/>
    <mergeCell ref="H5904:H5905"/>
    <mergeCell ref="I5904:I5905"/>
    <mergeCell ref="J5904:J5905"/>
    <mergeCell ref="K5904:K5905"/>
    <mergeCell ref="L5904:L5905"/>
    <mergeCell ref="M5904:M5905"/>
    <mergeCell ref="N5904:N5905"/>
    <mergeCell ref="O5904:O5905"/>
    <mergeCell ref="X5904:X5905"/>
    <mergeCell ref="Y5904:Y5905"/>
    <mergeCell ref="Z5904:Z5905"/>
    <mergeCell ref="AA5904:AA5905"/>
    <mergeCell ref="AB5904:AB5905"/>
    <mergeCell ref="A5898:A5899"/>
    <mergeCell ref="E5898:E5899"/>
    <mergeCell ref="H5898:H5899"/>
    <mergeCell ref="I5898:I5899"/>
    <mergeCell ref="J5898:J5899"/>
    <mergeCell ref="K5898:K5899"/>
    <mergeCell ref="L5898:L5899"/>
    <mergeCell ref="M5898:M5899"/>
    <mergeCell ref="N5898:N5899"/>
    <mergeCell ref="O5898:O5899"/>
    <mergeCell ref="X5898:X5899"/>
    <mergeCell ref="Y5898:Y5899"/>
    <mergeCell ref="Z5898:Z5899"/>
    <mergeCell ref="AA5898:AA5899"/>
    <mergeCell ref="AB5898:AB5899"/>
    <mergeCell ref="A5900:A5901"/>
    <mergeCell ref="E5900:E5901"/>
    <mergeCell ref="H5900:H5901"/>
    <mergeCell ref="I5900:I5901"/>
    <mergeCell ref="J5900:J5901"/>
    <mergeCell ref="K5900:K5901"/>
    <mergeCell ref="L5900:L5901"/>
    <mergeCell ref="M5900:M5901"/>
    <mergeCell ref="N5900:N5901"/>
    <mergeCell ref="O5900:O5901"/>
    <mergeCell ref="X5900:X5901"/>
    <mergeCell ref="Y5900:Y5901"/>
    <mergeCell ref="Z5900:Z5901"/>
    <mergeCell ref="AA5900:AA5901"/>
    <mergeCell ref="AB5900:AB5901"/>
    <mergeCell ref="A5894:A5895"/>
    <mergeCell ref="E5894:E5895"/>
    <mergeCell ref="H5894:H5895"/>
    <mergeCell ref="I5894:I5895"/>
    <mergeCell ref="J5894:J5895"/>
    <mergeCell ref="K5894:K5895"/>
    <mergeCell ref="L5894:L5895"/>
    <mergeCell ref="M5894:M5895"/>
    <mergeCell ref="N5894:N5895"/>
    <mergeCell ref="O5894:O5895"/>
    <mergeCell ref="X5894:X5895"/>
    <mergeCell ref="Y5894:Y5895"/>
    <mergeCell ref="Z5894:Z5895"/>
    <mergeCell ref="AA5894:AA5895"/>
    <mergeCell ref="AB5894:AB5895"/>
    <mergeCell ref="A5896:A5897"/>
    <mergeCell ref="E5896:E5897"/>
    <mergeCell ref="H5896:H5897"/>
    <mergeCell ref="I5896:I5897"/>
    <mergeCell ref="J5896:J5897"/>
    <mergeCell ref="K5896:K5897"/>
    <mergeCell ref="L5896:L5897"/>
    <mergeCell ref="M5896:M5897"/>
    <mergeCell ref="N5896:N5897"/>
    <mergeCell ref="O5896:O5897"/>
    <mergeCell ref="X5896:X5897"/>
    <mergeCell ref="Y5896:Y5897"/>
    <mergeCell ref="Z5896:Z5897"/>
    <mergeCell ref="AA5896:AA5897"/>
    <mergeCell ref="AB5896:AB5897"/>
    <mergeCell ref="A5890:A5891"/>
    <mergeCell ref="E5890:E5891"/>
    <mergeCell ref="H5890:H5891"/>
    <mergeCell ref="I5890:I5891"/>
    <mergeCell ref="J5890:J5891"/>
    <mergeCell ref="K5890:K5891"/>
    <mergeCell ref="L5890:L5891"/>
    <mergeCell ref="M5890:M5891"/>
    <mergeCell ref="N5890:N5891"/>
    <mergeCell ref="O5890:O5891"/>
    <mergeCell ref="X5890:X5891"/>
    <mergeCell ref="Y5890:Y5891"/>
    <mergeCell ref="Z5890:Z5891"/>
    <mergeCell ref="AA5890:AA5891"/>
    <mergeCell ref="AB5890:AB5891"/>
    <mergeCell ref="A5892:A5893"/>
    <mergeCell ref="E5892:E5893"/>
    <mergeCell ref="H5892:H5893"/>
    <mergeCell ref="I5892:I5893"/>
    <mergeCell ref="J5892:J5893"/>
    <mergeCell ref="K5892:K5893"/>
    <mergeCell ref="L5892:L5893"/>
    <mergeCell ref="M5892:M5893"/>
    <mergeCell ref="N5892:N5893"/>
    <mergeCell ref="O5892:O5893"/>
    <mergeCell ref="X5892:X5893"/>
    <mergeCell ref="Y5892:Y5893"/>
    <mergeCell ref="Z5892:Z5893"/>
    <mergeCell ref="AA5892:AA5893"/>
    <mergeCell ref="AB5892:AB5893"/>
    <mergeCell ref="A5886:A5887"/>
    <mergeCell ref="E5886:E5887"/>
    <mergeCell ref="H5886:H5887"/>
    <mergeCell ref="I5886:I5887"/>
    <mergeCell ref="J5886:J5887"/>
    <mergeCell ref="K5886:K5887"/>
    <mergeCell ref="L5886:L5887"/>
    <mergeCell ref="M5886:M5887"/>
    <mergeCell ref="N5886:N5887"/>
    <mergeCell ref="O5886:O5887"/>
    <mergeCell ref="X5886:X5887"/>
    <mergeCell ref="Y5886:Y5887"/>
    <mergeCell ref="Z5886:Z5887"/>
    <mergeCell ref="AA5886:AA5887"/>
    <mergeCell ref="AB5886:AB5887"/>
    <mergeCell ref="A5888:A5889"/>
    <mergeCell ref="E5888:E5889"/>
    <mergeCell ref="H5888:H5889"/>
    <mergeCell ref="I5888:I5889"/>
    <mergeCell ref="J5888:J5889"/>
    <mergeCell ref="K5888:K5889"/>
    <mergeCell ref="L5888:L5889"/>
    <mergeCell ref="M5888:M5889"/>
    <mergeCell ref="N5888:N5889"/>
    <mergeCell ref="O5888:O5889"/>
    <mergeCell ref="X5888:X5889"/>
    <mergeCell ref="Y5888:Y5889"/>
    <mergeCell ref="Z5888:Z5889"/>
    <mergeCell ref="AA5888:AA5889"/>
    <mergeCell ref="AB5888:AB5889"/>
    <mergeCell ref="A5882:A5883"/>
    <mergeCell ref="E5882:E5883"/>
    <mergeCell ref="H5882:H5883"/>
    <mergeCell ref="I5882:I5883"/>
    <mergeCell ref="J5882:J5883"/>
    <mergeCell ref="K5882:K5883"/>
    <mergeCell ref="L5882:L5883"/>
    <mergeCell ref="M5882:M5883"/>
    <mergeCell ref="N5882:N5883"/>
    <mergeCell ref="O5882:O5883"/>
    <mergeCell ref="X5882:X5883"/>
    <mergeCell ref="Y5882:Y5883"/>
    <mergeCell ref="Z5882:Z5883"/>
    <mergeCell ref="AA5882:AA5883"/>
    <mergeCell ref="AB5882:AB5883"/>
    <mergeCell ref="A5884:A5885"/>
    <mergeCell ref="E5884:E5885"/>
    <mergeCell ref="H5884:H5885"/>
    <mergeCell ref="I5884:I5885"/>
    <mergeCell ref="J5884:J5885"/>
    <mergeCell ref="K5884:K5885"/>
    <mergeCell ref="L5884:L5885"/>
    <mergeCell ref="M5884:M5885"/>
    <mergeCell ref="N5884:N5885"/>
    <mergeCell ref="O5884:O5885"/>
    <mergeCell ref="X5884:X5885"/>
    <mergeCell ref="Y5884:Y5885"/>
    <mergeCell ref="Z5884:Z5885"/>
    <mergeCell ref="AA5884:AA5885"/>
    <mergeCell ref="AB5884:AB5885"/>
    <mergeCell ref="A5878:A5879"/>
    <mergeCell ref="E5878:E5879"/>
    <mergeCell ref="H5878:H5879"/>
    <mergeCell ref="I5878:I5879"/>
    <mergeCell ref="J5878:J5879"/>
    <mergeCell ref="K5878:K5879"/>
    <mergeCell ref="L5878:L5879"/>
    <mergeCell ref="M5878:M5879"/>
    <mergeCell ref="N5878:N5879"/>
    <mergeCell ref="O5878:O5879"/>
    <mergeCell ref="X5878:X5879"/>
    <mergeCell ref="Y5878:Y5879"/>
    <mergeCell ref="Z5878:Z5879"/>
    <mergeCell ref="AA5878:AA5879"/>
    <mergeCell ref="AB5878:AB5879"/>
    <mergeCell ref="A5880:A5881"/>
    <mergeCell ref="E5880:E5881"/>
    <mergeCell ref="H5880:H5881"/>
    <mergeCell ref="I5880:I5881"/>
    <mergeCell ref="J5880:J5881"/>
    <mergeCell ref="K5880:K5881"/>
    <mergeCell ref="L5880:L5881"/>
    <mergeCell ref="M5880:M5881"/>
    <mergeCell ref="N5880:N5881"/>
    <mergeCell ref="O5880:O5881"/>
    <mergeCell ref="X5880:X5881"/>
    <mergeCell ref="Y5880:Y5881"/>
    <mergeCell ref="Z5880:Z5881"/>
    <mergeCell ref="AA5880:AA5881"/>
    <mergeCell ref="AB5880:AB5881"/>
    <mergeCell ref="A5874:A5875"/>
    <mergeCell ref="E5874:E5875"/>
    <mergeCell ref="H5874:H5875"/>
    <mergeCell ref="I5874:I5875"/>
    <mergeCell ref="J5874:J5875"/>
    <mergeCell ref="K5874:K5875"/>
    <mergeCell ref="L5874:L5875"/>
    <mergeCell ref="M5874:M5875"/>
    <mergeCell ref="N5874:N5875"/>
    <mergeCell ref="O5874:O5875"/>
    <mergeCell ref="X5874:X5875"/>
    <mergeCell ref="Y5874:Y5875"/>
    <mergeCell ref="Z5874:Z5875"/>
    <mergeCell ref="AA5874:AA5875"/>
    <mergeCell ref="AB5874:AB5875"/>
    <mergeCell ref="A5876:A5877"/>
    <mergeCell ref="E5876:E5877"/>
    <mergeCell ref="H5876:H5877"/>
    <mergeCell ref="I5876:I5877"/>
    <mergeCell ref="J5876:J5877"/>
    <mergeCell ref="K5876:K5877"/>
    <mergeCell ref="L5876:L5877"/>
    <mergeCell ref="M5876:M5877"/>
    <mergeCell ref="N5876:N5877"/>
    <mergeCell ref="O5876:O5877"/>
    <mergeCell ref="X5876:X5877"/>
    <mergeCell ref="Y5876:Y5877"/>
    <mergeCell ref="Z5876:Z5877"/>
    <mergeCell ref="AA5876:AA5877"/>
    <mergeCell ref="AB5876:AB5877"/>
    <mergeCell ref="A5870:A5871"/>
    <mergeCell ref="E5870:E5871"/>
    <mergeCell ref="H5870:H5871"/>
    <mergeCell ref="I5870:I5871"/>
    <mergeCell ref="J5870:J5871"/>
    <mergeCell ref="K5870:K5871"/>
    <mergeCell ref="L5870:L5871"/>
    <mergeCell ref="M5870:M5871"/>
    <mergeCell ref="N5870:N5871"/>
    <mergeCell ref="O5870:O5871"/>
    <mergeCell ref="X5870:X5871"/>
    <mergeCell ref="Y5870:Y5871"/>
    <mergeCell ref="Z5870:Z5871"/>
    <mergeCell ref="AA5870:AA5871"/>
    <mergeCell ref="AB5870:AB5871"/>
    <mergeCell ref="A5872:A5873"/>
    <mergeCell ref="E5872:E5873"/>
    <mergeCell ref="H5872:H5873"/>
    <mergeCell ref="I5872:I5873"/>
    <mergeCell ref="J5872:J5873"/>
    <mergeCell ref="K5872:K5873"/>
    <mergeCell ref="L5872:L5873"/>
    <mergeCell ref="M5872:M5873"/>
    <mergeCell ref="N5872:N5873"/>
    <mergeCell ref="O5872:O5873"/>
    <mergeCell ref="X5872:X5873"/>
    <mergeCell ref="Y5872:Y5873"/>
    <mergeCell ref="Z5872:Z5873"/>
    <mergeCell ref="AA5872:AA5873"/>
    <mergeCell ref="AB5872:AB5873"/>
    <mergeCell ref="A5866:A5867"/>
    <mergeCell ref="E5866:E5867"/>
    <mergeCell ref="H5866:H5867"/>
    <mergeCell ref="I5866:I5867"/>
    <mergeCell ref="J5866:J5867"/>
    <mergeCell ref="K5866:K5867"/>
    <mergeCell ref="L5866:L5867"/>
    <mergeCell ref="M5866:M5867"/>
    <mergeCell ref="N5866:N5867"/>
    <mergeCell ref="O5866:O5867"/>
    <mergeCell ref="X5866:X5867"/>
    <mergeCell ref="Y5866:Y5867"/>
    <mergeCell ref="Z5866:Z5867"/>
    <mergeCell ref="AA5866:AA5867"/>
    <mergeCell ref="AB5866:AB5867"/>
    <mergeCell ref="A5868:A5869"/>
    <mergeCell ref="E5868:E5869"/>
    <mergeCell ref="H5868:H5869"/>
    <mergeCell ref="I5868:I5869"/>
    <mergeCell ref="J5868:J5869"/>
    <mergeCell ref="K5868:K5869"/>
    <mergeCell ref="L5868:L5869"/>
    <mergeCell ref="M5868:M5869"/>
    <mergeCell ref="N5868:N5869"/>
    <mergeCell ref="O5868:O5869"/>
    <mergeCell ref="X5868:X5869"/>
    <mergeCell ref="Y5868:Y5869"/>
    <mergeCell ref="Z5868:Z5869"/>
    <mergeCell ref="AA5868:AA5869"/>
    <mergeCell ref="AB5868:AB5869"/>
    <mergeCell ref="A5862:A5863"/>
    <mergeCell ref="E5862:E5863"/>
    <mergeCell ref="H5862:H5863"/>
    <mergeCell ref="I5862:I5863"/>
    <mergeCell ref="J5862:J5863"/>
    <mergeCell ref="K5862:K5863"/>
    <mergeCell ref="L5862:L5863"/>
    <mergeCell ref="M5862:M5863"/>
    <mergeCell ref="N5862:N5863"/>
    <mergeCell ref="O5862:O5863"/>
    <mergeCell ref="X5862:X5863"/>
    <mergeCell ref="Y5862:Y5863"/>
    <mergeCell ref="Z5862:Z5863"/>
    <mergeCell ref="AA5862:AA5863"/>
    <mergeCell ref="AB5862:AB5863"/>
    <mergeCell ref="A5864:A5865"/>
    <mergeCell ref="E5864:E5865"/>
    <mergeCell ref="H5864:H5865"/>
    <mergeCell ref="I5864:I5865"/>
    <mergeCell ref="J5864:J5865"/>
    <mergeCell ref="K5864:K5865"/>
    <mergeCell ref="L5864:L5865"/>
    <mergeCell ref="M5864:M5865"/>
    <mergeCell ref="N5864:N5865"/>
    <mergeCell ref="O5864:O5865"/>
    <mergeCell ref="X5864:X5865"/>
    <mergeCell ref="Y5864:Y5865"/>
    <mergeCell ref="Z5864:Z5865"/>
    <mergeCell ref="AA5864:AA5865"/>
    <mergeCell ref="AB5864:AB5865"/>
    <mergeCell ref="A5858:A5859"/>
    <mergeCell ref="E5858:E5859"/>
    <mergeCell ref="H5858:H5859"/>
    <mergeCell ref="I5858:I5859"/>
    <mergeCell ref="J5858:J5859"/>
    <mergeCell ref="K5858:K5859"/>
    <mergeCell ref="L5858:L5859"/>
    <mergeCell ref="M5858:M5859"/>
    <mergeCell ref="N5858:N5859"/>
    <mergeCell ref="O5858:O5859"/>
    <mergeCell ref="X5858:X5859"/>
    <mergeCell ref="Y5858:Y5859"/>
    <mergeCell ref="Z5858:Z5859"/>
    <mergeCell ref="AA5858:AA5859"/>
    <mergeCell ref="AB5858:AB5859"/>
    <mergeCell ref="A5860:A5861"/>
    <mergeCell ref="E5860:E5861"/>
    <mergeCell ref="H5860:H5861"/>
    <mergeCell ref="I5860:I5861"/>
    <mergeCell ref="J5860:J5861"/>
    <mergeCell ref="K5860:K5861"/>
    <mergeCell ref="L5860:L5861"/>
    <mergeCell ref="M5860:M5861"/>
    <mergeCell ref="N5860:N5861"/>
    <mergeCell ref="O5860:O5861"/>
    <mergeCell ref="X5860:X5861"/>
    <mergeCell ref="Y5860:Y5861"/>
    <mergeCell ref="Z5860:Z5861"/>
    <mergeCell ref="AA5860:AA5861"/>
    <mergeCell ref="AB5860:AB5861"/>
    <mergeCell ref="A5854:A5855"/>
    <mergeCell ref="E5854:E5855"/>
    <mergeCell ref="H5854:H5855"/>
    <mergeCell ref="I5854:I5855"/>
    <mergeCell ref="J5854:J5855"/>
    <mergeCell ref="K5854:K5855"/>
    <mergeCell ref="L5854:L5855"/>
    <mergeCell ref="M5854:M5855"/>
    <mergeCell ref="N5854:N5855"/>
    <mergeCell ref="O5854:O5855"/>
    <mergeCell ref="X5854:X5855"/>
    <mergeCell ref="Y5854:Y5855"/>
    <mergeCell ref="Z5854:Z5855"/>
    <mergeCell ref="AA5854:AA5855"/>
    <mergeCell ref="AB5854:AB5855"/>
    <mergeCell ref="A5856:A5857"/>
    <mergeCell ref="E5856:E5857"/>
    <mergeCell ref="H5856:H5857"/>
    <mergeCell ref="I5856:I5857"/>
    <mergeCell ref="J5856:J5857"/>
    <mergeCell ref="K5856:K5857"/>
    <mergeCell ref="L5856:L5857"/>
    <mergeCell ref="M5856:M5857"/>
    <mergeCell ref="N5856:N5857"/>
    <mergeCell ref="O5856:O5857"/>
    <mergeCell ref="X5856:X5857"/>
    <mergeCell ref="Y5856:Y5857"/>
    <mergeCell ref="Z5856:Z5857"/>
    <mergeCell ref="AA5856:AA5857"/>
    <mergeCell ref="AB5856:AB5857"/>
    <mergeCell ref="A5850:A5851"/>
    <mergeCell ref="E5850:E5851"/>
    <mergeCell ref="H5850:H5851"/>
    <mergeCell ref="I5850:I5851"/>
    <mergeCell ref="J5850:J5851"/>
    <mergeCell ref="K5850:K5851"/>
    <mergeCell ref="L5850:L5851"/>
    <mergeCell ref="M5850:M5851"/>
    <mergeCell ref="N5850:N5851"/>
    <mergeCell ref="O5850:O5851"/>
    <mergeCell ref="X5850:X5851"/>
    <mergeCell ref="Y5850:Y5851"/>
    <mergeCell ref="Z5850:Z5851"/>
    <mergeCell ref="AA5850:AA5851"/>
    <mergeCell ref="AB5850:AB5851"/>
    <mergeCell ref="A5852:A5853"/>
    <mergeCell ref="E5852:E5853"/>
    <mergeCell ref="H5852:H5853"/>
    <mergeCell ref="I5852:I5853"/>
    <mergeCell ref="J5852:J5853"/>
    <mergeCell ref="K5852:K5853"/>
    <mergeCell ref="L5852:L5853"/>
    <mergeCell ref="M5852:M5853"/>
    <mergeCell ref="N5852:N5853"/>
    <mergeCell ref="O5852:O5853"/>
    <mergeCell ref="X5852:X5853"/>
    <mergeCell ref="Y5852:Y5853"/>
    <mergeCell ref="Z5852:Z5853"/>
    <mergeCell ref="AA5852:AA5853"/>
    <mergeCell ref="AB5852:AB5853"/>
    <mergeCell ref="A5846:A5847"/>
    <mergeCell ref="E5846:E5847"/>
    <mergeCell ref="H5846:H5847"/>
    <mergeCell ref="I5846:I5847"/>
    <mergeCell ref="J5846:J5847"/>
    <mergeCell ref="K5846:K5847"/>
    <mergeCell ref="L5846:L5847"/>
    <mergeCell ref="M5846:M5847"/>
    <mergeCell ref="N5846:N5847"/>
    <mergeCell ref="O5846:O5847"/>
    <mergeCell ref="X5846:X5847"/>
    <mergeCell ref="Y5846:Y5847"/>
    <mergeCell ref="Z5846:Z5847"/>
    <mergeCell ref="AA5846:AA5847"/>
    <mergeCell ref="AB5846:AB5847"/>
    <mergeCell ref="A5848:A5849"/>
    <mergeCell ref="E5848:E5849"/>
    <mergeCell ref="H5848:H5849"/>
    <mergeCell ref="I5848:I5849"/>
    <mergeCell ref="J5848:J5849"/>
    <mergeCell ref="K5848:K5849"/>
    <mergeCell ref="L5848:L5849"/>
    <mergeCell ref="M5848:M5849"/>
    <mergeCell ref="N5848:N5849"/>
    <mergeCell ref="O5848:O5849"/>
    <mergeCell ref="X5848:X5849"/>
    <mergeCell ref="Y5848:Y5849"/>
    <mergeCell ref="Z5848:Z5849"/>
    <mergeCell ref="AA5848:AA5849"/>
    <mergeCell ref="AB5848:AB5849"/>
    <mergeCell ref="A5842:A5843"/>
    <mergeCell ref="E5842:E5843"/>
    <mergeCell ref="H5842:H5843"/>
    <mergeCell ref="I5842:I5843"/>
    <mergeCell ref="J5842:J5843"/>
    <mergeCell ref="K5842:K5843"/>
    <mergeCell ref="L5842:L5843"/>
    <mergeCell ref="M5842:M5843"/>
    <mergeCell ref="N5842:N5843"/>
    <mergeCell ref="O5842:O5843"/>
    <mergeCell ref="X5842:X5843"/>
    <mergeCell ref="Y5842:Y5843"/>
    <mergeCell ref="Z5842:Z5843"/>
    <mergeCell ref="AA5842:AA5843"/>
    <mergeCell ref="AB5842:AB5843"/>
    <mergeCell ref="A5844:A5845"/>
    <mergeCell ref="E5844:E5845"/>
    <mergeCell ref="H5844:H5845"/>
    <mergeCell ref="I5844:I5845"/>
    <mergeCell ref="J5844:J5845"/>
    <mergeCell ref="K5844:K5845"/>
    <mergeCell ref="L5844:L5845"/>
    <mergeCell ref="M5844:M5845"/>
    <mergeCell ref="N5844:N5845"/>
    <mergeCell ref="O5844:O5845"/>
    <mergeCell ref="X5844:X5845"/>
    <mergeCell ref="Y5844:Y5845"/>
    <mergeCell ref="Z5844:Z5845"/>
    <mergeCell ref="AA5844:AA5845"/>
    <mergeCell ref="AB5844:AB5845"/>
    <mergeCell ref="A5838:A5839"/>
    <mergeCell ref="E5838:E5839"/>
    <mergeCell ref="H5838:H5839"/>
    <mergeCell ref="I5838:I5839"/>
    <mergeCell ref="J5838:J5839"/>
    <mergeCell ref="K5838:K5839"/>
    <mergeCell ref="L5838:L5839"/>
    <mergeCell ref="M5838:M5839"/>
    <mergeCell ref="N5838:N5839"/>
    <mergeCell ref="O5838:O5839"/>
    <mergeCell ref="X5838:X5839"/>
    <mergeCell ref="Y5838:Y5839"/>
    <mergeCell ref="Z5838:Z5839"/>
    <mergeCell ref="AA5838:AA5839"/>
    <mergeCell ref="AB5838:AB5839"/>
    <mergeCell ref="A5840:A5841"/>
    <mergeCell ref="E5840:E5841"/>
    <mergeCell ref="H5840:H5841"/>
    <mergeCell ref="I5840:I5841"/>
    <mergeCell ref="J5840:J5841"/>
    <mergeCell ref="K5840:K5841"/>
    <mergeCell ref="L5840:L5841"/>
    <mergeCell ref="M5840:M5841"/>
    <mergeCell ref="N5840:N5841"/>
    <mergeCell ref="O5840:O5841"/>
    <mergeCell ref="X5840:X5841"/>
    <mergeCell ref="Y5840:Y5841"/>
    <mergeCell ref="Z5840:Z5841"/>
    <mergeCell ref="AA5840:AA5841"/>
    <mergeCell ref="AB5840:AB5841"/>
    <mergeCell ref="A5834:A5835"/>
    <mergeCell ref="E5834:E5835"/>
    <mergeCell ref="H5834:H5835"/>
    <mergeCell ref="I5834:I5835"/>
    <mergeCell ref="J5834:J5835"/>
    <mergeCell ref="K5834:K5835"/>
    <mergeCell ref="L5834:L5835"/>
    <mergeCell ref="M5834:M5835"/>
    <mergeCell ref="N5834:N5835"/>
    <mergeCell ref="O5834:O5835"/>
    <mergeCell ref="X5834:X5835"/>
    <mergeCell ref="Y5834:Y5835"/>
    <mergeCell ref="Z5834:Z5835"/>
    <mergeCell ref="AA5834:AA5835"/>
    <mergeCell ref="AB5834:AB5835"/>
    <mergeCell ref="A5836:A5837"/>
    <mergeCell ref="E5836:E5837"/>
    <mergeCell ref="H5836:H5837"/>
    <mergeCell ref="I5836:I5837"/>
    <mergeCell ref="J5836:J5837"/>
    <mergeCell ref="K5836:K5837"/>
    <mergeCell ref="L5836:L5837"/>
    <mergeCell ref="M5836:M5837"/>
    <mergeCell ref="N5836:N5837"/>
    <mergeCell ref="O5836:O5837"/>
    <mergeCell ref="X5836:X5837"/>
    <mergeCell ref="Y5836:Y5837"/>
    <mergeCell ref="Z5836:Z5837"/>
    <mergeCell ref="AA5836:AA5837"/>
    <mergeCell ref="AB5836:AB5837"/>
    <mergeCell ref="A5830:A5831"/>
    <mergeCell ref="E5830:E5831"/>
    <mergeCell ref="H5830:H5831"/>
    <mergeCell ref="I5830:I5831"/>
    <mergeCell ref="J5830:J5831"/>
    <mergeCell ref="K5830:K5831"/>
    <mergeCell ref="L5830:L5831"/>
    <mergeCell ref="M5830:M5831"/>
    <mergeCell ref="N5830:N5831"/>
    <mergeCell ref="O5830:O5831"/>
    <mergeCell ref="X5830:X5831"/>
    <mergeCell ref="Y5830:Y5831"/>
    <mergeCell ref="Z5830:Z5831"/>
    <mergeCell ref="AA5830:AA5831"/>
    <mergeCell ref="AB5830:AB5831"/>
    <mergeCell ref="A5832:A5833"/>
    <mergeCell ref="E5832:E5833"/>
    <mergeCell ref="H5832:H5833"/>
    <mergeCell ref="I5832:I5833"/>
    <mergeCell ref="J5832:J5833"/>
    <mergeCell ref="K5832:K5833"/>
    <mergeCell ref="L5832:L5833"/>
    <mergeCell ref="M5832:M5833"/>
    <mergeCell ref="N5832:N5833"/>
    <mergeCell ref="O5832:O5833"/>
    <mergeCell ref="X5832:X5833"/>
    <mergeCell ref="Y5832:Y5833"/>
    <mergeCell ref="Z5832:Z5833"/>
    <mergeCell ref="AA5832:AA5833"/>
    <mergeCell ref="AB5832:AB5833"/>
    <mergeCell ref="A5624:A5625"/>
    <mergeCell ref="E5624:E5625"/>
    <mergeCell ref="H5624:H5625"/>
    <mergeCell ref="I5624:I5625"/>
    <mergeCell ref="J5624:J5625"/>
    <mergeCell ref="K5624:K5625"/>
    <mergeCell ref="L5624:L5625"/>
    <mergeCell ref="M5624:M5625"/>
    <mergeCell ref="N5624:N5625"/>
    <mergeCell ref="O5624:O5625"/>
    <mergeCell ref="X5624:X5625"/>
    <mergeCell ref="Y5624:Y5625"/>
    <mergeCell ref="Z5624:Z5625"/>
    <mergeCell ref="AA5624:AA5625"/>
    <mergeCell ref="AB5624:AB5625"/>
    <mergeCell ref="A5626:A5627"/>
    <mergeCell ref="E5626:E5627"/>
    <mergeCell ref="H5626:H5627"/>
    <mergeCell ref="I5626:I5627"/>
    <mergeCell ref="J5626:J5627"/>
    <mergeCell ref="K5626:K5627"/>
    <mergeCell ref="L5626:L5627"/>
    <mergeCell ref="M5626:M5627"/>
    <mergeCell ref="N5626:N5627"/>
    <mergeCell ref="O5626:O5627"/>
    <mergeCell ref="X5626:X5627"/>
    <mergeCell ref="Y5626:Y5627"/>
    <mergeCell ref="Z5626:Z5627"/>
    <mergeCell ref="AA5626:AA5627"/>
    <mergeCell ref="AB5626:AB5627"/>
    <mergeCell ref="A5632:A5633"/>
    <mergeCell ref="E5632:E5633"/>
    <mergeCell ref="H5632:H5633"/>
    <mergeCell ref="I5632:I5633"/>
    <mergeCell ref="A5620:A5621"/>
    <mergeCell ref="E5620:E5621"/>
    <mergeCell ref="H5620:H5621"/>
    <mergeCell ref="I5620:I5621"/>
    <mergeCell ref="J5620:J5621"/>
    <mergeCell ref="K5620:K5621"/>
    <mergeCell ref="L5620:L5621"/>
    <mergeCell ref="M5620:M5621"/>
    <mergeCell ref="N5620:N5621"/>
    <mergeCell ref="O5620:O5621"/>
    <mergeCell ref="X5620:X5621"/>
    <mergeCell ref="Y5620:Y5621"/>
    <mergeCell ref="Z5620:Z5621"/>
    <mergeCell ref="AA5620:AA5621"/>
    <mergeCell ref="AB5620:AB5621"/>
    <mergeCell ref="A5622:A5623"/>
    <mergeCell ref="E5622:E5623"/>
    <mergeCell ref="H5622:H5623"/>
    <mergeCell ref="I5622:I5623"/>
    <mergeCell ref="J5622:J5623"/>
    <mergeCell ref="K5622:K5623"/>
    <mergeCell ref="L5622:L5623"/>
    <mergeCell ref="M5622:M5623"/>
    <mergeCell ref="N5622:N5623"/>
    <mergeCell ref="O5622:O5623"/>
    <mergeCell ref="X5622:X5623"/>
    <mergeCell ref="Y5622:Y5623"/>
    <mergeCell ref="Z5622:Z5623"/>
    <mergeCell ref="AA5622:AA5623"/>
    <mergeCell ref="AB5622:AB5623"/>
    <mergeCell ref="A5616:A5617"/>
    <mergeCell ref="E5616:E5617"/>
    <mergeCell ref="H5616:H5617"/>
    <mergeCell ref="I5616:I5617"/>
    <mergeCell ref="J5616:J5617"/>
    <mergeCell ref="K5616:K5617"/>
    <mergeCell ref="L5616:L5617"/>
    <mergeCell ref="M5616:M5617"/>
    <mergeCell ref="N5616:N5617"/>
    <mergeCell ref="O5616:O5617"/>
    <mergeCell ref="X5616:X5617"/>
    <mergeCell ref="Y5616:Y5617"/>
    <mergeCell ref="Z5616:Z5617"/>
    <mergeCell ref="AA5616:AA5617"/>
    <mergeCell ref="AB5616:AB5617"/>
    <mergeCell ref="A5618:A5619"/>
    <mergeCell ref="E5618:E5619"/>
    <mergeCell ref="H5618:H5619"/>
    <mergeCell ref="I5618:I5619"/>
    <mergeCell ref="J5618:J5619"/>
    <mergeCell ref="K5618:K5619"/>
    <mergeCell ref="L5618:L5619"/>
    <mergeCell ref="M5618:M5619"/>
    <mergeCell ref="N5618:N5619"/>
    <mergeCell ref="O5618:O5619"/>
    <mergeCell ref="X5618:X5619"/>
    <mergeCell ref="Y5618:Y5619"/>
    <mergeCell ref="Z5618:Z5619"/>
    <mergeCell ref="AA5618:AA5619"/>
    <mergeCell ref="AB5618:AB5619"/>
    <mergeCell ref="A5612:A5613"/>
    <mergeCell ref="E5612:E5613"/>
    <mergeCell ref="H5612:H5613"/>
    <mergeCell ref="I5612:I5613"/>
    <mergeCell ref="J5612:J5613"/>
    <mergeCell ref="K5612:K5613"/>
    <mergeCell ref="L5612:L5613"/>
    <mergeCell ref="M5612:M5613"/>
    <mergeCell ref="N5612:N5613"/>
    <mergeCell ref="O5612:O5613"/>
    <mergeCell ref="X5612:X5613"/>
    <mergeCell ref="Y5612:Y5613"/>
    <mergeCell ref="Z5612:Z5613"/>
    <mergeCell ref="AA5612:AA5613"/>
    <mergeCell ref="AB5612:AB5613"/>
    <mergeCell ref="A5614:A5615"/>
    <mergeCell ref="E5614:E5615"/>
    <mergeCell ref="H5614:H5615"/>
    <mergeCell ref="I5614:I5615"/>
    <mergeCell ref="J5614:J5615"/>
    <mergeCell ref="K5614:K5615"/>
    <mergeCell ref="L5614:L5615"/>
    <mergeCell ref="M5614:M5615"/>
    <mergeCell ref="N5614:N5615"/>
    <mergeCell ref="O5614:O5615"/>
    <mergeCell ref="X5614:X5615"/>
    <mergeCell ref="Y5614:Y5615"/>
    <mergeCell ref="Z5614:Z5615"/>
    <mergeCell ref="AA5614:AA5615"/>
    <mergeCell ref="AB5614:AB5615"/>
    <mergeCell ref="A5608:A5609"/>
    <mergeCell ref="E5608:E5609"/>
    <mergeCell ref="H5608:H5609"/>
    <mergeCell ref="I5608:I5609"/>
    <mergeCell ref="J5608:J5609"/>
    <mergeCell ref="K5608:K5609"/>
    <mergeCell ref="L5608:L5609"/>
    <mergeCell ref="M5608:M5609"/>
    <mergeCell ref="N5608:N5609"/>
    <mergeCell ref="O5608:O5609"/>
    <mergeCell ref="X5608:X5609"/>
    <mergeCell ref="Y5608:Y5609"/>
    <mergeCell ref="Z5608:Z5609"/>
    <mergeCell ref="AA5608:AA5609"/>
    <mergeCell ref="AB5608:AB5609"/>
    <mergeCell ref="A5610:A5611"/>
    <mergeCell ref="E5610:E5611"/>
    <mergeCell ref="H5610:H5611"/>
    <mergeCell ref="I5610:I5611"/>
    <mergeCell ref="J5610:J5611"/>
    <mergeCell ref="K5610:K5611"/>
    <mergeCell ref="L5610:L5611"/>
    <mergeCell ref="M5610:M5611"/>
    <mergeCell ref="N5610:N5611"/>
    <mergeCell ref="O5610:O5611"/>
    <mergeCell ref="X5610:X5611"/>
    <mergeCell ref="Y5610:Y5611"/>
    <mergeCell ref="Z5610:Z5611"/>
    <mergeCell ref="AA5610:AA5611"/>
    <mergeCell ref="AB5610:AB5611"/>
    <mergeCell ref="A5604:A5605"/>
    <mergeCell ref="E5604:E5605"/>
    <mergeCell ref="H5604:H5605"/>
    <mergeCell ref="I5604:I5605"/>
    <mergeCell ref="J5604:J5605"/>
    <mergeCell ref="K5604:K5605"/>
    <mergeCell ref="L5604:L5605"/>
    <mergeCell ref="M5604:M5605"/>
    <mergeCell ref="N5604:N5605"/>
    <mergeCell ref="O5604:O5605"/>
    <mergeCell ref="X5604:X5605"/>
    <mergeCell ref="Y5604:Y5605"/>
    <mergeCell ref="Z5604:Z5605"/>
    <mergeCell ref="AA5604:AA5605"/>
    <mergeCell ref="AB5604:AB5605"/>
    <mergeCell ref="A5606:A5607"/>
    <mergeCell ref="E5606:E5607"/>
    <mergeCell ref="H5606:H5607"/>
    <mergeCell ref="I5606:I5607"/>
    <mergeCell ref="J5606:J5607"/>
    <mergeCell ref="K5606:K5607"/>
    <mergeCell ref="L5606:L5607"/>
    <mergeCell ref="M5606:M5607"/>
    <mergeCell ref="N5606:N5607"/>
    <mergeCell ref="O5606:O5607"/>
    <mergeCell ref="X5606:X5607"/>
    <mergeCell ref="Y5606:Y5607"/>
    <mergeCell ref="Z5606:Z5607"/>
    <mergeCell ref="AA5606:AA5607"/>
    <mergeCell ref="AB5606:AB5607"/>
    <mergeCell ref="A5600:A5601"/>
    <mergeCell ref="E5600:E5601"/>
    <mergeCell ref="H5600:H5601"/>
    <mergeCell ref="I5600:I5601"/>
    <mergeCell ref="J5600:J5601"/>
    <mergeCell ref="K5600:K5601"/>
    <mergeCell ref="L5600:L5601"/>
    <mergeCell ref="M5600:M5601"/>
    <mergeCell ref="N5600:N5601"/>
    <mergeCell ref="O5600:O5601"/>
    <mergeCell ref="X5600:X5601"/>
    <mergeCell ref="Y5600:Y5601"/>
    <mergeCell ref="Z5600:Z5601"/>
    <mergeCell ref="AA5600:AA5601"/>
    <mergeCell ref="AB5600:AB5601"/>
    <mergeCell ref="A5602:A5603"/>
    <mergeCell ref="E5602:E5603"/>
    <mergeCell ref="H5602:H5603"/>
    <mergeCell ref="I5602:I5603"/>
    <mergeCell ref="J5602:J5603"/>
    <mergeCell ref="K5602:K5603"/>
    <mergeCell ref="L5602:L5603"/>
    <mergeCell ref="M5602:M5603"/>
    <mergeCell ref="N5602:N5603"/>
    <mergeCell ref="O5602:O5603"/>
    <mergeCell ref="X5602:X5603"/>
    <mergeCell ref="Y5602:Y5603"/>
    <mergeCell ref="Z5602:Z5603"/>
    <mergeCell ref="AA5602:AA5603"/>
    <mergeCell ref="AB5602:AB5603"/>
    <mergeCell ref="A5596:A5597"/>
    <mergeCell ref="E5596:E5597"/>
    <mergeCell ref="H5596:H5597"/>
    <mergeCell ref="I5596:I5597"/>
    <mergeCell ref="J5596:J5597"/>
    <mergeCell ref="K5596:K5597"/>
    <mergeCell ref="L5596:L5597"/>
    <mergeCell ref="M5596:M5597"/>
    <mergeCell ref="N5596:N5597"/>
    <mergeCell ref="O5596:O5597"/>
    <mergeCell ref="X5596:X5597"/>
    <mergeCell ref="Y5596:Y5597"/>
    <mergeCell ref="Z5596:Z5597"/>
    <mergeCell ref="AA5596:AA5597"/>
    <mergeCell ref="AB5596:AB5597"/>
    <mergeCell ref="A5598:A5599"/>
    <mergeCell ref="E5598:E5599"/>
    <mergeCell ref="H5598:H5599"/>
    <mergeCell ref="I5598:I5599"/>
    <mergeCell ref="J5598:J5599"/>
    <mergeCell ref="K5598:K5599"/>
    <mergeCell ref="L5598:L5599"/>
    <mergeCell ref="M5598:M5599"/>
    <mergeCell ref="N5598:N5599"/>
    <mergeCell ref="O5598:O5599"/>
    <mergeCell ref="X5598:X5599"/>
    <mergeCell ref="Y5598:Y5599"/>
    <mergeCell ref="Z5598:Z5599"/>
    <mergeCell ref="AA5598:AA5599"/>
    <mergeCell ref="AB5598:AB5599"/>
    <mergeCell ref="A5592:A5593"/>
    <mergeCell ref="E5592:E5593"/>
    <mergeCell ref="H5592:H5593"/>
    <mergeCell ref="I5592:I5593"/>
    <mergeCell ref="J5592:J5593"/>
    <mergeCell ref="K5592:K5593"/>
    <mergeCell ref="L5592:L5593"/>
    <mergeCell ref="M5592:M5593"/>
    <mergeCell ref="N5592:N5593"/>
    <mergeCell ref="O5592:O5593"/>
    <mergeCell ref="X5592:X5593"/>
    <mergeCell ref="Y5592:Y5593"/>
    <mergeCell ref="Z5592:Z5593"/>
    <mergeCell ref="AA5592:AA5593"/>
    <mergeCell ref="AB5592:AB5593"/>
    <mergeCell ref="A5594:A5595"/>
    <mergeCell ref="E5594:E5595"/>
    <mergeCell ref="H5594:H5595"/>
    <mergeCell ref="I5594:I5595"/>
    <mergeCell ref="J5594:J5595"/>
    <mergeCell ref="K5594:K5595"/>
    <mergeCell ref="L5594:L5595"/>
    <mergeCell ref="M5594:M5595"/>
    <mergeCell ref="N5594:N5595"/>
    <mergeCell ref="O5594:O5595"/>
    <mergeCell ref="X5594:X5595"/>
    <mergeCell ref="Y5594:Y5595"/>
    <mergeCell ref="Z5594:Z5595"/>
    <mergeCell ref="AA5594:AA5595"/>
    <mergeCell ref="AB5594:AB5595"/>
    <mergeCell ref="A5588:A5589"/>
    <mergeCell ref="E5588:E5589"/>
    <mergeCell ref="H5588:H5589"/>
    <mergeCell ref="I5588:I5589"/>
    <mergeCell ref="J5588:J5589"/>
    <mergeCell ref="K5588:K5589"/>
    <mergeCell ref="L5588:L5589"/>
    <mergeCell ref="M5588:M5589"/>
    <mergeCell ref="N5588:N5589"/>
    <mergeCell ref="O5588:O5589"/>
    <mergeCell ref="X5588:X5589"/>
    <mergeCell ref="Y5588:Y5589"/>
    <mergeCell ref="Z5588:Z5589"/>
    <mergeCell ref="AA5588:AA5589"/>
    <mergeCell ref="AB5588:AB5589"/>
    <mergeCell ref="A5590:A5591"/>
    <mergeCell ref="E5590:E5591"/>
    <mergeCell ref="H5590:H5591"/>
    <mergeCell ref="I5590:I5591"/>
    <mergeCell ref="J5590:J5591"/>
    <mergeCell ref="K5590:K5591"/>
    <mergeCell ref="L5590:L5591"/>
    <mergeCell ref="M5590:M5591"/>
    <mergeCell ref="N5590:N5591"/>
    <mergeCell ref="O5590:O5591"/>
    <mergeCell ref="X5590:X5591"/>
    <mergeCell ref="Y5590:Y5591"/>
    <mergeCell ref="Z5590:Z5591"/>
    <mergeCell ref="AA5590:AA5591"/>
    <mergeCell ref="AB5590:AB5591"/>
    <mergeCell ref="A5584:A5585"/>
    <mergeCell ref="E5584:E5585"/>
    <mergeCell ref="H5584:H5585"/>
    <mergeCell ref="I5584:I5585"/>
    <mergeCell ref="J5584:J5585"/>
    <mergeCell ref="K5584:K5585"/>
    <mergeCell ref="L5584:L5585"/>
    <mergeCell ref="M5584:M5585"/>
    <mergeCell ref="N5584:N5585"/>
    <mergeCell ref="O5584:O5585"/>
    <mergeCell ref="X5584:X5585"/>
    <mergeCell ref="Y5584:Y5585"/>
    <mergeCell ref="Z5584:Z5585"/>
    <mergeCell ref="AA5584:AA5585"/>
    <mergeCell ref="AB5584:AB5585"/>
    <mergeCell ref="A5586:A5587"/>
    <mergeCell ref="E5586:E5587"/>
    <mergeCell ref="H5586:H5587"/>
    <mergeCell ref="I5586:I5587"/>
    <mergeCell ref="J5586:J5587"/>
    <mergeCell ref="K5586:K5587"/>
    <mergeCell ref="L5586:L5587"/>
    <mergeCell ref="M5586:M5587"/>
    <mergeCell ref="N5586:N5587"/>
    <mergeCell ref="O5586:O5587"/>
    <mergeCell ref="X5586:X5587"/>
    <mergeCell ref="Y5586:Y5587"/>
    <mergeCell ref="Z5586:Z5587"/>
    <mergeCell ref="AA5586:AA5587"/>
    <mergeCell ref="AB5586:AB5587"/>
    <mergeCell ref="A5580:A5581"/>
    <mergeCell ref="E5580:E5581"/>
    <mergeCell ref="H5580:H5581"/>
    <mergeCell ref="I5580:I5581"/>
    <mergeCell ref="J5580:J5581"/>
    <mergeCell ref="K5580:K5581"/>
    <mergeCell ref="L5580:L5581"/>
    <mergeCell ref="M5580:M5581"/>
    <mergeCell ref="N5580:N5581"/>
    <mergeCell ref="O5580:O5581"/>
    <mergeCell ref="X5580:X5581"/>
    <mergeCell ref="Y5580:Y5581"/>
    <mergeCell ref="Z5580:Z5581"/>
    <mergeCell ref="AA5580:AA5581"/>
    <mergeCell ref="AB5580:AB5581"/>
    <mergeCell ref="A5582:A5583"/>
    <mergeCell ref="E5582:E5583"/>
    <mergeCell ref="H5582:H5583"/>
    <mergeCell ref="I5582:I5583"/>
    <mergeCell ref="J5582:J5583"/>
    <mergeCell ref="K5582:K5583"/>
    <mergeCell ref="L5582:L5583"/>
    <mergeCell ref="M5582:M5583"/>
    <mergeCell ref="N5582:N5583"/>
    <mergeCell ref="O5582:O5583"/>
    <mergeCell ref="X5582:X5583"/>
    <mergeCell ref="Y5582:Y5583"/>
    <mergeCell ref="Z5582:Z5583"/>
    <mergeCell ref="AA5582:AA5583"/>
    <mergeCell ref="AB5582:AB5583"/>
    <mergeCell ref="A5576:A5577"/>
    <mergeCell ref="E5576:E5577"/>
    <mergeCell ref="H5576:H5577"/>
    <mergeCell ref="I5576:I5577"/>
    <mergeCell ref="J5576:J5577"/>
    <mergeCell ref="K5576:K5577"/>
    <mergeCell ref="L5576:L5577"/>
    <mergeCell ref="M5576:M5577"/>
    <mergeCell ref="N5576:N5577"/>
    <mergeCell ref="O5576:O5577"/>
    <mergeCell ref="X5576:X5577"/>
    <mergeCell ref="Y5576:Y5577"/>
    <mergeCell ref="Z5576:Z5577"/>
    <mergeCell ref="AA5576:AA5577"/>
    <mergeCell ref="AB5576:AB5577"/>
    <mergeCell ref="A5578:A5579"/>
    <mergeCell ref="E5578:E5579"/>
    <mergeCell ref="H5578:H5579"/>
    <mergeCell ref="I5578:I5579"/>
    <mergeCell ref="J5578:J5579"/>
    <mergeCell ref="K5578:K5579"/>
    <mergeCell ref="L5578:L5579"/>
    <mergeCell ref="M5578:M5579"/>
    <mergeCell ref="N5578:N5579"/>
    <mergeCell ref="O5578:O5579"/>
    <mergeCell ref="X5578:X5579"/>
    <mergeCell ref="Y5578:Y5579"/>
    <mergeCell ref="Z5578:Z5579"/>
    <mergeCell ref="AA5578:AA5579"/>
    <mergeCell ref="AB5578:AB5579"/>
    <mergeCell ref="A5572:A5573"/>
    <mergeCell ref="E5572:E5573"/>
    <mergeCell ref="H5572:H5573"/>
    <mergeCell ref="I5572:I5573"/>
    <mergeCell ref="J5572:J5573"/>
    <mergeCell ref="K5572:K5573"/>
    <mergeCell ref="L5572:L5573"/>
    <mergeCell ref="M5572:M5573"/>
    <mergeCell ref="N5572:N5573"/>
    <mergeCell ref="O5572:O5573"/>
    <mergeCell ref="X5572:X5573"/>
    <mergeCell ref="Y5572:Y5573"/>
    <mergeCell ref="Z5572:Z5573"/>
    <mergeCell ref="AA5572:AA5573"/>
    <mergeCell ref="AB5572:AB5573"/>
    <mergeCell ref="A5574:A5575"/>
    <mergeCell ref="E5574:E5575"/>
    <mergeCell ref="H5574:H5575"/>
    <mergeCell ref="I5574:I5575"/>
    <mergeCell ref="J5574:J5575"/>
    <mergeCell ref="K5574:K5575"/>
    <mergeCell ref="L5574:L5575"/>
    <mergeCell ref="M5574:M5575"/>
    <mergeCell ref="N5574:N5575"/>
    <mergeCell ref="O5574:O5575"/>
    <mergeCell ref="X5574:X5575"/>
    <mergeCell ref="Y5574:Y5575"/>
    <mergeCell ref="Z5574:Z5575"/>
    <mergeCell ref="AA5574:AA5575"/>
    <mergeCell ref="AB5574:AB5575"/>
    <mergeCell ref="A5568:A5569"/>
    <mergeCell ref="E5568:E5569"/>
    <mergeCell ref="H5568:H5569"/>
    <mergeCell ref="I5568:I5569"/>
    <mergeCell ref="J5568:J5569"/>
    <mergeCell ref="K5568:K5569"/>
    <mergeCell ref="L5568:L5569"/>
    <mergeCell ref="M5568:M5569"/>
    <mergeCell ref="N5568:N5569"/>
    <mergeCell ref="O5568:O5569"/>
    <mergeCell ref="X5568:X5569"/>
    <mergeCell ref="Y5568:Y5569"/>
    <mergeCell ref="Z5568:Z5569"/>
    <mergeCell ref="AA5568:AA5569"/>
    <mergeCell ref="AB5568:AB5569"/>
    <mergeCell ref="A5570:A5571"/>
    <mergeCell ref="E5570:E5571"/>
    <mergeCell ref="H5570:H5571"/>
    <mergeCell ref="I5570:I5571"/>
    <mergeCell ref="J5570:J5571"/>
    <mergeCell ref="K5570:K5571"/>
    <mergeCell ref="L5570:L5571"/>
    <mergeCell ref="M5570:M5571"/>
    <mergeCell ref="N5570:N5571"/>
    <mergeCell ref="O5570:O5571"/>
    <mergeCell ref="X5570:X5571"/>
    <mergeCell ref="Y5570:Y5571"/>
    <mergeCell ref="Z5570:Z5571"/>
    <mergeCell ref="AA5570:AA5571"/>
    <mergeCell ref="AB5570:AB5571"/>
    <mergeCell ref="A5564:A5565"/>
    <mergeCell ref="E5564:E5565"/>
    <mergeCell ref="H5564:H5565"/>
    <mergeCell ref="I5564:I5565"/>
    <mergeCell ref="J5564:J5565"/>
    <mergeCell ref="K5564:K5565"/>
    <mergeCell ref="L5564:L5565"/>
    <mergeCell ref="M5564:M5565"/>
    <mergeCell ref="N5564:N5565"/>
    <mergeCell ref="O5564:O5565"/>
    <mergeCell ref="X5564:X5565"/>
    <mergeCell ref="Y5564:Y5565"/>
    <mergeCell ref="Z5564:Z5565"/>
    <mergeCell ref="AA5564:AA5565"/>
    <mergeCell ref="AB5564:AB5565"/>
    <mergeCell ref="A5566:A5567"/>
    <mergeCell ref="E5566:E5567"/>
    <mergeCell ref="H5566:H5567"/>
    <mergeCell ref="I5566:I5567"/>
    <mergeCell ref="J5566:J5567"/>
    <mergeCell ref="K5566:K5567"/>
    <mergeCell ref="L5566:L5567"/>
    <mergeCell ref="M5566:M5567"/>
    <mergeCell ref="N5566:N5567"/>
    <mergeCell ref="O5566:O5567"/>
    <mergeCell ref="X5566:X5567"/>
    <mergeCell ref="Y5566:Y5567"/>
    <mergeCell ref="Z5566:Z5567"/>
    <mergeCell ref="AA5566:AA5567"/>
    <mergeCell ref="AB5566:AB5567"/>
    <mergeCell ref="A5560:A5561"/>
    <mergeCell ref="E5560:E5561"/>
    <mergeCell ref="H5560:H5561"/>
    <mergeCell ref="I5560:I5561"/>
    <mergeCell ref="J5560:J5561"/>
    <mergeCell ref="K5560:K5561"/>
    <mergeCell ref="L5560:L5561"/>
    <mergeCell ref="M5560:M5561"/>
    <mergeCell ref="N5560:N5561"/>
    <mergeCell ref="O5560:O5561"/>
    <mergeCell ref="X5560:X5561"/>
    <mergeCell ref="Y5560:Y5561"/>
    <mergeCell ref="Z5560:Z5561"/>
    <mergeCell ref="AA5560:AA5561"/>
    <mergeCell ref="AB5560:AB5561"/>
    <mergeCell ref="A5562:A5563"/>
    <mergeCell ref="E5562:E5563"/>
    <mergeCell ref="H5562:H5563"/>
    <mergeCell ref="I5562:I5563"/>
    <mergeCell ref="J5562:J5563"/>
    <mergeCell ref="K5562:K5563"/>
    <mergeCell ref="L5562:L5563"/>
    <mergeCell ref="M5562:M5563"/>
    <mergeCell ref="N5562:N5563"/>
    <mergeCell ref="O5562:O5563"/>
    <mergeCell ref="X5562:X5563"/>
    <mergeCell ref="Y5562:Y5563"/>
    <mergeCell ref="Z5562:Z5563"/>
    <mergeCell ref="AA5562:AA5563"/>
    <mergeCell ref="AB5562:AB5563"/>
    <mergeCell ref="A5556:A5557"/>
    <mergeCell ref="E5556:E5557"/>
    <mergeCell ref="H5556:H5557"/>
    <mergeCell ref="I5556:I5557"/>
    <mergeCell ref="J5556:J5557"/>
    <mergeCell ref="K5556:K5557"/>
    <mergeCell ref="L5556:L5557"/>
    <mergeCell ref="M5556:M5557"/>
    <mergeCell ref="N5556:N5557"/>
    <mergeCell ref="O5556:O5557"/>
    <mergeCell ref="X5556:X5557"/>
    <mergeCell ref="Y5556:Y5557"/>
    <mergeCell ref="Z5556:Z5557"/>
    <mergeCell ref="AA5556:AA5557"/>
    <mergeCell ref="AB5556:AB5557"/>
    <mergeCell ref="A5558:A5559"/>
    <mergeCell ref="E5558:E5559"/>
    <mergeCell ref="H5558:H5559"/>
    <mergeCell ref="I5558:I5559"/>
    <mergeCell ref="J5558:J5559"/>
    <mergeCell ref="K5558:K5559"/>
    <mergeCell ref="L5558:L5559"/>
    <mergeCell ref="M5558:M5559"/>
    <mergeCell ref="N5558:N5559"/>
    <mergeCell ref="O5558:O5559"/>
    <mergeCell ref="X5558:X5559"/>
    <mergeCell ref="Y5558:Y5559"/>
    <mergeCell ref="Z5558:Z5559"/>
    <mergeCell ref="AA5558:AA5559"/>
    <mergeCell ref="AB5558:AB5559"/>
    <mergeCell ref="A5552:A5553"/>
    <mergeCell ref="E5552:E5553"/>
    <mergeCell ref="H5552:H5553"/>
    <mergeCell ref="I5552:I5553"/>
    <mergeCell ref="J5552:J5553"/>
    <mergeCell ref="K5552:K5553"/>
    <mergeCell ref="L5552:L5553"/>
    <mergeCell ref="M5552:M5553"/>
    <mergeCell ref="N5552:N5553"/>
    <mergeCell ref="O5552:O5553"/>
    <mergeCell ref="X5552:X5553"/>
    <mergeCell ref="Y5552:Y5553"/>
    <mergeCell ref="Z5552:Z5553"/>
    <mergeCell ref="AA5552:AA5553"/>
    <mergeCell ref="AB5552:AB5553"/>
    <mergeCell ref="A5554:A5555"/>
    <mergeCell ref="E5554:E5555"/>
    <mergeCell ref="H5554:H5555"/>
    <mergeCell ref="I5554:I5555"/>
    <mergeCell ref="J5554:J5555"/>
    <mergeCell ref="K5554:K5555"/>
    <mergeCell ref="L5554:L5555"/>
    <mergeCell ref="M5554:M5555"/>
    <mergeCell ref="N5554:N5555"/>
    <mergeCell ref="O5554:O5555"/>
    <mergeCell ref="X5554:X5555"/>
    <mergeCell ref="Y5554:Y5555"/>
    <mergeCell ref="Z5554:Z5555"/>
    <mergeCell ref="AA5554:AA5555"/>
    <mergeCell ref="AB5554:AB5555"/>
    <mergeCell ref="J5550:J5551"/>
    <mergeCell ref="K5550:K5551"/>
    <mergeCell ref="L5550:L5551"/>
    <mergeCell ref="M5550:M5551"/>
    <mergeCell ref="N5550:N5551"/>
    <mergeCell ref="O5550:O5551"/>
    <mergeCell ref="X5550:X5551"/>
    <mergeCell ref="Y5550:Y5551"/>
    <mergeCell ref="Z5550:Z5551"/>
    <mergeCell ref="AA5550:AA5551"/>
    <mergeCell ref="AB5550:AB5551"/>
    <mergeCell ref="A5036:A5037"/>
    <mergeCell ref="E5036:E5037"/>
    <mergeCell ref="H5036:H5037"/>
    <mergeCell ref="I5036:I5037"/>
    <mergeCell ref="J5036:J5037"/>
    <mergeCell ref="K5036:K5037"/>
    <mergeCell ref="L5036:L5037"/>
    <mergeCell ref="M5036:M5037"/>
    <mergeCell ref="N5036:N5037"/>
    <mergeCell ref="O5036:O5037"/>
    <mergeCell ref="X5036:X5037"/>
    <mergeCell ref="Y5036:Y5037"/>
    <mergeCell ref="Z5036:Z5037"/>
    <mergeCell ref="AA5036:AA5037"/>
    <mergeCell ref="AB5036:AB5037"/>
    <mergeCell ref="A5038:A5039"/>
    <mergeCell ref="E5038:E5039"/>
    <mergeCell ref="H5038:H5039"/>
    <mergeCell ref="I5038:I5039"/>
    <mergeCell ref="J5038:J5039"/>
    <mergeCell ref="K5038:K5039"/>
    <mergeCell ref="L5038:L5039"/>
    <mergeCell ref="M5038:M5039"/>
    <mergeCell ref="N5038:N5039"/>
    <mergeCell ref="O5038:O5039"/>
    <mergeCell ref="X5038:X5039"/>
    <mergeCell ref="Y5038:Y5039"/>
    <mergeCell ref="Z5038:Z5039"/>
    <mergeCell ref="AA5038:AA5039"/>
    <mergeCell ref="AB5038:AB5039"/>
    <mergeCell ref="A5370:A5371"/>
    <mergeCell ref="E5370:E5371"/>
    <mergeCell ref="H5370:H5371"/>
    <mergeCell ref="I5370:I5371"/>
    <mergeCell ref="J5370:J5371"/>
    <mergeCell ref="K5370:K5371"/>
    <mergeCell ref="L5370:L5371"/>
    <mergeCell ref="M5370:M5371"/>
    <mergeCell ref="N5370:N5371"/>
    <mergeCell ref="O5370:O5371"/>
    <mergeCell ref="X5370:X5371"/>
    <mergeCell ref="Y5370:Y5371"/>
    <mergeCell ref="Z5370:Z5371"/>
    <mergeCell ref="AA5370:AA5371"/>
    <mergeCell ref="AB5370:AB5371"/>
    <mergeCell ref="A5364:A5365"/>
    <mergeCell ref="E5364:E5365"/>
    <mergeCell ref="H5364:H5365"/>
    <mergeCell ref="I5364:I5365"/>
    <mergeCell ref="J5364:J5365"/>
    <mergeCell ref="K5364:K5365"/>
    <mergeCell ref="L5364:L5365"/>
    <mergeCell ref="M5364:M5365"/>
    <mergeCell ref="A5032:A5033"/>
    <mergeCell ref="E5032:E5033"/>
    <mergeCell ref="H5032:H5033"/>
    <mergeCell ref="I5032:I5033"/>
    <mergeCell ref="J5032:J5033"/>
    <mergeCell ref="K5032:K5033"/>
    <mergeCell ref="L5032:L5033"/>
    <mergeCell ref="M5032:M5033"/>
    <mergeCell ref="N5032:N5033"/>
    <mergeCell ref="O5032:O5033"/>
    <mergeCell ref="X5032:X5033"/>
    <mergeCell ref="Y5032:Y5033"/>
    <mergeCell ref="Z5032:Z5033"/>
    <mergeCell ref="AA5032:AA5033"/>
    <mergeCell ref="AB5032:AB5033"/>
    <mergeCell ref="A5034:A5035"/>
    <mergeCell ref="E5034:E5035"/>
    <mergeCell ref="H5034:H5035"/>
    <mergeCell ref="I5034:I5035"/>
    <mergeCell ref="J5034:J5035"/>
    <mergeCell ref="K5034:K5035"/>
    <mergeCell ref="L5034:L5035"/>
    <mergeCell ref="M5034:M5035"/>
    <mergeCell ref="N5034:N5035"/>
    <mergeCell ref="O5034:O5035"/>
    <mergeCell ref="X5034:X5035"/>
    <mergeCell ref="Y5034:Y5035"/>
    <mergeCell ref="Z5034:Z5035"/>
    <mergeCell ref="AA5034:AA5035"/>
    <mergeCell ref="AB5034:AB5035"/>
    <mergeCell ref="Z5030:Z5031"/>
    <mergeCell ref="AA5030:AA5031"/>
    <mergeCell ref="AB5030:AB5031"/>
    <mergeCell ref="A5014:A5015"/>
    <mergeCell ref="E5014:E5015"/>
    <mergeCell ref="H5014:H5015"/>
    <mergeCell ref="I5014:I5015"/>
    <mergeCell ref="J5014:J5015"/>
    <mergeCell ref="K5014:K5015"/>
    <mergeCell ref="L5014:L5015"/>
    <mergeCell ref="M5014:M5015"/>
    <mergeCell ref="N5014:N5015"/>
    <mergeCell ref="O5014:O5015"/>
    <mergeCell ref="X5014:X5015"/>
    <mergeCell ref="Y5014:Y5015"/>
    <mergeCell ref="Z5014:Z5015"/>
    <mergeCell ref="AA5014:AA5015"/>
    <mergeCell ref="AB5014:AB5015"/>
    <mergeCell ref="A5016:A5017"/>
    <mergeCell ref="E5016:E5017"/>
    <mergeCell ref="H5016:H5017"/>
    <mergeCell ref="I5016:I5017"/>
    <mergeCell ref="J5016:J5017"/>
    <mergeCell ref="K5016:K5017"/>
    <mergeCell ref="L5016:L5017"/>
    <mergeCell ref="M5016:M5017"/>
    <mergeCell ref="N5016:N5017"/>
    <mergeCell ref="O5016:O5017"/>
    <mergeCell ref="X5016:X5017"/>
    <mergeCell ref="Y5016:Y5017"/>
    <mergeCell ref="Z5016:Z5017"/>
    <mergeCell ref="AA5016:AA5017"/>
    <mergeCell ref="AB5016:AB5017"/>
    <mergeCell ref="A5018:A5019"/>
    <mergeCell ref="E5018:E5019"/>
    <mergeCell ref="H5018:H5019"/>
    <mergeCell ref="I5018:I5019"/>
    <mergeCell ref="J5018:J5019"/>
    <mergeCell ref="K5018:K5019"/>
    <mergeCell ref="L5018:L5019"/>
    <mergeCell ref="M5018:M5019"/>
    <mergeCell ref="N5018:N5019"/>
    <mergeCell ref="N5012:N5013"/>
    <mergeCell ref="O5012:O5013"/>
    <mergeCell ref="X5012:X5013"/>
    <mergeCell ref="Y5012:Y5013"/>
    <mergeCell ref="Z5012:Z5013"/>
    <mergeCell ref="AA5012:AA5013"/>
    <mergeCell ref="AB5012:AB5013"/>
    <mergeCell ref="A5044:A5045"/>
    <mergeCell ref="E5044:E5045"/>
    <mergeCell ref="H5044:H5045"/>
    <mergeCell ref="I5044:I5045"/>
    <mergeCell ref="J5044:J5045"/>
    <mergeCell ref="K5044:K5045"/>
    <mergeCell ref="L5044:L5045"/>
    <mergeCell ref="M5044:M5045"/>
    <mergeCell ref="N5044:N5045"/>
    <mergeCell ref="O5044:O5045"/>
    <mergeCell ref="X5044:X5045"/>
    <mergeCell ref="Y5044:Y5045"/>
    <mergeCell ref="Z5044:Z5045"/>
    <mergeCell ref="AA5044:AA5045"/>
    <mergeCell ref="AB5044:AB5045"/>
    <mergeCell ref="A5026:A5027"/>
    <mergeCell ref="E5026:E5027"/>
    <mergeCell ref="H5026:H5027"/>
    <mergeCell ref="I5026:I5027"/>
    <mergeCell ref="J5026:J5027"/>
    <mergeCell ref="K5026:K5027"/>
    <mergeCell ref="L5026:L5027"/>
    <mergeCell ref="M5026:M5027"/>
    <mergeCell ref="N5026:N5027"/>
    <mergeCell ref="O5026:O5027"/>
    <mergeCell ref="X5026:X5027"/>
    <mergeCell ref="Y5026:Y5027"/>
    <mergeCell ref="Z5026:Z5027"/>
    <mergeCell ref="AA5026:AA5027"/>
    <mergeCell ref="AB5026:AB5027"/>
    <mergeCell ref="A5040:A5041"/>
    <mergeCell ref="E5040:E5041"/>
    <mergeCell ref="H5040:H5041"/>
    <mergeCell ref="I5040:I5041"/>
    <mergeCell ref="J5040:J5041"/>
    <mergeCell ref="K5040:K5041"/>
    <mergeCell ref="L5040:L5041"/>
    <mergeCell ref="M5040:M5041"/>
    <mergeCell ref="N5040:N5041"/>
    <mergeCell ref="O5028:O5029"/>
    <mergeCell ref="X5028:X5029"/>
    <mergeCell ref="Y5028:Y5029"/>
    <mergeCell ref="Z5028:Z5029"/>
    <mergeCell ref="AA5028:AA5029"/>
    <mergeCell ref="AB5028:AB5029"/>
    <mergeCell ref="A5030:A5031"/>
    <mergeCell ref="E5030:E5031"/>
    <mergeCell ref="H5030:H5031"/>
    <mergeCell ref="I5030:I5031"/>
    <mergeCell ref="J5030:J5031"/>
    <mergeCell ref="K5030:K5031"/>
    <mergeCell ref="L5030:L5031"/>
    <mergeCell ref="M5030:M5031"/>
    <mergeCell ref="N5030:N5031"/>
    <mergeCell ref="O5030:O5031"/>
    <mergeCell ref="X5030:X5031"/>
    <mergeCell ref="Y5030:Y5031"/>
    <mergeCell ref="Y5008:Y5009"/>
    <mergeCell ref="Z5008:Z5009"/>
    <mergeCell ref="AA5008:AA5009"/>
    <mergeCell ref="AB5008:AB5009"/>
    <mergeCell ref="A5010:A5011"/>
    <mergeCell ref="E5010:E5011"/>
    <mergeCell ref="H5010:H5011"/>
    <mergeCell ref="I5010:I5011"/>
    <mergeCell ref="J5010:J5011"/>
    <mergeCell ref="K5010:K5011"/>
    <mergeCell ref="L5010:L5011"/>
    <mergeCell ref="M5010:M5011"/>
    <mergeCell ref="N5010:N5011"/>
    <mergeCell ref="A5368:A5369"/>
    <mergeCell ref="E5368:E5369"/>
    <mergeCell ref="H5368:H5369"/>
    <mergeCell ref="I5368:I5369"/>
    <mergeCell ref="J5368:J5369"/>
    <mergeCell ref="K5368:K5369"/>
    <mergeCell ref="L5368:L5369"/>
    <mergeCell ref="M5368:M5369"/>
    <mergeCell ref="N5368:N5369"/>
    <mergeCell ref="O5368:O5369"/>
    <mergeCell ref="X5368:X5369"/>
    <mergeCell ref="Y5368:Y5369"/>
    <mergeCell ref="Z5368:Z5369"/>
    <mergeCell ref="AA5368:AA5369"/>
    <mergeCell ref="AB5368:AB5369"/>
    <mergeCell ref="A5360:A5361"/>
    <mergeCell ref="E5360:E5361"/>
    <mergeCell ref="H5360:H5361"/>
    <mergeCell ref="I5360:I5361"/>
    <mergeCell ref="J5360:J5361"/>
    <mergeCell ref="K5360:K5361"/>
    <mergeCell ref="L5360:L5361"/>
    <mergeCell ref="M5360:M5361"/>
    <mergeCell ref="N5360:N5361"/>
    <mergeCell ref="O5360:O5361"/>
    <mergeCell ref="X5360:X5361"/>
    <mergeCell ref="Y5360:Y5361"/>
    <mergeCell ref="Z5360:Z5361"/>
    <mergeCell ref="AA5360:AA5361"/>
    <mergeCell ref="AB5360:AB5361"/>
    <mergeCell ref="A5362:A5363"/>
    <mergeCell ref="E5362:E5363"/>
    <mergeCell ref="H5362:H5363"/>
    <mergeCell ref="I5362:I5363"/>
    <mergeCell ref="J5362:J5363"/>
    <mergeCell ref="K5362:K5363"/>
    <mergeCell ref="L5362:L5363"/>
    <mergeCell ref="O5010:O5011"/>
    <mergeCell ref="X5010:X5011"/>
    <mergeCell ref="Y5010:Y5011"/>
    <mergeCell ref="Z5010:Z5011"/>
    <mergeCell ref="AA5010:AA5011"/>
    <mergeCell ref="AB5010:AB5011"/>
    <mergeCell ref="A5012:A5013"/>
    <mergeCell ref="E5012:E5013"/>
    <mergeCell ref="H5012:H5013"/>
    <mergeCell ref="I5012:I5013"/>
    <mergeCell ref="J5012:J5013"/>
    <mergeCell ref="K5012:K5013"/>
    <mergeCell ref="L5012:L5013"/>
    <mergeCell ref="M5012:M5013"/>
    <mergeCell ref="N5364:N5365"/>
    <mergeCell ref="O5364:O5365"/>
    <mergeCell ref="X5364:X5365"/>
    <mergeCell ref="Y5364:Y5365"/>
    <mergeCell ref="Z5364:Z5365"/>
    <mergeCell ref="AA5364:AA5365"/>
    <mergeCell ref="AB5364:AB5365"/>
    <mergeCell ref="A5366:A5367"/>
    <mergeCell ref="E5366:E5367"/>
    <mergeCell ref="H5366:H5367"/>
    <mergeCell ref="I5366:I5367"/>
    <mergeCell ref="J5366:J5367"/>
    <mergeCell ref="K5366:K5367"/>
    <mergeCell ref="L5366:L5367"/>
    <mergeCell ref="M5366:M5367"/>
    <mergeCell ref="N5366:N5367"/>
    <mergeCell ref="O5366:O5367"/>
    <mergeCell ref="X5366:X5367"/>
    <mergeCell ref="Y5366:Y5367"/>
    <mergeCell ref="Z5366:Z5367"/>
    <mergeCell ref="AA5366:AA5367"/>
    <mergeCell ref="AB5366:AB5367"/>
    <mergeCell ref="M5362:M5363"/>
    <mergeCell ref="N5362:N5363"/>
    <mergeCell ref="O5362:O5363"/>
    <mergeCell ref="X5362:X5363"/>
    <mergeCell ref="Y5362:Y5363"/>
    <mergeCell ref="Z5362:Z5363"/>
    <mergeCell ref="AA5362:AA5363"/>
    <mergeCell ref="AB5362:AB5363"/>
    <mergeCell ref="A5356:A5357"/>
    <mergeCell ref="E5356:E5357"/>
    <mergeCell ref="H5356:H5357"/>
    <mergeCell ref="I5356:I5357"/>
    <mergeCell ref="J5356:J5357"/>
    <mergeCell ref="K5356:K5357"/>
    <mergeCell ref="L5356:L5357"/>
    <mergeCell ref="M5356:M5357"/>
    <mergeCell ref="N5356:N5357"/>
    <mergeCell ref="O5356:O5357"/>
    <mergeCell ref="X5356:X5357"/>
    <mergeCell ref="Y5356:Y5357"/>
    <mergeCell ref="Z5356:Z5357"/>
    <mergeCell ref="AA5356:AA5357"/>
    <mergeCell ref="AB5356:AB5357"/>
    <mergeCell ref="A5358:A5359"/>
    <mergeCell ref="E5358:E5359"/>
    <mergeCell ref="H5358:H5359"/>
    <mergeCell ref="I5358:I5359"/>
    <mergeCell ref="J5358:J5359"/>
    <mergeCell ref="K5358:K5359"/>
    <mergeCell ref="L5358:L5359"/>
    <mergeCell ref="M5358:M5359"/>
    <mergeCell ref="N5358:N5359"/>
    <mergeCell ref="O5358:O5359"/>
    <mergeCell ref="X5358:X5359"/>
    <mergeCell ref="Y5358:Y5359"/>
    <mergeCell ref="Z5358:Z5359"/>
    <mergeCell ref="AA5358:AA5359"/>
    <mergeCell ref="AB5358:AB5359"/>
    <mergeCell ref="A5352:A5353"/>
    <mergeCell ref="E5352:E5353"/>
    <mergeCell ref="H5352:H5353"/>
    <mergeCell ref="I5352:I5353"/>
    <mergeCell ref="J5352:J5353"/>
    <mergeCell ref="K5352:K5353"/>
    <mergeCell ref="L5352:L5353"/>
    <mergeCell ref="M5352:M5353"/>
    <mergeCell ref="N5352:N5353"/>
    <mergeCell ref="O5352:O5353"/>
    <mergeCell ref="X5352:X5353"/>
    <mergeCell ref="Y5352:Y5353"/>
    <mergeCell ref="Z5352:Z5353"/>
    <mergeCell ref="AA5352:AA5353"/>
    <mergeCell ref="AB5352:AB5353"/>
    <mergeCell ref="A5354:A5355"/>
    <mergeCell ref="E5354:E5355"/>
    <mergeCell ref="H5354:H5355"/>
    <mergeCell ref="I5354:I5355"/>
    <mergeCell ref="J5354:J5355"/>
    <mergeCell ref="K5354:K5355"/>
    <mergeCell ref="L5354:L5355"/>
    <mergeCell ref="M5354:M5355"/>
    <mergeCell ref="N5354:N5355"/>
    <mergeCell ref="O5354:O5355"/>
    <mergeCell ref="X5354:X5355"/>
    <mergeCell ref="Y5354:Y5355"/>
    <mergeCell ref="Z5354:Z5355"/>
    <mergeCell ref="AA5354:AA5355"/>
    <mergeCell ref="AB5354:AB5355"/>
    <mergeCell ref="A5348:A5349"/>
    <mergeCell ref="E5348:E5349"/>
    <mergeCell ref="H5348:H5349"/>
    <mergeCell ref="I5348:I5349"/>
    <mergeCell ref="J5348:J5349"/>
    <mergeCell ref="K5348:K5349"/>
    <mergeCell ref="L5348:L5349"/>
    <mergeCell ref="M5348:M5349"/>
    <mergeCell ref="N5348:N5349"/>
    <mergeCell ref="O5348:O5349"/>
    <mergeCell ref="X5348:X5349"/>
    <mergeCell ref="Y5348:Y5349"/>
    <mergeCell ref="Z5348:Z5349"/>
    <mergeCell ref="AA5348:AA5349"/>
    <mergeCell ref="AB5348:AB5349"/>
    <mergeCell ref="A5350:A5351"/>
    <mergeCell ref="E5350:E5351"/>
    <mergeCell ref="H5350:H5351"/>
    <mergeCell ref="I5350:I5351"/>
    <mergeCell ref="J5350:J5351"/>
    <mergeCell ref="K5350:K5351"/>
    <mergeCell ref="L5350:L5351"/>
    <mergeCell ref="M5350:M5351"/>
    <mergeCell ref="N5350:N5351"/>
    <mergeCell ref="O5350:O5351"/>
    <mergeCell ref="X5350:X5351"/>
    <mergeCell ref="Y5350:Y5351"/>
    <mergeCell ref="Z5350:Z5351"/>
    <mergeCell ref="AA5350:AA5351"/>
    <mergeCell ref="AB5350:AB5351"/>
    <mergeCell ref="A5344:A5345"/>
    <mergeCell ref="E5344:E5345"/>
    <mergeCell ref="H5344:H5345"/>
    <mergeCell ref="I5344:I5345"/>
    <mergeCell ref="J5344:J5345"/>
    <mergeCell ref="K5344:K5345"/>
    <mergeCell ref="L5344:L5345"/>
    <mergeCell ref="M5344:M5345"/>
    <mergeCell ref="N5344:N5345"/>
    <mergeCell ref="O5344:O5345"/>
    <mergeCell ref="X5344:X5345"/>
    <mergeCell ref="Y5344:Y5345"/>
    <mergeCell ref="Z5344:Z5345"/>
    <mergeCell ref="AA5344:AA5345"/>
    <mergeCell ref="AB5344:AB5345"/>
    <mergeCell ref="A5346:A5347"/>
    <mergeCell ref="E5346:E5347"/>
    <mergeCell ref="H5346:H5347"/>
    <mergeCell ref="I5346:I5347"/>
    <mergeCell ref="J5346:J5347"/>
    <mergeCell ref="K5346:K5347"/>
    <mergeCell ref="L5346:L5347"/>
    <mergeCell ref="M5346:M5347"/>
    <mergeCell ref="N5346:N5347"/>
    <mergeCell ref="O5346:O5347"/>
    <mergeCell ref="X5346:X5347"/>
    <mergeCell ref="Y5346:Y5347"/>
    <mergeCell ref="Z5346:Z5347"/>
    <mergeCell ref="AA5346:AA5347"/>
    <mergeCell ref="AB5346:AB5347"/>
    <mergeCell ref="A5340:A5341"/>
    <mergeCell ref="E5340:E5341"/>
    <mergeCell ref="H5340:H5341"/>
    <mergeCell ref="I5340:I5341"/>
    <mergeCell ref="J5340:J5341"/>
    <mergeCell ref="K5340:K5341"/>
    <mergeCell ref="L5340:L5341"/>
    <mergeCell ref="M5340:M5341"/>
    <mergeCell ref="N5340:N5341"/>
    <mergeCell ref="O5340:O5341"/>
    <mergeCell ref="X5340:X5341"/>
    <mergeCell ref="Y5340:Y5341"/>
    <mergeCell ref="Z5340:Z5341"/>
    <mergeCell ref="AA5340:AA5341"/>
    <mergeCell ref="AB5340:AB5341"/>
    <mergeCell ref="A5342:A5343"/>
    <mergeCell ref="E5342:E5343"/>
    <mergeCell ref="H5342:H5343"/>
    <mergeCell ref="I5342:I5343"/>
    <mergeCell ref="J5342:J5343"/>
    <mergeCell ref="K5342:K5343"/>
    <mergeCell ref="L5342:L5343"/>
    <mergeCell ref="M5342:M5343"/>
    <mergeCell ref="N5342:N5343"/>
    <mergeCell ref="O5342:O5343"/>
    <mergeCell ref="X5342:X5343"/>
    <mergeCell ref="Y5342:Y5343"/>
    <mergeCell ref="Z5342:Z5343"/>
    <mergeCell ref="AA5342:AA5343"/>
    <mergeCell ref="AB5342:AB5343"/>
    <mergeCell ref="A5336:A5337"/>
    <mergeCell ref="E5336:E5337"/>
    <mergeCell ref="H5336:H5337"/>
    <mergeCell ref="I5336:I5337"/>
    <mergeCell ref="J5336:J5337"/>
    <mergeCell ref="K5336:K5337"/>
    <mergeCell ref="L5336:L5337"/>
    <mergeCell ref="M5336:M5337"/>
    <mergeCell ref="N5336:N5337"/>
    <mergeCell ref="O5336:O5337"/>
    <mergeCell ref="X5336:X5337"/>
    <mergeCell ref="Y5336:Y5337"/>
    <mergeCell ref="Z5336:Z5337"/>
    <mergeCell ref="AA5336:AA5337"/>
    <mergeCell ref="AB5336:AB5337"/>
    <mergeCell ref="A5338:A5339"/>
    <mergeCell ref="E5338:E5339"/>
    <mergeCell ref="H5338:H5339"/>
    <mergeCell ref="I5338:I5339"/>
    <mergeCell ref="J5338:J5339"/>
    <mergeCell ref="K5338:K5339"/>
    <mergeCell ref="L5338:L5339"/>
    <mergeCell ref="M5338:M5339"/>
    <mergeCell ref="N5338:N5339"/>
    <mergeCell ref="O5338:O5339"/>
    <mergeCell ref="X5338:X5339"/>
    <mergeCell ref="Y5338:Y5339"/>
    <mergeCell ref="Z5338:Z5339"/>
    <mergeCell ref="AA5338:AA5339"/>
    <mergeCell ref="AB5338:AB5339"/>
    <mergeCell ref="A5332:A5333"/>
    <mergeCell ref="E5332:E5333"/>
    <mergeCell ref="H5332:H5333"/>
    <mergeCell ref="I5332:I5333"/>
    <mergeCell ref="J5332:J5333"/>
    <mergeCell ref="K5332:K5333"/>
    <mergeCell ref="L5332:L5333"/>
    <mergeCell ref="M5332:M5333"/>
    <mergeCell ref="N5332:N5333"/>
    <mergeCell ref="O5332:O5333"/>
    <mergeCell ref="X5332:X5333"/>
    <mergeCell ref="Y5332:Y5333"/>
    <mergeCell ref="Z5332:Z5333"/>
    <mergeCell ref="AA5332:AA5333"/>
    <mergeCell ref="AB5332:AB5333"/>
    <mergeCell ref="A5334:A5335"/>
    <mergeCell ref="E5334:E5335"/>
    <mergeCell ref="H5334:H5335"/>
    <mergeCell ref="I5334:I5335"/>
    <mergeCell ref="J5334:J5335"/>
    <mergeCell ref="K5334:K5335"/>
    <mergeCell ref="L5334:L5335"/>
    <mergeCell ref="M5334:M5335"/>
    <mergeCell ref="N5334:N5335"/>
    <mergeCell ref="O5334:O5335"/>
    <mergeCell ref="X5334:X5335"/>
    <mergeCell ref="Y5334:Y5335"/>
    <mergeCell ref="Z5334:Z5335"/>
    <mergeCell ref="AA5334:AA5335"/>
    <mergeCell ref="AB5334:AB5335"/>
    <mergeCell ref="A5328:A5329"/>
    <mergeCell ref="E5328:E5329"/>
    <mergeCell ref="H5328:H5329"/>
    <mergeCell ref="I5328:I5329"/>
    <mergeCell ref="J5328:J5329"/>
    <mergeCell ref="K5328:K5329"/>
    <mergeCell ref="L5328:L5329"/>
    <mergeCell ref="M5328:M5329"/>
    <mergeCell ref="N5328:N5329"/>
    <mergeCell ref="O5328:O5329"/>
    <mergeCell ref="X5328:X5329"/>
    <mergeCell ref="Y5328:Y5329"/>
    <mergeCell ref="Z5328:Z5329"/>
    <mergeCell ref="AA5328:AA5329"/>
    <mergeCell ref="AB5328:AB5329"/>
    <mergeCell ref="A5330:A5331"/>
    <mergeCell ref="E5330:E5331"/>
    <mergeCell ref="H5330:H5331"/>
    <mergeCell ref="I5330:I5331"/>
    <mergeCell ref="J5330:J5331"/>
    <mergeCell ref="K5330:K5331"/>
    <mergeCell ref="L5330:L5331"/>
    <mergeCell ref="M5330:M5331"/>
    <mergeCell ref="N5330:N5331"/>
    <mergeCell ref="O5330:O5331"/>
    <mergeCell ref="X5330:X5331"/>
    <mergeCell ref="Y5330:Y5331"/>
    <mergeCell ref="Z5330:Z5331"/>
    <mergeCell ref="AA5330:AA5331"/>
    <mergeCell ref="AB5330:AB5331"/>
    <mergeCell ref="A5324:A5325"/>
    <mergeCell ref="E5324:E5325"/>
    <mergeCell ref="H5324:H5325"/>
    <mergeCell ref="I5324:I5325"/>
    <mergeCell ref="J5324:J5325"/>
    <mergeCell ref="K5324:K5325"/>
    <mergeCell ref="L5324:L5325"/>
    <mergeCell ref="M5324:M5325"/>
    <mergeCell ref="N5324:N5325"/>
    <mergeCell ref="O5324:O5325"/>
    <mergeCell ref="X5324:X5325"/>
    <mergeCell ref="Y5324:Y5325"/>
    <mergeCell ref="Z5324:Z5325"/>
    <mergeCell ref="AA5324:AA5325"/>
    <mergeCell ref="AB5324:AB5325"/>
    <mergeCell ref="A5326:A5327"/>
    <mergeCell ref="E5326:E5327"/>
    <mergeCell ref="H5326:H5327"/>
    <mergeCell ref="I5326:I5327"/>
    <mergeCell ref="J5326:J5327"/>
    <mergeCell ref="K5326:K5327"/>
    <mergeCell ref="L5326:L5327"/>
    <mergeCell ref="M5326:M5327"/>
    <mergeCell ref="N5326:N5327"/>
    <mergeCell ref="O5326:O5327"/>
    <mergeCell ref="X5326:X5327"/>
    <mergeCell ref="Y5326:Y5327"/>
    <mergeCell ref="Z5326:Z5327"/>
    <mergeCell ref="AA5326:AA5327"/>
    <mergeCell ref="AB5326:AB5327"/>
    <mergeCell ref="A5320:A5321"/>
    <mergeCell ref="E5320:E5321"/>
    <mergeCell ref="H5320:H5321"/>
    <mergeCell ref="I5320:I5321"/>
    <mergeCell ref="J5320:J5321"/>
    <mergeCell ref="K5320:K5321"/>
    <mergeCell ref="L5320:L5321"/>
    <mergeCell ref="M5320:M5321"/>
    <mergeCell ref="N5320:N5321"/>
    <mergeCell ref="O5320:O5321"/>
    <mergeCell ref="X5320:X5321"/>
    <mergeCell ref="Y5320:Y5321"/>
    <mergeCell ref="Z5320:Z5321"/>
    <mergeCell ref="AA5320:AA5321"/>
    <mergeCell ref="AB5320:AB5321"/>
    <mergeCell ref="A5322:A5323"/>
    <mergeCell ref="E5322:E5323"/>
    <mergeCell ref="H5322:H5323"/>
    <mergeCell ref="I5322:I5323"/>
    <mergeCell ref="J5322:J5323"/>
    <mergeCell ref="K5322:K5323"/>
    <mergeCell ref="L5322:L5323"/>
    <mergeCell ref="M5322:M5323"/>
    <mergeCell ref="N5322:N5323"/>
    <mergeCell ref="O5322:O5323"/>
    <mergeCell ref="X5322:X5323"/>
    <mergeCell ref="Y5322:Y5323"/>
    <mergeCell ref="Z5322:Z5323"/>
    <mergeCell ref="AA5322:AA5323"/>
    <mergeCell ref="AB5322:AB5323"/>
    <mergeCell ref="A5316:A5317"/>
    <mergeCell ref="E5316:E5317"/>
    <mergeCell ref="H5316:H5317"/>
    <mergeCell ref="I5316:I5317"/>
    <mergeCell ref="J5316:J5317"/>
    <mergeCell ref="K5316:K5317"/>
    <mergeCell ref="L5316:L5317"/>
    <mergeCell ref="M5316:M5317"/>
    <mergeCell ref="N5316:N5317"/>
    <mergeCell ref="O5316:O5317"/>
    <mergeCell ref="X5316:X5317"/>
    <mergeCell ref="Y5316:Y5317"/>
    <mergeCell ref="Z5316:Z5317"/>
    <mergeCell ref="AA5316:AA5317"/>
    <mergeCell ref="AB5316:AB5317"/>
    <mergeCell ref="A5318:A5319"/>
    <mergeCell ref="E5318:E5319"/>
    <mergeCell ref="H5318:H5319"/>
    <mergeCell ref="I5318:I5319"/>
    <mergeCell ref="J5318:J5319"/>
    <mergeCell ref="K5318:K5319"/>
    <mergeCell ref="L5318:L5319"/>
    <mergeCell ref="M5318:M5319"/>
    <mergeCell ref="N5318:N5319"/>
    <mergeCell ref="O5318:O5319"/>
    <mergeCell ref="X5318:X5319"/>
    <mergeCell ref="Y5318:Y5319"/>
    <mergeCell ref="Z5318:Z5319"/>
    <mergeCell ref="AA5318:AA5319"/>
    <mergeCell ref="AB5318:AB5319"/>
    <mergeCell ref="A5312:A5313"/>
    <mergeCell ref="E5312:E5313"/>
    <mergeCell ref="H5312:H5313"/>
    <mergeCell ref="I5312:I5313"/>
    <mergeCell ref="J5312:J5313"/>
    <mergeCell ref="K5312:K5313"/>
    <mergeCell ref="L5312:L5313"/>
    <mergeCell ref="M5312:M5313"/>
    <mergeCell ref="N5312:N5313"/>
    <mergeCell ref="O5312:O5313"/>
    <mergeCell ref="X5312:X5313"/>
    <mergeCell ref="Y5312:Y5313"/>
    <mergeCell ref="Z5312:Z5313"/>
    <mergeCell ref="AA5312:AA5313"/>
    <mergeCell ref="AB5312:AB5313"/>
    <mergeCell ref="A5314:A5315"/>
    <mergeCell ref="E5314:E5315"/>
    <mergeCell ref="H5314:H5315"/>
    <mergeCell ref="I5314:I5315"/>
    <mergeCell ref="J5314:J5315"/>
    <mergeCell ref="K5314:K5315"/>
    <mergeCell ref="L5314:L5315"/>
    <mergeCell ref="M5314:M5315"/>
    <mergeCell ref="N5314:N5315"/>
    <mergeCell ref="O5314:O5315"/>
    <mergeCell ref="X5314:X5315"/>
    <mergeCell ref="Y5314:Y5315"/>
    <mergeCell ref="Z5314:Z5315"/>
    <mergeCell ref="AA5314:AA5315"/>
    <mergeCell ref="AB5314:AB5315"/>
    <mergeCell ref="A5308:A5309"/>
    <mergeCell ref="E5308:E5309"/>
    <mergeCell ref="H5308:H5309"/>
    <mergeCell ref="I5308:I5309"/>
    <mergeCell ref="J5308:J5309"/>
    <mergeCell ref="K5308:K5309"/>
    <mergeCell ref="L5308:L5309"/>
    <mergeCell ref="M5308:M5309"/>
    <mergeCell ref="N5308:N5309"/>
    <mergeCell ref="O5308:O5309"/>
    <mergeCell ref="X5308:X5309"/>
    <mergeCell ref="Y5308:Y5309"/>
    <mergeCell ref="Z5308:Z5309"/>
    <mergeCell ref="AA5308:AA5309"/>
    <mergeCell ref="AB5308:AB5309"/>
    <mergeCell ref="A5310:A5311"/>
    <mergeCell ref="E5310:E5311"/>
    <mergeCell ref="H5310:H5311"/>
    <mergeCell ref="I5310:I5311"/>
    <mergeCell ref="J5310:J5311"/>
    <mergeCell ref="K5310:K5311"/>
    <mergeCell ref="L5310:L5311"/>
    <mergeCell ref="M5310:M5311"/>
    <mergeCell ref="N5310:N5311"/>
    <mergeCell ref="O5310:O5311"/>
    <mergeCell ref="X5310:X5311"/>
    <mergeCell ref="Y5310:Y5311"/>
    <mergeCell ref="Z5310:Z5311"/>
    <mergeCell ref="AA5310:AA5311"/>
    <mergeCell ref="AB5310:AB5311"/>
    <mergeCell ref="A5304:A5305"/>
    <mergeCell ref="E5304:E5305"/>
    <mergeCell ref="H5304:H5305"/>
    <mergeCell ref="I5304:I5305"/>
    <mergeCell ref="J5304:J5305"/>
    <mergeCell ref="K5304:K5305"/>
    <mergeCell ref="L5304:L5305"/>
    <mergeCell ref="M5304:M5305"/>
    <mergeCell ref="N5304:N5305"/>
    <mergeCell ref="O5304:O5305"/>
    <mergeCell ref="X5304:X5305"/>
    <mergeCell ref="Y5304:Y5305"/>
    <mergeCell ref="Z5304:Z5305"/>
    <mergeCell ref="AA5304:AA5305"/>
    <mergeCell ref="AB5304:AB5305"/>
    <mergeCell ref="A5306:A5307"/>
    <mergeCell ref="E5306:E5307"/>
    <mergeCell ref="H5306:H5307"/>
    <mergeCell ref="I5306:I5307"/>
    <mergeCell ref="J5306:J5307"/>
    <mergeCell ref="K5306:K5307"/>
    <mergeCell ref="L5306:L5307"/>
    <mergeCell ref="M5306:M5307"/>
    <mergeCell ref="N5306:N5307"/>
    <mergeCell ref="O5306:O5307"/>
    <mergeCell ref="X5306:X5307"/>
    <mergeCell ref="Y5306:Y5307"/>
    <mergeCell ref="Z5306:Z5307"/>
    <mergeCell ref="AA5306:AA5307"/>
    <mergeCell ref="AB5306:AB5307"/>
    <mergeCell ref="A5300:A5301"/>
    <mergeCell ref="E5300:E5301"/>
    <mergeCell ref="H5300:H5301"/>
    <mergeCell ref="I5300:I5301"/>
    <mergeCell ref="J5300:J5301"/>
    <mergeCell ref="K5300:K5301"/>
    <mergeCell ref="L5300:L5301"/>
    <mergeCell ref="M5300:M5301"/>
    <mergeCell ref="N5300:N5301"/>
    <mergeCell ref="O5300:O5301"/>
    <mergeCell ref="X5300:X5301"/>
    <mergeCell ref="Y5300:Y5301"/>
    <mergeCell ref="Z5300:Z5301"/>
    <mergeCell ref="AA5300:AA5301"/>
    <mergeCell ref="AB5300:AB5301"/>
    <mergeCell ref="A5302:A5303"/>
    <mergeCell ref="E5302:E5303"/>
    <mergeCell ref="H5302:H5303"/>
    <mergeCell ref="I5302:I5303"/>
    <mergeCell ref="J5302:J5303"/>
    <mergeCell ref="K5302:K5303"/>
    <mergeCell ref="L5302:L5303"/>
    <mergeCell ref="M5302:M5303"/>
    <mergeCell ref="N5302:N5303"/>
    <mergeCell ref="O5302:O5303"/>
    <mergeCell ref="X5302:X5303"/>
    <mergeCell ref="Y5302:Y5303"/>
    <mergeCell ref="Z5302:Z5303"/>
    <mergeCell ref="AA5302:AA5303"/>
    <mergeCell ref="AB5302:AB5303"/>
    <mergeCell ref="A5296:A5297"/>
    <mergeCell ref="E5296:E5297"/>
    <mergeCell ref="H5296:H5297"/>
    <mergeCell ref="I5296:I5297"/>
    <mergeCell ref="J5296:J5297"/>
    <mergeCell ref="K5296:K5297"/>
    <mergeCell ref="L5296:L5297"/>
    <mergeCell ref="M5296:M5297"/>
    <mergeCell ref="N5296:N5297"/>
    <mergeCell ref="O5296:O5297"/>
    <mergeCell ref="X5296:X5297"/>
    <mergeCell ref="Y5296:Y5297"/>
    <mergeCell ref="Z5296:Z5297"/>
    <mergeCell ref="AA5296:AA5297"/>
    <mergeCell ref="AB5296:AB5297"/>
    <mergeCell ref="A5298:A5299"/>
    <mergeCell ref="E5298:E5299"/>
    <mergeCell ref="H5298:H5299"/>
    <mergeCell ref="I5298:I5299"/>
    <mergeCell ref="J5298:J5299"/>
    <mergeCell ref="K5298:K5299"/>
    <mergeCell ref="L5298:L5299"/>
    <mergeCell ref="M5298:M5299"/>
    <mergeCell ref="N5298:N5299"/>
    <mergeCell ref="O5298:O5299"/>
    <mergeCell ref="X5298:X5299"/>
    <mergeCell ref="Y5298:Y5299"/>
    <mergeCell ref="Z5298:Z5299"/>
    <mergeCell ref="AA5298:AA5299"/>
    <mergeCell ref="AB5298:AB5299"/>
    <mergeCell ref="A5292:A5293"/>
    <mergeCell ref="E5292:E5293"/>
    <mergeCell ref="H5292:H5293"/>
    <mergeCell ref="I5292:I5293"/>
    <mergeCell ref="J5292:J5293"/>
    <mergeCell ref="K5292:K5293"/>
    <mergeCell ref="L5292:L5293"/>
    <mergeCell ref="M5292:M5293"/>
    <mergeCell ref="N5292:N5293"/>
    <mergeCell ref="O5292:O5293"/>
    <mergeCell ref="X5292:X5293"/>
    <mergeCell ref="Y5292:Y5293"/>
    <mergeCell ref="Z5292:Z5293"/>
    <mergeCell ref="AA5292:AA5293"/>
    <mergeCell ref="AB5292:AB5293"/>
    <mergeCell ref="A5294:A5295"/>
    <mergeCell ref="E5294:E5295"/>
    <mergeCell ref="H5294:H5295"/>
    <mergeCell ref="I5294:I5295"/>
    <mergeCell ref="J5294:J5295"/>
    <mergeCell ref="K5294:K5295"/>
    <mergeCell ref="L5294:L5295"/>
    <mergeCell ref="M5294:M5295"/>
    <mergeCell ref="N5294:N5295"/>
    <mergeCell ref="O5294:O5295"/>
    <mergeCell ref="X5294:X5295"/>
    <mergeCell ref="Y5294:Y5295"/>
    <mergeCell ref="Z5294:Z5295"/>
    <mergeCell ref="AA5294:AA5295"/>
    <mergeCell ref="AB5294:AB5295"/>
    <mergeCell ref="A5288:A5289"/>
    <mergeCell ref="E5288:E5289"/>
    <mergeCell ref="H5288:H5289"/>
    <mergeCell ref="I5288:I5289"/>
    <mergeCell ref="J5288:J5289"/>
    <mergeCell ref="K5288:K5289"/>
    <mergeCell ref="L5288:L5289"/>
    <mergeCell ref="M5288:M5289"/>
    <mergeCell ref="N5288:N5289"/>
    <mergeCell ref="O5288:O5289"/>
    <mergeCell ref="X5288:X5289"/>
    <mergeCell ref="Y5288:Y5289"/>
    <mergeCell ref="Z5288:Z5289"/>
    <mergeCell ref="AA5288:AA5289"/>
    <mergeCell ref="AB5288:AB5289"/>
    <mergeCell ref="A5290:A5291"/>
    <mergeCell ref="E5290:E5291"/>
    <mergeCell ref="H5290:H5291"/>
    <mergeCell ref="I5290:I5291"/>
    <mergeCell ref="J5290:J5291"/>
    <mergeCell ref="K5290:K5291"/>
    <mergeCell ref="L5290:L5291"/>
    <mergeCell ref="M5290:M5291"/>
    <mergeCell ref="N5290:N5291"/>
    <mergeCell ref="O5290:O5291"/>
    <mergeCell ref="X5290:X5291"/>
    <mergeCell ref="Y5290:Y5291"/>
    <mergeCell ref="Z5290:Z5291"/>
    <mergeCell ref="AA5290:AA5291"/>
    <mergeCell ref="AB5290:AB5291"/>
    <mergeCell ref="A5284:A5285"/>
    <mergeCell ref="E5284:E5285"/>
    <mergeCell ref="H5284:H5285"/>
    <mergeCell ref="I5284:I5285"/>
    <mergeCell ref="J5284:J5285"/>
    <mergeCell ref="K5284:K5285"/>
    <mergeCell ref="L5284:L5285"/>
    <mergeCell ref="M5284:M5285"/>
    <mergeCell ref="N5284:N5285"/>
    <mergeCell ref="O5284:O5285"/>
    <mergeCell ref="X5284:X5285"/>
    <mergeCell ref="Y5284:Y5285"/>
    <mergeCell ref="Z5284:Z5285"/>
    <mergeCell ref="AA5284:AA5285"/>
    <mergeCell ref="AB5284:AB5285"/>
    <mergeCell ref="A5286:A5287"/>
    <mergeCell ref="E5286:E5287"/>
    <mergeCell ref="H5286:H5287"/>
    <mergeCell ref="I5286:I5287"/>
    <mergeCell ref="J5286:J5287"/>
    <mergeCell ref="K5286:K5287"/>
    <mergeCell ref="L5286:L5287"/>
    <mergeCell ref="M5286:M5287"/>
    <mergeCell ref="N5286:N5287"/>
    <mergeCell ref="O5286:O5287"/>
    <mergeCell ref="X5286:X5287"/>
    <mergeCell ref="Y5286:Y5287"/>
    <mergeCell ref="Z5286:Z5287"/>
    <mergeCell ref="AA5286:AA5287"/>
    <mergeCell ref="AB5286:AB5287"/>
    <mergeCell ref="A5280:A5281"/>
    <mergeCell ref="E5280:E5281"/>
    <mergeCell ref="H5280:H5281"/>
    <mergeCell ref="I5280:I5281"/>
    <mergeCell ref="J5280:J5281"/>
    <mergeCell ref="K5280:K5281"/>
    <mergeCell ref="L5280:L5281"/>
    <mergeCell ref="M5280:M5281"/>
    <mergeCell ref="N5280:N5281"/>
    <mergeCell ref="O5280:O5281"/>
    <mergeCell ref="X5280:X5281"/>
    <mergeCell ref="Y5280:Y5281"/>
    <mergeCell ref="Z5280:Z5281"/>
    <mergeCell ref="AA5280:AA5281"/>
    <mergeCell ref="AB5280:AB5281"/>
    <mergeCell ref="A5282:A5283"/>
    <mergeCell ref="E5282:E5283"/>
    <mergeCell ref="H5282:H5283"/>
    <mergeCell ref="I5282:I5283"/>
    <mergeCell ref="J5282:J5283"/>
    <mergeCell ref="K5282:K5283"/>
    <mergeCell ref="L5282:L5283"/>
    <mergeCell ref="M5282:M5283"/>
    <mergeCell ref="N5282:N5283"/>
    <mergeCell ref="O5282:O5283"/>
    <mergeCell ref="X5282:X5283"/>
    <mergeCell ref="Y5282:Y5283"/>
    <mergeCell ref="Z5282:Z5283"/>
    <mergeCell ref="AA5282:AA5283"/>
    <mergeCell ref="AB5282:AB5283"/>
    <mergeCell ref="A5276:A5277"/>
    <mergeCell ref="E5276:E5277"/>
    <mergeCell ref="H5276:H5277"/>
    <mergeCell ref="I5276:I5277"/>
    <mergeCell ref="J5276:J5277"/>
    <mergeCell ref="K5276:K5277"/>
    <mergeCell ref="L5276:L5277"/>
    <mergeCell ref="M5276:M5277"/>
    <mergeCell ref="N5276:N5277"/>
    <mergeCell ref="O5276:O5277"/>
    <mergeCell ref="X5276:X5277"/>
    <mergeCell ref="Y5276:Y5277"/>
    <mergeCell ref="Z5276:Z5277"/>
    <mergeCell ref="AA5276:AA5277"/>
    <mergeCell ref="AB5276:AB5277"/>
    <mergeCell ref="A5278:A5279"/>
    <mergeCell ref="E5278:E5279"/>
    <mergeCell ref="H5278:H5279"/>
    <mergeCell ref="I5278:I5279"/>
    <mergeCell ref="J5278:J5279"/>
    <mergeCell ref="K5278:K5279"/>
    <mergeCell ref="L5278:L5279"/>
    <mergeCell ref="M5278:M5279"/>
    <mergeCell ref="N5278:N5279"/>
    <mergeCell ref="O5278:O5279"/>
    <mergeCell ref="X5278:X5279"/>
    <mergeCell ref="Y5278:Y5279"/>
    <mergeCell ref="Z5278:Z5279"/>
    <mergeCell ref="AA5278:AA5279"/>
    <mergeCell ref="AB5278:AB5279"/>
    <mergeCell ref="A5272:A5273"/>
    <mergeCell ref="E5272:E5273"/>
    <mergeCell ref="H5272:H5273"/>
    <mergeCell ref="I5272:I5273"/>
    <mergeCell ref="J5272:J5273"/>
    <mergeCell ref="K5272:K5273"/>
    <mergeCell ref="L5272:L5273"/>
    <mergeCell ref="M5272:M5273"/>
    <mergeCell ref="N5272:N5273"/>
    <mergeCell ref="O5272:O5273"/>
    <mergeCell ref="X5272:X5273"/>
    <mergeCell ref="Y5272:Y5273"/>
    <mergeCell ref="Z5272:Z5273"/>
    <mergeCell ref="AA5272:AA5273"/>
    <mergeCell ref="AB5272:AB5273"/>
    <mergeCell ref="A5274:A5275"/>
    <mergeCell ref="E5274:E5275"/>
    <mergeCell ref="H5274:H5275"/>
    <mergeCell ref="I5274:I5275"/>
    <mergeCell ref="J5274:J5275"/>
    <mergeCell ref="K5274:K5275"/>
    <mergeCell ref="L5274:L5275"/>
    <mergeCell ref="M5274:M5275"/>
    <mergeCell ref="N5274:N5275"/>
    <mergeCell ref="O5274:O5275"/>
    <mergeCell ref="X5274:X5275"/>
    <mergeCell ref="Y5274:Y5275"/>
    <mergeCell ref="Z5274:Z5275"/>
    <mergeCell ref="AA5274:AA5275"/>
    <mergeCell ref="AB5274:AB5275"/>
    <mergeCell ref="A5268:A5269"/>
    <mergeCell ref="E5268:E5269"/>
    <mergeCell ref="H5268:H5269"/>
    <mergeCell ref="I5268:I5269"/>
    <mergeCell ref="J5268:J5269"/>
    <mergeCell ref="K5268:K5269"/>
    <mergeCell ref="L5268:L5269"/>
    <mergeCell ref="M5268:M5269"/>
    <mergeCell ref="N5268:N5269"/>
    <mergeCell ref="O5268:O5269"/>
    <mergeCell ref="X5268:X5269"/>
    <mergeCell ref="Y5268:Y5269"/>
    <mergeCell ref="Z5268:Z5269"/>
    <mergeCell ref="AA5268:AA5269"/>
    <mergeCell ref="AB5268:AB5269"/>
    <mergeCell ref="A5270:A5271"/>
    <mergeCell ref="E5270:E5271"/>
    <mergeCell ref="H5270:H5271"/>
    <mergeCell ref="I5270:I5271"/>
    <mergeCell ref="J5270:J5271"/>
    <mergeCell ref="K5270:K5271"/>
    <mergeCell ref="L5270:L5271"/>
    <mergeCell ref="M5270:M5271"/>
    <mergeCell ref="N5270:N5271"/>
    <mergeCell ref="O5270:O5271"/>
    <mergeCell ref="X5270:X5271"/>
    <mergeCell ref="Y5270:Y5271"/>
    <mergeCell ref="Z5270:Z5271"/>
    <mergeCell ref="AA5270:AA5271"/>
    <mergeCell ref="AB5270:AB5271"/>
    <mergeCell ref="A5264:A5265"/>
    <mergeCell ref="E5264:E5265"/>
    <mergeCell ref="H5264:H5265"/>
    <mergeCell ref="I5264:I5265"/>
    <mergeCell ref="J5264:J5265"/>
    <mergeCell ref="K5264:K5265"/>
    <mergeCell ref="L5264:L5265"/>
    <mergeCell ref="M5264:M5265"/>
    <mergeCell ref="N5264:N5265"/>
    <mergeCell ref="O5264:O5265"/>
    <mergeCell ref="X5264:X5265"/>
    <mergeCell ref="Y5264:Y5265"/>
    <mergeCell ref="Z5264:Z5265"/>
    <mergeCell ref="AA5264:AA5265"/>
    <mergeCell ref="AB5264:AB5265"/>
    <mergeCell ref="A5266:A5267"/>
    <mergeCell ref="E5266:E5267"/>
    <mergeCell ref="H5266:H5267"/>
    <mergeCell ref="I5266:I5267"/>
    <mergeCell ref="J5266:J5267"/>
    <mergeCell ref="K5266:K5267"/>
    <mergeCell ref="L5266:L5267"/>
    <mergeCell ref="M5266:M5267"/>
    <mergeCell ref="N5266:N5267"/>
    <mergeCell ref="O5266:O5267"/>
    <mergeCell ref="X5266:X5267"/>
    <mergeCell ref="Y5266:Y5267"/>
    <mergeCell ref="Z5266:Z5267"/>
    <mergeCell ref="AA5266:AA5267"/>
    <mergeCell ref="AB5266:AB5267"/>
    <mergeCell ref="A5260:A5261"/>
    <mergeCell ref="E5260:E5261"/>
    <mergeCell ref="H5260:H5261"/>
    <mergeCell ref="I5260:I5261"/>
    <mergeCell ref="J5260:J5261"/>
    <mergeCell ref="K5260:K5261"/>
    <mergeCell ref="L5260:L5261"/>
    <mergeCell ref="M5260:M5261"/>
    <mergeCell ref="N5260:N5261"/>
    <mergeCell ref="O5260:O5261"/>
    <mergeCell ref="X5260:X5261"/>
    <mergeCell ref="Y5260:Y5261"/>
    <mergeCell ref="Z5260:Z5261"/>
    <mergeCell ref="AA5260:AA5261"/>
    <mergeCell ref="AB5260:AB5261"/>
    <mergeCell ref="A5262:A5263"/>
    <mergeCell ref="E5262:E5263"/>
    <mergeCell ref="H5262:H5263"/>
    <mergeCell ref="I5262:I5263"/>
    <mergeCell ref="J5262:J5263"/>
    <mergeCell ref="K5262:K5263"/>
    <mergeCell ref="L5262:L5263"/>
    <mergeCell ref="M5262:M5263"/>
    <mergeCell ref="N5262:N5263"/>
    <mergeCell ref="O5262:O5263"/>
    <mergeCell ref="X5262:X5263"/>
    <mergeCell ref="Y5262:Y5263"/>
    <mergeCell ref="Z5262:Z5263"/>
    <mergeCell ref="AA5262:AA5263"/>
    <mergeCell ref="AB5262:AB5263"/>
    <mergeCell ref="A5256:A5257"/>
    <mergeCell ref="E5256:E5257"/>
    <mergeCell ref="H5256:H5257"/>
    <mergeCell ref="I5256:I5257"/>
    <mergeCell ref="J5256:J5257"/>
    <mergeCell ref="K5256:K5257"/>
    <mergeCell ref="L5256:L5257"/>
    <mergeCell ref="M5256:M5257"/>
    <mergeCell ref="N5256:N5257"/>
    <mergeCell ref="O5256:O5257"/>
    <mergeCell ref="X5256:X5257"/>
    <mergeCell ref="Y5256:Y5257"/>
    <mergeCell ref="Z5256:Z5257"/>
    <mergeCell ref="AA5256:AA5257"/>
    <mergeCell ref="AB5256:AB5257"/>
    <mergeCell ref="A5258:A5259"/>
    <mergeCell ref="E5258:E5259"/>
    <mergeCell ref="H5258:H5259"/>
    <mergeCell ref="I5258:I5259"/>
    <mergeCell ref="J5258:J5259"/>
    <mergeCell ref="K5258:K5259"/>
    <mergeCell ref="L5258:L5259"/>
    <mergeCell ref="M5258:M5259"/>
    <mergeCell ref="N5258:N5259"/>
    <mergeCell ref="O5258:O5259"/>
    <mergeCell ref="X5258:X5259"/>
    <mergeCell ref="Y5258:Y5259"/>
    <mergeCell ref="Z5258:Z5259"/>
    <mergeCell ref="AA5258:AA5259"/>
    <mergeCell ref="AB5258:AB5259"/>
    <mergeCell ref="A5252:A5253"/>
    <mergeCell ref="E5252:E5253"/>
    <mergeCell ref="H5252:H5253"/>
    <mergeCell ref="I5252:I5253"/>
    <mergeCell ref="J5252:J5253"/>
    <mergeCell ref="K5252:K5253"/>
    <mergeCell ref="L5252:L5253"/>
    <mergeCell ref="M5252:M5253"/>
    <mergeCell ref="N5252:N5253"/>
    <mergeCell ref="O5252:O5253"/>
    <mergeCell ref="X5252:X5253"/>
    <mergeCell ref="Y5252:Y5253"/>
    <mergeCell ref="Z5252:Z5253"/>
    <mergeCell ref="AA5252:AA5253"/>
    <mergeCell ref="AB5252:AB5253"/>
    <mergeCell ref="A5254:A5255"/>
    <mergeCell ref="E5254:E5255"/>
    <mergeCell ref="H5254:H5255"/>
    <mergeCell ref="I5254:I5255"/>
    <mergeCell ref="J5254:J5255"/>
    <mergeCell ref="K5254:K5255"/>
    <mergeCell ref="L5254:L5255"/>
    <mergeCell ref="M5254:M5255"/>
    <mergeCell ref="N5254:N5255"/>
    <mergeCell ref="O5254:O5255"/>
    <mergeCell ref="X5254:X5255"/>
    <mergeCell ref="Y5254:Y5255"/>
    <mergeCell ref="Z5254:Z5255"/>
    <mergeCell ref="AA5254:AA5255"/>
    <mergeCell ref="AB5254:AB5255"/>
    <mergeCell ref="A5248:A5249"/>
    <mergeCell ref="E5248:E5249"/>
    <mergeCell ref="H5248:H5249"/>
    <mergeCell ref="I5248:I5249"/>
    <mergeCell ref="J5248:J5249"/>
    <mergeCell ref="K5248:K5249"/>
    <mergeCell ref="L5248:L5249"/>
    <mergeCell ref="M5248:M5249"/>
    <mergeCell ref="N5248:N5249"/>
    <mergeCell ref="O5248:O5249"/>
    <mergeCell ref="X5248:X5249"/>
    <mergeCell ref="Y5248:Y5249"/>
    <mergeCell ref="Z5248:Z5249"/>
    <mergeCell ref="AA5248:AA5249"/>
    <mergeCell ref="AB5248:AB5249"/>
    <mergeCell ref="A5250:A5251"/>
    <mergeCell ref="E5250:E5251"/>
    <mergeCell ref="H5250:H5251"/>
    <mergeCell ref="I5250:I5251"/>
    <mergeCell ref="J5250:J5251"/>
    <mergeCell ref="K5250:K5251"/>
    <mergeCell ref="L5250:L5251"/>
    <mergeCell ref="M5250:M5251"/>
    <mergeCell ref="N5250:N5251"/>
    <mergeCell ref="O5250:O5251"/>
    <mergeCell ref="X5250:X5251"/>
    <mergeCell ref="Y5250:Y5251"/>
    <mergeCell ref="Z5250:Z5251"/>
    <mergeCell ref="AA5250:AA5251"/>
    <mergeCell ref="AB5250:AB5251"/>
    <mergeCell ref="A5244:A5245"/>
    <mergeCell ref="E5244:E5245"/>
    <mergeCell ref="H5244:H5245"/>
    <mergeCell ref="I5244:I5245"/>
    <mergeCell ref="J5244:J5245"/>
    <mergeCell ref="K5244:K5245"/>
    <mergeCell ref="L5244:L5245"/>
    <mergeCell ref="M5244:M5245"/>
    <mergeCell ref="N5244:N5245"/>
    <mergeCell ref="O5244:O5245"/>
    <mergeCell ref="X5244:X5245"/>
    <mergeCell ref="Y5244:Y5245"/>
    <mergeCell ref="Z5244:Z5245"/>
    <mergeCell ref="AA5244:AA5245"/>
    <mergeCell ref="AB5244:AB5245"/>
    <mergeCell ref="A5246:A5247"/>
    <mergeCell ref="E5246:E5247"/>
    <mergeCell ref="H5246:H5247"/>
    <mergeCell ref="I5246:I5247"/>
    <mergeCell ref="J5246:J5247"/>
    <mergeCell ref="K5246:K5247"/>
    <mergeCell ref="L5246:L5247"/>
    <mergeCell ref="M5246:M5247"/>
    <mergeCell ref="N5246:N5247"/>
    <mergeCell ref="O5246:O5247"/>
    <mergeCell ref="X5246:X5247"/>
    <mergeCell ref="Y5246:Y5247"/>
    <mergeCell ref="Z5246:Z5247"/>
    <mergeCell ref="AA5246:AA5247"/>
    <mergeCell ref="AB5246:AB5247"/>
    <mergeCell ref="A5240:A5241"/>
    <mergeCell ref="E5240:E5241"/>
    <mergeCell ref="H5240:H5241"/>
    <mergeCell ref="I5240:I5241"/>
    <mergeCell ref="J5240:J5241"/>
    <mergeCell ref="K5240:K5241"/>
    <mergeCell ref="L5240:L5241"/>
    <mergeCell ref="M5240:M5241"/>
    <mergeCell ref="N5240:N5241"/>
    <mergeCell ref="O5240:O5241"/>
    <mergeCell ref="X5240:X5241"/>
    <mergeCell ref="Y5240:Y5241"/>
    <mergeCell ref="Z5240:Z5241"/>
    <mergeCell ref="AA5240:AA5241"/>
    <mergeCell ref="AB5240:AB5241"/>
    <mergeCell ref="A5242:A5243"/>
    <mergeCell ref="E5242:E5243"/>
    <mergeCell ref="H5242:H5243"/>
    <mergeCell ref="I5242:I5243"/>
    <mergeCell ref="J5242:J5243"/>
    <mergeCell ref="K5242:K5243"/>
    <mergeCell ref="L5242:L5243"/>
    <mergeCell ref="M5242:M5243"/>
    <mergeCell ref="N5242:N5243"/>
    <mergeCell ref="O5242:O5243"/>
    <mergeCell ref="X5242:X5243"/>
    <mergeCell ref="Y5242:Y5243"/>
    <mergeCell ref="Z5242:Z5243"/>
    <mergeCell ref="AA5242:AA5243"/>
    <mergeCell ref="AB5242:AB5243"/>
    <mergeCell ref="A5236:A5237"/>
    <mergeCell ref="E5236:E5237"/>
    <mergeCell ref="H5236:H5237"/>
    <mergeCell ref="I5236:I5237"/>
    <mergeCell ref="J5236:J5237"/>
    <mergeCell ref="K5236:K5237"/>
    <mergeCell ref="L5236:L5237"/>
    <mergeCell ref="M5236:M5237"/>
    <mergeCell ref="N5236:N5237"/>
    <mergeCell ref="O5236:O5237"/>
    <mergeCell ref="X5236:X5237"/>
    <mergeCell ref="Y5236:Y5237"/>
    <mergeCell ref="Z5236:Z5237"/>
    <mergeCell ref="AA5236:AA5237"/>
    <mergeCell ref="AB5236:AB5237"/>
    <mergeCell ref="A5238:A5239"/>
    <mergeCell ref="E5238:E5239"/>
    <mergeCell ref="H5238:H5239"/>
    <mergeCell ref="I5238:I5239"/>
    <mergeCell ref="J5238:J5239"/>
    <mergeCell ref="K5238:K5239"/>
    <mergeCell ref="L5238:L5239"/>
    <mergeCell ref="M5238:M5239"/>
    <mergeCell ref="N5238:N5239"/>
    <mergeCell ref="O5238:O5239"/>
    <mergeCell ref="X5238:X5239"/>
    <mergeCell ref="Y5238:Y5239"/>
    <mergeCell ref="Z5238:Z5239"/>
    <mergeCell ref="AA5238:AA5239"/>
    <mergeCell ref="AB5238:AB5239"/>
    <mergeCell ref="A5232:A5233"/>
    <mergeCell ref="E5232:E5233"/>
    <mergeCell ref="H5232:H5233"/>
    <mergeCell ref="I5232:I5233"/>
    <mergeCell ref="J5232:J5233"/>
    <mergeCell ref="K5232:K5233"/>
    <mergeCell ref="L5232:L5233"/>
    <mergeCell ref="M5232:M5233"/>
    <mergeCell ref="N5232:N5233"/>
    <mergeCell ref="O5232:O5233"/>
    <mergeCell ref="X5232:X5233"/>
    <mergeCell ref="Y5232:Y5233"/>
    <mergeCell ref="Z5232:Z5233"/>
    <mergeCell ref="AA5232:AA5233"/>
    <mergeCell ref="AB5232:AB5233"/>
    <mergeCell ref="A5234:A5235"/>
    <mergeCell ref="E5234:E5235"/>
    <mergeCell ref="H5234:H5235"/>
    <mergeCell ref="I5234:I5235"/>
    <mergeCell ref="J5234:J5235"/>
    <mergeCell ref="K5234:K5235"/>
    <mergeCell ref="L5234:L5235"/>
    <mergeCell ref="M5234:M5235"/>
    <mergeCell ref="N5234:N5235"/>
    <mergeCell ref="O5234:O5235"/>
    <mergeCell ref="X5234:X5235"/>
    <mergeCell ref="Y5234:Y5235"/>
    <mergeCell ref="Z5234:Z5235"/>
    <mergeCell ref="AA5234:AA5235"/>
    <mergeCell ref="AB5234:AB5235"/>
    <mergeCell ref="A5228:A5229"/>
    <mergeCell ref="E5228:E5229"/>
    <mergeCell ref="H5228:H5229"/>
    <mergeCell ref="I5228:I5229"/>
    <mergeCell ref="J5228:J5229"/>
    <mergeCell ref="K5228:K5229"/>
    <mergeCell ref="L5228:L5229"/>
    <mergeCell ref="M5228:M5229"/>
    <mergeCell ref="N5228:N5229"/>
    <mergeCell ref="O5228:O5229"/>
    <mergeCell ref="X5228:X5229"/>
    <mergeCell ref="Y5228:Y5229"/>
    <mergeCell ref="Z5228:Z5229"/>
    <mergeCell ref="AA5228:AA5229"/>
    <mergeCell ref="AB5228:AB5229"/>
    <mergeCell ref="A5230:A5231"/>
    <mergeCell ref="E5230:E5231"/>
    <mergeCell ref="H5230:H5231"/>
    <mergeCell ref="I5230:I5231"/>
    <mergeCell ref="J5230:J5231"/>
    <mergeCell ref="K5230:K5231"/>
    <mergeCell ref="L5230:L5231"/>
    <mergeCell ref="M5230:M5231"/>
    <mergeCell ref="N5230:N5231"/>
    <mergeCell ref="O5230:O5231"/>
    <mergeCell ref="X5230:X5231"/>
    <mergeCell ref="Y5230:Y5231"/>
    <mergeCell ref="Z5230:Z5231"/>
    <mergeCell ref="AA5230:AA5231"/>
    <mergeCell ref="AB5230:AB5231"/>
    <mergeCell ref="A5224:A5225"/>
    <mergeCell ref="E5224:E5225"/>
    <mergeCell ref="H5224:H5225"/>
    <mergeCell ref="I5224:I5225"/>
    <mergeCell ref="J5224:J5225"/>
    <mergeCell ref="K5224:K5225"/>
    <mergeCell ref="L5224:L5225"/>
    <mergeCell ref="M5224:M5225"/>
    <mergeCell ref="N5224:N5225"/>
    <mergeCell ref="O5224:O5225"/>
    <mergeCell ref="X5224:X5225"/>
    <mergeCell ref="Y5224:Y5225"/>
    <mergeCell ref="Z5224:Z5225"/>
    <mergeCell ref="AA5224:AA5225"/>
    <mergeCell ref="AB5224:AB5225"/>
    <mergeCell ref="A5226:A5227"/>
    <mergeCell ref="E5226:E5227"/>
    <mergeCell ref="H5226:H5227"/>
    <mergeCell ref="I5226:I5227"/>
    <mergeCell ref="J5226:J5227"/>
    <mergeCell ref="K5226:K5227"/>
    <mergeCell ref="L5226:L5227"/>
    <mergeCell ref="M5226:M5227"/>
    <mergeCell ref="N5226:N5227"/>
    <mergeCell ref="O5226:O5227"/>
    <mergeCell ref="X5226:X5227"/>
    <mergeCell ref="Y5226:Y5227"/>
    <mergeCell ref="Z5226:Z5227"/>
    <mergeCell ref="AA5226:AA5227"/>
    <mergeCell ref="AB5226:AB5227"/>
    <mergeCell ref="A5220:A5221"/>
    <mergeCell ref="E5220:E5221"/>
    <mergeCell ref="H5220:H5221"/>
    <mergeCell ref="I5220:I5221"/>
    <mergeCell ref="J5220:J5221"/>
    <mergeCell ref="K5220:K5221"/>
    <mergeCell ref="L5220:L5221"/>
    <mergeCell ref="M5220:M5221"/>
    <mergeCell ref="N5220:N5221"/>
    <mergeCell ref="O5220:O5221"/>
    <mergeCell ref="X5220:X5221"/>
    <mergeCell ref="Y5220:Y5221"/>
    <mergeCell ref="Z5220:Z5221"/>
    <mergeCell ref="AA5220:AA5221"/>
    <mergeCell ref="AB5220:AB5221"/>
    <mergeCell ref="A5222:A5223"/>
    <mergeCell ref="E5222:E5223"/>
    <mergeCell ref="H5222:H5223"/>
    <mergeCell ref="I5222:I5223"/>
    <mergeCell ref="J5222:J5223"/>
    <mergeCell ref="K5222:K5223"/>
    <mergeCell ref="L5222:L5223"/>
    <mergeCell ref="M5222:M5223"/>
    <mergeCell ref="N5222:N5223"/>
    <mergeCell ref="O5222:O5223"/>
    <mergeCell ref="X5222:X5223"/>
    <mergeCell ref="Y5222:Y5223"/>
    <mergeCell ref="Z5222:Z5223"/>
    <mergeCell ref="AA5222:AA5223"/>
    <mergeCell ref="AB5222:AB5223"/>
    <mergeCell ref="A5216:A5217"/>
    <mergeCell ref="E5216:E5217"/>
    <mergeCell ref="H5216:H5217"/>
    <mergeCell ref="I5216:I5217"/>
    <mergeCell ref="J5216:J5217"/>
    <mergeCell ref="K5216:K5217"/>
    <mergeCell ref="L5216:L5217"/>
    <mergeCell ref="M5216:M5217"/>
    <mergeCell ref="N5216:N5217"/>
    <mergeCell ref="O5216:O5217"/>
    <mergeCell ref="X5216:X5217"/>
    <mergeCell ref="Y5216:Y5217"/>
    <mergeCell ref="Z5216:Z5217"/>
    <mergeCell ref="AA5216:AA5217"/>
    <mergeCell ref="AB5216:AB5217"/>
    <mergeCell ref="A5218:A5219"/>
    <mergeCell ref="E5218:E5219"/>
    <mergeCell ref="H5218:H5219"/>
    <mergeCell ref="I5218:I5219"/>
    <mergeCell ref="J5218:J5219"/>
    <mergeCell ref="K5218:K5219"/>
    <mergeCell ref="L5218:L5219"/>
    <mergeCell ref="M5218:M5219"/>
    <mergeCell ref="N5218:N5219"/>
    <mergeCell ref="O5218:O5219"/>
    <mergeCell ref="X5218:X5219"/>
    <mergeCell ref="Y5218:Y5219"/>
    <mergeCell ref="Z5218:Z5219"/>
    <mergeCell ref="AA5218:AA5219"/>
    <mergeCell ref="AB5218:AB5219"/>
    <mergeCell ref="A5212:A5213"/>
    <mergeCell ref="E5212:E5213"/>
    <mergeCell ref="H5212:H5213"/>
    <mergeCell ref="I5212:I5213"/>
    <mergeCell ref="J5212:J5213"/>
    <mergeCell ref="K5212:K5213"/>
    <mergeCell ref="L5212:L5213"/>
    <mergeCell ref="M5212:M5213"/>
    <mergeCell ref="N5212:N5213"/>
    <mergeCell ref="O5212:O5213"/>
    <mergeCell ref="X5212:X5213"/>
    <mergeCell ref="Y5212:Y5213"/>
    <mergeCell ref="Z5212:Z5213"/>
    <mergeCell ref="AA5212:AA5213"/>
    <mergeCell ref="AB5212:AB5213"/>
    <mergeCell ref="A5214:A5215"/>
    <mergeCell ref="E5214:E5215"/>
    <mergeCell ref="H5214:H5215"/>
    <mergeCell ref="I5214:I5215"/>
    <mergeCell ref="J5214:J5215"/>
    <mergeCell ref="K5214:K5215"/>
    <mergeCell ref="L5214:L5215"/>
    <mergeCell ref="M5214:M5215"/>
    <mergeCell ref="N5214:N5215"/>
    <mergeCell ref="O5214:O5215"/>
    <mergeCell ref="X5214:X5215"/>
    <mergeCell ref="Y5214:Y5215"/>
    <mergeCell ref="Z5214:Z5215"/>
    <mergeCell ref="AA5214:AA5215"/>
    <mergeCell ref="AB5214:AB5215"/>
    <mergeCell ref="A5208:A5209"/>
    <mergeCell ref="E5208:E5209"/>
    <mergeCell ref="H5208:H5209"/>
    <mergeCell ref="I5208:I5209"/>
    <mergeCell ref="J5208:J5209"/>
    <mergeCell ref="K5208:K5209"/>
    <mergeCell ref="L5208:L5209"/>
    <mergeCell ref="M5208:M5209"/>
    <mergeCell ref="N5208:N5209"/>
    <mergeCell ref="O5208:O5209"/>
    <mergeCell ref="X5208:X5209"/>
    <mergeCell ref="Y5208:Y5209"/>
    <mergeCell ref="Z5208:Z5209"/>
    <mergeCell ref="AA5208:AA5209"/>
    <mergeCell ref="AB5208:AB5209"/>
    <mergeCell ref="A5210:A5211"/>
    <mergeCell ref="E5210:E5211"/>
    <mergeCell ref="H5210:H5211"/>
    <mergeCell ref="I5210:I5211"/>
    <mergeCell ref="J5210:J5211"/>
    <mergeCell ref="K5210:K5211"/>
    <mergeCell ref="L5210:L5211"/>
    <mergeCell ref="M5210:M5211"/>
    <mergeCell ref="N5210:N5211"/>
    <mergeCell ref="O5210:O5211"/>
    <mergeCell ref="X5210:X5211"/>
    <mergeCell ref="Y5210:Y5211"/>
    <mergeCell ref="Z5210:Z5211"/>
    <mergeCell ref="AA5210:AA5211"/>
    <mergeCell ref="AB5210:AB5211"/>
    <mergeCell ref="A5204:A5205"/>
    <mergeCell ref="E5204:E5205"/>
    <mergeCell ref="H5204:H5205"/>
    <mergeCell ref="I5204:I5205"/>
    <mergeCell ref="J5204:J5205"/>
    <mergeCell ref="K5204:K5205"/>
    <mergeCell ref="L5204:L5205"/>
    <mergeCell ref="M5204:M5205"/>
    <mergeCell ref="N5204:N5205"/>
    <mergeCell ref="O5204:O5205"/>
    <mergeCell ref="X5204:X5205"/>
    <mergeCell ref="Y5204:Y5205"/>
    <mergeCell ref="Z5204:Z5205"/>
    <mergeCell ref="AA5204:AA5205"/>
    <mergeCell ref="AB5204:AB5205"/>
    <mergeCell ref="A5206:A5207"/>
    <mergeCell ref="E5206:E5207"/>
    <mergeCell ref="H5206:H5207"/>
    <mergeCell ref="I5206:I5207"/>
    <mergeCell ref="J5206:J5207"/>
    <mergeCell ref="K5206:K5207"/>
    <mergeCell ref="L5206:L5207"/>
    <mergeCell ref="M5206:M5207"/>
    <mergeCell ref="N5206:N5207"/>
    <mergeCell ref="O5206:O5207"/>
    <mergeCell ref="X5206:X5207"/>
    <mergeCell ref="Y5206:Y5207"/>
    <mergeCell ref="Z5206:Z5207"/>
    <mergeCell ref="AA5206:AA5207"/>
    <mergeCell ref="AB5206:AB5207"/>
    <mergeCell ref="A5200:A5201"/>
    <mergeCell ref="E5200:E5201"/>
    <mergeCell ref="H5200:H5201"/>
    <mergeCell ref="I5200:I5201"/>
    <mergeCell ref="J5200:J5201"/>
    <mergeCell ref="K5200:K5201"/>
    <mergeCell ref="L5200:L5201"/>
    <mergeCell ref="M5200:M5201"/>
    <mergeCell ref="N5200:N5201"/>
    <mergeCell ref="O5200:O5201"/>
    <mergeCell ref="X5200:X5201"/>
    <mergeCell ref="Y5200:Y5201"/>
    <mergeCell ref="Z5200:Z5201"/>
    <mergeCell ref="AA5200:AA5201"/>
    <mergeCell ref="AB5200:AB5201"/>
    <mergeCell ref="A5202:A5203"/>
    <mergeCell ref="E5202:E5203"/>
    <mergeCell ref="H5202:H5203"/>
    <mergeCell ref="I5202:I5203"/>
    <mergeCell ref="J5202:J5203"/>
    <mergeCell ref="K5202:K5203"/>
    <mergeCell ref="L5202:L5203"/>
    <mergeCell ref="M5202:M5203"/>
    <mergeCell ref="N5202:N5203"/>
    <mergeCell ref="O5202:O5203"/>
    <mergeCell ref="X5202:X5203"/>
    <mergeCell ref="Y5202:Y5203"/>
    <mergeCell ref="Z5202:Z5203"/>
    <mergeCell ref="AA5202:AA5203"/>
    <mergeCell ref="AB5202:AB5203"/>
    <mergeCell ref="A5196:A5197"/>
    <mergeCell ref="E5196:E5197"/>
    <mergeCell ref="H5196:H5197"/>
    <mergeCell ref="I5196:I5197"/>
    <mergeCell ref="J5196:J5197"/>
    <mergeCell ref="K5196:K5197"/>
    <mergeCell ref="L5196:L5197"/>
    <mergeCell ref="M5196:M5197"/>
    <mergeCell ref="N5196:N5197"/>
    <mergeCell ref="O5196:O5197"/>
    <mergeCell ref="X5196:X5197"/>
    <mergeCell ref="Y5196:Y5197"/>
    <mergeCell ref="Z5196:Z5197"/>
    <mergeCell ref="AA5196:AA5197"/>
    <mergeCell ref="AB5196:AB5197"/>
    <mergeCell ref="A5198:A5199"/>
    <mergeCell ref="E5198:E5199"/>
    <mergeCell ref="H5198:H5199"/>
    <mergeCell ref="I5198:I5199"/>
    <mergeCell ref="J5198:J5199"/>
    <mergeCell ref="K5198:K5199"/>
    <mergeCell ref="L5198:L5199"/>
    <mergeCell ref="M5198:M5199"/>
    <mergeCell ref="N5198:N5199"/>
    <mergeCell ref="O5198:O5199"/>
    <mergeCell ref="X5198:X5199"/>
    <mergeCell ref="Y5198:Y5199"/>
    <mergeCell ref="Z5198:Z5199"/>
    <mergeCell ref="AA5198:AA5199"/>
    <mergeCell ref="AB5198:AB5199"/>
    <mergeCell ref="A5192:A5193"/>
    <mergeCell ref="E5192:E5193"/>
    <mergeCell ref="H5192:H5193"/>
    <mergeCell ref="I5192:I5193"/>
    <mergeCell ref="J5192:J5193"/>
    <mergeCell ref="K5192:K5193"/>
    <mergeCell ref="L5192:L5193"/>
    <mergeCell ref="M5192:M5193"/>
    <mergeCell ref="N5192:N5193"/>
    <mergeCell ref="O5192:O5193"/>
    <mergeCell ref="X5192:X5193"/>
    <mergeCell ref="Y5192:Y5193"/>
    <mergeCell ref="Z5192:Z5193"/>
    <mergeCell ref="AA5192:AA5193"/>
    <mergeCell ref="AB5192:AB5193"/>
    <mergeCell ref="A5194:A5195"/>
    <mergeCell ref="E5194:E5195"/>
    <mergeCell ref="H5194:H5195"/>
    <mergeCell ref="I5194:I5195"/>
    <mergeCell ref="J5194:J5195"/>
    <mergeCell ref="K5194:K5195"/>
    <mergeCell ref="L5194:L5195"/>
    <mergeCell ref="M5194:M5195"/>
    <mergeCell ref="N5194:N5195"/>
    <mergeCell ref="O5194:O5195"/>
    <mergeCell ref="X5194:X5195"/>
    <mergeCell ref="Y5194:Y5195"/>
    <mergeCell ref="Z5194:Z5195"/>
    <mergeCell ref="AA5194:AA5195"/>
    <mergeCell ref="AB5194:AB5195"/>
    <mergeCell ref="A5188:A5189"/>
    <mergeCell ref="E5188:E5189"/>
    <mergeCell ref="H5188:H5189"/>
    <mergeCell ref="I5188:I5189"/>
    <mergeCell ref="J5188:J5189"/>
    <mergeCell ref="K5188:K5189"/>
    <mergeCell ref="L5188:L5189"/>
    <mergeCell ref="M5188:M5189"/>
    <mergeCell ref="N5188:N5189"/>
    <mergeCell ref="O5188:O5189"/>
    <mergeCell ref="X5188:X5189"/>
    <mergeCell ref="Y5188:Y5189"/>
    <mergeCell ref="Z5188:Z5189"/>
    <mergeCell ref="AA5188:AA5189"/>
    <mergeCell ref="AB5188:AB5189"/>
    <mergeCell ref="A5190:A5191"/>
    <mergeCell ref="E5190:E5191"/>
    <mergeCell ref="H5190:H5191"/>
    <mergeCell ref="I5190:I5191"/>
    <mergeCell ref="J5190:J5191"/>
    <mergeCell ref="K5190:K5191"/>
    <mergeCell ref="L5190:L5191"/>
    <mergeCell ref="M5190:M5191"/>
    <mergeCell ref="N5190:N5191"/>
    <mergeCell ref="O5190:O5191"/>
    <mergeCell ref="X5190:X5191"/>
    <mergeCell ref="Y5190:Y5191"/>
    <mergeCell ref="Z5190:Z5191"/>
    <mergeCell ref="AA5190:AA5191"/>
    <mergeCell ref="AB5190:AB5191"/>
    <mergeCell ref="A5184:A5185"/>
    <mergeCell ref="E5184:E5185"/>
    <mergeCell ref="H5184:H5185"/>
    <mergeCell ref="I5184:I5185"/>
    <mergeCell ref="J5184:J5185"/>
    <mergeCell ref="K5184:K5185"/>
    <mergeCell ref="L5184:L5185"/>
    <mergeCell ref="M5184:M5185"/>
    <mergeCell ref="N5184:N5185"/>
    <mergeCell ref="O5184:O5185"/>
    <mergeCell ref="X5184:X5185"/>
    <mergeCell ref="Y5184:Y5185"/>
    <mergeCell ref="Z5184:Z5185"/>
    <mergeCell ref="AA5184:AA5185"/>
    <mergeCell ref="AB5184:AB5185"/>
    <mergeCell ref="A5186:A5187"/>
    <mergeCell ref="E5186:E5187"/>
    <mergeCell ref="H5186:H5187"/>
    <mergeCell ref="I5186:I5187"/>
    <mergeCell ref="J5186:J5187"/>
    <mergeCell ref="K5186:K5187"/>
    <mergeCell ref="L5186:L5187"/>
    <mergeCell ref="M5186:M5187"/>
    <mergeCell ref="N5186:N5187"/>
    <mergeCell ref="O5186:O5187"/>
    <mergeCell ref="X5186:X5187"/>
    <mergeCell ref="Y5186:Y5187"/>
    <mergeCell ref="Z5186:Z5187"/>
    <mergeCell ref="AA5186:AA5187"/>
    <mergeCell ref="AB5186:AB5187"/>
    <mergeCell ref="A5180:A5181"/>
    <mergeCell ref="E5180:E5181"/>
    <mergeCell ref="H5180:H5181"/>
    <mergeCell ref="I5180:I5181"/>
    <mergeCell ref="J5180:J5181"/>
    <mergeCell ref="K5180:K5181"/>
    <mergeCell ref="L5180:L5181"/>
    <mergeCell ref="M5180:M5181"/>
    <mergeCell ref="N5180:N5181"/>
    <mergeCell ref="O5180:O5181"/>
    <mergeCell ref="X5180:X5181"/>
    <mergeCell ref="Y5180:Y5181"/>
    <mergeCell ref="Z5180:Z5181"/>
    <mergeCell ref="AA5180:AA5181"/>
    <mergeCell ref="AB5180:AB5181"/>
    <mergeCell ref="A5182:A5183"/>
    <mergeCell ref="E5182:E5183"/>
    <mergeCell ref="H5182:H5183"/>
    <mergeCell ref="I5182:I5183"/>
    <mergeCell ref="J5182:J5183"/>
    <mergeCell ref="K5182:K5183"/>
    <mergeCell ref="L5182:L5183"/>
    <mergeCell ref="M5182:M5183"/>
    <mergeCell ref="N5182:N5183"/>
    <mergeCell ref="O5182:O5183"/>
    <mergeCell ref="X5182:X5183"/>
    <mergeCell ref="Y5182:Y5183"/>
    <mergeCell ref="Z5182:Z5183"/>
    <mergeCell ref="AA5182:AA5183"/>
    <mergeCell ref="AB5182:AB5183"/>
    <mergeCell ref="A5176:A5177"/>
    <mergeCell ref="E5176:E5177"/>
    <mergeCell ref="H5176:H5177"/>
    <mergeCell ref="I5176:I5177"/>
    <mergeCell ref="J5176:J5177"/>
    <mergeCell ref="K5176:K5177"/>
    <mergeCell ref="L5176:L5177"/>
    <mergeCell ref="M5176:M5177"/>
    <mergeCell ref="N5176:N5177"/>
    <mergeCell ref="O5176:O5177"/>
    <mergeCell ref="X5176:X5177"/>
    <mergeCell ref="Y5176:Y5177"/>
    <mergeCell ref="Z5176:Z5177"/>
    <mergeCell ref="AA5176:AA5177"/>
    <mergeCell ref="AB5176:AB5177"/>
    <mergeCell ref="A5178:A5179"/>
    <mergeCell ref="E5178:E5179"/>
    <mergeCell ref="H5178:H5179"/>
    <mergeCell ref="I5178:I5179"/>
    <mergeCell ref="J5178:J5179"/>
    <mergeCell ref="K5178:K5179"/>
    <mergeCell ref="L5178:L5179"/>
    <mergeCell ref="M5178:M5179"/>
    <mergeCell ref="N5178:N5179"/>
    <mergeCell ref="O5178:O5179"/>
    <mergeCell ref="X5178:X5179"/>
    <mergeCell ref="Y5178:Y5179"/>
    <mergeCell ref="Z5178:Z5179"/>
    <mergeCell ref="AA5178:AA5179"/>
    <mergeCell ref="AB5178:AB5179"/>
    <mergeCell ref="A5172:A5173"/>
    <mergeCell ref="E5172:E5173"/>
    <mergeCell ref="H5172:H5173"/>
    <mergeCell ref="I5172:I5173"/>
    <mergeCell ref="J5172:J5173"/>
    <mergeCell ref="K5172:K5173"/>
    <mergeCell ref="L5172:L5173"/>
    <mergeCell ref="M5172:M5173"/>
    <mergeCell ref="N5172:N5173"/>
    <mergeCell ref="O5172:O5173"/>
    <mergeCell ref="X5172:X5173"/>
    <mergeCell ref="Y5172:Y5173"/>
    <mergeCell ref="Z5172:Z5173"/>
    <mergeCell ref="AA5172:AA5173"/>
    <mergeCell ref="AB5172:AB5173"/>
    <mergeCell ref="A5174:A5175"/>
    <mergeCell ref="E5174:E5175"/>
    <mergeCell ref="H5174:H5175"/>
    <mergeCell ref="I5174:I5175"/>
    <mergeCell ref="J5174:J5175"/>
    <mergeCell ref="K5174:K5175"/>
    <mergeCell ref="L5174:L5175"/>
    <mergeCell ref="M5174:M5175"/>
    <mergeCell ref="N5174:N5175"/>
    <mergeCell ref="O5174:O5175"/>
    <mergeCell ref="X5174:X5175"/>
    <mergeCell ref="Y5174:Y5175"/>
    <mergeCell ref="Z5174:Z5175"/>
    <mergeCell ref="AA5174:AA5175"/>
    <mergeCell ref="AB5174:AB5175"/>
    <mergeCell ref="A5168:A5169"/>
    <mergeCell ref="E5168:E5169"/>
    <mergeCell ref="H5168:H5169"/>
    <mergeCell ref="I5168:I5169"/>
    <mergeCell ref="J5168:J5169"/>
    <mergeCell ref="K5168:K5169"/>
    <mergeCell ref="L5168:L5169"/>
    <mergeCell ref="M5168:M5169"/>
    <mergeCell ref="N5168:N5169"/>
    <mergeCell ref="O5168:O5169"/>
    <mergeCell ref="X5168:X5169"/>
    <mergeCell ref="Y5168:Y5169"/>
    <mergeCell ref="Z5168:Z5169"/>
    <mergeCell ref="AA5168:AA5169"/>
    <mergeCell ref="AB5168:AB5169"/>
    <mergeCell ref="A5170:A5171"/>
    <mergeCell ref="E5170:E5171"/>
    <mergeCell ref="H5170:H5171"/>
    <mergeCell ref="I5170:I5171"/>
    <mergeCell ref="J5170:J5171"/>
    <mergeCell ref="K5170:K5171"/>
    <mergeCell ref="L5170:L5171"/>
    <mergeCell ref="M5170:M5171"/>
    <mergeCell ref="N5170:N5171"/>
    <mergeCell ref="O5170:O5171"/>
    <mergeCell ref="X5170:X5171"/>
    <mergeCell ref="Y5170:Y5171"/>
    <mergeCell ref="Z5170:Z5171"/>
    <mergeCell ref="AA5170:AA5171"/>
    <mergeCell ref="AB5170:AB5171"/>
    <mergeCell ref="A5164:A5165"/>
    <mergeCell ref="E5164:E5165"/>
    <mergeCell ref="H5164:H5165"/>
    <mergeCell ref="I5164:I5165"/>
    <mergeCell ref="J5164:J5165"/>
    <mergeCell ref="K5164:K5165"/>
    <mergeCell ref="L5164:L5165"/>
    <mergeCell ref="M5164:M5165"/>
    <mergeCell ref="N5164:N5165"/>
    <mergeCell ref="O5164:O5165"/>
    <mergeCell ref="X5164:X5165"/>
    <mergeCell ref="Y5164:Y5165"/>
    <mergeCell ref="Z5164:Z5165"/>
    <mergeCell ref="AA5164:AA5165"/>
    <mergeCell ref="AB5164:AB5165"/>
    <mergeCell ref="A5166:A5167"/>
    <mergeCell ref="E5166:E5167"/>
    <mergeCell ref="H5166:H5167"/>
    <mergeCell ref="I5166:I5167"/>
    <mergeCell ref="J5166:J5167"/>
    <mergeCell ref="K5166:K5167"/>
    <mergeCell ref="L5166:L5167"/>
    <mergeCell ref="M5166:M5167"/>
    <mergeCell ref="N5166:N5167"/>
    <mergeCell ref="O5166:O5167"/>
    <mergeCell ref="X5166:X5167"/>
    <mergeCell ref="Y5166:Y5167"/>
    <mergeCell ref="Z5166:Z5167"/>
    <mergeCell ref="AA5166:AA5167"/>
    <mergeCell ref="AB5166:AB5167"/>
    <mergeCell ref="A5160:A5161"/>
    <mergeCell ref="E5160:E5161"/>
    <mergeCell ref="H5160:H5161"/>
    <mergeCell ref="I5160:I5161"/>
    <mergeCell ref="J5160:J5161"/>
    <mergeCell ref="K5160:K5161"/>
    <mergeCell ref="L5160:L5161"/>
    <mergeCell ref="M5160:M5161"/>
    <mergeCell ref="N5160:N5161"/>
    <mergeCell ref="O5160:O5161"/>
    <mergeCell ref="X5160:X5161"/>
    <mergeCell ref="Y5160:Y5161"/>
    <mergeCell ref="Z5160:Z5161"/>
    <mergeCell ref="AA5160:AA5161"/>
    <mergeCell ref="AB5160:AB5161"/>
    <mergeCell ref="A5162:A5163"/>
    <mergeCell ref="E5162:E5163"/>
    <mergeCell ref="H5162:H5163"/>
    <mergeCell ref="I5162:I5163"/>
    <mergeCell ref="J5162:J5163"/>
    <mergeCell ref="K5162:K5163"/>
    <mergeCell ref="L5162:L5163"/>
    <mergeCell ref="M5162:M5163"/>
    <mergeCell ref="N5162:N5163"/>
    <mergeCell ref="O5162:O5163"/>
    <mergeCell ref="X5162:X5163"/>
    <mergeCell ref="Y5162:Y5163"/>
    <mergeCell ref="Z5162:Z5163"/>
    <mergeCell ref="AA5162:AA5163"/>
    <mergeCell ref="AB5162:AB5163"/>
    <mergeCell ref="A5158:A5159"/>
    <mergeCell ref="E5158:E5159"/>
    <mergeCell ref="H5158:H5159"/>
    <mergeCell ref="I5158:I5159"/>
    <mergeCell ref="J5158:J5159"/>
    <mergeCell ref="K5158:K5159"/>
    <mergeCell ref="L5158:L5159"/>
    <mergeCell ref="M5158:M5159"/>
    <mergeCell ref="N5158:N5159"/>
    <mergeCell ref="O5158:O5159"/>
    <mergeCell ref="X5158:X5159"/>
    <mergeCell ref="Y5158:Y5159"/>
    <mergeCell ref="Z5158:Z5159"/>
    <mergeCell ref="AA5158:AA5159"/>
    <mergeCell ref="AB5158:AB5159"/>
    <mergeCell ref="A5154:A5155"/>
    <mergeCell ref="E5154:E5155"/>
    <mergeCell ref="H5154:H5155"/>
    <mergeCell ref="I5154:I5155"/>
    <mergeCell ref="J5154:J5155"/>
    <mergeCell ref="K5154:K5155"/>
    <mergeCell ref="L5154:L5155"/>
    <mergeCell ref="M5154:M5155"/>
    <mergeCell ref="N5154:N5155"/>
    <mergeCell ref="O5154:O5155"/>
    <mergeCell ref="X5154:X5155"/>
    <mergeCell ref="Y5154:Y5155"/>
    <mergeCell ref="Z5154:Z5155"/>
    <mergeCell ref="AA5154:AA5155"/>
    <mergeCell ref="AB5154:AB5155"/>
    <mergeCell ref="A5156:A5157"/>
    <mergeCell ref="E5156:E5157"/>
    <mergeCell ref="H5156:H5157"/>
    <mergeCell ref="I5156:I5157"/>
    <mergeCell ref="J5156:J5157"/>
    <mergeCell ref="K5156:K5157"/>
    <mergeCell ref="L5156:L5157"/>
    <mergeCell ref="M5156:M5157"/>
    <mergeCell ref="N5156:N5157"/>
    <mergeCell ref="O5156:O5157"/>
    <mergeCell ref="X5156:X5157"/>
    <mergeCell ref="Y5156:Y5157"/>
    <mergeCell ref="Z5156:Z5157"/>
    <mergeCell ref="AA5156:AA5157"/>
    <mergeCell ref="AB5156:AB5157"/>
    <mergeCell ref="A5150:A5151"/>
    <mergeCell ref="E5150:E5151"/>
    <mergeCell ref="H5150:H5151"/>
    <mergeCell ref="I5150:I5151"/>
    <mergeCell ref="J5150:J5151"/>
    <mergeCell ref="K5150:K5151"/>
    <mergeCell ref="L5150:L5151"/>
    <mergeCell ref="M5150:M5151"/>
    <mergeCell ref="N5150:N5151"/>
    <mergeCell ref="O5150:O5151"/>
    <mergeCell ref="X5150:X5151"/>
    <mergeCell ref="Y5150:Y5151"/>
    <mergeCell ref="Z5150:Z5151"/>
    <mergeCell ref="AA5150:AA5151"/>
    <mergeCell ref="AB5150:AB5151"/>
    <mergeCell ref="A5152:A5153"/>
    <mergeCell ref="E5152:E5153"/>
    <mergeCell ref="H5152:H5153"/>
    <mergeCell ref="I5152:I5153"/>
    <mergeCell ref="J5152:J5153"/>
    <mergeCell ref="K5152:K5153"/>
    <mergeCell ref="L5152:L5153"/>
    <mergeCell ref="M5152:M5153"/>
    <mergeCell ref="N5152:N5153"/>
    <mergeCell ref="O5152:O5153"/>
    <mergeCell ref="X5152:X5153"/>
    <mergeCell ref="Y5152:Y5153"/>
    <mergeCell ref="Z5152:Z5153"/>
    <mergeCell ref="AA5152:AA5153"/>
    <mergeCell ref="AB5152:AB5153"/>
    <mergeCell ref="A5146:A5147"/>
    <mergeCell ref="E5146:E5147"/>
    <mergeCell ref="H5146:H5147"/>
    <mergeCell ref="I5146:I5147"/>
    <mergeCell ref="J5146:J5147"/>
    <mergeCell ref="K5146:K5147"/>
    <mergeCell ref="L5146:L5147"/>
    <mergeCell ref="M5146:M5147"/>
    <mergeCell ref="N5146:N5147"/>
    <mergeCell ref="O5146:O5147"/>
    <mergeCell ref="X5146:X5147"/>
    <mergeCell ref="Y5146:Y5147"/>
    <mergeCell ref="Z5146:Z5147"/>
    <mergeCell ref="AA5146:AA5147"/>
    <mergeCell ref="AB5146:AB5147"/>
    <mergeCell ref="A5148:A5149"/>
    <mergeCell ref="E5148:E5149"/>
    <mergeCell ref="H5148:H5149"/>
    <mergeCell ref="I5148:I5149"/>
    <mergeCell ref="J5148:J5149"/>
    <mergeCell ref="K5148:K5149"/>
    <mergeCell ref="L5148:L5149"/>
    <mergeCell ref="M5148:M5149"/>
    <mergeCell ref="N5148:N5149"/>
    <mergeCell ref="O5148:O5149"/>
    <mergeCell ref="X5148:X5149"/>
    <mergeCell ref="Y5148:Y5149"/>
    <mergeCell ref="Z5148:Z5149"/>
    <mergeCell ref="AA5148:AA5149"/>
    <mergeCell ref="AB5148:AB5149"/>
    <mergeCell ref="A5142:A5143"/>
    <mergeCell ref="E5142:E5143"/>
    <mergeCell ref="H5142:H5143"/>
    <mergeCell ref="I5142:I5143"/>
    <mergeCell ref="J5142:J5143"/>
    <mergeCell ref="K5142:K5143"/>
    <mergeCell ref="L5142:L5143"/>
    <mergeCell ref="M5142:M5143"/>
    <mergeCell ref="N5142:N5143"/>
    <mergeCell ref="O5142:O5143"/>
    <mergeCell ref="X5142:X5143"/>
    <mergeCell ref="Y5142:Y5143"/>
    <mergeCell ref="Z5142:Z5143"/>
    <mergeCell ref="AA5142:AA5143"/>
    <mergeCell ref="AB5142:AB5143"/>
    <mergeCell ref="A5144:A5145"/>
    <mergeCell ref="E5144:E5145"/>
    <mergeCell ref="H5144:H5145"/>
    <mergeCell ref="I5144:I5145"/>
    <mergeCell ref="J5144:J5145"/>
    <mergeCell ref="K5144:K5145"/>
    <mergeCell ref="L5144:L5145"/>
    <mergeCell ref="M5144:M5145"/>
    <mergeCell ref="N5144:N5145"/>
    <mergeCell ref="O5144:O5145"/>
    <mergeCell ref="X5144:X5145"/>
    <mergeCell ref="Y5144:Y5145"/>
    <mergeCell ref="Z5144:Z5145"/>
    <mergeCell ref="AA5144:AA5145"/>
    <mergeCell ref="AB5144:AB5145"/>
    <mergeCell ref="A5138:A5139"/>
    <mergeCell ref="E5138:E5139"/>
    <mergeCell ref="H5138:H5139"/>
    <mergeCell ref="I5138:I5139"/>
    <mergeCell ref="J5138:J5139"/>
    <mergeCell ref="K5138:K5139"/>
    <mergeCell ref="L5138:L5139"/>
    <mergeCell ref="M5138:M5139"/>
    <mergeCell ref="N5138:N5139"/>
    <mergeCell ref="O5138:O5139"/>
    <mergeCell ref="X5138:X5139"/>
    <mergeCell ref="Y5138:Y5139"/>
    <mergeCell ref="Z5138:Z5139"/>
    <mergeCell ref="AA5138:AA5139"/>
    <mergeCell ref="AB5138:AB5139"/>
    <mergeCell ref="A5140:A5141"/>
    <mergeCell ref="E5140:E5141"/>
    <mergeCell ref="H5140:H5141"/>
    <mergeCell ref="I5140:I5141"/>
    <mergeCell ref="J5140:J5141"/>
    <mergeCell ref="K5140:K5141"/>
    <mergeCell ref="L5140:L5141"/>
    <mergeCell ref="M5140:M5141"/>
    <mergeCell ref="N5140:N5141"/>
    <mergeCell ref="O5140:O5141"/>
    <mergeCell ref="X5140:X5141"/>
    <mergeCell ref="Y5140:Y5141"/>
    <mergeCell ref="Z5140:Z5141"/>
    <mergeCell ref="AA5140:AA5141"/>
    <mergeCell ref="AB5140:AB5141"/>
    <mergeCell ref="A5134:A5135"/>
    <mergeCell ref="E5134:E5135"/>
    <mergeCell ref="H5134:H5135"/>
    <mergeCell ref="I5134:I5135"/>
    <mergeCell ref="J5134:J5135"/>
    <mergeCell ref="K5134:K5135"/>
    <mergeCell ref="L5134:L5135"/>
    <mergeCell ref="M5134:M5135"/>
    <mergeCell ref="N5134:N5135"/>
    <mergeCell ref="O5134:O5135"/>
    <mergeCell ref="X5134:X5135"/>
    <mergeCell ref="Y5134:Y5135"/>
    <mergeCell ref="Z5134:Z5135"/>
    <mergeCell ref="AA5134:AA5135"/>
    <mergeCell ref="AB5134:AB5135"/>
    <mergeCell ref="A5136:A5137"/>
    <mergeCell ref="E5136:E5137"/>
    <mergeCell ref="H5136:H5137"/>
    <mergeCell ref="I5136:I5137"/>
    <mergeCell ref="J5136:J5137"/>
    <mergeCell ref="K5136:K5137"/>
    <mergeCell ref="L5136:L5137"/>
    <mergeCell ref="M5136:M5137"/>
    <mergeCell ref="N5136:N5137"/>
    <mergeCell ref="O5136:O5137"/>
    <mergeCell ref="X5136:X5137"/>
    <mergeCell ref="Y5136:Y5137"/>
    <mergeCell ref="Z5136:Z5137"/>
    <mergeCell ref="AA5136:AA5137"/>
    <mergeCell ref="AB5136:AB5137"/>
    <mergeCell ref="A5130:A5131"/>
    <mergeCell ref="E5130:E5131"/>
    <mergeCell ref="H5130:H5131"/>
    <mergeCell ref="I5130:I5131"/>
    <mergeCell ref="J5130:J5131"/>
    <mergeCell ref="K5130:K5131"/>
    <mergeCell ref="L5130:L5131"/>
    <mergeCell ref="M5130:M5131"/>
    <mergeCell ref="N5130:N5131"/>
    <mergeCell ref="O5130:O5131"/>
    <mergeCell ref="X5130:X5131"/>
    <mergeCell ref="Y5130:Y5131"/>
    <mergeCell ref="Z5130:Z5131"/>
    <mergeCell ref="AA5130:AA5131"/>
    <mergeCell ref="AB5130:AB5131"/>
    <mergeCell ref="A5132:A5133"/>
    <mergeCell ref="E5132:E5133"/>
    <mergeCell ref="H5132:H5133"/>
    <mergeCell ref="I5132:I5133"/>
    <mergeCell ref="J5132:J5133"/>
    <mergeCell ref="K5132:K5133"/>
    <mergeCell ref="L5132:L5133"/>
    <mergeCell ref="M5132:M5133"/>
    <mergeCell ref="N5132:N5133"/>
    <mergeCell ref="O5132:O5133"/>
    <mergeCell ref="X5132:X5133"/>
    <mergeCell ref="Y5132:Y5133"/>
    <mergeCell ref="Z5132:Z5133"/>
    <mergeCell ref="AA5132:AA5133"/>
    <mergeCell ref="AB5132:AB5133"/>
    <mergeCell ref="A5126:A5127"/>
    <mergeCell ref="E5126:E5127"/>
    <mergeCell ref="H5126:H5127"/>
    <mergeCell ref="I5126:I5127"/>
    <mergeCell ref="J5126:J5127"/>
    <mergeCell ref="K5126:K5127"/>
    <mergeCell ref="L5126:L5127"/>
    <mergeCell ref="M5126:M5127"/>
    <mergeCell ref="N5126:N5127"/>
    <mergeCell ref="O5126:O5127"/>
    <mergeCell ref="X5126:X5127"/>
    <mergeCell ref="Y5126:Y5127"/>
    <mergeCell ref="Z5126:Z5127"/>
    <mergeCell ref="AA5126:AA5127"/>
    <mergeCell ref="AB5126:AB5127"/>
    <mergeCell ref="A5128:A5129"/>
    <mergeCell ref="E5128:E5129"/>
    <mergeCell ref="H5128:H5129"/>
    <mergeCell ref="I5128:I5129"/>
    <mergeCell ref="J5128:J5129"/>
    <mergeCell ref="K5128:K5129"/>
    <mergeCell ref="L5128:L5129"/>
    <mergeCell ref="M5128:M5129"/>
    <mergeCell ref="N5128:N5129"/>
    <mergeCell ref="O5128:O5129"/>
    <mergeCell ref="X5128:X5129"/>
    <mergeCell ref="Y5128:Y5129"/>
    <mergeCell ref="Z5128:Z5129"/>
    <mergeCell ref="AA5128:AA5129"/>
    <mergeCell ref="AB5128:AB5129"/>
    <mergeCell ref="A5122:A5123"/>
    <mergeCell ref="E5122:E5123"/>
    <mergeCell ref="H5122:H5123"/>
    <mergeCell ref="I5122:I5123"/>
    <mergeCell ref="J5122:J5123"/>
    <mergeCell ref="K5122:K5123"/>
    <mergeCell ref="L5122:L5123"/>
    <mergeCell ref="M5122:M5123"/>
    <mergeCell ref="N5122:N5123"/>
    <mergeCell ref="O5122:O5123"/>
    <mergeCell ref="X5122:X5123"/>
    <mergeCell ref="Y5122:Y5123"/>
    <mergeCell ref="Z5122:Z5123"/>
    <mergeCell ref="AA5122:AA5123"/>
    <mergeCell ref="AB5122:AB5123"/>
    <mergeCell ref="A5124:A5125"/>
    <mergeCell ref="E5124:E5125"/>
    <mergeCell ref="H5124:H5125"/>
    <mergeCell ref="I5124:I5125"/>
    <mergeCell ref="J5124:J5125"/>
    <mergeCell ref="K5124:K5125"/>
    <mergeCell ref="L5124:L5125"/>
    <mergeCell ref="M5124:M5125"/>
    <mergeCell ref="N5124:N5125"/>
    <mergeCell ref="O5124:O5125"/>
    <mergeCell ref="X5124:X5125"/>
    <mergeCell ref="Y5124:Y5125"/>
    <mergeCell ref="Z5124:Z5125"/>
    <mergeCell ref="AA5124:AA5125"/>
    <mergeCell ref="AB5124:AB5125"/>
    <mergeCell ref="A5118:A5119"/>
    <mergeCell ref="E5118:E5119"/>
    <mergeCell ref="H5118:H5119"/>
    <mergeCell ref="I5118:I5119"/>
    <mergeCell ref="J5118:J5119"/>
    <mergeCell ref="K5118:K5119"/>
    <mergeCell ref="L5118:L5119"/>
    <mergeCell ref="M5118:M5119"/>
    <mergeCell ref="N5118:N5119"/>
    <mergeCell ref="O5118:O5119"/>
    <mergeCell ref="X5118:X5119"/>
    <mergeCell ref="Y5118:Y5119"/>
    <mergeCell ref="Z5118:Z5119"/>
    <mergeCell ref="AA5118:AA5119"/>
    <mergeCell ref="AB5118:AB5119"/>
    <mergeCell ref="A5120:A5121"/>
    <mergeCell ref="E5120:E5121"/>
    <mergeCell ref="H5120:H5121"/>
    <mergeCell ref="I5120:I5121"/>
    <mergeCell ref="J5120:J5121"/>
    <mergeCell ref="K5120:K5121"/>
    <mergeCell ref="L5120:L5121"/>
    <mergeCell ref="M5120:M5121"/>
    <mergeCell ref="N5120:N5121"/>
    <mergeCell ref="O5120:O5121"/>
    <mergeCell ref="X5120:X5121"/>
    <mergeCell ref="Y5120:Y5121"/>
    <mergeCell ref="Z5120:Z5121"/>
    <mergeCell ref="AA5120:AA5121"/>
    <mergeCell ref="AB5120:AB5121"/>
    <mergeCell ref="A5114:A5115"/>
    <mergeCell ref="E5114:E5115"/>
    <mergeCell ref="H5114:H5115"/>
    <mergeCell ref="I5114:I5115"/>
    <mergeCell ref="J5114:J5115"/>
    <mergeCell ref="K5114:K5115"/>
    <mergeCell ref="L5114:L5115"/>
    <mergeCell ref="M5114:M5115"/>
    <mergeCell ref="N5114:N5115"/>
    <mergeCell ref="O5114:O5115"/>
    <mergeCell ref="X5114:X5115"/>
    <mergeCell ref="Y5114:Y5115"/>
    <mergeCell ref="Z5114:Z5115"/>
    <mergeCell ref="AA5114:AA5115"/>
    <mergeCell ref="AB5114:AB5115"/>
    <mergeCell ref="A5116:A5117"/>
    <mergeCell ref="E5116:E5117"/>
    <mergeCell ref="H5116:H5117"/>
    <mergeCell ref="I5116:I5117"/>
    <mergeCell ref="J5116:J5117"/>
    <mergeCell ref="K5116:K5117"/>
    <mergeCell ref="L5116:L5117"/>
    <mergeCell ref="M5116:M5117"/>
    <mergeCell ref="N5116:N5117"/>
    <mergeCell ref="O5116:O5117"/>
    <mergeCell ref="X5116:X5117"/>
    <mergeCell ref="Y5116:Y5117"/>
    <mergeCell ref="Z5116:Z5117"/>
    <mergeCell ref="AA5116:AA5117"/>
    <mergeCell ref="AB5116:AB5117"/>
    <mergeCell ref="A5110:A5111"/>
    <mergeCell ref="E5110:E5111"/>
    <mergeCell ref="H5110:H5111"/>
    <mergeCell ref="I5110:I5111"/>
    <mergeCell ref="J5110:J5111"/>
    <mergeCell ref="K5110:K5111"/>
    <mergeCell ref="L5110:L5111"/>
    <mergeCell ref="M5110:M5111"/>
    <mergeCell ref="N5110:N5111"/>
    <mergeCell ref="O5110:O5111"/>
    <mergeCell ref="X5110:X5111"/>
    <mergeCell ref="Y5110:Y5111"/>
    <mergeCell ref="Z5110:Z5111"/>
    <mergeCell ref="AA5110:AA5111"/>
    <mergeCell ref="AB5110:AB5111"/>
    <mergeCell ref="A5112:A5113"/>
    <mergeCell ref="E5112:E5113"/>
    <mergeCell ref="H5112:H5113"/>
    <mergeCell ref="I5112:I5113"/>
    <mergeCell ref="J5112:J5113"/>
    <mergeCell ref="K5112:K5113"/>
    <mergeCell ref="L5112:L5113"/>
    <mergeCell ref="M5112:M5113"/>
    <mergeCell ref="N5112:N5113"/>
    <mergeCell ref="O5112:O5113"/>
    <mergeCell ref="X5112:X5113"/>
    <mergeCell ref="Y5112:Y5113"/>
    <mergeCell ref="Z5112:Z5113"/>
    <mergeCell ref="AA5112:AA5113"/>
    <mergeCell ref="AB5112:AB5113"/>
    <mergeCell ref="A5106:A5107"/>
    <mergeCell ref="E5106:E5107"/>
    <mergeCell ref="H5106:H5107"/>
    <mergeCell ref="I5106:I5107"/>
    <mergeCell ref="J5106:J5107"/>
    <mergeCell ref="K5106:K5107"/>
    <mergeCell ref="L5106:L5107"/>
    <mergeCell ref="M5106:M5107"/>
    <mergeCell ref="N5106:N5107"/>
    <mergeCell ref="O5106:O5107"/>
    <mergeCell ref="X5106:X5107"/>
    <mergeCell ref="Y5106:Y5107"/>
    <mergeCell ref="Z5106:Z5107"/>
    <mergeCell ref="AA5106:AA5107"/>
    <mergeCell ref="AB5106:AB5107"/>
    <mergeCell ref="A5108:A5109"/>
    <mergeCell ref="E5108:E5109"/>
    <mergeCell ref="H5108:H5109"/>
    <mergeCell ref="I5108:I5109"/>
    <mergeCell ref="J5108:J5109"/>
    <mergeCell ref="K5108:K5109"/>
    <mergeCell ref="L5108:L5109"/>
    <mergeCell ref="M5108:M5109"/>
    <mergeCell ref="N5108:N5109"/>
    <mergeCell ref="O5108:O5109"/>
    <mergeCell ref="X5108:X5109"/>
    <mergeCell ref="Y5108:Y5109"/>
    <mergeCell ref="Z5108:Z5109"/>
    <mergeCell ref="AA5108:AA5109"/>
    <mergeCell ref="AB5108:AB5109"/>
    <mergeCell ref="A5102:A5103"/>
    <mergeCell ref="E5102:E5103"/>
    <mergeCell ref="H5102:H5103"/>
    <mergeCell ref="I5102:I5103"/>
    <mergeCell ref="J5102:J5103"/>
    <mergeCell ref="K5102:K5103"/>
    <mergeCell ref="L5102:L5103"/>
    <mergeCell ref="M5102:M5103"/>
    <mergeCell ref="N5102:N5103"/>
    <mergeCell ref="O5102:O5103"/>
    <mergeCell ref="X5102:X5103"/>
    <mergeCell ref="Y5102:Y5103"/>
    <mergeCell ref="Z5102:Z5103"/>
    <mergeCell ref="AA5102:AA5103"/>
    <mergeCell ref="AB5102:AB5103"/>
    <mergeCell ref="A5104:A5105"/>
    <mergeCell ref="E5104:E5105"/>
    <mergeCell ref="H5104:H5105"/>
    <mergeCell ref="I5104:I5105"/>
    <mergeCell ref="J5104:J5105"/>
    <mergeCell ref="K5104:K5105"/>
    <mergeCell ref="L5104:L5105"/>
    <mergeCell ref="M5104:M5105"/>
    <mergeCell ref="N5104:N5105"/>
    <mergeCell ref="O5104:O5105"/>
    <mergeCell ref="X5104:X5105"/>
    <mergeCell ref="Y5104:Y5105"/>
    <mergeCell ref="Z5104:Z5105"/>
    <mergeCell ref="AA5104:AA5105"/>
    <mergeCell ref="AB5104:AB5105"/>
    <mergeCell ref="A5098:A5099"/>
    <mergeCell ref="E5098:E5099"/>
    <mergeCell ref="H5098:H5099"/>
    <mergeCell ref="I5098:I5099"/>
    <mergeCell ref="J5098:J5099"/>
    <mergeCell ref="K5098:K5099"/>
    <mergeCell ref="L5098:L5099"/>
    <mergeCell ref="M5098:M5099"/>
    <mergeCell ref="N5098:N5099"/>
    <mergeCell ref="O5098:O5099"/>
    <mergeCell ref="X5098:X5099"/>
    <mergeCell ref="Y5098:Y5099"/>
    <mergeCell ref="Z5098:Z5099"/>
    <mergeCell ref="AA5098:AA5099"/>
    <mergeCell ref="AB5098:AB5099"/>
    <mergeCell ref="A5100:A5101"/>
    <mergeCell ref="E5100:E5101"/>
    <mergeCell ref="H5100:H5101"/>
    <mergeCell ref="I5100:I5101"/>
    <mergeCell ref="J5100:J5101"/>
    <mergeCell ref="K5100:K5101"/>
    <mergeCell ref="L5100:L5101"/>
    <mergeCell ref="M5100:M5101"/>
    <mergeCell ref="N5100:N5101"/>
    <mergeCell ref="O5100:O5101"/>
    <mergeCell ref="X5100:X5101"/>
    <mergeCell ref="Y5100:Y5101"/>
    <mergeCell ref="Z5100:Z5101"/>
    <mergeCell ref="AA5100:AA5101"/>
    <mergeCell ref="AB5100:AB5101"/>
    <mergeCell ref="A5094:A5095"/>
    <mergeCell ref="E5094:E5095"/>
    <mergeCell ref="H5094:H5095"/>
    <mergeCell ref="I5094:I5095"/>
    <mergeCell ref="J5094:J5095"/>
    <mergeCell ref="K5094:K5095"/>
    <mergeCell ref="L5094:L5095"/>
    <mergeCell ref="M5094:M5095"/>
    <mergeCell ref="N5094:N5095"/>
    <mergeCell ref="O5094:O5095"/>
    <mergeCell ref="X5094:X5095"/>
    <mergeCell ref="Y5094:Y5095"/>
    <mergeCell ref="Z5094:Z5095"/>
    <mergeCell ref="AA5094:AA5095"/>
    <mergeCell ref="AB5094:AB5095"/>
    <mergeCell ref="A5096:A5097"/>
    <mergeCell ref="E5096:E5097"/>
    <mergeCell ref="H5096:H5097"/>
    <mergeCell ref="I5096:I5097"/>
    <mergeCell ref="J5096:J5097"/>
    <mergeCell ref="K5096:K5097"/>
    <mergeCell ref="L5096:L5097"/>
    <mergeCell ref="M5096:M5097"/>
    <mergeCell ref="N5096:N5097"/>
    <mergeCell ref="O5096:O5097"/>
    <mergeCell ref="X5096:X5097"/>
    <mergeCell ref="Y5096:Y5097"/>
    <mergeCell ref="Z5096:Z5097"/>
    <mergeCell ref="AA5096:AA5097"/>
    <mergeCell ref="AB5096:AB5097"/>
    <mergeCell ref="A5090:A5091"/>
    <mergeCell ref="E5090:E5091"/>
    <mergeCell ref="H5090:H5091"/>
    <mergeCell ref="I5090:I5091"/>
    <mergeCell ref="J5090:J5091"/>
    <mergeCell ref="K5090:K5091"/>
    <mergeCell ref="L5090:L5091"/>
    <mergeCell ref="M5090:M5091"/>
    <mergeCell ref="N5090:N5091"/>
    <mergeCell ref="O5090:O5091"/>
    <mergeCell ref="X5090:X5091"/>
    <mergeCell ref="Y5090:Y5091"/>
    <mergeCell ref="Z5090:Z5091"/>
    <mergeCell ref="AA5090:AA5091"/>
    <mergeCell ref="AB5090:AB5091"/>
    <mergeCell ref="A5092:A5093"/>
    <mergeCell ref="E5092:E5093"/>
    <mergeCell ref="H5092:H5093"/>
    <mergeCell ref="I5092:I5093"/>
    <mergeCell ref="J5092:J5093"/>
    <mergeCell ref="K5092:K5093"/>
    <mergeCell ref="L5092:L5093"/>
    <mergeCell ref="M5092:M5093"/>
    <mergeCell ref="N5092:N5093"/>
    <mergeCell ref="O5092:O5093"/>
    <mergeCell ref="X5092:X5093"/>
    <mergeCell ref="Y5092:Y5093"/>
    <mergeCell ref="Z5092:Z5093"/>
    <mergeCell ref="AA5092:AA5093"/>
    <mergeCell ref="AB5092:AB5093"/>
    <mergeCell ref="A5086:A5087"/>
    <mergeCell ref="E5086:E5087"/>
    <mergeCell ref="H5086:H5087"/>
    <mergeCell ref="I5086:I5087"/>
    <mergeCell ref="J5086:J5087"/>
    <mergeCell ref="K5086:K5087"/>
    <mergeCell ref="L5086:L5087"/>
    <mergeCell ref="M5086:M5087"/>
    <mergeCell ref="N5086:N5087"/>
    <mergeCell ref="O5086:O5087"/>
    <mergeCell ref="X5086:X5087"/>
    <mergeCell ref="Y5086:Y5087"/>
    <mergeCell ref="Z5086:Z5087"/>
    <mergeCell ref="AA5086:AA5087"/>
    <mergeCell ref="AB5086:AB5087"/>
    <mergeCell ref="A5088:A5089"/>
    <mergeCell ref="E5088:E5089"/>
    <mergeCell ref="H5088:H5089"/>
    <mergeCell ref="I5088:I5089"/>
    <mergeCell ref="J5088:J5089"/>
    <mergeCell ref="K5088:K5089"/>
    <mergeCell ref="L5088:L5089"/>
    <mergeCell ref="M5088:M5089"/>
    <mergeCell ref="N5088:N5089"/>
    <mergeCell ref="O5088:O5089"/>
    <mergeCell ref="X5088:X5089"/>
    <mergeCell ref="Y5088:Y5089"/>
    <mergeCell ref="Z5088:Z5089"/>
    <mergeCell ref="AA5088:AA5089"/>
    <mergeCell ref="AB5088:AB5089"/>
    <mergeCell ref="A5082:A5083"/>
    <mergeCell ref="E5082:E5083"/>
    <mergeCell ref="H5082:H5083"/>
    <mergeCell ref="I5082:I5083"/>
    <mergeCell ref="J5082:J5083"/>
    <mergeCell ref="K5082:K5083"/>
    <mergeCell ref="L5082:L5083"/>
    <mergeCell ref="M5082:M5083"/>
    <mergeCell ref="N5082:N5083"/>
    <mergeCell ref="O5082:O5083"/>
    <mergeCell ref="X5082:X5083"/>
    <mergeCell ref="Y5082:Y5083"/>
    <mergeCell ref="Z5082:Z5083"/>
    <mergeCell ref="AA5082:AA5083"/>
    <mergeCell ref="AB5082:AB5083"/>
    <mergeCell ref="A5084:A5085"/>
    <mergeCell ref="E5084:E5085"/>
    <mergeCell ref="H5084:H5085"/>
    <mergeCell ref="I5084:I5085"/>
    <mergeCell ref="J5084:J5085"/>
    <mergeCell ref="K5084:K5085"/>
    <mergeCell ref="L5084:L5085"/>
    <mergeCell ref="M5084:M5085"/>
    <mergeCell ref="N5084:N5085"/>
    <mergeCell ref="O5084:O5085"/>
    <mergeCell ref="X5084:X5085"/>
    <mergeCell ref="Y5084:Y5085"/>
    <mergeCell ref="Z5084:Z5085"/>
    <mergeCell ref="AA5084:AA5085"/>
    <mergeCell ref="AB5084:AB5085"/>
    <mergeCell ref="A5078:A5079"/>
    <mergeCell ref="E5078:E5079"/>
    <mergeCell ref="H5078:H5079"/>
    <mergeCell ref="I5078:I5079"/>
    <mergeCell ref="J5078:J5079"/>
    <mergeCell ref="K5078:K5079"/>
    <mergeCell ref="L5078:L5079"/>
    <mergeCell ref="M5078:M5079"/>
    <mergeCell ref="N5078:N5079"/>
    <mergeCell ref="O5078:O5079"/>
    <mergeCell ref="X5078:X5079"/>
    <mergeCell ref="Y5078:Y5079"/>
    <mergeCell ref="Z5078:Z5079"/>
    <mergeCell ref="AA5078:AA5079"/>
    <mergeCell ref="AB5078:AB5079"/>
    <mergeCell ref="A5080:A5081"/>
    <mergeCell ref="E5080:E5081"/>
    <mergeCell ref="H5080:H5081"/>
    <mergeCell ref="I5080:I5081"/>
    <mergeCell ref="J5080:J5081"/>
    <mergeCell ref="K5080:K5081"/>
    <mergeCell ref="L5080:L5081"/>
    <mergeCell ref="M5080:M5081"/>
    <mergeCell ref="N5080:N5081"/>
    <mergeCell ref="O5080:O5081"/>
    <mergeCell ref="X5080:X5081"/>
    <mergeCell ref="Y5080:Y5081"/>
    <mergeCell ref="Z5080:Z5081"/>
    <mergeCell ref="AA5080:AA5081"/>
    <mergeCell ref="AB5080:AB5081"/>
    <mergeCell ref="A5074:A5075"/>
    <mergeCell ref="E5074:E5075"/>
    <mergeCell ref="H5074:H5075"/>
    <mergeCell ref="I5074:I5075"/>
    <mergeCell ref="J5074:J5075"/>
    <mergeCell ref="K5074:K5075"/>
    <mergeCell ref="L5074:L5075"/>
    <mergeCell ref="M5074:M5075"/>
    <mergeCell ref="N5074:N5075"/>
    <mergeCell ref="O5074:O5075"/>
    <mergeCell ref="X5074:X5075"/>
    <mergeCell ref="Y5074:Y5075"/>
    <mergeCell ref="Z5074:Z5075"/>
    <mergeCell ref="AA5074:AA5075"/>
    <mergeCell ref="AB5074:AB5075"/>
    <mergeCell ref="A5076:A5077"/>
    <mergeCell ref="E5076:E5077"/>
    <mergeCell ref="H5076:H5077"/>
    <mergeCell ref="I5076:I5077"/>
    <mergeCell ref="J5076:J5077"/>
    <mergeCell ref="K5076:K5077"/>
    <mergeCell ref="L5076:L5077"/>
    <mergeCell ref="M5076:M5077"/>
    <mergeCell ref="N5076:N5077"/>
    <mergeCell ref="O5076:O5077"/>
    <mergeCell ref="X5076:X5077"/>
    <mergeCell ref="Y5076:Y5077"/>
    <mergeCell ref="Z5076:Z5077"/>
    <mergeCell ref="AA5076:AA5077"/>
    <mergeCell ref="AB5076:AB5077"/>
    <mergeCell ref="A5070:A5071"/>
    <mergeCell ref="E5070:E5071"/>
    <mergeCell ref="H5070:H5071"/>
    <mergeCell ref="I5070:I5071"/>
    <mergeCell ref="J5070:J5071"/>
    <mergeCell ref="K5070:K5071"/>
    <mergeCell ref="L5070:L5071"/>
    <mergeCell ref="M5070:M5071"/>
    <mergeCell ref="N5070:N5071"/>
    <mergeCell ref="O5070:O5071"/>
    <mergeCell ref="X5070:X5071"/>
    <mergeCell ref="Y5070:Y5071"/>
    <mergeCell ref="Z5070:Z5071"/>
    <mergeCell ref="AA5070:AA5071"/>
    <mergeCell ref="AB5070:AB5071"/>
    <mergeCell ref="A5072:A5073"/>
    <mergeCell ref="E5072:E5073"/>
    <mergeCell ref="H5072:H5073"/>
    <mergeCell ref="I5072:I5073"/>
    <mergeCell ref="J5072:J5073"/>
    <mergeCell ref="K5072:K5073"/>
    <mergeCell ref="L5072:L5073"/>
    <mergeCell ref="M5072:M5073"/>
    <mergeCell ref="N5072:N5073"/>
    <mergeCell ref="O5072:O5073"/>
    <mergeCell ref="X5072:X5073"/>
    <mergeCell ref="Y5072:Y5073"/>
    <mergeCell ref="Z5072:Z5073"/>
    <mergeCell ref="AA5072:AA5073"/>
    <mergeCell ref="AB5072:AB5073"/>
    <mergeCell ref="A5066:A5067"/>
    <mergeCell ref="E5066:E5067"/>
    <mergeCell ref="H5066:H5067"/>
    <mergeCell ref="I5066:I5067"/>
    <mergeCell ref="J5066:J5067"/>
    <mergeCell ref="K5066:K5067"/>
    <mergeCell ref="L5066:L5067"/>
    <mergeCell ref="M5066:M5067"/>
    <mergeCell ref="N5066:N5067"/>
    <mergeCell ref="O5066:O5067"/>
    <mergeCell ref="X5066:X5067"/>
    <mergeCell ref="Y5066:Y5067"/>
    <mergeCell ref="Z5066:Z5067"/>
    <mergeCell ref="AA5066:AA5067"/>
    <mergeCell ref="AB5066:AB5067"/>
    <mergeCell ref="A5068:A5069"/>
    <mergeCell ref="E5068:E5069"/>
    <mergeCell ref="H5068:H5069"/>
    <mergeCell ref="I5068:I5069"/>
    <mergeCell ref="J5068:J5069"/>
    <mergeCell ref="K5068:K5069"/>
    <mergeCell ref="L5068:L5069"/>
    <mergeCell ref="M5068:M5069"/>
    <mergeCell ref="N5068:N5069"/>
    <mergeCell ref="O5068:O5069"/>
    <mergeCell ref="X5068:X5069"/>
    <mergeCell ref="Y5068:Y5069"/>
    <mergeCell ref="Z5068:Z5069"/>
    <mergeCell ref="AA5068:AA5069"/>
    <mergeCell ref="AB5068:AB5069"/>
    <mergeCell ref="A5062:A5063"/>
    <mergeCell ref="E5062:E5063"/>
    <mergeCell ref="H5062:H5063"/>
    <mergeCell ref="I5062:I5063"/>
    <mergeCell ref="J5062:J5063"/>
    <mergeCell ref="K5062:K5063"/>
    <mergeCell ref="L5062:L5063"/>
    <mergeCell ref="M5062:M5063"/>
    <mergeCell ref="N5062:N5063"/>
    <mergeCell ref="O5062:O5063"/>
    <mergeCell ref="X5062:X5063"/>
    <mergeCell ref="Y5062:Y5063"/>
    <mergeCell ref="Z5062:Z5063"/>
    <mergeCell ref="AA5062:AA5063"/>
    <mergeCell ref="AB5062:AB5063"/>
    <mergeCell ref="A5064:A5065"/>
    <mergeCell ref="E5064:E5065"/>
    <mergeCell ref="H5064:H5065"/>
    <mergeCell ref="I5064:I5065"/>
    <mergeCell ref="J5064:J5065"/>
    <mergeCell ref="K5064:K5065"/>
    <mergeCell ref="L5064:L5065"/>
    <mergeCell ref="M5064:M5065"/>
    <mergeCell ref="N5064:N5065"/>
    <mergeCell ref="O5064:O5065"/>
    <mergeCell ref="X5064:X5065"/>
    <mergeCell ref="Y5064:Y5065"/>
    <mergeCell ref="Z5064:Z5065"/>
    <mergeCell ref="AA5064:AA5065"/>
    <mergeCell ref="AB5064:AB5065"/>
    <mergeCell ref="A5058:A5059"/>
    <mergeCell ref="E5058:E5059"/>
    <mergeCell ref="H5058:H5059"/>
    <mergeCell ref="I5058:I5059"/>
    <mergeCell ref="J5058:J5059"/>
    <mergeCell ref="K5058:K5059"/>
    <mergeCell ref="L5058:L5059"/>
    <mergeCell ref="M5058:M5059"/>
    <mergeCell ref="N5058:N5059"/>
    <mergeCell ref="O5058:O5059"/>
    <mergeCell ref="X5058:X5059"/>
    <mergeCell ref="Y5058:Y5059"/>
    <mergeCell ref="Z5058:Z5059"/>
    <mergeCell ref="AA5058:AA5059"/>
    <mergeCell ref="AB5058:AB5059"/>
    <mergeCell ref="A5060:A5061"/>
    <mergeCell ref="E5060:E5061"/>
    <mergeCell ref="H5060:H5061"/>
    <mergeCell ref="I5060:I5061"/>
    <mergeCell ref="J5060:J5061"/>
    <mergeCell ref="K5060:K5061"/>
    <mergeCell ref="L5060:L5061"/>
    <mergeCell ref="M5060:M5061"/>
    <mergeCell ref="N5060:N5061"/>
    <mergeCell ref="O5060:O5061"/>
    <mergeCell ref="X5060:X5061"/>
    <mergeCell ref="Y5060:Y5061"/>
    <mergeCell ref="Z5060:Z5061"/>
    <mergeCell ref="AA5060:AA5061"/>
    <mergeCell ref="AB5060:AB5061"/>
    <mergeCell ref="A5054:A5055"/>
    <mergeCell ref="E5054:E5055"/>
    <mergeCell ref="H5054:H5055"/>
    <mergeCell ref="I5054:I5055"/>
    <mergeCell ref="J5054:J5055"/>
    <mergeCell ref="K5054:K5055"/>
    <mergeCell ref="L5054:L5055"/>
    <mergeCell ref="M5054:M5055"/>
    <mergeCell ref="N5054:N5055"/>
    <mergeCell ref="O5054:O5055"/>
    <mergeCell ref="X5054:X5055"/>
    <mergeCell ref="Y5054:Y5055"/>
    <mergeCell ref="Z5054:Z5055"/>
    <mergeCell ref="AA5054:AA5055"/>
    <mergeCell ref="AB5054:AB5055"/>
    <mergeCell ref="A5056:A5057"/>
    <mergeCell ref="E5056:E5057"/>
    <mergeCell ref="H5056:H5057"/>
    <mergeCell ref="I5056:I5057"/>
    <mergeCell ref="J5056:J5057"/>
    <mergeCell ref="K5056:K5057"/>
    <mergeCell ref="L5056:L5057"/>
    <mergeCell ref="M5056:M5057"/>
    <mergeCell ref="N5056:N5057"/>
    <mergeCell ref="O5056:O5057"/>
    <mergeCell ref="X5056:X5057"/>
    <mergeCell ref="Y5056:Y5057"/>
    <mergeCell ref="Z5056:Z5057"/>
    <mergeCell ref="AA5056:AA5057"/>
    <mergeCell ref="AB5056:AB5057"/>
    <mergeCell ref="A5050:A5051"/>
    <mergeCell ref="E5050:E5051"/>
    <mergeCell ref="H5050:H5051"/>
    <mergeCell ref="I5050:I5051"/>
    <mergeCell ref="J5050:J5051"/>
    <mergeCell ref="K5050:K5051"/>
    <mergeCell ref="L5050:L5051"/>
    <mergeCell ref="M5050:M5051"/>
    <mergeCell ref="N5050:N5051"/>
    <mergeCell ref="O5050:O5051"/>
    <mergeCell ref="X5050:X5051"/>
    <mergeCell ref="Y5050:Y5051"/>
    <mergeCell ref="Z5050:Z5051"/>
    <mergeCell ref="AA5050:AA5051"/>
    <mergeCell ref="AB5050:AB5051"/>
    <mergeCell ref="A5052:A5053"/>
    <mergeCell ref="E5052:E5053"/>
    <mergeCell ref="H5052:H5053"/>
    <mergeCell ref="I5052:I5053"/>
    <mergeCell ref="J5052:J5053"/>
    <mergeCell ref="K5052:K5053"/>
    <mergeCell ref="L5052:L5053"/>
    <mergeCell ref="M5052:M5053"/>
    <mergeCell ref="N5052:N5053"/>
    <mergeCell ref="O5052:O5053"/>
    <mergeCell ref="X5052:X5053"/>
    <mergeCell ref="Y5052:Y5053"/>
    <mergeCell ref="Z5052:Z5053"/>
    <mergeCell ref="AA5052:AA5053"/>
    <mergeCell ref="AB5052:AB5053"/>
    <mergeCell ref="A5046:A5047"/>
    <mergeCell ref="E5046:E5047"/>
    <mergeCell ref="H5046:H5047"/>
    <mergeCell ref="I5046:I5047"/>
    <mergeCell ref="J5046:J5047"/>
    <mergeCell ref="K5046:K5047"/>
    <mergeCell ref="L5046:L5047"/>
    <mergeCell ref="M5046:M5047"/>
    <mergeCell ref="N5046:N5047"/>
    <mergeCell ref="O5046:O5047"/>
    <mergeCell ref="X5046:X5047"/>
    <mergeCell ref="Y5046:Y5047"/>
    <mergeCell ref="Z5046:Z5047"/>
    <mergeCell ref="AA5046:AA5047"/>
    <mergeCell ref="AB5046:AB5047"/>
    <mergeCell ref="A5048:A5049"/>
    <mergeCell ref="E5048:E5049"/>
    <mergeCell ref="H5048:H5049"/>
    <mergeCell ref="I5048:I5049"/>
    <mergeCell ref="J5048:J5049"/>
    <mergeCell ref="K5048:K5049"/>
    <mergeCell ref="L5048:L5049"/>
    <mergeCell ref="M5048:M5049"/>
    <mergeCell ref="N5048:N5049"/>
    <mergeCell ref="O5048:O5049"/>
    <mergeCell ref="X5048:X5049"/>
    <mergeCell ref="Y5048:Y5049"/>
    <mergeCell ref="Z5048:Z5049"/>
    <mergeCell ref="AA5048:AA5049"/>
    <mergeCell ref="AB5048:AB5049"/>
    <mergeCell ref="M5006:M5007"/>
    <mergeCell ref="N5006:N5007"/>
    <mergeCell ref="O5006:O5007"/>
    <mergeCell ref="X5006:X5007"/>
    <mergeCell ref="Y5006:Y5007"/>
    <mergeCell ref="Z5006:Z5007"/>
    <mergeCell ref="AA5006:AA5007"/>
    <mergeCell ref="AB5006:AB5007"/>
    <mergeCell ref="O5040:O5041"/>
    <mergeCell ref="X5040:X5041"/>
    <mergeCell ref="Y5040:Y5041"/>
    <mergeCell ref="Z5040:Z5041"/>
    <mergeCell ref="AA5040:AA5041"/>
    <mergeCell ref="AB5040:AB5041"/>
    <mergeCell ref="A5028:A5029"/>
    <mergeCell ref="E5028:E5029"/>
    <mergeCell ref="H5028:H5029"/>
    <mergeCell ref="I5028:I5029"/>
    <mergeCell ref="J5028:J5029"/>
    <mergeCell ref="K5028:K5029"/>
    <mergeCell ref="L5028:L5029"/>
    <mergeCell ref="M5028:M5029"/>
    <mergeCell ref="N5028:N5029"/>
    <mergeCell ref="A5022:A5023"/>
    <mergeCell ref="E5022:E5023"/>
    <mergeCell ref="H5022:H5023"/>
    <mergeCell ref="I5022:I5023"/>
    <mergeCell ref="J5022:J5023"/>
    <mergeCell ref="K5022:K5023"/>
    <mergeCell ref="L5022:L5023"/>
    <mergeCell ref="M5022:M5023"/>
    <mergeCell ref="N5022:N5023"/>
    <mergeCell ref="O5022:O5023"/>
    <mergeCell ref="X5022:X5023"/>
    <mergeCell ref="Y5022:Y5023"/>
    <mergeCell ref="Z5022:Z5023"/>
    <mergeCell ref="AA5022:AA5023"/>
    <mergeCell ref="AB5022:AB5023"/>
    <mergeCell ref="A5024:A5025"/>
    <mergeCell ref="E5024:E5025"/>
    <mergeCell ref="H5024:H5025"/>
    <mergeCell ref="I5024:I5025"/>
    <mergeCell ref="J5024:J5025"/>
    <mergeCell ref="K5024:K5025"/>
    <mergeCell ref="L5024:L5025"/>
    <mergeCell ref="M5024:M5025"/>
    <mergeCell ref="N5024:N5025"/>
    <mergeCell ref="O5024:O5025"/>
    <mergeCell ref="X5024:X5025"/>
    <mergeCell ref="Y5024:Y5025"/>
    <mergeCell ref="Z5024:Z5025"/>
    <mergeCell ref="AA5024:AA5025"/>
    <mergeCell ref="AB5024:AB5025"/>
    <mergeCell ref="A5008:A5009"/>
    <mergeCell ref="E5008:E5009"/>
    <mergeCell ref="H5008:H5009"/>
    <mergeCell ref="I5008:I5009"/>
    <mergeCell ref="J5008:J5009"/>
    <mergeCell ref="K5008:K5009"/>
    <mergeCell ref="L5008:L5009"/>
    <mergeCell ref="M5008:M5009"/>
    <mergeCell ref="N5008:N5009"/>
    <mergeCell ref="O5008:O5009"/>
    <mergeCell ref="X5008:X5009"/>
    <mergeCell ref="AA4882:AA4883"/>
    <mergeCell ref="AB4882:AB4883"/>
    <mergeCell ref="A4884:A4885"/>
    <mergeCell ref="E4884:E4885"/>
    <mergeCell ref="H4884:H4885"/>
    <mergeCell ref="I4884:I4885"/>
    <mergeCell ref="J4884:J4885"/>
    <mergeCell ref="K4884:K4885"/>
    <mergeCell ref="L4884:L4885"/>
    <mergeCell ref="M4884:M4885"/>
    <mergeCell ref="N4884:N4885"/>
    <mergeCell ref="O4884:O4885"/>
    <mergeCell ref="X4884:X4885"/>
    <mergeCell ref="Y4884:Y4885"/>
    <mergeCell ref="Z4884:Z4885"/>
    <mergeCell ref="AA4884:AA4885"/>
    <mergeCell ref="AB4884:AB4885"/>
    <mergeCell ref="A4886:A4887"/>
    <mergeCell ref="E4886:E4887"/>
    <mergeCell ref="H4886:H4887"/>
    <mergeCell ref="I4886:I4887"/>
    <mergeCell ref="O5018:O5019"/>
    <mergeCell ref="X5018:X5019"/>
    <mergeCell ref="Y5018:Y5019"/>
    <mergeCell ref="Z5018:Z5019"/>
    <mergeCell ref="AA5018:AA5019"/>
    <mergeCell ref="AB5018:AB5019"/>
    <mergeCell ref="A5020:A5021"/>
    <mergeCell ref="E5020:E5021"/>
    <mergeCell ref="H5020:H5021"/>
    <mergeCell ref="I5020:I5021"/>
    <mergeCell ref="J5020:J5021"/>
    <mergeCell ref="K5020:K5021"/>
    <mergeCell ref="L5020:L5021"/>
    <mergeCell ref="M5020:M5021"/>
    <mergeCell ref="N5020:N5021"/>
    <mergeCell ref="O5020:O5021"/>
    <mergeCell ref="X5020:X5021"/>
    <mergeCell ref="Y5020:Y5021"/>
    <mergeCell ref="Z5020:Z5021"/>
    <mergeCell ref="AA5020:AA5021"/>
    <mergeCell ref="AB5020:AB5021"/>
    <mergeCell ref="A5004:A5005"/>
    <mergeCell ref="E5004:E5005"/>
    <mergeCell ref="H5004:H5005"/>
    <mergeCell ref="I5004:I5005"/>
    <mergeCell ref="J5004:J5005"/>
    <mergeCell ref="K5004:K5005"/>
    <mergeCell ref="L5004:L5005"/>
    <mergeCell ref="M5004:M5005"/>
    <mergeCell ref="N5004:N5005"/>
    <mergeCell ref="O5004:O5005"/>
    <mergeCell ref="X5004:X5005"/>
    <mergeCell ref="Y5004:Y5005"/>
    <mergeCell ref="Z5004:Z5005"/>
    <mergeCell ref="AA5004:AA5005"/>
    <mergeCell ref="AB5004:AB5005"/>
    <mergeCell ref="A5006:A5007"/>
    <mergeCell ref="E5006:E5007"/>
    <mergeCell ref="H5006:H5007"/>
    <mergeCell ref="I5006:I5007"/>
    <mergeCell ref="J5006:J5007"/>
    <mergeCell ref="K5006:K5007"/>
    <mergeCell ref="L5006:L5007"/>
    <mergeCell ref="E4728:E4729"/>
    <mergeCell ref="H4728:H4729"/>
    <mergeCell ref="I4728:I4729"/>
    <mergeCell ref="J4728:J4729"/>
    <mergeCell ref="K4728:K4729"/>
    <mergeCell ref="L4728:L4729"/>
    <mergeCell ref="M4728:M4729"/>
    <mergeCell ref="N4728:N4729"/>
    <mergeCell ref="A4730:A4731"/>
    <mergeCell ref="E4730:E4731"/>
    <mergeCell ref="H4730:H4731"/>
    <mergeCell ref="I4730:I4731"/>
    <mergeCell ref="J4730:J4731"/>
    <mergeCell ref="K4730:K4731"/>
    <mergeCell ref="L4730:L4731"/>
    <mergeCell ref="M4730:M4731"/>
    <mergeCell ref="N4730:N4731"/>
    <mergeCell ref="A4732:A4733"/>
    <mergeCell ref="E4732:E4733"/>
    <mergeCell ref="H4732:H4733"/>
    <mergeCell ref="I4732:I4733"/>
    <mergeCell ref="J4732:J4733"/>
    <mergeCell ref="K4732:K4733"/>
    <mergeCell ref="L4732:L4733"/>
    <mergeCell ref="A4934:A4935"/>
    <mergeCell ref="E4934:E4935"/>
    <mergeCell ref="H4934:H4935"/>
    <mergeCell ref="I4934:I4935"/>
    <mergeCell ref="J4934:J4935"/>
    <mergeCell ref="O4878:O4879"/>
    <mergeCell ref="X4878:X4879"/>
    <mergeCell ref="Y4878:Y4879"/>
    <mergeCell ref="Z4878:Z4879"/>
    <mergeCell ref="A4888:A4889"/>
    <mergeCell ref="E4888:E4889"/>
    <mergeCell ref="H4888:H4889"/>
    <mergeCell ref="I4888:I4889"/>
    <mergeCell ref="J4888:J4889"/>
    <mergeCell ref="K4888:K4889"/>
    <mergeCell ref="L4888:L4889"/>
    <mergeCell ref="M4888:M4889"/>
    <mergeCell ref="N4888:N4889"/>
    <mergeCell ref="O4888:O4889"/>
    <mergeCell ref="X4888:X4889"/>
    <mergeCell ref="Y4888:Y4889"/>
    <mergeCell ref="Z4888:Z4889"/>
    <mergeCell ref="A4882:A4883"/>
    <mergeCell ref="E4882:E4883"/>
    <mergeCell ref="H4882:H4883"/>
    <mergeCell ref="I4882:I4883"/>
    <mergeCell ref="J4882:J4883"/>
    <mergeCell ref="K4882:K4883"/>
    <mergeCell ref="L4882:L4883"/>
    <mergeCell ref="M4882:M4883"/>
    <mergeCell ref="N4882:N4883"/>
    <mergeCell ref="O4882:O4883"/>
    <mergeCell ref="X4882:X4883"/>
    <mergeCell ref="Y4882:Y4883"/>
    <mergeCell ref="Z4882:Z4883"/>
    <mergeCell ref="M4732:M4733"/>
    <mergeCell ref="N4732:N4733"/>
    <mergeCell ref="O4732:O4733"/>
    <mergeCell ref="X4732:X4733"/>
    <mergeCell ref="Y4732:Y4733"/>
    <mergeCell ref="O4706:O4707"/>
    <mergeCell ref="X4706:X4707"/>
    <mergeCell ref="Y4706:Y4707"/>
    <mergeCell ref="Z4706:Z4707"/>
    <mergeCell ref="AA4706:AA4707"/>
    <mergeCell ref="AB4706:AB4707"/>
    <mergeCell ref="O4714:O4715"/>
    <mergeCell ref="O4528:O4529"/>
    <mergeCell ref="X4528:X4529"/>
    <mergeCell ref="Y4528:Y4529"/>
    <mergeCell ref="Z4528:Z4529"/>
    <mergeCell ref="AA4528:AA4529"/>
    <mergeCell ref="AB4528:AB4529"/>
    <mergeCell ref="O4728:O4729"/>
    <mergeCell ref="X4728:X4729"/>
    <mergeCell ref="Y4728:Y4729"/>
    <mergeCell ref="Z4728:Z4729"/>
    <mergeCell ref="AA4728:AA4729"/>
    <mergeCell ref="AB4728:AB4729"/>
    <mergeCell ref="O4730:O4731"/>
    <mergeCell ref="X4730:X4731"/>
    <mergeCell ref="Y4730:Y4731"/>
    <mergeCell ref="Z4730:Z4731"/>
    <mergeCell ref="AA4730:AA4731"/>
    <mergeCell ref="AB4730:AB4731"/>
    <mergeCell ref="O4716:O4717"/>
    <mergeCell ref="X4714:X4715"/>
    <mergeCell ref="Y4714:Y4715"/>
    <mergeCell ref="Z4714:Z4715"/>
    <mergeCell ref="AA4714:AA4715"/>
    <mergeCell ref="AB4714:AB4715"/>
    <mergeCell ref="A4806:A4807"/>
    <mergeCell ref="E4806:E4807"/>
    <mergeCell ref="H4806:H4807"/>
    <mergeCell ref="I4806:I4807"/>
    <mergeCell ref="J4806:J4807"/>
    <mergeCell ref="K4806:K4807"/>
    <mergeCell ref="L4806:L4807"/>
    <mergeCell ref="M4806:M4807"/>
    <mergeCell ref="N4806:N4807"/>
    <mergeCell ref="O4806:O4807"/>
    <mergeCell ref="X4806:X4807"/>
    <mergeCell ref="Y4806:Y4807"/>
    <mergeCell ref="Z4806:Z4807"/>
    <mergeCell ref="AA4806:AA4807"/>
    <mergeCell ref="AB4806:AB4807"/>
    <mergeCell ref="A4726:A4727"/>
    <mergeCell ref="E4726:E4727"/>
    <mergeCell ref="H4726:H4727"/>
    <mergeCell ref="I4726:I4727"/>
    <mergeCell ref="J4726:J4727"/>
    <mergeCell ref="K4726:K4727"/>
    <mergeCell ref="L4726:L4727"/>
    <mergeCell ref="M4726:M4727"/>
    <mergeCell ref="N4726:N4727"/>
    <mergeCell ref="O4726:O4727"/>
    <mergeCell ref="X4726:X4727"/>
    <mergeCell ref="Y4726:Y4727"/>
    <mergeCell ref="Z4726:Z4727"/>
    <mergeCell ref="AA4726:AA4727"/>
    <mergeCell ref="AB4726:AB4727"/>
    <mergeCell ref="A4724:A4725"/>
    <mergeCell ref="E4724:E4725"/>
    <mergeCell ref="A4728:A4729"/>
    <mergeCell ref="K4502:K4503"/>
    <mergeCell ref="L4502:L4503"/>
    <mergeCell ref="M4502:M4503"/>
    <mergeCell ref="N4502:N4503"/>
    <mergeCell ref="O4502:O4503"/>
    <mergeCell ref="X4502:X4503"/>
    <mergeCell ref="Y4502:Y4503"/>
    <mergeCell ref="Z4502:Z4503"/>
    <mergeCell ref="AA4502:AA4503"/>
    <mergeCell ref="AB4502:AB4503"/>
    <mergeCell ref="A4504:A4505"/>
    <mergeCell ref="E4504:E4505"/>
    <mergeCell ref="H4504:H4505"/>
    <mergeCell ref="I4504:I4505"/>
    <mergeCell ref="J4504:J4505"/>
    <mergeCell ref="K4504:K4505"/>
    <mergeCell ref="L4504:L4505"/>
    <mergeCell ref="M4504:M4505"/>
    <mergeCell ref="N4504:N4505"/>
    <mergeCell ref="A4506:A4507"/>
    <mergeCell ref="E4506:E4507"/>
    <mergeCell ref="H4506:H4507"/>
    <mergeCell ref="I4506:I4507"/>
    <mergeCell ref="J4506:J4507"/>
    <mergeCell ref="K4506:K4507"/>
    <mergeCell ref="L4506:L4507"/>
    <mergeCell ref="M4506:M4507"/>
    <mergeCell ref="N4506:N4507"/>
    <mergeCell ref="O4506:O4507"/>
    <mergeCell ref="X4506:X4507"/>
    <mergeCell ref="Y4506:Y4507"/>
    <mergeCell ref="Z4506:Z4507"/>
    <mergeCell ref="AA4506:AA4507"/>
    <mergeCell ref="AB4506:AB4507"/>
    <mergeCell ref="A4492:A4493"/>
    <mergeCell ref="E4492:E4493"/>
    <mergeCell ref="H4492:H4493"/>
    <mergeCell ref="I4492:I4493"/>
    <mergeCell ref="J4492:J4493"/>
    <mergeCell ref="K4492:K4493"/>
    <mergeCell ref="L4492:L4493"/>
    <mergeCell ref="M4492:M4493"/>
    <mergeCell ref="N4492:N4493"/>
    <mergeCell ref="O4492:O4493"/>
    <mergeCell ref="X4492:X4493"/>
    <mergeCell ref="Y4492:Y4493"/>
    <mergeCell ref="Z4492:Z4493"/>
    <mergeCell ref="AA4492:AA4493"/>
    <mergeCell ref="AB4492:AB4493"/>
    <mergeCell ref="A4498:A4499"/>
    <mergeCell ref="E4498:E4499"/>
    <mergeCell ref="H4498:H4499"/>
    <mergeCell ref="I4498:I4499"/>
    <mergeCell ref="J4498:J4499"/>
    <mergeCell ref="K4498:K4499"/>
    <mergeCell ref="L4498:L4499"/>
    <mergeCell ref="M4498:M4499"/>
    <mergeCell ref="N4498:N4499"/>
    <mergeCell ref="O4498:O4499"/>
    <mergeCell ref="X4498:X4499"/>
    <mergeCell ref="Y4498:Y4499"/>
    <mergeCell ref="Z4498:Z4499"/>
    <mergeCell ref="AA4498:AA4499"/>
    <mergeCell ref="O4448:O4449"/>
    <mergeCell ref="X4448:X4449"/>
    <mergeCell ref="Y4448:Y4449"/>
    <mergeCell ref="Z4448:Z4449"/>
    <mergeCell ref="AA4448:AA4449"/>
    <mergeCell ref="AB4448:AB4449"/>
    <mergeCell ref="A4450:A4451"/>
    <mergeCell ref="E4450:E4451"/>
    <mergeCell ref="H4450:H4451"/>
    <mergeCell ref="I4450:I4451"/>
    <mergeCell ref="J4450:J4451"/>
    <mergeCell ref="K4450:K4451"/>
    <mergeCell ref="L4450:L4451"/>
    <mergeCell ref="M4450:M4451"/>
    <mergeCell ref="N4450:N4451"/>
    <mergeCell ref="O4450:O4451"/>
    <mergeCell ref="X4450:X4451"/>
    <mergeCell ref="Y4450:Y4451"/>
    <mergeCell ref="Z4450:Z4451"/>
    <mergeCell ref="AA4450:AA4451"/>
    <mergeCell ref="AB4450:AB4451"/>
    <mergeCell ref="A4454:A4455"/>
    <mergeCell ref="E4454:E4455"/>
    <mergeCell ref="H4454:H4455"/>
    <mergeCell ref="I4454:I4455"/>
    <mergeCell ref="J4454:J4455"/>
    <mergeCell ref="K4454:K4455"/>
    <mergeCell ref="L4454:L4455"/>
    <mergeCell ref="M4454:M4455"/>
    <mergeCell ref="N4454:N4455"/>
    <mergeCell ref="O4454:O4455"/>
    <mergeCell ref="O4472:O4473"/>
    <mergeCell ref="X4472:X4473"/>
    <mergeCell ref="Y4472:Y4473"/>
    <mergeCell ref="Z4472:Z4473"/>
    <mergeCell ref="A4442:A4443"/>
    <mergeCell ref="E4442:E4443"/>
    <mergeCell ref="H4442:H4443"/>
    <mergeCell ref="I4442:I4443"/>
    <mergeCell ref="J4442:J4443"/>
    <mergeCell ref="K4442:K4443"/>
    <mergeCell ref="L4442:L4443"/>
    <mergeCell ref="M4442:M4443"/>
    <mergeCell ref="N4442:N4443"/>
    <mergeCell ref="O4442:O4443"/>
    <mergeCell ref="X4442:X4443"/>
    <mergeCell ref="Y4442:Y4443"/>
    <mergeCell ref="Z4442:Z4443"/>
    <mergeCell ref="AA4442:AA4443"/>
    <mergeCell ref="AB4442:AB4443"/>
    <mergeCell ref="A4444:A4445"/>
    <mergeCell ref="E4444:E4445"/>
    <mergeCell ref="H4444:H4445"/>
    <mergeCell ref="I4444:I4445"/>
    <mergeCell ref="J4444:J4445"/>
    <mergeCell ref="K4444:K4445"/>
    <mergeCell ref="L4444:L4445"/>
    <mergeCell ref="M4444:M4445"/>
    <mergeCell ref="N4444:N4445"/>
    <mergeCell ref="O4444:O4445"/>
    <mergeCell ref="X4444:X4445"/>
    <mergeCell ref="Y4444:Y4445"/>
    <mergeCell ref="Z4444:Z4445"/>
    <mergeCell ref="AA4444:AA4445"/>
    <mergeCell ref="AB4444:AB4445"/>
    <mergeCell ref="A4408:A4409"/>
    <mergeCell ref="E4408:E4409"/>
    <mergeCell ref="H4408:H4409"/>
    <mergeCell ref="I4408:I4409"/>
    <mergeCell ref="J4408:J4409"/>
    <mergeCell ref="K4408:K4409"/>
    <mergeCell ref="L4408:L4409"/>
    <mergeCell ref="M4408:M4409"/>
    <mergeCell ref="N4408:N4409"/>
    <mergeCell ref="O4408:O4409"/>
    <mergeCell ref="X4408:X4409"/>
    <mergeCell ref="Y4408:Y4409"/>
    <mergeCell ref="Z4408:Z4409"/>
    <mergeCell ref="AA4408:AA4409"/>
    <mergeCell ref="AB4408:AB4409"/>
    <mergeCell ref="A4414:A4415"/>
    <mergeCell ref="E4414:E4415"/>
    <mergeCell ref="H4414:H4415"/>
    <mergeCell ref="I4414:I4415"/>
    <mergeCell ref="J4414:J4415"/>
    <mergeCell ref="K4414:K4415"/>
    <mergeCell ref="L4414:L4415"/>
    <mergeCell ref="M4414:M4415"/>
    <mergeCell ref="N4414:N4415"/>
    <mergeCell ref="O4414:O4415"/>
    <mergeCell ref="X4414:X4415"/>
    <mergeCell ref="Y4414:Y4415"/>
    <mergeCell ref="Z4414:Z4415"/>
    <mergeCell ref="AA4414:AA4415"/>
    <mergeCell ref="AB4414:AB4415"/>
    <mergeCell ref="AA4416:AA4417"/>
    <mergeCell ref="AB4416:AB4417"/>
    <mergeCell ref="AB4412:AB4413"/>
    <mergeCell ref="A4410:A4411"/>
    <mergeCell ref="A4392:A4393"/>
    <mergeCell ref="E4392:E4393"/>
    <mergeCell ref="H4392:H4393"/>
    <mergeCell ref="I4392:I4393"/>
    <mergeCell ref="J4392:J4393"/>
    <mergeCell ref="K4392:K4393"/>
    <mergeCell ref="L4392:L4393"/>
    <mergeCell ref="M4392:M4393"/>
    <mergeCell ref="N4392:N4393"/>
    <mergeCell ref="O4392:O4393"/>
    <mergeCell ref="X4392:X4393"/>
    <mergeCell ref="Y4392:Y4393"/>
    <mergeCell ref="Z4392:Z4393"/>
    <mergeCell ref="AA4392:AA4393"/>
    <mergeCell ref="AB4392:AB4393"/>
    <mergeCell ref="A4394:A4395"/>
    <mergeCell ref="E4394:E4395"/>
    <mergeCell ref="H4394:H4395"/>
    <mergeCell ref="I4394:I4395"/>
    <mergeCell ref="J4394:J4395"/>
    <mergeCell ref="K4394:K4395"/>
    <mergeCell ref="L4394:L4395"/>
    <mergeCell ref="M4394:M4395"/>
    <mergeCell ref="N4394:N4395"/>
    <mergeCell ref="O4394:O4395"/>
    <mergeCell ref="X4394:X4395"/>
    <mergeCell ref="Y4394:Y4395"/>
    <mergeCell ref="Z4394:Z4395"/>
    <mergeCell ref="AA4394:AA4395"/>
    <mergeCell ref="AB4394:AB4395"/>
    <mergeCell ref="A4396:A4397"/>
    <mergeCell ref="E4396:E4397"/>
    <mergeCell ref="H4396:H4397"/>
    <mergeCell ref="I4396:I4397"/>
    <mergeCell ref="J4396:J4397"/>
    <mergeCell ref="K4396:K4397"/>
    <mergeCell ref="L4396:L4397"/>
    <mergeCell ref="M4396:M4397"/>
    <mergeCell ref="N4396:N4397"/>
    <mergeCell ref="O4396:O4397"/>
    <mergeCell ref="X4396:X4397"/>
    <mergeCell ref="Y4396:Y4397"/>
    <mergeCell ref="Z4396:Z4397"/>
    <mergeCell ref="AA4396:AA4397"/>
    <mergeCell ref="AB4396:AB4397"/>
    <mergeCell ref="A4388:A4389"/>
    <mergeCell ref="E4388:E4389"/>
    <mergeCell ref="H4388:H4389"/>
    <mergeCell ref="I4388:I4389"/>
    <mergeCell ref="J4388:J4389"/>
    <mergeCell ref="K4388:K4389"/>
    <mergeCell ref="L4388:L4389"/>
    <mergeCell ref="M4388:M4389"/>
    <mergeCell ref="N4388:N4389"/>
    <mergeCell ref="O4388:O4389"/>
    <mergeCell ref="X4388:X4389"/>
    <mergeCell ref="Y4388:Y4389"/>
    <mergeCell ref="Z4388:Z4389"/>
    <mergeCell ref="AA4388:AA4389"/>
    <mergeCell ref="AB4388:AB4389"/>
    <mergeCell ref="O4386:O4387"/>
    <mergeCell ref="X4386:X4387"/>
    <mergeCell ref="Y4386:Y4387"/>
    <mergeCell ref="Z4386:Z4387"/>
    <mergeCell ref="AA4386:AA4387"/>
    <mergeCell ref="AB4386:AB4387"/>
    <mergeCell ref="A4380:A4381"/>
    <mergeCell ref="E4380:E4381"/>
    <mergeCell ref="A4390:A4391"/>
    <mergeCell ref="E4390:E4391"/>
    <mergeCell ref="H4390:H4391"/>
    <mergeCell ref="I4390:I4391"/>
    <mergeCell ref="J4390:J4391"/>
    <mergeCell ref="K4390:K4391"/>
    <mergeCell ref="L4390:L4391"/>
    <mergeCell ref="M4390:M4391"/>
    <mergeCell ref="N4390:N4391"/>
    <mergeCell ref="O4390:O4391"/>
    <mergeCell ref="X4390:X4391"/>
    <mergeCell ref="Y4390:Y4391"/>
    <mergeCell ref="Z4390:Z4391"/>
    <mergeCell ref="AA4390:AA4391"/>
    <mergeCell ref="AB4390:AB4391"/>
    <mergeCell ref="A4384:A4385"/>
    <mergeCell ref="E4384:E4385"/>
    <mergeCell ref="H4384:H4385"/>
    <mergeCell ref="I4384:I4385"/>
    <mergeCell ref="J4384:J4385"/>
    <mergeCell ref="K4384:K4385"/>
    <mergeCell ref="L4384:L4385"/>
    <mergeCell ref="M4384:M4385"/>
    <mergeCell ref="N4384:N4385"/>
    <mergeCell ref="O4384:O4385"/>
    <mergeCell ref="X4384:X4385"/>
    <mergeCell ref="Y4384:Y4385"/>
    <mergeCell ref="Z4384:Z4385"/>
    <mergeCell ref="AA4384:AA4385"/>
    <mergeCell ref="AB4384:AB4385"/>
    <mergeCell ref="A4386:A4387"/>
    <mergeCell ref="E4386:E4387"/>
    <mergeCell ref="H4386:H4387"/>
    <mergeCell ref="I4386:I4387"/>
    <mergeCell ref="J4386:J4387"/>
    <mergeCell ref="K4386:K4387"/>
    <mergeCell ref="L4386:L4387"/>
    <mergeCell ref="M4386:M4387"/>
    <mergeCell ref="N4386:N4387"/>
    <mergeCell ref="H4380:H4381"/>
    <mergeCell ref="I4380:I4381"/>
    <mergeCell ref="J4380:J4381"/>
    <mergeCell ref="K4380:K4381"/>
    <mergeCell ref="L4380:L4381"/>
    <mergeCell ref="M4380:M4381"/>
    <mergeCell ref="N4380:N4381"/>
    <mergeCell ref="O4380:O4381"/>
    <mergeCell ref="X4380:X4381"/>
    <mergeCell ref="Y4380:Y4381"/>
    <mergeCell ref="Z4380:Z4381"/>
    <mergeCell ref="AA4380:AA4381"/>
    <mergeCell ref="AB4380:AB4381"/>
    <mergeCell ref="A4382:A4383"/>
    <mergeCell ref="E4382:E4383"/>
    <mergeCell ref="H4382:H4383"/>
    <mergeCell ref="I4382:I4383"/>
    <mergeCell ref="J4382:J4383"/>
    <mergeCell ref="K4382:K4383"/>
    <mergeCell ref="L4382:L4383"/>
    <mergeCell ref="M4382:M4383"/>
    <mergeCell ref="N4382:N4383"/>
    <mergeCell ref="O4382:O4383"/>
    <mergeCell ref="X4382:X4383"/>
    <mergeCell ref="Y4382:Y4383"/>
    <mergeCell ref="Z4382:Z4383"/>
    <mergeCell ref="AA4382:AA4383"/>
    <mergeCell ref="AB4382:AB4383"/>
    <mergeCell ref="A4376:A4377"/>
    <mergeCell ref="E4376:E4377"/>
    <mergeCell ref="H4376:H4377"/>
    <mergeCell ref="I4376:I4377"/>
    <mergeCell ref="J4376:J4377"/>
    <mergeCell ref="K4376:K4377"/>
    <mergeCell ref="L4376:L4377"/>
    <mergeCell ref="M4376:M4377"/>
    <mergeCell ref="N4376:N4377"/>
    <mergeCell ref="O4376:O4377"/>
    <mergeCell ref="X4376:X4377"/>
    <mergeCell ref="Y4376:Y4377"/>
    <mergeCell ref="Z4376:Z4377"/>
    <mergeCell ref="AA4376:AA4377"/>
    <mergeCell ref="AB4376:AB4377"/>
    <mergeCell ref="A4378:A4379"/>
    <mergeCell ref="E4378:E4379"/>
    <mergeCell ref="H4378:H4379"/>
    <mergeCell ref="I4378:I4379"/>
    <mergeCell ref="J4378:J4379"/>
    <mergeCell ref="K4378:K4379"/>
    <mergeCell ref="L4378:L4379"/>
    <mergeCell ref="M4378:M4379"/>
    <mergeCell ref="N4378:N4379"/>
    <mergeCell ref="O4378:O4379"/>
    <mergeCell ref="X4378:X4379"/>
    <mergeCell ref="Y4378:Y4379"/>
    <mergeCell ref="Z4378:Z4379"/>
    <mergeCell ref="AA4378:AA4379"/>
    <mergeCell ref="AB4378:AB4379"/>
    <mergeCell ref="A4372:A4373"/>
    <mergeCell ref="E4372:E4373"/>
    <mergeCell ref="H4372:H4373"/>
    <mergeCell ref="I4372:I4373"/>
    <mergeCell ref="J4372:J4373"/>
    <mergeCell ref="K4372:K4373"/>
    <mergeCell ref="L4372:L4373"/>
    <mergeCell ref="M4372:M4373"/>
    <mergeCell ref="N4372:N4373"/>
    <mergeCell ref="O4372:O4373"/>
    <mergeCell ref="X4372:X4373"/>
    <mergeCell ref="Y4372:Y4373"/>
    <mergeCell ref="Z4372:Z4373"/>
    <mergeCell ref="AA4372:AA4373"/>
    <mergeCell ref="AB4372:AB4373"/>
    <mergeCell ref="A4374:A4375"/>
    <mergeCell ref="E4374:E4375"/>
    <mergeCell ref="H4374:H4375"/>
    <mergeCell ref="I4374:I4375"/>
    <mergeCell ref="J4374:J4375"/>
    <mergeCell ref="K4374:K4375"/>
    <mergeCell ref="L4374:L4375"/>
    <mergeCell ref="M4374:M4375"/>
    <mergeCell ref="N4374:N4375"/>
    <mergeCell ref="O4374:O4375"/>
    <mergeCell ref="X4374:X4375"/>
    <mergeCell ref="Y4374:Y4375"/>
    <mergeCell ref="Z4374:Z4375"/>
    <mergeCell ref="AA4374:AA4375"/>
    <mergeCell ref="AB4374:AB4375"/>
    <mergeCell ref="A4368:A4369"/>
    <mergeCell ref="E4368:E4369"/>
    <mergeCell ref="H4368:H4369"/>
    <mergeCell ref="I4368:I4369"/>
    <mergeCell ref="J4368:J4369"/>
    <mergeCell ref="K4368:K4369"/>
    <mergeCell ref="L4368:L4369"/>
    <mergeCell ref="M4368:M4369"/>
    <mergeCell ref="N4368:N4369"/>
    <mergeCell ref="O4368:O4369"/>
    <mergeCell ref="X4368:X4369"/>
    <mergeCell ref="Y4368:Y4369"/>
    <mergeCell ref="Z4368:Z4369"/>
    <mergeCell ref="AA4368:AA4369"/>
    <mergeCell ref="AB4368:AB4369"/>
    <mergeCell ref="A4370:A4371"/>
    <mergeCell ref="E4370:E4371"/>
    <mergeCell ref="H4370:H4371"/>
    <mergeCell ref="I4370:I4371"/>
    <mergeCell ref="J4370:J4371"/>
    <mergeCell ref="K4370:K4371"/>
    <mergeCell ref="L4370:L4371"/>
    <mergeCell ref="M4370:M4371"/>
    <mergeCell ref="N4370:N4371"/>
    <mergeCell ref="O4370:O4371"/>
    <mergeCell ref="X4370:X4371"/>
    <mergeCell ref="Y4370:Y4371"/>
    <mergeCell ref="Z4370:Z4371"/>
    <mergeCell ref="AA4370:AA4371"/>
    <mergeCell ref="AB4370:AB4371"/>
    <mergeCell ref="A4364:A4365"/>
    <mergeCell ref="E4364:E4365"/>
    <mergeCell ref="H4364:H4365"/>
    <mergeCell ref="I4364:I4365"/>
    <mergeCell ref="J4364:J4365"/>
    <mergeCell ref="K4364:K4365"/>
    <mergeCell ref="L4364:L4365"/>
    <mergeCell ref="M4364:M4365"/>
    <mergeCell ref="N4364:N4365"/>
    <mergeCell ref="O4364:O4365"/>
    <mergeCell ref="X4364:X4365"/>
    <mergeCell ref="Y4364:Y4365"/>
    <mergeCell ref="Z4364:Z4365"/>
    <mergeCell ref="AA4364:AA4365"/>
    <mergeCell ref="AB4364:AB4365"/>
    <mergeCell ref="A4366:A4367"/>
    <mergeCell ref="E4366:E4367"/>
    <mergeCell ref="H4366:H4367"/>
    <mergeCell ref="I4366:I4367"/>
    <mergeCell ref="J4366:J4367"/>
    <mergeCell ref="K4366:K4367"/>
    <mergeCell ref="L4366:L4367"/>
    <mergeCell ref="M4366:M4367"/>
    <mergeCell ref="N4366:N4367"/>
    <mergeCell ref="O4366:O4367"/>
    <mergeCell ref="X4366:X4367"/>
    <mergeCell ref="Y4366:Y4367"/>
    <mergeCell ref="Z4366:Z4367"/>
    <mergeCell ref="AA4366:AA4367"/>
    <mergeCell ref="AB4366:AB4367"/>
    <mergeCell ref="A4360:A4361"/>
    <mergeCell ref="E4360:E4361"/>
    <mergeCell ref="H4360:H4361"/>
    <mergeCell ref="I4360:I4361"/>
    <mergeCell ref="J4360:J4361"/>
    <mergeCell ref="K4360:K4361"/>
    <mergeCell ref="L4360:L4361"/>
    <mergeCell ref="M4360:M4361"/>
    <mergeCell ref="N4360:N4361"/>
    <mergeCell ref="O4360:O4361"/>
    <mergeCell ref="X4360:X4361"/>
    <mergeCell ref="Y4360:Y4361"/>
    <mergeCell ref="Z4360:Z4361"/>
    <mergeCell ref="AA4360:AA4361"/>
    <mergeCell ref="AB4360:AB4361"/>
    <mergeCell ref="A4362:A4363"/>
    <mergeCell ref="E4362:E4363"/>
    <mergeCell ref="H4362:H4363"/>
    <mergeCell ref="I4362:I4363"/>
    <mergeCell ref="J4362:J4363"/>
    <mergeCell ref="K4362:K4363"/>
    <mergeCell ref="L4362:L4363"/>
    <mergeCell ref="M4362:M4363"/>
    <mergeCell ref="N4362:N4363"/>
    <mergeCell ref="O4362:O4363"/>
    <mergeCell ref="X4362:X4363"/>
    <mergeCell ref="Y4362:Y4363"/>
    <mergeCell ref="Z4362:Z4363"/>
    <mergeCell ref="AA4362:AA4363"/>
    <mergeCell ref="AB4362:AB4363"/>
    <mergeCell ref="A4356:A4357"/>
    <mergeCell ref="E4356:E4357"/>
    <mergeCell ref="H4356:H4357"/>
    <mergeCell ref="I4356:I4357"/>
    <mergeCell ref="J4356:J4357"/>
    <mergeCell ref="K4356:K4357"/>
    <mergeCell ref="L4356:L4357"/>
    <mergeCell ref="M4356:M4357"/>
    <mergeCell ref="N4356:N4357"/>
    <mergeCell ref="O4356:O4357"/>
    <mergeCell ref="X4356:X4357"/>
    <mergeCell ref="Y4356:Y4357"/>
    <mergeCell ref="Z4356:Z4357"/>
    <mergeCell ref="AA4356:AA4357"/>
    <mergeCell ref="AB4356:AB4357"/>
    <mergeCell ref="A4358:A4359"/>
    <mergeCell ref="E4358:E4359"/>
    <mergeCell ref="H4358:H4359"/>
    <mergeCell ref="I4358:I4359"/>
    <mergeCell ref="J4358:J4359"/>
    <mergeCell ref="K4358:K4359"/>
    <mergeCell ref="L4358:L4359"/>
    <mergeCell ref="M4358:M4359"/>
    <mergeCell ref="N4358:N4359"/>
    <mergeCell ref="O4358:O4359"/>
    <mergeCell ref="X4358:X4359"/>
    <mergeCell ref="Y4358:Y4359"/>
    <mergeCell ref="Z4358:Z4359"/>
    <mergeCell ref="AA4358:AA4359"/>
    <mergeCell ref="AB4358:AB4359"/>
    <mergeCell ref="A4352:A4353"/>
    <mergeCell ref="E4352:E4353"/>
    <mergeCell ref="H4352:H4353"/>
    <mergeCell ref="I4352:I4353"/>
    <mergeCell ref="J4352:J4353"/>
    <mergeCell ref="K4352:K4353"/>
    <mergeCell ref="L4352:L4353"/>
    <mergeCell ref="M4352:M4353"/>
    <mergeCell ref="N4352:N4353"/>
    <mergeCell ref="O4352:O4353"/>
    <mergeCell ref="X4352:X4353"/>
    <mergeCell ref="Y4352:Y4353"/>
    <mergeCell ref="Z4352:Z4353"/>
    <mergeCell ref="AA4352:AA4353"/>
    <mergeCell ref="AB4352:AB4353"/>
    <mergeCell ref="A4354:A4355"/>
    <mergeCell ref="E4354:E4355"/>
    <mergeCell ref="H4354:H4355"/>
    <mergeCell ref="I4354:I4355"/>
    <mergeCell ref="J4354:J4355"/>
    <mergeCell ref="K4354:K4355"/>
    <mergeCell ref="L4354:L4355"/>
    <mergeCell ref="M4354:M4355"/>
    <mergeCell ref="N4354:N4355"/>
    <mergeCell ref="O4354:O4355"/>
    <mergeCell ref="X4354:X4355"/>
    <mergeCell ref="Y4354:Y4355"/>
    <mergeCell ref="Z4354:Z4355"/>
    <mergeCell ref="AA4354:AA4355"/>
    <mergeCell ref="AB4354:AB4355"/>
    <mergeCell ref="AA4342:AA4343"/>
    <mergeCell ref="AB4342:AB4343"/>
    <mergeCell ref="X4336:X4337"/>
    <mergeCell ref="Y4336:Y4337"/>
    <mergeCell ref="Z4336:Z4337"/>
    <mergeCell ref="AA4336:AA4337"/>
    <mergeCell ref="AB4336:AB4337"/>
    <mergeCell ref="A4348:A4349"/>
    <mergeCell ref="E4348:E4349"/>
    <mergeCell ref="H4348:H4349"/>
    <mergeCell ref="I4348:I4349"/>
    <mergeCell ref="J4348:J4349"/>
    <mergeCell ref="K4348:K4349"/>
    <mergeCell ref="L4348:L4349"/>
    <mergeCell ref="M4348:M4349"/>
    <mergeCell ref="N4348:N4349"/>
    <mergeCell ref="O4348:O4349"/>
    <mergeCell ref="X4348:X4349"/>
    <mergeCell ref="Y4348:Y4349"/>
    <mergeCell ref="Z4348:Z4349"/>
    <mergeCell ref="AA4348:AA4349"/>
    <mergeCell ref="AB4348:AB4349"/>
    <mergeCell ref="A4350:A4351"/>
    <mergeCell ref="E4350:E4351"/>
    <mergeCell ref="H4350:H4351"/>
    <mergeCell ref="I4350:I4351"/>
    <mergeCell ref="J4350:J4351"/>
    <mergeCell ref="K4350:K4351"/>
    <mergeCell ref="L4350:L4351"/>
    <mergeCell ref="M4350:M4351"/>
    <mergeCell ref="N4350:N4351"/>
    <mergeCell ref="O4350:O4351"/>
    <mergeCell ref="X4350:X4351"/>
    <mergeCell ref="Y4350:Y4351"/>
    <mergeCell ref="Z4350:Z4351"/>
    <mergeCell ref="AA4350:AA4351"/>
    <mergeCell ref="AB4350:AB4351"/>
    <mergeCell ref="A4346:A4347"/>
    <mergeCell ref="E4346:E4347"/>
    <mergeCell ref="H4346:H4347"/>
    <mergeCell ref="I4346:I4347"/>
    <mergeCell ref="J4346:J4347"/>
    <mergeCell ref="K4346:K4347"/>
    <mergeCell ref="L4346:L4347"/>
    <mergeCell ref="M4346:M4347"/>
    <mergeCell ref="N4346:N4347"/>
    <mergeCell ref="O4346:O4347"/>
    <mergeCell ref="X4346:X4347"/>
    <mergeCell ref="Y4346:Y4347"/>
    <mergeCell ref="Z4346:Z4347"/>
    <mergeCell ref="AA4346:AA4347"/>
    <mergeCell ref="AB4346:AB4347"/>
    <mergeCell ref="O4330:O4331"/>
    <mergeCell ref="X4330:X4331"/>
    <mergeCell ref="Y4330:Y4331"/>
    <mergeCell ref="Z4330:Z4331"/>
    <mergeCell ref="AA4330:AA4331"/>
    <mergeCell ref="AB4330:AB4331"/>
    <mergeCell ref="A4332:A4333"/>
    <mergeCell ref="E4332:E4333"/>
    <mergeCell ref="H4332:H4333"/>
    <mergeCell ref="I4332:I4333"/>
    <mergeCell ref="J4332:J4333"/>
    <mergeCell ref="K4332:K4333"/>
    <mergeCell ref="L4332:L4333"/>
    <mergeCell ref="M4332:M4333"/>
    <mergeCell ref="N4332:N4333"/>
    <mergeCell ref="O4332:O4333"/>
    <mergeCell ref="X4332:X4333"/>
    <mergeCell ref="Y4332:Y4333"/>
    <mergeCell ref="Z4332:Z4333"/>
    <mergeCell ref="AA4332:AA4333"/>
    <mergeCell ref="AB4332:AB4333"/>
    <mergeCell ref="A4344:A4345"/>
    <mergeCell ref="E4344:E4345"/>
    <mergeCell ref="H4344:H4345"/>
    <mergeCell ref="I4344:I4345"/>
    <mergeCell ref="J4344:J4345"/>
    <mergeCell ref="K4344:K4345"/>
    <mergeCell ref="L4344:L4345"/>
    <mergeCell ref="M4344:M4345"/>
    <mergeCell ref="N4344:N4345"/>
    <mergeCell ref="O4344:O4345"/>
    <mergeCell ref="X4344:X4345"/>
    <mergeCell ref="Y4344:Y4345"/>
    <mergeCell ref="Z4344:Z4345"/>
    <mergeCell ref="AA4344:AA4345"/>
    <mergeCell ref="AB4344:AB4345"/>
    <mergeCell ref="A4338:A4339"/>
    <mergeCell ref="E4338:E4339"/>
    <mergeCell ref="H4338:H4339"/>
    <mergeCell ref="I4338:I4339"/>
    <mergeCell ref="J4338:J4339"/>
    <mergeCell ref="K4338:K4339"/>
    <mergeCell ref="L4338:L4339"/>
    <mergeCell ref="M4338:M4339"/>
    <mergeCell ref="N4338:N4339"/>
    <mergeCell ref="O4338:O4339"/>
    <mergeCell ref="X4338:X4339"/>
    <mergeCell ref="Y4338:Y4339"/>
    <mergeCell ref="Z4338:Z4339"/>
    <mergeCell ref="AA4338:AA4339"/>
    <mergeCell ref="AB4338:AB4339"/>
    <mergeCell ref="A4342:A4343"/>
    <mergeCell ref="E4342:E4343"/>
    <mergeCell ref="H4342:H4343"/>
    <mergeCell ref="I4342:I4343"/>
    <mergeCell ref="J4342:J4343"/>
    <mergeCell ref="K4342:K4343"/>
    <mergeCell ref="L4342:L4343"/>
    <mergeCell ref="M4342:M4343"/>
    <mergeCell ref="N4342:N4343"/>
    <mergeCell ref="O4342:O4343"/>
    <mergeCell ref="X4342:X4343"/>
    <mergeCell ref="Y4342:Y4343"/>
    <mergeCell ref="Z4342:Z4343"/>
    <mergeCell ref="A4324:A4325"/>
    <mergeCell ref="E4324:E4325"/>
    <mergeCell ref="H4324:H4325"/>
    <mergeCell ref="I4324:I4325"/>
    <mergeCell ref="J4324:J4325"/>
    <mergeCell ref="K4324:K4325"/>
    <mergeCell ref="L4324:L4325"/>
    <mergeCell ref="M4324:M4325"/>
    <mergeCell ref="N4324:N4325"/>
    <mergeCell ref="O4324:O4325"/>
    <mergeCell ref="X4324:X4325"/>
    <mergeCell ref="Y4324:Y4325"/>
    <mergeCell ref="Z4324:Z4325"/>
    <mergeCell ref="AA4324:AA4325"/>
    <mergeCell ref="AB4324:AB4325"/>
    <mergeCell ref="A4326:A4327"/>
    <mergeCell ref="E4326:E4327"/>
    <mergeCell ref="H4326:H4327"/>
    <mergeCell ref="I4326:I4327"/>
    <mergeCell ref="J4326:J4327"/>
    <mergeCell ref="K4326:K4327"/>
    <mergeCell ref="L4326:L4327"/>
    <mergeCell ref="M4326:M4327"/>
    <mergeCell ref="N4326:N4327"/>
    <mergeCell ref="O4326:O4327"/>
    <mergeCell ref="X4326:X4327"/>
    <mergeCell ref="Y4326:Y4327"/>
    <mergeCell ref="Z4326:Z4327"/>
    <mergeCell ref="AA4326:AA4327"/>
    <mergeCell ref="AB4326:AB4327"/>
    <mergeCell ref="A4320:A4321"/>
    <mergeCell ref="E4320:E4321"/>
    <mergeCell ref="H4320:H4321"/>
    <mergeCell ref="I4320:I4321"/>
    <mergeCell ref="J4320:J4321"/>
    <mergeCell ref="K4320:K4321"/>
    <mergeCell ref="L4320:L4321"/>
    <mergeCell ref="M4320:M4321"/>
    <mergeCell ref="N4320:N4321"/>
    <mergeCell ref="O4320:O4321"/>
    <mergeCell ref="X4320:X4321"/>
    <mergeCell ref="Y4320:Y4321"/>
    <mergeCell ref="Z4320:Z4321"/>
    <mergeCell ref="AA4320:AA4321"/>
    <mergeCell ref="AB4320:AB4321"/>
    <mergeCell ref="A4322:A4323"/>
    <mergeCell ref="E4322:E4323"/>
    <mergeCell ref="H4322:H4323"/>
    <mergeCell ref="I4322:I4323"/>
    <mergeCell ref="J4322:J4323"/>
    <mergeCell ref="K4322:K4323"/>
    <mergeCell ref="L4322:L4323"/>
    <mergeCell ref="M4322:M4323"/>
    <mergeCell ref="N4322:N4323"/>
    <mergeCell ref="O4322:O4323"/>
    <mergeCell ref="X4322:X4323"/>
    <mergeCell ref="Y4322:Y4323"/>
    <mergeCell ref="Z4322:Z4323"/>
    <mergeCell ref="AA4322:AA4323"/>
    <mergeCell ref="AB4322:AB4323"/>
    <mergeCell ref="A4316:A4317"/>
    <mergeCell ref="E4316:E4317"/>
    <mergeCell ref="H4316:H4317"/>
    <mergeCell ref="I4316:I4317"/>
    <mergeCell ref="J4316:J4317"/>
    <mergeCell ref="K4316:K4317"/>
    <mergeCell ref="L4316:L4317"/>
    <mergeCell ref="M4316:M4317"/>
    <mergeCell ref="N4316:N4317"/>
    <mergeCell ref="O4316:O4317"/>
    <mergeCell ref="X4316:X4317"/>
    <mergeCell ref="Y4316:Y4317"/>
    <mergeCell ref="Z4316:Z4317"/>
    <mergeCell ref="AA4316:AA4317"/>
    <mergeCell ref="AB4316:AB4317"/>
    <mergeCell ref="A4318:A4319"/>
    <mergeCell ref="E4318:E4319"/>
    <mergeCell ref="H4318:H4319"/>
    <mergeCell ref="I4318:I4319"/>
    <mergeCell ref="J4318:J4319"/>
    <mergeCell ref="K4318:K4319"/>
    <mergeCell ref="L4318:L4319"/>
    <mergeCell ref="M4318:M4319"/>
    <mergeCell ref="N4318:N4319"/>
    <mergeCell ref="O4318:O4319"/>
    <mergeCell ref="X4318:X4319"/>
    <mergeCell ref="Y4318:Y4319"/>
    <mergeCell ref="Z4318:Z4319"/>
    <mergeCell ref="AA4318:AA4319"/>
    <mergeCell ref="AB4318:AB4319"/>
    <mergeCell ref="A4312:A4313"/>
    <mergeCell ref="E4312:E4313"/>
    <mergeCell ref="H4312:H4313"/>
    <mergeCell ref="I4312:I4313"/>
    <mergeCell ref="J4312:J4313"/>
    <mergeCell ref="K4312:K4313"/>
    <mergeCell ref="L4312:L4313"/>
    <mergeCell ref="M4312:M4313"/>
    <mergeCell ref="N4312:N4313"/>
    <mergeCell ref="O4312:O4313"/>
    <mergeCell ref="X4312:X4313"/>
    <mergeCell ref="Y4312:Y4313"/>
    <mergeCell ref="Z4312:Z4313"/>
    <mergeCell ref="AA4312:AA4313"/>
    <mergeCell ref="AB4312:AB4313"/>
    <mergeCell ref="A4314:A4315"/>
    <mergeCell ref="E4314:E4315"/>
    <mergeCell ref="H4314:H4315"/>
    <mergeCell ref="I4314:I4315"/>
    <mergeCell ref="J4314:J4315"/>
    <mergeCell ref="K4314:K4315"/>
    <mergeCell ref="L4314:L4315"/>
    <mergeCell ref="M4314:M4315"/>
    <mergeCell ref="N4314:N4315"/>
    <mergeCell ref="O4314:O4315"/>
    <mergeCell ref="X4314:X4315"/>
    <mergeCell ref="Y4314:Y4315"/>
    <mergeCell ref="Z4314:Z4315"/>
    <mergeCell ref="AA4314:AA4315"/>
    <mergeCell ref="AB4314:AB4315"/>
    <mergeCell ref="A4308:A4309"/>
    <mergeCell ref="E4308:E4309"/>
    <mergeCell ref="H4308:H4309"/>
    <mergeCell ref="I4308:I4309"/>
    <mergeCell ref="J4308:J4309"/>
    <mergeCell ref="K4308:K4309"/>
    <mergeCell ref="L4308:L4309"/>
    <mergeCell ref="M4308:M4309"/>
    <mergeCell ref="N4308:N4309"/>
    <mergeCell ref="O4308:O4309"/>
    <mergeCell ref="X4308:X4309"/>
    <mergeCell ref="Y4308:Y4309"/>
    <mergeCell ref="Z4308:Z4309"/>
    <mergeCell ref="AA4308:AA4309"/>
    <mergeCell ref="AB4308:AB4309"/>
    <mergeCell ref="A4310:A4311"/>
    <mergeCell ref="E4310:E4311"/>
    <mergeCell ref="H4310:H4311"/>
    <mergeCell ref="I4310:I4311"/>
    <mergeCell ref="J4310:J4311"/>
    <mergeCell ref="K4310:K4311"/>
    <mergeCell ref="L4310:L4311"/>
    <mergeCell ref="M4310:M4311"/>
    <mergeCell ref="N4310:N4311"/>
    <mergeCell ref="O4310:O4311"/>
    <mergeCell ref="X4310:X4311"/>
    <mergeCell ref="Y4310:Y4311"/>
    <mergeCell ref="Z4310:Z4311"/>
    <mergeCell ref="AA4310:AA4311"/>
    <mergeCell ref="AB4310:AB4311"/>
    <mergeCell ref="A4304:A4305"/>
    <mergeCell ref="E4304:E4305"/>
    <mergeCell ref="H4304:H4305"/>
    <mergeCell ref="I4304:I4305"/>
    <mergeCell ref="J4304:J4305"/>
    <mergeCell ref="K4304:K4305"/>
    <mergeCell ref="L4304:L4305"/>
    <mergeCell ref="M4304:M4305"/>
    <mergeCell ref="N4304:N4305"/>
    <mergeCell ref="O4304:O4305"/>
    <mergeCell ref="X4304:X4305"/>
    <mergeCell ref="Y4304:Y4305"/>
    <mergeCell ref="Z4304:Z4305"/>
    <mergeCell ref="AA4304:AA4305"/>
    <mergeCell ref="AB4304:AB4305"/>
    <mergeCell ref="A4306:A4307"/>
    <mergeCell ref="E4306:E4307"/>
    <mergeCell ref="H4306:H4307"/>
    <mergeCell ref="I4306:I4307"/>
    <mergeCell ref="J4306:J4307"/>
    <mergeCell ref="K4306:K4307"/>
    <mergeCell ref="L4306:L4307"/>
    <mergeCell ref="M4306:M4307"/>
    <mergeCell ref="N4306:N4307"/>
    <mergeCell ref="O4306:O4307"/>
    <mergeCell ref="X4306:X4307"/>
    <mergeCell ref="Y4306:Y4307"/>
    <mergeCell ref="Z4306:Z4307"/>
    <mergeCell ref="AA4306:AA4307"/>
    <mergeCell ref="AB4306:AB4307"/>
    <mergeCell ref="A4300:A4301"/>
    <mergeCell ref="E4300:E4301"/>
    <mergeCell ref="H4300:H4301"/>
    <mergeCell ref="I4300:I4301"/>
    <mergeCell ref="J4300:J4301"/>
    <mergeCell ref="K4300:K4301"/>
    <mergeCell ref="L4300:L4301"/>
    <mergeCell ref="M4300:M4301"/>
    <mergeCell ref="N4300:N4301"/>
    <mergeCell ref="O4300:O4301"/>
    <mergeCell ref="X4300:X4301"/>
    <mergeCell ref="Y4300:Y4301"/>
    <mergeCell ref="Z4300:Z4301"/>
    <mergeCell ref="AA4300:AA4301"/>
    <mergeCell ref="AB4300:AB4301"/>
    <mergeCell ref="A4302:A4303"/>
    <mergeCell ref="E4302:E4303"/>
    <mergeCell ref="H4302:H4303"/>
    <mergeCell ref="I4302:I4303"/>
    <mergeCell ref="J4302:J4303"/>
    <mergeCell ref="K4302:K4303"/>
    <mergeCell ref="L4302:L4303"/>
    <mergeCell ref="M4302:M4303"/>
    <mergeCell ref="N4302:N4303"/>
    <mergeCell ref="O4302:O4303"/>
    <mergeCell ref="X4302:X4303"/>
    <mergeCell ref="Y4302:Y4303"/>
    <mergeCell ref="Z4302:Z4303"/>
    <mergeCell ref="AA4302:AA4303"/>
    <mergeCell ref="AB4302:AB4303"/>
    <mergeCell ref="A4296:A4297"/>
    <mergeCell ref="E4296:E4297"/>
    <mergeCell ref="H4296:H4297"/>
    <mergeCell ref="I4296:I4297"/>
    <mergeCell ref="J4296:J4297"/>
    <mergeCell ref="K4296:K4297"/>
    <mergeCell ref="L4296:L4297"/>
    <mergeCell ref="M4296:M4297"/>
    <mergeCell ref="N4296:N4297"/>
    <mergeCell ref="O4296:O4297"/>
    <mergeCell ref="X4296:X4297"/>
    <mergeCell ref="Y4296:Y4297"/>
    <mergeCell ref="Z4296:Z4297"/>
    <mergeCell ref="AA4296:AA4297"/>
    <mergeCell ref="AB4296:AB4297"/>
    <mergeCell ref="A4298:A4299"/>
    <mergeCell ref="E4298:E4299"/>
    <mergeCell ref="H4298:H4299"/>
    <mergeCell ref="I4298:I4299"/>
    <mergeCell ref="J4298:J4299"/>
    <mergeCell ref="K4298:K4299"/>
    <mergeCell ref="L4298:L4299"/>
    <mergeCell ref="M4298:M4299"/>
    <mergeCell ref="N4298:N4299"/>
    <mergeCell ref="O4298:O4299"/>
    <mergeCell ref="X4298:X4299"/>
    <mergeCell ref="Y4298:Y4299"/>
    <mergeCell ref="Z4298:Z4299"/>
    <mergeCell ref="AA4298:AA4299"/>
    <mergeCell ref="AB4298:AB4299"/>
    <mergeCell ref="A4290:A4291"/>
    <mergeCell ref="E4290:E4291"/>
    <mergeCell ref="H4290:H4291"/>
    <mergeCell ref="I4290:I4291"/>
    <mergeCell ref="J4290:J4291"/>
    <mergeCell ref="K4290:K4291"/>
    <mergeCell ref="L4290:L4291"/>
    <mergeCell ref="M4290:M4291"/>
    <mergeCell ref="N4290:N4291"/>
    <mergeCell ref="O4290:O4291"/>
    <mergeCell ref="X4290:X4291"/>
    <mergeCell ref="Y4290:Y4291"/>
    <mergeCell ref="Z4290:Z4291"/>
    <mergeCell ref="AA4290:AA4291"/>
    <mergeCell ref="AB4290:AB4291"/>
    <mergeCell ref="A4294:A4295"/>
    <mergeCell ref="E4294:E4295"/>
    <mergeCell ref="H4294:H4295"/>
    <mergeCell ref="I4294:I4295"/>
    <mergeCell ref="J4294:J4295"/>
    <mergeCell ref="K4294:K4295"/>
    <mergeCell ref="L4294:L4295"/>
    <mergeCell ref="M4294:M4295"/>
    <mergeCell ref="N4294:N4295"/>
    <mergeCell ref="O4294:O4295"/>
    <mergeCell ref="X4294:X4295"/>
    <mergeCell ref="Y4294:Y4295"/>
    <mergeCell ref="Z4294:Z4295"/>
    <mergeCell ref="AA4294:AA4295"/>
    <mergeCell ref="AB4294:AB4295"/>
    <mergeCell ref="A4292:A4293"/>
    <mergeCell ref="E4292:E4293"/>
    <mergeCell ref="H4292:H4293"/>
    <mergeCell ref="I4292:I4293"/>
    <mergeCell ref="J4292:J4293"/>
    <mergeCell ref="K4292:K4293"/>
    <mergeCell ref="L4292:L4293"/>
    <mergeCell ref="M4292:M4293"/>
    <mergeCell ref="N4292:N4293"/>
    <mergeCell ref="O4292:O4293"/>
    <mergeCell ref="X4292:X4293"/>
    <mergeCell ref="Y4292:Y4293"/>
    <mergeCell ref="Z4292:Z4293"/>
    <mergeCell ref="AA4292:AA4293"/>
    <mergeCell ref="AB4292:AB4293"/>
    <mergeCell ref="A4286:A4287"/>
    <mergeCell ref="E4286:E4287"/>
    <mergeCell ref="H4286:H4287"/>
    <mergeCell ref="I4286:I4287"/>
    <mergeCell ref="J4286:J4287"/>
    <mergeCell ref="K4286:K4287"/>
    <mergeCell ref="L4286:L4287"/>
    <mergeCell ref="M4286:M4287"/>
    <mergeCell ref="N4286:N4287"/>
    <mergeCell ref="O4286:O4287"/>
    <mergeCell ref="X4286:X4287"/>
    <mergeCell ref="Y4286:Y4287"/>
    <mergeCell ref="Z4286:Z4287"/>
    <mergeCell ref="AA4286:AA4287"/>
    <mergeCell ref="AB4286:AB4287"/>
    <mergeCell ref="A4288:A4289"/>
    <mergeCell ref="E4288:E4289"/>
    <mergeCell ref="H4288:H4289"/>
    <mergeCell ref="I4288:I4289"/>
    <mergeCell ref="J4288:J4289"/>
    <mergeCell ref="K4288:K4289"/>
    <mergeCell ref="L4288:L4289"/>
    <mergeCell ref="M4288:M4289"/>
    <mergeCell ref="N4288:N4289"/>
    <mergeCell ref="O4288:O4289"/>
    <mergeCell ref="X4288:X4289"/>
    <mergeCell ref="Y4288:Y4289"/>
    <mergeCell ref="Z4288:Z4289"/>
    <mergeCell ref="AA4288:AA4289"/>
    <mergeCell ref="AB4288:AB4289"/>
    <mergeCell ref="A4282:A4283"/>
    <mergeCell ref="E4282:E4283"/>
    <mergeCell ref="H4282:H4283"/>
    <mergeCell ref="I4282:I4283"/>
    <mergeCell ref="J4282:J4283"/>
    <mergeCell ref="K4282:K4283"/>
    <mergeCell ref="L4282:L4283"/>
    <mergeCell ref="M4282:M4283"/>
    <mergeCell ref="N4282:N4283"/>
    <mergeCell ref="O4282:O4283"/>
    <mergeCell ref="X4282:X4283"/>
    <mergeCell ref="Y4282:Y4283"/>
    <mergeCell ref="Z4282:Z4283"/>
    <mergeCell ref="AA4282:AA4283"/>
    <mergeCell ref="AB4282:AB4283"/>
    <mergeCell ref="A4284:A4285"/>
    <mergeCell ref="E4284:E4285"/>
    <mergeCell ref="H4284:H4285"/>
    <mergeCell ref="I4284:I4285"/>
    <mergeCell ref="J4284:J4285"/>
    <mergeCell ref="K4284:K4285"/>
    <mergeCell ref="L4284:L4285"/>
    <mergeCell ref="M4284:M4285"/>
    <mergeCell ref="N4284:N4285"/>
    <mergeCell ref="O4284:O4285"/>
    <mergeCell ref="X4284:X4285"/>
    <mergeCell ref="Y4284:Y4285"/>
    <mergeCell ref="Z4284:Z4285"/>
    <mergeCell ref="AA4284:AA4285"/>
    <mergeCell ref="AB4284:AB4285"/>
    <mergeCell ref="A4278:A4279"/>
    <mergeCell ref="E4278:E4279"/>
    <mergeCell ref="H4278:H4279"/>
    <mergeCell ref="I4278:I4279"/>
    <mergeCell ref="J4278:J4279"/>
    <mergeCell ref="K4278:K4279"/>
    <mergeCell ref="L4278:L4279"/>
    <mergeCell ref="M4278:M4279"/>
    <mergeCell ref="N4278:N4279"/>
    <mergeCell ref="O4278:O4279"/>
    <mergeCell ref="X4278:X4279"/>
    <mergeCell ref="Y4278:Y4279"/>
    <mergeCell ref="Z4278:Z4279"/>
    <mergeCell ref="AA4278:AA4279"/>
    <mergeCell ref="AB4278:AB4279"/>
    <mergeCell ref="A4280:A4281"/>
    <mergeCell ref="E4280:E4281"/>
    <mergeCell ref="H4280:H4281"/>
    <mergeCell ref="I4280:I4281"/>
    <mergeCell ref="J4280:J4281"/>
    <mergeCell ref="K4280:K4281"/>
    <mergeCell ref="L4280:L4281"/>
    <mergeCell ref="M4280:M4281"/>
    <mergeCell ref="N4280:N4281"/>
    <mergeCell ref="O4280:O4281"/>
    <mergeCell ref="X4280:X4281"/>
    <mergeCell ref="Y4280:Y4281"/>
    <mergeCell ref="Z4280:Z4281"/>
    <mergeCell ref="AA4280:AA4281"/>
    <mergeCell ref="AB4280:AB4281"/>
    <mergeCell ref="A4274:A4275"/>
    <mergeCell ref="E4274:E4275"/>
    <mergeCell ref="H4274:H4275"/>
    <mergeCell ref="I4274:I4275"/>
    <mergeCell ref="J4274:J4275"/>
    <mergeCell ref="K4274:K4275"/>
    <mergeCell ref="L4274:L4275"/>
    <mergeCell ref="M4274:M4275"/>
    <mergeCell ref="N4274:N4275"/>
    <mergeCell ref="O4274:O4275"/>
    <mergeCell ref="X4274:X4275"/>
    <mergeCell ref="Y4274:Y4275"/>
    <mergeCell ref="Z4274:Z4275"/>
    <mergeCell ref="AA4274:AA4275"/>
    <mergeCell ref="AB4274:AB4275"/>
    <mergeCell ref="A4276:A4277"/>
    <mergeCell ref="E4276:E4277"/>
    <mergeCell ref="H4276:H4277"/>
    <mergeCell ref="I4276:I4277"/>
    <mergeCell ref="J4276:J4277"/>
    <mergeCell ref="K4276:K4277"/>
    <mergeCell ref="L4276:L4277"/>
    <mergeCell ref="M4276:M4277"/>
    <mergeCell ref="N4276:N4277"/>
    <mergeCell ref="O4276:O4277"/>
    <mergeCell ref="X4276:X4277"/>
    <mergeCell ref="Y4276:Y4277"/>
    <mergeCell ref="Z4276:Z4277"/>
    <mergeCell ref="AA4276:AA4277"/>
    <mergeCell ref="AB4276:AB4277"/>
    <mergeCell ref="A4270:A4271"/>
    <mergeCell ref="E4270:E4271"/>
    <mergeCell ref="H4270:H4271"/>
    <mergeCell ref="I4270:I4271"/>
    <mergeCell ref="J4270:J4271"/>
    <mergeCell ref="K4270:K4271"/>
    <mergeCell ref="L4270:L4271"/>
    <mergeCell ref="M4270:M4271"/>
    <mergeCell ref="N4270:N4271"/>
    <mergeCell ref="O4270:O4271"/>
    <mergeCell ref="X4270:X4271"/>
    <mergeCell ref="Y4270:Y4271"/>
    <mergeCell ref="Z4270:Z4271"/>
    <mergeCell ref="AA4270:AA4271"/>
    <mergeCell ref="AB4270:AB4271"/>
    <mergeCell ref="A4272:A4273"/>
    <mergeCell ref="E4272:E4273"/>
    <mergeCell ref="H4272:H4273"/>
    <mergeCell ref="I4272:I4273"/>
    <mergeCell ref="J4272:J4273"/>
    <mergeCell ref="K4272:K4273"/>
    <mergeCell ref="L4272:L4273"/>
    <mergeCell ref="M4272:M4273"/>
    <mergeCell ref="N4272:N4273"/>
    <mergeCell ref="O4272:O4273"/>
    <mergeCell ref="X4272:X4273"/>
    <mergeCell ref="Y4272:Y4273"/>
    <mergeCell ref="Z4272:Z4273"/>
    <mergeCell ref="AA4272:AA4273"/>
    <mergeCell ref="AB4272:AB4273"/>
    <mergeCell ref="A4266:A4267"/>
    <mergeCell ref="E4266:E4267"/>
    <mergeCell ref="H4266:H4267"/>
    <mergeCell ref="I4266:I4267"/>
    <mergeCell ref="J4266:J4267"/>
    <mergeCell ref="K4266:K4267"/>
    <mergeCell ref="L4266:L4267"/>
    <mergeCell ref="M4266:M4267"/>
    <mergeCell ref="N4266:N4267"/>
    <mergeCell ref="O4266:O4267"/>
    <mergeCell ref="X4266:X4267"/>
    <mergeCell ref="Y4266:Y4267"/>
    <mergeCell ref="Z4266:Z4267"/>
    <mergeCell ref="AA4266:AA4267"/>
    <mergeCell ref="AB4266:AB4267"/>
    <mergeCell ref="A4268:A4269"/>
    <mergeCell ref="E4268:E4269"/>
    <mergeCell ref="H4268:H4269"/>
    <mergeCell ref="I4268:I4269"/>
    <mergeCell ref="J4268:J4269"/>
    <mergeCell ref="K4268:K4269"/>
    <mergeCell ref="L4268:L4269"/>
    <mergeCell ref="M4268:M4269"/>
    <mergeCell ref="N4268:N4269"/>
    <mergeCell ref="O4268:O4269"/>
    <mergeCell ref="X4268:X4269"/>
    <mergeCell ref="Y4268:Y4269"/>
    <mergeCell ref="Z4268:Z4269"/>
    <mergeCell ref="AA4268:AA4269"/>
    <mergeCell ref="AB4268:AB4269"/>
    <mergeCell ref="A4262:A4263"/>
    <mergeCell ref="E4262:E4263"/>
    <mergeCell ref="H4262:H4263"/>
    <mergeCell ref="I4262:I4263"/>
    <mergeCell ref="J4262:J4263"/>
    <mergeCell ref="K4262:K4263"/>
    <mergeCell ref="L4262:L4263"/>
    <mergeCell ref="M4262:M4263"/>
    <mergeCell ref="N4262:N4263"/>
    <mergeCell ref="O4262:O4263"/>
    <mergeCell ref="X4262:X4263"/>
    <mergeCell ref="Y4262:Y4263"/>
    <mergeCell ref="Z4262:Z4263"/>
    <mergeCell ref="AA4262:AA4263"/>
    <mergeCell ref="AB4262:AB4263"/>
    <mergeCell ref="A4264:A4265"/>
    <mergeCell ref="E4264:E4265"/>
    <mergeCell ref="H4264:H4265"/>
    <mergeCell ref="I4264:I4265"/>
    <mergeCell ref="J4264:J4265"/>
    <mergeCell ref="K4264:K4265"/>
    <mergeCell ref="L4264:L4265"/>
    <mergeCell ref="M4264:M4265"/>
    <mergeCell ref="N4264:N4265"/>
    <mergeCell ref="O4264:O4265"/>
    <mergeCell ref="X4264:X4265"/>
    <mergeCell ref="Y4264:Y4265"/>
    <mergeCell ref="Z4264:Z4265"/>
    <mergeCell ref="AA4264:AA4265"/>
    <mergeCell ref="AB4264:AB4265"/>
    <mergeCell ref="A4258:A4259"/>
    <mergeCell ref="E4258:E4259"/>
    <mergeCell ref="H4258:H4259"/>
    <mergeCell ref="I4258:I4259"/>
    <mergeCell ref="J4258:J4259"/>
    <mergeCell ref="K4258:K4259"/>
    <mergeCell ref="L4258:L4259"/>
    <mergeCell ref="M4258:M4259"/>
    <mergeCell ref="N4258:N4259"/>
    <mergeCell ref="O4258:O4259"/>
    <mergeCell ref="X4258:X4259"/>
    <mergeCell ref="Y4258:Y4259"/>
    <mergeCell ref="Z4258:Z4259"/>
    <mergeCell ref="AA4258:AA4259"/>
    <mergeCell ref="AB4258:AB4259"/>
    <mergeCell ref="A4260:A4261"/>
    <mergeCell ref="E4260:E4261"/>
    <mergeCell ref="H4260:H4261"/>
    <mergeCell ref="I4260:I4261"/>
    <mergeCell ref="J4260:J4261"/>
    <mergeCell ref="K4260:K4261"/>
    <mergeCell ref="L4260:L4261"/>
    <mergeCell ref="M4260:M4261"/>
    <mergeCell ref="N4260:N4261"/>
    <mergeCell ref="O4260:O4261"/>
    <mergeCell ref="X4260:X4261"/>
    <mergeCell ref="Y4260:Y4261"/>
    <mergeCell ref="Z4260:Z4261"/>
    <mergeCell ref="AA4260:AA4261"/>
    <mergeCell ref="AB4260:AB4261"/>
    <mergeCell ref="A4254:A4255"/>
    <mergeCell ref="E4254:E4255"/>
    <mergeCell ref="H4254:H4255"/>
    <mergeCell ref="I4254:I4255"/>
    <mergeCell ref="J4254:J4255"/>
    <mergeCell ref="K4254:K4255"/>
    <mergeCell ref="L4254:L4255"/>
    <mergeCell ref="M4254:M4255"/>
    <mergeCell ref="N4254:N4255"/>
    <mergeCell ref="O4254:O4255"/>
    <mergeCell ref="X4254:X4255"/>
    <mergeCell ref="Y4254:Y4255"/>
    <mergeCell ref="Z4254:Z4255"/>
    <mergeCell ref="AA4254:AA4255"/>
    <mergeCell ref="AB4254:AB4255"/>
    <mergeCell ref="A4256:A4257"/>
    <mergeCell ref="E4256:E4257"/>
    <mergeCell ref="H4256:H4257"/>
    <mergeCell ref="I4256:I4257"/>
    <mergeCell ref="J4256:J4257"/>
    <mergeCell ref="K4256:K4257"/>
    <mergeCell ref="L4256:L4257"/>
    <mergeCell ref="M4256:M4257"/>
    <mergeCell ref="N4256:N4257"/>
    <mergeCell ref="O4256:O4257"/>
    <mergeCell ref="X4256:X4257"/>
    <mergeCell ref="Y4256:Y4257"/>
    <mergeCell ref="Z4256:Z4257"/>
    <mergeCell ref="AA4256:AA4257"/>
    <mergeCell ref="AB4256:AB4257"/>
    <mergeCell ref="A4250:A4251"/>
    <mergeCell ref="E4250:E4251"/>
    <mergeCell ref="H4250:H4251"/>
    <mergeCell ref="I4250:I4251"/>
    <mergeCell ref="J4250:J4251"/>
    <mergeCell ref="K4250:K4251"/>
    <mergeCell ref="L4250:L4251"/>
    <mergeCell ref="M4250:M4251"/>
    <mergeCell ref="N4250:N4251"/>
    <mergeCell ref="O4250:O4251"/>
    <mergeCell ref="X4250:X4251"/>
    <mergeCell ref="Y4250:Y4251"/>
    <mergeCell ref="Z4250:Z4251"/>
    <mergeCell ref="AA4250:AA4251"/>
    <mergeCell ref="AB4250:AB4251"/>
    <mergeCell ref="A4252:A4253"/>
    <mergeCell ref="E4252:E4253"/>
    <mergeCell ref="H4252:H4253"/>
    <mergeCell ref="I4252:I4253"/>
    <mergeCell ref="J4252:J4253"/>
    <mergeCell ref="K4252:K4253"/>
    <mergeCell ref="L4252:L4253"/>
    <mergeCell ref="M4252:M4253"/>
    <mergeCell ref="N4252:N4253"/>
    <mergeCell ref="O4252:O4253"/>
    <mergeCell ref="X4252:X4253"/>
    <mergeCell ref="Y4252:Y4253"/>
    <mergeCell ref="Z4252:Z4253"/>
    <mergeCell ref="AA4252:AA4253"/>
    <mergeCell ref="AB4252:AB4253"/>
    <mergeCell ref="AA4196:AA4197"/>
    <mergeCell ref="AB4196:AB4197"/>
    <mergeCell ref="A4248:A4249"/>
    <mergeCell ref="E4248:E4249"/>
    <mergeCell ref="H4248:H4249"/>
    <mergeCell ref="I4248:I4249"/>
    <mergeCell ref="J4248:J4249"/>
    <mergeCell ref="K4248:K4249"/>
    <mergeCell ref="L4248:L4249"/>
    <mergeCell ref="M4248:M4249"/>
    <mergeCell ref="N4248:N4249"/>
    <mergeCell ref="O4248:O4249"/>
    <mergeCell ref="X4248:X4249"/>
    <mergeCell ref="Y4248:Y4249"/>
    <mergeCell ref="Z4248:Z4249"/>
    <mergeCell ref="AA4248:AA4249"/>
    <mergeCell ref="AB4248:AB4249"/>
    <mergeCell ref="AB4198:AB4199"/>
    <mergeCell ref="A4196:A4197"/>
    <mergeCell ref="E4196:E4197"/>
    <mergeCell ref="AB4210:AB4211"/>
    <mergeCell ref="A4204:A4205"/>
    <mergeCell ref="E4204:E4205"/>
    <mergeCell ref="H4204:H4205"/>
    <mergeCell ref="I4204:I4205"/>
    <mergeCell ref="J4204:J4205"/>
    <mergeCell ref="K4204:K4205"/>
    <mergeCell ref="L4204:L4205"/>
    <mergeCell ref="M4204:M4205"/>
    <mergeCell ref="N4204:N4205"/>
    <mergeCell ref="A4216:A4217"/>
    <mergeCell ref="E4216:E4217"/>
    <mergeCell ref="H4216:H4217"/>
    <mergeCell ref="I4216:I4217"/>
    <mergeCell ref="J4216:J4217"/>
    <mergeCell ref="K4216:K4217"/>
    <mergeCell ref="L4216:L4217"/>
    <mergeCell ref="M4216:M4217"/>
    <mergeCell ref="N4216:N4217"/>
    <mergeCell ref="O4216:O4217"/>
    <mergeCell ref="X4216:X4217"/>
    <mergeCell ref="Y4216:Y4217"/>
    <mergeCell ref="Z4216:Z4217"/>
    <mergeCell ref="AA4216:AA4217"/>
    <mergeCell ref="AB4216:AB4217"/>
    <mergeCell ref="A4218:A4219"/>
    <mergeCell ref="E4218:E4219"/>
    <mergeCell ref="H4218:H4219"/>
    <mergeCell ref="I4218:I4219"/>
    <mergeCell ref="J4218:J4219"/>
    <mergeCell ref="AA4198:AA4199"/>
    <mergeCell ref="O4214:O4215"/>
    <mergeCell ref="X4214:X4215"/>
    <mergeCell ref="Y4214:Y4215"/>
    <mergeCell ref="Z4214:Z4215"/>
    <mergeCell ref="AA4214:AA4215"/>
    <mergeCell ref="AB4214:AB4215"/>
    <mergeCell ref="A4210:A4211"/>
    <mergeCell ref="E4210:E4211"/>
    <mergeCell ref="H4210:H4211"/>
    <mergeCell ref="I4210:I4211"/>
    <mergeCell ref="J4210:J4211"/>
    <mergeCell ref="K4210:K4211"/>
    <mergeCell ref="L4210:L4211"/>
    <mergeCell ref="A4114:A4115"/>
    <mergeCell ref="E4114:E4115"/>
    <mergeCell ref="H4114:H4115"/>
    <mergeCell ref="I4114:I4115"/>
    <mergeCell ref="J4114:J4115"/>
    <mergeCell ref="K4114:K4115"/>
    <mergeCell ref="L4114:L4115"/>
    <mergeCell ref="M4114:M4115"/>
    <mergeCell ref="N4114:N4115"/>
    <mergeCell ref="O4114:O4115"/>
    <mergeCell ref="X4114:X4115"/>
    <mergeCell ref="Y4114:Y4115"/>
    <mergeCell ref="Z4114:Z4115"/>
    <mergeCell ref="AA4114:AA4115"/>
    <mergeCell ref="AB4114:AB4115"/>
    <mergeCell ref="A4116:A4117"/>
    <mergeCell ref="E4116:E4117"/>
    <mergeCell ref="H4116:H4117"/>
    <mergeCell ref="I4116:I4117"/>
    <mergeCell ref="J4116:J4117"/>
    <mergeCell ref="K4116:K4117"/>
    <mergeCell ref="L4116:L4117"/>
    <mergeCell ref="M4116:M4117"/>
    <mergeCell ref="N4116:N4117"/>
    <mergeCell ref="O4116:O4117"/>
    <mergeCell ref="X4116:X4117"/>
    <mergeCell ref="Y4116:Y4117"/>
    <mergeCell ref="Z4116:Z4117"/>
    <mergeCell ref="AA4116:AA4117"/>
    <mergeCell ref="AB4116:AB4117"/>
    <mergeCell ref="A4122:A4123"/>
    <mergeCell ref="E4122:E4123"/>
    <mergeCell ref="H4122:H4123"/>
    <mergeCell ref="I4122:I4123"/>
    <mergeCell ref="J4122:J4123"/>
    <mergeCell ref="K4122:K4123"/>
    <mergeCell ref="L4122:L4123"/>
    <mergeCell ref="M4122:M4123"/>
    <mergeCell ref="N4122:N4123"/>
    <mergeCell ref="O4122:O4123"/>
    <mergeCell ref="X4122:X4123"/>
    <mergeCell ref="Y4122:Y4123"/>
    <mergeCell ref="Z4122:Z4123"/>
    <mergeCell ref="AA4122:AA4123"/>
    <mergeCell ref="AB4122:AB4123"/>
    <mergeCell ref="J4112:J4113"/>
    <mergeCell ref="K4112:K4113"/>
    <mergeCell ref="L4112:L4113"/>
    <mergeCell ref="M4112:M4113"/>
    <mergeCell ref="N4112:N4113"/>
    <mergeCell ref="O4112:O4113"/>
    <mergeCell ref="X4112:X4113"/>
    <mergeCell ref="Y4112:Y4113"/>
    <mergeCell ref="Z4112:Z4113"/>
    <mergeCell ref="AA4112:AA4113"/>
    <mergeCell ref="AB4112:AB4113"/>
    <mergeCell ref="AB3922:AB3923"/>
    <mergeCell ref="A3924:A3925"/>
    <mergeCell ref="E3924:E3925"/>
    <mergeCell ref="H3924:H3925"/>
    <mergeCell ref="I3924:I3925"/>
    <mergeCell ref="J3924:J3925"/>
    <mergeCell ref="K3924:K3925"/>
    <mergeCell ref="L3924:L3925"/>
    <mergeCell ref="M3924:M3925"/>
    <mergeCell ref="N3924:N3925"/>
    <mergeCell ref="A4106:A4107"/>
    <mergeCell ref="E4106:E4107"/>
    <mergeCell ref="H4106:H4107"/>
    <mergeCell ref="I4106:I4107"/>
    <mergeCell ref="J4106:J4107"/>
    <mergeCell ref="K4106:K4107"/>
    <mergeCell ref="L4106:L4107"/>
    <mergeCell ref="M4106:M4107"/>
    <mergeCell ref="N4106:N4107"/>
    <mergeCell ref="O4106:O4107"/>
    <mergeCell ref="X4106:X4107"/>
    <mergeCell ref="Y4106:Y4107"/>
    <mergeCell ref="Z4106:Z4107"/>
    <mergeCell ref="AA4106:AA4107"/>
    <mergeCell ref="AB4106:AB4107"/>
    <mergeCell ref="A3998:A3999"/>
    <mergeCell ref="E3998:E3999"/>
    <mergeCell ref="H3998:H3999"/>
    <mergeCell ref="I3998:I3999"/>
    <mergeCell ref="J3998:J3999"/>
    <mergeCell ref="K3998:K3999"/>
    <mergeCell ref="L3998:L3999"/>
    <mergeCell ref="M3998:M3999"/>
    <mergeCell ref="N3998:N3999"/>
    <mergeCell ref="O3998:O3999"/>
    <mergeCell ref="X3998:X3999"/>
    <mergeCell ref="Y3998:Y3999"/>
    <mergeCell ref="Z3998:Z3999"/>
    <mergeCell ref="AA3998:AA3999"/>
    <mergeCell ref="AB3998:AB3999"/>
    <mergeCell ref="M3992:M3993"/>
    <mergeCell ref="N3992:N3993"/>
    <mergeCell ref="O3992:O3993"/>
    <mergeCell ref="X3992:X3993"/>
    <mergeCell ref="Y3992:Y3993"/>
    <mergeCell ref="Z3992:Z3993"/>
    <mergeCell ref="AA3992:AA3993"/>
    <mergeCell ref="AB3992:AB3993"/>
    <mergeCell ref="A3994:A3995"/>
    <mergeCell ref="E3994:E3995"/>
    <mergeCell ref="H3994:H3995"/>
    <mergeCell ref="I3994:I3995"/>
    <mergeCell ref="J3994:J3995"/>
    <mergeCell ref="A3926:A3927"/>
    <mergeCell ref="E3926:E3927"/>
    <mergeCell ref="H3926:H3927"/>
    <mergeCell ref="I3926:I3927"/>
    <mergeCell ref="J3926:J3927"/>
    <mergeCell ref="K3926:K3927"/>
    <mergeCell ref="L3926:L3927"/>
    <mergeCell ref="M3926:M3927"/>
    <mergeCell ref="N3926:N3927"/>
    <mergeCell ref="O3926:O3927"/>
    <mergeCell ref="X3926:X3927"/>
    <mergeCell ref="Y3926:Y3927"/>
    <mergeCell ref="Z3926:Z3927"/>
    <mergeCell ref="AA3926:AA3927"/>
    <mergeCell ref="AB3926:AB3927"/>
    <mergeCell ref="A3922:A3923"/>
    <mergeCell ref="E3922:E3923"/>
    <mergeCell ref="H3922:H3923"/>
    <mergeCell ref="I3922:I3923"/>
    <mergeCell ref="J3922:J3923"/>
    <mergeCell ref="K3922:K3923"/>
    <mergeCell ref="L3922:L3923"/>
    <mergeCell ref="M3922:M3923"/>
    <mergeCell ref="N3922:N3923"/>
    <mergeCell ref="O3922:O3923"/>
    <mergeCell ref="X3922:X3923"/>
    <mergeCell ref="Y3922:Y3923"/>
    <mergeCell ref="Z3922:Z3923"/>
    <mergeCell ref="AA3922:AA3923"/>
    <mergeCell ref="A3918:A3919"/>
    <mergeCell ref="E3918:E3919"/>
    <mergeCell ref="H3918:H3919"/>
    <mergeCell ref="I3918:I3919"/>
    <mergeCell ref="J3918:J3919"/>
    <mergeCell ref="K3918:K3919"/>
    <mergeCell ref="L3918:L3919"/>
    <mergeCell ref="M3918:M3919"/>
    <mergeCell ref="N3918:N3919"/>
    <mergeCell ref="O3918:O3919"/>
    <mergeCell ref="X3918:X3919"/>
    <mergeCell ref="Y3918:Y3919"/>
    <mergeCell ref="Z3918:Z3919"/>
    <mergeCell ref="AA3918:AA3919"/>
    <mergeCell ref="AB3918:AB3919"/>
    <mergeCell ref="A3920:A3921"/>
    <mergeCell ref="E3920:E3921"/>
    <mergeCell ref="H3920:H3921"/>
    <mergeCell ref="I3920:I3921"/>
    <mergeCell ref="J3920:J3921"/>
    <mergeCell ref="K3920:K3921"/>
    <mergeCell ref="L3920:L3921"/>
    <mergeCell ref="M3920:M3921"/>
    <mergeCell ref="N3920:N3921"/>
    <mergeCell ref="O3920:O3921"/>
    <mergeCell ref="X3920:X3921"/>
    <mergeCell ref="Y3920:Y3921"/>
    <mergeCell ref="Z3920:Z3921"/>
    <mergeCell ref="AA3920:AA3921"/>
    <mergeCell ref="AB3920:AB3921"/>
    <mergeCell ref="K3994:K3995"/>
    <mergeCell ref="L3994:L3995"/>
    <mergeCell ref="AB3898:AB3899"/>
    <mergeCell ref="A3906:A3907"/>
    <mergeCell ref="E3906:E3907"/>
    <mergeCell ref="H3906:H3907"/>
    <mergeCell ref="I3906:I3907"/>
    <mergeCell ref="J3906:J3907"/>
    <mergeCell ref="K3906:K3907"/>
    <mergeCell ref="L3906:L3907"/>
    <mergeCell ref="M3906:M3907"/>
    <mergeCell ref="N3906:N3907"/>
    <mergeCell ref="O3906:O3907"/>
    <mergeCell ref="X3906:X3907"/>
    <mergeCell ref="Y3906:Y3907"/>
    <mergeCell ref="Z3906:Z3907"/>
    <mergeCell ref="AA3906:AA3907"/>
    <mergeCell ref="AB3906:AB3907"/>
    <mergeCell ref="AB3904:AB3905"/>
    <mergeCell ref="A3900:A3901"/>
    <mergeCell ref="E3900:E3901"/>
    <mergeCell ref="A3904:A3905"/>
    <mergeCell ref="E3904:E3905"/>
    <mergeCell ref="H3904:H3905"/>
    <mergeCell ref="I3904:I3905"/>
    <mergeCell ref="J3904:J3905"/>
    <mergeCell ref="K3904:K3905"/>
    <mergeCell ref="L3904:L3905"/>
    <mergeCell ref="M3904:M3905"/>
    <mergeCell ref="N3904:N3905"/>
    <mergeCell ref="O3904:O3905"/>
    <mergeCell ref="X3904:X3905"/>
    <mergeCell ref="Y3904:Y3905"/>
    <mergeCell ref="Z3904:Z3905"/>
    <mergeCell ref="AA3904:AA3905"/>
    <mergeCell ref="A3898:A3899"/>
    <mergeCell ref="E3898:E3899"/>
    <mergeCell ref="H3898:H3899"/>
    <mergeCell ref="I3898:I3899"/>
    <mergeCell ref="J3898:J3899"/>
    <mergeCell ref="K3898:K3899"/>
    <mergeCell ref="L3898:L3899"/>
    <mergeCell ref="M3898:M3899"/>
    <mergeCell ref="N3898:N3899"/>
    <mergeCell ref="O3898:O3899"/>
    <mergeCell ref="X3898:X3899"/>
    <mergeCell ref="Y3898:Y3899"/>
    <mergeCell ref="Z3898:Z3899"/>
    <mergeCell ref="AA3898:AA3899"/>
    <mergeCell ref="AA3990:AA3991"/>
    <mergeCell ref="AB3990:AB3991"/>
    <mergeCell ref="H3908:H3909"/>
    <mergeCell ref="I3908:I3909"/>
    <mergeCell ref="J3908:J3909"/>
    <mergeCell ref="K3908:K3909"/>
    <mergeCell ref="L3908:L3909"/>
    <mergeCell ref="M3908:M3909"/>
    <mergeCell ref="N3908:N3909"/>
    <mergeCell ref="O3908:O3909"/>
    <mergeCell ref="X3908:X3909"/>
    <mergeCell ref="Y3908:Y3909"/>
    <mergeCell ref="Z3908:Z3909"/>
    <mergeCell ref="AA3908:AA3909"/>
    <mergeCell ref="A3976:A3977"/>
    <mergeCell ref="A3996:A3997"/>
    <mergeCell ref="E3996:E3997"/>
    <mergeCell ref="H3996:H3997"/>
    <mergeCell ref="I3996:I3997"/>
    <mergeCell ref="J3996:J3997"/>
    <mergeCell ref="K3996:K3997"/>
    <mergeCell ref="L3996:L3997"/>
    <mergeCell ref="M3996:M3997"/>
    <mergeCell ref="N3996:N3997"/>
    <mergeCell ref="O3996:O3997"/>
    <mergeCell ref="X3996:X3997"/>
    <mergeCell ref="Y3996:Y3997"/>
    <mergeCell ref="Z3996:Z3997"/>
    <mergeCell ref="AA3996:AA3997"/>
    <mergeCell ref="AB3996:AB3997"/>
    <mergeCell ref="O3994:O3995"/>
    <mergeCell ref="X3994:X3995"/>
    <mergeCell ref="Y3994:Y3995"/>
    <mergeCell ref="Z3994:Z3995"/>
    <mergeCell ref="AA3994:AA3995"/>
    <mergeCell ref="AB3994:AB3995"/>
    <mergeCell ref="O3924:O3925"/>
    <mergeCell ref="X3924:X3925"/>
    <mergeCell ref="Y3924:Y3925"/>
    <mergeCell ref="Z3924:Z3925"/>
    <mergeCell ref="AA3924:AA3925"/>
    <mergeCell ref="AB3924:AB3925"/>
    <mergeCell ref="A3992:A3993"/>
    <mergeCell ref="E3992:E3993"/>
    <mergeCell ref="H3992:H3993"/>
    <mergeCell ref="I3992:I3993"/>
    <mergeCell ref="J3992:J3993"/>
    <mergeCell ref="K3992:K3993"/>
    <mergeCell ref="L3992:L3993"/>
    <mergeCell ref="M3994:M3995"/>
    <mergeCell ref="N3994:N3995"/>
    <mergeCell ref="A3988:A3989"/>
    <mergeCell ref="E3988:E3989"/>
    <mergeCell ref="H3988:H3989"/>
    <mergeCell ref="I3988:I3989"/>
    <mergeCell ref="J3988:J3989"/>
    <mergeCell ref="K3988:K3989"/>
    <mergeCell ref="L3988:L3989"/>
    <mergeCell ref="M3988:M3989"/>
    <mergeCell ref="N3988:N3989"/>
    <mergeCell ref="O3988:O3989"/>
    <mergeCell ref="X3988:X3989"/>
    <mergeCell ref="Y3988:Y3989"/>
    <mergeCell ref="Z3988:Z3989"/>
    <mergeCell ref="AA3988:AA3989"/>
    <mergeCell ref="AB3988:AB3989"/>
    <mergeCell ref="A3990:A3991"/>
    <mergeCell ref="E3990:E3991"/>
    <mergeCell ref="H3990:H3991"/>
    <mergeCell ref="I3990:I3991"/>
    <mergeCell ref="J3990:J3991"/>
    <mergeCell ref="K3990:K3991"/>
    <mergeCell ref="L3990:L3991"/>
    <mergeCell ref="M3990:M3991"/>
    <mergeCell ref="N3990:N3991"/>
    <mergeCell ref="O3990:O3991"/>
    <mergeCell ref="X3990:X3991"/>
    <mergeCell ref="Y3990:Y3991"/>
    <mergeCell ref="Z3990:Z3991"/>
    <mergeCell ref="E3976:E3977"/>
    <mergeCell ref="H3976:H3977"/>
    <mergeCell ref="I3976:I3977"/>
    <mergeCell ref="J3976:J3977"/>
    <mergeCell ref="K3976:K3977"/>
    <mergeCell ref="L3976:L3977"/>
    <mergeCell ref="M3976:M3977"/>
    <mergeCell ref="N3976:N3977"/>
    <mergeCell ref="O3976:O3977"/>
    <mergeCell ref="X3976:X3977"/>
    <mergeCell ref="Y3976:Y3977"/>
    <mergeCell ref="Z3976:Z3977"/>
    <mergeCell ref="AA3976:AA3977"/>
    <mergeCell ref="AB3976:AB3977"/>
    <mergeCell ref="A3982:A3983"/>
    <mergeCell ref="E3982:E3983"/>
    <mergeCell ref="H3982:H3983"/>
    <mergeCell ref="I3982:I3983"/>
    <mergeCell ref="J3982:J3983"/>
    <mergeCell ref="K3982:K3983"/>
    <mergeCell ref="L3982:L3983"/>
    <mergeCell ref="M3982:M3983"/>
    <mergeCell ref="N3982:N3983"/>
    <mergeCell ref="O3982:O3983"/>
    <mergeCell ref="X3982:X3983"/>
    <mergeCell ref="Y3982:Y3983"/>
    <mergeCell ref="Z3982:Z3983"/>
    <mergeCell ref="AA3982:AA3983"/>
    <mergeCell ref="AB3982:AB3983"/>
    <mergeCell ref="O3980:O3981"/>
    <mergeCell ref="X3980:X3981"/>
    <mergeCell ref="Y3980:Y3981"/>
    <mergeCell ref="Z3980:Z3981"/>
    <mergeCell ref="AA3980:AA3981"/>
    <mergeCell ref="M3980:M3981"/>
    <mergeCell ref="N3980:N3981"/>
    <mergeCell ref="A3972:A3973"/>
    <mergeCell ref="E3972:E3973"/>
    <mergeCell ref="H3972:H3973"/>
    <mergeCell ref="I3972:I3973"/>
    <mergeCell ref="J3972:J3973"/>
    <mergeCell ref="K3972:K3973"/>
    <mergeCell ref="L3972:L3973"/>
    <mergeCell ref="M3972:M3973"/>
    <mergeCell ref="N3972:N3973"/>
    <mergeCell ref="O3972:O3973"/>
    <mergeCell ref="X3972:X3973"/>
    <mergeCell ref="Y3972:Y3973"/>
    <mergeCell ref="Z3972:Z3973"/>
    <mergeCell ref="AA3972:AA3973"/>
    <mergeCell ref="AB3972:AB3973"/>
    <mergeCell ref="A3974:A3975"/>
    <mergeCell ref="E3974:E3975"/>
    <mergeCell ref="H3974:H3975"/>
    <mergeCell ref="I3974:I3975"/>
    <mergeCell ref="J3974:J3975"/>
    <mergeCell ref="K3974:K3975"/>
    <mergeCell ref="L3974:L3975"/>
    <mergeCell ref="M3974:M3975"/>
    <mergeCell ref="N3974:N3975"/>
    <mergeCell ref="O3974:O3975"/>
    <mergeCell ref="X3974:X3975"/>
    <mergeCell ref="Y3974:Y3975"/>
    <mergeCell ref="Z3974:Z3975"/>
    <mergeCell ref="AA3974:AA3975"/>
    <mergeCell ref="AB3974:AB3975"/>
    <mergeCell ref="A3968:A3969"/>
    <mergeCell ref="E3968:E3969"/>
    <mergeCell ref="H3968:H3969"/>
    <mergeCell ref="I3968:I3969"/>
    <mergeCell ref="J3968:J3969"/>
    <mergeCell ref="K3968:K3969"/>
    <mergeCell ref="L3968:L3969"/>
    <mergeCell ref="M3968:M3969"/>
    <mergeCell ref="N3968:N3969"/>
    <mergeCell ref="O3968:O3969"/>
    <mergeCell ref="X3968:X3969"/>
    <mergeCell ref="Y3968:Y3969"/>
    <mergeCell ref="Z3968:Z3969"/>
    <mergeCell ref="AA3968:AA3969"/>
    <mergeCell ref="AB3968:AB3969"/>
    <mergeCell ref="A3970:A3971"/>
    <mergeCell ref="E3970:E3971"/>
    <mergeCell ref="H3970:H3971"/>
    <mergeCell ref="I3970:I3971"/>
    <mergeCell ref="J3970:J3971"/>
    <mergeCell ref="K3970:K3971"/>
    <mergeCell ref="L3970:L3971"/>
    <mergeCell ref="M3970:M3971"/>
    <mergeCell ref="N3970:N3971"/>
    <mergeCell ref="O3970:O3971"/>
    <mergeCell ref="X3970:X3971"/>
    <mergeCell ref="Y3970:Y3971"/>
    <mergeCell ref="Z3970:Z3971"/>
    <mergeCell ref="AA3970:AA3971"/>
    <mergeCell ref="AB3970:AB3971"/>
    <mergeCell ref="A3964:A3965"/>
    <mergeCell ref="E3964:E3965"/>
    <mergeCell ref="H3964:H3965"/>
    <mergeCell ref="I3964:I3965"/>
    <mergeCell ref="J3964:J3965"/>
    <mergeCell ref="K3964:K3965"/>
    <mergeCell ref="L3964:L3965"/>
    <mergeCell ref="M3964:M3965"/>
    <mergeCell ref="N3964:N3965"/>
    <mergeCell ref="O3964:O3965"/>
    <mergeCell ref="X3964:X3965"/>
    <mergeCell ref="Y3964:Y3965"/>
    <mergeCell ref="Z3964:Z3965"/>
    <mergeCell ref="AA3964:AA3965"/>
    <mergeCell ref="AB3964:AB3965"/>
    <mergeCell ref="A3966:A3967"/>
    <mergeCell ref="E3966:E3967"/>
    <mergeCell ref="H3966:H3967"/>
    <mergeCell ref="I3966:I3967"/>
    <mergeCell ref="J3966:J3967"/>
    <mergeCell ref="K3966:K3967"/>
    <mergeCell ref="L3966:L3967"/>
    <mergeCell ref="M3966:M3967"/>
    <mergeCell ref="N3966:N3967"/>
    <mergeCell ref="O3966:O3967"/>
    <mergeCell ref="X3966:X3967"/>
    <mergeCell ref="Y3966:Y3967"/>
    <mergeCell ref="Z3966:Z3967"/>
    <mergeCell ref="AA3966:AA3967"/>
    <mergeCell ref="AB3966:AB3967"/>
    <mergeCell ref="A3960:A3961"/>
    <mergeCell ref="E3960:E3961"/>
    <mergeCell ref="H3960:H3961"/>
    <mergeCell ref="I3960:I3961"/>
    <mergeCell ref="J3960:J3961"/>
    <mergeCell ref="K3960:K3961"/>
    <mergeCell ref="L3960:L3961"/>
    <mergeCell ref="M3960:M3961"/>
    <mergeCell ref="N3960:N3961"/>
    <mergeCell ref="O3960:O3961"/>
    <mergeCell ref="X3960:X3961"/>
    <mergeCell ref="Y3960:Y3961"/>
    <mergeCell ref="Z3960:Z3961"/>
    <mergeCell ref="AA3960:AA3961"/>
    <mergeCell ref="AB3960:AB3961"/>
    <mergeCell ref="A3962:A3963"/>
    <mergeCell ref="E3962:E3963"/>
    <mergeCell ref="H3962:H3963"/>
    <mergeCell ref="I3962:I3963"/>
    <mergeCell ref="J3962:J3963"/>
    <mergeCell ref="K3962:K3963"/>
    <mergeCell ref="L3962:L3963"/>
    <mergeCell ref="M3962:M3963"/>
    <mergeCell ref="N3962:N3963"/>
    <mergeCell ref="O3962:O3963"/>
    <mergeCell ref="X3962:X3963"/>
    <mergeCell ref="Y3962:Y3963"/>
    <mergeCell ref="Z3962:Z3963"/>
    <mergeCell ref="AA3962:AA3963"/>
    <mergeCell ref="AB3962:AB3963"/>
    <mergeCell ref="A3956:A3957"/>
    <mergeCell ref="E3956:E3957"/>
    <mergeCell ref="H3956:H3957"/>
    <mergeCell ref="I3956:I3957"/>
    <mergeCell ref="J3956:J3957"/>
    <mergeCell ref="K3956:K3957"/>
    <mergeCell ref="L3956:L3957"/>
    <mergeCell ref="M3956:M3957"/>
    <mergeCell ref="N3956:N3957"/>
    <mergeCell ref="O3956:O3957"/>
    <mergeCell ref="X3956:X3957"/>
    <mergeCell ref="Y3956:Y3957"/>
    <mergeCell ref="Z3956:Z3957"/>
    <mergeCell ref="AA3956:AA3957"/>
    <mergeCell ref="AB3956:AB3957"/>
    <mergeCell ref="A3958:A3959"/>
    <mergeCell ref="E3958:E3959"/>
    <mergeCell ref="H3958:H3959"/>
    <mergeCell ref="I3958:I3959"/>
    <mergeCell ref="J3958:J3959"/>
    <mergeCell ref="K3958:K3959"/>
    <mergeCell ref="L3958:L3959"/>
    <mergeCell ref="M3958:M3959"/>
    <mergeCell ref="N3958:N3959"/>
    <mergeCell ref="O3958:O3959"/>
    <mergeCell ref="X3958:X3959"/>
    <mergeCell ref="Y3958:Y3959"/>
    <mergeCell ref="Z3958:Z3959"/>
    <mergeCell ref="AA3958:AA3959"/>
    <mergeCell ref="AB3958:AB3959"/>
    <mergeCell ref="A3952:A3953"/>
    <mergeCell ref="E3952:E3953"/>
    <mergeCell ref="H3952:H3953"/>
    <mergeCell ref="I3952:I3953"/>
    <mergeCell ref="J3952:J3953"/>
    <mergeCell ref="K3952:K3953"/>
    <mergeCell ref="L3952:L3953"/>
    <mergeCell ref="M3952:M3953"/>
    <mergeCell ref="N3952:N3953"/>
    <mergeCell ref="O3952:O3953"/>
    <mergeCell ref="X3952:X3953"/>
    <mergeCell ref="Y3952:Y3953"/>
    <mergeCell ref="Z3952:Z3953"/>
    <mergeCell ref="AA3952:AA3953"/>
    <mergeCell ref="AB3952:AB3953"/>
    <mergeCell ref="A3954:A3955"/>
    <mergeCell ref="E3954:E3955"/>
    <mergeCell ref="H3954:H3955"/>
    <mergeCell ref="I3954:I3955"/>
    <mergeCell ref="J3954:J3955"/>
    <mergeCell ref="K3954:K3955"/>
    <mergeCell ref="L3954:L3955"/>
    <mergeCell ref="M3954:M3955"/>
    <mergeCell ref="N3954:N3955"/>
    <mergeCell ref="O3954:O3955"/>
    <mergeCell ref="X3954:X3955"/>
    <mergeCell ref="Y3954:Y3955"/>
    <mergeCell ref="Z3954:Z3955"/>
    <mergeCell ref="AA3954:AA3955"/>
    <mergeCell ref="AB3954:AB3955"/>
    <mergeCell ref="A3948:A3949"/>
    <mergeCell ref="E3948:E3949"/>
    <mergeCell ref="H3948:H3949"/>
    <mergeCell ref="I3948:I3949"/>
    <mergeCell ref="J3948:J3949"/>
    <mergeCell ref="K3948:K3949"/>
    <mergeCell ref="L3948:L3949"/>
    <mergeCell ref="M3948:M3949"/>
    <mergeCell ref="N3948:N3949"/>
    <mergeCell ref="O3948:O3949"/>
    <mergeCell ref="X3948:X3949"/>
    <mergeCell ref="Y3948:Y3949"/>
    <mergeCell ref="Z3948:Z3949"/>
    <mergeCell ref="AA3948:AA3949"/>
    <mergeCell ref="AB3948:AB3949"/>
    <mergeCell ref="A3950:A3951"/>
    <mergeCell ref="E3950:E3951"/>
    <mergeCell ref="H3950:H3951"/>
    <mergeCell ref="I3950:I3951"/>
    <mergeCell ref="J3950:J3951"/>
    <mergeCell ref="K3950:K3951"/>
    <mergeCell ref="L3950:L3951"/>
    <mergeCell ref="M3950:M3951"/>
    <mergeCell ref="N3950:N3951"/>
    <mergeCell ref="O3950:O3951"/>
    <mergeCell ref="X3950:X3951"/>
    <mergeCell ref="Y3950:Y3951"/>
    <mergeCell ref="Z3950:Z3951"/>
    <mergeCell ref="AA3950:AA3951"/>
    <mergeCell ref="AB3950:AB3951"/>
    <mergeCell ref="A3944:A3945"/>
    <mergeCell ref="E3944:E3945"/>
    <mergeCell ref="H3944:H3945"/>
    <mergeCell ref="I3944:I3945"/>
    <mergeCell ref="J3944:J3945"/>
    <mergeCell ref="K3944:K3945"/>
    <mergeCell ref="L3944:L3945"/>
    <mergeCell ref="M3944:M3945"/>
    <mergeCell ref="N3944:N3945"/>
    <mergeCell ref="O3944:O3945"/>
    <mergeCell ref="X3944:X3945"/>
    <mergeCell ref="Y3944:Y3945"/>
    <mergeCell ref="Z3944:Z3945"/>
    <mergeCell ref="AA3944:AA3945"/>
    <mergeCell ref="AB3944:AB3945"/>
    <mergeCell ref="A3946:A3947"/>
    <mergeCell ref="E3946:E3947"/>
    <mergeCell ref="H3946:H3947"/>
    <mergeCell ref="I3946:I3947"/>
    <mergeCell ref="J3946:J3947"/>
    <mergeCell ref="K3946:K3947"/>
    <mergeCell ref="L3946:L3947"/>
    <mergeCell ref="M3946:M3947"/>
    <mergeCell ref="N3946:N3947"/>
    <mergeCell ref="O3946:O3947"/>
    <mergeCell ref="X3946:X3947"/>
    <mergeCell ref="Y3946:Y3947"/>
    <mergeCell ref="Z3946:Z3947"/>
    <mergeCell ref="AA3946:AA3947"/>
    <mergeCell ref="AB3946:AB3947"/>
    <mergeCell ref="A3940:A3941"/>
    <mergeCell ref="E3940:E3941"/>
    <mergeCell ref="H3940:H3941"/>
    <mergeCell ref="I3940:I3941"/>
    <mergeCell ref="J3940:J3941"/>
    <mergeCell ref="K3940:K3941"/>
    <mergeCell ref="L3940:L3941"/>
    <mergeCell ref="M3940:M3941"/>
    <mergeCell ref="N3940:N3941"/>
    <mergeCell ref="O3940:O3941"/>
    <mergeCell ref="X3940:X3941"/>
    <mergeCell ref="Y3940:Y3941"/>
    <mergeCell ref="Z3940:Z3941"/>
    <mergeCell ref="AA3940:AA3941"/>
    <mergeCell ref="AB3940:AB3941"/>
    <mergeCell ref="A3942:A3943"/>
    <mergeCell ref="E3942:E3943"/>
    <mergeCell ref="H3942:H3943"/>
    <mergeCell ref="I3942:I3943"/>
    <mergeCell ref="J3942:J3943"/>
    <mergeCell ref="K3942:K3943"/>
    <mergeCell ref="L3942:L3943"/>
    <mergeCell ref="M3942:M3943"/>
    <mergeCell ref="N3942:N3943"/>
    <mergeCell ref="O3942:O3943"/>
    <mergeCell ref="X3942:X3943"/>
    <mergeCell ref="Y3942:Y3943"/>
    <mergeCell ref="Z3942:Z3943"/>
    <mergeCell ref="AA3942:AA3943"/>
    <mergeCell ref="AB3942:AB3943"/>
    <mergeCell ref="A3936:A3937"/>
    <mergeCell ref="E3936:E3937"/>
    <mergeCell ref="H3936:H3937"/>
    <mergeCell ref="I3936:I3937"/>
    <mergeCell ref="J3936:J3937"/>
    <mergeCell ref="K3936:K3937"/>
    <mergeCell ref="L3936:L3937"/>
    <mergeCell ref="M3936:M3937"/>
    <mergeCell ref="N3936:N3937"/>
    <mergeCell ref="O3936:O3937"/>
    <mergeCell ref="X3936:X3937"/>
    <mergeCell ref="Y3936:Y3937"/>
    <mergeCell ref="Z3936:Z3937"/>
    <mergeCell ref="AA3936:AA3937"/>
    <mergeCell ref="AB3936:AB3937"/>
    <mergeCell ref="A3938:A3939"/>
    <mergeCell ref="E3938:E3939"/>
    <mergeCell ref="H3938:H3939"/>
    <mergeCell ref="I3938:I3939"/>
    <mergeCell ref="J3938:J3939"/>
    <mergeCell ref="K3938:K3939"/>
    <mergeCell ref="L3938:L3939"/>
    <mergeCell ref="M3938:M3939"/>
    <mergeCell ref="N3938:N3939"/>
    <mergeCell ref="O3938:O3939"/>
    <mergeCell ref="X3938:X3939"/>
    <mergeCell ref="Y3938:Y3939"/>
    <mergeCell ref="Z3938:Z3939"/>
    <mergeCell ref="AA3938:AA3939"/>
    <mergeCell ref="AB3938:AB3939"/>
    <mergeCell ref="A3932:A3933"/>
    <mergeCell ref="E3932:E3933"/>
    <mergeCell ref="H3932:H3933"/>
    <mergeCell ref="I3932:I3933"/>
    <mergeCell ref="J3932:J3933"/>
    <mergeCell ref="K3932:K3933"/>
    <mergeCell ref="L3932:L3933"/>
    <mergeCell ref="M3932:M3933"/>
    <mergeCell ref="N3932:N3933"/>
    <mergeCell ref="O3932:O3933"/>
    <mergeCell ref="X3932:X3933"/>
    <mergeCell ref="Y3932:Y3933"/>
    <mergeCell ref="Z3932:Z3933"/>
    <mergeCell ref="AA3932:AA3933"/>
    <mergeCell ref="AB3932:AB3933"/>
    <mergeCell ref="A3934:A3935"/>
    <mergeCell ref="E3934:E3935"/>
    <mergeCell ref="H3934:H3935"/>
    <mergeCell ref="I3934:I3935"/>
    <mergeCell ref="J3934:J3935"/>
    <mergeCell ref="K3934:K3935"/>
    <mergeCell ref="L3934:L3935"/>
    <mergeCell ref="M3934:M3935"/>
    <mergeCell ref="N3934:N3935"/>
    <mergeCell ref="O3934:O3935"/>
    <mergeCell ref="X3934:X3935"/>
    <mergeCell ref="Y3934:Y3935"/>
    <mergeCell ref="Z3934:Z3935"/>
    <mergeCell ref="AA3934:AA3935"/>
    <mergeCell ref="AB3934:AB3935"/>
    <mergeCell ref="A3928:A3929"/>
    <mergeCell ref="E3928:E3929"/>
    <mergeCell ref="H3928:H3929"/>
    <mergeCell ref="I3928:I3929"/>
    <mergeCell ref="J3928:J3929"/>
    <mergeCell ref="K3928:K3929"/>
    <mergeCell ref="L3928:L3929"/>
    <mergeCell ref="M3928:M3929"/>
    <mergeCell ref="N3928:N3929"/>
    <mergeCell ref="O3928:O3929"/>
    <mergeCell ref="X3928:X3929"/>
    <mergeCell ref="Y3928:Y3929"/>
    <mergeCell ref="Z3928:Z3929"/>
    <mergeCell ref="AA3928:AA3929"/>
    <mergeCell ref="AB3928:AB3929"/>
    <mergeCell ref="A3930:A3931"/>
    <mergeCell ref="E3930:E3931"/>
    <mergeCell ref="H3930:H3931"/>
    <mergeCell ref="I3930:I3931"/>
    <mergeCell ref="J3930:J3931"/>
    <mergeCell ref="K3930:K3931"/>
    <mergeCell ref="L3930:L3931"/>
    <mergeCell ref="M3930:M3931"/>
    <mergeCell ref="N3930:N3931"/>
    <mergeCell ref="O3930:O3931"/>
    <mergeCell ref="X3930:X3931"/>
    <mergeCell ref="Y3930:Y3931"/>
    <mergeCell ref="Z3930:Z3931"/>
    <mergeCell ref="AA3930:AA3931"/>
    <mergeCell ref="AB3930:AB3931"/>
    <mergeCell ref="A3912:A3913"/>
    <mergeCell ref="E3912:E3913"/>
    <mergeCell ref="H3912:H3913"/>
    <mergeCell ref="I3912:I3913"/>
    <mergeCell ref="J3912:J3913"/>
    <mergeCell ref="K3912:K3913"/>
    <mergeCell ref="L3912:L3913"/>
    <mergeCell ref="M3912:M3913"/>
    <mergeCell ref="N3912:N3913"/>
    <mergeCell ref="O3912:O3913"/>
    <mergeCell ref="X3912:X3913"/>
    <mergeCell ref="Y3912:Y3913"/>
    <mergeCell ref="Z3912:Z3913"/>
    <mergeCell ref="AA3912:AA3913"/>
    <mergeCell ref="AB3912:AB3913"/>
    <mergeCell ref="A3916:A3917"/>
    <mergeCell ref="E3916:E3917"/>
    <mergeCell ref="H3916:H3917"/>
    <mergeCell ref="I3916:I3917"/>
    <mergeCell ref="J3916:J3917"/>
    <mergeCell ref="K3916:K3917"/>
    <mergeCell ref="L3916:L3917"/>
    <mergeCell ref="M3916:M3917"/>
    <mergeCell ref="N3916:N3917"/>
    <mergeCell ref="O3916:O3917"/>
    <mergeCell ref="X3916:X3917"/>
    <mergeCell ref="Y3916:Y3917"/>
    <mergeCell ref="Z3916:Z3917"/>
    <mergeCell ref="AA3916:AA3917"/>
    <mergeCell ref="AB3916:AB3917"/>
    <mergeCell ref="A3914:A3915"/>
    <mergeCell ref="E3914:E3915"/>
    <mergeCell ref="H3914:H3915"/>
    <mergeCell ref="I3914:I3915"/>
    <mergeCell ref="J3914:J3915"/>
    <mergeCell ref="K3914:K3915"/>
    <mergeCell ref="L3914:L3915"/>
    <mergeCell ref="M3914:M3915"/>
    <mergeCell ref="N3914:N3915"/>
    <mergeCell ref="O3914:O3915"/>
    <mergeCell ref="X3914:X3915"/>
    <mergeCell ref="Y3914:Y3915"/>
    <mergeCell ref="Z3914:Z3915"/>
    <mergeCell ref="AA3914:AA3915"/>
    <mergeCell ref="AB3914:AB3915"/>
    <mergeCell ref="AB3900:AB3901"/>
    <mergeCell ref="A3910:A3911"/>
    <mergeCell ref="E3910:E3911"/>
    <mergeCell ref="H3910:H3911"/>
    <mergeCell ref="I3910:I3911"/>
    <mergeCell ref="J3910:J3911"/>
    <mergeCell ref="K3910:K3911"/>
    <mergeCell ref="L3910:L3911"/>
    <mergeCell ref="M3910:M3911"/>
    <mergeCell ref="N3910:N3911"/>
    <mergeCell ref="O3910:O3911"/>
    <mergeCell ref="X3910:X3911"/>
    <mergeCell ref="Y3910:Y3911"/>
    <mergeCell ref="Z3910:Z3911"/>
    <mergeCell ref="AA3910:AA3911"/>
    <mergeCell ref="AB3910:AB3911"/>
    <mergeCell ref="A3902:A3903"/>
    <mergeCell ref="E3902:E3903"/>
    <mergeCell ref="H3902:H3903"/>
    <mergeCell ref="I3902:I3903"/>
    <mergeCell ref="J3902:J3903"/>
    <mergeCell ref="K3902:K3903"/>
    <mergeCell ref="L3902:L3903"/>
    <mergeCell ref="M3902:M3903"/>
    <mergeCell ref="N3902:N3903"/>
    <mergeCell ref="A3908:A3909"/>
    <mergeCell ref="E3908:E3909"/>
    <mergeCell ref="AB3908:AB3909"/>
    <mergeCell ref="O3902:O3903"/>
    <mergeCell ref="X3902:X3903"/>
    <mergeCell ref="Y3902:Y3903"/>
    <mergeCell ref="Z3902:Z3903"/>
    <mergeCell ref="AA3902:AA3903"/>
    <mergeCell ref="H3900:H3901"/>
    <mergeCell ref="I3900:I3901"/>
    <mergeCell ref="J3900:J3901"/>
    <mergeCell ref="K3900:K3901"/>
    <mergeCell ref="L3900:L3901"/>
    <mergeCell ref="M3900:M3901"/>
    <mergeCell ref="N3900:N3901"/>
    <mergeCell ref="O3900:O3901"/>
    <mergeCell ref="X3900:X3901"/>
    <mergeCell ref="Y3900:Y3901"/>
    <mergeCell ref="Z3900:Z3901"/>
    <mergeCell ref="AA3900:AA3901"/>
    <mergeCell ref="AB3902:AB3903"/>
    <mergeCell ref="A3894:A3895"/>
    <mergeCell ref="E3894:E3895"/>
    <mergeCell ref="H3894:H3895"/>
    <mergeCell ref="I3894:I3895"/>
    <mergeCell ref="J3894:J3895"/>
    <mergeCell ref="K3894:K3895"/>
    <mergeCell ref="L3894:L3895"/>
    <mergeCell ref="M3894:M3895"/>
    <mergeCell ref="N3894:N3895"/>
    <mergeCell ref="O3894:O3895"/>
    <mergeCell ref="X3894:X3895"/>
    <mergeCell ref="Y3894:Y3895"/>
    <mergeCell ref="Z3894:Z3895"/>
    <mergeCell ref="AA3894:AA3895"/>
    <mergeCell ref="AB3894:AB3895"/>
    <mergeCell ref="A3896:A3897"/>
    <mergeCell ref="E3896:E3897"/>
    <mergeCell ref="H3896:H3897"/>
    <mergeCell ref="I3896:I3897"/>
    <mergeCell ref="J3896:J3897"/>
    <mergeCell ref="K3896:K3897"/>
    <mergeCell ref="L3896:L3897"/>
    <mergeCell ref="M3896:M3897"/>
    <mergeCell ref="N3896:N3897"/>
    <mergeCell ref="O3896:O3897"/>
    <mergeCell ref="X3896:X3897"/>
    <mergeCell ref="Y3896:Y3897"/>
    <mergeCell ref="Z3896:Z3897"/>
    <mergeCell ref="AA3896:AA3897"/>
    <mergeCell ref="AB3896:AB3897"/>
    <mergeCell ref="A3890:A3891"/>
    <mergeCell ref="E3890:E3891"/>
    <mergeCell ref="H3890:H3891"/>
    <mergeCell ref="I3890:I3891"/>
    <mergeCell ref="J3890:J3891"/>
    <mergeCell ref="K3890:K3891"/>
    <mergeCell ref="L3890:L3891"/>
    <mergeCell ref="M3890:M3891"/>
    <mergeCell ref="N3890:N3891"/>
    <mergeCell ref="O3890:O3891"/>
    <mergeCell ref="X3890:X3891"/>
    <mergeCell ref="Y3890:Y3891"/>
    <mergeCell ref="Z3890:Z3891"/>
    <mergeCell ref="AA3890:AA3891"/>
    <mergeCell ref="AB3890:AB3891"/>
    <mergeCell ref="A3892:A3893"/>
    <mergeCell ref="E3892:E3893"/>
    <mergeCell ref="H3892:H3893"/>
    <mergeCell ref="I3892:I3893"/>
    <mergeCell ref="J3892:J3893"/>
    <mergeCell ref="K3892:K3893"/>
    <mergeCell ref="L3892:L3893"/>
    <mergeCell ref="M3892:M3893"/>
    <mergeCell ref="N3892:N3893"/>
    <mergeCell ref="O3892:O3893"/>
    <mergeCell ref="X3892:X3893"/>
    <mergeCell ref="Y3892:Y3893"/>
    <mergeCell ref="Z3892:Z3893"/>
    <mergeCell ref="AA3892:AA3893"/>
    <mergeCell ref="AB3892:AB3893"/>
    <mergeCell ref="A3886:A3887"/>
    <mergeCell ref="E3886:E3887"/>
    <mergeCell ref="H3886:H3887"/>
    <mergeCell ref="I3886:I3887"/>
    <mergeCell ref="J3886:J3887"/>
    <mergeCell ref="K3886:K3887"/>
    <mergeCell ref="L3886:L3887"/>
    <mergeCell ref="M3886:M3887"/>
    <mergeCell ref="N3886:N3887"/>
    <mergeCell ref="O3886:O3887"/>
    <mergeCell ref="X3886:X3887"/>
    <mergeCell ref="Y3886:Y3887"/>
    <mergeCell ref="Z3886:Z3887"/>
    <mergeCell ref="AA3886:AA3887"/>
    <mergeCell ref="AB3886:AB3887"/>
    <mergeCell ref="A3888:A3889"/>
    <mergeCell ref="E3888:E3889"/>
    <mergeCell ref="H3888:H3889"/>
    <mergeCell ref="I3888:I3889"/>
    <mergeCell ref="J3888:J3889"/>
    <mergeCell ref="K3888:K3889"/>
    <mergeCell ref="L3888:L3889"/>
    <mergeCell ref="M3888:M3889"/>
    <mergeCell ref="N3888:N3889"/>
    <mergeCell ref="O3888:O3889"/>
    <mergeCell ref="X3888:X3889"/>
    <mergeCell ref="Y3888:Y3889"/>
    <mergeCell ref="Z3888:Z3889"/>
    <mergeCell ref="AA3888:AA3889"/>
    <mergeCell ref="AB3888:AB3889"/>
    <mergeCell ref="A3882:A3883"/>
    <mergeCell ref="E3882:E3883"/>
    <mergeCell ref="H3882:H3883"/>
    <mergeCell ref="I3882:I3883"/>
    <mergeCell ref="J3882:J3883"/>
    <mergeCell ref="K3882:K3883"/>
    <mergeCell ref="L3882:L3883"/>
    <mergeCell ref="M3882:M3883"/>
    <mergeCell ref="N3882:N3883"/>
    <mergeCell ref="O3882:O3883"/>
    <mergeCell ref="X3882:X3883"/>
    <mergeCell ref="Y3882:Y3883"/>
    <mergeCell ref="Z3882:Z3883"/>
    <mergeCell ref="AA3882:AA3883"/>
    <mergeCell ref="AB3882:AB3883"/>
    <mergeCell ref="A3884:A3885"/>
    <mergeCell ref="E3884:E3885"/>
    <mergeCell ref="H3884:H3885"/>
    <mergeCell ref="I3884:I3885"/>
    <mergeCell ref="J3884:J3885"/>
    <mergeCell ref="K3884:K3885"/>
    <mergeCell ref="L3884:L3885"/>
    <mergeCell ref="M3884:M3885"/>
    <mergeCell ref="N3884:N3885"/>
    <mergeCell ref="O3884:O3885"/>
    <mergeCell ref="X3884:X3885"/>
    <mergeCell ref="Y3884:Y3885"/>
    <mergeCell ref="Z3884:Z3885"/>
    <mergeCell ref="AA3884:AA3885"/>
    <mergeCell ref="AB3884:AB3885"/>
    <mergeCell ref="A3878:A3879"/>
    <mergeCell ref="E3878:E3879"/>
    <mergeCell ref="H3878:H3879"/>
    <mergeCell ref="I3878:I3879"/>
    <mergeCell ref="J3878:J3879"/>
    <mergeCell ref="K3878:K3879"/>
    <mergeCell ref="L3878:L3879"/>
    <mergeCell ref="M3878:M3879"/>
    <mergeCell ref="N3878:N3879"/>
    <mergeCell ref="O3878:O3879"/>
    <mergeCell ref="X3878:X3879"/>
    <mergeCell ref="Y3878:Y3879"/>
    <mergeCell ref="Z3878:Z3879"/>
    <mergeCell ref="AA3878:AA3879"/>
    <mergeCell ref="AB3878:AB3879"/>
    <mergeCell ref="A3880:A3881"/>
    <mergeCell ref="E3880:E3881"/>
    <mergeCell ref="H3880:H3881"/>
    <mergeCell ref="I3880:I3881"/>
    <mergeCell ref="J3880:J3881"/>
    <mergeCell ref="K3880:K3881"/>
    <mergeCell ref="L3880:L3881"/>
    <mergeCell ref="M3880:M3881"/>
    <mergeCell ref="N3880:N3881"/>
    <mergeCell ref="O3880:O3881"/>
    <mergeCell ref="X3880:X3881"/>
    <mergeCell ref="Y3880:Y3881"/>
    <mergeCell ref="Z3880:Z3881"/>
    <mergeCell ref="AA3880:AA3881"/>
    <mergeCell ref="AB3880:AB3881"/>
    <mergeCell ref="A3874:A3875"/>
    <mergeCell ref="E3874:E3875"/>
    <mergeCell ref="H3874:H3875"/>
    <mergeCell ref="I3874:I3875"/>
    <mergeCell ref="J3874:J3875"/>
    <mergeCell ref="K3874:K3875"/>
    <mergeCell ref="L3874:L3875"/>
    <mergeCell ref="M3874:M3875"/>
    <mergeCell ref="N3874:N3875"/>
    <mergeCell ref="O3874:O3875"/>
    <mergeCell ref="X3874:X3875"/>
    <mergeCell ref="Y3874:Y3875"/>
    <mergeCell ref="Z3874:Z3875"/>
    <mergeCell ref="AA3874:AA3875"/>
    <mergeCell ref="AB3874:AB3875"/>
    <mergeCell ref="A3876:A3877"/>
    <mergeCell ref="E3876:E3877"/>
    <mergeCell ref="H3876:H3877"/>
    <mergeCell ref="I3876:I3877"/>
    <mergeCell ref="J3876:J3877"/>
    <mergeCell ref="K3876:K3877"/>
    <mergeCell ref="L3876:L3877"/>
    <mergeCell ref="M3876:M3877"/>
    <mergeCell ref="N3876:N3877"/>
    <mergeCell ref="O3876:O3877"/>
    <mergeCell ref="X3876:X3877"/>
    <mergeCell ref="Y3876:Y3877"/>
    <mergeCell ref="Z3876:Z3877"/>
    <mergeCell ref="AA3876:AA3877"/>
    <mergeCell ref="AB3876:AB3877"/>
    <mergeCell ref="A3870:A3871"/>
    <mergeCell ref="E3870:E3871"/>
    <mergeCell ref="H3870:H3871"/>
    <mergeCell ref="I3870:I3871"/>
    <mergeCell ref="J3870:J3871"/>
    <mergeCell ref="K3870:K3871"/>
    <mergeCell ref="L3870:L3871"/>
    <mergeCell ref="M3870:M3871"/>
    <mergeCell ref="N3870:N3871"/>
    <mergeCell ref="O3870:O3871"/>
    <mergeCell ref="X3870:X3871"/>
    <mergeCell ref="Y3870:Y3871"/>
    <mergeCell ref="Z3870:Z3871"/>
    <mergeCell ref="AA3870:AA3871"/>
    <mergeCell ref="AB3870:AB3871"/>
    <mergeCell ref="A3872:A3873"/>
    <mergeCell ref="E3872:E3873"/>
    <mergeCell ref="H3872:H3873"/>
    <mergeCell ref="I3872:I3873"/>
    <mergeCell ref="J3872:J3873"/>
    <mergeCell ref="K3872:K3873"/>
    <mergeCell ref="L3872:L3873"/>
    <mergeCell ref="M3872:M3873"/>
    <mergeCell ref="N3872:N3873"/>
    <mergeCell ref="O3872:O3873"/>
    <mergeCell ref="X3872:X3873"/>
    <mergeCell ref="Y3872:Y3873"/>
    <mergeCell ref="Z3872:Z3873"/>
    <mergeCell ref="AA3872:AA3873"/>
    <mergeCell ref="AB3872:AB3873"/>
    <mergeCell ref="A3866:A3867"/>
    <mergeCell ref="E3866:E3867"/>
    <mergeCell ref="H3866:H3867"/>
    <mergeCell ref="I3866:I3867"/>
    <mergeCell ref="J3866:J3867"/>
    <mergeCell ref="K3866:K3867"/>
    <mergeCell ref="L3866:L3867"/>
    <mergeCell ref="M3866:M3867"/>
    <mergeCell ref="N3866:N3867"/>
    <mergeCell ref="O3866:O3867"/>
    <mergeCell ref="X3866:X3867"/>
    <mergeCell ref="Y3866:Y3867"/>
    <mergeCell ref="Z3866:Z3867"/>
    <mergeCell ref="AA3866:AA3867"/>
    <mergeCell ref="AB3866:AB3867"/>
    <mergeCell ref="A3868:A3869"/>
    <mergeCell ref="E3868:E3869"/>
    <mergeCell ref="H3868:H3869"/>
    <mergeCell ref="I3868:I3869"/>
    <mergeCell ref="J3868:J3869"/>
    <mergeCell ref="K3868:K3869"/>
    <mergeCell ref="L3868:L3869"/>
    <mergeCell ref="M3868:M3869"/>
    <mergeCell ref="N3868:N3869"/>
    <mergeCell ref="O3868:O3869"/>
    <mergeCell ref="X3868:X3869"/>
    <mergeCell ref="Y3868:Y3869"/>
    <mergeCell ref="Z3868:Z3869"/>
    <mergeCell ref="AA3868:AA3869"/>
    <mergeCell ref="AB3868:AB3869"/>
    <mergeCell ref="A3862:A3863"/>
    <mergeCell ref="E3862:E3863"/>
    <mergeCell ref="H3862:H3863"/>
    <mergeCell ref="I3862:I3863"/>
    <mergeCell ref="J3862:J3863"/>
    <mergeCell ref="K3862:K3863"/>
    <mergeCell ref="L3862:L3863"/>
    <mergeCell ref="M3862:M3863"/>
    <mergeCell ref="N3862:N3863"/>
    <mergeCell ref="O3862:O3863"/>
    <mergeCell ref="X3862:X3863"/>
    <mergeCell ref="Y3862:Y3863"/>
    <mergeCell ref="Z3862:Z3863"/>
    <mergeCell ref="AA3862:AA3863"/>
    <mergeCell ref="AB3862:AB3863"/>
    <mergeCell ref="A3864:A3865"/>
    <mergeCell ref="E3864:E3865"/>
    <mergeCell ref="H3864:H3865"/>
    <mergeCell ref="I3864:I3865"/>
    <mergeCell ref="J3864:J3865"/>
    <mergeCell ref="K3864:K3865"/>
    <mergeCell ref="L3864:L3865"/>
    <mergeCell ref="M3864:M3865"/>
    <mergeCell ref="N3864:N3865"/>
    <mergeCell ref="O3864:O3865"/>
    <mergeCell ref="X3864:X3865"/>
    <mergeCell ref="Y3864:Y3865"/>
    <mergeCell ref="Z3864:Z3865"/>
    <mergeCell ref="AA3864:AA3865"/>
    <mergeCell ref="AB3864:AB3865"/>
    <mergeCell ref="A3858:A3859"/>
    <mergeCell ref="E3858:E3859"/>
    <mergeCell ref="H3858:H3859"/>
    <mergeCell ref="I3858:I3859"/>
    <mergeCell ref="J3858:J3859"/>
    <mergeCell ref="K3858:K3859"/>
    <mergeCell ref="L3858:L3859"/>
    <mergeCell ref="M3858:M3859"/>
    <mergeCell ref="N3858:N3859"/>
    <mergeCell ref="O3858:O3859"/>
    <mergeCell ref="X3858:X3859"/>
    <mergeCell ref="Y3858:Y3859"/>
    <mergeCell ref="Z3858:Z3859"/>
    <mergeCell ref="AA3858:AA3859"/>
    <mergeCell ref="AB3858:AB3859"/>
    <mergeCell ref="A3860:A3861"/>
    <mergeCell ref="E3860:E3861"/>
    <mergeCell ref="H3860:H3861"/>
    <mergeCell ref="I3860:I3861"/>
    <mergeCell ref="J3860:J3861"/>
    <mergeCell ref="K3860:K3861"/>
    <mergeCell ref="L3860:L3861"/>
    <mergeCell ref="M3860:M3861"/>
    <mergeCell ref="N3860:N3861"/>
    <mergeCell ref="O3860:O3861"/>
    <mergeCell ref="X3860:X3861"/>
    <mergeCell ref="Y3860:Y3861"/>
    <mergeCell ref="Z3860:Z3861"/>
    <mergeCell ref="AA3860:AA3861"/>
    <mergeCell ref="AB3860:AB3861"/>
    <mergeCell ref="A3854:A3855"/>
    <mergeCell ref="E3854:E3855"/>
    <mergeCell ref="H3854:H3855"/>
    <mergeCell ref="I3854:I3855"/>
    <mergeCell ref="J3854:J3855"/>
    <mergeCell ref="K3854:K3855"/>
    <mergeCell ref="L3854:L3855"/>
    <mergeCell ref="M3854:M3855"/>
    <mergeCell ref="N3854:N3855"/>
    <mergeCell ref="O3854:O3855"/>
    <mergeCell ref="X3854:X3855"/>
    <mergeCell ref="Y3854:Y3855"/>
    <mergeCell ref="Z3854:Z3855"/>
    <mergeCell ref="AA3854:AA3855"/>
    <mergeCell ref="AB3854:AB3855"/>
    <mergeCell ref="A3856:A3857"/>
    <mergeCell ref="E3856:E3857"/>
    <mergeCell ref="H3856:H3857"/>
    <mergeCell ref="I3856:I3857"/>
    <mergeCell ref="J3856:J3857"/>
    <mergeCell ref="K3856:K3857"/>
    <mergeCell ref="L3856:L3857"/>
    <mergeCell ref="M3856:M3857"/>
    <mergeCell ref="N3856:N3857"/>
    <mergeCell ref="O3856:O3857"/>
    <mergeCell ref="X3856:X3857"/>
    <mergeCell ref="Y3856:Y3857"/>
    <mergeCell ref="Z3856:Z3857"/>
    <mergeCell ref="AA3856:AA3857"/>
    <mergeCell ref="AB3856:AB3857"/>
    <mergeCell ref="A3850:A3851"/>
    <mergeCell ref="E3850:E3851"/>
    <mergeCell ref="H3850:H3851"/>
    <mergeCell ref="I3850:I3851"/>
    <mergeCell ref="J3850:J3851"/>
    <mergeCell ref="K3850:K3851"/>
    <mergeCell ref="L3850:L3851"/>
    <mergeCell ref="M3850:M3851"/>
    <mergeCell ref="N3850:N3851"/>
    <mergeCell ref="O3850:O3851"/>
    <mergeCell ref="X3850:X3851"/>
    <mergeCell ref="Y3850:Y3851"/>
    <mergeCell ref="Z3850:Z3851"/>
    <mergeCell ref="AA3850:AA3851"/>
    <mergeCell ref="AB3850:AB3851"/>
    <mergeCell ref="A3852:A3853"/>
    <mergeCell ref="E3852:E3853"/>
    <mergeCell ref="H3852:H3853"/>
    <mergeCell ref="I3852:I3853"/>
    <mergeCell ref="J3852:J3853"/>
    <mergeCell ref="K3852:K3853"/>
    <mergeCell ref="L3852:L3853"/>
    <mergeCell ref="M3852:M3853"/>
    <mergeCell ref="N3852:N3853"/>
    <mergeCell ref="O3852:O3853"/>
    <mergeCell ref="X3852:X3853"/>
    <mergeCell ref="Y3852:Y3853"/>
    <mergeCell ref="Z3852:Z3853"/>
    <mergeCell ref="AA3852:AA3853"/>
    <mergeCell ref="AB3852:AB3853"/>
    <mergeCell ref="A3846:A3847"/>
    <mergeCell ref="E3846:E3847"/>
    <mergeCell ref="H3846:H3847"/>
    <mergeCell ref="I3846:I3847"/>
    <mergeCell ref="J3846:J3847"/>
    <mergeCell ref="K3846:K3847"/>
    <mergeCell ref="L3846:L3847"/>
    <mergeCell ref="M3846:M3847"/>
    <mergeCell ref="N3846:N3847"/>
    <mergeCell ref="O3846:O3847"/>
    <mergeCell ref="X3846:X3847"/>
    <mergeCell ref="Y3846:Y3847"/>
    <mergeCell ref="Z3846:Z3847"/>
    <mergeCell ref="AA3846:AA3847"/>
    <mergeCell ref="AB3846:AB3847"/>
    <mergeCell ref="A3848:A3849"/>
    <mergeCell ref="E3848:E3849"/>
    <mergeCell ref="H3848:H3849"/>
    <mergeCell ref="I3848:I3849"/>
    <mergeCell ref="J3848:J3849"/>
    <mergeCell ref="K3848:K3849"/>
    <mergeCell ref="L3848:L3849"/>
    <mergeCell ref="M3848:M3849"/>
    <mergeCell ref="N3848:N3849"/>
    <mergeCell ref="O3848:O3849"/>
    <mergeCell ref="X3848:X3849"/>
    <mergeCell ref="Y3848:Y3849"/>
    <mergeCell ref="Z3848:Z3849"/>
    <mergeCell ref="AA3848:AA3849"/>
    <mergeCell ref="AB3848:AB3849"/>
    <mergeCell ref="A3842:A3843"/>
    <mergeCell ref="E3842:E3843"/>
    <mergeCell ref="H3842:H3843"/>
    <mergeCell ref="I3842:I3843"/>
    <mergeCell ref="J3842:J3843"/>
    <mergeCell ref="K3842:K3843"/>
    <mergeCell ref="L3842:L3843"/>
    <mergeCell ref="M3842:M3843"/>
    <mergeCell ref="N3842:N3843"/>
    <mergeCell ref="O3842:O3843"/>
    <mergeCell ref="X3842:X3843"/>
    <mergeCell ref="Y3842:Y3843"/>
    <mergeCell ref="Z3842:Z3843"/>
    <mergeCell ref="AA3842:AA3843"/>
    <mergeCell ref="AB3842:AB3843"/>
    <mergeCell ref="A3844:A3845"/>
    <mergeCell ref="E3844:E3845"/>
    <mergeCell ref="H3844:H3845"/>
    <mergeCell ref="I3844:I3845"/>
    <mergeCell ref="J3844:J3845"/>
    <mergeCell ref="K3844:K3845"/>
    <mergeCell ref="L3844:L3845"/>
    <mergeCell ref="M3844:M3845"/>
    <mergeCell ref="N3844:N3845"/>
    <mergeCell ref="O3844:O3845"/>
    <mergeCell ref="X3844:X3845"/>
    <mergeCell ref="Y3844:Y3845"/>
    <mergeCell ref="Z3844:Z3845"/>
    <mergeCell ref="AA3844:AA3845"/>
    <mergeCell ref="AB3844:AB3845"/>
    <mergeCell ref="A3838:A3839"/>
    <mergeCell ref="E3838:E3839"/>
    <mergeCell ref="H3838:H3839"/>
    <mergeCell ref="I3838:I3839"/>
    <mergeCell ref="J3838:J3839"/>
    <mergeCell ref="K3838:K3839"/>
    <mergeCell ref="L3838:L3839"/>
    <mergeCell ref="M3838:M3839"/>
    <mergeCell ref="N3838:N3839"/>
    <mergeCell ref="O3838:O3839"/>
    <mergeCell ref="X3838:X3839"/>
    <mergeCell ref="Y3838:Y3839"/>
    <mergeCell ref="Z3838:Z3839"/>
    <mergeCell ref="AA3838:AA3839"/>
    <mergeCell ref="AB3838:AB3839"/>
    <mergeCell ref="A3840:A3841"/>
    <mergeCell ref="E3840:E3841"/>
    <mergeCell ref="H3840:H3841"/>
    <mergeCell ref="I3840:I3841"/>
    <mergeCell ref="J3840:J3841"/>
    <mergeCell ref="K3840:K3841"/>
    <mergeCell ref="L3840:L3841"/>
    <mergeCell ref="M3840:M3841"/>
    <mergeCell ref="N3840:N3841"/>
    <mergeCell ref="O3840:O3841"/>
    <mergeCell ref="X3840:X3841"/>
    <mergeCell ref="Y3840:Y3841"/>
    <mergeCell ref="Z3840:Z3841"/>
    <mergeCell ref="AA3840:AA3841"/>
    <mergeCell ref="AB3840:AB3841"/>
    <mergeCell ref="A3834:A3835"/>
    <mergeCell ref="E3834:E3835"/>
    <mergeCell ref="H3834:H3835"/>
    <mergeCell ref="I3834:I3835"/>
    <mergeCell ref="J3834:J3835"/>
    <mergeCell ref="K3834:K3835"/>
    <mergeCell ref="L3834:L3835"/>
    <mergeCell ref="M3834:M3835"/>
    <mergeCell ref="N3834:N3835"/>
    <mergeCell ref="O3834:O3835"/>
    <mergeCell ref="X3834:X3835"/>
    <mergeCell ref="Y3834:Y3835"/>
    <mergeCell ref="Z3834:Z3835"/>
    <mergeCell ref="AA3834:AA3835"/>
    <mergeCell ref="AB3834:AB3835"/>
    <mergeCell ref="A3836:A3837"/>
    <mergeCell ref="E3836:E3837"/>
    <mergeCell ref="H3836:H3837"/>
    <mergeCell ref="I3836:I3837"/>
    <mergeCell ref="J3836:J3837"/>
    <mergeCell ref="K3836:K3837"/>
    <mergeCell ref="L3836:L3837"/>
    <mergeCell ref="M3836:M3837"/>
    <mergeCell ref="N3836:N3837"/>
    <mergeCell ref="O3836:O3837"/>
    <mergeCell ref="X3836:X3837"/>
    <mergeCell ref="Y3836:Y3837"/>
    <mergeCell ref="Z3836:Z3837"/>
    <mergeCell ref="AA3836:AA3837"/>
    <mergeCell ref="AB3836:AB3837"/>
    <mergeCell ref="A3830:A3831"/>
    <mergeCell ref="E3830:E3831"/>
    <mergeCell ref="H3830:H3831"/>
    <mergeCell ref="I3830:I3831"/>
    <mergeCell ref="J3830:J3831"/>
    <mergeCell ref="K3830:K3831"/>
    <mergeCell ref="L3830:L3831"/>
    <mergeCell ref="M3830:M3831"/>
    <mergeCell ref="N3830:N3831"/>
    <mergeCell ref="O3830:O3831"/>
    <mergeCell ref="X3830:X3831"/>
    <mergeCell ref="Y3830:Y3831"/>
    <mergeCell ref="Z3830:Z3831"/>
    <mergeCell ref="AA3830:AA3831"/>
    <mergeCell ref="AB3830:AB3831"/>
    <mergeCell ref="A3832:A3833"/>
    <mergeCell ref="E3832:E3833"/>
    <mergeCell ref="H3832:H3833"/>
    <mergeCell ref="I3832:I3833"/>
    <mergeCell ref="J3832:J3833"/>
    <mergeCell ref="K3832:K3833"/>
    <mergeCell ref="L3832:L3833"/>
    <mergeCell ref="M3832:M3833"/>
    <mergeCell ref="N3832:N3833"/>
    <mergeCell ref="O3832:O3833"/>
    <mergeCell ref="X3832:X3833"/>
    <mergeCell ref="Y3832:Y3833"/>
    <mergeCell ref="Z3832:Z3833"/>
    <mergeCell ref="AA3832:AA3833"/>
    <mergeCell ref="AB3832:AB3833"/>
    <mergeCell ref="A3826:A3827"/>
    <mergeCell ref="E3826:E3827"/>
    <mergeCell ref="H3826:H3827"/>
    <mergeCell ref="I3826:I3827"/>
    <mergeCell ref="J3826:J3827"/>
    <mergeCell ref="K3826:K3827"/>
    <mergeCell ref="L3826:L3827"/>
    <mergeCell ref="M3826:M3827"/>
    <mergeCell ref="N3826:N3827"/>
    <mergeCell ref="O3826:O3827"/>
    <mergeCell ref="X3826:X3827"/>
    <mergeCell ref="Y3826:Y3827"/>
    <mergeCell ref="Z3826:Z3827"/>
    <mergeCell ref="AA3826:AA3827"/>
    <mergeCell ref="AB3826:AB3827"/>
    <mergeCell ref="A3828:A3829"/>
    <mergeCell ref="E3828:E3829"/>
    <mergeCell ref="H3828:H3829"/>
    <mergeCell ref="I3828:I3829"/>
    <mergeCell ref="J3828:J3829"/>
    <mergeCell ref="K3828:K3829"/>
    <mergeCell ref="L3828:L3829"/>
    <mergeCell ref="M3828:M3829"/>
    <mergeCell ref="N3828:N3829"/>
    <mergeCell ref="O3828:O3829"/>
    <mergeCell ref="X3828:X3829"/>
    <mergeCell ref="Y3828:Y3829"/>
    <mergeCell ref="Z3828:Z3829"/>
    <mergeCell ref="AA3828:AA3829"/>
    <mergeCell ref="AB3828:AB3829"/>
    <mergeCell ref="A3822:A3823"/>
    <mergeCell ref="E3822:E3823"/>
    <mergeCell ref="H3822:H3823"/>
    <mergeCell ref="I3822:I3823"/>
    <mergeCell ref="J3822:J3823"/>
    <mergeCell ref="K3822:K3823"/>
    <mergeCell ref="L3822:L3823"/>
    <mergeCell ref="M3822:M3823"/>
    <mergeCell ref="N3822:N3823"/>
    <mergeCell ref="O3822:O3823"/>
    <mergeCell ref="X3822:X3823"/>
    <mergeCell ref="Y3822:Y3823"/>
    <mergeCell ref="Z3822:Z3823"/>
    <mergeCell ref="AA3822:AA3823"/>
    <mergeCell ref="AB3822:AB3823"/>
    <mergeCell ref="A3824:A3825"/>
    <mergeCell ref="E3824:E3825"/>
    <mergeCell ref="H3824:H3825"/>
    <mergeCell ref="I3824:I3825"/>
    <mergeCell ref="J3824:J3825"/>
    <mergeCell ref="K3824:K3825"/>
    <mergeCell ref="L3824:L3825"/>
    <mergeCell ref="M3824:M3825"/>
    <mergeCell ref="N3824:N3825"/>
    <mergeCell ref="O3824:O3825"/>
    <mergeCell ref="X3824:X3825"/>
    <mergeCell ref="Y3824:Y3825"/>
    <mergeCell ref="Z3824:Z3825"/>
    <mergeCell ref="AA3824:AA3825"/>
    <mergeCell ref="AB3824:AB3825"/>
    <mergeCell ref="A3818:A3819"/>
    <mergeCell ref="E3818:E3819"/>
    <mergeCell ref="H3818:H3819"/>
    <mergeCell ref="I3818:I3819"/>
    <mergeCell ref="J3818:J3819"/>
    <mergeCell ref="K3818:K3819"/>
    <mergeCell ref="L3818:L3819"/>
    <mergeCell ref="M3818:M3819"/>
    <mergeCell ref="N3818:N3819"/>
    <mergeCell ref="O3818:O3819"/>
    <mergeCell ref="X3818:X3819"/>
    <mergeCell ref="Y3818:Y3819"/>
    <mergeCell ref="Z3818:Z3819"/>
    <mergeCell ref="AA3818:AA3819"/>
    <mergeCell ref="AB3818:AB3819"/>
    <mergeCell ref="A3820:A3821"/>
    <mergeCell ref="E3820:E3821"/>
    <mergeCell ref="H3820:H3821"/>
    <mergeCell ref="I3820:I3821"/>
    <mergeCell ref="J3820:J3821"/>
    <mergeCell ref="K3820:K3821"/>
    <mergeCell ref="L3820:L3821"/>
    <mergeCell ref="M3820:M3821"/>
    <mergeCell ref="N3820:N3821"/>
    <mergeCell ref="O3820:O3821"/>
    <mergeCell ref="X3820:X3821"/>
    <mergeCell ref="Y3820:Y3821"/>
    <mergeCell ref="Z3820:Z3821"/>
    <mergeCell ref="AA3820:AA3821"/>
    <mergeCell ref="AB3820:AB3821"/>
    <mergeCell ref="A3814:A3815"/>
    <mergeCell ref="E3814:E3815"/>
    <mergeCell ref="H3814:H3815"/>
    <mergeCell ref="I3814:I3815"/>
    <mergeCell ref="J3814:J3815"/>
    <mergeCell ref="K3814:K3815"/>
    <mergeCell ref="L3814:L3815"/>
    <mergeCell ref="M3814:M3815"/>
    <mergeCell ref="N3814:N3815"/>
    <mergeCell ref="O3814:O3815"/>
    <mergeCell ref="X3814:X3815"/>
    <mergeCell ref="Y3814:Y3815"/>
    <mergeCell ref="Z3814:Z3815"/>
    <mergeCell ref="AA3814:AA3815"/>
    <mergeCell ref="AB3814:AB3815"/>
    <mergeCell ref="A3816:A3817"/>
    <mergeCell ref="E3816:E3817"/>
    <mergeCell ref="H3816:H3817"/>
    <mergeCell ref="I3816:I3817"/>
    <mergeCell ref="J3816:J3817"/>
    <mergeCell ref="K3816:K3817"/>
    <mergeCell ref="L3816:L3817"/>
    <mergeCell ref="M3816:M3817"/>
    <mergeCell ref="N3816:N3817"/>
    <mergeCell ref="O3816:O3817"/>
    <mergeCell ref="X3816:X3817"/>
    <mergeCell ref="Y3816:Y3817"/>
    <mergeCell ref="Z3816:Z3817"/>
    <mergeCell ref="AA3816:AA3817"/>
    <mergeCell ref="AB3816:AB3817"/>
    <mergeCell ref="A3772:A3773"/>
    <mergeCell ref="E3772:E3773"/>
    <mergeCell ref="H3772:H3773"/>
    <mergeCell ref="I3772:I3773"/>
    <mergeCell ref="J3772:J3773"/>
    <mergeCell ref="K3772:K3773"/>
    <mergeCell ref="L3772:L3773"/>
    <mergeCell ref="M3772:M3773"/>
    <mergeCell ref="N3772:N3773"/>
    <mergeCell ref="O3772:O3773"/>
    <mergeCell ref="X3772:X3773"/>
    <mergeCell ref="Y3772:Y3773"/>
    <mergeCell ref="Z3772:Z3773"/>
    <mergeCell ref="AA3772:AA3773"/>
    <mergeCell ref="AB3772:AB3773"/>
    <mergeCell ref="A3812:A3813"/>
    <mergeCell ref="E3812:E3813"/>
    <mergeCell ref="H3812:H3813"/>
    <mergeCell ref="I3812:I3813"/>
    <mergeCell ref="J3812:J3813"/>
    <mergeCell ref="K3812:K3813"/>
    <mergeCell ref="L3812:L3813"/>
    <mergeCell ref="M3812:M3813"/>
    <mergeCell ref="N3812:N3813"/>
    <mergeCell ref="O3812:O3813"/>
    <mergeCell ref="X3812:X3813"/>
    <mergeCell ref="Y3812:Y3813"/>
    <mergeCell ref="Z3812:Z3813"/>
    <mergeCell ref="AA3812:AA3813"/>
    <mergeCell ref="AB3812:AB3813"/>
    <mergeCell ref="A3776:A3777"/>
    <mergeCell ref="E3776:E3777"/>
    <mergeCell ref="H3776:H3777"/>
    <mergeCell ref="I3776:I3777"/>
    <mergeCell ref="A3686:A3687"/>
    <mergeCell ref="E3686:E3687"/>
    <mergeCell ref="H3686:H3687"/>
    <mergeCell ref="I3686:I3687"/>
    <mergeCell ref="J3686:J3687"/>
    <mergeCell ref="K3686:K3687"/>
    <mergeCell ref="L3686:L3687"/>
    <mergeCell ref="M3686:M3687"/>
    <mergeCell ref="N3686:N3687"/>
    <mergeCell ref="O3686:O3687"/>
    <mergeCell ref="X3686:X3687"/>
    <mergeCell ref="Y3686:Y3687"/>
    <mergeCell ref="Z3686:Z3687"/>
    <mergeCell ref="AA3686:AA3687"/>
    <mergeCell ref="AB3686:AB3687"/>
    <mergeCell ref="A3708:A3709"/>
    <mergeCell ref="E3708:E3709"/>
    <mergeCell ref="H3708:H3709"/>
    <mergeCell ref="I3708:I3709"/>
    <mergeCell ref="J3708:J3709"/>
    <mergeCell ref="K3708:K3709"/>
    <mergeCell ref="L3708:L3709"/>
    <mergeCell ref="M3708:M3709"/>
    <mergeCell ref="N3708:N3709"/>
    <mergeCell ref="O3708:O3709"/>
    <mergeCell ref="X3708:X3709"/>
    <mergeCell ref="Y3708:Y3709"/>
    <mergeCell ref="Z3708:Z3709"/>
    <mergeCell ref="AA3708:AA3709"/>
    <mergeCell ref="AB3708:AB3709"/>
    <mergeCell ref="A3698:A3699"/>
    <mergeCell ref="E3698:E3699"/>
    <mergeCell ref="H3698:H3699"/>
    <mergeCell ref="I3698:I3699"/>
    <mergeCell ref="J3698:J3699"/>
    <mergeCell ref="K3698:K3699"/>
    <mergeCell ref="L3698:L3699"/>
    <mergeCell ref="M3698:M3699"/>
    <mergeCell ref="N3698:N3699"/>
    <mergeCell ref="A3706:A3707"/>
    <mergeCell ref="E3706:E3707"/>
    <mergeCell ref="H3706:H3707"/>
    <mergeCell ref="I3706:I3707"/>
    <mergeCell ref="J3706:J3707"/>
    <mergeCell ref="K3706:K3707"/>
    <mergeCell ref="L3706:L3707"/>
    <mergeCell ref="M3706:M3707"/>
    <mergeCell ref="N3706:N3707"/>
    <mergeCell ref="O3706:O3707"/>
    <mergeCell ref="X3706:X3707"/>
    <mergeCell ref="Y3706:Y3707"/>
    <mergeCell ref="Z3706:Z3707"/>
    <mergeCell ref="H3692:H3693"/>
    <mergeCell ref="I3692:I3693"/>
    <mergeCell ref="J3692:J3693"/>
    <mergeCell ref="K3692:K3693"/>
    <mergeCell ref="L3692:L3693"/>
    <mergeCell ref="M3692:M3693"/>
    <mergeCell ref="N3692:N3693"/>
    <mergeCell ref="O3692:O3693"/>
    <mergeCell ref="X3692:X3693"/>
    <mergeCell ref="Y3692:Y3693"/>
    <mergeCell ref="Z3692:Z3693"/>
    <mergeCell ref="AA3692:AA3693"/>
    <mergeCell ref="AB3692:AB3693"/>
    <mergeCell ref="X3694:X3695"/>
    <mergeCell ref="AA3706:AA3707"/>
    <mergeCell ref="AB3706:AB3707"/>
    <mergeCell ref="O3702:O3703"/>
    <mergeCell ref="X3702:X3703"/>
    <mergeCell ref="Y3702:Y3703"/>
    <mergeCell ref="Z3702:Z3703"/>
    <mergeCell ref="AA3702:AA3703"/>
    <mergeCell ref="AB3702:AB3703"/>
    <mergeCell ref="A3704:A3705"/>
    <mergeCell ref="E3704:E3705"/>
    <mergeCell ref="H3704:H3705"/>
    <mergeCell ref="I3704:I3705"/>
    <mergeCell ref="J3704:J3705"/>
    <mergeCell ref="K3704:K3705"/>
    <mergeCell ref="L3704:L3705"/>
    <mergeCell ref="M3704:M3705"/>
    <mergeCell ref="N3704:N3705"/>
    <mergeCell ref="O3704:O3705"/>
    <mergeCell ref="X3704:X3705"/>
    <mergeCell ref="Y3704:Y3705"/>
    <mergeCell ref="Z3704:Z3705"/>
    <mergeCell ref="AA3704:AA3705"/>
    <mergeCell ref="A3696:A3697"/>
    <mergeCell ref="E3696:E3697"/>
    <mergeCell ref="H3696:H3697"/>
    <mergeCell ref="I3696:I3697"/>
    <mergeCell ref="J3696:J3697"/>
    <mergeCell ref="K3696:K3697"/>
    <mergeCell ref="L3696:L3697"/>
    <mergeCell ref="M3696:M3697"/>
    <mergeCell ref="N3696:N3697"/>
    <mergeCell ref="O3696:O3697"/>
    <mergeCell ref="X3696:X3697"/>
    <mergeCell ref="Y3696:Y3697"/>
    <mergeCell ref="Z3696:Z3697"/>
    <mergeCell ref="AA3696:AA3697"/>
    <mergeCell ref="A3678:A3679"/>
    <mergeCell ref="E3678:E3679"/>
    <mergeCell ref="H3678:H3679"/>
    <mergeCell ref="I3678:I3679"/>
    <mergeCell ref="J3678:J3679"/>
    <mergeCell ref="K3678:K3679"/>
    <mergeCell ref="L3678:L3679"/>
    <mergeCell ref="M3678:M3679"/>
    <mergeCell ref="N3678:N3679"/>
    <mergeCell ref="O3678:O3679"/>
    <mergeCell ref="X3678:X3679"/>
    <mergeCell ref="Y3678:Y3679"/>
    <mergeCell ref="Z3678:Z3679"/>
    <mergeCell ref="AA3678:AA3679"/>
    <mergeCell ref="AB3678:AB3679"/>
    <mergeCell ref="A3680:A3681"/>
    <mergeCell ref="E3680:E3681"/>
    <mergeCell ref="H3680:H3681"/>
    <mergeCell ref="I3680:I3681"/>
    <mergeCell ref="J3680:J3681"/>
    <mergeCell ref="K3680:K3681"/>
    <mergeCell ref="L3680:L3681"/>
    <mergeCell ref="M3680:M3681"/>
    <mergeCell ref="N3680:N3681"/>
    <mergeCell ref="O3680:O3681"/>
    <mergeCell ref="X3680:X3681"/>
    <mergeCell ref="Y3680:Y3681"/>
    <mergeCell ref="Z3680:Z3681"/>
    <mergeCell ref="AA3680:AA3681"/>
    <mergeCell ref="AB3680:AB3681"/>
    <mergeCell ref="A3674:A3675"/>
    <mergeCell ref="E3674:E3675"/>
    <mergeCell ref="H3674:H3675"/>
    <mergeCell ref="I3674:I3675"/>
    <mergeCell ref="J3674:J3675"/>
    <mergeCell ref="K3674:K3675"/>
    <mergeCell ref="L3674:L3675"/>
    <mergeCell ref="M3674:M3675"/>
    <mergeCell ref="N3674:N3675"/>
    <mergeCell ref="O3674:O3675"/>
    <mergeCell ref="X3674:X3675"/>
    <mergeCell ref="Y3674:Y3675"/>
    <mergeCell ref="Z3674:Z3675"/>
    <mergeCell ref="AA3674:AA3675"/>
    <mergeCell ref="AB3674:AB3675"/>
    <mergeCell ref="A3676:A3677"/>
    <mergeCell ref="E3676:E3677"/>
    <mergeCell ref="H3676:H3677"/>
    <mergeCell ref="I3676:I3677"/>
    <mergeCell ref="J3676:J3677"/>
    <mergeCell ref="K3676:K3677"/>
    <mergeCell ref="L3676:L3677"/>
    <mergeCell ref="M3676:M3677"/>
    <mergeCell ref="N3676:N3677"/>
    <mergeCell ref="O3676:O3677"/>
    <mergeCell ref="X3676:X3677"/>
    <mergeCell ref="Y3676:Y3677"/>
    <mergeCell ref="Z3676:Z3677"/>
    <mergeCell ref="AA3676:AA3677"/>
    <mergeCell ref="AB3676:AB3677"/>
    <mergeCell ref="A3670:A3671"/>
    <mergeCell ref="E3670:E3671"/>
    <mergeCell ref="H3670:H3671"/>
    <mergeCell ref="I3670:I3671"/>
    <mergeCell ref="J3670:J3671"/>
    <mergeCell ref="K3670:K3671"/>
    <mergeCell ref="L3670:L3671"/>
    <mergeCell ref="M3670:M3671"/>
    <mergeCell ref="N3670:N3671"/>
    <mergeCell ref="O3670:O3671"/>
    <mergeCell ref="X3670:X3671"/>
    <mergeCell ref="Y3670:Y3671"/>
    <mergeCell ref="Z3670:Z3671"/>
    <mergeCell ref="AA3670:AA3671"/>
    <mergeCell ref="AB3670:AB3671"/>
    <mergeCell ref="A3672:A3673"/>
    <mergeCell ref="E3672:E3673"/>
    <mergeCell ref="H3672:H3673"/>
    <mergeCell ref="I3672:I3673"/>
    <mergeCell ref="J3672:J3673"/>
    <mergeCell ref="K3672:K3673"/>
    <mergeCell ref="L3672:L3673"/>
    <mergeCell ref="M3672:M3673"/>
    <mergeCell ref="N3672:N3673"/>
    <mergeCell ref="O3672:O3673"/>
    <mergeCell ref="X3672:X3673"/>
    <mergeCell ref="Y3672:Y3673"/>
    <mergeCell ref="Z3672:Z3673"/>
    <mergeCell ref="AA3672:AA3673"/>
    <mergeCell ref="AB3672:AB3673"/>
    <mergeCell ref="A3666:A3667"/>
    <mergeCell ref="E3666:E3667"/>
    <mergeCell ref="H3666:H3667"/>
    <mergeCell ref="I3666:I3667"/>
    <mergeCell ref="J3666:J3667"/>
    <mergeCell ref="K3666:K3667"/>
    <mergeCell ref="L3666:L3667"/>
    <mergeCell ref="M3666:M3667"/>
    <mergeCell ref="N3666:N3667"/>
    <mergeCell ref="O3666:O3667"/>
    <mergeCell ref="X3666:X3667"/>
    <mergeCell ref="Y3666:Y3667"/>
    <mergeCell ref="Z3666:Z3667"/>
    <mergeCell ref="AA3666:AA3667"/>
    <mergeCell ref="AB3666:AB3667"/>
    <mergeCell ref="A3668:A3669"/>
    <mergeCell ref="E3668:E3669"/>
    <mergeCell ref="H3668:H3669"/>
    <mergeCell ref="I3668:I3669"/>
    <mergeCell ref="J3668:J3669"/>
    <mergeCell ref="K3668:K3669"/>
    <mergeCell ref="L3668:L3669"/>
    <mergeCell ref="M3668:M3669"/>
    <mergeCell ref="N3668:N3669"/>
    <mergeCell ref="O3668:O3669"/>
    <mergeCell ref="X3668:X3669"/>
    <mergeCell ref="Y3668:Y3669"/>
    <mergeCell ref="Z3668:Z3669"/>
    <mergeCell ref="AA3668:AA3669"/>
    <mergeCell ref="AB3668:AB3669"/>
    <mergeCell ref="A3662:A3663"/>
    <mergeCell ref="E3662:E3663"/>
    <mergeCell ref="H3662:H3663"/>
    <mergeCell ref="I3662:I3663"/>
    <mergeCell ref="J3662:J3663"/>
    <mergeCell ref="K3662:K3663"/>
    <mergeCell ref="L3662:L3663"/>
    <mergeCell ref="M3662:M3663"/>
    <mergeCell ref="N3662:N3663"/>
    <mergeCell ref="O3662:O3663"/>
    <mergeCell ref="X3662:X3663"/>
    <mergeCell ref="Y3662:Y3663"/>
    <mergeCell ref="Z3662:Z3663"/>
    <mergeCell ref="AA3662:AA3663"/>
    <mergeCell ref="AB3662:AB3663"/>
    <mergeCell ref="A3664:A3665"/>
    <mergeCell ref="E3664:E3665"/>
    <mergeCell ref="H3664:H3665"/>
    <mergeCell ref="I3664:I3665"/>
    <mergeCell ref="J3664:J3665"/>
    <mergeCell ref="K3664:K3665"/>
    <mergeCell ref="L3664:L3665"/>
    <mergeCell ref="M3664:M3665"/>
    <mergeCell ref="N3664:N3665"/>
    <mergeCell ref="O3664:O3665"/>
    <mergeCell ref="X3664:X3665"/>
    <mergeCell ref="Y3664:Y3665"/>
    <mergeCell ref="Z3664:Z3665"/>
    <mergeCell ref="AA3664:AA3665"/>
    <mergeCell ref="AB3664:AB3665"/>
    <mergeCell ref="A3658:A3659"/>
    <mergeCell ref="E3658:E3659"/>
    <mergeCell ref="H3658:H3659"/>
    <mergeCell ref="I3658:I3659"/>
    <mergeCell ref="J3658:J3659"/>
    <mergeCell ref="K3658:K3659"/>
    <mergeCell ref="L3658:L3659"/>
    <mergeCell ref="M3658:M3659"/>
    <mergeCell ref="N3658:N3659"/>
    <mergeCell ref="O3658:O3659"/>
    <mergeCell ref="X3658:X3659"/>
    <mergeCell ref="Y3658:Y3659"/>
    <mergeCell ref="Z3658:Z3659"/>
    <mergeCell ref="AA3658:AA3659"/>
    <mergeCell ref="AB3658:AB3659"/>
    <mergeCell ref="A3660:A3661"/>
    <mergeCell ref="E3660:E3661"/>
    <mergeCell ref="H3660:H3661"/>
    <mergeCell ref="I3660:I3661"/>
    <mergeCell ref="J3660:J3661"/>
    <mergeCell ref="K3660:K3661"/>
    <mergeCell ref="L3660:L3661"/>
    <mergeCell ref="M3660:M3661"/>
    <mergeCell ref="N3660:N3661"/>
    <mergeCell ref="O3660:O3661"/>
    <mergeCell ref="X3660:X3661"/>
    <mergeCell ref="Y3660:Y3661"/>
    <mergeCell ref="Z3660:Z3661"/>
    <mergeCell ref="AA3660:AA3661"/>
    <mergeCell ref="AB3660:AB3661"/>
    <mergeCell ref="A3654:A3655"/>
    <mergeCell ref="E3654:E3655"/>
    <mergeCell ref="H3654:H3655"/>
    <mergeCell ref="I3654:I3655"/>
    <mergeCell ref="J3654:J3655"/>
    <mergeCell ref="K3654:K3655"/>
    <mergeCell ref="L3654:L3655"/>
    <mergeCell ref="M3654:M3655"/>
    <mergeCell ref="N3654:N3655"/>
    <mergeCell ref="O3654:O3655"/>
    <mergeCell ref="X3654:X3655"/>
    <mergeCell ref="Y3654:Y3655"/>
    <mergeCell ref="Z3654:Z3655"/>
    <mergeCell ref="AA3654:AA3655"/>
    <mergeCell ref="AB3654:AB3655"/>
    <mergeCell ref="A3656:A3657"/>
    <mergeCell ref="E3656:E3657"/>
    <mergeCell ref="H3656:H3657"/>
    <mergeCell ref="I3656:I3657"/>
    <mergeCell ref="J3656:J3657"/>
    <mergeCell ref="K3656:K3657"/>
    <mergeCell ref="L3656:L3657"/>
    <mergeCell ref="M3656:M3657"/>
    <mergeCell ref="N3656:N3657"/>
    <mergeCell ref="O3656:O3657"/>
    <mergeCell ref="X3656:X3657"/>
    <mergeCell ref="Y3656:Y3657"/>
    <mergeCell ref="Z3656:Z3657"/>
    <mergeCell ref="AA3656:AA3657"/>
    <mergeCell ref="AB3656:AB3657"/>
    <mergeCell ref="A3650:A3651"/>
    <mergeCell ref="E3650:E3651"/>
    <mergeCell ref="H3650:H3651"/>
    <mergeCell ref="I3650:I3651"/>
    <mergeCell ref="J3650:J3651"/>
    <mergeCell ref="K3650:K3651"/>
    <mergeCell ref="L3650:L3651"/>
    <mergeCell ref="M3650:M3651"/>
    <mergeCell ref="N3650:N3651"/>
    <mergeCell ref="O3650:O3651"/>
    <mergeCell ref="X3650:X3651"/>
    <mergeCell ref="Y3650:Y3651"/>
    <mergeCell ref="Z3650:Z3651"/>
    <mergeCell ref="AA3650:AA3651"/>
    <mergeCell ref="AB3650:AB3651"/>
    <mergeCell ref="A3652:A3653"/>
    <mergeCell ref="E3652:E3653"/>
    <mergeCell ref="H3652:H3653"/>
    <mergeCell ref="I3652:I3653"/>
    <mergeCell ref="J3652:J3653"/>
    <mergeCell ref="K3652:K3653"/>
    <mergeCell ref="L3652:L3653"/>
    <mergeCell ref="M3652:M3653"/>
    <mergeCell ref="N3652:N3653"/>
    <mergeCell ref="O3652:O3653"/>
    <mergeCell ref="X3652:X3653"/>
    <mergeCell ref="Y3652:Y3653"/>
    <mergeCell ref="Z3652:Z3653"/>
    <mergeCell ref="AA3652:AA3653"/>
    <mergeCell ref="AB3652:AB3653"/>
    <mergeCell ref="A3646:A3647"/>
    <mergeCell ref="E3646:E3647"/>
    <mergeCell ref="H3646:H3647"/>
    <mergeCell ref="I3646:I3647"/>
    <mergeCell ref="J3646:J3647"/>
    <mergeCell ref="K3646:K3647"/>
    <mergeCell ref="L3646:L3647"/>
    <mergeCell ref="M3646:M3647"/>
    <mergeCell ref="N3646:N3647"/>
    <mergeCell ref="O3646:O3647"/>
    <mergeCell ref="X3646:X3647"/>
    <mergeCell ref="Y3646:Y3647"/>
    <mergeCell ref="Z3646:Z3647"/>
    <mergeCell ref="AA3646:AA3647"/>
    <mergeCell ref="AB3646:AB3647"/>
    <mergeCell ref="A3648:A3649"/>
    <mergeCell ref="E3648:E3649"/>
    <mergeCell ref="H3648:H3649"/>
    <mergeCell ref="I3648:I3649"/>
    <mergeCell ref="J3648:J3649"/>
    <mergeCell ref="K3648:K3649"/>
    <mergeCell ref="L3648:L3649"/>
    <mergeCell ref="M3648:M3649"/>
    <mergeCell ref="N3648:N3649"/>
    <mergeCell ref="O3648:O3649"/>
    <mergeCell ref="X3648:X3649"/>
    <mergeCell ref="Y3648:Y3649"/>
    <mergeCell ref="Z3648:Z3649"/>
    <mergeCell ref="AA3648:AA3649"/>
    <mergeCell ref="AB3648:AB3649"/>
    <mergeCell ref="A3642:A3643"/>
    <mergeCell ref="E3642:E3643"/>
    <mergeCell ref="H3642:H3643"/>
    <mergeCell ref="I3642:I3643"/>
    <mergeCell ref="J3642:J3643"/>
    <mergeCell ref="K3642:K3643"/>
    <mergeCell ref="L3642:L3643"/>
    <mergeCell ref="M3642:M3643"/>
    <mergeCell ref="N3642:N3643"/>
    <mergeCell ref="O3642:O3643"/>
    <mergeCell ref="X3642:X3643"/>
    <mergeCell ref="Y3642:Y3643"/>
    <mergeCell ref="Z3642:Z3643"/>
    <mergeCell ref="AA3642:AA3643"/>
    <mergeCell ref="AB3642:AB3643"/>
    <mergeCell ref="A3644:A3645"/>
    <mergeCell ref="E3644:E3645"/>
    <mergeCell ref="H3644:H3645"/>
    <mergeCell ref="I3644:I3645"/>
    <mergeCell ref="J3644:J3645"/>
    <mergeCell ref="K3644:K3645"/>
    <mergeCell ref="L3644:L3645"/>
    <mergeCell ref="M3644:M3645"/>
    <mergeCell ref="N3644:N3645"/>
    <mergeCell ref="O3644:O3645"/>
    <mergeCell ref="X3644:X3645"/>
    <mergeCell ref="Y3644:Y3645"/>
    <mergeCell ref="Z3644:Z3645"/>
    <mergeCell ref="AA3644:AA3645"/>
    <mergeCell ref="AB3644:AB3645"/>
    <mergeCell ref="A3638:A3639"/>
    <mergeCell ref="E3638:E3639"/>
    <mergeCell ref="H3638:H3639"/>
    <mergeCell ref="I3638:I3639"/>
    <mergeCell ref="J3638:J3639"/>
    <mergeCell ref="K3638:K3639"/>
    <mergeCell ref="L3638:L3639"/>
    <mergeCell ref="M3638:M3639"/>
    <mergeCell ref="N3638:N3639"/>
    <mergeCell ref="O3638:O3639"/>
    <mergeCell ref="X3638:X3639"/>
    <mergeCell ref="Y3638:Y3639"/>
    <mergeCell ref="Z3638:Z3639"/>
    <mergeCell ref="AA3638:AA3639"/>
    <mergeCell ref="AB3638:AB3639"/>
    <mergeCell ref="A3640:A3641"/>
    <mergeCell ref="E3640:E3641"/>
    <mergeCell ref="H3640:H3641"/>
    <mergeCell ref="I3640:I3641"/>
    <mergeCell ref="J3640:J3641"/>
    <mergeCell ref="K3640:K3641"/>
    <mergeCell ref="L3640:L3641"/>
    <mergeCell ref="M3640:M3641"/>
    <mergeCell ref="N3640:N3641"/>
    <mergeCell ref="O3640:O3641"/>
    <mergeCell ref="X3640:X3641"/>
    <mergeCell ref="Y3640:Y3641"/>
    <mergeCell ref="Z3640:Z3641"/>
    <mergeCell ref="AA3640:AA3641"/>
    <mergeCell ref="AB3640:AB3641"/>
    <mergeCell ref="A3634:A3635"/>
    <mergeCell ref="E3634:E3635"/>
    <mergeCell ref="H3634:H3635"/>
    <mergeCell ref="I3634:I3635"/>
    <mergeCell ref="J3634:J3635"/>
    <mergeCell ref="K3634:K3635"/>
    <mergeCell ref="L3634:L3635"/>
    <mergeCell ref="M3634:M3635"/>
    <mergeCell ref="N3634:N3635"/>
    <mergeCell ref="O3634:O3635"/>
    <mergeCell ref="X3634:X3635"/>
    <mergeCell ref="Y3634:Y3635"/>
    <mergeCell ref="Z3634:Z3635"/>
    <mergeCell ref="AA3634:AA3635"/>
    <mergeCell ref="AB3634:AB3635"/>
    <mergeCell ref="A3636:A3637"/>
    <mergeCell ref="E3636:E3637"/>
    <mergeCell ref="H3636:H3637"/>
    <mergeCell ref="I3636:I3637"/>
    <mergeCell ref="J3636:J3637"/>
    <mergeCell ref="K3636:K3637"/>
    <mergeCell ref="L3636:L3637"/>
    <mergeCell ref="M3636:M3637"/>
    <mergeCell ref="N3636:N3637"/>
    <mergeCell ref="O3636:O3637"/>
    <mergeCell ref="X3636:X3637"/>
    <mergeCell ref="Y3636:Y3637"/>
    <mergeCell ref="Z3636:Z3637"/>
    <mergeCell ref="AA3636:AA3637"/>
    <mergeCell ref="AB3636:AB3637"/>
    <mergeCell ref="A3630:A3631"/>
    <mergeCell ref="E3630:E3631"/>
    <mergeCell ref="H3630:H3631"/>
    <mergeCell ref="I3630:I3631"/>
    <mergeCell ref="J3630:J3631"/>
    <mergeCell ref="K3630:K3631"/>
    <mergeCell ref="L3630:L3631"/>
    <mergeCell ref="M3630:M3631"/>
    <mergeCell ref="N3630:N3631"/>
    <mergeCell ref="O3630:O3631"/>
    <mergeCell ref="X3630:X3631"/>
    <mergeCell ref="Y3630:Y3631"/>
    <mergeCell ref="Z3630:Z3631"/>
    <mergeCell ref="AA3630:AA3631"/>
    <mergeCell ref="AB3630:AB3631"/>
    <mergeCell ref="A3632:A3633"/>
    <mergeCell ref="E3632:E3633"/>
    <mergeCell ref="H3632:H3633"/>
    <mergeCell ref="I3632:I3633"/>
    <mergeCell ref="J3632:J3633"/>
    <mergeCell ref="K3632:K3633"/>
    <mergeCell ref="L3632:L3633"/>
    <mergeCell ref="M3632:M3633"/>
    <mergeCell ref="N3632:N3633"/>
    <mergeCell ref="O3632:O3633"/>
    <mergeCell ref="X3632:X3633"/>
    <mergeCell ref="Y3632:Y3633"/>
    <mergeCell ref="Z3632:Z3633"/>
    <mergeCell ref="AA3632:AA3633"/>
    <mergeCell ref="AB3632:AB3633"/>
    <mergeCell ref="A3626:A3627"/>
    <mergeCell ref="E3626:E3627"/>
    <mergeCell ref="H3626:H3627"/>
    <mergeCell ref="I3626:I3627"/>
    <mergeCell ref="J3626:J3627"/>
    <mergeCell ref="K3626:K3627"/>
    <mergeCell ref="L3626:L3627"/>
    <mergeCell ref="M3626:M3627"/>
    <mergeCell ref="N3626:N3627"/>
    <mergeCell ref="O3626:O3627"/>
    <mergeCell ref="X3626:X3627"/>
    <mergeCell ref="Y3626:Y3627"/>
    <mergeCell ref="Z3626:Z3627"/>
    <mergeCell ref="AA3626:AA3627"/>
    <mergeCell ref="AB3626:AB3627"/>
    <mergeCell ref="A3628:A3629"/>
    <mergeCell ref="E3628:E3629"/>
    <mergeCell ref="H3628:H3629"/>
    <mergeCell ref="I3628:I3629"/>
    <mergeCell ref="J3628:J3629"/>
    <mergeCell ref="K3628:K3629"/>
    <mergeCell ref="L3628:L3629"/>
    <mergeCell ref="M3628:M3629"/>
    <mergeCell ref="N3628:N3629"/>
    <mergeCell ref="O3628:O3629"/>
    <mergeCell ref="X3628:X3629"/>
    <mergeCell ref="Y3628:Y3629"/>
    <mergeCell ref="Z3628:Z3629"/>
    <mergeCell ref="AA3628:AA3629"/>
    <mergeCell ref="AB3628:AB3629"/>
    <mergeCell ref="A3622:A3623"/>
    <mergeCell ref="E3622:E3623"/>
    <mergeCell ref="H3622:H3623"/>
    <mergeCell ref="I3622:I3623"/>
    <mergeCell ref="J3622:J3623"/>
    <mergeCell ref="K3622:K3623"/>
    <mergeCell ref="L3622:L3623"/>
    <mergeCell ref="M3622:M3623"/>
    <mergeCell ref="N3622:N3623"/>
    <mergeCell ref="O3622:O3623"/>
    <mergeCell ref="X3622:X3623"/>
    <mergeCell ref="Y3622:Y3623"/>
    <mergeCell ref="Z3622:Z3623"/>
    <mergeCell ref="AA3622:AA3623"/>
    <mergeCell ref="AB3622:AB3623"/>
    <mergeCell ref="A3624:A3625"/>
    <mergeCell ref="E3624:E3625"/>
    <mergeCell ref="H3624:H3625"/>
    <mergeCell ref="I3624:I3625"/>
    <mergeCell ref="J3624:J3625"/>
    <mergeCell ref="K3624:K3625"/>
    <mergeCell ref="L3624:L3625"/>
    <mergeCell ref="M3624:M3625"/>
    <mergeCell ref="N3624:N3625"/>
    <mergeCell ref="O3624:O3625"/>
    <mergeCell ref="X3624:X3625"/>
    <mergeCell ref="Y3624:Y3625"/>
    <mergeCell ref="Z3624:Z3625"/>
    <mergeCell ref="AA3624:AA3625"/>
    <mergeCell ref="AB3624:AB3625"/>
    <mergeCell ref="A3618:A3619"/>
    <mergeCell ref="E3618:E3619"/>
    <mergeCell ref="H3618:H3619"/>
    <mergeCell ref="I3618:I3619"/>
    <mergeCell ref="J3618:J3619"/>
    <mergeCell ref="K3618:K3619"/>
    <mergeCell ref="L3618:L3619"/>
    <mergeCell ref="M3618:M3619"/>
    <mergeCell ref="N3618:N3619"/>
    <mergeCell ref="O3618:O3619"/>
    <mergeCell ref="X3618:X3619"/>
    <mergeCell ref="Y3618:Y3619"/>
    <mergeCell ref="Z3618:Z3619"/>
    <mergeCell ref="AA3618:AA3619"/>
    <mergeCell ref="AB3618:AB3619"/>
    <mergeCell ref="A3620:A3621"/>
    <mergeCell ref="E3620:E3621"/>
    <mergeCell ref="H3620:H3621"/>
    <mergeCell ref="I3620:I3621"/>
    <mergeCell ref="J3620:J3621"/>
    <mergeCell ref="K3620:K3621"/>
    <mergeCell ref="L3620:L3621"/>
    <mergeCell ref="M3620:M3621"/>
    <mergeCell ref="N3620:N3621"/>
    <mergeCell ref="O3620:O3621"/>
    <mergeCell ref="X3620:X3621"/>
    <mergeCell ref="Y3620:Y3621"/>
    <mergeCell ref="Z3620:Z3621"/>
    <mergeCell ref="AA3620:AA3621"/>
    <mergeCell ref="AB3620:AB3621"/>
    <mergeCell ref="A3614:A3615"/>
    <mergeCell ref="E3614:E3615"/>
    <mergeCell ref="H3614:H3615"/>
    <mergeCell ref="I3614:I3615"/>
    <mergeCell ref="J3614:J3615"/>
    <mergeCell ref="K3614:K3615"/>
    <mergeCell ref="L3614:L3615"/>
    <mergeCell ref="M3614:M3615"/>
    <mergeCell ref="N3614:N3615"/>
    <mergeCell ref="O3614:O3615"/>
    <mergeCell ref="X3614:X3615"/>
    <mergeCell ref="Y3614:Y3615"/>
    <mergeCell ref="Z3614:Z3615"/>
    <mergeCell ref="AA3614:AA3615"/>
    <mergeCell ref="AB3614:AB3615"/>
    <mergeCell ref="A3616:A3617"/>
    <mergeCell ref="E3616:E3617"/>
    <mergeCell ref="H3616:H3617"/>
    <mergeCell ref="I3616:I3617"/>
    <mergeCell ref="J3616:J3617"/>
    <mergeCell ref="K3616:K3617"/>
    <mergeCell ref="L3616:L3617"/>
    <mergeCell ref="M3616:M3617"/>
    <mergeCell ref="N3616:N3617"/>
    <mergeCell ref="O3616:O3617"/>
    <mergeCell ref="X3616:X3617"/>
    <mergeCell ref="Y3616:Y3617"/>
    <mergeCell ref="Z3616:Z3617"/>
    <mergeCell ref="AA3616:AA3617"/>
    <mergeCell ref="AB3616:AB3617"/>
    <mergeCell ref="A3610:A3611"/>
    <mergeCell ref="E3610:E3611"/>
    <mergeCell ref="H3610:H3611"/>
    <mergeCell ref="I3610:I3611"/>
    <mergeCell ref="J3610:J3611"/>
    <mergeCell ref="K3610:K3611"/>
    <mergeCell ref="L3610:L3611"/>
    <mergeCell ref="M3610:M3611"/>
    <mergeCell ref="N3610:N3611"/>
    <mergeCell ref="O3610:O3611"/>
    <mergeCell ref="X3610:X3611"/>
    <mergeCell ref="Y3610:Y3611"/>
    <mergeCell ref="Z3610:Z3611"/>
    <mergeCell ref="AA3610:AA3611"/>
    <mergeCell ref="AB3610:AB3611"/>
    <mergeCell ref="A3612:A3613"/>
    <mergeCell ref="E3612:E3613"/>
    <mergeCell ref="H3612:H3613"/>
    <mergeCell ref="I3612:I3613"/>
    <mergeCell ref="J3612:J3613"/>
    <mergeCell ref="K3612:K3613"/>
    <mergeCell ref="L3612:L3613"/>
    <mergeCell ref="M3612:M3613"/>
    <mergeCell ref="N3612:N3613"/>
    <mergeCell ref="O3612:O3613"/>
    <mergeCell ref="X3612:X3613"/>
    <mergeCell ref="Y3612:Y3613"/>
    <mergeCell ref="Z3612:Z3613"/>
    <mergeCell ref="AA3612:AA3613"/>
    <mergeCell ref="AB3612:AB3613"/>
    <mergeCell ref="A3606:A3607"/>
    <mergeCell ref="E3606:E3607"/>
    <mergeCell ref="H3606:H3607"/>
    <mergeCell ref="I3606:I3607"/>
    <mergeCell ref="J3606:J3607"/>
    <mergeCell ref="K3606:K3607"/>
    <mergeCell ref="L3606:L3607"/>
    <mergeCell ref="M3606:M3607"/>
    <mergeCell ref="N3606:N3607"/>
    <mergeCell ref="O3606:O3607"/>
    <mergeCell ref="X3606:X3607"/>
    <mergeCell ref="Y3606:Y3607"/>
    <mergeCell ref="Z3606:Z3607"/>
    <mergeCell ref="AA3606:AA3607"/>
    <mergeCell ref="AB3606:AB3607"/>
    <mergeCell ref="A3608:A3609"/>
    <mergeCell ref="E3608:E3609"/>
    <mergeCell ref="H3608:H3609"/>
    <mergeCell ref="I3608:I3609"/>
    <mergeCell ref="J3608:J3609"/>
    <mergeCell ref="K3608:K3609"/>
    <mergeCell ref="L3608:L3609"/>
    <mergeCell ref="M3608:M3609"/>
    <mergeCell ref="N3608:N3609"/>
    <mergeCell ref="O3608:O3609"/>
    <mergeCell ref="X3608:X3609"/>
    <mergeCell ref="Y3608:Y3609"/>
    <mergeCell ref="Z3608:Z3609"/>
    <mergeCell ref="AA3608:AA3609"/>
    <mergeCell ref="AB3608:AB3609"/>
    <mergeCell ref="A3602:A3603"/>
    <mergeCell ref="E3602:E3603"/>
    <mergeCell ref="H3602:H3603"/>
    <mergeCell ref="I3602:I3603"/>
    <mergeCell ref="J3602:J3603"/>
    <mergeCell ref="K3602:K3603"/>
    <mergeCell ref="L3602:L3603"/>
    <mergeCell ref="M3602:M3603"/>
    <mergeCell ref="N3602:N3603"/>
    <mergeCell ref="O3602:O3603"/>
    <mergeCell ref="X3602:X3603"/>
    <mergeCell ref="Y3602:Y3603"/>
    <mergeCell ref="Z3602:Z3603"/>
    <mergeCell ref="AA3602:AA3603"/>
    <mergeCell ref="AB3602:AB3603"/>
    <mergeCell ref="A3604:A3605"/>
    <mergeCell ref="E3604:E3605"/>
    <mergeCell ref="H3604:H3605"/>
    <mergeCell ref="I3604:I3605"/>
    <mergeCell ref="J3604:J3605"/>
    <mergeCell ref="K3604:K3605"/>
    <mergeCell ref="L3604:L3605"/>
    <mergeCell ref="M3604:M3605"/>
    <mergeCell ref="N3604:N3605"/>
    <mergeCell ref="O3604:O3605"/>
    <mergeCell ref="X3604:X3605"/>
    <mergeCell ref="Y3604:Y3605"/>
    <mergeCell ref="Z3604:Z3605"/>
    <mergeCell ref="AA3604:AA3605"/>
    <mergeCell ref="AB3604:AB3605"/>
    <mergeCell ref="A3598:A3599"/>
    <mergeCell ref="E3598:E3599"/>
    <mergeCell ref="H3598:H3599"/>
    <mergeCell ref="I3598:I3599"/>
    <mergeCell ref="J3598:J3599"/>
    <mergeCell ref="K3598:K3599"/>
    <mergeCell ref="L3598:L3599"/>
    <mergeCell ref="M3598:M3599"/>
    <mergeCell ref="N3598:N3599"/>
    <mergeCell ref="O3598:O3599"/>
    <mergeCell ref="X3598:X3599"/>
    <mergeCell ref="Y3598:Y3599"/>
    <mergeCell ref="Z3598:Z3599"/>
    <mergeCell ref="AA3598:AA3599"/>
    <mergeCell ref="AB3598:AB3599"/>
    <mergeCell ref="A3600:A3601"/>
    <mergeCell ref="E3600:E3601"/>
    <mergeCell ref="H3600:H3601"/>
    <mergeCell ref="I3600:I3601"/>
    <mergeCell ref="J3600:J3601"/>
    <mergeCell ref="K3600:K3601"/>
    <mergeCell ref="L3600:L3601"/>
    <mergeCell ref="M3600:M3601"/>
    <mergeCell ref="N3600:N3601"/>
    <mergeCell ref="O3600:O3601"/>
    <mergeCell ref="X3600:X3601"/>
    <mergeCell ref="Y3600:Y3601"/>
    <mergeCell ref="Z3600:Z3601"/>
    <mergeCell ref="AA3600:AA3601"/>
    <mergeCell ref="AB3600:AB3601"/>
    <mergeCell ref="AB3596:AB3597"/>
    <mergeCell ref="A3596:A3597"/>
    <mergeCell ref="E3596:E3597"/>
    <mergeCell ref="H3596:H3597"/>
    <mergeCell ref="I3596:I3597"/>
    <mergeCell ref="J3596:J3597"/>
    <mergeCell ref="K3596:K3597"/>
    <mergeCell ref="L3596:L3597"/>
    <mergeCell ref="M3596:M3597"/>
    <mergeCell ref="N3596:N3597"/>
    <mergeCell ref="O3596:O3597"/>
    <mergeCell ref="X3596:X3597"/>
    <mergeCell ref="Y3596:Y3597"/>
    <mergeCell ref="Z3596:Z3597"/>
    <mergeCell ref="AA3596:AA3597"/>
    <mergeCell ref="H3584:H3585"/>
    <mergeCell ref="I3584:I3585"/>
    <mergeCell ref="J3584:J3585"/>
    <mergeCell ref="K3584:K3585"/>
    <mergeCell ref="L3584:L3585"/>
    <mergeCell ref="M3584:M3585"/>
    <mergeCell ref="N3584:N3585"/>
    <mergeCell ref="O3584:O3585"/>
    <mergeCell ref="A3578:A3579"/>
    <mergeCell ref="E3578:E3579"/>
    <mergeCell ref="H3578:H3579"/>
    <mergeCell ref="I3578:I3579"/>
    <mergeCell ref="J3578:J3579"/>
    <mergeCell ref="K3578:K3579"/>
    <mergeCell ref="L3578:L3579"/>
    <mergeCell ref="M3578:M3579"/>
    <mergeCell ref="N3578:N3579"/>
    <mergeCell ref="O3578:O3579"/>
    <mergeCell ref="A3576:A3577"/>
    <mergeCell ref="E3576:E3577"/>
    <mergeCell ref="H3576:H3577"/>
    <mergeCell ref="I3576:I3577"/>
    <mergeCell ref="J3576:J3577"/>
    <mergeCell ref="Z3570:Z3571"/>
    <mergeCell ref="AA3570:AA3571"/>
    <mergeCell ref="AB3570:AB3571"/>
    <mergeCell ref="A3572:A3573"/>
    <mergeCell ref="E3572:E3573"/>
    <mergeCell ref="H3572:H3573"/>
    <mergeCell ref="I3572:I3573"/>
    <mergeCell ref="J3572:J3573"/>
    <mergeCell ref="K3572:K3573"/>
    <mergeCell ref="L3572:L3573"/>
    <mergeCell ref="M3572:M3573"/>
    <mergeCell ref="N3572:N3573"/>
    <mergeCell ref="O3572:O3573"/>
    <mergeCell ref="X3572:X3573"/>
    <mergeCell ref="Y3572:Y3573"/>
    <mergeCell ref="Z3572:Z3573"/>
    <mergeCell ref="AA3572:AA3573"/>
    <mergeCell ref="AB3572:AB3573"/>
    <mergeCell ref="AB3594:AB3595"/>
    <mergeCell ref="L3588:L3589"/>
    <mergeCell ref="M3588:M3589"/>
    <mergeCell ref="N3588:N3589"/>
    <mergeCell ref="AB3574:AB3575"/>
    <mergeCell ref="K3576:K3577"/>
    <mergeCell ref="L3576:L3577"/>
    <mergeCell ref="M3576:M3577"/>
    <mergeCell ref="N3576:N3577"/>
    <mergeCell ref="O3576:O3577"/>
    <mergeCell ref="X3576:X3577"/>
    <mergeCell ref="Y3576:Y3577"/>
    <mergeCell ref="Z3576:Z3577"/>
    <mergeCell ref="AA3576:AA3577"/>
    <mergeCell ref="AB3576:AB3577"/>
    <mergeCell ref="L3570:L3571"/>
    <mergeCell ref="M3570:M3571"/>
    <mergeCell ref="N3570:N3571"/>
    <mergeCell ref="O3570:O3571"/>
    <mergeCell ref="X3570:X3571"/>
    <mergeCell ref="Y3570:Y3571"/>
    <mergeCell ref="K3522:K3523"/>
    <mergeCell ref="L3522:L3523"/>
    <mergeCell ref="M3522:M3523"/>
    <mergeCell ref="N3522:N3523"/>
    <mergeCell ref="X3590:X3591"/>
    <mergeCell ref="Y3590:Y3591"/>
    <mergeCell ref="Z3590:Z3591"/>
    <mergeCell ref="AA3590:AA3591"/>
    <mergeCell ref="AB3590:AB3591"/>
    <mergeCell ref="M3524:M3525"/>
    <mergeCell ref="N3524:N3525"/>
    <mergeCell ref="O3524:O3525"/>
    <mergeCell ref="X3524:X3525"/>
    <mergeCell ref="Y3524:Y3525"/>
    <mergeCell ref="Z3524:Z3525"/>
    <mergeCell ref="AA3524:AA3525"/>
    <mergeCell ref="X3530:X3531"/>
    <mergeCell ref="Y3530:Y3531"/>
    <mergeCell ref="Z3530:Z3531"/>
    <mergeCell ref="AA3530:AA3531"/>
    <mergeCell ref="AB3530:AB3531"/>
    <mergeCell ref="O3522:O3523"/>
    <mergeCell ref="X3522:X3523"/>
    <mergeCell ref="Y3522:Y3523"/>
    <mergeCell ref="Z3522:Z3523"/>
    <mergeCell ref="AA3522:AA3523"/>
    <mergeCell ref="AB3522:AB3523"/>
    <mergeCell ref="A3594:A3595"/>
    <mergeCell ref="E3594:E3595"/>
    <mergeCell ref="H3594:H3595"/>
    <mergeCell ref="I3594:I3595"/>
    <mergeCell ref="J3594:J3595"/>
    <mergeCell ref="K3594:K3595"/>
    <mergeCell ref="L3594:L3595"/>
    <mergeCell ref="M3594:M3595"/>
    <mergeCell ref="N3594:N3595"/>
    <mergeCell ref="O3594:O3595"/>
    <mergeCell ref="X3594:X3595"/>
    <mergeCell ref="Y3594:Y3595"/>
    <mergeCell ref="Z3594:Z3595"/>
    <mergeCell ref="AA3594:AA3595"/>
    <mergeCell ref="A3574:A3575"/>
    <mergeCell ref="E3574:E3575"/>
    <mergeCell ref="H3574:H3575"/>
    <mergeCell ref="I3574:I3575"/>
    <mergeCell ref="J3574:J3575"/>
    <mergeCell ref="K3574:K3575"/>
    <mergeCell ref="L3574:L3575"/>
    <mergeCell ref="M3574:M3575"/>
    <mergeCell ref="N3574:N3575"/>
    <mergeCell ref="O3574:O3575"/>
    <mergeCell ref="X3574:X3575"/>
    <mergeCell ref="Y3574:Y3575"/>
    <mergeCell ref="Z3574:Z3575"/>
    <mergeCell ref="AA3574:AA3575"/>
    <mergeCell ref="A3570:A3571"/>
    <mergeCell ref="E3570:E3571"/>
    <mergeCell ref="H3570:H3571"/>
    <mergeCell ref="I3570:I3571"/>
    <mergeCell ref="J3570:J3571"/>
    <mergeCell ref="K3570:K3571"/>
    <mergeCell ref="A3582:A3583"/>
    <mergeCell ref="E3582:E3583"/>
    <mergeCell ref="H3582:H3583"/>
    <mergeCell ref="I3582:I3583"/>
    <mergeCell ref="J3582:J3583"/>
    <mergeCell ref="K3582:K3583"/>
    <mergeCell ref="L3582:L3583"/>
    <mergeCell ref="M3582:M3583"/>
    <mergeCell ref="N3582:N3583"/>
    <mergeCell ref="O3582:O3583"/>
    <mergeCell ref="X3582:X3583"/>
    <mergeCell ref="Y3582:Y3583"/>
    <mergeCell ref="Z3582:Z3583"/>
    <mergeCell ref="X3584:X3585"/>
    <mergeCell ref="Y3584:Y3585"/>
    <mergeCell ref="Z3584:Z3585"/>
    <mergeCell ref="A3586:A3587"/>
    <mergeCell ref="E3586:E3587"/>
    <mergeCell ref="H3586:H3587"/>
    <mergeCell ref="I3586:I3587"/>
    <mergeCell ref="J3586:J3587"/>
    <mergeCell ref="A3588:A3589"/>
    <mergeCell ref="E3588:E3589"/>
    <mergeCell ref="H3588:H3589"/>
    <mergeCell ref="I3588:I3589"/>
    <mergeCell ref="J3588:J3589"/>
    <mergeCell ref="K3588:K3589"/>
    <mergeCell ref="O3588:O3589"/>
    <mergeCell ref="X3588:X3589"/>
    <mergeCell ref="Y3588:Y3589"/>
    <mergeCell ref="A3592:A3593"/>
    <mergeCell ref="E3592:E3593"/>
    <mergeCell ref="H3592:H3593"/>
    <mergeCell ref="I3592:I3593"/>
    <mergeCell ref="J3592:J3593"/>
    <mergeCell ref="K3592:K3593"/>
    <mergeCell ref="L3592:L3593"/>
    <mergeCell ref="M3592:M3593"/>
    <mergeCell ref="AA3592:AA3593"/>
    <mergeCell ref="AB3592:AB3593"/>
    <mergeCell ref="O3590:O3591"/>
    <mergeCell ref="A3590:A3591"/>
    <mergeCell ref="E3590:E3591"/>
    <mergeCell ref="H3590:H3591"/>
    <mergeCell ref="I3590:I3591"/>
    <mergeCell ref="J3590:J3591"/>
    <mergeCell ref="K3590:K3591"/>
    <mergeCell ref="L3590:L3591"/>
    <mergeCell ref="M3590:M3591"/>
    <mergeCell ref="N3590:N3591"/>
    <mergeCell ref="Y3578:Y3579"/>
    <mergeCell ref="Z3578:Z3579"/>
    <mergeCell ref="AA3578:AA3579"/>
    <mergeCell ref="AB3578:AB3579"/>
    <mergeCell ref="A3580:A3581"/>
    <mergeCell ref="E3580:E3581"/>
    <mergeCell ref="H3580:H3581"/>
    <mergeCell ref="I3580:I3581"/>
    <mergeCell ref="J3580:J3581"/>
    <mergeCell ref="K3580:K3581"/>
    <mergeCell ref="L3580:L3581"/>
    <mergeCell ref="M3580:M3581"/>
    <mergeCell ref="N3580:N3581"/>
    <mergeCell ref="O3580:O3581"/>
    <mergeCell ref="X3580:X3581"/>
    <mergeCell ref="Y3580:Y3581"/>
    <mergeCell ref="Z3580:Z3581"/>
    <mergeCell ref="AA3580:AA3581"/>
    <mergeCell ref="AB3580:AB3581"/>
    <mergeCell ref="Y3586:Y3587"/>
    <mergeCell ref="Z3586:Z3587"/>
    <mergeCell ref="Z3588:Z3589"/>
    <mergeCell ref="AA3588:AA3589"/>
    <mergeCell ref="AB3588:AB3589"/>
    <mergeCell ref="AA3582:AA3583"/>
    <mergeCell ref="AB3582:AB3583"/>
    <mergeCell ref="AA3584:AA3585"/>
    <mergeCell ref="AB3584:AB3585"/>
    <mergeCell ref="N3592:N3593"/>
    <mergeCell ref="O3592:O3593"/>
    <mergeCell ref="X3592:X3593"/>
    <mergeCell ref="Y3592:Y3593"/>
    <mergeCell ref="Z3592:Z3593"/>
    <mergeCell ref="AA3586:AA3587"/>
    <mergeCell ref="AB3586:AB3587"/>
    <mergeCell ref="X3578:X3579"/>
    <mergeCell ref="K3586:K3587"/>
    <mergeCell ref="L3586:L3587"/>
    <mergeCell ref="M3586:M3587"/>
    <mergeCell ref="N3586:N3587"/>
    <mergeCell ref="O3586:O3587"/>
    <mergeCell ref="X3586:X3587"/>
    <mergeCell ref="A3584:A3585"/>
    <mergeCell ref="E3584:E3585"/>
    <mergeCell ref="J3564:J3565"/>
    <mergeCell ref="K3564:K3565"/>
    <mergeCell ref="L3564:L3565"/>
    <mergeCell ref="M3564:M3565"/>
    <mergeCell ref="N3564:N3565"/>
    <mergeCell ref="O3564:O3565"/>
    <mergeCell ref="X3564:X3565"/>
    <mergeCell ref="Y3564:Y3565"/>
    <mergeCell ref="Z3564:Z3565"/>
    <mergeCell ref="AA3564:AA3565"/>
    <mergeCell ref="AB3564:AB3565"/>
    <mergeCell ref="A3568:A3569"/>
    <mergeCell ref="E3568:E3569"/>
    <mergeCell ref="H3568:H3569"/>
    <mergeCell ref="I3568:I3569"/>
    <mergeCell ref="J3568:J3569"/>
    <mergeCell ref="K3568:K3569"/>
    <mergeCell ref="L3568:L3569"/>
    <mergeCell ref="M3568:M3569"/>
    <mergeCell ref="N3568:N3569"/>
    <mergeCell ref="O3568:O3569"/>
    <mergeCell ref="X3568:X3569"/>
    <mergeCell ref="Y3568:Y3569"/>
    <mergeCell ref="Z3568:Z3569"/>
    <mergeCell ref="AA3568:AA3569"/>
    <mergeCell ref="AB3568:AB3569"/>
    <mergeCell ref="A3566:A3567"/>
    <mergeCell ref="E3566:E3567"/>
    <mergeCell ref="H3566:H3567"/>
    <mergeCell ref="I3566:I3567"/>
    <mergeCell ref="J3566:J3567"/>
    <mergeCell ref="K3566:K3567"/>
    <mergeCell ref="L3566:L3567"/>
    <mergeCell ref="M3566:M3567"/>
    <mergeCell ref="N3566:N3567"/>
    <mergeCell ref="A3564:A3565"/>
    <mergeCell ref="E3564:E3565"/>
    <mergeCell ref="H3564:H3565"/>
    <mergeCell ref="I3564:I3565"/>
    <mergeCell ref="O3566:O3567"/>
    <mergeCell ref="X3566:X3567"/>
    <mergeCell ref="Y3566:Y3567"/>
    <mergeCell ref="Z3566:Z3567"/>
    <mergeCell ref="AA3566:AA3567"/>
    <mergeCell ref="AB3566:AB3567"/>
    <mergeCell ref="A3560:A3561"/>
    <mergeCell ref="E3560:E3561"/>
    <mergeCell ref="H3560:H3561"/>
    <mergeCell ref="I3560:I3561"/>
    <mergeCell ref="J3560:J3561"/>
    <mergeCell ref="K3560:K3561"/>
    <mergeCell ref="L3560:L3561"/>
    <mergeCell ref="M3560:M3561"/>
    <mergeCell ref="N3560:N3561"/>
    <mergeCell ref="O3560:O3561"/>
    <mergeCell ref="X3560:X3561"/>
    <mergeCell ref="Y3560:Y3561"/>
    <mergeCell ref="Z3560:Z3561"/>
    <mergeCell ref="AA3560:AA3561"/>
    <mergeCell ref="AB3560:AB3561"/>
    <mergeCell ref="A3562:A3563"/>
    <mergeCell ref="E3562:E3563"/>
    <mergeCell ref="H3562:H3563"/>
    <mergeCell ref="I3562:I3563"/>
    <mergeCell ref="J3562:J3563"/>
    <mergeCell ref="K3562:K3563"/>
    <mergeCell ref="L3562:L3563"/>
    <mergeCell ref="M3562:M3563"/>
    <mergeCell ref="N3562:N3563"/>
    <mergeCell ref="O3562:O3563"/>
    <mergeCell ref="X3562:X3563"/>
    <mergeCell ref="Y3562:Y3563"/>
    <mergeCell ref="Z3562:Z3563"/>
    <mergeCell ref="AA3562:AA3563"/>
    <mergeCell ref="AB3562:AB3563"/>
    <mergeCell ref="A3556:A3557"/>
    <mergeCell ref="E3556:E3557"/>
    <mergeCell ref="H3556:H3557"/>
    <mergeCell ref="I3556:I3557"/>
    <mergeCell ref="J3556:J3557"/>
    <mergeCell ref="K3556:K3557"/>
    <mergeCell ref="L3556:L3557"/>
    <mergeCell ref="M3556:M3557"/>
    <mergeCell ref="N3556:N3557"/>
    <mergeCell ref="O3556:O3557"/>
    <mergeCell ref="X3556:X3557"/>
    <mergeCell ref="Y3556:Y3557"/>
    <mergeCell ref="Z3556:Z3557"/>
    <mergeCell ref="AA3556:AA3557"/>
    <mergeCell ref="AB3556:AB3557"/>
    <mergeCell ref="A3558:A3559"/>
    <mergeCell ref="E3558:E3559"/>
    <mergeCell ref="H3558:H3559"/>
    <mergeCell ref="I3558:I3559"/>
    <mergeCell ref="J3558:J3559"/>
    <mergeCell ref="K3558:K3559"/>
    <mergeCell ref="L3558:L3559"/>
    <mergeCell ref="M3558:M3559"/>
    <mergeCell ref="N3558:N3559"/>
    <mergeCell ref="O3558:O3559"/>
    <mergeCell ref="X3558:X3559"/>
    <mergeCell ref="Y3558:Y3559"/>
    <mergeCell ref="Z3558:Z3559"/>
    <mergeCell ref="AA3558:AA3559"/>
    <mergeCell ref="AB3558:AB3559"/>
    <mergeCell ref="A3552:A3553"/>
    <mergeCell ref="E3552:E3553"/>
    <mergeCell ref="H3552:H3553"/>
    <mergeCell ref="I3552:I3553"/>
    <mergeCell ref="J3552:J3553"/>
    <mergeCell ref="K3552:K3553"/>
    <mergeCell ref="L3552:L3553"/>
    <mergeCell ref="M3552:M3553"/>
    <mergeCell ref="N3552:N3553"/>
    <mergeCell ref="O3552:O3553"/>
    <mergeCell ref="X3552:X3553"/>
    <mergeCell ref="Y3552:Y3553"/>
    <mergeCell ref="Z3552:Z3553"/>
    <mergeCell ref="AA3552:AA3553"/>
    <mergeCell ref="AB3552:AB3553"/>
    <mergeCell ref="A3554:A3555"/>
    <mergeCell ref="E3554:E3555"/>
    <mergeCell ref="H3554:H3555"/>
    <mergeCell ref="I3554:I3555"/>
    <mergeCell ref="J3554:J3555"/>
    <mergeCell ref="K3554:K3555"/>
    <mergeCell ref="L3554:L3555"/>
    <mergeCell ref="M3554:M3555"/>
    <mergeCell ref="N3554:N3555"/>
    <mergeCell ref="O3554:O3555"/>
    <mergeCell ref="X3554:X3555"/>
    <mergeCell ref="Y3554:Y3555"/>
    <mergeCell ref="Z3554:Z3555"/>
    <mergeCell ref="AA3554:AA3555"/>
    <mergeCell ref="AB3554:AB3555"/>
    <mergeCell ref="A3548:A3549"/>
    <mergeCell ref="E3548:E3549"/>
    <mergeCell ref="H3548:H3549"/>
    <mergeCell ref="I3548:I3549"/>
    <mergeCell ref="J3548:J3549"/>
    <mergeCell ref="K3548:K3549"/>
    <mergeCell ref="L3548:L3549"/>
    <mergeCell ref="M3548:M3549"/>
    <mergeCell ref="N3548:N3549"/>
    <mergeCell ref="O3548:O3549"/>
    <mergeCell ref="X3548:X3549"/>
    <mergeCell ref="Y3548:Y3549"/>
    <mergeCell ref="Z3548:Z3549"/>
    <mergeCell ref="AA3548:AA3549"/>
    <mergeCell ref="AB3548:AB3549"/>
    <mergeCell ref="A3550:A3551"/>
    <mergeCell ref="E3550:E3551"/>
    <mergeCell ref="H3550:H3551"/>
    <mergeCell ref="I3550:I3551"/>
    <mergeCell ref="J3550:J3551"/>
    <mergeCell ref="K3550:K3551"/>
    <mergeCell ref="L3550:L3551"/>
    <mergeCell ref="M3550:M3551"/>
    <mergeCell ref="N3550:N3551"/>
    <mergeCell ref="O3550:O3551"/>
    <mergeCell ref="X3550:X3551"/>
    <mergeCell ref="Y3550:Y3551"/>
    <mergeCell ref="Z3550:Z3551"/>
    <mergeCell ref="AA3550:AA3551"/>
    <mergeCell ref="AB3550:AB3551"/>
    <mergeCell ref="A3544:A3545"/>
    <mergeCell ref="E3544:E3545"/>
    <mergeCell ref="H3544:H3545"/>
    <mergeCell ref="I3544:I3545"/>
    <mergeCell ref="J3544:J3545"/>
    <mergeCell ref="K3544:K3545"/>
    <mergeCell ref="L3544:L3545"/>
    <mergeCell ref="M3544:M3545"/>
    <mergeCell ref="N3544:N3545"/>
    <mergeCell ref="O3544:O3545"/>
    <mergeCell ref="X3544:X3545"/>
    <mergeCell ref="Y3544:Y3545"/>
    <mergeCell ref="Z3544:Z3545"/>
    <mergeCell ref="AA3544:AA3545"/>
    <mergeCell ref="AB3544:AB3545"/>
    <mergeCell ref="A3546:A3547"/>
    <mergeCell ref="E3546:E3547"/>
    <mergeCell ref="H3546:H3547"/>
    <mergeCell ref="I3546:I3547"/>
    <mergeCell ref="J3546:J3547"/>
    <mergeCell ref="K3546:K3547"/>
    <mergeCell ref="L3546:L3547"/>
    <mergeCell ref="M3546:M3547"/>
    <mergeCell ref="N3546:N3547"/>
    <mergeCell ref="O3546:O3547"/>
    <mergeCell ref="X3546:X3547"/>
    <mergeCell ref="Y3546:Y3547"/>
    <mergeCell ref="Z3546:Z3547"/>
    <mergeCell ref="AA3546:AA3547"/>
    <mergeCell ref="AB3546:AB3547"/>
    <mergeCell ref="A3542:A3543"/>
    <mergeCell ref="E3542:E3543"/>
    <mergeCell ref="H3542:H3543"/>
    <mergeCell ref="I3542:I3543"/>
    <mergeCell ref="J3542:J3543"/>
    <mergeCell ref="K3542:K3543"/>
    <mergeCell ref="L3542:L3543"/>
    <mergeCell ref="M3542:M3543"/>
    <mergeCell ref="N3542:N3543"/>
    <mergeCell ref="O3542:O3543"/>
    <mergeCell ref="X3542:X3543"/>
    <mergeCell ref="Y3542:Y3543"/>
    <mergeCell ref="Z3542:Z3543"/>
    <mergeCell ref="AA3542:AA3543"/>
    <mergeCell ref="AB3542:AB3543"/>
    <mergeCell ref="O3506:O3507"/>
    <mergeCell ref="X3506:X3507"/>
    <mergeCell ref="Y3506:Y3507"/>
    <mergeCell ref="Z3506:Z3507"/>
    <mergeCell ref="AA3506:AA3507"/>
    <mergeCell ref="AB3506:AB3507"/>
    <mergeCell ref="A3520:A3521"/>
    <mergeCell ref="E3520:E3521"/>
    <mergeCell ref="H3520:H3521"/>
    <mergeCell ref="I3520:I3521"/>
    <mergeCell ref="J3520:J3521"/>
    <mergeCell ref="K3520:K3521"/>
    <mergeCell ref="L3520:L3521"/>
    <mergeCell ref="M3520:M3521"/>
    <mergeCell ref="N3520:N3521"/>
    <mergeCell ref="O3520:O3521"/>
    <mergeCell ref="A3488:A3489"/>
    <mergeCell ref="E3488:E3489"/>
    <mergeCell ref="H3488:H3489"/>
    <mergeCell ref="I3488:I3489"/>
    <mergeCell ref="J3488:J3489"/>
    <mergeCell ref="K3488:K3489"/>
    <mergeCell ref="L3488:L3489"/>
    <mergeCell ref="M3488:M3489"/>
    <mergeCell ref="N3488:N3489"/>
    <mergeCell ref="O3488:O3489"/>
    <mergeCell ref="X3488:X3489"/>
    <mergeCell ref="Y3488:Y3489"/>
    <mergeCell ref="Z3488:Z3489"/>
    <mergeCell ref="AA3488:AA3489"/>
    <mergeCell ref="AB3488:AB3489"/>
    <mergeCell ref="A3496:A3497"/>
    <mergeCell ref="E3496:E3497"/>
    <mergeCell ref="H3496:H3497"/>
    <mergeCell ref="I3496:I3497"/>
    <mergeCell ref="J3496:J3497"/>
    <mergeCell ref="K3496:K3497"/>
    <mergeCell ref="L3496:L3497"/>
    <mergeCell ref="M3496:M3497"/>
    <mergeCell ref="N3496:N3497"/>
    <mergeCell ref="O3492:O3493"/>
    <mergeCell ref="X3492:X3493"/>
    <mergeCell ref="Y3492:Y3493"/>
    <mergeCell ref="Z3492:Z3493"/>
    <mergeCell ref="AA3492:AA3493"/>
    <mergeCell ref="A3504:A3505"/>
    <mergeCell ref="E3504:E3505"/>
    <mergeCell ref="H3504:H3505"/>
    <mergeCell ref="I3504:I3505"/>
    <mergeCell ref="J3504:J3505"/>
    <mergeCell ref="K3504:K3505"/>
    <mergeCell ref="L3504:L3505"/>
    <mergeCell ref="M3504:M3505"/>
    <mergeCell ref="N3504:N3505"/>
    <mergeCell ref="O3504:O3505"/>
    <mergeCell ref="AA3504:AA3505"/>
    <mergeCell ref="AB3504:AB3505"/>
    <mergeCell ref="O3496:O3497"/>
    <mergeCell ref="AB3520:AB3521"/>
    <mergeCell ref="AA3496:AA3497"/>
    <mergeCell ref="A3498:A3499"/>
    <mergeCell ref="E3498:E3499"/>
    <mergeCell ref="H3498:H3499"/>
    <mergeCell ref="I3498:I3499"/>
    <mergeCell ref="J3498:J3499"/>
    <mergeCell ref="K3498:K3499"/>
    <mergeCell ref="L3498:L3499"/>
    <mergeCell ref="M3498:M3499"/>
    <mergeCell ref="N3498:N3499"/>
    <mergeCell ref="O3498:O3499"/>
    <mergeCell ref="X3498:X3499"/>
    <mergeCell ref="Y3498:Y3499"/>
    <mergeCell ref="Z3498:Z3499"/>
    <mergeCell ref="AA3498:AA3499"/>
    <mergeCell ref="AB3498:AB3499"/>
    <mergeCell ref="AB3496:AB3497"/>
    <mergeCell ref="A3500:A3501"/>
    <mergeCell ref="E3500:E3501"/>
    <mergeCell ref="H3500:H3501"/>
    <mergeCell ref="I3500:I3501"/>
    <mergeCell ref="J3500:J3501"/>
    <mergeCell ref="AB3434:AB3435"/>
    <mergeCell ref="AB3492:AB3493"/>
    <mergeCell ref="A3486:A3487"/>
    <mergeCell ref="E3486:E3487"/>
    <mergeCell ref="H3486:H3487"/>
    <mergeCell ref="I3486:I3487"/>
    <mergeCell ref="J3486:J3487"/>
    <mergeCell ref="K3486:K3487"/>
    <mergeCell ref="L3486:L3487"/>
    <mergeCell ref="M3486:M3487"/>
    <mergeCell ref="N3486:N3487"/>
    <mergeCell ref="O3486:O3487"/>
    <mergeCell ref="X3486:X3487"/>
    <mergeCell ref="Y3486:Y3487"/>
    <mergeCell ref="Z3486:Z3487"/>
    <mergeCell ref="AA3486:AA3487"/>
    <mergeCell ref="AB3486:AB3487"/>
    <mergeCell ref="A3490:A3491"/>
    <mergeCell ref="E3490:E3491"/>
    <mergeCell ref="H3490:H3491"/>
    <mergeCell ref="I3490:I3491"/>
    <mergeCell ref="J3490:J3491"/>
    <mergeCell ref="K3490:K3491"/>
    <mergeCell ref="L3490:L3491"/>
    <mergeCell ref="M3490:M3491"/>
    <mergeCell ref="N3490:N3491"/>
    <mergeCell ref="O3490:O3491"/>
    <mergeCell ref="X3490:X3491"/>
    <mergeCell ref="Y3490:Y3491"/>
    <mergeCell ref="Z3490:Z3491"/>
    <mergeCell ref="AA3490:AA3491"/>
    <mergeCell ref="AB3490:AB3491"/>
    <mergeCell ref="A3464:A3465"/>
    <mergeCell ref="E3464:E3465"/>
    <mergeCell ref="H3464:H3465"/>
    <mergeCell ref="I3464:I3465"/>
    <mergeCell ref="AB3456:AB3457"/>
    <mergeCell ref="A3454:A3455"/>
    <mergeCell ref="E3454:E3455"/>
    <mergeCell ref="H3454:H3455"/>
    <mergeCell ref="I3454:I3455"/>
    <mergeCell ref="J3454:J3455"/>
    <mergeCell ref="K3454:K3455"/>
    <mergeCell ref="L3454:L3455"/>
    <mergeCell ref="M3454:M3455"/>
    <mergeCell ref="N3454:N3455"/>
    <mergeCell ref="O3454:O3455"/>
    <mergeCell ref="A3394:A3395"/>
    <mergeCell ref="E3394:E3395"/>
    <mergeCell ref="H3394:H3395"/>
    <mergeCell ref="I3394:I3395"/>
    <mergeCell ref="J3394:J3395"/>
    <mergeCell ref="K3394:K3395"/>
    <mergeCell ref="L3394:L3395"/>
    <mergeCell ref="M3394:M3395"/>
    <mergeCell ref="N3394:N3395"/>
    <mergeCell ref="O3394:O3395"/>
    <mergeCell ref="X3394:X3395"/>
    <mergeCell ref="Y3394:Y3395"/>
    <mergeCell ref="Z3394:Z3395"/>
    <mergeCell ref="AA3394:AA3395"/>
    <mergeCell ref="AB3394:AB3395"/>
    <mergeCell ref="A3396:A3397"/>
    <mergeCell ref="E3396:E3397"/>
    <mergeCell ref="H3396:H3397"/>
    <mergeCell ref="I3396:I3397"/>
    <mergeCell ref="J3396:J3397"/>
    <mergeCell ref="K3396:K3397"/>
    <mergeCell ref="L3396:L3397"/>
    <mergeCell ref="M3396:M3397"/>
    <mergeCell ref="N3396:N3397"/>
    <mergeCell ref="O3396:O3397"/>
    <mergeCell ref="X3396:X3397"/>
    <mergeCell ref="Y3396:Y3397"/>
    <mergeCell ref="Z3396:Z3397"/>
    <mergeCell ref="AA3396:AA3397"/>
    <mergeCell ref="AB3396:AB3397"/>
    <mergeCell ref="A3462:A3463"/>
    <mergeCell ref="E3462:E3463"/>
    <mergeCell ref="H3462:H3463"/>
    <mergeCell ref="I3462:I3463"/>
    <mergeCell ref="J3462:J3463"/>
    <mergeCell ref="K3462:K3463"/>
    <mergeCell ref="L3462:L3463"/>
    <mergeCell ref="M3462:M3463"/>
    <mergeCell ref="N3462:N3463"/>
    <mergeCell ref="O3462:O3463"/>
    <mergeCell ref="X3462:X3463"/>
    <mergeCell ref="Y3462:Y3463"/>
    <mergeCell ref="Z3462:Z3463"/>
    <mergeCell ref="AA3462:AA3463"/>
    <mergeCell ref="AB3462:AB3463"/>
    <mergeCell ref="O3460:O3461"/>
    <mergeCell ref="X3460:X3461"/>
    <mergeCell ref="Y3460:Y3461"/>
    <mergeCell ref="Z3460:Z3461"/>
    <mergeCell ref="AA3460:AA3461"/>
    <mergeCell ref="AB3460:AB3461"/>
    <mergeCell ref="A3398:A3399"/>
    <mergeCell ref="E3398:E3399"/>
    <mergeCell ref="H3398:H3399"/>
    <mergeCell ref="I3398:I3399"/>
    <mergeCell ref="J3398:J3399"/>
    <mergeCell ref="K3398:K3399"/>
    <mergeCell ref="L3398:L3399"/>
    <mergeCell ref="M3398:M3399"/>
    <mergeCell ref="N3398:N3399"/>
    <mergeCell ref="AA3398:AA3399"/>
    <mergeCell ref="AB3398:AB3399"/>
    <mergeCell ref="A3432:A3433"/>
    <mergeCell ref="E3432:E3433"/>
    <mergeCell ref="L3432:L3433"/>
    <mergeCell ref="M3432:M3433"/>
    <mergeCell ref="N3432:N3433"/>
    <mergeCell ref="O3432:O3433"/>
    <mergeCell ref="X3432:X3433"/>
    <mergeCell ref="A3430:A3431"/>
    <mergeCell ref="E3430:E3431"/>
    <mergeCell ref="H3430:H3431"/>
    <mergeCell ref="I3430:I3431"/>
    <mergeCell ref="J3430:J3431"/>
    <mergeCell ref="K3430:K3431"/>
    <mergeCell ref="L3430:L3431"/>
    <mergeCell ref="M3430:M3431"/>
    <mergeCell ref="N3430:N3431"/>
    <mergeCell ref="O3430:O3431"/>
    <mergeCell ref="X3430:X3431"/>
    <mergeCell ref="Y3430:Y3431"/>
    <mergeCell ref="Z3430:Z3431"/>
    <mergeCell ref="AA3430:AA3431"/>
    <mergeCell ref="A3422:A3423"/>
    <mergeCell ref="E3422:E3423"/>
    <mergeCell ref="H3422:H3423"/>
    <mergeCell ref="I3422:I3423"/>
    <mergeCell ref="J3422:J3423"/>
    <mergeCell ref="K3422:K3423"/>
    <mergeCell ref="L3422:L3423"/>
    <mergeCell ref="M3422:M3423"/>
    <mergeCell ref="N3422:N3423"/>
    <mergeCell ref="O3422:O3423"/>
    <mergeCell ref="X3422:X3423"/>
    <mergeCell ref="Y3422:Y3423"/>
    <mergeCell ref="Z3422:Z3423"/>
    <mergeCell ref="AA3422:AA3423"/>
    <mergeCell ref="AA3428:AA3429"/>
    <mergeCell ref="AA3424:AA3425"/>
    <mergeCell ref="AB3422:AB3423"/>
    <mergeCell ref="A3424:A3425"/>
    <mergeCell ref="E3424:E3425"/>
    <mergeCell ref="H3424:H3425"/>
    <mergeCell ref="I3424:I3425"/>
    <mergeCell ref="J3424:J3425"/>
    <mergeCell ref="K3424:K3425"/>
    <mergeCell ref="L3424:L3425"/>
    <mergeCell ref="M3424:M3425"/>
    <mergeCell ref="N3424:N3425"/>
    <mergeCell ref="O3424:O3425"/>
    <mergeCell ref="X3424:X3425"/>
    <mergeCell ref="Y3424:Y3425"/>
    <mergeCell ref="Z3424:Z3425"/>
    <mergeCell ref="J3464:J3465"/>
    <mergeCell ref="K3464:K3465"/>
    <mergeCell ref="L3464:L3465"/>
    <mergeCell ref="M3464:M3465"/>
    <mergeCell ref="N3464:N3465"/>
    <mergeCell ref="O3464:O3465"/>
    <mergeCell ref="X3464:X3465"/>
    <mergeCell ref="Y3464:Y3465"/>
    <mergeCell ref="Z3464:Z3465"/>
    <mergeCell ref="AA3464:AA3465"/>
    <mergeCell ref="AB3464:AB3465"/>
    <mergeCell ref="A3458:A3459"/>
    <mergeCell ref="E3458:E3459"/>
    <mergeCell ref="H3458:H3459"/>
    <mergeCell ref="I3458:I3459"/>
    <mergeCell ref="J3458:J3459"/>
    <mergeCell ref="K3458:K3459"/>
    <mergeCell ref="L3458:L3459"/>
    <mergeCell ref="M3458:M3459"/>
    <mergeCell ref="N3458:N3459"/>
    <mergeCell ref="O3458:O3459"/>
    <mergeCell ref="X3458:X3459"/>
    <mergeCell ref="Y3458:Y3459"/>
    <mergeCell ref="Z3458:Z3459"/>
    <mergeCell ref="AA3458:AA3459"/>
    <mergeCell ref="AB3458:AB3459"/>
    <mergeCell ref="A3460:A3461"/>
    <mergeCell ref="E3460:E3461"/>
    <mergeCell ref="H3460:H3461"/>
    <mergeCell ref="I3460:I3461"/>
    <mergeCell ref="J3460:J3461"/>
    <mergeCell ref="K3460:K3461"/>
    <mergeCell ref="L3460:L3461"/>
    <mergeCell ref="M3460:M3461"/>
    <mergeCell ref="N3460:N3461"/>
    <mergeCell ref="AB3454:AB3455"/>
    <mergeCell ref="A3456:A3457"/>
    <mergeCell ref="E3456:E3457"/>
    <mergeCell ref="H3456:H3457"/>
    <mergeCell ref="I3456:I3457"/>
    <mergeCell ref="J3456:J3457"/>
    <mergeCell ref="K3456:K3457"/>
    <mergeCell ref="L3456:L3457"/>
    <mergeCell ref="M3456:M3457"/>
    <mergeCell ref="N3456:N3457"/>
    <mergeCell ref="O3456:O3457"/>
    <mergeCell ref="X3456:X3457"/>
    <mergeCell ref="Y3456:Y3457"/>
    <mergeCell ref="Z3456:Z3457"/>
    <mergeCell ref="AA3456:AA3457"/>
    <mergeCell ref="X3454:X3455"/>
    <mergeCell ref="Y3454:Y3455"/>
    <mergeCell ref="Z3454:Z3455"/>
    <mergeCell ref="AA3454:AA3455"/>
    <mergeCell ref="A3450:A3451"/>
    <mergeCell ref="E3450:E3451"/>
    <mergeCell ref="H3450:H3451"/>
    <mergeCell ref="I3450:I3451"/>
    <mergeCell ref="J3450:J3451"/>
    <mergeCell ref="K3450:K3451"/>
    <mergeCell ref="L3450:L3451"/>
    <mergeCell ref="M3450:M3451"/>
    <mergeCell ref="N3450:N3451"/>
    <mergeCell ref="O3450:O3451"/>
    <mergeCell ref="X3450:X3451"/>
    <mergeCell ref="Y3450:Y3451"/>
    <mergeCell ref="Z3450:Z3451"/>
    <mergeCell ref="AA3450:AA3451"/>
    <mergeCell ref="AB3450:AB3451"/>
    <mergeCell ref="A3452:A3453"/>
    <mergeCell ref="E3452:E3453"/>
    <mergeCell ref="H3452:H3453"/>
    <mergeCell ref="I3452:I3453"/>
    <mergeCell ref="J3452:J3453"/>
    <mergeCell ref="K3452:K3453"/>
    <mergeCell ref="L3452:L3453"/>
    <mergeCell ref="M3452:M3453"/>
    <mergeCell ref="N3452:N3453"/>
    <mergeCell ref="O3452:O3453"/>
    <mergeCell ref="X3452:X3453"/>
    <mergeCell ref="Y3452:Y3453"/>
    <mergeCell ref="Z3452:Z3453"/>
    <mergeCell ref="AA3452:AA3453"/>
    <mergeCell ref="AB3452:AB3453"/>
    <mergeCell ref="A3446:A3447"/>
    <mergeCell ref="E3446:E3447"/>
    <mergeCell ref="H3446:H3447"/>
    <mergeCell ref="I3446:I3447"/>
    <mergeCell ref="J3446:J3447"/>
    <mergeCell ref="K3446:K3447"/>
    <mergeCell ref="L3446:L3447"/>
    <mergeCell ref="M3446:M3447"/>
    <mergeCell ref="N3446:N3447"/>
    <mergeCell ref="O3446:O3447"/>
    <mergeCell ref="X3446:X3447"/>
    <mergeCell ref="Y3446:Y3447"/>
    <mergeCell ref="Z3446:Z3447"/>
    <mergeCell ref="AA3446:AA3447"/>
    <mergeCell ref="AB3446:AB3447"/>
    <mergeCell ref="A3448:A3449"/>
    <mergeCell ref="E3448:E3449"/>
    <mergeCell ref="H3448:H3449"/>
    <mergeCell ref="I3448:I3449"/>
    <mergeCell ref="J3448:J3449"/>
    <mergeCell ref="K3448:K3449"/>
    <mergeCell ref="L3448:L3449"/>
    <mergeCell ref="M3448:M3449"/>
    <mergeCell ref="N3448:N3449"/>
    <mergeCell ref="O3448:O3449"/>
    <mergeCell ref="X3448:X3449"/>
    <mergeCell ref="Y3448:Y3449"/>
    <mergeCell ref="Z3448:Z3449"/>
    <mergeCell ref="AA3448:AA3449"/>
    <mergeCell ref="AB3448:AB3449"/>
    <mergeCell ref="A3442:A3443"/>
    <mergeCell ref="E3442:E3443"/>
    <mergeCell ref="H3442:H3443"/>
    <mergeCell ref="I3442:I3443"/>
    <mergeCell ref="J3442:J3443"/>
    <mergeCell ref="K3442:K3443"/>
    <mergeCell ref="L3442:L3443"/>
    <mergeCell ref="M3442:M3443"/>
    <mergeCell ref="N3442:N3443"/>
    <mergeCell ref="O3442:O3443"/>
    <mergeCell ref="X3442:X3443"/>
    <mergeCell ref="Y3442:Y3443"/>
    <mergeCell ref="Z3442:Z3443"/>
    <mergeCell ref="AA3442:AA3443"/>
    <mergeCell ref="AB3442:AB3443"/>
    <mergeCell ref="A3444:A3445"/>
    <mergeCell ref="E3444:E3445"/>
    <mergeCell ref="H3444:H3445"/>
    <mergeCell ref="I3444:I3445"/>
    <mergeCell ref="J3444:J3445"/>
    <mergeCell ref="K3444:K3445"/>
    <mergeCell ref="L3444:L3445"/>
    <mergeCell ref="M3444:M3445"/>
    <mergeCell ref="N3444:N3445"/>
    <mergeCell ref="O3444:O3445"/>
    <mergeCell ref="X3444:X3445"/>
    <mergeCell ref="Y3444:Y3445"/>
    <mergeCell ref="Z3444:Z3445"/>
    <mergeCell ref="AA3444:AA3445"/>
    <mergeCell ref="AB3444:AB3445"/>
    <mergeCell ref="A3438:A3439"/>
    <mergeCell ref="E3438:E3439"/>
    <mergeCell ref="H3438:H3439"/>
    <mergeCell ref="I3438:I3439"/>
    <mergeCell ref="J3438:J3439"/>
    <mergeCell ref="K3438:K3439"/>
    <mergeCell ref="L3438:L3439"/>
    <mergeCell ref="M3438:M3439"/>
    <mergeCell ref="N3438:N3439"/>
    <mergeCell ref="O3438:O3439"/>
    <mergeCell ref="X3438:X3439"/>
    <mergeCell ref="Y3438:Y3439"/>
    <mergeCell ref="Z3438:Z3439"/>
    <mergeCell ref="AA3438:AA3439"/>
    <mergeCell ref="AB3438:AB3439"/>
    <mergeCell ref="A3440:A3441"/>
    <mergeCell ref="E3440:E3441"/>
    <mergeCell ref="H3440:H3441"/>
    <mergeCell ref="I3440:I3441"/>
    <mergeCell ref="J3440:J3441"/>
    <mergeCell ref="K3440:K3441"/>
    <mergeCell ref="L3440:L3441"/>
    <mergeCell ref="M3440:M3441"/>
    <mergeCell ref="N3440:N3441"/>
    <mergeCell ref="O3440:O3441"/>
    <mergeCell ref="X3440:X3441"/>
    <mergeCell ref="Y3440:Y3441"/>
    <mergeCell ref="Z3440:Z3441"/>
    <mergeCell ref="AA3440:AA3441"/>
    <mergeCell ref="AB3440:AB3441"/>
    <mergeCell ref="AB3430:AB3431"/>
    <mergeCell ref="A3436:A3437"/>
    <mergeCell ref="E3436:E3437"/>
    <mergeCell ref="H3436:H3437"/>
    <mergeCell ref="I3436:I3437"/>
    <mergeCell ref="J3436:J3437"/>
    <mergeCell ref="K3436:K3437"/>
    <mergeCell ref="L3436:L3437"/>
    <mergeCell ref="M3436:M3437"/>
    <mergeCell ref="N3436:N3437"/>
    <mergeCell ref="O3436:O3437"/>
    <mergeCell ref="X3436:X3437"/>
    <mergeCell ref="Y3436:Y3437"/>
    <mergeCell ref="Z3436:Z3437"/>
    <mergeCell ref="AA3436:AA3437"/>
    <mergeCell ref="AB3436:AB3437"/>
    <mergeCell ref="Y3432:Y3433"/>
    <mergeCell ref="Z3432:Z3433"/>
    <mergeCell ref="AA3432:AA3433"/>
    <mergeCell ref="AB3432:AB3433"/>
    <mergeCell ref="A3434:A3435"/>
    <mergeCell ref="E3434:E3435"/>
    <mergeCell ref="H3434:H3435"/>
    <mergeCell ref="I3434:I3435"/>
    <mergeCell ref="J3434:J3435"/>
    <mergeCell ref="K3434:K3435"/>
    <mergeCell ref="L3434:L3435"/>
    <mergeCell ref="M3434:M3435"/>
    <mergeCell ref="N3434:N3435"/>
    <mergeCell ref="O3434:O3435"/>
    <mergeCell ref="H3432:H3433"/>
    <mergeCell ref="I3432:I3433"/>
    <mergeCell ref="J3432:J3433"/>
    <mergeCell ref="K3432:K3433"/>
    <mergeCell ref="AB3424:AB3425"/>
    <mergeCell ref="A3418:A3419"/>
    <mergeCell ref="E3418:E3419"/>
    <mergeCell ref="H3418:H3419"/>
    <mergeCell ref="I3418:I3419"/>
    <mergeCell ref="J3418:J3419"/>
    <mergeCell ref="K3418:K3419"/>
    <mergeCell ref="L3418:L3419"/>
    <mergeCell ref="M3418:M3419"/>
    <mergeCell ref="N3418:N3419"/>
    <mergeCell ref="O3418:O3419"/>
    <mergeCell ref="X3418:X3419"/>
    <mergeCell ref="Y3418:Y3419"/>
    <mergeCell ref="Z3418:Z3419"/>
    <mergeCell ref="AA3418:AA3419"/>
    <mergeCell ref="AB3418:AB3419"/>
    <mergeCell ref="A3420:A3421"/>
    <mergeCell ref="E3420:E3421"/>
    <mergeCell ref="H3420:H3421"/>
    <mergeCell ref="I3420:I3421"/>
    <mergeCell ref="J3420:J3421"/>
    <mergeCell ref="K3420:K3421"/>
    <mergeCell ref="L3420:L3421"/>
    <mergeCell ref="M3420:M3421"/>
    <mergeCell ref="N3420:N3421"/>
    <mergeCell ref="O3420:O3421"/>
    <mergeCell ref="X3420:X3421"/>
    <mergeCell ref="Y3420:Y3421"/>
    <mergeCell ref="Z3420:Z3421"/>
    <mergeCell ref="AA3420:AA3421"/>
    <mergeCell ref="AB3420:AB3421"/>
    <mergeCell ref="X3434:X3435"/>
    <mergeCell ref="Y3434:Y3435"/>
    <mergeCell ref="Z3434:Z3435"/>
    <mergeCell ref="AA3434:AA3435"/>
    <mergeCell ref="A3426:A3427"/>
    <mergeCell ref="E3426:E3427"/>
    <mergeCell ref="H3426:H3427"/>
    <mergeCell ref="I3426:I3427"/>
    <mergeCell ref="J3426:J3427"/>
    <mergeCell ref="K3426:K3427"/>
    <mergeCell ref="L3426:L3427"/>
    <mergeCell ref="M3426:M3427"/>
    <mergeCell ref="N3426:N3427"/>
    <mergeCell ref="O3426:O3427"/>
    <mergeCell ref="X3426:X3427"/>
    <mergeCell ref="Y3426:Y3427"/>
    <mergeCell ref="Z3426:Z3427"/>
    <mergeCell ref="AA3426:AA3427"/>
    <mergeCell ref="AB3426:AB3427"/>
    <mergeCell ref="A3428:A3429"/>
    <mergeCell ref="E3428:E3429"/>
    <mergeCell ref="H3428:H3429"/>
    <mergeCell ref="I3428:I3429"/>
    <mergeCell ref="J3428:J3429"/>
    <mergeCell ref="K3428:K3429"/>
    <mergeCell ref="L3428:L3429"/>
    <mergeCell ref="M3428:M3429"/>
    <mergeCell ref="N3428:N3429"/>
    <mergeCell ref="O3428:O3429"/>
    <mergeCell ref="X3428:X3429"/>
    <mergeCell ref="Y3428:Y3429"/>
    <mergeCell ref="Z3428:Z3429"/>
    <mergeCell ref="AB3428:AB3429"/>
    <mergeCell ref="X3414:X3415"/>
    <mergeCell ref="Y3414:Y3415"/>
    <mergeCell ref="Z3414:Z3415"/>
    <mergeCell ref="AA3414:AA3415"/>
    <mergeCell ref="AB3414:AB3415"/>
    <mergeCell ref="A3416:A3417"/>
    <mergeCell ref="E3416:E3417"/>
    <mergeCell ref="H3416:H3417"/>
    <mergeCell ref="I3416:I3417"/>
    <mergeCell ref="J3416:J3417"/>
    <mergeCell ref="K3416:K3417"/>
    <mergeCell ref="L3416:L3417"/>
    <mergeCell ref="M3416:M3417"/>
    <mergeCell ref="N3416:N3417"/>
    <mergeCell ref="O3416:O3417"/>
    <mergeCell ref="X3416:X3417"/>
    <mergeCell ref="Y3416:Y3417"/>
    <mergeCell ref="Z3416:Z3417"/>
    <mergeCell ref="AA3416:AA3417"/>
    <mergeCell ref="AB3416:AB3417"/>
    <mergeCell ref="O3410:O3411"/>
    <mergeCell ref="X3410:X3411"/>
    <mergeCell ref="Y3410:Y3411"/>
    <mergeCell ref="Z3410:Z3411"/>
    <mergeCell ref="AA3410:AA3411"/>
    <mergeCell ref="AB3410:AB3411"/>
    <mergeCell ref="A3412:A3413"/>
    <mergeCell ref="E3412:E3413"/>
    <mergeCell ref="H3412:H3413"/>
    <mergeCell ref="I3412:I3413"/>
    <mergeCell ref="J3412:J3413"/>
    <mergeCell ref="K3412:K3413"/>
    <mergeCell ref="L3412:L3413"/>
    <mergeCell ref="M3412:M3413"/>
    <mergeCell ref="N3412:N3413"/>
    <mergeCell ref="O3412:O3413"/>
    <mergeCell ref="X3412:X3413"/>
    <mergeCell ref="Y3412:Y3413"/>
    <mergeCell ref="Z3412:Z3413"/>
    <mergeCell ref="AA3412:AA3413"/>
    <mergeCell ref="AB3412:AB3413"/>
    <mergeCell ref="A3400:A3401"/>
    <mergeCell ref="E3400:E3401"/>
    <mergeCell ref="H3400:H3401"/>
    <mergeCell ref="I3400:I3401"/>
    <mergeCell ref="J3400:J3401"/>
    <mergeCell ref="K3400:K3401"/>
    <mergeCell ref="L3400:L3401"/>
    <mergeCell ref="M3400:M3401"/>
    <mergeCell ref="N3400:N3401"/>
    <mergeCell ref="O3400:O3401"/>
    <mergeCell ref="X3400:X3401"/>
    <mergeCell ref="Y3400:Y3401"/>
    <mergeCell ref="Z3400:Z3401"/>
    <mergeCell ref="AA3400:AA3401"/>
    <mergeCell ref="AB3400:AB3401"/>
    <mergeCell ref="A3402:A3403"/>
    <mergeCell ref="E3402:E3403"/>
    <mergeCell ref="H3402:H3403"/>
    <mergeCell ref="I3402:I3403"/>
    <mergeCell ref="J3402:J3403"/>
    <mergeCell ref="K3402:K3403"/>
    <mergeCell ref="L3402:L3403"/>
    <mergeCell ref="M3402:M3403"/>
    <mergeCell ref="N3402:N3403"/>
    <mergeCell ref="O3402:O3403"/>
    <mergeCell ref="X3402:X3403"/>
    <mergeCell ref="Y3402:Y3403"/>
    <mergeCell ref="Z3402:Z3403"/>
    <mergeCell ref="AA3402:AA3403"/>
    <mergeCell ref="AB3402:AB3403"/>
    <mergeCell ref="A3390:A3391"/>
    <mergeCell ref="E3390:E3391"/>
    <mergeCell ref="H3390:H3391"/>
    <mergeCell ref="I3390:I3391"/>
    <mergeCell ref="J3390:J3391"/>
    <mergeCell ref="K3390:K3391"/>
    <mergeCell ref="L3390:L3391"/>
    <mergeCell ref="M3390:M3391"/>
    <mergeCell ref="N3390:N3391"/>
    <mergeCell ref="O3390:O3391"/>
    <mergeCell ref="X3390:X3391"/>
    <mergeCell ref="Y3390:Y3391"/>
    <mergeCell ref="Z3390:Z3391"/>
    <mergeCell ref="AA3390:AA3391"/>
    <mergeCell ref="AB3390:AB3391"/>
    <mergeCell ref="A3392:A3393"/>
    <mergeCell ref="E3392:E3393"/>
    <mergeCell ref="H3392:H3393"/>
    <mergeCell ref="I3392:I3393"/>
    <mergeCell ref="J3392:J3393"/>
    <mergeCell ref="K3392:K3393"/>
    <mergeCell ref="L3392:L3393"/>
    <mergeCell ref="M3392:M3393"/>
    <mergeCell ref="N3392:N3393"/>
    <mergeCell ref="O3392:O3393"/>
    <mergeCell ref="X3392:X3393"/>
    <mergeCell ref="Y3392:Y3393"/>
    <mergeCell ref="Z3392:Z3393"/>
    <mergeCell ref="AA3392:AA3393"/>
    <mergeCell ref="AB3392:AB3393"/>
    <mergeCell ref="O3398:O3399"/>
    <mergeCell ref="X3398:X3399"/>
    <mergeCell ref="Y3398:Y3399"/>
    <mergeCell ref="Z3398:Z3399"/>
    <mergeCell ref="A3386:A3387"/>
    <mergeCell ref="E3386:E3387"/>
    <mergeCell ref="H3386:H3387"/>
    <mergeCell ref="I3386:I3387"/>
    <mergeCell ref="J3386:J3387"/>
    <mergeCell ref="K3386:K3387"/>
    <mergeCell ref="L3386:L3387"/>
    <mergeCell ref="M3386:M3387"/>
    <mergeCell ref="N3386:N3387"/>
    <mergeCell ref="O3386:O3387"/>
    <mergeCell ref="X3386:X3387"/>
    <mergeCell ref="Y3386:Y3387"/>
    <mergeCell ref="Z3386:Z3387"/>
    <mergeCell ref="AA3386:AA3387"/>
    <mergeCell ref="AB3386:AB3387"/>
    <mergeCell ref="A3388:A3389"/>
    <mergeCell ref="E3388:E3389"/>
    <mergeCell ref="H3388:H3389"/>
    <mergeCell ref="I3388:I3389"/>
    <mergeCell ref="J3388:J3389"/>
    <mergeCell ref="K3388:K3389"/>
    <mergeCell ref="L3388:L3389"/>
    <mergeCell ref="M3388:M3389"/>
    <mergeCell ref="N3388:N3389"/>
    <mergeCell ref="O3388:O3389"/>
    <mergeCell ref="X3388:X3389"/>
    <mergeCell ref="Y3388:Y3389"/>
    <mergeCell ref="Z3388:Z3389"/>
    <mergeCell ref="AA3388:AA3389"/>
    <mergeCell ref="AB3388:AB3389"/>
    <mergeCell ref="A3382:A3383"/>
    <mergeCell ref="E3382:E3383"/>
    <mergeCell ref="H3382:H3383"/>
    <mergeCell ref="I3382:I3383"/>
    <mergeCell ref="J3382:J3383"/>
    <mergeCell ref="K3382:K3383"/>
    <mergeCell ref="L3382:L3383"/>
    <mergeCell ref="M3382:M3383"/>
    <mergeCell ref="N3382:N3383"/>
    <mergeCell ref="O3382:O3383"/>
    <mergeCell ref="X3382:X3383"/>
    <mergeCell ref="Y3382:Y3383"/>
    <mergeCell ref="Z3382:Z3383"/>
    <mergeCell ref="AA3382:AA3383"/>
    <mergeCell ref="AB3382:AB3383"/>
    <mergeCell ref="A3384:A3385"/>
    <mergeCell ref="E3384:E3385"/>
    <mergeCell ref="H3384:H3385"/>
    <mergeCell ref="I3384:I3385"/>
    <mergeCell ref="J3384:J3385"/>
    <mergeCell ref="K3384:K3385"/>
    <mergeCell ref="L3384:L3385"/>
    <mergeCell ref="M3384:M3385"/>
    <mergeCell ref="N3384:N3385"/>
    <mergeCell ref="O3384:O3385"/>
    <mergeCell ref="X3384:X3385"/>
    <mergeCell ref="Y3384:Y3385"/>
    <mergeCell ref="Z3384:Z3385"/>
    <mergeCell ref="AA3384:AA3385"/>
    <mergeCell ref="AB3384:AB3385"/>
    <mergeCell ref="O3218:O3219"/>
    <mergeCell ref="X3218:X3219"/>
    <mergeCell ref="Y3218:Y3219"/>
    <mergeCell ref="Z3218:Z3219"/>
    <mergeCell ref="AA3218:AA3219"/>
    <mergeCell ref="AB3218:AB3219"/>
    <mergeCell ref="A3220:A3221"/>
    <mergeCell ref="E3220:E3221"/>
    <mergeCell ref="H3220:H3221"/>
    <mergeCell ref="I3220:I3221"/>
    <mergeCell ref="K3340:K3341"/>
    <mergeCell ref="L3340:L3341"/>
    <mergeCell ref="M3340:M3341"/>
    <mergeCell ref="N3340:N3341"/>
    <mergeCell ref="O3340:O3341"/>
    <mergeCell ref="X3340:X3341"/>
    <mergeCell ref="Y3340:Y3341"/>
    <mergeCell ref="Z3340:Z3341"/>
    <mergeCell ref="AA3340:AA3341"/>
    <mergeCell ref="AB3340:AB3341"/>
    <mergeCell ref="A3380:A3381"/>
    <mergeCell ref="E3380:E3381"/>
    <mergeCell ref="H3380:H3381"/>
    <mergeCell ref="I3380:I3381"/>
    <mergeCell ref="J3380:J3381"/>
    <mergeCell ref="K3380:K3381"/>
    <mergeCell ref="L3380:L3381"/>
    <mergeCell ref="M3380:M3381"/>
    <mergeCell ref="N3380:N3381"/>
    <mergeCell ref="O3380:O3381"/>
    <mergeCell ref="X3380:X3381"/>
    <mergeCell ref="Y3380:Y3381"/>
    <mergeCell ref="Z3380:Z3381"/>
    <mergeCell ref="AA3380:AA3381"/>
    <mergeCell ref="AB3380:AB3381"/>
    <mergeCell ref="A3354:A3355"/>
    <mergeCell ref="E3354:E3355"/>
    <mergeCell ref="H3354:H3355"/>
    <mergeCell ref="I3354:I3355"/>
    <mergeCell ref="J3354:J3355"/>
    <mergeCell ref="K3354:K3355"/>
    <mergeCell ref="L3354:L3355"/>
    <mergeCell ref="M3354:M3355"/>
    <mergeCell ref="N3354:N3355"/>
    <mergeCell ref="O3354:O3355"/>
    <mergeCell ref="A3342:A3343"/>
    <mergeCell ref="E3342:E3343"/>
    <mergeCell ref="H3342:H3343"/>
    <mergeCell ref="I3342:I3343"/>
    <mergeCell ref="J3342:J3343"/>
    <mergeCell ref="K3342:K3343"/>
    <mergeCell ref="L3342:L3343"/>
    <mergeCell ref="M3342:M3343"/>
    <mergeCell ref="N3342:N3343"/>
    <mergeCell ref="O3342:O3343"/>
    <mergeCell ref="X3342:X3343"/>
    <mergeCell ref="Y3342:Y3343"/>
    <mergeCell ref="Z3342:Z3343"/>
    <mergeCell ref="AA3342:AA3343"/>
    <mergeCell ref="AB3342:AB3343"/>
    <mergeCell ref="A3360:A3361"/>
    <mergeCell ref="E3360:E3361"/>
    <mergeCell ref="H3360:H3361"/>
    <mergeCell ref="I3360:I3361"/>
    <mergeCell ref="K3204:K3205"/>
    <mergeCell ref="L3204:L3205"/>
    <mergeCell ref="M3204:M3205"/>
    <mergeCell ref="N3204:N3205"/>
    <mergeCell ref="O3204:O3205"/>
    <mergeCell ref="X3204:X3205"/>
    <mergeCell ref="Y3204:Y3205"/>
    <mergeCell ref="Z3204:Z3205"/>
    <mergeCell ref="AA3204:AA3205"/>
    <mergeCell ref="AB3204:AB3205"/>
    <mergeCell ref="A3284:A3285"/>
    <mergeCell ref="E3284:E3285"/>
    <mergeCell ref="H3284:H3285"/>
    <mergeCell ref="I3284:I3285"/>
    <mergeCell ref="J3284:J3285"/>
    <mergeCell ref="K3284:K3285"/>
    <mergeCell ref="L3284:L3285"/>
    <mergeCell ref="M3284:M3285"/>
    <mergeCell ref="N3284:N3285"/>
    <mergeCell ref="O3284:O3285"/>
    <mergeCell ref="X3284:X3285"/>
    <mergeCell ref="Y3284:Y3285"/>
    <mergeCell ref="Z3284:Z3285"/>
    <mergeCell ref="AA3284:AA3285"/>
    <mergeCell ref="AB3284:AB3285"/>
    <mergeCell ref="A3214:A3215"/>
    <mergeCell ref="E3214:E3215"/>
    <mergeCell ref="H3214:H3215"/>
    <mergeCell ref="I3214:I3215"/>
    <mergeCell ref="J3214:J3215"/>
    <mergeCell ref="K3214:K3215"/>
    <mergeCell ref="L3214:L3215"/>
    <mergeCell ref="M3214:M3215"/>
    <mergeCell ref="N3214:N3215"/>
    <mergeCell ref="O3214:O3215"/>
    <mergeCell ref="X3214:X3215"/>
    <mergeCell ref="Y3214:Y3215"/>
    <mergeCell ref="Z3214:Z3215"/>
    <mergeCell ref="AA3214:AA3215"/>
    <mergeCell ref="AB3214:AB3215"/>
    <mergeCell ref="A3216:A3217"/>
    <mergeCell ref="E3216:E3217"/>
    <mergeCell ref="H3216:H3217"/>
    <mergeCell ref="I3216:I3217"/>
    <mergeCell ref="J3216:J3217"/>
    <mergeCell ref="K3216:K3217"/>
    <mergeCell ref="L3216:L3217"/>
    <mergeCell ref="M3216:M3217"/>
    <mergeCell ref="N3216:N3217"/>
    <mergeCell ref="O3216:O3217"/>
    <mergeCell ref="X3216:X3217"/>
    <mergeCell ref="Y3216:Y3217"/>
    <mergeCell ref="Z3216:Z3217"/>
    <mergeCell ref="AA3216:AA3217"/>
    <mergeCell ref="AB3216:AB3217"/>
    <mergeCell ref="A3218:A3219"/>
    <mergeCell ref="E3218:E3219"/>
    <mergeCell ref="H3218:H3219"/>
    <mergeCell ref="I3218:I3219"/>
    <mergeCell ref="J3218:J3219"/>
    <mergeCell ref="K3218:K3219"/>
    <mergeCell ref="L3218:L3219"/>
    <mergeCell ref="M3218:M3219"/>
    <mergeCell ref="N3218:N3219"/>
    <mergeCell ref="L3168:L3169"/>
    <mergeCell ref="M3168:M3169"/>
    <mergeCell ref="N3168:N3169"/>
    <mergeCell ref="O3168:O3169"/>
    <mergeCell ref="X3168:X3169"/>
    <mergeCell ref="Y3168:Y3169"/>
    <mergeCell ref="Z3168:Z3169"/>
    <mergeCell ref="AA3168:AA3169"/>
    <mergeCell ref="AB3168:AB3169"/>
    <mergeCell ref="A3166:A3167"/>
    <mergeCell ref="E3166:E3167"/>
    <mergeCell ref="H3166:H3167"/>
    <mergeCell ref="I3166:I3167"/>
    <mergeCell ref="J3166:J3167"/>
    <mergeCell ref="A3206:A3207"/>
    <mergeCell ref="E3206:E3207"/>
    <mergeCell ref="H3206:H3207"/>
    <mergeCell ref="I3206:I3207"/>
    <mergeCell ref="J3206:J3207"/>
    <mergeCell ref="K3206:K3207"/>
    <mergeCell ref="L3206:L3207"/>
    <mergeCell ref="M3206:M3207"/>
    <mergeCell ref="N3206:N3207"/>
    <mergeCell ref="O3206:O3207"/>
    <mergeCell ref="X3206:X3207"/>
    <mergeCell ref="Y3206:Y3207"/>
    <mergeCell ref="Z3206:Z3207"/>
    <mergeCell ref="AA3206:AA3207"/>
    <mergeCell ref="AB3206:AB3207"/>
    <mergeCell ref="A3208:A3209"/>
    <mergeCell ref="E3208:E3209"/>
    <mergeCell ref="H3208:H3209"/>
    <mergeCell ref="I3208:I3209"/>
    <mergeCell ref="J3208:J3209"/>
    <mergeCell ref="K3208:K3209"/>
    <mergeCell ref="L3208:L3209"/>
    <mergeCell ref="M3208:M3209"/>
    <mergeCell ref="N3208:N3209"/>
    <mergeCell ref="O3208:O3209"/>
    <mergeCell ref="X3208:X3209"/>
    <mergeCell ref="Y3208:Y3209"/>
    <mergeCell ref="Z3208:Z3209"/>
    <mergeCell ref="AA3208:AA3209"/>
    <mergeCell ref="AB3208:AB3209"/>
    <mergeCell ref="A3202:A3203"/>
    <mergeCell ref="E3202:E3203"/>
    <mergeCell ref="H3202:H3203"/>
    <mergeCell ref="I3202:I3203"/>
    <mergeCell ref="J3202:J3203"/>
    <mergeCell ref="K3202:K3203"/>
    <mergeCell ref="L3202:L3203"/>
    <mergeCell ref="M3202:M3203"/>
    <mergeCell ref="N3202:N3203"/>
    <mergeCell ref="O3202:O3203"/>
    <mergeCell ref="X3202:X3203"/>
    <mergeCell ref="Y3202:Y3203"/>
    <mergeCell ref="Z3202:Z3203"/>
    <mergeCell ref="AA3202:AA3203"/>
    <mergeCell ref="AB3202:AB3203"/>
    <mergeCell ref="A3204:A3205"/>
    <mergeCell ref="E3204:E3205"/>
    <mergeCell ref="H3204:H3205"/>
    <mergeCell ref="I3204:I3205"/>
    <mergeCell ref="J3204:J3205"/>
    <mergeCell ref="K3166:K3167"/>
    <mergeCell ref="L3166:L3167"/>
    <mergeCell ref="M3166:M3167"/>
    <mergeCell ref="N3166:N3167"/>
    <mergeCell ref="X3162:X3163"/>
    <mergeCell ref="Y3162:Y3163"/>
    <mergeCell ref="Z3162:Z3163"/>
    <mergeCell ref="AA3162:AA3163"/>
    <mergeCell ref="AB3162:AB3163"/>
    <mergeCell ref="AA3170:AA3171"/>
    <mergeCell ref="AB3170:AB3171"/>
    <mergeCell ref="O3166:O3167"/>
    <mergeCell ref="X3166:X3167"/>
    <mergeCell ref="Y3166:Y3167"/>
    <mergeCell ref="J3154:J3155"/>
    <mergeCell ref="K3154:K3155"/>
    <mergeCell ref="L3154:L3155"/>
    <mergeCell ref="M3154:M3155"/>
    <mergeCell ref="N3154:N3155"/>
    <mergeCell ref="O3154:O3155"/>
    <mergeCell ref="X3154:X3155"/>
    <mergeCell ref="Y3154:Y3155"/>
    <mergeCell ref="Z3154:Z3155"/>
    <mergeCell ref="AA3154:AA3155"/>
    <mergeCell ref="AB3154:AB3155"/>
    <mergeCell ref="A3184:A3185"/>
    <mergeCell ref="E3184:E3185"/>
    <mergeCell ref="H3184:H3185"/>
    <mergeCell ref="I3184:I3185"/>
    <mergeCell ref="J3184:J3185"/>
    <mergeCell ref="K3184:K3185"/>
    <mergeCell ref="L3184:L3185"/>
    <mergeCell ref="M3184:M3185"/>
    <mergeCell ref="N3184:N3185"/>
    <mergeCell ref="O3184:O3185"/>
    <mergeCell ref="X3184:X3185"/>
    <mergeCell ref="Y3184:Y3185"/>
    <mergeCell ref="Z3184:Z3185"/>
    <mergeCell ref="AA3184:AA3185"/>
    <mergeCell ref="AB3184:AB3185"/>
    <mergeCell ref="A3180:A3181"/>
    <mergeCell ref="E3180:E3181"/>
    <mergeCell ref="H3180:H3181"/>
    <mergeCell ref="I3180:I3181"/>
    <mergeCell ref="J3180:J3181"/>
    <mergeCell ref="K3180:K3181"/>
    <mergeCell ref="L3180:L3181"/>
    <mergeCell ref="M3180:M3181"/>
    <mergeCell ref="N3180:N3181"/>
    <mergeCell ref="A3160:A3161"/>
    <mergeCell ref="E3160:E3161"/>
    <mergeCell ref="H3160:H3161"/>
    <mergeCell ref="I3160:I3161"/>
    <mergeCell ref="J3160:J3161"/>
    <mergeCell ref="K3160:K3161"/>
    <mergeCell ref="L3160:L3161"/>
    <mergeCell ref="M3160:M3161"/>
    <mergeCell ref="N3160:N3161"/>
    <mergeCell ref="A3168:A3169"/>
    <mergeCell ref="E3168:E3169"/>
    <mergeCell ref="H3168:H3169"/>
    <mergeCell ref="I3168:I3169"/>
    <mergeCell ref="J3168:J3169"/>
    <mergeCell ref="K3168:K3169"/>
    <mergeCell ref="M3164:M3165"/>
    <mergeCell ref="N3164:N3165"/>
    <mergeCell ref="A3156:A3157"/>
    <mergeCell ref="E3156:E3157"/>
    <mergeCell ref="H3156:H3157"/>
    <mergeCell ref="I3156:I3157"/>
    <mergeCell ref="J3156:J3157"/>
    <mergeCell ref="K3156:K3157"/>
    <mergeCell ref="L3156:L3157"/>
    <mergeCell ref="M3156:M3157"/>
    <mergeCell ref="N3156:N3157"/>
    <mergeCell ref="O3156:O3157"/>
    <mergeCell ref="X3156:X3157"/>
    <mergeCell ref="Y3156:Y3157"/>
    <mergeCell ref="Z3156:Z3157"/>
    <mergeCell ref="AA3156:AA3157"/>
    <mergeCell ref="AB3156:AB3157"/>
    <mergeCell ref="H3162:H3163"/>
    <mergeCell ref="I3162:I3163"/>
    <mergeCell ref="J3162:J3163"/>
    <mergeCell ref="K3162:K3163"/>
    <mergeCell ref="L3162:L3163"/>
    <mergeCell ref="M3162:M3163"/>
    <mergeCell ref="N3162:N3163"/>
    <mergeCell ref="O3162:O3163"/>
    <mergeCell ref="X3164:X3165"/>
    <mergeCell ref="Y3164:Y3165"/>
    <mergeCell ref="Z3164:Z3165"/>
    <mergeCell ref="AA3164:AA3165"/>
    <mergeCell ref="AB3164:AB3165"/>
    <mergeCell ref="A3158:A3159"/>
    <mergeCell ref="E3158:E3159"/>
    <mergeCell ref="H3158:H3159"/>
    <mergeCell ref="I3158:I3159"/>
    <mergeCell ref="J3158:J3159"/>
    <mergeCell ref="K3158:K3159"/>
    <mergeCell ref="L3158:L3159"/>
    <mergeCell ref="M3158:M3159"/>
    <mergeCell ref="N3158:N3159"/>
    <mergeCell ref="O3158:O3159"/>
    <mergeCell ref="X3158:X3159"/>
    <mergeCell ref="Y3158:Y3159"/>
    <mergeCell ref="Z3158:Z3159"/>
    <mergeCell ref="AA3158:AA3159"/>
    <mergeCell ref="AB3158:AB3159"/>
    <mergeCell ref="Z3166:Z3167"/>
    <mergeCell ref="AA3166:AA3167"/>
    <mergeCell ref="AB3166:AB3167"/>
    <mergeCell ref="A3162:A3163"/>
    <mergeCell ref="E3162:E3163"/>
    <mergeCell ref="O3164:O3165"/>
    <mergeCell ref="A3164:A3165"/>
    <mergeCell ref="E3164:E3165"/>
    <mergeCell ref="H3164:H3165"/>
    <mergeCell ref="I3164:I3165"/>
    <mergeCell ref="O3180:O3181"/>
    <mergeCell ref="X3180:X3181"/>
    <mergeCell ref="Y3180:Y3181"/>
    <mergeCell ref="Z3180:Z3181"/>
    <mergeCell ref="AA3180:AA3181"/>
    <mergeCell ref="AB3180:AB3181"/>
    <mergeCell ref="A3182:A3183"/>
    <mergeCell ref="E3182:E3183"/>
    <mergeCell ref="H3182:H3183"/>
    <mergeCell ref="I3182:I3183"/>
    <mergeCell ref="J3182:J3183"/>
    <mergeCell ref="K3182:K3183"/>
    <mergeCell ref="L3182:L3183"/>
    <mergeCell ref="M3182:M3183"/>
    <mergeCell ref="N3182:N3183"/>
    <mergeCell ref="O3182:O3183"/>
    <mergeCell ref="X3182:X3183"/>
    <mergeCell ref="Y3182:Y3183"/>
    <mergeCell ref="Z3182:Z3183"/>
    <mergeCell ref="AA3182:AA3183"/>
    <mergeCell ref="AB3182:AB3183"/>
    <mergeCell ref="A3176:A3177"/>
    <mergeCell ref="E3176:E3177"/>
    <mergeCell ref="H3176:H3177"/>
    <mergeCell ref="I3176:I3177"/>
    <mergeCell ref="J3176:J3177"/>
    <mergeCell ref="K3176:K3177"/>
    <mergeCell ref="L3176:L3177"/>
    <mergeCell ref="M3176:M3177"/>
    <mergeCell ref="N3176:N3177"/>
    <mergeCell ref="O3176:O3177"/>
    <mergeCell ref="X3176:X3177"/>
    <mergeCell ref="Y3176:Y3177"/>
    <mergeCell ref="Z3176:Z3177"/>
    <mergeCell ref="AA3176:AA3177"/>
    <mergeCell ref="AB3176:AB3177"/>
    <mergeCell ref="A3178:A3179"/>
    <mergeCell ref="E3178:E3179"/>
    <mergeCell ref="H3178:H3179"/>
    <mergeCell ref="I3178:I3179"/>
    <mergeCell ref="J3178:J3179"/>
    <mergeCell ref="K3178:K3179"/>
    <mergeCell ref="L3178:L3179"/>
    <mergeCell ref="M3178:M3179"/>
    <mergeCell ref="N3178:N3179"/>
    <mergeCell ref="O3178:O3179"/>
    <mergeCell ref="X3178:X3179"/>
    <mergeCell ref="Y3178:Y3179"/>
    <mergeCell ref="Z3178:Z3179"/>
    <mergeCell ref="AA3178:AA3179"/>
    <mergeCell ref="AB3178:AB3179"/>
    <mergeCell ref="J3164:J3165"/>
    <mergeCell ref="K3164:K3165"/>
    <mergeCell ref="L3164:L3165"/>
    <mergeCell ref="A3150:A3151"/>
    <mergeCell ref="E3150:E3151"/>
    <mergeCell ref="H3150:H3151"/>
    <mergeCell ref="I3150:I3151"/>
    <mergeCell ref="J3150:J3151"/>
    <mergeCell ref="K3150:K3151"/>
    <mergeCell ref="L3150:L3151"/>
    <mergeCell ref="M3150:M3151"/>
    <mergeCell ref="N3150:N3151"/>
    <mergeCell ref="O3150:O3151"/>
    <mergeCell ref="X3150:X3151"/>
    <mergeCell ref="Y3150:Y3151"/>
    <mergeCell ref="Z3150:Z3151"/>
    <mergeCell ref="AA3150:AA3151"/>
    <mergeCell ref="AB3150:AB3151"/>
    <mergeCell ref="A3172:A3173"/>
    <mergeCell ref="E3172:E3173"/>
    <mergeCell ref="H3172:H3173"/>
    <mergeCell ref="I3172:I3173"/>
    <mergeCell ref="J3172:J3173"/>
    <mergeCell ref="K3172:K3173"/>
    <mergeCell ref="L3172:L3173"/>
    <mergeCell ref="M3172:M3173"/>
    <mergeCell ref="N3172:N3173"/>
    <mergeCell ref="O3172:O3173"/>
    <mergeCell ref="X3172:X3173"/>
    <mergeCell ref="Y3172:Y3173"/>
    <mergeCell ref="Z3172:Z3173"/>
    <mergeCell ref="AA3172:AA3173"/>
    <mergeCell ref="AB3172:AB3173"/>
    <mergeCell ref="A3174:A3175"/>
    <mergeCell ref="E3174:E3175"/>
    <mergeCell ref="H3174:H3175"/>
    <mergeCell ref="I3174:I3175"/>
    <mergeCell ref="J3174:J3175"/>
    <mergeCell ref="K3174:K3175"/>
    <mergeCell ref="L3174:L3175"/>
    <mergeCell ref="M3174:M3175"/>
    <mergeCell ref="N3174:N3175"/>
    <mergeCell ref="O3174:O3175"/>
    <mergeCell ref="X3174:X3175"/>
    <mergeCell ref="Y3174:Y3175"/>
    <mergeCell ref="Z3174:Z3175"/>
    <mergeCell ref="AA3174:AA3175"/>
    <mergeCell ref="AB3174:AB3175"/>
    <mergeCell ref="O3160:O3161"/>
    <mergeCell ref="X3160:X3161"/>
    <mergeCell ref="Y3160:Y3161"/>
    <mergeCell ref="Z3160:Z3161"/>
    <mergeCell ref="AA3160:AA3161"/>
    <mergeCell ref="AB3160:AB3161"/>
    <mergeCell ref="A3170:A3171"/>
    <mergeCell ref="E3170:E3171"/>
    <mergeCell ref="H3170:H3171"/>
    <mergeCell ref="I3170:I3171"/>
    <mergeCell ref="J3170:J3171"/>
    <mergeCell ref="K3170:K3171"/>
    <mergeCell ref="L3170:L3171"/>
    <mergeCell ref="M3170:M3171"/>
    <mergeCell ref="N3170:N3171"/>
    <mergeCell ref="O3170:O3171"/>
    <mergeCell ref="X3170:X3171"/>
    <mergeCell ref="Y3170:Y3171"/>
    <mergeCell ref="Z3170:Z3171"/>
    <mergeCell ref="A3154:A3155"/>
    <mergeCell ref="E3154:E3155"/>
    <mergeCell ref="H3154:H3155"/>
    <mergeCell ref="I3154:I3155"/>
    <mergeCell ref="A3144:A3145"/>
    <mergeCell ref="E3144:E3145"/>
    <mergeCell ref="H3144:H3145"/>
    <mergeCell ref="I3144:I3145"/>
    <mergeCell ref="J3144:J3145"/>
    <mergeCell ref="K3144:K3145"/>
    <mergeCell ref="L3144:L3145"/>
    <mergeCell ref="M3144:M3145"/>
    <mergeCell ref="N3144:N3145"/>
    <mergeCell ref="O3144:O3145"/>
    <mergeCell ref="X3144:X3145"/>
    <mergeCell ref="Y3144:Y3145"/>
    <mergeCell ref="Z3144:Z3145"/>
    <mergeCell ref="AA3144:AA3145"/>
    <mergeCell ref="AB3144:AB3145"/>
    <mergeCell ref="A3146:A3147"/>
    <mergeCell ref="E3146:E3147"/>
    <mergeCell ref="H3146:H3147"/>
    <mergeCell ref="I3146:I3147"/>
    <mergeCell ref="J3146:J3147"/>
    <mergeCell ref="K3146:K3147"/>
    <mergeCell ref="L3146:L3147"/>
    <mergeCell ref="M3146:M3147"/>
    <mergeCell ref="N3146:N3147"/>
    <mergeCell ref="O3146:O3147"/>
    <mergeCell ref="X3146:X3147"/>
    <mergeCell ref="Y3146:Y3147"/>
    <mergeCell ref="Z3146:Z3147"/>
    <mergeCell ref="AA3146:AA3147"/>
    <mergeCell ref="AB3146:AB3147"/>
    <mergeCell ref="A3148:A3149"/>
    <mergeCell ref="E3148:E3149"/>
    <mergeCell ref="H3148:H3149"/>
    <mergeCell ref="I3148:I3149"/>
    <mergeCell ref="J3148:J3149"/>
    <mergeCell ref="K3148:K3149"/>
    <mergeCell ref="L3148:L3149"/>
    <mergeCell ref="M3148:M3149"/>
    <mergeCell ref="N3148:N3149"/>
    <mergeCell ref="O3148:O3149"/>
    <mergeCell ref="X3148:X3149"/>
    <mergeCell ref="Y3148:Y3149"/>
    <mergeCell ref="Z3148:Z3149"/>
    <mergeCell ref="AA3148:AA3149"/>
    <mergeCell ref="AB3148:AB3149"/>
    <mergeCell ref="A3152:A3153"/>
    <mergeCell ref="E3152:E3153"/>
    <mergeCell ref="H3152:H3153"/>
    <mergeCell ref="I3152:I3153"/>
    <mergeCell ref="J3152:J3153"/>
    <mergeCell ref="K3152:K3153"/>
    <mergeCell ref="L3152:L3153"/>
    <mergeCell ref="M3152:M3153"/>
    <mergeCell ref="N3152:N3153"/>
    <mergeCell ref="O3152:O3153"/>
    <mergeCell ref="X3152:X3153"/>
    <mergeCell ref="Y3152:Y3153"/>
    <mergeCell ref="Z3152:Z3153"/>
    <mergeCell ref="AA3152:AA3153"/>
    <mergeCell ref="AB3152:AB3153"/>
    <mergeCell ref="A3140:A3141"/>
    <mergeCell ref="E3140:E3141"/>
    <mergeCell ref="H3140:H3141"/>
    <mergeCell ref="I3140:I3141"/>
    <mergeCell ref="J3140:J3141"/>
    <mergeCell ref="K3140:K3141"/>
    <mergeCell ref="L3140:L3141"/>
    <mergeCell ref="M3140:M3141"/>
    <mergeCell ref="N3140:N3141"/>
    <mergeCell ref="O3140:O3141"/>
    <mergeCell ref="X3140:X3141"/>
    <mergeCell ref="Y3140:Y3141"/>
    <mergeCell ref="Z3140:Z3141"/>
    <mergeCell ref="AA3140:AA3141"/>
    <mergeCell ref="AB3140:AB3141"/>
    <mergeCell ref="A3142:A3143"/>
    <mergeCell ref="E3142:E3143"/>
    <mergeCell ref="H3142:H3143"/>
    <mergeCell ref="I3142:I3143"/>
    <mergeCell ref="J3142:J3143"/>
    <mergeCell ref="K3142:K3143"/>
    <mergeCell ref="L3142:L3143"/>
    <mergeCell ref="M3142:M3143"/>
    <mergeCell ref="N3142:N3143"/>
    <mergeCell ref="O3142:O3143"/>
    <mergeCell ref="X3142:X3143"/>
    <mergeCell ref="Y3142:Y3143"/>
    <mergeCell ref="Z3142:Z3143"/>
    <mergeCell ref="AA3142:AA3143"/>
    <mergeCell ref="AB3142:AB3143"/>
    <mergeCell ref="A3136:A3137"/>
    <mergeCell ref="E3136:E3137"/>
    <mergeCell ref="H3136:H3137"/>
    <mergeCell ref="I3136:I3137"/>
    <mergeCell ref="J3136:J3137"/>
    <mergeCell ref="K3136:K3137"/>
    <mergeCell ref="L3136:L3137"/>
    <mergeCell ref="M3136:M3137"/>
    <mergeCell ref="N3136:N3137"/>
    <mergeCell ref="O3136:O3137"/>
    <mergeCell ref="X3136:X3137"/>
    <mergeCell ref="Y3136:Y3137"/>
    <mergeCell ref="Z3136:Z3137"/>
    <mergeCell ref="AA3136:AA3137"/>
    <mergeCell ref="AB3136:AB3137"/>
    <mergeCell ref="A3138:A3139"/>
    <mergeCell ref="E3138:E3139"/>
    <mergeCell ref="H3138:H3139"/>
    <mergeCell ref="I3138:I3139"/>
    <mergeCell ref="J3138:J3139"/>
    <mergeCell ref="K3138:K3139"/>
    <mergeCell ref="L3138:L3139"/>
    <mergeCell ref="M3138:M3139"/>
    <mergeCell ref="N3138:N3139"/>
    <mergeCell ref="O3138:O3139"/>
    <mergeCell ref="X3138:X3139"/>
    <mergeCell ref="Y3138:Y3139"/>
    <mergeCell ref="Z3138:Z3139"/>
    <mergeCell ref="AA3138:AA3139"/>
    <mergeCell ref="AB3138:AB3139"/>
    <mergeCell ref="A3134:A3135"/>
    <mergeCell ref="E3134:E3135"/>
    <mergeCell ref="H3134:H3135"/>
    <mergeCell ref="I3134:I3135"/>
    <mergeCell ref="J3134:J3135"/>
    <mergeCell ref="K3134:K3135"/>
    <mergeCell ref="L3134:L3135"/>
    <mergeCell ref="M3134:M3135"/>
    <mergeCell ref="N3134:N3135"/>
    <mergeCell ref="O3134:O3135"/>
    <mergeCell ref="X3134:X3135"/>
    <mergeCell ref="Y3134:Y3135"/>
    <mergeCell ref="Z3134:Z3135"/>
    <mergeCell ref="AA3134:AA3135"/>
    <mergeCell ref="AB3134:AB3135"/>
    <mergeCell ref="A3130:A3131"/>
    <mergeCell ref="E3130:E3131"/>
    <mergeCell ref="H3130:H3131"/>
    <mergeCell ref="I3130:I3131"/>
    <mergeCell ref="J3130:J3131"/>
    <mergeCell ref="K3130:K3131"/>
    <mergeCell ref="L3130:L3131"/>
    <mergeCell ref="M3130:M3131"/>
    <mergeCell ref="N3130:N3131"/>
    <mergeCell ref="O3130:O3131"/>
    <mergeCell ref="X3130:X3131"/>
    <mergeCell ref="Y3130:Y3131"/>
    <mergeCell ref="Z3130:Z3131"/>
    <mergeCell ref="AA3130:AA3131"/>
    <mergeCell ref="AB3130:AB3131"/>
    <mergeCell ref="A3132:A3133"/>
    <mergeCell ref="E3132:E3133"/>
    <mergeCell ref="H3132:H3133"/>
    <mergeCell ref="I3132:I3133"/>
    <mergeCell ref="J3132:J3133"/>
    <mergeCell ref="K3132:K3133"/>
    <mergeCell ref="L3132:L3133"/>
    <mergeCell ref="M3132:M3133"/>
    <mergeCell ref="N3132:N3133"/>
    <mergeCell ref="O3132:O3133"/>
    <mergeCell ref="X3132:X3133"/>
    <mergeCell ref="Y3132:Y3133"/>
    <mergeCell ref="Z3132:Z3133"/>
    <mergeCell ref="AA3132:AA3133"/>
    <mergeCell ref="AB3132:AB3133"/>
    <mergeCell ref="A3126:A3127"/>
    <mergeCell ref="E3126:E3127"/>
    <mergeCell ref="H3126:H3127"/>
    <mergeCell ref="I3126:I3127"/>
    <mergeCell ref="J3126:J3127"/>
    <mergeCell ref="K3126:K3127"/>
    <mergeCell ref="L3126:L3127"/>
    <mergeCell ref="M3126:M3127"/>
    <mergeCell ref="N3126:N3127"/>
    <mergeCell ref="O3126:O3127"/>
    <mergeCell ref="X3126:X3127"/>
    <mergeCell ref="Y3126:Y3127"/>
    <mergeCell ref="Z3126:Z3127"/>
    <mergeCell ref="AA3126:AA3127"/>
    <mergeCell ref="AB3126:AB3127"/>
    <mergeCell ref="A3128:A3129"/>
    <mergeCell ref="E3128:E3129"/>
    <mergeCell ref="H3128:H3129"/>
    <mergeCell ref="I3128:I3129"/>
    <mergeCell ref="J3128:J3129"/>
    <mergeCell ref="K3128:K3129"/>
    <mergeCell ref="L3128:L3129"/>
    <mergeCell ref="M3128:M3129"/>
    <mergeCell ref="N3128:N3129"/>
    <mergeCell ref="O3128:O3129"/>
    <mergeCell ref="X3128:X3129"/>
    <mergeCell ref="Y3128:Y3129"/>
    <mergeCell ref="Z3128:Z3129"/>
    <mergeCell ref="AA3128:AA3129"/>
    <mergeCell ref="AB3128:AB3129"/>
    <mergeCell ref="A3122:A3123"/>
    <mergeCell ref="E3122:E3123"/>
    <mergeCell ref="H3122:H3123"/>
    <mergeCell ref="I3122:I3123"/>
    <mergeCell ref="J3122:J3123"/>
    <mergeCell ref="K3122:K3123"/>
    <mergeCell ref="L3122:L3123"/>
    <mergeCell ref="M3122:M3123"/>
    <mergeCell ref="N3122:N3123"/>
    <mergeCell ref="O3122:O3123"/>
    <mergeCell ref="X3122:X3123"/>
    <mergeCell ref="Y3122:Y3123"/>
    <mergeCell ref="Z3122:Z3123"/>
    <mergeCell ref="AA3122:AA3123"/>
    <mergeCell ref="AB3122:AB3123"/>
    <mergeCell ref="A3124:A3125"/>
    <mergeCell ref="E3124:E3125"/>
    <mergeCell ref="H3124:H3125"/>
    <mergeCell ref="I3124:I3125"/>
    <mergeCell ref="J3124:J3125"/>
    <mergeCell ref="K3124:K3125"/>
    <mergeCell ref="L3124:L3125"/>
    <mergeCell ref="M3124:M3125"/>
    <mergeCell ref="N3124:N3125"/>
    <mergeCell ref="O3124:O3125"/>
    <mergeCell ref="X3124:X3125"/>
    <mergeCell ref="Y3124:Y3125"/>
    <mergeCell ref="Z3124:Z3125"/>
    <mergeCell ref="AA3124:AA3125"/>
    <mergeCell ref="AB3124:AB3125"/>
    <mergeCell ref="A3118:A3119"/>
    <mergeCell ref="E3118:E3119"/>
    <mergeCell ref="H3118:H3119"/>
    <mergeCell ref="I3118:I3119"/>
    <mergeCell ref="J3118:J3119"/>
    <mergeCell ref="K3118:K3119"/>
    <mergeCell ref="L3118:L3119"/>
    <mergeCell ref="M3118:M3119"/>
    <mergeCell ref="N3118:N3119"/>
    <mergeCell ref="O3118:O3119"/>
    <mergeCell ref="X3118:X3119"/>
    <mergeCell ref="Y3118:Y3119"/>
    <mergeCell ref="Z3118:Z3119"/>
    <mergeCell ref="AA3118:AA3119"/>
    <mergeCell ref="AB3118:AB3119"/>
    <mergeCell ref="A3120:A3121"/>
    <mergeCell ref="E3120:E3121"/>
    <mergeCell ref="H3120:H3121"/>
    <mergeCell ref="I3120:I3121"/>
    <mergeCell ref="J3120:J3121"/>
    <mergeCell ref="K3120:K3121"/>
    <mergeCell ref="L3120:L3121"/>
    <mergeCell ref="M3120:M3121"/>
    <mergeCell ref="N3120:N3121"/>
    <mergeCell ref="O3120:O3121"/>
    <mergeCell ref="X3120:X3121"/>
    <mergeCell ref="Y3120:Y3121"/>
    <mergeCell ref="Z3120:Z3121"/>
    <mergeCell ref="AA3120:AA3121"/>
    <mergeCell ref="AB3120:AB3121"/>
    <mergeCell ref="A3114:A3115"/>
    <mergeCell ref="E3114:E3115"/>
    <mergeCell ref="H3114:H3115"/>
    <mergeCell ref="I3114:I3115"/>
    <mergeCell ref="J3114:J3115"/>
    <mergeCell ref="K3114:K3115"/>
    <mergeCell ref="L3114:L3115"/>
    <mergeCell ref="M3114:M3115"/>
    <mergeCell ref="N3114:N3115"/>
    <mergeCell ref="O3114:O3115"/>
    <mergeCell ref="X3114:X3115"/>
    <mergeCell ref="Y3114:Y3115"/>
    <mergeCell ref="Z3114:Z3115"/>
    <mergeCell ref="AA3114:AA3115"/>
    <mergeCell ref="AB3114:AB3115"/>
    <mergeCell ref="A3116:A3117"/>
    <mergeCell ref="E3116:E3117"/>
    <mergeCell ref="H3116:H3117"/>
    <mergeCell ref="I3116:I3117"/>
    <mergeCell ref="J3116:J3117"/>
    <mergeCell ref="K3116:K3117"/>
    <mergeCell ref="L3116:L3117"/>
    <mergeCell ref="M3116:M3117"/>
    <mergeCell ref="N3116:N3117"/>
    <mergeCell ref="O3116:O3117"/>
    <mergeCell ref="X3116:X3117"/>
    <mergeCell ref="Y3116:Y3117"/>
    <mergeCell ref="Z3116:Z3117"/>
    <mergeCell ref="AA3116:AA3117"/>
    <mergeCell ref="AB3116:AB3117"/>
    <mergeCell ref="A3110:A3111"/>
    <mergeCell ref="E3110:E3111"/>
    <mergeCell ref="H3110:H3111"/>
    <mergeCell ref="I3110:I3111"/>
    <mergeCell ref="J3110:J3111"/>
    <mergeCell ref="K3110:K3111"/>
    <mergeCell ref="L3110:L3111"/>
    <mergeCell ref="M3110:M3111"/>
    <mergeCell ref="N3110:N3111"/>
    <mergeCell ref="O3110:O3111"/>
    <mergeCell ref="X3110:X3111"/>
    <mergeCell ref="Y3110:Y3111"/>
    <mergeCell ref="Z3110:Z3111"/>
    <mergeCell ref="AA3110:AA3111"/>
    <mergeCell ref="AB3110:AB3111"/>
    <mergeCell ref="A3112:A3113"/>
    <mergeCell ref="E3112:E3113"/>
    <mergeCell ref="H3112:H3113"/>
    <mergeCell ref="I3112:I3113"/>
    <mergeCell ref="J3112:J3113"/>
    <mergeCell ref="K3112:K3113"/>
    <mergeCell ref="L3112:L3113"/>
    <mergeCell ref="M3112:M3113"/>
    <mergeCell ref="N3112:N3113"/>
    <mergeCell ref="O3112:O3113"/>
    <mergeCell ref="X3112:X3113"/>
    <mergeCell ref="Y3112:Y3113"/>
    <mergeCell ref="Z3112:Z3113"/>
    <mergeCell ref="AA3112:AA3113"/>
    <mergeCell ref="AB3112:AB3113"/>
    <mergeCell ref="A3106:A3107"/>
    <mergeCell ref="E3106:E3107"/>
    <mergeCell ref="H3106:H3107"/>
    <mergeCell ref="I3106:I3107"/>
    <mergeCell ref="J3106:J3107"/>
    <mergeCell ref="K3106:K3107"/>
    <mergeCell ref="L3106:L3107"/>
    <mergeCell ref="M3106:M3107"/>
    <mergeCell ref="N3106:N3107"/>
    <mergeCell ref="O3106:O3107"/>
    <mergeCell ref="X3106:X3107"/>
    <mergeCell ref="Y3106:Y3107"/>
    <mergeCell ref="Z3106:Z3107"/>
    <mergeCell ref="AA3106:AA3107"/>
    <mergeCell ref="AB3106:AB3107"/>
    <mergeCell ref="A3108:A3109"/>
    <mergeCell ref="E3108:E3109"/>
    <mergeCell ref="H3108:H3109"/>
    <mergeCell ref="I3108:I3109"/>
    <mergeCell ref="J3108:J3109"/>
    <mergeCell ref="K3108:K3109"/>
    <mergeCell ref="L3108:L3109"/>
    <mergeCell ref="M3108:M3109"/>
    <mergeCell ref="N3108:N3109"/>
    <mergeCell ref="O3108:O3109"/>
    <mergeCell ref="X3108:X3109"/>
    <mergeCell ref="Y3108:Y3109"/>
    <mergeCell ref="Z3108:Z3109"/>
    <mergeCell ref="AA3108:AA3109"/>
    <mergeCell ref="AB3108:AB3109"/>
    <mergeCell ref="A3102:A3103"/>
    <mergeCell ref="E3102:E3103"/>
    <mergeCell ref="H3102:H3103"/>
    <mergeCell ref="I3102:I3103"/>
    <mergeCell ref="J3102:J3103"/>
    <mergeCell ref="K3102:K3103"/>
    <mergeCell ref="L3102:L3103"/>
    <mergeCell ref="M3102:M3103"/>
    <mergeCell ref="N3102:N3103"/>
    <mergeCell ref="O3102:O3103"/>
    <mergeCell ref="X3102:X3103"/>
    <mergeCell ref="Y3102:Y3103"/>
    <mergeCell ref="Z3102:Z3103"/>
    <mergeCell ref="AA3102:AA3103"/>
    <mergeCell ref="AB3102:AB3103"/>
    <mergeCell ref="A3104:A3105"/>
    <mergeCell ref="E3104:E3105"/>
    <mergeCell ref="H3104:H3105"/>
    <mergeCell ref="I3104:I3105"/>
    <mergeCell ref="J3104:J3105"/>
    <mergeCell ref="K3104:K3105"/>
    <mergeCell ref="L3104:L3105"/>
    <mergeCell ref="M3104:M3105"/>
    <mergeCell ref="N3104:N3105"/>
    <mergeCell ref="O3104:O3105"/>
    <mergeCell ref="X3104:X3105"/>
    <mergeCell ref="Y3104:Y3105"/>
    <mergeCell ref="Z3104:Z3105"/>
    <mergeCell ref="AA3104:AA3105"/>
    <mergeCell ref="AB3104:AB3105"/>
    <mergeCell ref="M3036:M3037"/>
    <mergeCell ref="N3036:N3037"/>
    <mergeCell ref="O3036:O3037"/>
    <mergeCell ref="X3036:X3037"/>
    <mergeCell ref="Y3036:Y3037"/>
    <mergeCell ref="Z3036:Z3037"/>
    <mergeCell ref="AA3036:AA3037"/>
    <mergeCell ref="AB3036:AB3037"/>
    <mergeCell ref="A3048:A3049"/>
    <mergeCell ref="E3048:E3049"/>
    <mergeCell ref="H3048:H3049"/>
    <mergeCell ref="I3048:I3049"/>
    <mergeCell ref="J3048:J3049"/>
    <mergeCell ref="K3048:K3049"/>
    <mergeCell ref="L3048:L3049"/>
    <mergeCell ref="M3048:M3049"/>
    <mergeCell ref="N3048:N3049"/>
    <mergeCell ref="O3048:O3049"/>
    <mergeCell ref="X3048:X3049"/>
    <mergeCell ref="Y3048:Y3049"/>
    <mergeCell ref="Z3048:Z3049"/>
    <mergeCell ref="AA3048:AA3049"/>
    <mergeCell ref="AB3048:AB3049"/>
    <mergeCell ref="A3042:A3043"/>
    <mergeCell ref="E3042:E3043"/>
    <mergeCell ref="H3042:H3043"/>
    <mergeCell ref="I3042:I3043"/>
    <mergeCell ref="J3042:J3043"/>
    <mergeCell ref="K3042:K3043"/>
    <mergeCell ref="L3042:L3043"/>
    <mergeCell ref="M3042:M3043"/>
    <mergeCell ref="N3042:N3043"/>
    <mergeCell ref="O3042:O3043"/>
    <mergeCell ref="X3042:X3043"/>
    <mergeCell ref="A3024:A3025"/>
    <mergeCell ref="E3024:E3025"/>
    <mergeCell ref="H3024:H3025"/>
    <mergeCell ref="I3024:I3025"/>
    <mergeCell ref="J3024:J3025"/>
    <mergeCell ref="K3024:K3025"/>
    <mergeCell ref="L3024:L3025"/>
    <mergeCell ref="M3024:M3025"/>
    <mergeCell ref="N3024:N3025"/>
    <mergeCell ref="O3024:O3025"/>
    <mergeCell ref="X3024:X3025"/>
    <mergeCell ref="Y3024:Y3025"/>
    <mergeCell ref="Z3024:Z3025"/>
    <mergeCell ref="AA3024:AA3025"/>
    <mergeCell ref="AB3024:AB3025"/>
    <mergeCell ref="A3032:A3033"/>
    <mergeCell ref="E3032:E3033"/>
    <mergeCell ref="H3032:H3033"/>
    <mergeCell ref="I3032:I3033"/>
    <mergeCell ref="J3032:J3033"/>
    <mergeCell ref="K3032:K3033"/>
    <mergeCell ref="L3032:L3033"/>
    <mergeCell ref="M3032:M3033"/>
    <mergeCell ref="N3032:N3033"/>
    <mergeCell ref="O3032:O3033"/>
    <mergeCell ref="X3032:X3033"/>
    <mergeCell ref="Y3032:Y3033"/>
    <mergeCell ref="Z3032:Z3033"/>
    <mergeCell ref="AA3032:AA3033"/>
    <mergeCell ref="AB3032:AB3033"/>
    <mergeCell ref="A3030:A3031"/>
    <mergeCell ref="E3030:E3031"/>
    <mergeCell ref="H3030:H3031"/>
    <mergeCell ref="I3030:I3031"/>
    <mergeCell ref="J3030:J3031"/>
    <mergeCell ref="K3030:K3031"/>
    <mergeCell ref="L3030:L3031"/>
    <mergeCell ref="M3030:M3031"/>
    <mergeCell ref="N3030:N3031"/>
    <mergeCell ref="O3026:O3027"/>
    <mergeCell ref="X3026:X3027"/>
    <mergeCell ref="Y3026:Y3027"/>
    <mergeCell ref="Z3026:Z3027"/>
    <mergeCell ref="AA3026:AA3027"/>
    <mergeCell ref="AB3026:AB3027"/>
    <mergeCell ref="A3028:A3029"/>
    <mergeCell ref="E3028:E3029"/>
    <mergeCell ref="H3028:H3029"/>
    <mergeCell ref="I3028:I3029"/>
    <mergeCell ref="J3028:J3029"/>
    <mergeCell ref="K3028:K3029"/>
    <mergeCell ref="L3028:L3029"/>
    <mergeCell ref="M3028:M3029"/>
    <mergeCell ref="N3028:N3029"/>
    <mergeCell ref="O3028:O3029"/>
    <mergeCell ref="X3028:X3029"/>
    <mergeCell ref="Y3028:Y3029"/>
    <mergeCell ref="Z3028:Z3029"/>
    <mergeCell ref="AA3028:AA3029"/>
    <mergeCell ref="AB3028:AB3029"/>
    <mergeCell ref="O3030:O3031"/>
    <mergeCell ref="X3030:X3031"/>
    <mergeCell ref="Y3030:Y3031"/>
    <mergeCell ref="Z3030:Z3031"/>
    <mergeCell ref="A3020:A3021"/>
    <mergeCell ref="E3020:E3021"/>
    <mergeCell ref="H3020:H3021"/>
    <mergeCell ref="I3020:I3021"/>
    <mergeCell ref="J3020:J3021"/>
    <mergeCell ref="K3020:K3021"/>
    <mergeCell ref="L3020:L3021"/>
    <mergeCell ref="M3020:M3021"/>
    <mergeCell ref="N3020:N3021"/>
    <mergeCell ref="O3020:O3021"/>
    <mergeCell ref="X3020:X3021"/>
    <mergeCell ref="Y3020:Y3021"/>
    <mergeCell ref="Z3020:Z3021"/>
    <mergeCell ref="AA3020:AA3021"/>
    <mergeCell ref="AB3020:AB3021"/>
    <mergeCell ref="A3022:A3023"/>
    <mergeCell ref="E3022:E3023"/>
    <mergeCell ref="H3022:H3023"/>
    <mergeCell ref="I3022:I3023"/>
    <mergeCell ref="J3022:J3023"/>
    <mergeCell ref="K3022:K3023"/>
    <mergeCell ref="L3022:L3023"/>
    <mergeCell ref="M3022:M3023"/>
    <mergeCell ref="N3022:N3023"/>
    <mergeCell ref="O3022:O3023"/>
    <mergeCell ref="X3022:X3023"/>
    <mergeCell ref="Y3022:Y3023"/>
    <mergeCell ref="Z3022:Z3023"/>
    <mergeCell ref="AA3022:AA3023"/>
    <mergeCell ref="AB3022:AB3023"/>
    <mergeCell ref="A3016:A3017"/>
    <mergeCell ref="E3016:E3017"/>
    <mergeCell ref="H3016:H3017"/>
    <mergeCell ref="I3016:I3017"/>
    <mergeCell ref="J3016:J3017"/>
    <mergeCell ref="K3016:K3017"/>
    <mergeCell ref="L3016:L3017"/>
    <mergeCell ref="M3016:M3017"/>
    <mergeCell ref="N3016:N3017"/>
    <mergeCell ref="O3016:O3017"/>
    <mergeCell ref="X3016:X3017"/>
    <mergeCell ref="Y3016:Y3017"/>
    <mergeCell ref="Z3016:Z3017"/>
    <mergeCell ref="AA3016:AA3017"/>
    <mergeCell ref="AB3016:AB3017"/>
    <mergeCell ref="A3018:A3019"/>
    <mergeCell ref="E3018:E3019"/>
    <mergeCell ref="H3018:H3019"/>
    <mergeCell ref="I3018:I3019"/>
    <mergeCell ref="J3018:J3019"/>
    <mergeCell ref="K3018:K3019"/>
    <mergeCell ref="L3018:L3019"/>
    <mergeCell ref="M3018:M3019"/>
    <mergeCell ref="N3018:N3019"/>
    <mergeCell ref="O3018:O3019"/>
    <mergeCell ref="X3018:X3019"/>
    <mergeCell ref="Y3018:Y3019"/>
    <mergeCell ref="Z3018:Z3019"/>
    <mergeCell ref="AA3018:AA3019"/>
    <mergeCell ref="AB3018:AB3019"/>
    <mergeCell ref="A3012:A3013"/>
    <mergeCell ref="E3012:E3013"/>
    <mergeCell ref="H3012:H3013"/>
    <mergeCell ref="I3012:I3013"/>
    <mergeCell ref="J3012:J3013"/>
    <mergeCell ref="K3012:K3013"/>
    <mergeCell ref="L3012:L3013"/>
    <mergeCell ref="M3012:M3013"/>
    <mergeCell ref="N3012:N3013"/>
    <mergeCell ref="O3012:O3013"/>
    <mergeCell ref="X3012:X3013"/>
    <mergeCell ref="Y3012:Y3013"/>
    <mergeCell ref="Z3012:Z3013"/>
    <mergeCell ref="AA3012:AA3013"/>
    <mergeCell ref="AB3012:AB3013"/>
    <mergeCell ref="A3014:A3015"/>
    <mergeCell ref="E3014:E3015"/>
    <mergeCell ref="H3014:H3015"/>
    <mergeCell ref="I3014:I3015"/>
    <mergeCell ref="J3014:J3015"/>
    <mergeCell ref="K3014:K3015"/>
    <mergeCell ref="L3014:L3015"/>
    <mergeCell ref="M3014:M3015"/>
    <mergeCell ref="N3014:N3015"/>
    <mergeCell ref="O3014:O3015"/>
    <mergeCell ref="X3014:X3015"/>
    <mergeCell ref="Y3014:Y3015"/>
    <mergeCell ref="Z3014:Z3015"/>
    <mergeCell ref="AA3014:AA3015"/>
    <mergeCell ref="AB3014:AB3015"/>
    <mergeCell ref="A3008:A3009"/>
    <mergeCell ref="E3008:E3009"/>
    <mergeCell ref="H3008:H3009"/>
    <mergeCell ref="I3008:I3009"/>
    <mergeCell ref="J3008:J3009"/>
    <mergeCell ref="K3008:K3009"/>
    <mergeCell ref="L3008:L3009"/>
    <mergeCell ref="M3008:M3009"/>
    <mergeCell ref="N3008:N3009"/>
    <mergeCell ref="O3008:O3009"/>
    <mergeCell ref="X3008:X3009"/>
    <mergeCell ref="Y3008:Y3009"/>
    <mergeCell ref="Z3008:Z3009"/>
    <mergeCell ref="AA3008:AA3009"/>
    <mergeCell ref="AB3008:AB3009"/>
    <mergeCell ref="A3010:A3011"/>
    <mergeCell ref="E3010:E3011"/>
    <mergeCell ref="H3010:H3011"/>
    <mergeCell ref="I3010:I3011"/>
    <mergeCell ref="J3010:J3011"/>
    <mergeCell ref="K3010:K3011"/>
    <mergeCell ref="L3010:L3011"/>
    <mergeCell ref="M3010:M3011"/>
    <mergeCell ref="N3010:N3011"/>
    <mergeCell ref="O3010:O3011"/>
    <mergeCell ref="X3010:X3011"/>
    <mergeCell ref="Y3010:Y3011"/>
    <mergeCell ref="Z3010:Z3011"/>
    <mergeCell ref="AA3010:AA3011"/>
    <mergeCell ref="AB3010:AB3011"/>
    <mergeCell ref="A3004:A3005"/>
    <mergeCell ref="E3004:E3005"/>
    <mergeCell ref="H3004:H3005"/>
    <mergeCell ref="I3004:I3005"/>
    <mergeCell ref="J3004:J3005"/>
    <mergeCell ref="K3004:K3005"/>
    <mergeCell ref="L3004:L3005"/>
    <mergeCell ref="M3004:M3005"/>
    <mergeCell ref="N3004:N3005"/>
    <mergeCell ref="O3004:O3005"/>
    <mergeCell ref="X3004:X3005"/>
    <mergeCell ref="Y3004:Y3005"/>
    <mergeCell ref="Z3004:Z3005"/>
    <mergeCell ref="AA3004:AA3005"/>
    <mergeCell ref="AB3004:AB3005"/>
    <mergeCell ref="A3006:A3007"/>
    <mergeCell ref="E3006:E3007"/>
    <mergeCell ref="H3006:H3007"/>
    <mergeCell ref="I3006:I3007"/>
    <mergeCell ref="J3006:J3007"/>
    <mergeCell ref="K3006:K3007"/>
    <mergeCell ref="L3006:L3007"/>
    <mergeCell ref="M3006:M3007"/>
    <mergeCell ref="N3006:N3007"/>
    <mergeCell ref="O3006:O3007"/>
    <mergeCell ref="X3006:X3007"/>
    <mergeCell ref="Y3006:Y3007"/>
    <mergeCell ref="Z3006:Z3007"/>
    <mergeCell ref="AA3006:AA3007"/>
    <mergeCell ref="AB3006:AB3007"/>
    <mergeCell ref="A3000:A3001"/>
    <mergeCell ref="E3000:E3001"/>
    <mergeCell ref="H3000:H3001"/>
    <mergeCell ref="I3000:I3001"/>
    <mergeCell ref="J3000:J3001"/>
    <mergeCell ref="K3000:K3001"/>
    <mergeCell ref="L3000:L3001"/>
    <mergeCell ref="M3000:M3001"/>
    <mergeCell ref="N3000:N3001"/>
    <mergeCell ref="O3000:O3001"/>
    <mergeCell ref="X3000:X3001"/>
    <mergeCell ref="Y3000:Y3001"/>
    <mergeCell ref="Z3000:Z3001"/>
    <mergeCell ref="AA3000:AA3001"/>
    <mergeCell ref="AB3000:AB3001"/>
    <mergeCell ref="A3002:A3003"/>
    <mergeCell ref="E3002:E3003"/>
    <mergeCell ref="H3002:H3003"/>
    <mergeCell ref="I3002:I3003"/>
    <mergeCell ref="J3002:J3003"/>
    <mergeCell ref="K3002:K3003"/>
    <mergeCell ref="L3002:L3003"/>
    <mergeCell ref="M3002:M3003"/>
    <mergeCell ref="N3002:N3003"/>
    <mergeCell ref="O3002:O3003"/>
    <mergeCell ref="X3002:X3003"/>
    <mergeCell ref="Y3002:Y3003"/>
    <mergeCell ref="Z3002:Z3003"/>
    <mergeCell ref="AA3002:AA3003"/>
    <mergeCell ref="AB3002:AB3003"/>
    <mergeCell ref="A2996:A2997"/>
    <mergeCell ref="E2996:E2997"/>
    <mergeCell ref="H2996:H2997"/>
    <mergeCell ref="I2996:I2997"/>
    <mergeCell ref="J2996:J2997"/>
    <mergeCell ref="K2996:K2997"/>
    <mergeCell ref="L2996:L2997"/>
    <mergeCell ref="M2996:M2997"/>
    <mergeCell ref="N2996:N2997"/>
    <mergeCell ref="O2996:O2997"/>
    <mergeCell ref="X2996:X2997"/>
    <mergeCell ref="Y2996:Y2997"/>
    <mergeCell ref="Z2996:Z2997"/>
    <mergeCell ref="AA2996:AA2997"/>
    <mergeCell ref="AB2996:AB2997"/>
    <mergeCell ref="A2998:A2999"/>
    <mergeCell ref="E2998:E2999"/>
    <mergeCell ref="H2998:H2999"/>
    <mergeCell ref="I2998:I2999"/>
    <mergeCell ref="J2998:J2999"/>
    <mergeCell ref="K2998:K2999"/>
    <mergeCell ref="L2998:L2999"/>
    <mergeCell ref="M2998:M2999"/>
    <mergeCell ref="N2998:N2999"/>
    <mergeCell ref="O2998:O2999"/>
    <mergeCell ref="X2998:X2999"/>
    <mergeCell ref="Y2998:Y2999"/>
    <mergeCell ref="Z2998:Z2999"/>
    <mergeCell ref="AA2998:AA2999"/>
    <mergeCell ref="AB2998:AB2999"/>
    <mergeCell ref="A2992:A2993"/>
    <mergeCell ref="E2992:E2993"/>
    <mergeCell ref="H2992:H2993"/>
    <mergeCell ref="I2992:I2993"/>
    <mergeCell ref="J2992:J2993"/>
    <mergeCell ref="K2992:K2993"/>
    <mergeCell ref="L2992:L2993"/>
    <mergeCell ref="M2992:M2993"/>
    <mergeCell ref="N2992:N2993"/>
    <mergeCell ref="O2992:O2993"/>
    <mergeCell ref="X2992:X2993"/>
    <mergeCell ref="Y2992:Y2993"/>
    <mergeCell ref="Z2992:Z2993"/>
    <mergeCell ref="AA2992:AA2993"/>
    <mergeCell ref="AB2992:AB2993"/>
    <mergeCell ref="A2994:A2995"/>
    <mergeCell ref="E2994:E2995"/>
    <mergeCell ref="H2994:H2995"/>
    <mergeCell ref="I2994:I2995"/>
    <mergeCell ref="J2994:J2995"/>
    <mergeCell ref="K2994:K2995"/>
    <mergeCell ref="L2994:L2995"/>
    <mergeCell ref="M2994:M2995"/>
    <mergeCell ref="N2994:N2995"/>
    <mergeCell ref="O2994:O2995"/>
    <mergeCell ref="X2994:X2995"/>
    <mergeCell ref="Y2994:Y2995"/>
    <mergeCell ref="Z2994:Z2995"/>
    <mergeCell ref="AA2994:AA2995"/>
    <mergeCell ref="AB2994:AB2995"/>
    <mergeCell ref="M2980:M2981"/>
    <mergeCell ref="A2988:A2989"/>
    <mergeCell ref="E2988:E2989"/>
    <mergeCell ref="H2988:H2989"/>
    <mergeCell ref="I2988:I2989"/>
    <mergeCell ref="J2988:J2989"/>
    <mergeCell ref="K2988:K2989"/>
    <mergeCell ref="L2988:L2989"/>
    <mergeCell ref="M2988:M2989"/>
    <mergeCell ref="N2988:N2989"/>
    <mergeCell ref="O2988:O2989"/>
    <mergeCell ref="X2988:X2989"/>
    <mergeCell ref="Y2988:Y2989"/>
    <mergeCell ref="Z2988:Z2989"/>
    <mergeCell ref="AA2988:AA2989"/>
    <mergeCell ref="AB2988:AB2989"/>
    <mergeCell ref="A2990:A2991"/>
    <mergeCell ref="E2990:E2991"/>
    <mergeCell ref="H2990:H2991"/>
    <mergeCell ref="I2990:I2991"/>
    <mergeCell ref="J2990:J2991"/>
    <mergeCell ref="K2990:K2991"/>
    <mergeCell ref="L2990:L2991"/>
    <mergeCell ref="M2990:M2991"/>
    <mergeCell ref="N2990:N2991"/>
    <mergeCell ref="O2990:O2991"/>
    <mergeCell ref="X2990:X2991"/>
    <mergeCell ref="Y2990:Y2991"/>
    <mergeCell ref="Z2990:Z2991"/>
    <mergeCell ref="AA2990:AA2991"/>
    <mergeCell ref="AB2990:AB2991"/>
    <mergeCell ref="A2984:A2985"/>
    <mergeCell ref="E2984:E2985"/>
    <mergeCell ref="H2984:H2985"/>
    <mergeCell ref="I2984:I2985"/>
    <mergeCell ref="J2984:J2985"/>
    <mergeCell ref="K2984:K2985"/>
    <mergeCell ref="L2984:L2985"/>
    <mergeCell ref="M2984:M2985"/>
    <mergeCell ref="N2984:N2985"/>
    <mergeCell ref="O2984:O2985"/>
    <mergeCell ref="X2984:X2985"/>
    <mergeCell ref="Y2984:Y2985"/>
    <mergeCell ref="Z2984:Z2985"/>
    <mergeCell ref="AA2984:AA2985"/>
    <mergeCell ref="AB2984:AB2985"/>
    <mergeCell ref="A2986:A2987"/>
    <mergeCell ref="E2986:E2987"/>
    <mergeCell ref="H2986:H2987"/>
    <mergeCell ref="I2986:I2987"/>
    <mergeCell ref="J2986:J2987"/>
    <mergeCell ref="K2986:K2987"/>
    <mergeCell ref="L2986:L2987"/>
    <mergeCell ref="M2986:M2987"/>
    <mergeCell ref="N2986:N2987"/>
    <mergeCell ref="O2986:O2987"/>
    <mergeCell ref="X2986:X2987"/>
    <mergeCell ref="Y2986:Y2987"/>
    <mergeCell ref="Z2986:Z2987"/>
    <mergeCell ref="AA2986:AA2987"/>
    <mergeCell ref="AB2986:AB2987"/>
    <mergeCell ref="H2974:H2975"/>
    <mergeCell ref="I2974:I2975"/>
    <mergeCell ref="X2982:X2983"/>
    <mergeCell ref="Y2982:Y2983"/>
    <mergeCell ref="Z2982:Z2983"/>
    <mergeCell ref="AA2982:AA2983"/>
    <mergeCell ref="AB2982:AB2983"/>
    <mergeCell ref="A2920:A2921"/>
    <mergeCell ref="E2920:E2921"/>
    <mergeCell ref="H2920:H2921"/>
    <mergeCell ref="I2920:I2921"/>
    <mergeCell ref="J2920:J2921"/>
    <mergeCell ref="K2920:K2921"/>
    <mergeCell ref="L2920:L2921"/>
    <mergeCell ref="M2920:M2921"/>
    <mergeCell ref="N2920:N2921"/>
    <mergeCell ref="O2920:O2921"/>
    <mergeCell ref="X2920:X2921"/>
    <mergeCell ref="Y2920:Y2921"/>
    <mergeCell ref="Z2920:Z2921"/>
    <mergeCell ref="AA2920:AA2921"/>
    <mergeCell ref="AB2920:AB2921"/>
    <mergeCell ref="A2942:A2943"/>
    <mergeCell ref="E2942:E2943"/>
    <mergeCell ref="H2942:H2943"/>
    <mergeCell ref="I2942:I2943"/>
    <mergeCell ref="J2942:J2943"/>
    <mergeCell ref="K2942:K2943"/>
    <mergeCell ref="L2942:L2943"/>
    <mergeCell ref="M2942:M2943"/>
    <mergeCell ref="N2942:N2943"/>
    <mergeCell ref="O2942:O2943"/>
    <mergeCell ref="X2942:X2943"/>
    <mergeCell ref="Y2942:Y2943"/>
    <mergeCell ref="Z2942:Z2943"/>
    <mergeCell ref="AA2942:AA2943"/>
    <mergeCell ref="AB2942:AB2943"/>
    <mergeCell ref="N2934:N2935"/>
    <mergeCell ref="O2934:O2935"/>
    <mergeCell ref="X2934:X2935"/>
    <mergeCell ref="Y2934:Y2935"/>
    <mergeCell ref="Z2934:Z2935"/>
    <mergeCell ref="AA2934:AA2935"/>
    <mergeCell ref="AB2934:AB2935"/>
    <mergeCell ref="A2936:A2937"/>
    <mergeCell ref="E2936:E2937"/>
    <mergeCell ref="H2936:H2937"/>
    <mergeCell ref="I2936:I2937"/>
    <mergeCell ref="J2936:J2937"/>
    <mergeCell ref="K2936:K2937"/>
    <mergeCell ref="L2936:L2937"/>
    <mergeCell ref="M2936:M2937"/>
    <mergeCell ref="N2936:N2937"/>
    <mergeCell ref="O2936:O2937"/>
    <mergeCell ref="X2936:X2937"/>
    <mergeCell ref="Y2936:Y2937"/>
    <mergeCell ref="Z2936:Z2937"/>
    <mergeCell ref="AA2936:AA2937"/>
    <mergeCell ref="A2980:A2981"/>
    <mergeCell ref="E2980:E2981"/>
    <mergeCell ref="H2980:H2981"/>
    <mergeCell ref="I2980:I2981"/>
    <mergeCell ref="J2980:J2981"/>
    <mergeCell ref="K2980:K2981"/>
    <mergeCell ref="E2904:E2905"/>
    <mergeCell ref="H2904:H2905"/>
    <mergeCell ref="I2904:I2905"/>
    <mergeCell ref="J2904:J2905"/>
    <mergeCell ref="K2904:K2905"/>
    <mergeCell ref="L2904:L2905"/>
    <mergeCell ref="M2904:M2905"/>
    <mergeCell ref="N2904:N2905"/>
    <mergeCell ref="O2904:O2905"/>
    <mergeCell ref="X2904:X2905"/>
    <mergeCell ref="Y2904:Y2905"/>
    <mergeCell ref="Z2904:Z2905"/>
    <mergeCell ref="AA2904:AA2905"/>
    <mergeCell ref="AB2904:AB2905"/>
    <mergeCell ref="A2938:A2939"/>
    <mergeCell ref="E2938:E2939"/>
    <mergeCell ref="H2938:H2939"/>
    <mergeCell ref="I2938:I2939"/>
    <mergeCell ref="J2938:J2939"/>
    <mergeCell ref="K2938:K2939"/>
    <mergeCell ref="L2938:L2939"/>
    <mergeCell ref="M2938:M2939"/>
    <mergeCell ref="N2938:N2939"/>
    <mergeCell ref="AB2908:AB2909"/>
    <mergeCell ref="A2916:A2917"/>
    <mergeCell ref="E2916:E2917"/>
    <mergeCell ref="H2916:H2917"/>
    <mergeCell ref="I2916:I2917"/>
    <mergeCell ref="J2916:J2917"/>
    <mergeCell ref="K2916:K2917"/>
    <mergeCell ref="L2916:L2917"/>
    <mergeCell ref="M2916:M2917"/>
    <mergeCell ref="N2916:N2917"/>
    <mergeCell ref="O2916:O2917"/>
    <mergeCell ref="X2916:X2917"/>
    <mergeCell ref="Y2916:Y2917"/>
    <mergeCell ref="A2934:A2935"/>
    <mergeCell ref="E2934:E2935"/>
    <mergeCell ref="H2934:H2935"/>
    <mergeCell ref="I2934:I2935"/>
    <mergeCell ref="J2934:J2935"/>
    <mergeCell ref="K2934:K2935"/>
    <mergeCell ref="L2934:L2935"/>
    <mergeCell ref="M2934:M2935"/>
    <mergeCell ref="Z2938:Z2939"/>
    <mergeCell ref="AA2938:AA2939"/>
    <mergeCell ref="AB2938:AB2939"/>
    <mergeCell ref="A2922:A2923"/>
    <mergeCell ref="E2922:E2923"/>
    <mergeCell ref="H2922:H2923"/>
    <mergeCell ref="I2922:I2923"/>
    <mergeCell ref="J2922:J2923"/>
    <mergeCell ref="K2922:K2923"/>
    <mergeCell ref="L2922:L2923"/>
    <mergeCell ref="M2922:M2923"/>
    <mergeCell ref="N2922:N2923"/>
    <mergeCell ref="O2922:O2923"/>
    <mergeCell ref="X2922:X2923"/>
    <mergeCell ref="Y2922:Y2923"/>
    <mergeCell ref="Z2922:Z2923"/>
    <mergeCell ref="AA2922:AA2923"/>
    <mergeCell ref="AB2922:AB2923"/>
    <mergeCell ref="A2924:A2925"/>
    <mergeCell ref="E2924:E2925"/>
    <mergeCell ref="A2900:A2901"/>
    <mergeCell ref="E2900:E2901"/>
    <mergeCell ref="H2900:H2901"/>
    <mergeCell ref="I2900:I2901"/>
    <mergeCell ref="J2900:J2901"/>
    <mergeCell ref="K2900:K2901"/>
    <mergeCell ref="L2900:L2901"/>
    <mergeCell ref="M2900:M2901"/>
    <mergeCell ref="N2900:N2901"/>
    <mergeCell ref="O2900:O2901"/>
    <mergeCell ref="X2900:X2901"/>
    <mergeCell ref="Y2900:Y2901"/>
    <mergeCell ref="Z2900:Z2901"/>
    <mergeCell ref="AA2900:AA2901"/>
    <mergeCell ref="AB2900:AB2901"/>
    <mergeCell ref="O2872:O2873"/>
    <mergeCell ref="X2872:X2873"/>
    <mergeCell ref="Y2872:Y2873"/>
    <mergeCell ref="Z2872:Z2873"/>
    <mergeCell ref="AA2872:AA2873"/>
    <mergeCell ref="AB2872:AB2873"/>
    <mergeCell ref="A2896:A2897"/>
    <mergeCell ref="E2896:E2897"/>
    <mergeCell ref="H2896:H2897"/>
    <mergeCell ref="I2896:I2897"/>
    <mergeCell ref="J2896:J2897"/>
    <mergeCell ref="K2896:K2897"/>
    <mergeCell ref="L2896:L2897"/>
    <mergeCell ref="M2896:M2897"/>
    <mergeCell ref="N2896:N2897"/>
    <mergeCell ref="O2896:O2897"/>
    <mergeCell ref="A2892:A2893"/>
    <mergeCell ref="E2892:E2893"/>
    <mergeCell ref="H2892:H2893"/>
    <mergeCell ref="I2892:I2893"/>
    <mergeCell ref="J2892:J2893"/>
    <mergeCell ref="K2892:K2893"/>
    <mergeCell ref="L2892:L2893"/>
    <mergeCell ref="M2892:M2893"/>
    <mergeCell ref="N2892:N2893"/>
    <mergeCell ref="O2892:O2893"/>
    <mergeCell ref="X2892:X2893"/>
    <mergeCell ref="Y2892:Y2893"/>
    <mergeCell ref="Z2892:Z2893"/>
    <mergeCell ref="AA2892:AA2893"/>
    <mergeCell ref="AB2892:AB2893"/>
    <mergeCell ref="A2894:A2895"/>
    <mergeCell ref="E2894:E2895"/>
    <mergeCell ref="H2894:H2895"/>
    <mergeCell ref="I2894:I2895"/>
    <mergeCell ref="J2894:J2895"/>
    <mergeCell ref="K2894:K2895"/>
    <mergeCell ref="L2894:L2895"/>
    <mergeCell ref="M2894:M2895"/>
    <mergeCell ref="N2894:N2895"/>
    <mergeCell ref="O2894:O2895"/>
    <mergeCell ref="X2894:X2895"/>
    <mergeCell ref="Y2894:Y2895"/>
    <mergeCell ref="Z2894:Z2895"/>
    <mergeCell ref="AA2894:AA2895"/>
    <mergeCell ref="AB2894:AB2895"/>
    <mergeCell ref="A2888:A2889"/>
    <mergeCell ref="E2888:E2889"/>
    <mergeCell ref="H2888:H2889"/>
    <mergeCell ref="A2902:A2903"/>
    <mergeCell ref="E2902:E2903"/>
    <mergeCell ref="H2902:H2903"/>
    <mergeCell ref="I2902:I2903"/>
    <mergeCell ref="J2902:J2903"/>
    <mergeCell ref="I3034:I3035"/>
    <mergeCell ref="J3034:J3035"/>
    <mergeCell ref="K3034:K3035"/>
    <mergeCell ref="L3034:L3035"/>
    <mergeCell ref="M3034:M3035"/>
    <mergeCell ref="N3034:N3035"/>
    <mergeCell ref="A3038:A3039"/>
    <mergeCell ref="E3038:E3039"/>
    <mergeCell ref="H3038:H3039"/>
    <mergeCell ref="I3038:I3039"/>
    <mergeCell ref="J3038:J3039"/>
    <mergeCell ref="K3038:K3039"/>
    <mergeCell ref="L3038:L3039"/>
    <mergeCell ref="M3038:M3039"/>
    <mergeCell ref="N3038:N3039"/>
    <mergeCell ref="A3026:A3027"/>
    <mergeCell ref="E3026:E3027"/>
    <mergeCell ref="H3026:H3027"/>
    <mergeCell ref="I3026:I3027"/>
    <mergeCell ref="J3026:J3027"/>
    <mergeCell ref="K3026:K3027"/>
    <mergeCell ref="L3026:L3027"/>
    <mergeCell ref="M3026:M3027"/>
    <mergeCell ref="N3026:N3027"/>
    <mergeCell ref="AA3030:AA3031"/>
    <mergeCell ref="AB3030:AB3031"/>
    <mergeCell ref="O3034:O3035"/>
    <mergeCell ref="X3034:X3035"/>
    <mergeCell ref="Y3034:Y3035"/>
    <mergeCell ref="Z3034:Z3035"/>
    <mergeCell ref="AA3034:AA3035"/>
    <mergeCell ref="AB3034:AB3035"/>
    <mergeCell ref="A3036:A3037"/>
    <mergeCell ref="E3036:E3037"/>
    <mergeCell ref="H3036:H3037"/>
    <mergeCell ref="I3036:I3037"/>
    <mergeCell ref="J3036:J3037"/>
    <mergeCell ref="K3036:K3037"/>
    <mergeCell ref="L3036:L3037"/>
    <mergeCell ref="A2974:A2975"/>
    <mergeCell ref="E2974:E2975"/>
    <mergeCell ref="N2980:N2981"/>
    <mergeCell ref="O2980:O2981"/>
    <mergeCell ref="X2980:X2981"/>
    <mergeCell ref="Y2980:Y2981"/>
    <mergeCell ref="Z2980:Z2981"/>
    <mergeCell ref="AA2980:AA2981"/>
    <mergeCell ref="AB2980:AB2981"/>
    <mergeCell ref="K2906:K2907"/>
    <mergeCell ref="L2906:L2907"/>
    <mergeCell ref="M2906:M2907"/>
    <mergeCell ref="N2906:N2907"/>
    <mergeCell ref="O2906:O2907"/>
    <mergeCell ref="X2906:X2907"/>
    <mergeCell ref="Y2906:Y2907"/>
    <mergeCell ref="Z2906:Z2907"/>
    <mergeCell ref="AA2906:AA2907"/>
    <mergeCell ref="AB2906:AB2907"/>
    <mergeCell ref="A2904:A2905"/>
    <mergeCell ref="I2888:I2889"/>
    <mergeCell ref="J2888:J2889"/>
    <mergeCell ref="K2888:K2889"/>
    <mergeCell ref="L2888:L2889"/>
    <mergeCell ref="M2888:M2889"/>
    <mergeCell ref="N2888:N2889"/>
    <mergeCell ref="O2888:O2889"/>
    <mergeCell ref="X2888:X2889"/>
    <mergeCell ref="Y2888:Y2889"/>
    <mergeCell ref="Z2888:Z2889"/>
    <mergeCell ref="AA2888:AA2889"/>
    <mergeCell ref="AB2888:AB2889"/>
    <mergeCell ref="A2890:A2891"/>
    <mergeCell ref="E2890:E2891"/>
    <mergeCell ref="H2890:H2891"/>
    <mergeCell ref="I2890:I2891"/>
    <mergeCell ref="J2890:J2891"/>
    <mergeCell ref="K2890:K2891"/>
    <mergeCell ref="L2890:L2891"/>
    <mergeCell ref="M2890:M2891"/>
    <mergeCell ref="N2890:N2891"/>
    <mergeCell ref="O2890:O2891"/>
    <mergeCell ref="X2890:X2891"/>
    <mergeCell ref="Y2890:Y2891"/>
    <mergeCell ref="Z2890:Z2891"/>
    <mergeCell ref="AA2890:AA2891"/>
    <mergeCell ref="AB2890:AB2891"/>
    <mergeCell ref="AA2978:AA2979"/>
    <mergeCell ref="AB2978:AB2979"/>
    <mergeCell ref="A2976:A2977"/>
    <mergeCell ref="E2976:E2977"/>
    <mergeCell ref="H2976:H2977"/>
    <mergeCell ref="I2976:I2977"/>
    <mergeCell ref="J2976:J2977"/>
    <mergeCell ref="K2976:K2977"/>
    <mergeCell ref="L2976:L2977"/>
    <mergeCell ref="M2976:M2977"/>
    <mergeCell ref="N2976:N2977"/>
    <mergeCell ref="O2974:O2975"/>
    <mergeCell ref="X2974:X2975"/>
    <mergeCell ref="Y2974:Y2975"/>
    <mergeCell ref="Z2974:Z2975"/>
    <mergeCell ref="AA2974:AA2975"/>
    <mergeCell ref="AB2974:AB2975"/>
    <mergeCell ref="A2978:A2979"/>
    <mergeCell ref="E2978:E2979"/>
    <mergeCell ref="H2978:H2979"/>
    <mergeCell ref="I2978:I2979"/>
    <mergeCell ref="J2978:J2979"/>
    <mergeCell ref="K2978:K2979"/>
    <mergeCell ref="L2978:L2979"/>
    <mergeCell ref="M2978:M2979"/>
    <mergeCell ref="N2978:N2979"/>
    <mergeCell ref="O2978:O2979"/>
    <mergeCell ref="X2978:X2979"/>
    <mergeCell ref="Y2978:Y2979"/>
    <mergeCell ref="Z2978:Z2979"/>
    <mergeCell ref="A2968:A2969"/>
    <mergeCell ref="E2968:E2969"/>
    <mergeCell ref="H2968:H2969"/>
    <mergeCell ref="I2968:I2969"/>
    <mergeCell ref="J2968:J2969"/>
    <mergeCell ref="K2968:K2969"/>
    <mergeCell ref="L2968:L2969"/>
    <mergeCell ref="Y3042:Y3043"/>
    <mergeCell ref="Z3042:Z3043"/>
    <mergeCell ref="AA3042:AA3043"/>
    <mergeCell ref="AB3042:AB3043"/>
    <mergeCell ref="A3044:A3045"/>
    <mergeCell ref="E3044:E3045"/>
    <mergeCell ref="H3044:H3045"/>
    <mergeCell ref="I3044:I3045"/>
    <mergeCell ref="J3044:J3045"/>
    <mergeCell ref="K3044:K3045"/>
    <mergeCell ref="L3044:L3045"/>
    <mergeCell ref="M3044:M3045"/>
    <mergeCell ref="N3044:N3045"/>
    <mergeCell ref="O3044:O3045"/>
    <mergeCell ref="X3044:X3045"/>
    <mergeCell ref="Y3044:Y3045"/>
    <mergeCell ref="Z3044:Z3045"/>
    <mergeCell ref="AA3044:AA3045"/>
    <mergeCell ref="AB3044:AB3045"/>
    <mergeCell ref="A3046:A3047"/>
    <mergeCell ref="E3046:E3047"/>
    <mergeCell ref="H3046:H3047"/>
    <mergeCell ref="I3046:I3047"/>
    <mergeCell ref="J3046:J3047"/>
    <mergeCell ref="K3046:K3047"/>
    <mergeCell ref="L3046:L3047"/>
    <mergeCell ref="M3046:M3047"/>
    <mergeCell ref="N3046:N3047"/>
    <mergeCell ref="O3046:O3047"/>
    <mergeCell ref="X3046:X3047"/>
    <mergeCell ref="Y3046:Y3047"/>
    <mergeCell ref="Z3046:Z3047"/>
    <mergeCell ref="AA3046:AA3047"/>
    <mergeCell ref="AB3046:AB3047"/>
    <mergeCell ref="A3040:A3041"/>
    <mergeCell ref="E3040:E3041"/>
    <mergeCell ref="H3040:H3041"/>
    <mergeCell ref="I3040:I3041"/>
    <mergeCell ref="J3040:J3041"/>
    <mergeCell ref="K3040:K3041"/>
    <mergeCell ref="L3040:L3041"/>
    <mergeCell ref="M3040:M3041"/>
    <mergeCell ref="N3040:N3041"/>
    <mergeCell ref="O3040:O3041"/>
    <mergeCell ref="X3040:X3041"/>
    <mergeCell ref="Y3040:Y3041"/>
    <mergeCell ref="Z3040:Z3041"/>
    <mergeCell ref="AA3040:AA3041"/>
    <mergeCell ref="AB3040:AB3041"/>
    <mergeCell ref="A3034:A3035"/>
    <mergeCell ref="E3034:E3035"/>
    <mergeCell ref="H3034:H3035"/>
    <mergeCell ref="L2980:L2981"/>
    <mergeCell ref="A2982:A2983"/>
    <mergeCell ref="E2982:E2983"/>
    <mergeCell ref="H2982:H2983"/>
    <mergeCell ref="I2982:I2983"/>
    <mergeCell ref="J2982:J2983"/>
    <mergeCell ref="K2982:K2983"/>
    <mergeCell ref="L2982:L2983"/>
    <mergeCell ref="M2982:M2983"/>
    <mergeCell ref="N2982:N2983"/>
    <mergeCell ref="O2982:O2983"/>
    <mergeCell ref="A2970:A2971"/>
    <mergeCell ref="E2970:E2971"/>
    <mergeCell ref="H2970:H2971"/>
    <mergeCell ref="I2970:I2971"/>
    <mergeCell ref="J2970:J2971"/>
    <mergeCell ref="K2970:K2971"/>
    <mergeCell ref="L2970:L2971"/>
    <mergeCell ref="M2970:M2971"/>
    <mergeCell ref="N2970:N2971"/>
    <mergeCell ref="O2970:O2971"/>
    <mergeCell ref="X2970:X2971"/>
    <mergeCell ref="Y2970:Y2971"/>
    <mergeCell ref="Z2970:Z2971"/>
    <mergeCell ref="AA2970:AA2971"/>
    <mergeCell ref="AB2970:AB2971"/>
    <mergeCell ref="A2972:A2973"/>
    <mergeCell ref="E2972:E2973"/>
    <mergeCell ref="H2972:H2973"/>
    <mergeCell ref="I2972:I2973"/>
    <mergeCell ref="J2972:J2973"/>
    <mergeCell ref="K2972:K2973"/>
    <mergeCell ref="L2972:L2973"/>
    <mergeCell ref="M2972:M2973"/>
    <mergeCell ref="N2972:N2973"/>
    <mergeCell ref="O2972:O2973"/>
    <mergeCell ref="X2972:X2973"/>
    <mergeCell ref="Y2972:Y2973"/>
    <mergeCell ref="Z2972:Z2973"/>
    <mergeCell ref="AA2972:AA2973"/>
    <mergeCell ref="AB2972:AB2973"/>
    <mergeCell ref="J2974:J2975"/>
    <mergeCell ref="K2974:K2975"/>
    <mergeCell ref="L2974:L2975"/>
    <mergeCell ref="M2974:M2975"/>
    <mergeCell ref="N2974:N2975"/>
    <mergeCell ref="M2968:M2969"/>
    <mergeCell ref="N2968:N2969"/>
    <mergeCell ref="O2968:O2969"/>
    <mergeCell ref="X2968:X2969"/>
    <mergeCell ref="Y2968:Y2969"/>
    <mergeCell ref="Z2968:Z2969"/>
    <mergeCell ref="AA2968:AA2969"/>
    <mergeCell ref="AB2968:AB2969"/>
    <mergeCell ref="A2964:A2965"/>
    <mergeCell ref="E2964:E2965"/>
    <mergeCell ref="H2964:H2965"/>
    <mergeCell ref="I2964:I2965"/>
    <mergeCell ref="J2964:J2965"/>
    <mergeCell ref="K2964:K2965"/>
    <mergeCell ref="L2964:L2965"/>
    <mergeCell ref="M2964:M2965"/>
    <mergeCell ref="N2964:N2965"/>
    <mergeCell ref="O2964:O2965"/>
    <mergeCell ref="X2964:X2965"/>
    <mergeCell ref="Y2964:Y2965"/>
    <mergeCell ref="Z2964:Z2965"/>
    <mergeCell ref="AA2964:AA2965"/>
    <mergeCell ref="AB2964:AB2965"/>
    <mergeCell ref="H2966:H2967"/>
    <mergeCell ref="I2966:I2967"/>
    <mergeCell ref="J2966:J2967"/>
    <mergeCell ref="K2966:K2967"/>
    <mergeCell ref="L2966:L2967"/>
    <mergeCell ref="M2966:M2967"/>
    <mergeCell ref="N2966:N2967"/>
    <mergeCell ref="O2966:O2967"/>
    <mergeCell ref="X2966:X2967"/>
    <mergeCell ref="Y2966:Y2967"/>
    <mergeCell ref="Z2966:Z2967"/>
    <mergeCell ref="AA2966:AA2967"/>
    <mergeCell ref="AB2966:AB2967"/>
    <mergeCell ref="A2956:A2957"/>
    <mergeCell ref="E2956:E2957"/>
    <mergeCell ref="H2956:H2957"/>
    <mergeCell ref="I2956:I2957"/>
    <mergeCell ref="J2956:J2957"/>
    <mergeCell ref="K2956:K2957"/>
    <mergeCell ref="L2956:L2957"/>
    <mergeCell ref="M2956:M2957"/>
    <mergeCell ref="N2956:N2957"/>
    <mergeCell ref="O2956:O2957"/>
    <mergeCell ref="X2956:X2957"/>
    <mergeCell ref="Y2956:Y2957"/>
    <mergeCell ref="Z2956:Z2957"/>
    <mergeCell ref="AA2956:AA2957"/>
    <mergeCell ref="AB2956:AB2957"/>
    <mergeCell ref="A2958:A2959"/>
    <mergeCell ref="E2958:E2959"/>
    <mergeCell ref="H2958:H2959"/>
    <mergeCell ref="I2958:I2959"/>
    <mergeCell ref="J2958:J2959"/>
    <mergeCell ref="K2958:K2959"/>
    <mergeCell ref="L2958:L2959"/>
    <mergeCell ref="M2958:M2959"/>
    <mergeCell ref="N2958:N2959"/>
    <mergeCell ref="O2958:O2959"/>
    <mergeCell ref="X2958:X2959"/>
    <mergeCell ref="Y2958:Y2959"/>
    <mergeCell ref="Z2958:Z2959"/>
    <mergeCell ref="AA2958:AA2959"/>
    <mergeCell ref="AB2958:AB2959"/>
    <mergeCell ref="A2962:A2963"/>
    <mergeCell ref="E2962:E2963"/>
    <mergeCell ref="H2962:H2963"/>
    <mergeCell ref="I2962:I2963"/>
    <mergeCell ref="J2962:J2963"/>
    <mergeCell ref="K2962:K2963"/>
    <mergeCell ref="L2962:L2963"/>
    <mergeCell ref="M2962:M2963"/>
    <mergeCell ref="N2962:N2963"/>
    <mergeCell ref="O2962:O2963"/>
    <mergeCell ref="X2962:X2963"/>
    <mergeCell ref="Y2962:Y2963"/>
    <mergeCell ref="Z2962:Z2963"/>
    <mergeCell ref="AA2962:AA2963"/>
    <mergeCell ref="AB2962:AB2963"/>
    <mergeCell ref="A2960:A2961"/>
    <mergeCell ref="E2960:E2961"/>
    <mergeCell ref="H2960:H2961"/>
    <mergeCell ref="I2960:I2961"/>
    <mergeCell ref="J2960:J2961"/>
    <mergeCell ref="K2960:K2961"/>
    <mergeCell ref="L2960:L2961"/>
    <mergeCell ref="M2960:M2961"/>
    <mergeCell ref="N2960:N2961"/>
    <mergeCell ref="O2960:O2961"/>
    <mergeCell ref="X2960:X2961"/>
    <mergeCell ref="Y2960:Y2961"/>
    <mergeCell ref="Z2960:Z2961"/>
    <mergeCell ref="AA2960:AA2961"/>
    <mergeCell ref="AB2960:AB2961"/>
    <mergeCell ref="A2954:A2955"/>
    <mergeCell ref="E2954:E2955"/>
    <mergeCell ref="H2954:H2955"/>
    <mergeCell ref="I2954:I2955"/>
    <mergeCell ref="J2954:J2955"/>
    <mergeCell ref="K2954:K2955"/>
    <mergeCell ref="L2954:L2955"/>
    <mergeCell ref="M2954:M2955"/>
    <mergeCell ref="N2954:N2955"/>
    <mergeCell ref="O2954:O2955"/>
    <mergeCell ref="X2954:X2955"/>
    <mergeCell ref="Y2954:Y2955"/>
    <mergeCell ref="Z2954:Z2955"/>
    <mergeCell ref="AA2954:AA2955"/>
    <mergeCell ref="AB2954:AB2955"/>
    <mergeCell ref="A2948:A2949"/>
    <mergeCell ref="E2948:E2949"/>
    <mergeCell ref="H2948:H2949"/>
    <mergeCell ref="I2948:I2949"/>
    <mergeCell ref="J2948:J2949"/>
    <mergeCell ref="K2948:K2949"/>
    <mergeCell ref="L2948:L2949"/>
    <mergeCell ref="M2948:M2949"/>
    <mergeCell ref="N2948:N2949"/>
    <mergeCell ref="O2948:O2949"/>
    <mergeCell ref="X2948:X2949"/>
    <mergeCell ref="Y2948:Y2949"/>
    <mergeCell ref="Z2948:Z2949"/>
    <mergeCell ref="AA2948:AA2949"/>
    <mergeCell ref="AB2948:AB2949"/>
    <mergeCell ref="A2950:A2951"/>
    <mergeCell ref="E2950:E2951"/>
    <mergeCell ref="H2950:H2951"/>
    <mergeCell ref="I2950:I2951"/>
    <mergeCell ref="J2950:J2951"/>
    <mergeCell ref="K2950:K2951"/>
    <mergeCell ref="L2950:L2951"/>
    <mergeCell ref="M2950:M2951"/>
    <mergeCell ref="N2950:N2951"/>
    <mergeCell ref="O2950:O2951"/>
    <mergeCell ref="X2950:X2951"/>
    <mergeCell ref="Y2950:Y2951"/>
    <mergeCell ref="Z2950:Z2951"/>
    <mergeCell ref="AA2950:AA2951"/>
    <mergeCell ref="AB2950:AB2951"/>
    <mergeCell ref="N2940:N2941"/>
    <mergeCell ref="O2940:O2941"/>
    <mergeCell ref="X2940:X2941"/>
    <mergeCell ref="Y2940:Y2941"/>
    <mergeCell ref="Z2940:Z2941"/>
    <mergeCell ref="AA2940:AA2941"/>
    <mergeCell ref="AB2940:AB2941"/>
    <mergeCell ref="A2952:A2953"/>
    <mergeCell ref="E2952:E2953"/>
    <mergeCell ref="H2952:H2953"/>
    <mergeCell ref="I2952:I2953"/>
    <mergeCell ref="J2952:J2953"/>
    <mergeCell ref="K2952:K2953"/>
    <mergeCell ref="L2952:L2953"/>
    <mergeCell ref="M2952:M2953"/>
    <mergeCell ref="N2952:N2953"/>
    <mergeCell ref="O2952:O2953"/>
    <mergeCell ref="X2952:X2953"/>
    <mergeCell ref="Y2952:Y2953"/>
    <mergeCell ref="Z2952:Z2953"/>
    <mergeCell ref="AA2952:AA2953"/>
    <mergeCell ref="AB2952:AB2953"/>
    <mergeCell ref="AB2936:AB2937"/>
    <mergeCell ref="A2930:A2931"/>
    <mergeCell ref="E2930:E2931"/>
    <mergeCell ref="H2930:H2931"/>
    <mergeCell ref="I2930:I2931"/>
    <mergeCell ref="J2930:J2931"/>
    <mergeCell ref="K2930:K2931"/>
    <mergeCell ref="L2930:L2931"/>
    <mergeCell ref="M2930:M2931"/>
    <mergeCell ref="N2930:N2931"/>
    <mergeCell ref="O2930:O2931"/>
    <mergeCell ref="X2930:X2931"/>
    <mergeCell ref="Y2930:Y2931"/>
    <mergeCell ref="Z2930:Z2931"/>
    <mergeCell ref="AA2930:AA2931"/>
    <mergeCell ref="AB2930:AB2931"/>
    <mergeCell ref="A2932:A2933"/>
    <mergeCell ref="E2932:E2933"/>
    <mergeCell ref="H2932:H2933"/>
    <mergeCell ref="I2932:I2933"/>
    <mergeCell ref="J2932:J2933"/>
    <mergeCell ref="K2932:K2933"/>
    <mergeCell ref="L2932:L2933"/>
    <mergeCell ref="M2932:M2933"/>
    <mergeCell ref="N2932:N2933"/>
    <mergeCell ref="O2932:O2933"/>
    <mergeCell ref="X2932:X2933"/>
    <mergeCell ref="Y2932:Y2933"/>
    <mergeCell ref="Z2932:Z2933"/>
    <mergeCell ref="AA2932:AA2933"/>
    <mergeCell ref="AB2932:AB2933"/>
    <mergeCell ref="A2946:A2947"/>
    <mergeCell ref="E2946:E2947"/>
    <mergeCell ref="H2946:H2947"/>
    <mergeCell ref="I2946:I2947"/>
    <mergeCell ref="J2946:J2947"/>
    <mergeCell ref="K2946:K2947"/>
    <mergeCell ref="L2946:L2947"/>
    <mergeCell ref="M2946:M2947"/>
    <mergeCell ref="N2946:N2947"/>
    <mergeCell ref="O2946:O2947"/>
    <mergeCell ref="X2946:X2947"/>
    <mergeCell ref="Y2946:Y2947"/>
    <mergeCell ref="Z2946:Z2947"/>
    <mergeCell ref="AA2946:AA2947"/>
    <mergeCell ref="AB2946:AB2947"/>
    <mergeCell ref="A2944:A2945"/>
    <mergeCell ref="E2944:E2945"/>
    <mergeCell ref="H2944:H2945"/>
    <mergeCell ref="I2944:I2945"/>
    <mergeCell ref="J2944:J2945"/>
    <mergeCell ref="K2944:K2945"/>
    <mergeCell ref="L2944:L2945"/>
    <mergeCell ref="M2944:M2945"/>
    <mergeCell ref="N2944:N2945"/>
    <mergeCell ref="O2944:O2945"/>
    <mergeCell ref="X2944:X2945"/>
    <mergeCell ref="Y2944:Y2945"/>
    <mergeCell ref="Z2944:Z2945"/>
    <mergeCell ref="AA2944:AA2945"/>
    <mergeCell ref="AB2944:AB2945"/>
    <mergeCell ref="O2938:O2939"/>
    <mergeCell ref="X2938:X2939"/>
    <mergeCell ref="Y2938:Y2939"/>
    <mergeCell ref="A2926:A2927"/>
    <mergeCell ref="E2926:E2927"/>
    <mergeCell ref="H2926:H2927"/>
    <mergeCell ref="I2926:I2927"/>
    <mergeCell ref="J2926:J2927"/>
    <mergeCell ref="K2926:K2927"/>
    <mergeCell ref="L2926:L2927"/>
    <mergeCell ref="M2926:M2927"/>
    <mergeCell ref="N2926:N2927"/>
    <mergeCell ref="O2926:O2927"/>
    <mergeCell ref="X2926:X2927"/>
    <mergeCell ref="Y2926:Y2927"/>
    <mergeCell ref="Z2926:Z2927"/>
    <mergeCell ref="AA2926:AA2927"/>
    <mergeCell ref="AB2926:AB2927"/>
    <mergeCell ref="A2928:A2929"/>
    <mergeCell ref="E2928:E2929"/>
    <mergeCell ref="H2928:H2929"/>
    <mergeCell ref="I2928:I2929"/>
    <mergeCell ref="J2928:J2929"/>
    <mergeCell ref="K2928:K2929"/>
    <mergeCell ref="L2928:L2929"/>
    <mergeCell ref="M2928:M2929"/>
    <mergeCell ref="N2928:N2929"/>
    <mergeCell ref="O2928:O2929"/>
    <mergeCell ref="X2928:X2929"/>
    <mergeCell ref="Y2928:Y2929"/>
    <mergeCell ref="Z2928:Z2929"/>
    <mergeCell ref="AA2928:AA2929"/>
    <mergeCell ref="AB2928:AB2929"/>
    <mergeCell ref="A2940:A2941"/>
    <mergeCell ref="E2940:E2941"/>
    <mergeCell ref="H2940:H2941"/>
    <mergeCell ref="I2940:I2941"/>
    <mergeCell ref="J2940:J2941"/>
    <mergeCell ref="K2940:K2941"/>
    <mergeCell ref="L2940:L2941"/>
    <mergeCell ref="M2940:M2941"/>
    <mergeCell ref="H2924:H2925"/>
    <mergeCell ref="I2924:I2925"/>
    <mergeCell ref="J2924:J2925"/>
    <mergeCell ref="K2924:K2925"/>
    <mergeCell ref="L2924:L2925"/>
    <mergeCell ref="M2924:M2925"/>
    <mergeCell ref="N2924:N2925"/>
    <mergeCell ref="O2924:O2925"/>
    <mergeCell ref="X2924:X2925"/>
    <mergeCell ref="Y2924:Y2925"/>
    <mergeCell ref="Z2924:Z2925"/>
    <mergeCell ref="AA2924:AA2925"/>
    <mergeCell ref="AB2924:AB2925"/>
    <mergeCell ref="A2918:A2919"/>
    <mergeCell ref="E2918:E2919"/>
    <mergeCell ref="H2918:H2919"/>
    <mergeCell ref="I2918:I2919"/>
    <mergeCell ref="J2918:J2919"/>
    <mergeCell ref="K2918:K2919"/>
    <mergeCell ref="L2918:L2919"/>
    <mergeCell ref="M2918:M2919"/>
    <mergeCell ref="N2918:N2919"/>
    <mergeCell ref="O2918:O2919"/>
    <mergeCell ref="X2918:X2919"/>
    <mergeCell ref="Y2918:Y2919"/>
    <mergeCell ref="Z2918:Z2919"/>
    <mergeCell ref="AA2918:AA2919"/>
    <mergeCell ref="AB2918:AB2919"/>
    <mergeCell ref="A2912:A2913"/>
    <mergeCell ref="E2912:E2913"/>
    <mergeCell ref="H2912:H2913"/>
    <mergeCell ref="I2912:I2913"/>
    <mergeCell ref="J2912:J2913"/>
    <mergeCell ref="K2912:K2913"/>
    <mergeCell ref="L2912:L2913"/>
    <mergeCell ref="M2912:M2913"/>
    <mergeCell ref="N2912:N2913"/>
    <mergeCell ref="O2912:O2913"/>
    <mergeCell ref="X2912:X2913"/>
    <mergeCell ref="Y2912:Y2913"/>
    <mergeCell ref="Z2912:Z2913"/>
    <mergeCell ref="AA2912:AA2913"/>
    <mergeCell ref="AB2912:AB2913"/>
    <mergeCell ref="A2914:A2915"/>
    <mergeCell ref="E2914:E2915"/>
    <mergeCell ref="H2914:H2915"/>
    <mergeCell ref="I2914:I2915"/>
    <mergeCell ref="J2914:J2915"/>
    <mergeCell ref="K2914:K2915"/>
    <mergeCell ref="L2914:L2915"/>
    <mergeCell ref="M2914:M2915"/>
    <mergeCell ref="N2914:N2915"/>
    <mergeCell ref="Z2916:Z2917"/>
    <mergeCell ref="AA2916:AA2917"/>
    <mergeCell ref="AB2916:AB2917"/>
    <mergeCell ref="O2914:O2915"/>
    <mergeCell ref="X2914:X2915"/>
    <mergeCell ref="Y2914:Y2915"/>
    <mergeCell ref="Z2914:Z2915"/>
    <mergeCell ref="AA2914:AA2915"/>
    <mergeCell ref="AB2914:AB2915"/>
    <mergeCell ref="A2910:A2911"/>
    <mergeCell ref="E2910:E2911"/>
    <mergeCell ref="H2910:H2911"/>
    <mergeCell ref="I2910:I2911"/>
    <mergeCell ref="J2910:J2911"/>
    <mergeCell ref="K2910:K2911"/>
    <mergeCell ref="L2910:L2911"/>
    <mergeCell ref="M2910:M2911"/>
    <mergeCell ref="N2910:N2911"/>
    <mergeCell ref="O2910:O2911"/>
    <mergeCell ref="X2910:X2911"/>
    <mergeCell ref="Y2910:Y2911"/>
    <mergeCell ref="Z2910:Z2911"/>
    <mergeCell ref="AA2910:AA2911"/>
    <mergeCell ref="AB2910:AB2911"/>
    <mergeCell ref="A2908:A2909"/>
    <mergeCell ref="E2908:E2909"/>
    <mergeCell ref="H2908:H2909"/>
    <mergeCell ref="I2908:I2909"/>
    <mergeCell ref="J2908:J2909"/>
    <mergeCell ref="K2908:K2909"/>
    <mergeCell ref="L2908:L2909"/>
    <mergeCell ref="M2908:M2909"/>
    <mergeCell ref="N2908:N2909"/>
    <mergeCell ref="O2908:O2909"/>
    <mergeCell ref="X2908:X2909"/>
    <mergeCell ref="Y2908:Y2909"/>
    <mergeCell ref="Z2908:Z2909"/>
    <mergeCell ref="AA2908:AA2909"/>
    <mergeCell ref="X2896:X2897"/>
    <mergeCell ref="Y2896:Y2897"/>
    <mergeCell ref="Z2896:Z2897"/>
    <mergeCell ref="AA2896:AA2897"/>
    <mergeCell ref="AB2896:AB2897"/>
    <mergeCell ref="A2898:A2899"/>
    <mergeCell ref="E2898:E2899"/>
    <mergeCell ref="H2898:H2899"/>
    <mergeCell ref="I2898:I2899"/>
    <mergeCell ref="J2898:J2899"/>
    <mergeCell ref="K2898:K2899"/>
    <mergeCell ref="L2898:L2899"/>
    <mergeCell ref="M2898:M2899"/>
    <mergeCell ref="N2898:N2899"/>
    <mergeCell ref="O2898:O2899"/>
    <mergeCell ref="X2898:X2899"/>
    <mergeCell ref="Y2898:Y2899"/>
    <mergeCell ref="Z2898:Z2899"/>
    <mergeCell ref="AA2898:AA2899"/>
    <mergeCell ref="AB2898:AB2899"/>
    <mergeCell ref="K2902:K2903"/>
    <mergeCell ref="L2902:L2903"/>
    <mergeCell ref="M2902:M2903"/>
    <mergeCell ref="N2902:N2903"/>
    <mergeCell ref="O2902:O2903"/>
    <mergeCell ref="X2902:X2903"/>
    <mergeCell ref="Y2902:Y2903"/>
    <mergeCell ref="Z2902:Z2903"/>
    <mergeCell ref="AA2902:AA2903"/>
    <mergeCell ref="AB2902:AB2903"/>
    <mergeCell ref="A2906:A2907"/>
    <mergeCell ref="E2906:E2907"/>
    <mergeCell ref="H2906:H2907"/>
    <mergeCell ref="I2906:I2907"/>
    <mergeCell ref="J2906:J2907"/>
    <mergeCell ref="J2886:J2887"/>
    <mergeCell ref="K2886:K2887"/>
    <mergeCell ref="L2886:L2887"/>
    <mergeCell ref="M2886:M2887"/>
    <mergeCell ref="N2886:N2887"/>
    <mergeCell ref="O2886:O2887"/>
    <mergeCell ref="X2886:X2887"/>
    <mergeCell ref="Y2886:Y2887"/>
    <mergeCell ref="Z2886:Z2887"/>
    <mergeCell ref="AA2886:AA2887"/>
    <mergeCell ref="AB2886:AB2887"/>
    <mergeCell ref="A2880:A2881"/>
    <mergeCell ref="E2880:E2881"/>
    <mergeCell ref="H2880:H2881"/>
    <mergeCell ref="I2880:I2881"/>
    <mergeCell ref="J2880:J2881"/>
    <mergeCell ref="K2880:K2881"/>
    <mergeCell ref="L2880:L2881"/>
    <mergeCell ref="M2880:M2881"/>
    <mergeCell ref="N2880:N2881"/>
    <mergeCell ref="O2880:O2881"/>
    <mergeCell ref="X2880:X2881"/>
    <mergeCell ref="Y2880:Y2881"/>
    <mergeCell ref="Z2880:Z2881"/>
    <mergeCell ref="AA2880:AA2881"/>
    <mergeCell ref="AB2880:AB2881"/>
    <mergeCell ref="A2882:A2883"/>
    <mergeCell ref="E2882:E2883"/>
    <mergeCell ref="H2882:H2883"/>
    <mergeCell ref="I2882:I2883"/>
    <mergeCell ref="J2882:J2883"/>
    <mergeCell ref="K2882:K2883"/>
    <mergeCell ref="L2882:L2883"/>
    <mergeCell ref="M2882:M2883"/>
    <mergeCell ref="N2882:N2883"/>
    <mergeCell ref="O2882:O2883"/>
    <mergeCell ref="X2882:X2883"/>
    <mergeCell ref="Y2882:Y2883"/>
    <mergeCell ref="Z2882:Z2883"/>
    <mergeCell ref="AA2882:AA2883"/>
    <mergeCell ref="AB2882:AB2883"/>
    <mergeCell ref="A2884:A2885"/>
    <mergeCell ref="E2884:E2885"/>
    <mergeCell ref="H2884:H2885"/>
    <mergeCell ref="I2884:I2885"/>
    <mergeCell ref="J2884:J2885"/>
    <mergeCell ref="K2884:K2885"/>
    <mergeCell ref="L2884:L2885"/>
    <mergeCell ref="M2884:M2885"/>
    <mergeCell ref="N2884:N2885"/>
    <mergeCell ref="O2884:O2885"/>
    <mergeCell ref="X2884:X2885"/>
    <mergeCell ref="Y2884:Y2885"/>
    <mergeCell ref="Z2884:Z2885"/>
    <mergeCell ref="AA2884:AA2885"/>
    <mergeCell ref="AB2884:AB2885"/>
    <mergeCell ref="A2886:A2887"/>
    <mergeCell ref="E2886:E2887"/>
    <mergeCell ref="H2886:H2887"/>
    <mergeCell ref="I2886:I2887"/>
    <mergeCell ref="A2876:A2877"/>
    <mergeCell ref="E2876:E2877"/>
    <mergeCell ref="H2876:H2877"/>
    <mergeCell ref="I2876:I2877"/>
    <mergeCell ref="J2876:J2877"/>
    <mergeCell ref="K2876:K2877"/>
    <mergeCell ref="L2876:L2877"/>
    <mergeCell ref="M2876:M2877"/>
    <mergeCell ref="N2876:N2877"/>
    <mergeCell ref="O2876:O2877"/>
    <mergeCell ref="X2876:X2877"/>
    <mergeCell ref="Y2876:Y2877"/>
    <mergeCell ref="Z2876:Z2877"/>
    <mergeCell ref="AA2876:AA2877"/>
    <mergeCell ref="AB2876:AB2877"/>
    <mergeCell ref="A2878:A2879"/>
    <mergeCell ref="E2878:E2879"/>
    <mergeCell ref="H2878:H2879"/>
    <mergeCell ref="I2878:I2879"/>
    <mergeCell ref="J2878:J2879"/>
    <mergeCell ref="K2878:K2879"/>
    <mergeCell ref="L2878:L2879"/>
    <mergeCell ref="M2878:M2879"/>
    <mergeCell ref="N2878:N2879"/>
    <mergeCell ref="O2878:O2879"/>
    <mergeCell ref="X2878:X2879"/>
    <mergeCell ref="Y2878:Y2879"/>
    <mergeCell ref="Z2878:Z2879"/>
    <mergeCell ref="AA2878:AA2879"/>
    <mergeCell ref="AB2878:AB2879"/>
    <mergeCell ref="A2870:A2871"/>
    <mergeCell ref="E2870:E2871"/>
    <mergeCell ref="H2870:H2871"/>
    <mergeCell ref="I2870:I2871"/>
    <mergeCell ref="J2870:J2871"/>
    <mergeCell ref="K2870:K2871"/>
    <mergeCell ref="L2870:L2871"/>
    <mergeCell ref="M2870:M2871"/>
    <mergeCell ref="N2870:N2871"/>
    <mergeCell ref="O2870:O2871"/>
    <mergeCell ref="X2870:X2871"/>
    <mergeCell ref="Y2870:Y2871"/>
    <mergeCell ref="Z2870:Z2871"/>
    <mergeCell ref="AA2870:AA2871"/>
    <mergeCell ref="AB2870:AB2871"/>
    <mergeCell ref="A2874:A2875"/>
    <mergeCell ref="E2874:E2875"/>
    <mergeCell ref="H2874:H2875"/>
    <mergeCell ref="I2874:I2875"/>
    <mergeCell ref="J2874:J2875"/>
    <mergeCell ref="K2874:K2875"/>
    <mergeCell ref="L2874:L2875"/>
    <mergeCell ref="M2874:M2875"/>
    <mergeCell ref="N2874:N2875"/>
    <mergeCell ref="O2874:O2875"/>
    <mergeCell ref="X2874:X2875"/>
    <mergeCell ref="Y2874:Y2875"/>
    <mergeCell ref="Z2874:Z2875"/>
    <mergeCell ref="AA2874:AA2875"/>
    <mergeCell ref="AB2874:AB2875"/>
    <mergeCell ref="A2872:A2873"/>
    <mergeCell ref="E2872:E2873"/>
    <mergeCell ref="H2872:H2873"/>
    <mergeCell ref="I2872:I2873"/>
    <mergeCell ref="J2872:J2873"/>
    <mergeCell ref="K2872:K2873"/>
    <mergeCell ref="L2872:L2873"/>
    <mergeCell ref="M2872:M2873"/>
    <mergeCell ref="N2872:N2873"/>
    <mergeCell ref="A2866:A2867"/>
    <mergeCell ref="E2866:E2867"/>
    <mergeCell ref="H2866:H2867"/>
    <mergeCell ref="I2866:I2867"/>
    <mergeCell ref="J2866:J2867"/>
    <mergeCell ref="K2866:K2867"/>
    <mergeCell ref="L2866:L2867"/>
    <mergeCell ref="M2866:M2867"/>
    <mergeCell ref="N2866:N2867"/>
    <mergeCell ref="O2866:O2867"/>
    <mergeCell ref="X2866:X2867"/>
    <mergeCell ref="Y2866:Y2867"/>
    <mergeCell ref="Z2866:Z2867"/>
    <mergeCell ref="AA2866:AA2867"/>
    <mergeCell ref="AB2866:AB2867"/>
    <mergeCell ref="A2868:A2869"/>
    <mergeCell ref="E2868:E2869"/>
    <mergeCell ref="H2868:H2869"/>
    <mergeCell ref="I2868:I2869"/>
    <mergeCell ref="J2868:J2869"/>
    <mergeCell ref="K2868:K2869"/>
    <mergeCell ref="L2868:L2869"/>
    <mergeCell ref="M2868:M2869"/>
    <mergeCell ref="N2868:N2869"/>
    <mergeCell ref="O2868:O2869"/>
    <mergeCell ref="X2868:X2869"/>
    <mergeCell ref="Y2868:Y2869"/>
    <mergeCell ref="Z2868:Z2869"/>
    <mergeCell ref="AA2868:AA2869"/>
    <mergeCell ref="AB2868:AB2869"/>
    <mergeCell ref="A2862:A2863"/>
    <mergeCell ref="E2862:E2863"/>
    <mergeCell ref="H2862:H2863"/>
    <mergeCell ref="I2862:I2863"/>
    <mergeCell ref="J2862:J2863"/>
    <mergeCell ref="K2862:K2863"/>
    <mergeCell ref="L2862:L2863"/>
    <mergeCell ref="M2862:M2863"/>
    <mergeCell ref="N2862:N2863"/>
    <mergeCell ref="O2862:O2863"/>
    <mergeCell ref="X2862:X2863"/>
    <mergeCell ref="Y2862:Y2863"/>
    <mergeCell ref="Z2862:Z2863"/>
    <mergeCell ref="AA2862:AA2863"/>
    <mergeCell ref="AB2862:AB2863"/>
    <mergeCell ref="A2864:A2865"/>
    <mergeCell ref="E2864:E2865"/>
    <mergeCell ref="H2864:H2865"/>
    <mergeCell ref="I2864:I2865"/>
    <mergeCell ref="J2864:J2865"/>
    <mergeCell ref="K2864:K2865"/>
    <mergeCell ref="L2864:L2865"/>
    <mergeCell ref="M2864:M2865"/>
    <mergeCell ref="N2864:N2865"/>
    <mergeCell ref="O2864:O2865"/>
    <mergeCell ref="X2864:X2865"/>
    <mergeCell ref="Y2864:Y2865"/>
    <mergeCell ref="Z2864:Z2865"/>
    <mergeCell ref="AA2864:AA2865"/>
    <mergeCell ref="AB2864:AB2865"/>
    <mergeCell ref="A2858:A2859"/>
    <mergeCell ref="E2858:E2859"/>
    <mergeCell ref="H2858:H2859"/>
    <mergeCell ref="I2858:I2859"/>
    <mergeCell ref="J2858:J2859"/>
    <mergeCell ref="K2858:K2859"/>
    <mergeCell ref="L2858:L2859"/>
    <mergeCell ref="M2858:M2859"/>
    <mergeCell ref="N2858:N2859"/>
    <mergeCell ref="O2858:O2859"/>
    <mergeCell ref="X2858:X2859"/>
    <mergeCell ref="Y2858:Y2859"/>
    <mergeCell ref="Z2858:Z2859"/>
    <mergeCell ref="AA2858:AA2859"/>
    <mergeCell ref="AB2858:AB2859"/>
    <mergeCell ref="A2860:A2861"/>
    <mergeCell ref="E2860:E2861"/>
    <mergeCell ref="H2860:H2861"/>
    <mergeCell ref="I2860:I2861"/>
    <mergeCell ref="J2860:J2861"/>
    <mergeCell ref="K2860:K2861"/>
    <mergeCell ref="L2860:L2861"/>
    <mergeCell ref="M2860:M2861"/>
    <mergeCell ref="N2860:N2861"/>
    <mergeCell ref="O2860:O2861"/>
    <mergeCell ref="X2860:X2861"/>
    <mergeCell ref="Y2860:Y2861"/>
    <mergeCell ref="Z2860:Z2861"/>
    <mergeCell ref="AA2860:AA2861"/>
    <mergeCell ref="AB2860:AB2861"/>
    <mergeCell ref="A2854:A2855"/>
    <mergeCell ref="E2854:E2855"/>
    <mergeCell ref="H2854:H2855"/>
    <mergeCell ref="I2854:I2855"/>
    <mergeCell ref="J2854:J2855"/>
    <mergeCell ref="K2854:K2855"/>
    <mergeCell ref="L2854:L2855"/>
    <mergeCell ref="M2854:M2855"/>
    <mergeCell ref="N2854:N2855"/>
    <mergeCell ref="O2854:O2855"/>
    <mergeCell ref="X2854:X2855"/>
    <mergeCell ref="Y2854:Y2855"/>
    <mergeCell ref="Z2854:Z2855"/>
    <mergeCell ref="AA2854:AA2855"/>
    <mergeCell ref="AB2854:AB2855"/>
    <mergeCell ref="A2856:A2857"/>
    <mergeCell ref="E2856:E2857"/>
    <mergeCell ref="H2856:H2857"/>
    <mergeCell ref="I2856:I2857"/>
    <mergeCell ref="J2856:J2857"/>
    <mergeCell ref="K2856:K2857"/>
    <mergeCell ref="L2856:L2857"/>
    <mergeCell ref="M2856:M2857"/>
    <mergeCell ref="N2856:N2857"/>
    <mergeCell ref="O2856:O2857"/>
    <mergeCell ref="X2856:X2857"/>
    <mergeCell ref="Y2856:Y2857"/>
    <mergeCell ref="Z2856:Z2857"/>
    <mergeCell ref="AA2856:AA2857"/>
    <mergeCell ref="AB2856:AB2857"/>
    <mergeCell ref="A2850:A2851"/>
    <mergeCell ref="E2850:E2851"/>
    <mergeCell ref="H2850:H2851"/>
    <mergeCell ref="I2850:I2851"/>
    <mergeCell ref="J2850:J2851"/>
    <mergeCell ref="K2850:K2851"/>
    <mergeCell ref="L2850:L2851"/>
    <mergeCell ref="M2850:M2851"/>
    <mergeCell ref="N2850:N2851"/>
    <mergeCell ref="O2850:O2851"/>
    <mergeCell ref="X2850:X2851"/>
    <mergeCell ref="Y2850:Y2851"/>
    <mergeCell ref="Z2850:Z2851"/>
    <mergeCell ref="AA2850:AA2851"/>
    <mergeCell ref="AB2850:AB2851"/>
    <mergeCell ref="A2852:A2853"/>
    <mergeCell ref="E2852:E2853"/>
    <mergeCell ref="H2852:H2853"/>
    <mergeCell ref="I2852:I2853"/>
    <mergeCell ref="J2852:J2853"/>
    <mergeCell ref="K2852:K2853"/>
    <mergeCell ref="L2852:L2853"/>
    <mergeCell ref="M2852:M2853"/>
    <mergeCell ref="N2852:N2853"/>
    <mergeCell ref="O2852:O2853"/>
    <mergeCell ref="X2852:X2853"/>
    <mergeCell ref="Y2852:Y2853"/>
    <mergeCell ref="Z2852:Z2853"/>
    <mergeCell ref="AA2852:AA2853"/>
    <mergeCell ref="AB2852:AB2853"/>
    <mergeCell ref="AB2846:AB2847"/>
    <mergeCell ref="A2848:A2849"/>
    <mergeCell ref="E2848:E2849"/>
    <mergeCell ref="H2848:H2849"/>
    <mergeCell ref="I2848:I2849"/>
    <mergeCell ref="J2848:J2849"/>
    <mergeCell ref="K2848:K2849"/>
    <mergeCell ref="L2848:L2849"/>
    <mergeCell ref="M2848:M2849"/>
    <mergeCell ref="N2848:N2849"/>
    <mergeCell ref="O2848:O2849"/>
    <mergeCell ref="X2848:X2849"/>
    <mergeCell ref="Y2848:Y2849"/>
    <mergeCell ref="Z2848:Z2849"/>
    <mergeCell ref="AA2848:AA2849"/>
    <mergeCell ref="AB2848:AB2849"/>
    <mergeCell ref="AB2842:AB2843"/>
    <mergeCell ref="O2840:O2841"/>
    <mergeCell ref="X2840:X2841"/>
    <mergeCell ref="Y2840:Y2841"/>
    <mergeCell ref="AB2824:AB2825"/>
    <mergeCell ref="A2826:A2827"/>
    <mergeCell ref="E2826:E2827"/>
    <mergeCell ref="H2826:H2827"/>
    <mergeCell ref="I2826:I2827"/>
    <mergeCell ref="J2826:J2827"/>
    <mergeCell ref="K2826:K2827"/>
    <mergeCell ref="L2826:L2827"/>
    <mergeCell ref="M2826:M2827"/>
    <mergeCell ref="N2826:N2827"/>
    <mergeCell ref="O2826:O2827"/>
    <mergeCell ref="X2826:X2827"/>
    <mergeCell ref="Y2826:Y2827"/>
    <mergeCell ref="Z2826:Z2827"/>
    <mergeCell ref="AA2826:AA2827"/>
    <mergeCell ref="AB2826:AB2827"/>
    <mergeCell ref="A2824:A2825"/>
    <mergeCell ref="E2824:E2825"/>
    <mergeCell ref="H2824:H2825"/>
    <mergeCell ref="Z2824:Z2825"/>
    <mergeCell ref="AA2824:AA2825"/>
    <mergeCell ref="A2836:A2837"/>
    <mergeCell ref="E2836:E2837"/>
    <mergeCell ref="H2836:H2837"/>
    <mergeCell ref="I2836:I2837"/>
    <mergeCell ref="J2836:J2837"/>
    <mergeCell ref="K2836:K2837"/>
    <mergeCell ref="L2836:L2837"/>
    <mergeCell ref="M2836:M2837"/>
    <mergeCell ref="N2836:N2837"/>
    <mergeCell ref="O2836:O2837"/>
    <mergeCell ref="X2836:X2837"/>
    <mergeCell ref="Y2836:Y2837"/>
    <mergeCell ref="Z2836:Z2837"/>
    <mergeCell ref="AA2836:AA2837"/>
    <mergeCell ref="A2832:A2833"/>
    <mergeCell ref="E2832:E2833"/>
    <mergeCell ref="H2832:H2833"/>
    <mergeCell ref="I2832:I2833"/>
    <mergeCell ref="J2832:J2833"/>
    <mergeCell ref="K2832:K2833"/>
    <mergeCell ref="L2832:L2833"/>
    <mergeCell ref="M2832:M2833"/>
    <mergeCell ref="N2832:N2833"/>
    <mergeCell ref="A2846:A2847"/>
    <mergeCell ref="E2846:E2847"/>
    <mergeCell ref="H2846:H2847"/>
    <mergeCell ref="I2846:I2847"/>
    <mergeCell ref="J2846:J2847"/>
    <mergeCell ref="K2846:K2847"/>
    <mergeCell ref="L2846:L2847"/>
    <mergeCell ref="M2846:M2847"/>
    <mergeCell ref="N2846:N2847"/>
    <mergeCell ref="O2846:O2847"/>
    <mergeCell ref="X2846:X2847"/>
    <mergeCell ref="Y2846:Y2847"/>
    <mergeCell ref="Z2846:Z2847"/>
    <mergeCell ref="AA2846:AA2847"/>
    <mergeCell ref="I2824:I2825"/>
    <mergeCell ref="J2824:J2825"/>
    <mergeCell ref="I2828:I2829"/>
    <mergeCell ref="J2828:J2829"/>
    <mergeCell ref="K2828:K2829"/>
    <mergeCell ref="L2828:L2829"/>
    <mergeCell ref="M2828:M2829"/>
    <mergeCell ref="N2828:N2829"/>
    <mergeCell ref="O2828:O2829"/>
    <mergeCell ref="X2828:X2829"/>
    <mergeCell ref="Y2828:Y2829"/>
    <mergeCell ref="Z2828:Z2829"/>
    <mergeCell ref="AA2828:AA2829"/>
    <mergeCell ref="A2844:A2845"/>
    <mergeCell ref="E2844:E2845"/>
    <mergeCell ref="H2844:H2845"/>
    <mergeCell ref="I2844:I2845"/>
    <mergeCell ref="J2844:J2845"/>
    <mergeCell ref="K2844:K2845"/>
    <mergeCell ref="L2844:L2845"/>
    <mergeCell ref="M2844:M2845"/>
    <mergeCell ref="N2844:N2845"/>
    <mergeCell ref="O2844:O2845"/>
    <mergeCell ref="X2844:X2845"/>
    <mergeCell ref="Y2844:Y2845"/>
    <mergeCell ref="Z2844:Z2845"/>
    <mergeCell ref="AA2844:AA2845"/>
    <mergeCell ref="A2842:A2843"/>
    <mergeCell ref="E2842:E2843"/>
    <mergeCell ref="H2842:H2843"/>
    <mergeCell ref="I2842:I2843"/>
    <mergeCell ref="J2842:J2843"/>
    <mergeCell ref="K2842:K2843"/>
    <mergeCell ref="L2842:L2843"/>
    <mergeCell ref="A2830:A2831"/>
    <mergeCell ref="E2830:E2831"/>
    <mergeCell ref="H2830:H2831"/>
    <mergeCell ref="I2830:I2831"/>
    <mergeCell ref="J2830:J2831"/>
    <mergeCell ref="K2830:K2831"/>
    <mergeCell ref="L2830:L2831"/>
    <mergeCell ref="M2830:M2831"/>
    <mergeCell ref="N2830:N2831"/>
    <mergeCell ref="O2830:O2831"/>
    <mergeCell ref="X2830:X2831"/>
    <mergeCell ref="Y2830:Y2831"/>
    <mergeCell ref="Z2830:Z2831"/>
    <mergeCell ref="AA2830:AA2831"/>
    <mergeCell ref="AB2844:AB2845"/>
    <mergeCell ref="A2838:A2839"/>
    <mergeCell ref="E2838:E2839"/>
    <mergeCell ref="H2838:H2839"/>
    <mergeCell ref="I2838:I2839"/>
    <mergeCell ref="J2838:J2839"/>
    <mergeCell ref="K2838:K2839"/>
    <mergeCell ref="L2838:L2839"/>
    <mergeCell ref="M2838:M2839"/>
    <mergeCell ref="N2838:N2839"/>
    <mergeCell ref="O2838:O2839"/>
    <mergeCell ref="X2838:X2839"/>
    <mergeCell ref="Y2838:Y2839"/>
    <mergeCell ref="Z2838:Z2839"/>
    <mergeCell ref="AA2838:AA2839"/>
    <mergeCell ref="AB2838:AB2839"/>
    <mergeCell ref="A2840:A2841"/>
    <mergeCell ref="Z2840:Z2841"/>
    <mergeCell ref="AA2840:AA2841"/>
    <mergeCell ref="E2840:E2841"/>
    <mergeCell ref="H2840:H2841"/>
    <mergeCell ref="I2840:I2841"/>
    <mergeCell ref="J2840:J2841"/>
    <mergeCell ref="K2840:K2841"/>
    <mergeCell ref="L2840:L2841"/>
    <mergeCell ref="M2840:M2841"/>
    <mergeCell ref="N2840:N2841"/>
    <mergeCell ref="O2832:O2833"/>
    <mergeCell ref="X2832:X2833"/>
    <mergeCell ref="Y2832:Y2833"/>
    <mergeCell ref="Z2832:Z2833"/>
    <mergeCell ref="AA2832:AA2833"/>
    <mergeCell ref="AB2832:AB2833"/>
    <mergeCell ref="A2834:A2835"/>
    <mergeCell ref="E2834:E2835"/>
    <mergeCell ref="H2834:H2835"/>
    <mergeCell ref="I2834:I2835"/>
    <mergeCell ref="J2834:J2835"/>
    <mergeCell ref="K2834:K2835"/>
    <mergeCell ref="L2834:L2835"/>
    <mergeCell ref="M2834:M2835"/>
    <mergeCell ref="N2834:N2835"/>
    <mergeCell ref="O2834:O2835"/>
    <mergeCell ref="AB2834:AB2835"/>
    <mergeCell ref="AB2836:AB2837"/>
    <mergeCell ref="AB2840:AB2841"/>
    <mergeCell ref="M2820:M2821"/>
    <mergeCell ref="N2820:N2821"/>
    <mergeCell ref="O2820:O2821"/>
    <mergeCell ref="X2820:X2821"/>
    <mergeCell ref="Y2820:Y2821"/>
    <mergeCell ref="Z2820:Z2821"/>
    <mergeCell ref="AA2820:AA2821"/>
    <mergeCell ref="AB2820:AB2821"/>
    <mergeCell ref="A2822:A2823"/>
    <mergeCell ref="E2822:E2823"/>
    <mergeCell ref="X2822:X2823"/>
    <mergeCell ref="Y2822:Y2823"/>
    <mergeCell ref="A2828:A2829"/>
    <mergeCell ref="E2828:E2829"/>
    <mergeCell ref="H2828:H2829"/>
    <mergeCell ref="Z2822:Z2823"/>
    <mergeCell ref="AA2822:AA2823"/>
    <mergeCell ref="A2818:A2819"/>
    <mergeCell ref="E2818:E2819"/>
    <mergeCell ref="H2818:H2819"/>
    <mergeCell ref="I2818:I2819"/>
    <mergeCell ref="M2842:M2843"/>
    <mergeCell ref="N2842:N2843"/>
    <mergeCell ref="O2842:O2843"/>
    <mergeCell ref="X2842:X2843"/>
    <mergeCell ref="Y2842:Y2843"/>
    <mergeCell ref="Z2842:Z2843"/>
    <mergeCell ref="AA2842:AA2843"/>
    <mergeCell ref="X2834:X2835"/>
    <mergeCell ref="Y2834:Y2835"/>
    <mergeCell ref="Z2834:Z2835"/>
    <mergeCell ref="AA2834:AA2835"/>
    <mergeCell ref="AB2828:AB2829"/>
    <mergeCell ref="AB2830:AB2831"/>
    <mergeCell ref="A2814:A2815"/>
    <mergeCell ref="E2814:E2815"/>
    <mergeCell ref="H2814:H2815"/>
    <mergeCell ref="I2814:I2815"/>
    <mergeCell ref="J2814:J2815"/>
    <mergeCell ref="K2814:K2815"/>
    <mergeCell ref="L2814:L2815"/>
    <mergeCell ref="M2814:M2815"/>
    <mergeCell ref="N2814:N2815"/>
    <mergeCell ref="O2814:O2815"/>
    <mergeCell ref="X2814:X2815"/>
    <mergeCell ref="Y2814:Y2815"/>
    <mergeCell ref="Z2814:Z2815"/>
    <mergeCell ref="AA2814:AA2815"/>
    <mergeCell ref="AB2814:AB2815"/>
    <mergeCell ref="A2816:A2817"/>
    <mergeCell ref="E2816:E2817"/>
    <mergeCell ref="H2816:H2817"/>
    <mergeCell ref="I2816:I2817"/>
    <mergeCell ref="J2816:J2817"/>
    <mergeCell ref="K2816:K2817"/>
    <mergeCell ref="L2816:L2817"/>
    <mergeCell ref="M2816:M2817"/>
    <mergeCell ref="N2816:N2817"/>
    <mergeCell ref="O2816:O2817"/>
    <mergeCell ref="X2816:X2817"/>
    <mergeCell ref="Y2816:Y2817"/>
    <mergeCell ref="Z2816:Z2817"/>
    <mergeCell ref="AA2816:AA2817"/>
    <mergeCell ref="AB2816:AB2817"/>
    <mergeCell ref="AB2822:AB2823"/>
    <mergeCell ref="K2824:K2825"/>
    <mergeCell ref="L2824:L2825"/>
    <mergeCell ref="M2824:M2825"/>
    <mergeCell ref="N2824:N2825"/>
    <mergeCell ref="O2824:O2825"/>
    <mergeCell ref="X2824:X2825"/>
    <mergeCell ref="Y2824:Y2825"/>
    <mergeCell ref="J2818:J2819"/>
    <mergeCell ref="K2818:K2819"/>
    <mergeCell ref="L2818:L2819"/>
    <mergeCell ref="H2822:H2823"/>
    <mergeCell ref="I2822:I2823"/>
    <mergeCell ref="J2822:J2823"/>
    <mergeCell ref="K2822:K2823"/>
    <mergeCell ref="L2822:L2823"/>
    <mergeCell ref="M2822:M2823"/>
    <mergeCell ref="N2822:N2823"/>
    <mergeCell ref="O2822:O2823"/>
    <mergeCell ref="M2818:M2819"/>
    <mergeCell ref="N2818:N2819"/>
    <mergeCell ref="O2818:O2819"/>
    <mergeCell ref="X2818:X2819"/>
    <mergeCell ref="Y2818:Y2819"/>
    <mergeCell ref="Z2818:Z2819"/>
    <mergeCell ref="AA2818:AA2819"/>
    <mergeCell ref="AB2818:AB2819"/>
    <mergeCell ref="A2820:A2821"/>
    <mergeCell ref="E2820:E2821"/>
    <mergeCell ref="H2820:H2821"/>
    <mergeCell ref="I2820:I2821"/>
    <mergeCell ref="J2820:J2821"/>
    <mergeCell ref="K2820:K2821"/>
    <mergeCell ref="L2820:L2821"/>
    <mergeCell ref="A2810:A2811"/>
    <mergeCell ref="E2810:E2811"/>
    <mergeCell ref="H2810:H2811"/>
    <mergeCell ref="I2810:I2811"/>
    <mergeCell ref="J2810:J2811"/>
    <mergeCell ref="K2810:K2811"/>
    <mergeCell ref="L2810:L2811"/>
    <mergeCell ref="M2810:M2811"/>
    <mergeCell ref="N2810:N2811"/>
    <mergeCell ref="O2810:O2811"/>
    <mergeCell ref="X2810:X2811"/>
    <mergeCell ref="Y2810:Y2811"/>
    <mergeCell ref="Z2810:Z2811"/>
    <mergeCell ref="AA2810:AA2811"/>
    <mergeCell ref="AB2810:AB2811"/>
    <mergeCell ref="A2812:A2813"/>
    <mergeCell ref="E2812:E2813"/>
    <mergeCell ref="H2812:H2813"/>
    <mergeCell ref="I2812:I2813"/>
    <mergeCell ref="J2812:J2813"/>
    <mergeCell ref="K2812:K2813"/>
    <mergeCell ref="L2812:L2813"/>
    <mergeCell ref="M2812:M2813"/>
    <mergeCell ref="N2812:N2813"/>
    <mergeCell ref="O2812:O2813"/>
    <mergeCell ref="X2812:X2813"/>
    <mergeCell ref="Y2812:Y2813"/>
    <mergeCell ref="Z2812:Z2813"/>
    <mergeCell ref="AA2812:AA2813"/>
    <mergeCell ref="AB2812:AB2813"/>
    <mergeCell ref="A2806:A2807"/>
    <mergeCell ref="E2806:E2807"/>
    <mergeCell ref="H2806:H2807"/>
    <mergeCell ref="I2806:I2807"/>
    <mergeCell ref="J2806:J2807"/>
    <mergeCell ref="K2806:K2807"/>
    <mergeCell ref="L2806:L2807"/>
    <mergeCell ref="M2806:M2807"/>
    <mergeCell ref="N2806:N2807"/>
    <mergeCell ref="O2806:O2807"/>
    <mergeCell ref="X2806:X2807"/>
    <mergeCell ref="Y2806:Y2807"/>
    <mergeCell ref="Z2806:Z2807"/>
    <mergeCell ref="AA2806:AA2807"/>
    <mergeCell ref="AB2806:AB2807"/>
    <mergeCell ref="A2808:A2809"/>
    <mergeCell ref="E2808:E2809"/>
    <mergeCell ref="H2808:H2809"/>
    <mergeCell ref="I2808:I2809"/>
    <mergeCell ref="J2808:J2809"/>
    <mergeCell ref="K2808:K2809"/>
    <mergeCell ref="L2808:L2809"/>
    <mergeCell ref="M2808:M2809"/>
    <mergeCell ref="N2808:N2809"/>
    <mergeCell ref="O2808:O2809"/>
    <mergeCell ref="X2808:X2809"/>
    <mergeCell ref="Y2808:Y2809"/>
    <mergeCell ref="Z2808:Z2809"/>
    <mergeCell ref="AA2808:AA2809"/>
    <mergeCell ref="AB2808:AB2809"/>
    <mergeCell ref="A2802:A2803"/>
    <mergeCell ref="E2802:E2803"/>
    <mergeCell ref="H2802:H2803"/>
    <mergeCell ref="I2802:I2803"/>
    <mergeCell ref="J2802:J2803"/>
    <mergeCell ref="K2802:K2803"/>
    <mergeCell ref="L2802:L2803"/>
    <mergeCell ref="M2802:M2803"/>
    <mergeCell ref="N2802:N2803"/>
    <mergeCell ref="O2802:O2803"/>
    <mergeCell ref="X2802:X2803"/>
    <mergeCell ref="Y2802:Y2803"/>
    <mergeCell ref="Z2802:Z2803"/>
    <mergeCell ref="AA2802:AA2803"/>
    <mergeCell ref="AB2802:AB2803"/>
    <mergeCell ref="A2804:A2805"/>
    <mergeCell ref="E2804:E2805"/>
    <mergeCell ref="H2804:H2805"/>
    <mergeCell ref="I2804:I2805"/>
    <mergeCell ref="J2804:J2805"/>
    <mergeCell ref="K2804:K2805"/>
    <mergeCell ref="L2804:L2805"/>
    <mergeCell ref="M2804:M2805"/>
    <mergeCell ref="N2804:N2805"/>
    <mergeCell ref="O2804:O2805"/>
    <mergeCell ref="X2804:X2805"/>
    <mergeCell ref="Y2804:Y2805"/>
    <mergeCell ref="Z2804:Z2805"/>
    <mergeCell ref="AA2804:AA2805"/>
    <mergeCell ref="AB2804:AB2805"/>
    <mergeCell ref="A2798:A2799"/>
    <mergeCell ref="E2798:E2799"/>
    <mergeCell ref="H2798:H2799"/>
    <mergeCell ref="I2798:I2799"/>
    <mergeCell ref="J2798:J2799"/>
    <mergeCell ref="K2798:K2799"/>
    <mergeCell ref="L2798:L2799"/>
    <mergeCell ref="M2798:M2799"/>
    <mergeCell ref="N2798:N2799"/>
    <mergeCell ref="O2798:O2799"/>
    <mergeCell ref="X2798:X2799"/>
    <mergeCell ref="Y2798:Y2799"/>
    <mergeCell ref="Z2798:Z2799"/>
    <mergeCell ref="AA2798:AA2799"/>
    <mergeCell ref="AB2798:AB2799"/>
    <mergeCell ref="A2800:A2801"/>
    <mergeCell ref="E2800:E2801"/>
    <mergeCell ref="H2800:H2801"/>
    <mergeCell ref="I2800:I2801"/>
    <mergeCell ref="J2800:J2801"/>
    <mergeCell ref="K2800:K2801"/>
    <mergeCell ref="L2800:L2801"/>
    <mergeCell ref="M2800:M2801"/>
    <mergeCell ref="N2800:N2801"/>
    <mergeCell ref="O2800:O2801"/>
    <mergeCell ref="X2800:X2801"/>
    <mergeCell ref="Y2800:Y2801"/>
    <mergeCell ref="Z2800:Z2801"/>
    <mergeCell ref="AA2800:AA2801"/>
    <mergeCell ref="AB2800:AB2801"/>
    <mergeCell ref="A2794:A2795"/>
    <mergeCell ref="E2794:E2795"/>
    <mergeCell ref="H2794:H2795"/>
    <mergeCell ref="I2794:I2795"/>
    <mergeCell ref="J2794:J2795"/>
    <mergeCell ref="K2794:K2795"/>
    <mergeCell ref="L2794:L2795"/>
    <mergeCell ref="M2794:M2795"/>
    <mergeCell ref="N2794:N2795"/>
    <mergeCell ref="O2794:O2795"/>
    <mergeCell ref="X2794:X2795"/>
    <mergeCell ref="Y2794:Y2795"/>
    <mergeCell ref="Z2794:Z2795"/>
    <mergeCell ref="AA2794:AA2795"/>
    <mergeCell ref="AB2794:AB2795"/>
    <mergeCell ref="A2796:A2797"/>
    <mergeCell ref="E2796:E2797"/>
    <mergeCell ref="H2796:H2797"/>
    <mergeCell ref="I2796:I2797"/>
    <mergeCell ref="J2796:J2797"/>
    <mergeCell ref="K2796:K2797"/>
    <mergeCell ref="L2796:L2797"/>
    <mergeCell ref="M2796:M2797"/>
    <mergeCell ref="N2796:N2797"/>
    <mergeCell ref="O2796:O2797"/>
    <mergeCell ref="X2796:X2797"/>
    <mergeCell ref="Y2796:Y2797"/>
    <mergeCell ref="Z2796:Z2797"/>
    <mergeCell ref="AA2796:AA2797"/>
    <mergeCell ref="AB2796:AB2797"/>
    <mergeCell ref="A2790:A2791"/>
    <mergeCell ref="E2790:E2791"/>
    <mergeCell ref="H2790:H2791"/>
    <mergeCell ref="I2790:I2791"/>
    <mergeCell ref="J2790:J2791"/>
    <mergeCell ref="K2790:K2791"/>
    <mergeCell ref="L2790:L2791"/>
    <mergeCell ref="M2790:M2791"/>
    <mergeCell ref="N2790:N2791"/>
    <mergeCell ref="O2790:O2791"/>
    <mergeCell ref="X2790:X2791"/>
    <mergeCell ref="Y2790:Y2791"/>
    <mergeCell ref="Z2790:Z2791"/>
    <mergeCell ref="AA2790:AA2791"/>
    <mergeCell ref="AB2790:AB2791"/>
    <mergeCell ref="E2792:E2793"/>
    <mergeCell ref="H2792:H2793"/>
    <mergeCell ref="I2792:I2793"/>
    <mergeCell ref="J2792:J2793"/>
    <mergeCell ref="K2792:K2793"/>
    <mergeCell ref="L2792:L2793"/>
    <mergeCell ref="N2792:N2793"/>
    <mergeCell ref="O2792:O2793"/>
    <mergeCell ref="X2792:X2793"/>
    <mergeCell ref="Y2792:Y2793"/>
    <mergeCell ref="Z2792:Z2793"/>
    <mergeCell ref="AA2792:AA2793"/>
    <mergeCell ref="AB2792:AB2793"/>
    <mergeCell ref="A2792:A2793"/>
    <mergeCell ref="M2792:M2793"/>
    <mergeCell ref="A2786:A2787"/>
    <mergeCell ref="E2786:E2787"/>
    <mergeCell ref="H2786:H2787"/>
    <mergeCell ref="I2786:I2787"/>
    <mergeCell ref="J2786:J2787"/>
    <mergeCell ref="K2786:K2787"/>
    <mergeCell ref="L2786:L2787"/>
    <mergeCell ref="M2786:M2787"/>
    <mergeCell ref="N2786:N2787"/>
    <mergeCell ref="O2786:O2787"/>
    <mergeCell ref="X2786:X2787"/>
    <mergeCell ref="Y2786:Y2787"/>
    <mergeCell ref="Z2786:Z2787"/>
    <mergeCell ref="AA2786:AA2787"/>
    <mergeCell ref="AB2786:AB2787"/>
    <mergeCell ref="A2788:A2789"/>
    <mergeCell ref="E2788:E2789"/>
    <mergeCell ref="H2788:H2789"/>
    <mergeCell ref="I2788:I2789"/>
    <mergeCell ref="J2788:J2789"/>
    <mergeCell ref="K2788:K2789"/>
    <mergeCell ref="L2788:L2789"/>
    <mergeCell ref="M2788:M2789"/>
    <mergeCell ref="N2788:N2789"/>
    <mergeCell ref="O2788:O2789"/>
    <mergeCell ref="X2788:X2789"/>
    <mergeCell ref="Y2788:Y2789"/>
    <mergeCell ref="Z2788:Z2789"/>
    <mergeCell ref="AA2788:AA2789"/>
    <mergeCell ref="AB2788:AB2789"/>
    <mergeCell ref="A2782:A2783"/>
    <mergeCell ref="E2782:E2783"/>
    <mergeCell ref="H2782:H2783"/>
    <mergeCell ref="I2782:I2783"/>
    <mergeCell ref="J2782:J2783"/>
    <mergeCell ref="K2782:K2783"/>
    <mergeCell ref="L2782:L2783"/>
    <mergeCell ref="M2782:M2783"/>
    <mergeCell ref="N2782:N2783"/>
    <mergeCell ref="O2782:O2783"/>
    <mergeCell ref="X2782:X2783"/>
    <mergeCell ref="Y2782:Y2783"/>
    <mergeCell ref="Z2782:Z2783"/>
    <mergeCell ref="AA2782:AA2783"/>
    <mergeCell ref="AB2782:AB2783"/>
    <mergeCell ref="A2784:A2785"/>
    <mergeCell ref="E2784:E2785"/>
    <mergeCell ref="H2784:H2785"/>
    <mergeCell ref="I2784:I2785"/>
    <mergeCell ref="J2784:J2785"/>
    <mergeCell ref="K2784:K2785"/>
    <mergeCell ref="L2784:L2785"/>
    <mergeCell ref="M2784:M2785"/>
    <mergeCell ref="N2784:N2785"/>
    <mergeCell ref="O2784:O2785"/>
    <mergeCell ref="X2784:X2785"/>
    <mergeCell ref="Y2784:Y2785"/>
    <mergeCell ref="Z2784:Z2785"/>
    <mergeCell ref="AA2784:AA2785"/>
    <mergeCell ref="AB2784:AB2785"/>
    <mergeCell ref="A2778:A2779"/>
    <mergeCell ref="E2778:E2779"/>
    <mergeCell ref="H2778:H2779"/>
    <mergeCell ref="I2778:I2779"/>
    <mergeCell ref="J2778:J2779"/>
    <mergeCell ref="K2778:K2779"/>
    <mergeCell ref="L2778:L2779"/>
    <mergeCell ref="M2778:M2779"/>
    <mergeCell ref="N2778:N2779"/>
    <mergeCell ref="O2778:O2779"/>
    <mergeCell ref="X2778:X2779"/>
    <mergeCell ref="Y2778:Y2779"/>
    <mergeCell ref="Z2778:Z2779"/>
    <mergeCell ref="AA2778:AA2779"/>
    <mergeCell ref="AB2778:AB2779"/>
    <mergeCell ref="A2780:A2781"/>
    <mergeCell ref="E2780:E2781"/>
    <mergeCell ref="H2780:H2781"/>
    <mergeCell ref="I2780:I2781"/>
    <mergeCell ref="J2780:J2781"/>
    <mergeCell ref="K2780:K2781"/>
    <mergeCell ref="L2780:L2781"/>
    <mergeCell ref="M2780:M2781"/>
    <mergeCell ref="N2780:N2781"/>
    <mergeCell ref="O2780:O2781"/>
    <mergeCell ref="X2780:X2781"/>
    <mergeCell ref="Y2780:Y2781"/>
    <mergeCell ref="Z2780:Z2781"/>
    <mergeCell ref="AA2780:AA2781"/>
    <mergeCell ref="AB2780:AB2781"/>
    <mergeCell ref="A2774:A2775"/>
    <mergeCell ref="E2774:E2775"/>
    <mergeCell ref="H2774:H2775"/>
    <mergeCell ref="I2774:I2775"/>
    <mergeCell ref="J2774:J2775"/>
    <mergeCell ref="K2774:K2775"/>
    <mergeCell ref="L2774:L2775"/>
    <mergeCell ref="M2774:M2775"/>
    <mergeCell ref="N2774:N2775"/>
    <mergeCell ref="O2774:O2775"/>
    <mergeCell ref="X2774:X2775"/>
    <mergeCell ref="Y2774:Y2775"/>
    <mergeCell ref="Z2774:Z2775"/>
    <mergeCell ref="AA2774:AA2775"/>
    <mergeCell ref="AB2774:AB2775"/>
    <mergeCell ref="A2776:A2777"/>
    <mergeCell ref="E2776:E2777"/>
    <mergeCell ref="H2776:H2777"/>
    <mergeCell ref="I2776:I2777"/>
    <mergeCell ref="J2776:J2777"/>
    <mergeCell ref="K2776:K2777"/>
    <mergeCell ref="L2776:L2777"/>
    <mergeCell ref="M2776:M2777"/>
    <mergeCell ref="N2776:N2777"/>
    <mergeCell ref="O2776:O2777"/>
    <mergeCell ref="X2776:X2777"/>
    <mergeCell ref="Y2776:Y2777"/>
    <mergeCell ref="Z2776:Z2777"/>
    <mergeCell ref="AA2776:AA2777"/>
    <mergeCell ref="AB2776:AB2777"/>
    <mergeCell ref="A2770:A2771"/>
    <mergeCell ref="E2770:E2771"/>
    <mergeCell ref="H2770:H2771"/>
    <mergeCell ref="I2770:I2771"/>
    <mergeCell ref="J2770:J2771"/>
    <mergeCell ref="K2770:K2771"/>
    <mergeCell ref="L2770:L2771"/>
    <mergeCell ref="M2770:M2771"/>
    <mergeCell ref="N2770:N2771"/>
    <mergeCell ref="O2770:O2771"/>
    <mergeCell ref="X2770:X2771"/>
    <mergeCell ref="Y2770:Y2771"/>
    <mergeCell ref="Z2770:Z2771"/>
    <mergeCell ref="AA2770:AA2771"/>
    <mergeCell ref="AB2770:AB2771"/>
    <mergeCell ref="A2772:A2773"/>
    <mergeCell ref="E2772:E2773"/>
    <mergeCell ref="H2772:H2773"/>
    <mergeCell ref="I2772:I2773"/>
    <mergeCell ref="J2772:J2773"/>
    <mergeCell ref="K2772:K2773"/>
    <mergeCell ref="L2772:L2773"/>
    <mergeCell ref="M2772:M2773"/>
    <mergeCell ref="N2772:N2773"/>
    <mergeCell ref="O2772:O2773"/>
    <mergeCell ref="X2772:X2773"/>
    <mergeCell ref="Y2772:Y2773"/>
    <mergeCell ref="Z2772:Z2773"/>
    <mergeCell ref="AA2772:AA2773"/>
    <mergeCell ref="AB2772:AB2773"/>
    <mergeCell ref="A2766:A2767"/>
    <mergeCell ref="E2766:E2767"/>
    <mergeCell ref="H2766:H2767"/>
    <mergeCell ref="I2766:I2767"/>
    <mergeCell ref="J2766:J2767"/>
    <mergeCell ref="K2766:K2767"/>
    <mergeCell ref="L2766:L2767"/>
    <mergeCell ref="M2766:M2767"/>
    <mergeCell ref="N2766:N2767"/>
    <mergeCell ref="O2766:O2767"/>
    <mergeCell ref="X2766:X2767"/>
    <mergeCell ref="Y2766:Y2767"/>
    <mergeCell ref="Z2766:Z2767"/>
    <mergeCell ref="AA2766:AA2767"/>
    <mergeCell ref="AB2766:AB2767"/>
    <mergeCell ref="A2768:A2769"/>
    <mergeCell ref="E2768:E2769"/>
    <mergeCell ref="H2768:H2769"/>
    <mergeCell ref="I2768:I2769"/>
    <mergeCell ref="J2768:J2769"/>
    <mergeCell ref="K2768:K2769"/>
    <mergeCell ref="L2768:L2769"/>
    <mergeCell ref="M2768:M2769"/>
    <mergeCell ref="N2768:N2769"/>
    <mergeCell ref="O2768:O2769"/>
    <mergeCell ref="X2768:X2769"/>
    <mergeCell ref="Y2768:Y2769"/>
    <mergeCell ref="Z2768:Z2769"/>
    <mergeCell ref="AA2768:AA2769"/>
    <mergeCell ref="AB2768:AB2769"/>
    <mergeCell ref="A2762:A2763"/>
    <mergeCell ref="E2762:E2763"/>
    <mergeCell ref="H2762:H2763"/>
    <mergeCell ref="I2762:I2763"/>
    <mergeCell ref="J2762:J2763"/>
    <mergeCell ref="K2762:K2763"/>
    <mergeCell ref="L2762:L2763"/>
    <mergeCell ref="M2762:M2763"/>
    <mergeCell ref="N2762:N2763"/>
    <mergeCell ref="O2762:O2763"/>
    <mergeCell ref="X2762:X2763"/>
    <mergeCell ref="Y2762:Y2763"/>
    <mergeCell ref="Z2762:Z2763"/>
    <mergeCell ref="AA2762:AA2763"/>
    <mergeCell ref="AB2762:AB2763"/>
    <mergeCell ref="A2764:A2765"/>
    <mergeCell ref="E2764:E2765"/>
    <mergeCell ref="H2764:H2765"/>
    <mergeCell ref="I2764:I2765"/>
    <mergeCell ref="J2764:J2765"/>
    <mergeCell ref="K2764:K2765"/>
    <mergeCell ref="L2764:L2765"/>
    <mergeCell ref="M2764:M2765"/>
    <mergeCell ref="N2764:N2765"/>
    <mergeCell ref="O2764:O2765"/>
    <mergeCell ref="X2764:X2765"/>
    <mergeCell ref="Y2764:Y2765"/>
    <mergeCell ref="Z2764:Z2765"/>
    <mergeCell ref="AA2764:AA2765"/>
    <mergeCell ref="AB2764:AB2765"/>
    <mergeCell ref="A2758:A2759"/>
    <mergeCell ref="E2758:E2759"/>
    <mergeCell ref="H2758:H2759"/>
    <mergeCell ref="I2758:I2759"/>
    <mergeCell ref="J2758:J2759"/>
    <mergeCell ref="K2758:K2759"/>
    <mergeCell ref="L2758:L2759"/>
    <mergeCell ref="M2758:M2759"/>
    <mergeCell ref="N2758:N2759"/>
    <mergeCell ref="O2758:O2759"/>
    <mergeCell ref="X2758:X2759"/>
    <mergeCell ref="Y2758:Y2759"/>
    <mergeCell ref="Z2758:Z2759"/>
    <mergeCell ref="AA2758:AA2759"/>
    <mergeCell ref="AB2758:AB2759"/>
    <mergeCell ref="A2760:A2761"/>
    <mergeCell ref="E2760:E2761"/>
    <mergeCell ref="H2760:H2761"/>
    <mergeCell ref="I2760:I2761"/>
    <mergeCell ref="J2760:J2761"/>
    <mergeCell ref="K2760:K2761"/>
    <mergeCell ref="L2760:L2761"/>
    <mergeCell ref="M2760:M2761"/>
    <mergeCell ref="N2760:N2761"/>
    <mergeCell ref="O2760:O2761"/>
    <mergeCell ref="X2760:X2761"/>
    <mergeCell ref="Y2760:Y2761"/>
    <mergeCell ref="Z2760:Z2761"/>
    <mergeCell ref="AA2760:AA2761"/>
    <mergeCell ref="AB2760:AB2761"/>
    <mergeCell ref="A2754:A2755"/>
    <mergeCell ref="E2754:E2755"/>
    <mergeCell ref="H2754:H2755"/>
    <mergeCell ref="I2754:I2755"/>
    <mergeCell ref="J2754:J2755"/>
    <mergeCell ref="K2754:K2755"/>
    <mergeCell ref="L2754:L2755"/>
    <mergeCell ref="M2754:M2755"/>
    <mergeCell ref="N2754:N2755"/>
    <mergeCell ref="O2754:O2755"/>
    <mergeCell ref="X2754:X2755"/>
    <mergeCell ref="Y2754:Y2755"/>
    <mergeCell ref="Z2754:Z2755"/>
    <mergeCell ref="AA2754:AA2755"/>
    <mergeCell ref="AB2754:AB2755"/>
    <mergeCell ref="A2756:A2757"/>
    <mergeCell ref="E2756:E2757"/>
    <mergeCell ref="H2756:H2757"/>
    <mergeCell ref="I2756:I2757"/>
    <mergeCell ref="J2756:J2757"/>
    <mergeCell ref="K2756:K2757"/>
    <mergeCell ref="L2756:L2757"/>
    <mergeCell ref="M2756:M2757"/>
    <mergeCell ref="N2756:N2757"/>
    <mergeCell ref="O2756:O2757"/>
    <mergeCell ref="X2756:X2757"/>
    <mergeCell ref="Y2756:Y2757"/>
    <mergeCell ref="Z2756:Z2757"/>
    <mergeCell ref="AA2756:AA2757"/>
    <mergeCell ref="AB2756:AB2757"/>
    <mergeCell ref="A2750:A2751"/>
    <mergeCell ref="E2750:E2751"/>
    <mergeCell ref="H2750:H2751"/>
    <mergeCell ref="I2750:I2751"/>
    <mergeCell ref="J2750:J2751"/>
    <mergeCell ref="K2750:K2751"/>
    <mergeCell ref="L2750:L2751"/>
    <mergeCell ref="M2750:M2751"/>
    <mergeCell ref="N2750:N2751"/>
    <mergeCell ref="O2750:O2751"/>
    <mergeCell ref="X2750:X2751"/>
    <mergeCell ref="Y2750:Y2751"/>
    <mergeCell ref="Z2750:Z2751"/>
    <mergeCell ref="AA2750:AA2751"/>
    <mergeCell ref="AB2750:AB2751"/>
    <mergeCell ref="A2752:A2753"/>
    <mergeCell ref="E2752:E2753"/>
    <mergeCell ref="H2752:H2753"/>
    <mergeCell ref="I2752:I2753"/>
    <mergeCell ref="J2752:J2753"/>
    <mergeCell ref="K2752:K2753"/>
    <mergeCell ref="L2752:L2753"/>
    <mergeCell ref="M2752:M2753"/>
    <mergeCell ref="N2752:N2753"/>
    <mergeCell ref="O2752:O2753"/>
    <mergeCell ref="X2752:X2753"/>
    <mergeCell ref="Y2752:Y2753"/>
    <mergeCell ref="Z2752:Z2753"/>
    <mergeCell ref="AA2752:AA2753"/>
    <mergeCell ref="AB2752:AB2753"/>
    <mergeCell ref="A2746:A2747"/>
    <mergeCell ref="E2746:E2747"/>
    <mergeCell ref="H2746:H2747"/>
    <mergeCell ref="I2746:I2747"/>
    <mergeCell ref="J2746:J2747"/>
    <mergeCell ref="K2746:K2747"/>
    <mergeCell ref="L2746:L2747"/>
    <mergeCell ref="M2746:M2747"/>
    <mergeCell ref="N2746:N2747"/>
    <mergeCell ref="O2746:O2747"/>
    <mergeCell ref="X2746:X2747"/>
    <mergeCell ref="Y2746:Y2747"/>
    <mergeCell ref="Z2746:Z2747"/>
    <mergeCell ref="AA2746:AA2747"/>
    <mergeCell ref="AB2746:AB2747"/>
    <mergeCell ref="A2748:A2749"/>
    <mergeCell ref="E2748:E2749"/>
    <mergeCell ref="H2748:H2749"/>
    <mergeCell ref="I2748:I2749"/>
    <mergeCell ref="J2748:J2749"/>
    <mergeCell ref="K2748:K2749"/>
    <mergeCell ref="L2748:L2749"/>
    <mergeCell ref="M2748:M2749"/>
    <mergeCell ref="N2748:N2749"/>
    <mergeCell ref="O2748:O2749"/>
    <mergeCell ref="X2748:X2749"/>
    <mergeCell ref="Y2748:Y2749"/>
    <mergeCell ref="Z2748:Z2749"/>
    <mergeCell ref="AA2748:AA2749"/>
    <mergeCell ref="AB2748:AB2749"/>
    <mergeCell ref="A2742:A2743"/>
    <mergeCell ref="E2742:E2743"/>
    <mergeCell ref="H2742:H2743"/>
    <mergeCell ref="I2742:I2743"/>
    <mergeCell ref="J2742:J2743"/>
    <mergeCell ref="K2742:K2743"/>
    <mergeCell ref="L2742:L2743"/>
    <mergeCell ref="M2742:M2743"/>
    <mergeCell ref="N2742:N2743"/>
    <mergeCell ref="O2742:O2743"/>
    <mergeCell ref="X2742:X2743"/>
    <mergeCell ref="Y2742:Y2743"/>
    <mergeCell ref="Z2742:Z2743"/>
    <mergeCell ref="AA2742:AA2743"/>
    <mergeCell ref="AB2742:AB2743"/>
    <mergeCell ref="A2744:A2745"/>
    <mergeCell ref="E2744:E2745"/>
    <mergeCell ref="H2744:H2745"/>
    <mergeCell ref="I2744:I2745"/>
    <mergeCell ref="J2744:J2745"/>
    <mergeCell ref="K2744:K2745"/>
    <mergeCell ref="L2744:L2745"/>
    <mergeCell ref="M2744:M2745"/>
    <mergeCell ref="N2744:N2745"/>
    <mergeCell ref="O2744:O2745"/>
    <mergeCell ref="X2744:X2745"/>
    <mergeCell ref="Y2744:Y2745"/>
    <mergeCell ref="Z2744:Z2745"/>
    <mergeCell ref="AA2744:AA2745"/>
    <mergeCell ref="AB2744:AB2745"/>
    <mergeCell ref="A2738:A2739"/>
    <mergeCell ref="E2738:E2739"/>
    <mergeCell ref="H2738:H2739"/>
    <mergeCell ref="I2738:I2739"/>
    <mergeCell ref="J2738:J2739"/>
    <mergeCell ref="K2738:K2739"/>
    <mergeCell ref="L2738:L2739"/>
    <mergeCell ref="M2738:M2739"/>
    <mergeCell ref="N2738:N2739"/>
    <mergeCell ref="O2738:O2739"/>
    <mergeCell ref="X2738:X2739"/>
    <mergeCell ref="Y2738:Y2739"/>
    <mergeCell ref="Z2738:Z2739"/>
    <mergeCell ref="AA2738:AA2739"/>
    <mergeCell ref="AB2738:AB2739"/>
    <mergeCell ref="A2740:A2741"/>
    <mergeCell ref="E2740:E2741"/>
    <mergeCell ref="H2740:H2741"/>
    <mergeCell ref="I2740:I2741"/>
    <mergeCell ref="J2740:J2741"/>
    <mergeCell ref="K2740:K2741"/>
    <mergeCell ref="L2740:L2741"/>
    <mergeCell ref="M2740:M2741"/>
    <mergeCell ref="N2740:N2741"/>
    <mergeCell ref="O2740:O2741"/>
    <mergeCell ref="X2740:X2741"/>
    <mergeCell ref="Y2740:Y2741"/>
    <mergeCell ref="Z2740:Z2741"/>
    <mergeCell ref="AA2740:AA2741"/>
    <mergeCell ref="AB2740:AB2741"/>
    <mergeCell ref="A2734:A2735"/>
    <mergeCell ref="E2734:E2735"/>
    <mergeCell ref="H2734:H2735"/>
    <mergeCell ref="I2734:I2735"/>
    <mergeCell ref="J2734:J2735"/>
    <mergeCell ref="K2734:K2735"/>
    <mergeCell ref="L2734:L2735"/>
    <mergeCell ref="M2734:M2735"/>
    <mergeCell ref="N2734:N2735"/>
    <mergeCell ref="O2734:O2735"/>
    <mergeCell ref="X2734:X2735"/>
    <mergeCell ref="Y2734:Y2735"/>
    <mergeCell ref="Z2734:Z2735"/>
    <mergeCell ref="AA2734:AA2735"/>
    <mergeCell ref="AB2734:AB2735"/>
    <mergeCell ref="A2736:A2737"/>
    <mergeCell ref="E2736:E2737"/>
    <mergeCell ref="H2736:H2737"/>
    <mergeCell ref="I2736:I2737"/>
    <mergeCell ref="J2736:J2737"/>
    <mergeCell ref="K2736:K2737"/>
    <mergeCell ref="L2736:L2737"/>
    <mergeCell ref="M2736:M2737"/>
    <mergeCell ref="N2736:N2737"/>
    <mergeCell ref="O2736:O2737"/>
    <mergeCell ref="X2736:X2737"/>
    <mergeCell ref="Y2736:Y2737"/>
    <mergeCell ref="Z2736:Z2737"/>
    <mergeCell ref="AA2736:AA2737"/>
    <mergeCell ref="AB2736:AB2737"/>
    <mergeCell ref="A2732:A2733"/>
    <mergeCell ref="E2732:E2733"/>
    <mergeCell ref="H2732:H2733"/>
    <mergeCell ref="I2732:I2733"/>
    <mergeCell ref="J2732:J2733"/>
    <mergeCell ref="K2732:K2733"/>
    <mergeCell ref="L2732:L2733"/>
    <mergeCell ref="M2732:M2733"/>
    <mergeCell ref="N2732:N2733"/>
    <mergeCell ref="O2732:O2733"/>
    <mergeCell ref="X2732:X2733"/>
    <mergeCell ref="Y2732:Y2733"/>
    <mergeCell ref="Z2732:Z2733"/>
    <mergeCell ref="AA2732:AA2733"/>
    <mergeCell ref="AB2732:AB2733"/>
    <mergeCell ref="A2726:A2727"/>
    <mergeCell ref="E2726:E2727"/>
    <mergeCell ref="H2726:H2727"/>
    <mergeCell ref="I2726:I2727"/>
    <mergeCell ref="J2726:J2727"/>
    <mergeCell ref="K2726:K2727"/>
    <mergeCell ref="L2726:L2727"/>
    <mergeCell ref="M2726:M2727"/>
    <mergeCell ref="N2726:N2727"/>
    <mergeCell ref="O2726:O2727"/>
    <mergeCell ref="X2726:X2727"/>
    <mergeCell ref="Y2726:Y2727"/>
    <mergeCell ref="Z2726:Z2727"/>
    <mergeCell ref="AA2726:AA2727"/>
    <mergeCell ref="AB2726:AB2727"/>
    <mergeCell ref="A2728:A2729"/>
    <mergeCell ref="E2728:E2729"/>
    <mergeCell ref="H2728:H2729"/>
    <mergeCell ref="I2728:I2729"/>
    <mergeCell ref="J2728:J2729"/>
    <mergeCell ref="K2728:K2729"/>
    <mergeCell ref="L2728:L2729"/>
    <mergeCell ref="M2728:M2729"/>
    <mergeCell ref="N2728:N2729"/>
    <mergeCell ref="O2728:O2729"/>
    <mergeCell ref="X2728:X2729"/>
    <mergeCell ref="Y2728:Y2729"/>
    <mergeCell ref="Z2728:Z2729"/>
    <mergeCell ref="AA2728:AA2729"/>
    <mergeCell ref="AB2728:AB2729"/>
    <mergeCell ref="A2730:A2731"/>
    <mergeCell ref="E2730:E2731"/>
    <mergeCell ref="H2730:H2731"/>
    <mergeCell ref="I2730:I2731"/>
    <mergeCell ref="J2730:J2731"/>
    <mergeCell ref="K2730:K2731"/>
    <mergeCell ref="L2730:L2731"/>
    <mergeCell ref="M2730:M2731"/>
    <mergeCell ref="N2730:N2731"/>
    <mergeCell ref="O2730:O2731"/>
    <mergeCell ref="X2730:X2731"/>
    <mergeCell ref="Y2730:Y2731"/>
    <mergeCell ref="Z2730:Z2731"/>
    <mergeCell ref="AA2730:AA2731"/>
    <mergeCell ref="AB2730:AB2731"/>
    <mergeCell ref="A2718:A2719"/>
    <mergeCell ref="E2718:E2719"/>
    <mergeCell ref="H2718:H2719"/>
    <mergeCell ref="I2718:I2719"/>
    <mergeCell ref="J2718:J2719"/>
    <mergeCell ref="K2718:K2719"/>
    <mergeCell ref="L2718:L2719"/>
    <mergeCell ref="M2718:M2719"/>
    <mergeCell ref="N2718:N2719"/>
    <mergeCell ref="O2718:O2719"/>
    <mergeCell ref="X2718:X2719"/>
    <mergeCell ref="Y2718:Y2719"/>
    <mergeCell ref="Z2718:Z2719"/>
    <mergeCell ref="AA2718:AA2719"/>
    <mergeCell ref="L2638:L2639"/>
    <mergeCell ref="M2638:M2639"/>
    <mergeCell ref="N2638:N2639"/>
    <mergeCell ref="O2638:O2639"/>
    <mergeCell ref="A2720:A2721"/>
    <mergeCell ref="E2720:E2721"/>
    <mergeCell ref="H2720:H2721"/>
    <mergeCell ref="I2720:I2721"/>
    <mergeCell ref="J2720:J2721"/>
    <mergeCell ref="K2720:K2721"/>
    <mergeCell ref="L2720:L2721"/>
    <mergeCell ref="M2720:M2721"/>
    <mergeCell ref="N2720:N2721"/>
    <mergeCell ref="O2720:O2721"/>
    <mergeCell ref="X2720:X2721"/>
    <mergeCell ref="AB2718:AB2719"/>
    <mergeCell ref="Y2720:Y2721"/>
    <mergeCell ref="Z2720:Z2721"/>
    <mergeCell ref="AA2720:AA2721"/>
    <mergeCell ref="AB2720:AB2721"/>
    <mergeCell ref="A2674:A2675"/>
    <mergeCell ref="E2674:E2675"/>
    <mergeCell ref="H2674:H2675"/>
    <mergeCell ref="I2674:I2675"/>
    <mergeCell ref="J2674:J2675"/>
    <mergeCell ref="K2674:K2675"/>
    <mergeCell ref="L2674:L2675"/>
    <mergeCell ref="M2674:M2675"/>
    <mergeCell ref="N2674:N2675"/>
    <mergeCell ref="O2674:O2675"/>
    <mergeCell ref="X2674:X2675"/>
    <mergeCell ref="Y2674:Y2675"/>
    <mergeCell ref="Z2674:Z2675"/>
    <mergeCell ref="AA2674:AA2675"/>
    <mergeCell ref="AB2674:AB2675"/>
    <mergeCell ref="A2678:A2679"/>
    <mergeCell ref="E2678:E2679"/>
    <mergeCell ref="H2678:H2679"/>
    <mergeCell ref="I2678:I2679"/>
    <mergeCell ref="J2678:J2679"/>
    <mergeCell ref="K2678:K2679"/>
    <mergeCell ref="L2678:L2679"/>
    <mergeCell ref="M2678:M2679"/>
    <mergeCell ref="N2678:N2679"/>
    <mergeCell ref="O2678:O2679"/>
    <mergeCell ref="X2678:X2679"/>
    <mergeCell ref="Y2678:Y2679"/>
    <mergeCell ref="Z2678:Z2679"/>
    <mergeCell ref="AA2678:AA2679"/>
    <mergeCell ref="AB2678:AB2679"/>
    <mergeCell ref="A2722:A2723"/>
    <mergeCell ref="E2722:E2723"/>
    <mergeCell ref="H2722:H2723"/>
    <mergeCell ref="I2722:I2723"/>
    <mergeCell ref="J2722:J2723"/>
    <mergeCell ref="K2722:K2723"/>
    <mergeCell ref="L2722:L2723"/>
    <mergeCell ref="M2722:M2723"/>
    <mergeCell ref="N2722:N2723"/>
    <mergeCell ref="O2722:O2723"/>
    <mergeCell ref="X2722:X2723"/>
    <mergeCell ref="Y2722:Y2723"/>
    <mergeCell ref="Z2722:Z2723"/>
    <mergeCell ref="AA2722:AA2723"/>
    <mergeCell ref="AB2722:AB2723"/>
    <mergeCell ref="O2680:O2681"/>
    <mergeCell ref="X2680:X2681"/>
    <mergeCell ref="Y2680:Y2681"/>
    <mergeCell ref="Z2680:Z2681"/>
    <mergeCell ref="AA2680:AA2681"/>
    <mergeCell ref="AB2680:AB2681"/>
    <mergeCell ref="A2682:A2683"/>
    <mergeCell ref="E2682:E2683"/>
    <mergeCell ref="H2682:H2683"/>
    <mergeCell ref="I2682:I2683"/>
    <mergeCell ref="J2682:J2683"/>
    <mergeCell ref="K2682:K2683"/>
    <mergeCell ref="L2682:L2683"/>
    <mergeCell ref="M2682:M2683"/>
    <mergeCell ref="N2682:N2683"/>
    <mergeCell ref="O2682:O2683"/>
    <mergeCell ref="X2682:X2683"/>
    <mergeCell ref="Y2682:Y2683"/>
    <mergeCell ref="Z2682:Z2683"/>
    <mergeCell ref="AA2682:AA2683"/>
    <mergeCell ref="AB2682:AB2683"/>
    <mergeCell ref="A2688:A2689"/>
    <mergeCell ref="E2688:E2689"/>
    <mergeCell ref="H2688:H2689"/>
    <mergeCell ref="I2688:I2689"/>
    <mergeCell ref="J2688:J2689"/>
    <mergeCell ref="K2688:K2689"/>
    <mergeCell ref="L2688:L2689"/>
    <mergeCell ref="M2688:M2689"/>
    <mergeCell ref="N2688:N2689"/>
    <mergeCell ref="O2688:O2689"/>
    <mergeCell ref="X2688:X2689"/>
    <mergeCell ref="Y2688:Y2689"/>
    <mergeCell ref="Z2688:Z2689"/>
    <mergeCell ref="AA2688:AA2689"/>
    <mergeCell ref="AB2688:AB2689"/>
    <mergeCell ref="A2690:A2691"/>
    <mergeCell ref="E2690:E2691"/>
    <mergeCell ref="H2690:H2691"/>
    <mergeCell ref="I2690:I2691"/>
    <mergeCell ref="J2690:J2691"/>
    <mergeCell ref="K2690:K2691"/>
    <mergeCell ref="L2690:L2691"/>
    <mergeCell ref="M2690:M2691"/>
    <mergeCell ref="N2690:N2691"/>
    <mergeCell ref="O2690:O2691"/>
    <mergeCell ref="X2690:X2691"/>
    <mergeCell ref="Y2690:Y2691"/>
    <mergeCell ref="Z2690:Z2691"/>
    <mergeCell ref="O2640:O2641"/>
    <mergeCell ref="X2640:X2641"/>
    <mergeCell ref="Y2640:Y2641"/>
    <mergeCell ref="Z2640:Z2641"/>
    <mergeCell ref="AA2640:AA2641"/>
    <mergeCell ref="AB2640:AB2641"/>
    <mergeCell ref="A2642:A2643"/>
    <mergeCell ref="E2642:E2643"/>
    <mergeCell ref="H2642:H2643"/>
    <mergeCell ref="I2642:I2643"/>
    <mergeCell ref="J2642:J2643"/>
    <mergeCell ref="K2642:K2643"/>
    <mergeCell ref="L2642:L2643"/>
    <mergeCell ref="M2642:M2643"/>
    <mergeCell ref="N2642:N2643"/>
    <mergeCell ref="O2642:O2643"/>
    <mergeCell ref="X2642:X2643"/>
    <mergeCell ref="Y2642:Y2643"/>
    <mergeCell ref="Z2642:Z2643"/>
    <mergeCell ref="AA2642:AA2643"/>
    <mergeCell ref="AB2642:AB2643"/>
    <mergeCell ref="A2638:A2639"/>
    <mergeCell ref="X2632:X2633"/>
    <mergeCell ref="Y2632:Y2633"/>
    <mergeCell ref="Z2632:Z2633"/>
    <mergeCell ref="AA2632:AA2633"/>
    <mergeCell ref="AB2632:AB2633"/>
    <mergeCell ref="X2638:X2639"/>
    <mergeCell ref="Y2638:Y2639"/>
    <mergeCell ref="Z2638:Z2639"/>
    <mergeCell ref="AA2638:AA2639"/>
    <mergeCell ref="AB2638:AB2639"/>
    <mergeCell ref="K2628:K2629"/>
    <mergeCell ref="L2628:L2629"/>
    <mergeCell ref="M2628:M2629"/>
    <mergeCell ref="N2628:N2629"/>
    <mergeCell ref="A2634:A2635"/>
    <mergeCell ref="E2634:E2635"/>
    <mergeCell ref="H2634:H2635"/>
    <mergeCell ref="I2634:I2635"/>
    <mergeCell ref="J2634:J2635"/>
    <mergeCell ref="K2634:K2635"/>
    <mergeCell ref="L2634:L2635"/>
    <mergeCell ref="M2634:M2635"/>
    <mergeCell ref="N2634:N2635"/>
    <mergeCell ref="O2634:O2635"/>
    <mergeCell ref="X2634:X2635"/>
    <mergeCell ref="Y2634:Y2635"/>
    <mergeCell ref="Z2634:Z2635"/>
    <mergeCell ref="AA2634:AA2635"/>
    <mergeCell ref="AB2634:AB2635"/>
    <mergeCell ref="A2632:A2633"/>
    <mergeCell ref="E2632:E2633"/>
    <mergeCell ref="H2632:H2633"/>
    <mergeCell ref="I2632:I2633"/>
    <mergeCell ref="J2632:J2633"/>
    <mergeCell ref="K2632:K2633"/>
    <mergeCell ref="L2632:L2633"/>
    <mergeCell ref="M2632:M2633"/>
    <mergeCell ref="N2632:N2633"/>
    <mergeCell ref="O2632:O2633"/>
    <mergeCell ref="H2676:H2677"/>
    <mergeCell ref="I2676:I2677"/>
    <mergeCell ref="J2676:J2677"/>
    <mergeCell ref="K2676:K2677"/>
    <mergeCell ref="L2676:L2677"/>
    <mergeCell ref="M2676:M2677"/>
    <mergeCell ref="N2676:N2677"/>
    <mergeCell ref="A2670:A2671"/>
    <mergeCell ref="E2670:E2671"/>
    <mergeCell ref="H2670:H2671"/>
    <mergeCell ref="I2670:I2671"/>
    <mergeCell ref="J2670:J2671"/>
    <mergeCell ref="K2670:K2671"/>
    <mergeCell ref="L2670:L2671"/>
    <mergeCell ref="M2670:M2671"/>
    <mergeCell ref="N2670:N2671"/>
    <mergeCell ref="O2670:O2671"/>
    <mergeCell ref="X2670:X2671"/>
    <mergeCell ref="Y2670:Y2671"/>
    <mergeCell ref="Z2670:Z2671"/>
    <mergeCell ref="AA2670:AA2671"/>
    <mergeCell ref="AB2670:AB2671"/>
    <mergeCell ref="A2672:A2673"/>
    <mergeCell ref="E2672:E2673"/>
    <mergeCell ref="H2672:H2673"/>
    <mergeCell ref="I2672:I2673"/>
    <mergeCell ref="J2672:J2673"/>
    <mergeCell ref="K2672:K2673"/>
    <mergeCell ref="L2672:L2673"/>
    <mergeCell ref="M2672:M2673"/>
    <mergeCell ref="N2672:N2673"/>
    <mergeCell ref="O2672:O2673"/>
    <mergeCell ref="X2672:X2673"/>
    <mergeCell ref="Y2672:Y2673"/>
    <mergeCell ref="Z2672:Z2673"/>
    <mergeCell ref="AA2672:AA2673"/>
    <mergeCell ref="AB2672:AB2673"/>
    <mergeCell ref="A2666:A2667"/>
    <mergeCell ref="E2666:E2667"/>
    <mergeCell ref="H2666:H2667"/>
    <mergeCell ref="I2666:I2667"/>
    <mergeCell ref="J2666:J2667"/>
    <mergeCell ref="K2666:K2667"/>
    <mergeCell ref="L2666:L2667"/>
    <mergeCell ref="M2666:M2667"/>
    <mergeCell ref="N2666:N2667"/>
    <mergeCell ref="O2666:O2667"/>
    <mergeCell ref="X2666:X2667"/>
    <mergeCell ref="Y2666:Y2667"/>
    <mergeCell ref="Z2666:Z2667"/>
    <mergeCell ref="AA2666:AA2667"/>
    <mergeCell ref="AB2666:AB2667"/>
    <mergeCell ref="A2668:A2669"/>
    <mergeCell ref="E2668:E2669"/>
    <mergeCell ref="H2668:H2669"/>
    <mergeCell ref="I2668:I2669"/>
    <mergeCell ref="J2668:J2669"/>
    <mergeCell ref="K2668:K2669"/>
    <mergeCell ref="L2668:L2669"/>
    <mergeCell ref="M2668:M2669"/>
    <mergeCell ref="N2668:N2669"/>
    <mergeCell ref="O2668:O2669"/>
    <mergeCell ref="X2668:X2669"/>
    <mergeCell ref="Y2668:Y2669"/>
    <mergeCell ref="Z2668:Z2669"/>
    <mergeCell ref="AA2668:AA2669"/>
    <mergeCell ref="AB2668:AB2669"/>
    <mergeCell ref="A2662:A2663"/>
    <mergeCell ref="E2662:E2663"/>
    <mergeCell ref="H2662:H2663"/>
    <mergeCell ref="I2662:I2663"/>
    <mergeCell ref="J2662:J2663"/>
    <mergeCell ref="K2662:K2663"/>
    <mergeCell ref="L2662:L2663"/>
    <mergeCell ref="M2662:M2663"/>
    <mergeCell ref="N2662:N2663"/>
    <mergeCell ref="O2662:O2663"/>
    <mergeCell ref="X2662:X2663"/>
    <mergeCell ref="Y2662:Y2663"/>
    <mergeCell ref="Z2662:Z2663"/>
    <mergeCell ref="AA2662:AA2663"/>
    <mergeCell ref="AB2662:AB2663"/>
    <mergeCell ref="A2664:A2665"/>
    <mergeCell ref="E2664:E2665"/>
    <mergeCell ref="H2664:H2665"/>
    <mergeCell ref="I2664:I2665"/>
    <mergeCell ref="J2664:J2665"/>
    <mergeCell ref="K2664:K2665"/>
    <mergeCell ref="L2664:L2665"/>
    <mergeCell ref="M2664:M2665"/>
    <mergeCell ref="N2664:N2665"/>
    <mergeCell ref="O2664:O2665"/>
    <mergeCell ref="X2664:X2665"/>
    <mergeCell ref="Y2664:Y2665"/>
    <mergeCell ref="Z2664:Z2665"/>
    <mergeCell ref="AA2664:AA2665"/>
    <mergeCell ref="AB2664:AB2665"/>
    <mergeCell ref="A2658:A2659"/>
    <mergeCell ref="E2658:E2659"/>
    <mergeCell ref="H2658:H2659"/>
    <mergeCell ref="I2658:I2659"/>
    <mergeCell ref="J2658:J2659"/>
    <mergeCell ref="K2658:K2659"/>
    <mergeCell ref="L2658:L2659"/>
    <mergeCell ref="M2658:M2659"/>
    <mergeCell ref="N2658:N2659"/>
    <mergeCell ref="O2658:O2659"/>
    <mergeCell ref="X2658:X2659"/>
    <mergeCell ref="Y2658:Y2659"/>
    <mergeCell ref="Z2658:Z2659"/>
    <mergeCell ref="AA2658:AA2659"/>
    <mergeCell ref="AB2658:AB2659"/>
    <mergeCell ref="A2660:A2661"/>
    <mergeCell ref="E2660:E2661"/>
    <mergeCell ref="H2660:H2661"/>
    <mergeCell ref="I2660:I2661"/>
    <mergeCell ref="J2660:J2661"/>
    <mergeCell ref="K2660:K2661"/>
    <mergeCell ref="L2660:L2661"/>
    <mergeCell ref="M2660:M2661"/>
    <mergeCell ref="N2660:N2661"/>
    <mergeCell ref="O2660:O2661"/>
    <mergeCell ref="X2660:X2661"/>
    <mergeCell ref="Y2660:Y2661"/>
    <mergeCell ref="Z2660:Z2661"/>
    <mergeCell ref="AA2660:AA2661"/>
    <mergeCell ref="AB2660:AB2661"/>
    <mergeCell ref="A2654:A2655"/>
    <mergeCell ref="E2654:E2655"/>
    <mergeCell ref="H2654:H2655"/>
    <mergeCell ref="I2654:I2655"/>
    <mergeCell ref="J2654:J2655"/>
    <mergeCell ref="K2654:K2655"/>
    <mergeCell ref="L2654:L2655"/>
    <mergeCell ref="M2654:M2655"/>
    <mergeCell ref="N2654:N2655"/>
    <mergeCell ref="O2654:O2655"/>
    <mergeCell ref="X2654:X2655"/>
    <mergeCell ref="Y2654:Y2655"/>
    <mergeCell ref="Z2654:Z2655"/>
    <mergeCell ref="AA2654:AA2655"/>
    <mergeCell ref="AB2654:AB2655"/>
    <mergeCell ref="A2656:A2657"/>
    <mergeCell ref="E2656:E2657"/>
    <mergeCell ref="H2656:H2657"/>
    <mergeCell ref="I2656:I2657"/>
    <mergeCell ref="J2656:J2657"/>
    <mergeCell ref="K2656:K2657"/>
    <mergeCell ref="L2656:L2657"/>
    <mergeCell ref="M2656:M2657"/>
    <mergeCell ref="N2656:N2657"/>
    <mergeCell ref="O2656:O2657"/>
    <mergeCell ref="X2656:X2657"/>
    <mergeCell ref="Y2656:Y2657"/>
    <mergeCell ref="Z2656:Z2657"/>
    <mergeCell ref="AA2656:AA2657"/>
    <mergeCell ref="AB2656:AB2657"/>
    <mergeCell ref="A2650:A2651"/>
    <mergeCell ref="E2650:E2651"/>
    <mergeCell ref="H2650:H2651"/>
    <mergeCell ref="I2650:I2651"/>
    <mergeCell ref="J2650:J2651"/>
    <mergeCell ref="K2650:K2651"/>
    <mergeCell ref="L2650:L2651"/>
    <mergeCell ref="M2650:M2651"/>
    <mergeCell ref="N2650:N2651"/>
    <mergeCell ref="O2650:O2651"/>
    <mergeCell ref="X2650:X2651"/>
    <mergeCell ref="Y2650:Y2651"/>
    <mergeCell ref="Z2650:Z2651"/>
    <mergeCell ref="AA2650:AA2651"/>
    <mergeCell ref="AB2650:AB2651"/>
    <mergeCell ref="A2652:A2653"/>
    <mergeCell ref="E2652:E2653"/>
    <mergeCell ref="H2652:H2653"/>
    <mergeCell ref="I2652:I2653"/>
    <mergeCell ref="J2652:J2653"/>
    <mergeCell ref="K2652:K2653"/>
    <mergeCell ref="L2652:L2653"/>
    <mergeCell ref="M2652:M2653"/>
    <mergeCell ref="N2652:N2653"/>
    <mergeCell ref="O2652:O2653"/>
    <mergeCell ref="X2652:X2653"/>
    <mergeCell ref="Y2652:Y2653"/>
    <mergeCell ref="Z2652:Z2653"/>
    <mergeCell ref="AA2652:AA2653"/>
    <mergeCell ref="AB2652:AB2653"/>
    <mergeCell ref="A2646:A2647"/>
    <mergeCell ref="E2646:E2647"/>
    <mergeCell ref="H2646:H2647"/>
    <mergeCell ref="I2646:I2647"/>
    <mergeCell ref="J2646:J2647"/>
    <mergeCell ref="K2646:K2647"/>
    <mergeCell ref="L2646:L2647"/>
    <mergeCell ref="M2646:M2647"/>
    <mergeCell ref="N2646:N2647"/>
    <mergeCell ref="O2646:O2647"/>
    <mergeCell ref="X2646:X2647"/>
    <mergeCell ref="Y2646:Y2647"/>
    <mergeCell ref="Z2646:Z2647"/>
    <mergeCell ref="AA2646:AA2647"/>
    <mergeCell ref="AB2646:AB2647"/>
    <mergeCell ref="A2648:A2649"/>
    <mergeCell ref="E2648:E2649"/>
    <mergeCell ref="H2648:H2649"/>
    <mergeCell ref="I2648:I2649"/>
    <mergeCell ref="J2648:J2649"/>
    <mergeCell ref="K2648:K2649"/>
    <mergeCell ref="L2648:L2649"/>
    <mergeCell ref="M2648:M2649"/>
    <mergeCell ref="N2648:N2649"/>
    <mergeCell ref="O2648:O2649"/>
    <mergeCell ref="X2648:X2649"/>
    <mergeCell ref="Y2648:Y2649"/>
    <mergeCell ref="Z2648:Z2649"/>
    <mergeCell ref="AA2648:AA2649"/>
    <mergeCell ref="AB2648:AB2649"/>
    <mergeCell ref="A2644:A2645"/>
    <mergeCell ref="E2644:E2645"/>
    <mergeCell ref="H2644:H2645"/>
    <mergeCell ref="I2644:I2645"/>
    <mergeCell ref="J2644:J2645"/>
    <mergeCell ref="K2644:K2645"/>
    <mergeCell ref="L2644:L2645"/>
    <mergeCell ref="M2644:M2645"/>
    <mergeCell ref="N2644:N2645"/>
    <mergeCell ref="O2644:O2645"/>
    <mergeCell ref="X2644:X2645"/>
    <mergeCell ref="Y2644:Y2645"/>
    <mergeCell ref="Z2644:Z2645"/>
    <mergeCell ref="AA2644:AA2645"/>
    <mergeCell ref="AB2644:AB2645"/>
    <mergeCell ref="A2640:A2641"/>
    <mergeCell ref="E2640:E2641"/>
    <mergeCell ref="H2640:H2641"/>
    <mergeCell ref="I2640:I2641"/>
    <mergeCell ref="J2640:J2641"/>
    <mergeCell ref="K2640:K2641"/>
    <mergeCell ref="L2640:L2641"/>
    <mergeCell ref="M2640:M2641"/>
    <mergeCell ref="N2640:N2641"/>
    <mergeCell ref="E2638:E2639"/>
    <mergeCell ref="H2638:H2639"/>
    <mergeCell ref="I2638:I2639"/>
    <mergeCell ref="J2638:J2639"/>
    <mergeCell ref="K2638:K2639"/>
    <mergeCell ref="A2626:A2627"/>
    <mergeCell ref="E2626:E2627"/>
    <mergeCell ref="H2626:H2627"/>
    <mergeCell ref="I2626:I2627"/>
    <mergeCell ref="J2626:J2627"/>
    <mergeCell ref="K2626:K2627"/>
    <mergeCell ref="L2626:L2627"/>
    <mergeCell ref="M2626:M2627"/>
    <mergeCell ref="N2626:N2627"/>
    <mergeCell ref="O2626:O2627"/>
    <mergeCell ref="X2626:X2627"/>
    <mergeCell ref="Y2626:Y2627"/>
    <mergeCell ref="Z2626:Z2627"/>
    <mergeCell ref="AA2626:AA2627"/>
    <mergeCell ref="AB2626:AB2627"/>
    <mergeCell ref="A2636:A2637"/>
    <mergeCell ref="E2636:E2637"/>
    <mergeCell ref="H2636:H2637"/>
    <mergeCell ref="I2636:I2637"/>
    <mergeCell ref="J2636:J2637"/>
    <mergeCell ref="K2636:K2637"/>
    <mergeCell ref="L2636:L2637"/>
    <mergeCell ref="M2636:M2637"/>
    <mergeCell ref="N2636:N2637"/>
    <mergeCell ref="O2636:O2637"/>
    <mergeCell ref="X2636:X2637"/>
    <mergeCell ref="Y2636:Y2637"/>
    <mergeCell ref="Z2636:Z2637"/>
    <mergeCell ref="AA2636:AA2637"/>
    <mergeCell ref="AB2636:AB2637"/>
    <mergeCell ref="A2628:A2629"/>
    <mergeCell ref="E2628:E2629"/>
    <mergeCell ref="H2628:H2629"/>
    <mergeCell ref="I2628:I2629"/>
    <mergeCell ref="J2628:J2629"/>
    <mergeCell ref="A2624:A2625"/>
    <mergeCell ref="E2624:E2625"/>
    <mergeCell ref="H2624:H2625"/>
    <mergeCell ref="I2624:I2625"/>
    <mergeCell ref="J2624:J2625"/>
    <mergeCell ref="K2624:K2625"/>
    <mergeCell ref="L2624:L2625"/>
    <mergeCell ref="M2624:M2625"/>
    <mergeCell ref="N2624:N2625"/>
    <mergeCell ref="O2624:O2625"/>
    <mergeCell ref="X2624:X2625"/>
    <mergeCell ref="Y2624:Y2625"/>
    <mergeCell ref="Z2624:Z2625"/>
    <mergeCell ref="AA2624:AA2625"/>
    <mergeCell ref="AB2624:AB2625"/>
    <mergeCell ref="O2628:O2629"/>
    <mergeCell ref="X2628:X2629"/>
    <mergeCell ref="Y2628:Y2629"/>
    <mergeCell ref="Z2628:Z2629"/>
    <mergeCell ref="AA2628:AA2629"/>
    <mergeCell ref="AB2628:AB2629"/>
    <mergeCell ref="A2630:A2631"/>
    <mergeCell ref="E2630:E2631"/>
    <mergeCell ref="H2630:H2631"/>
    <mergeCell ref="I2630:I2631"/>
    <mergeCell ref="J2630:J2631"/>
    <mergeCell ref="K2630:K2631"/>
    <mergeCell ref="L2630:L2631"/>
    <mergeCell ref="M2630:M2631"/>
    <mergeCell ref="N2630:N2631"/>
    <mergeCell ref="O2630:O2631"/>
    <mergeCell ref="X2630:X2631"/>
    <mergeCell ref="Y2630:Y2631"/>
    <mergeCell ref="Z2630:Z2631"/>
    <mergeCell ref="AA2630:AA2631"/>
    <mergeCell ref="AB2630:AB2631"/>
    <mergeCell ref="J2566:J2567"/>
    <mergeCell ref="K2566:K2567"/>
    <mergeCell ref="L2566:L2567"/>
    <mergeCell ref="M2566:M2567"/>
    <mergeCell ref="N2566:N2567"/>
    <mergeCell ref="O2566:O2567"/>
    <mergeCell ref="X2566:X2567"/>
    <mergeCell ref="Y2566:Y2567"/>
    <mergeCell ref="Z2566:Z2567"/>
    <mergeCell ref="AA2566:AA2567"/>
    <mergeCell ref="AB2566:AB2567"/>
    <mergeCell ref="A2620:A2621"/>
    <mergeCell ref="E2620:E2621"/>
    <mergeCell ref="H2620:H2621"/>
    <mergeCell ref="I2620:I2621"/>
    <mergeCell ref="J2620:J2621"/>
    <mergeCell ref="K2620:K2621"/>
    <mergeCell ref="L2620:L2621"/>
    <mergeCell ref="M2620:M2621"/>
    <mergeCell ref="N2620:N2621"/>
    <mergeCell ref="O2620:O2621"/>
    <mergeCell ref="X2620:X2621"/>
    <mergeCell ref="Y2620:Y2621"/>
    <mergeCell ref="Z2620:Z2621"/>
    <mergeCell ref="AA2620:AA2621"/>
    <mergeCell ref="AB2620:AB2621"/>
    <mergeCell ref="A2622:A2623"/>
    <mergeCell ref="E2622:E2623"/>
    <mergeCell ref="H2622:H2623"/>
    <mergeCell ref="I2622:I2623"/>
    <mergeCell ref="J2622:J2623"/>
    <mergeCell ref="K2622:K2623"/>
    <mergeCell ref="L2622:L2623"/>
    <mergeCell ref="M2622:M2623"/>
    <mergeCell ref="N2622:N2623"/>
    <mergeCell ref="O2622:O2623"/>
    <mergeCell ref="X2622:X2623"/>
    <mergeCell ref="Y2622:Y2623"/>
    <mergeCell ref="Z2622:Z2623"/>
    <mergeCell ref="AA2622:AA2623"/>
    <mergeCell ref="AB2622:AB2623"/>
    <mergeCell ref="A2616:A2617"/>
    <mergeCell ref="E2616:E2617"/>
    <mergeCell ref="H2616:H2617"/>
    <mergeCell ref="I2616:I2617"/>
    <mergeCell ref="J2616:J2617"/>
    <mergeCell ref="K2616:K2617"/>
    <mergeCell ref="L2616:L2617"/>
    <mergeCell ref="M2616:M2617"/>
    <mergeCell ref="N2616:N2617"/>
    <mergeCell ref="O2616:O2617"/>
    <mergeCell ref="X2616:X2617"/>
    <mergeCell ref="Y2616:Y2617"/>
    <mergeCell ref="Z2616:Z2617"/>
    <mergeCell ref="AA2616:AA2617"/>
    <mergeCell ref="AB2616:AB2617"/>
    <mergeCell ref="A2618:A2619"/>
    <mergeCell ref="E2618:E2619"/>
    <mergeCell ref="H2618:H2619"/>
    <mergeCell ref="I2618:I2619"/>
    <mergeCell ref="J2618:J2619"/>
    <mergeCell ref="K2618:K2619"/>
    <mergeCell ref="L2618:L2619"/>
    <mergeCell ref="M2618:M2619"/>
    <mergeCell ref="N2618:N2619"/>
    <mergeCell ref="O2618:O2619"/>
    <mergeCell ref="X2618:X2619"/>
    <mergeCell ref="Y2618:Y2619"/>
    <mergeCell ref="Z2618:Z2619"/>
    <mergeCell ref="AA2618:AA2619"/>
    <mergeCell ref="AB2618:AB2619"/>
    <mergeCell ref="A2612:A2613"/>
    <mergeCell ref="E2612:E2613"/>
    <mergeCell ref="H2612:H2613"/>
    <mergeCell ref="I2612:I2613"/>
    <mergeCell ref="J2612:J2613"/>
    <mergeCell ref="K2612:K2613"/>
    <mergeCell ref="L2612:L2613"/>
    <mergeCell ref="M2612:M2613"/>
    <mergeCell ref="N2612:N2613"/>
    <mergeCell ref="O2612:O2613"/>
    <mergeCell ref="X2612:X2613"/>
    <mergeCell ref="Y2612:Y2613"/>
    <mergeCell ref="Z2612:Z2613"/>
    <mergeCell ref="AA2612:AA2613"/>
    <mergeCell ref="AB2612:AB2613"/>
    <mergeCell ref="A2614:A2615"/>
    <mergeCell ref="E2614:E2615"/>
    <mergeCell ref="H2614:H2615"/>
    <mergeCell ref="I2614:I2615"/>
    <mergeCell ref="J2614:J2615"/>
    <mergeCell ref="K2614:K2615"/>
    <mergeCell ref="L2614:L2615"/>
    <mergeCell ref="M2614:M2615"/>
    <mergeCell ref="N2614:N2615"/>
    <mergeCell ref="O2614:O2615"/>
    <mergeCell ref="X2614:X2615"/>
    <mergeCell ref="Y2614:Y2615"/>
    <mergeCell ref="Z2614:Z2615"/>
    <mergeCell ref="AA2614:AA2615"/>
    <mergeCell ref="AB2614:AB2615"/>
    <mergeCell ref="A2608:A2609"/>
    <mergeCell ref="E2608:E2609"/>
    <mergeCell ref="H2608:H2609"/>
    <mergeCell ref="I2608:I2609"/>
    <mergeCell ref="J2608:J2609"/>
    <mergeCell ref="K2608:K2609"/>
    <mergeCell ref="L2608:L2609"/>
    <mergeCell ref="M2608:M2609"/>
    <mergeCell ref="N2608:N2609"/>
    <mergeCell ref="O2608:O2609"/>
    <mergeCell ref="X2608:X2609"/>
    <mergeCell ref="Y2608:Y2609"/>
    <mergeCell ref="Z2608:Z2609"/>
    <mergeCell ref="AA2608:AA2609"/>
    <mergeCell ref="AB2608:AB2609"/>
    <mergeCell ref="A2610:A2611"/>
    <mergeCell ref="E2610:E2611"/>
    <mergeCell ref="H2610:H2611"/>
    <mergeCell ref="I2610:I2611"/>
    <mergeCell ref="J2610:J2611"/>
    <mergeCell ref="K2610:K2611"/>
    <mergeCell ref="L2610:L2611"/>
    <mergeCell ref="M2610:M2611"/>
    <mergeCell ref="N2610:N2611"/>
    <mergeCell ref="O2610:O2611"/>
    <mergeCell ref="X2610:X2611"/>
    <mergeCell ref="Y2610:Y2611"/>
    <mergeCell ref="Z2610:Z2611"/>
    <mergeCell ref="AA2610:AA2611"/>
    <mergeCell ref="AB2610:AB2611"/>
    <mergeCell ref="A2604:A2605"/>
    <mergeCell ref="E2604:E2605"/>
    <mergeCell ref="H2604:H2605"/>
    <mergeCell ref="I2604:I2605"/>
    <mergeCell ref="J2604:J2605"/>
    <mergeCell ref="K2604:K2605"/>
    <mergeCell ref="L2604:L2605"/>
    <mergeCell ref="M2604:M2605"/>
    <mergeCell ref="N2604:N2605"/>
    <mergeCell ref="O2604:O2605"/>
    <mergeCell ref="X2604:X2605"/>
    <mergeCell ref="Y2604:Y2605"/>
    <mergeCell ref="Z2604:Z2605"/>
    <mergeCell ref="AA2604:AA2605"/>
    <mergeCell ref="AB2604:AB2605"/>
    <mergeCell ref="A2606:A2607"/>
    <mergeCell ref="E2606:E2607"/>
    <mergeCell ref="H2606:H2607"/>
    <mergeCell ref="I2606:I2607"/>
    <mergeCell ref="J2606:J2607"/>
    <mergeCell ref="K2606:K2607"/>
    <mergeCell ref="L2606:L2607"/>
    <mergeCell ref="M2606:M2607"/>
    <mergeCell ref="N2606:N2607"/>
    <mergeCell ref="O2606:O2607"/>
    <mergeCell ref="X2606:X2607"/>
    <mergeCell ref="Y2606:Y2607"/>
    <mergeCell ref="Z2606:Z2607"/>
    <mergeCell ref="AA2606:AA2607"/>
    <mergeCell ref="AB2606:AB2607"/>
    <mergeCell ref="A2600:A2601"/>
    <mergeCell ref="E2600:E2601"/>
    <mergeCell ref="H2600:H2601"/>
    <mergeCell ref="I2600:I2601"/>
    <mergeCell ref="J2600:J2601"/>
    <mergeCell ref="K2600:K2601"/>
    <mergeCell ref="L2600:L2601"/>
    <mergeCell ref="M2600:M2601"/>
    <mergeCell ref="N2600:N2601"/>
    <mergeCell ref="O2600:O2601"/>
    <mergeCell ref="X2600:X2601"/>
    <mergeCell ref="Y2600:Y2601"/>
    <mergeCell ref="Z2600:Z2601"/>
    <mergeCell ref="AA2600:AA2601"/>
    <mergeCell ref="AB2600:AB2601"/>
    <mergeCell ref="A2602:A2603"/>
    <mergeCell ref="E2602:E2603"/>
    <mergeCell ref="H2602:H2603"/>
    <mergeCell ref="I2602:I2603"/>
    <mergeCell ref="J2602:J2603"/>
    <mergeCell ref="K2602:K2603"/>
    <mergeCell ref="L2602:L2603"/>
    <mergeCell ref="M2602:M2603"/>
    <mergeCell ref="N2602:N2603"/>
    <mergeCell ref="O2602:O2603"/>
    <mergeCell ref="X2602:X2603"/>
    <mergeCell ref="Y2602:Y2603"/>
    <mergeCell ref="Z2602:Z2603"/>
    <mergeCell ref="AA2602:AA2603"/>
    <mergeCell ref="AB2602:AB2603"/>
    <mergeCell ref="A2596:A2597"/>
    <mergeCell ref="E2596:E2597"/>
    <mergeCell ref="H2596:H2597"/>
    <mergeCell ref="I2596:I2597"/>
    <mergeCell ref="J2596:J2597"/>
    <mergeCell ref="K2596:K2597"/>
    <mergeCell ref="L2596:L2597"/>
    <mergeCell ref="M2596:M2597"/>
    <mergeCell ref="N2596:N2597"/>
    <mergeCell ref="O2596:O2597"/>
    <mergeCell ref="X2596:X2597"/>
    <mergeCell ref="Y2596:Y2597"/>
    <mergeCell ref="Z2596:Z2597"/>
    <mergeCell ref="AA2596:AA2597"/>
    <mergeCell ref="AB2596:AB2597"/>
    <mergeCell ref="A2598:A2599"/>
    <mergeCell ref="E2598:E2599"/>
    <mergeCell ref="H2598:H2599"/>
    <mergeCell ref="I2598:I2599"/>
    <mergeCell ref="J2598:J2599"/>
    <mergeCell ref="K2598:K2599"/>
    <mergeCell ref="L2598:L2599"/>
    <mergeCell ref="M2598:M2599"/>
    <mergeCell ref="N2598:N2599"/>
    <mergeCell ref="O2598:O2599"/>
    <mergeCell ref="X2598:X2599"/>
    <mergeCell ref="Y2598:Y2599"/>
    <mergeCell ref="Z2598:Z2599"/>
    <mergeCell ref="AA2598:AA2599"/>
    <mergeCell ref="AB2598:AB2599"/>
    <mergeCell ref="A2592:A2593"/>
    <mergeCell ref="E2592:E2593"/>
    <mergeCell ref="H2592:H2593"/>
    <mergeCell ref="I2592:I2593"/>
    <mergeCell ref="J2592:J2593"/>
    <mergeCell ref="K2592:K2593"/>
    <mergeCell ref="L2592:L2593"/>
    <mergeCell ref="M2592:M2593"/>
    <mergeCell ref="N2592:N2593"/>
    <mergeCell ref="O2592:O2593"/>
    <mergeCell ref="X2592:X2593"/>
    <mergeCell ref="Y2592:Y2593"/>
    <mergeCell ref="Z2592:Z2593"/>
    <mergeCell ref="AA2592:AA2593"/>
    <mergeCell ref="AB2592:AB2593"/>
    <mergeCell ref="A2594:A2595"/>
    <mergeCell ref="E2594:E2595"/>
    <mergeCell ref="H2594:H2595"/>
    <mergeCell ref="I2594:I2595"/>
    <mergeCell ref="J2594:J2595"/>
    <mergeCell ref="K2594:K2595"/>
    <mergeCell ref="L2594:L2595"/>
    <mergeCell ref="M2594:M2595"/>
    <mergeCell ref="N2594:N2595"/>
    <mergeCell ref="O2594:O2595"/>
    <mergeCell ref="X2594:X2595"/>
    <mergeCell ref="Y2594:Y2595"/>
    <mergeCell ref="Z2594:Z2595"/>
    <mergeCell ref="AA2594:AA2595"/>
    <mergeCell ref="AB2594:AB2595"/>
    <mergeCell ref="A2588:A2589"/>
    <mergeCell ref="E2588:E2589"/>
    <mergeCell ref="H2588:H2589"/>
    <mergeCell ref="I2588:I2589"/>
    <mergeCell ref="J2588:J2589"/>
    <mergeCell ref="K2588:K2589"/>
    <mergeCell ref="L2588:L2589"/>
    <mergeCell ref="M2588:M2589"/>
    <mergeCell ref="N2588:N2589"/>
    <mergeCell ref="O2588:O2589"/>
    <mergeCell ref="X2588:X2589"/>
    <mergeCell ref="Y2588:Y2589"/>
    <mergeCell ref="Z2588:Z2589"/>
    <mergeCell ref="AA2588:AA2589"/>
    <mergeCell ref="AB2588:AB2589"/>
    <mergeCell ref="A2590:A2591"/>
    <mergeCell ref="E2590:E2591"/>
    <mergeCell ref="H2590:H2591"/>
    <mergeCell ref="I2590:I2591"/>
    <mergeCell ref="J2590:J2591"/>
    <mergeCell ref="K2590:K2591"/>
    <mergeCell ref="L2590:L2591"/>
    <mergeCell ref="M2590:M2591"/>
    <mergeCell ref="N2590:N2591"/>
    <mergeCell ref="O2590:O2591"/>
    <mergeCell ref="X2590:X2591"/>
    <mergeCell ref="Y2590:Y2591"/>
    <mergeCell ref="Z2590:Z2591"/>
    <mergeCell ref="AA2590:AA2591"/>
    <mergeCell ref="AB2590:AB2591"/>
    <mergeCell ref="A2584:A2585"/>
    <mergeCell ref="E2584:E2585"/>
    <mergeCell ref="H2584:H2585"/>
    <mergeCell ref="I2584:I2585"/>
    <mergeCell ref="J2584:J2585"/>
    <mergeCell ref="K2584:K2585"/>
    <mergeCell ref="L2584:L2585"/>
    <mergeCell ref="M2584:M2585"/>
    <mergeCell ref="N2584:N2585"/>
    <mergeCell ref="O2584:O2585"/>
    <mergeCell ref="X2584:X2585"/>
    <mergeCell ref="Y2584:Y2585"/>
    <mergeCell ref="Z2584:Z2585"/>
    <mergeCell ref="AA2584:AA2585"/>
    <mergeCell ref="AB2584:AB2585"/>
    <mergeCell ref="A2586:A2587"/>
    <mergeCell ref="E2586:E2587"/>
    <mergeCell ref="H2586:H2587"/>
    <mergeCell ref="I2586:I2587"/>
    <mergeCell ref="J2586:J2587"/>
    <mergeCell ref="K2586:K2587"/>
    <mergeCell ref="L2586:L2587"/>
    <mergeCell ref="M2586:M2587"/>
    <mergeCell ref="N2586:N2587"/>
    <mergeCell ref="O2586:O2587"/>
    <mergeCell ref="X2586:X2587"/>
    <mergeCell ref="Y2586:Y2587"/>
    <mergeCell ref="Z2586:Z2587"/>
    <mergeCell ref="AA2586:AA2587"/>
    <mergeCell ref="AB2586:AB2587"/>
    <mergeCell ref="A2580:A2581"/>
    <mergeCell ref="E2580:E2581"/>
    <mergeCell ref="H2580:H2581"/>
    <mergeCell ref="I2580:I2581"/>
    <mergeCell ref="J2580:J2581"/>
    <mergeCell ref="K2580:K2581"/>
    <mergeCell ref="L2580:L2581"/>
    <mergeCell ref="M2580:M2581"/>
    <mergeCell ref="N2580:N2581"/>
    <mergeCell ref="O2580:O2581"/>
    <mergeCell ref="X2580:X2581"/>
    <mergeCell ref="Y2580:Y2581"/>
    <mergeCell ref="Z2580:Z2581"/>
    <mergeCell ref="AA2580:AA2581"/>
    <mergeCell ref="AB2580:AB2581"/>
    <mergeCell ref="A2582:A2583"/>
    <mergeCell ref="E2582:E2583"/>
    <mergeCell ref="H2582:H2583"/>
    <mergeCell ref="I2582:I2583"/>
    <mergeCell ref="J2582:J2583"/>
    <mergeCell ref="K2582:K2583"/>
    <mergeCell ref="L2582:L2583"/>
    <mergeCell ref="M2582:M2583"/>
    <mergeCell ref="N2582:N2583"/>
    <mergeCell ref="O2582:O2583"/>
    <mergeCell ref="X2582:X2583"/>
    <mergeCell ref="Y2582:Y2583"/>
    <mergeCell ref="Z2582:Z2583"/>
    <mergeCell ref="AA2582:AA2583"/>
    <mergeCell ref="AB2582:AB2583"/>
    <mergeCell ref="A2576:A2577"/>
    <mergeCell ref="E2576:E2577"/>
    <mergeCell ref="H2576:H2577"/>
    <mergeCell ref="I2576:I2577"/>
    <mergeCell ref="J2576:J2577"/>
    <mergeCell ref="K2576:K2577"/>
    <mergeCell ref="L2576:L2577"/>
    <mergeCell ref="M2576:M2577"/>
    <mergeCell ref="N2576:N2577"/>
    <mergeCell ref="O2576:O2577"/>
    <mergeCell ref="X2576:X2577"/>
    <mergeCell ref="Y2576:Y2577"/>
    <mergeCell ref="Z2576:Z2577"/>
    <mergeCell ref="AA2576:AA2577"/>
    <mergeCell ref="AB2576:AB2577"/>
    <mergeCell ref="A2578:A2579"/>
    <mergeCell ref="E2578:E2579"/>
    <mergeCell ref="H2578:H2579"/>
    <mergeCell ref="I2578:I2579"/>
    <mergeCell ref="J2578:J2579"/>
    <mergeCell ref="K2578:K2579"/>
    <mergeCell ref="L2578:L2579"/>
    <mergeCell ref="M2578:M2579"/>
    <mergeCell ref="N2578:N2579"/>
    <mergeCell ref="O2578:O2579"/>
    <mergeCell ref="X2578:X2579"/>
    <mergeCell ref="Y2578:Y2579"/>
    <mergeCell ref="Z2578:Z2579"/>
    <mergeCell ref="AA2578:AA2579"/>
    <mergeCell ref="AB2578:AB2579"/>
    <mergeCell ref="A2572:A2573"/>
    <mergeCell ref="E2572:E2573"/>
    <mergeCell ref="H2572:H2573"/>
    <mergeCell ref="I2572:I2573"/>
    <mergeCell ref="J2572:J2573"/>
    <mergeCell ref="K2572:K2573"/>
    <mergeCell ref="L2572:L2573"/>
    <mergeCell ref="M2572:M2573"/>
    <mergeCell ref="N2572:N2573"/>
    <mergeCell ref="O2572:O2573"/>
    <mergeCell ref="X2572:X2573"/>
    <mergeCell ref="Y2572:Y2573"/>
    <mergeCell ref="Z2572:Z2573"/>
    <mergeCell ref="AA2572:AA2573"/>
    <mergeCell ref="AB2572:AB2573"/>
    <mergeCell ref="A2574:A2575"/>
    <mergeCell ref="E2574:E2575"/>
    <mergeCell ref="H2574:H2575"/>
    <mergeCell ref="I2574:I2575"/>
    <mergeCell ref="J2574:J2575"/>
    <mergeCell ref="K2574:K2575"/>
    <mergeCell ref="L2574:L2575"/>
    <mergeCell ref="M2574:M2575"/>
    <mergeCell ref="N2574:N2575"/>
    <mergeCell ref="O2574:O2575"/>
    <mergeCell ref="X2574:X2575"/>
    <mergeCell ref="Y2574:Y2575"/>
    <mergeCell ref="Z2574:Z2575"/>
    <mergeCell ref="AA2574:AA2575"/>
    <mergeCell ref="AB2574:AB2575"/>
    <mergeCell ref="A2568:A2569"/>
    <mergeCell ref="E2568:E2569"/>
    <mergeCell ref="H2568:H2569"/>
    <mergeCell ref="I2568:I2569"/>
    <mergeCell ref="J2568:J2569"/>
    <mergeCell ref="K2568:K2569"/>
    <mergeCell ref="L2568:L2569"/>
    <mergeCell ref="M2568:M2569"/>
    <mergeCell ref="N2568:N2569"/>
    <mergeCell ref="O2568:O2569"/>
    <mergeCell ref="X2568:X2569"/>
    <mergeCell ref="Y2568:Y2569"/>
    <mergeCell ref="Z2568:Z2569"/>
    <mergeCell ref="AA2568:AA2569"/>
    <mergeCell ref="AB2568:AB2569"/>
    <mergeCell ref="A2570:A2571"/>
    <mergeCell ref="E2570:E2571"/>
    <mergeCell ref="H2570:H2571"/>
    <mergeCell ref="I2570:I2571"/>
    <mergeCell ref="J2570:J2571"/>
    <mergeCell ref="K2570:K2571"/>
    <mergeCell ref="L2570:L2571"/>
    <mergeCell ref="M2570:M2571"/>
    <mergeCell ref="N2570:N2571"/>
    <mergeCell ref="O2570:O2571"/>
    <mergeCell ref="X2570:X2571"/>
    <mergeCell ref="Y2570:Y2571"/>
    <mergeCell ref="Z2570:Z2571"/>
    <mergeCell ref="AA2570:AA2571"/>
    <mergeCell ref="AB2570:AB2571"/>
    <mergeCell ref="A2562:A2563"/>
    <mergeCell ref="E2562:E2563"/>
    <mergeCell ref="H2562:H2563"/>
    <mergeCell ref="I2562:I2563"/>
    <mergeCell ref="J2562:J2563"/>
    <mergeCell ref="K2562:K2563"/>
    <mergeCell ref="L2562:L2563"/>
    <mergeCell ref="M2562:M2563"/>
    <mergeCell ref="N2562:N2563"/>
    <mergeCell ref="O2562:O2563"/>
    <mergeCell ref="X2562:X2563"/>
    <mergeCell ref="Y2562:Y2563"/>
    <mergeCell ref="Z2562:Z2563"/>
    <mergeCell ref="AA2562:AA2563"/>
    <mergeCell ref="AB2562:AB2563"/>
    <mergeCell ref="A2564:A2565"/>
    <mergeCell ref="E2564:E2565"/>
    <mergeCell ref="H2564:H2565"/>
    <mergeCell ref="I2564:I2565"/>
    <mergeCell ref="J2564:J2565"/>
    <mergeCell ref="K2564:K2565"/>
    <mergeCell ref="L2564:L2565"/>
    <mergeCell ref="M2564:M2565"/>
    <mergeCell ref="N2564:N2565"/>
    <mergeCell ref="O2564:O2565"/>
    <mergeCell ref="X2564:X2565"/>
    <mergeCell ref="Y2564:Y2565"/>
    <mergeCell ref="Z2564:Z2565"/>
    <mergeCell ref="AA2564:AA2565"/>
    <mergeCell ref="AB2564:AB2565"/>
    <mergeCell ref="A2566:A2567"/>
    <mergeCell ref="E2566:E2567"/>
    <mergeCell ref="H2566:H2567"/>
    <mergeCell ref="I2566:I2567"/>
    <mergeCell ref="A2558:A2559"/>
    <mergeCell ref="E2558:E2559"/>
    <mergeCell ref="H2558:H2559"/>
    <mergeCell ref="I2558:I2559"/>
    <mergeCell ref="J2558:J2559"/>
    <mergeCell ref="K2558:K2559"/>
    <mergeCell ref="L2558:L2559"/>
    <mergeCell ref="M2558:M2559"/>
    <mergeCell ref="N2558:N2559"/>
    <mergeCell ref="O2558:O2559"/>
    <mergeCell ref="X2558:X2559"/>
    <mergeCell ref="Y2558:Y2559"/>
    <mergeCell ref="Z2558:Z2559"/>
    <mergeCell ref="AA2558:AA2559"/>
    <mergeCell ref="AB2558:AB2559"/>
    <mergeCell ref="A2560:A2561"/>
    <mergeCell ref="E2560:E2561"/>
    <mergeCell ref="H2560:H2561"/>
    <mergeCell ref="I2560:I2561"/>
    <mergeCell ref="J2560:J2561"/>
    <mergeCell ref="K2560:K2561"/>
    <mergeCell ref="L2560:L2561"/>
    <mergeCell ref="M2560:M2561"/>
    <mergeCell ref="N2560:N2561"/>
    <mergeCell ref="O2560:O2561"/>
    <mergeCell ref="X2560:X2561"/>
    <mergeCell ref="Y2560:Y2561"/>
    <mergeCell ref="Z2560:Z2561"/>
    <mergeCell ref="AA2560:AA2561"/>
    <mergeCell ref="AB2560:AB2561"/>
    <mergeCell ref="A2554:A2555"/>
    <mergeCell ref="E2554:E2555"/>
    <mergeCell ref="H2554:H2555"/>
    <mergeCell ref="I2554:I2555"/>
    <mergeCell ref="J2554:J2555"/>
    <mergeCell ref="K2554:K2555"/>
    <mergeCell ref="L2554:L2555"/>
    <mergeCell ref="M2554:M2555"/>
    <mergeCell ref="N2554:N2555"/>
    <mergeCell ref="O2554:O2555"/>
    <mergeCell ref="X2554:X2555"/>
    <mergeCell ref="Y2554:Y2555"/>
    <mergeCell ref="Z2554:Z2555"/>
    <mergeCell ref="AA2554:AA2555"/>
    <mergeCell ref="AB2554:AB2555"/>
    <mergeCell ref="A2556:A2557"/>
    <mergeCell ref="E2556:E2557"/>
    <mergeCell ref="H2556:H2557"/>
    <mergeCell ref="I2556:I2557"/>
    <mergeCell ref="J2556:J2557"/>
    <mergeCell ref="K2556:K2557"/>
    <mergeCell ref="L2556:L2557"/>
    <mergeCell ref="M2556:M2557"/>
    <mergeCell ref="N2556:N2557"/>
    <mergeCell ref="O2556:O2557"/>
    <mergeCell ref="X2556:X2557"/>
    <mergeCell ref="Y2556:Y2557"/>
    <mergeCell ref="Z2556:Z2557"/>
    <mergeCell ref="AA2556:AA2557"/>
    <mergeCell ref="AB2556:AB2557"/>
    <mergeCell ref="A2550:A2551"/>
    <mergeCell ref="E2550:E2551"/>
    <mergeCell ref="H2550:H2551"/>
    <mergeCell ref="I2550:I2551"/>
    <mergeCell ref="J2550:J2551"/>
    <mergeCell ref="K2550:K2551"/>
    <mergeCell ref="L2550:L2551"/>
    <mergeCell ref="M2550:M2551"/>
    <mergeCell ref="N2550:N2551"/>
    <mergeCell ref="O2550:O2551"/>
    <mergeCell ref="X2550:X2551"/>
    <mergeCell ref="Y2550:Y2551"/>
    <mergeCell ref="Z2550:Z2551"/>
    <mergeCell ref="AA2550:AA2551"/>
    <mergeCell ref="AB2550:AB2551"/>
    <mergeCell ref="A2552:A2553"/>
    <mergeCell ref="E2552:E2553"/>
    <mergeCell ref="H2552:H2553"/>
    <mergeCell ref="I2552:I2553"/>
    <mergeCell ref="J2552:J2553"/>
    <mergeCell ref="K2552:K2553"/>
    <mergeCell ref="L2552:L2553"/>
    <mergeCell ref="M2552:M2553"/>
    <mergeCell ref="N2552:N2553"/>
    <mergeCell ref="O2552:O2553"/>
    <mergeCell ref="X2552:X2553"/>
    <mergeCell ref="Y2552:Y2553"/>
    <mergeCell ref="Z2552:Z2553"/>
    <mergeCell ref="AA2552:AA2553"/>
    <mergeCell ref="AB2552:AB2553"/>
    <mergeCell ref="A2546:A2547"/>
    <mergeCell ref="E2546:E2547"/>
    <mergeCell ref="H2546:H2547"/>
    <mergeCell ref="I2546:I2547"/>
    <mergeCell ref="J2546:J2547"/>
    <mergeCell ref="K2546:K2547"/>
    <mergeCell ref="L2546:L2547"/>
    <mergeCell ref="M2546:M2547"/>
    <mergeCell ref="N2546:N2547"/>
    <mergeCell ref="O2546:O2547"/>
    <mergeCell ref="X2546:X2547"/>
    <mergeCell ref="Y2546:Y2547"/>
    <mergeCell ref="Z2546:Z2547"/>
    <mergeCell ref="AA2546:AA2547"/>
    <mergeCell ref="AB2546:AB2547"/>
    <mergeCell ref="A2548:A2549"/>
    <mergeCell ref="E2548:E2549"/>
    <mergeCell ref="H2548:H2549"/>
    <mergeCell ref="I2548:I2549"/>
    <mergeCell ref="J2548:J2549"/>
    <mergeCell ref="K2548:K2549"/>
    <mergeCell ref="L2548:L2549"/>
    <mergeCell ref="M2548:M2549"/>
    <mergeCell ref="N2548:N2549"/>
    <mergeCell ref="O2548:O2549"/>
    <mergeCell ref="X2548:X2549"/>
    <mergeCell ref="Y2548:Y2549"/>
    <mergeCell ref="Z2548:Z2549"/>
    <mergeCell ref="AA2548:AA2549"/>
    <mergeCell ref="AB2548:AB2549"/>
    <mergeCell ref="A2544:A2545"/>
    <mergeCell ref="E2544:E2545"/>
    <mergeCell ref="H2544:H2545"/>
    <mergeCell ref="I2544:I2545"/>
    <mergeCell ref="J2544:J2545"/>
    <mergeCell ref="K2544:K2545"/>
    <mergeCell ref="L2544:L2545"/>
    <mergeCell ref="M2544:M2545"/>
    <mergeCell ref="N2544:N2545"/>
    <mergeCell ref="O2544:O2545"/>
    <mergeCell ref="X2544:X2545"/>
    <mergeCell ref="Y2544:Y2545"/>
    <mergeCell ref="Z2544:Z2545"/>
    <mergeCell ref="AA2544:AA2545"/>
    <mergeCell ref="AB2544:AB2545"/>
    <mergeCell ref="O2488:O2489"/>
    <mergeCell ref="X2488:X2489"/>
    <mergeCell ref="Y2488:Y2489"/>
    <mergeCell ref="Z2488:Z2489"/>
    <mergeCell ref="AA2488:AA2489"/>
    <mergeCell ref="AB2488:AB2489"/>
    <mergeCell ref="A2490:A2491"/>
    <mergeCell ref="E2490:E2491"/>
    <mergeCell ref="H2490:H2491"/>
    <mergeCell ref="I2490:I2491"/>
    <mergeCell ref="J2490:J2491"/>
    <mergeCell ref="K2490:K2491"/>
    <mergeCell ref="L2490:L2491"/>
    <mergeCell ref="M2490:M2491"/>
    <mergeCell ref="N2490:N2491"/>
    <mergeCell ref="O2490:O2491"/>
    <mergeCell ref="X2490:X2491"/>
    <mergeCell ref="Y2490:Y2491"/>
    <mergeCell ref="Z2490:Z2491"/>
    <mergeCell ref="AA2490:AA2491"/>
    <mergeCell ref="AB2490:AB2491"/>
    <mergeCell ref="A2494:A2495"/>
    <mergeCell ref="E2494:E2495"/>
    <mergeCell ref="H2494:H2495"/>
    <mergeCell ref="I2494:I2495"/>
    <mergeCell ref="J2494:J2495"/>
    <mergeCell ref="K2494:K2495"/>
    <mergeCell ref="L2494:L2495"/>
    <mergeCell ref="M2494:M2495"/>
    <mergeCell ref="N2494:N2495"/>
    <mergeCell ref="O2494:O2495"/>
    <mergeCell ref="X2494:X2495"/>
    <mergeCell ref="Y2494:Y2495"/>
    <mergeCell ref="Z2494:Z2495"/>
    <mergeCell ref="AA2494:AA2495"/>
    <mergeCell ref="AB2494:AB2495"/>
    <mergeCell ref="A2496:A2497"/>
    <mergeCell ref="E2496:E2497"/>
    <mergeCell ref="H2496:H2497"/>
    <mergeCell ref="I2496:I2497"/>
    <mergeCell ref="J2496:J2497"/>
    <mergeCell ref="K2496:K2497"/>
    <mergeCell ref="L2496:L2497"/>
    <mergeCell ref="M2496:M2497"/>
    <mergeCell ref="N2496:N2497"/>
    <mergeCell ref="O2496:O2497"/>
    <mergeCell ref="X2496:X2497"/>
    <mergeCell ref="Y2496:Y2497"/>
    <mergeCell ref="Z2496:Z2497"/>
    <mergeCell ref="A2432:A2433"/>
    <mergeCell ref="E2432:E2433"/>
    <mergeCell ref="H2432:H2433"/>
    <mergeCell ref="I2432:I2433"/>
    <mergeCell ref="J2432:J2433"/>
    <mergeCell ref="K2432:K2433"/>
    <mergeCell ref="L2432:L2433"/>
    <mergeCell ref="M2432:M2433"/>
    <mergeCell ref="N2432:N2433"/>
    <mergeCell ref="O2432:O2433"/>
    <mergeCell ref="X2432:X2433"/>
    <mergeCell ref="Y2432:Y2433"/>
    <mergeCell ref="Z2432:Z2433"/>
    <mergeCell ref="AA2432:AA2433"/>
    <mergeCell ref="AB2432:AB2433"/>
    <mergeCell ref="A2434:A2435"/>
    <mergeCell ref="E2434:E2435"/>
    <mergeCell ref="H2434:H2435"/>
    <mergeCell ref="I2434:I2435"/>
    <mergeCell ref="J2434:J2435"/>
    <mergeCell ref="K2434:K2435"/>
    <mergeCell ref="L2434:L2435"/>
    <mergeCell ref="M2434:M2435"/>
    <mergeCell ref="N2434:N2435"/>
    <mergeCell ref="O2434:O2435"/>
    <mergeCell ref="X2434:X2435"/>
    <mergeCell ref="Y2434:Y2435"/>
    <mergeCell ref="Z2434:Z2435"/>
    <mergeCell ref="AA2434:AA2435"/>
    <mergeCell ref="AB2434:AB2435"/>
    <mergeCell ref="A2542:A2543"/>
    <mergeCell ref="E2542:E2543"/>
    <mergeCell ref="H2542:H2543"/>
    <mergeCell ref="I2542:I2543"/>
    <mergeCell ref="J2542:J2543"/>
    <mergeCell ref="K2542:K2543"/>
    <mergeCell ref="L2542:L2543"/>
    <mergeCell ref="M2542:M2543"/>
    <mergeCell ref="N2542:N2543"/>
    <mergeCell ref="O2542:O2543"/>
    <mergeCell ref="X2542:X2543"/>
    <mergeCell ref="Y2542:Y2543"/>
    <mergeCell ref="Z2542:Z2543"/>
    <mergeCell ref="AA2542:AA2543"/>
    <mergeCell ref="AB2542:AB2543"/>
    <mergeCell ref="A2442:A2443"/>
    <mergeCell ref="E2442:E2443"/>
    <mergeCell ref="H2442:H2443"/>
    <mergeCell ref="I2442:I2443"/>
    <mergeCell ref="J2442:J2443"/>
    <mergeCell ref="K2442:K2443"/>
    <mergeCell ref="L2442:L2443"/>
    <mergeCell ref="M2442:M2443"/>
    <mergeCell ref="N2442:N2443"/>
    <mergeCell ref="O2442:O2443"/>
    <mergeCell ref="X2442:X2443"/>
    <mergeCell ref="Y2442:Y2443"/>
    <mergeCell ref="Z2442:Z2443"/>
    <mergeCell ref="AA2442:AA2443"/>
    <mergeCell ref="AB2442:AB2443"/>
    <mergeCell ref="A2436:A2437"/>
    <mergeCell ref="E2436:E2437"/>
    <mergeCell ref="H2436:H2437"/>
    <mergeCell ref="I2436:I2437"/>
    <mergeCell ref="J2436:J2437"/>
    <mergeCell ref="K2436:K2437"/>
    <mergeCell ref="L2436:L2437"/>
    <mergeCell ref="M2436:M2437"/>
    <mergeCell ref="N2436:N2437"/>
    <mergeCell ref="O2436:O2437"/>
    <mergeCell ref="X2436:X2437"/>
    <mergeCell ref="Y2436:Y2437"/>
    <mergeCell ref="Z2436:Z2437"/>
    <mergeCell ref="AA2436:AA2437"/>
    <mergeCell ref="AB2436:AB2437"/>
    <mergeCell ref="A2438:A2439"/>
    <mergeCell ref="E2438:E2439"/>
    <mergeCell ref="H2438:H2439"/>
    <mergeCell ref="I2438:I2439"/>
    <mergeCell ref="J2438:J2439"/>
    <mergeCell ref="K2438:K2439"/>
    <mergeCell ref="L2438:L2439"/>
    <mergeCell ref="M2438:M2439"/>
    <mergeCell ref="N2438:N2439"/>
    <mergeCell ref="A2440:A2441"/>
    <mergeCell ref="E2440:E2441"/>
    <mergeCell ref="H2440:H2441"/>
    <mergeCell ref="I2440:I2441"/>
    <mergeCell ref="J2440:J2441"/>
    <mergeCell ref="K2440:K2441"/>
    <mergeCell ref="L2440:L2441"/>
    <mergeCell ref="M2440:M2441"/>
    <mergeCell ref="N2440:N2441"/>
    <mergeCell ref="O2440:O2441"/>
    <mergeCell ref="X2440:X2441"/>
    <mergeCell ref="Y2440:Y2441"/>
    <mergeCell ref="Z2440:Z2441"/>
    <mergeCell ref="AA2440:AA2441"/>
    <mergeCell ref="AB2440:AB2441"/>
    <mergeCell ref="O2438:O2439"/>
    <mergeCell ref="X2438:X2439"/>
    <mergeCell ref="Y2438:Y2439"/>
    <mergeCell ref="Z2438:Z2439"/>
    <mergeCell ref="AA2438:AA2439"/>
    <mergeCell ref="AB2438:AB2439"/>
    <mergeCell ref="A2428:A2429"/>
    <mergeCell ref="E2428:E2429"/>
    <mergeCell ref="H2428:H2429"/>
    <mergeCell ref="I2428:I2429"/>
    <mergeCell ref="J2428:J2429"/>
    <mergeCell ref="K2428:K2429"/>
    <mergeCell ref="L2428:L2429"/>
    <mergeCell ref="M2428:M2429"/>
    <mergeCell ref="N2428:N2429"/>
    <mergeCell ref="O2428:O2429"/>
    <mergeCell ref="X2428:X2429"/>
    <mergeCell ref="Y2428:Y2429"/>
    <mergeCell ref="Z2428:Z2429"/>
    <mergeCell ref="AA2428:AA2429"/>
    <mergeCell ref="AB2428:AB2429"/>
    <mergeCell ref="A2430:A2431"/>
    <mergeCell ref="E2430:E2431"/>
    <mergeCell ref="H2430:H2431"/>
    <mergeCell ref="I2430:I2431"/>
    <mergeCell ref="J2430:J2431"/>
    <mergeCell ref="K2430:K2431"/>
    <mergeCell ref="L2430:L2431"/>
    <mergeCell ref="M2430:M2431"/>
    <mergeCell ref="N2430:N2431"/>
    <mergeCell ref="O2430:O2431"/>
    <mergeCell ref="X2430:X2431"/>
    <mergeCell ref="Y2430:Y2431"/>
    <mergeCell ref="Z2430:Z2431"/>
    <mergeCell ref="AA2430:AA2431"/>
    <mergeCell ref="AB2430:AB2431"/>
    <mergeCell ref="A2424:A2425"/>
    <mergeCell ref="E2424:E2425"/>
    <mergeCell ref="H2424:H2425"/>
    <mergeCell ref="I2424:I2425"/>
    <mergeCell ref="J2424:J2425"/>
    <mergeCell ref="K2424:K2425"/>
    <mergeCell ref="L2424:L2425"/>
    <mergeCell ref="M2424:M2425"/>
    <mergeCell ref="N2424:N2425"/>
    <mergeCell ref="O2424:O2425"/>
    <mergeCell ref="X2424:X2425"/>
    <mergeCell ref="Y2424:Y2425"/>
    <mergeCell ref="Z2424:Z2425"/>
    <mergeCell ref="AA2424:AA2425"/>
    <mergeCell ref="AB2424:AB2425"/>
    <mergeCell ref="A2426:A2427"/>
    <mergeCell ref="E2426:E2427"/>
    <mergeCell ref="H2426:H2427"/>
    <mergeCell ref="I2426:I2427"/>
    <mergeCell ref="J2426:J2427"/>
    <mergeCell ref="K2426:K2427"/>
    <mergeCell ref="L2426:L2427"/>
    <mergeCell ref="M2426:M2427"/>
    <mergeCell ref="N2426:N2427"/>
    <mergeCell ref="O2426:O2427"/>
    <mergeCell ref="X2426:X2427"/>
    <mergeCell ref="Y2426:Y2427"/>
    <mergeCell ref="Z2426:Z2427"/>
    <mergeCell ref="AA2426:AA2427"/>
    <mergeCell ref="AB2426:AB2427"/>
    <mergeCell ref="J2420:J2421"/>
    <mergeCell ref="K2420:K2421"/>
    <mergeCell ref="L2420:L2421"/>
    <mergeCell ref="M2420:M2421"/>
    <mergeCell ref="N2420:N2421"/>
    <mergeCell ref="O2420:O2421"/>
    <mergeCell ref="X2420:X2421"/>
    <mergeCell ref="Y2420:Y2421"/>
    <mergeCell ref="Z2420:Z2421"/>
    <mergeCell ref="AA2420:AA2421"/>
    <mergeCell ref="AB2420:AB2421"/>
    <mergeCell ref="A2422:A2423"/>
    <mergeCell ref="E2422:E2423"/>
    <mergeCell ref="H2422:H2423"/>
    <mergeCell ref="I2422:I2423"/>
    <mergeCell ref="J2422:J2423"/>
    <mergeCell ref="K2422:K2423"/>
    <mergeCell ref="L2422:L2423"/>
    <mergeCell ref="M2422:M2423"/>
    <mergeCell ref="N2422:N2423"/>
    <mergeCell ref="O2422:O2423"/>
    <mergeCell ref="X2422:X2423"/>
    <mergeCell ref="Y2422:Y2423"/>
    <mergeCell ref="Z2422:Z2423"/>
    <mergeCell ref="AA2422:AA2423"/>
    <mergeCell ref="AB2422:AB2423"/>
    <mergeCell ref="A2416:A2417"/>
    <mergeCell ref="E2416:E2417"/>
    <mergeCell ref="H2416:H2417"/>
    <mergeCell ref="I2416:I2417"/>
    <mergeCell ref="J2416:J2417"/>
    <mergeCell ref="K2416:K2417"/>
    <mergeCell ref="L2416:L2417"/>
    <mergeCell ref="M2416:M2417"/>
    <mergeCell ref="N2416:N2417"/>
    <mergeCell ref="O2416:O2417"/>
    <mergeCell ref="X2416:X2417"/>
    <mergeCell ref="Y2416:Y2417"/>
    <mergeCell ref="Z2416:Z2417"/>
    <mergeCell ref="AA2416:AA2417"/>
    <mergeCell ref="AB2416:AB2417"/>
    <mergeCell ref="A2418:A2419"/>
    <mergeCell ref="E2418:E2419"/>
    <mergeCell ref="H2418:H2419"/>
    <mergeCell ref="I2418:I2419"/>
    <mergeCell ref="J2418:J2419"/>
    <mergeCell ref="K2418:K2419"/>
    <mergeCell ref="L2418:L2419"/>
    <mergeCell ref="M2418:M2419"/>
    <mergeCell ref="N2418:N2419"/>
    <mergeCell ref="O2418:O2419"/>
    <mergeCell ref="X2418:X2419"/>
    <mergeCell ref="Y2418:Y2419"/>
    <mergeCell ref="Z2418:Z2419"/>
    <mergeCell ref="AA2418:AA2419"/>
    <mergeCell ref="AB2418:AB2419"/>
    <mergeCell ref="A2406:A2407"/>
    <mergeCell ref="E2406:E2407"/>
    <mergeCell ref="H2406:H2407"/>
    <mergeCell ref="I2406:I2407"/>
    <mergeCell ref="J2406:J2407"/>
    <mergeCell ref="K2406:K2407"/>
    <mergeCell ref="L2406:L2407"/>
    <mergeCell ref="M2406:M2407"/>
    <mergeCell ref="N2406:N2407"/>
    <mergeCell ref="O2406:O2407"/>
    <mergeCell ref="X2406:X2407"/>
    <mergeCell ref="Y2406:Y2407"/>
    <mergeCell ref="Z2406:Z2407"/>
    <mergeCell ref="AA2406:AA2407"/>
    <mergeCell ref="AB2406:AB2407"/>
    <mergeCell ref="A2410:A2411"/>
    <mergeCell ref="E2410:E2411"/>
    <mergeCell ref="H2410:H2411"/>
    <mergeCell ref="I2410:I2411"/>
    <mergeCell ref="J2410:J2411"/>
    <mergeCell ref="K2410:K2411"/>
    <mergeCell ref="L2410:L2411"/>
    <mergeCell ref="M2410:M2411"/>
    <mergeCell ref="N2410:N2411"/>
    <mergeCell ref="O2410:O2411"/>
    <mergeCell ref="X2410:X2411"/>
    <mergeCell ref="Y2410:Y2411"/>
    <mergeCell ref="Z2410:Z2411"/>
    <mergeCell ref="AA2410:AA2411"/>
    <mergeCell ref="AB2410:AB2411"/>
    <mergeCell ref="A2408:A2409"/>
    <mergeCell ref="E2408:E2409"/>
    <mergeCell ref="H2408:H2409"/>
    <mergeCell ref="I2408:I2409"/>
    <mergeCell ref="J2408:J2409"/>
    <mergeCell ref="K2408:K2409"/>
    <mergeCell ref="L2408:L2409"/>
    <mergeCell ref="M2408:M2409"/>
    <mergeCell ref="N2408:N2409"/>
    <mergeCell ref="A2402:A2403"/>
    <mergeCell ref="E2402:E2403"/>
    <mergeCell ref="H2402:H2403"/>
    <mergeCell ref="I2402:I2403"/>
    <mergeCell ref="J2402:J2403"/>
    <mergeCell ref="K2402:K2403"/>
    <mergeCell ref="L2402:L2403"/>
    <mergeCell ref="M2402:M2403"/>
    <mergeCell ref="N2402:N2403"/>
    <mergeCell ref="O2402:O2403"/>
    <mergeCell ref="X2402:X2403"/>
    <mergeCell ref="Y2402:Y2403"/>
    <mergeCell ref="Z2402:Z2403"/>
    <mergeCell ref="AA2402:AA2403"/>
    <mergeCell ref="AB2402:AB2403"/>
    <mergeCell ref="A2404:A2405"/>
    <mergeCell ref="E2404:E2405"/>
    <mergeCell ref="H2404:H2405"/>
    <mergeCell ref="I2404:I2405"/>
    <mergeCell ref="J2404:J2405"/>
    <mergeCell ref="K2404:K2405"/>
    <mergeCell ref="L2404:L2405"/>
    <mergeCell ref="M2404:M2405"/>
    <mergeCell ref="N2404:N2405"/>
    <mergeCell ref="O2404:O2405"/>
    <mergeCell ref="X2404:X2405"/>
    <mergeCell ref="Y2404:Y2405"/>
    <mergeCell ref="Z2404:Z2405"/>
    <mergeCell ref="AA2404:AA2405"/>
    <mergeCell ref="AB2404:AB2405"/>
    <mergeCell ref="H2356:H2357"/>
    <mergeCell ref="I2356:I2357"/>
    <mergeCell ref="J2356:J2357"/>
    <mergeCell ref="K2356:K2357"/>
    <mergeCell ref="L2356:L2357"/>
    <mergeCell ref="M2356:M2357"/>
    <mergeCell ref="N2356:N2357"/>
    <mergeCell ref="O2356:O2357"/>
    <mergeCell ref="X2356:X2357"/>
    <mergeCell ref="Y2356:Y2357"/>
    <mergeCell ref="Z2356:Z2357"/>
    <mergeCell ref="AA2356:AA2357"/>
    <mergeCell ref="AB2356:AB2357"/>
    <mergeCell ref="A2400:A2401"/>
    <mergeCell ref="E2400:E2401"/>
    <mergeCell ref="H2400:H2401"/>
    <mergeCell ref="I2400:I2401"/>
    <mergeCell ref="J2400:J2401"/>
    <mergeCell ref="K2400:K2401"/>
    <mergeCell ref="L2400:L2401"/>
    <mergeCell ref="M2400:M2401"/>
    <mergeCell ref="N2400:N2401"/>
    <mergeCell ref="O2400:O2401"/>
    <mergeCell ref="X2400:X2401"/>
    <mergeCell ref="Y2400:Y2401"/>
    <mergeCell ref="Z2400:Z2401"/>
    <mergeCell ref="AA2400:AA2401"/>
    <mergeCell ref="AB2400:AB2401"/>
    <mergeCell ref="A2384:A2385"/>
    <mergeCell ref="E2384:E2385"/>
    <mergeCell ref="A2396:A2397"/>
    <mergeCell ref="E2396:E2397"/>
    <mergeCell ref="H2396:H2397"/>
    <mergeCell ref="I2396:I2397"/>
    <mergeCell ref="J2396:J2397"/>
    <mergeCell ref="K2396:K2397"/>
    <mergeCell ref="L2396:L2397"/>
    <mergeCell ref="M2396:M2397"/>
    <mergeCell ref="N2396:N2397"/>
    <mergeCell ref="O2396:O2397"/>
    <mergeCell ref="X2396:X2397"/>
    <mergeCell ref="Y2396:Y2397"/>
    <mergeCell ref="Z2396:Z2397"/>
    <mergeCell ref="AA2396:AA2397"/>
    <mergeCell ref="AB2396:AB2397"/>
    <mergeCell ref="A2398:A2399"/>
    <mergeCell ref="E2398:E2399"/>
    <mergeCell ref="H2398:H2399"/>
    <mergeCell ref="I2398:I2399"/>
    <mergeCell ref="J2398:J2399"/>
    <mergeCell ref="K2398:K2399"/>
    <mergeCell ref="L2398:L2399"/>
    <mergeCell ref="M2398:M2399"/>
    <mergeCell ref="N2398:N2399"/>
    <mergeCell ref="O2398:O2399"/>
    <mergeCell ref="X2398:X2399"/>
    <mergeCell ref="Y2398:Y2399"/>
    <mergeCell ref="Z2398:Z2399"/>
    <mergeCell ref="AA2398:AA2399"/>
    <mergeCell ref="AB2398:AB2399"/>
    <mergeCell ref="A2392:A2393"/>
    <mergeCell ref="E2392:E2393"/>
    <mergeCell ref="H2392:H2393"/>
    <mergeCell ref="I2392:I2393"/>
    <mergeCell ref="J2392:J2393"/>
    <mergeCell ref="K2392:K2393"/>
    <mergeCell ref="L2392:L2393"/>
    <mergeCell ref="M2392:M2393"/>
    <mergeCell ref="N2392:N2393"/>
    <mergeCell ref="O2392:O2393"/>
    <mergeCell ref="X2392:X2393"/>
    <mergeCell ref="Y2392:Y2393"/>
    <mergeCell ref="Z2392:Z2393"/>
    <mergeCell ref="AA2392:AA2393"/>
    <mergeCell ref="AB2392:AB2393"/>
    <mergeCell ref="O2394:O2395"/>
    <mergeCell ref="X2394:X2395"/>
    <mergeCell ref="Y2394:Y2395"/>
    <mergeCell ref="Z2394:Z2395"/>
    <mergeCell ref="AA2394:AA2395"/>
    <mergeCell ref="AB2394:AB2395"/>
    <mergeCell ref="A2394:A2395"/>
    <mergeCell ref="E2394:E2395"/>
    <mergeCell ref="H2394:H2395"/>
    <mergeCell ref="I2394:I2395"/>
    <mergeCell ref="J2394:J2395"/>
    <mergeCell ref="K2394:K2395"/>
    <mergeCell ref="L2394:L2395"/>
    <mergeCell ref="M2394:M2395"/>
    <mergeCell ref="N2394:N2395"/>
    <mergeCell ref="A2388:A2389"/>
    <mergeCell ref="E2388:E2389"/>
    <mergeCell ref="H2388:H2389"/>
    <mergeCell ref="I2388:I2389"/>
    <mergeCell ref="J2388:J2389"/>
    <mergeCell ref="K2388:K2389"/>
    <mergeCell ref="L2388:L2389"/>
    <mergeCell ref="M2388:M2389"/>
    <mergeCell ref="N2388:N2389"/>
    <mergeCell ref="O2388:O2389"/>
    <mergeCell ref="X2388:X2389"/>
    <mergeCell ref="Y2388:Y2389"/>
    <mergeCell ref="Z2388:Z2389"/>
    <mergeCell ref="AA2388:AA2389"/>
    <mergeCell ref="AB2388:AB2389"/>
    <mergeCell ref="A2390:A2391"/>
    <mergeCell ref="E2390:E2391"/>
    <mergeCell ref="H2390:H2391"/>
    <mergeCell ref="I2390:I2391"/>
    <mergeCell ref="J2390:J2391"/>
    <mergeCell ref="K2390:K2391"/>
    <mergeCell ref="L2390:L2391"/>
    <mergeCell ref="M2390:M2391"/>
    <mergeCell ref="N2390:N2391"/>
    <mergeCell ref="O2390:O2391"/>
    <mergeCell ref="X2390:X2391"/>
    <mergeCell ref="Y2390:Y2391"/>
    <mergeCell ref="Z2390:Z2391"/>
    <mergeCell ref="AA2390:AA2391"/>
    <mergeCell ref="AB2390:AB2391"/>
    <mergeCell ref="A2382:A2383"/>
    <mergeCell ref="E2382:E2383"/>
    <mergeCell ref="H2382:H2383"/>
    <mergeCell ref="I2382:I2383"/>
    <mergeCell ref="J2382:J2383"/>
    <mergeCell ref="K2382:K2383"/>
    <mergeCell ref="L2382:L2383"/>
    <mergeCell ref="M2382:M2383"/>
    <mergeCell ref="N2382:N2383"/>
    <mergeCell ref="O2382:O2383"/>
    <mergeCell ref="X2382:X2383"/>
    <mergeCell ref="Y2382:Y2383"/>
    <mergeCell ref="Z2382:Z2383"/>
    <mergeCell ref="AA2382:AA2383"/>
    <mergeCell ref="AB2382:AB2383"/>
    <mergeCell ref="A2386:A2387"/>
    <mergeCell ref="E2386:E2387"/>
    <mergeCell ref="H2386:H2387"/>
    <mergeCell ref="I2386:I2387"/>
    <mergeCell ref="J2386:J2387"/>
    <mergeCell ref="K2386:K2387"/>
    <mergeCell ref="L2386:L2387"/>
    <mergeCell ref="M2386:M2387"/>
    <mergeCell ref="N2386:N2387"/>
    <mergeCell ref="O2386:O2387"/>
    <mergeCell ref="X2386:X2387"/>
    <mergeCell ref="Y2386:Y2387"/>
    <mergeCell ref="Z2386:Z2387"/>
    <mergeCell ref="AA2386:AA2387"/>
    <mergeCell ref="AB2386:AB2387"/>
    <mergeCell ref="X2384:X2385"/>
    <mergeCell ref="Y2384:Y2385"/>
    <mergeCell ref="Z2384:Z2385"/>
    <mergeCell ref="AA2384:AA2385"/>
    <mergeCell ref="AB2384:AB2385"/>
    <mergeCell ref="H2384:H2385"/>
    <mergeCell ref="I2384:I2385"/>
    <mergeCell ref="J2384:J2385"/>
    <mergeCell ref="K2384:K2385"/>
    <mergeCell ref="L2384:L2385"/>
    <mergeCell ref="M2384:M2385"/>
    <mergeCell ref="N2384:N2385"/>
    <mergeCell ref="O2384:O2385"/>
    <mergeCell ref="A2378:A2379"/>
    <mergeCell ref="E2378:E2379"/>
    <mergeCell ref="H2378:H2379"/>
    <mergeCell ref="I2378:I2379"/>
    <mergeCell ref="J2378:J2379"/>
    <mergeCell ref="K2378:K2379"/>
    <mergeCell ref="L2378:L2379"/>
    <mergeCell ref="M2378:M2379"/>
    <mergeCell ref="N2378:N2379"/>
    <mergeCell ref="O2378:O2379"/>
    <mergeCell ref="X2378:X2379"/>
    <mergeCell ref="Y2378:Y2379"/>
    <mergeCell ref="Z2378:Z2379"/>
    <mergeCell ref="AA2378:AA2379"/>
    <mergeCell ref="AB2378:AB2379"/>
    <mergeCell ref="A2380:A2381"/>
    <mergeCell ref="E2380:E2381"/>
    <mergeCell ref="H2380:H2381"/>
    <mergeCell ref="I2380:I2381"/>
    <mergeCell ref="J2380:J2381"/>
    <mergeCell ref="K2380:K2381"/>
    <mergeCell ref="L2380:L2381"/>
    <mergeCell ref="M2380:M2381"/>
    <mergeCell ref="N2380:N2381"/>
    <mergeCell ref="O2380:O2381"/>
    <mergeCell ref="X2380:X2381"/>
    <mergeCell ref="Y2380:Y2381"/>
    <mergeCell ref="Z2380:Z2381"/>
    <mergeCell ref="AA2380:AA2381"/>
    <mergeCell ref="AB2380:AB2381"/>
    <mergeCell ref="A2374:A2375"/>
    <mergeCell ref="E2374:E2375"/>
    <mergeCell ref="H2374:H2375"/>
    <mergeCell ref="I2374:I2375"/>
    <mergeCell ref="J2374:J2375"/>
    <mergeCell ref="K2374:K2375"/>
    <mergeCell ref="L2374:L2375"/>
    <mergeCell ref="M2374:M2375"/>
    <mergeCell ref="N2374:N2375"/>
    <mergeCell ref="O2374:O2375"/>
    <mergeCell ref="X2374:X2375"/>
    <mergeCell ref="Y2374:Y2375"/>
    <mergeCell ref="Z2374:Z2375"/>
    <mergeCell ref="AA2374:AA2375"/>
    <mergeCell ref="AB2374:AB2375"/>
    <mergeCell ref="A2376:A2377"/>
    <mergeCell ref="E2376:E2377"/>
    <mergeCell ref="H2376:H2377"/>
    <mergeCell ref="I2376:I2377"/>
    <mergeCell ref="J2376:J2377"/>
    <mergeCell ref="K2376:K2377"/>
    <mergeCell ref="L2376:L2377"/>
    <mergeCell ref="M2376:M2377"/>
    <mergeCell ref="N2376:N2377"/>
    <mergeCell ref="O2376:O2377"/>
    <mergeCell ref="X2376:X2377"/>
    <mergeCell ref="Y2376:Y2377"/>
    <mergeCell ref="Z2376:Z2377"/>
    <mergeCell ref="AA2376:AA2377"/>
    <mergeCell ref="AB2376:AB2377"/>
    <mergeCell ref="A2372:A2373"/>
    <mergeCell ref="E2372:E2373"/>
    <mergeCell ref="H2372:H2373"/>
    <mergeCell ref="I2372:I2373"/>
    <mergeCell ref="J2372:J2373"/>
    <mergeCell ref="K2372:K2373"/>
    <mergeCell ref="L2372:L2373"/>
    <mergeCell ref="M2372:M2373"/>
    <mergeCell ref="N2372:N2373"/>
    <mergeCell ref="O2372:O2373"/>
    <mergeCell ref="X2372:X2373"/>
    <mergeCell ref="Y2372:Y2373"/>
    <mergeCell ref="Z2372:Z2373"/>
    <mergeCell ref="AA2372:AA2373"/>
    <mergeCell ref="AB2372:AB2373"/>
    <mergeCell ref="A2300:A2301"/>
    <mergeCell ref="E2300:E2301"/>
    <mergeCell ref="H2300:H2301"/>
    <mergeCell ref="I2300:I2301"/>
    <mergeCell ref="J2300:J2301"/>
    <mergeCell ref="K2300:K2301"/>
    <mergeCell ref="L2300:L2301"/>
    <mergeCell ref="M2300:M2301"/>
    <mergeCell ref="N2300:N2301"/>
    <mergeCell ref="O2300:O2301"/>
    <mergeCell ref="X2300:X2301"/>
    <mergeCell ref="Y2300:Y2301"/>
    <mergeCell ref="Z2300:Z2301"/>
    <mergeCell ref="AA2300:AA2301"/>
    <mergeCell ref="AB2300:AB2301"/>
    <mergeCell ref="A2356:A2357"/>
    <mergeCell ref="E2356:E2357"/>
    <mergeCell ref="A2270:A2271"/>
    <mergeCell ref="E2270:E2271"/>
    <mergeCell ref="H2270:H2271"/>
    <mergeCell ref="I2270:I2271"/>
    <mergeCell ref="J2270:J2271"/>
    <mergeCell ref="K2270:K2271"/>
    <mergeCell ref="L2270:L2271"/>
    <mergeCell ref="M2270:M2271"/>
    <mergeCell ref="N2270:N2271"/>
    <mergeCell ref="O2270:O2271"/>
    <mergeCell ref="X2270:X2271"/>
    <mergeCell ref="Y2270:Y2271"/>
    <mergeCell ref="Z2270:Z2271"/>
    <mergeCell ref="AA2270:AA2271"/>
    <mergeCell ref="AB2270:AB2271"/>
    <mergeCell ref="E2202:E2203"/>
    <mergeCell ref="H2202:H2203"/>
    <mergeCell ref="I2202:I2203"/>
    <mergeCell ref="J2202:J2203"/>
    <mergeCell ref="K2202:K2203"/>
    <mergeCell ref="L2202:L2203"/>
    <mergeCell ref="M2202:M2203"/>
    <mergeCell ref="N2202:N2203"/>
    <mergeCell ref="A2254:A2255"/>
    <mergeCell ref="E2254:E2255"/>
    <mergeCell ref="H2254:H2255"/>
    <mergeCell ref="I2254:I2255"/>
    <mergeCell ref="J2254:J2255"/>
    <mergeCell ref="K2254:K2255"/>
    <mergeCell ref="L2254:L2255"/>
    <mergeCell ref="M2254:M2255"/>
    <mergeCell ref="N2254:N2255"/>
    <mergeCell ref="O2254:O2255"/>
    <mergeCell ref="X2254:X2255"/>
    <mergeCell ref="Y2254:Y2255"/>
    <mergeCell ref="Z2254:Z2255"/>
    <mergeCell ref="AA2254:AA2255"/>
    <mergeCell ref="AB2254:AB2255"/>
    <mergeCell ref="A2256:A2257"/>
    <mergeCell ref="E2256:E2257"/>
    <mergeCell ref="H2256:H2257"/>
    <mergeCell ref="I2256:I2257"/>
    <mergeCell ref="J2256:J2257"/>
    <mergeCell ref="K2256:K2257"/>
    <mergeCell ref="L2256:L2257"/>
    <mergeCell ref="M2256:M2257"/>
    <mergeCell ref="N2256:N2257"/>
    <mergeCell ref="AB2266:AB2267"/>
    <mergeCell ref="A2260:A2261"/>
    <mergeCell ref="E2260:E2261"/>
    <mergeCell ref="H2260:H2261"/>
    <mergeCell ref="I2260:I2261"/>
    <mergeCell ref="J2260:J2261"/>
    <mergeCell ref="K2260:K2261"/>
    <mergeCell ref="L2260:L2261"/>
    <mergeCell ref="M2260:M2261"/>
    <mergeCell ref="N2260:N2261"/>
    <mergeCell ref="O2260:O2261"/>
    <mergeCell ref="X2260:X2261"/>
    <mergeCell ref="Y2260:Y2261"/>
    <mergeCell ref="Z2260:Z2261"/>
    <mergeCell ref="AA2260:AA2261"/>
    <mergeCell ref="AB2260:AB2261"/>
    <mergeCell ref="AB2256:AB2257"/>
    <mergeCell ref="A2262:A2263"/>
    <mergeCell ref="E2262:E2263"/>
    <mergeCell ref="H2262:H2263"/>
    <mergeCell ref="I2262:I2263"/>
    <mergeCell ref="J2262:J2263"/>
    <mergeCell ref="K2262:K2263"/>
    <mergeCell ref="L2262:L2263"/>
    <mergeCell ref="M2262:M2263"/>
    <mergeCell ref="N2262:N2263"/>
    <mergeCell ref="O2262:O2263"/>
    <mergeCell ref="X2198:X2199"/>
    <mergeCell ref="Y2198:Y2199"/>
    <mergeCell ref="Z2198:Z2199"/>
    <mergeCell ref="AA2198:AA2199"/>
    <mergeCell ref="AB2198:AB2199"/>
    <mergeCell ref="A2200:A2201"/>
    <mergeCell ref="E2200:E2201"/>
    <mergeCell ref="H2200:H2201"/>
    <mergeCell ref="I2200:I2201"/>
    <mergeCell ref="J2200:J2201"/>
    <mergeCell ref="K2200:K2201"/>
    <mergeCell ref="L2200:L2201"/>
    <mergeCell ref="A2214:A2215"/>
    <mergeCell ref="E2214:E2215"/>
    <mergeCell ref="H2214:H2215"/>
    <mergeCell ref="I2214:I2215"/>
    <mergeCell ref="J2214:J2215"/>
    <mergeCell ref="K2214:K2215"/>
    <mergeCell ref="L2214:L2215"/>
    <mergeCell ref="M2214:M2215"/>
    <mergeCell ref="N2214:N2215"/>
    <mergeCell ref="O2214:O2215"/>
    <mergeCell ref="X2214:X2215"/>
    <mergeCell ref="Y2214:Y2215"/>
    <mergeCell ref="Z2214:Z2215"/>
    <mergeCell ref="AA2214:AA2215"/>
    <mergeCell ref="AB2214:AB2215"/>
    <mergeCell ref="L2210:L2211"/>
    <mergeCell ref="M2210:M2211"/>
    <mergeCell ref="N2210:N2211"/>
    <mergeCell ref="O2210:O2211"/>
    <mergeCell ref="X2210:X2211"/>
    <mergeCell ref="A2212:A2213"/>
    <mergeCell ref="E2212:E2213"/>
    <mergeCell ref="H2212:H2213"/>
    <mergeCell ref="I2212:I2213"/>
    <mergeCell ref="J2212:J2213"/>
    <mergeCell ref="K2212:K2213"/>
    <mergeCell ref="L2212:L2213"/>
    <mergeCell ref="M2212:M2213"/>
    <mergeCell ref="N2212:N2213"/>
    <mergeCell ref="O2212:O2213"/>
    <mergeCell ref="X2212:X2213"/>
    <mergeCell ref="Y2212:Y2213"/>
    <mergeCell ref="Z2212:Z2213"/>
    <mergeCell ref="AA2212:AA2213"/>
    <mergeCell ref="AB2212:AB2213"/>
    <mergeCell ref="A2190:A2191"/>
    <mergeCell ref="E2190:E2191"/>
    <mergeCell ref="H2190:H2191"/>
    <mergeCell ref="I2190:I2191"/>
    <mergeCell ref="J2190:J2191"/>
    <mergeCell ref="K2190:K2191"/>
    <mergeCell ref="L2190:L2191"/>
    <mergeCell ref="M2190:M2191"/>
    <mergeCell ref="N2190:N2191"/>
    <mergeCell ref="O2190:O2191"/>
    <mergeCell ref="X2190:X2191"/>
    <mergeCell ref="Y2190:Y2191"/>
    <mergeCell ref="Z2190:Z2191"/>
    <mergeCell ref="AA2190:AA2191"/>
    <mergeCell ref="AB2190:AB2191"/>
    <mergeCell ref="A2202:A2203"/>
    <mergeCell ref="A2208:A2209"/>
    <mergeCell ref="E2208:E2209"/>
    <mergeCell ref="H2208:H2209"/>
    <mergeCell ref="I2208:I2209"/>
    <mergeCell ref="J2208:J2209"/>
    <mergeCell ref="K2208:K2209"/>
    <mergeCell ref="L2208:L2209"/>
    <mergeCell ref="M2208:M2209"/>
    <mergeCell ref="N2208:N2209"/>
    <mergeCell ref="O2208:O2209"/>
    <mergeCell ref="X2208:X2209"/>
    <mergeCell ref="Y2208:Y2209"/>
    <mergeCell ref="Z2208:Z2209"/>
    <mergeCell ref="AA2208:AA2209"/>
    <mergeCell ref="AB2208:AB2209"/>
    <mergeCell ref="O2206:O2207"/>
    <mergeCell ref="X2206:X2207"/>
    <mergeCell ref="Y2206:Y2207"/>
    <mergeCell ref="Z2206:Z2207"/>
    <mergeCell ref="AA2206:AA2207"/>
    <mergeCell ref="AB2206:AB2207"/>
    <mergeCell ref="A2210:A2211"/>
    <mergeCell ref="E2210:E2211"/>
    <mergeCell ref="H2210:H2211"/>
    <mergeCell ref="I2210:I2211"/>
    <mergeCell ref="J2210:J2211"/>
    <mergeCell ref="K2210:K2211"/>
    <mergeCell ref="Y2210:Y2211"/>
    <mergeCell ref="Z2210:Z2211"/>
    <mergeCell ref="AA2210:AA2211"/>
    <mergeCell ref="AB2210:AB2211"/>
    <mergeCell ref="N2204:N2205"/>
    <mergeCell ref="O2204:O2205"/>
    <mergeCell ref="X2204:X2205"/>
    <mergeCell ref="Y2204:Y2205"/>
    <mergeCell ref="Z2204:Z2205"/>
    <mergeCell ref="AA2204:AA2205"/>
    <mergeCell ref="AB2204:AB2205"/>
    <mergeCell ref="A2172:A2173"/>
    <mergeCell ref="E2172:E2173"/>
    <mergeCell ref="H2172:H2173"/>
    <mergeCell ref="I2172:I2173"/>
    <mergeCell ref="J2172:J2173"/>
    <mergeCell ref="K2172:K2173"/>
    <mergeCell ref="L2172:L2173"/>
    <mergeCell ref="M2172:M2173"/>
    <mergeCell ref="N2172:N2173"/>
    <mergeCell ref="H2196:H2197"/>
    <mergeCell ref="I2196:I2197"/>
    <mergeCell ref="J2196:J2197"/>
    <mergeCell ref="K2196:K2197"/>
    <mergeCell ref="L2196:L2197"/>
    <mergeCell ref="M2196:M2197"/>
    <mergeCell ref="N2196:N2197"/>
    <mergeCell ref="O2196:O2197"/>
    <mergeCell ref="X2196:X2197"/>
    <mergeCell ref="Y2196:Y2197"/>
    <mergeCell ref="Z2196:Z2197"/>
    <mergeCell ref="AA2196:AA2197"/>
    <mergeCell ref="AB2196:AB2197"/>
    <mergeCell ref="E2196:E2197"/>
    <mergeCell ref="A2182:A2183"/>
    <mergeCell ref="E2182:E2183"/>
    <mergeCell ref="H2182:H2183"/>
    <mergeCell ref="I2182:I2183"/>
    <mergeCell ref="J2182:J2183"/>
    <mergeCell ref="K2182:K2183"/>
    <mergeCell ref="L2182:L2183"/>
    <mergeCell ref="M2182:M2183"/>
    <mergeCell ref="N2182:N2183"/>
    <mergeCell ref="O2182:O2183"/>
    <mergeCell ref="X2182:X2183"/>
    <mergeCell ref="Y2182:Y2183"/>
    <mergeCell ref="Z2182:Z2183"/>
    <mergeCell ref="AA2182:AA2183"/>
    <mergeCell ref="AB2182:AB2183"/>
    <mergeCell ref="A2184:A2185"/>
    <mergeCell ref="E2184:E2185"/>
    <mergeCell ref="H2184:H2185"/>
    <mergeCell ref="I2184:I2185"/>
    <mergeCell ref="J2184:J2185"/>
    <mergeCell ref="K2184:K2185"/>
    <mergeCell ref="L2184:L2185"/>
    <mergeCell ref="M2184:M2185"/>
    <mergeCell ref="N2184:N2185"/>
    <mergeCell ref="O2184:O2185"/>
    <mergeCell ref="X2184:X2185"/>
    <mergeCell ref="Y2184:Y2185"/>
    <mergeCell ref="Z2184:Z2185"/>
    <mergeCell ref="AA2184:AA2185"/>
    <mergeCell ref="AB2184:AB2185"/>
    <mergeCell ref="O2172:O2173"/>
    <mergeCell ref="X2172:X2173"/>
    <mergeCell ref="Y2172:Y2173"/>
    <mergeCell ref="Z2172:Z2173"/>
    <mergeCell ref="AA2172:AA2173"/>
    <mergeCell ref="AB2172:AB2173"/>
    <mergeCell ref="J2192:J2193"/>
    <mergeCell ref="K2192:K2193"/>
    <mergeCell ref="L2192:L2193"/>
    <mergeCell ref="M2192:M2193"/>
    <mergeCell ref="N2192:N2193"/>
    <mergeCell ref="A2206:A2207"/>
    <mergeCell ref="E2206:E2207"/>
    <mergeCell ref="H2206:H2207"/>
    <mergeCell ref="I2206:I2207"/>
    <mergeCell ref="J2206:J2207"/>
    <mergeCell ref="K2206:K2207"/>
    <mergeCell ref="L2206:L2207"/>
    <mergeCell ref="M2206:M2207"/>
    <mergeCell ref="N2206:N2207"/>
    <mergeCell ref="A2186:A2187"/>
    <mergeCell ref="E2186:E2187"/>
    <mergeCell ref="H2186:H2187"/>
    <mergeCell ref="I2186:I2187"/>
    <mergeCell ref="J2186:J2187"/>
    <mergeCell ref="K2186:K2187"/>
    <mergeCell ref="L2186:L2187"/>
    <mergeCell ref="M2186:M2187"/>
    <mergeCell ref="N2186:N2187"/>
    <mergeCell ref="O2186:O2187"/>
    <mergeCell ref="X2186:X2187"/>
    <mergeCell ref="Y2186:Y2187"/>
    <mergeCell ref="Z2186:Z2187"/>
    <mergeCell ref="AA2186:AA2187"/>
    <mergeCell ref="AB2186:AB2187"/>
    <mergeCell ref="A2188:A2189"/>
    <mergeCell ref="E2188:E2189"/>
    <mergeCell ref="H2188:H2189"/>
    <mergeCell ref="I2188:I2189"/>
    <mergeCell ref="J2188:J2189"/>
    <mergeCell ref="K2188:K2189"/>
    <mergeCell ref="L2188:L2189"/>
    <mergeCell ref="M2188:M2189"/>
    <mergeCell ref="N2188:N2189"/>
    <mergeCell ref="O2188:O2189"/>
    <mergeCell ref="X2188:X2189"/>
    <mergeCell ref="Y2188:Y2189"/>
    <mergeCell ref="Z2188:Z2189"/>
    <mergeCell ref="AA2188:AA2189"/>
    <mergeCell ref="AB2188:AB2189"/>
    <mergeCell ref="A2198:A2199"/>
    <mergeCell ref="E2198:E2199"/>
    <mergeCell ref="H2198:H2199"/>
    <mergeCell ref="I2198:I2199"/>
    <mergeCell ref="J2198:J2199"/>
    <mergeCell ref="K2198:K2199"/>
    <mergeCell ref="L2198:L2199"/>
    <mergeCell ref="O2202:O2203"/>
    <mergeCell ref="X2202:X2203"/>
    <mergeCell ref="Y2202:Y2203"/>
    <mergeCell ref="Z2202:Z2203"/>
    <mergeCell ref="AA2202:AA2203"/>
    <mergeCell ref="AB2202:AB2203"/>
    <mergeCell ref="A2196:A2197"/>
    <mergeCell ref="M2198:M2199"/>
    <mergeCell ref="N2198:N2199"/>
    <mergeCell ref="O2198:O2199"/>
    <mergeCell ref="Y2200:Y2201"/>
    <mergeCell ref="Z2200:Z2201"/>
    <mergeCell ref="AA2200:AA2201"/>
    <mergeCell ref="AB2200:AB2201"/>
    <mergeCell ref="A2192:A2193"/>
    <mergeCell ref="E2192:E2193"/>
    <mergeCell ref="H2192:H2193"/>
    <mergeCell ref="I2192:I2193"/>
    <mergeCell ref="A2248:A2249"/>
    <mergeCell ref="E2248:E2249"/>
    <mergeCell ref="H2248:H2249"/>
    <mergeCell ref="I2248:I2249"/>
    <mergeCell ref="J2248:J2249"/>
    <mergeCell ref="K2248:K2249"/>
    <mergeCell ref="L2248:L2249"/>
    <mergeCell ref="M2248:M2249"/>
    <mergeCell ref="N2248:N2249"/>
    <mergeCell ref="O2248:O2249"/>
    <mergeCell ref="X2248:X2249"/>
    <mergeCell ref="Y2248:Y2249"/>
    <mergeCell ref="Z2248:Z2249"/>
    <mergeCell ref="AA2248:AA2249"/>
    <mergeCell ref="AB2248:AB2249"/>
    <mergeCell ref="A2244:A2245"/>
    <mergeCell ref="E2244:E2245"/>
    <mergeCell ref="H2244:H2245"/>
    <mergeCell ref="I2244:I2245"/>
    <mergeCell ref="J2244:J2245"/>
    <mergeCell ref="K2244:K2245"/>
    <mergeCell ref="L2244:L2245"/>
    <mergeCell ref="M2244:M2245"/>
    <mergeCell ref="N2244:N2245"/>
    <mergeCell ref="O2244:O2245"/>
    <mergeCell ref="X2244:X2245"/>
    <mergeCell ref="Y2244:Y2245"/>
    <mergeCell ref="Z2244:Z2245"/>
    <mergeCell ref="AA2244:AA2245"/>
    <mergeCell ref="AB2244:AB2245"/>
    <mergeCell ref="A2246:A2247"/>
    <mergeCell ref="E2246:E2247"/>
    <mergeCell ref="H2246:H2247"/>
    <mergeCell ref="I2246:I2247"/>
    <mergeCell ref="J2246:J2247"/>
    <mergeCell ref="K2246:K2247"/>
    <mergeCell ref="L2246:L2247"/>
    <mergeCell ref="M2246:M2247"/>
    <mergeCell ref="N2246:N2247"/>
    <mergeCell ref="O2246:O2247"/>
    <mergeCell ref="X2246:X2247"/>
    <mergeCell ref="Y2246:Y2247"/>
    <mergeCell ref="Z2246:Z2247"/>
    <mergeCell ref="AA2246:AA2247"/>
    <mergeCell ref="AB2246:AB2247"/>
    <mergeCell ref="A2240:A2241"/>
    <mergeCell ref="E2240:E2241"/>
    <mergeCell ref="H2240:H2241"/>
    <mergeCell ref="I2240:I2241"/>
    <mergeCell ref="J2240:J2241"/>
    <mergeCell ref="K2240:K2241"/>
    <mergeCell ref="L2240:L2241"/>
    <mergeCell ref="A2204:A2205"/>
    <mergeCell ref="E2204:E2205"/>
    <mergeCell ref="H2204:H2205"/>
    <mergeCell ref="I2204:I2205"/>
    <mergeCell ref="J2204:J2205"/>
    <mergeCell ref="K2204:K2205"/>
    <mergeCell ref="L2204:L2205"/>
    <mergeCell ref="M2204:M2205"/>
    <mergeCell ref="M2240:M2241"/>
    <mergeCell ref="N2240:N2241"/>
    <mergeCell ref="O2240:O2241"/>
    <mergeCell ref="X2240:X2241"/>
    <mergeCell ref="Y2240:Y2241"/>
    <mergeCell ref="Z2240:Z2241"/>
    <mergeCell ref="AA2240:AA2241"/>
    <mergeCell ref="AB2240:AB2241"/>
    <mergeCell ref="A2242:A2243"/>
    <mergeCell ref="E2242:E2243"/>
    <mergeCell ref="H2242:H2243"/>
    <mergeCell ref="I2242:I2243"/>
    <mergeCell ref="J2242:J2243"/>
    <mergeCell ref="K2242:K2243"/>
    <mergeCell ref="L2242:L2243"/>
    <mergeCell ref="M2242:M2243"/>
    <mergeCell ref="N2242:N2243"/>
    <mergeCell ref="O2242:O2243"/>
    <mergeCell ref="X2242:X2243"/>
    <mergeCell ref="Y2242:Y2243"/>
    <mergeCell ref="Z2242:Z2243"/>
    <mergeCell ref="AA2242:AA2243"/>
    <mergeCell ref="AB2242:AB2243"/>
    <mergeCell ref="A2236:A2237"/>
    <mergeCell ref="E2236:E2237"/>
    <mergeCell ref="H2236:H2237"/>
    <mergeCell ref="I2236:I2237"/>
    <mergeCell ref="J2236:J2237"/>
    <mergeCell ref="K2236:K2237"/>
    <mergeCell ref="L2236:L2237"/>
    <mergeCell ref="M2236:M2237"/>
    <mergeCell ref="N2236:N2237"/>
    <mergeCell ref="O2236:O2237"/>
    <mergeCell ref="X2236:X2237"/>
    <mergeCell ref="Y2236:Y2237"/>
    <mergeCell ref="Z2236:Z2237"/>
    <mergeCell ref="AA2236:AA2237"/>
    <mergeCell ref="AB2236:AB2237"/>
    <mergeCell ref="A2238:A2239"/>
    <mergeCell ref="E2238:E2239"/>
    <mergeCell ref="H2238:H2239"/>
    <mergeCell ref="I2238:I2239"/>
    <mergeCell ref="J2238:J2239"/>
    <mergeCell ref="K2238:K2239"/>
    <mergeCell ref="L2238:L2239"/>
    <mergeCell ref="M2238:M2239"/>
    <mergeCell ref="N2238:N2239"/>
    <mergeCell ref="O2238:O2239"/>
    <mergeCell ref="X2238:X2239"/>
    <mergeCell ref="Y2238:Y2239"/>
    <mergeCell ref="Z2238:Z2239"/>
    <mergeCell ref="AA2238:AA2239"/>
    <mergeCell ref="AB2238:AB2239"/>
    <mergeCell ref="A2232:A2233"/>
    <mergeCell ref="E2232:E2233"/>
    <mergeCell ref="H2232:H2233"/>
    <mergeCell ref="I2232:I2233"/>
    <mergeCell ref="J2232:J2233"/>
    <mergeCell ref="K2232:K2233"/>
    <mergeCell ref="L2232:L2233"/>
    <mergeCell ref="M2232:M2233"/>
    <mergeCell ref="N2232:N2233"/>
    <mergeCell ref="O2232:O2233"/>
    <mergeCell ref="X2232:X2233"/>
    <mergeCell ref="Y2232:Y2233"/>
    <mergeCell ref="Z2232:Z2233"/>
    <mergeCell ref="AA2232:AA2233"/>
    <mergeCell ref="AB2232:AB2233"/>
    <mergeCell ref="A2234:A2235"/>
    <mergeCell ref="E2234:E2235"/>
    <mergeCell ref="H2234:H2235"/>
    <mergeCell ref="I2234:I2235"/>
    <mergeCell ref="J2234:J2235"/>
    <mergeCell ref="K2234:K2235"/>
    <mergeCell ref="L2234:L2235"/>
    <mergeCell ref="M2234:M2235"/>
    <mergeCell ref="N2234:N2235"/>
    <mergeCell ref="O2234:O2235"/>
    <mergeCell ref="X2234:X2235"/>
    <mergeCell ref="Y2234:Y2235"/>
    <mergeCell ref="Z2234:Z2235"/>
    <mergeCell ref="AA2234:AA2235"/>
    <mergeCell ref="AB2234:AB2235"/>
    <mergeCell ref="A2228:A2229"/>
    <mergeCell ref="E2228:E2229"/>
    <mergeCell ref="H2228:H2229"/>
    <mergeCell ref="I2228:I2229"/>
    <mergeCell ref="J2228:J2229"/>
    <mergeCell ref="K2228:K2229"/>
    <mergeCell ref="L2228:L2229"/>
    <mergeCell ref="M2228:M2229"/>
    <mergeCell ref="N2228:N2229"/>
    <mergeCell ref="O2228:O2229"/>
    <mergeCell ref="X2228:X2229"/>
    <mergeCell ref="Y2228:Y2229"/>
    <mergeCell ref="Z2228:Z2229"/>
    <mergeCell ref="AA2228:AA2229"/>
    <mergeCell ref="AB2228:AB2229"/>
    <mergeCell ref="A2230:A2231"/>
    <mergeCell ref="E2230:E2231"/>
    <mergeCell ref="H2230:H2231"/>
    <mergeCell ref="I2230:I2231"/>
    <mergeCell ref="J2230:J2231"/>
    <mergeCell ref="K2230:K2231"/>
    <mergeCell ref="L2230:L2231"/>
    <mergeCell ref="M2230:M2231"/>
    <mergeCell ref="N2230:N2231"/>
    <mergeCell ref="O2230:O2231"/>
    <mergeCell ref="X2230:X2231"/>
    <mergeCell ref="Y2230:Y2231"/>
    <mergeCell ref="Z2230:Z2231"/>
    <mergeCell ref="AA2230:AA2231"/>
    <mergeCell ref="AB2230:AB2231"/>
    <mergeCell ref="A2224:A2225"/>
    <mergeCell ref="E2224:E2225"/>
    <mergeCell ref="H2224:H2225"/>
    <mergeCell ref="I2224:I2225"/>
    <mergeCell ref="J2224:J2225"/>
    <mergeCell ref="K2224:K2225"/>
    <mergeCell ref="L2224:L2225"/>
    <mergeCell ref="M2224:M2225"/>
    <mergeCell ref="N2224:N2225"/>
    <mergeCell ref="O2224:O2225"/>
    <mergeCell ref="X2224:X2225"/>
    <mergeCell ref="Y2224:Y2225"/>
    <mergeCell ref="Z2224:Z2225"/>
    <mergeCell ref="AA2224:AA2225"/>
    <mergeCell ref="AB2224:AB2225"/>
    <mergeCell ref="A2226:A2227"/>
    <mergeCell ref="E2226:E2227"/>
    <mergeCell ref="H2226:H2227"/>
    <mergeCell ref="I2226:I2227"/>
    <mergeCell ref="J2226:J2227"/>
    <mergeCell ref="K2226:K2227"/>
    <mergeCell ref="L2226:L2227"/>
    <mergeCell ref="M2226:M2227"/>
    <mergeCell ref="N2226:N2227"/>
    <mergeCell ref="O2226:O2227"/>
    <mergeCell ref="X2226:X2227"/>
    <mergeCell ref="Y2226:Y2227"/>
    <mergeCell ref="Z2226:Z2227"/>
    <mergeCell ref="AA2226:AA2227"/>
    <mergeCell ref="AB2226:AB2227"/>
    <mergeCell ref="A2220:A2221"/>
    <mergeCell ref="E2220:E2221"/>
    <mergeCell ref="H2220:H2221"/>
    <mergeCell ref="I2220:I2221"/>
    <mergeCell ref="J2220:J2221"/>
    <mergeCell ref="K2220:K2221"/>
    <mergeCell ref="L2220:L2221"/>
    <mergeCell ref="M2220:M2221"/>
    <mergeCell ref="N2220:N2221"/>
    <mergeCell ref="O2220:O2221"/>
    <mergeCell ref="X2220:X2221"/>
    <mergeCell ref="Y2220:Y2221"/>
    <mergeCell ref="Z2220:Z2221"/>
    <mergeCell ref="AA2220:AA2221"/>
    <mergeCell ref="AB2220:AB2221"/>
    <mergeCell ref="A2222:A2223"/>
    <mergeCell ref="E2222:E2223"/>
    <mergeCell ref="H2222:H2223"/>
    <mergeCell ref="I2222:I2223"/>
    <mergeCell ref="J2222:J2223"/>
    <mergeCell ref="K2222:K2223"/>
    <mergeCell ref="L2222:L2223"/>
    <mergeCell ref="M2222:M2223"/>
    <mergeCell ref="N2222:N2223"/>
    <mergeCell ref="O2222:O2223"/>
    <mergeCell ref="X2222:X2223"/>
    <mergeCell ref="Y2222:Y2223"/>
    <mergeCell ref="Z2222:Z2223"/>
    <mergeCell ref="AA2222:AA2223"/>
    <mergeCell ref="AB2222:AB2223"/>
    <mergeCell ref="A2216:A2217"/>
    <mergeCell ref="E2216:E2217"/>
    <mergeCell ref="H2216:H2217"/>
    <mergeCell ref="I2216:I2217"/>
    <mergeCell ref="J2216:J2217"/>
    <mergeCell ref="K2216:K2217"/>
    <mergeCell ref="L2216:L2217"/>
    <mergeCell ref="M2216:M2217"/>
    <mergeCell ref="N2216:N2217"/>
    <mergeCell ref="O2216:O2217"/>
    <mergeCell ref="X2216:X2217"/>
    <mergeCell ref="Y2216:Y2217"/>
    <mergeCell ref="Z2216:Z2217"/>
    <mergeCell ref="AA2216:AA2217"/>
    <mergeCell ref="AB2216:AB2217"/>
    <mergeCell ref="A2218:A2219"/>
    <mergeCell ref="E2218:E2219"/>
    <mergeCell ref="H2218:H2219"/>
    <mergeCell ref="I2218:I2219"/>
    <mergeCell ref="J2218:J2219"/>
    <mergeCell ref="K2218:K2219"/>
    <mergeCell ref="L2218:L2219"/>
    <mergeCell ref="M2218:M2219"/>
    <mergeCell ref="N2218:N2219"/>
    <mergeCell ref="O2218:O2219"/>
    <mergeCell ref="X2218:X2219"/>
    <mergeCell ref="Y2218:Y2219"/>
    <mergeCell ref="Z2218:Z2219"/>
    <mergeCell ref="AA2218:AA2219"/>
    <mergeCell ref="AB2218:AB2219"/>
    <mergeCell ref="O2192:O2193"/>
    <mergeCell ref="X2192:X2193"/>
    <mergeCell ref="Y2192:Y2193"/>
    <mergeCell ref="Z2192:Z2193"/>
    <mergeCell ref="AA2192:AA2193"/>
    <mergeCell ref="AB2192:AB2193"/>
    <mergeCell ref="A2194:A2195"/>
    <mergeCell ref="E2194:E2195"/>
    <mergeCell ref="H2194:H2195"/>
    <mergeCell ref="I2194:I2195"/>
    <mergeCell ref="J2194:J2195"/>
    <mergeCell ref="K2194:K2195"/>
    <mergeCell ref="L2194:L2195"/>
    <mergeCell ref="M2194:M2195"/>
    <mergeCell ref="N2194:N2195"/>
    <mergeCell ref="O2194:O2195"/>
    <mergeCell ref="X2194:X2195"/>
    <mergeCell ref="Y2194:Y2195"/>
    <mergeCell ref="Z2194:Z2195"/>
    <mergeCell ref="AA2194:AA2195"/>
    <mergeCell ref="AB2194:AB2195"/>
    <mergeCell ref="M2200:M2201"/>
    <mergeCell ref="N2200:N2201"/>
    <mergeCell ref="O2200:O2201"/>
    <mergeCell ref="X2200:X2201"/>
    <mergeCell ref="A2178:A2179"/>
    <mergeCell ref="E2178:E2179"/>
    <mergeCell ref="H2178:H2179"/>
    <mergeCell ref="I2178:I2179"/>
    <mergeCell ref="J2178:J2179"/>
    <mergeCell ref="K2178:K2179"/>
    <mergeCell ref="L2178:L2179"/>
    <mergeCell ref="M2178:M2179"/>
    <mergeCell ref="N2178:N2179"/>
    <mergeCell ref="O2178:O2179"/>
    <mergeCell ref="X2178:X2179"/>
    <mergeCell ref="Y2178:Y2179"/>
    <mergeCell ref="Z2178:Z2179"/>
    <mergeCell ref="AA2178:AA2179"/>
    <mergeCell ref="AB2178:AB2179"/>
    <mergeCell ref="A2180:A2181"/>
    <mergeCell ref="E2180:E2181"/>
    <mergeCell ref="H2180:H2181"/>
    <mergeCell ref="I2180:I2181"/>
    <mergeCell ref="J2180:J2181"/>
    <mergeCell ref="K2180:K2181"/>
    <mergeCell ref="L2180:L2181"/>
    <mergeCell ref="M2180:M2181"/>
    <mergeCell ref="N2180:N2181"/>
    <mergeCell ref="O2180:O2181"/>
    <mergeCell ref="X2180:X2181"/>
    <mergeCell ref="Y2180:Y2181"/>
    <mergeCell ref="Z2180:Z2181"/>
    <mergeCell ref="AA2180:AA2181"/>
    <mergeCell ref="AB2180:AB2181"/>
    <mergeCell ref="A2174:A2175"/>
    <mergeCell ref="E2174:E2175"/>
    <mergeCell ref="H2174:H2175"/>
    <mergeCell ref="I2174:I2175"/>
    <mergeCell ref="J2174:J2175"/>
    <mergeCell ref="K2174:K2175"/>
    <mergeCell ref="L2174:L2175"/>
    <mergeCell ref="M2174:M2175"/>
    <mergeCell ref="N2174:N2175"/>
    <mergeCell ref="O2174:O2175"/>
    <mergeCell ref="X2174:X2175"/>
    <mergeCell ref="Y2174:Y2175"/>
    <mergeCell ref="Z2174:Z2175"/>
    <mergeCell ref="AA2174:AA2175"/>
    <mergeCell ref="AB2174:AB2175"/>
    <mergeCell ref="A2176:A2177"/>
    <mergeCell ref="E2176:E2177"/>
    <mergeCell ref="H2176:H2177"/>
    <mergeCell ref="I2176:I2177"/>
    <mergeCell ref="J2176:J2177"/>
    <mergeCell ref="K2176:K2177"/>
    <mergeCell ref="L2176:L2177"/>
    <mergeCell ref="M2176:M2177"/>
    <mergeCell ref="N2176:N2177"/>
    <mergeCell ref="O2176:O2177"/>
    <mergeCell ref="X2176:X2177"/>
    <mergeCell ref="Y2176:Y2177"/>
    <mergeCell ref="Z2176:Z2177"/>
    <mergeCell ref="AA2176:AA2177"/>
    <mergeCell ref="AB2176:AB2177"/>
    <mergeCell ref="A2166:A2167"/>
    <mergeCell ref="E2166:E2167"/>
    <mergeCell ref="H2166:H2167"/>
    <mergeCell ref="I2166:I2167"/>
    <mergeCell ref="J2166:J2167"/>
    <mergeCell ref="K2166:K2167"/>
    <mergeCell ref="L2166:L2167"/>
    <mergeCell ref="M2166:M2167"/>
    <mergeCell ref="N2166:N2167"/>
    <mergeCell ref="O2166:O2167"/>
    <mergeCell ref="X2166:X2167"/>
    <mergeCell ref="Y2166:Y2167"/>
    <mergeCell ref="Z2166:Z2167"/>
    <mergeCell ref="AA2166:AA2167"/>
    <mergeCell ref="AB2166:AB2167"/>
    <mergeCell ref="A2168:A2169"/>
    <mergeCell ref="E2168:E2169"/>
    <mergeCell ref="H2168:H2169"/>
    <mergeCell ref="I2168:I2169"/>
    <mergeCell ref="J2168:J2169"/>
    <mergeCell ref="K2168:K2169"/>
    <mergeCell ref="L2168:L2169"/>
    <mergeCell ref="M2168:M2169"/>
    <mergeCell ref="N2168:N2169"/>
    <mergeCell ref="O2168:O2169"/>
    <mergeCell ref="X2168:X2169"/>
    <mergeCell ref="Y2168:Y2169"/>
    <mergeCell ref="Z2168:Z2169"/>
    <mergeCell ref="AA2168:AA2169"/>
    <mergeCell ref="AB2168:AB2169"/>
    <mergeCell ref="A2170:A2171"/>
    <mergeCell ref="E2170:E2171"/>
    <mergeCell ref="H2170:H2171"/>
    <mergeCell ref="I2170:I2171"/>
    <mergeCell ref="J2170:J2171"/>
    <mergeCell ref="K2170:K2171"/>
    <mergeCell ref="L2170:L2171"/>
    <mergeCell ref="M2170:M2171"/>
    <mergeCell ref="N2170:N2171"/>
    <mergeCell ref="O2170:O2171"/>
    <mergeCell ref="X2170:X2171"/>
    <mergeCell ref="Y2170:Y2171"/>
    <mergeCell ref="Z2170:Z2171"/>
    <mergeCell ref="AA2170:AA2171"/>
    <mergeCell ref="AB2170:AB2171"/>
    <mergeCell ref="A2162:A2163"/>
    <mergeCell ref="E2162:E2163"/>
    <mergeCell ref="H2162:H2163"/>
    <mergeCell ref="I2162:I2163"/>
    <mergeCell ref="J2162:J2163"/>
    <mergeCell ref="K2162:K2163"/>
    <mergeCell ref="L2162:L2163"/>
    <mergeCell ref="M2162:M2163"/>
    <mergeCell ref="N2162:N2163"/>
    <mergeCell ref="O2162:O2163"/>
    <mergeCell ref="X2162:X2163"/>
    <mergeCell ref="Y2162:Y2163"/>
    <mergeCell ref="Z2162:Z2163"/>
    <mergeCell ref="AA2162:AA2163"/>
    <mergeCell ref="AB2162:AB2163"/>
    <mergeCell ref="A2164:A2165"/>
    <mergeCell ref="E2164:E2165"/>
    <mergeCell ref="H2164:H2165"/>
    <mergeCell ref="I2164:I2165"/>
    <mergeCell ref="J2164:J2165"/>
    <mergeCell ref="K2164:K2165"/>
    <mergeCell ref="L2164:L2165"/>
    <mergeCell ref="M2164:M2165"/>
    <mergeCell ref="N2164:N2165"/>
    <mergeCell ref="O2164:O2165"/>
    <mergeCell ref="X2164:X2165"/>
    <mergeCell ref="Y2164:Y2165"/>
    <mergeCell ref="Z2164:Z2165"/>
    <mergeCell ref="AA2164:AA2165"/>
    <mergeCell ref="AB2164:AB2165"/>
    <mergeCell ref="A2158:A2159"/>
    <mergeCell ref="E2158:E2159"/>
    <mergeCell ref="H2158:H2159"/>
    <mergeCell ref="I2158:I2159"/>
    <mergeCell ref="J2158:J2159"/>
    <mergeCell ref="K2158:K2159"/>
    <mergeCell ref="L2158:L2159"/>
    <mergeCell ref="M2158:M2159"/>
    <mergeCell ref="N2158:N2159"/>
    <mergeCell ref="O2158:O2159"/>
    <mergeCell ref="X2158:X2159"/>
    <mergeCell ref="Y2158:Y2159"/>
    <mergeCell ref="Z2158:Z2159"/>
    <mergeCell ref="AA2158:AA2159"/>
    <mergeCell ref="AB2158:AB2159"/>
    <mergeCell ref="A2160:A2161"/>
    <mergeCell ref="E2160:E2161"/>
    <mergeCell ref="H2160:H2161"/>
    <mergeCell ref="I2160:I2161"/>
    <mergeCell ref="J2160:J2161"/>
    <mergeCell ref="K2160:K2161"/>
    <mergeCell ref="L2160:L2161"/>
    <mergeCell ref="M2160:M2161"/>
    <mergeCell ref="N2160:N2161"/>
    <mergeCell ref="O2160:O2161"/>
    <mergeCell ref="X2160:X2161"/>
    <mergeCell ref="Y2160:Y2161"/>
    <mergeCell ref="Z2160:Z2161"/>
    <mergeCell ref="AA2160:AA2161"/>
    <mergeCell ref="AB2160:AB2161"/>
    <mergeCell ref="A2154:A2155"/>
    <mergeCell ref="E2154:E2155"/>
    <mergeCell ref="H2154:H2155"/>
    <mergeCell ref="I2154:I2155"/>
    <mergeCell ref="J2154:J2155"/>
    <mergeCell ref="K2154:K2155"/>
    <mergeCell ref="L2154:L2155"/>
    <mergeCell ref="M2154:M2155"/>
    <mergeCell ref="N2154:N2155"/>
    <mergeCell ref="O2154:O2155"/>
    <mergeCell ref="X2154:X2155"/>
    <mergeCell ref="Y2154:Y2155"/>
    <mergeCell ref="Z2154:Z2155"/>
    <mergeCell ref="AA2154:AA2155"/>
    <mergeCell ref="AB2154:AB2155"/>
    <mergeCell ref="A2156:A2157"/>
    <mergeCell ref="E2156:E2157"/>
    <mergeCell ref="H2156:H2157"/>
    <mergeCell ref="I2156:I2157"/>
    <mergeCell ref="J2156:J2157"/>
    <mergeCell ref="K2156:K2157"/>
    <mergeCell ref="L2156:L2157"/>
    <mergeCell ref="M2156:M2157"/>
    <mergeCell ref="N2156:N2157"/>
    <mergeCell ref="O2156:O2157"/>
    <mergeCell ref="X2156:X2157"/>
    <mergeCell ref="Y2156:Y2157"/>
    <mergeCell ref="Z2156:Z2157"/>
    <mergeCell ref="AA2156:AA2157"/>
    <mergeCell ref="AB2156:AB2157"/>
    <mergeCell ref="A2150:A2151"/>
    <mergeCell ref="E2150:E2151"/>
    <mergeCell ref="H2150:H2151"/>
    <mergeCell ref="I2150:I2151"/>
    <mergeCell ref="J2150:J2151"/>
    <mergeCell ref="K2150:K2151"/>
    <mergeCell ref="L2150:L2151"/>
    <mergeCell ref="M2150:M2151"/>
    <mergeCell ref="N2150:N2151"/>
    <mergeCell ref="O2150:O2151"/>
    <mergeCell ref="X2150:X2151"/>
    <mergeCell ref="Y2150:Y2151"/>
    <mergeCell ref="Z2150:Z2151"/>
    <mergeCell ref="AA2150:AA2151"/>
    <mergeCell ref="AB2150:AB2151"/>
    <mergeCell ref="A2152:A2153"/>
    <mergeCell ref="E2152:E2153"/>
    <mergeCell ref="H2152:H2153"/>
    <mergeCell ref="I2152:I2153"/>
    <mergeCell ref="J2152:J2153"/>
    <mergeCell ref="K2152:K2153"/>
    <mergeCell ref="L2152:L2153"/>
    <mergeCell ref="M2152:M2153"/>
    <mergeCell ref="N2152:N2153"/>
    <mergeCell ref="O2152:O2153"/>
    <mergeCell ref="X2152:X2153"/>
    <mergeCell ref="Y2152:Y2153"/>
    <mergeCell ref="Z2152:Z2153"/>
    <mergeCell ref="AA2152:AA2153"/>
    <mergeCell ref="AB2152:AB2153"/>
    <mergeCell ref="A2148:A2149"/>
    <mergeCell ref="E2148:E2149"/>
    <mergeCell ref="H2148:H2149"/>
    <mergeCell ref="I2148:I2149"/>
    <mergeCell ref="J2148:J2149"/>
    <mergeCell ref="K2148:K2149"/>
    <mergeCell ref="L2148:L2149"/>
    <mergeCell ref="M2148:M2149"/>
    <mergeCell ref="N2148:N2149"/>
    <mergeCell ref="O2148:O2149"/>
    <mergeCell ref="X2148:X2149"/>
    <mergeCell ref="Y2148:Y2149"/>
    <mergeCell ref="Z2148:Z2149"/>
    <mergeCell ref="AA2148:AA2149"/>
    <mergeCell ref="AB2148:AB2149"/>
    <mergeCell ref="A2082:A2083"/>
    <mergeCell ref="E2082:E2083"/>
    <mergeCell ref="H2082:H2083"/>
    <mergeCell ref="I2082:I2083"/>
    <mergeCell ref="J2082:J2083"/>
    <mergeCell ref="K2082:K2083"/>
    <mergeCell ref="L2082:L2083"/>
    <mergeCell ref="M2082:M2083"/>
    <mergeCell ref="N2082:N2083"/>
    <mergeCell ref="O2082:O2083"/>
    <mergeCell ref="X2082:X2083"/>
    <mergeCell ref="Y2082:Y2083"/>
    <mergeCell ref="Z2082:Z2083"/>
    <mergeCell ref="AA2082:AA2083"/>
    <mergeCell ref="AB2082:AB2083"/>
    <mergeCell ref="A2144:A2145"/>
    <mergeCell ref="E2144:E2145"/>
    <mergeCell ref="H2144:H2145"/>
    <mergeCell ref="I2144:I2145"/>
    <mergeCell ref="J2144:J2145"/>
    <mergeCell ref="K2144:K2145"/>
    <mergeCell ref="L2144:L2145"/>
    <mergeCell ref="M2144:M2145"/>
    <mergeCell ref="N2144:N2145"/>
    <mergeCell ref="O2144:O2145"/>
    <mergeCell ref="X2144:X2145"/>
    <mergeCell ref="Y2144:Y2145"/>
    <mergeCell ref="Z2144:Z2145"/>
    <mergeCell ref="AA2144:AA2145"/>
    <mergeCell ref="AB2144:AB2145"/>
    <mergeCell ref="A2146:A2147"/>
    <mergeCell ref="E2146:E2147"/>
    <mergeCell ref="H2146:H2147"/>
    <mergeCell ref="I2146:I2147"/>
    <mergeCell ref="J2146:J2147"/>
    <mergeCell ref="K2146:K2147"/>
    <mergeCell ref="L2146:L2147"/>
    <mergeCell ref="M2146:M2147"/>
    <mergeCell ref="N2146:N2147"/>
    <mergeCell ref="O2146:O2147"/>
    <mergeCell ref="X2146:X2147"/>
    <mergeCell ref="Y2146:Y2147"/>
    <mergeCell ref="Z2146:Z2147"/>
    <mergeCell ref="AA2146:AA2147"/>
    <mergeCell ref="AB2146:AB2147"/>
    <mergeCell ref="A2140:A2141"/>
    <mergeCell ref="E2140:E2141"/>
    <mergeCell ref="H2140:H2141"/>
    <mergeCell ref="I2140:I2141"/>
    <mergeCell ref="J2140:J2141"/>
    <mergeCell ref="K2140:K2141"/>
    <mergeCell ref="L2140:L2141"/>
    <mergeCell ref="M2140:M2141"/>
    <mergeCell ref="N2140:N2141"/>
    <mergeCell ref="O2140:O2141"/>
    <mergeCell ref="X2140:X2141"/>
    <mergeCell ref="Y2140:Y2141"/>
    <mergeCell ref="Z2140:Z2141"/>
    <mergeCell ref="AA2140:AA2141"/>
    <mergeCell ref="AB2140:AB2141"/>
    <mergeCell ref="A2142:A2143"/>
    <mergeCell ref="E2142:E2143"/>
    <mergeCell ref="H2142:H2143"/>
    <mergeCell ref="I2142:I2143"/>
    <mergeCell ref="J2142:J2143"/>
    <mergeCell ref="K2142:K2143"/>
    <mergeCell ref="L2142:L2143"/>
    <mergeCell ref="M2142:M2143"/>
    <mergeCell ref="N2142:N2143"/>
    <mergeCell ref="O2142:O2143"/>
    <mergeCell ref="X2142:X2143"/>
    <mergeCell ref="Y2142:Y2143"/>
    <mergeCell ref="Z2142:Z2143"/>
    <mergeCell ref="AA2142:AA2143"/>
    <mergeCell ref="AB2142:AB2143"/>
    <mergeCell ref="A2136:A2137"/>
    <mergeCell ref="E2136:E2137"/>
    <mergeCell ref="H2136:H2137"/>
    <mergeCell ref="I2136:I2137"/>
    <mergeCell ref="J2136:J2137"/>
    <mergeCell ref="K2136:K2137"/>
    <mergeCell ref="L2136:L2137"/>
    <mergeCell ref="M2136:M2137"/>
    <mergeCell ref="N2136:N2137"/>
    <mergeCell ref="O2136:O2137"/>
    <mergeCell ref="X2136:X2137"/>
    <mergeCell ref="Y2136:Y2137"/>
    <mergeCell ref="Z2136:Z2137"/>
    <mergeCell ref="AA2136:AA2137"/>
    <mergeCell ref="AB2136:AB2137"/>
    <mergeCell ref="A2138:A2139"/>
    <mergeCell ref="E2138:E2139"/>
    <mergeCell ref="H2138:H2139"/>
    <mergeCell ref="I2138:I2139"/>
    <mergeCell ref="J2138:J2139"/>
    <mergeCell ref="K2138:K2139"/>
    <mergeCell ref="L2138:L2139"/>
    <mergeCell ref="M2138:M2139"/>
    <mergeCell ref="N2138:N2139"/>
    <mergeCell ref="O2138:O2139"/>
    <mergeCell ref="X2138:X2139"/>
    <mergeCell ref="Y2138:Y2139"/>
    <mergeCell ref="Z2138:Z2139"/>
    <mergeCell ref="AA2138:AA2139"/>
    <mergeCell ref="AB2138:AB2139"/>
    <mergeCell ref="A2132:A2133"/>
    <mergeCell ref="E2132:E2133"/>
    <mergeCell ref="H2132:H2133"/>
    <mergeCell ref="I2132:I2133"/>
    <mergeCell ref="J2132:J2133"/>
    <mergeCell ref="K2132:K2133"/>
    <mergeCell ref="L2132:L2133"/>
    <mergeCell ref="M2132:M2133"/>
    <mergeCell ref="N2132:N2133"/>
    <mergeCell ref="O2132:O2133"/>
    <mergeCell ref="X2132:X2133"/>
    <mergeCell ref="Y2132:Y2133"/>
    <mergeCell ref="Z2132:Z2133"/>
    <mergeCell ref="AA2132:AA2133"/>
    <mergeCell ref="AB2132:AB2133"/>
    <mergeCell ref="A2134:A2135"/>
    <mergeCell ref="E2134:E2135"/>
    <mergeCell ref="H2134:H2135"/>
    <mergeCell ref="I2134:I2135"/>
    <mergeCell ref="J2134:J2135"/>
    <mergeCell ref="K2134:K2135"/>
    <mergeCell ref="L2134:L2135"/>
    <mergeCell ref="M2134:M2135"/>
    <mergeCell ref="N2134:N2135"/>
    <mergeCell ref="O2134:O2135"/>
    <mergeCell ref="X2134:X2135"/>
    <mergeCell ref="Y2134:Y2135"/>
    <mergeCell ref="Z2134:Z2135"/>
    <mergeCell ref="AA2134:AA2135"/>
    <mergeCell ref="AB2134:AB2135"/>
    <mergeCell ref="A2128:A2129"/>
    <mergeCell ref="E2128:E2129"/>
    <mergeCell ref="H2128:H2129"/>
    <mergeCell ref="I2128:I2129"/>
    <mergeCell ref="J2128:J2129"/>
    <mergeCell ref="K2128:K2129"/>
    <mergeCell ref="L2128:L2129"/>
    <mergeCell ref="M2128:M2129"/>
    <mergeCell ref="N2128:N2129"/>
    <mergeCell ref="O2128:O2129"/>
    <mergeCell ref="X2128:X2129"/>
    <mergeCell ref="Y2128:Y2129"/>
    <mergeCell ref="Z2128:Z2129"/>
    <mergeCell ref="AA2128:AA2129"/>
    <mergeCell ref="AB2128:AB2129"/>
    <mergeCell ref="A2130:A2131"/>
    <mergeCell ref="E2130:E2131"/>
    <mergeCell ref="H2130:H2131"/>
    <mergeCell ref="I2130:I2131"/>
    <mergeCell ref="J2130:J2131"/>
    <mergeCell ref="K2130:K2131"/>
    <mergeCell ref="L2130:L2131"/>
    <mergeCell ref="M2130:M2131"/>
    <mergeCell ref="N2130:N2131"/>
    <mergeCell ref="O2130:O2131"/>
    <mergeCell ref="X2130:X2131"/>
    <mergeCell ref="Y2130:Y2131"/>
    <mergeCell ref="Z2130:Z2131"/>
    <mergeCell ref="AA2130:AA2131"/>
    <mergeCell ref="AB2130:AB2131"/>
    <mergeCell ref="A2124:A2125"/>
    <mergeCell ref="E2124:E2125"/>
    <mergeCell ref="H2124:H2125"/>
    <mergeCell ref="I2124:I2125"/>
    <mergeCell ref="J2124:J2125"/>
    <mergeCell ref="K2124:K2125"/>
    <mergeCell ref="L2124:L2125"/>
    <mergeCell ref="M2124:M2125"/>
    <mergeCell ref="N2124:N2125"/>
    <mergeCell ref="O2124:O2125"/>
    <mergeCell ref="X2124:X2125"/>
    <mergeCell ref="Y2124:Y2125"/>
    <mergeCell ref="Z2124:Z2125"/>
    <mergeCell ref="AA2124:AA2125"/>
    <mergeCell ref="AB2124:AB2125"/>
    <mergeCell ref="A2126:A2127"/>
    <mergeCell ref="E2126:E2127"/>
    <mergeCell ref="H2126:H2127"/>
    <mergeCell ref="I2126:I2127"/>
    <mergeCell ref="J2126:J2127"/>
    <mergeCell ref="K2126:K2127"/>
    <mergeCell ref="L2126:L2127"/>
    <mergeCell ref="M2126:M2127"/>
    <mergeCell ref="N2126:N2127"/>
    <mergeCell ref="O2126:O2127"/>
    <mergeCell ref="X2126:X2127"/>
    <mergeCell ref="Y2126:Y2127"/>
    <mergeCell ref="Z2126:Z2127"/>
    <mergeCell ref="AA2126:AA2127"/>
    <mergeCell ref="AB2126:AB2127"/>
    <mergeCell ref="A2120:A2121"/>
    <mergeCell ref="E2120:E2121"/>
    <mergeCell ref="H2120:H2121"/>
    <mergeCell ref="I2120:I2121"/>
    <mergeCell ref="J2120:J2121"/>
    <mergeCell ref="K2120:K2121"/>
    <mergeCell ref="L2120:L2121"/>
    <mergeCell ref="M2120:M2121"/>
    <mergeCell ref="N2120:N2121"/>
    <mergeCell ref="O2120:O2121"/>
    <mergeCell ref="X2120:X2121"/>
    <mergeCell ref="Y2120:Y2121"/>
    <mergeCell ref="Z2120:Z2121"/>
    <mergeCell ref="AA2120:AA2121"/>
    <mergeCell ref="AB2120:AB2121"/>
    <mergeCell ref="A2122:A2123"/>
    <mergeCell ref="E2122:E2123"/>
    <mergeCell ref="H2122:H2123"/>
    <mergeCell ref="I2122:I2123"/>
    <mergeCell ref="J2122:J2123"/>
    <mergeCell ref="K2122:K2123"/>
    <mergeCell ref="L2122:L2123"/>
    <mergeCell ref="M2122:M2123"/>
    <mergeCell ref="N2122:N2123"/>
    <mergeCell ref="O2122:O2123"/>
    <mergeCell ref="X2122:X2123"/>
    <mergeCell ref="Y2122:Y2123"/>
    <mergeCell ref="Z2122:Z2123"/>
    <mergeCell ref="AA2122:AA2123"/>
    <mergeCell ref="AB2122:AB2123"/>
    <mergeCell ref="A2116:A2117"/>
    <mergeCell ref="E2116:E2117"/>
    <mergeCell ref="H2116:H2117"/>
    <mergeCell ref="I2116:I2117"/>
    <mergeCell ref="J2116:J2117"/>
    <mergeCell ref="K2116:K2117"/>
    <mergeCell ref="L2116:L2117"/>
    <mergeCell ref="M2116:M2117"/>
    <mergeCell ref="N2116:N2117"/>
    <mergeCell ref="O2116:O2117"/>
    <mergeCell ref="X2116:X2117"/>
    <mergeCell ref="Y2116:Y2117"/>
    <mergeCell ref="Z2116:Z2117"/>
    <mergeCell ref="AA2116:AA2117"/>
    <mergeCell ref="AB2116:AB2117"/>
    <mergeCell ref="A2118:A2119"/>
    <mergeCell ref="E2118:E2119"/>
    <mergeCell ref="H2118:H2119"/>
    <mergeCell ref="I2118:I2119"/>
    <mergeCell ref="J2118:J2119"/>
    <mergeCell ref="K2118:K2119"/>
    <mergeCell ref="L2118:L2119"/>
    <mergeCell ref="M2118:M2119"/>
    <mergeCell ref="N2118:N2119"/>
    <mergeCell ref="O2118:O2119"/>
    <mergeCell ref="X2118:X2119"/>
    <mergeCell ref="Y2118:Y2119"/>
    <mergeCell ref="Z2118:Z2119"/>
    <mergeCell ref="AA2118:AA2119"/>
    <mergeCell ref="AB2118:AB2119"/>
    <mergeCell ref="A2112:A2113"/>
    <mergeCell ref="E2112:E2113"/>
    <mergeCell ref="H2112:H2113"/>
    <mergeCell ref="I2112:I2113"/>
    <mergeCell ref="J2112:J2113"/>
    <mergeCell ref="K2112:K2113"/>
    <mergeCell ref="L2112:L2113"/>
    <mergeCell ref="M2112:M2113"/>
    <mergeCell ref="N2112:N2113"/>
    <mergeCell ref="O2112:O2113"/>
    <mergeCell ref="X2112:X2113"/>
    <mergeCell ref="Y2112:Y2113"/>
    <mergeCell ref="Z2112:Z2113"/>
    <mergeCell ref="AA2112:AA2113"/>
    <mergeCell ref="AB2112:AB2113"/>
    <mergeCell ref="A2114:A2115"/>
    <mergeCell ref="E2114:E2115"/>
    <mergeCell ref="H2114:H2115"/>
    <mergeCell ref="I2114:I2115"/>
    <mergeCell ref="J2114:J2115"/>
    <mergeCell ref="K2114:K2115"/>
    <mergeCell ref="L2114:L2115"/>
    <mergeCell ref="M2114:M2115"/>
    <mergeCell ref="N2114:N2115"/>
    <mergeCell ref="O2114:O2115"/>
    <mergeCell ref="X2114:X2115"/>
    <mergeCell ref="Y2114:Y2115"/>
    <mergeCell ref="Z2114:Z2115"/>
    <mergeCell ref="AA2114:AA2115"/>
    <mergeCell ref="AB2114:AB2115"/>
    <mergeCell ref="A2108:A2109"/>
    <mergeCell ref="E2108:E2109"/>
    <mergeCell ref="H2108:H2109"/>
    <mergeCell ref="I2108:I2109"/>
    <mergeCell ref="J2108:J2109"/>
    <mergeCell ref="K2108:K2109"/>
    <mergeCell ref="L2108:L2109"/>
    <mergeCell ref="M2108:M2109"/>
    <mergeCell ref="N2108:N2109"/>
    <mergeCell ref="O2108:O2109"/>
    <mergeCell ref="X2108:X2109"/>
    <mergeCell ref="Y2108:Y2109"/>
    <mergeCell ref="Z2108:Z2109"/>
    <mergeCell ref="AA2108:AA2109"/>
    <mergeCell ref="AB2108:AB2109"/>
    <mergeCell ref="A2110:A2111"/>
    <mergeCell ref="E2110:E2111"/>
    <mergeCell ref="H2110:H2111"/>
    <mergeCell ref="I2110:I2111"/>
    <mergeCell ref="J2110:J2111"/>
    <mergeCell ref="K2110:K2111"/>
    <mergeCell ref="L2110:L2111"/>
    <mergeCell ref="M2110:M2111"/>
    <mergeCell ref="N2110:N2111"/>
    <mergeCell ref="O2110:O2111"/>
    <mergeCell ref="X2110:X2111"/>
    <mergeCell ref="Y2110:Y2111"/>
    <mergeCell ref="Z2110:Z2111"/>
    <mergeCell ref="AA2110:AA2111"/>
    <mergeCell ref="AB2110:AB2111"/>
    <mergeCell ref="A2104:A2105"/>
    <mergeCell ref="E2104:E2105"/>
    <mergeCell ref="H2104:H2105"/>
    <mergeCell ref="I2104:I2105"/>
    <mergeCell ref="J2104:J2105"/>
    <mergeCell ref="K2104:K2105"/>
    <mergeCell ref="L2104:L2105"/>
    <mergeCell ref="M2104:M2105"/>
    <mergeCell ref="N2104:N2105"/>
    <mergeCell ref="O2104:O2105"/>
    <mergeCell ref="X2104:X2105"/>
    <mergeCell ref="Y2104:Y2105"/>
    <mergeCell ref="Z2104:Z2105"/>
    <mergeCell ref="AA2104:AA2105"/>
    <mergeCell ref="AB2104:AB2105"/>
    <mergeCell ref="A2106:A2107"/>
    <mergeCell ref="E2106:E2107"/>
    <mergeCell ref="H2106:H2107"/>
    <mergeCell ref="I2106:I2107"/>
    <mergeCell ref="J2106:J2107"/>
    <mergeCell ref="K2106:K2107"/>
    <mergeCell ref="L2106:L2107"/>
    <mergeCell ref="M2106:M2107"/>
    <mergeCell ref="N2106:N2107"/>
    <mergeCell ref="O2106:O2107"/>
    <mergeCell ref="X2106:X2107"/>
    <mergeCell ref="Y2106:Y2107"/>
    <mergeCell ref="Z2106:Z2107"/>
    <mergeCell ref="AA2106:AA2107"/>
    <mergeCell ref="AB2106:AB2107"/>
    <mergeCell ref="A2100:A2101"/>
    <mergeCell ref="E2100:E2101"/>
    <mergeCell ref="H2100:H2101"/>
    <mergeCell ref="I2100:I2101"/>
    <mergeCell ref="J2100:J2101"/>
    <mergeCell ref="K2100:K2101"/>
    <mergeCell ref="L2100:L2101"/>
    <mergeCell ref="M2100:M2101"/>
    <mergeCell ref="N2100:N2101"/>
    <mergeCell ref="O2100:O2101"/>
    <mergeCell ref="X2100:X2101"/>
    <mergeCell ref="Y2100:Y2101"/>
    <mergeCell ref="Z2100:Z2101"/>
    <mergeCell ref="AA2100:AA2101"/>
    <mergeCell ref="AB2100:AB2101"/>
    <mergeCell ref="A2102:A2103"/>
    <mergeCell ref="E2102:E2103"/>
    <mergeCell ref="H2102:H2103"/>
    <mergeCell ref="I2102:I2103"/>
    <mergeCell ref="J2102:J2103"/>
    <mergeCell ref="K2102:K2103"/>
    <mergeCell ref="L2102:L2103"/>
    <mergeCell ref="M2102:M2103"/>
    <mergeCell ref="N2102:N2103"/>
    <mergeCell ref="O2102:O2103"/>
    <mergeCell ref="X2102:X2103"/>
    <mergeCell ref="Y2102:Y2103"/>
    <mergeCell ref="Z2102:Z2103"/>
    <mergeCell ref="AA2102:AA2103"/>
    <mergeCell ref="AB2102:AB2103"/>
    <mergeCell ref="A2096:A2097"/>
    <mergeCell ref="E2096:E2097"/>
    <mergeCell ref="H2096:H2097"/>
    <mergeCell ref="I2096:I2097"/>
    <mergeCell ref="J2096:J2097"/>
    <mergeCell ref="K2096:K2097"/>
    <mergeCell ref="L2096:L2097"/>
    <mergeCell ref="M2096:M2097"/>
    <mergeCell ref="N2096:N2097"/>
    <mergeCell ref="O2096:O2097"/>
    <mergeCell ref="X2096:X2097"/>
    <mergeCell ref="Y2096:Y2097"/>
    <mergeCell ref="Z2096:Z2097"/>
    <mergeCell ref="AA2096:AA2097"/>
    <mergeCell ref="AB2096:AB2097"/>
    <mergeCell ref="A2098:A2099"/>
    <mergeCell ref="E2098:E2099"/>
    <mergeCell ref="H2098:H2099"/>
    <mergeCell ref="I2098:I2099"/>
    <mergeCell ref="J2098:J2099"/>
    <mergeCell ref="K2098:K2099"/>
    <mergeCell ref="L2098:L2099"/>
    <mergeCell ref="M2098:M2099"/>
    <mergeCell ref="N2098:N2099"/>
    <mergeCell ref="O2098:O2099"/>
    <mergeCell ref="X2098:X2099"/>
    <mergeCell ref="Y2098:Y2099"/>
    <mergeCell ref="Z2098:Z2099"/>
    <mergeCell ref="AA2098:AA2099"/>
    <mergeCell ref="AB2098:AB2099"/>
    <mergeCell ref="A2092:A2093"/>
    <mergeCell ref="E2092:E2093"/>
    <mergeCell ref="H2092:H2093"/>
    <mergeCell ref="I2092:I2093"/>
    <mergeCell ref="J2092:J2093"/>
    <mergeCell ref="K2092:K2093"/>
    <mergeCell ref="L2092:L2093"/>
    <mergeCell ref="M2092:M2093"/>
    <mergeCell ref="N2092:N2093"/>
    <mergeCell ref="O2092:O2093"/>
    <mergeCell ref="X2092:X2093"/>
    <mergeCell ref="Y2092:Y2093"/>
    <mergeCell ref="Z2092:Z2093"/>
    <mergeCell ref="AA2092:AA2093"/>
    <mergeCell ref="AB2092:AB2093"/>
    <mergeCell ref="A2094:A2095"/>
    <mergeCell ref="E2094:E2095"/>
    <mergeCell ref="H2094:H2095"/>
    <mergeCell ref="I2094:I2095"/>
    <mergeCell ref="J2094:J2095"/>
    <mergeCell ref="K2094:K2095"/>
    <mergeCell ref="L2094:L2095"/>
    <mergeCell ref="M2094:M2095"/>
    <mergeCell ref="N2094:N2095"/>
    <mergeCell ref="O2094:O2095"/>
    <mergeCell ref="X2094:X2095"/>
    <mergeCell ref="Y2094:Y2095"/>
    <mergeCell ref="Z2094:Z2095"/>
    <mergeCell ref="AA2094:AA2095"/>
    <mergeCell ref="AB2094:AB2095"/>
    <mergeCell ref="A2090:A2091"/>
    <mergeCell ref="E2090:E2091"/>
    <mergeCell ref="H2090:H2091"/>
    <mergeCell ref="I2090:I2091"/>
    <mergeCell ref="J2090:J2091"/>
    <mergeCell ref="K2090:K2091"/>
    <mergeCell ref="L2090:L2091"/>
    <mergeCell ref="M2090:M2091"/>
    <mergeCell ref="N2090:N2091"/>
    <mergeCell ref="O2090:O2091"/>
    <mergeCell ref="X2090:X2091"/>
    <mergeCell ref="Y2090:Y2091"/>
    <mergeCell ref="Z2090:Z2091"/>
    <mergeCell ref="AA2090:AA2091"/>
    <mergeCell ref="AB2090:AB2091"/>
    <mergeCell ref="A2088:A2089"/>
    <mergeCell ref="E2088:E2089"/>
    <mergeCell ref="H2088:H2089"/>
    <mergeCell ref="I2088:I2089"/>
    <mergeCell ref="J2088:J2089"/>
    <mergeCell ref="K2088:K2089"/>
    <mergeCell ref="L2088:L2089"/>
    <mergeCell ref="M2088:M2089"/>
    <mergeCell ref="N2088:N2089"/>
    <mergeCell ref="O2088:O2089"/>
    <mergeCell ref="X2088:X2089"/>
    <mergeCell ref="Y2088:Y2089"/>
    <mergeCell ref="Z2088:Z2089"/>
    <mergeCell ref="AA2088:AA2089"/>
    <mergeCell ref="AB2088:AB2089"/>
    <mergeCell ref="A2084:A2085"/>
    <mergeCell ref="E2084:E2085"/>
    <mergeCell ref="H2084:H2085"/>
    <mergeCell ref="I2084:I2085"/>
    <mergeCell ref="J2084:J2085"/>
    <mergeCell ref="K2084:K2085"/>
    <mergeCell ref="L2084:L2085"/>
    <mergeCell ref="M2084:M2085"/>
    <mergeCell ref="N2084:N2085"/>
    <mergeCell ref="O2084:O2085"/>
    <mergeCell ref="X2084:X2085"/>
    <mergeCell ref="Y2084:Y2085"/>
    <mergeCell ref="Z2084:Z2085"/>
    <mergeCell ref="AA2084:AA2085"/>
    <mergeCell ref="AB2084:AB2085"/>
    <mergeCell ref="A2086:A2087"/>
    <mergeCell ref="E2086:E2087"/>
    <mergeCell ref="H2086:H2087"/>
    <mergeCell ref="I2086:I2087"/>
    <mergeCell ref="J2086:J2087"/>
    <mergeCell ref="K2086:K2087"/>
    <mergeCell ref="L2086:L2087"/>
    <mergeCell ref="M2086:M2087"/>
    <mergeCell ref="N2086:N2087"/>
    <mergeCell ref="O2086:O2087"/>
    <mergeCell ref="X2086:X2087"/>
    <mergeCell ref="Y2086:Y2087"/>
    <mergeCell ref="Z2086:Z2087"/>
    <mergeCell ref="AA2086:AA2087"/>
    <mergeCell ref="AB2086:AB2087"/>
    <mergeCell ref="A2078:A2079"/>
    <mergeCell ref="E2078:E2079"/>
    <mergeCell ref="H2078:H2079"/>
    <mergeCell ref="I2078:I2079"/>
    <mergeCell ref="J2078:J2079"/>
    <mergeCell ref="K2078:K2079"/>
    <mergeCell ref="L2078:L2079"/>
    <mergeCell ref="M2078:M2079"/>
    <mergeCell ref="N2078:N2079"/>
    <mergeCell ref="O2078:O2079"/>
    <mergeCell ref="X2078:X2079"/>
    <mergeCell ref="Y2078:Y2079"/>
    <mergeCell ref="Z2078:Z2079"/>
    <mergeCell ref="AA2078:AA2079"/>
    <mergeCell ref="AB2078:AB2079"/>
    <mergeCell ref="A2080:A2081"/>
    <mergeCell ref="E2080:E2081"/>
    <mergeCell ref="H2080:H2081"/>
    <mergeCell ref="I2080:I2081"/>
    <mergeCell ref="J2080:J2081"/>
    <mergeCell ref="K2080:K2081"/>
    <mergeCell ref="L2080:L2081"/>
    <mergeCell ref="M2080:M2081"/>
    <mergeCell ref="N2080:N2081"/>
    <mergeCell ref="O2080:O2081"/>
    <mergeCell ref="X2080:X2081"/>
    <mergeCell ref="Y2080:Y2081"/>
    <mergeCell ref="Z2080:Z2081"/>
    <mergeCell ref="AA2080:AA2081"/>
    <mergeCell ref="AB2080:AB2081"/>
    <mergeCell ref="A2074:A2075"/>
    <mergeCell ref="E2074:E2075"/>
    <mergeCell ref="H2074:H2075"/>
    <mergeCell ref="I2074:I2075"/>
    <mergeCell ref="J2074:J2075"/>
    <mergeCell ref="K2074:K2075"/>
    <mergeCell ref="L2074:L2075"/>
    <mergeCell ref="M2074:M2075"/>
    <mergeCell ref="N2074:N2075"/>
    <mergeCell ref="O2074:O2075"/>
    <mergeCell ref="X2074:X2075"/>
    <mergeCell ref="Y2074:Y2075"/>
    <mergeCell ref="Z2074:Z2075"/>
    <mergeCell ref="AA2074:AA2075"/>
    <mergeCell ref="AB2074:AB2075"/>
    <mergeCell ref="A2076:A2077"/>
    <mergeCell ref="E2076:E2077"/>
    <mergeCell ref="H2076:H2077"/>
    <mergeCell ref="I2076:I2077"/>
    <mergeCell ref="J2076:J2077"/>
    <mergeCell ref="K2076:K2077"/>
    <mergeCell ref="L2076:L2077"/>
    <mergeCell ref="M2076:M2077"/>
    <mergeCell ref="N2076:N2077"/>
    <mergeCell ref="O2076:O2077"/>
    <mergeCell ref="X2076:X2077"/>
    <mergeCell ref="Y2076:Y2077"/>
    <mergeCell ref="Z2076:Z2077"/>
    <mergeCell ref="AA2076:AA2077"/>
    <mergeCell ref="AB2076:AB2077"/>
    <mergeCell ref="A2070:A2071"/>
    <mergeCell ref="E2070:E2071"/>
    <mergeCell ref="H2070:H2071"/>
    <mergeCell ref="I2070:I2071"/>
    <mergeCell ref="J2070:J2071"/>
    <mergeCell ref="K2070:K2071"/>
    <mergeCell ref="L2070:L2071"/>
    <mergeCell ref="M2070:M2071"/>
    <mergeCell ref="N2070:N2071"/>
    <mergeCell ref="O2070:O2071"/>
    <mergeCell ref="X2070:X2071"/>
    <mergeCell ref="Y2070:Y2071"/>
    <mergeCell ref="Z2070:Z2071"/>
    <mergeCell ref="AA2070:AA2071"/>
    <mergeCell ref="AB2070:AB2071"/>
    <mergeCell ref="A2072:A2073"/>
    <mergeCell ref="E2072:E2073"/>
    <mergeCell ref="H2072:H2073"/>
    <mergeCell ref="I2072:I2073"/>
    <mergeCell ref="J2072:J2073"/>
    <mergeCell ref="K2072:K2073"/>
    <mergeCell ref="L2072:L2073"/>
    <mergeCell ref="M2072:M2073"/>
    <mergeCell ref="N2072:N2073"/>
    <mergeCell ref="O2072:O2073"/>
    <mergeCell ref="X2072:X2073"/>
    <mergeCell ref="Y2072:Y2073"/>
    <mergeCell ref="Z2072:Z2073"/>
    <mergeCell ref="AA2072:AA2073"/>
    <mergeCell ref="AB2072:AB2073"/>
    <mergeCell ref="A2066:A2067"/>
    <mergeCell ref="E2066:E2067"/>
    <mergeCell ref="H2066:H2067"/>
    <mergeCell ref="I2066:I2067"/>
    <mergeCell ref="J2066:J2067"/>
    <mergeCell ref="K2066:K2067"/>
    <mergeCell ref="L2066:L2067"/>
    <mergeCell ref="M2066:M2067"/>
    <mergeCell ref="N2066:N2067"/>
    <mergeCell ref="O2066:O2067"/>
    <mergeCell ref="X2066:X2067"/>
    <mergeCell ref="Y2066:Y2067"/>
    <mergeCell ref="Z2066:Z2067"/>
    <mergeCell ref="AA2066:AA2067"/>
    <mergeCell ref="AB2066:AB2067"/>
    <mergeCell ref="A2068:A2069"/>
    <mergeCell ref="E2068:E2069"/>
    <mergeCell ref="H2068:H2069"/>
    <mergeCell ref="I2068:I2069"/>
    <mergeCell ref="J2068:J2069"/>
    <mergeCell ref="K2068:K2069"/>
    <mergeCell ref="L2068:L2069"/>
    <mergeCell ref="M2068:M2069"/>
    <mergeCell ref="N2068:N2069"/>
    <mergeCell ref="O2068:O2069"/>
    <mergeCell ref="X2068:X2069"/>
    <mergeCell ref="Y2068:Y2069"/>
    <mergeCell ref="Z2068:Z2069"/>
    <mergeCell ref="AA2068:AA2069"/>
    <mergeCell ref="AB2068:AB2069"/>
    <mergeCell ref="A2062:A2063"/>
    <mergeCell ref="E2062:E2063"/>
    <mergeCell ref="H2062:H2063"/>
    <mergeCell ref="I2062:I2063"/>
    <mergeCell ref="J2062:J2063"/>
    <mergeCell ref="K2062:K2063"/>
    <mergeCell ref="L2062:L2063"/>
    <mergeCell ref="M2062:M2063"/>
    <mergeCell ref="N2062:N2063"/>
    <mergeCell ref="O2062:O2063"/>
    <mergeCell ref="X2062:X2063"/>
    <mergeCell ref="Y2062:Y2063"/>
    <mergeCell ref="Z2062:Z2063"/>
    <mergeCell ref="AA2062:AA2063"/>
    <mergeCell ref="AB2062:AB2063"/>
    <mergeCell ref="A2064:A2065"/>
    <mergeCell ref="E2064:E2065"/>
    <mergeCell ref="H2064:H2065"/>
    <mergeCell ref="I2064:I2065"/>
    <mergeCell ref="J2064:J2065"/>
    <mergeCell ref="K2064:K2065"/>
    <mergeCell ref="L2064:L2065"/>
    <mergeCell ref="M2064:M2065"/>
    <mergeCell ref="N2064:N2065"/>
    <mergeCell ref="O2064:O2065"/>
    <mergeCell ref="X2064:X2065"/>
    <mergeCell ref="Y2064:Y2065"/>
    <mergeCell ref="Z2064:Z2065"/>
    <mergeCell ref="AA2064:AA2065"/>
    <mergeCell ref="AB2064:AB2065"/>
    <mergeCell ref="A2058:A2059"/>
    <mergeCell ref="E2058:E2059"/>
    <mergeCell ref="H2058:H2059"/>
    <mergeCell ref="I2058:I2059"/>
    <mergeCell ref="J2058:J2059"/>
    <mergeCell ref="K2058:K2059"/>
    <mergeCell ref="L2058:L2059"/>
    <mergeCell ref="M2058:M2059"/>
    <mergeCell ref="N2058:N2059"/>
    <mergeCell ref="O2058:O2059"/>
    <mergeCell ref="X2058:X2059"/>
    <mergeCell ref="Y2058:Y2059"/>
    <mergeCell ref="Z2058:Z2059"/>
    <mergeCell ref="AA2058:AA2059"/>
    <mergeCell ref="AB2058:AB2059"/>
    <mergeCell ref="A2060:A2061"/>
    <mergeCell ref="E2060:E2061"/>
    <mergeCell ref="H2060:H2061"/>
    <mergeCell ref="I2060:I2061"/>
    <mergeCell ref="J2060:J2061"/>
    <mergeCell ref="K2060:K2061"/>
    <mergeCell ref="L2060:L2061"/>
    <mergeCell ref="M2060:M2061"/>
    <mergeCell ref="N2060:N2061"/>
    <mergeCell ref="O2060:O2061"/>
    <mergeCell ref="X2060:X2061"/>
    <mergeCell ref="Y2060:Y2061"/>
    <mergeCell ref="Z2060:Z2061"/>
    <mergeCell ref="AA2060:AA2061"/>
    <mergeCell ref="AB2060:AB2061"/>
    <mergeCell ref="A2054:A2055"/>
    <mergeCell ref="E2054:E2055"/>
    <mergeCell ref="H2054:H2055"/>
    <mergeCell ref="I2054:I2055"/>
    <mergeCell ref="J2054:J2055"/>
    <mergeCell ref="K2054:K2055"/>
    <mergeCell ref="L2054:L2055"/>
    <mergeCell ref="M2054:M2055"/>
    <mergeCell ref="N2054:N2055"/>
    <mergeCell ref="O2054:O2055"/>
    <mergeCell ref="X2054:X2055"/>
    <mergeCell ref="Y2054:Y2055"/>
    <mergeCell ref="Z2054:Z2055"/>
    <mergeCell ref="AA2054:AA2055"/>
    <mergeCell ref="AB2054:AB2055"/>
    <mergeCell ref="A2056:A2057"/>
    <mergeCell ref="E2056:E2057"/>
    <mergeCell ref="H2056:H2057"/>
    <mergeCell ref="I2056:I2057"/>
    <mergeCell ref="J2056:J2057"/>
    <mergeCell ref="K2056:K2057"/>
    <mergeCell ref="L2056:L2057"/>
    <mergeCell ref="M2056:M2057"/>
    <mergeCell ref="N2056:N2057"/>
    <mergeCell ref="O2056:O2057"/>
    <mergeCell ref="X2056:X2057"/>
    <mergeCell ref="Y2056:Y2057"/>
    <mergeCell ref="Z2056:Z2057"/>
    <mergeCell ref="AA2056:AA2057"/>
    <mergeCell ref="AB2056:AB2057"/>
    <mergeCell ref="A2050:A2051"/>
    <mergeCell ref="E2050:E2051"/>
    <mergeCell ref="H2050:H2051"/>
    <mergeCell ref="I2050:I2051"/>
    <mergeCell ref="J2050:J2051"/>
    <mergeCell ref="K2050:K2051"/>
    <mergeCell ref="L2050:L2051"/>
    <mergeCell ref="M2050:M2051"/>
    <mergeCell ref="N2050:N2051"/>
    <mergeCell ref="O2050:O2051"/>
    <mergeCell ref="X2050:X2051"/>
    <mergeCell ref="Y2050:Y2051"/>
    <mergeCell ref="Z2050:Z2051"/>
    <mergeCell ref="AA2050:AA2051"/>
    <mergeCell ref="AB2050:AB2051"/>
    <mergeCell ref="A2052:A2053"/>
    <mergeCell ref="E2052:E2053"/>
    <mergeCell ref="H2052:H2053"/>
    <mergeCell ref="I2052:I2053"/>
    <mergeCell ref="J2052:J2053"/>
    <mergeCell ref="K2052:K2053"/>
    <mergeCell ref="L2052:L2053"/>
    <mergeCell ref="M2052:M2053"/>
    <mergeCell ref="N2052:N2053"/>
    <mergeCell ref="O2052:O2053"/>
    <mergeCell ref="X2052:X2053"/>
    <mergeCell ref="Y2052:Y2053"/>
    <mergeCell ref="Z2052:Z2053"/>
    <mergeCell ref="AA2052:AA2053"/>
    <mergeCell ref="AB2052:AB2053"/>
    <mergeCell ref="A2046:A2047"/>
    <mergeCell ref="E2046:E2047"/>
    <mergeCell ref="H2046:H2047"/>
    <mergeCell ref="I2046:I2047"/>
    <mergeCell ref="J2046:J2047"/>
    <mergeCell ref="K2046:K2047"/>
    <mergeCell ref="L2046:L2047"/>
    <mergeCell ref="M2046:M2047"/>
    <mergeCell ref="N2046:N2047"/>
    <mergeCell ref="O2046:O2047"/>
    <mergeCell ref="X2046:X2047"/>
    <mergeCell ref="Y2046:Y2047"/>
    <mergeCell ref="Z2046:Z2047"/>
    <mergeCell ref="AA2046:AA2047"/>
    <mergeCell ref="AB2046:AB2047"/>
    <mergeCell ref="A2048:A2049"/>
    <mergeCell ref="E2048:E2049"/>
    <mergeCell ref="H2048:H2049"/>
    <mergeCell ref="I2048:I2049"/>
    <mergeCell ref="J2048:J2049"/>
    <mergeCell ref="K2048:K2049"/>
    <mergeCell ref="L2048:L2049"/>
    <mergeCell ref="M2048:M2049"/>
    <mergeCell ref="N2048:N2049"/>
    <mergeCell ref="O2048:O2049"/>
    <mergeCell ref="X2048:X2049"/>
    <mergeCell ref="Y2048:Y2049"/>
    <mergeCell ref="Z2048:Z2049"/>
    <mergeCell ref="AA2048:AA2049"/>
    <mergeCell ref="AB2048:AB2049"/>
    <mergeCell ref="A2042:A2043"/>
    <mergeCell ref="E2042:E2043"/>
    <mergeCell ref="H2042:H2043"/>
    <mergeCell ref="I2042:I2043"/>
    <mergeCell ref="J2042:J2043"/>
    <mergeCell ref="K2042:K2043"/>
    <mergeCell ref="L2042:L2043"/>
    <mergeCell ref="M2042:M2043"/>
    <mergeCell ref="N2042:N2043"/>
    <mergeCell ref="O2042:O2043"/>
    <mergeCell ref="X2042:X2043"/>
    <mergeCell ref="Y2042:Y2043"/>
    <mergeCell ref="Z2042:Z2043"/>
    <mergeCell ref="AA2042:AA2043"/>
    <mergeCell ref="AB2042:AB2043"/>
    <mergeCell ref="A2044:A2045"/>
    <mergeCell ref="E2044:E2045"/>
    <mergeCell ref="H2044:H2045"/>
    <mergeCell ref="I2044:I2045"/>
    <mergeCell ref="J2044:J2045"/>
    <mergeCell ref="K2044:K2045"/>
    <mergeCell ref="L2044:L2045"/>
    <mergeCell ref="M2044:M2045"/>
    <mergeCell ref="N2044:N2045"/>
    <mergeCell ref="O2044:O2045"/>
    <mergeCell ref="X2044:X2045"/>
    <mergeCell ref="Y2044:Y2045"/>
    <mergeCell ref="Z2044:Z2045"/>
    <mergeCell ref="AA2044:AA2045"/>
    <mergeCell ref="AB2044:AB2045"/>
    <mergeCell ref="A2038:A2039"/>
    <mergeCell ref="E2038:E2039"/>
    <mergeCell ref="H2038:H2039"/>
    <mergeCell ref="I2038:I2039"/>
    <mergeCell ref="J2038:J2039"/>
    <mergeCell ref="K2038:K2039"/>
    <mergeCell ref="L2038:L2039"/>
    <mergeCell ref="M2038:M2039"/>
    <mergeCell ref="N2038:N2039"/>
    <mergeCell ref="O2038:O2039"/>
    <mergeCell ref="X2038:X2039"/>
    <mergeCell ref="Y2038:Y2039"/>
    <mergeCell ref="Z2038:Z2039"/>
    <mergeCell ref="AA2038:AA2039"/>
    <mergeCell ref="AB2038:AB2039"/>
    <mergeCell ref="A2040:A2041"/>
    <mergeCell ref="E2040:E2041"/>
    <mergeCell ref="H2040:H2041"/>
    <mergeCell ref="I2040:I2041"/>
    <mergeCell ref="J2040:J2041"/>
    <mergeCell ref="K2040:K2041"/>
    <mergeCell ref="L2040:L2041"/>
    <mergeCell ref="M2040:M2041"/>
    <mergeCell ref="N2040:N2041"/>
    <mergeCell ref="O2040:O2041"/>
    <mergeCell ref="X2040:X2041"/>
    <mergeCell ref="Y2040:Y2041"/>
    <mergeCell ref="Z2040:Z2041"/>
    <mergeCell ref="AA2040:AA2041"/>
    <mergeCell ref="AB2040:AB2041"/>
    <mergeCell ref="A2034:A2035"/>
    <mergeCell ref="E2034:E2035"/>
    <mergeCell ref="H2034:H2035"/>
    <mergeCell ref="I2034:I2035"/>
    <mergeCell ref="J2034:J2035"/>
    <mergeCell ref="K2034:K2035"/>
    <mergeCell ref="L2034:L2035"/>
    <mergeCell ref="M2034:M2035"/>
    <mergeCell ref="N2034:N2035"/>
    <mergeCell ref="O2034:O2035"/>
    <mergeCell ref="X2034:X2035"/>
    <mergeCell ref="Y2034:Y2035"/>
    <mergeCell ref="Z2034:Z2035"/>
    <mergeCell ref="AA2034:AA2035"/>
    <mergeCell ref="AB2034:AB2035"/>
    <mergeCell ref="A2036:A2037"/>
    <mergeCell ref="E2036:E2037"/>
    <mergeCell ref="H2036:H2037"/>
    <mergeCell ref="I2036:I2037"/>
    <mergeCell ref="J2036:J2037"/>
    <mergeCell ref="K2036:K2037"/>
    <mergeCell ref="L2036:L2037"/>
    <mergeCell ref="M2036:M2037"/>
    <mergeCell ref="N2036:N2037"/>
    <mergeCell ref="O2036:O2037"/>
    <mergeCell ref="X2036:X2037"/>
    <mergeCell ref="Y2036:Y2037"/>
    <mergeCell ref="Z2036:Z2037"/>
    <mergeCell ref="AA2036:AA2037"/>
    <mergeCell ref="AB2036:AB2037"/>
    <mergeCell ref="A2030:A2031"/>
    <mergeCell ref="E2030:E2031"/>
    <mergeCell ref="H2030:H2031"/>
    <mergeCell ref="I2030:I2031"/>
    <mergeCell ref="J2030:J2031"/>
    <mergeCell ref="K2030:K2031"/>
    <mergeCell ref="L2030:L2031"/>
    <mergeCell ref="M2030:M2031"/>
    <mergeCell ref="N2030:N2031"/>
    <mergeCell ref="O2030:O2031"/>
    <mergeCell ref="X2030:X2031"/>
    <mergeCell ref="Y2030:Y2031"/>
    <mergeCell ref="Z2030:Z2031"/>
    <mergeCell ref="AA2030:AA2031"/>
    <mergeCell ref="AB2030:AB2031"/>
    <mergeCell ref="A2032:A2033"/>
    <mergeCell ref="E2032:E2033"/>
    <mergeCell ref="H2032:H2033"/>
    <mergeCell ref="I2032:I2033"/>
    <mergeCell ref="J2032:J2033"/>
    <mergeCell ref="K2032:K2033"/>
    <mergeCell ref="L2032:L2033"/>
    <mergeCell ref="M2032:M2033"/>
    <mergeCell ref="N2032:N2033"/>
    <mergeCell ref="O2032:O2033"/>
    <mergeCell ref="X2032:X2033"/>
    <mergeCell ref="Y2032:Y2033"/>
    <mergeCell ref="Z2032:Z2033"/>
    <mergeCell ref="AA2032:AA2033"/>
    <mergeCell ref="AB2032:AB2033"/>
    <mergeCell ref="A2026:A2027"/>
    <mergeCell ref="E2026:E2027"/>
    <mergeCell ref="H2026:H2027"/>
    <mergeCell ref="I2026:I2027"/>
    <mergeCell ref="J2026:J2027"/>
    <mergeCell ref="K2026:K2027"/>
    <mergeCell ref="L2026:L2027"/>
    <mergeCell ref="M2026:M2027"/>
    <mergeCell ref="N2026:N2027"/>
    <mergeCell ref="O2026:O2027"/>
    <mergeCell ref="X2026:X2027"/>
    <mergeCell ref="Y2026:Y2027"/>
    <mergeCell ref="Z2026:Z2027"/>
    <mergeCell ref="AA2026:AA2027"/>
    <mergeCell ref="AB2026:AB2027"/>
    <mergeCell ref="A2028:A2029"/>
    <mergeCell ref="E2028:E2029"/>
    <mergeCell ref="H2028:H2029"/>
    <mergeCell ref="I2028:I2029"/>
    <mergeCell ref="J2028:J2029"/>
    <mergeCell ref="K2028:K2029"/>
    <mergeCell ref="L2028:L2029"/>
    <mergeCell ref="M2028:M2029"/>
    <mergeCell ref="N2028:N2029"/>
    <mergeCell ref="O2028:O2029"/>
    <mergeCell ref="X2028:X2029"/>
    <mergeCell ref="Y2028:Y2029"/>
    <mergeCell ref="Z2028:Z2029"/>
    <mergeCell ref="AA2028:AA2029"/>
    <mergeCell ref="AB2028:AB2029"/>
    <mergeCell ref="A2022:A2023"/>
    <mergeCell ref="E2022:E2023"/>
    <mergeCell ref="H2022:H2023"/>
    <mergeCell ref="I2022:I2023"/>
    <mergeCell ref="J2022:J2023"/>
    <mergeCell ref="K2022:K2023"/>
    <mergeCell ref="L2022:L2023"/>
    <mergeCell ref="M2022:M2023"/>
    <mergeCell ref="N2022:N2023"/>
    <mergeCell ref="O2022:O2023"/>
    <mergeCell ref="X2022:X2023"/>
    <mergeCell ref="Y2022:Y2023"/>
    <mergeCell ref="Z2022:Z2023"/>
    <mergeCell ref="AA2022:AA2023"/>
    <mergeCell ref="AB2022:AB2023"/>
    <mergeCell ref="A2024:A2025"/>
    <mergeCell ref="E2024:E2025"/>
    <mergeCell ref="H2024:H2025"/>
    <mergeCell ref="I2024:I2025"/>
    <mergeCell ref="J2024:J2025"/>
    <mergeCell ref="K2024:K2025"/>
    <mergeCell ref="L2024:L2025"/>
    <mergeCell ref="M2024:M2025"/>
    <mergeCell ref="N2024:N2025"/>
    <mergeCell ref="O2024:O2025"/>
    <mergeCell ref="X2024:X2025"/>
    <mergeCell ref="Y2024:Y2025"/>
    <mergeCell ref="Z2024:Z2025"/>
    <mergeCell ref="AA2024:AA2025"/>
    <mergeCell ref="AB2024:AB2025"/>
    <mergeCell ref="A2018:A2019"/>
    <mergeCell ref="E2018:E2019"/>
    <mergeCell ref="H2018:H2019"/>
    <mergeCell ref="I2018:I2019"/>
    <mergeCell ref="J2018:J2019"/>
    <mergeCell ref="K2018:K2019"/>
    <mergeCell ref="L2018:L2019"/>
    <mergeCell ref="M2018:M2019"/>
    <mergeCell ref="N2018:N2019"/>
    <mergeCell ref="O2018:O2019"/>
    <mergeCell ref="X2018:X2019"/>
    <mergeCell ref="Y2018:Y2019"/>
    <mergeCell ref="Z2018:Z2019"/>
    <mergeCell ref="AA2018:AA2019"/>
    <mergeCell ref="AB2018:AB2019"/>
    <mergeCell ref="A2020:A2021"/>
    <mergeCell ref="E2020:E2021"/>
    <mergeCell ref="H2020:H2021"/>
    <mergeCell ref="I2020:I2021"/>
    <mergeCell ref="J2020:J2021"/>
    <mergeCell ref="K2020:K2021"/>
    <mergeCell ref="L2020:L2021"/>
    <mergeCell ref="M2020:M2021"/>
    <mergeCell ref="N2020:N2021"/>
    <mergeCell ref="O2020:O2021"/>
    <mergeCell ref="X2020:X2021"/>
    <mergeCell ref="Y2020:Y2021"/>
    <mergeCell ref="Z2020:Z2021"/>
    <mergeCell ref="AA2020:AA2021"/>
    <mergeCell ref="AB2020:AB2021"/>
    <mergeCell ref="A2014:A2015"/>
    <mergeCell ref="E2014:E2015"/>
    <mergeCell ref="H2014:H2015"/>
    <mergeCell ref="I2014:I2015"/>
    <mergeCell ref="J2014:J2015"/>
    <mergeCell ref="K2014:K2015"/>
    <mergeCell ref="L2014:L2015"/>
    <mergeCell ref="M2014:M2015"/>
    <mergeCell ref="N2014:N2015"/>
    <mergeCell ref="O2014:O2015"/>
    <mergeCell ref="X2014:X2015"/>
    <mergeCell ref="Y2014:Y2015"/>
    <mergeCell ref="Z2014:Z2015"/>
    <mergeCell ref="AA2014:AA2015"/>
    <mergeCell ref="AB2014:AB2015"/>
    <mergeCell ref="A2016:A2017"/>
    <mergeCell ref="E2016:E2017"/>
    <mergeCell ref="H2016:H2017"/>
    <mergeCell ref="I2016:I2017"/>
    <mergeCell ref="J2016:J2017"/>
    <mergeCell ref="K2016:K2017"/>
    <mergeCell ref="L2016:L2017"/>
    <mergeCell ref="M2016:M2017"/>
    <mergeCell ref="N2016:N2017"/>
    <mergeCell ref="O2016:O2017"/>
    <mergeCell ref="X2016:X2017"/>
    <mergeCell ref="Y2016:Y2017"/>
    <mergeCell ref="Z2016:Z2017"/>
    <mergeCell ref="AA2016:AA2017"/>
    <mergeCell ref="AB2016:AB2017"/>
    <mergeCell ref="A2010:A2011"/>
    <mergeCell ref="E2010:E2011"/>
    <mergeCell ref="H2010:H2011"/>
    <mergeCell ref="I2010:I2011"/>
    <mergeCell ref="J2010:J2011"/>
    <mergeCell ref="K2010:K2011"/>
    <mergeCell ref="L2010:L2011"/>
    <mergeCell ref="M2010:M2011"/>
    <mergeCell ref="N2010:N2011"/>
    <mergeCell ref="O2010:O2011"/>
    <mergeCell ref="X2010:X2011"/>
    <mergeCell ref="Y2010:Y2011"/>
    <mergeCell ref="Z2010:Z2011"/>
    <mergeCell ref="AA2010:AA2011"/>
    <mergeCell ref="AB2010:AB2011"/>
    <mergeCell ref="A2012:A2013"/>
    <mergeCell ref="E2012:E2013"/>
    <mergeCell ref="H2012:H2013"/>
    <mergeCell ref="I2012:I2013"/>
    <mergeCell ref="J2012:J2013"/>
    <mergeCell ref="K2012:K2013"/>
    <mergeCell ref="L2012:L2013"/>
    <mergeCell ref="M2012:M2013"/>
    <mergeCell ref="N2012:N2013"/>
    <mergeCell ref="O2012:O2013"/>
    <mergeCell ref="X2012:X2013"/>
    <mergeCell ref="Y2012:Y2013"/>
    <mergeCell ref="Z2012:Z2013"/>
    <mergeCell ref="AA2012:AA2013"/>
    <mergeCell ref="AB2012:AB2013"/>
    <mergeCell ref="A2006:A2007"/>
    <mergeCell ref="E2006:E2007"/>
    <mergeCell ref="H2006:H2007"/>
    <mergeCell ref="I2006:I2007"/>
    <mergeCell ref="J2006:J2007"/>
    <mergeCell ref="K2006:K2007"/>
    <mergeCell ref="L2006:L2007"/>
    <mergeCell ref="M2006:M2007"/>
    <mergeCell ref="N2006:N2007"/>
    <mergeCell ref="O2006:O2007"/>
    <mergeCell ref="X2006:X2007"/>
    <mergeCell ref="Y2006:Y2007"/>
    <mergeCell ref="Z2006:Z2007"/>
    <mergeCell ref="AA2006:AA2007"/>
    <mergeCell ref="AB2006:AB2007"/>
    <mergeCell ref="A2008:A2009"/>
    <mergeCell ref="E2008:E2009"/>
    <mergeCell ref="H2008:H2009"/>
    <mergeCell ref="I2008:I2009"/>
    <mergeCell ref="J2008:J2009"/>
    <mergeCell ref="K2008:K2009"/>
    <mergeCell ref="L2008:L2009"/>
    <mergeCell ref="M2008:M2009"/>
    <mergeCell ref="N2008:N2009"/>
    <mergeCell ref="O2008:O2009"/>
    <mergeCell ref="X2008:X2009"/>
    <mergeCell ref="Y2008:Y2009"/>
    <mergeCell ref="Z2008:Z2009"/>
    <mergeCell ref="AA2008:AA2009"/>
    <mergeCell ref="AB2008:AB2009"/>
    <mergeCell ref="A2002:A2003"/>
    <mergeCell ref="E2002:E2003"/>
    <mergeCell ref="H2002:H2003"/>
    <mergeCell ref="I2002:I2003"/>
    <mergeCell ref="J2002:J2003"/>
    <mergeCell ref="K2002:K2003"/>
    <mergeCell ref="L2002:L2003"/>
    <mergeCell ref="M2002:M2003"/>
    <mergeCell ref="N2002:N2003"/>
    <mergeCell ref="O2002:O2003"/>
    <mergeCell ref="X2002:X2003"/>
    <mergeCell ref="Y2002:Y2003"/>
    <mergeCell ref="Z2002:Z2003"/>
    <mergeCell ref="AA2002:AA2003"/>
    <mergeCell ref="AB2002:AB2003"/>
    <mergeCell ref="A2004:A2005"/>
    <mergeCell ref="E2004:E2005"/>
    <mergeCell ref="H2004:H2005"/>
    <mergeCell ref="I2004:I2005"/>
    <mergeCell ref="J2004:J2005"/>
    <mergeCell ref="K2004:K2005"/>
    <mergeCell ref="L2004:L2005"/>
    <mergeCell ref="M2004:M2005"/>
    <mergeCell ref="N2004:N2005"/>
    <mergeCell ref="O2004:O2005"/>
    <mergeCell ref="X2004:X2005"/>
    <mergeCell ref="Y2004:Y2005"/>
    <mergeCell ref="Z2004:Z2005"/>
    <mergeCell ref="AA2004:AA2005"/>
    <mergeCell ref="AB2004:AB2005"/>
    <mergeCell ref="Z1988:Z1989"/>
    <mergeCell ref="AA1988:AA1989"/>
    <mergeCell ref="AB1988:AB1989"/>
    <mergeCell ref="A1998:A1999"/>
    <mergeCell ref="E1998:E1999"/>
    <mergeCell ref="H1998:H1999"/>
    <mergeCell ref="I1998:I1999"/>
    <mergeCell ref="J1998:J1999"/>
    <mergeCell ref="K1998:K1999"/>
    <mergeCell ref="L1998:L1999"/>
    <mergeCell ref="M1998:M1999"/>
    <mergeCell ref="N1998:N1999"/>
    <mergeCell ref="O1998:O1999"/>
    <mergeCell ref="X1998:X1999"/>
    <mergeCell ref="Y1998:Y1999"/>
    <mergeCell ref="Z1998:Z1999"/>
    <mergeCell ref="AA1998:AA1999"/>
    <mergeCell ref="AB1998:AB1999"/>
    <mergeCell ref="A2000:A2001"/>
    <mergeCell ref="E2000:E2001"/>
    <mergeCell ref="H2000:H2001"/>
    <mergeCell ref="I2000:I2001"/>
    <mergeCell ref="J2000:J2001"/>
    <mergeCell ref="K2000:K2001"/>
    <mergeCell ref="L2000:L2001"/>
    <mergeCell ref="M2000:M2001"/>
    <mergeCell ref="N2000:N2001"/>
    <mergeCell ref="O2000:O2001"/>
    <mergeCell ref="X2000:X2001"/>
    <mergeCell ref="Y2000:Y2001"/>
    <mergeCell ref="Z2000:Z2001"/>
    <mergeCell ref="AA2000:AA2001"/>
    <mergeCell ref="AB2000:AB2001"/>
    <mergeCell ref="A1994:A1995"/>
    <mergeCell ref="E1994:E1995"/>
    <mergeCell ref="H1994:H1995"/>
    <mergeCell ref="I1994:I1995"/>
    <mergeCell ref="J1994:J1995"/>
    <mergeCell ref="K1994:K1995"/>
    <mergeCell ref="L1994:L1995"/>
    <mergeCell ref="M1994:M1995"/>
    <mergeCell ref="N1994:N1995"/>
    <mergeCell ref="O1994:O1995"/>
    <mergeCell ref="X1994:X1995"/>
    <mergeCell ref="Y1994:Y1995"/>
    <mergeCell ref="Z1994:Z1995"/>
    <mergeCell ref="AA1994:AA1995"/>
    <mergeCell ref="AB1994:AB1995"/>
    <mergeCell ref="A1996:A1997"/>
    <mergeCell ref="E1996:E1997"/>
    <mergeCell ref="H1996:H1997"/>
    <mergeCell ref="I1996:I1997"/>
    <mergeCell ref="J1996:J1997"/>
    <mergeCell ref="K1996:K1997"/>
    <mergeCell ref="L1996:L1997"/>
    <mergeCell ref="M1996:M1997"/>
    <mergeCell ref="N1996:N1997"/>
    <mergeCell ref="O1996:O1997"/>
    <mergeCell ref="X1996:X1997"/>
    <mergeCell ref="Y1996:Y1997"/>
    <mergeCell ref="Z1996:Z1997"/>
    <mergeCell ref="AA1996:AA1997"/>
    <mergeCell ref="AB1996:AB1997"/>
    <mergeCell ref="N1980:N1981"/>
    <mergeCell ref="O1980:O1981"/>
    <mergeCell ref="X1980:X1981"/>
    <mergeCell ref="Y1980:Y1981"/>
    <mergeCell ref="Z1980:Z1981"/>
    <mergeCell ref="AA1980:AA1981"/>
    <mergeCell ref="AB1980:AB1981"/>
    <mergeCell ref="A1990:A1991"/>
    <mergeCell ref="E1990:E1991"/>
    <mergeCell ref="H1990:H1991"/>
    <mergeCell ref="I1990:I1991"/>
    <mergeCell ref="J1990:J1991"/>
    <mergeCell ref="K1990:K1991"/>
    <mergeCell ref="L1990:L1991"/>
    <mergeCell ref="M1990:M1991"/>
    <mergeCell ref="N1990:N1991"/>
    <mergeCell ref="O1990:O1991"/>
    <mergeCell ref="X1990:X1991"/>
    <mergeCell ref="Y1990:Y1991"/>
    <mergeCell ref="Z1990:Z1991"/>
    <mergeCell ref="AA1990:AA1991"/>
    <mergeCell ref="AB1990:AB1991"/>
    <mergeCell ref="A1992:A1993"/>
    <mergeCell ref="E1992:E1993"/>
    <mergeCell ref="H1992:H1993"/>
    <mergeCell ref="I1992:I1993"/>
    <mergeCell ref="J1992:J1993"/>
    <mergeCell ref="K1992:K1993"/>
    <mergeCell ref="L1992:L1993"/>
    <mergeCell ref="M1992:M1993"/>
    <mergeCell ref="N1992:N1993"/>
    <mergeCell ref="O1992:O1993"/>
    <mergeCell ref="X1992:X1993"/>
    <mergeCell ref="Y1992:Y1993"/>
    <mergeCell ref="Z1992:Z1993"/>
    <mergeCell ref="AA1992:AA1993"/>
    <mergeCell ref="AB1992:AB1993"/>
    <mergeCell ref="A1986:A1987"/>
    <mergeCell ref="E1986:E1987"/>
    <mergeCell ref="H1986:H1987"/>
    <mergeCell ref="I1986:I1987"/>
    <mergeCell ref="J1986:J1987"/>
    <mergeCell ref="K1986:K1987"/>
    <mergeCell ref="L1986:L1987"/>
    <mergeCell ref="M1986:M1987"/>
    <mergeCell ref="N1986:N1987"/>
    <mergeCell ref="O1986:O1987"/>
    <mergeCell ref="X1986:X1987"/>
    <mergeCell ref="Y1986:Y1987"/>
    <mergeCell ref="Z1986:Z1987"/>
    <mergeCell ref="AA1986:AA1987"/>
    <mergeCell ref="AB1986:AB1987"/>
    <mergeCell ref="A1988:A1989"/>
    <mergeCell ref="E1988:E1989"/>
    <mergeCell ref="H1988:H1989"/>
    <mergeCell ref="I1988:I1989"/>
    <mergeCell ref="J1988:J1989"/>
    <mergeCell ref="K1988:K1989"/>
    <mergeCell ref="L1988:L1989"/>
    <mergeCell ref="M1988:M1989"/>
    <mergeCell ref="N1988:N1989"/>
    <mergeCell ref="O1988:O1989"/>
    <mergeCell ref="X1988:X1989"/>
    <mergeCell ref="Y1988:Y1989"/>
    <mergeCell ref="H1972:H1973"/>
    <mergeCell ref="I1972:I1973"/>
    <mergeCell ref="J1972:J1973"/>
    <mergeCell ref="K1972:K1973"/>
    <mergeCell ref="L1972:L1973"/>
    <mergeCell ref="M1972:M1973"/>
    <mergeCell ref="N1972:N1973"/>
    <mergeCell ref="O1972:O1973"/>
    <mergeCell ref="Z1972:Z1973"/>
    <mergeCell ref="AA1972:AA1973"/>
    <mergeCell ref="AB1972:AB1973"/>
    <mergeCell ref="A1982:A1983"/>
    <mergeCell ref="E1982:E1983"/>
    <mergeCell ref="H1982:H1983"/>
    <mergeCell ref="I1982:I1983"/>
    <mergeCell ref="J1982:J1983"/>
    <mergeCell ref="K1982:K1983"/>
    <mergeCell ref="L1982:L1983"/>
    <mergeCell ref="M1982:M1983"/>
    <mergeCell ref="N1982:N1983"/>
    <mergeCell ref="O1982:O1983"/>
    <mergeCell ref="X1982:X1983"/>
    <mergeCell ref="Y1982:Y1983"/>
    <mergeCell ref="Z1982:Z1983"/>
    <mergeCell ref="AA1982:AA1983"/>
    <mergeCell ref="AB1982:AB1983"/>
    <mergeCell ref="A1984:A1985"/>
    <mergeCell ref="E1984:E1985"/>
    <mergeCell ref="H1984:H1985"/>
    <mergeCell ref="I1984:I1985"/>
    <mergeCell ref="J1984:J1985"/>
    <mergeCell ref="K1984:K1985"/>
    <mergeCell ref="L1984:L1985"/>
    <mergeCell ref="M1984:M1985"/>
    <mergeCell ref="N1984:N1985"/>
    <mergeCell ref="O1984:O1985"/>
    <mergeCell ref="X1984:X1985"/>
    <mergeCell ref="Y1984:Y1985"/>
    <mergeCell ref="Z1984:Z1985"/>
    <mergeCell ref="AA1984:AA1985"/>
    <mergeCell ref="AB1984:AB1985"/>
    <mergeCell ref="A1978:A1979"/>
    <mergeCell ref="E1978:E1979"/>
    <mergeCell ref="H1978:H1979"/>
    <mergeCell ref="I1978:I1979"/>
    <mergeCell ref="J1978:J1979"/>
    <mergeCell ref="K1978:K1979"/>
    <mergeCell ref="L1978:L1979"/>
    <mergeCell ref="M1978:M1979"/>
    <mergeCell ref="N1978:N1979"/>
    <mergeCell ref="O1978:O1979"/>
    <mergeCell ref="X1978:X1979"/>
    <mergeCell ref="Y1978:Y1979"/>
    <mergeCell ref="Z1978:Z1979"/>
    <mergeCell ref="AA1978:AA1979"/>
    <mergeCell ref="AB1978:AB1979"/>
    <mergeCell ref="A1980:A1981"/>
    <mergeCell ref="E1980:E1981"/>
    <mergeCell ref="H1980:H1981"/>
    <mergeCell ref="I1980:I1981"/>
    <mergeCell ref="J1980:J1981"/>
    <mergeCell ref="K1980:K1981"/>
    <mergeCell ref="L1980:L1981"/>
    <mergeCell ref="M1980:M1981"/>
    <mergeCell ref="A1964:A1965"/>
    <mergeCell ref="E1964:E1965"/>
    <mergeCell ref="H1964:H1965"/>
    <mergeCell ref="I1964:I1965"/>
    <mergeCell ref="J1964:J1965"/>
    <mergeCell ref="K1964:K1965"/>
    <mergeCell ref="L1964:L1965"/>
    <mergeCell ref="M1964:M1965"/>
    <mergeCell ref="N1964:N1965"/>
    <mergeCell ref="O1964:O1965"/>
    <mergeCell ref="X1964:X1965"/>
    <mergeCell ref="Y1964:Y1965"/>
    <mergeCell ref="Z1964:Z1965"/>
    <mergeCell ref="AA1964:AA1965"/>
    <mergeCell ref="AB1964:AB1965"/>
    <mergeCell ref="A1966:A1967"/>
    <mergeCell ref="E1966:E1967"/>
    <mergeCell ref="H1966:H1967"/>
    <mergeCell ref="I1966:I1967"/>
    <mergeCell ref="J1966:J1967"/>
    <mergeCell ref="K1966:K1967"/>
    <mergeCell ref="L1966:L1967"/>
    <mergeCell ref="M1966:M1967"/>
    <mergeCell ref="N1966:N1967"/>
    <mergeCell ref="O1966:O1967"/>
    <mergeCell ref="X1966:X1967"/>
    <mergeCell ref="Y1966:Y1967"/>
    <mergeCell ref="Z1966:Z1967"/>
    <mergeCell ref="AA1966:AA1967"/>
    <mergeCell ref="AB1966:AB1967"/>
    <mergeCell ref="A1968:A1969"/>
    <mergeCell ref="E1968:E1969"/>
    <mergeCell ref="H1968:H1969"/>
    <mergeCell ref="I1968:I1969"/>
    <mergeCell ref="J1968:J1969"/>
    <mergeCell ref="K1968:K1969"/>
    <mergeCell ref="L1968:L1969"/>
    <mergeCell ref="M1968:M1969"/>
    <mergeCell ref="N1968:N1969"/>
    <mergeCell ref="O1968:O1969"/>
    <mergeCell ref="X1968:X1969"/>
    <mergeCell ref="Y1968:Y1969"/>
    <mergeCell ref="Z1968:Z1969"/>
    <mergeCell ref="AA1968:AA1969"/>
    <mergeCell ref="AB1968:AB1969"/>
    <mergeCell ref="A1900:A1901"/>
    <mergeCell ref="E1900:E1901"/>
    <mergeCell ref="H1900:H1901"/>
    <mergeCell ref="I1900:I1901"/>
    <mergeCell ref="J1900:J1901"/>
    <mergeCell ref="K1900:K1901"/>
    <mergeCell ref="L1900:L1901"/>
    <mergeCell ref="M1900:M1901"/>
    <mergeCell ref="N1900:N1901"/>
    <mergeCell ref="O1900:O1901"/>
    <mergeCell ref="X1900:X1901"/>
    <mergeCell ref="Y1900:Y1901"/>
    <mergeCell ref="Z1900:Z1901"/>
    <mergeCell ref="AA1900:AA1901"/>
    <mergeCell ref="AB1900:AB1901"/>
    <mergeCell ref="O1960:O1961"/>
    <mergeCell ref="X1960:X1961"/>
    <mergeCell ref="Y1960:Y1961"/>
    <mergeCell ref="Z1960:Z1961"/>
    <mergeCell ref="AA1960:AA1961"/>
    <mergeCell ref="AB1960:AB1961"/>
    <mergeCell ref="A1902:A1903"/>
    <mergeCell ref="E1902:E1903"/>
    <mergeCell ref="H1902:H1903"/>
    <mergeCell ref="I1902:I1903"/>
    <mergeCell ref="J1902:J1903"/>
    <mergeCell ref="K1902:K1903"/>
    <mergeCell ref="L1902:L1903"/>
    <mergeCell ref="M1902:M1903"/>
    <mergeCell ref="N1902:N1903"/>
    <mergeCell ref="O1902:O1903"/>
    <mergeCell ref="X1902:X1903"/>
    <mergeCell ref="Y1902:Y1903"/>
    <mergeCell ref="Z1902:Z1903"/>
    <mergeCell ref="AA1902:AA1903"/>
    <mergeCell ref="A1908:A1909"/>
    <mergeCell ref="E1908:E1909"/>
    <mergeCell ref="H1908:H1909"/>
    <mergeCell ref="I1908:I1909"/>
    <mergeCell ref="J1908:J1909"/>
    <mergeCell ref="K1908:K1909"/>
    <mergeCell ref="L1908:L1909"/>
    <mergeCell ref="M1908:M1909"/>
    <mergeCell ref="N1908:N1909"/>
    <mergeCell ref="O1908:O1909"/>
    <mergeCell ref="X1908:X1909"/>
    <mergeCell ref="Y1908:Y1909"/>
    <mergeCell ref="Z1908:Z1909"/>
    <mergeCell ref="AA1908:AA1909"/>
    <mergeCell ref="AB1908:AB1909"/>
    <mergeCell ref="A1910:A1911"/>
    <mergeCell ref="E1910:E1911"/>
    <mergeCell ref="H1910:H1911"/>
    <mergeCell ref="I1910:I1911"/>
    <mergeCell ref="J1910:J1911"/>
    <mergeCell ref="K1910:K1911"/>
    <mergeCell ref="L1910:L1911"/>
    <mergeCell ref="M1910:M1911"/>
    <mergeCell ref="N1910:N1911"/>
    <mergeCell ref="O1910:O1911"/>
    <mergeCell ref="A1916:A1917"/>
    <mergeCell ref="E1916:E1917"/>
    <mergeCell ref="H1916:H1917"/>
    <mergeCell ref="I1916:I1917"/>
    <mergeCell ref="A1896:A1897"/>
    <mergeCell ref="E1896:E1897"/>
    <mergeCell ref="H1896:H1897"/>
    <mergeCell ref="I1896:I1897"/>
    <mergeCell ref="J1896:J1897"/>
    <mergeCell ref="K1896:K1897"/>
    <mergeCell ref="L1896:L1897"/>
    <mergeCell ref="M1896:M1897"/>
    <mergeCell ref="N1896:N1897"/>
    <mergeCell ref="O1896:O1897"/>
    <mergeCell ref="X1896:X1897"/>
    <mergeCell ref="Y1896:Y1897"/>
    <mergeCell ref="Z1896:Z1897"/>
    <mergeCell ref="AA1896:AA1897"/>
    <mergeCell ref="AB1896:AB1897"/>
    <mergeCell ref="A1898:A1899"/>
    <mergeCell ref="E1898:E1899"/>
    <mergeCell ref="H1898:H1899"/>
    <mergeCell ref="I1898:I1899"/>
    <mergeCell ref="J1898:J1899"/>
    <mergeCell ref="K1898:K1899"/>
    <mergeCell ref="L1898:L1899"/>
    <mergeCell ref="M1898:M1899"/>
    <mergeCell ref="N1898:N1899"/>
    <mergeCell ref="O1898:O1899"/>
    <mergeCell ref="X1898:X1899"/>
    <mergeCell ref="Y1898:Y1899"/>
    <mergeCell ref="Z1898:Z1899"/>
    <mergeCell ref="AA1898:AA1899"/>
    <mergeCell ref="AB1898:AB1899"/>
    <mergeCell ref="A1892:A1893"/>
    <mergeCell ref="E1892:E1893"/>
    <mergeCell ref="H1892:H1893"/>
    <mergeCell ref="I1892:I1893"/>
    <mergeCell ref="J1892:J1893"/>
    <mergeCell ref="K1892:K1893"/>
    <mergeCell ref="L1892:L1893"/>
    <mergeCell ref="M1892:M1893"/>
    <mergeCell ref="N1892:N1893"/>
    <mergeCell ref="O1892:O1893"/>
    <mergeCell ref="X1892:X1893"/>
    <mergeCell ref="Y1892:Y1893"/>
    <mergeCell ref="Z1892:Z1893"/>
    <mergeCell ref="AA1892:AA1893"/>
    <mergeCell ref="AB1892:AB1893"/>
    <mergeCell ref="A1894:A1895"/>
    <mergeCell ref="E1894:E1895"/>
    <mergeCell ref="H1894:H1895"/>
    <mergeCell ref="I1894:I1895"/>
    <mergeCell ref="J1894:J1895"/>
    <mergeCell ref="K1894:K1895"/>
    <mergeCell ref="L1894:L1895"/>
    <mergeCell ref="M1894:M1895"/>
    <mergeCell ref="N1894:N1895"/>
    <mergeCell ref="O1894:O1895"/>
    <mergeCell ref="X1894:X1895"/>
    <mergeCell ref="Y1894:Y1895"/>
    <mergeCell ref="Z1894:Z1895"/>
    <mergeCell ref="AA1894:AA1895"/>
    <mergeCell ref="AB1894:AB1895"/>
    <mergeCell ref="A1888:A1889"/>
    <mergeCell ref="E1888:E1889"/>
    <mergeCell ref="H1888:H1889"/>
    <mergeCell ref="I1888:I1889"/>
    <mergeCell ref="J1888:J1889"/>
    <mergeCell ref="K1888:K1889"/>
    <mergeCell ref="L1888:L1889"/>
    <mergeCell ref="M1888:M1889"/>
    <mergeCell ref="N1888:N1889"/>
    <mergeCell ref="O1888:O1889"/>
    <mergeCell ref="X1888:X1889"/>
    <mergeCell ref="Y1888:Y1889"/>
    <mergeCell ref="Z1888:Z1889"/>
    <mergeCell ref="AA1888:AA1889"/>
    <mergeCell ref="AB1888:AB1889"/>
    <mergeCell ref="A1890:A1891"/>
    <mergeCell ref="E1890:E1891"/>
    <mergeCell ref="H1890:H1891"/>
    <mergeCell ref="I1890:I1891"/>
    <mergeCell ref="J1890:J1891"/>
    <mergeCell ref="K1890:K1891"/>
    <mergeCell ref="L1890:L1891"/>
    <mergeCell ref="M1890:M1891"/>
    <mergeCell ref="N1890:N1891"/>
    <mergeCell ref="O1890:O1891"/>
    <mergeCell ref="X1890:X1891"/>
    <mergeCell ref="Y1890:Y1891"/>
    <mergeCell ref="Z1890:Z1891"/>
    <mergeCell ref="AA1890:AA1891"/>
    <mergeCell ref="AB1890:AB1891"/>
    <mergeCell ref="A1884:A1885"/>
    <mergeCell ref="E1884:E1885"/>
    <mergeCell ref="H1884:H1885"/>
    <mergeCell ref="I1884:I1885"/>
    <mergeCell ref="J1884:J1885"/>
    <mergeCell ref="K1884:K1885"/>
    <mergeCell ref="L1884:L1885"/>
    <mergeCell ref="M1884:M1885"/>
    <mergeCell ref="N1884:N1885"/>
    <mergeCell ref="O1884:O1885"/>
    <mergeCell ref="X1884:X1885"/>
    <mergeCell ref="Y1884:Y1885"/>
    <mergeCell ref="Z1884:Z1885"/>
    <mergeCell ref="AA1884:AA1885"/>
    <mergeCell ref="AB1884:AB1885"/>
    <mergeCell ref="A1886:A1887"/>
    <mergeCell ref="E1886:E1887"/>
    <mergeCell ref="H1886:H1887"/>
    <mergeCell ref="I1886:I1887"/>
    <mergeCell ref="J1886:J1887"/>
    <mergeCell ref="K1886:K1887"/>
    <mergeCell ref="L1886:L1887"/>
    <mergeCell ref="M1886:M1887"/>
    <mergeCell ref="N1886:N1887"/>
    <mergeCell ref="O1886:O1887"/>
    <mergeCell ref="X1886:X1887"/>
    <mergeCell ref="Y1886:Y1887"/>
    <mergeCell ref="Z1886:Z1887"/>
    <mergeCell ref="AA1886:AA1887"/>
    <mergeCell ref="AB1886:AB1887"/>
    <mergeCell ref="A1880:A1881"/>
    <mergeCell ref="E1880:E1881"/>
    <mergeCell ref="H1880:H1881"/>
    <mergeCell ref="I1880:I1881"/>
    <mergeCell ref="J1880:J1881"/>
    <mergeCell ref="K1880:K1881"/>
    <mergeCell ref="L1880:L1881"/>
    <mergeCell ref="M1880:M1881"/>
    <mergeCell ref="N1880:N1881"/>
    <mergeCell ref="O1880:O1881"/>
    <mergeCell ref="X1880:X1881"/>
    <mergeCell ref="Y1880:Y1881"/>
    <mergeCell ref="Z1880:Z1881"/>
    <mergeCell ref="AA1880:AA1881"/>
    <mergeCell ref="AB1880:AB1881"/>
    <mergeCell ref="A1882:A1883"/>
    <mergeCell ref="E1882:E1883"/>
    <mergeCell ref="H1882:H1883"/>
    <mergeCell ref="I1882:I1883"/>
    <mergeCell ref="J1882:J1883"/>
    <mergeCell ref="K1882:K1883"/>
    <mergeCell ref="L1882:L1883"/>
    <mergeCell ref="M1882:M1883"/>
    <mergeCell ref="N1882:N1883"/>
    <mergeCell ref="O1882:O1883"/>
    <mergeCell ref="X1882:X1883"/>
    <mergeCell ref="Y1882:Y1883"/>
    <mergeCell ref="Z1882:Z1883"/>
    <mergeCell ref="AA1882:AA1883"/>
    <mergeCell ref="AB1882:AB1883"/>
    <mergeCell ref="A1876:A1877"/>
    <mergeCell ref="E1876:E1877"/>
    <mergeCell ref="H1876:H1877"/>
    <mergeCell ref="I1876:I1877"/>
    <mergeCell ref="J1876:J1877"/>
    <mergeCell ref="K1876:K1877"/>
    <mergeCell ref="L1876:L1877"/>
    <mergeCell ref="M1876:M1877"/>
    <mergeCell ref="N1876:N1877"/>
    <mergeCell ref="O1876:O1877"/>
    <mergeCell ref="X1876:X1877"/>
    <mergeCell ref="Y1876:Y1877"/>
    <mergeCell ref="Z1876:Z1877"/>
    <mergeCell ref="AA1876:AA1877"/>
    <mergeCell ref="AB1876:AB1877"/>
    <mergeCell ref="A1878:A1879"/>
    <mergeCell ref="E1878:E1879"/>
    <mergeCell ref="H1878:H1879"/>
    <mergeCell ref="I1878:I1879"/>
    <mergeCell ref="J1878:J1879"/>
    <mergeCell ref="K1878:K1879"/>
    <mergeCell ref="L1878:L1879"/>
    <mergeCell ref="M1878:M1879"/>
    <mergeCell ref="N1878:N1879"/>
    <mergeCell ref="O1878:O1879"/>
    <mergeCell ref="X1878:X1879"/>
    <mergeCell ref="Y1878:Y1879"/>
    <mergeCell ref="Z1878:Z1879"/>
    <mergeCell ref="AA1878:AA1879"/>
    <mergeCell ref="AB1878:AB1879"/>
    <mergeCell ref="A1872:A1873"/>
    <mergeCell ref="E1872:E1873"/>
    <mergeCell ref="H1872:H1873"/>
    <mergeCell ref="I1872:I1873"/>
    <mergeCell ref="J1872:J1873"/>
    <mergeCell ref="K1872:K1873"/>
    <mergeCell ref="L1872:L1873"/>
    <mergeCell ref="M1872:M1873"/>
    <mergeCell ref="N1872:N1873"/>
    <mergeCell ref="O1872:O1873"/>
    <mergeCell ref="X1872:X1873"/>
    <mergeCell ref="Y1872:Y1873"/>
    <mergeCell ref="Z1872:Z1873"/>
    <mergeCell ref="AA1872:AA1873"/>
    <mergeCell ref="AB1872:AB1873"/>
    <mergeCell ref="A1874:A1875"/>
    <mergeCell ref="E1874:E1875"/>
    <mergeCell ref="H1874:H1875"/>
    <mergeCell ref="I1874:I1875"/>
    <mergeCell ref="J1874:J1875"/>
    <mergeCell ref="K1874:K1875"/>
    <mergeCell ref="L1874:L1875"/>
    <mergeCell ref="M1874:M1875"/>
    <mergeCell ref="N1874:N1875"/>
    <mergeCell ref="O1874:O1875"/>
    <mergeCell ref="X1874:X1875"/>
    <mergeCell ref="Y1874:Y1875"/>
    <mergeCell ref="Z1874:Z1875"/>
    <mergeCell ref="AA1874:AA1875"/>
    <mergeCell ref="AB1874:AB1875"/>
    <mergeCell ref="A1868:A1869"/>
    <mergeCell ref="E1868:E1869"/>
    <mergeCell ref="H1868:H1869"/>
    <mergeCell ref="I1868:I1869"/>
    <mergeCell ref="J1868:J1869"/>
    <mergeCell ref="K1868:K1869"/>
    <mergeCell ref="L1868:L1869"/>
    <mergeCell ref="M1868:M1869"/>
    <mergeCell ref="N1868:N1869"/>
    <mergeCell ref="O1868:O1869"/>
    <mergeCell ref="X1868:X1869"/>
    <mergeCell ref="Y1868:Y1869"/>
    <mergeCell ref="Z1868:Z1869"/>
    <mergeCell ref="AA1868:AA1869"/>
    <mergeCell ref="AB1868:AB1869"/>
    <mergeCell ref="A1870:A1871"/>
    <mergeCell ref="E1870:E1871"/>
    <mergeCell ref="H1870:H1871"/>
    <mergeCell ref="I1870:I1871"/>
    <mergeCell ref="J1870:J1871"/>
    <mergeCell ref="K1870:K1871"/>
    <mergeCell ref="L1870:L1871"/>
    <mergeCell ref="M1870:M1871"/>
    <mergeCell ref="N1870:N1871"/>
    <mergeCell ref="O1870:O1871"/>
    <mergeCell ref="X1870:X1871"/>
    <mergeCell ref="Y1870:Y1871"/>
    <mergeCell ref="Z1870:Z1871"/>
    <mergeCell ref="AA1870:AA1871"/>
    <mergeCell ref="AB1870:AB1871"/>
    <mergeCell ref="A1864:A1865"/>
    <mergeCell ref="E1864:E1865"/>
    <mergeCell ref="H1864:H1865"/>
    <mergeCell ref="I1864:I1865"/>
    <mergeCell ref="J1864:J1865"/>
    <mergeCell ref="K1864:K1865"/>
    <mergeCell ref="L1864:L1865"/>
    <mergeCell ref="M1864:M1865"/>
    <mergeCell ref="N1864:N1865"/>
    <mergeCell ref="O1864:O1865"/>
    <mergeCell ref="X1864:X1865"/>
    <mergeCell ref="Y1864:Y1865"/>
    <mergeCell ref="Z1864:Z1865"/>
    <mergeCell ref="AA1864:AA1865"/>
    <mergeCell ref="AB1864:AB1865"/>
    <mergeCell ref="A1866:A1867"/>
    <mergeCell ref="E1866:E1867"/>
    <mergeCell ref="H1866:H1867"/>
    <mergeCell ref="I1866:I1867"/>
    <mergeCell ref="J1866:J1867"/>
    <mergeCell ref="K1866:K1867"/>
    <mergeCell ref="L1866:L1867"/>
    <mergeCell ref="M1866:M1867"/>
    <mergeCell ref="N1866:N1867"/>
    <mergeCell ref="O1866:O1867"/>
    <mergeCell ref="X1866:X1867"/>
    <mergeCell ref="Y1866:Y1867"/>
    <mergeCell ref="Z1866:Z1867"/>
    <mergeCell ref="AA1866:AA1867"/>
    <mergeCell ref="AB1866:AB1867"/>
    <mergeCell ref="A1860:A1861"/>
    <mergeCell ref="E1860:E1861"/>
    <mergeCell ref="H1860:H1861"/>
    <mergeCell ref="I1860:I1861"/>
    <mergeCell ref="J1860:J1861"/>
    <mergeCell ref="K1860:K1861"/>
    <mergeCell ref="L1860:L1861"/>
    <mergeCell ref="M1860:M1861"/>
    <mergeCell ref="N1860:N1861"/>
    <mergeCell ref="O1860:O1861"/>
    <mergeCell ref="X1860:X1861"/>
    <mergeCell ref="Y1860:Y1861"/>
    <mergeCell ref="Z1860:Z1861"/>
    <mergeCell ref="AA1860:AA1861"/>
    <mergeCell ref="AB1860:AB1861"/>
    <mergeCell ref="A1862:A1863"/>
    <mergeCell ref="E1862:E1863"/>
    <mergeCell ref="H1862:H1863"/>
    <mergeCell ref="I1862:I1863"/>
    <mergeCell ref="J1862:J1863"/>
    <mergeCell ref="K1862:K1863"/>
    <mergeCell ref="L1862:L1863"/>
    <mergeCell ref="M1862:M1863"/>
    <mergeCell ref="N1862:N1863"/>
    <mergeCell ref="O1862:O1863"/>
    <mergeCell ref="X1862:X1863"/>
    <mergeCell ref="Y1862:Y1863"/>
    <mergeCell ref="Z1862:Z1863"/>
    <mergeCell ref="AA1862:AA1863"/>
    <mergeCell ref="AB1862:AB1863"/>
    <mergeCell ref="A1856:A1857"/>
    <mergeCell ref="E1856:E1857"/>
    <mergeCell ref="H1856:H1857"/>
    <mergeCell ref="I1856:I1857"/>
    <mergeCell ref="J1856:J1857"/>
    <mergeCell ref="K1856:K1857"/>
    <mergeCell ref="L1856:L1857"/>
    <mergeCell ref="M1856:M1857"/>
    <mergeCell ref="N1856:N1857"/>
    <mergeCell ref="O1856:O1857"/>
    <mergeCell ref="X1856:X1857"/>
    <mergeCell ref="Y1856:Y1857"/>
    <mergeCell ref="Z1856:Z1857"/>
    <mergeCell ref="AA1856:AA1857"/>
    <mergeCell ref="AB1856:AB1857"/>
    <mergeCell ref="A1858:A1859"/>
    <mergeCell ref="E1858:E1859"/>
    <mergeCell ref="H1858:H1859"/>
    <mergeCell ref="I1858:I1859"/>
    <mergeCell ref="J1858:J1859"/>
    <mergeCell ref="K1858:K1859"/>
    <mergeCell ref="L1858:L1859"/>
    <mergeCell ref="M1858:M1859"/>
    <mergeCell ref="N1858:N1859"/>
    <mergeCell ref="O1858:O1859"/>
    <mergeCell ref="X1858:X1859"/>
    <mergeCell ref="Y1858:Y1859"/>
    <mergeCell ref="Z1858:Z1859"/>
    <mergeCell ref="AA1858:AA1859"/>
    <mergeCell ref="AB1858:AB1859"/>
    <mergeCell ref="A1852:A1853"/>
    <mergeCell ref="E1852:E1853"/>
    <mergeCell ref="H1852:H1853"/>
    <mergeCell ref="I1852:I1853"/>
    <mergeCell ref="J1852:J1853"/>
    <mergeCell ref="K1852:K1853"/>
    <mergeCell ref="L1852:L1853"/>
    <mergeCell ref="M1852:M1853"/>
    <mergeCell ref="N1852:N1853"/>
    <mergeCell ref="O1852:O1853"/>
    <mergeCell ref="X1852:X1853"/>
    <mergeCell ref="Y1852:Y1853"/>
    <mergeCell ref="Z1852:Z1853"/>
    <mergeCell ref="AA1852:AA1853"/>
    <mergeCell ref="AB1852:AB1853"/>
    <mergeCell ref="A1854:A1855"/>
    <mergeCell ref="E1854:E1855"/>
    <mergeCell ref="H1854:H1855"/>
    <mergeCell ref="I1854:I1855"/>
    <mergeCell ref="J1854:J1855"/>
    <mergeCell ref="K1854:K1855"/>
    <mergeCell ref="L1854:L1855"/>
    <mergeCell ref="M1854:M1855"/>
    <mergeCell ref="N1854:N1855"/>
    <mergeCell ref="O1854:O1855"/>
    <mergeCell ref="X1854:X1855"/>
    <mergeCell ref="Y1854:Y1855"/>
    <mergeCell ref="Z1854:Z1855"/>
    <mergeCell ref="AA1854:AA1855"/>
    <mergeCell ref="AB1854:AB1855"/>
    <mergeCell ref="A1848:A1849"/>
    <mergeCell ref="E1848:E1849"/>
    <mergeCell ref="H1848:H1849"/>
    <mergeCell ref="I1848:I1849"/>
    <mergeCell ref="J1848:J1849"/>
    <mergeCell ref="K1848:K1849"/>
    <mergeCell ref="L1848:L1849"/>
    <mergeCell ref="M1848:M1849"/>
    <mergeCell ref="N1848:N1849"/>
    <mergeCell ref="O1848:O1849"/>
    <mergeCell ref="X1848:X1849"/>
    <mergeCell ref="Y1848:Y1849"/>
    <mergeCell ref="Z1848:Z1849"/>
    <mergeCell ref="AA1848:AA1849"/>
    <mergeCell ref="AB1848:AB1849"/>
    <mergeCell ref="A1850:A1851"/>
    <mergeCell ref="E1850:E1851"/>
    <mergeCell ref="H1850:H1851"/>
    <mergeCell ref="I1850:I1851"/>
    <mergeCell ref="J1850:J1851"/>
    <mergeCell ref="K1850:K1851"/>
    <mergeCell ref="L1850:L1851"/>
    <mergeCell ref="M1850:M1851"/>
    <mergeCell ref="N1850:N1851"/>
    <mergeCell ref="O1850:O1851"/>
    <mergeCell ref="X1850:X1851"/>
    <mergeCell ref="Y1850:Y1851"/>
    <mergeCell ref="Z1850:Z1851"/>
    <mergeCell ref="AA1850:AA1851"/>
    <mergeCell ref="AB1850:AB1851"/>
    <mergeCell ref="A1844:A1845"/>
    <mergeCell ref="E1844:E1845"/>
    <mergeCell ref="H1844:H1845"/>
    <mergeCell ref="I1844:I1845"/>
    <mergeCell ref="J1844:J1845"/>
    <mergeCell ref="K1844:K1845"/>
    <mergeCell ref="L1844:L1845"/>
    <mergeCell ref="M1844:M1845"/>
    <mergeCell ref="N1844:N1845"/>
    <mergeCell ref="O1844:O1845"/>
    <mergeCell ref="X1844:X1845"/>
    <mergeCell ref="Y1844:Y1845"/>
    <mergeCell ref="Z1844:Z1845"/>
    <mergeCell ref="AA1844:AA1845"/>
    <mergeCell ref="AB1844:AB1845"/>
    <mergeCell ref="A1846:A1847"/>
    <mergeCell ref="E1846:E1847"/>
    <mergeCell ref="H1846:H1847"/>
    <mergeCell ref="I1846:I1847"/>
    <mergeCell ref="J1846:J1847"/>
    <mergeCell ref="K1846:K1847"/>
    <mergeCell ref="L1846:L1847"/>
    <mergeCell ref="M1846:M1847"/>
    <mergeCell ref="N1846:N1847"/>
    <mergeCell ref="O1846:O1847"/>
    <mergeCell ref="X1846:X1847"/>
    <mergeCell ref="Y1846:Y1847"/>
    <mergeCell ref="Z1846:Z1847"/>
    <mergeCell ref="AA1846:AA1847"/>
    <mergeCell ref="AB1846:AB1847"/>
    <mergeCell ref="A1840:A1841"/>
    <mergeCell ref="E1840:E1841"/>
    <mergeCell ref="H1840:H1841"/>
    <mergeCell ref="I1840:I1841"/>
    <mergeCell ref="J1840:J1841"/>
    <mergeCell ref="K1840:K1841"/>
    <mergeCell ref="L1840:L1841"/>
    <mergeCell ref="M1840:M1841"/>
    <mergeCell ref="N1840:N1841"/>
    <mergeCell ref="O1840:O1841"/>
    <mergeCell ref="X1840:X1841"/>
    <mergeCell ref="Y1840:Y1841"/>
    <mergeCell ref="Z1840:Z1841"/>
    <mergeCell ref="AA1840:AA1841"/>
    <mergeCell ref="AB1840:AB1841"/>
    <mergeCell ref="A1842:A1843"/>
    <mergeCell ref="E1842:E1843"/>
    <mergeCell ref="H1842:H1843"/>
    <mergeCell ref="I1842:I1843"/>
    <mergeCell ref="J1842:J1843"/>
    <mergeCell ref="K1842:K1843"/>
    <mergeCell ref="L1842:L1843"/>
    <mergeCell ref="M1842:M1843"/>
    <mergeCell ref="N1842:N1843"/>
    <mergeCell ref="O1842:O1843"/>
    <mergeCell ref="X1842:X1843"/>
    <mergeCell ref="Y1842:Y1843"/>
    <mergeCell ref="Z1842:Z1843"/>
    <mergeCell ref="AA1842:AA1843"/>
    <mergeCell ref="AB1842:AB1843"/>
    <mergeCell ref="A1836:A1837"/>
    <mergeCell ref="E1836:E1837"/>
    <mergeCell ref="H1836:H1837"/>
    <mergeCell ref="I1836:I1837"/>
    <mergeCell ref="J1836:J1837"/>
    <mergeCell ref="K1836:K1837"/>
    <mergeCell ref="L1836:L1837"/>
    <mergeCell ref="M1836:M1837"/>
    <mergeCell ref="N1836:N1837"/>
    <mergeCell ref="O1836:O1837"/>
    <mergeCell ref="X1836:X1837"/>
    <mergeCell ref="Y1836:Y1837"/>
    <mergeCell ref="Z1836:Z1837"/>
    <mergeCell ref="AA1836:AA1837"/>
    <mergeCell ref="AB1836:AB1837"/>
    <mergeCell ref="A1838:A1839"/>
    <mergeCell ref="E1838:E1839"/>
    <mergeCell ref="H1838:H1839"/>
    <mergeCell ref="I1838:I1839"/>
    <mergeCell ref="J1838:J1839"/>
    <mergeCell ref="K1838:K1839"/>
    <mergeCell ref="L1838:L1839"/>
    <mergeCell ref="M1838:M1839"/>
    <mergeCell ref="N1838:N1839"/>
    <mergeCell ref="O1838:O1839"/>
    <mergeCell ref="X1838:X1839"/>
    <mergeCell ref="Y1838:Y1839"/>
    <mergeCell ref="Z1838:Z1839"/>
    <mergeCell ref="AA1838:AA1839"/>
    <mergeCell ref="AB1838:AB1839"/>
    <mergeCell ref="A1832:A1833"/>
    <mergeCell ref="E1832:E1833"/>
    <mergeCell ref="H1832:H1833"/>
    <mergeCell ref="I1832:I1833"/>
    <mergeCell ref="J1832:J1833"/>
    <mergeCell ref="K1832:K1833"/>
    <mergeCell ref="L1832:L1833"/>
    <mergeCell ref="M1832:M1833"/>
    <mergeCell ref="N1832:N1833"/>
    <mergeCell ref="O1832:O1833"/>
    <mergeCell ref="X1832:X1833"/>
    <mergeCell ref="Y1832:Y1833"/>
    <mergeCell ref="Z1832:Z1833"/>
    <mergeCell ref="AA1832:AA1833"/>
    <mergeCell ref="AB1832:AB1833"/>
    <mergeCell ref="A1834:A1835"/>
    <mergeCell ref="E1834:E1835"/>
    <mergeCell ref="H1834:H1835"/>
    <mergeCell ref="I1834:I1835"/>
    <mergeCell ref="J1834:J1835"/>
    <mergeCell ref="K1834:K1835"/>
    <mergeCell ref="L1834:L1835"/>
    <mergeCell ref="M1834:M1835"/>
    <mergeCell ref="N1834:N1835"/>
    <mergeCell ref="O1834:O1835"/>
    <mergeCell ref="X1834:X1835"/>
    <mergeCell ref="Y1834:Y1835"/>
    <mergeCell ref="Z1834:Z1835"/>
    <mergeCell ref="AA1834:AA1835"/>
    <mergeCell ref="AB1834:AB1835"/>
    <mergeCell ref="A1828:A1829"/>
    <mergeCell ref="E1828:E1829"/>
    <mergeCell ref="H1828:H1829"/>
    <mergeCell ref="I1828:I1829"/>
    <mergeCell ref="J1828:J1829"/>
    <mergeCell ref="K1828:K1829"/>
    <mergeCell ref="L1828:L1829"/>
    <mergeCell ref="M1828:M1829"/>
    <mergeCell ref="N1828:N1829"/>
    <mergeCell ref="O1828:O1829"/>
    <mergeCell ref="X1828:X1829"/>
    <mergeCell ref="Y1828:Y1829"/>
    <mergeCell ref="Z1828:Z1829"/>
    <mergeCell ref="AA1828:AA1829"/>
    <mergeCell ref="AB1828:AB1829"/>
    <mergeCell ref="A1830:A1831"/>
    <mergeCell ref="E1830:E1831"/>
    <mergeCell ref="H1830:H1831"/>
    <mergeCell ref="I1830:I1831"/>
    <mergeCell ref="J1830:J1831"/>
    <mergeCell ref="K1830:K1831"/>
    <mergeCell ref="L1830:L1831"/>
    <mergeCell ref="M1830:M1831"/>
    <mergeCell ref="N1830:N1831"/>
    <mergeCell ref="O1830:O1831"/>
    <mergeCell ref="X1830:X1831"/>
    <mergeCell ref="Y1830:Y1831"/>
    <mergeCell ref="Z1830:Z1831"/>
    <mergeCell ref="AA1830:AA1831"/>
    <mergeCell ref="AB1830:AB1831"/>
    <mergeCell ref="A1824:A1825"/>
    <mergeCell ref="E1824:E1825"/>
    <mergeCell ref="H1824:H1825"/>
    <mergeCell ref="I1824:I1825"/>
    <mergeCell ref="J1824:J1825"/>
    <mergeCell ref="K1824:K1825"/>
    <mergeCell ref="L1824:L1825"/>
    <mergeCell ref="M1824:M1825"/>
    <mergeCell ref="N1824:N1825"/>
    <mergeCell ref="O1824:O1825"/>
    <mergeCell ref="X1824:X1825"/>
    <mergeCell ref="Y1824:Y1825"/>
    <mergeCell ref="Z1824:Z1825"/>
    <mergeCell ref="AA1824:AA1825"/>
    <mergeCell ref="AB1824:AB1825"/>
    <mergeCell ref="A1826:A1827"/>
    <mergeCell ref="E1826:E1827"/>
    <mergeCell ref="H1826:H1827"/>
    <mergeCell ref="I1826:I1827"/>
    <mergeCell ref="J1826:J1827"/>
    <mergeCell ref="K1826:K1827"/>
    <mergeCell ref="L1826:L1827"/>
    <mergeCell ref="M1826:M1827"/>
    <mergeCell ref="N1826:N1827"/>
    <mergeCell ref="O1826:O1827"/>
    <mergeCell ref="X1826:X1827"/>
    <mergeCell ref="Y1826:Y1827"/>
    <mergeCell ref="Z1826:Z1827"/>
    <mergeCell ref="AA1826:AA1827"/>
    <mergeCell ref="AB1826:AB1827"/>
    <mergeCell ref="A1820:A1821"/>
    <mergeCell ref="E1820:E1821"/>
    <mergeCell ref="H1820:H1821"/>
    <mergeCell ref="I1820:I1821"/>
    <mergeCell ref="J1820:J1821"/>
    <mergeCell ref="K1820:K1821"/>
    <mergeCell ref="L1820:L1821"/>
    <mergeCell ref="M1820:M1821"/>
    <mergeCell ref="N1820:N1821"/>
    <mergeCell ref="O1820:O1821"/>
    <mergeCell ref="X1820:X1821"/>
    <mergeCell ref="Y1820:Y1821"/>
    <mergeCell ref="Z1820:Z1821"/>
    <mergeCell ref="AA1820:AA1821"/>
    <mergeCell ref="AB1820:AB1821"/>
    <mergeCell ref="A1822:A1823"/>
    <mergeCell ref="E1822:E1823"/>
    <mergeCell ref="H1822:H1823"/>
    <mergeCell ref="I1822:I1823"/>
    <mergeCell ref="J1822:J1823"/>
    <mergeCell ref="K1822:K1823"/>
    <mergeCell ref="L1822:L1823"/>
    <mergeCell ref="M1822:M1823"/>
    <mergeCell ref="N1822:N1823"/>
    <mergeCell ref="O1822:O1823"/>
    <mergeCell ref="X1822:X1823"/>
    <mergeCell ref="Y1822:Y1823"/>
    <mergeCell ref="Z1822:Z1823"/>
    <mergeCell ref="AA1822:AA1823"/>
    <mergeCell ref="AB1822:AB1823"/>
    <mergeCell ref="A1816:A1817"/>
    <mergeCell ref="E1816:E1817"/>
    <mergeCell ref="H1816:H1817"/>
    <mergeCell ref="I1816:I1817"/>
    <mergeCell ref="J1816:J1817"/>
    <mergeCell ref="K1816:K1817"/>
    <mergeCell ref="L1816:L1817"/>
    <mergeCell ref="M1816:M1817"/>
    <mergeCell ref="N1816:N1817"/>
    <mergeCell ref="O1816:O1817"/>
    <mergeCell ref="X1816:X1817"/>
    <mergeCell ref="Y1816:Y1817"/>
    <mergeCell ref="Z1816:Z1817"/>
    <mergeCell ref="AA1816:AA1817"/>
    <mergeCell ref="AB1816:AB1817"/>
    <mergeCell ref="A1818:A1819"/>
    <mergeCell ref="E1818:E1819"/>
    <mergeCell ref="H1818:H1819"/>
    <mergeCell ref="I1818:I1819"/>
    <mergeCell ref="J1818:J1819"/>
    <mergeCell ref="K1818:K1819"/>
    <mergeCell ref="L1818:L1819"/>
    <mergeCell ref="M1818:M1819"/>
    <mergeCell ref="N1818:N1819"/>
    <mergeCell ref="O1818:O1819"/>
    <mergeCell ref="X1818:X1819"/>
    <mergeCell ref="Y1818:Y1819"/>
    <mergeCell ref="Z1818:Z1819"/>
    <mergeCell ref="AA1818:AA1819"/>
    <mergeCell ref="AB1818:AB1819"/>
    <mergeCell ref="A1812:A1813"/>
    <mergeCell ref="E1812:E1813"/>
    <mergeCell ref="H1812:H1813"/>
    <mergeCell ref="I1812:I1813"/>
    <mergeCell ref="J1812:J1813"/>
    <mergeCell ref="K1812:K1813"/>
    <mergeCell ref="L1812:L1813"/>
    <mergeCell ref="M1812:M1813"/>
    <mergeCell ref="N1812:N1813"/>
    <mergeCell ref="O1812:O1813"/>
    <mergeCell ref="X1812:X1813"/>
    <mergeCell ref="Y1812:Y1813"/>
    <mergeCell ref="Z1812:Z1813"/>
    <mergeCell ref="AA1812:AA1813"/>
    <mergeCell ref="AB1812:AB1813"/>
    <mergeCell ref="A1814:A1815"/>
    <mergeCell ref="E1814:E1815"/>
    <mergeCell ref="H1814:H1815"/>
    <mergeCell ref="I1814:I1815"/>
    <mergeCell ref="J1814:J1815"/>
    <mergeCell ref="K1814:K1815"/>
    <mergeCell ref="L1814:L1815"/>
    <mergeCell ref="M1814:M1815"/>
    <mergeCell ref="N1814:N1815"/>
    <mergeCell ref="O1814:O1815"/>
    <mergeCell ref="X1814:X1815"/>
    <mergeCell ref="Y1814:Y1815"/>
    <mergeCell ref="Z1814:Z1815"/>
    <mergeCell ref="AA1814:AA1815"/>
    <mergeCell ref="AB1814:AB1815"/>
    <mergeCell ref="A1808:A1809"/>
    <mergeCell ref="E1808:E1809"/>
    <mergeCell ref="H1808:H1809"/>
    <mergeCell ref="I1808:I1809"/>
    <mergeCell ref="J1808:J1809"/>
    <mergeCell ref="K1808:K1809"/>
    <mergeCell ref="L1808:L1809"/>
    <mergeCell ref="M1808:M1809"/>
    <mergeCell ref="N1808:N1809"/>
    <mergeCell ref="O1808:O1809"/>
    <mergeCell ref="X1808:X1809"/>
    <mergeCell ref="Y1808:Y1809"/>
    <mergeCell ref="Z1808:Z1809"/>
    <mergeCell ref="AA1808:AA1809"/>
    <mergeCell ref="AB1808:AB1809"/>
    <mergeCell ref="A1810:A1811"/>
    <mergeCell ref="E1810:E1811"/>
    <mergeCell ref="H1810:H1811"/>
    <mergeCell ref="I1810:I1811"/>
    <mergeCell ref="J1810:J1811"/>
    <mergeCell ref="K1810:K1811"/>
    <mergeCell ref="L1810:L1811"/>
    <mergeCell ref="M1810:M1811"/>
    <mergeCell ref="N1810:N1811"/>
    <mergeCell ref="O1810:O1811"/>
    <mergeCell ref="X1810:X1811"/>
    <mergeCell ref="Y1810:Y1811"/>
    <mergeCell ref="Z1810:Z1811"/>
    <mergeCell ref="AA1810:AA1811"/>
    <mergeCell ref="AB1810:AB1811"/>
    <mergeCell ref="A1804:A1805"/>
    <mergeCell ref="E1804:E1805"/>
    <mergeCell ref="H1804:H1805"/>
    <mergeCell ref="I1804:I1805"/>
    <mergeCell ref="J1804:J1805"/>
    <mergeCell ref="K1804:K1805"/>
    <mergeCell ref="L1804:L1805"/>
    <mergeCell ref="M1804:M1805"/>
    <mergeCell ref="N1804:N1805"/>
    <mergeCell ref="O1804:O1805"/>
    <mergeCell ref="X1804:X1805"/>
    <mergeCell ref="Y1804:Y1805"/>
    <mergeCell ref="Z1804:Z1805"/>
    <mergeCell ref="AA1804:AA1805"/>
    <mergeCell ref="AB1804:AB1805"/>
    <mergeCell ref="A1806:A1807"/>
    <mergeCell ref="E1806:E1807"/>
    <mergeCell ref="H1806:H1807"/>
    <mergeCell ref="I1806:I1807"/>
    <mergeCell ref="J1806:J1807"/>
    <mergeCell ref="K1806:K1807"/>
    <mergeCell ref="L1806:L1807"/>
    <mergeCell ref="M1806:M1807"/>
    <mergeCell ref="N1806:N1807"/>
    <mergeCell ref="O1806:O1807"/>
    <mergeCell ref="X1806:X1807"/>
    <mergeCell ref="Y1806:Y1807"/>
    <mergeCell ref="Z1806:Z1807"/>
    <mergeCell ref="AA1806:AA1807"/>
    <mergeCell ref="AB1806:AB1807"/>
    <mergeCell ref="A1800:A1801"/>
    <mergeCell ref="E1800:E1801"/>
    <mergeCell ref="H1800:H1801"/>
    <mergeCell ref="I1800:I1801"/>
    <mergeCell ref="J1800:J1801"/>
    <mergeCell ref="K1800:K1801"/>
    <mergeCell ref="L1800:L1801"/>
    <mergeCell ref="M1800:M1801"/>
    <mergeCell ref="N1800:N1801"/>
    <mergeCell ref="O1800:O1801"/>
    <mergeCell ref="X1800:X1801"/>
    <mergeCell ref="Y1800:Y1801"/>
    <mergeCell ref="Z1800:Z1801"/>
    <mergeCell ref="AA1800:AA1801"/>
    <mergeCell ref="AB1800:AB1801"/>
    <mergeCell ref="A1802:A1803"/>
    <mergeCell ref="E1802:E1803"/>
    <mergeCell ref="H1802:H1803"/>
    <mergeCell ref="I1802:I1803"/>
    <mergeCell ref="J1802:J1803"/>
    <mergeCell ref="K1802:K1803"/>
    <mergeCell ref="L1802:L1803"/>
    <mergeCell ref="M1802:M1803"/>
    <mergeCell ref="N1802:N1803"/>
    <mergeCell ref="O1802:O1803"/>
    <mergeCell ref="X1802:X1803"/>
    <mergeCell ref="Y1802:Y1803"/>
    <mergeCell ref="Z1802:Z1803"/>
    <mergeCell ref="AA1802:AA1803"/>
    <mergeCell ref="AB1802:AB1803"/>
    <mergeCell ref="A1796:A1797"/>
    <mergeCell ref="E1796:E1797"/>
    <mergeCell ref="H1796:H1797"/>
    <mergeCell ref="I1796:I1797"/>
    <mergeCell ref="J1796:J1797"/>
    <mergeCell ref="K1796:K1797"/>
    <mergeCell ref="L1796:L1797"/>
    <mergeCell ref="M1796:M1797"/>
    <mergeCell ref="N1796:N1797"/>
    <mergeCell ref="O1796:O1797"/>
    <mergeCell ref="X1796:X1797"/>
    <mergeCell ref="Y1796:Y1797"/>
    <mergeCell ref="Z1796:Z1797"/>
    <mergeCell ref="AA1796:AA1797"/>
    <mergeCell ref="AB1796:AB1797"/>
    <mergeCell ref="A1798:A1799"/>
    <mergeCell ref="E1798:E1799"/>
    <mergeCell ref="H1798:H1799"/>
    <mergeCell ref="I1798:I1799"/>
    <mergeCell ref="J1798:J1799"/>
    <mergeCell ref="K1798:K1799"/>
    <mergeCell ref="L1798:L1799"/>
    <mergeCell ref="M1798:M1799"/>
    <mergeCell ref="N1798:N1799"/>
    <mergeCell ref="O1798:O1799"/>
    <mergeCell ref="X1798:X1799"/>
    <mergeCell ref="Y1798:Y1799"/>
    <mergeCell ref="Z1798:Z1799"/>
    <mergeCell ref="AA1798:AA1799"/>
    <mergeCell ref="AB1798:AB1799"/>
    <mergeCell ref="A1792:A1793"/>
    <mergeCell ref="E1792:E1793"/>
    <mergeCell ref="H1792:H1793"/>
    <mergeCell ref="I1792:I1793"/>
    <mergeCell ref="J1792:J1793"/>
    <mergeCell ref="K1792:K1793"/>
    <mergeCell ref="L1792:L1793"/>
    <mergeCell ref="M1792:M1793"/>
    <mergeCell ref="N1792:N1793"/>
    <mergeCell ref="O1792:O1793"/>
    <mergeCell ref="X1792:X1793"/>
    <mergeCell ref="Y1792:Y1793"/>
    <mergeCell ref="Z1792:Z1793"/>
    <mergeCell ref="AA1792:AA1793"/>
    <mergeCell ref="AB1792:AB1793"/>
    <mergeCell ref="A1794:A1795"/>
    <mergeCell ref="E1794:E1795"/>
    <mergeCell ref="H1794:H1795"/>
    <mergeCell ref="I1794:I1795"/>
    <mergeCell ref="J1794:J1795"/>
    <mergeCell ref="K1794:K1795"/>
    <mergeCell ref="L1794:L1795"/>
    <mergeCell ref="M1794:M1795"/>
    <mergeCell ref="N1794:N1795"/>
    <mergeCell ref="O1794:O1795"/>
    <mergeCell ref="X1794:X1795"/>
    <mergeCell ref="Y1794:Y1795"/>
    <mergeCell ref="Z1794:Z1795"/>
    <mergeCell ref="AA1794:AA1795"/>
    <mergeCell ref="AB1794:AB1795"/>
    <mergeCell ref="A1788:A1789"/>
    <mergeCell ref="E1788:E1789"/>
    <mergeCell ref="H1788:H1789"/>
    <mergeCell ref="I1788:I1789"/>
    <mergeCell ref="J1788:J1789"/>
    <mergeCell ref="K1788:K1789"/>
    <mergeCell ref="L1788:L1789"/>
    <mergeCell ref="M1788:M1789"/>
    <mergeCell ref="N1788:N1789"/>
    <mergeCell ref="O1788:O1789"/>
    <mergeCell ref="X1788:X1789"/>
    <mergeCell ref="Y1788:Y1789"/>
    <mergeCell ref="Z1788:Z1789"/>
    <mergeCell ref="AA1788:AA1789"/>
    <mergeCell ref="AB1788:AB1789"/>
    <mergeCell ref="A1790:A1791"/>
    <mergeCell ref="E1790:E1791"/>
    <mergeCell ref="H1790:H1791"/>
    <mergeCell ref="I1790:I1791"/>
    <mergeCell ref="J1790:J1791"/>
    <mergeCell ref="K1790:K1791"/>
    <mergeCell ref="L1790:L1791"/>
    <mergeCell ref="M1790:M1791"/>
    <mergeCell ref="N1790:N1791"/>
    <mergeCell ref="O1790:O1791"/>
    <mergeCell ref="X1790:X1791"/>
    <mergeCell ref="Y1790:Y1791"/>
    <mergeCell ref="Z1790:Z1791"/>
    <mergeCell ref="AA1790:AA1791"/>
    <mergeCell ref="AB1790:AB1791"/>
    <mergeCell ref="A1784:A1785"/>
    <mergeCell ref="E1784:E1785"/>
    <mergeCell ref="H1784:H1785"/>
    <mergeCell ref="I1784:I1785"/>
    <mergeCell ref="J1784:J1785"/>
    <mergeCell ref="K1784:K1785"/>
    <mergeCell ref="L1784:L1785"/>
    <mergeCell ref="M1784:M1785"/>
    <mergeCell ref="N1784:N1785"/>
    <mergeCell ref="O1784:O1785"/>
    <mergeCell ref="X1784:X1785"/>
    <mergeCell ref="Y1784:Y1785"/>
    <mergeCell ref="Z1784:Z1785"/>
    <mergeCell ref="AA1784:AA1785"/>
    <mergeCell ref="AB1784:AB1785"/>
    <mergeCell ref="A1786:A1787"/>
    <mergeCell ref="E1786:E1787"/>
    <mergeCell ref="H1786:H1787"/>
    <mergeCell ref="I1786:I1787"/>
    <mergeCell ref="J1786:J1787"/>
    <mergeCell ref="K1786:K1787"/>
    <mergeCell ref="L1786:L1787"/>
    <mergeCell ref="M1786:M1787"/>
    <mergeCell ref="N1786:N1787"/>
    <mergeCell ref="O1786:O1787"/>
    <mergeCell ref="X1786:X1787"/>
    <mergeCell ref="Y1786:Y1787"/>
    <mergeCell ref="Z1786:Z1787"/>
    <mergeCell ref="AA1786:AA1787"/>
    <mergeCell ref="AB1786:AB1787"/>
    <mergeCell ref="A1780:A1781"/>
    <mergeCell ref="E1780:E1781"/>
    <mergeCell ref="H1780:H1781"/>
    <mergeCell ref="I1780:I1781"/>
    <mergeCell ref="J1780:J1781"/>
    <mergeCell ref="K1780:K1781"/>
    <mergeCell ref="L1780:L1781"/>
    <mergeCell ref="M1780:M1781"/>
    <mergeCell ref="N1780:N1781"/>
    <mergeCell ref="O1780:O1781"/>
    <mergeCell ref="X1780:X1781"/>
    <mergeCell ref="Y1780:Y1781"/>
    <mergeCell ref="Z1780:Z1781"/>
    <mergeCell ref="AA1780:AA1781"/>
    <mergeCell ref="AB1780:AB1781"/>
    <mergeCell ref="A1782:A1783"/>
    <mergeCell ref="E1782:E1783"/>
    <mergeCell ref="H1782:H1783"/>
    <mergeCell ref="I1782:I1783"/>
    <mergeCell ref="J1782:J1783"/>
    <mergeCell ref="K1782:K1783"/>
    <mergeCell ref="L1782:L1783"/>
    <mergeCell ref="M1782:M1783"/>
    <mergeCell ref="N1782:N1783"/>
    <mergeCell ref="O1782:O1783"/>
    <mergeCell ref="X1782:X1783"/>
    <mergeCell ref="Y1782:Y1783"/>
    <mergeCell ref="Z1782:Z1783"/>
    <mergeCell ref="AA1782:AA1783"/>
    <mergeCell ref="AB1782:AB1783"/>
    <mergeCell ref="A1776:A1777"/>
    <mergeCell ref="E1776:E1777"/>
    <mergeCell ref="H1776:H1777"/>
    <mergeCell ref="I1776:I1777"/>
    <mergeCell ref="J1776:J1777"/>
    <mergeCell ref="K1776:K1777"/>
    <mergeCell ref="L1776:L1777"/>
    <mergeCell ref="M1776:M1777"/>
    <mergeCell ref="N1776:N1777"/>
    <mergeCell ref="O1776:O1777"/>
    <mergeCell ref="X1776:X1777"/>
    <mergeCell ref="Y1776:Y1777"/>
    <mergeCell ref="Z1776:Z1777"/>
    <mergeCell ref="AA1776:AA1777"/>
    <mergeCell ref="AB1776:AB1777"/>
    <mergeCell ref="A1778:A1779"/>
    <mergeCell ref="E1778:E1779"/>
    <mergeCell ref="H1778:H1779"/>
    <mergeCell ref="I1778:I1779"/>
    <mergeCell ref="J1778:J1779"/>
    <mergeCell ref="K1778:K1779"/>
    <mergeCell ref="L1778:L1779"/>
    <mergeCell ref="M1778:M1779"/>
    <mergeCell ref="N1778:N1779"/>
    <mergeCell ref="O1778:O1779"/>
    <mergeCell ref="X1778:X1779"/>
    <mergeCell ref="Y1778:Y1779"/>
    <mergeCell ref="Z1778:Z1779"/>
    <mergeCell ref="AA1778:AA1779"/>
    <mergeCell ref="AB1778:AB1779"/>
    <mergeCell ref="A1772:A1773"/>
    <mergeCell ref="E1772:E1773"/>
    <mergeCell ref="H1772:H1773"/>
    <mergeCell ref="I1772:I1773"/>
    <mergeCell ref="J1772:J1773"/>
    <mergeCell ref="K1772:K1773"/>
    <mergeCell ref="L1772:L1773"/>
    <mergeCell ref="M1772:M1773"/>
    <mergeCell ref="N1772:N1773"/>
    <mergeCell ref="O1772:O1773"/>
    <mergeCell ref="X1772:X1773"/>
    <mergeCell ref="Y1772:Y1773"/>
    <mergeCell ref="Z1772:Z1773"/>
    <mergeCell ref="AA1772:AA1773"/>
    <mergeCell ref="AB1772:AB1773"/>
    <mergeCell ref="A1774:A1775"/>
    <mergeCell ref="E1774:E1775"/>
    <mergeCell ref="H1774:H1775"/>
    <mergeCell ref="I1774:I1775"/>
    <mergeCell ref="J1774:J1775"/>
    <mergeCell ref="K1774:K1775"/>
    <mergeCell ref="L1774:L1775"/>
    <mergeCell ref="M1774:M1775"/>
    <mergeCell ref="N1774:N1775"/>
    <mergeCell ref="O1774:O1775"/>
    <mergeCell ref="X1774:X1775"/>
    <mergeCell ref="Y1774:Y1775"/>
    <mergeCell ref="Z1774:Z1775"/>
    <mergeCell ref="AA1774:AA1775"/>
    <mergeCell ref="AB1774:AB1775"/>
    <mergeCell ref="A1768:A1769"/>
    <mergeCell ref="E1768:E1769"/>
    <mergeCell ref="H1768:H1769"/>
    <mergeCell ref="I1768:I1769"/>
    <mergeCell ref="J1768:J1769"/>
    <mergeCell ref="K1768:K1769"/>
    <mergeCell ref="L1768:L1769"/>
    <mergeCell ref="M1768:M1769"/>
    <mergeCell ref="N1768:N1769"/>
    <mergeCell ref="O1768:O1769"/>
    <mergeCell ref="X1768:X1769"/>
    <mergeCell ref="Y1768:Y1769"/>
    <mergeCell ref="Z1768:Z1769"/>
    <mergeCell ref="AA1768:AA1769"/>
    <mergeCell ref="AB1768:AB1769"/>
    <mergeCell ref="A1770:A1771"/>
    <mergeCell ref="E1770:E1771"/>
    <mergeCell ref="H1770:H1771"/>
    <mergeCell ref="I1770:I1771"/>
    <mergeCell ref="J1770:J1771"/>
    <mergeCell ref="K1770:K1771"/>
    <mergeCell ref="L1770:L1771"/>
    <mergeCell ref="M1770:M1771"/>
    <mergeCell ref="N1770:N1771"/>
    <mergeCell ref="O1770:O1771"/>
    <mergeCell ref="X1770:X1771"/>
    <mergeCell ref="Y1770:Y1771"/>
    <mergeCell ref="Z1770:Z1771"/>
    <mergeCell ref="AA1770:AA1771"/>
    <mergeCell ref="AB1770:AB1771"/>
    <mergeCell ref="A1764:A1765"/>
    <mergeCell ref="E1764:E1765"/>
    <mergeCell ref="H1764:H1765"/>
    <mergeCell ref="I1764:I1765"/>
    <mergeCell ref="J1764:J1765"/>
    <mergeCell ref="K1764:K1765"/>
    <mergeCell ref="L1764:L1765"/>
    <mergeCell ref="M1764:M1765"/>
    <mergeCell ref="N1764:N1765"/>
    <mergeCell ref="O1764:O1765"/>
    <mergeCell ref="X1764:X1765"/>
    <mergeCell ref="Y1764:Y1765"/>
    <mergeCell ref="Z1764:Z1765"/>
    <mergeCell ref="AA1764:AA1765"/>
    <mergeCell ref="AB1764:AB1765"/>
    <mergeCell ref="A1766:A1767"/>
    <mergeCell ref="E1766:E1767"/>
    <mergeCell ref="H1766:H1767"/>
    <mergeCell ref="I1766:I1767"/>
    <mergeCell ref="J1766:J1767"/>
    <mergeCell ref="K1766:K1767"/>
    <mergeCell ref="L1766:L1767"/>
    <mergeCell ref="M1766:M1767"/>
    <mergeCell ref="N1766:N1767"/>
    <mergeCell ref="O1766:O1767"/>
    <mergeCell ref="X1766:X1767"/>
    <mergeCell ref="Y1766:Y1767"/>
    <mergeCell ref="Z1766:Z1767"/>
    <mergeCell ref="AA1766:AA1767"/>
    <mergeCell ref="AB1766:AB1767"/>
    <mergeCell ref="A1760:A1761"/>
    <mergeCell ref="E1760:E1761"/>
    <mergeCell ref="H1760:H1761"/>
    <mergeCell ref="I1760:I1761"/>
    <mergeCell ref="J1760:J1761"/>
    <mergeCell ref="K1760:K1761"/>
    <mergeCell ref="L1760:L1761"/>
    <mergeCell ref="M1760:M1761"/>
    <mergeCell ref="N1760:N1761"/>
    <mergeCell ref="O1760:O1761"/>
    <mergeCell ref="X1760:X1761"/>
    <mergeCell ref="Y1760:Y1761"/>
    <mergeCell ref="Z1760:Z1761"/>
    <mergeCell ref="AA1760:AA1761"/>
    <mergeCell ref="AB1760:AB1761"/>
    <mergeCell ref="A1762:A1763"/>
    <mergeCell ref="E1762:E1763"/>
    <mergeCell ref="H1762:H1763"/>
    <mergeCell ref="I1762:I1763"/>
    <mergeCell ref="J1762:J1763"/>
    <mergeCell ref="K1762:K1763"/>
    <mergeCell ref="L1762:L1763"/>
    <mergeCell ref="M1762:M1763"/>
    <mergeCell ref="N1762:N1763"/>
    <mergeCell ref="O1762:O1763"/>
    <mergeCell ref="X1762:X1763"/>
    <mergeCell ref="Y1762:Y1763"/>
    <mergeCell ref="Z1762:Z1763"/>
    <mergeCell ref="AA1762:AA1763"/>
    <mergeCell ref="AB1762:AB1763"/>
    <mergeCell ref="A1756:A1757"/>
    <mergeCell ref="E1756:E1757"/>
    <mergeCell ref="H1756:H1757"/>
    <mergeCell ref="I1756:I1757"/>
    <mergeCell ref="J1756:J1757"/>
    <mergeCell ref="K1756:K1757"/>
    <mergeCell ref="L1756:L1757"/>
    <mergeCell ref="M1756:M1757"/>
    <mergeCell ref="N1756:N1757"/>
    <mergeCell ref="O1756:O1757"/>
    <mergeCell ref="X1756:X1757"/>
    <mergeCell ref="Y1756:Y1757"/>
    <mergeCell ref="Z1756:Z1757"/>
    <mergeCell ref="AA1756:AA1757"/>
    <mergeCell ref="AB1756:AB1757"/>
    <mergeCell ref="A1758:A1759"/>
    <mergeCell ref="E1758:E1759"/>
    <mergeCell ref="H1758:H1759"/>
    <mergeCell ref="I1758:I1759"/>
    <mergeCell ref="J1758:J1759"/>
    <mergeCell ref="K1758:K1759"/>
    <mergeCell ref="L1758:L1759"/>
    <mergeCell ref="M1758:M1759"/>
    <mergeCell ref="N1758:N1759"/>
    <mergeCell ref="O1758:O1759"/>
    <mergeCell ref="X1758:X1759"/>
    <mergeCell ref="Y1758:Y1759"/>
    <mergeCell ref="Z1758:Z1759"/>
    <mergeCell ref="AA1758:AA1759"/>
    <mergeCell ref="AB1758:AB1759"/>
    <mergeCell ref="A1752:A1753"/>
    <mergeCell ref="E1752:E1753"/>
    <mergeCell ref="H1752:H1753"/>
    <mergeCell ref="I1752:I1753"/>
    <mergeCell ref="J1752:J1753"/>
    <mergeCell ref="K1752:K1753"/>
    <mergeCell ref="L1752:L1753"/>
    <mergeCell ref="M1752:M1753"/>
    <mergeCell ref="N1752:N1753"/>
    <mergeCell ref="O1752:O1753"/>
    <mergeCell ref="X1752:X1753"/>
    <mergeCell ref="Y1752:Y1753"/>
    <mergeCell ref="Z1752:Z1753"/>
    <mergeCell ref="AA1752:AA1753"/>
    <mergeCell ref="AB1752:AB1753"/>
    <mergeCell ref="A1754:A1755"/>
    <mergeCell ref="E1754:E1755"/>
    <mergeCell ref="H1754:H1755"/>
    <mergeCell ref="I1754:I1755"/>
    <mergeCell ref="J1754:J1755"/>
    <mergeCell ref="K1754:K1755"/>
    <mergeCell ref="L1754:L1755"/>
    <mergeCell ref="M1754:M1755"/>
    <mergeCell ref="N1754:N1755"/>
    <mergeCell ref="O1754:O1755"/>
    <mergeCell ref="X1754:X1755"/>
    <mergeCell ref="Y1754:Y1755"/>
    <mergeCell ref="Z1754:Z1755"/>
    <mergeCell ref="AA1754:AA1755"/>
    <mergeCell ref="AB1754:AB1755"/>
    <mergeCell ref="A1748:A1749"/>
    <mergeCell ref="E1748:E1749"/>
    <mergeCell ref="H1748:H1749"/>
    <mergeCell ref="I1748:I1749"/>
    <mergeCell ref="J1748:J1749"/>
    <mergeCell ref="K1748:K1749"/>
    <mergeCell ref="L1748:L1749"/>
    <mergeCell ref="M1748:M1749"/>
    <mergeCell ref="N1748:N1749"/>
    <mergeCell ref="O1748:O1749"/>
    <mergeCell ref="X1748:X1749"/>
    <mergeCell ref="Y1748:Y1749"/>
    <mergeCell ref="Z1748:Z1749"/>
    <mergeCell ref="AA1748:AA1749"/>
    <mergeCell ref="AB1748:AB1749"/>
    <mergeCell ref="A1750:A1751"/>
    <mergeCell ref="E1750:E1751"/>
    <mergeCell ref="H1750:H1751"/>
    <mergeCell ref="I1750:I1751"/>
    <mergeCell ref="J1750:J1751"/>
    <mergeCell ref="K1750:K1751"/>
    <mergeCell ref="L1750:L1751"/>
    <mergeCell ref="M1750:M1751"/>
    <mergeCell ref="N1750:N1751"/>
    <mergeCell ref="O1750:O1751"/>
    <mergeCell ref="X1750:X1751"/>
    <mergeCell ref="Y1750:Y1751"/>
    <mergeCell ref="Z1750:Z1751"/>
    <mergeCell ref="AA1750:AA1751"/>
    <mergeCell ref="AB1750:AB1751"/>
    <mergeCell ref="A1744:A1745"/>
    <mergeCell ref="E1744:E1745"/>
    <mergeCell ref="H1744:H1745"/>
    <mergeCell ref="I1744:I1745"/>
    <mergeCell ref="J1744:J1745"/>
    <mergeCell ref="K1744:K1745"/>
    <mergeCell ref="L1744:L1745"/>
    <mergeCell ref="M1744:M1745"/>
    <mergeCell ref="N1744:N1745"/>
    <mergeCell ref="O1744:O1745"/>
    <mergeCell ref="X1744:X1745"/>
    <mergeCell ref="Y1744:Y1745"/>
    <mergeCell ref="Z1744:Z1745"/>
    <mergeCell ref="AA1744:AA1745"/>
    <mergeCell ref="AB1744:AB1745"/>
    <mergeCell ref="A1746:A1747"/>
    <mergeCell ref="E1746:E1747"/>
    <mergeCell ref="H1746:H1747"/>
    <mergeCell ref="I1746:I1747"/>
    <mergeCell ref="J1746:J1747"/>
    <mergeCell ref="K1746:K1747"/>
    <mergeCell ref="L1746:L1747"/>
    <mergeCell ref="M1746:M1747"/>
    <mergeCell ref="N1746:N1747"/>
    <mergeCell ref="O1746:O1747"/>
    <mergeCell ref="X1746:X1747"/>
    <mergeCell ref="Y1746:Y1747"/>
    <mergeCell ref="Z1746:Z1747"/>
    <mergeCell ref="AA1746:AA1747"/>
    <mergeCell ref="AB1746:AB1747"/>
    <mergeCell ref="A1740:A1741"/>
    <mergeCell ref="E1740:E1741"/>
    <mergeCell ref="H1740:H1741"/>
    <mergeCell ref="I1740:I1741"/>
    <mergeCell ref="J1740:J1741"/>
    <mergeCell ref="K1740:K1741"/>
    <mergeCell ref="L1740:L1741"/>
    <mergeCell ref="M1740:M1741"/>
    <mergeCell ref="N1740:N1741"/>
    <mergeCell ref="O1740:O1741"/>
    <mergeCell ref="X1740:X1741"/>
    <mergeCell ref="Y1740:Y1741"/>
    <mergeCell ref="Z1740:Z1741"/>
    <mergeCell ref="AA1740:AA1741"/>
    <mergeCell ref="AB1740:AB1741"/>
    <mergeCell ref="A1742:A1743"/>
    <mergeCell ref="E1742:E1743"/>
    <mergeCell ref="H1742:H1743"/>
    <mergeCell ref="I1742:I1743"/>
    <mergeCell ref="J1742:J1743"/>
    <mergeCell ref="K1742:K1743"/>
    <mergeCell ref="L1742:L1743"/>
    <mergeCell ref="M1742:M1743"/>
    <mergeCell ref="N1742:N1743"/>
    <mergeCell ref="O1742:O1743"/>
    <mergeCell ref="X1742:X1743"/>
    <mergeCell ref="Y1742:Y1743"/>
    <mergeCell ref="Z1742:Z1743"/>
    <mergeCell ref="AA1742:AA1743"/>
    <mergeCell ref="AB1742:AB1743"/>
    <mergeCell ref="A1736:A1737"/>
    <mergeCell ref="E1736:E1737"/>
    <mergeCell ref="H1736:H1737"/>
    <mergeCell ref="I1736:I1737"/>
    <mergeCell ref="J1736:J1737"/>
    <mergeCell ref="K1736:K1737"/>
    <mergeCell ref="L1736:L1737"/>
    <mergeCell ref="M1736:M1737"/>
    <mergeCell ref="N1736:N1737"/>
    <mergeCell ref="O1736:O1737"/>
    <mergeCell ref="X1736:X1737"/>
    <mergeCell ref="Y1736:Y1737"/>
    <mergeCell ref="Z1736:Z1737"/>
    <mergeCell ref="AA1736:AA1737"/>
    <mergeCell ref="AB1736:AB1737"/>
    <mergeCell ref="A1738:A1739"/>
    <mergeCell ref="E1738:E1739"/>
    <mergeCell ref="H1738:H1739"/>
    <mergeCell ref="I1738:I1739"/>
    <mergeCell ref="J1738:J1739"/>
    <mergeCell ref="K1738:K1739"/>
    <mergeCell ref="L1738:L1739"/>
    <mergeCell ref="M1738:M1739"/>
    <mergeCell ref="N1738:N1739"/>
    <mergeCell ref="O1738:O1739"/>
    <mergeCell ref="X1738:X1739"/>
    <mergeCell ref="Y1738:Y1739"/>
    <mergeCell ref="Z1738:Z1739"/>
    <mergeCell ref="AA1738:AA1739"/>
    <mergeCell ref="AB1738:AB1739"/>
    <mergeCell ref="A1732:A1733"/>
    <mergeCell ref="E1732:E1733"/>
    <mergeCell ref="H1732:H1733"/>
    <mergeCell ref="I1732:I1733"/>
    <mergeCell ref="J1732:J1733"/>
    <mergeCell ref="K1732:K1733"/>
    <mergeCell ref="L1732:L1733"/>
    <mergeCell ref="M1732:M1733"/>
    <mergeCell ref="N1732:N1733"/>
    <mergeCell ref="O1732:O1733"/>
    <mergeCell ref="X1732:X1733"/>
    <mergeCell ref="Y1732:Y1733"/>
    <mergeCell ref="Z1732:Z1733"/>
    <mergeCell ref="AA1732:AA1733"/>
    <mergeCell ref="AB1732:AB1733"/>
    <mergeCell ref="A1734:A1735"/>
    <mergeCell ref="E1734:E1735"/>
    <mergeCell ref="H1734:H1735"/>
    <mergeCell ref="I1734:I1735"/>
    <mergeCell ref="J1734:J1735"/>
    <mergeCell ref="K1734:K1735"/>
    <mergeCell ref="L1734:L1735"/>
    <mergeCell ref="M1734:M1735"/>
    <mergeCell ref="N1734:N1735"/>
    <mergeCell ref="O1734:O1735"/>
    <mergeCell ref="X1734:X1735"/>
    <mergeCell ref="Y1734:Y1735"/>
    <mergeCell ref="Z1734:Z1735"/>
    <mergeCell ref="AA1734:AA1735"/>
    <mergeCell ref="AB1734:AB1735"/>
    <mergeCell ref="A1728:A1729"/>
    <mergeCell ref="E1728:E1729"/>
    <mergeCell ref="H1728:H1729"/>
    <mergeCell ref="I1728:I1729"/>
    <mergeCell ref="J1728:J1729"/>
    <mergeCell ref="K1728:K1729"/>
    <mergeCell ref="L1728:L1729"/>
    <mergeCell ref="M1728:M1729"/>
    <mergeCell ref="N1728:N1729"/>
    <mergeCell ref="O1728:O1729"/>
    <mergeCell ref="X1728:X1729"/>
    <mergeCell ref="Y1728:Y1729"/>
    <mergeCell ref="Z1728:Z1729"/>
    <mergeCell ref="AA1728:AA1729"/>
    <mergeCell ref="AB1728:AB1729"/>
    <mergeCell ref="A1730:A1731"/>
    <mergeCell ref="E1730:E1731"/>
    <mergeCell ref="H1730:H1731"/>
    <mergeCell ref="I1730:I1731"/>
    <mergeCell ref="J1730:J1731"/>
    <mergeCell ref="K1730:K1731"/>
    <mergeCell ref="L1730:L1731"/>
    <mergeCell ref="M1730:M1731"/>
    <mergeCell ref="N1730:N1731"/>
    <mergeCell ref="O1730:O1731"/>
    <mergeCell ref="X1730:X1731"/>
    <mergeCell ref="Y1730:Y1731"/>
    <mergeCell ref="Z1730:Z1731"/>
    <mergeCell ref="AA1730:AA1731"/>
    <mergeCell ref="AB1730:AB1731"/>
    <mergeCell ref="A1724:A1725"/>
    <mergeCell ref="E1724:E1725"/>
    <mergeCell ref="H1724:H1725"/>
    <mergeCell ref="I1724:I1725"/>
    <mergeCell ref="J1724:J1725"/>
    <mergeCell ref="K1724:K1725"/>
    <mergeCell ref="L1724:L1725"/>
    <mergeCell ref="M1724:M1725"/>
    <mergeCell ref="N1724:N1725"/>
    <mergeCell ref="O1724:O1725"/>
    <mergeCell ref="X1724:X1725"/>
    <mergeCell ref="Y1724:Y1725"/>
    <mergeCell ref="Z1724:Z1725"/>
    <mergeCell ref="AA1724:AA1725"/>
    <mergeCell ref="AB1724:AB1725"/>
    <mergeCell ref="A1726:A1727"/>
    <mergeCell ref="E1726:E1727"/>
    <mergeCell ref="H1726:H1727"/>
    <mergeCell ref="I1726:I1727"/>
    <mergeCell ref="J1726:J1727"/>
    <mergeCell ref="K1726:K1727"/>
    <mergeCell ref="L1726:L1727"/>
    <mergeCell ref="M1726:M1727"/>
    <mergeCell ref="N1726:N1727"/>
    <mergeCell ref="O1726:O1727"/>
    <mergeCell ref="X1726:X1727"/>
    <mergeCell ref="Y1726:Y1727"/>
    <mergeCell ref="Z1726:Z1727"/>
    <mergeCell ref="AA1726:AA1727"/>
    <mergeCell ref="AB1726:AB1727"/>
    <mergeCell ref="A1720:A1721"/>
    <mergeCell ref="E1720:E1721"/>
    <mergeCell ref="H1720:H1721"/>
    <mergeCell ref="I1720:I1721"/>
    <mergeCell ref="J1720:J1721"/>
    <mergeCell ref="K1720:K1721"/>
    <mergeCell ref="L1720:L1721"/>
    <mergeCell ref="M1720:M1721"/>
    <mergeCell ref="N1720:N1721"/>
    <mergeCell ref="O1720:O1721"/>
    <mergeCell ref="X1720:X1721"/>
    <mergeCell ref="Y1720:Y1721"/>
    <mergeCell ref="Z1720:Z1721"/>
    <mergeCell ref="AA1720:AA1721"/>
    <mergeCell ref="AB1720:AB1721"/>
    <mergeCell ref="A1722:A1723"/>
    <mergeCell ref="E1722:E1723"/>
    <mergeCell ref="H1722:H1723"/>
    <mergeCell ref="I1722:I1723"/>
    <mergeCell ref="J1722:J1723"/>
    <mergeCell ref="K1722:K1723"/>
    <mergeCell ref="L1722:L1723"/>
    <mergeCell ref="M1722:M1723"/>
    <mergeCell ref="N1722:N1723"/>
    <mergeCell ref="O1722:O1723"/>
    <mergeCell ref="X1722:X1723"/>
    <mergeCell ref="Y1722:Y1723"/>
    <mergeCell ref="Z1722:Z1723"/>
    <mergeCell ref="AA1722:AA1723"/>
    <mergeCell ref="AB1722:AB1723"/>
    <mergeCell ref="A1716:A1717"/>
    <mergeCell ref="E1716:E1717"/>
    <mergeCell ref="H1716:H1717"/>
    <mergeCell ref="I1716:I1717"/>
    <mergeCell ref="J1716:J1717"/>
    <mergeCell ref="K1716:K1717"/>
    <mergeCell ref="L1716:L1717"/>
    <mergeCell ref="M1716:M1717"/>
    <mergeCell ref="N1716:N1717"/>
    <mergeCell ref="O1716:O1717"/>
    <mergeCell ref="X1716:X1717"/>
    <mergeCell ref="Y1716:Y1717"/>
    <mergeCell ref="Z1716:Z1717"/>
    <mergeCell ref="AA1716:AA1717"/>
    <mergeCell ref="AB1716:AB1717"/>
    <mergeCell ref="A1718:A1719"/>
    <mergeCell ref="E1718:E1719"/>
    <mergeCell ref="H1718:H1719"/>
    <mergeCell ref="I1718:I1719"/>
    <mergeCell ref="J1718:J1719"/>
    <mergeCell ref="K1718:K1719"/>
    <mergeCell ref="L1718:L1719"/>
    <mergeCell ref="M1718:M1719"/>
    <mergeCell ref="N1718:N1719"/>
    <mergeCell ref="O1718:O1719"/>
    <mergeCell ref="X1718:X1719"/>
    <mergeCell ref="Y1718:Y1719"/>
    <mergeCell ref="Z1718:Z1719"/>
    <mergeCell ref="AA1718:AA1719"/>
    <mergeCell ref="AB1718:AB1719"/>
    <mergeCell ref="A1712:A1713"/>
    <mergeCell ref="E1712:E1713"/>
    <mergeCell ref="H1712:H1713"/>
    <mergeCell ref="I1712:I1713"/>
    <mergeCell ref="J1712:J1713"/>
    <mergeCell ref="K1712:K1713"/>
    <mergeCell ref="L1712:L1713"/>
    <mergeCell ref="M1712:M1713"/>
    <mergeCell ref="N1712:N1713"/>
    <mergeCell ref="O1712:O1713"/>
    <mergeCell ref="X1712:X1713"/>
    <mergeCell ref="Y1712:Y1713"/>
    <mergeCell ref="Z1712:Z1713"/>
    <mergeCell ref="AA1712:AA1713"/>
    <mergeCell ref="AB1712:AB1713"/>
    <mergeCell ref="A1714:A1715"/>
    <mergeCell ref="E1714:E1715"/>
    <mergeCell ref="H1714:H1715"/>
    <mergeCell ref="I1714:I1715"/>
    <mergeCell ref="J1714:J1715"/>
    <mergeCell ref="K1714:K1715"/>
    <mergeCell ref="L1714:L1715"/>
    <mergeCell ref="M1714:M1715"/>
    <mergeCell ref="N1714:N1715"/>
    <mergeCell ref="O1714:O1715"/>
    <mergeCell ref="X1714:X1715"/>
    <mergeCell ref="Y1714:Y1715"/>
    <mergeCell ref="Z1714:Z1715"/>
    <mergeCell ref="AA1714:AA1715"/>
    <mergeCell ref="AB1714:AB1715"/>
    <mergeCell ref="A1708:A1709"/>
    <mergeCell ref="E1708:E1709"/>
    <mergeCell ref="H1708:H1709"/>
    <mergeCell ref="I1708:I1709"/>
    <mergeCell ref="J1708:J1709"/>
    <mergeCell ref="K1708:K1709"/>
    <mergeCell ref="L1708:L1709"/>
    <mergeCell ref="M1708:M1709"/>
    <mergeCell ref="N1708:N1709"/>
    <mergeCell ref="O1708:O1709"/>
    <mergeCell ref="X1708:X1709"/>
    <mergeCell ref="Y1708:Y1709"/>
    <mergeCell ref="Z1708:Z1709"/>
    <mergeCell ref="AA1708:AA1709"/>
    <mergeCell ref="AB1708:AB1709"/>
    <mergeCell ref="A1710:A1711"/>
    <mergeCell ref="E1710:E1711"/>
    <mergeCell ref="H1710:H1711"/>
    <mergeCell ref="I1710:I1711"/>
    <mergeCell ref="J1710:J1711"/>
    <mergeCell ref="K1710:K1711"/>
    <mergeCell ref="L1710:L1711"/>
    <mergeCell ref="M1710:M1711"/>
    <mergeCell ref="N1710:N1711"/>
    <mergeCell ref="O1710:O1711"/>
    <mergeCell ref="X1710:X1711"/>
    <mergeCell ref="Y1710:Y1711"/>
    <mergeCell ref="Z1710:Z1711"/>
    <mergeCell ref="AA1710:AA1711"/>
    <mergeCell ref="AB1710:AB1711"/>
    <mergeCell ref="A1704:A1705"/>
    <mergeCell ref="E1704:E1705"/>
    <mergeCell ref="H1704:H1705"/>
    <mergeCell ref="I1704:I1705"/>
    <mergeCell ref="J1704:J1705"/>
    <mergeCell ref="K1704:K1705"/>
    <mergeCell ref="L1704:L1705"/>
    <mergeCell ref="M1704:M1705"/>
    <mergeCell ref="N1704:N1705"/>
    <mergeCell ref="O1704:O1705"/>
    <mergeCell ref="X1704:X1705"/>
    <mergeCell ref="Y1704:Y1705"/>
    <mergeCell ref="Z1704:Z1705"/>
    <mergeCell ref="AA1704:AA1705"/>
    <mergeCell ref="AB1704:AB1705"/>
    <mergeCell ref="A1706:A1707"/>
    <mergeCell ref="E1706:E1707"/>
    <mergeCell ref="H1706:H1707"/>
    <mergeCell ref="I1706:I1707"/>
    <mergeCell ref="J1706:J1707"/>
    <mergeCell ref="K1706:K1707"/>
    <mergeCell ref="L1706:L1707"/>
    <mergeCell ref="M1706:M1707"/>
    <mergeCell ref="N1706:N1707"/>
    <mergeCell ref="O1706:O1707"/>
    <mergeCell ref="X1706:X1707"/>
    <mergeCell ref="Y1706:Y1707"/>
    <mergeCell ref="Z1706:Z1707"/>
    <mergeCell ref="AA1706:AA1707"/>
    <mergeCell ref="AB1706:AB1707"/>
    <mergeCell ref="A1700:A1701"/>
    <mergeCell ref="E1700:E1701"/>
    <mergeCell ref="H1700:H1701"/>
    <mergeCell ref="I1700:I1701"/>
    <mergeCell ref="J1700:J1701"/>
    <mergeCell ref="K1700:K1701"/>
    <mergeCell ref="L1700:L1701"/>
    <mergeCell ref="M1700:M1701"/>
    <mergeCell ref="N1700:N1701"/>
    <mergeCell ref="O1700:O1701"/>
    <mergeCell ref="X1700:X1701"/>
    <mergeCell ref="Y1700:Y1701"/>
    <mergeCell ref="Z1700:Z1701"/>
    <mergeCell ref="AA1700:AA1701"/>
    <mergeCell ref="AB1700:AB1701"/>
    <mergeCell ref="A1702:A1703"/>
    <mergeCell ref="E1702:E1703"/>
    <mergeCell ref="H1702:H1703"/>
    <mergeCell ref="I1702:I1703"/>
    <mergeCell ref="J1702:J1703"/>
    <mergeCell ref="K1702:K1703"/>
    <mergeCell ref="L1702:L1703"/>
    <mergeCell ref="M1702:M1703"/>
    <mergeCell ref="N1702:N1703"/>
    <mergeCell ref="O1702:O1703"/>
    <mergeCell ref="X1702:X1703"/>
    <mergeCell ref="Y1702:Y1703"/>
    <mergeCell ref="Z1702:Z1703"/>
    <mergeCell ref="AA1702:AA1703"/>
    <mergeCell ref="AB1702:AB1703"/>
    <mergeCell ref="A1696:A1697"/>
    <mergeCell ref="E1696:E1697"/>
    <mergeCell ref="H1696:H1697"/>
    <mergeCell ref="I1696:I1697"/>
    <mergeCell ref="J1696:J1697"/>
    <mergeCell ref="K1696:K1697"/>
    <mergeCell ref="L1696:L1697"/>
    <mergeCell ref="M1696:M1697"/>
    <mergeCell ref="N1696:N1697"/>
    <mergeCell ref="O1696:O1697"/>
    <mergeCell ref="X1696:X1697"/>
    <mergeCell ref="Y1696:Y1697"/>
    <mergeCell ref="Z1696:Z1697"/>
    <mergeCell ref="AA1696:AA1697"/>
    <mergeCell ref="AB1696:AB1697"/>
    <mergeCell ref="A1698:A1699"/>
    <mergeCell ref="E1698:E1699"/>
    <mergeCell ref="H1698:H1699"/>
    <mergeCell ref="I1698:I1699"/>
    <mergeCell ref="J1698:J1699"/>
    <mergeCell ref="K1698:K1699"/>
    <mergeCell ref="L1698:L1699"/>
    <mergeCell ref="M1698:M1699"/>
    <mergeCell ref="N1698:N1699"/>
    <mergeCell ref="O1698:O1699"/>
    <mergeCell ref="X1698:X1699"/>
    <mergeCell ref="Y1698:Y1699"/>
    <mergeCell ref="Z1698:Z1699"/>
    <mergeCell ref="AA1698:AA1699"/>
    <mergeCell ref="AB1698:AB1699"/>
    <mergeCell ref="A1692:A1693"/>
    <mergeCell ref="E1692:E1693"/>
    <mergeCell ref="H1692:H1693"/>
    <mergeCell ref="I1692:I1693"/>
    <mergeCell ref="J1692:J1693"/>
    <mergeCell ref="K1692:K1693"/>
    <mergeCell ref="L1692:L1693"/>
    <mergeCell ref="M1692:M1693"/>
    <mergeCell ref="N1692:N1693"/>
    <mergeCell ref="O1692:O1693"/>
    <mergeCell ref="X1692:X1693"/>
    <mergeCell ref="Y1692:Y1693"/>
    <mergeCell ref="Z1692:Z1693"/>
    <mergeCell ref="AA1692:AA1693"/>
    <mergeCell ref="AB1692:AB1693"/>
    <mergeCell ref="A1694:A1695"/>
    <mergeCell ref="E1694:E1695"/>
    <mergeCell ref="H1694:H1695"/>
    <mergeCell ref="I1694:I1695"/>
    <mergeCell ref="J1694:J1695"/>
    <mergeCell ref="K1694:K1695"/>
    <mergeCell ref="L1694:L1695"/>
    <mergeCell ref="M1694:M1695"/>
    <mergeCell ref="N1694:N1695"/>
    <mergeCell ref="O1694:O1695"/>
    <mergeCell ref="X1694:X1695"/>
    <mergeCell ref="Y1694:Y1695"/>
    <mergeCell ref="Z1694:Z1695"/>
    <mergeCell ref="AA1694:AA1695"/>
    <mergeCell ref="AB1694:AB1695"/>
    <mergeCell ref="A1688:A1689"/>
    <mergeCell ref="E1688:E1689"/>
    <mergeCell ref="H1688:H1689"/>
    <mergeCell ref="I1688:I1689"/>
    <mergeCell ref="J1688:J1689"/>
    <mergeCell ref="K1688:K1689"/>
    <mergeCell ref="L1688:L1689"/>
    <mergeCell ref="M1688:M1689"/>
    <mergeCell ref="N1688:N1689"/>
    <mergeCell ref="O1688:O1689"/>
    <mergeCell ref="X1688:X1689"/>
    <mergeCell ref="Y1688:Y1689"/>
    <mergeCell ref="Z1688:Z1689"/>
    <mergeCell ref="AA1688:AA1689"/>
    <mergeCell ref="AB1688:AB1689"/>
    <mergeCell ref="A1690:A1691"/>
    <mergeCell ref="E1690:E1691"/>
    <mergeCell ref="H1690:H1691"/>
    <mergeCell ref="I1690:I1691"/>
    <mergeCell ref="J1690:J1691"/>
    <mergeCell ref="K1690:K1691"/>
    <mergeCell ref="L1690:L1691"/>
    <mergeCell ref="M1690:M1691"/>
    <mergeCell ref="N1690:N1691"/>
    <mergeCell ref="O1690:O1691"/>
    <mergeCell ref="X1690:X1691"/>
    <mergeCell ref="Y1690:Y1691"/>
    <mergeCell ref="Z1690:Z1691"/>
    <mergeCell ref="AA1690:AA1691"/>
    <mergeCell ref="AB1690:AB1691"/>
    <mergeCell ref="A1684:A1685"/>
    <mergeCell ref="E1684:E1685"/>
    <mergeCell ref="H1684:H1685"/>
    <mergeCell ref="I1684:I1685"/>
    <mergeCell ref="J1684:J1685"/>
    <mergeCell ref="K1684:K1685"/>
    <mergeCell ref="L1684:L1685"/>
    <mergeCell ref="M1684:M1685"/>
    <mergeCell ref="N1684:N1685"/>
    <mergeCell ref="O1684:O1685"/>
    <mergeCell ref="X1684:X1685"/>
    <mergeCell ref="Y1684:Y1685"/>
    <mergeCell ref="Z1684:Z1685"/>
    <mergeCell ref="AA1684:AA1685"/>
    <mergeCell ref="AB1684:AB1685"/>
    <mergeCell ref="A1686:A1687"/>
    <mergeCell ref="E1686:E1687"/>
    <mergeCell ref="H1686:H1687"/>
    <mergeCell ref="I1686:I1687"/>
    <mergeCell ref="J1686:J1687"/>
    <mergeCell ref="K1686:K1687"/>
    <mergeCell ref="L1686:L1687"/>
    <mergeCell ref="M1686:M1687"/>
    <mergeCell ref="N1686:N1687"/>
    <mergeCell ref="O1686:O1687"/>
    <mergeCell ref="X1686:X1687"/>
    <mergeCell ref="Y1686:Y1687"/>
    <mergeCell ref="Z1686:Z1687"/>
    <mergeCell ref="AA1686:AA1687"/>
    <mergeCell ref="AB1686:AB1687"/>
    <mergeCell ref="A1680:A1681"/>
    <mergeCell ref="E1680:E1681"/>
    <mergeCell ref="H1680:H1681"/>
    <mergeCell ref="I1680:I1681"/>
    <mergeCell ref="J1680:J1681"/>
    <mergeCell ref="K1680:K1681"/>
    <mergeCell ref="L1680:L1681"/>
    <mergeCell ref="M1680:M1681"/>
    <mergeCell ref="N1680:N1681"/>
    <mergeCell ref="O1680:O1681"/>
    <mergeCell ref="X1680:X1681"/>
    <mergeCell ref="Y1680:Y1681"/>
    <mergeCell ref="Z1680:Z1681"/>
    <mergeCell ref="AA1680:AA1681"/>
    <mergeCell ref="AB1680:AB1681"/>
    <mergeCell ref="A1682:A1683"/>
    <mergeCell ref="E1682:E1683"/>
    <mergeCell ref="H1682:H1683"/>
    <mergeCell ref="I1682:I1683"/>
    <mergeCell ref="J1682:J1683"/>
    <mergeCell ref="K1682:K1683"/>
    <mergeCell ref="L1682:L1683"/>
    <mergeCell ref="M1682:M1683"/>
    <mergeCell ref="N1682:N1683"/>
    <mergeCell ref="O1682:O1683"/>
    <mergeCell ref="X1682:X1683"/>
    <mergeCell ref="Y1682:Y1683"/>
    <mergeCell ref="Z1682:Z1683"/>
    <mergeCell ref="AA1682:AA1683"/>
    <mergeCell ref="AB1682:AB1683"/>
    <mergeCell ref="A1676:A1677"/>
    <mergeCell ref="E1676:E1677"/>
    <mergeCell ref="H1676:H1677"/>
    <mergeCell ref="I1676:I1677"/>
    <mergeCell ref="J1676:J1677"/>
    <mergeCell ref="K1676:K1677"/>
    <mergeCell ref="L1676:L1677"/>
    <mergeCell ref="M1676:M1677"/>
    <mergeCell ref="N1676:N1677"/>
    <mergeCell ref="O1676:O1677"/>
    <mergeCell ref="X1676:X1677"/>
    <mergeCell ref="Y1676:Y1677"/>
    <mergeCell ref="Z1676:Z1677"/>
    <mergeCell ref="AA1676:AA1677"/>
    <mergeCell ref="AB1676:AB1677"/>
    <mergeCell ref="A1678:A1679"/>
    <mergeCell ref="E1678:E1679"/>
    <mergeCell ref="H1678:H1679"/>
    <mergeCell ref="I1678:I1679"/>
    <mergeCell ref="J1678:J1679"/>
    <mergeCell ref="K1678:K1679"/>
    <mergeCell ref="L1678:L1679"/>
    <mergeCell ref="M1678:M1679"/>
    <mergeCell ref="N1678:N1679"/>
    <mergeCell ref="O1678:O1679"/>
    <mergeCell ref="X1678:X1679"/>
    <mergeCell ref="Y1678:Y1679"/>
    <mergeCell ref="Z1678:Z1679"/>
    <mergeCell ref="AA1678:AA1679"/>
    <mergeCell ref="AB1678:AB1679"/>
    <mergeCell ref="A1672:A1673"/>
    <mergeCell ref="E1672:E1673"/>
    <mergeCell ref="H1672:H1673"/>
    <mergeCell ref="I1672:I1673"/>
    <mergeCell ref="J1672:J1673"/>
    <mergeCell ref="K1672:K1673"/>
    <mergeCell ref="L1672:L1673"/>
    <mergeCell ref="M1672:M1673"/>
    <mergeCell ref="N1672:N1673"/>
    <mergeCell ref="O1672:O1673"/>
    <mergeCell ref="X1672:X1673"/>
    <mergeCell ref="Y1672:Y1673"/>
    <mergeCell ref="Z1672:Z1673"/>
    <mergeCell ref="AA1672:AA1673"/>
    <mergeCell ref="AB1672:AB1673"/>
    <mergeCell ref="A1674:A1675"/>
    <mergeCell ref="E1674:E1675"/>
    <mergeCell ref="H1674:H1675"/>
    <mergeCell ref="I1674:I1675"/>
    <mergeCell ref="J1674:J1675"/>
    <mergeCell ref="K1674:K1675"/>
    <mergeCell ref="L1674:L1675"/>
    <mergeCell ref="M1674:M1675"/>
    <mergeCell ref="N1674:N1675"/>
    <mergeCell ref="O1674:O1675"/>
    <mergeCell ref="X1674:X1675"/>
    <mergeCell ref="Y1674:Y1675"/>
    <mergeCell ref="Z1674:Z1675"/>
    <mergeCell ref="AA1674:AA1675"/>
    <mergeCell ref="AB1674:AB1675"/>
    <mergeCell ref="A1668:A1669"/>
    <mergeCell ref="E1668:E1669"/>
    <mergeCell ref="H1668:H1669"/>
    <mergeCell ref="I1668:I1669"/>
    <mergeCell ref="J1668:J1669"/>
    <mergeCell ref="K1668:K1669"/>
    <mergeCell ref="L1668:L1669"/>
    <mergeCell ref="M1668:M1669"/>
    <mergeCell ref="N1668:N1669"/>
    <mergeCell ref="O1668:O1669"/>
    <mergeCell ref="X1668:X1669"/>
    <mergeCell ref="Y1668:Y1669"/>
    <mergeCell ref="Z1668:Z1669"/>
    <mergeCell ref="AA1668:AA1669"/>
    <mergeCell ref="AB1668:AB1669"/>
    <mergeCell ref="A1670:A1671"/>
    <mergeCell ref="E1670:E1671"/>
    <mergeCell ref="H1670:H1671"/>
    <mergeCell ref="I1670:I1671"/>
    <mergeCell ref="J1670:J1671"/>
    <mergeCell ref="K1670:K1671"/>
    <mergeCell ref="L1670:L1671"/>
    <mergeCell ref="M1670:M1671"/>
    <mergeCell ref="N1670:N1671"/>
    <mergeCell ref="O1670:O1671"/>
    <mergeCell ref="X1670:X1671"/>
    <mergeCell ref="Y1670:Y1671"/>
    <mergeCell ref="Z1670:Z1671"/>
    <mergeCell ref="AA1670:AA1671"/>
    <mergeCell ref="AB1670:AB1671"/>
    <mergeCell ref="A1664:A1665"/>
    <mergeCell ref="E1664:E1665"/>
    <mergeCell ref="H1664:H1665"/>
    <mergeCell ref="I1664:I1665"/>
    <mergeCell ref="J1664:J1665"/>
    <mergeCell ref="K1664:K1665"/>
    <mergeCell ref="L1664:L1665"/>
    <mergeCell ref="M1664:M1665"/>
    <mergeCell ref="N1664:N1665"/>
    <mergeCell ref="O1664:O1665"/>
    <mergeCell ref="X1664:X1665"/>
    <mergeCell ref="Y1664:Y1665"/>
    <mergeCell ref="Z1664:Z1665"/>
    <mergeCell ref="AA1664:AA1665"/>
    <mergeCell ref="AB1664:AB1665"/>
    <mergeCell ref="A1666:A1667"/>
    <mergeCell ref="E1666:E1667"/>
    <mergeCell ref="H1666:H1667"/>
    <mergeCell ref="I1666:I1667"/>
    <mergeCell ref="J1666:J1667"/>
    <mergeCell ref="K1666:K1667"/>
    <mergeCell ref="L1666:L1667"/>
    <mergeCell ref="M1666:M1667"/>
    <mergeCell ref="N1666:N1667"/>
    <mergeCell ref="O1666:O1667"/>
    <mergeCell ref="X1666:X1667"/>
    <mergeCell ref="Y1666:Y1667"/>
    <mergeCell ref="Z1666:Z1667"/>
    <mergeCell ref="AA1666:AA1667"/>
    <mergeCell ref="AB1666:AB1667"/>
    <mergeCell ref="A1660:A1661"/>
    <mergeCell ref="E1660:E1661"/>
    <mergeCell ref="H1660:H1661"/>
    <mergeCell ref="I1660:I1661"/>
    <mergeCell ref="J1660:J1661"/>
    <mergeCell ref="K1660:K1661"/>
    <mergeCell ref="L1660:L1661"/>
    <mergeCell ref="M1660:M1661"/>
    <mergeCell ref="N1660:N1661"/>
    <mergeCell ref="O1660:O1661"/>
    <mergeCell ref="X1660:X1661"/>
    <mergeCell ref="Y1660:Y1661"/>
    <mergeCell ref="Z1660:Z1661"/>
    <mergeCell ref="AA1660:AA1661"/>
    <mergeCell ref="AB1660:AB1661"/>
    <mergeCell ref="A1662:A1663"/>
    <mergeCell ref="E1662:E1663"/>
    <mergeCell ref="H1662:H1663"/>
    <mergeCell ref="I1662:I1663"/>
    <mergeCell ref="J1662:J1663"/>
    <mergeCell ref="K1662:K1663"/>
    <mergeCell ref="L1662:L1663"/>
    <mergeCell ref="M1662:M1663"/>
    <mergeCell ref="N1662:N1663"/>
    <mergeCell ref="O1662:O1663"/>
    <mergeCell ref="X1662:X1663"/>
    <mergeCell ref="Y1662:Y1663"/>
    <mergeCell ref="Z1662:Z1663"/>
    <mergeCell ref="AA1662:AA1663"/>
    <mergeCell ref="AB1662:AB1663"/>
    <mergeCell ref="A1656:A1657"/>
    <mergeCell ref="E1656:E1657"/>
    <mergeCell ref="H1656:H1657"/>
    <mergeCell ref="I1656:I1657"/>
    <mergeCell ref="J1656:J1657"/>
    <mergeCell ref="K1656:K1657"/>
    <mergeCell ref="L1656:L1657"/>
    <mergeCell ref="M1656:M1657"/>
    <mergeCell ref="N1656:N1657"/>
    <mergeCell ref="O1656:O1657"/>
    <mergeCell ref="X1656:X1657"/>
    <mergeCell ref="Y1656:Y1657"/>
    <mergeCell ref="Z1656:Z1657"/>
    <mergeCell ref="AA1656:AA1657"/>
    <mergeCell ref="AB1656:AB1657"/>
    <mergeCell ref="A1658:A1659"/>
    <mergeCell ref="E1658:E1659"/>
    <mergeCell ref="H1658:H1659"/>
    <mergeCell ref="I1658:I1659"/>
    <mergeCell ref="J1658:J1659"/>
    <mergeCell ref="K1658:K1659"/>
    <mergeCell ref="L1658:L1659"/>
    <mergeCell ref="M1658:M1659"/>
    <mergeCell ref="N1658:N1659"/>
    <mergeCell ref="O1658:O1659"/>
    <mergeCell ref="X1658:X1659"/>
    <mergeCell ref="Y1658:Y1659"/>
    <mergeCell ref="Z1658:Z1659"/>
    <mergeCell ref="AA1658:AA1659"/>
    <mergeCell ref="AB1658:AB1659"/>
    <mergeCell ref="A1652:A1653"/>
    <mergeCell ref="E1652:E1653"/>
    <mergeCell ref="H1652:H1653"/>
    <mergeCell ref="I1652:I1653"/>
    <mergeCell ref="J1652:J1653"/>
    <mergeCell ref="K1652:K1653"/>
    <mergeCell ref="L1652:L1653"/>
    <mergeCell ref="M1652:M1653"/>
    <mergeCell ref="N1652:N1653"/>
    <mergeCell ref="O1652:O1653"/>
    <mergeCell ref="X1652:X1653"/>
    <mergeCell ref="Y1652:Y1653"/>
    <mergeCell ref="Z1652:Z1653"/>
    <mergeCell ref="AA1652:AA1653"/>
    <mergeCell ref="AB1652:AB1653"/>
    <mergeCell ref="A1654:A1655"/>
    <mergeCell ref="E1654:E1655"/>
    <mergeCell ref="H1654:H1655"/>
    <mergeCell ref="I1654:I1655"/>
    <mergeCell ref="J1654:J1655"/>
    <mergeCell ref="K1654:K1655"/>
    <mergeCell ref="L1654:L1655"/>
    <mergeCell ref="M1654:M1655"/>
    <mergeCell ref="N1654:N1655"/>
    <mergeCell ref="O1654:O1655"/>
    <mergeCell ref="X1654:X1655"/>
    <mergeCell ref="Y1654:Y1655"/>
    <mergeCell ref="Z1654:Z1655"/>
    <mergeCell ref="AA1654:AA1655"/>
    <mergeCell ref="AB1654:AB1655"/>
    <mergeCell ref="A1648:A1649"/>
    <mergeCell ref="E1648:E1649"/>
    <mergeCell ref="H1648:H1649"/>
    <mergeCell ref="I1648:I1649"/>
    <mergeCell ref="J1648:J1649"/>
    <mergeCell ref="K1648:K1649"/>
    <mergeCell ref="L1648:L1649"/>
    <mergeCell ref="M1648:M1649"/>
    <mergeCell ref="N1648:N1649"/>
    <mergeCell ref="O1648:O1649"/>
    <mergeCell ref="X1648:X1649"/>
    <mergeCell ref="Y1648:Y1649"/>
    <mergeCell ref="Z1648:Z1649"/>
    <mergeCell ref="AA1648:AA1649"/>
    <mergeCell ref="AB1648:AB1649"/>
    <mergeCell ref="A1650:A1651"/>
    <mergeCell ref="E1650:E1651"/>
    <mergeCell ref="H1650:H1651"/>
    <mergeCell ref="I1650:I1651"/>
    <mergeCell ref="J1650:J1651"/>
    <mergeCell ref="K1650:K1651"/>
    <mergeCell ref="L1650:L1651"/>
    <mergeCell ref="M1650:M1651"/>
    <mergeCell ref="N1650:N1651"/>
    <mergeCell ref="O1650:O1651"/>
    <mergeCell ref="X1650:X1651"/>
    <mergeCell ref="Y1650:Y1651"/>
    <mergeCell ref="Z1650:Z1651"/>
    <mergeCell ref="AA1650:AA1651"/>
    <mergeCell ref="AB1650:AB1651"/>
    <mergeCell ref="A1644:A1645"/>
    <mergeCell ref="E1644:E1645"/>
    <mergeCell ref="H1644:H1645"/>
    <mergeCell ref="I1644:I1645"/>
    <mergeCell ref="J1644:J1645"/>
    <mergeCell ref="K1644:K1645"/>
    <mergeCell ref="L1644:L1645"/>
    <mergeCell ref="M1644:M1645"/>
    <mergeCell ref="N1644:N1645"/>
    <mergeCell ref="O1644:O1645"/>
    <mergeCell ref="X1644:X1645"/>
    <mergeCell ref="Y1644:Y1645"/>
    <mergeCell ref="Z1644:Z1645"/>
    <mergeCell ref="AA1644:AA1645"/>
    <mergeCell ref="AB1644:AB1645"/>
    <mergeCell ref="A1646:A1647"/>
    <mergeCell ref="E1646:E1647"/>
    <mergeCell ref="H1646:H1647"/>
    <mergeCell ref="I1646:I1647"/>
    <mergeCell ref="J1646:J1647"/>
    <mergeCell ref="K1646:K1647"/>
    <mergeCell ref="L1646:L1647"/>
    <mergeCell ref="M1646:M1647"/>
    <mergeCell ref="N1646:N1647"/>
    <mergeCell ref="O1646:O1647"/>
    <mergeCell ref="X1646:X1647"/>
    <mergeCell ref="Y1646:Y1647"/>
    <mergeCell ref="Z1646:Z1647"/>
    <mergeCell ref="AA1646:AA1647"/>
    <mergeCell ref="AB1646:AB1647"/>
    <mergeCell ref="A1640:A1641"/>
    <mergeCell ref="E1640:E1641"/>
    <mergeCell ref="H1640:H1641"/>
    <mergeCell ref="I1640:I1641"/>
    <mergeCell ref="J1640:J1641"/>
    <mergeCell ref="K1640:K1641"/>
    <mergeCell ref="L1640:L1641"/>
    <mergeCell ref="M1640:M1641"/>
    <mergeCell ref="N1640:N1641"/>
    <mergeCell ref="O1640:O1641"/>
    <mergeCell ref="X1640:X1641"/>
    <mergeCell ref="Y1640:Y1641"/>
    <mergeCell ref="Z1640:Z1641"/>
    <mergeCell ref="AA1640:AA1641"/>
    <mergeCell ref="AB1640:AB1641"/>
    <mergeCell ref="A1642:A1643"/>
    <mergeCell ref="E1642:E1643"/>
    <mergeCell ref="H1642:H1643"/>
    <mergeCell ref="I1642:I1643"/>
    <mergeCell ref="J1642:J1643"/>
    <mergeCell ref="K1642:K1643"/>
    <mergeCell ref="L1642:L1643"/>
    <mergeCell ref="M1642:M1643"/>
    <mergeCell ref="N1642:N1643"/>
    <mergeCell ref="O1642:O1643"/>
    <mergeCell ref="X1642:X1643"/>
    <mergeCell ref="Y1642:Y1643"/>
    <mergeCell ref="Z1642:Z1643"/>
    <mergeCell ref="AA1642:AA1643"/>
    <mergeCell ref="AB1642:AB1643"/>
    <mergeCell ref="A1636:A1637"/>
    <mergeCell ref="E1636:E1637"/>
    <mergeCell ref="H1636:H1637"/>
    <mergeCell ref="I1636:I1637"/>
    <mergeCell ref="J1636:J1637"/>
    <mergeCell ref="K1636:K1637"/>
    <mergeCell ref="L1636:L1637"/>
    <mergeCell ref="M1636:M1637"/>
    <mergeCell ref="N1636:N1637"/>
    <mergeCell ref="O1636:O1637"/>
    <mergeCell ref="X1636:X1637"/>
    <mergeCell ref="Y1636:Y1637"/>
    <mergeCell ref="Z1636:Z1637"/>
    <mergeCell ref="AA1636:AA1637"/>
    <mergeCell ref="AB1636:AB1637"/>
    <mergeCell ref="A1638:A1639"/>
    <mergeCell ref="E1638:E1639"/>
    <mergeCell ref="H1638:H1639"/>
    <mergeCell ref="I1638:I1639"/>
    <mergeCell ref="J1638:J1639"/>
    <mergeCell ref="K1638:K1639"/>
    <mergeCell ref="L1638:L1639"/>
    <mergeCell ref="M1638:M1639"/>
    <mergeCell ref="N1638:N1639"/>
    <mergeCell ref="O1638:O1639"/>
    <mergeCell ref="X1638:X1639"/>
    <mergeCell ref="Y1638:Y1639"/>
    <mergeCell ref="Z1638:Z1639"/>
    <mergeCell ref="AA1638:AA1639"/>
    <mergeCell ref="AB1638:AB1639"/>
    <mergeCell ref="A1632:A1633"/>
    <mergeCell ref="E1632:E1633"/>
    <mergeCell ref="H1632:H1633"/>
    <mergeCell ref="I1632:I1633"/>
    <mergeCell ref="J1632:J1633"/>
    <mergeCell ref="K1632:K1633"/>
    <mergeCell ref="L1632:L1633"/>
    <mergeCell ref="M1632:M1633"/>
    <mergeCell ref="N1632:N1633"/>
    <mergeCell ref="O1632:O1633"/>
    <mergeCell ref="X1632:X1633"/>
    <mergeCell ref="Y1632:Y1633"/>
    <mergeCell ref="Z1632:Z1633"/>
    <mergeCell ref="AA1632:AA1633"/>
    <mergeCell ref="AB1632:AB1633"/>
    <mergeCell ref="A1634:A1635"/>
    <mergeCell ref="E1634:E1635"/>
    <mergeCell ref="H1634:H1635"/>
    <mergeCell ref="I1634:I1635"/>
    <mergeCell ref="J1634:J1635"/>
    <mergeCell ref="K1634:K1635"/>
    <mergeCell ref="L1634:L1635"/>
    <mergeCell ref="M1634:M1635"/>
    <mergeCell ref="N1634:N1635"/>
    <mergeCell ref="O1634:O1635"/>
    <mergeCell ref="X1634:X1635"/>
    <mergeCell ref="Y1634:Y1635"/>
    <mergeCell ref="Z1634:Z1635"/>
    <mergeCell ref="AA1634:AA1635"/>
    <mergeCell ref="AB1634:AB1635"/>
    <mergeCell ref="A1628:A1629"/>
    <mergeCell ref="E1628:E1629"/>
    <mergeCell ref="H1628:H1629"/>
    <mergeCell ref="I1628:I1629"/>
    <mergeCell ref="J1628:J1629"/>
    <mergeCell ref="K1628:K1629"/>
    <mergeCell ref="L1628:L1629"/>
    <mergeCell ref="M1628:M1629"/>
    <mergeCell ref="N1628:N1629"/>
    <mergeCell ref="O1628:O1629"/>
    <mergeCell ref="X1628:X1629"/>
    <mergeCell ref="Y1628:Y1629"/>
    <mergeCell ref="Z1628:Z1629"/>
    <mergeCell ref="AA1628:AA1629"/>
    <mergeCell ref="AB1628:AB1629"/>
    <mergeCell ref="A1630:A1631"/>
    <mergeCell ref="E1630:E1631"/>
    <mergeCell ref="H1630:H1631"/>
    <mergeCell ref="I1630:I1631"/>
    <mergeCell ref="J1630:J1631"/>
    <mergeCell ref="K1630:K1631"/>
    <mergeCell ref="L1630:L1631"/>
    <mergeCell ref="M1630:M1631"/>
    <mergeCell ref="N1630:N1631"/>
    <mergeCell ref="O1630:O1631"/>
    <mergeCell ref="X1630:X1631"/>
    <mergeCell ref="Y1630:Y1631"/>
    <mergeCell ref="Z1630:Z1631"/>
    <mergeCell ref="AA1630:AA1631"/>
    <mergeCell ref="AB1630:AB1631"/>
    <mergeCell ref="A1624:A1625"/>
    <mergeCell ref="E1624:E1625"/>
    <mergeCell ref="H1624:H1625"/>
    <mergeCell ref="I1624:I1625"/>
    <mergeCell ref="J1624:J1625"/>
    <mergeCell ref="K1624:K1625"/>
    <mergeCell ref="L1624:L1625"/>
    <mergeCell ref="M1624:M1625"/>
    <mergeCell ref="N1624:N1625"/>
    <mergeCell ref="O1624:O1625"/>
    <mergeCell ref="X1624:X1625"/>
    <mergeCell ref="Y1624:Y1625"/>
    <mergeCell ref="Z1624:Z1625"/>
    <mergeCell ref="AA1624:AA1625"/>
    <mergeCell ref="AB1624:AB1625"/>
    <mergeCell ref="A1626:A1627"/>
    <mergeCell ref="E1626:E1627"/>
    <mergeCell ref="H1626:H1627"/>
    <mergeCell ref="I1626:I1627"/>
    <mergeCell ref="J1626:J1627"/>
    <mergeCell ref="K1626:K1627"/>
    <mergeCell ref="L1626:L1627"/>
    <mergeCell ref="M1626:M1627"/>
    <mergeCell ref="N1626:N1627"/>
    <mergeCell ref="O1626:O1627"/>
    <mergeCell ref="X1626:X1627"/>
    <mergeCell ref="Y1626:Y1627"/>
    <mergeCell ref="Z1626:Z1627"/>
    <mergeCell ref="AA1626:AA1627"/>
    <mergeCell ref="AB1626:AB1627"/>
    <mergeCell ref="A1620:A1621"/>
    <mergeCell ref="E1620:E1621"/>
    <mergeCell ref="H1620:H1621"/>
    <mergeCell ref="I1620:I1621"/>
    <mergeCell ref="J1620:J1621"/>
    <mergeCell ref="K1620:K1621"/>
    <mergeCell ref="L1620:L1621"/>
    <mergeCell ref="M1620:M1621"/>
    <mergeCell ref="N1620:N1621"/>
    <mergeCell ref="O1620:O1621"/>
    <mergeCell ref="X1620:X1621"/>
    <mergeCell ref="Y1620:Y1621"/>
    <mergeCell ref="Z1620:Z1621"/>
    <mergeCell ref="AA1620:AA1621"/>
    <mergeCell ref="AB1620:AB1621"/>
    <mergeCell ref="A1622:A1623"/>
    <mergeCell ref="E1622:E1623"/>
    <mergeCell ref="H1622:H1623"/>
    <mergeCell ref="I1622:I1623"/>
    <mergeCell ref="J1622:J1623"/>
    <mergeCell ref="K1622:K1623"/>
    <mergeCell ref="L1622:L1623"/>
    <mergeCell ref="M1622:M1623"/>
    <mergeCell ref="N1622:N1623"/>
    <mergeCell ref="O1622:O1623"/>
    <mergeCell ref="X1622:X1623"/>
    <mergeCell ref="Y1622:Y1623"/>
    <mergeCell ref="Z1622:Z1623"/>
    <mergeCell ref="AA1622:AA1623"/>
    <mergeCell ref="AB1622:AB1623"/>
    <mergeCell ref="A1616:A1617"/>
    <mergeCell ref="E1616:E1617"/>
    <mergeCell ref="H1616:H1617"/>
    <mergeCell ref="I1616:I1617"/>
    <mergeCell ref="J1616:J1617"/>
    <mergeCell ref="K1616:K1617"/>
    <mergeCell ref="L1616:L1617"/>
    <mergeCell ref="M1616:M1617"/>
    <mergeCell ref="N1616:N1617"/>
    <mergeCell ref="O1616:O1617"/>
    <mergeCell ref="X1616:X1617"/>
    <mergeCell ref="Y1616:Y1617"/>
    <mergeCell ref="Z1616:Z1617"/>
    <mergeCell ref="AA1616:AA1617"/>
    <mergeCell ref="AB1616:AB1617"/>
    <mergeCell ref="A1618:A1619"/>
    <mergeCell ref="E1618:E1619"/>
    <mergeCell ref="H1618:H1619"/>
    <mergeCell ref="I1618:I1619"/>
    <mergeCell ref="J1618:J1619"/>
    <mergeCell ref="K1618:K1619"/>
    <mergeCell ref="L1618:L1619"/>
    <mergeCell ref="M1618:M1619"/>
    <mergeCell ref="N1618:N1619"/>
    <mergeCell ref="O1618:O1619"/>
    <mergeCell ref="X1618:X1619"/>
    <mergeCell ref="Y1618:Y1619"/>
    <mergeCell ref="Z1618:Z1619"/>
    <mergeCell ref="AA1618:AA1619"/>
    <mergeCell ref="AB1618:AB1619"/>
    <mergeCell ref="A1612:A1613"/>
    <mergeCell ref="E1612:E1613"/>
    <mergeCell ref="H1612:H1613"/>
    <mergeCell ref="I1612:I1613"/>
    <mergeCell ref="J1612:J1613"/>
    <mergeCell ref="K1612:K1613"/>
    <mergeCell ref="L1612:L1613"/>
    <mergeCell ref="M1612:M1613"/>
    <mergeCell ref="N1612:N1613"/>
    <mergeCell ref="O1612:O1613"/>
    <mergeCell ref="X1612:X1613"/>
    <mergeCell ref="Y1612:Y1613"/>
    <mergeCell ref="Z1612:Z1613"/>
    <mergeCell ref="AA1612:AA1613"/>
    <mergeCell ref="AB1612:AB1613"/>
    <mergeCell ref="A1614:A1615"/>
    <mergeCell ref="E1614:E1615"/>
    <mergeCell ref="H1614:H1615"/>
    <mergeCell ref="I1614:I1615"/>
    <mergeCell ref="J1614:J1615"/>
    <mergeCell ref="K1614:K1615"/>
    <mergeCell ref="L1614:L1615"/>
    <mergeCell ref="M1614:M1615"/>
    <mergeCell ref="N1614:N1615"/>
    <mergeCell ref="O1614:O1615"/>
    <mergeCell ref="X1614:X1615"/>
    <mergeCell ref="Y1614:Y1615"/>
    <mergeCell ref="Z1614:Z1615"/>
    <mergeCell ref="AA1614:AA1615"/>
    <mergeCell ref="AB1614:AB1615"/>
    <mergeCell ref="A1608:A1609"/>
    <mergeCell ref="E1608:E1609"/>
    <mergeCell ref="H1608:H1609"/>
    <mergeCell ref="I1608:I1609"/>
    <mergeCell ref="J1608:J1609"/>
    <mergeCell ref="K1608:K1609"/>
    <mergeCell ref="L1608:L1609"/>
    <mergeCell ref="M1608:M1609"/>
    <mergeCell ref="N1608:N1609"/>
    <mergeCell ref="O1608:O1609"/>
    <mergeCell ref="X1608:X1609"/>
    <mergeCell ref="Y1608:Y1609"/>
    <mergeCell ref="Z1608:Z1609"/>
    <mergeCell ref="AA1608:AA1609"/>
    <mergeCell ref="AB1608:AB1609"/>
    <mergeCell ref="A1610:A1611"/>
    <mergeCell ref="E1610:E1611"/>
    <mergeCell ref="H1610:H1611"/>
    <mergeCell ref="I1610:I1611"/>
    <mergeCell ref="J1610:J1611"/>
    <mergeCell ref="K1610:K1611"/>
    <mergeCell ref="L1610:L1611"/>
    <mergeCell ref="M1610:M1611"/>
    <mergeCell ref="N1610:N1611"/>
    <mergeCell ref="O1610:O1611"/>
    <mergeCell ref="X1610:X1611"/>
    <mergeCell ref="Y1610:Y1611"/>
    <mergeCell ref="Z1610:Z1611"/>
    <mergeCell ref="AA1610:AA1611"/>
    <mergeCell ref="AB1610:AB1611"/>
    <mergeCell ref="A1604:A1605"/>
    <mergeCell ref="E1604:E1605"/>
    <mergeCell ref="H1604:H1605"/>
    <mergeCell ref="I1604:I1605"/>
    <mergeCell ref="J1604:J1605"/>
    <mergeCell ref="K1604:K1605"/>
    <mergeCell ref="L1604:L1605"/>
    <mergeCell ref="M1604:M1605"/>
    <mergeCell ref="N1604:N1605"/>
    <mergeCell ref="O1604:O1605"/>
    <mergeCell ref="X1604:X1605"/>
    <mergeCell ref="Y1604:Y1605"/>
    <mergeCell ref="Z1604:Z1605"/>
    <mergeCell ref="AA1604:AA1605"/>
    <mergeCell ref="AB1604:AB1605"/>
    <mergeCell ref="A1606:A1607"/>
    <mergeCell ref="E1606:E1607"/>
    <mergeCell ref="H1606:H1607"/>
    <mergeCell ref="I1606:I1607"/>
    <mergeCell ref="J1606:J1607"/>
    <mergeCell ref="K1606:K1607"/>
    <mergeCell ref="L1606:L1607"/>
    <mergeCell ref="M1606:M1607"/>
    <mergeCell ref="N1606:N1607"/>
    <mergeCell ref="O1606:O1607"/>
    <mergeCell ref="X1606:X1607"/>
    <mergeCell ref="Y1606:Y1607"/>
    <mergeCell ref="Z1606:Z1607"/>
    <mergeCell ref="AA1606:AA1607"/>
    <mergeCell ref="AB1606:AB1607"/>
    <mergeCell ref="A1600:A1601"/>
    <mergeCell ref="E1600:E1601"/>
    <mergeCell ref="H1600:H1601"/>
    <mergeCell ref="I1600:I1601"/>
    <mergeCell ref="J1600:J1601"/>
    <mergeCell ref="K1600:K1601"/>
    <mergeCell ref="L1600:L1601"/>
    <mergeCell ref="M1600:M1601"/>
    <mergeCell ref="N1600:N1601"/>
    <mergeCell ref="O1600:O1601"/>
    <mergeCell ref="X1600:X1601"/>
    <mergeCell ref="Y1600:Y1601"/>
    <mergeCell ref="Z1600:Z1601"/>
    <mergeCell ref="AA1600:AA1601"/>
    <mergeCell ref="AB1600:AB1601"/>
    <mergeCell ref="A1602:A1603"/>
    <mergeCell ref="E1602:E1603"/>
    <mergeCell ref="H1602:H1603"/>
    <mergeCell ref="I1602:I1603"/>
    <mergeCell ref="J1602:J1603"/>
    <mergeCell ref="K1602:K1603"/>
    <mergeCell ref="L1602:L1603"/>
    <mergeCell ref="M1602:M1603"/>
    <mergeCell ref="N1602:N1603"/>
    <mergeCell ref="O1602:O1603"/>
    <mergeCell ref="X1602:X1603"/>
    <mergeCell ref="Y1602:Y1603"/>
    <mergeCell ref="Z1602:Z1603"/>
    <mergeCell ref="AA1602:AA1603"/>
    <mergeCell ref="AB1602:AB1603"/>
    <mergeCell ref="A1596:A1597"/>
    <mergeCell ref="E1596:E1597"/>
    <mergeCell ref="H1596:H1597"/>
    <mergeCell ref="I1596:I1597"/>
    <mergeCell ref="J1596:J1597"/>
    <mergeCell ref="K1596:K1597"/>
    <mergeCell ref="L1596:L1597"/>
    <mergeCell ref="M1596:M1597"/>
    <mergeCell ref="N1596:N1597"/>
    <mergeCell ref="O1596:O1597"/>
    <mergeCell ref="X1596:X1597"/>
    <mergeCell ref="Y1596:Y1597"/>
    <mergeCell ref="Z1596:Z1597"/>
    <mergeCell ref="AA1596:AA1597"/>
    <mergeCell ref="AB1596:AB1597"/>
    <mergeCell ref="A1598:A1599"/>
    <mergeCell ref="E1598:E1599"/>
    <mergeCell ref="H1598:H1599"/>
    <mergeCell ref="I1598:I1599"/>
    <mergeCell ref="J1598:J1599"/>
    <mergeCell ref="K1598:K1599"/>
    <mergeCell ref="L1598:L1599"/>
    <mergeCell ref="M1598:M1599"/>
    <mergeCell ref="N1598:N1599"/>
    <mergeCell ref="O1598:O1599"/>
    <mergeCell ref="X1598:X1599"/>
    <mergeCell ref="Y1598:Y1599"/>
    <mergeCell ref="Z1598:Z1599"/>
    <mergeCell ref="AA1598:AA1599"/>
    <mergeCell ref="AB1598:AB1599"/>
    <mergeCell ref="A1592:A1593"/>
    <mergeCell ref="E1592:E1593"/>
    <mergeCell ref="H1592:H1593"/>
    <mergeCell ref="I1592:I1593"/>
    <mergeCell ref="J1592:J1593"/>
    <mergeCell ref="K1592:K1593"/>
    <mergeCell ref="L1592:L1593"/>
    <mergeCell ref="M1592:M1593"/>
    <mergeCell ref="N1592:N1593"/>
    <mergeCell ref="O1592:O1593"/>
    <mergeCell ref="X1592:X1593"/>
    <mergeCell ref="Y1592:Y1593"/>
    <mergeCell ref="Z1592:Z1593"/>
    <mergeCell ref="AA1592:AA1593"/>
    <mergeCell ref="AB1592:AB1593"/>
    <mergeCell ref="A1594:A1595"/>
    <mergeCell ref="E1594:E1595"/>
    <mergeCell ref="H1594:H1595"/>
    <mergeCell ref="I1594:I1595"/>
    <mergeCell ref="J1594:J1595"/>
    <mergeCell ref="K1594:K1595"/>
    <mergeCell ref="L1594:L1595"/>
    <mergeCell ref="M1594:M1595"/>
    <mergeCell ref="N1594:N1595"/>
    <mergeCell ref="O1594:O1595"/>
    <mergeCell ref="X1594:X1595"/>
    <mergeCell ref="Y1594:Y1595"/>
    <mergeCell ref="Z1594:Z1595"/>
    <mergeCell ref="AA1594:AA1595"/>
    <mergeCell ref="AB1594:AB1595"/>
    <mergeCell ref="A1588:A1589"/>
    <mergeCell ref="E1588:E1589"/>
    <mergeCell ref="H1588:H1589"/>
    <mergeCell ref="I1588:I1589"/>
    <mergeCell ref="J1588:J1589"/>
    <mergeCell ref="K1588:K1589"/>
    <mergeCell ref="L1588:L1589"/>
    <mergeCell ref="M1588:M1589"/>
    <mergeCell ref="N1588:N1589"/>
    <mergeCell ref="O1588:O1589"/>
    <mergeCell ref="X1588:X1589"/>
    <mergeCell ref="Y1588:Y1589"/>
    <mergeCell ref="Z1588:Z1589"/>
    <mergeCell ref="AA1588:AA1589"/>
    <mergeCell ref="AB1588:AB1589"/>
    <mergeCell ref="A1590:A1591"/>
    <mergeCell ref="E1590:E1591"/>
    <mergeCell ref="H1590:H1591"/>
    <mergeCell ref="I1590:I1591"/>
    <mergeCell ref="J1590:J1591"/>
    <mergeCell ref="K1590:K1591"/>
    <mergeCell ref="L1590:L1591"/>
    <mergeCell ref="M1590:M1591"/>
    <mergeCell ref="N1590:N1591"/>
    <mergeCell ref="O1590:O1591"/>
    <mergeCell ref="X1590:X1591"/>
    <mergeCell ref="Y1590:Y1591"/>
    <mergeCell ref="Z1590:Z1591"/>
    <mergeCell ref="AA1590:AA1591"/>
    <mergeCell ref="AB1590:AB1591"/>
    <mergeCell ref="A1584:A1585"/>
    <mergeCell ref="E1584:E1585"/>
    <mergeCell ref="H1584:H1585"/>
    <mergeCell ref="I1584:I1585"/>
    <mergeCell ref="J1584:J1585"/>
    <mergeCell ref="K1584:K1585"/>
    <mergeCell ref="L1584:L1585"/>
    <mergeCell ref="M1584:M1585"/>
    <mergeCell ref="N1584:N1585"/>
    <mergeCell ref="O1584:O1585"/>
    <mergeCell ref="X1584:X1585"/>
    <mergeCell ref="Y1584:Y1585"/>
    <mergeCell ref="Z1584:Z1585"/>
    <mergeCell ref="AA1584:AA1585"/>
    <mergeCell ref="AB1584:AB1585"/>
    <mergeCell ref="A1586:A1587"/>
    <mergeCell ref="E1586:E1587"/>
    <mergeCell ref="H1586:H1587"/>
    <mergeCell ref="I1586:I1587"/>
    <mergeCell ref="J1586:J1587"/>
    <mergeCell ref="K1586:K1587"/>
    <mergeCell ref="L1586:L1587"/>
    <mergeCell ref="M1586:M1587"/>
    <mergeCell ref="N1586:N1587"/>
    <mergeCell ref="O1586:O1587"/>
    <mergeCell ref="X1586:X1587"/>
    <mergeCell ref="Y1586:Y1587"/>
    <mergeCell ref="Z1586:Z1587"/>
    <mergeCell ref="AA1586:AA1587"/>
    <mergeCell ref="AB1586:AB1587"/>
    <mergeCell ref="A1580:A1581"/>
    <mergeCell ref="E1580:E1581"/>
    <mergeCell ref="H1580:H1581"/>
    <mergeCell ref="I1580:I1581"/>
    <mergeCell ref="J1580:J1581"/>
    <mergeCell ref="K1580:K1581"/>
    <mergeCell ref="L1580:L1581"/>
    <mergeCell ref="M1580:M1581"/>
    <mergeCell ref="N1580:N1581"/>
    <mergeCell ref="O1580:O1581"/>
    <mergeCell ref="X1580:X1581"/>
    <mergeCell ref="Y1580:Y1581"/>
    <mergeCell ref="Z1580:Z1581"/>
    <mergeCell ref="AA1580:AA1581"/>
    <mergeCell ref="AB1580:AB1581"/>
    <mergeCell ref="A1582:A1583"/>
    <mergeCell ref="E1582:E1583"/>
    <mergeCell ref="H1582:H1583"/>
    <mergeCell ref="I1582:I1583"/>
    <mergeCell ref="J1582:J1583"/>
    <mergeCell ref="K1582:K1583"/>
    <mergeCell ref="L1582:L1583"/>
    <mergeCell ref="M1582:M1583"/>
    <mergeCell ref="N1582:N1583"/>
    <mergeCell ref="O1582:O1583"/>
    <mergeCell ref="X1582:X1583"/>
    <mergeCell ref="Y1582:Y1583"/>
    <mergeCell ref="Z1582:Z1583"/>
    <mergeCell ref="AA1582:AA1583"/>
    <mergeCell ref="AB1582:AB1583"/>
    <mergeCell ref="A1576:A1577"/>
    <mergeCell ref="E1576:E1577"/>
    <mergeCell ref="H1576:H1577"/>
    <mergeCell ref="I1576:I1577"/>
    <mergeCell ref="J1576:J1577"/>
    <mergeCell ref="K1576:K1577"/>
    <mergeCell ref="L1576:L1577"/>
    <mergeCell ref="M1576:M1577"/>
    <mergeCell ref="N1576:N1577"/>
    <mergeCell ref="O1576:O1577"/>
    <mergeCell ref="X1576:X1577"/>
    <mergeCell ref="Y1576:Y1577"/>
    <mergeCell ref="Z1576:Z1577"/>
    <mergeCell ref="AA1576:AA1577"/>
    <mergeCell ref="AB1576:AB1577"/>
    <mergeCell ref="A1578:A1579"/>
    <mergeCell ref="E1578:E1579"/>
    <mergeCell ref="H1578:H1579"/>
    <mergeCell ref="I1578:I1579"/>
    <mergeCell ref="J1578:J1579"/>
    <mergeCell ref="K1578:K1579"/>
    <mergeCell ref="L1578:L1579"/>
    <mergeCell ref="M1578:M1579"/>
    <mergeCell ref="N1578:N1579"/>
    <mergeCell ref="O1578:O1579"/>
    <mergeCell ref="X1578:X1579"/>
    <mergeCell ref="Y1578:Y1579"/>
    <mergeCell ref="Z1578:Z1579"/>
    <mergeCell ref="AA1578:AA1579"/>
    <mergeCell ref="AB1578:AB1579"/>
    <mergeCell ref="A1572:A1573"/>
    <mergeCell ref="E1572:E1573"/>
    <mergeCell ref="H1572:H1573"/>
    <mergeCell ref="I1572:I1573"/>
    <mergeCell ref="J1572:J1573"/>
    <mergeCell ref="K1572:K1573"/>
    <mergeCell ref="L1572:L1573"/>
    <mergeCell ref="M1572:M1573"/>
    <mergeCell ref="N1572:N1573"/>
    <mergeCell ref="O1572:O1573"/>
    <mergeCell ref="X1572:X1573"/>
    <mergeCell ref="Y1572:Y1573"/>
    <mergeCell ref="Z1572:Z1573"/>
    <mergeCell ref="AA1572:AA1573"/>
    <mergeCell ref="AB1572:AB1573"/>
    <mergeCell ref="A1574:A1575"/>
    <mergeCell ref="E1574:E1575"/>
    <mergeCell ref="H1574:H1575"/>
    <mergeCell ref="I1574:I1575"/>
    <mergeCell ref="J1574:J1575"/>
    <mergeCell ref="K1574:K1575"/>
    <mergeCell ref="L1574:L1575"/>
    <mergeCell ref="M1574:M1575"/>
    <mergeCell ref="N1574:N1575"/>
    <mergeCell ref="O1574:O1575"/>
    <mergeCell ref="X1574:X1575"/>
    <mergeCell ref="Y1574:Y1575"/>
    <mergeCell ref="Z1574:Z1575"/>
    <mergeCell ref="AA1574:AA1575"/>
    <mergeCell ref="AB1574:AB1575"/>
    <mergeCell ref="A1568:A1569"/>
    <mergeCell ref="E1568:E1569"/>
    <mergeCell ref="H1568:H1569"/>
    <mergeCell ref="I1568:I1569"/>
    <mergeCell ref="J1568:J1569"/>
    <mergeCell ref="K1568:K1569"/>
    <mergeCell ref="L1568:L1569"/>
    <mergeCell ref="M1568:M1569"/>
    <mergeCell ref="N1568:N1569"/>
    <mergeCell ref="O1568:O1569"/>
    <mergeCell ref="X1568:X1569"/>
    <mergeCell ref="Y1568:Y1569"/>
    <mergeCell ref="Z1568:Z1569"/>
    <mergeCell ref="AA1568:AA1569"/>
    <mergeCell ref="AB1568:AB1569"/>
    <mergeCell ref="A1570:A1571"/>
    <mergeCell ref="E1570:E1571"/>
    <mergeCell ref="H1570:H1571"/>
    <mergeCell ref="I1570:I1571"/>
    <mergeCell ref="J1570:J1571"/>
    <mergeCell ref="K1570:K1571"/>
    <mergeCell ref="L1570:L1571"/>
    <mergeCell ref="M1570:M1571"/>
    <mergeCell ref="N1570:N1571"/>
    <mergeCell ref="O1570:O1571"/>
    <mergeCell ref="X1570:X1571"/>
    <mergeCell ref="Y1570:Y1571"/>
    <mergeCell ref="Z1570:Z1571"/>
    <mergeCell ref="AA1570:AA1571"/>
    <mergeCell ref="AB1570:AB1571"/>
    <mergeCell ref="A1564:A1565"/>
    <mergeCell ref="E1564:E1565"/>
    <mergeCell ref="H1564:H1565"/>
    <mergeCell ref="I1564:I1565"/>
    <mergeCell ref="J1564:J1565"/>
    <mergeCell ref="K1564:K1565"/>
    <mergeCell ref="L1564:L1565"/>
    <mergeCell ref="M1564:M1565"/>
    <mergeCell ref="N1564:N1565"/>
    <mergeCell ref="O1564:O1565"/>
    <mergeCell ref="X1564:X1565"/>
    <mergeCell ref="Y1564:Y1565"/>
    <mergeCell ref="Z1564:Z1565"/>
    <mergeCell ref="AA1564:AA1565"/>
    <mergeCell ref="AB1564:AB1565"/>
    <mergeCell ref="A1566:A1567"/>
    <mergeCell ref="E1566:E1567"/>
    <mergeCell ref="H1566:H1567"/>
    <mergeCell ref="I1566:I1567"/>
    <mergeCell ref="J1566:J1567"/>
    <mergeCell ref="K1566:K1567"/>
    <mergeCell ref="L1566:L1567"/>
    <mergeCell ref="M1566:M1567"/>
    <mergeCell ref="N1566:N1567"/>
    <mergeCell ref="O1566:O1567"/>
    <mergeCell ref="X1566:X1567"/>
    <mergeCell ref="Y1566:Y1567"/>
    <mergeCell ref="Z1566:Z1567"/>
    <mergeCell ref="AA1566:AA1567"/>
    <mergeCell ref="AB1566:AB1567"/>
    <mergeCell ref="A1560:A1561"/>
    <mergeCell ref="E1560:E1561"/>
    <mergeCell ref="H1560:H1561"/>
    <mergeCell ref="I1560:I1561"/>
    <mergeCell ref="J1560:J1561"/>
    <mergeCell ref="K1560:K1561"/>
    <mergeCell ref="L1560:L1561"/>
    <mergeCell ref="M1560:M1561"/>
    <mergeCell ref="N1560:N1561"/>
    <mergeCell ref="O1560:O1561"/>
    <mergeCell ref="X1560:X1561"/>
    <mergeCell ref="Y1560:Y1561"/>
    <mergeCell ref="Z1560:Z1561"/>
    <mergeCell ref="AA1560:AA1561"/>
    <mergeCell ref="AB1560:AB1561"/>
    <mergeCell ref="A1562:A1563"/>
    <mergeCell ref="E1562:E1563"/>
    <mergeCell ref="H1562:H1563"/>
    <mergeCell ref="I1562:I1563"/>
    <mergeCell ref="J1562:J1563"/>
    <mergeCell ref="K1562:K1563"/>
    <mergeCell ref="L1562:L1563"/>
    <mergeCell ref="M1562:M1563"/>
    <mergeCell ref="N1562:N1563"/>
    <mergeCell ref="O1562:O1563"/>
    <mergeCell ref="X1562:X1563"/>
    <mergeCell ref="Y1562:Y1563"/>
    <mergeCell ref="Z1562:Z1563"/>
    <mergeCell ref="AA1562:AA1563"/>
    <mergeCell ref="AB1562:AB1563"/>
    <mergeCell ref="A1556:A1557"/>
    <mergeCell ref="E1556:E1557"/>
    <mergeCell ref="H1556:H1557"/>
    <mergeCell ref="I1556:I1557"/>
    <mergeCell ref="J1556:J1557"/>
    <mergeCell ref="K1556:K1557"/>
    <mergeCell ref="L1556:L1557"/>
    <mergeCell ref="M1556:M1557"/>
    <mergeCell ref="N1556:N1557"/>
    <mergeCell ref="O1556:O1557"/>
    <mergeCell ref="X1556:X1557"/>
    <mergeCell ref="Y1556:Y1557"/>
    <mergeCell ref="Z1556:Z1557"/>
    <mergeCell ref="AA1556:AA1557"/>
    <mergeCell ref="AB1556:AB1557"/>
    <mergeCell ref="A1558:A1559"/>
    <mergeCell ref="E1558:E1559"/>
    <mergeCell ref="H1558:H1559"/>
    <mergeCell ref="I1558:I1559"/>
    <mergeCell ref="J1558:J1559"/>
    <mergeCell ref="K1558:K1559"/>
    <mergeCell ref="L1558:L1559"/>
    <mergeCell ref="M1558:M1559"/>
    <mergeCell ref="N1558:N1559"/>
    <mergeCell ref="O1558:O1559"/>
    <mergeCell ref="X1558:X1559"/>
    <mergeCell ref="Y1558:Y1559"/>
    <mergeCell ref="Z1558:Z1559"/>
    <mergeCell ref="AA1558:AA1559"/>
    <mergeCell ref="AB1558:AB1559"/>
    <mergeCell ref="A1552:A1553"/>
    <mergeCell ref="E1552:E1553"/>
    <mergeCell ref="H1552:H1553"/>
    <mergeCell ref="I1552:I1553"/>
    <mergeCell ref="J1552:J1553"/>
    <mergeCell ref="K1552:K1553"/>
    <mergeCell ref="L1552:L1553"/>
    <mergeCell ref="M1552:M1553"/>
    <mergeCell ref="N1552:N1553"/>
    <mergeCell ref="O1552:O1553"/>
    <mergeCell ref="X1552:X1553"/>
    <mergeCell ref="Y1552:Y1553"/>
    <mergeCell ref="Z1552:Z1553"/>
    <mergeCell ref="AA1552:AA1553"/>
    <mergeCell ref="AB1552:AB1553"/>
    <mergeCell ref="A1554:A1555"/>
    <mergeCell ref="E1554:E1555"/>
    <mergeCell ref="H1554:H1555"/>
    <mergeCell ref="I1554:I1555"/>
    <mergeCell ref="J1554:J1555"/>
    <mergeCell ref="K1554:K1555"/>
    <mergeCell ref="L1554:L1555"/>
    <mergeCell ref="M1554:M1555"/>
    <mergeCell ref="N1554:N1555"/>
    <mergeCell ref="O1554:O1555"/>
    <mergeCell ref="X1554:X1555"/>
    <mergeCell ref="Y1554:Y1555"/>
    <mergeCell ref="Z1554:Z1555"/>
    <mergeCell ref="AA1554:AA1555"/>
    <mergeCell ref="AB1554:AB1555"/>
    <mergeCell ref="A1548:A1549"/>
    <mergeCell ref="E1548:E1549"/>
    <mergeCell ref="H1548:H1549"/>
    <mergeCell ref="I1548:I1549"/>
    <mergeCell ref="J1548:J1549"/>
    <mergeCell ref="K1548:K1549"/>
    <mergeCell ref="L1548:L1549"/>
    <mergeCell ref="M1548:M1549"/>
    <mergeCell ref="N1548:N1549"/>
    <mergeCell ref="O1548:O1549"/>
    <mergeCell ref="X1548:X1549"/>
    <mergeCell ref="Y1548:Y1549"/>
    <mergeCell ref="Z1548:Z1549"/>
    <mergeCell ref="AA1548:AA1549"/>
    <mergeCell ref="AB1548:AB1549"/>
    <mergeCell ref="A1550:A1551"/>
    <mergeCell ref="E1550:E1551"/>
    <mergeCell ref="H1550:H1551"/>
    <mergeCell ref="I1550:I1551"/>
    <mergeCell ref="J1550:J1551"/>
    <mergeCell ref="K1550:K1551"/>
    <mergeCell ref="L1550:L1551"/>
    <mergeCell ref="M1550:M1551"/>
    <mergeCell ref="N1550:N1551"/>
    <mergeCell ref="O1550:O1551"/>
    <mergeCell ref="X1550:X1551"/>
    <mergeCell ref="Y1550:Y1551"/>
    <mergeCell ref="Z1550:Z1551"/>
    <mergeCell ref="AA1550:AA1551"/>
    <mergeCell ref="AB1550:AB1551"/>
    <mergeCell ref="A1544:A1545"/>
    <mergeCell ref="E1544:E1545"/>
    <mergeCell ref="H1544:H1545"/>
    <mergeCell ref="I1544:I1545"/>
    <mergeCell ref="J1544:J1545"/>
    <mergeCell ref="K1544:K1545"/>
    <mergeCell ref="L1544:L1545"/>
    <mergeCell ref="M1544:M1545"/>
    <mergeCell ref="N1544:N1545"/>
    <mergeCell ref="O1544:O1545"/>
    <mergeCell ref="X1544:X1545"/>
    <mergeCell ref="Y1544:Y1545"/>
    <mergeCell ref="Z1544:Z1545"/>
    <mergeCell ref="AA1544:AA1545"/>
    <mergeCell ref="AB1544:AB1545"/>
    <mergeCell ref="A1546:A1547"/>
    <mergeCell ref="E1546:E1547"/>
    <mergeCell ref="H1546:H1547"/>
    <mergeCell ref="I1546:I1547"/>
    <mergeCell ref="J1546:J1547"/>
    <mergeCell ref="K1546:K1547"/>
    <mergeCell ref="L1546:L1547"/>
    <mergeCell ref="M1546:M1547"/>
    <mergeCell ref="N1546:N1547"/>
    <mergeCell ref="O1546:O1547"/>
    <mergeCell ref="X1546:X1547"/>
    <mergeCell ref="Y1546:Y1547"/>
    <mergeCell ref="Z1546:Z1547"/>
    <mergeCell ref="AA1546:AA1547"/>
    <mergeCell ref="AB1546:AB1547"/>
    <mergeCell ref="A1540:A1541"/>
    <mergeCell ref="E1540:E1541"/>
    <mergeCell ref="H1540:H1541"/>
    <mergeCell ref="I1540:I1541"/>
    <mergeCell ref="J1540:J1541"/>
    <mergeCell ref="K1540:K1541"/>
    <mergeCell ref="L1540:L1541"/>
    <mergeCell ref="M1540:M1541"/>
    <mergeCell ref="N1540:N1541"/>
    <mergeCell ref="O1540:O1541"/>
    <mergeCell ref="X1540:X1541"/>
    <mergeCell ref="Y1540:Y1541"/>
    <mergeCell ref="Z1540:Z1541"/>
    <mergeCell ref="AA1540:AA1541"/>
    <mergeCell ref="AB1540:AB1541"/>
    <mergeCell ref="A1542:A1543"/>
    <mergeCell ref="E1542:E1543"/>
    <mergeCell ref="H1542:H1543"/>
    <mergeCell ref="I1542:I1543"/>
    <mergeCell ref="J1542:J1543"/>
    <mergeCell ref="K1542:K1543"/>
    <mergeCell ref="L1542:L1543"/>
    <mergeCell ref="M1542:M1543"/>
    <mergeCell ref="N1542:N1543"/>
    <mergeCell ref="O1542:O1543"/>
    <mergeCell ref="X1542:X1543"/>
    <mergeCell ref="Y1542:Y1543"/>
    <mergeCell ref="Z1542:Z1543"/>
    <mergeCell ref="AA1542:AA1543"/>
    <mergeCell ref="AB1542:AB1543"/>
    <mergeCell ref="A1536:A1537"/>
    <mergeCell ref="E1536:E1537"/>
    <mergeCell ref="H1536:H1537"/>
    <mergeCell ref="I1536:I1537"/>
    <mergeCell ref="J1536:J1537"/>
    <mergeCell ref="K1536:K1537"/>
    <mergeCell ref="L1536:L1537"/>
    <mergeCell ref="M1536:M1537"/>
    <mergeCell ref="N1536:N1537"/>
    <mergeCell ref="O1536:O1537"/>
    <mergeCell ref="X1536:X1537"/>
    <mergeCell ref="Y1536:Y1537"/>
    <mergeCell ref="Z1536:Z1537"/>
    <mergeCell ref="AA1536:AA1537"/>
    <mergeCell ref="AB1536:AB1537"/>
    <mergeCell ref="A1538:A1539"/>
    <mergeCell ref="E1538:E1539"/>
    <mergeCell ref="H1538:H1539"/>
    <mergeCell ref="I1538:I1539"/>
    <mergeCell ref="J1538:J1539"/>
    <mergeCell ref="K1538:K1539"/>
    <mergeCell ref="L1538:L1539"/>
    <mergeCell ref="M1538:M1539"/>
    <mergeCell ref="N1538:N1539"/>
    <mergeCell ref="O1538:O1539"/>
    <mergeCell ref="X1538:X1539"/>
    <mergeCell ref="Y1538:Y1539"/>
    <mergeCell ref="Z1538:Z1539"/>
    <mergeCell ref="AA1538:AA1539"/>
    <mergeCell ref="AB1538:AB1539"/>
    <mergeCell ref="A1532:A1533"/>
    <mergeCell ref="E1532:E1533"/>
    <mergeCell ref="H1532:H1533"/>
    <mergeCell ref="I1532:I1533"/>
    <mergeCell ref="J1532:J1533"/>
    <mergeCell ref="K1532:K1533"/>
    <mergeCell ref="L1532:L1533"/>
    <mergeCell ref="M1532:M1533"/>
    <mergeCell ref="N1532:N1533"/>
    <mergeCell ref="O1532:O1533"/>
    <mergeCell ref="X1532:X1533"/>
    <mergeCell ref="Y1532:Y1533"/>
    <mergeCell ref="Z1532:Z1533"/>
    <mergeCell ref="AA1532:AA1533"/>
    <mergeCell ref="AB1532:AB1533"/>
    <mergeCell ref="A1534:A1535"/>
    <mergeCell ref="E1534:E1535"/>
    <mergeCell ref="H1534:H1535"/>
    <mergeCell ref="I1534:I1535"/>
    <mergeCell ref="J1534:J1535"/>
    <mergeCell ref="K1534:K1535"/>
    <mergeCell ref="L1534:L1535"/>
    <mergeCell ref="M1534:M1535"/>
    <mergeCell ref="N1534:N1535"/>
    <mergeCell ref="O1534:O1535"/>
    <mergeCell ref="X1534:X1535"/>
    <mergeCell ref="Y1534:Y1535"/>
    <mergeCell ref="Z1534:Z1535"/>
    <mergeCell ref="AA1534:AA1535"/>
    <mergeCell ref="AB1534:AB1535"/>
    <mergeCell ref="A1528:A1529"/>
    <mergeCell ref="E1528:E1529"/>
    <mergeCell ref="H1528:H1529"/>
    <mergeCell ref="I1528:I1529"/>
    <mergeCell ref="J1528:J1529"/>
    <mergeCell ref="K1528:K1529"/>
    <mergeCell ref="L1528:L1529"/>
    <mergeCell ref="M1528:M1529"/>
    <mergeCell ref="N1528:N1529"/>
    <mergeCell ref="O1528:O1529"/>
    <mergeCell ref="X1528:X1529"/>
    <mergeCell ref="Y1528:Y1529"/>
    <mergeCell ref="Z1528:Z1529"/>
    <mergeCell ref="AA1528:AA1529"/>
    <mergeCell ref="AB1528:AB1529"/>
    <mergeCell ref="A1530:A1531"/>
    <mergeCell ref="E1530:E1531"/>
    <mergeCell ref="H1530:H1531"/>
    <mergeCell ref="I1530:I1531"/>
    <mergeCell ref="J1530:J1531"/>
    <mergeCell ref="K1530:K1531"/>
    <mergeCell ref="L1530:L1531"/>
    <mergeCell ref="M1530:M1531"/>
    <mergeCell ref="N1530:N1531"/>
    <mergeCell ref="O1530:O1531"/>
    <mergeCell ref="X1530:X1531"/>
    <mergeCell ref="Y1530:Y1531"/>
    <mergeCell ref="Z1530:Z1531"/>
    <mergeCell ref="AA1530:AA1531"/>
    <mergeCell ref="AB1530:AB1531"/>
    <mergeCell ref="A1524:A1525"/>
    <mergeCell ref="E1524:E1525"/>
    <mergeCell ref="H1524:H1525"/>
    <mergeCell ref="I1524:I1525"/>
    <mergeCell ref="J1524:J1525"/>
    <mergeCell ref="K1524:K1525"/>
    <mergeCell ref="L1524:L1525"/>
    <mergeCell ref="M1524:M1525"/>
    <mergeCell ref="N1524:N1525"/>
    <mergeCell ref="O1524:O1525"/>
    <mergeCell ref="X1524:X1525"/>
    <mergeCell ref="Y1524:Y1525"/>
    <mergeCell ref="Z1524:Z1525"/>
    <mergeCell ref="AA1524:AA1525"/>
    <mergeCell ref="AB1524:AB1525"/>
    <mergeCell ref="A1526:A1527"/>
    <mergeCell ref="E1526:E1527"/>
    <mergeCell ref="H1526:H1527"/>
    <mergeCell ref="I1526:I1527"/>
    <mergeCell ref="J1526:J1527"/>
    <mergeCell ref="K1526:K1527"/>
    <mergeCell ref="L1526:L1527"/>
    <mergeCell ref="M1526:M1527"/>
    <mergeCell ref="N1526:N1527"/>
    <mergeCell ref="O1526:O1527"/>
    <mergeCell ref="X1526:X1527"/>
    <mergeCell ref="Y1526:Y1527"/>
    <mergeCell ref="Z1526:Z1527"/>
    <mergeCell ref="AA1526:AA1527"/>
    <mergeCell ref="AB1526:AB1527"/>
    <mergeCell ref="A1520:A1521"/>
    <mergeCell ref="E1520:E1521"/>
    <mergeCell ref="H1520:H1521"/>
    <mergeCell ref="I1520:I1521"/>
    <mergeCell ref="J1520:J1521"/>
    <mergeCell ref="K1520:K1521"/>
    <mergeCell ref="L1520:L1521"/>
    <mergeCell ref="M1520:M1521"/>
    <mergeCell ref="N1520:N1521"/>
    <mergeCell ref="O1520:O1521"/>
    <mergeCell ref="X1520:X1521"/>
    <mergeCell ref="Y1520:Y1521"/>
    <mergeCell ref="Z1520:Z1521"/>
    <mergeCell ref="AA1520:AA1521"/>
    <mergeCell ref="AB1520:AB1521"/>
    <mergeCell ref="A1522:A1523"/>
    <mergeCell ref="E1522:E1523"/>
    <mergeCell ref="H1522:H1523"/>
    <mergeCell ref="I1522:I1523"/>
    <mergeCell ref="J1522:J1523"/>
    <mergeCell ref="K1522:K1523"/>
    <mergeCell ref="L1522:L1523"/>
    <mergeCell ref="M1522:M1523"/>
    <mergeCell ref="N1522:N1523"/>
    <mergeCell ref="O1522:O1523"/>
    <mergeCell ref="X1522:X1523"/>
    <mergeCell ref="Y1522:Y1523"/>
    <mergeCell ref="Z1522:Z1523"/>
    <mergeCell ref="AA1522:AA1523"/>
    <mergeCell ref="AB1522:AB1523"/>
    <mergeCell ref="A1516:A1517"/>
    <mergeCell ref="E1516:E1517"/>
    <mergeCell ref="H1516:H1517"/>
    <mergeCell ref="I1516:I1517"/>
    <mergeCell ref="J1516:J1517"/>
    <mergeCell ref="K1516:K1517"/>
    <mergeCell ref="L1516:L1517"/>
    <mergeCell ref="M1516:M1517"/>
    <mergeCell ref="N1516:N1517"/>
    <mergeCell ref="O1516:O1517"/>
    <mergeCell ref="X1516:X1517"/>
    <mergeCell ref="Y1516:Y1517"/>
    <mergeCell ref="Z1516:Z1517"/>
    <mergeCell ref="AA1516:AA1517"/>
    <mergeCell ref="AB1516:AB1517"/>
    <mergeCell ref="A1518:A1519"/>
    <mergeCell ref="E1518:E1519"/>
    <mergeCell ref="H1518:H1519"/>
    <mergeCell ref="I1518:I1519"/>
    <mergeCell ref="J1518:J1519"/>
    <mergeCell ref="K1518:K1519"/>
    <mergeCell ref="L1518:L1519"/>
    <mergeCell ref="M1518:M1519"/>
    <mergeCell ref="N1518:N1519"/>
    <mergeCell ref="O1518:O1519"/>
    <mergeCell ref="X1518:X1519"/>
    <mergeCell ref="Y1518:Y1519"/>
    <mergeCell ref="Z1518:Z1519"/>
    <mergeCell ref="AA1518:AA1519"/>
    <mergeCell ref="AB1518:AB1519"/>
    <mergeCell ref="A1512:A1513"/>
    <mergeCell ref="E1512:E1513"/>
    <mergeCell ref="H1512:H1513"/>
    <mergeCell ref="I1512:I1513"/>
    <mergeCell ref="J1512:J1513"/>
    <mergeCell ref="K1512:K1513"/>
    <mergeCell ref="L1512:L1513"/>
    <mergeCell ref="M1512:M1513"/>
    <mergeCell ref="N1512:N1513"/>
    <mergeCell ref="O1512:O1513"/>
    <mergeCell ref="X1512:X1513"/>
    <mergeCell ref="Y1512:Y1513"/>
    <mergeCell ref="Z1512:Z1513"/>
    <mergeCell ref="AA1512:AA1513"/>
    <mergeCell ref="AB1512:AB1513"/>
    <mergeCell ref="A1514:A1515"/>
    <mergeCell ref="E1514:E1515"/>
    <mergeCell ref="H1514:H1515"/>
    <mergeCell ref="I1514:I1515"/>
    <mergeCell ref="J1514:J1515"/>
    <mergeCell ref="K1514:K1515"/>
    <mergeCell ref="L1514:L1515"/>
    <mergeCell ref="M1514:M1515"/>
    <mergeCell ref="N1514:N1515"/>
    <mergeCell ref="O1514:O1515"/>
    <mergeCell ref="X1514:X1515"/>
    <mergeCell ref="Y1514:Y1515"/>
    <mergeCell ref="Z1514:Z1515"/>
    <mergeCell ref="AA1514:AA1515"/>
    <mergeCell ref="AB1514:AB1515"/>
    <mergeCell ref="A1508:A1509"/>
    <mergeCell ref="E1508:E1509"/>
    <mergeCell ref="H1508:H1509"/>
    <mergeCell ref="I1508:I1509"/>
    <mergeCell ref="J1508:J1509"/>
    <mergeCell ref="K1508:K1509"/>
    <mergeCell ref="L1508:L1509"/>
    <mergeCell ref="M1508:M1509"/>
    <mergeCell ref="N1508:N1509"/>
    <mergeCell ref="O1508:O1509"/>
    <mergeCell ref="X1508:X1509"/>
    <mergeCell ref="Y1508:Y1509"/>
    <mergeCell ref="Z1508:Z1509"/>
    <mergeCell ref="AA1508:AA1509"/>
    <mergeCell ref="AB1508:AB1509"/>
    <mergeCell ref="A1510:A1511"/>
    <mergeCell ref="E1510:E1511"/>
    <mergeCell ref="H1510:H1511"/>
    <mergeCell ref="I1510:I1511"/>
    <mergeCell ref="J1510:J1511"/>
    <mergeCell ref="K1510:K1511"/>
    <mergeCell ref="L1510:L1511"/>
    <mergeCell ref="M1510:M1511"/>
    <mergeCell ref="N1510:N1511"/>
    <mergeCell ref="O1510:O1511"/>
    <mergeCell ref="X1510:X1511"/>
    <mergeCell ref="Y1510:Y1511"/>
    <mergeCell ref="Z1510:Z1511"/>
    <mergeCell ref="AA1510:AA1511"/>
    <mergeCell ref="AB1510:AB1511"/>
    <mergeCell ref="A1504:A1505"/>
    <mergeCell ref="E1504:E1505"/>
    <mergeCell ref="H1504:H1505"/>
    <mergeCell ref="I1504:I1505"/>
    <mergeCell ref="J1504:J1505"/>
    <mergeCell ref="K1504:K1505"/>
    <mergeCell ref="L1504:L1505"/>
    <mergeCell ref="M1504:M1505"/>
    <mergeCell ref="N1504:N1505"/>
    <mergeCell ref="O1504:O1505"/>
    <mergeCell ref="X1504:X1505"/>
    <mergeCell ref="Y1504:Y1505"/>
    <mergeCell ref="Z1504:Z1505"/>
    <mergeCell ref="AA1504:AA1505"/>
    <mergeCell ref="AB1504:AB1505"/>
    <mergeCell ref="A1506:A1507"/>
    <mergeCell ref="E1506:E1507"/>
    <mergeCell ref="H1506:H1507"/>
    <mergeCell ref="I1506:I1507"/>
    <mergeCell ref="J1506:J1507"/>
    <mergeCell ref="K1506:K1507"/>
    <mergeCell ref="L1506:L1507"/>
    <mergeCell ref="M1506:M1507"/>
    <mergeCell ref="N1506:N1507"/>
    <mergeCell ref="O1506:O1507"/>
    <mergeCell ref="X1506:X1507"/>
    <mergeCell ref="Y1506:Y1507"/>
    <mergeCell ref="Z1506:Z1507"/>
    <mergeCell ref="AA1506:AA1507"/>
    <mergeCell ref="AB1506:AB1507"/>
    <mergeCell ref="A1500:A1501"/>
    <mergeCell ref="E1500:E1501"/>
    <mergeCell ref="H1500:H1501"/>
    <mergeCell ref="I1500:I1501"/>
    <mergeCell ref="J1500:J1501"/>
    <mergeCell ref="K1500:K1501"/>
    <mergeCell ref="L1500:L1501"/>
    <mergeCell ref="M1500:M1501"/>
    <mergeCell ref="N1500:N1501"/>
    <mergeCell ref="O1500:O1501"/>
    <mergeCell ref="X1500:X1501"/>
    <mergeCell ref="Y1500:Y1501"/>
    <mergeCell ref="Z1500:Z1501"/>
    <mergeCell ref="AA1500:AA1501"/>
    <mergeCell ref="AB1500:AB1501"/>
    <mergeCell ref="A1502:A1503"/>
    <mergeCell ref="E1502:E1503"/>
    <mergeCell ref="H1502:H1503"/>
    <mergeCell ref="I1502:I1503"/>
    <mergeCell ref="J1502:J1503"/>
    <mergeCell ref="K1502:K1503"/>
    <mergeCell ref="L1502:L1503"/>
    <mergeCell ref="M1502:M1503"/>
    <mergeCell ref="N1502:N1503"/>
    <mergeCell ref="O1502:O1503"/>
    <mergeCell ref="X1502:X1503"/>
    <mergeCell ref="Y1502:Y1503"/>
    <mergeCell ref="Z1502:Z1503"/>
    <mergeCell ref="AA1502:AA1503"/>
    <mergeCell ref="AB1502:AB1503"/>
    <mergeCell ref="A1496:A1497"/>
    <mergeCell ref="E1496:E1497"/>
    <mergeCell ref="H1496:H1497"/>
    <mergeCell ref="I1496:I1497"/>
    <mergeCell ref="J1496:J1497"/>
    <mergeCell ref="K1496:K1497"/>
    <mergeCell ref="L1496:L1497"/>
    <mergeCell ref="M1496:M1497"/>
    <mergeCell ref="N1496:N1497"/>
    <mergeCell ref="O1496:O1497"/>
    <mergeCell ref="X1496:X1497"/>
    <mergeCell ref="Y1496:Y1497"/>
    <mergeCell ref="Z1496:Z1497"/>
    <mergeCell ref="AA1496:AA1497"/>
    <mergeCell ref="AB1496:AB1497"/>
    <mergeCell ref="A1498:A1499"/>
    <mergeCell ref="E1498:E1499"/>
    <mergeCell ref="H1498:H1499"/>
    <mergeCell ref="I1498:I1499"/>
    <mergeCell ref="J1498:J1499"/>
    <mergeCell ref="K1498:K1499"/>
    <mergeCell ref="L1498:L1499"/>
    <mergeCell ref="M1498:M1499"/>
    <mergeCell ref="N1498:N1499"/>
    <mergeCell ref="O1498:O1499"/>
    <mergeCell ref="X1498:X1499"/>
    <mergeCell ref="Y1498:Y1499"/>
    <mergeCell ref="Z1498:Z1499"/>
    <mergeCell ref="AA1498:AA1499"/>
    <mergeCell ref="AB1498:AB1499"/>
    <mergeCell ref="A1492:A1493"/>
    <mergeCell ref="E1492:E1493"/>
    <mergeCell ref="H1492:H1493"/>
    <mergeCell ref="I1492:I1493"/>
    <mergeCell ref="J1492:J1493"/>
    <mergeCell ref="K1492:K1493"/>
    <mergeCell ref="L1492:L1493"/>
    <mergeCell ref="M1492:M1493"/>
    <mergeCell ref="N1492:N1493"/>
    <mergeCell ref="O1492:O1493"/>
    <mergeCell ref="X1492:X1493"/>
    <mergeCell ref="Y1492:Y1493"/>
    <mergeCell ref="Z1492:Z1493"/>
    <mergeCell ref="AA1492:AA1493"/>
    <mergeCell ref="AB1492:AB1493"/>
    <mergeCell ref="A1494:A1495"/>
    <mergeCell ref="E1494:E1495"/>
    <mergeCell ref="H1494:H1495"/>
    <mergeCell ref="I1494:I1495"/>
    <mergeCell ref="J1494:J1495"/>
    <mergeCell ref="K1494:K1495"/>
    <mergeCell ref="L1494:L1495"/>
    <mergeCell ref="M1494:M1495"/>
    <mergeCell ref="N1494:N1495"/>
    <mergeCell ref="O1494:O1495"/>
    <mergeCell ref="X1494:X1495"/>
    <mergeCell ref="Y1494:Y1495"/>
    <mergeCell ref="Z1494:Z1495"/>
    <mergeCell ref="AA1494:AA1495"/>
    <mergeCell ref="AB1494:AB1495"/>
    <mergeCell ref="A1488:A1489"/>
    <mergeCell ref="E1488:E1489"/>
    <mergeCell ref="H1488:H1489"/>
    <mergeCell ref="I1488:I1489"/>
    <mergeCell ref="J1488:J1489"/>
    <mergeCell ref="K1488:K1489"/>
    <mergeCell ref="L1488:L1489"/>
    <mergeCell ref="M1488:M1489"/>
    <mergeCell ref="N1488:N1489"/>
    <mergeCell ref="O1488:O1489"/>
    <mergeCell ref="X1488:X1489"/>
    <mergeCell ref="Y1488:Y1489"/>
    <mergeCell ref="Z1488:Z1489"/>
    <mergeCell ref="AA1488:AA1489"/>
    <mergeCell ref="AB1488:AB1489"/>
    <mergeCell ref="A1490:A1491"/>
    <mergeCell ref="E1490:E1491"/>
    <mergeCell ref="H1490:H1491"/>
    <mergeCell ref="I1490:I1491"/>
    <mergeCell ref="J1490:J1491"/>
    <mergeCell ref="K1490:K1491"/>
    <mergeCell ref="L1490:L1491"/>
    <mergeCell ref="M1490:M1491"/>
    <mergeCell ref="N1490:N1491"/>
    <mergeCell ref="O1490:O1491"/>
    <mergeCell ref="X1490:X1491"/>
    <mergeCell ref="Y1490:Y1491"/>
    <mergeCell ref="Z1490:Z1491"/>
    <mergeCell ref="AA1490:AA1491"/>
    <mergeCell ref="AB1490:AB1491"/>
    <mergeCell ref="A1484:A1485"/>
    <mergeCell ref="E1484:E1485"/>
    <mergeCell ref="H1484:H1485"/>
    <mergeCell ref="I1484:I1485"/>
    <mergeCell ref="J1484:J1485"/>
    <mergeCell ref="K1484:K1485"/>
    <mergeCell ref="L1484:L1485"/>
    <mergeCell ref="M1484:M1485"/>
    <mergeCell ref="N1484:N1485"/>
    <mergeCell ref="O1484:O1485"/>
    <mergeCell ref="X1484:X1485"/>
    <mergeCell ref="Y1484:Y1485"/>
    <mergeCell ref="Z1484:Z1485"/>
    <mergeCell ref="AA1484:AA1485"/>
    <mergeCell ref="AB1484:AB1485"/>
    <mergeCell ref="A1486:A1487"/>
    <mergeCell ref="E1486:E1487"/>
    <mergeCell ref="H1486:H1487"/>
    <mergeCell ref="I1486:I1487"/>
    <mergeCell ref="J1486:J1487"/>
    <mergeCell ref="K1486:K1487"/>
    <mergeCell ref="L1486:L1487"/>
    <mergeCell ref="M1486:M1487"/>
    <mergeCell ref="N1486:N1487"/>
    <mergeCell ref="O1486:O1487"/>
    <mergeCell ref="X1486:X1487"/>
    <mergeCell ref="Y1486:Y1487"/>
    <mergeCell ref="Z1486:Z1487"/>
    <mergeCell ref="AA1486:AA1487"/>
    <mergeCell ref="AB1486:AB1487"/>
    <mergeCell ref="A1480:A1481"/>
    <mergeCell ref="E1480:E1481"/>
    <mergeCell ref="H1480:H1481"/>
    <mergeCell ref="I1480:I1481"/>
    <mergeCell ref="J1480:J1481"/>
    <mergeCell ref="K1480:K1481"/>
    <mergeCell ref="L1480:L1481"/>
    <mergeCell ref="M1480:M1481"/>
    <mergeCell ref="N1480:N1481"/>
    <mergeCell ref="O1480:O1481"/>
    <mergeCell ref="X1480:X1481"/>
    <mergeCell ref="Y1480:Y1481"/>
    <mergeCell ref="Z1480:Z1481"/>
    <mergeCell ref="AA1480:AA1481"/>
    <mergeCell ref="AB1480:AB1481"/>
    <mergeCell ref="A1482:A1483"/>
    <mergeCell ref="E1482:E1483"/>
    <mergeCell ref="H1482:H1483"/>
    <mergeCell ref="I1482:I1483"/>
    <mergeCell ref="J1482:J1483"/>
    <mergeCell ref="K1482:K1483"/>
    <mergeCell ref="L1482:L1483"/>
    <mergeCell ref="M1482:M1483"/>
    <mergeCell ref="N1482:N1483"/>
    <mergeCell ref="O1482:O1483"/>
    <mergeCell ref="X1482:X1483"/>
    <mergeCell ref="Y1482:Y1483"/>
    <mergeCell ref="Z1482:Z1483"/>
    <mergeCell ref="AA1482:AA1483"/>
    <mergeCell ref="AB1482:AB1483"/>
    <mergeCell ref="A1476:A1477"/>
    <mergeCell ref="E1476:E1477"/>
    <mergeCell ref="H1476:H1477"/>
    <mergeCell ref="I1476:I1477"/>
    <mergeCell ref="J1476:J1477"/>
    <mergeCell ref="K1476:K1477"/>
    <mergeCell ref="L1476:L1477"/>
    <mergeCell ref="M1476:M1477"/>
    <mergeCell ref="N1476:N1477"/>
    <mergeCell ref="O1476:O1477"/>
    <mergeCell ref="X1476:X1477"/>
    <mergeCell ref="Y1476:Y1477"/>
    <mergeCell ref="Z1476:Z1477"/>
    <mergeCell ref="AA1476:AA1477"/>
    <mergeCell ref="AB1476:AB1477"/>
    <mergeCell ref="A1478:A1479"/>
    <mergeCell ref="E1478:E1479"/>
    <mergeCell ref="H1478:H1479"/>
    <mergeCell ref="I1478:I1479"/>
    <mergeCell ref="J1478:J1479"/>
    <mergeCell ref="K1478:K1479"/>
    <mergeCell ref="L1478:L1479"/>
    <mergeCell ref="M1478:M1479"/>
    <mergeCell ref="N1478:N1479"/>
    <mergeCell ref="O1478:O1479"/>
    <mergeCell ref="X1478:X1479"/>
    <mergeCell ref="Y1478:Y1479"/>
    <mergeCell ref="Z1478:Z1479"/>
    <mergeCell ref="AA1478:AA1479"/>
    <mergeCell ref="AB1478:AB1479"/>
    <mergeCell ref="A1472:A1473"/>
    <mergeCell ref="E1472:E1473"/>
    <mergeCell ref="H1472:H1473"/>
    <mergeCell ref="I1472:I1473"/>
    <mergeCell ref="J1472:J1473"/>
    <mergeCell ref="K1472:K1473"/>
    <mergeCell ref="L1472:L1473"/>
    <mergeCell ref="M1472:M1473"/>
    <mergeCell ref="N1472:N1473"/>
    <mergeCell ref="O1472:O1473"/>
    <mergeCell ref="X1472:X1473"/>
    <mergeCell ref="Y1472:Y1473"/>
    <mergeCell ref="Z1472:Z1473"/>
    <mergeCell ref="AA1472:AA1473"/>
    <mergeCell ref="AB1472:AB1473"/>
    <mergeCell ref="A1474:A1475"/>
    <mergeCell ref="E1474:E1475"/>
    <mergeCell ref="H1474:H1475"/>
    <mergeCell ref="I1474:I1475"/>
    <mergeCell ref="J1474:J1475"/>
    <mergeCell ref="K1474:K1475"/>
    <mergeCell ref="L1474:L1475"/>
    <mergeCell ref="M1474:M1475"/>
    <mergeCell ref="N1474:N1475"/>
    <mergeCell ref="O1474:O1475"/>
    <mergeCell ref="X1474:X1475"/>
    <mergeCell ref="Y1474:Y1475"/>
    <mergeCell ref="Z1474:Z1475"/>
    <mergeCell ref="AA1474:AA1475"/>
    <mergeCell ref="AB1474:AB1475"/>
    <mergeCell ref="A1468:A1469"/>
    <mergeCell ref="E1468:E1469"/>
    <mergeCell ref="H1468:H1469"/>
    <mergeCell ref="I1468:I1469"/>
    <mergeCell ref="J1468:J1469"/>
    <mergeCell ref="K1468:K1469"/>
    <mergeCell ref="L1468:L1469"/>
    <mergeCell ref="M1468:M1469"/>
    <mergeCell ref="N1468:N1469"/>
    <mergeCell ref="O1468:O1469"/>
    <mergeCell ref="X1468:X1469"/>
    <mergeCell ref="Y1468:Y1469"/>
    <mergeCell ref="Z1468:Z1469"/>
    <mergeCell ref="AA1468:AA1469"/>
    <mergeCell ref="AB1468:AB1469"/>
    <mergeCell ref="A1470:A1471"/>
    <mergeCell ref="E1470:E1471"/>
    <mergeCell ref="H1470:H1471"/>
    <mergeCell ref="I1470:I1471"/>
    <mergeCell ref="J1470:J1471"/>
    <mergeCell ref="K1470:K1471"/>
    <mergeCell ref="L1470:L1471"/>
    <mergeCell ref="M1470:M1471"/>
    <mergeCell ref="N1470:N1471"/>
    <mergeCell ref="O1470:O1471"/>
    <mergeCell ref="X1470:X1471"/>
    <mergeCell ref="Y1470:Y1471"/>
    <mergeCell ref="Z1470:Z1471"/>
    <mergeCell ref="AA1470:AA1471"/>
    <mergeCell ref="AB1470:AB1471"/>
    <mergeCell ref="A1464:A1465"/>
    <mergeCell ref="E1464:E1465"/>
    <mergeCell ref="H1464:H1465"/>
    <mergeCell ref="I1464:I1465"/>
    <mergeCell ref="J1464:J1465"/>
    <mergeCell ref="K1464:K1465"/>
    <mergeCell ref="L1464:L1465"/>
    <mergeCell ref="M1464:M1465"/>
    <mergeCell ref="N1464:N1465"/>
    <mergeCell ref="O1464:O1465"/>
    <mergeCell ref="X1464:X1465"/>
    <mergeCell ref="Y1464:Y1465"/>
    <mergeCell ref="Z1464:Z1465"/>
    <mergeCell ref="AA1464:AA1465"/>
    <mergeCell ref="AB1464:AB1465"/>
    <mergeCell ref="A1466:A1467"/>
    <mergeCell ref="E1466:E1467"/>
    <mergeCell ref="H1466:H1467"/>
    <mergeCell ref="I1466:I1467"/>
    <mergeCell ref="J1466:J1467"/>
    <mergeCell ref="K1466:K1467"/>
    <mergeCell ref="L1466:L1467"/>
    <mergeCell ref="M1466:M1467"/>
    <mergeCell ref="N1466:N1467"/>
    <mergeCell ref="O1466:O1467"/>
    <mergeCell ref="X1466:X1467"/>
    <mergeCell ref="Y1466:Y1467"/>
    <mergeCell ref="Z1466:Z1467"/>
    <mergeCell ref="AA1466:AA1467"/>
    <mergeCell ref="AB1466:AB1467"/>
    <mergeCell ref="A1460:A1461"/>
    <mergeCell ref="E1460:E1461"/>
    <mergeCell ref="H1460:H1461"/>
    <mergeCell ref="I1460:I1461"/>
    <mergeCell ref="J1460:J1461"/>
    <mergeCell ref="K1460:K1461"/>
    <mergeCell ref="L1460:L1461"/>
    <mergeCell ref="M1460:M1461"/>
    <mergeCell ref="N1460:N1461"/>
    <mergeCell ref="O1460:O1461"/>
    <mergeCell ref="X1460:X1461"/>
    <mergeCell ref="Y1460:Y1461"/>
    <mergeCell ref="Z1460:Z1461"/>
    <mergeCell ref="AA1460:AA1461"/>
    <mergeCell ref="AB1460:AB1461"/>
    <mergeCell ref="A1462:A1463"/>
    <mergeCell ref="E1462:E1463"/>
    <mergeCell ref="H1462:H1463"/>
    <mergeCell ref="I1462:I1463"/>
    <mergeCell ref="J1462:J1463"/>
    <mergeCell ref="K1462:K1463"/>
    <mergeCell ref="L1462:L1463"/>
    <mergeCell ref="M1462:M1463"/>
    <mergeCell ref="N1462:N1463"/>
    <mergeCell ref="O1462:O1463"/>
    <mergeCell ref="X1462:X1463"/>
    <mergeCell ref="Y1462:Y1463"/>
    <mergeCell ref="Z1462:Z1463"/>
    <mergeCell ref="AA1462:AA1463"/>
    <mergeCell ref="AB1462:AB1463"/>
    <mergeCell ref="A1456:A1457"/>
    <mergeCell ref="E1456:E1457"/>
    <mergeCell ref="H1456:H1457"/>
    <mergeCell ref="I1456:I1457"/>
    <mergeCell ref="J1456:J1457"/>
    <mergeCell ref="K1456:K1457"/>
    <mergeCell ref="L1456:L1457"/>
    <mergeCell ref="M1456:M1457"/>
    <mergeCell ref="N1456:N1457"/>
    <mergeCell ref="O1456:O1457"/>
    <mergeCell ref="X1456:X1457"/>
    <mergeCell ref="Y1456:Y1457"/>
    <mergeCell ref="Z1456:Z1457"/>
    <mergeCell ref="AA1456:AA1457"/>
    <mergeCell ref="AB1456:AB1457"/>
    <mergeCell ref="A1458:A1459"/>
    <mergeCell ref="E1458:E1459"/>
    <mergeCell ref="H1458:H1459"/>
    <mergeCell ref="I1458:I1459"/>
    <mergeCell ref="J1458:J1459"/>
    <mergeCell ref="K1458:K1459"/>
    <mergeCell ref="L1458:L1459"/>
    <mergeCell ref="M1458:M1459"/>
    <mergeCell ref="N1458:N1459"/>
    <mergeCell ref="O1458:O1459"/>
    <mergeCell ref="X1458:X1459"/>
    <mergeCell ref="Y1458:Y1459"/>
    <mergeCell ref="Z1458:Z1459"/>
    <mergeCell ref="AA1458:AA1459"/>
    <mergeCell ref="AB1458:AB1459"/>
    <mergeCell ref="A1452:A1453"/>
    <mergeCell ref="E1452:E1453"/>
    <mergeCell ref="H1452:H1453"/>
    <mergeCell ref="I1452:I1453"/>
    <mergeCell ref="J1452:J1453"/>
    <mergeCell ref="K1452:K1453"/>
    <mergeCell ref="L1452:L1453"/>
    <mergeCell ref="M1452:M1453"/>
    <mergeCell ref="N1452:N1453"/>
    <mergeCell ref="O1452:O1453"/>
    <mergeCell ref="X1452:X1453"/>
    <mergeCell ref="Y1452:Y1453"/>
    <mergeCell ref="Z1452:Z1453"/>
    <mergeCell ref="AA1452:AA1453"/>
    <mergeCell ref="AB1452:AB1453"/>
    <mergeCell ref="A1454:A1455"/>
    <mergeCell ref="E1454:E1455"/>
    <mergeCell ref="H1454:H1455"/>
    <mergeCell ref="I1454:I1455"/>
    <mergeCell ref="J1454:J1455"/>
    <mergeCell ref="K1454:K1455"/>
    <mergeCell ref="L1454:L1455"/>
    <mergeCell ref="M1454:M1455"/>
    <mergeCell ref="N1454:N1455"/>
    <mergeCell ref="O1454:O1455"/>
    <mergeCell ref="X1454:X1455"/>
    <mergeCell ref="Y1454:Y1455"/>
    <mergeCell ref="Z1454:Z1455"/>
    <mergeCell ref="AA1454:AA1455"/>
    <mergeCell ref="AB1454:AB1455"/>
    <mergeCell ref="A1448:A1449"/>
    <mergeCell ref="E1448:E1449"/>
    <mergeCell ref="H1448:H1449"/>
    <mergeCell ref="I1448:I1449"/>
    <mergeCell ref="J1448:J1449"/>
    <mergeCell ref="K1448:K1449"/>
    <mergeCell ref="L1448:L1449"/>
    <mergeCell ref="M1448:M1449"/>
    <mergeCell ref="N1448:N1449"/>
    <mergeCell ref="O1448:O1449"/>
    <mergeCell ref="X1448:X1449"/>
    <mergeCell ref="Y1448:Y1449"/>
    <mergeCell ref="Z1448:Z1449"/>
    <mergeCell ref="AA1448:AA1449"/>
    <mergeCell ref="AB1448:AB1449"/>
    <mergeCell ref="A1450:A1451"/>
    <mergeCell ref="E1450:E1451"/>
    <mergeCell ref="H1450:H1451"/>
    <mergeCell ref="I1450:I1451"/>
    <mergeCell ref="J1450:J1451"/>
    <mergeCell ref="K1450:K1451"/>
    <mergeCell ref="L1450:L1451"/>
    <mergeCell ref="M1450:M1451"/>
    <mergeCell ref="N1450:N1451"/>
    <mergeCell ref="O1450:O1451"/>
    <mergeCell ref="X1450:X1451"/>
    <mergeCell ref="Y1450:Y1451"/>
    <mergeCell ref="Z1450:Z1451"/>
    <mergeCell ref="AA1450:AA1451"/>
    <mergeCell ref="AB1450:AB1451"/>
    <mergeCell ref="A1444:A1445"/>
    <mergeCell ref="E1444:E1445"/>
    <mergeCell ref="H1444:H1445"/>
    <mergeCell ref="I1444:I1445"/>
    <mergeCell ref="J1444:J1445"/>
    <mergeCell ref="K1444:K1445"/>
    <mergeCell ref="L1444:L1445"/>
    <mergeCell ref="M1444:M1445"/>
    <mergeCell ref="N1444:N1445"/>
    <mergeCell ref="O1444:O1445"/>
    <mergeCell ref="X1444:X1445"/>
    <mergeCell ref="Y1444:Y1445"/>
    <mergeCell ref="Z1444:Z1445"/>
    <mergeCell ref="AA1444:AA1445"/>
    <mergeCell ref="AB1444:AB1445"/>
    <mergeCell ref="A1446:A1447"/>
    <mergeCell ref="E1446:E1447"/>
    <mergeCell ref="H1446:H1447"/>
    <mergeCell ref="I1446:I1447"/>
    <mergeCell ref="J1446:J1447"/>
    <mergeCell ref="K1446:K1447"/>
    <mergeCell ref="L1446:L1447"/>
    <mergeCell ref="M1446:M1447"/>
    <mergeCell ref="N1446:N1447"/>
    <mergeCell ref="O1446:O1447"/>
    <mergeCell ref="X1446:X1447"/>
    <mergeCell ref="Y1446:Y1447"/>
    <mergeCell ref="Z1446:Z1447"/>
    <mergeCell ref="AA1446:AA1447"/>
    <mergeCell ref="AB1446:AB1447"/>
    <mergeCell ref="A1440:A1441"/>
    <mergeCell ref="E1440:E1441"/>
    <mergeCell ref="H1440:H1441"/>
    <mergeCell ref="I1440:I1441"/>
    <mergeCell ref="J1440:J1441"/>
    <mergeCell ref="K1440:K1441"/>
    <mergeCell ref="L1440:L1441"/>
    <mergeCell ref="M1440:M1441"/>
    <mergeCell ref="N1440:N1441"/>
    <mergeCell ref="O1440:O1441"/>
    <mergeCell ref="X1440:X1441"/>
    <mergeCell ref="Y1440:Y1441"/>
    <mergeCell ref="Z1440:Z1441"/>
    <mergeCell ref="AA1440:AA1441"/>
    <mergeCell ref="AB1440:AB1441"/>
    <mergeCell ref="A1442:A1443"/>
    <mergeCell ref="E1442:E1443"/>
    <mergeCell ref="H1442:H1443"/>
    <mergeCell ref="I1442:I1443"/>
    <mergeCell ref="J1442:J1443"/>
    <mergeCell ref="K1442:K1443"/>
    <mergeCell ref="L1442:L1443"/>
    <mergeCell ref="M1442:M1443"/>
    <mergeCell ref="N1442:N1443"/>
    <mergeCell ref="O1442:O1443"/>
    <mergeCell ref="X1442:X1443"/>
    <mergeCell ref="Y1442:Y1443"/>
    <mergeCell ref="Z1442:Z1443"/>
    <mergeCell ref="AA1442:AA1443"/>
    <mergeCell ref="AB1442:AB1443"/>
    <mergeCell ref="A1436:A1437"/>
    <mergeCell ref="E1436:E1437"/>
    <mergeCell ref="H1436:H1437"/>
    <mergeCell ref="I1436:I1437"/>
    <mergeCell ref="J1436:J1437"/>
    <mergeCell ref="K1436:K1437"/>
    <mergeCell ref="L1436:L1437"/>
    <mergeCell ref="M1436:M1437"/>
    <mergeCell ref="N1436:N1437"/>
    <mergeCell ref="O1436:O1437"/>
    <mergeCell ref="X1436:X1437"/>
    <mergeCell ref="Y1436:Y1437"/>
    <mergeCell ref="Z1436:Z1437"/>
    <mergeCell ref="AA1436:AA1437"/>
    <mergeCell ref="AB1436:AB1437"/>
    <mergeCell ref="A1438:A1439"/>
    <mergeCell ref="E1438:E1439"/>
    <mergeCell ref="H1438:H1439"/>
    <mergeCell ref="I1438:I1439"/>
    <mergeCell ref="J1438:J1439"/>
    <mergeCell ref="K1438:K1439"/>
    <mergeCell ref="L1438:L1439"/>
    <mergeCell ref="M1438:M1439"/>
    <mergeCell ref="N1438:N1439"/>
    <mergeCell ref="O1438:O1439"/>
    <mergeCell ref="X1438:X1439"/>
    <mergeCell ref="Y1438:Y1439"/>
    <mergeCell ref="Z1438:Z1439"/>
    <mergeCell ref="AA1438:AA1439"/>
    <mergeCell ref="AB1438:AB1439"/>
    <mergeCell ref="A1432:A1433"/>
    <mergeCell ref="E1432:E1433"/>
    <mergeCell ref="H1432:H1433"/>
    <mergeCell ref="I1432:I1433"/>
    <mergeCell ref="J1432:J1433"/>
    <mergeCell ref="K1432:K1433"/>
    <mergeCell ref="L1432:L1433"/>
    <mergeCell ref="M1432:M1433"/>
    <mergeCell ref="N1432:N1433"/>
    <mergeCell ref="O1432:O1433"/>
    <mergeCell ref="X1432:X1433"/>
    <mergeCell ref="Y1432:Y1433"/>
    <mergeCell ref="Z1432:Z1433"/>
    <mergeCell ref="AA1432:AA1433"/>
    <mergeCell ref="AB1432:AB1433"/>
    <mergeCell ref="A1434:A1435"/>
    <mergeCell ref="E1434:E1435"/>
    <mergeCell ref="H1434:H1435"/>
    <mergeCell ref="I1434:I1435"/>
    <mergeCell ref="J1434:J1435"/>
    <mergeCell ref="K1434:K1435"/>
    <mergeCell ref="L1434:L1435"/>
    <mergeCell ref="M1434:M1435"/>
    <mergeCell ref="N1434:N1435"/>
    <mergeCell ref="O1434:O1435"/>
    <mergeCell ref="X1434:X1435"/>
    <mergeCell ref="Y1434:Y1435"/>
    <mergeCell ref="Z1434:Z1435"/>
    <mergeCell ref="AA1434:AA1435"/>
    <mergeCell ref="AB1434:AB1435"/>
    <mergeCell ref="A1428:A1429"/>
    <mergeCell ref="E1428:E1429"/>
    <mergeCell ref="H1428:H1429"/>
    <mergeCell ref="I1428:I1429"/>
    <mergeCell ref="J1428:J1429"/>
    <mergeCell ref="K1428:K1429"/>
    <mergeCell ref="L1428:L1429"/>
    <mergeCell ref="M1428:M1429"/>
    <mergeCell ref="N1428:N1429"/>
    <mergeCell ref="O1428:O1429"/>
    <mergeCell ref="X1428:X1429"/>
    <mergeCell ref="Y1428:Y1429"/>
    <mergeCell ref="Z1428:Z1429"/>
    <mergeCell ref="AA1428:AA1429"/>
    <mergeCell ref="AB1428:AB1429"/>
    <mergeCell ref="A1430:A1431"/>
    <mergeCell ref="E1430:E1431"/>
    <mergeCell ref="H1430:H1431"/>
    <mergeCell ref="I1430:I1431"/>
    <mergeCell ref="J1430:J1431"/>
    <mergeCell ref="K1430:K1431"/>
    <mergeCell ref="L1430:L1431"/>
    <mergeCell ref="M1430:M1431"/>
    <mergeCell ref="N1430:N1431"/>
    <mergeCell ref="O1430:O1431"/>
    <mergeCell ref="X1430:X1431"/>
    <mergeCell ref="Y1430:Y1431"/>
    <mergeCell ref="Z1430:Z1431"/>
    <mergeCell ref="AA1430:AA1431"/>
    <mergeCell ref="AB1430:AB1431"/>
    <mergeCell ref="A1424:A1425"/>
    <mergeCell ref="E1424:E1425"/>
    <mergeCell ref="H1424:H1425"/>
    <mergeCell ref="I1424:I1425"/>
    <mergeCell ref="J1424:J1425"/>
    <mergeCell ref="K1424:K1425"/>
    <mergeCell ref="L1424:L1425"/>
    <mergeCell ref="M1424:M1425"/>
    <mergeCell ref="N1424:N1425"/>
    <mergeCell ref="O1424:O1425"/>
    <mergeCell ref="X1424:X1425"/>
    <mergeCell ref="Y1424:Y1425"/>
    <mergeCell ref="Z1424:Z1425"/>
    <mergeCell ref="AA1424:AA1425"/>
    <mergeCell ref="AB1424:AB1425"/>
    <mergeCell ref="A1426:A1427"/>
    <mergeCell ref="E1426:E1427"/>
    <mergeCell ref="H1426:H1427"/>
    <mergeCell ref="I1426:I1427"/>
    <mergeCell ref="J1426:J1427"/>
    <mergeCell ref="K1426:K1427"/>
    <mergeCell ref="L1426:L1427"/>
    <mergeCell ref="M1426:M1427"/>
    <mergeCell ref="N1426:N1427"/>
    <mergeCell ref="O1426:O1427"/>
    <mergeCell ref="X1426:X1427"/>
    <mergeCell ref="Y1426:Y1427"/>
    <mergeCell ref="Z1426:Z1427"/>
    <mergeCell ref="AA1426:AA1427"/>
    <mergeCell ref="AB1426:AB1427"/>
    <mergeCell ref="A1420:A1421"/>
    <mergeCell ref="E1420:E1421"/>
    <mergeCell ref="H1420:H1421"/>
    <mergeCell ref="I1420:I1421"/>
    <mergeCell ref="J1420:J1421"/>
    <mergeCell ref="K1420:K1421"/>
    <mergeCell ref="L1420:L1421"/>
    <mergeCell ref="M1420:M1421"/>
    <mergeCell ref="N1420:N1421"/>
    <mergeCell ref="O1420:O1421"/>
    <mergeCell ref="X1420:X1421"/>
    <mergeCell ref="Y1420:Y1421"/>
    <mergeCell ref="Z1420:Z1421"/>
    <mergeCell ref="AA1420:AA1421"/>
    <mergeCell ref="AB1420:AB1421"/>
    <mergeCell ref="A1422:A1423"/>
    <mergeCell ref="E1422:E1423"/>
    <mergeCell ref="H1422:H1423"/>
    <mergeCell ref="I1422:I1423"/>
    <mergeCell ref="J1422:J1423"/>
    <mergeCell ref="K1422:K1423"/>
    <mergeCell ref="L1422:L1423"/>
    <mergeCell ref="M1422:M1423"/>
    <mergeCell ref="N1422:N1423"/>
    <mergeCell ref="O1422:O1423"/>
    <mergeCell ref="X1422:X1423"/>
    <mergeCell ref="Y1422:Y1423"/>
    <mergeCell ref="Z1422:Z1423"/>
    <mergeCell ref="AA1422:AA1423"/>
    <mergeCell ref="AB1422:AB1423"/>
    <mergeCell ref="A1416:A1417"/>
    <mergeCell ref="E1416:E1417"/>
    <mergeCell ref="H1416:H1417"/>
    <mergeCell ref="I1416:I1417"/>
    <mergeCell ref="J1416:J1417"/>
    <mergeCell ref="K1416:K1417"/>
    <mergeCell ref="L1416:L1417"/>
    <mergeCell ref="M1416:M1417"/>
    <mergeCell ref="N1416:N1417"/>
    <mergeCell ref="O1416:O1417"/>
    <mergeCell ref="X1416:X1417"/>
    <mergeCell ref="Y1416:Y1417"/>
    <mergeCell ref="Z1416:Z1417"/>
    <mergeCell ref="AA1416:AA1417"/>
    <mergeCell ref="AB1416:AB1417"/>
    <mergeCell ref="A1418:A1419"/>
    <mergeCell ref="E1418:E1419"/>
    <mergeCell ref="H1418:H1419"/>
    <mergeCell ref="I1418:I1419"/>
    <mergeCell ref="J1418:J1419"/>
    <mergeCell ref="K1418:K1419"/>
    <mergeCell ref="L1418:L1419"/>
    <mergeCell ref="M1418:M1419"/>
    <mergeCell ref="N1418:N1419"/>
    <mergeCell ref="O1418:O1419"/>
    <mergeCell ref="X1418:X1419"/>
    <mergeCell ref="Y1418:Y1419"/>
    <mergeCell ref="Z1418:Z1419"/>
    <mergeCell ref="AA1418:AA1419"/>
    <mergeCell ref="AB1418:AB1419"/>
    <mergeCell ref="A1412:A1413"/>
    <mergeCell ref="E1412:E1413"/>
    <mergeCell ref="H1412:H1413"/>
    <mergeCell ref="I1412:I1413"/>
    <mergeCell ref="J1412:J1413"/>
    <mergeCell ref="K1412:K1413"/>
    <mergeCell ref="L1412:L1413"/>
    <mergeCell ref="M1412:M1413"/>
    <mergeCell ref="N1412:N1413"/>
    <mergeCell ref="O1412:O1413"/>
    <mergeCell ref="X1412:X1413"/>
    <mergeCell ref="Y1412:Y1413"/>
    <mergeCell ref="Z1412:Z1413"/>
    <mergeCell ref="AA1412:AA1413"/>
    <mergeCell ref="AB1412:AB1413"/>
    <mergeCell ref="A1414:A1415"/>
    <mergeCell ref="E1414:E1415"/>
    <mergeCell ref="H1414:H1415"/>
    <mergeCell ref="I1414:I1415"/>
    <mergeCell ref="J1414:J1415"/>
    <mergeCell ref="K1414:K1415"/>
    <mergeCell ref="L1414:L1415"/>
    <mergeCell ref="M1414:M1415"/>
    <mergeCell ref="N1414:N1415"/>
    <mergeCell ref="O1414:O1415"/>
    <mergeCell ref="X1414:X1415"/>
    <mergeCell ref="Y1414:Y1415"/>
    <mergeCell ref="Z1414:Z1415"/>
    <mergeCell ref="AA1414:AA1415"/>
    <mergeCell ref="AB1414:AB1415"/>
    <mergeCell ref="A1408:A1409"/>
    <mergeCell ref="E1408:E1409"/>
    <mergeCell ref="H1408:H1409"/>
    <mergeCell ref="I1408:I1409"/>
    <mergeCell ref="J1408:J1409"/>
    <mergeCell ref="K1408:K1409"/>
    <mergeCell ref="L1408:L1409"/>
    <mergeCell ref="M1408:M1409"/>
    <mergeCell ref="N1408:N1409"/>
    <mergeCell ref="O1408:O1409"/>
    <mergeCell ref="X1408:X1409"/>
    <mergeCell ref="Y1408:Y1409"/>
    <mergeCell ref="Z1408:Z1409"/>
    <mergeCell ref="AA1408:AA1409"/>
    <mergeCell ref="AB1408:AB1409"/>
    <mergeCell ref="A1410:A1411"/>
    <mergeCell ref="E1410:E1411"/>
    <mergeCell ref="H1410:H1411"/>
    <mergeCell ref="I1410:I1411"/>
    <mergeCell ref="J1410:J1411"/>
    <mergeCell ref="K1410:K1411"/>
    <mergeCell ref="L1410:L1411"/>
    <mergeCell ref="M1410:M1411"/>
    <mergeCell ref="N1410:N1411"/>
    <mergeCell ref="O1410:O1411"/>
    <mergeCell ref="X1410:X1411"/>
    <mergeCell ref="Y1410:Y1411"/>
    <mergeCell ref="Z1410:Z1411"/>
    <mergeCell ref="AA1410:AA1411"/>
    <mergeCell ref="AB1410:AB1411"/>
    <mergeCell ref="A1404:A1405"/>
    <mergeCell ref="E1404:E1405"/>
    <mergeCell ref="H1404:H1405"/>
    <mergeCell ref="I1404:I1405"/>
    <mergeCell ref="J1404:J1405"/>
    <mergeCell ref="K1404:K1405"/>
    <mergeCell ref="L1404:L1405"/>
    <mergeCell ref="M1404:M1405"/>
    <mergeCell ref="N1404:N1405"/>
    <mergeCell ref="O1404:O1405"/>
    <mergeCell ref="X1404:X1405"/>
    <mergeCell ref="Y1404:Y1405"/>
    <mergeCell ref="Z1404:Z1405"/>
    <mergeCell ref="AA1404:AA1405"/>
    <mergeCell ref="AB1404:AB1405"/>
    <mergeCell ref="A1406:A1407"/>
    <mergeCell ref="E1406:E1407"/>
    <mergeCell ref="H1406:H1407"/>
    <mergeCell ref="I1406:I1407"/>
    <mergeCell ref="J1406:J1407"/>
    <mergeCell ref="K1406:K1407"/>
    <mergeCell ref="L1406:L1407"/>
    <mergeCell ref="M1406:M1407"/>
    <mergeCell ref="N1406:N1407"/>
    <mergeCell ref="O1406:O1407"/>
    <mergeCell ref="X1406:X1407"/>
    <mergeCell ref="Y1406:Y1407"/>
    <mergeCell ref="Z1406:Z1407"/>
    <mergeCell ref="AA1406:AA1407"/>
    <mergeCell ref="AB1406:AB1407"/>
    <mergeCell ref="A1400:A1401"/>
    <mergeCell ref="E1400:E1401"/>
    <mergeCell ref="H1400:H1401"/>
    <mergeCell ref="I1400:I1401"/>
    <mergeCell ref="J1400:J1401"/>
    <mergeCell ref="K1400:K1401"/>
    <mergeCell ref="L1400:L1401"/>
    <mergeCell ref="M1400:M1401"/>
    <mergeCell ref="N1400:N1401"/>
    <mergeCell ref="O1400:O1401"/>
    <mergeCell ref="X1400:X1401"/>
    <mergeCell ref="Y1400:Y1401"/>
    <mergeCell ref="Z1400:Z1401"/>
    <mergeCell ref="AA1400:AA1401"/>
    <mergeCell ref="AB1400:AB1401"/>
    <mergeCell ref="A1402:A1403"/>
    <mergeCell ref="E1402:E1403"/>
    <mergeCell ref="H1402:H1403"/>
    <mergeCell ref="I1402:I1403"/>
    <mergeCell ref="J1402:J1403"/>
    <mergeCell ref="K1402:K1403"/>
    <mergeCell ref="L1402:L1403"/>
    <mergeCell ref="M1402:M1403"/>
    <mergeCell ref="N1402:N1403"/>
    <mergeCell ref="O1402:O1403"/>
    <mergeCell ref="X1402:X1403"/>
    <mergeCell ref="Y1402:Y1403"/>
    <mergeCell ref="Z1402:Z1403"/>
    <mergeCell ref="AA1402:AA1403"/>
    <mergeCell ref="AB1402:AB1403"/>
    <mergeCell ref="A1396:A1397"/>
    <mergeCell ref="E1396:E1397"/>
    <mergeCell ref="H1396:H1397"/>
    <mergeCell ref="I1396:I1397"/>
    <mergeCell ref="J1396:J1397"/>
    <mergeCell ref="K1396:K1397"/>
    <mergeCell ref="L1396:L1397"/>
    <mergeCell ref="M1396:M1397"/>
    <mergeCell ref="N1396:N1397"/>
    <mergeCell ref="O1396:O1397"/>
    <mergeCell ref="X1396:X1397"/>
    <mergeCell ref="Y1396:Y1397"/>
    <mergeCell ref="Z1396:Z1397"/>
    <mergeCell ref="AA1396:AA1397"/>
    <mergeCell ref="AB1396:AB1397"/>
    <mergeCell ref="A1398:A1399"/>
    <mergeCell ref="E1398:E1399"/>
    <mergeCell ref="H1398:H1399"/>
    <mergeCell ref="I1398:I1399"/>
    <mergeCell ref="J1398:J1399"/>
    <mergeCell ref="K1398:K1399"/>
    <mergeCell ref="L1398:L1399"/>
    <mergeCell ref="M1398:M1399"/>
    <mergeCell ref="N1398:N1399"/>
    <mergeCell ref="O1398:O1399"/>
    <mergeCell ref="X1398:X1399"/>
    <mergeCell ref="Y1398:Y1399"/>
    <mergeCell ref="Z1398:Z1399"/>
    <mergeCell ref="AA1398:AA1399"/>
    <mergeCell ref="AB1398:AB1399"/>
    <mergeCell ref="A1392:A1393"/>
    <mergeCell ref="E1392:E1393"/>
    <mergeCell ref="H1392:H1393"/>
    <mergeCell ref="I1392:I1393"/>
    <mergeCell ref="J1392:J1393"/>
    <mergeCell ref="K1392:K1393"/>
    <mergeCell ref="L1392:L1393"/>
    <mergeCell ref="M1392:M1393"/>
    <mergeCell ref="N1392:N1393"/>
    <mergeCell ref="O1392:O1393"/>
    <mergeCell ref="X1392:X1393"/>
    <mergeCell ref="Y1392:Y1393"/>
    <mergeCell ref="Z1392:Z1393"/>
    <mergeCell ref="AA1392:AA1393"/>
    <mergeCell ref="AB1392:AB1393"/>
    <mergeCell ref="A1394:A1395"/>
    <mergeCell ref="E1394:E1395"/>
    <mergeCell ref="H1394:H1395"/>
    <mergeCell ref="I1394:I1395"/>
    <mergeCell ref="J1394:J1395"/>
    <mergeCell ref="K1394:K1395"/>
    <mergeCell ref="L1394:L1395"/>
    <mergeCell ref="M1394:M1395"/>
    <mergeCell ref="N1394:N1395"/>
    <mergeCell ref="O1394:O1395"/>
    <mergeCell ref="X1394:X1395"/>
    <mergeCell ref="Y1394:Y1395"/>
    <mergeCell ref="Z1394:Z1395"/>
    <mergeCell ref="AA1394:AA1395"/>
    <mergeCell ref="AB1394:AB1395"/>
    <mergeCell ref="A1388:A1389"/>
    <mergeCell ref="E1388:E1389"/>
    <mergeCell ref="H1388:H1389"/>
    <mergeCell ref="I1388:I1389"/>
    <mergeCell ref="J1388:J1389"/>
    <mergeCell ref="K1388:K1389"/>
    <mergeCell ref="L1388:L1389"/>
    <mergeCell ref="M1388:M1389"/>
    <mergeCell ref="N1388:N1389"/>
    <mergeCell ref="O1388:O1389"/>
    <mergeCell ref="X1388:X1389"/>
    <mergeCell ref="Y1388:Y1389"/>
    <mergeCell ref="Z1388:Z1389"/>
    <mergeCell ref="AA1388:AA1389"/>
    <mergeCell ref="AB1388:AB1389"/>
    <mergeCell ref="A1390:A1391"/>
    <mergeCell ref="E1390:E1391"/>
    <mergeCell ref="H1390:H1391"/>
    <mergeCell ref="I1390:I1391"/>
    <mergeCell ref="J1390:J1391"/>
    <mergeCell ref="K1390:K1391"/>
    <mergeCell ref="L1390:L1391"/>
    <mergeCell ref="M1390:M1391"/>
    <mergeCell ref="N1390:N1391"/>
    <mergeCell ref="O1390:O1391"/>
    <mergeCell ref="X1390:X1391"/>
    <mergeCell ref="Y1390:Y1391"/>
    <mergeCell ref="Z1390:Z1391"/>
    <mergeCell ref="AA1390:AA1391"/>
    <mergeCell ref="AB1390:AB1391"/>
    <mergeCell ref="A1384:A1385"/>
    <mergeCell ref="E1384:E1385"/>
    <mergeCell ref="H1384:H1385"/>
    <mergeCell ref="I1384:I1385"/>
    <mergeCell ref="J1384:J1385"/>
    <mergeCell ref="K1384:K1385"/>
    <mergeCell ref="L1384:L1385"/>
    <mergeCell ref="M1384:M1385"/>
    <mergeCell ref="N1384:N1385"/>
    <mergeCell ref="O1384:O1385"/>
    <mergeCell ref="X1384:X1385"/>
    <mergeCell ref="Y1384:Y1385"/>
    <mergeCell ref="Z1384:Z1385"/>
    <mergeCell ref="AA1384:AA1385"/>
    <mergeCell ref="AB1384:AB1385"/>
    <mergeCell ref="A1386:A1387"/>
    <mergeCell ref="E1386:E1387"/>
    <mergeCell ref="H1386:H1387"/>
    <mergeCell ref="I1386:I1387"/>
    <mergeCell ref="J1386:J1387"/>
    <mergeCell ref="K1386:K1387"/>
    <mergeCell ref="L1386:L1387"/>
    <mergeCell ref="M1386:M1387"/>
    <mergeCell ref="N1386:N1387"/>
    <mergeCell ref="O1386:O1387"/>
    <mergeCell ref="X1386:X1387"/>
    <mergeCell ref="Y1386:Y1387"/>
    <mergeCell ref="Z1386:Z1387"/>
    <mergeCell ref="AA1386:AA1387"/>
    <mergeCell ref="AB1386:AB1387"/>
    <mergeCell ref="A1380:A1381"/>
    <mergeCell ref="E1380:E1381"/>
    <mergeCell ref="H1380:H1381"/>
    <mergeCell ref="I1380:I1381"/>
    <mergeCell ref="J1380:J1381"/>
    <mergeCell ref="K1380:K1381"/>
    <mergeCell ref="L1380:L1381"/>
    <mergeCell ref="M1380:M1381"/>
    <mergeCell ref="N1380:N1381"/>
    <mergeCell ref="O1380:O1381"/>
    <mergeCell ref="X1380:X1381"/>
    <mergeCell ref="Y1380:Y1381"/>
    <mergeCell ref="Z1380:Z1381"/>
    <mergeCell ref="AA1380:AA1381"/>
    <mergeCell ref="AB1380:AB1381"/>
    <mergeCell ref="A1382:A1383"/>
    <mergeCell ref="E1382:E1383"/>
    <mergeCell ref="H1382:H1383"/>
    <mergeCell ref="I1382:I1383"/>
    <mergeCell ref="J1382:J1383"/>
    <mergeCell ref="K1382:K1383"/>
    <mergeCell ref="L1382:L1383"/>
    <mergeCell ref="M1382:M1383"/>
    <mergeCell ref="N1382:N1383"/>
    <mergeCell ref="O1382:O1383"/>
    <mergeCell ref="X1382:X1383"/>
    <mergeCell ref="Y1382:Y1383"/>
    <mergeCell ref="Z1382:Z1383"/>
    <mergeCell ref="AA1382:AA1383"/>
    <mergeCell ref="AB1382:AB1383"/>
    <mergeCell ref="A1376:A1377"/>
    <mergeCell ref="E1376:E1377"/>
    <mergeCell ref="H1376:H1377"/>
    <mergeCell ref="I1376:I1377"/>
    <mergeCell ref="J1376:J1377"/>
    <mergeCell ref="K1376:K1377"/>
    <mergeCell ref="L1376:L1377"/>
    <mergeCell ref="M1376:M1377"/>
    <mergeCell ref="N1376:N1377"/>
    <mergeCell ref="O1376:O1377"/>
    <mergeCell ref="X1376:X1377"/>
    <mergeCell ref="Y1376:Y1377"/>
    <mergeCell ref="Z1376:Z1377"/>
    <mergeCell ref="AA1376:AA1377"/>
    <mergeCell ref="AB1376:AB1377"/>
    <mergeCell ref="A1378:A1379"/>
    <mergeCell ref="E1378:E1379"/>
    <mergeCell ref="H1378:H1379"/>
    <mergeCell ref="I1378:I1379"/>
    <mergeCell ref="J1378:J1379"/>
    <mergeCell ref="K1378:K1379"/>
    <mergeCell ref="L1378:L1379"/>
    <mergeCell ref="M1378:M1379"/>
    <mergeCell ref="N1378:N1379"/>
    <mergeCell ref="O1378:O1379"/>
    <mergeCell ref="X1378:X1379"/>
    <mergeCell ref="Y1378:Y1379"/>
    <mergeCell ref="Z1378:Z1379"/>
    <mergeCell ref="AA1378:AA1379"/>
    <mergeCell ref="AB1378:AB1379"/>
    <mergeCell ref="A1372:A1373"/>
    <mergeCell ref="E1372:E1373"/>
    <mergeCell ref="H1372:H1373"/>
    <mergeCell ref="I1372:I1373"/>
    <mergeCell ref="J1372:J1373"/>
    <mergeCell ref="K1372:K1373"/>
    <mergeCell ref="L1372:L1373"/>
    <mergeCell ref="M1372:M1373"/>
    <mergeCell ref="N1372:N1373"/>
    <mergeCell ref="O1372:O1373"/>
    <mergeCell ref="X1372:X1373"/>
    <mergeCell ref="Y1372:Y1373"/>
    <mergeCell ref="Z1372:Z1373"/>
    <mergeCell ref="AA1372:AA1373"/>
    <mergeCell ref="AB1372:AB1373"/>
    <mergeCell ref="A1374:A1375"/>
    <mergeCell ref="E1374:E1375"/>
    <mergeCell ref="H1374:H1375"/>
    <mergeCell ref="I1374:I1375"/>
    <mergeCell ref="J1374:J1375"/>
    <mergeCell ref="K1374:K1375"/>
    <mergeCell ref="L1374:L1375"/>
    <mergeCell ref="M1374:M1375"/>
    <mergeCell ref="N1374:N1375"/>
    <mergeCell ref="O1374:O1375"/>
    <mergeCell ref="X1374:X1375"/>
    <mergeCell ref="Y1374:Y1375"/>
    <mergeCell ref="Z1374:Z1375"/>
    <mergeCell ref="AA1374:AA1375"/>
    <mergeCell ref="AB1374:AB1375"/>
    <mergeCell ref="A1368:A1369"/>
    <mergeCell ref="E1368:E1369"/>
    <mergeCell ref="H1368:H1369"/>
    <mergeCell ref="I1368:I1369"/>
    <mergeCell ref="J1368:J1369"/>
    <mergeCell ref="K1368:K1369"/>
    <mergeCell ref="L1368:L1369"/>
    <mergeCell ref="M1368:M1369"/>
    <mergeCell ref="N1368:N1369"/>
    <mergeCell ref="O1368:O1369"/>
    <mergeCell ref="X1368:X1369"/>
    <mergeCell ref="Y1368:Y1369"/>
    <mergeCell ref="Z1368:Z1369"/>
    <mergeCell ref="AA1368:AA1369"/>
    <mergeCell ref="AB1368:AB1369"/>
    <mergeCell ref="A1370:A1371"/>
    <mergeCell ref="E1370:E1371"/>
    <mergeCell ref="H1370:H1371"/>
    <mergeCell ref="I1370:I1371"/>
    <mergeCell ref="J1370:J1371"/>
    <mergeCell ref="K1370:K1371"/>
    <mergeCell ref="L1370:L1371"/>
    <mergeCell ref="M1370:M1371"/>
    <mergeCell ref="N1370:N1371"/>
    <mergeCell ref="O1370:O1371"/>
    <mergeCell ref="X1370:X1371"/>
    <mergeCell ref="Y1370:Y1371"/>
    <mergeCell ref="Z1370:Z1371"/>
    <mergeCell ref="AA1370:AA1371"/>
    <mergeCell ref="AB1370:AB1371"/>
    <mergeCell ref="A1364:A1365"/>
    <mergeCell ref="E1364:E1365"/>
    <mergeCell ref="H1364:H1365"/>
    <mergeCell ref="I1364:I1365"/>
    <mergeCell ref="J1364:J1365"/>
    <mergeCell ref="K1364:K1365"/>
    <mergeCell ref="L1364:L1365"/>
    <mergeCell ref="M1364:M1365"/>
    <mergeCell ref="N1364:N1365"/>
    <mergeCell ref="O1364:O1365"/>
    <mergeCell ref="X1364:X1365"/>
    <mergeCell ref="Y1364:Y1365"/>
    <mergeCell ref="Z1364:Z1365"/>
    <mergeCell ref="AA1364:AA1365"/>
    <mergeCell ref="AB1364:AB1365"/>
    <mergeCell ref="A1366:A1367"/>
    <mergeCell ref="E1366:E1367"/>
    <mergeCell ref="H1366:H1367"/>
    <mergeCell ref="I1366:I1367"/>
    <mergeCell ref="J1366:J1367"/>
    <mergeCell ref="K1366:K1367"/>
    <mergeCell ref="L1366:L1367"/>
    <mergeCell ref="M1366:M1367"/>
    <mergeCell ref="N1366:N1367"/>
    <mergeCell ref="O1366:O1367"/>
    <mergeCell ref="X1366:X1367"/>
    <mergeCell ref="Y1366:Y1367"/>
    <mergeCell ref="Z1366:Z1367"/>
    <mergeCell ref="AA1366:AA1367"/>
    <mergeCell ref="AB1366:AB1367"/>
    <mergeCell ref="A1360:A1361"/>
    <mergeCell ref="E1360:E1361"/>
    <mergeCell ref="H1360:H1361"/>
    <mergeCell ref="I1360:I1361"/>
    <mergeCell ref="J1360:J1361"/>
    <mergeCell ref="K1360:K1361"/>
    <mergeCell ref="L1360:L1361"/>
    <mergeCell ref="M1360:M1361"/>
    <mergeCell ref="N1360:N1361"/>
    <mergeCell ref="O1360:O1361"/>
    <mergeCell ref="X1360:X1361"/>
    <mergeCell ref="Y1360:Y1361"/>
    <mergeCell ref="Z1360:Z1361"/>
    <mergeCell ref="AA1360:AA1361"/>
    <mergeCell ref="AB1360:AB1361"/>
    <mergeCell ref="A1362:A1363"/>
    <mergeCell ref="E1362:E1363"/>
    <mergeCell ref="H1362:H1363"/>
    <mergeCell ref="I1362:I1363"/>
    <mergeCell ref="J1362:J1363"/>
    <mergeCell ref="K1362:K1363"/>
    <mergeCell ref="L1362:L1363"/>
    <mergeCell ref="M1362:M1363"/>
    <mergeCell ref="N1362:N1363"/>
    <mergeCell ref="O1362:O1363"/>
    <mergeCell ref="X1362:X1363"/>
    <mergeCell ref="Y1362:Y1363"/>
    <mergeCell ref="Z1362:Z1363"/>
    <mergeCell ref="AA1362:AA1363"/>
    <mergeCell ref="AB1362:AB1363"/>
    <mergeCell ref="A1356:A1357"/>
    <mergeCell ref="E1356:E1357"/>
    <mergeCell ref="H1356:H1357"/>
    <mergeCell ref="I1356:I1357"/>
    <mergeCell ref="J1356:J1357"/>
    <mergeCell ref="K1356:K1357"/>
    <mergeCell ref="L1356:L1357"/>
    <mergeCell ref="M1356:M1357"/>
    <mergeCell ref="N1356:N1357"/>
    <mergeCell ref="O1356:O1357"/>
    <mergeCell ref="X1356:X1357"/>
    <mergeCell ref="Y1356:Y1357"/>
    <mergeCell ref="Z1356:Z1357"/>
    <mergeCell ref="AA1356:AA1357"/>
    <mergeCell ref="AB1356:AB1357"/>
    <mergeCell ref="A1358:A1359"/>
    <mergeCell ref="E1358:E1359"/>
    <mergeCell ref="H1358:H1359"/>
    <mergeCell ref="I1358:I1359"/>
    <mergeCell ref="J1358:J1359"/>
    <mergeCell ref="K1358:K1359"/>
    <mergeCell ref="L1358:L1359"/>
    <mergeCell ref="M1358:M1359"/>
    <mergeCell ref="N1358:N1359"/>
    <mergeCell ref="O1358:O1359"/>
    <mergeCell ref="X1358:X1359"/>
    <mergeCell ref="Y1358:Y1359"/>
    <mergeCell ref="Z1358:Z1359"/>
    <mergeCell ref="AA1358:AA1359"/>
    <mergeCell ref="AB1358:AB1359"/>
    <mergeCell ref="A1352:A1353"/>
    <mergeCell ref="E1352:E1353"/>
    <mergeCell ref="H1352:H1353"/>
    <mergeCell ref="I1352:I1353"/>
    <mergeCell ref="J1352:J1353"/>
    <mergeCell ref="K1352:K1353"/>
    <mergeCell ref="L1352:L1353"/>
    <mergeCell ref="M1352:M1353"/>
    <mergeCell ref="N1352:N1353"/>
    <mergeCell ref="O1352:O1353"/>
    <mergeCell ref="X1352:X1353"/>
    <mergeCell ref="Y1352:Y1353"/>
    <mergeCell ref="Z1352:Z1353"/>
    <mergeCell ref="AA1352:AA1353"/>
    <mergeCell ref="AB1352:AB1353"/>
    <mergeCell ref="A1354:A1355"/>
    <mergeCell ref="E1354:E1355"/>
    <mergeCell ref="H1354:H1355"/>
    <mergeCell ref="I1354:I1355"/>
    <mergeCell ref="J1354:J1355"/>
    <mergeCell ref="K1354:K1355"/>
    <mergeCell ref="L1354:L1355"/>
    <mergeCell ref="M1354:M1355"/>
    <mergeCell ref="N1354:N1355"/>
    <mergeCell ref="O1354:O1355"/>
    <mergeCell ref="X1354:X1355"/>
    <mergeCell ref="Y1354:Y1355"/>
    <mergeCell ref="Z1354:Z1355"/>
    <mergeCell ref="AA1354:AA1355"/>
    <mergeCell ref="AB1354:AB1355"/>
    <mergeCell ref="A1348:A1349"/>
    <mergeCell ref="E1348:E1349"/>
    <mergeCell ref="H1348:H1349"/>
    <mergeCell ref="I1348:I1349"/>
    <mergeCell ref="J1348:J1349"/>
    <mergeCell ref="K1348:K1349"/>
    <mergeCell ref="L1348:L1349"/>
    <mergeCell ref="M1348:M1349"/>
    <mergeCell ref="N1348:N1349"/>
    <mergeCell ref="O1348:O1349"/>
    <mergeCell ref="X1348:X1349"/>
    <mergeCell ref="Y1348:Y1349"/>
    <mergeCell ref="Z1348:Z1349"/>
    <mergeCell ref="AA1348:AA1349"/>
    <mergeCell ref="AB1348:AB1349"/>
    <mergeCell ref="A1350:A1351"/>
    <mergeCell ref="E1350:E1351"/>
    <mergeCell ref="H1350:H1351"/>
    <mergeCell ref="I1350:I1351"/>
    <mergeCell ref="J1350:J1351"/>
    <mergeCell ref="K1350:K1351"/>
    <mergeCell ref="L1350:L1351"/>
    <mergeCell ref="M1350:M1351"/>
    <mergeCell ref="N1350:N1351"/>
    <mergeCell ref="O1350:O1351"/>
    <mergeCell ref="X1350:X1351"/>
    <mergeCell ref="Y1350:Y1351"/>
    <mergeCell ref="Z1350:Z1351"/>
    <mergeCell ref="AA1350:AA1351"/>
    <mergeCell ref="AB1350:AB1351"/>
    <mergeCell ref="A1344:A1345"/>
    <mergeCell ref="E1344:E1345"/>
    <mergeCell ref="H1344:H1345"/>
    <mergeCell ref="I1344:I1345"/>
    <mergeCell ref="J1344:J1345"/>
    <mergeCell ref="K1344:K1345"/>
    <mergeCell ref="L1344:L1345"/>
    <mergeCell ref="M1344:M1345"/>
    <mergeCell ref="N1344:N1345"/>
    <mergeCell ref="O1344:O1345"/>
    <mergeCell ref="X1344:X1345"/>
    <mergeCell ref="Y1344:Y1345"/>
    <mergeCell ref="Z1344:Z1345"/>
    <mergeCell ref="AA1344:AA1345"/>
    <mergeCell ref="AB1344:AB1345"/>
    <mergeCell ref="A1346:A1347"/>
    <mergeCell ref="E1346:E1347"/>
    <mergeCell ref="H1346:H1347"/>
    <mergeCell ref="I1346:I1347"/>
    <mergeCell ref="J1346:J1347"/>
    <mergeCell ref="K1346:K1347"/>
    <mergeCell ref="L1346:L1347"/>
    <mergeCell ref="M1346:M1347"/>
    <mergeCell ref="N1346:N1347"/>
    <mergeCell ref="O1346:O1347"/>
    <mergeCell ref="X1346:X1347"/>
    <mergeCell ref="Y1346:Y1347"/>
    <mergeCell ref="Z1346:Z1347"/>
    <mergeCell ref="AA1346:AA1347"/>
    <mergeCell ref="AB1346:AB1347"/>
    <mergeCell ref="A1340:A1341"/>
    <mergeCell ref="E1340:E1341"/>
    <mergeCell ref="H1340:H1341"/>
    <mergeCell ref="I1340:I1341"/>
    <mergeCell ref="J1340:J1341"/>
    <mergeCell ref="K1340:K1341"/>
    <mergeCell ref="L1340:L1341"/>
    <mergeCell ref="M1340:M1341"/>
    <mergeCell ref="N1340:N1341"/>
    <mergeCell ref="O1340:O1341"/>
    <mergeCell ref="X1340:X1341"/>
    <mergeCell ref="Y1340:Y1341"/>
    <mergeCell ref="Z1340:Z1341"/>
    <mergeCell ref="AA1340:AA1341"/>
    <mergeCell ref="AB1340:AB1341"/>
    <mergeCell ref="A1342:A1343"/>
    <mergeCell ref="E1342:E1343"/>
    <mergeCell ref="H1342:H1343"/>
    <mergeCell ref="I1342:I1343"/>
    <mergeCell ref="J1342:J1343"/>
    <mergeCell ref="K1342:K1343"/>
    <mergeCell ref="L1342:L1343"/>
    <mergeCell ref="M1342:M1343"/>
    <mergeCell ref="N1342:N1343"/>
    <mergeCell ref="O1342:O1343"/>
    <mergeCell ref="X1342:X1343"/>
    <mergeCell ref="Y1342:Y1343"/>
    <mergeCell ref="Z1342:Z1343"/>
    <mergeCell ref="AA1342:AA1343"/>
    <mergeCell ref="AB1342:AB1343"/>
    <mergeCell ref="A1336:A1337"/>
    <mergeCell ref="E1336:E1337"/>
    <mergeCell ref="H1336:H1337"/>
    <mergeCell ref="I1336:I1337"/>
    <mergeCell ref="J1336:J1337"/>
    <mergeCell ref="K1336:K1337"/>
    <mergeCell ref="L1336:L1337"/>
    <mergeCell ref="M1336:M1337"/>
    <mergeCell ref="N1336:N1337"/>
    <mergeCell ref="O1336:O1337"/>
    <mergeCell ref="X1336:X1337"/>
    <mergeCell ref="Y1336:Y1337"/>
    <mergeCell ref="Z1336:Z1337"/>
    <mergeCell ref="AA1336:AA1337"/>
    <mergeCell ref="AB1336:AB1337"/>
    <mergeCell ref="A1338:A1339"/>
    <mergeCell ref="E1338:E1339"/>
    <mergeCell ref="H1338:H1339"/>
    <mergeCell ref="I1338:I1339"/>
    <mergeCell ref="J1338:J1339"/>
    <mergeCell ref="K1338:K1339"/>
    <mergeCell ref="L1338:L1339"/>
    <mergeCell ref="M1338:M1339"/>
    <mergeCell ref="N1338:N1339"/>
    <mergeCell ref="O1338:O1339"/>
    <mergeCell ref="X1338:X1339"/>
    <mergeCell ref="Y1338:Y1339"/>
    <mergeCell ref="Z1338:Z1339"/>
    <mergeCell ref="AA1338:AA1339"/>
    <mergeCell ref="AB1338:AB1339"/>
    <mergeCell ref="A1332:A1333"/>
    <mergeCell ref="E1332:E1333"/>
    <mergeCell ref="H1332:H1333"/>
    <mergeCell ref="I1332:I1333"/>
    <mergeCell ref="J1332:J1333"/>
    <mergeCell ref="K1332:K1333"/>
    <mergeCell ref="L1332:L1333"/>
    <mergeCell ref="M1332:M1333"/>
    <mergeCell ref="N1332:N1333"/>
    <mergeCell ref="O1332:O1333"/>
    <mergeCell ref="X1332:X1333"/>
    <mergeCell ref="Y1332:Y1333"/>
    <mergeCell ref="Z1332:Z1333"/>
    <mergeCell ref="AA1332:AA1333"/>
    <mergeCell ref="AB1332:AB1333"/>
    <mergeCell ref="A1334:A1335"/>
    <mergeCell ref="E1334:E1335"/>
    <mergeCell ref="H1334:H1335"/>
    <mergeCell ref="I1334:I1335"/>
    <mergeCell ref="J1334:J1335"/>
    <mergeCell ref="K1334:K1335"/>
    <mergeCell ref="L1334:L1335"/>
    <mergeCell ref="M1334:M1335"/>
    <mergeCell ref="N1334:N1335"/>
    <mergeCell ref="O1334:O1335"/>
    <mergeCell ref="X1334:X1335"/>
    <mergeCell ref="Y1334:Y1335"/>
    <mergeCell ref="Z1334:Z1335"/>
    <mergeCell ref="AA1334:AA1335"/>
    <mergeCell ref="AB1334:AB1335"/>
    <mergeCell ref="A1328:A1329"/>
    <mergeCell ref="E1328:E1329"/>
    <mergeCell ref="H1328:H1329"/>
    <mergeCell ref="I1328:I1329"/>
    <mergeCell ref="J1328:J1329"/>
    <mergeCell ref="K1328:K1329"/>
    <mergeCell ref="L1328:L1329"/>
    <mergeCell ref="M1328:M1329"/>
    <mergeCell ref="N1328:N1329"/>
    <mergeCell ref="O1328:O1329"/>
    <mergeCell ref="X1328:X1329"/>
    <mergeCell ref="Y1328:Y1329"/>
    <mergeCell ref="Z1328:Z1329"/>
    <mergeCell ref="AA1328:AA1329"/>
    <mergeCell ref="AB1328:AB1329"/>
    <mergeCell ref="A1330:A1331"/>
    <mergeCell ref="E1330:E1331"/>
    <mergeCell ref="H1330:H1331"/>
    <mergeCell ref="I1330:I1331"/>
    <mergeCell ref="J1330:J1331"/>
    <mergeCell ref="K1330:K1331"/>
    <mergeCell ref="L1330:L1331"/>
    <mergeCell ref="M1330:M1331"/>
    <mergeCell ref="N1330:N1331"/>
    <mergeCell ref="O1330:O1331"/>
    <mergeCell ref="X1330:X1331"/>
    <mergeCell ref="Y1330:Y1331"/>
    <mergeCell ref="Z1330:Z1331"/>
    <mergeCell ref="AA1330:AA1331"/>
    <mergeCell ref="AB1330:AB1331"/>
    <mergeCell ref="A1324:A1325"/>
    <mergeCell ref="E1324:E1325"/>
    <mergeCell ref="H1324:H1325"/>
    <mergeCell ref="I1324:I1325"/>
    <mergeCell ref="J1324:J1325"/>
    <mergeCell ref="K1324:K1325"/>
    <mergeCell ref="L1324:L1325"/>
    <mergeCell ref="M1324:M1325"/>
    <mergeCell ref="N1324:N1325"/>
    <mergeCell ref="O1324:O1325"/>
    <mergeCell ref="X1324:X1325"/>
    <mergeCell ref="Y1324:Y1325"/>
    <mergeCell ref="Z1324:Z1325"/>
    <mergeCell ref="AA1324:AA1325"/>
    <mergeCell ref="AB1324:AB1325"/>
    <mergeCell ref="A1326:A1327"/>
    <mergeCell ref="E1326:E1327"/>
    <mergeCell ref="H1326:H1327"/>
    <mergeCell ref="I1326:I1327"/>
    <mergeCell ref="J1326:J1327"/>
    <mergeCell ref="K1326:K1327"/>
    <mergeCell ref="L1326:L1327"/>
    <mergeCell ref="M1326:M1327"/>
    <mergeCell ref="N1326:N1327"/>
    <mergeCell ref="O1326:O1327"/>
    <mergeCell ref="X1326:X1327"/>
    <mergeCell ref="Y1326:Y1327"/>
    <mergeCell ref="Z1326:Z1327"/>
    <mergeCell ref="AA1326:AA1327"/>
    <mergeCell ref="AB1326:AB1327"/>
    <mergeCell ref="A1320:A1321"/>
    <mergeCell ref="E1320:E1321"/>
    <mergeCell ref="H1320:H1321"/>
    <mergeCell ref="I1320:I1321"/>
    <mergeCell ref="J1320:J1321"/>
    <mergeCell ref="K1320:K1321"/>
    <mergeCell ref="L1320:L1321"/>
    <mergeCell ref="M1320:M1321"/>
    <mergeCell ref="N1320:N1321"/>
    <mergeCell ref="O1320:O1321"/>
    <mergeCell ref="X1320:X1321"/>
    <mergeCell ref="Y1320:Y1321"/>
    <mergeCell ref="Z1320:Z1321"/>
    <mergeCell ref="AA1320:AA1321"/>
    <mergeCell ref="AB1320:AB1321"/>
    <mergeCell ref="A1322:A1323"/>
    <mergeCell ref="E1322:E1323"/>
    <mergeCell ref="H1322:H1323"/>
    <mergeCell ref="I1322:I1323"/>
    <mergeCell ref="J1322:J1323"/>
    <mergeCell ref="K1322:K1323"/>
    <mergeCell ref="L1322:L1323"/>
    <mergeCell ref="M1322:M1323"/>
    <mergeCell ref="N1322:N1323"/>
    <mergeCell ref="O1322:O1323"/>
    <mergeCell ref="X1322:X1323"/>
    <mergeCell ref="Y1322:Y1323"/>
    <mergeCell ref="Z1322:Z1323"/>
    <mergeCell ref="AA1322:AA1323"/>
    <mergeCell ref="AB1322:AB1323"/>
    <mergeCell ref="A1316:A1317"/>
    <mergeCell ref="E1316:E1317"/>
    <mergeCell ref="H1316:H1317"/>
    <mergeCell ref="I1316:I1317"/>
    <mergeCell ref="J1316:J1317"/>
    <mergeCell ref="K1316:K1317"/>
    <mergeCell ref="L1316:L1317"/>
    <mergeCell ref="M1316:M1317"/>
    <mergeCell ref="N1316:N1317"/>
    <mergeCell ref="O1316:O1317"/>
    <mergeCell ref="X1316:X1317"/>
    <mergeCell ref="Y1316:Y1317"/>
    <mergeCell ref="Z1316:Z1317"/>
    <mergeCell ref="AA1316:AA1317"/>
    <mergeCell ref="AB1316:AB1317"/>
    <mergeCell ref="A1318:A1319"/>
    <mergeCell ref="E1318:E1319"/>
    <mergeCell ref="H1318:H1319"/>
    <mergeCell ref="I1318:I1319"/>
    <mergeCell ref="J1318:J1319"/>
    <mergeCell ref="K1318:K1319"/>
    <mergeCell ref="L1318:L1319"/>
    <mergeCell ref="M1318:M1319"/>
    <mergeCell ref="N1318:N1319"/>
    <mergeCell ref="O1318:O1319"/>
    <mergeCell ref="X1318:X1319"/>
    <mergeCell ref="Y1318:Y1319"/>
    <mergeCell ref="Z1318:Z1319"/>
    <mergeCell ref="AA1318:AA1319"/>
    <mergeCell ref="AB1318:AB1319"/>
    <mergeCell ref="A1312:A1313"/>
    <mergeCell ref="E1312:E1313"/>
    <mergeCell ref="H1312:H1313"/>
    <mergeCell ref="I1312:I1313"/>
    <mergeCell ref="J1312:J1313"/>
    <mergeCell ref="K1312:K1313"/>
    <mergeCell ref="L1312:L1313"/>
    <mergeCell ref="M1312:M1313"/>
    <mergeCell ref="N1312:N1313"/>
    <mergeCell ref="O1312:O1313"/>
    <mergeCell ref="X1312:X1313"/>
    <mergeCell ref="Y1312:Y1313"/>
    <mergeCell ref="Z1312:Z1313"/>
    <mergeCell ref="AA1312:AA1313"/>
    <mergeCell ref="AB1312:AB1313"/>
    <mergeCell ref="A1314:A1315"/>
    <mergeCell ref="E1314:E1315"/>
    <mergeCell ref="H1314:H1315"/>
    <mergeCell ref="I1314:I1315"/>
    <mergeCell ref="J1314:J1315"/>
    <mergeCell ref="K1314:K1315"/>
    <mergeCell ref="L1314:L1315"/>
    <mergeCell ref="M1314:M1315"/>
    <mergeCell ref="N1314:N1315"/>
    <mergeCell ref="O1314:O1315"/>
    <mergeCell ref="X1314:X1315"/>
    <mergeCell ref="Y1314:Y1315"/>
    <mergeCell ref="Z1314:Z1315"/>
    <mergeCell ref="AA1314:AA1315"/>
    <mergeCell ref="AB1314:AB1315"/>
    <mergeCell ref="A1308:A1309"/>
    <mergeCell ref="E1308:E1309"/>
    <mergeCell ref="H1308:H1309"/>
    <mergeCell ref="I1308:I1309"/>
    <mergeCell ref="J1308:J1309"/>
    <mergeCell ref="K1308:K1309"/>
    <mergeCell ref="L1308:L1309"/>
    <mergeCell ref="M1308:M1309"/>
    <mergeCell ref="N1308:N1309"/>
    <mergeCell ref="O1308:O1309"/>
    <mergeCell ref="X1308:X1309"/>
    <mergeCell ref="Y1308:Y1309"/>
    <mergeCell ref="Z1308:Z1309"/>
    <mergeCell ref="AA1308:AA1309"/>
    <mergeCell ref="AB1308:AB1309"/>
    <mergeCell ref="A1310:A1311"/>
    <mergeCell ref="E1310:E1311"/>
    <mergeCell ref="H1310:H1311"/>
    <mergeCell ref="I1310:I1311"/>
    <mergeCell ref="J1310:J1311"/>
    <mergeCell ref="K1310:K1311"/>
    <mergeCell ref="L1310:L1311"/>
    <mergeCell ref="M1310:M1311"/>
    <mergeCell ref="N1310:N1311"/>
    <mergeCell ref="O1310:O1311"/>
    <mergeCell ref="X1310:X1311"/>
    <mergeCell ref="Y1310:Y1311"/>
    <mergeCell ref="Z1310:Z1311"/>
    <mergeCell ref="AA1310:AA1311"/>
    <mergeCell ref="AB1310:AB1311"/>
    <mergeCell ref="A1304:A1305"/>
    <mergeCell ref="E1304:E1305"/>
    <mergeCell ref="H1304:H1305"/>
    <mergeCell ref="I1304:I1305"/>
    <mergeCell ref="J1304:J1305"/>
    <mergeCell ref="K1304:K1305"/>
    <mergeCell ref="L1304:L1305"/>
    <mergeCell ref="M1304:M1305"/>
    <mergeCell ref="N1304:N1305"/>
    <mergeCell ref="O1304:O1305"/>
    <mergeCell ref="X1304:X1305"/>
    <mergeCell ref="Y1304:Y1305"/>
    <mergeCell ref="Z1304:Z1305"/>
    <mergeCell ref="AA1304:AA1305"/>
    <mergeCell ref="AB1304:AB1305"/>
    <mergeCell ref="A1306:A1307"/>
    <mergeCell ref="E1306:E1307"/>
    <mergeCell ref="H1306:H1307"/>
    <mergeCell ref="I1306:I1307"/>
    <mergeCell ref="J1306:J1307"/>
    <mergeCell ref="K1306:K1307"/>
    <mergeCell ref="L1306:L1307"/>
    <mergeCell ref="M1306:M1307"/>
    <mergeCell ref="N1306:N1307"/>
    <mergeCell ref="O1306:O1307"/>
    <mergeCell ref="X1306:X1307"/>
    <mergeCell ref="Y1306:Y1307"/>
    <mergeCell ref="Z1306:Z1307"/>
    <mergeCell ref="AA1306:AA1307"/>
    <mergeCell ref="AB1306:AB1307"/>
    <mergeCell ref="A1300:A1301"/>
    <mergeCell ref="E1300:E1301"/>
    <mergeCell ref="H1300:H1301"/>
    <mergeCell ref="I1300:I1301"/>
    <mergeCell ref="J1300:J1301"/>
    <mergeCell ref="K1300:K1301"/>
    <mergeCell ref="L1300:L1301"/>
    <mergeCell ref="M1300:M1301"/>
    <mergeCell ref="N1300:N1301"/>
    <mergeCell ref="O1300:O1301"/>
    <mergeCell ref="X1300:X1301"/>
    <mergeCell ref="Y1300:Y1301"/>
    <mergeCell ref="Z1300:Z1301"/>
    <mergeCell ref="AA1300:AA1301"/>
    <mergeCell ref="AB1300:AB1301"/>
    <mergeCell ref="A1302:A1303"/>
    <mergeCell ref="E1302:E1303"/>
    <mergeCell ref="H1302:H1303"/>
    <mergeCell ref="I1302:I1303"/>
    <mergeCell ref="J1302:J1303"/>
    <mergeCell ref="K1302:K1303"/>
    <mergeCell ref="L1302:L1303"/>
    <mergeCell ref="M1302:M1303"/>
    <mergeCell ref="N1302:N1303"/>
    <mergeCell ref="O1302:O1303"/>
    <mergeCell ref="X1302:X1303"/>
    <mergeCell ref="Y1302:Y1303"/>
    <mergeCell ref="Z1302:Z1303"/>
    <mergeCell ref="AA1302:AA1303"/>
    <mergeCell ref="AB1302:AB1303"/>
    <mergeCell ref="A1296:A1297"/>
    <mergeCell ref="E1296:E1297"/>
    <mergeCell ref="H1296:H1297"/>
    <mergeCell ref="I1296:I1297"/>
    <mergeCell ref="J1296:J1297"/>
    <mergeCell ref="K1296:K1297"/>
    <mergeCell ref="L1296:L1297"/>
    <mergeCell ref="M1296:M1297"/>
    <mergeCell ref="N1296:N1297"/>
    <mergeCell ref="O1296:O1297"/>
    <mergeCell ref="X1296:X1297"/>
    <mergeCell ref="Y1296:Y1297"/>
    <mergeCell ref="Z1296:Z1297"/>
    <mergeCell ref="AA1296:AA1297"/>
    <mergeCell ref="AB1296:AB1297"/>
    <mergeCell ref="A1298:A1299"/>
    <mergeCell ref="E1298:E1299"/>
    <mergeCell ref="H1298:H1299"/>
    <mergeCell ref="I1298:I1299"/>
    <mergeCell ref="J1298:J1299"/>
    <mergeCell ref="K1298:K1299"/>
    <mergeCell ref="L1298:L1299"/>
    <mergeCell ref="M1298:M1299"/>
    <mergeCell ref="N1298:N1299"/>
    <mergeCell ref="O1298:O1299"/>
    <mergeCell ref="X1298:X1299"/>
    <mergeCell ref="Y1298:Y1299"/>
    <mergeCell ref="Z1298:Z1299"/>
    <mergeCell ref="AA1298:AA1299"/>
    <mergeCell ref="AB1298:AB1299"/>
    <mergeCell ref="A1292:A1293"/>
    <mergeCell ref="E1292:E1293"/>
    <mergeCell ref="H1292:H1293"/>
    <mergeCell ref="I1292:I1293"/>
    <mergeCell ref="J1292:J1293"/>
    <mergeCell ref="K1292:K1293"/>
    <mergeCell ref="L1292:L1293"/>
    <mergeCell ref="M1292:M1293"/>
    <mergeCell ref="N1292:N1293"/>
    <mergeCell ref="O1292:O1293"/>
    <mergeCell ref="X1292:X1293"/>
    <mergeCell ref="Y1292:Y1293"/>
    <mergeCell ref="Z1292:Z1293"/>
    <mergeCell ref="AA1292:AA1293"/>
    <mergeCell ref="AB1292:AB1293"/>
    <mergeCell ref="A1294:A1295"/>
    <mergeCell ref="E1294:E1295"/>
    <mergeCell ref="H1294:H1295"/>
    <mergeCell ref="I1294:I1295"/>
    <mergeCell ref="J1294:J1295"/>
    <mergeCell ref="K1294:K1295"/>
    <mergeCell ref="L1294:L1295"/>
    <mergeCell ref="M1294:M1295"/>
    <mergeCell ref="N1294:N1295"/>
    <mergeCell ref="O1294:O1295"/>
    <mergeCell ref="X1294:X1295"/>
    <mergeCell ref="Y1294:Y1295"/>
    <mergeCell ref="Z1294:Z1295"/>
    <mergeCell ref="AA1294:AA1295"/>
    <mergeCell ref="AB1294:AB1295"/>
    <mergeCell ref="A1288:A1289"/>
    <mergeCell ref="E1288:E1289"/>
    <mergeCell ref="H1288:H1289"/>
    <mergeCell ref="I1288:I1289"/>
    <mergeCell ref="J1288:J1289"/>
    <mergeCell ref="K1288:K1289"/>
    <mergeCell ref="L1288:L1289"/>
    <mergeCell ref="M1288:M1289"/>
    <mergeCell ref="N1288:N1289"/>
    <mergeCell ref="O1288:O1289"/>
    <mergeCell ref="X1288:X1289"/>
    <mergeCell ref="Y1288:Y1289"/>
    <mergeCell ref="Z1288:Z1289"/>
    <mergeCell ref="AA1288:AA1289"/>
    <mergeCell ref="AB1288:AB1289"/>
    <mergeCell ref="A1290:A1291"/>
    <mergeCell ref="E1290:E1291"/>
    <mergeCell ref="H1290:H1291"/>
    <mergeCell ref="I1290:I1291"/>
    <mergeCell ref="J1290:J1291"/>
    <mergeCell ref="K1290:K1291"/>
    <mergeCell ref="L1290:L1291"/>
    <mergeCell ref="M1290:M1291"/>
    <mergeCell ref="N1290:N1291"/>
    <mergeCell ref="O1290:O1291"/>
    <mergeCell ref="X1290:X1291"/>
    <mergeCell ref="Y1290:Y1291"/>
    <mergeCell ref="Z1290:Z1291"/>
    <mergeCell ref="AA1290:AA1291"/>
    <mergeCell ref="AB1290:AB1291"/>
    <mergeCell ref="A1284:A1285"/>
    <mergeCell ref="E1284:E1285"/>
    <mergeCell ref="H1284:H1285"/>
    <mergeCell ref="I1284:I1285"/>
    <mergeCell ref="J1284:J1285"/>
    <mergeCell ref="K1284:K1285"/>
    <mergeCell ref="L1284:L1285"/>
    <mergeCell ref="M1284:M1285"/>
    <mergeCell ref="N1284:N1285"/>
    <mergeCell ref="O1284:O1285"/>
    <mergeCell ref="X1284:X1285"/>
    <mergeCell ref="Y1284:Y1285"/>
    <mergeCell ref="Z1284:Z1285"/>
    <mergeCell ref="AA1284:AA1285"/>
    <mergeCell ref="AB1284:AB1285"/>
    <mergeCell ref="A1286:A1287"/>
    <mergeCell ref="E1286:E1287"/>
    <mergeCell ref="H1286:H1287"/>
    <mergeCell ref="I1286:I1287"/>
    <mergeCell ref="J1286:J1287"/>
    <mergeCell ref="K1286:K1287"/>
    <mergeCell ref="L1286:L1287"/>
    <mergeCell ref="M1286:M1287"/>
    <mergeCell ref="N1286:N1287"/>
    <mergeCell ref="O1286:O1287"/>
    <mergeCell ref="X1286:X1287"/>
    <mergeCell ref="Y1286:Y1287"/>
    <mergeCell ref="Z1286:Z1287"/>
    <mergeCell ref="AA1286:AA1287"/>
    <mergeCell ref="AB1286:AB1287"/>
    <mergeCell ref="A1280:A1281"/>
    <mergeCell ref="E1280:E1281"/>
    <mergeCell ref="H1280:H1281"/>
    <mergeCell ref="I1280:I1281"/>
    <mergeCell ref="J1280:J1281"/>
    <mergeCell ref="K1280:K1281"/>
    <mergeCell ref="L1280:L1281"/>
    <mergeCell ref="M1280:M1281"/>
    <mergeCell ref="N1280:N1281"/>
    <mergeCell ref="O1280:O1281"/>
    <mergeCell ref="X1280:X1281"/>
    <mergeCell ref="Y1280:Y1281"/>
    <mergeCell ref="Z1280:Z1281"/>
    <mergeCell ref="AA1280:AA1281"/>
    <mergeCell ref="AB1280:AB1281"/>
    <mergeCell ref="A1282:A1283"/>
    <mergeCell ref="E1282:E1283"/>
    <mergeCell ref="H1282:H1283"/>
    <mergeCell ref="I1282:I1283"/>
    <mergeCell ref="J1282:J1283"/>
    <mergeCell ref="K1282:K1283"/>
    <mergeCell ref="L1282:L1283"/>
    <mergeCell ref="M1282:M1283"/>
    <mergeCell ref="N1282:N1283"/>
    <mergeCell ref="O1282:O1283"/>
    <mergeCell ref="X1282:X1283"/>
    <mergeCell ref="Y1282:Y1283"/>
    <mergeCell ref="Z1282:Z1283"/>
    <mergeCell ref="AA1282:AA1283"/>
    <mergeCell ref="AB1282:AB1283"/>
    <mergeCell ref="A1276:A1277"/>
    <mergeCell ref="E1276:E1277"/>
    <mergeCell ref="H1276:H1277"/>
    <mergeCell ref="I1276:I1277"/>
    <mergeCell ref="J1276:J1277"/>
    <mergeCell ref="K1276:K1277"/>
    <mergeCell ref="L1276:L1277"/>
    <mergeCell ref="M1276:M1277"/>
    <mergeCell ref="N1276:N1277"/>
    <mergeCell ref="O1276:O1277"/>
    <mergeCell ref="X1276:X1277"/>
    <mergeCell ref="Y1276:Y1277"/>
    <mergeCell ref="Z1276:Z1277"/>
    <mergeCell ref="AA1276:AA1277"/>
    <mergeCell ref="AB1276:AB1277"/>
    <mergeCell ref="A1278:A1279"/>
    <mergeCell ref="E1278:E1279"/>
    <mergeCell ref="H1278:H1279"/>
    <mergeCell ref="I1278:I1279"/>
    <mergeCell ref="J1278:J1279"/>
    <mergeCell ref="K1278:K1279"/>
    <mergeCell ref="L1278:L1279"/>
    <mergeCell ref="M1278:M1279"/>
    <mergeCell ref="N1278:N1279"/>
    <mergeCell ref="O1278:O1279"/>
    <mergeCell ref="X1278:X1279"/>
    <mergeCell ref="Y1278:Y1279"/>
    <mergeCell ref="Z1278:Z1279"/>
    <mergeCell ref="AA1278:AA1279"/>
    <mergeCell ref="AB1278:AB1279"/>
    <mergeCell ref="A1272:A1273"/>
    <mergeCell ref="E1272:E1273"/>
    <mergeCell ref="H1272:H1273"/>
    <mergeCell ref="I1272:I1273"/>
    <mergeCell ref="J1272:J1273"/>
    <mergeCell ref="K1272:K1273"/>
    <mergeCell ref="L1272:L1273"/>
    <mergeCell ref="M1272:M1273"/>
    <mergeCell ref="N1272:N1273"/>
    <mergeCell ref="O1272:O1273"/>
    <mergeCell ref="X1272:X1273"/>
    <mergeCell ref="Y1272:Y1273"/>
    <mergeCell ref="Z1272:Z1273"/>
    <mergeCell ref="AA1272:AA1273"/>
    <mergeCell ref="AB1272:AB1273"/>
    <mergeCell ref="A1274:A1275"/>
    <mergeCell ref="E1274:E1275"/>
    <mergeCell ref="H1274:H1275"/>
    <mergeCell ref="I1274:I1275"/>
    <mergeCell ref="J1274:J1275"/>
    <mergeCell ref="K1274:K1275"/>
    <mergeCell ref="L1274:L1275"/>
    <mergeCell ref="M1274:M1275"/>
    <mergeCell ref="N1274:N1275"/>
    <mergeCell ref="O1274:O1275"/>
    <mergeCell ref="X1274:X1275"/>
    <mergeCell ref="Y1274:Y1275"/>
    <mergeCell ref="Z1274:Z1275"/>
    <mergeCell ref="AA1274:AA1275"/>
    <mergeCell ref="AB1274:AB1275"/>
    <mergeCell ref="A1268:A1269"/>
    <mergeCell ref="E1268:E1269"/>
    <mergeCell ref="H1268:H1269"/>
    <mergeCell ref="I1268:I1269"/>
    <mergeCell ref="J1268:J1269"/>
    <mergeCell ref="K1268:K1269"/>
    <mergeCell ref="L1268:L1269"/>
    <mergeCell ref="M1268:M1269"/>
    <mergeCell ref="N1268:N1269"/>
    <mergeCell ref="O1268:O1269"/>
    <mergeCell ref="X1268:X1269"/>
    <mergeCell ref="Y1268:Y1269"/>
    <mergeCell ref="Z1268:Z1269"/>
    <mergeCell ref="AA1268:AA1269"/>
    <mergeCell ref="AB1268:AB1269"/>
    <mergeCell ref="A1270:A1271"/>
    <mergeCell ref="E1270:E1271"/>
    <mergeCell ref="H1270:H1271"/>
    <mergeCell ref="I1270:I1271"/>
    <mergeCell ref="J1270:J1271"/>
    <mergeCell ref="K1270:K1271"/>
    <mergeCell ref="L1270:L1271"/>
    <mergeCell ref="M1270:M1271"/>
    <mergeCell ref="N1270:N1271"/>
    <mergeCell ref="O1270:O1271"/>
    <mergeCell ref="X1270:X1271"/>
    <mergeCell ref="Y1270:Y1271"/>
    <mergeCell ref="Z1270:Z1271"/>
    <mergeCell ref="AA1270:AA1271"/>
    <mergeCell ref="AB1270:AB1271"/>
    <mergeCell ref="A1264:A1265"/>
    <mergeCell ref="E1264:E1265"/>
    <mergeCell ref="H1264:H1265"/>
    <mergeCell ref="I1264:I1265"/>
    <mergeCell ref="J1264:J1265"/>
    <mergeCell ref="K1264:K1265"/>
    <mergeCell ref="L1264:L1265"/>
    <mergeCell ref="M1264:M1265"/>
    <mergeCell ref="N1264:N1265"/>
    <mergeCell ref="O1264:O1265"/>
    <mergeCell ref="X1264:X1265"/>
    <mergeCell ref="Y1264:Y1265"/>
    <mergeCell ref="Z1264:Z1265"/>
    <mergeCell ref="AA1264:AA1265"/>
    <mergeCell ref="AB1264:AB1265"/>
    <mergeCell ref="A1266:A1267"/>
    <mergeCell ref="E1266:E1267"/>
    <mergeCell ref="H1266:H1267"/>
    <mergeCell ref="I1266:I1267"/>
    <mergeCell ref="J1266:J1267"/>
    <mergeCell ref="K1266:K1267"/>
    <mergeCell ref="L1266:L1267"/>
    <mergeCell ref="M1266:M1267"/>
    <mergeCell ref="N1266:N1267"/>
    <mergeCell ref="O1266:O1267"/>
    <mergeCell ref="X1266:X1267"/>
    <mergeCell ref="Y1266:Y1267"/>
    <mergeCell ref="Z1266:Z1267"/>
    <mergeCell ref="AA1266:AA1267"/>
    <mergeCell ref="AB1266:AB1267"/>
    <mergeCell ref="A1260:A1261"/>
    <mergeCell ref="E1260:E1261"/>
    <mergeCell ref="H1260:H1261"/>
    <mergeCell ref="I1260:I1261"/>
    <mergeCell ref="J1260:J1261"/>
    <mergeCell ref="K1260:K1261"/>
    <mergeCell ref="L1260:L1261"/>
    <mergeCell ref="M1260:M1261"/>
    <mergeCell ref="N1260:N1261"/>
    <mergeCell ref="O1260:O1261"/>
    <mergeCell ref="X1260:X1261"/>
    <mergeCell ref="Y1260:Y1261"/>
    <mergeCell ref="Z1260:Z1261"/>
    <mergeCell ref="AA1260:AA1261"/>
    <mergeCell ref="AB1260:AB1261"/>
    <mergeCell ref="A1262:A1263"/>
    <mergeCell ref="E1262:E1263"/>
    <mergeCell ref="H1262:H1263"/>
    <mergeCell ref="I1262:I1263"/>
    <mergeCell ref="J1262:J1263"/>
    <mergeCell ref="K1262:K1263"/>
    <mergeCell ref="L1262:L1263"/>
    <mergeCell ref="M1262:M1263"/>
    <mergeCell ref="N1262:N1263"/>
    <mergeCell ref="O1262:O1263"/>
    <mergeCell ref="X1262:X1263"/>
    <mergeCell ref="Y1262:Y1263"/>
    <mergeCell ref="Z1262:Z1263"/>
    <mergeCell ref="AA1262:AA1263"/>
    <mergeCell ref="AB1262:AB1263"/>
    <mergeCell ref="A1256:A1257"/>
    <mergeCell ref="E1256:E1257"/>
    <mergeCell ref="H1256:H1257"/>
    <mergeCell ref="I1256:I1257"/>
    <mergeCell ref="J1256:J1257"/>
    <mergeCell ref="K1256:K1257"/>
    <mergeCell ref="L1256:L1257"/>
    <mergeCell ref="M1256:M1257"/>
    <mergeCell ref="N1256:N1257"/>
    <mergeCell ref="O1256:O1257"/>
    <mergeCell ref="X1256:X1257"/>
    <mergeCell ref="Y1256:Y1257"/>
    <mergeCell ref="Z1256:Z1257"/>
    <mergeCell ref="AA1256:AA1257"/>
    <mergeCell ref="AB1256:AB1257"/>
    <mergeCell ref="A1258:A1259"/>
    <mergeCell ref="E1258:E1259"/>
    <mergeCell ref="H1258:H1259"/>
    <mergeCell ref="I1258:I1259"/>
    <mergeCell ref="J1258:J1259"/>
    <mergeCell ref="K1258:K1259"/>
    <mergeCell ref="L1258:L1259"/>
    <mergeCell ref="M1258:M1259"/>
    <mergeCell ref="N1258:N1259"/>
    <mergeCell ref="O1258:O1259"/>
    <mergeCell ref="X1258:X1259"/>
    <mergeCell ref="Y1258:Y1259"/>
    <mergeCell ref="Z1258:Z1259"/>
    <mergeCell ref="AA1258:AA1259"/>
    <mergeCell ref="AB1258:AB1259"/>
    <mergeCell ref="A1252:A1253"/>
    <mergeCell ref="E1252:E1253"/>
    <mergeCell ref="H1252:H1253"/>
    <mergeCell ref="I1252:I1253"/>
    <mergeCell ref="J1252:J1253"/>
    <mergeCell ref="K1252:K1253"/>
    <mergeCell ref="L1252:L1253"/>
    <mergeCell ref="M1252:M1253"/>
    <mergeCell ref="N1252:N1253"/>
    <mergeCell ref="O1252:O1253"/>
    <mergeCell ref="X1252:X1253"/>
    <mergeCell ref="Y1252:Y1253"/>
    <mergeCell ref="Z1252:Z1253"/>
    <mergeCell ref="AA1252:AA1253"/>
    <mergeCell ref="AB1252:AB1253"/>
    <mergeCell ref="A1254:A1255"/>
    <mergeCell ref="E1254:E1255"/>
    <mergeCell ref="H1254:H1255"/>
    <mergeCell ref="I1254:I1255"/>
    <mergeCell ref="J1254:J1255"/>
    <mergeCell ref="K1254:K1255"/>
    <mergeCell ref="L1254:L1255"/>
    <mergeCell ref="M1254:M1255"/>
    <mergeCell ref="N1254:N1255"/>
    <mergeCell ref="O1254:O1255"/>
    <mergeCell ref="X1254:X1255"/>
    <mergeCell ref="Y1254:Y1255"/>
    <mergeCell ref="Z1254:Z1255"/>
    <mergeCell ref="AA1254:AA1255"/>
    <mergeCell ref="AB1254:AB1255"/>
    <mergeCell ref="A1248:A1249"/>
    <mergeCell ref="E1248:E1249"/>
    <mergeCell ref="H1248:H1249"/>
    <mergeCell ref="I1248:I1249"/>
    <mergeCell ref="J1248:J1249"/>
    <mergeCell ref="K1248:K1249"/>
    <mergeCell ref="L1248:L1249"/>
    <mergeCell ref="M1248:M1249"/>
    <mergeCell ref="N1248:N1249"/>
    <mergeCell ref="O1248:O1249"/>
    <mergeCell ref="X1248:X1249"/>
    <mergeCell ref="Y1248:Y1249"/>
    <mergeCell ref="Z1248:Z1249"/>
    <mergeCell ref="AA1248:AA1249"/>
    <mergeCell ref="AB1248:AB1249"/>
    <mergeCell ref="A1250:A1251"/>
    <mergeCell ref="E1250:E1251"/>
    <mergeCell ref="H1250:H1251"/>
    <mergeCell ref="I1250:I1251"/>
    <mergeCell ref="J1250:J1251"/>
    <mergeCell ref="K1250:K1251"/>
    <mergeCell ref="L1250:L1251"/>
    <mergeCell ref="M1250:M1251"/>
    <mergeCell ref="N1250:N1251"/>
    <mergeCell ref="O1250:O1251"/>
    <mergeCell ref="X1250:X1251"/>
    <mergeCell ref="Y1250:Y1251"/>
    <mergeCell ref="Z1250:Z1251"/>
    <mergeCell ref="AA1250:AA1251"/>
    <mergeCell ref="AB1250:AB1251"/>
    <mergeCell ref="A1244:A1245"/>
    <mergeCell ref="E1244:E1245"/>
    <mergeCell ref="H1244:H1245"/>
    <mergeCell ref="I1244:I1245"/>
    <mergeCell ref="J1244:J1245"/>
    <mergeCell ref="K1244:K1245"/>
    <mergeCell ref="L1244:L1245"/>
    <mergeCell ref="M1244:M1245"/>
    <mergeCell ref="N1244:N1245"/>
    <mergeCell ref="O1244:O1245"/>
    <mergeCell ref="X1244:X1245"/>
    <mergeCell ref="Y1244:Y1245"/>
    <mergeCell ref="Z1244:Z1245"/>
    <mergeCell ref="AA1244:AA1245"/>
    <mergeCell ref="AB1244:AB1245"/>
    <mergeCell ref="A1246:A1247"/>
    <mergeCell ref="E1246:E1247"/>
    <mergeCell ref="H1246:H1247"/>
    <mergeCell ref="I1246:I1247"/>
    <mergeCell ref="J1246:J1247"/>
    <mergeCell ref="K1246:K1247"/>
    <mergeCell ref="L1246:L1247"/>
    <mergeCell ref="M1246:M1247"/>
    <mergeCell ref="N1246:N1247"/>
    <mergeCell ref="O1246:O1247"/>
    <mergeCell ref="X1246:X1247"/>
    <mergeCell ref="Y1246:Y1247"/>
    <mergeCell ref="Z1246:Z1247"/>
    <mergeCell ref="AA1246:AA1247"/>
    <mergeCell ref="AB1246:AB1247"/>
    <mergeCell ref="A1240:A1241"/>
    <mergeCell ref="E1240:E1241"/>
    <mergeCell ref="H1240:H1241"/>
    <mergeCell ref="I1240:I1241"/>
    <mergeCell ref="J1240:J1241"/>
    <mergeCell ref="K1240:K1241"/>
    <mergeCell ref="L1240:L1241"/>
    <mergeCell ref="M1240:M1241"/>
    <mergeCell ref="N1240:N1241"/>
    <mergeCell ref="O1240:O1241"/>
    <mergeCell ref="X1240:X1241"/>
    <mergeCell ref="Y1240:Y1241"/>
    <mergeCell ref="Z1240:Z1241"/>
    <mergeCell ref="AA1240:AA1241"/>
    <mergeCell ref="AB1240:AB1241"/>
    <mergeCell ref="A1242:A1243"/>
    <mergeCell ref="E1242:E1243"/>
    <mergeCell ref="H1242:H1243"/>
    <mergeCell ref="I1242:I1243"/>
    <mergeCell ref="J1242:J1243"/>
    <mergeCell ref="K1242:K1243"/>
    <mergeCell ref="L1242:L1243"/>
    <mergeCell ref="M1242:M1243"/>
    <mergeCell ref="N1242:N1243"/>
    <mergeCell ref="O1242:O1243"/>
    <mergeCell ref="X1242:X1243"/>
    <mergeCell ref="Y1242:Y1243"/>
    <mergeCell ref="Z1242:Z1243"/>
    <mergeCell ref="AA1242:AA1243"/>
    <mergeCell ref="AB1242:AB1243"/>
    <mergeCell ref="A1236:A1237"/>
    <mergeCell ref="E1236:E1237"/>
    <mergeCell ref="H1236:H1237"/>
    <mergeCell ref="I1236:I1237"/>
    <mergeCell ref="J1236:J1237"/>
    <mergeCell ref="K1236:K1237"/>
    <mergeCell ref="L1236:L1237"/>
    <mergeCell ref="M1236:M1237"/>
    <mergeCell ref="N1236:N1237"/>
    <mergeCell ref="O1236:O1237"/>
    <mergeCell ref="X1236:X1237"/>
    <mergeCell ref="Y1236:Y1237"/>
    <mergeCell ref="Z1236:Z1237"/>
    <mergeCell ref="AA1236:AA1237"/>
    <mergeCell ref="AB1236:AB1237"/>
    <mergeCell ref="A1238:A1239"/>
    <mergeCell ref="E1238:E1239"/>
    <mergeCell ref="H1238:H1239"/>
    <mergeCell ref="I1238:I1239"/>
    <mergeCell ref="J1238:J1239"/>
    <mergeCell ref="K1238:K1239"/>
    <mergeCell ref="L1238:L1239"/>
    <mergeCell ref="M1238:M1239"/>
    <mergeCell ref="N1238:N1239"/>
    <mergeCell ref="O1238:O1239"/>
    <mergeCell ref="X1238:X1239"/>
    <mergeCell ref="Y1238:Y1239"/>
    <mergeCell ref="Z1238:Z1239"/>
    <mergeCell ref="AA1238:AA1239"/>
    <mergeCell ref="AB1238:AB1239"/>
    <mergeCell ref="A1232:A1233"/>
    <mergeCell ref="E1232:E1233"/>
    <mergeCell ref="H1232:H1233"/>
    <mergeCell ref="I1232:I1233"/>
    <mergeCell ref="J1232:J1233"/>
    <mergeCell ref="K1232:K1233"/>
    <mergeCell ref="L1232:L1233"/>
    <mergeCell ref="M1232:M1233"/>
    <mergeCell ref="N1232:N1233"/>
    <mergeCell ref="O1232:O1233"/>
    <mergeCell ref="X1232:X1233"/>
    <mergeCell ref="Y1232:Y1233"/>
    <mergeCell ref="Z1232:Z1233"/>
    <mergeCell ref="AA1232:AA1233"/>
    <mergeCell ref="AB1232:AB1233"/>
    <mergeCell ref="A1234:A1235"/>
    <mergeCell ref="E1234:E1235"/>
    <mergeCell ref="H1234:H1235"/>
    <mergeCell ref="I1234:I1235"/>
    <mergeCell ref="J1234:J1235"/>
    <mergeCell ref="K1234:K1235"/>
    <mergeCell ref="L1234:L1235"/>
    <mergeCell ref="M1234:M1235"/>
    <mergeCell ref="N1234:N1235"/>
    <mergeCell ref="O1234:O1235"/>
    <mergeCell ref="X1234:X1235"/>
    <mergeCell ref="Y1234:Y1235"/>
    <mergeCell ref="Z1234:Z1235"/>
    <mergeCell ref="AA1234:AA1235"/>
    <mergeCell ref="AB1234:AB1235"/>
    <mergeCell ref="A1228:A1229"/>
    <mergeCell ref="E1228:E1229"/>
    <mergeCell ref="H1228:H1229"/>
    <mergeCell ref="I1228:I1229"/>
    <mergeCell ref="J1228:J1229"/>
    <mergeCell ref="K1228:K1229"/>
    <mergeCell ref="L1228:L1229"/>
    <mergeCell ref="M1228:M1229"/>
    <mergeCell ref="N1228:N1229"/>
    <mergeCell ref="O1228:O1229"/>
    <mergeCell ref="X1228:X1229"/>
    <mergeCell ref="Y1228:Y1229"/>
    <mergeCell ref="Z1228:Z1229"/>
    <mergeCell ref="AA1228:AA1229"/>
    <mergeCell ref="AB1228:AB1229"/>
    <mergeCell ref="A1230:A1231"/>
    <mergeCell ref="E1230:E1231"/>
    <mergeCell ref="H1230:H1231"/>
    <mergeCell ref="I1230:I1231"/>
    <mergeCell ref="J1230:J1231"/>
    <mergeCell ref="K1230:K1231"/>
    <mergeCell ref="L1230:L1231"/>
    <mergeCell ref="M1230:M1231"/>
    <mergeCell ref="N1230:N1231"/>
    <mergeCell ref="O1230:O1231"/>
    <mergeCell ref="X1230:X1231"/>
    <mergeCell ref="Y1230:Y1231"/>
    <mergeCell ref="Z1230:Z1231"/>
    <mergeCell ref="AA1230:AA1231"/>
    <mergeCell ref="AB1230:AB1231"/>
    <mergeCell ref="A1224:A1225"/>
    <mergeCell ref="E1224:E1225"/>
    <mergeCell ref="H1224:H1225"/>
    <mergeCell ref="I1224:I1225"/>
    <mergeCell ref="J1224:J1225"/>
    <mergeCell ref="K1224:K1225"/>
    <mergeCell ref="L1224:L1225"/>
    <mergeCell ref="M1224:M1225"/>
    <mergeCell ref="N1224:N1225"/>
    <mergeCell ref="O1224:O1225"/>
    <mergeCell ref="X1224:X1225"/>
    <mergeCell ref="Y1224:Y1225"/>
    <mergeCell ref="Z1224:Z1225"/>
    <mergeCell ref="AA1224:AA1225"/>
    <mergeCell ref="AB1224:AB1225"/>
    <mergeCell ref="A1226:A1227"/>
    <mergeCell ref="E1226:E1227"/>
    <mergeCell ref="H1226:H1227"/>
    <mergeCell ref="I1226:I1227"/>
    <mergeCell ref="J1226:J1227"/>
    <mergeCell ref="K1226:K1227"/>
    <mergeCell ref="L1226:L1227"/>
    <mergeCell ref="M1226:M1227"/>
    <mergeCell ref="N1226:N1227"/>
    <mergeCell ref="O1226:O1227"/>
    <mergeCell ref="X1226:X1227"/>
    <mergeCell ref="Y1226:Y1227"/>
    <mergeCell ref="Z1226:Z1227"/>
    <mergeCell ref="AA1226:AA1227"/>
    <mergeCell ref="AB1226:AB1227"/>
    <mergeCell ref="A1220:A1221"/>
    <mergeCell ref="E1220:E1221"/>
    <mergeCell ref="H1220:H1221"/>
    <mergeCell ref="I1220:I1221"/>
    <mergeCell ref="J1220:J1221"/>
    <mergeCell ref="K1220:K1221"/>
    <mergeCell ref="L1220:L1221"/>
    <mergeCell ref="M1220:M1221"/>
    <mergeCell ref="N1220:N1221"/>
    <mergeCell ref="O1220:O1221"/>
    <mergeCell ref="X1220:X1221"/>
    <mergeCell ref="Y1220:Y1221"/>
    <mergeCell ref="Z1220:Z1221"/>
    <mergeCell ref="AA1220:AA1221"/>
    <mergeCell ref="AB1220:AB1221"/>
    <mergeCell ref="A1222:A1223"/>
    <mergeCell ref="E1222:E1223"/>
    <mergeCell ref="H1222:H1223"/>
    <mergeCell ref="I1222:I1223"/>
    <mergeCell ref="J1222:J1223"/>
    <mergeCell ref="K1222:K1223"/>
    <mergeCell ref="L1222:L1223"/>
    <mergeCell ref="M1222:M1223"/>
    <mergeCell ref="N1222:N1223"/>
    <mergeCell ref="O1222:O1223"/>
    <mergeCell ref="X1222:X1223"/>
    <mergeCell ref="Y1222:Y1223"/>
    <mergeCell ref="Z1222:Z1223"/>
    <mergeCell ref="AA1222:AA1223"/>
    <mergeCell ref="AB1222:AB1223"/>
    <mergeCell ref="A1216:A1217"/>
    <mergeCell ref="E1216:E1217"/>
    <mergeCell ref="H1216:H1217"/>
    <mergeCell ref="I1216:I1217"/>
    <mergeCell ref="J1216:J1217"/>
    <mergeCell ref="K1216:K1217"/>
    <mergeCell ref="L1216:L1217"/>
    <mergeCell ref="M1216:M1217"/>
    <mergeCell ref="N1216:N1217"/>
    <mergeCell ref="O1216:O1217"/>
    <mergeCell ref="X1216:X1217"/>
    <mergeCell ref="Y1216:Y1217"/>
    <mergeCell ref="Z1216:Z1217"/>
    <mergeCell ref="AA1216:AA1217"/>
    <mergeCell ref="AB1216:AB1217"/>
    <mergeCell ref="A1218:A1219"/>
    <mergeCell ref="E1218:E1219"/>
    <mergeCell ref="H1218:H1219"/>
    <mergeCell ref="I1218:I1219"/>
    <mergeCell ref="J1218:J1219"/>
    <mergeCell ref="K1218:K1219"/>
    <mergeCell ref="L1218:L1219"/>
    <mergeCell ref="M1218:M1219"/>
    <mergeCell ref="N1218:N1219"/>
    <mergeCell ref="O1218:O1219"/>
    <mergeCell ref="X1218:X1219"/>
    <mergeCell ref="Y1218:Y1219"/>
    <mergeCell ref="Z1218:Z1219"/>
    <mergeCell ref="AA1218:AA1219"/>
    <mergeCell ref="AB1218:AB1219"/>
    <mergeCell ref="A1212:A1213"/>
    <mergeCell ref="E1212:E1213"/>
    <mergeCell ref="H1212:H1213"/>
    <mergeCell ref="I1212:I1213"/>
    <mergeCell ref="J1212:J1213"/>
    <mergeCell ref="K1212:K1213"/>
    <mergeCell ref="L1212:L1213"/>
    <mergeCell ref="M1212:M1213"/>
    <mergeCell ref="N1212:N1213"/>
    <mergeCell ref="O1212:O1213"/>
    <mergeCell ref="X1212:X1213"/>
    <mergeCell ref="Y1212:Y1213"/>
    <mergeCell ref="Z1212:Z1213"/>
    <mergeCell ref="AA1212:AA1213"/>
    <mergeCell ref="AB1212:AB1213"/>
    <mergeCell ref="A1214:A1215"/>
    <mergeCell ref="E1214:E1215"/>
    <mergeCell ref="H1214:H1215"/>
    <mergeCell ref="I1214:I1215"/>
    <mergeCell ref="J1214:J1215"/>
    <mergeCell ref="K1214:K1215"/>
    <mergeCell ref="L1214:L1215"/>
    <mergeCell ref="M1214:M1215"/>
    <mergeCell ref="N1214:N1215"/>
    <mergeCell ref="O1214:O1215"/>
    <mergeCell ref="X1214:X1215"/>
    <mergeCell ref="Y1214:Y1215"/>
    <mergeCell ref="Z1214:Z1215"/>
    <mergeCell ref="AA1214:AA1215"/>
    <mergeCell ref="AB1214:AB1215"/>
    <mergeCell ref="A1208:A1209"/>
    <mergeCell ref="E1208:E1209"/>
    <mergeCell ref="H1208:H1209"/>
    <mergeCell ref="I1208:I1209"/>
    <mergeCell ref="J1208:J1209"/>
    <mergeCell ref="K1208:K1209"/>
    <mergeCell ref="L1208:L1209"/>
    <mergeCell ref="M1208:M1209"/>
    <mergeCell ref="N1208:N1209"/>
    <mergeCell ref="O1208:O1209"/>
    <mergeCell ref="X1208:X1209"/>
    <mergeCell ref="Y1208:Y1209"/>
    <mergeCell ref="Z1208:Z1209"/>
    <mergeCell ref="AA1208:AA1209"/>
    <mergeCell ref="AB1208:AB1209"/>
    <mergeCell ref="A1210:A1211"/>
    <mergeCell ref="E1210:E1211"/>
    <mergeCell ref="H1210:H1211"/>
    <mergeCell ref="I1210:I1211"/>
    <mergeCell ref="J1210:J1211"/>
    <mergeCell ref="K1210:K1211"/>
    <mergeCell ref="L1210:L1211"/>
    <mergeCell ref="M1210:M1211"/>
    <mergeCell ref="N1210:N1211"/>
    <mergeCell ref="O1210:O1211"/>
    <mergeCell ref="X1210:X1211"/>
    <mergeCell ref="Y1210:Y1211"/>
    <mergeCell ref="Z1210:Z1211"/>
    <mergeCell ref="AA1210:AA1211"/>
    <mergeCell ref="AB1210:AB1211"/>
    <mergeCell ref="A1204:A1205"/>
    <mergeCell ref="E1204:E1205"/>
    <mergeCell ref="H1204:H1205"/>
    <mergeCell ref="I1204:I1205"/>
    <mergeCell ref="J1204:J1205"/>
    <mergeCell ref="K1204:K1205"/>
    <mergeCell ref="L1204:L1205"/>
    <mergeCell ref="M1204:M1205"/>
    <mergeCell ref="N1204:N1205"/>
    <mergeCell ref="O1204:O1205"/>
    <mergeCell ref="X1204:X1205"/>
    <mergeCell ref="Y1204:Y1205"/>
    <mergeCell ref="Z1204:Z1205"/>
    <mergeCell ref="AA1204:AA1205"/>
    <mergeCell ref="AB1204:AB1205"/>
    <mergeCell ref="A1206:A1207"/>
    <mergeCell ref="E1206:E1207"/>
    <mergeCell ref="H1206:H1207"/>
    <mergeCell ref="I1206:I1207"/>
    <mergeCell ref="J1206:J1207"/>
    <mergeCell ref="K1206:K1207"/>
    <mergeCell ref="L1206:L1207"/>
    <mergeCell ref="M1206:M1207"/>
    <mergeCell ref="N1206:N1207"/>
    <mergeCell ref="O1206:O1207"/>
    <mergeCell ref="X1206:X1207"/>
    <mergeCell ref="Y1206:Y1207"/>
    <mergeCell ref="Z1206:Z1207"/>
    <mergeCell ref="AA1206:AA1207"/>
    <mergeCell ref="AB1206:AB1207"/>
    <mergeCell ref="A1200:A1201"/>
    <mergeCell ref="E1200:E1201"/>
    <mergeCell ref="H1200:H1201"/>
    <mergeCell ref="I1200:I1201"/>
    <mergeCell ref="J1200:J1201"/>
    <mergeCell ref="K1200:K1201"/>
    <mergeCell ref="L1200:L1201"/>
    <mergeCell ref="M1200:M1201"/>
    <mergeCell ref="N1200:N1201"/>
    <mergeCell ref="O1200:O1201"/>
    <mergeCell ref="X1200:X1201"/>
    <mergeCell ref="Y1200:Y1201"/>
    <mergeCell ref="Z1200:Z1201"/>
    <mergeCell ref="AA1200:AA1201"/>
    <mergeCell ref="AB1200:AB1201"/>
    <mergeCell ref="A1202:A1203"/>
    <mergeCell ref="E1202:E1203"/>
    <mergeCell ref="H1202:H1203"/>
    <mergeCell ref="I1202:I1203"/>
    <mergeCell ref="J1202:J1203"/>
    <mergeCell ref="K1202:K1203"/>
    <mergeCell ref="L1202:L1203"/>
    <mergeCell ref="M1202:M1203"/>
    <mergeCell ref="N1202:N1203"/>
    <mergeCell ref="O1202:O1203"/>
    <mergeCell ref="X1202:X1203"/>
    <mergeCell ref="Y1202:Y1203"/>
    <mergeCell ref="Z1202:Z1203"/>
    <mergeCell ref="AA1202:AA1203"/>
    <mergeCell ref="AB1202:AB1203"/>
    <mergeCell ref="A1196:A1197"/>
    <mergeCell ref="E1196:E1197"/>
    <mergeCell ref="H1196:H1197"/>
    <mergeCell ref="I1196:I1197"/>
    <mergeCell ref="J1196:J1197"/>
    <mergeCell ref="K1196:K1197"/>
    <mergeCell ref="L1196:L1197"/>
    <mergeCell ref="M1196:M1197"/>
    <mergeCell ref="N1196:N1197"/>
    <mergeCell ref="O1196:O1197"/>
    <mergeCell ref="X1196:X1197"/>
    <mergeCell ref="Y1196:Y1197"/>
    <mergeCell ref="Z1196:Z1197"/>
    <mergeCell ref="AA1196:AA1197"/>
    <mergeCell ref="AB1196:AB1197"/>
    <mergeCell ref="A1198:A1199"/>
    <mergeCell ref="E1198:E1199"/>
    <mergeCell ref="H1198:H1199"/>
    <mergeCell ref="I1198:I1199"/>
    <mergeCell ref="J1198:J1199"/>
    <mergeCell ref="K1198:K1199"/>
    <mergeCell ref="L1198:L1199"/>
    <mergeCell ref="M1198:M1199"/>
    <mergeCell ref="N1198:N1199"/>
    <mergeCell ref="O1198:O1199"/>
    <mergeCell ref="X1198:X1199"/>
    <mergeCell ref="Y1198:Y1199"/>
    <mergeCell ref="Z1198:Z1199"/>
    <mergeCell ref="AA1198:AA1199"/>
    <mergeCell ref="AB1198:AB1199"/>
    <mergeCell ref="A1192:A1193"/>
    <mergeCell ref="E1192:E1193"/>
    <mergeCell ref="H1192:H1193"/>
    <mergeCell ref="I1192:I1193"/>
    <mergeCell ref="J1192:J1193"/>
    <mergeCell ref="K1192:K1193"/>
    <mergeCell ref="L1192:L1193"/>
    <mergeCell ref="M1192:M1193"/>
    <mergeCell ref="N1192:N1193"/>
    <mergeCell ref="O1192:O1193"/>
    <mergeCell ref="X1192:X1193"/>
    <mergeCell ref="Y1192:Y1193"/>
    <mergeCell ref="Z1192:Z1193"/>
    <mergeCell ref="AA1192:AA1193"/>
    <mergeCell ref="AB1192:AB1193"/>
    <mergeCell ref="A1194:A1195"/>
    <mergeCell ref="E1194:E1195"/>
    <mergeCell ref="H1194:H1195"/>
    <mergeCell ref="I1194:I1195"/>
    <mergeCell ref="J1194:J1195"/>
    <mergeCell ref="K1194:K1195"/>
    <mergeCell ref="L1194:L1195"/>
    <mergeCell ref="M1194:M1195"/>
    <mergeCell ref="N1194:N1195"/>
    <mergeCell ref="O1194:O1195"/>
    <mergeCell ref="X1194:X1195"/>
    <mergeCell ref="Y1194:Y1195"/>
    <mergeCell ref="Z1194:Z1195"/>
    <mergeCell ref="AA1194:AA1195"/>
    <mergeCell ref="AB1194:AB1195"/>
    <mergeCell ref="A1188:A1189"/>
    <mergeCell ref="E1188:E1189"/>
    <mergeCell ref="H1188:H1189"/>
    <mergeCell ref="I1188:I1189"/>
    <mergeCell ref="J1188:J1189"/>
    <mergeCell ref="K1188:K1189"/>
    <mergeCell ref="L1188:L1189"/>
    <mergeCell ref="M1188:M1189"/>
    <mergeCell ref="N1188:N1189"/>
    <mergeCell ref="O1188:O1189"/>
    <mergeCell ref="X1188:X1189"/>
    <mergeCell ref="Y1188:Y1189"/>
    <mergeCell ref="Z1188:Z1189"/>
    <mergeCell ref="AA1188:AA1189"/>
    <mergeCell ref="AB1188:AB1189"/>
    <mergeCell ref="A1190:A1191"/>
    <mergeCell ref="E1190:E1191"/>
    <mergeCell ref="H1190:H1191"/>
    <mergeCell ref="I1190:I1191"/>
    <mergeCell ref="J1190:J1191"/>
    <mergeCell ref="K1190:K1191"/>
    <mergeCell ref="L1190:L1191"/>
    <mergeCell ref="M1190:M1191"/>
    <mergeCell ref="N1190:N1191"/>
    <mergeCell ref="O1190:O1191"/>
    <mergeCell ref="X1190:X1191"/>
    <mergeCell ref="Y1190:Y1191"/>
    <mergeCell ref="Z1190:Z1191"/>
    <mergeCell ref="AA1190:AA1191"/>
    <mergeCell ref="AB1190:AB1191"/>
    <mergeCell ref="A1184:A1185"/>
    <mergeCell ref="E1184:E1185"/>
    <mergeCell ref="H1184:H1185"/>
    <mergeCell ref="I1184:I1185"/>
    <mergeCell ref="J1184:J1185"/>
    <mergeCell ref="K1184:K1185"/>
    <mergeCell ref="L1184:L1185"/>
    <mergeCell ref="M1184:M1185"/>
    <mergeCell ref="N1184:N1185"/>
    <mergeCell ref="O1184:O1185"/>
    <mergeCell ref="X1184:X1185"/>
    <mergeCell ref="Y1184:Y1185"/>
    <mergeCell ref="Z1184:Z1185"/>
    <mergeCell ref="AA1184:AA1185"/>
    <mergeCell ref="AB1184:AB1185"/>
    <mergeCell ref="A1186:A1187"/>
    <mergeCell ref="E1186:E1187"/>
    <mergeCell ref="H1186:H1187"/>
    <mergeCell ref="I1186:I1187"/>
    <mergeCell ref="J1186:J1187"/>
    <mergeCell ref="K1186:K1187"/>
    <mergeCell ref="L1186:L1187"/>
    <mergeCell ref="M1186:M1187"/>
    <mergeCell ref="N1186:N1187"/>
    <mergeCell ref="O1186:O1187"/>
    <mergeCell ref="X1186:X1187"/>
    <mergeCell ref="Y1186:Y1187"/>
    <mergeCell ref="Z1186:Z1187"/>
    <mergeCell ref="AA1186:AA1187"/>
    <mergeCell ref="AB1186:AB1187"/>
    <mergeCell ref="A1180:A1181"/>
    <mergeCell ref="E1180:E1181"/>
    <mergeCell ref="H1180:H1181"/>
    <mergeCell ref="I1180:I1181"/>
    <mergeCell ref="J1180:J1181"/>
    <mergeCell ref="K1180:K1181"/>
    <mergeCell ref="L1180:L1181"/>
    <mergeCell ref="M1180:M1181"/>
    <mergeCell ref="N1180:N1181"/>
    <mergeCell ref="O1180:O1181"/>
    <mergeCell ref="X1180:X1181"/>
    <mergeCell ref="Y1180:Y1181"/>
    <mergeCell ref="Z1180:Z1181"/>
    <mergeCell ref="AA1180:AA1181"/>
    <mergeCell ref="AB1180:AB1181"/>
    <mergeCell ref="A1182:A1183"/>
    <mergeCell ref="E1182:E1183"/>
    <mergeCell ref="H1182:H1183"/>
    <mergeCell ref="I1182:I1183"/>
    <mergeCell ref="J1182:J1183"/>
    <mergeCell ref="K1182:K1183"/>
    <mergeCell ref="L1182:L1183"/>
    <mergeCell ref="M1182:M1183"/>
    <mergeCell ref="N1182:N1183"/>
    <mergeCell ref="O1182:O1183"/>
    <mergeCell ref="X1182:X1183"/>
    <mergeCell ref="Y1182:Y1183"/>
    <mergeCell ref="Z1182:Z1183"/>
    <mergeCell ref="AA1182:AA1183"/>
    <mergeCell ref="AB1182:AB1183"/>
    <mergeCell ref="A1176:A1177"/>
    <mergeCell ref="E1176:E1177"/>
    <mergeCell ref="H1176:H1177"/>
    <mergeCell ref="I1176:I1177"/>
    <mergeCell ref="J1176:J1177"/>
    <mergeCell ref="K1176:K1177"/>
    <mergeCell ref="L1176:L1177"/>
    <mergeCell ref="M1176:M1177"/>
    <mergeCell ref="N1176:N1177"/>
    <mergeCell ref="O1176:O1177"/>
    <mergeCell ref="X1176:X1177"/>
    <mergeCell ref="Y1176:Y1177"/>
    <mergeCell ref="Z1176:Z1177"/>
    <mergeCell ref="AA1176:AA1177"/>
    <mergeCell ref="AB1176:AB1177"/>
    <mergeCell ref="A1178:A1179"/>
    <mergeCell ref="E1178:E1179"/>
    <mergeCell ref="H1178:H1179"/>
    <mergeCell ref="I1178:I1179"/>
    <mergeCell ref="J1178:J1179"/>
    <mergeCell ref="K1178:K1179"/>
    <mergeCell ref="L1178:L1179"/>
    <mergeCell ref="M1178:M1179"/>
    <mergeCell ref="N1178:N1179"/>
    <mergeCell ref="O1178:O1179"/>
    <mergeCell ref="X1178:X1179"/>
    <mergeCell ref="Y1178:Y1179"/>
    <mergeCell ref="Z1178:Z1179"/>
    <mergeCell ref="AA1178:AA1179"/>
    <mergeCell ref="AB1178:AB1179"/>
    <mergeCell ref="X1174:X1175"/>
    <mergeCell ref="Y1174:Y1175"/>
    <mergeCell ref="Z1174:Z1175"/>
    <mergeCell ref="AA1174:AA1175"/>
    <mergeCell ref="AB1174:AB1175"/>
    <mergeCell ref="A1174:A1175"/>
    <mergeCell ref="E1174:E1175"/>
    <mergeCell ref="H1174:H1175"/>
    <mergeCell ref="I1174:I1175"/>
    <mergeCell ref="J1174:J1175"/>
    <mergeCell ref="K1174:K1175"/>
    <mergeCell ref="L1174:L1175"/>
    <mergeCell ref="M1174:M1175"/>
    <mergeCell ref="N1174:N1175"/>
    <mergeCell ref="O1172:O1173"/>
    <mergeCell ref="O1174:O1175"/>
    <mergeCell ref="X1170:X1171"/>
    <mergeCell ref="Y1170:Y1171"/>
    <mergeCell ref="Z1170:Z1171"/>
    <mergeCell ref="AA1170:AA1171"/>
    <mergeCell ref="AB1170:AB1171"/>
    <mergeCell ref="A1172:A1173"/>
    <mergeCell ref="E1172:E1173"/>
    <mergeCell ref="H1172:H1173"/>
    <mergeCell ref="I1172:I1173"/>
    <mergeCell ref="J1172:J1173"/>
    <mergeCell ref="K1172:K1173"/>
    <mergeCell ref="L1172:L1173"/>
    <mergeCell ref="M1172:M1173"/>
    <mergeCell ref="N1172:N1173"/>
    <mergeCell ref="X1172:X1173"/>
    <mergeCell ref="Y1172:Y1173"/>
    <mergeCell ref="Z1172:Z1173"/>
    <mergeCell ref="AA1172:AA1173"/>
    <mergeCell ref="AB1172:AB1173"/>
    <mergeCell ref="A1170:A1171"/>
    <mergeCell ref="E1170:E1171"/>
    <mergeCell ref="H1170:H1171"/>
    <mergeCell ref="I1170:I1171"/>
    <mergeCell ref="J1170:J1171"/>
    <mergeCell ref="K1170:K1171"/>
    <mergeCell ref="L1170:L1171"/>
    <mergeCell ref="M1170:M1171"/>
    <mergeCell ref="N1170:N1171"/>
    <mergeCell ref="M1158:M1159"/>
    <mergeCell ref="N1158:N1159"/>
    <mergeCell ref="O1168:O1169"/>
    <mergeCell ref="O1170:O1171"/>
    <mergeCell ref="X1166:X1167"/>
    <mergeCell ref="Y1166:Y1167"/>
    <mergeCell ref="Z1166:Z1167"/>
    <mergeCell ref="AA1166:AA1167"/>
    <mergeCell ref="AB1166:AB1167"/>
    <mergeCell ref="A1168:A1169"/>
    <mergeCell ref="E1168:E1169"/>
    <mergeCell ref="H1168:H1169"/>
    <mergeCell ref="I1168:I1169"/>
    <mergeCell ref="J1168:J1169"/>
    <mergeCell ref="K1168:K1169"/>
    <mergeCell ref="L1168:L1169"/>
    <mergeCell ref="M1168:M1169"/>
    <mergeCell ref="N1168:N1169"/>
    <mergeCell ref="X1168:X1169"/>
    <mergeCell ref="Y1168:Y1169"/>
    <mergeCell ref="Z1168:Z1169"/>
    <mergeCell ref="AA1168:AA1169"/>
    <mergeCell ref="AB1168:AB1169"/>
    <mergeCell ref="A1166:A1167"/>
    <mergeCell ref="E1166:E1167"/>
    <mergeCell ref="H1166:H1167"/>
    <mergeCell ref="I1166:I1167"/>
    <mergeCell ref="J1166:J1167"/>
    <mergeCell ref="K1166:K1167"/>
    <mergeCell ref="L1166:L1167"/>
    <mergeCell ref="M1166:M1167"/>
    <mergeCell ref="N1166:N1167"/>
    <mergeCell ref="O1164:O1165"/>
    <mergeCell ref="O1166:O1167"/>
    <mergeCell ref="X1162:X1163"/>
    <mergeCell ref="Y1162:Y1163"/>
    <mergeCell ref="Z1162:Z1163"/>
    <mergeCell ref="AA1162:AA1163"/>
    <mergeCell ref="AB1162:AB1163"/>
    <mergeCell ref="A1152:A1153"/>
    <mergeCell ref="E1152:E1153"/>
    <mergeCell ref="H1152:H1153"/>
    <mergeCell ref="I1152:I1153"/>
    <mergeCell ref="J1152:J1153"/>
    <mergeCell ref="K1152:K1153"/>
    <mergeCell ref="L1152:L1153"/>
    <mergeCell ref="M1152:M1153"/>
    <mergeCell ref="N1152:N1153"/>
    <mergeCell ref="X1152:X1153"/>
    <mergeCell ref="Y1152:Y1153"/>
    <mergeCell ref="Z1152:Z1153"/>
    <mergeCell ref="AA1152:AA1153"/>
    <mergeCell ref="AB1152:AB1153"/>
    <mergeCell ref="A1164:A1165"/>
    <mergeCell ref="E1164:E1165"/>
    <mergeCell ref="H1164:H1165"/>
    <mergeCell ref="I1164:I1165"/>
    <mergeCell ref="J1164:J1165"/>
    <mergeCell ref="K1164:K1165"/>
    <mergeCell ref="L1164:L1165"/>
    <mergeCell ref="M1164:M1165"/>
    <mergeCell ref="N1164:N1165"/>
    <mergeCell ref="X1164:X1165"/>
    <mergeCell ref="Y1164:Y1165"/>
    <mergeCell ref="Z1164:Z1165"/>
    <mergeCell ref="AA1164:AA1165"/>
    <mergeCell ref="AB1164:AB1165"/>
    <mergeCell ref="A1162:A1163"/>
    <mergeCell ref="E1162:E1163"/>
    <mergeCell ref="H1162:H1163"/>
    <mergeCell ref="I1162:I1163"/>
    <mergeCell ref="J1162:J1163"/>
    <mergeCell ref="K1162:K1163"/>
    <mergeCell ref="L1162:L1163"/>
    <mergeCell ref="M1162:M1163"/>
    <mergeCell ref="N1162:N1163"/>
    <mergeCell ref="O1160:O1161"/>
    <mergeCell ref="O1162:O1163"/>
    <mergeCell ref="X1158:X1159"/>
    <mergeCell ref="Y1158:Y1159"/>
    <mergeCell ref="Z1158:Z1159"/>
    <mergeCell ref="AA1158:AA1159"/>
    <mergeCell ref="AB1158:AB1159"/>
    <mergeCell ref="A1160:A1161"/>
    <mergeCell ref="E1160:E1161"/>
    <mergeCell ref="H1160:H1161"/>
    <mergeCell ref="I1160:I1161"/>
    <mergeCell ref="J1160:J1161"/>
    <mergeCell ref="K1160:K1161"/>
    <mergeCell ref="L1160:L1161"/>
    <mergeCell ref="M1160:M1161"/>
    <mergeCell ref="N1160:N1161"/>
    <mergeCell ref="X1160:X1161"/>
    <mergeCell ref="Y1160:Y1161"/>
    <mergeCell ref="Z1160:Z1161"/>
    <mergeCell ref="AA1160:AA1161"/>
    <mergeCell ref="AB1160:AB1161"/>
    <mergeCell ref="A1158:A1159"/>
    <mergeCell ref="Z1146:Z1147"/>
    <mergeCell ref="AA1146:AA1147"/>
    <mergeCell ref="AB1146:AB1147"/>
    <mergeCell ref="A1148:A1149"/>
    <mergeCell ref="E1148:E1149"/>
    <mergeCell ref="H1148:H1149"/>
    <mergeCell ref="I1148:I1149"/>
    <mergeCell ref="J1148:J1149"/>
    <mergeCell ref="K1148:K1149"/>
    <mergeCell ref="L1148:L1149"/>
    <mergeCell ref="M1148:M1149"/>
    <mergeCell ref="N1148:N1149"/>
    <mergeCell ref="X1148:X1149"/>
    <mergeCell ref="Y1148:Y1149"/>
    <mergeCell ref="Z1148:Z1149"/>
    <mergeCell ref="AA1148:AA1149"/>
    <mergeCell ref="AB1148:AB1149"/>
    <mergeCell ref="A1146:A1147"/>
    <mergeCell ref="E1146:E1147"/>
    <mergeCell ref="H1146:H1147"/>
    <mergeCell ref="I1146:I1147"/>
    <mergeCell ref="J1146:J1147"/>
    <mergeCell ref="K1146:K1147"/>
    <mergeCell ref="L1146:L1147"/>
    <mergeCell ref="M1146:M1147"/>
    <mergeCell ref="N1146:N1147"/>
    <mergeCell ref="O1156:O1157"/>
    <mergeCell ref="O1158:O1159"/>
    <mergeCell ref="X1154:X1155"/>
    <mergeCell ref="Y1154:Y1155"/>
    <mergeCell ref="Z1154:Z1155"/>
    <mergeCell ref="AA1154:AA1155"/>
    <mergeCell ref="AB1154:AB1155"/>
    <mergeCell ref="A1156:A1157"/>
    <mergeCell ref="E1156:E1157"/>
    <mergeCell ref="H1156:H1157"/>
    <mergeCell ref="I1156:I1157"/>
    <mergeCell ref="J1156:J1157"/>
    <mergeCell ref="K1156:K1157"/>
    <mergeCell ref="L1156:L1157"/>
    <mergeCell ref="M1156:M1157"/>
    <mergeCell ref="N1156:N1157"/>
    <mergeCell ref="X1156:X1157"/>
    <mergeCell ref="Y1156:Y1157"/>
    <mergeCell ref="Z1156:Z1157"/>
    <mergeCell ref="AA1156:AA1157"/>
    <mergeCell ref="AB1156:AB1157"/>
    <mergeCell ref="A1154:A1155"/>
    <mergeCell ref="E1154:E1155"/>
    <mergeCell ref="H1154:H1155"/>
    <mergeCell ref="I1154:I1155"/>
    <mergeCell ref="J1154:J1155"/>
    <mergeCell ref="K1154:K1155"/>
    <mergeCell ref="L1154:L1155"/>
    <mergeCell ref="M1154:M1155"/>
    <mergeCell ref="N1154:N1155"/>
    <mergeCell ref="O1152:O1153"/>
    <mergeCell ref="O1154:O1155"/>
    <mergeCell ref="E1158:E1159"/>
    <mergeCell ref="H1158:H1159"/>
    <mergeCell ref="I1158:I1159"/>
    <mergeCell ref="J1158:J1159"/>
    <mergeCell ref="K1158:K1159"/>
    <mergeCell ref="L1158:L1159"/>
    <mergeCell ref="O1144:O1145"/>
    <mergeCell ref="O1146:O1147"/>
    <mergeCell ref="X1142:X1143"/>
    <mergeCell ref="Y1142:Y1143"/>
    <mergeCell ref="Z1142:Z1143"/>
    <mergeCell ref="AA1142:AA1143"/>
    <mergeCell ref="AB1142:AB1143"/>
    <mergeCell ref="A1144:A1145"/>
    <mergeCell ref="E1144:E1145"/>
    <mergeCell ref="H1144:H1145"/>
    <mergeCell ref="I1144:I1145"/>
    <mergeCell ref="J1144:J1145"/>
    <mergeCell ref="K1144:K1145"/>
    <mergeCell ref="L1144:L1145"/>
    <mergeCell ref="M1144:M1145"/>
    <mergeCell ref="N1144:N1145"/>
    <mergeCell ref="X1144:X1145"/>
    <mergeCell ref="Y1144:Y1145"/>
    <mergeCell ref="Z1144:Z1145"/>
    <mergeCell ref="AA1144:AA1145"/>
    <mergeCell ref="AB1144:AB1145"/>
    <mergeCell ref="A1142:A1143"/>
    <mergeCell ref="E1142:E1143"/>
    <mergeCell ref="H1142:H1143"/>
    <mergeCell ref="I1142:I1143"/>
    <mergeCell ref="J1142:J1143"/>
    <mergeCell ref="K1142:K1143"/>
    <mergeCell ref="L1142:L1143"/>
    <mergeCell ref="M1142:M1143"/>
    <mergeCell ref="N1142:N1143"/>
    <mergeCell ref="O1140:O1141"/>
    <mergeCell ref="O1142:O1143"/>
    <mergeCell ref="X1150:X1151"/>
    <mergeCell ref="Y1150:Y1151"/>
    <mergeCell ref="Z1150:Z1151"/>
    <mergeCell ref="AA1150:AA1151"/>
    <mergeCell ref="AB1150:AB1151"/>
    <mergeCell ref="A1140:A1141"/>
    <mergeCell ref="E1140:E1141"/>
    <mergeCell ref="H1140:H1141"/>
    <mergeCell ref="I1140:I1141"/>
    <mergeCell ref="J1140:J1141"/>
    <mergeCell ref="K1140:K1141"/>
    <mergeCell ref="L1140:L1141"/>
    <mergeCell ref="M1140:M1141"/>
    <mergeCell ref="N1140:N1141"/>
    <mergeCell ref="X1140:X1141"/>
    <mergeCell ref="Y1140:Y1141"/>
    <mergeCell ref="Z1140:Z1141"/>
    <mergeCell ref="AA1140:AA1141"/>
    <mergeCell ref="AB1140:AB1141"/>
    <mergeCell ref="A1150:A1151"/>
    <mergeCell ref="E1150:E1151"/>
    <mergeCell ref="H1150:H1151"/>
    <mergeCell ref="I1150:I1151"/>
    <mergeCell ref="J1150:J1151"/>
    <mergeCell ref="K1150:K1151"/>
    <mergeCell ref="L1150:L1151"/>
    <mergeCell ref="M1150:M1151"/>
    <mergeCell ref="N1150:N1151"/>
    <mergeCell ref="O1148:O1149"/>
    <mergeCell ref="O1150:O1151"/>
    <mergeCell ref="X1146:X1147"/>
    <mergeCell ref="Y1146:Y1147"/>
    <mergeCell ref="X1138:X1139"/>
    <mergeCell ref="Y1138:Y1139"/>
    <mergeCell ref="Z1138:Z1139"/>
    <mergeCell ref="AA1138:AA1139"/>
    <mergeCell ref="AB1138:AB1139"/>
    <mergeCell ref="A1128:A1129"/>
    <mergeCell ref="E1128:E1129"/>
    <mergeCell ref="H1128:H1129"/>
    <mergeCell ref="I1128:I1129"/>
    <mergeCell ref="J1128:J1129"/>
    <mergeCell ref="K1128:K1129"/>
    <mergeCell ref="L1128:L1129"/>
    <mergeCell ref="M1128:M1129"/>
    <mergeCell ref="N1128:N1129"/>
    <mergeCell ref="X1128:X1129"/>
    <mergeCell ref="Y1128:Y1129"/>
    <mergeCell ref="Z1128:Z1129"/>
    <mergeCell ref="AA1128:AA1129"/>
    <mergeCell ref="AB1128:AB1129"/>
    <mergeCell ref="A1138:A1139"/>
    <mergeCell ref="E1138:E1139"/>
    <mergeCell ref="H1138:H1139"/>
    <mergeCell ref="I1138:I1139"/>
    <mergeCell ref="J1138:J1139"/>
    <mergeCell ref="K1138:K1139"/>
    <mergeCell ref="L1138:L1139"/>
    <mergeCell ref="M1138:M1139"/>
    <mergeCell ref="N1138:N1139"/>
    <mergeCell ref="O1136:O1137"/>
    <mergeCell ref="O1138:O1139"/>
    <mergeCell ref="X1134:X1135"/>
    <mergeCell ref="Y1134:Y1135"/>
    <mergeCell ref="Z1134:Z1135"/>
    <mergeCell ref="AA1134:AA1135"/>
    <mergeCell ref="AB1134:AB1135"/>
    <mergeCell ref="A1136:A1137"/>
    <mergeCell ref="E1136:E1137"/>
    <mergeCell ref="H1136:H1137"/>
    <mergeCell ref="I1136:I1137"/>
    <mergeCell ref="J1136:J1137"/>
    <mergeCell ref="K1136:K1137"/>
    <mergeCell ref="L1136:L1137"/>
    <mergeCell ref="M1136:M1137"/>
    <mergeCell ref="N1136:N1137"/>
    <mergeCell ref="X1136:X1137"/>
    <mergeCell ref="Y1136:Y1137"/>
    <mergeCell ref="Z1136:Z1137"/>
    <mergeCell ref="AA1136:AA1137"/>
    <mergeCell ref="AB1136:AB1137"/>
    <mergeCell ref="A1134:A1135"/>
    <mergeCell ref="E1134:E1135"/>
    <mergeCell ref="H1134:H1135"/>
    <mergeCell ref="I1134:I1135"/>
    <mergeCell ref="J1134:J1135"/>
    <mergeCell ref="K1134:K1135"/>
    <mergeCell ref="L1134:L1135"/>
    <mergeCell ref="M1134:M1135"/>
    <mergeCell ref="N1134:N1135"/>
    <mergeCell ref="Z1122:Z1123"/>
    <mergeCell ref="AA1122:AA1123"/>
    <mergeCell ref="AB1122:AB1123"/>
    <mergeCell ref="A1124:A1125"/>
    <mergeCell ref="E1124:E1125"/>
    <mergeCell ref="H1124:H1125"/>
    <mergeCell ref="I1124:I1125"/>
    <mergeCell ref="J1124:J1125"/>
    <mergeCell ref="K1124:K1125"/>
    <mergeCell ref="L1124:L1125"/>
    <mergeCell ref="M1124:M1125"/>
    <mergeCell ref="N1124:N1125"/>
    <mergeCell ref="X1124:X1125"/>
    <mergeCell ref="Y1124:Y1125"/>
    <mergeCell ref="Z1124:Z1125"/>
    <mergeCell ref="AA1124:AA1125"/>
    <mergeCell ref="AB1124:AB1125"/>
    <mergeCell ref="A1122:A1123"/>
    <mergeCell ref="E1122:E1123"/>
    <mergeCell ref="H1122:H1123"/>
    <mergeCell ref="I1122:I1123"/>
    <mergeCell ref="J1122:J1123"/>
    <mergeCell ref="K1122:K1123"/>
    <mergeCell ref="L1122:L1123"/>
    <mergeCell ref="M1122:M1123"/>
    <mergeCell ref="N1122:N1123"/>
    <mergeCell ref="O1132:O1133"/>
    <mergeCell ref="O1134:O1135"/>
    <mergeCell ref="X1130:X1131"/>
    <mergeCell ref="Y1130:Y1131"/>
    <mergeCell ref="Z1130:Z1131"/>
    <mergeCell ref="AA1130:AA1131"/>
    <mergeCell ref="AB1130:AB1131"/>
    <mergeCell ref="A1132:A1133"/>
    <mergeCell ref="E1132:E1133"/>
    <mergeCell ref="H1132:H1133"/>
    <mergeCell ref="I1132:I1133"/>
    <mergeCell ref="J1132:J1133"/>
    <mergeCell ref="K1132:K1133"/>
    <mergeCell ref="L1132:L1133"/>
    <mergeCell ref="M1132:M1133"/>
    <mergeCell ref="N1132:N1133"/>
    <mergeCell ref="X1132:X1133"/>
    <mergeCell ref="Y1132:Y1133"/>
    <mergeCell ref="Z1132:Z1133"/>
    <mergeCell ref="AA1132:AA1133"/>
    <mergeCell ref="AB1132:AB1133"/>
    <mergeCell ref="A1130:A1131"/>
    <mergeCell ref="E1130:E1131"/>
    <mergeCell ref="H1130:H1131"/>
    <mergeCell ref="I1130:I1131"/>
    <mergeCell ref="J1130:J1131"/>
    <mergeCell ref="K1130:K1131"/>
    <mergeCell ref="L1130:L1131"/>
    <mergeCell ref="M1130:M1131"/>
    <mergeCell ref="N1130:N1131"/>
    <mergeCell ref="O1128:O1129"/>
    <mergeCell ref="O1130:O1131"/>
    <mergeCell ref="O1120:O1121"/>
    <mergeCell ref="O1122:O1123"/>
    <mergeCell ref="X1118:X1119"/>
    <mergeCell ref="Y1118:Y1119"/>
    <mergeCell ref="Z1118:Z1119"/>
    <mergeCell ref="AA1118:AA1119"/>
    <mergeCell ref="AB1118:AB1119"/>
    <mergeCell ref="A1120:A1121"/>
    <mergeCell ref="E1120:E1121"/>
    <mergeCell ref="H1120:H1121"/>
    <mergeCell ref="I1120:I1121"/>
    <mergeCell ref="J1120:J1121"/>
    <mergeCell ref="K1120:K1121"/>
    <mergeCell ref="L1120:L1121"/>
    <mergeCell ref="M1120:M1121"/>
    <mergeCell ref="N1120:N1121"/>
    <mergeCell ref="X1120:X1121"/>
    <mergeCell ref="Y1120:Y1121"/>
    <mergeCell ref="Z1120:Z1121"/>
    <mergeCell ref="AA1120:AA1121"/>
    <mergeCell ref="AB1120:AB1121"/>
    <mergeCell ref="A1118:A1119"/>
    <mergeCell ref="E1118:E1119"/>
    <mergeCell ref="H1118:H1119"/>
    <mergeCell ref="I1118:I1119"/>
    <mergeCell ref="J1118:J1119"/>
    <mergeCell ref="K1118:K1119"/>
    <mergeCell ref="L1118:L1119"/>
    <mergeCell ref="M1118:M1119"/>
    <mergeCell ref="N1118:N1119"/>
    <mergeCell ref="O1116:O1117"/>
    <mergeCell ref="O1118:O1119"/>
    <mergeCell ref="X1126:X1127"/>
    <mergeCell ref="Y1126:Y1127"/>
    <mergeCell ref="Z1126:Z1127"/>
    <mergeCell ref="AA1126:AA1127"/>
    <mergeCell ref="AB1126:AB1127"/>
    <mergeCell ref="A1116:A1117"/>
    <mergeCell ref="E1116:E1117"/>
    <mergeCell ref="H1116:H1117"/>
    <mergeCell ref="I1116:I1117"/>
    <mergeCell ref="J1116:J1117"/>
    <mergeCell ref="K1116:K1117"/>
    <mergeCell ref="L1116:L1117"/>
    <mergeCell ref="M1116:M1117"/>
    <mergeCell ref="N1116:N1117"/>
    <mergeCell ref="X1116:X1117"/>
    <mergeCell ref="Y1116:Y1117"/>
    <mergeCell ref="Z1116:Z1117"/>
    <mergeCell ref="AA1116:AA1117"/>
    <mergeCell ref="AB1116:AB1117"/>
    <mergeCell ref="A1126:A1127"/>
    <mergeCell ref="E1126:E1127"/>
    <mergeCell ref="H1126:H1127"/>
    <mergeCell ref="I1126:I1127"/>
    <mergeCell ref="J1126:J1127"/>
    <mergeCell ref="K1126:K1127"/>
    <mergeCell ref="L1126:L1127"/>
    <mergeCell ref="M1126:M1127"/>
    <mergeCell ref="N1126:N1127"/>
    <mergeCell ref="O1124:O1125"/>
    <mergeCell ref="O1126:O1127"/>
    <mergeCell ref="X1122:X1123"/>
    <mergeCell ref="Y1122:Y1123"/>
    <mergeCell ref="X1114:X1115"/>
    <mergeCell ref="Y1114:Y1115"/>
    <mergeCell ref="Z1114:Z1115"/>
    <mergeCell ref="AA1114:AA1115"/>
    <mergeCell ref="AB1114:AB1115"/>
    <mergeCell ref="A1104:A1105"/>
    <mergeCell ref="E1104:E1105"/>
    <mergeCell ref="H1104:H1105"/>
    <mergeCell ref="I1104:I1105"/>
    <mergeCell ref="J1104:J1105"/>
    <mergeCell ref="K1104:K1105"/>
    <mergeCell ref="L1104:L1105"/>
    <mergeCell ref="M1104:M1105"/>
    <mergeCell ref="N1104:N1105"/>
    <mergeCell ref="X1104:X1105"/>
    <mergeCell ref="Y1104:Y1105"/>
    <mergeCell ref="Z1104:Z1105"/>
    <mergeCell ref="AA1104:AA1105"/>
    <mergeCell ref="AB1104:AB1105"/>
    <mergeCell ref="A1114:A1115"/>
    <mergeCell ref="E1114:E1115"/>
    <mergeCell ref="H1114:H1115"/>
    <mergeCell ref="I1114:I1115"/>
    <mergeCell ref="J1114:J1115"/>
    <mergeCell ref="K1114:K1115"/>
    <mergeCell ref="L1114:L1115"/>
    <mergeCell ref="M1114:M1115"/>
    <mergeCell ref="N1114:N1115"/>
    <mergeCell ref="O1112:O1113"/>
    <mergeCell ref="O1114:O1115"/>
    <mergeCell ref="X1110:X1111"/>
    <mergeCell ref="Y1110:Y1111"/>
    <mergeCell ref="Z1110:Z1111"/>
    <mergeCell ref="AA1110:AA1111"/>
    <mergeCell ref="AB1110:AB1111"/>
    <mergeCell ref="A1112:A1113"/>
    <mergeCell ref="E1112:E1113"/>
    <mergeCell ref="H1112:H1113"/>
    <mergeCell ref="I1112:I1113"/>
    <mergeCell ref="J1112:J1113"/>
    <mergeCell ref="K1112:K1113"/>
    <mergeCell ref="L1112:L1113"/>
    <mergeCell ref="M1112:M1113"/>
    <mergeCell ref="N1112:N1113"/>
    <mergeCell ref="X1112:X1113"/>
    <mergeCell ref="Y1112:Y1113"/>
    <mergeCell ref="Z1112:Z1113"/>
    <mergeCell ref="AA1112:AA1113"/>
    <mergeCell ref="AB1112:AB1113"/>
    <mergeCell ref="A1110:A1111"/>
    <mergeCell ref="E1110:E1111"/>
    <mergeCell ref="H1110:H1111"/>
    <mergeCell ref="I1110:I1111"/>
    <mergeCell ref="J1110:J1111"/>
    <mergeCell ref="K1110:K1111"/>
    <mergeCell ref="L1110:L1111"/>
    <mergeCell ref="M1110:M1111"/>
    <mergeCell ref="N1110:N1111"/>
    <mergeCell ref="Z1098:Z1099"/>
    <mergeCell ref="AA1098:AA1099"/>
    <mergeCell ref="AB1098:AB1099"/>
    <mergeCell ref="A1100:A1101"/>
    <mergeCell ref="E1100:E1101"/>
    <mergeCell ref="H1100:H1101"/>
    <mergeCell ref="I1100:I1101"/>
    <mergeCell ref="J1100:J1101"/>
    <mergeCell ref="K1100:K1101"/>
    <mergeCell ref="L1100:L1101"/>
    <mergeCell ref="M1100:M1101"/>
    <mergeCell ref="N1100:N1101"/>
    <mergeCell ref="X1100:X1101"/>
    <mergeCell ref="Y1100:Y1101"/>
    <mergeCell ref="Z1100:Z1101"/>
    <mergeCell ref="AA1100:AA1101"/>
    <mergeCell ref="AB1100:AB1101"/>
    <mergeCell ref="A1098:A1099"/>
    <mergeCell ref="E1098:E1099"/>
    <mergeCell ref="H1098:H1099"/>
    <mergeCell ref="I1098:I1099"/>
    <mergeCell ref="J1098:J1099"/>
    <mergeCell ref="K1098:K1099"/>
    <mergeCell ref="L1098:L1099"/>
    <mergeCell ref="M1098:M1099"/>
    <mergeCell ref="N1098:N1099"/>
    <mergeCell ref="O1108:O1109"/>
    <mergeCell ref="O1110:O1111"/>
    <mergeCell ref="X1106:X1107"/>
    <mergeCell ref="Y1106:Y1107"/>
    <mergeCell ref="Z1106:Z1107"/>
    <mergeCell ref="AA1106:AA1107"/>
    <mergeCell ref="AB1106:AB1107"/>
    <mergeCell ref="A1108:A1109"/>
    <mergeCell ref="E1108:E1109"/>
    <mergeCell ref="H1108:H1109"/>
    <mergeCell ref="I1108:I1109"/>
    <mergeCell ref="J1108:J1109"/>
    <mergeCell ref="K1108:K1109"/>
    <mergeCell ref="L1108:L1109"/>
    <mergeCell ref="M1108:M1109"/>
    <mergeCell ref="N1108:N1109"/>
    <mergeCell ref="X1108:X1109"/>
    <mergeCell ref="Y1108:Y1109"/>
    <mergeCell ref="Z1108:Z1109"/>
    <mergeCell ref="AA1108:AA1109"/>
    <mergeCell ref="AB1108:AB1109"/>
    <mergeCell ref="A1106:A1107"/>
    <mergeCell ref="E1106:E1107"/>
    <mergeCell ref="H1106:H1107"/>
    <mergeCell ref="I1106:I1107"/>
    <mergeCell ref="J1106:J1107"/>
    <mergeCell ref="K1106:K1107"/>
    <mergeCell ref="L1106:L1107"/>
    <mergeCell ref="M1106:M1107"/>
    <mergeCell ref="N1106:N1107"/>
    <mergeCell ref="O1104:O1105"/>
    <mergeCell ref="O1106:O1107"/>
    <mergeCell ref="O1096:O1097"/>
    <mergeCell ref="O1098:O1099"/>
    <mergeCell ref="X1094:X1095"/>
    <mergeCell ref="Y1094:Y1095"/>
    <mergeCell ref="Z1094:Z1095"/>
    <mergeCell ref="AA1094:AA1095"/>
    <mergeCell ref="AB1094:AB1095"/>
    <mergeCell ref="A1096:A1097"/>
    <mergeCell ref="E1096:E1097"/>
    <mergeCell ref="H1096:H1097"/>
    <mergeCell ref="I1096:I1097"/>
    <mergeCell ref="J1096:J1097"/>
    <mergeCell ref="K1096:K1097"/>
    <mergeCell ref="L1096:L1097"/>
    <mergeCell ref="M1096:M1097"/>
    <mergeCell ref="N1096:N1097"/>
    <mergeCell ref="X1096:X1097"/>
    <mergeCell ref="Y1096:Y1097"/>
    <mergeCell ref="Z1096:Z1097"/>
    <mergeCell ref="AA1096:AA1097"/>
    <mergeCell ref="AB1096:AB1097"/>
    <mergeCell ref="A1094:A1095"/>
    <mergeCell ref="E1094:E1095"/>
    <mergeCell ref="H1094:H1095"/>
    <mergeCell ref="I1094:I1095"/>
    <mergeCell ref="J1094:J1095"/>
    <mergeCell ref="K1094:K1095"/>
    <mergeCell ref="L1094:L1095"/>
    <mergeCell ref="M1094:M1095"/>
    <mergeCell ref="N1094:N1095"/>
    <mergeCell ref="O1092:O1093"/>
    <mergeCell ref="O1094:O1095"/>
    <mergeCell ref="X1102:X1103"/>
    <mergeCell ref="Y1102:Y1103"/>
    <mergeCell ref="Z1102:Z1103"/>
    <mergeCell ref="AA1102:AA1103"/>
    <mergeCell ref="AB1102:AB1103"/>
    <mergeCell ref="A1092:A1093"/>
    <mergeCell ref="E1092:E1093"/>
    <mergeCell ref="H1092:H1093"/>
    <mergeCell ref="I1092:I1093"/>
    <mergeCell ref="J1092:J1093"/>
    <mergeCell ref="K1092:K1093"/>
    <mergeCell ref="L1092:L1093"/>
    <mergeCell ref="M1092:M1093"/>
    <mergeCell ref="N1092:N1093"/>
    <mergeCell ref="X1092:X1093"/>
    <mergeCell ref="Y1092:Y1093"/>
    <mergeCell ref="Z1092:Z1093"/>
    <mergeCell ref="AA1092:AA1093"/>
    <mergeCell ref="AB1092:AB1093"/>
    <mergeCell ref="A1102:A1103"/>
    <mergeCell ref="E1102:E1103"/>
    <mergeCell ref="H1102:H1103"/>
    <mergeCell ref="I1102:I1103"/>
    <mergeCell ref="J1102:J1103"/>
    <mergeCell ref="K1102:K1103"/>
    <mergeCell ref="L1102:L1103"/>
    <mergeCell ref="M1102:M1103"/>
    <mergeCell ref="N1102:N1103"/>
    <mergeCell ref="O1100:O1101"/>
    <mergeCell ref="O1102:O1103"/>
    <mergeCell ref="X1098:X1099"/>
    <mergeCell ref="Y1098:Y1099"/>
    <mergeCell ref="X1090:X1091"/>
    <mergeCell ref="Y1090:Y1091"/>
    <mergeCell ref="Z1090:Z1091"/>
    <mergeCell ref="AA1090:AA1091"/>
    <mergeCell ref="AB1090:AB1091"/>
    <mergeCell ref="A1080:A1081"/>
    <mergeCell ref="E1080:E1081"/>
    <mergeCell ref="H1080:H1081"/>
    <mergeCell ref="I1080:I1081"/>
    <mergeCell ref="J1080:J1081"/>
    <mergeCell ref="K1080:K1081"/>
    <mergeCell ref="L1080:L1081"/>
    <mergeCell ref="M1080:M1081"/>
    <mergeCell ref="N1080:N1081"/>
    <mergeCell ref="X1080:X1081"/>
    <mergeCell ref="Y1080:Y1081"/>
    <mergeCell ref="Z1080:Z1081"/>
    <mergeCell ref="AA1080:AA1081"/>
    <mergeCell ref="AB1080:AB1081"/>
    <mergeCell ref="A1090:A1091"/>
    <mergeCell ref="E1090:E1091"/>
    <mergeCell ref="H1090:H1091"/>
    <mergeCell ref="I1090:I1091"/>
    <mergeCell ref="J1090:J1091"/>
    <mergeCell ref="K1090:K1091"/>
    <mergeCell ref="L1090:L1091"/>
    <mergeCell ref="M1090:M1091"/>
    <mergeCell ref="N1090:N1091"/>
    <mergeCell ref="O1088:O1089"/>
    <mergeCell ref="O1090:O1091"/>
    <mergeCell ref="X1086:X1087"/>
    <mergeCell ref="Y1086:Y1087"/>
    <mergeCell ref="Z1086:Z1087"/>
    <mergeCell ref="AA1086:AA1087"/>
    <mergeCell ref="AB1086:AB1087"/>
    <mergeCell ref="A1088:A1089"/>
    <mergeCell ref="E1088:E1089"/>
    <mergeCell ref="H1088:H1089"/>
    <mergeCell ref="I1088:I1089"/>
    <mergeCell ref="J1088:J1089"/>
    <mergeCell ref="K1088:K1089"/>
    <mergeCell ref="L1088:L1089"/>
    <mergeCell ref="M1088:M1089"/>
    <mergeCell ref="N1088:N1089"/>
    <mergeCell ref="X1088:X1089"/>
    <mergeCell ref="Y1088:Y1089"/>
    <mergeCell ref="Z1088:Z1089"/>
    <mergeCell ref="AA1088:AA1089"/>
    <mergeCell ref="AB1088:AB1089"/>
    <mergeCell ref="A1086:A1087"/>
    <mergeCell ref="E1086:E1087"/>
    <mergeCell ref="H1086:H1087"/>
    <mergeCell ref="I1086:I1087"/>
    <mergeCell ref="J1086:J1087"/>
    <mergeCell ref="K1086:K1087"/>
    <mergeCell ref="L1086:L1087"/>
    <mergeCell ref="M1086:M1087"/>
    <mergeCell ref="N1086:N1087"/>
    <mergeCell ref="Z1074:Z1075"/>
    <mergeCell ref="AA1074:AA1075"/>
    <mergeCell ref="AB1074:AB1075"/>
    <mergeCell ref="A1076:A1077"/>
    <mergeCell ref="E1076:E1077"/>
    <mergeCell ref="H1076:H1077"/>
    <mergeCell ref="I1076:I1077"/>
    <mergeCell ref="J1076:J1077"/>
    <mergeCell ref="K1076:K1077"/>
    <mergeCell ref="L1076:L1077"/>
    <mergeCell ref="M1076:M1077"/>
    <mergeCell ref="N1076:N1077"/>
    <mergeCell ref="X1076:X1077"/>
    <mergeCell ref="Y1076:Y1077"/>
    <mergeCell ref="Z1076:Z1077"/>
    <mergeCell ref="AA1076:AA1077"/>
    <mergeCell ref="AB1076:AB1077"/>
    <mergeCell ref="A1074:A1075"/>
    <mergeCell ref="E1074:E1075"/>
    <mergeCell ref="H1074:H1075"/>
    <mergeCell ref="I1074:I1075"/>
    <mergeCell ref="J1074:J1075"/>
    <mergeCell ref="K1074:K1075"/>
    <mergeCell ref="L1074:L1075"/>
    <mergeCell ref="M1074:M1075"/>
    <mergeCell ref="N1074:N1075"/>
    <mergeCell ref="O1084:O1085"/>
    <mergeCell ref="O1086:O1087"/>
    <mergeCell ref="X1082:X1083"/>
    <mergeCell ref="Y1082:Y1083"/>
    <mergeCell ref="Z1082:Z1083"/>
    <mergeCell ref="AA1082:AA1083"/>
    <mergeCell ref="AB1082:AB1083"/>
    <mergeCell ref="A1084:A1085"/>
    <mergeCell ref="E1084:E1085"/>
    <mergeCell ref="H1084:H1085"/>
    <mergeCell ref="I1084:I1085"/>
    <mergeCell ref="J1084:J1085"/>
    <mergeCell ref="K1084:K1085"/>
    <mergeCell ref="L1084:L1085"/>
    <mergeCell ref="M1084:M1085"/>
    <mergeCell ref="N1084:N1085"/>
    <mergeCell ref="X1084:X1085"/>
    <mergeCell ref="Y1084:Y1085"/>
    <mergeCell ref="Z1084:Z1085"/>
    <mergeCell ref="AA1084:AA1085"/>
    <mergeCell ref="AB1084:AB1085"/>
    <mergeCell ref="A1082:A1083"/>
    <mergeCell ref="E1082:E1083"/>
    <mergeCell ref="H1082:H1083"/>
    <mergeCell ref="I1082:I1083"/>
    <mergeCell ref="J1082:J1083"/>
    <mergeCell ref="K1082:K1083"/>
    <mergeCell ref="L1082:L1083"/>
    <mergeCell ref="M1082:M1083"/>
    <mergeCell ref="N1082:N1083"/>
    <mergeCell ref="O1080:O1081"/>
    <mergeCell ref="O1082:O1083"/>
    <mergeCell ref="O1072:O1073"/>
    <mergeCell ref="O1074:O1075"/>
    <mergeCell ref="X1070:X1071"/>
    <mergeCell ref="Y1070:Y1071"/>
    <mergeCell ref="Z1070:Z1071"/>
    <mergeCell ref="AA1070:AA1071"/>
    <mergeCell ref="AB1070:AB1071"/>
    <mergeCell ref="A1072:A1073"/>
    <mergeCell ref="E1072:E1073"/>
    <mergeCell ref="H1072:H1073"/>
    <mergeCell ref="I1072:I1073"/>
    <mergeCell ref="J1072:J1073"/>
    <mergeCell ref="K1072:K1073"/>
    <mergeCell ref="L1072:L1073"/>
    <mergeCell ref="M1072:M1073"/>
    <mergeCell ref="N1072:N1073"/>
    <mergeCell ref="X1072:X1073"/>
    <mergeCell ref="Y1072:Y1073"/>
    <mergeCell ref="Z1072:Z1073"/>
    <mergeCell ref="AA1072:AA1073"/>
    <mergeCell ref="AB1072:AB1073"/>
    <mergeCell ref="A1070:A1071"/>
    <mergeCell ref="E1070:E1071"/>
    <mergeCell ref="H1070:H1071"/>
    <mergeCell ref="I1070:I1071"/>
    <mergeCell ref="J1070:J1071"/>
    <mergeCell ref="K1070:K1071"/>
    <mergeCell ref="L1070:L1071"/>
    <mergeCell ref="M1070:M1071"/>
    <mergeCell ref="N1070:N1071"/>
    <mergeCell ref="O1068:O1069"/>
    <mergeCell ref="O1070:O1071"/>
    <mergeCell ref="X1078:X1079"/>
    <mergeCell ref="Y1078:Y1079"/>
    <mergeCell ref="Z1078:Z1079"/>
    <mergeCell ref="AA1078:AA1079"/>
    <mergeCell ref="AB1078:AB1079"/>
    <mergeCell ref="A1068:A1069"/>
    <mergeCell ref="E1068:E1069"/>
    <mergeCell ref="H1068:H1069"/>
    <mergeCell ref="I1068:I1069"/>
    <mergeCell ref="J1068:J1069"/>
    <mergeCell ref="K1068:K1069"/>
    <mergeCell ref="L1068:L1069"/>
    <mergeCell ref="M1068:M1069"/>
    <mergeCell ref="N1068:N1069"/>
    <mergeCell ref="X1068:X1069"/>
    <mergeCell ref="Y1068:Y1069"/>
    <mergeCell ref="Z1068:Z1069"/>
    <mergeCell ref="AA1068:AA1069"/>
    <mergeCell ref="AB1068:AB1069"/>
    <mergeCell ref="A1078:A1079"/>
    <mergeCell ref="E1078:E1079"/>
    <mergeCell ref="H1078:H1079"/>
    <mergeCell ref="I1078:I1079"/>
    <mergeCell ref="J1078:J1079"/>
    <mergeCell ref="K1078:K1079"/>
    <mergeCell ref="L1078:L1079"/>
    <mergeCell ref="M1078:M1079"/>
    <mergeCell ref="N1078:N1079"/>
    <mergeCell ref="O1076:O1077"/>
    <mergeCell ref="O1078:O1079"/>
    <mergeCell ref="X1074:X1075"/>
    <mergeCell ref="Y1074:Y1075"/>
    <mergeCell ref="X1066:X1067"/>
    <mergeCell ref="Y1066:Y1067"/>
    <mergeCell ref="Z1066:Z1067"/>
    <mergeCell ref="AA1066:AA1067"/>
    <mergeCell ref="AB1066:AB1067"/>
    <mergeCell ref="A1056:A1057"/>
    <mergeCell ref="E1056:E1057"/>
    <mergeCell ref="H1056:H1057"/>
    <mergeCell ref="I1056:I1057"/>
    <mergeCell ref="J1056:J1057"/>
    <mergeCell ref="K1056:K1057"/>
    <mergeCell ref="L1056:L1057"/>
    <mergeCell ref="M1056:M1057"/>
    <mergeCell ref="N1056:N1057"/>
    <mergeCell ref="X1056:X1057"/>
    <mergeCell ref="Y1056:Y1057"/>
    <mergeCell ref="Z1056:Z1057"/>
    <mergeCell ref="AA1056:AA1057"/>
    <mergeCell ref="AB1056:AB1057"/>
    <mergeCell ref="A1066:A1067"/>
    <mergeCell ref="E1066:E1067"/>
    <mergeCell ref="H1066:H1067"/>
    <mergeCell ref="I1066:I1067"/>
    <mergeCell ref="J1066:J1067"/>
    <mergeCell ref="K1066:K1067"/>
    <mergeCell ref="L1066:L1067"/>
    <mergeCell ref="M1066:M1067"/>
    <mergeCell ref="N1066:N1067"/>
    <mergeCell ref="O1064:O1065"/>
    <mergeCell ref="O1066:O1067"/>
    <mergeCell ref="X1062:X1063"/>
    <mergeCell ref="Y1062:Y1063"/>
    <mergeCell ref="Z1062:Z1063"/>
    <mergeCell ref="AA1062:AA1063"/>
    <mergeCell ref="AB1062:AB1063"/>
    <mergeCell ref="A1064:A1065"/>
    <mergeCell ref="E1064:E1065"/>
    <mergeCell ref="H1064:H1065"/>
    <mergeCell ref="I1064:I1065"/>
    <mergeCell ref="J1064:J1065"/>
    <mergeCell ref="K1064:K1065"/>
    <mergeCell ref="L1064:L1065"/>
    <mergeCell ref="M1064:M1065"/>
    <mergeCell ref="N1064:N1065"/>
    <mergeCell ref="X1064:X1065"/>
    <mergeCell ref="Y1064:Y1065"/>
    <mergeCell ref="Z1064:Z1065"/>
    <mergeCell ref="AA1064:AA1065"/>
    <mergeCell ref="AB1064:AB1065"/>
    <mergeCell ref="A1062:A1063"/>
    <mergeCell ref="E1062:E1063"/>
    <mergeCell ref="H1062:H1063"/>
    <mergeCell ref="I1062:I1063"/>
    <mergeCell ref="J1062:J1063"/>
    <mergeCell ref="K1062:K1063"/>
    <mergeCell ref="L1062:L1063"/>
    <mergeCell ref="M1062:M1063"/>
    <mergeCell ref="N1062:N1063"/>
    <mergeCell ref="Z1050:Z1051"/>
    <mergeCell ref="AA1050:AA1051"/>
    <mergeCell ref="AB1050:AB1051"/>
    <mergeCell ref="A1052:A1053"/>
    <mergeCell ref="E1052:E1053"/>
    <mergeCell ref="H1052:H1053"/>
    <mergeCell ref="I1052:I1053"/>
    <mergeCell ref="J1052:J1053"/>
    <mergeCell ref="K1052:K1053"/>
    <mergeCell ref="L1052:L1053"/>
    <mergeCell ref="M1052:M1053"/>
    <mergeCell ref="N1052:N1053"/>
    <mergeCell ref="X1052:X1053"/>
    <mergeCell ref="Y1052:Y1053"/>
    <mergeCell ref="Z1052:Z1053"/>
    <mergeCell ref="AA1052:AA1053"/>
    <mergeCell ref="AB1052:AB1053"/>
    <mergeCell ref="A1050:A1051"/>
    <mergeCell ref="E1050:E1051"/>
    <mergeCell ref="H1050:H1051"/>
    <mergeCell ref="I1050:I1051"/>
    <mergeCell ref="J1050:J1051"/>
    <mergeCell ref="K1050:K1051"/>
    <mergeCell ref="L1050:L1051"/>
    <mergeCell ref="M1050:M1051"/>
    <mergeCell ref="N1050:N1051"/>
    <mergeCell ref="O1060:O1061"/>
    <mergeCell ref="O1062:O1063"/>
    <mergeCell ref="X1058:X1059"/>
    <mergeCell ref="Y1058:Y1059"/>
    <mergeCell ref="Z1058:Z1059"/>
    <mergeCell ref="AA1058:AA1059"/>
    <mergeCell ref="AB1058:AB1059"/>
    <mergeCell ref="A1060:A1061"/>
    <mergeCell ref="E1060:E1061"/>
    <mergeCell ref="H1060:H1061"/>
    <mergeCell ref="I1060:I1061"/>
    <mergeCell ref="J1060:J1061"/>
    <mergeCell ref="K1060:K1061"/>
    <mergeCell ref="L1060:L1061"/>
    <mergeCell ref="M1060:M1061"/>
    <mergeCell ref="N1060:N1061"/>
    <mergeCell ref="X1060:X1061"/>
    <mergeCell ref="Y1060:Y1061"/>
    <mergeCell ref="Z1060:Z1061"/>
    <mergeCell ref="AA1060:AA1061"/>
    <mergeCell ref="AB1060:AB1061"/>
    <mergeCell ref="A1058:A1059"/>
    <mergeCell ref="E1058:E1059"/>
    <mergeCell ref="H1058:H1059"/>
    <mergeCell ref="I1058:I1059"/>
    <mergeCell ref="J1058:J1059"/>
    <mergeCell ref="K1058:K1059"/>
    <mergeCell ref="L1058:L1059"/>
    <mergeCell ref="M1058:M1059"/>
    <mergeCell ref="N1058:N1059"/>
    <mergeCell ref="O1056:O1057"/>
    <mergeCell ref="O1058:O1059"/>
    <mergeCell ref="O1048:O1049"/>
    <mergeCell ref="O1050:O1051"/>
    <mergeCell ref="X1046:X1047"/>
    <mergeCell ref="Y1046:Y1047"/>
    <mergeCell ref="Z1046:Z1047"/>
    <mergeCell ref="AA1046:AA1047"/>
    <mergeCell ref="AB1046:AB1047"/>
    <mergeCell ref="A1048:A1049"/>
    <mergeCell ref="E1048:E1049"/>
    <mergeCell ref="H1048:H1049"/>
    <mergeCell ref="I1048:I1049"/>
    <mergeCell ref="J1048:J1049"/>
    <mergeCell ref="K1048:K1049"/>
    <mergeCell ref="L1048:L1049"/>
    <mergeCell ref="M1048:M1049"/>
    <mergeCell ref="N1048:N1049"/>
    <mergeCell ref="X1048:X1049"/>
    <mergeCell ref="Y1048:Y1049"/>
    <mergeCell ref="Z1048:Z1049"/>
    <mergeCell ref="AA1048:AA1049"/>
    <mergeCell ref="AB1048:AB1049"/>
    <mergeCell ref="A1046:A1047"/>
    <mergeCell ref="E1046:E1047"/>
    <mergeCell ref="H1046:H1047"/>
    <mergeCell ref="I1046:I1047"/>
    <mergeCell ref="J1046:J1047"/>
    <mergeCell ref="K1046:K1047"/>
    <mergeCell ref="L1046:L1047"/>
    <mergeCell ref="M1046:M1047"/>
    <mergeCell ref="N1046:N1047"/>
    <mergeCell ref="O1044:O1045"/>
    <mergeCell ref="O1046:O1047"/>
    <mergeCell ref="X1054:X1055"/>
    <mergeCell ref="Y1054:Y1055"/>
    <mergeCell ref="Z1054:Z1055"/>
    <mergeCell ref="AA1054:AA1055"/>
    <mergeCell ref="AB1054:AB1055"/>
    <mergeCell ref="A1044:A1045"/>
    <mergeCell ref="E1044:E1045"/>
    <mergeCell ref="H1044:H1045"/>
    <mergeCell ref="I1044:I1045"/>
    <mergeCell ref="J1044:J1045"/>
    <mergeCell ref="K1044:K1045"/>
    <mergeCell ref="L1044:L1045"/>
    <mergeCell ref="M1044:M1045"/>
    <mergeCell ref="N1044:N1045"/>
    <mergeCell ref="X1044:X1045"/>
    <mergeCell ref="Y1044:Y1045"/>
    <mergeCell ref="Z1044:Z1045"/>
    <mergeCell ref="AA1044:AA1045"/>
    <mergeCell ref="AB1044:AB1045"/>
    <mergeCell ref="A1054:A1055"/>
    <mergeCell ref="E1054:E1055"/>
    <mergeCell ref="H1054:H1055"/>
    <mergeCell ref="I1054:I1055"/>
    <mergeCell ref="J1054:J1055"/>
    <mergeCell ref="K1054:K1055"/>
    <mergeCell ref="L1054:L1055"/>
    <mergeCell ref="M1054:M1055"/>
    <mergeCell ref="N1054:N1055"/>
    <mergeCell ref="O1052:O1053"/>
    <mergeCell ref="O1054:O1055"/>
    <mergeCell ref="X1050:X1051"/>
    <mergeCell ref="Y1050:Y1051"/>
    <mergeCell ref="X1042:X1043"/>
    <mergeCell ref="Y1042:Y1043"/>
    <mergeCell ref="Z1042:Z1043"/>
    <mergeCell ref="AA1042:AA1043"/>
    <mergeCell ref="AB1042:AB1043"/>
    <mergeCell ref="A1032:A1033"/>
    <mergeCell ref="E1032:E1033"/>
    <mergeCell ref="H1032:H1033"/>
    <mergeCell ref="I1032:I1033"/>
    <mergeCell ref="J1032:J1033"/>
    <mergeCell ref="K1032:K1033"/>
    <mergeCell ref="L1032:L1033"/>
    <mergeCell ref="M1032:M1033"/>
    <mergeCell ref="N1032:N1033"/>
    <mergeCell ref="X1032:X1033"/>
    <mergeCell ref="Y1032:Y1033"/>
    <mergeCell ref="Z1032:Z1033"/>
    <mergeCell ref="AA1032:AA1033"/>
    <mergeCell ref="AB1032:AB1033"/>
    <mergeCell ref="A1042:A1043"/>
    <mergeCell ref="E1042:E1043"/>
    <mergeCell ref="H1042:H1043"/>
    <mergeCell ref="I1042:I1043"/>
    <mergeCell ref="J1042:J1043"/>
    <mergeCell ref="K1042:K1043"/>
    <mergeCell ref="L1042:L1043"/>
    <mergeCell ref="M1042:M1043"/>
    <mergeCell ref="N1042:N1043"/>
    <mergeCell ref="O1040:O1041"/>
    <mergeCell ref="O1042:O1043"/>
    <mergeCell ref="X1038:X1039"/>
    <mergeCell ref="Y1038:Y1039"/>
    <mergeCell ref="Z1038:Z1039"/>
    <mergeCell ref="AA1038:AA1039"/>
    <mergeCell ref="AB1038:AB1039"/>
    <mergeCell ref="A1040:A1041"/>
    <mergeCell ref="E1040:E1041"/>
    <mergeCell ref="H1040:H1041"/>
    <mergeCell ref="I1040:I1041"/>
    <mergeCell ref="J1040:J1041"/>
    <mergeCell ref="K1040:K1041"/>
    <mergeCell ref="L1040:L1041"/>
    <mergeCell ref="M1040:M1041"/>
    <mergeCell ref="N1040:N1041"/>
    <mergeCell ref="X1040:X1041"/>
    <mergeCell ref="Y1040:Y1041"/>
    <mergeCell ref="Z1040:Z1041"/>
    <mergeCell ref="AA1040:AA1041"/>
    <mergeCell ref="AB1040:AB1041"/>
    <mergeCell ref="A1038:A1039"/>
    <mergeCell ref="E1038:E1039"/>
    <mergeCell ref="H1038:H1039"/>
    <mergeCell ref="I1038:I1039"/>
    <mergeCell ref="J1038:J1039"/>
    <mergeCell ref="K1038:K1039"/>
    <mergeCell ref="L1038:L1039"/>
    <mergeCell ref="M1038:M1039"/>
    <mergeCell ref="N1038:N1039"/>
    <mergeCell ref="Z1026:Z1027"/>
    <mergeCell ref="AA1026:AA1027"/>
    <mergeCell ref="AB1026:AB1027"/>
    <mergeCell ref="A1028:A1029"/>
    <mergeCell ref="E1028:E1029"/>
    <mergeCell ref="H1028:H1029"/>
    <mergeCell ref="I1028:I1029"/>
    <mergeCell ref="J1028:J1029"/>
    <mergeCell ref="K1028:K1029"/>
    <mergeCell ref="L1028:L1029"/>
    <mergeCell ref="M1028:M1029"/>
    <mergeCell ref="N1028:N1029"/>
    <mergeCell ref="X1028:X1029"/>
    <mergeCell ref="Y1028:Y1029"/>
    <mergeCell ref="Z1028:Z1029"/>
    <mergeCell ref="AA1028:AA1029"/>
    <mergeCell ref="AB1028:AB1029"/>
    <mergeCell ref="A1026:A1027"/>
    <mergeCell ref="E1026:E1027"/>
    <mergeCell ref="H1026:H1027"/>
    <mergeCell ref="I1026:I1027"/>
    <mergeCell ref="J1026:J1027"/>
    <mergeCell ref="K1026:K1027"/>
    <mergeCell ref="L1026:L1027"/>
    <mergeCell ref="M1026:M1027"/>
    <mergeCell ref="N1026:N1027"/>
    <mergeCell ref="O1036:O1037"/>
    <mergeCell ref="O1038:O1039"/>
    <mergeCell ref="X1034:X1035"/>
    <mergeCell ref="Y1034:Y1035"/>
    <mergeCell ref="Z1034:Z1035"/>
    <mergeCell ref="AA1034:AA1035"/>
    <mergeCell ref="AB1034:AB1035"/>
    <mergeCell ref="A1036:A1037"/>
    <mergeCell ref="E1036:E1037"/>
    <mergeCell ref="H1036:H1037"/>
    <mergeCell ref="I1036:I1037"/>
    <mergeCell ref="J1036:J1037"/>
    <mergeCell ref="K1036:K1037"/>
    <mergeCell ref="L1036:L1037"/>
    <mergeCell ref="M1036:M1037"/>
    <mergeCell ref="N1036:N1037"/>
    <mergeCell ref="X1036:X1037"/>
    <mergeCell ref="Y1036:Y1037"/>
    <mergeCell ref="Z1036:Z1037"/>
    <mergeCell ref="AA1036:AA1037"/>
    <mergeCell ref="AB1036:AB1037"/>
    <mergeCell ref="A1034:A1035"/>
    <mergeCell ref="E1034:E1035"/>
    <mergeCell ref="H1034:H1035"/>
    <mergeCell ref="I1034:I1035"/>
    <mergeCell ref="J1034:J1035"/>
    <mergeCell ref="K1034:K1035"/>
    <mergeCell ref="L1034:L1035"/>
    <mergeCell ref="M1034:M1035"/>
    <mergeCell ref="N1034:N1035"/>
    <mergeCell ref="O1032:O1033"/>
    <mergeCell ref="O1034:O1035"/>
    <mergeCell ref="O1024:O1025"/>
    <mergeCell ref="O1026:O1027"/>
    <mergeCell ref="X1022:X1023"/>
    <mergeCell ref="Y1022:Y1023"/>
    <mergeCell ref="Z1022:Z1023"/>
    <mergeCell ref="AA1022:AA1023"/>
    <mergeCell ref="AB1022:AB1023"/>
    <mergeCell ref="A1024:A1025"/>
    <mergeCell ref="E1024:E1025"/>
    <mergeCell ref="H1024:H1025"/>
    <mergeCell ref="I1024:I1025"/>
    <mergeCell ref="J1024:J1025"/>
    <mergeCell ref="K1024:K1025"/>
    <mergeCell ref="L1024:L1025"/>
    <mergeCell ref="M1024:M1025"/>
    <mergeCell ref="N1024:N1025"/>
    <mergeCell ref="X1024:X1025"/>
    <mergeCell ref="Y1024:Y1025"/>
    <mergeCell ref="Z1024:Z1025"/>
    <mergeCell ref="AA1024:AA1025"/>
    <mergeCell ref="AB1024:AB1025"/>
    <mergeCell ref="A1022:A1023"/>
    <mergeCell ref="E1022:E1023"/>
    <mergeCell ref="H1022:H1023"/>
    <mergeCell ref="I1022:I1023"/>
    <mergeCell ref="J1022:J1023"/>
    <mergeCell ref="K1022:K1023"/>
    <mergeCell ref="L1022:L1023"/>
    <mergeCell ref="M1022:M1023"/>
    <mergeCell ref="N1022:N1023"/>
    <mergeCell ref="O1020:O1021"/>
    <mergeCell ref="O1022:O1023"/>
    <mergeCell ref="X1030:X1031"/>
    <mergeCell ref="Y1030:Y1031"/>
    <mergeCell ref="Z1030:Z1031"/>
    <mergeCell ref="AA1030:AA1031"/>
    <mergeCell ref="AB1030:AB1031"/>
    <mergeCell ref="A1020:A1021"/>
    <mergeCell ref="E1020:E1021"/>
    <mergeCell ref="H1020:H1021"/>
    <mergeCell ref="I1020:I1021"/>
    <mergeCell ref="J1020:J1021"/>
    <mergeCell ref="K1020:K1021"/>
    <mergeCell ref="L1020:L1021"/>
    <mergeCell ref="M1020:M1021"/>
    <mergeCell ref="N1020:N1021"/>
    <mergeCell ref="X1020:X1021"/>
    <mergeCell ref="Y1020:Y1021"/>
    <mergeCell ref="Z1020:Z1021"/>
    <mergeCell ref="AA1020:AA1021"/>
    <mergeCell ref="AB1020:AB1021"/>
    <mergeCell ref="A1030:A1031"/>
    <mergeCell ref="E1030:E1031"/>
    <mergeCell ref="H1030:H1031"/>
    <mergeCell ref="I1030:I1031"/>
    <mergeCell ref="J1030:J1031"/>
    <mergeCell ref="K1030:K1031"/>
    <mergeCell ref="L1030:L1031"/>
    <mergeCell ref="M1030:M1031"/>
    <mergeCell ref="N1030:N1031"/>
    <mergeCell ref="O1028:O1029"/>
    <mergeCell ref="O1030:O1031"/>
    <mergeCell ref="X1026:X1027"/>
    <mergeCell ref="Y1026:Y1027"/>
    <mergeCell ref="X1018:X1019"/>
    <mergeCell ref="Y1018:Y1019"/>
    <mergeCell ref="Z1018:Z1019"/>
    <mergeCell ref="AA1018:AA1019"/>
    <mergeCell ref="AB1018:AB1019"/>
    <mergeCell ref="A1008:A1009"/>
    <mergeCell ref="E1008:E1009"/>
    <mergeCell ref="H1008:H1009"/>
    <mergeCell ref="I1008:I1009"/>
    <mergeCell ref="J1008:J1009"/>
    <mergeCell ref="K1008:K1009"/>
    <mergeCell ref="L1008:L1009"/>
    <mergeCell ref="M1008:M1009"/>
    <mergeCell ref="N1008:N1009"/>
    <mergeCell ref="X1008:X1009"/>
    <mergeCell ref="Y1008:Y1009"/>
    <mergeCell ref="Z1008:Z1009"/>
    <mergeCell ref="AA1008:AA1009"/>
    <mergeCell ref="AB1008:AB1009"/>
    <mergeCell ref="A1018:A1019"/>
    <mergeCell ref="E1018:E1019"/>
    <mergeCell ref="H1018:H1019"/>
    <mergeCell ref="I1018:I1019"/>
    <mergeCell ref="J1018:J1019"/>
    <mergeCell ref="K1018:K1019"/>
    <mergeCell ref="L1018:L1019"/>
    <mergeCell ref="M1018:M1019"/>
    <mergeCell ref="N1018:N1019"/>
    <mergeCell ref="O1016:O1017"/>
    <mergeCell ref="O1018:O1019"/>
    <mergeCell ref="X1014:X1015"/>
    <mergeCell ref="Y1014:Y1015"/>
    <mergeCell ref="Z1014:Z1015"/>
    <mergeCell ref="AA1014:AA1015"/>
    <mergeCell ref="AB1014:AB1015"/>
    <mergeCell ref="A1016:A1017"/>
    <mergeCell ref="E1016:E1017"/>
    <mergeCell ref="H1016:H1017"/>
    <mergeCell ref="I1016:I1017"/>
    <mergeCell ref="J1016:J1017"/>
    <mergeCell ref="K1016:K1017"/>
    <mergeCell ref="L1016:L1017"/>
    <mergeCell ref="M1016:M1017"/>
    <mergeCell ref="N1016:N1017"/>
    <mergeCell ref="X1016:X1017"/>
    <mergeCell ref="Y1016:Y1017"/>
    <mergeCell ref="Z1016:Z1017"/>
    <mergeCell ref="AA1016:AA1017"/>
    <mergeCell ref="AB1016:AB1017"/>
    <mergeCell ref="A1014:A1015"/>
    <mergeCell ref="E1014:E1015"/>
    <mergeCell ref="H1014:H1015"/>
    <mergeCell ref="I1014:I1015"/>
    <mergeCell ref="J1014:J1015"/>
    <mergeCell ref="K1014:K1015"/>
    <mergeCell ref="L1014:L1015"/>
    <mergeCell ref="M1014:M1015"/>
    <mergeCell ref="N1014:N1015"/>
    <mergeCell ref="Z1002:Z1003"/>
    <mergeCell ref="AA1002:AA1003"/>
    <mergeCell ref="AB1002:AB1003"/>
    <mergeCell ref="A1004:A1005"/>
    <mergeCell ref="E1004:E1005"/>
    <mergeCell ref="H1004:H1005"/>
    <mergeCell ref="I1004:I1005"/>
    <mergeCell ref="J1004:J1005"/>
    <mergeCell ref="K1004:K1005"/>
    <mergeCell ref="L1004:L1005"/>
    <mergeCell ref="M1004:M1005"/>
    <mergeCell ref="N1004:N1005"/>
    <mergeCell ref="X1004:X1005"/>
    <mergeCell ref="Y1004:Y1005"/>
    <mergeCell ref="Z1004:Z1005"/>
    <mergeCell ref="AA1004:AA1005"/>
    <mergeCell ref="AB1004:AB1005"/>
    <mergeCell ref="A1002:A1003"/>
    <mergeCell ref="E1002:E1003"/>
    <mergeCell ref="H1002:H1003"/>
    <mergeCell ref="I1002:I1003"/>
    <mergeCell ref="J1002:J1003"/>
    <mergeCell ref="K1002:K1003"/>
    <mergeCell ref="L1002:L1003"/>
    <mergeCell ref="M1002:M1003"/>
    <mergeCell ref="N1002:N1003"/>
    <mergeCell ref="O1012:O1013"/>
    <mergeCell ref="O1014:O1015"/>
    <mergeCell ref="X1010:X1011"/>
    <mergeCell ref="Y1010:Y1011"/>
    <mergeCell ref="Z1010:Z1011"/>
    <mergeCell ref="AA1010:AA1011"/>
    <mergeCell ref="AB1010:AB1011"/>
    <mergeCell ref="A1012:A1013"/>
    <mergeCell ref="E1012:E1013"/>
    <mergeCell ref="H1012:H1013"/>
    <mergeCell ref="I1012:I1013"/>
    <mergeCell ref="J1012:J1013"/>
    <mergeCell ref="K1012:K1013"/>
    <mergeCell ref="L1012:L1013"/>
    <mergeCell ref="M1012:M1013"/>
    <mergeCell ref="N1012:N1013"/>
    <mergeCell ref="X1012:X1013"/>
    <mergeCell ref="Y1012:Y1013"/>
    <mergeCell ref="Z1012:Z1013"/>
    <mergeCell ref="AA1012:AA1013"/>
    <mergeCell ref="AB1012:AB1013"/>
    <mergeCell ref="A1010:A1011"/>
    <mergeCell ref="E1010:E1011"/>
    <mergeCell ref="H1010:H1011"/>
    <mergeCell ref="I1010:I1011"/>
    <mergeCell ref="J1010:J1011"/>
    <mergeCell ref="K1010:K1011"/>
    <mergeCell ref="L1010:L1011"/>
    <mergeCell ref="M1010:M1011"/>
    <mergeCell ref="N1010:N1011"/>
    <mergeCell ref="O1008:O1009"/>
    <mergeCell ref="O1010:O1011"/>
    <mergeCell ref="O1000:O1001"/>
    <mergeCell ref="O1002:O1003"/>
    <mergeCell ref="X998:X999"/>
    <mergeCell ref="Y998:Y999"/>
    <mergeCell ref="Z998:Z999"/>
    <mergeCell ref="AA998:AA999"/>
    <mergeCell ref="AB998:AB999"/>
    <mergeCell ref="A1000:A1001"/>
    <mergeCell ref="E1000:E1001"/>
    <mergeCell ref="H1000:H1001"/>
    <mergeCell ref="I1000:I1001"/>
    <mergeCell ref="J1000:J1001"/>
    <mergeCell ref="K1000:K1001"/>
    <mergeCell ref="L1000:L1001"/>
    <mergeCell ref="M1000:M1001"/>
    <mergeCell ref="N1000:N1001"/>
    <mergeCell ref="X1000:X1001"/>
    <mergeCell ref="Y1000:Y1001"/>
    <mergeCell ref="Z1000:Z1001"/>
    <mergeCell ref="AA1000:AA1001"/>
    <mergeCell ref="AB1000:AB1001"/>
    <mergeCell ref="A998:A999"/>
    <mergeCell ref="E998:E999"/>
    <mergeCell ref="H998:H999"/>
    <mergeCell ref="I998:I999"/>
    <mergeCell ref="J998:J999"/>
    <mergeCell ref="K998:K999"/>
    <mergeCell ref="L998:L999"/>
    <mergeCell ref="M998:M999"/>
    <mergeCell ref="N998:N999"/>
    <mergeCell ref="O996:O997"/>
    <mergeCell ref="O998:O999"/>
    <mergeCell ref="X1006:X1007"/>
    <mergeCell ref="Y1006:Y1007"/>
    <mergeCell ref="Z1006:Z1007"/>
    <mergeCell ref="AA1006:AA1007"/>
    <mergeCell ref="AB1006:AB1007"/>
    <mergeCell ref="A996:A997"/>
    <mergeCell ref="E996:E997"/>
    <mergeCell ref="H996:H997"/>
    <mergeCell ref="I996:I997"/>
    <mergeCell ref="J996:J997"/>
    <mergeCell ref="K996:K997"/>
    <mergeCell ref="L996:L997"/>
    <mergeCell ref="M996:M997"/>
    <mergeCell ref="N996:N997"/>
    <mergeCell ref="X996:X997"/>
    <mergeCell ref="Y996:Y997"/>
    <mergeCell ref="Z996:Z997"/>
    <mergeCell ref="AA996:AA997"/>
    <mergeCell ref="AB996:AB997"/>
    <mergeCell ref="A1006:A1007"/>
    <mergeCell ref="E1006:E1007"/>
    <mergeCell ref="H1006:H1007"/>
    <mergeCell ref="I1006:I1007"/>
    <mergeCell ref="J1006:J1007"/>
    <mergeCell ref="K1006:K1007"/>
    <mergeCell ref="L1006:L1007"/>
    <mergeCell ref="M1006:M1007"/>
    <mergeCell ref="N1006:N1007"/>
    <mergeCell ref="O1004:O1005"/>
    <mergeCell ref="O1006:O1007"/>
    <mergeCell ref="X1002:X1003"/>
    <mergeCell ref="Y1002:Y1003"/>
    <mergeCell ref="X994:X995"/>
    <mergeCell ref="Y994:Y995"/>
    <mergeCell ref="Z994:Z995"/>
    <mergeCell ref="AA994:AA995"/>
    <mergeCell ref="AB994:AB995"/>
    <mergeCell ref="A984:A985"/>
    <mergeCell ref="E984:E985"/>
    <mergeCell ref="H984:H985"/>
    <mergeCell ref="I984:I985"/>
    <mergeCell ref="J984:J985"/>
    <mergeCell ref="K984:K985"/>
    <mergeCell ref="L984:L985"/>
    <mergeCell ref="M984:M985"/>
    <mergeCell ref="N984:N985"/>
    <mergeCell ref="X984:X985"/>
    <mergeCell ref="Y984:Y985"/>
    <mergeCell ref="Z984:Z985"/>
    <mergeCell ref="AA984:AA985"/>
    <mergeCell ref="AB984:AB985"/>
    <mergeCell ref="A994:A995"/>
    <mergeCell ref="E994:E995"/>
    <mergeCell ref="H994:H995"/>
    <mergeCell ref="I994:I995"/>
    <mergeCell ref="J994:J995"/>
    <mergeCell ref="K994:K995"/>
    <mergeCell ref="L994:L995"/>
    <mergeCell ref="M994:M995"/>
    <mergeCell ref="N994:N995"/>
    <mergeCell ref="O992:O993"/>
    <mergeCell ref="O994:O995"/>
    <mergeCell ref="X990:X991"/>
    <mergeCell ref="Y990:Y991"/>
    <mergeCell ref="Z990:Z991"/>
    <mergeCell ref="AA990:AA991"/>
    <mergeCell ref="AB990:AB991"/>
    <mergeCell ref="A992:A993"/>
    <mergeCell ref="E992:E993"/>
    <mergeCell ref="H992:H993"/>
    <mergeCell ref="I992:I993"/>
    <mergeCell ref="J992:J993"/>
    <mergeCell ref="K992:K993"/>
    <mergeCell ref="L992:L993"/>
    <mergeCell ref="M992:M993"/>
    <mergeCell ref="N992:N993"/>
    <mergeCell ref="X992:X993"/>
    <mergeCell ref="Y992:Y993"/>
    <mergeCell ref="Z992:Z993"/>
    <mergeCell ref="AA992:AA993"/>
    <mergeCell ref="AB992:AB993"/>
    <mergeCell ref="A990:A991"/>
    <mergeCell ref="E990:E991"/>
    <mergeCell ref="H990:H991"/>
    <mergeCell ref="I990:I991"/>
    <mergeCell ref="J990:J991"/>
    <mergeCell ref="K990:K991"/>
    <mergeCell ref="L990:L991"/>
    <mergeCell ref="M990:M991"/>
    <mergeCell ref="N990:N991"/>
    <mergeCell ref="Z978:Z979"/>
    <mergeCell ref="AA978:AA979"/>
    <mergeCell ref="AB978:AB979"/>
    <mergeCell ref="A980:A981"/>
    <mergeCell ref="E980:E981"/>
    <mergeCell ref="H980:H981"/>
    <mergeCell ref="I980:I981"/>
    <mergeCell ref="J980:J981"/>
    <mergeCell ref="K980:K981"/>
    <mergeCell ref="L980:L981"/>
    <mergeCell ref="M980:M981"/>
    <mergeCell ref="N980:N981"/>
    <mergeCell ref="X980:X981"/>
    <mergeCell ref="Y980:Y981"/>
    <mergeCell ref="Z980:Z981"/>
    <mergeCell ref="AA980:AA981"/>
    <mergeCell ref="AB980:AB981"/>
    <mergeCell ref="A978:A979"/>
    <mergeCell ref="E978:E979"/>
    <mergeCell ref="H978:H979"/>
    <mergeCell ref="I978:I979"/>
    <mergeCell ref="J978:J979"/>
    <mergeCell ref="K978:K979"/>
    <mergeCell ref="L978:L979"/>
    <mergeCell ref="M978:M979"/>
    <mergeCell ref="N978:N979"/>
    <mergeCell ref="O988:O989"/>
    <mergeCell ref="O990:O991"/>
    <mergeCell ref="X986:X987"/>
    <mergeCell ref="Y986:Y987"/>
    <mergeCell ref="Z986:Z987"/>
    <mergeCell ref="AA986:AA987"/>
    <mergeCell ref="AB986:AB987"/>
    <mergeCell ref="A988:A989"/>
    <mergeCell ref="E988:E989"/>
    <mergeCell ref="H988:H989"/>
    <mergeCell ref="I988:I989"/>
    <mergeCell ref="J988:J989"/>
    <mergeCell ref="K988:K989"/>
    <mergeCell ref="L988:L989"/>
    <mergeCell ref="M988:M989"/>
    <mergeCell ref="N988:N989"/>
    <mergeCell ref="X988:X989"/>
    <mergeCell ref="Y988:Y989"/>
    <mergeCell ref="Z988:Z989"/>
    <mergeCell ref="AA988:AA989"/>
    <mergeCell ref="AB988:AB989"/>
    <mergeCell ref="A986:A987"/>
    <mergeCell ref="E986:E987"/>
    <mergeCell ref="H986:H987"/>
    <mergeCell ref="I986:I987"/>
    <mergeCell ref="J986:J987"/>
    <mergeCell ref="K986:K987"/>
    <mergeCell ref="L986:L987"/>
    <mergeCell ref="M986:M987"/>
    <mergeCell ref="N986:N987"/>
    <mergeCell ref="O984:O985"/>
    <mergeCell ref="O986:O987"/>
    <mergeCell ref="O976:O977"/>
    <mergeCell ref="O978:O979"/>
    <mergeCell ref="X974:X975"/>
    <mergeCell ref="Y974:Y975"/>
    <mergeCell ref="Z974:Z975"/>
    <mergeCell ref="AA974:AA975"/>
    <mergeCell ref="AB974:AB975"/>
    <mergeCell ref="A976:A977"/>
    <mergeCell ref="E976:E977"/>
    <mergeCell ref="H976:H977"/>
    <mergeCell ref="I976:I977"/>
    <mergeCell ref="J976:J977"/>
    <mergeCell ref="K976:K977"/>
    <mergeCell ref="L976:L977"/>
    <mergeCell ref="M976:M977"/>
    <mergeCell ref="N976:N977"/>
    <mergeCell ref="X976:X977"/>
    <mergeCell ref="Y976:Y977"/>
    <mergeCell ref="Z976:Z977"/>
    <mergeCell ref="AA976:AA977"/>
    <mergeCell ref="AB976:AB977"/>
    <mergeCell ref="A974:A975"/>
    <mergeCell ref="E974:E975"/>
    <mergeCell ref="H974:H975"/>
    <mergeCell ref="I974:I975"/>
    <mergeCell ref="J974:J975"/>
    <mergeCell ref="K974:K975"/>
    <mergeCell ref="L974:L975"/>
    <mergeCell ref="M974:M975"/>
    <mergeCell ref="N974:N975"/>
    <mergeCell ref="O972:O973"/>
    <mergeCell ref="O974:O975"/>
    <mergeCell ref="X982:X983"/>
    <mergeCell ref="Y982:Y983"/>
    <mergeCell ref="Z982:Z983"/>
    <mergeCell ref="AA982:AA983"/>
    <mergeCell ref="AB982:AB983"/>
    <mergeCell ref="A972:A973"/>
    <mergeCell ref="E972:E973"/>
    <mergeCell ref="H972:H973"/>
    <mergeCell ref="I972:I973"/>
    <mergeCell ref="J972:J973"/>
    <mergeCell ref="K972:K973"/>
    <mergeCell ref="L972:L973"/>
    <mergeCell ref="M972:M973"/>
    <mergeCell ref="N972:N973"/>
    <mergeCell ref="X972:X973"/>
    <mergeCell ref="Y972:Y973"/>
    <mergeCell ref="Z972:Z973"/>
    <mergeCell ref="AA972:AA973"/>
    <mergeCell ref="AB972:AB973"/>
    <mergeCell ref="A982:A983"/>
    <mergeCell ref="E982:E983"/>
    <mergeCell ref="H982:H983"/>
    <mergeCell ref="I982:I983"/>
    <mergeCell ref="J982:J983"/>
    <mergeCell ref="K982:K983"/>
    <mergeCell ref="L982:L983"/>
    <mergeCell ref="M982:M983"/>
    <mergeCell ref="N982:N983"/>
    <mergeCell ref="O980:O981"/>
    <mergeCell ref="O982:O983"/>
    <mergeCell ref="X978:X979"/>
    <mergeCell ref="Y978:Y979"/>
    <mergeCell ref="X970:X971"/>
    <mergeCell ref="Y970:Y971"/>
    <mergeCell ref="Z970:Z971"/>
    <mergeCell ref="AA970:AA971"/>
    <mergeCell ref="AB970:AB971"/>
    <mergeCell ref="A960:A961"/>
    <mergeCell ref="E960:E961"/>
    <mergeCell ref="H960:H961"/>
    <mergeCell ref="I960:I961"/>
    <mergeCell ref="J960:J961"/>
    <mergeCell ref="K960:K961"/>
    <mergeCell ref="L960:L961"/>
    <mergeCell ref="M960:M961"/>
    <mergeCell ref="N960:N961"/>
    <mergeCell ref="X960:X961"/>
    <mergeCell ref="Y960:Y961"/>
    <mergeCell ref="Z960:Z961"/>
    <mergeCell ref="AA960:AA961"/>
    <mergeCell ref="AB960:AB961"/>
    <mergeCell ref="A970:A971"/>
    <mergeCell ref="E970:E971"/>
    <mergeCell ref="H970:H971"/>
    <mergeCell ref="I970:I971"/>
    <mergeCell ref="J970:J971"/>
    <mergeCell ref="K970:K971"/>
    <mergeCell ref="L970:L971"/>
    <mergeCell ref="M970:M971"/>
    <mergeCell ref="N970:N971"/>
    <mergeCell ref="O968:O969"/>
    <mergeCell ref="O970:O971"/>
    <mergeCell ref="X966:X967"/>
    <mergeCell ref="Y966:Y967"/>
    <mergeCell ref="Z966:Z967"/>
    <mergeCell ref="AA966:AA967"/>
    <mergeCell ref="AB966:AB967"/>
    <mergeCell ref="A968:A969"/>
    <mergeCell ref="E968:E969"/>
    <mergeCell ref="H968:H969"/>
    <mergeCell ref="I968:I969"/>
    <mergeCell ref="J968:J969"/>
    <mergeCell ref="K968:K969"/>
    <mergeCell ref="L968:L969"/>
    <mergeCell ref="M968:M969"/>
    <mergeCell ref="N968:N969"/>
    <mergeCell ref="X968:X969"/>
    <mergeCell ref="Y968:Y969"/>
    <mergeCell ref="Z968:Z969"/>
    <mergeCell ref="AA968:AA969"/>
    <mergeCell ref="AB968:AB969"/>
    <mergeCell ref="A966:A967"/>
    <mergeCell ref="E966:E967"/>
    <mergeCell ref="H966:H967"/>
    <mergeCell ref="I966:I967"/>
    <mergeCell ref="J966:J967"/>
    <mergeCell ref="K966:K967"/>
    <mergeCell ref="L966:L967"/>
    <mergeCell ref="M966:M967"/>
    <mergeCell ref="N966:N967"/>
    <mergeCell ref="Z954:Z955"/>
    <mergeCell ref="AA954:AA955"/>
    <mergeCell ref="AB954:AB955"/>
    <mergeCell ref="A956:A957"/>
    <mergeCell ref="E956:E957"/>
    <mergeCell ref="H956:H957"/>
    <mergeCell ref="I956:I957"/>
    <mergeCell ref="J956:J957"/>
    <mergeCell ref="K956:K957"/>
    <mergeCell ref="L956:L957"/>
    <mergeCell ref="M956:M957"/>
    <mergeCell ref="N956:N957"/>
    <mergeCell ref="X956:X957"/>
    <mergeCell ref="Y956:Y957"/>
    <mergeCell ref="Z956:Z957"/>
    <mergeCell ref="AA956:AA957"/>
    <mergeCell ref="AB956:AB957"/>
    <mergeCell ref="A954:A955"/>
    <mergeCell ref="E954:E955"/>
    <mergeCell ref="H954:H955"/>
    <mergeCell ref="I954:I955"/>
    <mergeCell ref="J954:J955"/>
    <mergeCell ref="K954:K955"/>
    <mergeCell ref="L954:L955"/>
    <mergeCell ref="M954:M955"/>
    <mergeCell ref="N954:N955"/>
    <mergeCell ref="O964:O965"/>
    <mergeCell ref="O966:O967"/>
    <mergeCell ref="X962:X963"/>
    <mergeCell ref="Y962:Y963"/>
    <mergeCell ref="Z962:Z963"/>
    <mergeCell ref="AA962:AA963"/>
    <mergeCell ref="AB962:AB963"/>
    <mergeCell ref="A964:A965"/>
    <mergeCell ref="E964:E965"/>
    <mergeCell ref="H964:H965"/>
    <mergeCell ref="I964:I965"/>
    <mergeCell ref="J964:J965"/>
    <mergeCell ref="K964:K965"/>
    <mergeCell ref="L964:L965"/>
    <mergeCell ref="M964:M965"/>
    <mergeCell ref="N964:N965"/>
    <mergeCell ref="X964:X965"/>
    <mergeCell ref="Y964:Y965"/>
    <mergeCell ref="Z964:Z965"/>
    <mergeCell ref="AA964:AA965"/>
    <mergeCell ref="AB964:AB965"/>
    <mergeCell ref="A962:A963"/>
    <mergeCell ref="E962:E963"/>
    <mergeCell ref="H962:H963"/>
    <mergeCell ref="I962:I963"/>
    <mergeCell ref="J962:J963"/>
    <mergeCell ref="K962:K963"/>
    <mergeCell ref="L962:L963"/>
    <mergeCell ref="M962:M963"/>
    <mergeCell ref="N962:N963"/>
    <mergeCell ref="O960:O961"/>
    <mergeCell ref="O962:O963"/>
    <mergeCell ref="O952:O953"/>
    <mergeCell ref="O954:O955"/>
    <mergeCell ref="X950:X951"/>
    <mergeCell ref="Y950:Y951"/>
    <mergeCell ref="Z950:Z951"/>
    <mergeCell ref="AA950:AA951"/>
    <mergeCell ref="AB950:AB951"/>
    <mergeCell ref="A952:A953"/>
    <mergeCell ref="E952:E953"/>
    <mergeCell ref="H952:H953"/>
    <mergeCell ref="I952:I953"/>
    <mergeCell ref="J952:J953"/>
    <mergeCell ref="K952:K953"/>
    <mergeCell ref="L952:L953"/>
    <mergeCell ref="M952:M953"/>
    <mergeCell ref="N952:N953"/>
    <mergeCell ref="X952:X953"/>
    <mergeCell ref="Y952:Y953"/>
    <mergeCell ref="Z952:Z953"/>
    <mergeCell ref="AA952:AA953"/>
    <mergeCell ref="AB952:AB953"/>
    <mergeCell ref="A950:A951"/>
    <mergeCell ref="E950:E951"/>
    <mergeCell ref="H950:H951"/>
    <mergeCell ref="I950:I951"/>
    <mergeCell ref="J950:J951"/>
    <mergeCell ref="K950:K951"/>
    <mergeCell ref="L950:L951"/>
    <mergeCell ref="M950:M951"/>
    <mergeCell ref="N950:N951"/>
    <mergeCell ref="O948:O949"/>
    <mergeCell ref="O950:O951"/>
    <mergeCell ref="X958:X959"/>
    <mergeCell ref="Y958:Y959"/>
    <mergeCell ref="Z958:Z959"/>
    <mergeCell ref="AA958:AA959"/>
    <mergeCell ref="AB958:AB959"/>
    <mergeCell ref="A948:A949"/>
    <mergeCell ref="E948:E949"/>
    <mergeCell ref="H948:H949"/>
    <mergeCell ref="I948:I949"/>
    <mergeCell ref="J948:J949"/>
    <mergeCell ref="K948:K949"/>
    <mergeCell ref="L948:L949"/>
    <mergeCell ref="M948:M949"/>
    <mergeCell ref="N948:N949"/>
    <mergeCell ref="X948:X949"/>
    <mergeCell ref="Y948:Y949"/>
    <mergeCell ref="Z948:Z949"/>
    <mergeCell ref="AA948:AA949"/>
    <mergeCell ref="AB948:AB949"/>
    <mergeCell ref="A958:A959"/>
    <mergeCell ref="E958:E959"/>
    <mergeCell ref="H958:H959"/>
    <mergeCell ref="I958:I959"/>
    <mergeCell ref="J958:J959"/>
    <mergeCell ref="K958:K959"/>
    <mergeCell ref="L958:L959"/>
    <mergeCell ref="M958:M959"/>
    <mergeCell ref="N958:N959"/>
    <mergeCell ref="O956:O957"/>
    <mergeCell ref="O958:O959"/>
    <mergeCell ref="X954:X955"/>
    <mergeCell ref="Y954:Y955"/>
    <mergeCell ref="X946:X947"/>
    <mergeCell ref="Y946:Y947"/>
    <mergeCell ref="Z946:Z947"/>
    <mergeCell ref="AA946:AA947"/>
    <mergeCell ref="AB946:AB947"/>
    <mergeCell ref="A936:A937"/>
    <mergeCell ref="E936:E937"/>
    <mergeCell ref="H936:H937"/>
    <mergeCell ref="I936:I937"/>
    <mergeCell ref="J936:J937"/>
    <mergeCell ref="K936:K937"/>
    <mergeCell ref="L936:L937"/>
    <mergeCell ref="M936:M937"/>
    <mergeCell ref="N936:N937"/>
    <mergeCell ref="X936:X937"/>
    <mergeCell ref="Y936:Y937"/>
    <mergeCell ref="Z936:Z937"/>
    <mergeCell ref="AA936:AA937"/>
    <mergeCell ref="AB936:AB937"/>
    <mergeCell ref="A946:A947"/>
    <mergeCell ref="E946:E947"/>
    <mergeCell ref="H946:H947"/>
    <mergeCell ref="I946:I947"/>
    <mergeCell ref="J946:J947"/>
    <mergeCell ref="K946:K947"/>
    <mergeCell ref="L946:L947"/>
    <mergeCell ref="M946:M947"/>
    <mergeCell ref="N946:N947"/>
    <mergeCell ref="O944:O945"/>
    <mergeCell ref="O946:O947"/>
    <mergeCell ref="X942:X943"/>
    <mergeCell ref="Y942:Y943"/>
    <mergeCell ref="Z942:Z943"/>
    <mergeCell ref="AA942:AA943"/>
    <mergeCell ref="AB942:AB943"/>
    <mergeCell ref="A944:A945"/>
    <mergeCell ref="E944:E945"/>
    <mergeCell ref="H944:H945"/>
    <mergeCell ref="I944:I945"/>
    <mergeCell ref="J944:J945"/>
    <mergeCell ref="K944:K945"/>
    <mergeCell ref="L944:L945"/>
    <mergeCell ref="M944:M945"/>
    <mergeCell ref="N944:N945"/>
    <mergeCell ref="X944:X945"/>
    <mergeCell ref="Y944:Y945"/>
    <mergeCell ref="Z944:Z945"/>
    <mergeCell ref="AA944:AA945"/>
    <mergeCell ref="AB944:AB945"/>
    <mergeCell ref="A942:A943"/>
    <mergeCell ref="E942:E943"/>
    <mergeCell ref="H942:H943"/>
    <mergeCell ref="I942:I943"/>
    <mergeCell ref="J942:J943"/>
    <mergeCell ref="K942:K943"/>
    <mergeCell ref="L942:L943"/>
    <mergeCell ref="M942:M943"/>
    <mergeCell ref="N942:N943"/>
    <mergeCell ref="Z930:Z931"/>
    <mergeCell ref="AA930:AA931"/>
    <mergeCell ref="AB930:AB931"/>
    <mergeCell ref="A932:A933"/>
    <mergeCell ref="E932:E933"/>
    <mergeCell ref="H932:H933"/>
    <mergeCell ref="I932:I933"/>
    <mergeCell ref="J932:J933"/>
    <mergeCell ref="K932:K933"/>
    <mergeCell ref="L932:L933"/>
    <mergeCell ref="M932:M933"/>
    <mergeCell ref="N932:N933"/>
    <mergeCell ref="X932:X933"/>
    <mergeCell ref="Y932:Y933"/>
    <mergeCell ref="Z932:Z933"/>
    <mergeCell ref="AA932:AA933"/>
    <mergeCell ref="AB932:AB933"/>
    <mergeCell ref="A930:A931"/>
    <mergeCell ref="E930:E931"/>
    <mergeCell ref="H930:H931"/>
    <mergeCell ref="I930:I931"/>
    <mergeCell ref="J930:J931"/>
    <mergeCell ref="K930:K931"/>
    <mergeCell ref="L930:L931"/>
    <mergeCell ref="M930:M931"/>
    <mergeCell ref="N930:N931"/>
    <mergeCell ref="O940:O941"/>
    <mergeCell ref="O942:O943"/>
    <mergeCell ref="X938:X939"/>
    <mergeCell ref="Y938:Y939"/>
    <mergeCell ref="Z938:Z939"/>
    <mergeCell ref="AA938:AA939"/>
    <mergeCell ref="AB938:AB939"/>
    <mergeCell ref="A940:A941"/>
    <mergeCell ref="E940:E941"/>
    <mergeCell ref="H940:H941"/>
    <mergeCell ref="I940:I941"/>
    <mergeCell ref="J940:J941"/>
    <mergeCell ref="K940:K941"/>
    <mergeCell ref="L940:L941"/>
    <mergeCell ref="M940:M941"/>
    <mergeCell ref="N940:N941"/>
    <mergeCell ref="X940:X941"/>
    <mergeCell ref="Y940:Y941"/>
    <mergeCell ref="Z940:Z941"/>
    <mergeCell ref="AA940:AA941"/>
    <mergeCell ref="AB940:AB941"/>
    <mergeCell ref="A938:A939"/>
    <mergeCell ref="E938:E939"/>
    <mergeCell ref="H938:H939"/>
    <mergeCell ref="I938:I939"/>
    <mergeCell ref="J938:J939"/>
    <mergeCell ref="K938:K939"/>
    <mergeCell ref="L938:L939"/>
    <mergeCell ref="M938:M939"/>
    <mergeCell ref="N938:N939"/>
    <mergeCell ref="O936:O937"/>
    <mergeCell ref="O938:O939"/>
    <mergeCell ref="O928:O929"/>
    <mergeCell ref="O930:O931"/>
    <mergeCell ref="X926:X927"/>
    <mergeCell ref="Y926:Y927"/>
    <mergeCell ref="Z926:Z927"/>
    <mergeCell ref="AA926:AA927"/>
    <mergeCell ref="AB926:AB927"/>
    <mergeCell ref="A928:A929"/>
    <mergeCell ref="E928:E929"/>
    <mergeCell ref="H928:H929"/>
    <mergeCell ref="I928:I929"/>
    <mergeCell ref="J928:J929"/>
    <mergeCell ref="K928:K929"/>
    <mergeCell ref="L928:L929"/>
    <mergeCell ref="M928:M929"/>
    <mergeCell ref="N928:N929"/>
    <mergeCell ref="X928:X929"/>
    <mergeCell ref="Y928:Y929"/>
    <mergeCell ref="Z928:Z929"/>
    <mergeCell ref="AA928:AA929"/>
    <mergeCell ref="AB928:AB929"/>
    <mergeCell ref="A926:A927"/>
    <mergeCell ref="E926:E927"/>
    <mergeCell ref="H926:H927"/>
    <mergeCell ref="I926:I927"/>
    <mergeCell ref="J926:J927"/>
    <mergeCell ref="K926:K927"/>
    <mergeCell ref="L926:L927"/>
    <mergeCell ref="M926:M927"/>
    <mergeCell ref="N926:N927"/>
    <mergeCell ref="O924:O925"/>
    <mergeCell ref="O926:O927"/>
    <mergeCell ref="X934:X935"/>
    <mergeCell ref="Y934:Y935"/>
    <mergeCell ref="Z934:Z935"/>
    <mergeCell ref="AA934:AA935"/>
    <mergeCell ref="AB934:AB935"/>
    <mergeCell ref="A924:A925"/>
    <mergeCell ref="E924:E925"/>
    <mergeCell ref="H924:H925"/>
    <mergeCell ref="I924:I925"/>
    <mergeCell ref="J924:J925"/>
    <mergeCell ref="K924:K925"/>
    <mergeCell ref="L924:L925"/>
    <mergeCell ref="M924:M925"/>
    <mergeCell ref="N924:N925"/>
    <mergeCell ref="X924:X925"/>
    <mergeCell ref="Y924:Y925"/>
    <mergeCell ref="Z924:Z925"/>
    <mergeCell ref="AA924:AA925"/>
    <mergeCell ref="AB924:AB925"/>
    <mergeCell ref="A934:A935"/>
    <mergeCell ref="E934:E935"/>
    <mergeCell ref="H934:H935"/>
    <mergeCell ref="I934:I935"/>
    <mergeCell ref="J934:J935"/>
    <mergeCell ref="K934:K935"/>
    <mergeCell ref="L934:L935"/>
    <mergeCell ref="M934:M935"/>
    <mergeCell ref="N934:N935"/>
    <mergeCell ref="O932:O933"/>
    <mergeCell ref="O934:O935"/>
    <mergeCell ref="X930:X931"/>
    <mergeCell ref="Y930:Y931"/>
    <mergeCell ref="X922:X923"/>
    <mergeCell ref="Y922:Y923"/>
    <mergeCell ref="Z922:Z923"/>
    <mergeCell ref="AA922:AA923"/>
    <mergeCell ref="AB922:AB923"/>
    <mergeCell ref="A912:A913"/>
    <mergeCell ref="E912:E913"/>
    <mergeCell ref="H912:H913"/>
    <mergeCell ref="I912:I913"/>
    <mergeCell ref="J912:J913"/>
    <mergeCell ref="K912:K913"/>
    <mergeCell ref="L912:L913"/>
    <mergeCell ref="M912:M913"/>
    <mergeCell ref="N912:N913"/>
    <mergeCell ref="X912:X913"/>
    <mergeCell ref="Y912:Y913"/>
    <mergeCell ref="Z912:Z913"/>
    <mergeCell ref="AA912:AA913"/>
    <mergeCell ref="AB912:AB913"/>
    <mergeCell ref="A922:A923"/>
    <mergeCell ref="E922:E923"/>
    <mergeCell ref="H922:H923"/>
    <mergeCell ref="I922:I923"/>
    <mergeCell ref="J922:J923"/>
    <mergeCell ref="K922:K923"/>
    <mergeCell ref="L922:L923"/>
    <mergeCell ref="M922:M923"/>
    <mergeCell ref="N922:N923"/>
    <mergeCell ref="O920:O921"/>
    <mergeCell ref="O922:O923"/>
    <mergeCell ref="X918:X919"/>
    <mergeCell ref="Y918:Y919"/>
    <mergeCell ref="Z918:Z919"/>
    <mergeCell ref="AA918:AA919"/>
    <mergeCell ref="AB918:AB919"/>
    <mergeCell ref="A920:A921"/>
    <mergeCell ref="E920:E921"/>
    <mergeCell ref="H920:H921"/>
    <mergeCell ref="I920:I921"/>
    <mergeCell ref="J920:J921"/>
    <mergeCell ref="K920:K921"/>
    <mergeCell ref="L920:L921"/>
    <mergeCell ref="M920:M921"/>
    <mergeCell ref="N920:N921"/>
    <mergeCell ref="X920:X921"/>
    <mergeCell ref="Y920:Y921"/>
    <mergeCell ref="Z920:Z921"/>
    <mergeCell ref="AA920:AA921"/>
    <mergeCell ref="AB920:AB921"/>
    <mergeCell ref="A918:A919"/>
    <mergeCell ref="E918:E919"/>
    <mergeCell ref="H918:H919"/>
    <mergeCell ref="I918:I919"/>
    <mergeCell ref="J918:J919"/>
    <mergeCell ref="K918:K919"/>
    <mergeCell ref="L918:L919"/>
    <mergeCell ref="M918:M919"/>
    <mergeCell ref="N918:N919"/>
    <mergeCell ref="Z906:Z907"/>
    <mergeCell ref="AA906:AA907"/>
    <mergeCell ref="AB906:AB907"/>
    <mergeCell ref="A908:A909"/>
    <mergeCell ref="E908:E909"/>
    <mergeCell ref="H908:H909"/>
    <mergeCell ref="I908:I909"/>
    <mergeCell ref="J908:J909"/>
    <mergeCell ref="K908:K909"/>
    <mergeCell ref="L908:L909"/>
    <mergeCell ref="M908:M909"/>
    <mergeCell ref="N908:N909"/>
    <mergeCell ref="X908:X909"/>
    <mergeCell ref="Y908:Y909"/>
    <mergeCell ref="Z908:Z909"/>
    <mergeCell ref="AA908:AA909"/>
    <mergeCell ref="AB908:AB909"/>
    <mergeCell ref="A906:A907"/>
    <mergeCell ref="E906:E907"/>
    <mergeCell ref="H906:H907"/>
    <mergeCell ref="I906:I907"/>
    <mergeCell ref="J906:J907"/>
    <mergeCell ref="K906:K907"/>
    <mergeCell ref="L906:L907"/>
    <mergeCell ref="M906:M907"/>
    <mergeCell ref="N906:N907"/>
    <mergeCell ref="O916:O917"/>
    <mergeCell ref="O918:O919"/>
    <mergeCell ref="X914:X915"/>
    <mergeCell ref="Y914:Y915"/>
    <mergeCell ref="Z914:Z915"/>
    <mergeCell ref="AA914:AA915"/>
    <mergeCell ref="AB914:AB915"/>
    <mergeCell ref="A916:A917"/>
    <mergeCell ref="E916:E917"/>
    <mergeCell ref="H916:H917"/>
    <mergeCell ref="I916:I917"/>
    <mergeCell ref="J916:J917"/>
    <mergeCell ref="K916:K917"/>
    <mergeCell ref="L916:L917"/>
    <mergeCell ref="M916:M917"/>
    <mergeCell ref="N916:N917"/>
    <mergeCell ref="X916:X917"/>
    <mergeCell ref="Y916:Y917"/>
    <mergeCell ref="Z916:Z917"/>
    <mergeCell ref="AA916:AA917"/>
    <mergeCell ref="AB916:AB917"/>
    <mergeCell ref="A914:A915"/>
    <mergeCell ref="E914:E915"/>
    <mergeCell ref="H914:H915"/>
    <mergeCell ref="I914:I915"/>
    <mergeCell ref="J914:J915"/>
    <mergeCell ref="K914:K915"/>
    <mergeCell ref="L914:L915"/>
    <mergeCell ref="M914:M915"/>
    <mergeCell ref="N914:N915"/>
    <mergeCell ref="O912:O913"/>
    <mergeCell ref="O914:O915"/>
    <mergeCell ref="O904:O905"/>
    <mergeCell ref="O906:O907"/>
    <mergeCell ref="X902:X903"/>
    <mergeCell ref="Y902:Y903"/>
    <mergeCell ref="Z902:Z903"/>
    <mergeCell ref="AA902:AA903"/>
    <mergeCell ref="AB902:AB903"/>
    <mergeCell ref="A904:A905"/>
    <mergeCell ref="E904:E905"/>
    <mergeCell ref="H904:H905"/>
    <mergeCell ref="I904:I905"/>
    <mergeCell ref="J904:J905"/>
    <mergeCell ref="K904:K905"/>
    <mergeCell ref="L904:L905"/>
    <mergeCell ref="M904:M905"/>
    <mergeCell ref="N904:N905"/>
    <mergeCell ref="X904:X905"/>
    <mergeCell ref="Y904:Y905"/>
    <mergeCell ref="Z904:Z905"/>
    <mergeCell ref="AA904:AA905"/>
    <mergeCell ref="AB904:AB905"/>
    <mergeCell ref="A902:A903"/>
    <mergeCell ref="E902:E903"/>
    <mergeCell ref="H902:H903"/>
    <mergeCell ref="I902:I903"/>
    <mergeCell ref="J902:J903"/>
    <mergeCell ref="K902:K903"/>
    <mergeCell ref="L902:L903"/>
    <mergeCell ref="M902:M903"/>
    <mergeCell ref="N902:N903"/>
    <mergeCell ref="O900:O901"/>
    <mergeCell ref="O902:O903"/>
    <mergeCell ref="X910:X911"/>
    <mergeCell ref="Y910:Y911"/>
    <mergeCell ref="Z910:Z911"/>
    <mergeCell ref="AA910:AA911"/>
    <mergeCell ref="AB910:AB911"/>
    <mergeCell ref="A900:A901"/>
    <mergeCell ref="E900:E901"/>
    <mergeCell ref="H900:H901"/>
    <mergeCell ref="I900:I901"/>
    <mergeCell ref="J900:J901"/>
    <mergeCell ref="K900:K901"/>
    <mergeCell ref="L900:L901"/>
    <mergeCell ref="M900:M901"/>
    <mergeCell ref="N900:N901"/>
    <mergeCell ref="X900:X901"/>
    <mergeCell ref="Y900:Y901"/>
    <mergeCell ref="Z900:Z901"/>
    <mergeCell ref="AA900:AA901"/>
    <mergeCell ref="AB900:AB901"/>
    <mergeCell ref="A910:A911"/>
    <mergeCell ref="E910:E911"/>
    <mergeCell ref="H910:H911"/>
    <mergeCell ref="I910:I911"/>
    <mergeCell ref="J910:J911"/>
    <mergeCell ref="K910:K911"/>
    <mergeCell ref="L910:L911"/>
    <mergeCell ref="M910:M911"/>
    <mergeCell ref="N910:N911"/>
    <mergeCell ref="O908:O909"/>
    <mergeCell ref="O910:O911"/>
    <mergeCell ref="X906:X907"/>
    <mergeCell ref="Y906:Y907"/>
    <mergeCell ref="X898:X899"/>
    <mergeCell ref="Y898:Y899"/>
    <mergeCell ref="Z898:Z899"/>
    <mergeCell ref="AA898:AA899"/>
    <mergeCell ref="AB898:AB899"/>
    <mergeCell ref="A888:A889"/>
    <mergeCell ref="E888:E889"/>
    <mergeCell ref="H888:H889"/>
    <mergeCell ref="I888:I889"/>
    <mergeCell ref="J888:J889"/>
    <mergeCell ref="K888:K889"/>
    <mergeCell ref="L888:L889"/>
    <mergeCell ref="M888:M889"/>
    <mergeCell ref="N888:N889"/>
    <mergeCell ref="X888:X889"/>
    <mergeCell ref="Y888:Y889"/>
    <mergeCell ref="Z888:Z889"/>
    <mergeCell ref="AA888:AA889"/>
    <mergeCell ref="AB888:AB889"/>
    <mergeCell ref="A898:A899"/>
    <mergeCell ref="E898:E899"/>
    <mergeCell ref="H898:H899"/>
    <mergeCell ref="I898:I899"/>
    <mergeCell ref="J898:J899"/>
    <mergeCell ref="K898:K899"/>
    <mergeCell ref="L898:L899"/>
    <mergeCell ref="M898:M899"/>
    <mergeCell ref="N898:N899"/>
    <mergeCell ref="O896:O897"/>
    <mergeCell ref="O898:O899"/>
    <mergeCell ref="X894:X895"/>
    <mergeCell ref="Y894:Y895"/>
    <mergeCell ref="Z894:Z895"/>
    <mergeCell ref="AA894:AA895"/>
    <mergeCell ref="AB894:AB895"/>
    <mergeCell ref="A896:A897"/>
    <mergeCell ref="E896:E897"/>
    <mergeCell ref="H896:H897"/>
    <mergeCell ref="I896:I897"/>
    <mergeCell ref="J896:J897"/>
    <mergeCell ref="K896:K897"/>
    <mergeCell ref="L896:L897"/>
    <mergeCell ref="M896:M897"/>
    <mergeCell ref="N896:N897"/>
    <mergeCell ref="X896:X897"/>
    <mergeCell ref="Y896:Y897"/>
    <mergeCell ref="Z896:Z897"/>
    <mergeCell ref="AA896:AA897"/>
    <mergeCell ref="AB896:AB897"/>
    <mergeCell ref="A894:A895"/>
    <mergeCell ref="E894:E895"/>
    <mergeCell ref="H894:H895"/>
    <mergeCell ref="I894:I895"/>
    <mergeCell ref="J894:J895"/>
    <mergeCell ref="K894:K895"/>
    <mergeCell ref="L894:L895"/>
    <mergeCell ref="M894:M895"/>
    <mergeCell ref="N894:N895"/>
    <mergeCell ref="Z882:Z883"/>
    <mergeCell ref="AA882:AA883"/>
    <mergeCell ref="AB882:AB883"/>
    <mergeCell ref="A884:A885"/>
    <mergeCell ref="E884:E885"/>
    <mergeCell ref="H884:H885"/>
    <mergeCell ref="I884:I885"/>
    <mergeCell ref="J884:J885"/>
    <mergeCell ref="K884:K885"/>
    <mergeCell ref="L884:L885"/>
    <mergeCell ref="M884:M885"/>
    <mergeCell ref="N884:N885"/>
    <mergeCell ref="X884:X885"/>
    <mergeCell ref="Y884:Y885"/>
    <mergeCell ref="Z884:Z885"/>
    <mergeCell ref="AA884:AA885"/>
    <mergeCell ref="AB884:AB885"/>
    <mergeCell ref="A882:A883"/>
    <mergeCell ref="E882:E883"/>
    <mergeCell ref="H882:H883"/>
    <mergeCell ref="I882:I883"/>
    <mergeCell ref="J882:J883"/>
    <mergeCell ref="K882:K883"/>
    <mergeCell ref="L882:L883"/>
    <mergeCell ref="M882:M883"/>
    <mergeCell ref="N882:N883"/>
    <mergeCell ref="O892:O893"/>
    <mergeCell ref="O894:O895"/>
    <mergeCell ref="X890:X891"/>
    <mergeCell ref="Y890:Y891"/>
    <mergeCell ref="Z890:Z891"/>
    <mergeCell ref="AA890:AA891"/>
    <mergeCell ref="AB890:AB891"/>
    <mergeCell ref="A892:A893"/>
    <mergeCell ref="E892:E893"/>
    <mergeCell ref="H892:H893"/>
    <mergeCell ref="I892:I893"/>
    <mergeCell ref="J892:J893"/>
    <mergeCell ref="K892:K893"/>
    <mergeCell ref="L892:L893"/>
    <mergeCell ref="M892:M893"/>
    <mergeCell ref="N892:N893"/>
    <mergeCell ref="X892:X893"/>
    <mergeCell ref="Y892:Y893"/>
    <mergeCell ref="Z892:Z893"/>
    <mergeCell ref="AA892:AA893"/>
    <mergeCell ref="AB892:AB893"/>
    <mergeCell ref="A890:A891"/>
    <mergeCell ref="E890:E891"/>
    <mergeCell ref="H890:H891"/>
    <mergeCell ref="I890:I891"/>
    <mergeCell ref="J890:J891"/>
    <mergeCell ref="K890:K891"/>
    <mergeCell ref="L890:L891"/>
    <mergeCell ref="M890:M891"/>
    <mergeCell ref="N890:N891"/>
    <mergeCell ref="O888:O889"/>
    <mergeCell ref="O890:O891"/>
    <mergeCell ref="O880:O881"/>
    <mergeCell ref="O882:O883"/>
    <mergeCell ref="X878:X879"/>
    <mergeCell ref="Y878:Y879"/>
    <mergeCell ref="Z878:Z879"/>
    <mergeCell ref="AA878:AA879"/>
    <mergeCell ref="AB878:AB879"/>
    <mergeCell ref="A880:A881"/>
    <mergeCell ref="E880:E881"/>
    <mergeCell ref="H880:H881"/>
    <mergeCell ref="I880:I881"/>
    <mergeCell ref="J880:J881"/>
    <mergeCell ref="K880:K881"/>
    <mergeCell ref="L880:L881"/>
    <mergeCell ref="M880:M881"/>
    <mergeCell ref="N880:N881"/>
    <mergeCell ref="X880:X881"/>
    <mergeCell ref="Y880:Y881"/>
    <mergeCell ref="Z880:Z881"/>
    <mergeCell ref="AA880:AA881"/>
    <mergeCell ref="AB880:AB881"/>
    <mergeCell ref="A878:A879"/>
    <mergeCell ref="E878:E879"/>
    <mergeCell ref="H878:H879"/>
    <mergeCell ref="I878:I879"/>
    <mergeCell ref="J878:J879"/>
    <mergeCell ref="K878:K879"/>
    <mergeCell ref="L878:L879"/>
    <mergeCell ref="M878:M879"/>
    <mergeCell ref="N878:N879"/>
    <mergeCell ref="O876:O877"/>
    <mergeCell ref="O878:O879"/>
    <mergeCell ref="X886:X887"/>
    <mergeCell ref="Y886:Y887"/>
    <mergeCell ref="Z886:Z887"/>
    <mergeCell ref="AA886:AA887"/>
    <mergeCell ref="AB886:AB887"/>
    <mergeCell ref="A876:A877"/>
    <mergeCell ref="E876:E877"/>
    <mergeCell ref="H876:H877"/>
    <mergeCell ref="I876:I877"/>
    <mergeCell ref="J876:J877"/>
    <mergeCell ref="K876:K877"/>
    <mergeCell ref="L876:L877"/>
    <mergeCell ref="M876:M877"/>
    <mergeCell ref="N876:N877"/>
    <mergeCell ref="X876:X877"/>
    <mergeCell ref="Y876:Y877"/>
    <mergeCell ref="Z876:Z877"/>
    <mergeCell ref="AA876:AA877"/>
    <mergeCell ref="AB876:AB877"/>
    <mergeCell ref="A886:A887"/>
    <mergeCell ref="E886:E887"/>
    <mergeCell ref="H886:H887"/>
    <mergeCell ref="I886:I887"/>
    <mergeCell ref="J886:J887"/>
    <mergeCell ref="K886:K887"/>
    <mergeCell ref="L886:L887"/>
    <mergeCell ref="M886:M887"/>
    <mergeCell ref="N886:N887"/>
    <mergeCell ref="O884:O885"/>
    <mergeCell ref="O886:O887"/>
    <mergeCell ref="X882:X883"/>
    <mergeCell ref="Y882:Y883"/>
    <mergeCell ref="X874:X875"/>
    <mergeCell ref="Y874:Y875"/>
    <mergeCell ref="Z874:Z875"/>
    <mergeCell ref="AA874:AA875"/>
    <mergeCell ref="AB874:AB875"/>
    <mergeCell ref="A864:A865"/>
    <mergeCell ref="E864:E865"/>
    <mergeCell ref="H864:H865"/>
    <mergeCell ref="I864:I865"/>
    <mergeCell ref="J864:J865"/>
    <mergeCell ref="K864:K865"/>
    <mergeCell ref="L864:L865"/>
    <mergeCell ref="M864:M865"/>
    <mergeCell ref="N864:N865"/>
    <mergeCell ref="X864:X865"/>
    <mergeCell ref="Y864:Y865"/>
    <mergeCell ref="Z864:Z865"/>
    <mergeCell ref="AA864:AA865"/>
    <mergeCell ref="AB864:AB865"/>
    <mergeCell ref="A874:A875"/>
    <mergeCell ref="E874:E875"/>
    <mergeCell ref="H874:H875"/>
    <mergeCell ref="I874:I875"/>
    <mergeCell ref="J874:J875"/>
    <mergeCell ref="K874:K875"/>
    <mergeCell ref="L874:L875"/>
    <mergeCell ref="M874:M875"/>
    <mergeCell ref="N874:N875"/>
    <mergeCell ref="O872:O873"/>
    <mergeCell ref="O874:O875"/>
    <mergeCell ref="X870:X871"/>
    <mergeCell ref="Y870:Y871"/>
    <mergeCell ref="Z870:Z871"/>
    <mergeCell ref="AA870:AA871"/>
    <mergeCell ref="AB870:AB871"/>
    <mergeCell ref="A872:A873"/>
    <mergeCell ref="E872:E873"/>
    <mergeCell ref="H872:H873"/>
    <mergeCell ref="I872:I873"/>
    <mergeCell ref="J872:J873"/>
    <mergeCell ref="K872:K873"/>
    <mergeCell ref="L872:L873"/>
    <mergeCell ref="M872:M873"/>
    <mergeCell ref="N872:N873"/>
    <mergeCell ref="X872:X873"/>
    <mergeCell ref="Y872:Y873"/>
    <mergeCell ref="Z872:Z873"/>
    <mergeCell ref="AA872:AA873"/>
    <mergeCell ref="AB872:AB873"/>
    <mergeCell ref="A870:A871"/>
    <mergeCell ref="E870:E871"/>
    <mergeCell ref="H870:H871"/>
    <mergeCell ref="I870:I871"/>
    <mergeCell ref="J870:J871"/>
    <mergeCell ref="K870:K871"/>
    <mergeCell ref="L870:L871"/>
    <mergeCell ref="M870:M871"/>
    <mergeCell ref="N870:N871"/>
    <mergeCell ref="Z858:Z859"/>
    <mergeCell ref="AA858:AA859"/>
    <mergeCell ref="AB858:AB859"/>
    <mergeCell ref="A860:A861"/>
    <mergeCell ref="E860:E861"/>
    <mergeCell ref="H860:H861"/>
    <mergeCell ref="I860:I861"/>
    <mergeCell ref="J860:J861"/>
    <mergeCell ref="K860:K861"/>
    <mergeCell ref="L860:L861"/>
    <mergeCell ref="M860:M861"/>
    <mergeCell ref="N860:N861"/>
    <mergeCell ref="X860:X861"/>
    <mergeCell ref="Y860:Y861"/>
    <mergeCell ref="Z860:Z861"/>
    <mergeCell ref="AA860:AA861"/>
    <mergeCell ref="AB860:AB861"/>
    <mergeCell ref="A858:A859"/>
    <mergeCell ref="E858:E859"/>
    <mergeCell ref="H858:H859"/>
    <mergeCell ref="I858:I859"/>
    <mergeCell ref="J858:J859"/>
    <mergeCell ref="K858:K859"/>
    <mergeCell ref="L858:L859"/>
    <mergeCell ref="M858:M859"/>
    <mergeCell ref="N858:N859"/>
    <mergeCell ref="O868:O869"/>
    <mergeCell ref="O870:O871"/>
    <mergeCell ref="X866:X867"/>
    <mergeCell ref="Y866:Y867"/>
    <mergeCell ref="Z866:Z867"/>
    <mergeCell ref="AA866:AA867"/>
    <mergeCell ref="AB866:AB867"/>
    <mergeCell ref="A868:A869"/>
    <mergeCell ref="E868:E869"/>
    <mergeCell ref="H868:H869"/>
    <mergeCell ref="I868:I869"/>
    <mergeCell ref="J868:J869"/>
    <mergeCell ref="K868:K869"/>
    <mergeCell ref="L868:L869"/>
    <mergeCell ref="M868:M869"/>
    <mergeCell ref="N868:N869"/>
    <mergeCell ref="X868:X869"/>
    <mergeCell ref="Y868:Y869"/>
    <mergeCell ref="Z868:Z869"/>
    <mergeCell ref="AA868:AA869"/>
    <mergeCell ref="AB868:AB869"/>
    <mergeCell ref="A866:A867"/>
    <mergeCell ref="E866:E867"/>
    <mergeCell ref="H866:H867"/>
    <mergeCell ref="I866:I867"/>
    <mergeCell ref="J866:J867"/>
    <mergeCell ref="K866:K867"/>
    <mergeCell ref="L866:L867"/>
    <mergeCell ref="M866:M867"/>
    <mergeCell ref="N866:N867"/>
    <mergeCell ref="O864:O865"/>
    <mergeCell ref="O866:O867"/>
    <mergeCell ref="O856:O857"/>
    <mergeCell ref="O858:O859"/>
    <mergeCell ref="X854:X855"/>
    <mergeCell ref="Y854:Y855"/>
    <mergeCell ref="Z854:Z855"/>
    <mergeCell ref="AA854:AA855"/>
    <mergeCell ref="AB854:AB855"/>
    <mergeCell ref="A856:A857"/>
    <mergeCell ref="E856:E857"/>
    <mergeCell ref="H856:H857"/>
    <mergeCell ref="I856:I857"/>
    <mergeCell ref="J856:J857"/>
    <mergeCell ref="K856:K857"/>
    <mergeCell ref="L856:L857"/>
    <mergeCell ref="M856:M857"/>
    <mergeCell ref="N856:N857"/>
    <mergeCell ref="X856:X857"/>
    <mergeCell ref="Y856:Y857"/>
    <mergeCell ref="Z856:Z857"/>
    <mergeCell ref="AA856:AA857"/>
    <mergeCell ref="AB856:AB857"/>
    <mergeCell ref="A854:A855"/>
    <mergeCell ref="E854:E855"/>
    <mergeCell ref="H854:H855"/>
    <mergeCell ref="I854:I855"/>
    <mergeCell ref="J854:J855"/>
    <mergeCell ref="K854:K855"/>
    <mergeCell ref="L854:L855"/>
    <mergeCell ref="M854:M855"/>
    <mergeCell ref="N854:N855"/>
    <mergeCell ref="O852:O853"/>
    <mergeCell ref="O854:O855"/>
    <mergeCell ref="X862:X863"/>
    <mergeCell ref="Y862:Y863"/>
    <mergeCell ref="Z862:Z863"/>
    <mergeCell ref="AA862:AA863"/>
    <mergeCell ref="AB862:AB863"/>
    <mergeCell ref="A852:A853"/>
    <mergeCell ref="E852:E853"/>
    <mergeCell ref="H852:H853"/>
    <mergeCell ref="I852:I853"/>
    <mergeCell ref="J852:J853"/>
    <mergeCell ref="K852:K853"/>
    <mergeCell ref="L852:L853"/>
    <mergeCell ref="M852:M853"/>
    <mergeCell ref="N852:N853"/>
    <mergeCell ref="X852:X853"/>
    <mergeCell ref="Y852:Y853"/>
    <mergeCell ref="Z852:Z853"/>
    <mergeCell ref="AA852:AA853"/>
    <mergeCell ref="AB852:AB853"/>
    <mergeCell ref="A862:A863"/>
    <mergeCell ref="E862:E863"/>
    <mergeCell ref="H862:H863"/>
    <mergeCell ref="I862:I863"/>
    <mergeCell ref="J862:J863"/>
    <mergeCell ref="K862:K863"/>
    <mergeCell ref="L862:L863"/>
    <mergeCell ref="M862:M863"/>
    <mergeCell ref="N862:N863"/>
    <mergeCell ref="O860:O861"/>
    <mergeCell ref="O862:O863"/>
    <mergeCell ref="X858:X859"/>
    <mergeCell ref="Y858:Y859"/>
    <mergeCell ref="X850:X851"/>
    <mergeCell ref="Y850:Y851"/>
    <mergeCell ref="Z850:Z851"/>
    <mergeCell ref="AA850:AA851"/>
    <mergeCell ref="AB850:AB851"/>
    <mergeCell ref="A840:A841"/>
    <mergeCell ref="E840:E841"/>
    <mergeCell ref="H840:H841"/>
    <mergeCell ref="I840:I841"/>
    <mergeCell ref="J840:J841"/>
    <mergeCell ref="K840:K841"/>
    <mergeCell ref="L840:L841"/>
    <mergeCell ref="M840:M841"/>
    <mergeCell ref="N840:N841"/>
    <mergeCell ref="X840:X841"/>
    <mergeCell ref="Y840:Y841"/>
    <mergeCell ref="Z840:Z841"/>
    <mergeCell ref="AA840:AA841"/>
    <mergeCell ref="AB840:AB841"/>
    <mergeCell ref="A850:A851"/>
    <mergeCell ref="E850:E851"/>
    <mergeCell ref="H850:H851"/>
    <mergeCell ref="I850:I851"/>
    <mergeCell ref="J850:J851"/>
    <mergeCell ref="K850:K851"/>
    <mergeCell ref="L850:L851"/>
    <mergeCell ref="M850:M851"/>
    <mergeCell ref="N850:N851"/>
    <mergeCell ref="O848:O849"/>
    <mergeCell ref="O850:O851"/>
    <mergeCell ref="X846:X847"/>
    <mergeCell ref="Y846:Y847"/>
    <mergeCell ref="Z846:Z847"/>
    <mergeCell ref="AA846:AA847"/>
    <mergeCell ref="AB846:AB847"/>
    <mergeCell ref="A848:A849"/>
    <mergeCell ref="E848:E849"/>
    <mergeCell ref="H848:H849"/>
    <mergeCell ref="I848:I849"/>
    <mergeCell ref="J848:J849"/>
    <mergeCell ref="K848:K849"/>
    <mergeCell ref="L848:L849"/>
    <mergeCell ref="M848:M849"/>
    <mergeCell ref="N848:N849"/>
    <mergeCell ref="X848:X849"/>
    <mergeCell ref="Y848:Y849"/>
    <mergeCell ref="Z848:Z849"/>
    <mergeCell ref="AA848:AA849"/>
    <mergeCell ref="AB848:AB849"/>
    <mergeCell ref="A846:A847"/>
    <mergeCell ref="E846:E847"/>
    <mergeCell ref="H846:H847"/>
    <mergeCell ref="I846:I847"/>
    <mergeCell ref="J846:J847"/>
    <mergeCell ref="K846:K847"/>
    <mergeCell ref="L846:L847"/>
    <mergeCell ref="M846:M847"/>
    <mergeCell ref="N846:N847"/>
    <mergeCell ref="Z834:Z835"/>
    <mergeCell ref="AA834:AA835"/>
    <mergeCell ref="AB834:AB835"/>
    <mergeCell ref="A836:A837"/>
    <mergeCell ref="E836:E837"/>
    <mergeCell ref="H836:H837"/>
    <mergeCell ref="I836:I837"/>
    <mergeCell ref="J836:J837"/>
    <mergeCell ref="K836:K837"/>
    <mergeCell ref="L836:L837"/>
    <mergeCell ref="M836:M837"/>
    <mergeCell ref="N836:N837"/>
    <mergeCell ref="X836:X837"/>
    <mergeCell ref="Y836:Y837"/>
    <mergeCell ref="Z836:Z837"/>
    <mergeCell ref="AA836:AA837"/>
    <mergeCell ref="AB836:AB837"/>
    <mergeCell ref="A834:A835"/>
    <mergeCell ref="E834:E835"/>
    <mergeCell ref="H834:H835"/>
    <mergeCell ref="I834:I835"/>
    <mergeCell ref="J834:J835"/>
    <mergeCell ref="K834:K835"/>
    <mergeCell ref="L834:L835"/>
    <mergeCell ref="M834:M835"/>
    <mergeCell ref="N834:N835"/>
    <mergeCell ref="O844:O845"/>
    <mergeCell ref="O846:O847"/>
    <mergeCell ref="X842:X843"/>
    <mergeCell ref="Y842:Y843"/>
    <mergeCell ref="Z842:Z843"/>
    <mergeCell ref="AA842:AA843"/>
    <mergeCell ref="AB842:AB843"/>
    <mergeCell ref="A844:A845"/>
    <mergeCell ref="E844:E845"/>
    <mergeCell ref="H844:H845"/>
    <mergeCell ref="I844:I845"/>
    <mergeCell ref="J844:J845"/>
    <mergeCell ref="K844:K845"/>
    <mergeCell ref="L844:L845"/>
    <mergeCell ref="M844:M845"/>
    <mergeCell ref="N844:N845"/>
    <mergeCell ref="X844:X845"/>
    <mergeCell ref="Y844:Y845"/>
    <mergeCell ref="Z844:Z845"/>
    <mergeCell ref="AA844:AA845"/>
    <mergeCell ref="AB844:AB845"/>
    <mergeCell ref="A842:A843"/>
    <mergeCell ref="E842:E843"/>
    <mergeCell ref="H842:H843"/>
    <mergeCell ref="I842:I843"/>
    <mergeCell ref="J842:J843"/>
    <mergeCell ref="K842:K843"/>
    <mergeCell ref="L842:L843"/>
    <mergeCell ref="M842:M843"/>
    <mergeCell ref="N842:N843"/>
    <mergeCell ref="O840:O841"/>
    <mergeCell ref="O842:O843"/>
    <mergeCell ref="O832:O833"/>
    <mergeCell ref="O834:O835"/>
    <mergeCell ref="X830:X831"/>
    <mergeCell ref="Y830:Y831"/>
    <mergeCell ref="Z830:Z831"/>
    <mergeCell ref="AA830:AA831"/>
    <mergeCell ref="AB830:AB831"/>
    <mergeCell ref="A832:A833"/>
    <mergeCell ref="E832:E833"/>
    <mergeCell ref="H832:H833"/>
    <mergeCell ref="I832:I833"/>
    <mergeCell ref="J832:J833"/>
    <mergeCell ref="K832:K833"/>
    <mergeCell ref="L832:L833"/>
    <mergeCell ref="M832:M833"/>
    <mergeCell ref="N832:N833"/>
    <mergeCell ref="X832:X833"/>
    <mergeCell ref="Y832:Y833"/>
    <mergeCell ref="Z832:Z833"/>
    <mergeCell ref="AA832:AA833"/>
    <mergeCell ref="AB832:AB833"/>
    <mergeCell ref="A830:A831"/>
    <mergeCell ref="E830:E831"/>
    <mergeCell ref="H830:H831"/>
    <mergeCell ref="I830:I831"/>
    <mergeCell ref="J830:J831"/>
    <mergeCell ref="K830:K831"/>
    <mergeCell ref="L830:L831"/>
    <mergeCell ref="M830:M831"/>
    <mergeCell ref="N830:N831"/>
    <mergeCell ref="O828:O829"/>
    <mergeCell ref="O830:O831"/>
    <mergeCell ref="X838:X839"/>
    <mergeCell ref="Y838:Y839"/>
    <mergeCell ref="Z838:Z839"/>
    <mergeCell ref="AA838:AA839"/>
    <mergeCell ref="AB838:AB839"/>
    <mergeCell ref="A828:A829"/>
    <mergeCell ref="E828:E829"/>
    <mergeCell ref="H828:H829"/>
    <mergeCell ref="I828:I829"/>
    <mergeCell ref="J828:J829"/>
    <mergeCell ref="K828:K829"/>
    <mergeCell ref="L828:L829"/>
    <mergeCell ref="M828:M829"/>
    <mergeCell ref="N828:N829"/>
    <mergeCell ref="X828:X829"/>
    <mergeCell ref="Y828:Y829"/>
    <mergeCell ref="Z828:Z829"/>
    <mergeCell ref="AA828:AA829"/>
    <mergeCell ref="AB828:AB829"/>
    <mergeCell ref="A838:A839"/>
    <mergeCell ref="E838:E839"/>
    <mergeCell ref="H838:H839"/>
    <mergeCell ref="I838:I839"/>
    <mergeCell ref="J838:J839"/>
    <mergeCell ref="K838:K839"/>
    <mergeCell ref="L838:L839"/>
    <mergeCell ref="M838:M839"/>
    <mergeCell ref="N838:N839"/>
    <mergeCell ref="O836:O837"/>
    <mergeCell ref="O838:O839"/>
    <mergeCell ref="X834:X835"/>
    <mergeCell ref="Y834:Y835"/>
    <mergeCell ref="X826:X827"/>
    <mergeCell ref="Y826:Y827"/>
    <mergeCell ref="Z826:Z827"/>
    <mergeCell ref="AA826:AA827"/>
    <mergeCell ref="AB826:AB827"/>
    <mergeCell ref="A816:A817"/>
    <mergeCell ref="E816:E817"/>
    <mergeCell ref="H816:H817"/>
    <mergeCell ref="I816:I817"/>
    <mergeCell ref="J816:J817"/>
    <mergeCell ref="K816:K817"/>
    <mergeCell ref="L816:L817"/>
    <mergeCell ref="M816:M817"/>
    <mergeCell ref="N816:N817"/>
    <mergeCell ref="X816:X817"/>
    <mergeCell ref="Y816:Y817"/>
    <mergeCell ref="Z816:Z817"/>
    <mergeCell ref="AA816:AA817"/>
    <mergeCell ref="AB816:AB817"/>
    <mergeCell ref="A826:A827"/>
    <mergeCell ref="E826:E827"/>
    <mergeCell ref="H826:H827"/>
    <mergeCell ref="I826:I827"/>
    <mergeCell ref="J826:J827"/>
    <mergeCell ref="K826:K827"/>
    <mergeCell ref="L826:L827"/>
    <mergeCell ref="M826:M827"/>
    <mergeCell ref="N826:N827"/>
    <mergeCell ref="O824:O825"/>
    <mergeCell ref="O826:O827"/>
    <mergeCell ref="X822:X823"/>
    <mergeCell ref="Y822:Y823"/>
    <mergeCell ref="Z822:Z823"/>
    <mergeCell ref="AA822:AA823"/>
    <mergeCell ref="AB822:AB823"/>
    <mergeCell ref="A824:A825"/>
    <mergeCell ref="E824:E825"/>
    <mergeCell ref="H824:H825"/>
    <mergeCell ref="I824:I825"/>
    <mergeCell ref="J824:J825"/>
    <mergeCell ref="K824:K825"/>
    <mergeCell ref="L824:L825"/>
    <mergeCell ref="M824:M825"/>
    <mergeCell ref="N824:N825"/>
    <mergeCell ref="X824:X825"/>
    <mergeCell ref="Y824:Y825"/>
    <mergeCell ref="Z824:Z825"/>
    <mergeCell ref="AA824:AA825"/>
    <mergeCell ref="AB824:AB825"/>
    <mergeCell ref="A822:A823"/>
    <mergeCell ref="E822:E823"/>
    <mergeCell ref="H822:H823"/>
    <mergeCell ref="I822:I823"/>
    <mergeCell ref="J822:J823"/>
    <mergeCell ref="K822:K823"/>
    <mergeCell ref="L822:L823"/>
    <mergeCell ref="M822:M823"/>
    <mergeCell ref="N822:N823"/>
    <mergeCell ref="Z810:Z811"/>
    <mergeCell ref="AA810:AA811"/>
    <mergeCell ref="AB810:AB811"/>
    <mergeCell ref="A812:A813"/>
    <mergeCell ref="E812:E813"/>
    <mergeCell ref="H812:H813"/>
    <mergeCell ref="I812:I813"/>
    <mergeCell ref="J812:J813"/>
    <mergeCell ref="K812:K813"/>
    <mergeCell ref="L812:L813"/>
    <mergeCell ref="M812:M813"/>
    <mergeCell ref="N812:N813"/>
    <mergeCell ref="X812:X813"/>
    <mergeCell ref="Y812:Y813"/>
    <mergeCell ref="Z812:Z813"/>
    <mergeCell ref="AA812:AA813"/>
    <mergeCell ref="AB812:AB813"/>
    <mergeCell ref="A810:A811"/>
    <mergeCell ref="E810:E811"/>
    <mergeCell ref="H810:H811"/>
    <mergeCell ref="I810:I811"/>
    <mergeCell ref="J810:J811"/>
    <mergeCell ref="K810:K811"/>
    <mergeCell ref="L810:L811"/>
    <mergeCell ref="M810:M811"/>
    <mergeCell ref="N810:N811"/>
    <mergeCell ref="O820:O821"/>
    <mergeCell ref="O822:O823"/>
    <mergeCell ref="X818:X819"/>
    <mergeCell ref="Y818:Y819"/>
    <mergeCell ref="Z818:Z819"/>
    <mergeCell ref="AA818:AA819"/>
    <mergeCell ref="AB818:AB819"/>
    <mergeCell ref="A820:A821"/>
    <mergeCell ref="E820:E821"/>
    <mergeCell ref="H820:H821"/>
    <mergeCell ref="I820:I821"/>
    <mergeCell ref="J820:J821"/>
    <mergeCell ref="K820:K821"/>
    <mergeCell ref="L820:L821"/>
    <mergeCell ref="M820:M821"/>
    <mergeCell ref="N820:N821"/>
    <mergeCell ref="X820:X821"/>
    <mergeCell ref="Y820:Y821"/>
    <mergeCell ref="Z820:Z821"/>
    <mergeCell ref="AA820:AA821"/>
    <mergeCell ref="AB820:AB821"/>
    <mergeCell ref="A818:A819"/>
    <mergeCell ref="E818:E819"/>
    <mergeCell ref="H818:H819"/>
    <mergeCell ref="I818:I819"/>
    <mergeCell ref="J818:J819"/>
    <mergeCell ref="K818:K819"/>
    <mergeCell ref="L818:L819"/>
    <mergeCell ref="M818:M819"/>
    <mergeCell ref="N818:N819"/>
    <mergeCell ref="O816:O817"/>
    <mergeCell ref="O818:O819"/>
    <mergeCell ref="O808:O809"/>
    <mergeCell ref="O810:O811"/>
    <mergeCell ref="X806:X807"/>
    <mergeCell ref="Y806:Y807"/>
    <mergeCell ref="Z806:Z807"/>
    <mergeCell ref="AA806:AA807"/>
    <mergeCell ref="AB806:AB807"/>
    <mergeCell ref="A808:A809"/>
    <mergeCell ref="E808:E809"/>
    <mergeCell ref="H808:H809"/>
    <mergeCell ref="I808:I809"/>
    <mergeCell ref="J808:J809"/>
    <mergeCell ref="K808:K809"/>
    <mergeCell ref="L808:L809"/>
    <mergeCell ref="M808:M809"/>
    <mergeCell ref="N808:N809"/>
    <mergeCell ref="X808:X809"/>
    <mergeCell ref="Y808:Y809"/>
    <mergeCell ref="Z808:Z809"/>
    <mergeCell ref="AA808:AA809"/>
    <mergeCell ref="AB808:AB809"/>
    <mergeCell ref="A806:A807"/>
    <mergeCell ref="E806:E807"/>
    <mergeCell ref="H806:H807"/>
    <mergeCell ref="I806:I807"/>
    <mergeCell ref="J806:J807"/>
    <mergeCell ref="K806:K807"/>
    <mergeCell ref="L806:L807"/>
    <mergeCell ref="M806:M807"/>
    <mergeCell ref="N806:N807"/>
    <mergeCell ref="O804:O805"/>
    <mergeCell ref="O806:O807"/>
    <mergeCell ref="X814:X815"/>
    <mergeCell ref="Y814:Y815"/>
    <mergeCell ref="Z814:Z815"/>
    <mergeCell ref="AA814:AA815"/>
    <mergeCell ref="AB814:AB815"/>
    <mergeCell ref="A804:A805"/>
    <mergeCell ref="E804:E805"/>
    <mergeCell ref="H804:H805"/>
    <mergeCell ref="I804:I805"/>
    <mergeCell ref="J804:J805"/>
    <mergeCell ref="K804:K805"/>
    <mergeCell ref="L804:L805"/>
    <mergeCell ref="M804:M805"/>
    <mergeCell ref="N804:N805"/>
    <mergeCell ref="X804:X805"/>
    <mergeCell ref="Y804:Y805"/>
    <mergeCell ref="Z804:Z805"/>
    <mergeCell ref="AA804:AA805"/>
    <mergeCell ref="AB804:AB805"/>
    <mergeCell ref="A814:A815"/>
    <mergeCell ref="E814:E815"/>
    <mergeCell ref="H814:H815"/>
    <mergeCell ref="I814:I815"/>
    <mergeCell ref="J814:J815"/>
    <mergeCell ref="K814:K815"/>
    <mergeCell ref="L814:L815"/>
    <mergeCell ref="M814:M815"/>
    <mergeCell ref="N814:N815"/>
    <mergeCell ref="O812:O813"/>
    <mergeCell ref="O814:O815"/>
    <mergeCell ref="X810:X811"/>
    <mergeCell ref="Y810:Y811"/>
    <mergeCell ref="X802:X803"/>
    <mergeCell ref="Y802:Y803"/>
    <mergeCell ref="Z802:Z803"/>
    <mergeCell ref="AA802:AA803"/>
    <mergeCell ref="AB802:AB803"/>
    <mergeCell ref="A792:A793"/>
    <mergeCell ref="E792:E793"/>
    <mergeCell ref="H792:H793"/>
    <mergeCell ref="I792:I793"/>
    <mergeCell ref="J792:J793"/>
    <mergeCell ref="K792:K793"/>
    <mergeCell ref="L792:L793"/>
    <mergeCell ref="M792:M793"/>
    <mergeCell ref="N792:N793"/>
    <mergeCell ref="X792:X793"/>
    <mergeCell ref="Y792:Y793"/>
    <mergeCell ref="Z792:Z793"/>
    <mergeCell ref="AA792:AA793"/>
    <mergeCell ref="AB792:AB793"/>
    <mergeCell ref="A802:A803"/>
    <mergeCell ref="E802:E803"/>
    <mergeCell ref="H802:H803"/>
    <mergeCell ref="I802:I803"/>
    <mergeCell ref="J802:J803"/>
    <mergeCell ref="K802:K803"/>
    <mergeCell ref="L802:L803"/>
    <mergeCell ref="M802:M803"/>
    <mergeCell ref="N802:N803"/>
    <mergeCell ref="O800:O801"/>
    <mergeCell ref="O802:O803"/>
    <mergeCell ref="X798:X799"/>
    <mergeCell ref="Y798:Y799"/>
    <mergeCell ref="Z798:Z799"/>
    <mergeCell ref="AA798:AA799"/>
    <mergeCell ref="AB798:AB799"/>
    <mergeCell ref="A800:A801"/>
    <mergeCell ref="E800:E801"/>
    <mergeCell ref="H800:H801"/>
    <mergeCell ref="I800:I801"/>
    <mergeCell ref="J800:J801"/>
    <mergeCell ref="K800:K801"/>
    <mergeCell ref="L800:L801"/>
    <mergeCell ref="M800:M801"/>
    <mergeCell ref="N800:N801"/>
    <mergeCell ref="X800:X801"/>
    <mergeCell ref="Y800:Y801"/>
    <mergeCell ref="Z800:Z801"/>
    <mergeCell ref="AA800:AA801"/>
    <mergeCell ref="AB800:AB801"/>
    <mergeCell ref="A798:A799"/>
    <mergeCell ref="E798:E799"/>
    <mergeCell ref="H798:H799"/>
    <mergeCell ref="I798:I799"/>
    <mergeCell ref="J798:J799"/>
    <mergeCell ref="K798:K799"/>
    <mergeCell ref="L798:L799"/>
    <mergeCell ref="M798:M799"/>
    <mergeCell ref="N798:N799"/>
    <mergeCell ref="Z786:Z787"/>
    <mergeCell ref="AA786:AA787"/>
    <mergeCell ref="AB786:AB787"/>
    <mergeCell ref="A788:A789"/>
    <mergeCell ref="E788:E789"/>
    <mergeCell ref="H788:H789"/>
    <mergeCell ref="I788:I789"/>
    <mergeCell ref="J788:J789"/>
    <mergeCell ref="K788:K789"/>
    <mergeCell ref="L788:L789"/>
    <mergeCell ref="M788:M789"/>
    <mergeCell ref="N788:N789"/>
    <mergeCell ref="X788:X789"/>
    <mergeCell ref="Y788:Y789"/>
    <mergeCell ref="Z788:Z789"/>
    <mergeCell ref="AA788:AA789"/>
    <mergeCell ref="AB788:AB789"/>
    <mergeCell ref="A786:A787"/>
    <mergeCell ref="E786:E787"/>
    <mergeCell ref="H786:H787"/>
    <mergeCell ref="I786:I787"/>
    <mergeCell ref="J786:J787"/>
    <mergeCell ref="K786:K787"/>
    <mergeCell ref="L786:L787"/>
    <mergeCell ref="M786:M787"/>
    <mergeCell ref="N786:N787"/>
    <mergeCell ref="O796:O797"/>
    <mergeCell ref="O798:O799"/>
    <mergeCell ref="X794:X795"/>
    <mergeCell ref="Y794:Y795"/>
    <mergeCell ref="Z794:Z795"/>
    <mergeCell ref="AA794:AA795"/>
    <mergeCell ref="AB794:AB795"/>
    <mergeCell ref="A796:A797"/>
    <mergeCell ref="E796:E797"/>
    <mergeCell ref="H796:H797"/>
    <mergeCell ref="I796:I797"/>
    <mergeCell ref="J796:J797"/>
    <mergeCell ref="K796:K797"/>
    <mergeCell ref="L796:L797"/>
    <mergeCell ref="M796:M797"/>
    <mergeCell ref="N796:N797"/>
    <mergeCell ref="X796:X797"/>
    <mergeCell ref="Y796:Y797"/>
    <mergeCell ref="Z796:Z797"/>
    <mergeCell ref="AA796:AA797"/>
    <mergeCell ref="AB796:AB797"/>
    <mergeCell ref="A794:A795"/>
    <mergeCell ref="E794:E795"/>
    <mergeCell ref="H794:H795"/>
    <mergeCell ref="I794:I795"/>
    <mergeCell ref="J794:J795"/>
    <mergeCell ref="K794:K795"/>
    <mergeCell ref="L794:L795"/>
    <mergeCell ref="M794:M795"/>
    <mergeCell ref="N794:N795"/>
    <mergeCell ref="O792:O793"/>
    <mergeCell ref="O794:O795"/>
    <mergeCell ref="O784:O785"/>
    <mergeCell ref="O786:O787"/>
    <mergeCell ref="X782:X783"/>
    <mergeCell ref="Y782:Y783"/>
    <mergeCell ref="Z782:Z783"/>
    <mergeCell ref="AA782:AA783"/>
    <mergeCell ref="AB782:AB783"/>
    <mergeCell ref="A784:A785"/>
    <mergeCell ref="E784:E785"/>
    <mergeCell ref="H784:H785"/>
    <mergeCell ref="I784:I785"/>
    <mergeCell ref="J784:J785"/>
    <mergeCell ref="K784:K785"/>
    <mergeCell ref="L784:L785"/>
    <mergeCell ref="M784:M785"/>
    <mergeCell ref="N784:N785"/>
    <mergeCell ref="X784:X785"/>
    <mergeCell ref="Y784:Y785"/>
    <mergeCell ref="Z784:Z785"/>
    <mergeCell ref="AA784:AA785"/>
    <mergeCell ref="AB784:AB785"/>
    <mergeCell ref="A782:A783"/>
    <mergeCell ref="E782:E783"/>
    <mergeCell ref="H782:H783"/>
    <mergeCell ref="I782:I783"/>
    <mergeCell ref="J782:J783"/>
    <mergeCell ref="K782:K783"/>
    <mergeCell ref="L782:L783"/>
    <mergeCell ref="M782:M783"/>
    <mergeCell ref="N782:N783"/>
    <mergeCell ref="O780:O781"/>
    <mergeCell ref="O782:O783"/>
    <mergeCell ref="X790:X791"/>
    <mergeCell ref="Y790:Y791"/>
    <mergeCell ref="Z790:Z791"/>
    <mergeCell ref="AA790:AA791"/>
    <mergeCell ref="AB790:AB791"/>
    <mergeCell ref="A780:A781"/>
    <mergeCell ref="E780:E781"/>
    <mergeCell ref="H780:H781"/>
    <mergeCell ref="I780:I781"/>
    <mergeCell ref="J780:J781"/>
    <mergeCell ref="K780:K781"/>
    <mergeCell ref="L780:L781"/>
    <mergeCell ref="M780:M781"/>
    <mergeCell ref="N780:N781"/>
    <mergeCell ref="X780:X781"/>
    <mergeCell ref="Y780:Y781"/>
    <mergeCell ref="Z780:Z781"/>
    <mergeCell ref="AA780:AA781"/>
    <mergeCell ref="AB780:AB781"/>
    <mergeCell ref="A790:A791"/>
    <mergeCell ref="E790:E791"/>
    <mergeCell ref="H790:H791"/>
    <mergeCell ref="I790:I791"/>
    <mergeCell ref="J790:J791"/>
    <mergeCell ref="K790:K791"/>
    <mergeCell ref="L790:L791"/>
    <mergeCell ref="M790:M791"/>
    <mergeCell ref="N790:N791"/>
    <mergeCell ref="O788:O789"/>
    <mergeCell ref="O790:O791"/>
    <mergeCell ref="X786:X787"/>
    <mergeCell ref="Y786:Y787"/>
    <mergeCell ref="X778:X779"/>
    <mergeCell ref="Y778:Y779"/>
    <mergeCell ref="Z778:Z779"/>
    <mergeCell ref="AA778:AA779"/>
    <mergeCell ref="AB778:AB779"/>
    <mergeCell ref="A768:A769"/>
    <mergeCell ref="E768:E769"/>
    <mergeCell ref="H768:H769"/>
    <mergeCell ref="I768:I769"/>
    <mergeCell ref="J768:J769"/>
    <mergeCell ref="K768:K769"/>
    <mergeCell ref="L768:L769"/>
    <mergeCell ref="M768:M769"/>
    <mergeCell ref="N768:N769"/>
    <mergeCell ref="X768:X769"/>
    <mergeCell ref="Y768:Y769"/>
    <mergeCell ref="Z768:Z769"/>
    <mergeCell ref="AA768:AA769"/>
    <mergeCell ref="AB768:AB769"/>
    <mergeCell ref="A778:A779"/>
    <mergeCell ref="E778:E779"/>
    <mergeCell ref="H778:H779"/>
    <mergeCell ref="I778:I779"/>
    <mergeCell ref="J778:J779"/>
    <mergeCell ref="K778:K779"/>
    <mergeCell ref="L778:L779"/>
    <mergeCell ref="M778:M779"/>
    <mergeCell ref="N778:N779"/>
    <mergeCell ref="O776:O777"/>
    <mergeCell ref="O778:O779"/>
    <mergeCell ref="X774:X775"/>
    <mergeCell ref="Y774:Y775"/>
    <mergeCell ref="Z774:Z775"/>
    <mergeCell ref="AA774:AA775"/>
    <mergeCell ref="AB774:AB775"/>
    <mergeCell ref="A776:A777"/>
    <mergeCell ref="E776:E777"/>
    <mergeCell ref="H776:H777"/>
    <mergeCell ref="I776:I777"/>
    <mergeCell ref="J776:J777"/>
    <mergeCell ref="K776:K777"/>
    <mergeCell ref="L776:L777"/>
    <mergeCell ref="M776:M777"/>
    <mergeCell ref="N776:N777"/>
    <mergeCell ref="X776:X777"/>
    <mergeCell ref="Y776:Y777"/>
    <mergeCell ref="Z776:Z777"/>
    <mergeCell ref="AA776:AA777"/>
    <mergeCell ref="AB776:AB777"/>
    <mergeCell ref="A774:A775"/>
    <mergeCell ref="E774:E775"/>
    <mergeCell ref="H774:H775"/>
    <mergeCell ref="I774:I775"/>
    <mergeCell ref="J774:J775"/>
    <mergeCell ref="K774:K775"/>
    <mergeCell ref="L774:L775"/>
    <mergeCell ref="M774:M775"/>
    <mergeCell ref="N774:N775"/>
    <mergeCell ref="Z762:Z763"/>
    <mergeCell ref="AA762:AA763"/>
    <mergeCell ref="AB762:AB763"/>
    <mergeCell ref="A764:A765"/>
    <mergeCell ref="E764:E765"/>
    <mergeCell ref="H764:H765"/>
    <mergeCell ref="I764:I765"/>
    <mergeCell ref="J764:J765"/>
    <mergeCell ref="K764:K765"/>
    <mergeCell ref="L764:L765"/>
    <mergeCell ref="M764:M765"/>
    <mergeCell ref="N764:N765"/>
    <mergeCell ref="X764:X765"/>
    <mergeCell ref="Y764:Y765"/>
    <mergeCell ref="Z764:Z765"/>
    <mergeCell ref="AA764:AA765"/>
    <mergeCell ref="AB764:AB765"/>
    <mergeCell ref="A762:A763"/>
    <mergeCell ref="E762:E763"/>
    <mergeCell ref="H762:H763"/>
    <mergeCell ref="I762:I763"/>
    <mergeCell ref="J762:J763"/>
    <mergeCell ref="K762:K763"/>
    <mergeCell ref="L762:L763"/>
    <mergeCell ref="M762:M763"/>
    <mergeCell ref="N762:N763"/>
    <mergeCell ref="O772:O773"/>
    <mergeCell ref="O774:O775"/>
    <mergeCell ref="X770:X771"/>
    <mergeCell ref="Y770:Y771"/>
    <mergeCell ref="Z770:Z771"/>
    <mergeCell ref="AA770:AA771"/>
    <mergeCell ref="AB770:AB771"/>
    <mergeCell ref="A772:A773"/>
    <mergeCell ref="E772:E773"/>
    <mergeCell ref="H772:H773"/>
    <mergeCell ref="I772:I773"/>
    <mergeCell ref="J772:J773"/>
    <mergeCell ref="K772:K773"/>
    <mergeCell ref="L772:L773"/>
    <mergeCell ref="M772:M773"/>
    <mergeCell ref="N772:N773"/>
    <mergeCell ref="X772:X773"/>
    <mergeCell ref="Y772:Y773"/>
    <mergeCell ref="Z772:Z773"/>
    <mergeCell ref="AA772:AA773"/>
    <mergeCell ref="AB772:AB773"/>
    <mergeCell ref="A770:A771"/>
    <mergeCell ref="E770:E771"/>
    <mergeCell ref="H770:H771"/>
    <mergeCell ref="I770:I771"/>
    <mergeCell ref="J770:J771"/>
    <mergeCell ref="K770:K771"/>
    <mergeCell ref="L770:L771"/>
    <mergeCell ref="M770:M771"/>
    <mergeCell ref="N770:N771"/>
    <mergeCell ref="O768:O769"/>
    <mergeCell ref="O770:O771"/>
    <mergeCell ref="O760:O761"/>
    <mergeCell ref="O762:O763"/>
    <mergeCell ref="X758:X759"/>
    <mergeCell ref="Y758:Y759"/>
    <mergeCell ref="Z758:Z759"/>
    <mergeCell ref="AA758:AA759"/>
    <mergeCell ref="AB758:AB759"/>
    <mergeCell ref="A760:A761"/>
    <mergeCell ref="E760:E761"/>
    <mergeCell ref="H760:H761"/>
    <mergeCell ref="I760:I761"/>
    <mergeCell ref="J760:J761"/>
    <mergeCell ref="K760:K761"/>
    <mergeCell ref="L760:L761"/>
    <mergeCell ref="M760:M761"/>
    <mergeCell ref="N760:N761"/>
    <mergeCell ref="X760:X761"/>
    <mergeCell ref="Y760:Y761"/>
    <mergeCell ref="Z760:Z761"/>
    <mergeCell ref="AA760:AA761"/>
    <mergeCell ref="AB760:AB761"/>
    <mergeCell ref="A758:A759"/>
    <mergeCell ref="E758:E759"/>
    <mergeCell ref="H758:H759"/>
    <mergeCell ref="I758:I759"/>
    <mergeCell ref="J758:J759"/>
    <mergeCell ref="K758:K759"/>
    <mergeCell ref="L758:L759"/>
    <mergeCell ref="M758:M759"/>
    <mergeCell ref="N758:N759"/>
    <mergeCell ref="O756:O757"/>
    <mergeCell ref="O758:O759"/>
    <mergeCell ref="X766:X767"/>
    <mergeCell ref="Y766:Y767"/>
    <mergeCell ref="Z766:Z767"/>
    <mergeCell ref="AA766:AA767"/>
    <mergeCell ref="AB766:AB767"/>
    <mergeCell ref="A756:A757"/>
    <mergeCell ref="E756:E757"/>
    <mergeCell ref="H756:H757"/>
    <mergeCell ref="I756:I757"/>
    <mergeCell ref="J756:J757"/>
    <mergeCell ref="K756:K757"/>
    <mergeCell ref="L756:L757"/>
    <mergeCell ref="M756:M757"/>
    <mergeCell ref="N756:N757"/>
    <mergeCell ref="X756:X757"/>
    <mergeCell ref="Y756:Y757"/>
    <mergeCell ref="Z756:Z757"/>
    <mergeCell ref="AA756:AA757"/>
    <mergeCell ref="AB756:AB757"/>
    <mergeCell ref="A766:A767"/>
    <mergeCell ref="E766:E767"/>
    <mergeCell ref="H766:H767"/>
    <mergeCell ref="I766:I767"/>
    <mergeCell ref="J766:J767"/>
    <mergeCell ref="K766:K767"/>
    <mergeCell ref="L766:L767"/>
    <mergeCell ref="M766:M767"/>
    <mergeCell ref="N766:N767"/>
    <mergeCell ref="O764:O765"/>
    <mergeCell ref="O766:O767"/>
    <mergeCell ref="X762:X763"/>
    <mergeCell ref="Y762:Y763"/>
    <mergeCell ref="X754:X755"/>
    <mergeCell ref="Y754:Y755"/>
    <mergeCell ref="Z754:Z755"/>
    <mergeCell ref="AA754:AA755"/>
    <mergeCell ref="AB754:AB755"/>
    <mergeCell ref="A744:A745"/>
    <mergeCell ref="E744:E745"/>
    <mergeCell ref="H744:H745"/>
    <mergeCell ref="I744:I745"/>
    <mergeCell ref="J744:J745"/>
    <mergeCell ref="K744:K745"/>
    <mergeCell ref="L744:L745"/>
    <mergeCell ref="M744:M745"/>
    <mergeCell ref="N744:N745"/>
    <mergeCell ref="X744:X745"/>
    <mergeCell ref="Y744:Y745"/>
    <mergeCell ref="Z744:Z745"/>
    <mergeCell ref="AA744:AA745"/>
    <mergeCell ref="AB744:AB745"/>
    <mergeCell ref="A754:A755"/>
    <mergeCell ref="E754:E755"/>
    <mergeCell ref="H754:H755"/>
    <mergeCell ref="I754:I755"/>
    <mergeCell ref="J754:J755"/>
    <mergeCell ref="K754:K755"/>
    <mergeCell ref="L754:L755"/>
    <mergeCell ref="M754:M755"/>
    <mergeCell ref="N754:N755"/>
    <mergeCell ref="O752:O753"/>
    <mergeCell ref="O754:O755"/>
    <mergeCell ref="X750:X751"/>
    <mergeCell ref="Y750:Y751"/>
    <mergeCell ref="Z750:Z751"/>
    <mergeCell ref="AA750:AA751"/>
    <mergeCell ref="AB750:AB751"/>
    <mergeCell ref="A752:A753"/>
    <mergeCell ref="E752:E753"/>
    <mergeCell ref="H752:H753"/>
    <mergeCell ref="I752:I753"/>
    <mergeCell ref="J752:J753"/>
    <mergeCell ref="K752:K753"/>
    <mergeCell ref="L752:L753"/>
    <mergeCell ref="M752:M753"/>
    <mergeCell ref="N752:N753"/>
    <mergeCell ref="X752:X753"/>
    <mergeCell ref="Y752:Y753"/>
    <mergeCell ref="Z752:Z753"/>
    <mergeCell ref="AA752:AA753"/>
    <mergeCell ref="AB752:AB753"/>
    <mergeCell ref="A750:A751"/>
    <mergeCell ref="E750:E751"/>
    <mergeCell ref="H750:H751"/>
    <mergeCell ref="I750:I751"/>
    <mergeCell ref="J750:J751"/>
    <mergeCell ref="K750:K751"/>
    <mergeCell ref="L750:L751"/>
    <mergeCell ref="M750:M751"/>
    <mergeCell ref="N750:N751"/>
    <mergeCell ref="Z738:Z739"/>
    <mergeCell ref="AA738:AA739"/>
    <mergeCell ref="AB738:AB739"/>
    <mergeCell ref="A740:A741"/>
    <mergeCell ref="E740:E741"/>
    <mergeCell ref="H740:H741"/>
    <mergeCell ref="I740:I741"/>
    <mergeCell ref="J740:J741"/>
    <mergeCell ref="K740:K741"/>
    <mergeCell ref="L740:L741"/>
    <mergeCell ref="M740:M741"/>
    <mergeCell ref="N740:N741"/>
    <mergeCell ref="X740:X741"/>
    <mergeCell ref="Y740:Y741"/>
    <mergeCell ref="Z740:Z741"/>
    <mergeCell ref="AA740:AA741"/>
    <mergeCell ref="AB740:AB741"/>
    <mergeCell ref="A738:A739"/>
    <mergeCell ref="E738:E739"/>
    <mergeCell ref="H738:H739"/>
    <mergeCell ref="I738:I739"/>
    <mergeCell ref="J738:J739"/>
    <mergeCell ref="K738:K739"/>
    <mergeCell ref="L738:L739"/>
    <mergeCell ref="M738:M739"/>
    <mergeCell ref="N738:N739"/>
    <mergeCell ref="O748:O749"/>
    <mergeCell ref="O750:O751"/>
    <mergeCell ref="X746:X747"/>
    <mergeCell ref="Y746:Y747"/>
    <mergeCell ref="Z746:Z747"/>
    <mergeCell ref="AA746:AA747"/>
    <mergeCell ref="AB746:AB747"/>
    <mergeCell ref="A748:A749"/>
    <mergeCell ref="E748:E749"/>
    <mergeCell ref="H748:H749"/>
    <mergeCell ref="I748:I749"/>
    <mergeCell ref="J748:J749"/>
    <mergeCell ref="K748:K749"/>
    <mergeCell ref="L748:L749"/>
    <mergeCell ref="M748:M749"/>
    <mergeCell ref="N748:N749"/>
    <mergeCell ref="X748:X749"/>
    <mergeCell ref="Y748:Y749"/>
    <mergeCell ref="Z748:Z749"/>
    <mergeCell ref="AA748:AA749"/>
    <mergeCell ref="AB748:AB749"/>
    <mergeCell ref="A746:A747"/>
    <mergeCell ref="E746:E747"/>
    <mergeCell ref="H746:H747"/>
    <mergeCell ref="I746:I747"/>
    <mergeCell ref="J746:J747"/>
    <mergeCell ref="K746:K747"/>
    <mergeCell ref="L746:L747"/>
    <mergeCell ref="M746:M747"/>
    <mergeCell ref="N746:N747"/>
    <mergeCell ref="O744:O745"/>
    <mergeCell ref="O746:O747"/>
    <mergeCell ref="O736:O737"/>
    <mergeCell ref="O738:O739"/>
    <mergeCell ref="X734:X735"/>
    <mergeCell ref="Y734:Y735"/>
    <mergeCell ref="Z734:Z735"/>
    <mergeCell ref="AA734:AA735"/>
    <mergeCell ref="AB734:AB735"/>
    <mergeCell ref="A736:A737"/>
    <mergeCell ref="E736:E737"/>
    <mergeCell ref="H736:H737"/>
    <mergeCell ref="I736:I737"/>
    <mergeCell ref="J736:J737"/>
    <mergeCell ref="K736:K737"/>
    <mergeCell ref="L736:L737"/>
    <mergeCell ref="M736:M737"/>
    <mergeCell ref="N736:N737"/>
    <mergeCell ref="X736:X737"/>
    <mergeCell ref="Y736:Y737"/>
    <mergeCell ref="Z736:Z737"/>
    <mergeCell ref="AA736:AA737"/>
    <mergeCell ref="AB736:AB737"/>
    <mergeCell ref="A734:A735"/>
    <mergeCell ref="E734:E735"/>
    <mergeCell ref="H734:H735"/>
    <mergeCell ref="I734:I735"/>
    <mergeCell ref="J734:J735"/>
    <mergeCell ref="K734:K735"/>
    <mergeCell ref="L734:L735"/>
    <mergeCell ref="M734:M735"/>
    <mergeCell ref="N734:N735"/>
    <mergeCell ref="O732:O733"/>
    <mergeCell ref="O734:O735"/>
    <mergeCell ref="X742:X743"/>
    <mergeCell ref="Y742:Y743"/>
    <mergeCell ref="Z742:Z743"/>
    <mergeCell ref="AA742:AA743"/>
    <mergeCell ref="AB742:AB743"/>
    <mergeCell ref="A732:A733"/>
    <mergeCell ref="E732:E733"/>
    <mergeCell ref="H732:H733"/>
    <mergeCell ref="I732:I733"/>
    <mergeCell ref="J732:J733"/>
    <mergeCell ref="K732:K733"/>
    <mergeCell ref="L732:L733"/>
    <mergeCell ref="M732:M733"/>
    <mergeCell ref="N732:N733"/>
    <mergeCell ref="X732:X733"/>
    <mergeCell ref="Y732:Y733"/>
    <mergeCell ref="Z732:Z733"/>
    <mergeCell ref="AA732:AA733"/>
    <mergeCell ref="AB732:AB733"/>
    <mergeCell ref="A742:A743"/>
    <mergeCell ref="E742:E743"/>
    <mergeCell ref="H742:H743"/>
    <mergeCell ref="I742:I743"/>
    <mergeCell ref="J742:J743"/>
    <mergeCell ref="K742:K743"/>
    <mergeCell ref="L742:L743"/>
    <mergeCell ref="M742:M743"/>
    <mergeCell ref="N742:N743"/>
    <mergeCell ref="O740:O741"/>
    <mergeCell ref="O742:O743"/>
    <mergeCell ref="X738:X739"/>
    <mergeCell ref="Y738:Y739"/>
    <mergeCell ref="X730:X731"/>
    <mergeCell ref="Y730:Y731"/>
    <mergeCell ref="Z730:Z731"/>
    <mergeCell ref="AA730:AA731"/>
    <mergeCell ref="AB730:AB731"/>
    <mergeCell ref="A720:A721"/>
    <mergeCell ref="E720:E721"/>
    <mergeCell ref="H720:H721"/>
    <mergeCell ref="I720:I721"/>
    <mergeCell ref="J720:J721"/>
    <mergeCell ref="K720:K721"/>
    <mergeCell ref="L720:L721"/>
    <mergeCell ref="M720:M721"/>
    <mergeCell ref="N720:N721"/>
    <mergeCell ref="X720:X721"/>
    <mergeCell ref="Y720:Y721"/>
    <mergeCell ref="Z720:Z721"/>
    <mergeCell ref="AA720:AA721"/>
    <mergeCell ref="AB720:AB721"/>
    <mergeCell ref="A730:A731"/>
    <mergeCell ref="E730:E731"/>
    <mergeCell ref="H730:H731"/>
    <mergeCell ref="I730:I731"/>
    <mergeCell ref="J730:J731"/>
    <mergeCell ref="K730:K731"/>
    <mergeCell ref="L730:L731"/>
    <mergeCell ref="M730:M731"/>
    <mergeCell ref="N730:N731"/>
    <mergeCell ref="O728:O729"/>
    <mergeCell ref="O730:O731"/>
    <mergeCell ref="X726:X727"/>
    <mergeCell ref="Y726:Y727"/>
    <mergeCell ref="Z726:Z727"/>
    <mergeCell ref="AA726:AA727"/>
    <mergeCell ref="AB726:AB727"/>
    <mergeCell ref="A728:A729"/>
    <mergeCell ref="E728:E729"/>
    <mergeCell ref="H728:H729"/>
    <mergeCell ref="I728:I729"/>
    <mergeCell ref="J728:J729"/>
    <mergeCell ref="K728:K729"/>
    <mergeCell ref="L728:L729"/>
    <mergeCell ref="M728:M729"/>
    <mergeCell ref="N728:N729"/>
    <mergeCell ref="X728:X729"/>
    <mergeCell ref="Y728:Y729"/>
    <mergeCell ref="Z728:Z729"/>
    <mergeCell ref="AA728:AA729"/>
    <mergeCell ref="AB728:AB729"/>
    <mergeCell ref="A726:A727"/>
    <mergeCell ref="E726:E727"/>
    <mergeCell ref="H726:H727"/>
    <mergeCell ref="I726:I727"/>
    <mergeCell ref="J726:J727"/>
    <mergeCell ref="K726:K727"/>
    <mergeCell ref="L726:L727"/>
    <mergeCell ref="M726:M727"/>
    <mergeCell ref="N726:N727"/>
    <mergeCell ref="Z714:Z715"/>
    <mergeCell ref="AA714:AA715"/>
    <mergeCell ref="AB714:AB715"/>
    <mergeCell ref="A716:A717"/>
    <mergeCell ref="E716:E717"/>
    <mergeCell ref="H716:H717"/>
    <mergeCell ref="I716:I717"/>
    <mergeCell ref="J716:J717"/>
    <mergeCell ref="K716:K717"/>
    <mergeCell ref="L716:L717"/>
    <mergeCell ref="M716:M717"/>
    <mergeCell ref="N716:N717"/>
    <mergeCell ref="X716:X717"/>
    <mergeCell ref="Y716:Y717"/>
    <mergeCell ref="Z716:Z717"/>
    <mergeCell ref="AA716:AA717"/>
    <mergeCell ref="AB716:AB717"/>
    <mergeCell ref="A714:A715"/>
    <mergeCell ref="E714:E715"/>
    <mergeCell ref="H714:H715"/>
    <mergeCell ref="I714:I715"/>
    <mergeCell ref="J714:J715"/>
    <mergeCell ref="K714:K715"/>
    <mergeCell ref="L714:L715"/>
    <mergeCell ref="M714:M715"/>
    <mergeCell ref="N714:N715"/>
    <mergeCell ref="O724:O725"/>
    <mergeCell ref="O726:O727"/>
    <mergeCell ref="X722:X723"/>
    <mergeCell ref="Y722:Y723"/>
    <mergeCell ref="Z722:Z723"/>
    <mergeCell ref="AA722:AA723"/>
    <mergeCell ref="AB722:AB723"/>
    <mergeCell ref="A724:A725"/>
    <mergeCell ref="E724:E725"/>
    <mergeCell ref="H724:H725"/>
    <mergeCell ref="I724:I725"/>
    <mergeCell ref="J724:J725"/>
    <mergeCell ref="K724:K725"/>
    <mergeCell ref="L724:L725"/>
    <mergeCell ref="M724:M725"/>
    <mergeCell ref="N724:N725"/>
    <mergeCell ref="X724:X725"/>
    <mergeCell ref="Y724:Y725"/>
    <mergeCell ref="Z724:Z725"/>
    <mergeCell ref="AA724:AA725"/>
    <mergeCell ref="AB724:AB725"/>
    <mergeCell ref="A722:A723"/>
    <mergeCell ref="E722:E723"/>
    <mergeCell ref="H722:H723"/>
    <mergeCell ref="I722:I723"/>
    <mergeCell ref="J722:J723"/>
    <mergeCell ref="K722:K723"/>
    <mergeCell ref="L722:L723"/>
    <mergeCell ref="M722:M723"/>
    <mergeCell ref="N722:N723"/>
    <mergeCell ref="O720:O721"/>
    <mergeCell ref="O722:O723"/>
    <mergeCell ref="O712:O713"/>
    <mergeCell ref="O714:O715"/>
    <mergeCell ref="X710:X711"/>
    <mergeCell ref="Y710:Y711"/>
    <mergeCell ref="Z710:Z711"/>
    <mergeCell ref="AA710:AA711"/>
    <mergeCell ref="AB710:AB711"/>
    <mergeCell ref="A712:A713"/>
    <mergeCell ref="E712:E713"/>
    <mergeCell ref="H712:H713"/>
    <mergeCell ref="I712:I713"/>
    <mergeCell ref="J712:J713"/>
    <mergeCell ref="K712:K713"/>
    <mergeCell ref="L712:L713"/>
    <mergeCell ref="M712:M713"/>
    <mergeCell ref="N712:N713"/>
    <mergeCell ref="X712:X713"/>
    <mergeCell ref="Y712:Y713"/>
    <mergeCell ref="Z712:Z713"/>
    <mergeCell ref="AA712:AA713"/>
    <mergeCell ref="AB712:AB713"/>
    <mergeCell ref="A710:A711"/>
    <mergeCell ref="E710:E711"/>
    <mergeCell ref="H710:H711"/>
    <mergeCell ref="I710:I711"/>
    <mergeCell ref="J710:J711"/>
    <mergeCell ref="K710:K711"/>
    <mergeCell ref="L710:L711"/>
    <mergeCell ref="M710:M711"/>
    <mergeCell ref="N710:N711"/>
    <mergeCell ref="O708:O709"/>
    <mergeCell ref="O710:O711"/>
    <mergeCell ref="X718:X719"/>
    <mergeCell ref="Y718:Y719"/>
    <mergeCell ref="Z718:Z719"/>
    <mergeCell ref="AA718:AA719"/>
    <mergeCell ref="AB718:AB719"/>
    <mergeCell ref="A708:A709"/>
    <mergeCell ref="E708:E709"/>
    <mergeCell ref="H708:H709"/>
    <mergeCell ref="I708:I709"/>
    <mergeCell ref="J708:J709"/>
    <mergeCell ref="K708:K709"/>
    <mergeCell ref="L708:L709"/>
    <mergeCell ref="M708:M709"/>
    <mergeCell ref="N708:N709"/>
    <mergeCell ref="X708:X709"/>
    <mergeCell ref="Y708:Y709"/>
    <mergeCell ref="Z708:Z709"/>
    <mergeCell ref="AA708:AA709"/>
    <mergeCell ref="AB708:AB709"/>
    <mergeCell ref="A718:A719"/>
    <mergeCell ref="E718:E719"/>
    <mergeCell ref="H718:H719"/>
    <mergeCell ref="I718:I719"/>
    <mergeCell ref="J718:J719"/>
    <mergeCell ref="K718:K719"/>
    <mergeCell ref="L718:L719"/>
    <mergeCell ref="M718:M719"/>
    <mergeCell ref="N718:N719"/>
    <mergeCell ref="O716:O717"/>
    <mergeCell ref="O718:O719"/>
    <mergeCell ref="X714:X715"/>
    <mergeCell ref="Y714:Y715"/>
    <mergeCell ref="X706:X707"/>
    <mergeCell ref="Y706:Y707"/>
    <mergeCell ref="Z706:Z707"/>
    <mergeCell ref="AA706:AA707"/>
    <mergeCell ref="AB706:AB707"/>
    <mergeCell ref="A696:A697"/>
    <mergeCell ref="E696:E697"/>
    <mergeCell ref="H696:H697"/>
    <mergeCell ref="I696:I697"/>
    <mergeCell ref="J696:J697"/>
    <mergeCell ref="K696:K697"/>
    <mergeCell ref="L696:L697"/>
    <mergeCell ref="M696:M697"/>
    <mergeCell ref="N696:N697"/>
    <mergeCell ref="X696:X697"/>
    <mergeCell ref="Y696:Y697"/>
    <mergeCell ref="Z696:Z697"/>
    <mergeCell ref="AA696:AA697"/>
    <mergeCell ref="AB696:AB697"/>
    <mergeCell ref="A706:A707"/>
    <mergeCell ref="E706:E707"/>
    <mergeCell ref="H706:H707"/>
    <mergeCell ref="I706:I707"/>
    <mergeCell ref="J706:J707"/>
    <mergeCell ref="K706:K707"/>
    <mergeCell ref="L706:L707"/>
    <mergeCell ref="M706:M707"/>
    <mergeCell ref="N706:N707"/>
    <mergeCell ref="O704:O705"/>
    <mergeCell ref="O706:O707"/>
    <mergeCell ref="X702:X703"/>
    <mergeCell ref="Y702:Y703"/>
    <mergeCell ref="Z702:Z703"/>
    <mergeCell ref="AA702:AA703"/>
    <mergeCell ref="AB702:AB703"/>
    <mergeCell ref="A704:A705"/>
    <mergeCell ref="E704:E705"/>
    <mergeCell ref="H704:H705"/>
    <mergeCell ref="I704:I705"/>
    <mergeCell ref="J704:J705"/>
    <mergeCell ref="K704:K705"/>
    <mergeCell ref="L704:L705"/>
    <mergeCell ref="M704:M705"/>
    <mergeCell ref="N704:N705"/>
    <mergeCell ref="X704:X705"/>
    <mergeCell ref="Y704:Y705"/>
    <mergeCell ref="Z704:Z705"/>
    <mergeCell ref="AA704:AA705"/>
    <mergeCell ref="AB704:AB705"/>
    <mergeCell ref="A702:A703"/>
    <mergeCell ref="E702:E703"/>
    <mergeCell ref="H702:H703"/>
    <mergeCell ref="I702:I703"/>
    <mergeCell ref="J702:J703"/>
    <mergeCell ref="K702:K703"/>
    <mergeCell ref="L702:L703"/>
    <mergeCell ref="M702:M703"/>
    <mergeCell ref="N702:N703"/>
    <mergeCell ref="Z690:Z691"/>
    <mergeCell ref="AA690:AA691"/>
    <mergeCell ref="AB690:AB691"/>
    <mergeCell ref="A692:A693"/>
    <mergeCell ref="E692:E693"/>
    <mergeCell ref="H692:H693"/>
    <mergeCell ref="I692:I693"/>
    <mergeCell ref="J692:J693"/>
    <mergeCell ref="K692:K693"/>
    <mergeCell ref="L692:L693"/>
    <mergeCell ref="M692:M693"/>
    <mergeCell ref="N692:N693"/>
    <mergeCell ref="X692:X693"/>
    <mergeCell ref="Y692:Y693"/>
    <mergeCell ref="Z692:Z693"/>
    <mergeCell ref="AA692:AA693"/>
    <mergeCell ref="AB692:AB693"/>
    <mergeCell ref="A690:A691"/>
    <mergeCell ref="E690:E691"/>
    <mergeCell ref="H690:H691"/>
    <mergeCell ref="I690:I691"/>
    <mergeCell ref="J690:J691"/>
    <mergeCell ref="K690:K691"/>
    <mergeCell ref="L690:L691"/>
    <mergeCell ref="M690:M691"/>
    <mergeCell ref="N690:N691"/>
    <mergeCell ref="O700:O701"/>
    <mergeCell ref="O702:O703"/>
    <mergeCell ref="X698:X699"/>
    <mergeCell ref="Y698:Y699"/>
    <mergeCell ref="Z698:Z699"/>
    <mergeCell ref="AA698:AA699"/>
    <mergeCell ref="AB698:AB699"/>
    <mergeCell ref="A700:A701"/>
    <mergeCell ref="E700:E701"/>
    <mergeCell ref="H700:H701"/>
    <mergeCell ref="I700:I701"/>
    <mergeCell ref="J700:J701"/>
    <mergeCell ref="K700:K701"/>
    <mergeCell ref="L700:L701"/>
    <mergeCell ref="M700:M701"/>
    <mergeCell ref="N700:N701"/>
    <mergeCell ref="X700:X701"/>
    <mergeCell ref="Y700:Y701"/>
    <mergeCell ref="Z700:Z701"/>
    <mergeCell ref="AA700:AA701"/>
    <mergeCell ref="AB700:AB701"/>
    <mergeCell ref="A698:A699"/>
    <mergeCell ref="E698:E699"/>
    <mergeCell ref="H698:H699"/>
    <mergeCell ref="I698:I699"/>
    <mergeCell ref="J698:J699"/>
    <mergeCell ref="K698:K699"/>
    <mergeCell ref="L698:L699"/>
    <mergeCell ref="M698:M699"/>
    <mergeCell ref="N698:N699"/>
    <mergeCell ref="O696:O697"/>
    <mergeCell ref="O698:O699"/>
    <mergeCell ref="O688:O689"/>
    <mergeCell ref="O690:O691"/>
    <mergeCell ref="X686:X687"/>
    <mergeCell ref="Y686:Y687"/>
    <mergeCell ref="Z686:Z687"/>
    <mergeCell ref="AA686:AA687"/>
    <mergeCell ref="AB686:AB687"/>
    <mergeCell ref="A688:A689"/>
    <mergeCell ref="E688:E689"/>
    <mergeCell ref="H688:H689"/>
    <mergeCell ref="I688:I689"/>
    <mergeCell ref="J688:J689"/>
    <mergeCell ref="K688:K689"/>
    <mergeCell ref="L688:L689"/>
    <mergeCell ref="M688:M689"/>
    <mergeCell ref="N688:N689"/>
    <mergeCell ref="X688:X689"/>
    <mergeCell ref="Y688:Y689"/>
    <mergeCell ref="Z688:Z689"/>
    <mergeCell ref="AA688:AA689"/>
    <mergeCell ref="AB688:AB689"/>
    <mergeCell ref="A686:A687"/>
    <mergeCell ref="E686:E687"/>
    <mergeCell ref="H686:H687"/>
    <mergeCell ref="I686:I687"/>
    <mergeCell ref="J686:J687"/>
    <mergeCell ref="K686:K687"/>
    <mergeCell ref="L686:L687"/>
    <mergeCell ref="M686:M687"/>
    <mergeCell ref="N686:N687"/>
    <mergeCell ref="O684:O685"/>
    <mergeCell ref="O686:O687"/>
    <mergeCell ref="X694:X695"/>
    <mergeCell ref="Y694:Y695"/>
    <mergeCell ref="Z694:Z695"/>
    <mergeCell ref="AA694:AA695"/>
    <mergeCell ref="AB694:AB695"/>
    <mergeCell ref="A684:A685"/>
    <mergeCell ref="E684:E685"/>
    <mergeCell ref="H684:H685"/>
    <mergeCell ref="I684:I685"/>
    <mergeCell ref="J684:J685"/>
    <mergeCell ref="K684:K685"/>
    <mergeCell ref="L684:L685"/>
    <mergeCell ref="M684:M685"/>
    <mergeCell ref="N684:N685"/>
    <mergeCell ref="X684:X685"/>
    <mergeCell ref="Y684:Y685"/>
    <mergeCell ref="Z684:Z685"/>
    <mergeCell ref="AA684:AA685"/>
    <mergeCell ref="AB684:AB685"/>
    <mergeCell ref="A694:A695"/>
    <mergeCell ref="E694:E695"/>
    <mergeCell ref="H694:H695"/>
    <mergeCell ref="I694:I695"/>
    <mergeCell ref="J694:J695"/>
    <mergeCell ref="K694:K695"/>
    <mergeCell ref="L694:L695"/>
    <mergeCell ref="M694:M695"/>
    <mergeCell ref="N694:N695"/>
    <mergeCell ref="O692:O693"/>
    <mergeCell ref="O694:O695"/>
    <mergeCell ref="X690:X691"/>
    <mergeCell ref="Y690:Y691"/>
    <mergeCell ref="X682:X683"/>
    <mergeCell ref="Y682:Y683"/>
    <mergeCell ref="Z682:Z683"/>
    <mergeCell ref="AA682:AA683"/>
    <mergeCell ref="AB682:AB683"/>
    <mergeCell ref="A672:A673"/>
    <mergeCell ref="E672:E673"/>
    <mergeCell ref="H672:H673"/>
    <mergeCell ref="I672:I673"/>
    <mergeCell ref="J672:J673"/>
    <mergeCell ref="K672:K673"/>
    <mergeCell ref="L672:L673"/>
    <mergeCell ref="M672:M673"/>
    <mergeCell ref="N672:N673"/>
    <mergeCell ref="X672:X673"/>
    <mergeCell ref="Y672:Y673"/>
    <mergeCell ref="Z672:Z673"/>
    <mergeCell ref="AA672:AA673"/>
    <mergeCell ref="AB672:AB673"/>
    <mergeCell ref="A682:A683"/>
    <mergeCell ref="E682:E683"/>
    <mergeCell ref="H682:H683"/>
    <mergeCell ref="I682:I683"/>
    <mergeCell ref="J682:J683"/>
    <mergeCell ref="K682:K683"/>
    <mergeCell ref="L682:L683"/>
    <mergeCell ref="M682:M683"/>
    <mergeCell ref="N682:N683"/>
    <mergeCell ref="O680:O681"/>
    <mergeCell ref="O682:O683"/>
    <mergeCell ref="X678:X679"/>
    <mergeCell ref="Y678:Y679"/>
    <mergeCell ref="Z678:Z679"/>
    <mergeCell ref="AA678:AA679"/>
    <mergeCell ref="AB678:AB679"/>
    <mergeCell ref="A680:A681"/>
    <mergeCell ref="E680:E681"/>
    <mergeCell ref="H680:H681"/>
    <mergeCell ref="I680:I681"/>
    <mergeCell ref="J680:J681"/>
    <mergeCell ref="K680:K681"/>
    <mergeCell ref="L680:L681"/>
    <mergeCell ref="M680:M681"/>
    <mergeCell ref="N680:N681"/>
    <mergeCell ref="X680:X681"/>
    <mergeCell ref="Y680:Y681"/>
    <mergeCell ref="Z680:Z681"/>
    <mergeCell ref="AA680:AA681"/>
    <mergeCell ref="AB680:AB681"/>
    <mergeCell ref="A678:A679"/>
    <mergeCell ref="E678:E679"/>
    <mergeCell ref="H678:H679"/>
    <mergeCell ref="I678:I679"/>
    <mergeCell ref="J678:J679"/>
    <mergeCell ref="K678:K679"/>
    <mergeCell ref="L678:L679"/>
    <mergeCell ref="M678:M679"/>
    <mergeCell ref="N678:N679"/>
    <mergeCell ref="Z666:Z667"/>
    <mergeCell ref="AA666:AA667"/>
    <mergeCell ref="AB666:AB667"/>
    <mergeCell ref="A668:A669"/>
    <mergeCell ref="E668:E669"/>
    <mergeCell ref="H668:H669"/>
    <mergeCell ref="I668:I669"/>
    <mergeCell ref="J668:J669"/>
    <mergeCell ref="K668:K669"/>
    <mergeCell ref="L668:L669"/>
    <mergeCell ref="M668:M669"/>
    <mergeCell ref="N668:N669"/>
    <mergeCell ref="X668:X669"/>
    <mergeCell ref="Y668:Y669"/>
    <mergeCell ref="Z668:Z669"/>
    <mergeCell ref="AA668:AA669"/>
    <mergeCell ref="AB668:AB669"/>
    <mergeCell ref="A666:A667"/>
    <mergeCell ref="E666:E667"/>
    <mergeCell ref="H666:H667"/>
    <mergeCell ref="I666:I667"/>
    <mergeCell ref="J666:J667"/>
    <mergeCell ref="K666:K667"/>
    <mergeCell ref="L666:L667"/>
    <mergeCell ref="M666:M667"/>
    <mergeCell ref="N666:N667"/>
    <mergeCell ref="O676:O677"/>
    <mergeCell ref="O678:O679"/>
    <mergeCell ref="X674:X675"/>
    <mergeCell ref="Y674:Y675"/>
    <mergeCell ref="Z674:Z675"/>
    <mergeCell ref="AA674:AA675"/>
    <mergeCell ref="AB674:AB675"/>
    <mergeCell ref="A676:A677"/>
    <mergeCell ref="E676:E677"/>
    <mergeCell ref="H676:H677"/>
    <mergeCell ref="I676:I677"/>
    <mergeCell ref="J676:J677"/>
    <mergeCell ref="K676:K677"/>
    <mergeCell ref="L676:L677"/>
    <mergeCell ref="M676:M677"/>
    <mergeCell ref="N676:N677"/>
    <mergeCell ref="X676:X677"/>
    <mergeCell ref="Y676:Y677"/>
    <mergeCell ref="Z676:Z677"/>
    <mergeCell ref="AA676:AA677"/>
    <mergeCell ref="AB676:AB677"/>
    <mergeCell ref="A674:A675"/>
    <mergeCell ref="E674:E675"/>
    <mergeCell ref="H674:H675"/>
    <mergeCell ref="I674:I675"/>
    <mergeCell ref="J674:J675"/>
    <mergeCell ref="K674:K675"/>
    <mergeCell ref="L674:L675"/>
    <mergeCell ref="M674:M675"/>
    <mergeCell ref="N674:N675"/>
    <mergeCell ref="O672:O673"/>
    <mergeCell ref="O674:O675"/>
    <mergeCell ref="O664:O665"/>
    <mergeCell ref="O666:O667"/>
    <mergeCell ref="X662:X663"/>
    <mergeCell ref="Y662:Y663"/>
    <mergeCell ref="Z662:Z663"/>
    <mergeCell ref="AA662:AA663"/>
    <mergeCell ref="AB662:AB663"/>
    <mergeCell ref="A664:A665"/>
    <mergeCell ref="E664:E665"/>
    <mergeCell ref="H664:H665"/>
    <mergeCell ref="I664:I665"/>
    <mergeCell ref="J664:J665"/>
    <mergeCell ref="K664:K665"/>
    <mergeCell ref="L664:L665"/>
    <mergeCell ref="M664:M665"/>
    <mergeCell ref="N664:N665"/>
    <mergeCell ref="X664:X665"/>
    <mergeCell ref="Y664:Y665"/>
    <mergeCell ref="Z664:Z665"/>
    <mergeCell ref="AA664:AA665"/>
    <mergeCell ref="AB664:AB665"/>
    <mergeCell ref="A662:A663"/>
    <mergeCell ref="E662:E663"/>
    <mergeCell ref="H662:H663"/>
    <mergeCell ref="I662:I663"/>
    <mergeCell ref="J662:J663"/>
    <mergeCell ref="K662:K663"/>
    <mergeCell ref="L662:L663"/>
    <mergeCell ref="M662:M663"/>
    <mergeCell ref="N662:N663"/>
    <mergeCell ref="O660:O661"/>
    <mergeCell ref="O662:O663"/>
    <mergeCell ref="X670:X671"/>
    <mergeCell ref="Y670:Y671"/>
    <mergeCell ref="Z670:Z671"/>
    <mergeCell ref="AA670:AA671"/>
    <mergeCell ref="AB670:AB671"/>
    <mergeCell ref="A660:A661"/>
    <mergeCell ref="E660:E661"/>
    <mergeCell ref="H660:H661"/>
    <mergeCell ref="I660:I661"/>
    <mergeCell ref="J660:J661"/>
    <mergeCell ref="K660:K661"/>
    <mergeCell ref="L660:L661"/>
    <mergeCell ref="M660:M661"/>
    <mergeCell ref="N660:N661"/>
    <mergeCell ref="X660:X661"/>
    <mergeCell ref="Y660:Y661"/>
    <mergeCell ref="Z660:Z661"/>
    <mergeCell ref="AA660:AA661"/>
    <mergeCell ref="AB660:AB661"/>
    <mergeCell ref="A670:A671"/>
    <mergeCell ref="E670:E671"/>
    <mergeCell ref="H670:H671"/>
    <mergeCell ref="I670:I671"/>
    <mergeCell ref="J670:J671"/>
    <mergeCell ref="K670:K671"/>
    <mergeCell ref="L670:L671"/>
    <mergeCell ref="M670:M671"/>
    <mergeCell ref="N670:N671"/>
    <mergeCell ref="O668:O669"/>
    <mergeCell ref="O670:O671"/>
    <mergeCell ref="X666:X667"/>
    <mergeCell ref="Y666:Y667"/>
    <mergeCell ref="X658:X659"/>
    <mergeCell ref="Y658:Y659"/>
    <mergeCell ref="Z658:Z659"/>
    <mergeCell ref="AA658:AA659"/>
    <mergeCell ref="AB658:AB659"/>
    <mergeCell ref="A648:A649"/>
    <mergeCell ref="E648:E649"/>
    <mergeCell ref="H648:H649"/>
    <mergeCell ref="I648:I649"/>
    <mergeCell ref="J648:J649"/>
    <mergeCell ref="K648:K649"/>
    <mergeCell ref="L648:L649"/>
    <mergeCell ref="M648:M649"/>
    <mergeCell ref="N648:N649"/>
    <mergeCell ref="X648:X649"/>
    <mergeCell ref="Y648:Y649"/>
    <mergeCell ref="Z648:Z649"/>
    <mergeCell ref="AA648:AA649"/>
    <mergeCell ref="AB648:AB649"/>
    <mergeCell ref="A658:A659"/>
    <mergeCell ref="E658:E659"/>
    <mergeCell ref="H658:H659"/>
    <mergeCell ref="I658:I659"/>
    <mergeCell ref="J658:J659"/>
    <mergeCell ref="K658:K659"/>
    <mergeCell ref="L658:L659"/>
    <mergeCell ref="M658:M659"/>
    <mergeCell ref="N658:N659"/>
    <mergeCell ref="O656:O657"/>
    <mergeCell ref="O658:O659"/>
    <mergeCell ref="X654:X655"/>
    <mergeCell ref="Y654:Y655"/>
    <mergeCell ref="Z654:Z655"/>
    <mergeCell ref="AA654:AA655"/>
    <mergeCell ref="AB654:AB655"/>
    <mergeCell ref="A656:A657"/>
    <mergeCell ref="E656:E657"/>
    <mergeCell ref="H656:H657"/>
    <mergeCell ref="I656:I657"/>
    <mergeCell ref="J656:J657"/>
    <mergeCell ref="K656:K657"/>
    <mergeCell ref="L656:L657"/>
    <mergeCell ref="M656:M657"/>
    <mergeCell ref="N656:N657"/>
    <mergeCell ref="X656:X657"/>
    <mergeCell ref="Y656:Y657"/>
    <mergeCell ref="Z656:Z657"/>
    <mergeCell ref="AA656:AA657"/>
    <mergeCell ref="AB656:AB657"/>
    <mergeCell ref="A654:A655"/>
    <mergeCell ref="E654:E655"/>
    <mergeCell ref="H654:H655"/>
    <mergeCell ref="I654:I655"/>
    <mergeCell ref="J654:J655"/>
    <mergeCell ref="K654:K655"/>
    <mergeCell ref="L654:L655"/>
    <mergeCell ref="M654:M655"/>
    <mergeCell ref="N654:N655"/>
    <mergeCell ref="Z642:Z643"/>
    <mergeCell ref="AA642:AA643"/>
    <mergeCell ref="AB642:AB643"/>
    <mergeCell ref="A644:A645"/>
    <mergeCell ref="E644:E645"/>
    <mergeCell ref="H644:H645"/>
    <mergeCell ref="I644:I645"/>
    <mergeCell ref="J644:J645"/>
    <mergeCell ref="K644:K645"/>
    <mergeCell ref="L644:L645"/>
    <mergeCell ref="M644:M645"/>
    <mergeCell ref="N644:N645"/>
    <mergeCell ref="X644:X645"/>
    <mergeCell ref="Y644:Y645"/>
    <mergeCell ref="Z644:Z645"/>
    <mergeCell ref="AA644:AA645"/>
    <mergeCell ref="AB644:AB645"/>
    <mergeCell ref="A642:A643"/>
    <mergeCell ref="E642:E643"/>
    <mergeCell ref="H642:H643"/>
    <mergeCell ref="I642:I643"/>
    <mergeCell ref="J642:J643"/>
    <mergeCell ref="K642:K643"/>
    <mergeCell ref="L642:L643"/>
    <mergeCell ref="M642:M643"/>
    <mergeCell ref="N642:N643"/>
    <mergeCell ref="O652:O653"/>
    <mergeCell ref="O654:O655"/>
    <mergeCell ref="X650:X651"/>
    <mergeCell ref="Y650:Y651"/>
    <mergeCell ref="Z650:Z651"/>
    <mergeCell ref="AA650:AA651"/>
    <mergeCell ref="AB650:AB651"/>
    <mergeCell ref="A652:A653"/>
    <mergeCell ref="E652:E653"/>
    <mergeCell ref="H652:H653"/>
    <mergeCell ref="I652:I653"/>
    <mergeCell ref="J652:J653"/>
    <mergeCell ref="K652:K653"/>
    <mergeCell ref="L652:L653"/>
    <mergeCell ref="M652:M653"/>
    <mergeCell ref="N652:N653"/>
    <mergeCell ref="X652:X653"/>
    <mergeCell ref="Y652:Y653"/>
    <mergeCell ref="Z652:Z653"/>
    <mergeCell ref="AA652:AA653"/>
    <mergeCell ref="AB652:AB653"/>
    <mergeCell ref="A650:A651"/>
    <mergeCell ref="E650:E651"/>
    <mergeCell ref="H650:H651"/>
    <mergeCell ref="I650:I651"/>
    <mergeCell ref="J650:J651"/>
    <mergeCell ref="K650:K651"/>
    <mergeCell ref="L650:L651"/>
    <mergeCell ref="M650:M651"/>
    <mergeCell ref="N650:N651"/>
    <mergeCell ref="O648:O649"/>
    <mergeCell ref="O650:O651"/>
    <mergeCell ref="O640:O641"/>
    <mergeCell ref="O642:O643"/>
    <mergeCell ref="X638:X639"/>
    <mergeCell ref="Y638:Y639"/>
    <mergeCell ref="Z638:Z639"/>
    <mergeCell ref="AA638:AA639"/>
    <mergeCell ref="AB638:AB639"/>
    <mergeCell ref="A640:A641"/>
    <mergeCell ref="E640:E641"/>
    <mergeCell ref="H640:H641"/>
    <mergeCell ref="I640:I641"/>
    <mergeCell ref="J640:J641"/>
    <mergeCell ref="K640:K641"/>
    <mergeCell ref="L640:L641"/>
    <mergeCell ref="M640:M641"/>
    <mergeCell ref="N640:N641"/>
    <mergeCell ref="X640:X641"/>
    <mergeCell ref="Y640:Y641"/>
    <mergeCell ref="Z640:Z641"/>
    <mergeCell ref="AA640:AA641"/>
    <mergeCell ref="AB640:AB641"/>
    <mergeCell ref="A638:A639"/>
    <mergeCell ref="E638:E639"/>
    <mergeCell ref="H638:H639"/>
    <mergeCell ref="I638:I639"/>
    <mergeCell ref="J638:J639"/>
    <mergeCell ref="K638:K639"/>
    <mergeCell ref="L638:L639"/>
    <mergeCell ref="M638:M639"/>
    <mergeCell ref="N638:N639"/>
    <mergeCell ref="O636:O637"/>
    <mergeCell ref="O638:O639"/>
    <mergeCell ref="X646:X647"/>
    <mergeCell ref="Y646:Y647"/>
    <mergeCell ref="Z646:Z647"/>
    <mergeCell ref="AA646:AA647"/>
    <mergeCell ref="AB646:AB647"/>
    <mergeCell ref="A636:A637"/>
    <mergeCell ref="E636:E637"/>
    <mergeCell ref="H636:H637"/>
    <mergeCell ref="I636:I637"/>
    <mergeCell ref="J636:J637"/>
    <mergeCell ref="K636:K637"/>
    <mergeCell ref="L636:L637"/>
    <mergeCell ref="M636:M637"/>
    <mergeCell ref="N636:N637"/>
    <mergeCell ref="X636:X637"/>
    <mergeCell ref="Y636:Y637"/>
    <mergeCell ref="Z636:Z637"/>
    <mergeCell ref="AA636:AA637"/>
    <mergeCell ref="AB636:AB637"/>
    <mergeCell ref="A646:A647"/>
    <mergeCell ref="E646:E647"/>
    <mergeCell ref="H646:H647"/>
    <mergeCell ref="I646:I647"/>
    <mergeCell ref="J646:J647"/>
    <mergeCell ref="K646:K647"/>
    <mergeCell ref="L646:L647"/>
    <mergeCell ref="M646:M647"/>
    <mergeCell ref="N646:N647"/>
    <mergeCell ref="O644:O645"/>
    <mergeCell ref="O646:O647"/>
    <mergeCell ref="X642:X643"/>
    <mergeCell ref="Y642:Y643"/>
    <mergeCell ref="X634:X635"/>
    <mergeCell ref="Y634:Y635"/>
    <mergeCell ref="Z634:Z635"/>
    <mergeCell ref="AA634:AA635"/>
    <mergeCell ref="AB634:AB635"/>
    <mergeCell ref="A624:A625"/>
    <mergeCell ref="E624:E625"/>
    <mergeCell ref="H624:H625"/>
    <mergeCell ref="I624:I625"/>
    <mergeCell ref="J624:J625"/>
    <mergeCell ref="K624:K625"/>
    <mergeCell ref="L624:L625"/>
    <mergeCell ref="M624:M625"/>
    <mergeCell ref="N624:N625"/>
    <mergeCell ref="X624:X625"/>
    <mergeCell ref="Y624:Y625"/>
    <mergeCell ref="Z624:Z625"/>
    <mergeCell ref="AA624:AA625"/>
    <mergeCell ref="AB624:AB625"/>
    <mergeCell ref="A634:A635"/>
    <mergeCell ref="E634:E635"/>
    <mergeCell ref="H634:H635"/>
    <mergeCell ref="I634:I635"/>
    <mergeCell ref="J634:J635"/>
    <mergeCell ref="K634:K635"/>
    <mergeCell ref="L634:L635"/>
    <mergeCell ref="M634:M635"/>
    <mergeCell ref="N634:N635"/>
    <mergeCell ref="O632:O633"/>
    <mergeCell ref="O634:O635"/>
    <mergeCell ref="X630:X631"/>
    <mergeCell ref="Y630:Y631"/>
    <mergeCell ref="Z630:Z631"/>
    <mergeCell ref="AA630:AA631"/>
    <mergeCell ref="AB630:AB631"/>
    <mergeCell ref="A632:A633"/>
    <mergeCell ref="E632:E633"/>
    <mergeCell ref="H632:H633"/>
    <mergeCell ref="I632:I633"/>
    <mergeCell ref="J632:J633"/>
    <mergeCell ref="K632:K633"/>
    <mergeCell ref="L632:L633"/>
    <mergeCell ref="M632:M633"/>
    <mergeCell ref="N632:N633"/>
    <mergeCell ref="X632:X633"/>
    <mergeCell ref="Y632:Y633"/>
    <mergeCell ref="Z632:Z633"/>
    <mergeCell ref="AA632:AA633"/>
    <mergeCell ref="AB632:AB633"/>
    <mergeCell ref="A630:A631"/>
    <mergeCell ref="E630:E631"/>
    <mergeCell ref="H630:H631"/>
    <mergeCell ref="I630:I631"/>
    <mergeCell ref="J630:J631"/>
    <mergeCell ref="K630:K631"/>
    <mergeCell ref="L630:L631"/>
    <mergeCell ref="M630:M631"/>
    <mergeCell ref="N630:N631"/>
    <mergeCell ref="Z618:Z619"/>
    <mergeCell ref="AA618:AA619"/>
    <mergeCell ref="AB618:AB619"/>
    <mergeCell ref="A620:A621"/>
    <mergeCell ref="E620:E621"/>
    <mergeCell ref="H620:H621"/>
    <mergeCell ref="I620:I621"/>
    <mergeCell ref="J620:J621"/>
    <mergeCell ref="K620:K621"/>
    <mergeCell ref="L620:L621"/>
    <mergeCell ref="M620:M621"/>
    <mergeCell ref="N620:N621"/>
    <mergeCell ref="X620:X621"/>
    <mergeCell ref="Y620:Y621"/>
    <mergeCell ref="Z620:Z621"/>
    <mergeCell ref="AA620:AA621"/>
    <mergeCell ref="AB620:AB621"/>
    <mergeCell ref="A618:A619"/>
    <mergeCell ref="E618:E619"/>
    <mergeCell ref="H618:H619"/>
    <mergeCell ref="I618:I619"/>
    <mergeCell ref="J618:J619"/>
    <mergeCell ref="K618:K619"/>
    <mergeCell ref="L618:L619"/>
    <mergeCell ref="M618:M619"/>
    <mergeCell ref="N618:N619"/>
    <mergeCell ref="O628:O629"/>
    <mergeCell ref="O630:O631"/>
    <mergeCell ref="X626:X627"/>
    <mergeCell ref="Y626:Y627"/>
    <mergeCell ref="Z626:Z627"/>
    <mergeCell ref="AA626:AA627"/>
    <mergeCell ref="AB626:AB627"/>
    <mergeCell ref="A628:A629"/>
    <mergeCell ref="E628:E629"/>
    <mergeCell ref="H628:H629"/>
    <mergeCell ref="I628:I629"/>
    <mergeCell ref="J628:J629"/>
    <mergeCell ref="K628:K629"/>
    <mergeCell ref="L628:L629"/>
    <mergeCell ref="M628:M629"/>
    <mergeCell ref="N628:N629"/>
    <mergeCell ref="X628:X629"/>
    <mergeCell ref="Y628:Y629"/>
    <mergeCell ref="Z628:Z629"/>
    <mergeCell ref="AA628:AA629"/>
    <mergeCell ref="AB628:AB629"/>
    <mergeCell ref="A626:A627"/>
    <mergeCell ref="E626:E627"/>
    <mergeCell ref="H626:H627"/>
    <mergeCell ref="I626:I627"/>
    <mergeCell ref="J626:J627"/>
    <mergeCell ref="K626:K627"/>
    <mergeCell ref="L626:L627"/>
    <mergeCell ref="M626:M627"/>
    <mergeCell ref="N626:N627"/>
    <mergeCell ref="O624:O625"/>
    <mergeCell ref="O626:O627"/>
    <mergeCell ref="O616:O617"/>
    <mergeCell ref="O618:O619"/>
    <mergeCell ref="X614:X615"/>
    <mergeCell ref="Y614:Y615"/>
    <mergeCell ref="Z614:Z615"/>
    <mergeCell ref="AA614:AA615"/>
    <mergeCell ref="AB614:AB615"/>
    <mergeCell ref="A616:A617"/>
    <mergeCell ref="E616:E617"/>
    <mergeCell ref="H616:H617"/>
    <mergeCell ref="I616:I617"/>
    <mergeCell ref="J616:J617"/>
    <mergeCell ref="K616:K617"/>
    <mergeCell ref="L616:L617"/>
    <mergeCell ref="M616:M617"/>
    <mergeCell ref="N616:N617"/>
    <mergeCell ref="X616:X617"/>
    <mergeCell ref="Y616:Y617"/>
    <mergeCell ref="Z616:Z617"/>
    <mergeCell ref="AA616:AA617"/>
    <mergeCell ref="AB616:AB617"/>
    <mergeCell ref="A614:A615"/>
    <mergeCell ref="E614:E615"/>
    <mergeCell ref="H614:H615"/>
    <mergeCell ref="I614:I615"/>
    <mergeCell ref="J614:J615"/>
    <mergeCell ref="K614:K615"/>
    <mergeCell ref="L614:L615"/>
    <mergeCell ref="M614:M615"/>
    <mergeCell ref="N614:N615"/>
    <mergeCell ref="O612:O613"/>
    <mergeCell ref="O614:O615"/>
    <mergeCell ref="X622:X623"/>
    <mergeCell ref="Y622:Y623"/>
    <mergeCell ref="Z622:Z623"/>
    <mergeCell ref="AA622:AA623"/>
    <mergeCell ref="AB622:AB623"/>
    <mergeCell ref="A612:A613"/>
    <mergeCell ref="E612:E613"/>
    <mergeCell ref="H612:H613"/>
    <mergeCell ref="I612:I613"/>
    <mergeCell ref="J612:J613"/>
    <mergeCell ref="K612:K613"/>
    <mergeCell ref="L612:L613"/>
    <mergeCell ref="M612:M613"/>
    <mergeCell ref="N612:N613"/>
    <mergeCell ref="X612:X613"/>
    <mergeCell ref="Y612:Y613"/>
    <mergeCell ref="Z612:Z613"/>
    <mergeCell ref="AA612:AA613"/>
    <mergeCell ref="AB612:AB613"/>
    <mergeCell ref="A622:A623"/>
    <mergeCell ref="E622:E623"/>
    <mergeCell ref="H622:H623"/>
    <mergeCell ref="I622:I623"/>
    <mergeCell ref="J622:J623"/>
    <mergeCell ref="K622:K623"/>
    <mergeCell ref="L622:L623"/>
    <mergeCell ref="M622:M623"/>
    <mergeCell ref="N622:N623"/>
    <mergeCell ref="O620:O621"/>
    <mergeCell ref="O622:O623"/>
    <mergeCell ref="X618:X619"/>
    <mergeCell ref="Y618:Y619"/>
    <mergeCell ref="X610:X611"/>
    <mergeCell ref="Y610:Y611"/>
    <mergeCell ref="Z610:Z611"/>
    <mergeCell ref="AA610:AA611"/>
    <mergeCell ref="AB610:AB611"/>
    <mergeCell ref="A600:A601"/>
    <mergeCell ref="E600:E601"/>
    <mergeCell ref="H600:H601"/>
    <mergeCell ref="I600:I601"/>
    <mergeCell ref="J600:J601"/>
    <mergeCell ref="K600:K601"/>
    <mergeCell ref="L600:L601"/>
    <mergeCell ref="M600:M601"/>
    <mergeCell ref="N600:N601"/>
    <mergeCell ref="X600:X601"/>
    <mergeCell ref="Y600:Y601"/>
    <mergeCell ref="Z600:Z601"/>
    <mergeCell ref="AA600:AA601"/>
    <mergeCell ref="AB600:AB601"/>
    <mergeCell ref="A610:A611"/>
    <mergeCell ref="E610:E611"/>
    <mergeCell ref="H610:H611"/>
    <mergeCell ref="I610:I611"/>
    <mergeCell ref="J610:J611"/>
    <mergeCell ref="K610:K611"/>
    <mergeCell ref="L610:L611"/>
    <mergeCell ref="M610:M611"/>
    <mergeCell ref="N610:N611"/>
    <mergeCell ref="O608:O609"/>
    <mergeCell ref="O610:O611"/>
    <mergeCell ref="X606:X607"/>
    <mergeCell ref="Y606:Y607"/>
    <mergeCell ref="Z606:Z607"/>
    <mergeCell ref="AA606:AA607"/>
    <mergeCell ref="AB606:AB607"/>
    <mergeCell ref="A608:A609"/>
    <mergeCell ref="E608:E609"/>
    <mergeCell ref="H608:H609"/>
    <mergeCell ref="I608:I609"/>
    <mergeCell ref="J608:J609"/>
    <mergeCell ref="K608:K609"/>
    <mergeCell ref="L608:L609"/>
    <mergeCell ref="M608:M609"/>
    <mergeCell ref="N608:N609"/>
    <mergeCell ref="X608:X609"/>
    <mergeCell ref="Y608:Y609"/>
    <mergeCell ref="Z608:Z609"/>
    <mergeCell ref="AA608:AA609"/>
    <mergeCell ref="AB608:AB609"/>
    <mergeCell ref="A606:A607"/>
    <mergeCell ref="E606:E607"/>
    <mergeCell ref="H606:H607"/>
    <mergeCell ref="I606:I607"/>
    <mergeCell ref="J606:J607"/>
    <mergeCell ref="K606:K607"/>
    <mergeCell ref="L606:L607"/>
    <mergeCell ref="M606:M607"/>
    <mergeCell ref="N606:N607"/>
    <mergeCell ref="Z594:Z595"/>
    <mergeCell ref="AA594:AA595"/>
    <mergeCell ref="AB594:AB595"/>
    <mergeCell ref="A596:A597"/>
    <mergeCell ref="E596:E597"/>
    <mergeCell ref="H596:H597"/>
    <mergeCell ref="I596:I597"/>
    <mergeCell ref="J596:J597"/>
    <mergeCell ref="K596:K597"/>
    <mergeCell ref="L596:L597"/>
    <mergeCell ref="M596:M597"/>
    <mergeCell ref="N596:N597"/>
    <mergeCell ref="X596:X597"/>
    <mergeCell ref="Y596:Y597"/>
    <mergeCell ref="Z596:Z597"/>
    <mergeCell ref="AA596:AA597"/>
    <mergeCell ref="AB596:AB597"/>
    <mergeCell ref="A594:A595"/>
    <mergeCell ref="E594:E595"/>
    <mergeCell ref="H594:H595"/>
    <mergeCell ref="I594:I595"/>
    <mergeCell ref="J594:J595"/>
    <mergeCell ref="K594:K595"/>
    <mergeCell ref="L594:L595"/>
    <mergeCell ref="M594:M595"/>
    <mergeCell ref="N594:N595"/>
    <mergeCell ref="O604:O605"/>
    <mergeCell ref="O606:O607"/>
    <mergeCell ref="X602:X603"/>
    <mergeCell ref="Y602:Y603"/>
    <mergeCell ref="Z602:Z603"/>
    <mergeCell ref="AA602:AA603"/>
    <mergeCell ref="AB602:AB603"/>
    <mergeCell ref="A604:A605"/>
    <mergeCell ref="E604:E605"/>
    <mergeCell ref="H604:H605"/>
    <mergeCell ref="I604:I605"/>
    <mergeCell ref="J604:J605"/>
    <mergeCell ref="K604:K605"/>
    <mergeCell ref="L604:L605"/>
    <mergeCell ref="M604:M605"/>
    <mergeCell ref="N604:N605"/>
    <mergeCell ref="X604:X605"/>
    <mergeCell ref="Y604:Y605"/>
    <mergeCell ref="Z604:Z605"/>
    <mergeCell ref="AA604:AA605"/>
    <mergeCell ref="AB604:AB605"/>
    <mergeCell ref="A602:A603"/>
    <mergeCell ref="E602:E603"/>
    <mergeCell ref="H602:H603"/>
    <mergeCell ref="I602:I603"/>
    <mergeCell ref="J602:J603"/>
    <mergeCell ref="K602:K603"/>
    <mergeCell ref="L602:L603"/>
    <mergeCell ref="M602:M603"/>
    <mergeCell ref="N602:N603"/>
    <mergeCell ref="O600:O601"/>
    <mergeCell ref="O602:O603"/>
    <mergeCell ref="O592:O593"/>
    <mergeCell ref="O594:O595"/>
    <mergeCell ref="X590:X591"/>
    <mergeCell ref="Y590:Y591"/>
    <mergeCell ref="Z590:Z591"/>
    <mergeCell ref="AA590:AA591"/>
    <mergeCell ref="AB590:AB591"/>
    <mergeCell ref="A592:A593"/>
    <mergeCell ref="E592:E593"/>
    <mergeCell ref="H592:H593"/>
    <mergeCell ref="I592:I593"/>
    <mergeCell ref="J592:J593"/>
    <mergeCell ref="K592:K593"/>
    <mergeCell ref="L592:L593"/>
    <mergeCell ref="M592:M593"/>
    <mergeCell ref="N592:N593"/>
    <mergeCell ref="X592:X593"/>
    <mergeCell ref="Y592:Y593"/>
    <mergeCell ref="Z592:Z593"/>
    <mergeCell ref="AA592:AA593"/>
    <mergeCell ref="AB592:AB593"/>
    <mergeCell ref="A590:A591"/>
    <mergeCell ref="E590:E591"/>
    <mergeCell ref="H590:H591"/>
    <mergeCell ref="I590:I591"/>
    <mergeCell ref="J590:J591"/>
    <mergeCell ref="K590:K591"/>
    <mergeCell ref="L590:L591"/>
    <mergeCell ref="M590:M591"/>
    <mergeCell ref="N590:N591"/>
    <mergeCell ref="O588:O589"/>
    <mergeCell ref="O590:O591"/>
    <mergeCell ref="X598:X599"/>
    <mergeCell ref="Y598:Y599"/>
    <mergeCell ref="Z598:Z599"/>
    <mergeCell ref="AA598:AA599"/>
    <mergeCell ref="AB598:AB599"/>
    <mergeCell ref="A588:A589"/>
    <mergeCell ref="E588:E589"/>
    <mergeCell ref="H588:H589"/>
    <mergeCell ref="I588:I589"/>
    <mergeCell ref="J588:J589"/>
    <mergeCell ref="K588:K589"/>
    <mergeCell ref="L588:L589"/>
    <mergeCell ref="M588:M589"/>
    <mergeCell ref="N588:N589"/>
    <mergeCell ref="X588:X589"/>
    <mergeCell ref="Y588:Y589"/>
    <mergeCell ref="Z588:Z589"/>
    <mergeCell ref="AA588:AA589"/>
    <mergeCell ref="AB588:AB589"/>
    <mergeCell ref="A598:A599"/>
    <mergeCell ref="E598:E599"/>
    <mergeCell ref="H598:H599"/>
    <mergeCell ref="I598:I599"/>
    <mergeCell ref="J598:J599"/>
    <mergeCell ref="K598:K599"/>
    <mergeCell ref="L598:L599"/>
    <mergeCell ref="M598:M599"/>
    <mergeCell ref="N598:N599"/>
    <mergeCell ref="O596:O597"/>
    <mergeCell ref="O598:O599"/>
    <mergeCell ref="X594:X595"/>
    <mergeCell ref="Y594:Y595"/>
    <mergeCell ref="X586:X587"/>
    <mergeCell ref="Y586:Y587"/>
    <mergeCell ref="Z586:Z587"/>
    <mergeCell ref="AA586:AA587"/>
    <mergeCell ref="AB586:AB587"/>
    <mergeCell ref="A576:A577"/>
    <mergeCell ref="E576:E577"/>
    <mergeCell ref="H576:H577"/>
    <mergeCell ref="I576:I577"/>
    <mergeCell ref="J576:J577"/>
    <mergeCell ref="K576:K577"/>
    <mergeCell ref="L576:L577"/>
    <mergeCell ref="M576:M577"/>
    <mergeCell ref="N576:N577"/>
    <mergeCell ref="X576:X577"/>
    <mergeCell ref="Y576:Y577"/>
    <mergeCell ref="Z576:Z577"/>
    <mergeCell ref="AA576:AA577"/>
    <mergeCell ref="AB576:AB577"/>
    <mergeCell ref="A586:A587"/>
    <mergeCell ref="E586:E587"/>
    <mergeCell ref="H586:H587"/>
    <mergeCell ref="I586:I587"/>
    <mergeCell ref="J586:J587"/>
    <mergeCell ref="K586:K587"/>
    <mergeCell ref="L586:L587"/>
    <mergeCell ref="M586:M587"/>
    <mergeCell ref="N586:N587"/>
    <mergeCell ref="O584:O585"/>
    <mergeCell ref="O586:O587"/>
    <mergeCell ref="X582:X583"/>
    <mergeCell ref="Y582:Y583"/>
    <mergeCell ref="Z582:Z583"/>
    <mergeCell ref="AA582:AA583"/>
    <mergeCell ref="AB582:AB583"/>
    <mergeCell ref="A584:A585"/>
    <mergeCell ref="E584:E585"/>
    <mergeCell ref="H584:H585"/>
    <mergeCell ref="I584:I585"/>
    <mergeCell ref="J584:J585"/>
    <mergeCell ref="K584:K585"/>
    <mergeCell ref="L584:L585"/>
    <mergeCell ref="M584:M585"/>
    <mergeCell ref="N584:N585"/>
    <mergeCell ref="X584:X585"/>
    <mergeCell ref="Y584:Y585"/>
    <mergeCell ref="Z584:Z585"/>
    <mergeCell ref="AA584:AA585"/>
    <mergeCell ref="AB584:AB585"/>
    <mergeCell ref="A582:A583"/>
    <mergeCell ref="E582:E583"/>
    <mergeCell ref="H582:H583"/>
    <mergeCell ref="I582:I583"/>
    <mergeCell ref="J582:J583"/>
    <mergeCell ref="K582:K583"/>
    <mergeCell ref="L582:L583"/>
    <mergeCell ref="M582:M583"/>
    <mergeCell ref="N582:N583"/>
    <mergeCell ref="Z570:Z571"/>
    <mergeCell ref="AA570:AA571"/>
    <mergeCell ref="AB570:AB571"/>
    <mergeCell ref="A572:A573"/>
    <mergeCell ref="E572:E573"/>
    <mergeCell ref="H572:H573"/>
    <mergeCell ref="I572:I573"/>
    <mergeCell ref="J572:J573"/>
    <mergeCell ref="K572:K573"/>
    <mergeCell ref="L572:L573"/>
    <mergeCell ref="M572:M573"/>
    <mergeCell ref="N572:N573"/>
    <mergeCell ref="X572:X573"/>
    <mergeCell ref="Y572:Y573"/>
    <mergeCell ref="Z572:Z573"/>
    <mergeCell ref="AA572:AA573"/>
    <mergeCell ref="AB572:AB573"/>
    <mergeCell ref="A570:A571"/>
    <mergeCell ref="E570:E571"/>
    <mergeCell ref="H570:H571"/>
    <mergeCell ref="I570:I571"/>
    <mergeCell ref="J570:J571"/>
    <mergeCell ref="K570:K571"/>
    <mergeCell ref="L570:L571"/>
    <mergeCell ref="M570:M571"/>
    <mergeCell ref="N570:N571"/>
    <mergeCell ref="O580:O581"/>
    <mergeCell ref="O582:O583"/>
    <mergeCell ref="X578:X579"/>
    <mergeCell ref="Y578:Y579"/>
    <mergeCell ref="Z578:Z579"/>
    <mergeCell ref="AA578:AA579"/>
    <mergeCell ref="AB578:AB579"/>
    <mergeCell ref="A580:A581"/>
    <mergeCell ref="E580:E581"/>
    <mergeCell ref="H580:H581"/>
    <mergeCell ref="I580:I581"/>
    <mergeCell ref="J580:J581"/>
    <mergeCell ref="K580:K581"/>
    <mergeCell ref="L580:L581"/>
    <mergeCell ref="M580:M581"/>
    <mergeCell ref="N580:N581"/>
    <mergeCell ref="X580:X581"/>
    <mergeCell ref="Y580:Y581"/>
    <mergeCell ref="Z580:Z581"/>
    <mergeCell ref="AA580:AA581"/>
    <mergeCell ref="AB580:AB581"/>
    <mergeCell ref="A578:A579"/>
    <mergeCell ref="E578:E579"/>
    <mergeCell ref="H578:H579"/>
    <mergeCell ref="I578:I579"/>
    <mergeCell ref="J578:J579"/>
    <mergeCell ref="K578:K579"/>
    <mergeCell ref="L578:L579"/>
    <mergeCell ref="M578:M579"/>
    <mergeCell ref="N578:N579"/>
    <mergeCell ref="O576:O577"/>
    <mergeCell ref="O578:O579"/>
    <mergeCell ref="O568:O569"/>
    <mergeCell ref="O570:O571"/>
    <mergeCell ref="X566:X567"/>
    <mergeCell ref="Y566:Y567"/>
    <mergeCell ref="Z566:Z567"/>
    <mergeCell ref="AA566:AA567"/>
    <mergeCell ref="AB566:AB567"/>
    <mergeCell ref="A568:A569"/>
    <mergeCell ref="E568:E569"/>
    <mergeCell ref="H568:H569"/>
    <mergeCell ref="I568:I569"/>
    <mergeCell ref="J568:J569"/>
    <mergeCell ref="K568:K569"/>
    <mergeCell ref="L568:L569"/>
    <mergeCell ref="M568:M569"/>
    <mergeCell ref="N568:N569"/>
    <mergeCell ref="X568:X569"/>
    <mergeCell ref="Y568:Y569"/>
    <mergeCell ref="Z568:Z569"/>
    <mergeCell ref="AA568:AA569"/>
    <mergeCell ref="AB568:AB569"/>
    <mergeCell ref="A566:A567"/>
    <mergeCell ref="E566:E567"/>
    <mergeCell ref="H566:H567"/>
    <mergeCell ref="I566:I567"/>
    <mergeCell ref="J566:J567"/>
    <mergeCell ref="K566:K567"/>
    <mergeCell ref="L566:L567"/>
    <mergeCell ref="M566:M567"/>
    <mergeCell ref="N566:N567"/>
    <mergeCell ref="O564:O565"/>
    <mergeCell ref="O566:O567"/>
    <mergeCell ref="X574:X575"/>
    <mergeCell ref="Y574:Y575"/>
    <mergeCell ref="Z574:Z575"/>
    <mergeCell ref="AA574:AA575"/>
    <mergeCell ref="AB574:AB575"/>
    <mergeCell ref="A564:A565"/>
    <mergeCell ref="E564:E565"/>
    <mergeCell ref="H564:H565"/>
    <mergeCell ref="I564:I565"/>
    <mergeCell ref="J564:J565"/>
    <mergeCell ref="K564:K565"/>
    <mergeCell ref="L564:L565"/>
    <mergeCell ref="M564:M565"/>
    <mergeCell ref="N564:N565"/>
    <mergeCell ref="X564:X565"/>
    <mergeCell ref="Y564:Y565"/>
    <mergeCell ref="Z564:Z565"/>
    <mergeCell ref="AA564:AA565"/>
    <mergeCell ref="AB564:AB565"/>
    <mergeCell ref="A574:A575"/>
    <mergeCell ref="E574:E575"/>
    <mergeCell ref="H574:H575"/>
    <mergeCell ref="I574:I575"/>
    <mergeCell ref="J574:J575"/>
    <mergeCell ref="K574:K575"/>
    <mergeCell ref="L574:L575"/>
    <mergeCell ref="M574:M575"/>
    <mergeCell ref="N574:N575"/>
    <mergeCell ref="O572:O573"/>
    <mergeCell ref="O574:O575"/>
    <mergeCell ref="X570:X571"/>
    <mergeCell ref="Y570:Y571"/>
    <mergeCell ref="X562:X563"/>
    <mergeCell ref="Y562:Y563"/>
    <mergeCell ref="Z562:Z563"/>
    <mergeCell ref="AA562:AA563"/>
    <mergeCell ref="AB562:AB563"/>
    <mergeCell ref="A552:A553"/>
    <mergeCell ref="E552:E553"/>
    <mergeCell ref="H552:H553"/>
    <mergeCell ref="I552:I553"/>
    <mergeCell ref="J552:J553"/>
    <mergeCell ref="K552:K553"/>
    <mergeCell ref="L552:L553"/>
    <mergeCell ref="M552:M553"/>
    <mergeCell ref="N552:N553"/>
    <mergeCell ref="X552:X553"/>
    <mergeCell ref="Y552:Y553"/>
    <mergeCell ref="Z552:Z553"/>
    <mergeCell ref="AA552:AA553"/>
    <mergeCell ref="AB552:AB553"/>
    <mergeCell ref="A562:A563"/>
    <mergeCell ref="E562:E563"/>
    <mergeCell ref="H562:H563"/>
    <mergeCell ref="I562:I563"/>
    <mergeCell ref="J562:J563"/>
    <mergeCell ref="K562:K563"/>
    <mergeCell ref="L562:L563"/>
    <mergeCell ref="M562:M563"/>
    <mergeCell ref="N562:N563"/>
    <mergeCell ref="O560:O561"/>
    <mergeCell ref="O562:O563"/>
    <mergeCell ref="X558:X559"/>
    <mergeCell ref="Y558:Y559"/>
    <mergeCell ref="Z558:Z559"/>
    <mergeCell ref="AA558:AA559"/>
    <mergeCell ref="AB558:AB559"/>
    <mergeCell ref="A560:A561"/>
    <mergeCell ref="E560:E561"/>
    <mergeCell ref="H560:H561"/>
    <mergeCell ref="I560:I561"/>
    <mergeCell ref="J560:J561"/>
    <mergeCell ref="K560:K561"/>
    <mergeCell ref="L560:L561"/>
    <mergeCell ref="M560:M561"/>
    <mergeCell ref="N560:N561"/>
    <mergeCell ref="X560:X561"/>
    <mergeCell ref="Y560:Y561"/>
    <mergeCell ref="Z560:Z561"/>
    <mergeCell ref="AA560:AA561"/>
    <mergeCell ref="AB560:AB561"/>
    <mergeCell ref="A558:A559"/>
    <mergeCell ref="E558:E559"/>
    <mergeCell ref="H558:H559"/>
    <mergeCell ref="I558:I559"/>
    <mergeCell ref="J558:J559"/>
    <mergeCell ref="K558:K559"/>
    <mergeCell ref="L558:L559"/>
    <mergeCell ref="M558:M559"/>
    <mergeCell ref="N558:N559"/>
    <mergeCell ref="Z546:Z547"/>
    <mergeCell ref="AA546:AA547"/>
    <mergeCell ref="AB546:AB547"/>
    <mergeCell ref="A548:A549"/>
    <mergeCell ref="E548:E549"/>
    <mergeCell ref="H548:H549"/>
    <mergeCell ref="I548:I549"/>
    <mergeCell ref="J548:J549"/>
    <mergeCell ref="K548:K549"/>
    <mergeCell ref="L548:L549"/>
    <mergeCell ref="M548:M549"/>
    <mergeCell ref="N548:N549"/>
    <mergeCell ref="X548:X549"/>
    <mergeCell ref="Y548:Y549"/>
    <mergeCell ref="Z548:Z549"/>
    <mergeCell ref="AA548:AA549"/>
    <mergeCell ref="AB548:AB549"/>
    <mergeCell ref="A546:A547"/>
    <mergeCell ref="E546:E547"/>
    <mergeCell ref="H546:H547"/>
    <mergeCell ref="I546:I547"/>
    <mergeCell ref="J546:J547"/>
    <mergeCell ref="K546:K547"/>
    <mergeCell ref="L546:L547"/>
    <mergeCell ref="M546:M547"/>
    <mergeCell ref="N546:N547"/>
    <mergeCell ref="O556:O557"/>
    <mergeCell ref="O558:O559"/>
    <mergeCell ref="X554:X555"/>
    <mergeCell ref="Y554:Y555"/>
    <mergeCell ref="Z554:Z555"/>
    <mergeCell ref="AA554:AA555"/>
    <mergeCell ref="AB554:AB555"/>
    <mergeCell ref="A556:A557"/>
    <mergeCell ref="E556:E557"/>
    <mergeCell ref="H556:H557"/>
    <mergeCell ref="I556:I557"/>
    <mergeCell ref="J556:J557"/>
    <mergeCell ref="K556:K557"/>
    <mergeCell ref="L556:L557"/>
    <mergeCell ref="M556:M557"/>
    <mergeCell ref="N556:N557"/>
    <mergeCell ref="X556:X557"/>
    <mergeCell ref="Y556:Y557"/>
    <mergeCell ref="Z556:Z557"/>
    <mergeCell ref="AA556:AA557"/>
    <mergeCell ref="AB556:AB557"/>
    <mergeCell ref="A554:A555"/>
    <mergeCell ref="E554:E555"/>
    <mergeCell ref="H554:H555"/>
    <mergeCell ref="I554:I555"/>
    <mergeCell ref="J554:J555"/>
    <mergeCell ref="K554:K555"/>
    <mergeCell ref="L554:L555"/>
    <mergeCell ref="M554:M555"/>
    <mergeCell ref="N554:N555"/>
    <mergeCell ref="O552:O553"/>
    <mergeCell ref="O554:O555"/>
    <mergeCell ref="O544:O545"/>
    <mergeCell ref="O546:O547"/>
    <mergeCell ref="X542:X543"/>
    <mergeCell ref="Y542:Y543"/>
    <mergeCell ref="Z542:Z543"/>
    <mergeCell ref="AA542:AA543"/>
    <mergeCell ref="AB542:AB543"/>
    <mergeCell ref="A544:A545"/>
    <mergeCell ref="E544:E545"/>
    <mergeCell ref="H544:H545"/>
    <mergeCell ref="I544:I545"/>
    <mergeCell ref="J544:J545"/>
    <mergeCell ref="K544:K545"/>
    <mergeCell ref="L544:L545"/>
    <mergeCell ref="M544:M545"/>
    <mergeCell ref="N544:N545"/>
    <mergeCell ref="X544:X545"/>
    <mergeCell ref="Y544:Y545"/>
    <mergeCell ref="Z544:Z545"/>
    <mergeCell ref="AA544:AA545"/>
    <mergeCell ref="AB544:AB545"/>
    <mergeCell ref="A542:A543"/>
    <mergeCell ref="E542:E543"/>
    <mergeCell ref="H542:H543"/>
    <mergeCell ref="I542:I543"/>
    <mergeCell ref="J542:J543"/>
    <mergeCell ref="K542:K543"/>
    <mergeCell ref="L542:L543"/>
    <mergeCell ref="M542:M543"/>
    <mergeCell ref="N542:N543"/>
    <mergeCell ref="O540:O541"/>
    <mergeCell ref="O542:O543"/>
    <mergeCell ref="X550:X551"/>
    <mergeCell ref="Y550:Y551"/>
    <mergeCell ref="Z550:Z551"/>
    <mergeCell ref="AA550:AA551"/>
    <mergeCell ref="AB550:AB551"/>
    <mergeCell ref="A540:A541"/>
    <mergeCell ref="E540:E541"/>
    <mergeCell ref="H540:H541"/>
    <mergeCell ref="I540:I541"/>
    <mergeCell ref="J540:J541"/>
    <mergeCell ref="K540:K541"/>
    <mergeCell ref="L540:L541"/>
    <mergeCell ref="M540:M541"/>
    <mergeCell ref="N540:N541"/>
    <mergeCell ref="X540:X541"/>
    <mergeCell ref="Y540:Y541"/>
    <mergeCell ref="Z540:Z541"/>
    <mergeCell ref="AA540:AA541"/>
    <mergeCell ref="AB540:AB541"/>
    <mergeCell ref="A550:A551"/>
    <mergeCell ref="E550:E551"/>
    <mergeCell ref="H550:H551"/>
    <mergeCell ref="I550:I551"/>
    <mergeCell ref="J550:J551"/>
    <mergeCell ref="K550:K551"/>
    <mergeCell ref="L550:L551"/>
    <mergeCell ref="M550:M551"/>
    <mergeCell ref="N550:N551"/>
    <mergeCell ref="O548:O549"/>
    <mergeCell ref="O550:O551"/>
    <mergeCell ref="X546:X547"/>
    <mergeCell ref="Y546:Y547"/>
    <mergeCell ref="X538:X539"/>
    <mergeCell ref="Y538:Y539"/>
    <mergeCell ref="Z538:Z539"/>
    <mergeCell ref="AA538:AA539"/>
    <mergeCell ref="AB538:AB539"/>
    <mergeCell ref="A528:A529"/>
    <mergeCell ref="E528:E529"/>
    <mergeCell ref="H528:H529"/>
    <mergeCell ref="I528:I529"/>
    <mergeCell ref="J528:J529"/>
    <mergeCell ref="K528:K529"/>
    <mergeCell ref="L528:L529"/>
    <mergeCell ref="M528:M529"/>
    <mergeCell ref="N528:N529"/>
    <mergeCell ref="X528:X529"/>
    <mergeCell ref="Y528:Y529"/>
    <mergeCell ref="Z528:Z529"/>
    <mergeCell ref="AA528:AA529"/>
    <mergeCell ref="AB528:AB529"/>
    <mergeCell ref="A538:A539"/>
    <mergeCell ref="E538:E539"/>
    <mergeCell ref="H538:H539"/>
    <mergeCell ref="I538:I539"/>
    <mergeCell ref="J538:J539"/>
    <mergeCell ref="K538:K539"/>
    <mergeCell ref="L538:L539"/>
    <mergeCell ref="M538:M539"/>
    <mergeCell ref="N538:N539"/>
    <mergeCell ref="O536:O537"/>
    <mergeCell ref="O538:O539"/>
    <mergeCell ref="X534:X535"/>
    <mergeCell ref="Y534:Y535"/>
    <mergeCell ref="Z534:Z535"/>
    <mergeCell ref="AA534:AA535"/>
    <mergeCell ref="AB534:AB535"/>
    <mergeCell ref="A536:A537"/>
    <mergeCell ref="E536:E537"/>
    <mergeCell ref="H536:H537"/>
    <mergeCell ref="I536:I537"/>
    <mergeCell ref="J536:J537"/>
    <mergeCell ref="K536:K537"/>
    <mergeCell ref="L536:L537"/>
    <mergeCell ref="M536:M537"/>
    <mergeCell ref="N536:N537"/>
    <mergeCell ref="X536:X537"/>
    <mergeCell ref="Y536:Y537"/>
    <mergeCell ref="Z536:Z537"/>
    <mergeCell ref="AA536:AA537"/>
    <mergeCell ref="AB536:AB537"/>
    <mergeCell ref="A534:A535"/>
    <mergeCell ref="E534:E535"/>
    <mergeCell ref="H534:H535"/>
    <mergeCell ref="I534:I535"/>
    <mergeCell ref="J534:J535"/>
    <mergeCell ref="K534:K535"/>
    <mergeCell ref="L534:L535"/>
    <mergeCell ref="M534:M535"/>
    <mergeCell ref="N534:N535"/>
    <mergeCell ref="Z522:Z523"/>
    <mergeCell ref="AA522:AA523"/>
    <mergeCell ref="AB522:AB523"/>
    <mergeCell ref="A524:A525"/>
    <mergeCell ref="E524:E525"/>
    <mergeCell ref="H524:H525"/>
    <mergeCell ref="I524:I525"/>
    <mergeCell ref="J524:J525"/>
    <mergeCell ref="K524:K525"/>
    <mergeCell ref="L524:L525"/>
    <mergeCell ref="M524:M525"/>
    <mergeCell ref="N524:N525"/>
    <mergeCell ref="X524:X525"/>
    <mergeCell ref="Y524:Y525"/>
    <mergeCell ref="Z524:Z525"/>
    <mergeCell ref="AA524:AA525"/>
    <mergeCell ref="AB524:AB525"/>
    <mergeCell ref="A522:A523"/>
    <mergeCell ref="E522:E523"/>
    <mergeCell ref="H522:H523"/>
    <mergeCell ref="I522:I523"/>
    <mergeCell ref="J522:J523"/>
    <mergeCell ref="K522:K523"/>
    <mergeCell ref="L522:L523"/>
    <mergeCell ref="M522:M523"/>
    <mergeCell ref="N522:N523"/>
    <mergeCell ref="O532:O533"/>
    <mergeCell ref="O534:O535"/>
    <mergeCell ref="X530:X531"/>
    <mergeCell ref="Y530:Y531"/>
    <mergeCell ref="Z530:Z531"/>
    <mergeCell ref="AA530:AA531"/>
    <mergeCell ref="AB530:AB531"/>
    <mergeCell ref="A532:A533"/>
    <mergeCell ref="E532:E533"/>
    <mergeCell ref="H532:H533"/>
    <mergeCell ref="I532:I533"/>
    <mergeCell ref="J532:J533"/>
    <mergeCell ref="K532:K533"/>
    <mergeCell ref="L532:L533"/>
    <mergeCell ref="M532:M533"/>
    <mergeCell ref="N532:N533"/>
    <mergeCell ref="X532:X533"/>
    <mergeCell ref="Y532:Y533"/>
    <mergeCell ref="Z532:Z533"/>
    <mergeCell ref="AA532:AA533"/>
    <mergeCell ref="AB532:AB533"/>
    <mergeCell ref="A530:A531"/>
    <mergeCell ref="E530:E531"/>
    <mergeCell ref="H530:H531"/>
    <mergeCell ref="I530:I531"/>
    <mergeCell ref="J530:J531"/>
    <mergeCell ref="K530:K531"/>
    <mergeCell ref="L530:L531"/>
    <mergeCell ref="M530:M531"/>
    <mergeCell ref="N530:N531"/>
    <mergeCell ref="O528:O529"/>
    <mergeCell ref="O530:O531"/>
    <mergeCell ref="O520:O521"/>
    <mergeCell ref="O522:O523"/>
    <mergeCell ref="X518:X519"/>
    <mergeCell ref="Y518:Y519"/>
    <mergeCell ref="Z518:Z519"/>
    <mergeCell ref="AA518:AA519"/>
    <mergeCell ref="AB518:AB519"/>
    <mergeCell ref="A520:A521"/>
    <mergeCell ref="E520:E521"/>
    <mergeCell ref="H520:H521"/>
    <mergeCell ref="I520:I521"/>
    <mergeCell ref="J520:J521"/>
    <mergeCell ref="K520:K521"/>
    <mergeCell ref="L520:L521"/>
    <mergeCell ref="M520:M521"/>
    <mergeCell ref="N520:N521"/>
    <mergeCell ref="X520:X521"/>
    <mergeCell ref="Y520:Y521"/>
    <mergeCell ref="Z520:Z521"/>
    <mergeCell ref="AA520:AA521"/>
    <mergeCell ref="AB520:AB521"/>
    <mergeCell ref="A518:A519"/>
    <mergeCell ref="E518:E519"/>
    <mergeCell ref="H518:H519"/>
    <mergeCell ref="I518:I519"/>
    <mergeCell ref="J518:J519"/>
    <mergeCell ref="K518:K519"/>
    <mergeCell ref="L518:L519"/>
    <mergeCell ref="M518:M519"/>
    <mergeCell ref="N518:N519"/>
    <mergeCell ref="O516:O517"/>
    <mergeCell ref="O518:O519"/>
    <mergeCell ref="X526:X527"/>
    <mergeCell ref="Y526:Y527"/>
    <mergeCell ref="Z526:Z527"/>
    <mergeCell ref="AA526:AA527"/>
    <mergeCell ref="AB526:AB527"/>
    <mergeCell ref="A516:A517"/>
    <mergeCell ref="E516:E517"/>
    <mergeCell ref="H516:H517"/>
    <mergeCell ref="I516:I517"/>
    <mergeCell ref="J516:J517"/>
    <mergeCell ref="K516:K517"/>
    <mergeCell ref="L516:L517"/>
    <mergeCell ref="M516:M517"/>
    <mergeCell ref="N516:N517"/>
    <mergeCell ref="X516:X517"/>
    <mergeCell ref="Y516:Y517"/>
    <mergeCell ref="Z516:Z517"/>
    <mergeCell ref="AA516:AA517"/>
    <mergeCell ref="AB516:AB517"/>
    <mergeCell ref="A526:A527"/>
    <mergeCell ref="E526:E527"/>
    <mergeCell ref="H526:H527"/>
    <mergeCell ref="I526:I527"/>
    <mergeCell ref="J526:J527"/>
    <mergeCell ref="K526:K527"/>
    <mergeCell ref="L526:L527"/>
    <mergeCell ref="M526:M527"/>
    <mergeCell ref="N526:N527"/>
    <mergeCell ref="O524:O525"/>
    <mergeCell ref="O526:O527"/>
    <mergeCell ref="X522:X523"/>
    <mergeCell ref="Y522:Y523"/>
    <mergeCell ref="X514:X515"/>
    <mergeCell ref="Y514:Y515"/>
    <mergeCell ref="Z514:Z515"/>
    <mergeCell ref="AA514:AA515"/>
    <mergeCell ref="AB514:AB515"/>
    <mergeCell ref="A504:A505"/>
    <mergeCell ref="E504:E505"/>
    <mergeCell ref="H504:H505"/>
    <mergeCell ref="I504:I505"/>
    <mergeCell ref="J504:J505"/>
    <mergeCell ref="K504:K505"/>
    <mergeCell ref="L504:L505"/>
    <mergeCell ref="M504:M505"/>
    <mergeCell ref="N504:N505"/>
    <mergeCell ref="X504:X505"/>
    <mergeCell ref="Y504:Y505"/>
    <mergeCell ref="Z504:Z505"/>
    <mergeCell ref="AA504:AA505"/>
    <mergeCell ref="AB504:AB505"/>
    <mergeCell ref="A514:A515"/>
    <mergeCell ref="E514:E515"/>
    <mergeCell ref="H514:H515"/>
    <mergeCell ref="I514:I515"/>
    <mergeCell ref="J514:J515"/>
    <mergeCell ref="K514:K515"/>
    <mergeCell ref="L514:L515"/>
    <mergeCell ref="M514:M515"/>
    <mergeCell ref="N514:N515"/>
    <mergeCell ref="O512:O513"/>
    <mergeCell ref="O514:O515"/>
    <mergeCell ref="X510:X511"/>
    <mergeCell ref="Y510:Y511"/>
    <mergeCell ref="Z510:Z511"/>
    <mergeCell ref="AA510:AA511"/>
    <mergeCell ref="AB510:AB511"/>
    <mergeCell ref="A512:A513"/>
    <mergeCell ref="E512:E513"/>
    <mergeCell ref="H512:H513"/>
    <mergeCell ref="I512:I513"/>
    <mergeCell ref="J512:J513"/>
    <mergeCell ref="K512:K513"/>
    <mergeCell ref="L512:L513"/>
    <mergeCell ref="M512:M513"/>
    <mergeCell ref="N512:N513"/>
    <mergeCell ref="X512:X513"/>
    <mergeCell ref="Y512:Y513"/>
    <mergeCell ref="Z512:Z513"/>
    <mergeCell ref="AA512:AA513"/>
    <mergeCell ref="AB512:AB513"/>
    <mergeCell ref="A510:A511"/>
    <mergeCell ref="E510:E511"/>
    <mergeCell ref="H510:H511"/>
    <mergeCell ref="I510:I511"/>
    <mergeCell ref="J510:J511"/>
    <mergeCell ref="K510:K511"/>
    <mergeCell ref="L510:L511"/>
    <mergeCell ref="M510:M511"/>
    <mergeCell ref="N510:N511"/>
    <mergeCell ref="Z498:Z499"/>
    <mergeCell ref="AA498:AA499"/>
    <mergeCell ref="AB498:AB499"/>
    <mergeCell ref="A500:A501"/>
    <mergeCell ref="E500:E501"/>
    <mergeCell ref="H500:H501"/>
    <mergeCell ref="I500:I501"/>
    <mergeCell ref="J500:J501"/>
    <mergeCell ref="K500:K501"/>
    <mergeCell ref="L500:L501"/>
    <mergeCell ref="M500:M501"/>
    <mergeCell ref="N500:N501"/>
    <mergeCell ref="X500:X501"/>
    <mergeCell ref="Y500:Y501"/>
    <mergeCell ref="Z500:Z501"/>
    <mergeCell ref="AA500:AA501"/>
    <mergeCell ref="AB500:AB501"/>
    <mergeCell ref="A498:A499"/>
    <mergeCell ref="E498:E499"/>
    <mergeCell ref="H498:H499"/>
    <mergeCell ref="I498:I499"/>
    <mergeCell ref="J498:J499"/>
    <mergeCell ref="K498:K499"/>
    <mergeCell ref="L498:L499"/>
    <mergeCell ref="M498:M499"/>
    <mergeCell ref="N498:N499"/>
    <mergeCell ref="O508:O509"/>
    <mergeCell ref="O510:O511"/>
    <mergeCell ref="X506:X507"/>
    <mergeCell ref="Y506:Y507"/>
    <mergeCell ref="Z506:Z507"/>
    <mergeCell ref="AA506:AA507"/>
    <mergeCell ref="AB506:AB507"/>
    <mergeCell ref="A508:A509"/>
    <mergeCell ref="E508:E509"/>
    <mergeCell ref="H508:H509"/>
    <mergeCell ref="I508:I509"/>
    <mergeCell ref="J508:J509"/>
    <mergeCell ref="K508:K509"/>
    <mergeCell ref="L508:L509"/>
    <mergeCell ref="M508:M509"/>
    <mergeCell ref="N508:N509"/>
    <mergeCell ref="X508:X509"/>
    <mergeCell ref="Y508:Y509"/>
    <mergeCell ref="Z508:Z509"/>
    <mergeCell ref="AA508:AA509"/>
    <mergeCell ref="AB508:AB509"/>
    <mergeCell ref="A506:A507"/>
    <mergeCell ref="E506:E507"/>
    <mergeCell ref="H506:H507"/>
    <mergeCell ref="I506:I507"/>
    <mergeCell ref="J506:J507"/>
    <mergeCell ref="K506:K507"/>
    <mergeCell ref="L506:L507"/>
    <mergeCell ref="M506:M507"/>
    <mergeCell ref="N506:N507"/>
    <mergeCell ref="O504:O505"/>
    <mergeCell ref="O506:O507"/>
    <mergeCell ref="O496:O497"/>
    <mergeCell ref="O498:O499"/>
    <mergeCell ref="X494:X495"/>
    <mergeCell ref="Y494:Y495"/>
    <mergeCell ref="Z494:Z495"/>
    <mergeCell ref="AA494:AA495"/>
    <mergeCell ref="AB494:AB495"/>
    <mergeCell ref="A496:A497"/>
    <mergeCell ref="E496:E497"/>
    <mergeCell ref="H496:H497"/>
    <mergeCell ref="I496:I497"/>
    <mergeCell ref="J496:J497"/>
    <mergeCell ref="K496:K497"/>
    <mergeCell ref="L496:L497"/>
    <mergeCell ref="M496:M497"/>
    <mergeCell ref="N496:N497"/>
    <mergeCell ref="X496:X497"/>
    <mergeCell ref="Y496:Y497"/>
    <mergeCell ref="Z496:Z497"/>
    <mergeCell ref="AA496:AA497"/>
    <mergeCell ref="AB496:AB497"/>
    <mergeCell ref="A494:A495"/>
    <mergeCell ref="E494:E495"/>
    <mergeCell ref="H494:H495"/>
    <mergeCell ref="I494:I495"/>
    <mergeCell ref="J494:J495"/>
    <mergeCell ref="K494:K495"/>
    <mergeCell ref="L494:L495"/>
    <mergeCell ref="M494:M495"/>
    <mergeCell ref="N494:N495"/>
    <mergeCell ref="O492:O493"/>
    <mergeCell ref="O494:O495"/>
    <mergeCell ref="X502:X503"/>
    <mergeCell ref="Y502:Y503"/>
    <mergeCell ref="Z502:Z503"/>
    <mergeCell ref="AA502:AA503"/>
    <mergeCell ref="AB502:AB503"/>
    <mergeCell ref="A492:A493"/>
    <mergeCell ref="E492:E493"/>
    <mergeCell ref="H492:H493"/>
    <mergeCell ref="I492:I493"/>
    <mergeCell ref="J492:J493"/>
    <mergeCell ref="K492:K493"/>
    <mergeCell ref="L492:L493"/>
    <mergeCell ref="M492:M493"/>
    <mergeCell ref="N492:N493"/>
    <mergeCell ref="X492:X493"/>
    <mergeCell ref="Y492:Y493"/>
    <mergeCell ref="Z492:Z493"/>
    <mergeCell ref="AA492:AA493"/>
    <mergeCell ref="AB492:AB493"/>
    <mergeCell ref="A502:A503"/>
    <mergeCell ref="E502:E503"/>
    <mergeCell ref="H502:H503"/>
    <mergeCell ref="I502:I503"/>
    <mergeCell ref="J502:J503"/>
    <mergeCell ref="K502:K503"/>
    <mergeCell ref="L502:L503"/>
    <mergeCell ref="M502:M503"/>
    <mergeCell ref="N502:N503"/>
    <mergeCell ref="O500:O501"/>
    <mergeCell ref="O502:O503"/>
    <mergeCell ref="X498:X499"/>
    <mergeCell ref="Y498:Y499"/>
    <mergeCell ref="X490:X491"/>
    <mergeCell ref="Y490:Y491"/>
    <mergeCell ref="Z490:Z491"/>
    <mergeCell ref="AA490:AA491"/>
    <mergeCell ref="AB490:AB491"/>
    <mergeCell ref="A480:A481"/>
    <mergeCell ref="E480:E481"/>
    <mergeCell ref="H480:H481"/>
    <mergeCell ref="I480:I481"/>
    <mergeCell ref="J480:J481"/>
    <mergeCell ref="K480:K481"/>
    <mergeCell ref="L480:L481"/>
    <mergeCell ref="M480:M481"/>
    <mergeCell ref="N480:N481"/>
    <mergeCell ref="X480:X481"/>
    <mergeCell ref="Y480:Y481"/>
    <mergeCell ref="Z480:Z481"/>
    <mergeCell ref="AA480:AA481"/>
    <mergeCell ref="AB480:AB481"/>
    <mergeCell ref="A490:A491"/>
    <mergeCell ref="E490:E491"/>
    <mergeCell ref="H490:H491"/>
    <mergeCell ref="I490:I491"/>
    <mergeCell ref="J490:J491"/>
    <mergeCell ref="K490:K491"/>
    <mergeCell ref="L490:L491"/>
    <mergeCell ref="M490:M491"/>
    <mergeCell ref="N490:N491"/>
    <mergeCell ref="O488:O489"/>
    <mergeCell ref="O490:O491"/>
    <mergeCell ref="X486:X487"/>
    <mergeCell ref="Y486:Y487"/>
    <mergeCell ref="Z486:Z487"/>
    <mergeCell ref="AA486:AA487"/>
    <mergeCell ref="AB486:AB487"/>
    <mergeCell ref="A488:A489"/>
    <mergeCell ref="E488:E489"/>
    <mergeCell ref="H488:H489"/>
    <mergeCell ref="I488:I489"/>
    <mergeCell ref="J488:J489"/>
    <mergeCell ref="K488:K489"/>
    <mergeCell ref="L488:L489"/>
    <mergeCell ref="M488:M489"/>
    <mergeCell ref="N488:N489"/>
    <mergeCell ref="X488:X489"/>
    <mergeCell ref="Y488:Y489"/>
    <mergeCell ref="Z488:Z489"/>
    <mergeCell ref="AA488:AA489"/>
    <mergeCell ref="AB488:AB489"/>
    <mergeCell ref="A486:A487"/>
    <mergeCell ref="E486:E487"/>
    <mergeCell ref="H486:H487"/>
    <mergeCell ref="I486:I487"/>
    <mergeCell ref="J486:J487"/>
    <mergeCell ref="K486:K487"/>
    <mergeCell ref="L486:L487"/>
    <mergeCell ref="M486:M487"/>
    <mergeCell ref="N486:N487"/>
    <mergeCell ref="Z474:Z475"/>
    <mergeCell ref="AA474:AA475"/>
    <mergeCell ref="AB474:AB475"/>
    <mergeCell ref="A476:A477"/>
    <mergeCell ref="E476:E477"/>
    <mergeCell ref="H476:H477"/>
    <mergeCell ref="I476:I477"/>
    <mergeCell ref="J476:J477"/>
    <mergeCell ref="K476:K477"/>
    <mergeCell ref="L476:L477"/>
    <mergeCell ref="M476:M477"/>
    <mergeCell ref="N476:N477"/>
    <mergeCell ref="X476:X477"/>
    <mergeCell ref="Y476:Y477"/>
    <mergeCell ref="Z476:Z477"/>
    <mergeCell ref="AA476:AA477"/>
    <mergeCell ref="AB476:AB477"/>
    <mergeCell ref="A474:A475"/>
    <mergeCell ref="E474:E475"/>
    <mergeCell ref="H474:H475"/>
    <mergeCell ref="I474:I475"/>
    <mergeCell ref="J474:J475"/>
    <mergeCell ref="K474:K475"/>
    <mergeCell ref="L474:L475"/>
    <mergeCell ref="M474:M475"/>
    <mergeCell ref="N474:N475"/>
    <mergeCell ref="O484:O485"/>
    <mergeCell ref="O486:O487"/>
    <mergeCell ref="X482:X483"/>
    <mergeCell ref="Y482:Y483"/>
    <mergeCell ref="Z482:Z483"/>
    <mergeCell ref="AA482:AA483"/>
    <mergeCell ref="AB482:AB483"/>
    <mergeCell ref="A484:A485"/>
    <mergeCell ref="E484:E485"/>
    <mergeCell ref="H484:H485"/>
    <mergeCell ref="I484:I485"/>
    <mergeCell ref="J484:J485"/>
    <mergeCell ref="K484:K485"/>
    <mergeCell ref="L484:L485"/>
    <mergeCell ref="M484:M485"/>
    <mergeCell ref="N484:N485"/>
    <mergeCell ref="X484:X485"/>
    <mergeCell ref="Y484:Y485"/>
    <mergeCell ref="Z484:Z485"/>
    <mergeCell ref="AA484:AA485"/>
    <mergeCell ref="AB484:AB485"/>
    <mergeCell ref="A482:A483"/>
    <mergeCell ref="E482:E483"/>
    <mergeCell ref="H482:H483"/>
    <mergeCell ref="I482:I483"/>
    <mergeCell ref="J482:J483"/>
    <mergeCell ref="K482:K483"/>
    <mergeCell ref="L482:L483"/>
    <mergeCell ref="M482:M483"/>
    <mergeCell ref="N482:N483"/>
    <mergeCell ref="O480:O481"/>
    <mergeCell ref="O482:O483"/>
    <mergeCell ref="O472:O473"/>
    <mergeCell ref="O474:O475"/>
    <mergeCell ref="X470:X471"/>
    <mergeCell ref="Y470:Y471"/>
    <mergeCell ref="Z470:Z471"/>
    <mergeCell ref="AA470:AA471"/>
    <mergeCell ref="AB470:AB471"/>
    <mergeCell ref="A472:A473"/>
    <mergeCell ref="E472:E473"/>
    <mergeCell ref="H472:H473"/>
    <mergeCell ref="I472:I473"/>
    <mergeCell ref="J472:J473"/>
    <mergeCell ref="K472:K473"/>
    <mergeCell ref="L472:L473"/>
    <mergeCell ref="M472:M473"/>
    <mergeCell ref="N472:N473"/>
    <mergeCell ref="X472:X473"/>
    <mergeCell ref="Y472:Y473"/>
    <mergeCell ref="Z472:Z473"/>
    <mergeCell ref="AA472:AA473"/>
    <mergeCell ref="AB472:AB473"/>
    <mergeCell ref="A470:A471"/>
    <mergeCell ref="E470:E471"/>
    <mergeCell ref="H470:H471"/>
    <mergeCell ref="I470:I471"/>
    <mergeCell ref="J470:J471"/>
    <mergeCell ref="K470:K471"/>
    <mergeCell ref="L470:L471"/>
    <mergeCell ref="M470:M471"/>
    <mergeCell ref="N470:N471"/>
    <mergeCell ref="O468:O469"/>
    <mergeCell ref="O470:O471"/>
    <mergeCell ref="X478:X479"/>
    <mergeCell ref="Y478:Y479"/>
    <mergeCell ref="Z478:Z479"/>
    <mergeCell ref="AA478:AA479"/>
    <mergeCell ref="AB478:AB479"/>
    <mergeCell ref="A468:A469"/>
    <mergeCell ref="E468:E469"/>
    <mergeCell ref="H468:H469"/>
    <mergeCell ref="I468:I469"/>
    <mergeCell ref="J468:J469"/>
    <mergeCell ref="K468:K469"/>
    <mergeCell ref="L468:L469"/>
    <mergeCell ref="M468:M469"/>
    <mergeCell ref="N468:N469"/>
    <mergeCell ref="X468:X469"/>
    <mergeCell ref="Y468:Y469"/>
    <mergeCell ref="Z468:Z469"/>
    <mergeCell ref="AA468:AA469"/>
    <mergeCell ref="AB468:AB469"/>
    <mergeCell ref="A478:A479"/>
    <mergeCell ref="E478:E479"/>
    <mergeCell ref="H478:H479"/>
    <mergeCell ref="I478:I479"/>
    <mergeCell ref="J478:J479"/>
    <mergeCell ref="K478:K479"/>
    <mergeCell ref="L478:L479"/>
    <mergeCell ref="M478:M479"/>
    <mergeCell ref="N478:N479"/>
    <mergeCell ref="O476:O477"/>
    <mergeCell ref="O478:O479"/>
    <mergeCell ref="X474:X475"/>
    <mergeCell ref="Y474:Y475"/>
    <mergeCell ref="X466:X467"/>
    <mergeCell ref="Y466:Y467"/>
    <mergeCell ref="Z466:Z467"/>
    <mergeCell ref="AA466:AA467"/>
    <mergeCell ref="AB466:AB467"/>
    <mergeCell ref="A456:A457"/>
    <mergeCell ref="E456:E457"/>
    <mergeCell ref="H456:H457"/>
    <mergeCell ref="I456:I457"/>
    <mergeCell ref="J456:J457"/>
    <mergeCell ref="K456:K457"/>
    <mergeCell ref="L456:L457"/>
    <mergeCell ref="M456:M457"/>
    <mergeCell ref="N456:N457"/>
    <mergeCell ref="X456:X457"/>
    <mergeCell ref="Y456:Y457"/>
    <mergeCell ref="Z456:Z457"/>
    <mergeCell ref="AA456:AA457"/>
    <mergeCell ref="AB456:AB457"/>
    <mergeCell ref="A466:A467"/>
    <mergeCell ref="E466:E467"/>
    <mergeCell ref="H466:H467"/>
    <mergeCell ref="I466:I467"/>
    <mergeCell ref="J466:J467"/>
    <mergeCell ref="K466:K467"/>
    <mergeCell ref="L466:L467"/>
    <mergeCell ref="M466:M467"/>
    <mergeCell ref="N466:N467"/>
    <mergeCell ref="O464:O465"/>
    <mergeCell ref="O466:O467"/>
    <mergeCell ref="X462:X463"/>
    <mergeCell ref="Y462:Y463"/>
    <mergeCell ref="Z462:Z463"/>
    <mergeCell ref="AA462:AA463"/>
    <mergeCell ref="AB462:AB463"/>
    <mergeCell ref="A464:A465"/>
    <mergeCell ref="E464:E465"/>
    <mergeCell ref="H464:H465"/>
    <mergeCell ref="I464:I465"/>
    <mergeCell ref="J464:J465"/>
    <mergeCell ref="K464:K465"/>
    <mergeCell ref="L464:L465"/>
    <mergeCell ref="M464:M465"/>
    <mergeCell ref="N464:N465"/>
    <mergeCell ref="X464:X465"/>
    <mergeCell ref="Y464:Y465"/>
    <mergeCell ref="Z464:Z465"/>
    <mergeCell ref="AA464:AA465"/>
    <mergeCell ref="AB464:AB465"/>
    <mergeCell ref="A462:A463"/>
    <mergeCell ref="E462:E463"/>
    <mergeCell ref="H462:H463"/>
    <mergeCell ref="I462:I463"/>
    <mergeCell ref="J462:J463"/>
    <mergeCell ref="K462:K463"/>
    <mergeCell ref="L462:L463"/>
    <mergeCell ref="M462:M463"/>
    <mergeCell ref="N462:N463"/>
    <mergeCell ref="Z450:Z451"/>
    <mergeCell ref="AA450:AA451"/>
    <mergeCell ref="AB450:AB451"/>
    <mergeCell ref="A452:A453"/>
    <mergeCell ref="E452:E453"/>
    <mergeCell ref="H452:H453"/>
    <mergeCell ref="I452:I453"/>
    <mergeCell ref="J452:J453"/>
    <mergeCell ref="K452:K453"/>
    <mergeCell ref="L452:L453"/>
    <mergeCell ref="M452:M453"/>
    <mergeCell ref="N452:N453"/>
    <mergeCell ref="X452:X453"/>
    <mergeCell ref="Y452:Y453"/>
    <mergeCell ref="Z452:Z453"/>
    <mergeCell ref="AA452:AA453"/>
    <mergeCell ref="AB452:AB453"/>
    <mergeCell ref="A450:A451"/>
    <mergeCell ref="E450:E451"/>
    <mergeCell ref="H450:H451"/>
    <mergeCell ref="I450:I451"/>
    <mergeCell ref="J450:J451"/>
    <mergeCell ref="K450:K451"/>
    <mergeCell ref="L450:L451"/>
    <mergeCell ref="M450:M451"/>
    <mergeCell ref="N450:N451"/>
    <mergeCell ref="O460:O461"/>
    <mergeCell ref="O462:O463"/>
    <mergeCell ref="X458:X459"/>
    <mergeCell ref="Y458:Y459"/>
    <mergeCell ref="Z458:Z459"/>
    <mergeCell ref="AA458:AA459"/>
    <mergeCell ref="AB458:AB459"/>
    <mergeCell ref="A460:A461"/>
    <mergeCell ref="E460:E461"/>
    <mergeCell ref="H460:H461"/>
    <mergeCell ref="I460:I461"/>
    <mergeCell ref="J460:J461"/>
    <mergeCell ref="K460:K461"/>
    <mergeCell ref="L460:L461"/>
    <mergeCell ref="M460:M461"/>
    <mergeCell ref="N460:N461"/>
    <mergeCell ref="X460:X461"/>
    <mergeCell ref="Y460:Y461"/>
    <mergeCell ref="Z460:Z461"/>
    <mergeCell ref="AA460:AA461"/>
    <mergeCell ref="AB460:AB461"/>
    <mergeCell ref="A458:A459"/>
    <mergeCell ref="E458:E459"/>
    <mergeCell ref="H458:H459"/>
    <mergeCell ref="I458:I459"/>
    <mergeCell ref="J458:J459"/>
    <mergeCell ref="K458:K459"/>
    <mergeCell ref="L458:L459"/>
    <mergeCell ref="M458:M459"/>
    <mergeCell ref="N458:N459"/>
    <mergeCell ref="O456:O457"/>
    <mergeCell ref="O458:O459"/>
    <mergeCell ref="O448:O449"/>
    <mergeCell ref="O450:O451"/>
    <mergeCell ref="X446:X447"/>
    <mergeCell ref="Y446:Y447"/>
    <mergeCell ref="Z446:Z447"/>
    <mergeCell ref="AA446:AA447"/>
    <mergeCell ref="AB446:AB447"/>
    <mergeCell ref="A448:A449"/>
    <mergeCell ref="E448:E449"/>
    <mergeCell ref="H448:H449"/>
    <mergeCell ref="I448:I449"/>
    <mergeCell ref="J448:J449"/>
    <mergeCell ref="K448:K449"/>
    <mergeCell ref="L448:L449"/>
    <mergeCell ref="M448:M449"/>
    <mergeCell ref="N448:N449"/>
    <mergeCell ref="X448:X449"/>
    <mergeCell ref="Y448:Y449"/>
    <mergeCell ref="Z448:Z449"/>
    <mergeCell ref="AA448:AA449"/>
    <mergeCell ref="AB448:AB449"/>
    <mergeCell ref="A446:A447"/>
    <mergeCell ref="E446:E447"/>
    <mergeCell ref="H446:H447"/>
    <mergeCell ref="I446:I447"/>
    <mergeCell ref="J446:J447"/>
    <mergeCell ref="K446:K447"/>
    <mergeCell ref="L446:L447"/>
    <mergeCell ref="M446:M447"/>
    <mergeCell ref="N446:N447"/>
    <mergeCell ref="O444:O445"/>
    <mergeCell ref="O446:O447"/>
    <mergeCell ref="X454:X455"/>
    <mergeCell ref="Y454:Y455"/>
    <mergeCell ref="Z454:Z455"/>
    <mergeCell ref="AA454:AA455"/>
    <mergeCell ref="AB454:AB455"/>
    <mergeCell ref="A444:A445"/>
    <mergeCell ref="E444:E445"/>
    <mergeCell ref="H444:H445"/>
    <mergeCell ref="I444:I445"/>
    <mergeCell ref="J444:J445"/>
    <mergeCell ref="K444:K445"/>
    <mergeCell ref="L444:L445"/>
    <mergeCell ref="M444:M445"/>
    <mergeCell ref="N444:N445"/>
    <mergeCell ref="X444:X445"/>
    <mergeCell ref="Y444:Y445"/>
    <mergeCell ref="Z444:Z445"/>
    <mergeCell ref="AA444:AA445"/>
    <mergeCell ref="AB444:AB445"/>
    <mergeCell ref="A454:A455"/>
    <mergeCell ref="E454:E455"/>
    <mergeCell ref="H454:H455"/>
    <mergeCell ref="I454:I455"/>
    <mergeCell ref="J454:J455"/>
    <mergeCell ref="K454:K455"/>
    <mergeCell ref="L454:L455"/>
    <mergeCell ref="M454:M455"/>
    <mergeCell ref="N454:N455"/>
    <mergeCell ref="O452:O453"/>
    <mergeCell ref="O454:O455"/>
    <mergeCell ref="X450:X451"/>
    <mergeCell ref="Y450:Y451"/>
    <mergeCell ref="X442:X443"/>
    <mergeCell ref="Y442:Y443"/>
    <mergeCell ref="Z442:Z443"/>
    <mergeCell ref="AA442:AA443"/>
    <mergeCell ref="AB442:AB443"/>
    <mergeCell ref="A432:A433"/>
    <mergeCell ref="E432:E433"/>
    <mergeCell ref="H432:H433"/>
    <mergeCell ref="I432:I433"/>
    <mergeCell ref="J432:J433"/>
    <mergeCell ref="K432:K433"/>
    <mergeCell ref="L432:L433"/>
    <mergeCell ref="M432:M433"/>
    <mergeCell ref="N432:N433"/>
    <mergeCell ref="X432:X433"/>
    <mergeCell ref="Y432:Y433"/>
    <mergeCell ref="Z432:Z433"/>
    <mergeCell ref="AA432:AA433"/>
    <mergeCell ref="AB432:AB433"/>
    <mergeCell ref="A442:A443"/>
    <mergeCell ref="E442:E443"/>
    <mergeCell ref="H442:H443"/>
    <mergeCell ref="I442:I443"/>
    <mergeCell ref="J442:J443"/>
    <mergeCell ref="K442:K443"/>
    <mergeCell ref="L442:L443"/>
    <mergeCell ref="M442:M443"/>
    <mergeCell ref="N442:N443"/>
    <mergeCell ref="O440:O441"/>
    <mergeCell ref="O442:O443"/>
    <mergeCell ref="X438:X439"/>
    <mergeCell ref="Y438:Y439"/>
    <mergeCell ref="Z438:Z439"/>
    <mergeCell ref="AA438:AA439"/>
    <mergeCell ref="AB438:AB439"/>
    <mergeCell ref="A440:A441"/>
    <mergeCell ref="E440:E441"/>
    <mergeCell ref="H440:H441"/>
    <mergeCell ref="I440:I441"/>
    <mergeCell ref="J440:J441"/>
    <mergeCell ref="K440:K441"/>
    <mergeCell ref="L440:L441"/>
    <mergeCell ref="M440:M441"/>
    <mergeCell ref="N440:N441"/>
    <mergeCell ref="X440:X441"/>
    <mergeCell ref="Y440:Y441"/>
    <mergeCell ref="Z440:Z441"/>
    <mergeCell ref="AA440:AA441"/>
    <mergeCell ref="AB440:AB441"/>
    <mergeCell ref="A438:A439"/>
    <mergeCell ref="E438:E439"/>
    <mergeCell ref="H438:H439"/>
    <mergeCell ref="I438:I439"/>
    <mergeCell ref="J438:J439"/>
    <mergeCell ref="K438:K439"/>
    <mergeCell ref="L438:L439"/>
    <mergeCell ref="M438:M439"/>
    <mergeCell ref="N438:N439"/>
    <mergeCell ref="Z426:Z427"/>
    <mergeCell ref="AA426:AA427"/>
    <mergeCell ref="AB426:AB427"/>
    <mergeCell ref="A428:A429"/>
    <mergeCell ref="E428:E429"/>
    <mergeCell ref="H428:H429"/>
    <mergeCell ref="I428:I429"/>
    <mergeCell ref="J428:J429"/>
    <mergeCell ref="K428:K429"/>
    <mergeCell ref="L428:L429"/>
    <mergeCell ref="M428:M429"/>
    <mergeCell ref="N428:N429"/>
    <mergeCell ref="X428:X429"/>
    <mergeCell ref="Y428:Y429"/>
    <mergeCell ref="Z428:Z429"/>
    <mergeCell ref="AA428:AA429"/>
    <mergeCell ref="AB428:AB429"/>
    <mergeCell ref="A426:A427"/>
    <mergeCell ref="E426:E427"/>
    <mergeCell ref="H426:H427"/>
    <mergeCell ref="I426:I427"/>
    <mergeCell ref="J426:J427"/>
    <mergeCell ref="K426:K427"/>
    <mergeCell ref="L426:L427"/>
    <mergeCell ref="M426:M427"/>
    <mergeCell ref="N426:N427"/>
    <mergeCell ref="O436:O437"/>
    <mergeCell ref="O438:O439"/>
    <mergeCell ref="X434:X435"/>
    <mergeCell ref="Y434:Y435"/>
    <mergeCell ref="Z434:Z435"/>
    <mergeCell ref="AA434:AA435"/>
    <mergeCell ref="AB434:AB435"/>
    <mergeCell ref="A436:A437"/>
    <mergeCell ref="E436:E437"/>
    <mergeCell ref="H436:H437"/>
    <mergeCell ref="I436:I437"/>
    <mergeCell ref="J436:J437"/>
    <mergeCell ref="K436:K437"/>
    <mergeCell ref="L436:L437"/>
    <mergeCell ref="M436:M437"/>
    <mergeCell ref="N436:N437"/>
    <mergeCell ref="X436:X437"/>
    <mergeCell ref="Y436:Y437"/>
    <mergeCell ref="Z436:Z437"/>
    <mergeCell ref="AA436:AA437"/>
    <mergeCell ref="AB436:AB437"/>
    <mergeCell ref="A434:A435"/>
    <mergeCell ref="E434:E435"/>
    <mergeCell ref="H434:H435"/>
    <mergeCell ref="I434:I435"/>
    <mergeCell ref="J434:J435"/>
    <mergeCell ref="K434:K435"/>
    <mergeCell ref="L434:L435"/>
    <mergeCell ref="M434:M435"/>
    <mergeCell ref="N434:N435"/>
    <mergeCell ref="O432:O433"/>
    <mergeCell ref="O434:O435"/>
    <mergeCell ref="O424:O425"/>
    <mergeCell ref="O426:O427"/>
    <mergeCell ref="X422:X423"/>
    <mergeCell ref="Y422:Y423"/>
    <mergeCell ref="Z422:Z423"/>
    <mergeCell ref="AA422:AA423"/>
    <mergeCell ref="AB422:AB423"/>
    <mergeCell ref="A424:A425"/>
    <mergeCell ref="E424:E425"/>
    <mergeCell ref="H424:H425"/>
    <mergeCell ref="I424:I425"/>
    <mergeCell ref="J424:J425"/>
    <mergeCell ref="K424:K425"/>
    <mergeCell ref="L424:L425"/>
    <mergeCell ref="M424:M425"/>
    <mergeCell ref="N424:N425"/>
    <mergeCell ref="X424:X425"/>
    <mergeCell ref="Y424:Y425"/>
    <mergeCell ref="Z424:Z425"/>
    <mergeCell ref="AA424:AA425"/>
    <mergeCell ref="AB424:AB425"/>
    <mergeCell ref="A422:A423"/>
    <mergeCell ref="E422:E423"/>
    <mergeCell ref="H422:H423"/>
    <mergeCell ref="I422:I423"/>
    <mergeCell ref="J422:J423"/>
    <mergeCell ref="K422:K423"/>
    <mergeCell ref="L422:L423"/>
    <mergeCell ref="M422:M423"/>
    <mergeCell ref="N422:N423"/>
    <mergeCell ref="O420:O421"/>
    <mergeCell ref="O422:O423"/>
    <mergeCell ref="X430:X431"/>
    <mergeCell ref="Y430:Y431"/>
    <mergeCell ref="Z430:Z431"/>
    <mergeCell ref="AA430:AA431"/>
    <mergeCell ref="AB430:AB431"/>
    <mergeCell ref="A420:A421"/>
    <mergeCell ref="E420:E421"/>
    <mergeCell ref="H420:H421"/>
    <mergeCell ref="I420:I421"/>
    <mergeCell ref="J420:J421"/>
    <mergeCell ref="K420:K421"/>
    <mergeCell ref="L420:L421"/>
    <mergeCell ref="M420:M421"/>
    <mergeCell ref="N420:N421"/>
    <mergeCell ref="X420:X421"/>
    <mergeCell ref="Y420:Y421"/>
    <mergeCell ref="Z420:Z421"/>
    <mergeCell ref="AA420:AA421"/>
    <mergeCell ref="AB420:AB421"/>
    <mergeCell ref="A430:A431"/>
    <mergeCell ref="E430:E431"/>
    <mergeCell ref="H430:H431"/>
    <mergeCell ref="I430:I431"/>
    <mergeCell ref="J430:J431"/>
    <mergeCell ref="K430:K431"/>
    <mergeCell ref="L430:L431"/>
    <mergeCell ref="M430:M431"/>
    <mergeCell ref="N430:N431"/>
    <mergeCell ref="O428:O429"/>
    <mergeCell ref="O430:O431"/>
    <mergeCell ref="X426:X427"/>
    <mergeCell ref="Y426:Y427"/>
    <mergeCell ref="X418:X419"/>
    <mergeCell ref="Y418:Y419"/>
    <mergeCell ref="Z418:Z419"/>
    <mergeCell ref="AA418:AA419"/>
    <mergeCell ref="AB418:AB419"/>
    <mergeCell ref="A408:A409"/>
    <mergeCell ref="E408:E409"/>
    <mergeCell ref="H408:H409"/>
    <mergeCell ref="I408:I409"/>
    <mergeCell ref="J408:J409"/>
    <mergeCell ref="K408:K409"/>
    <mergeCell ref="L408:L409"/>
    <mergeCell ref="M408:M409"/>
    <mergeCell ref="N408:N409"/>
    <mergeCell ref="X408:X409"/>
    <mergeCell ref="Y408:Y409"/>
    <mergeCell ref="Z408:Z409"/>
    <mergeCell ref="AA408:AA409"/>
    <mergeCell ref="AB408:AB409"/>
    <mergeCell ref="A418:A419"/>
    <mergeCell ref="E418:E419"/>
    <mergeCell ref="H418:H419"/>
    <mergeCell ref="I418:I419"/>
    <mergeCell ref="J418:J419"/>
    <mergeCell ref="K418:K419"/>
    <mergeCell ref="L418:L419"/>
    <mergeCell ref="M418:M419"/>
    <mergeCell ref="N418:N419"/>
    <mergeCell ref="O416:O417"/>
    <mergeCell ref="O418:O419"/>
    <mergeCell ref="X414:X415"/>
    <mergeCell ref="Y414:Y415"/>
    <mergeCell ref="Z414:Z415"/>
    <mergeCell ref="AA414:AA415"/>
    <mergeCell ref="AB414:AB415"/>
    <mergeCell ref="A416:A417"/>
    <mergeCell ref="E416:E417"/>
    <mergeCell ref="H416:H417"/>
    <mergeCell ref="I416:I417"/>
    <mergeCell ref="J416:J417"/>
    <mergeCell ref="K416:K417"/>
    <mergeCell ref="L416:L417"/>
    <mergeCell ref="M416:M417"/>
    <mergeCell ref="N416:N417"/>
    <mergeCell ref="X416:X417"/>
    <mergeCell ref="Y416:Y417"/>
    <mergeCell ref="Z416:Z417"/>
    <mergeCell ref="AA416:AA417"/>
    <mergeCell ref="AB416:AB417"/>
    <mergeCell ref="A414:A415"/>
    <mergeCell ref="E414:E415"/>
    <mergeCell ref="H414:H415"/>
    <mergeCell ref="I414:I415"/>
    <mergeCell ref="J414:J415"/>
    <mergeCell ref="K414:K415"/>
    <mergeCell ref="L414:L415"/>
    <mergeCell ref="M414:M415"/>
    <mergeCell ref="N414:N415"/>
    <mergeCell ref="Z402:Z403"/>
    <mergeCell ref="AA402:AA403"/>
    <mergeCell ref="AB402:AB403"/>
    <mergeCell ref="A404:A405"/>
    <mergeCell ref="E404:E405"/>
    <mergeCell ref="H404:H405"/>
    <mergeCell ref="I404:I405"/>
    <mergeCell ref="J404:J405"/>
    <mergeCell ref="K404:K405"/>
    <mergeCell ref="L404:L405"/>
    <mergeCell ref="M404:M405"/>
    <mergeCell ref="N404:N405"/>
    <mergeCell ref="X404:X405"/>
    <mergeCell ref="Y404:Y405"/>
    <mergeCell ref="Z404:Z405"/>
    <mergeCell ref="AA404:AA405"/>
    <mergeCell ref="AB404:AB405"/>
    <mergeCell ref="A402:A403"/>
    <mergeCell ref="E402:E403"/>
    <mergeCell ref="H402:H403"/>
    <mergeCell ref="I402:I403"/>
    <mergeCell ref="J402:J403"/>
    <mergeCell ref="K402:K403"/>
    <mergeCell ref="L402:L403"/>
    <mergeCell ref="M402:M403"/>
    <mergeCell ref="N402:N403"/>
    <mergeCell ref="O412:O413"/>
    <mergeCell ref="O414:O415"/>
    <mergeCell ref="X410:X411"/>
    <mergeCell ref="Y410:Y411"/>
    <mergeCell ref="Z410:Z411"/>
    <mergeCell ref="AA410:AA411"/>
    <mergeCell ref="AB410:AB411"/>
    <mergeCell ref="A412:A413"/>
    <mergeCell ref="E412:E413"/>
    <mergeCell ref="H412:H413"/>
    <mergeCell ref="I412:I413"/>
    <mergeCell ref="J412:J413"/>
    <mergeCell ref="K412:K413"/>
    <mergeCell ref="L412:L413"/>
    <mergeCell ref="M412:M413"/>
    <mergeCell ref="N412:N413"/>
    <mergeCell ref="X412:X413"/>
    <mergeCell ref="Y412:Y413"/>
    <mergeCell ref="Z412:Z413"/>
    <mergeCell ref="AA412:AA413"/>
    <mergeCell ref="AB412:AB413"/>
    <mergeCell ref="A410:A411"/>
    <mergeCell ref="E410:E411"/>
    <mergeCell ref="H410:H411"/>
    <mergeCell ref="I410:I411"/>
    <mergeCell ref="J410:J411"/>
    <mergeCell ref="K410:K411"/>
    <mergeCell ref="L410:L411"/>
    <mergeCell ref="M410:M411"/>
    <mergeCell ref="N410:N411"/>
    <mergeCell ref="O408:O409"/>
    <mergeCell ref="O410:O411"/>
    <mergeCell ref="O400:O401"/>
    <mergeCell ref="O402:O403"/>
    <mergeCell ref="X398:X399"/>
    <mergeCell ref="Y398:Y399"/>
    <mergeCell ref="Z398:Z399"/>
    <mergeCell ref="AA398:AA399"/>
    <mergeCell ref="AB398:AB399"/>
    <mergeCell ref="A400:A401"/>
    <mergeCell ref="E400:E401"/>
    <mergeCell ref="H400:H401"/>
    <mergeCell ref="I400:I401"/>
    <mergeCell ref="J400:J401"/>
    <mergeCell ref="K400:K401"/>
    <mergeCell ref="L400:L401"/>
    <mergeCell ref="M400:M401"/>
    <mergeCell ref="N400:N401"/>
    <mergeCell ref="X400:X401"/>
    <mergeCell ref="Y400:Y401"/>
    <mergeCell ref="Z400:Z401"/>
    <mergeCell ref="AA400:AA401"/>
    <mergeCell ref="AB400:AB401"/>
    <mergeCell ref="A398:A399"/>
    <mergeCell ref="E398:E399"/>
    <mergeCell ref="H398:H399"/>
    <mergeCell ref="I398:I399"/>
    <mergeCell ref="J398:J399"/>
    <mergeCell ref="K398:K399"/>
    <mergeCell ref="L398:L399"/>
    <mergeCell ref="M398:M399"/>
    <mergeCell ref="N398:N399"/>
    <mergeCell ref="O396:O397"/>
    <mergeCell ref="O398:O399"/>
    <mergeCell ref="X406:X407"/>
    <mergeCell ref="Y406:Y407"/>
    <mergeCell ref="Z406:Z407"/>
    <mergeCell ref="AA406:AA407"/>
    <mergeCell ref="AB406:AB407"/>
    <mergeCell ref="A396:A397"/>
    <mergeCell ref="E396:E397"/>
    <mergeCell ref="H396:H397"/>
    <mergeCell ref="I396:I397"/>
    <mergeCell ref="J396:J397"/>
    <mergeCell ref="K396:K397"/>
    <mergeCell ref="L396:L397"/>
    <mergeCell ref="M396:M397"/>
    <mergeCell ref="N396:N397"/>
    <mergeCell ref="X396:X397"/>
    <mergeCell ref="Y396:Y397"/>
    <mergeCell ref="Z396:Z397"/>
    <mergeCell ref="AA396:AA397"/>
    <mergeCell ref="AB396:AB397"/>
    <mergeCell ref="A406:A407"/>
    <mergeCell ref="E406:E407"/>
    <mergeCell ref="H406:H407"/>
    <mergeCell ref="I406:I407"/>
    <mergeCell ref="J406:J407"/>
    <mergeCell ref="K406:K407"/>
    <mergeCell ref="L406:L407"/>
    <mergeCell ref="M406:M407"/>
    <mergeCell ref="N406:N407"/>
    <mergeCell ref="O404:O405"/>
    <mergeCell ref="O406:O407"/>
    <mergeCell ref="X402:X403"/>
    <mergeCell ref="Y402:Y403"/>
    <mergeCell ref="X394:X395"/>
    <mergeCell ref="Y394:Y395"/>
    <mergeCell ref="Z394:Z395"/>
    <mergeCell ref="AA394:AA395"/>
    <mergeCell ref="AB394:AB395"/>
    <mergeCell ref="A384:A385"/>
    <mergeCell ref="E384:E385"/>
    <mergeCell ref="H384:H385"/>
    <mergeCell ref="I384:I385"/>
    <mergeCell ref="J384:J385"/>
    <mergeCell ref="K384:K385"/>
    <mergeCell ref="L384:L385"/>
    <mergeCell ref="M384:M385"/>
    <mergeCell ref="N384:N385"/>
    <mergeCell ref="X384:X385"/>
    <mergeCell ref="Y384:Y385"/>
    <mergeCell ref="Z384:Z385"/>
    <mergeCell ref="AA384:AA385"/>
    <mergeCell ref="AB384:AB385"/>
    <mergeCell ref="A394:A395"/>
    <mergeCell ref="E394:E395"/>
    <mergeCell ref="H394:H395"/>
    <mergeCell ref="I394:I395"/>
    <mergeCell ref="J394:J395"/>
    <mergeCell ref="K394:K395"/>
    <mergeCell ref="L394:L395"/>
    <mergeCell ref="M394:M395"/>
    <mergeCell ref="N394:N395"/>
    <mergeCell ref="O392:O393"/>
    <mergeCell ref="O394:O395"/>
    <mergeCell ref="X390:X391"/>
    <mergeCell ref="Y390:Y391"/>
    <mergeCell ref="Z390:Z391"/>
    <mergeCell ref="AA390:AA391"/>
    <mergeCell ref="AB390:AB391"/>
    <mergeCell ref="A392:A393"/>
    <mergeCell ref="E392:E393"/>
    <mergeCell ref="H392:H393"/>
    <mergeCell ref="I392:I393"/>
    <mergeCell ref="J392:J393"/>
    <mergeCell ref="K392:K393"/>
    <mergeCell ref="L392:L393"/>
    <mergeCell ref="M392:M393"/>
    <mergeCell ref="N392:N393"/>
    <mergeCell ref="X392:X393"/>
    <mergeCell ref="Y392:Y393"/>
    <mergeCell ref="Z392:Z393"/>
    <mergeCell ref="AA392:AA393"/>
    <mergeCell ref="AB392:AB393"/>
    <mergeCell ref="A390:A391"/>
    <mergeCell ref="E390:E391"/>
    <mergeCell ref="H390:H391"/>
    <mergeCell ref="I390:I391"/>
    <mergeCell ref="J390:J391"/>
    <mergeCell ref="K390:K391"/>
    <mergeCell ref="L390:L391"/>
    <mergeCell ref="M390:M391"/>
    <mergeCell ref="N390:N391"/>
    <mergeCell ref="Z378:Z379"/>
    <mergeCell ref="AA378:AA379"/>
    <mergeCell ref="AB378:AB379"/>
    <mergeCell ref="A380:A381"/>
    <mergeCell ref="E380:E381"/>
    <mergeCell ref="H380:H381"/>
    <mergeCell ref="I380:I381"/>
    <mergeCell ref="J380:J381"/>
    <mergeCell ref="K380:K381"/>
    <mergeCell ref="L380:L381"/>
    <mergeCell ref="M380:M381"/>
    <mergeCell ref="N380:N381"/>
    <mergeCell ref="X380:X381"/>
    <mergeCell ref="Y380:Y381"/>
    <mergeCell ref="Z380:Z381"/>
    <mergeCell ref="AA380:AA381"/>
    <mergeCell ref="AB380:AB381"/>
    <mergeCell ref="A378:A379"/>
    <mergeCell ref="E378:E379"/>
    <mergeCell ref="H378:H379"/>
    <mergeCell ref="I378:I379"/>
    <mergeCell ref="J378:J379"/>
    <mergeCell ref="K378:K379"/>
    <mergeCell ref="L378:L379"/>
    <mergeCell ref="M378:M379"/>
    <mergeCell ref="N378:N379"/>
    <mergeCell ref="O388:O389"/>
    <mergeCell ref="O390:O391"/>
    <mergeCell ref="X386:X387"/>
    <mergeCell ref="Y386:Y387"/>
    <mergeCell ref="Z386:Z387"/>
    <mergeCell ref="AA386:AA387"/>
    <mergeCell ref="AB386:AB387"/>
    <mergeCell ref="A388:A389"/>
    <mergeCell ref="E388:E389"/>
    <mergeCell ref="H388:H389"/>
    <mergeCell ref="I388:I389"/>
    <mergeCell ref="J388:J389"/>
    <mergeCell ref="K388:K389"/>
    <mergeCell ref="L388:L389"/>
    <mergeCell ref="M388:M389"/>
    <mergeCell ref="N388:N389"/>
    <mergeCell ref="X388:X389"/>
    <mergeCell ref="Y388:Y389"/>
    <mergeCell ref="Z388:Z389"/>
    <mergeCell ref="AA388:AA389"/>
    <mergeCell ref="AB388:AB389"/>
    <mergeCell ref="A386:A387"/>
    <mergeCell ref="E386:E387"/>
    <mergeCell ref="H386:H387"/>
    <mergeCell ref="I386:I387"/>
    <mergeCell ref="J386:J387"/>
    <mergeCell ref="K386:K387"/>
    <mergeCell ref="L386:L387"/>
    <mergeCell ref="M386:M387"/>
    <mergeCell ref="N386:N387"/>
    <mergeCell ref="O384:O385"/>
    <mergeCell ref="O386:O387"/>
    <mergeCell ref="O376:O377"/>
    <mergeCell ref="O378:O379"/>
    <mergeCell ref="X374:X375"/>
    <mergeCell ref="Y374:Y375"/>
    <mergeCell ref="Z374:Z375"/>
    <mergeCell ref="AA374:AA375"/>
    <mergeCell ref="AB374:AB375"/>
    <mergeCell ref="A376:A377"/>
    <mergeCell ref="E376:E377"/>
    <mergeCell ref="H376:H377"/>
    <mergeCell ref="I376:I377"/>
    <mergeCell ref="J376:J377"/>
    <mergeCell ref="K376:K377"/>
    <mergeCell ref="L376:L377"/>
    <mergeCell ref="M376:M377"/>
    <mergeCell ref="N376:N377"/>
    <mergeCell ref="X376:X377"/>
    <mergeCell ref="Y376:Y377"/>
    <mergeCell ref="Z376:Z377"/>
    <mergeCell ref="AA376:AA377"/>
    <mergeCell ref="AB376:AB377"/>
    <mergeCell ref="A374:A375"/>
    <mergeCell ref="E374:E375"/>
    <mergeCell ref="H374:H375"/>
    <mergeCell ref="I374:I375"/>
    <mergeCell ref="J374:J375"/>
    <mergeCell ref="K374:K375"/>
    <mergeCell ref="L374:L375"/>
    <mergeCell ref="M374:M375"/>
    <mergeCell ref="N374:N375"/>
    <mergeCell ref="O372:O373"/>
    <mergeCell ref="O374:O375"/>
    <mergeCell ref="X382:X383"/>
    <mergeCell ref="Y382:Y383"/>
    <mergeCell ref="Z382:Z383"/>
    <mergeCell ref="AA382:AA383"/>
    <mergeCell ref="AB382:AB383"/>
    <mergeCell ref="A372:A373"/>
    <mergeCell ref="E372:E373"/>
    <mergeCell ref="H372:H373"/>
    <mergeCell ref="I372:I373"/>
    <mergeCell ref="J372:J373"/>
    <mergeCell ref="K372:K373"/>
    <mergeCell ref="L372:L373"/>
    <mergeCell ref="M372:M373"/>
    <mergeCell ref="N372:N373"/>
    <mergeCell ref="X372:X373"/>
    <mergeCell ref="Y372:Y373"/>
    <mergeCell ref="Z372:Z373"/>
    <mergeCell ref="AA372:AA373"/>
    <mergeCell ref="AB372:AB373"/>
    <mergeCell ref="A382:A383"/>
    <mergeCell ref="E382:E383"/>
    <mergeCell ref="H382:H383"/>
    <mergeCell ref="I382:I383"/>
    <mergeCell ref="J382:J383"/>
    <mergeCell ref="K382:K383"/>
    <mergeCell ref="L382:L383"/>
    <mergeCell ref="M382:M383"/>
    <mergeCell ref="N382:N383"/>
    <mergeCell ref="O380:O381"/>
    <mergeCell ref="O382:O383"/>
    <mergeCell ref="X378:X379"/>
    <mergeCell ref="Y378:Y379"/>
    <mergeCell ref="X370:X371"/>
    <mergeCell ref="Y370:Y371"/>
    <mergeCell ref="Z370:Z371"/>
    <mergeCell ref="AA370:AA371"/>
    <mergeCell ref="AB370:AB371"/>
    <mergeCell ref="A360:A361"/>
    <mergeCell ref="E360:E361"/>
    <mergeCell ref="H360:H361"/>
    <mergeCell ref="I360:I361"/>
    <mergeCell ref="J360:J361"/>
    <mergeCell ref="K360:K361"/>
    <mergeCell ref="L360:L361"/>
    <mergeCell ref="M360:M361"/>
    <mergeCell ref="N360:N361"/>
    <mergeCell ref="X360:X361"/>
    <mergeCell ref="Y360:Y361"/>
    <mergeCell ref="Z360:Z361"/>
    <mergeCell ref="AA360:AA361"/>
    <mergeCell ref="AB360:AB361"/>
    <mergeCell ref="A370:A371"/>
    <mergeCell ref="E370:E371"/>
    <mergeCell ref="H370:H371"/>
    <mergeCell ref="I370:I371"/>
    <mergeCell ref="J370:J371"/>
    <mergeCell ref="K370:K371"/>
    <mergeCell ref="L370:L371"/>
    <mergeCell ref="M370:M371"/>
    <mergeCell ref="N370:N371"/>
    <mergeCell ref="O368:O369"/>
    <mergeCell ref="O370:O371"/>
    <mergeCell ref="X366:X367"/>
    <mergeCell ref="Y366:Y367"/>
    <mergeCell ref="Z366:Z367"/>
    <mergeCell ref="AA366:AA367"/>
    <mergeCell ref="AB366:AB367"/>
    <mergeCell ref="A368:A369"/>
    <mergeCell ref="E368:E369"/>
    <mergeCell ref="H368:H369"/>
    <mergeCell ref="I368:I369"/>
    <mergeCell ref="J368:J369"/>
    <mergeCell ref="K368:K369"/>
    <mergeCell ref="L368:L369"/>
    <mergeCell ref="M368:M369"/>
    <mergeCell ref="N368:N369"/>
    <mergeCell ref="X368:X369"/>
    <mergeCell ref="Y368:Y369"/>
    <mergeCell ref="Z368:Z369"/>
    <mergeCell ref="AA368:AA369"/>
    <mergeCell ref="AB368:AB369"/>
    <mergeCell ref="A366:A367"/>
    <mergeCell ref="E366:E367"/>
    <mergeCell ref="H366:H367"/>
    <mergeCell ref="I366:I367"/>
    <mergeCell ref="J366:J367"/>
    <mergeCell ref="K366:K367"/>
    <mergeCell ref="L366:L367"/>
    <mergeCell ref="M366:M367"/>
    <mergeCell ref="N366:N367"/>
    <mergeCell ref="Z354:Z355"/>
    <mergeCell ref="AA354:AA355"/>
    <mergeCell ref="AB354:AB355"/>
    <mergeCell ref="A356:A357"/>
    <mergeCell ref="E356:E357"/>
    <mergeCell ref="H356:H357"/>
    <mergeCell ref="I356:I357"/>
    <mergeCell ref="J356:J357"/>
    <mergeCell ref="K356:K357"/>
    <mergeCell ref="L356:L357"/>
    <mergeCell ref="M356:M357"/>
    <mergeCell ref="N356:N357"/>
    <mergeCell ref="X356:X357"/>
    <mergeCell ref="Y356:Y357"/>
    <mergeCell ref="Z356:Z357"/>
    <mergeCell ref="AA356:AA357"/>
    <mergeCell ref="AB356:AB357"/>
    <mergeCell ref="A354:A355"/>
    <mergeCell ref="E354:E355"/>
    <mergeCell ref="H354:H355"/>
    <mergeCell ref="I354:I355"/>
    <mergeCell ref="J354:J355"/>
    <mergeCell ref="K354:K355"/>
    <mergeCell ref="L354:L355"/>
    <mergeCell ref="M354:M355"/>
    <mergeCell ref="N354:N355"/>
    <mergeCell ref="O364:O365"/>
    <mergeCell ref="O366:O367"/>
    <mergeCell ref="X362:X363"/>
    <mergeCell ref="Y362:Y363"/>
    <mergeCell ref="Z362:Z363"/>
    <mergeCell ref="AA362:AA363"/>
    <mergeCell ref="AB362:AB363"/>
    <mergeCell ref="A364:A365"/>
    <mergeCell ref="E364:E365"/>
    <mergeCell ref="H364:H365"/>
    <mergeCell ref="I364:I365"/>
    <mergeCell ref="J364:J365"/>
    <mergeCell ref="K364:K365"/>
    <mergeCell ref="L364:L365"/>
    <mergeCell ref="M364:M365"/>
    <mergeCell ref="N364:N365"/>
    <mergeCell ref="X364:X365"/>
    <mergeCell ref="Y364:Y365"/>
    <mergeCell ref="Z364:Z365"/>
    <mergeCell ref="AA364:AA365"/>
    <mergeCell ref="AB364:AB365"/>
    <mergeCell ref="A362:A363"/>
    <mergeCell ref="E362:E363"/>
    <mergeCell ref="H362:H363"/>
    <mergeCell ref="I362:I363"/>
    <mergeCell ref="J362:J363"/>
    <mergeCell ref="K362:K363"/>
    <mergeCell ref="L362:L363"/>
    <mergeCell ref="M362:M363"/>
    <mergeCell ref="N362:N363"/>
    <mergeCell ref="O360:O361"/>
    <mergeCell ref="O362:O363"/>
    <mergeCell ref="O352:O353"/>
    <mergeCell ref="O354:O355"/>
    <mergeCell ref="X350:X351"/>
    <mergeCell ref="Y350:Y351"/>
    <mergeCell ref="Z350:Z351"/>
    <mergeCell ref="AA350:AA351"/>
    <mergeCell ref="AB350:AB351"/>
    <mergeCell ref="A352:A353"/>
    <mergeCell ref="E352:E353"/>
    <mergeCell ref="H352:H353"/>
    <mergeCell ref="I352:I353"/>
    <mergeCell ref="J352:J353"/>
    <mergeCell ref="K352:K353"/>
    <mergeCell ref="L352:L353"/>
    <mergeCell ref="M352:M353"/>
    <mergeCell ref="N352:N353"/>
    <mergeCell ref="X352:X353"/>
    <mergeCell ref="Y352:Y353"/>
    <mergeCell ref="Z352:Z353"/>
    <mergeCell ref="AA352:AA353"/>
    <mergeCell ref="AB352:AB353"/>
    <mergeCell ref="A350:A351"/>
    <mergeCell ref="E350:E351"/>
    <mergeCell ref="H350:H351"/>
    <mergeCell ref="I350:I351"/>
    <mergeCell ref="J350:J351"/>
    <mergeCell ref="K350:K351"/>
    <mergeCell ref="L350:L351"/>
    <mergeCell ref="M350:M351"/>
    <mergeCell ref="N350:N351"/>
    <mergeCell ref="O348:O349"/>
    <mergeCell ref="O350:O351"/>
    <mergeCell ref="X358:X359"/>
    <mergeCell ref="Y358:Y359"/>
    <mergeCell ref="Z358:Z359"/>
    <mergeCell ref="AA358:AA359"/>
    <mergeCell ref="AB358:AB359"/>
    <mergeCell ref="A348:A349"/>
    <mergeCell ref="E348:E349"/>
    <mergeCell ref="H348:H349"/>
    <mergeCell ref="I348:I349"/>
    <mergeCell ref="J348:J349"/>
    <mergeCell ref="K348:K349"/>
    <mergeCell ref="L348:L349"/>
    <mergeCell ref="M348:M349"/>
    <mergeCell ref="N348:N349"/>
    <mergeCell ref="X348:X349"/>
    <mergeCell ref="Y348:Y349"/>
    <mergeCell ref="Z348:Z349"/>
    <mergeCell ref="AA348:AA349"/>
    <mergeCell ref="AB348:AB349"/>
    <mergeCell ref="A358:A359"/>
    <mergeCell ref="E358:E359"/>
    <mergeCell ref="H358:H359"/>
    <mergeCell ref="I358:I359"/>
    <mergeCell ref="J358:J359"/>
    <mergeCell ref="K358:K359"/>
    <mergeCell ref="L358:L359"/>
    <mergeCell ref="M358:M359"/>
    <mergeCell ref="N358:N359"/>
    <mergeCell ref="O356:O357"/>
    <mergeCell ref="O358:O359"/>
    <mergeCell ref="X354:X355"/>
    <mergeCell ref="Y354:Y355"/>
    <mergeCell ref="X346:X347"/>
    <mergeCell ref="Y346:Y347"/>
    <mergeCell ref="Z346:Z347"/>
    <mergeCell ref="AA346:AA347"/>
    <mergeCell ref="AB346:AB347"/>
    <mergeCell ref="A336:A337"/>
    <mergeCell ref="E336:E337"/>
    <mergeCell ref="H336:H337"/>
    <mergeCell ref="I336:I337"/>
    <mergeCell ref="J336:J337"/>
    <mergeCell ref="K336:K337"/>
    <mergeCell ref="L336:L337"/>
    <mergeCell ref="M336:M337"/>
    <mergeCell ref="N336:N337"/>
    <mergeCell ref="X336:X337"/>
    <mergeCell ref="Y336:Y337"/>
    <mergeCell ref="Z336:Z337"/>
    <mergeCell ref="AA336:AA337"/>
    <mergeCell ref="AB336:AB337"/>
    <mergeCell ref="A346:A347"/>
    <mergeCell ref="E346:E347"/>
    <mergeCell ref="H346:H347"/>
    <mergeCell ref="I346:I347"/>
    <mergeCell ref="J346:J347"/>
    <mergeCell ref="K346:K347"/>
    <mergeCell ref="L346:L347"/>
    <mergeCell ref="M346:M347"/>
    <mergeCell ref="N346:N347"/>
    <mergeCell ref="O344:O345"/>
    <mergeCell ref="O346:O347"/>
    <mergeCell ref="X342:X343"/>
    <mergeCell ref="Y342:Y343"/>
    <mergeCell ref="Z342:Z343"/>
    <mergeCell ref="AA342:AA343"/>
    <mergeCell ref="AB342:AB343"/>
    <mergeCell ref="A344:A345"/>
    <mergeCell ref="E344:E345"/>
    <mergeCell ref="H344:H345"/>
    <mergeCell ref="I344:I345"/>
    <mergeCell ref="J344:J345"/>
    <mergeCell ref="K344:K345"/>
    <mergeCell ref="L344:L345"/>
    <mergeCell ref="M344:M345"/>
    <mergeCell ref="N344:N345"/>
    <mergeCell ref="X344:X345"/>
    <mergeCell ref="Y344:Y345"/>
    <mergeCell ref="Z344:Z345"/>
    <mergeCell ref="AA344:AA345"/>
    <mergeCell ref="AB344:AB345"/>
    <mergeCell ref="A342:A343"/>
    <mergeCell ref="E342:E343"/>
    <mergeCell ref="H342:H343"/>
    <mergeCell ref="I342:I343"/>
    <mergeCell ref="J342:J343"/>
    <mergeCell ref="K342:K343"/>
    <mergeCell ref="L342:L343"/>
    <mergeCell ref="M342:M343"/>
    <mergeCell ref="N342:N343"/>
    <mergeCell ref="Z330:Z331"/>
    <mergeCell ref="AA330:AA331"/>
    <mergeCell ref="AB330:AB331"/>
    <mergeCell ref="A332:A333"/>
    <mergeCell ref="E332:E333"/>
    <mergeCell ref="H332:H333"/>
    <mergeCell ref="I332:I333"/>
    <mergeCell ref="J332:J333"/>
    <mergeCell ref="K332:K333"/>
    <mergeCell ref="L332:L333"/>
    <mergeCell ref="M332:M333"/>
    <mergeCell ref="N332:N333"/>
    <mergeCell ref="X332:X333"/>
    <mergeCell ref="Y332:Y333"/>
    <mergeCell ref="Z332:Z333"/>
    <mergeCell ref="AA332:AA333"/>
    <mergeCell ref="AB332:AB333"/>
    <mergeCell ref="A330:A331"/>
    <mergeCell ref="E330:E331"/>
    <mergeCell ref="H330:H331"/>
    <mergeCell ref="I330:I331"/>
    <mergeCell ref="J330:J331"/>
    <mergeCell ref="K330:K331"/>
    <mergeCell ref="L330:L331"/>
    <mergeCell ref="M330:M331"/>
    <mergeCell ref="N330:N331"/>
    <mergeCell ref="O340:O341"/>
    <mergeCell ref="O342:O343"/>
    <mergeCell ref="X338:X339"/>
    <mergeCell ref="Y338:Y339"/>
    <mergeCell ref="Z338:Z339"/>
    <mergeCell ref="AA338:AA339"/>
    <mergeCell ref="AB338:AB339"/>
    <mergeCell ref="A340:A341"/>
    <mergeCell ref="E340:E341"/>
    <mergeCell ref="H340:H341"/>
    <mergeCell ref="I340:I341"/>
    <mergeCell ref="J340:J341"/>
    <mergeCell ref="K340:K341"/>
    <mergeCell ref="L340:L341"/>
    <mergeCell ref="M340:M341"/>
    <mergeCell ref="N340:N341"/>
    <mergeCell ref="X340:X341"/>
    <mergeCell ref="Y340:Y341"/>
    <mergeCell ref="Z340:Z341"/>
    <mergeCell ref="AA340:AA341"/>
    <mergeCell ref="AB340:AB341"/>
    <mergeCell ref="A338:A339"/>
    <mergeCell ref="E338:E339"/>
    <mergeCell ref="H338:H339"/>
    <mergeCell ref="I338:I339"/>
    <mergeCell ref="J338:J339"/>
    <mergeCell ref="K338:K339"/>
    <mergeCell ref="L338:L339"/>
    <mergeCell ref="M338:M339"/>
    <mergeCell ref="N338:N339"/>
    <mergeCell ref="O336:O337"/>
    <mergeCell ref="O338:O339"/>
    <mergeCell ref="O328:O329"/>
    <mergeCell ref="O330:O331"/>
    <mergeCell ref="X326:X327"/>
    <mergeCell ref="Y326:Y327"/>
    <mergeCell ref="Z326:Z327"/>
    <mergeCell ref="AA326:AA327"/>
    <mergeCell ref="AB326:AB327"/>
    <mergeCell ref="A328:A329"/>
    <mergeCell ref="E328:E329"/>
    <mergeCell ref="H328:H329"/>
    <mergeCell ref="I328:I329"/>
    <mergeCell ref="J328:J329"/>
    <mergeCell ref="K328:K329"/>
    <mergeCell ref="L328:L329"/>
    <mergeCell ref="M328:M329"/>
    <mergeCell ref="N328:N329"/>
    <mergeCell ref="X328:X329"/>
    <mergeCell ref="Y328:Y329"/>
    <mergeCell ref="Z328:Z329"/>
    <mergeCell ref="AA328:AA329"/>
    <mergeCell ref="AB328:AB329"/>
    <mergeCell ref="A326:A327"/>
    <mergeCell ref="E326:E327"/>
    <mergeCell ref="H326:H327"/>
    <mergeCell ref="I326:I327"/>
    <mergeCell ref="J326:J327"/>
    <mergeCell ref="K326:K327"/>
    <mergeCell ref="L326:L327"/>
    <mergeCell ref="M326:M327"/>
    <mergeCell ref="N326:N327"/>
    <mergeCell ref="O324:O325"/>
    <mergeCell ref="O326:O327"/>
    <mergeCell ref="X334:X335"/>
    <mergeCell ref="Y334:Y335"/>
    <mergeCell ref="Z334:Z335"/>
    <mergeCell ref="AA334:AA335"/>
    <mergeCell ref="AB334:AB335"/>
    <mergeCell ref="A324:A325"/>
    <mergeCell ref="E324:E325"/>
    <mergeCell ref="H324:H325"/>
    <mergeCell ref="I324:I325"/>
    <mergeCell ref="J324:J325"/>
    <mergeCell ref="K324:K325"/>
    <mergeCell ref="L324:L325"/>
    <mergeCell ref="M324:M325"/>
    <mergeCell ref="N324:N325"/>
    <mergeCell ref="X324:X325"/>
    <mergeCell ref="Y324:Y325"/>
    <mergeCell ref="Z324:Z325"/>
    <mergeCell ref="AA324:AA325"/>
    <mergeCell ref="AB324:AB325"/>
    <mergeCell ref="A334:A335"/>
    <mergeCell ref="E334:E335"/>
    <mergeCell ref="H334:H335"/>
    <mergeCell ref="I334:I335"/>
    <mergeCell ref="J334:J335"/>
    <mergeCell ref="K334:K335"/>
    <mergeCell ref="L334:L335"/>
    <mergeCell ref="M334:M335"/>
    <mergeCell ref="N334:N335"/>
    <mergeCell ref="O332:O333"/>
    <mergeCell ref="O334:O335"/>
    <mergeCell ref="X330:X331"/>
    <mergeCell ref="Y330:Y331"/>
    <mergeCell ref="X322:X323"/>
    <mergeCell ref="Y322:Y323"/>
    <mergeCell ref="Z322:Z323"/>
    <mergeCell ref="AA322:AA323"/>
    <mergeCell ref="AB322:AB323"/>
    <mergeCell ref="A312:A313"/>
    <mergeCell ref="E312:E313"/>
    <mergeCell ref="H312:H313"/>
    <mergeCell ref="I312:I313"/>
    <mergeCell ref="J312:J313"/>
    <mergeCell ref="K312:K313"/>
    <mergeCell ref="L312:L313"/>
    <mergeCell ref="M312:M313"/>
    <mergeCell ref="N312:N313"/>
    <mergeCell ref="X312:X313"/>
    <mergeCell ref="Y312:Y313"/>
    <mergeCell ref="Z312:Z313"/>
    <mergeCell ref="AA312:AA313"/>
    <mergeCell ref="AB312:AB313"/>
    <mergeCell ref="A322:A323"/>
    <mergeCell ref="E322:E323"/>
    <mergeCell ref="H322:H323"/>
    <mergeCell ref="I322:I323"/>
    <mergeCell ref="J322:J323"/>
    <mergeCell ref="K322:K323"/>
    <mergeCell ref="L322:L323"/>
    <mergeCell ref="M322:M323"/>
    <mergeCell ref="N322:N323"/>
    <mergeCell ref="O320:O321"/>
    <mergeCell ref="O322:O323"/>
    <mergeCell ref="X318:X319"/>
    <mergeCell ref="Y318:Y319"/>
    <mergeCell ref="Z318:Z319"/>
    <mergeCell ref="AA318:AA319"/>
    <mergeCell ref="AB318:AB319"/>
    <mergeCell ref="A320:A321"/>
    <mergeCell ref="E320:E321"/>
    <mergeCell ref="H320:H321"/>
    <mergeCell ref="I320:I321"/>
    <mergeCell ref="J320:J321"/>
    <mergeCell ref="K320:K321"/>
    <mergeCell ref="L320:L321"/>
    <mergeCell ref="M320:M321"/>
    <mergeCell ref="N320:N321"/>
    <mergeCell ref="X320:X321"/>
    <mergeCell ref="Y320:Y321"/>
    <mergeCell ref="Z320:Z321"/>
    <mergeCell ref="AA320:AA321"/>
    <mergeCell ref="AB320:AB321"/>
    <mergeCell ref="A318:A319"/>
    <mergeCell ref="E318:E319"/>
    <mergeCell ref="H318:H319"/>
    <mergeCell ref="I318:I319"/>
    <mergeCell ref="J318:J319"/>
    <mergeCell ref="K318:K319"/>
    <mergeCell ref="L318:L319"/>
    <mergeCell ref="M318:M319"/>
    <mergeCell ref="N318:N319"/>
    <mergeCell ref="Z306:Z307"/>
    <mergeCell ref="AA306:AA307"/>
    <mergeCell ref="AB306:AB307"/>
    <mergeCell ref="A308:A309"/>
    <mergeCell ref="E308:E309"/>
    <mergeCell ref="H308:H309"/>
    <mergeCell ref="I308:I309"/>
    <mergeCell ref="J308:J309"/>
    <mergeCell ref="K308:K309"/>
    <mergeCell ref="L308:L309"/>
    <mergeCell ref="M308:M309"/>
    <mergeCell ref="N308:N309"/>
    <mergeCell ref="X308:X309"/>
    <mergeCell ref="Y308:Y309"/>
    <mergeCell ref="Z308:Z309"/>
    <mergeCell ref="AA308:AA309"/>
    <mergeCell ref="AB308:AB309"/>
    <mergeCell ref="A306:A307"/>
    <mergeCell ref="E306:E307"/>
    <mergeCell ref="H306:H307"/>
    <mergeCell ref="I306:I307"/>
    <mergeCell ref="J306:J307"/>
    <mergeCell ref="K306:K307"/>
    <mergeCell ref="L306:L307"/>
    <mergeCell ref="M306:M307"/>
    <mergeCell ref="N306:N307"/>
    <mergeCell ref="O316:O317"/>
    <mergeCell ref="O318:O319"/>
    <mergeCell ref="X314:X315"/>
    <mergeCell ref="Y314:Y315"/>
    <mergeCell ref="Z314:Z315"/>
    <mergeCell ref="AA314:AA315"/>
    <mergeCell ref="AB314:AB315"/>
    <mergeCell ref="A316:A317"/>
    <mergeCell ref="E316:E317"/>
    <mergeCell ref="H316:H317"/>
    <mergeCell ref="I316:I317"/>
    <mergeCell ref="J316:J317"/>
    <mergeCell ref="K316:K317"/>
    <mergeCell ref="L316:L317"/>
    <mergeCell ref="M316:M317"/>
    <mergeCell ref="N316:N317"/>
    <mergeCell ref="X316:X317"/>
    <mergeCell ref="Y316:Y317"/>
    <mergeCell ref="Z316:Z317"/>
    <mergeCell ref="AA316:AA317"/>
    <mergeCell ref="AB316:AB317"/>
    <mergeCell ref="A314:A315"/>
    <mergeCell ref="E314:E315"/>
    <mergeCell ref="H314:H315"/>
    <mergeCell ref="I314:I315"/>
    <mergeCell ref="J314:J315"/>
    <mergeCell ref="K314:K315"/>
    <mergeCell ref="L314:L315"/>
    <mergeCell ref="M314:M315"/>
    <mergeCell ref="N314:N315"/>
    <mergeCell ref="O312:O313"/>
    <mergeCell ref="O314:O315"/>
    <mergeCell ref="O304:O305"/>
    <mergeCell ref="O306:O307"/>
    <mergeCell ref="X302:X303"/>
    <mergeCell ref="Y302:Y303"/>
    <mergeCell ref="Z302:Z303"/>
    <mergeCell ref="AA302:AA303"/>
    <mergeCell ref="AB302:AB303"/>
    <mergeCell ref="A304:A305"/>
    <mergeCell ref="E304:E305"/>
    <mergeCell ref="H304:H305"/>
    <mergeCell ref="I304:I305"/>
    <mergeCell ref="J304:J305"/>
    <mergeCell ref="K304:K305"/>
    <mergeCell ref="L304:L305"/>
    <mergeCell ref="M304:M305"/>
    <mergeCell ref="N304:N305"/>
    <mergeCell ref="X304:X305"/>
    <mergeCell ref="Y304:Y305"/>
    <mergeCell ref="Z304:Z305"/>
    <mergeCell ref="AA304:AA305"/>
    <mergeCell ref="AB304:AB305"/>
    <mergeCell ref="A302:A303"/>
    <mergeCell ref="E302:E303"/>
    <mergeCell ref="H302:H303"/>
    <mergeCell ref="I302:I303"/>
    <mergeCell ref="J302:J303"/>
    <mergeCell ref="K302:K303"/>
    <mergeCell ref="L302:L303"/>
    <mergeCell ref="M302:M303"/>
    <mergeCell ref="N302:N303"/>
    <mergeCell ref="O300:O301"/>
    <mergeCell ref="O302:O303"/>
    <mergeCell ref="X310:X311"/>
    <mergeCell ref="Y310:Y311"/>
    <mergeCell ref="Z310:Z311"/>
    <mergeCell ref="AA310:AA311"/>
    <mergeCell ref="AB310:AB311"/>
    <mergeCell ref="A300:A301"/>
    <mergeCell ref="E300:E301"/>
    <mergeCell ref="H300:H301"/>
    <mergeCell ref="I300:I301"/>
    <mergeCell ref="J300:J301"/>
    <mergeCell ref="K300:K301"/>
    <mergeCell ref="L300:L301"/>
    <mergeCell ref="M300:M301"/>
    <mergeCell ref="N300:N301"/>
    <mergeCell ref="X300:X301"/>
    <mergeCell ref="Y300:Y301"/>
    <mergeCell ref="Z300:Z301"/>
    <mergeCell ref="AA300:AA301"/>
    <mergeCell ref="AB300:AB301"/>
    <mergeCell ref="A310:A311"/>
    <mergeCell ref="E310:E311"/>
    <mergeCell ref="H310:H311"/>
    <mergeCell ref="I310:I311"/>
    <mergeCell ref="J310:J311"/>
    <mergeCell ref="K310:K311"/>
    <mergeCell ref="L310:L311"/>
    <mergeCell ref="M310:M311"/>
    <mergeCell ref="N310:N311"/>
    <mergeCell ref="O308:O309"/>
    <mergeCell ref="O310:O311"/>
    <mergeCell ref="X306:X307"/>
    <mergeCell ref="Y306:Y307"/>
    <mergeCell ref="X298:X299"/>
    <mergeCell ref="Y298:Y299"/>
    <mergeCell ref="Z298:Z299"/>
    <mergeCell ref="AA298:AA299"/>
    <mergeCell ref="AB298:AB299"/>
    <mergeCell ref="A288:A289"/>
    <mergeCell ref="E288:E289"/>
    <mergeCell ref="H288:H289"/>
    <mergeCell ref="I288:I289"/>
    <mergeCell ref="J288:J289"/>
    <mergeCell ref="K288:K289"/>
    <mergeCell ref="L288:L289"/>
    <mergeCell ref="M288:M289"/>
    <mergeCell ref="N288:N289"/>
    <mergeCell ref="X288:X289"/>
    <mergeCell ref="Y288:Y289"/>
    <mergeCell ref="Z288:Z289"/>
    <mergeCell ref="AA288:AA289"/>
    <mergeCell ref="AB288:AB289"/>
    <mergeCell ref="A298:A299"/>
    <mergeCell ref="E298:E299"/>
    <mergeCell ref="H298:H299"/>
    <mergeCell ref="I298:I299"/>
    <mergeCell ref="J298:J299"/>
    <mergeCell ref="K298:K299"/>
    <mergeCell ref="L298:L299"/>
    <mergeCell ref="M298:M299"/>
    <mergeCell ref="N298:N299"/>
    <mergeCell ref="O296:O297"/>
    <mergeCell ref="O298:O299"/>
    <mergeCell ref="X294:X295"/>
    <mergeCell ref="Y294:Y295"/>
    <mergeCell ref="Z294:Z295"/>
    <mergeCell ref="AA294:AA295"/>
    <mergeCell ref="AB294:AB295"/>
    <mergeCell ref="A296:A297"/>
    <mergeCell ref="E296:E297"/>
    <mergeCell ref="H296:H297"/>
    <mergeCell ref="I296:I297"/>
    <mergeCell ref="J296:J297"/>
    <mergeCell ref="K296:K297"/>
    <mergeCell ref="L296:L297"/>
    <mergeCell ref="M296:M297"/>
    <mergeCell ref="N296:N297"/>
    <mergeCell ref="X296:X297"/>
    <mergeCell ref="Y296:Y297"/>
    <mergeCell ref="Z296:Z297"/>
    <mergeCell ref="AA296:AA297"/>
    <mergeCell ref="AB296:AB297"/>
    <mergeCell ref="A294:A295"/>
    <mergeCell ref="E294:E295"/>
    <mergeCell ref="H294:H295"/>
    <mergeCell ref="I294:I295"/>
    <mergeCell ref="J294:J295"/>
    <mergeCell ref="K294:K295"/>
    <mergeCell ref="L294:L295"/>
    <mergeCell ref="M294:M295"/>
    <mergeCell ref="N294:N295"/>
    <mergeCell ref="J280:J281"/>
    <mergeCell ref="K280:K281"/>
    <mergeCell ref="L280:L281"/>
    <mergeCell ref="M280:M281"/>
    <mergeCell ref="N280:N281"/>
    <mergeCell ref="O292:O293"/>
    <mergeCell ref="O294:O295"/>
    <mergeCell ref="X290:X291"/>
    <mergeCell ref="Y290:Y291"/>
    <mergeCell ref="Z290:Z291"/>
    <mergeCell ref="AA290:AA291"/>
    <mergeCell ref="AB290:AB291"/>
    <mergeCell ref="A292:A293"/>
    <mergeCell ref="E292:E293"/>
    <mergeCell ref="H292:H293"/>
    <mergeCell ref="I292:I293"/>
    <mergeCell ref="J292:J293"/>
    <mergeCell ref="K292:K293"/>
    <mergeCell ref="L292:L293"/>
    <mergeCell ref="M292:M293"/>
    <mergeCell ref="N292:N293"/>
    <mergeCell ref="X292:X293"/>
    <mergeCell ref="Y292:Y293"/>
    <mergeCell ref="Z292:Z293"/>
    <mergeCell ref="AA292:AA293"/>
    <mergeCell ref="AB292:AB293"/>
    <mergeCell ref="A290:A291"/>
    <mergeCell ref="E290:E291"/>
    <mergeCell ref="H290:H291"/>
    <mergeCell ref="I290:I291"/>
    <mergeCell ref="J290:J291"/>
    <mergeCell ref="K290:K291"/>
    <mergeCell ref="L290:L291"/>
    <mergeCell ref="M290:M291"/>
    <mergeCell ref="N290:N291"/>
    <mergeCell ref="O288:O289"/>
    <mergeCell ref="O290:O291"/>
    <mergeCell ref="N274:N275"/>
    <mergeCell ref="X274:X275"/>
    <mergeCell ref="Y274:Y275"/>
    <mergeCell ref="Z274:Z275"/>
    <mergeCell ref="AA274:AA275"/>
    <mergeCell ref="AB274:AB275"/>
    <mergeCell ref="A272:A273"/>
    <mergeCell ref="E272:E273"/>
    <mergeCell ref="H272:H273"/>
    <mergeCell ref="I272:I273"/>
    <mergeCell ref="J272:J273"/>
    <mergeCell ref="K272:K273"/>
    <mergeCell ref="L272:L273"/>
    <mergeCell ref="M272:M273"/>
    <mergeCell ref="N272:N273"/>
    <mergeCell ref="A286:A287"/>
    <mergeCell ref="E286:E287"/>
    <mergeCell ref="H286:H287"/>
    <mergeCell ref="I286:I287"/>
    <mergeCell ref="J286:J287"/>
    <mergeCell ref="K286:K287"/>
    <mergeCell ref="L286:L287"/>
    <mergeCell ref="M286:M287"/>
    <mergeCell ref="N286:N287"/>
    <mergeCell ref="O286:O287"/>
    <mergeCell ref="X284:X285"/>
    <mergeCell ref="Y284:Y285"/>
    <mergeCell ref="Z284:Z285"/>
    <mergeCell ref="AA284:AA285"/>
    <mergeCell ref="AB284:AB285"/>
    <mergeCell ref="A284:A285"/>
    <mergeCell ref="E284:E285"/>
    <mergeCell ref="H284:H285"/>
    <mergeCell ref="I284:I285"/>
    <mergeCell ref="J284:J285"/>
    <mergeCell ref="K284:K285"/>
    <mergeCell ref="L284:L285"/>
    <mergeCell ref="M284:M285"/>
    <mergeCell ref="N284:N285"/>
    <mergeCell ref="O282:O283"/>
    <mergeCell ref="O284:O285"/>
    <mergeCell ref="X280:X281"/>
    <mergeCell ref="Y280:Y281"/>
    <mergeCell ref="Z280:Z281"/>
    <mergeCell ref="AA280:AA281"/>
    <mergeCell ref="AB280:AB281"/>
    <mergeCell ref="A282:A283"/>
    <mergeCell ref="E282:E283"/>
    <mergeCell ref="H282:H283"/>
    <mergeCell ref="I282:I283"/>
    <mergeCell ref="J282:J283"/>
    <mergeCell ref="K282:K283"/>
    <mergeCell ref="L282:L283"/>
    <mergeCell ref="M282:M283"/>
    <mergeCell ref="N282:N283"/>
    <mergeCell ref="X282:X283"/>
    <mergeCell ref="Y282:Y283"/>
    <mergeCell ref="Z282:Z283"/>
    <mergeCell ref="AA282:AA283"/>
    <mergeCell ref="AB282:AB283"/>
    <mergeCell ref="A280:A281"/>
    <mergeCell ref="E280:E281"/>
    <mergeCell ref="H280:H281"/>
    <mergeCell ref="I280:I281"/>
    <mergeCell ref="X276:X277"/>
    <mergeCell ref="Y276:Y277"/>
    <mergeCell ref="Z276:Z277"/>
    <mergeCell ref="AA276:AA277"/>
    <mergeCell ref="AB276:AB277"/>
    <mergeCell ref="A266:A267"/>
    <mergeCell ref="E266:E267"/>
    <mergeCell ref="H266:H267"/>
    <mergeCell ref="I266:I267"/>
    <mergeCell ref="J266:J267"/>
    <mergeCell ref="K266:K267"/>
    <mergeCell ref="L266:L267"/>
    <mergeCell ref="M266:M267"/>
    <mergeCell ref="N266:N267"/>
    <mergeCell ref="X266:X267"/>
    <mergeCell ref="Y266:Y267"/>
    <mergeCell ref="Z266:Z267"/>
    <mergeCell ref="AA266:AA267"/>
    <mergeCell ref="AB266:AB267"/>
    <mergeCell ref="O278:O279"/>
    <mergeCell ref="O280:O281"/>
    <mergeCell ref="X286:X287"/>
    <mergeCell ref="Y286:Y287"/>
    <mergeCell ref="Z286:Z287"/>
    <mergeCell ref="AA286:AA287"/>
    <mergeCell ref="AB286:AB287"/>
    <mergeCell ref="A278:A279"/>
    <mergeCell ref="E278:E279"/>
    <mergeCell ref="H278:H279"/>
    <mergeCell ref="I278:I279"/>
    <mergeCell ref="J278:J279"/>
    <mergeCell ref="K278:K279"/>
    <mergeCell ref="L278:L279"/>
    <mergeCell ref="M278:M279"/>
    <mergeCell ref="N278:N279"/>
    <mergeCell ref="X278:X279"/>
    <mergeCell ref="Y278:Y279"/>
    <mergeCell ref="Z278:Z279"/>
    <mergeCell ref="AA278:AA279"/>
    <mergeCell ref="AB278:AB279"/>
    <mergeCell ref="A276:A277"/>
    <mergeCell ref="E276:E277"/>
    <mergeCell ref="H276:H277"/>
    <mergeCell ref="I276:I277"/>
    <mergeCell ref="J276:J277"/>
    <mergeCell ref="K276:K277"/>
    <mergeCell ref="L276:L277"/>
    <mergeCell ref="M276:M277"/>
    <mergeCell ref="N276:N277"/>
    <mergeCell ref="O274:O275"/>
    <mergeCell ref="O276:O277"/>
    <mergeCell ref="X272:X273"/>
    <mergeCell ref="Y272:Y273"/>
    <mergeCell ref="Z272:Z273"/>
    <mergeCell ref="AA272:AA273"/>
    <mergeCell ref="AB272:AB273"/>
    <mergeCell ref="A274:A275"/>
    <mergeCell ref="E274:E275"/>
    <mergeCell ref="H274:H275"/>
    <mergeCell ref="I274:I275"/>
    <mergeCell ref="J274:J275"/>
    <mergeCell ref="K274:K275"/>
    <mergeCell ref="L274:L275"/>
    <mergeCell ref="M274:M275"/>
    <mergeCell ref="Z260:Z261"/>
    <mergeCell ref="AA260:AA261"/>
    <mergeCell ref="AB260:AB261"/>
    <mergeCell ref="A262:A263"/>
    <mergeCell ref="E262:E263"/>
    <mergeCell ref="H262:H263"/>
    <mergeCell ref="I262:I263"/>
    <mergeCell ref="J262:J263"/>
    <mergeCell ref="K262:K263"/>
    <mergeCell ref="L262:L263"/>
    <mergeCell ref="M262:M263"/>
    <mergeCell ref="N262:N263"/>
    <mergeCell ref="X262:X263"/>
    <mergeCell ref="Y262:Y263"/>
    <mergeCell ref="Z262:Z263"/>
    <mergeCell ref="AA262:AA263"/>
    <mergeCell ref="AB262:AB263"/>
    <mergeCell ref="A260:A261"/>
    <mergeCell ref="E260:E261"/>
    <mergeCell ref="H260:H261"/>
    <mergeCell ref="I260:I261"/>
    <mergeCell ref="J260:J261"/>
    <mergeCell ref="K260:K261"/>
    <mergeCell ref="L260:L261"/>
    <mergeCell ref="M260:M261"/>
    <mergeCell ref="N260:N261"/>
    <mergeCell ref="O270:O271"/>
    <mergeCell ref="O272:O273"/>
    <mergeCell ref="X268:X269"/>
    <mergeCell ref="Y268:Y269"/>
    <mergeCell ref="Z268:Z269"/>
    <mergeCell ref="AA268:AA269"/>
    <mergeCell ref="AB268:AB269"/>
    <mergeCell ref="A270:A271"/>
    <mergeCell ref="E270:E271"/>
    <mergeCell ref="H270:H271"/>
    <mergeCell ref="I270:I271"/>
    <mergeCell ref="J270:J271"/>
    <mergeCell ref="K270:K271"/>
    <mergeCell ref="L270:L271"/>
    <mergeCell ref="M270:M271"/>
    <mergeCell ref="N270:N271"/>
    <mergeCell ref="X270:X271"/>
    <mergeCell ref="Y270:Y271"/>
    <mergeCell ref="Z270:Z271"/>
    <mergeCell ref="AA270:AA271"/>
    <mergeCell ref="AB270:AB271"/>
    <mergeCell ref="A268:A269"/>
    <mergeCell ref="E268:E269"/>
    <mergeCell ref="H268:H269"/>
    <mergeCell ref="I268:I269"/>
    <mergeCell ref="J268:J269"/>
    <mergeCell ref="K268:K269"/>
    <mergeCell ref="L268:L269"/>
    <mergeCell ref="M268:M269"/>
    <mergeCell ref="N268:N269"/>
    <mergeCell ref="O266:O267"/>
    <mergeCell ref="O268:O269"/>
    <mergeCell ref="O258:O259"/>
    <mergeCell ref="O260:O261"/>
    <mergeCell ref="X256:X257"/>
    <mergeCell ref="Y256:Y257"/>
    <mergeCell ref="Z256:Z257"/>
    <mergeCell ref="AA256:AA257"/>
    <mergeCell ref="AB256:AB257"/>
    <mergeCell ref="A258:A259"/>
    <mergeCell ref="E258:E259"/>
    <mergeCell ref="H258:H259"/>
    <mergeCell ref="I258:I259"/>
    <mergeCell ref="J258:J259"/>
    <mergeCell ref="K258:K259"/>
    <mergeCell ref="L258:L259"/>
    <mergeCell ref="M258:M259"/>
    <mergeCell ref="N258:N259"/>
    <mergeCell ref="X258:X259"/>
    <mergeCell ref="Y258:Y259"/>
    <mergeCell ref="Z258:Z259"/>
    <mergeCell ref="AA258:AA259"/>
    <mergeCell ref="AB258:AB259"/>
    <mergeCell ref="A256:A257"/>
    <mergeCell ref="E256:E257"/>
    <mergeCell ref="H256:H257"/>
    <mergeCell ref="I256:I257"/>
    <mergeCell ref="J256:J257"/>
    <mergeCell ref="K256:K257"/>
    <mergeCell ref="L256:L257"/>
    <mergeCell ref="M256:M257"/>
    <mergeCell ref="N256:N257"/>
    <mergeCell ref="O254:O255"/>
    <mergeCell ref="O256:O257"/>
    <mergeCell ref="X264:X265"/>
    <mergeCell ref="Y264:Y265"/>
    <mergeCell ref="Z264:Z265"/>
    <mergeCell ref="AA264:AA265"/>
    <mergeCell ref="AB264:AB265"/>
    <mergeCell ref="A254:A255"/>
    <mergeCell ref="E254:E255"/>
    <mergeCell ref="H254:H255"/>
    <mergeCell ref="I254:I255"/>
    <mergeCell ref="J254:J255"/>
    <mergeCell ref="K254:K255"/>
    <mergeCell ref="L254:L255"/>
    <mergeCell ref="M254:M255"/>
    <mergeCell ref="N254:N255"/>
    <mergeCell ref="X254:X255"/>
    <mergeCell ref="Y254:Y255"/>
    <mergeCell ref="Z254:Z255"/>
    <mergeCell ref="AA254:AA255"/>
    <mergeCell ref="AB254:AB255"/>
    <mergeCell ref="A264:A265"/>
    <mergeCell ref="E264:E265"/>
    <mergeCell ref="H264:H265"/>
    <mergeCell ref="I264:I265"/>
    <mergeCell ref="J264:J265"/>
    <mergeCell ref="K264:K265"/>
    <mergeCell ref="L264:L265"/>
    <mergeCell ref="M264:M265"/>
    <mergeCell ref="N264:N265"/>
    <mergeCell ref="O262:O263"/>
    <mergeCell ref="O264:O265"/>
    <mergeCell ref="X260:X261"/>
    <mergeCell ref="Y260:Y261"/>
    <mergeCell ref="X252:X253"/>
    <mergeCell ref="Y252:Y253"/>
    <mergeCell ref="Z252:Z253"/>
    <mergeCell ref="AA252:AA253"/>
    <mergeCell ref="AB252:AB253"/>
    <mergeCell ref="A242:A243"/>
    <mergeCell ref="E242:E243"/>
    <mergeCell ref="H242:H243"/>
    <mergeCell ref="I242:I243"/>
    <mergeCell ref="J242:J243"/>
    <mergeCell ref="K242:K243"/>
    <mergeCell ref="L242:L243"/>
    <mergeCell ref="M242:M243"/>
    <mergeCell ref="N242:N243"/>
    <mergeCell ref="X242:X243"/>
    <mergeCell ref="Y242:Y243"/>
    <mergeCell ref="Z242:Z243"/>
    <mergeCell ref="AA242:AA243"/>
    <mergeCell ref="AB242:AB243"/>
    <mergeCell ref="A252:A253"/>
    <mergeCell ref="E252:E253"/>
    <mergeCell ref="H252:H253"/>
    <mergeCell ref="I252:I253"/>
    <mergeCell ref="J252:J253"/>
    <mergeCell ref="K252:K253"/>
    <mergeCell ref="L252:L253"/>
    <mergeCell ref="M252:M253"/>
    <mergeCell ref="N252:N253"/>
    <mergeCell ref="O250:O251"/>
    <mergeCell ref="O252:O253"/>
    <mergeCell ref="X248:X249"/>
    <mergeCell ref="Y248:Y249"/>
    <mergeCell ref="Z248:Z249"/>
    <mergeCell ref="AA248:AA249"/>
    <mergeCell ref="AB248:AB249"/>
    <mergeCell ref="A250:A251"/>
    <mergeCell ref="E250:E251"/>
    <mergeCell ref="H250:H251"/>
    <mergeCell ref="I250:I251"/>
    <mergeCell ref="J250:J251"/>
    <mergeCell ref="K250:K251"/>
    <mergeCell ref="L250:L251"/>
    <mergeCell ref="M250:M251"/>
    <mergeCell ref="N250:N251"/>
    <mergeCell ref="X250:X251"/>
    <mergeCell ref="Y250:Y251"/>
    <mergeCell ref="Z250:Z251"/>
    <mergeCell ref="AA250:AA251"/>
    <mergeCell ref="AB250:AB251"/>
    <mergeCell ref="A248:A249"/>
    <mergeCell ref="E248:E249"/>
    <mergeCell ref="H248:H249"/>
    <mergeCell ref="I248:I249"/>
    <mergeCell ref="J248:J249"/>
    <mergeCell ref="K248:K249"/>
    <mergeCell ref="L248:L249"/>
    <mergeCell ref="M248:M249"/>
    <mergeCell ref="N248:N249"/>
    <mergeCell ref="Z238:Z239"/>
    <mergeCell ref="AA238:AA239"/>
    <mergeCell ref="AB238:AB239"/>
    <mergeCell ref="A236:A237"/>
    <mergeCell ref="E236:E237"/>
    <mergeCell ref="H236:H237"/>
    <mergeCell ref="I236:I237"/>
    <mergeCell ref="J236:J237"/>
    <mergeCell ref="K236:K237"/>
    <mergeCell ref="L236:L237"/>
    <mergeCell ref="M236:M237"/>
    <mergeCell ref="N236:N237"/>
    <mergeCell ref="O246:O247"/>
    <mergeCell ref="O248:O249"/>
    <mergeCell ref="X244:X245"/>
    <mergeCell ref="Y244:Y245"/>
    <mergeCell ref="Z244:Z245"/>
    <mergeCell ref="AA244:AA245"/>
    <mergeCell ref="AB244:AB245"/>
    <mergeCell ref="A246:A247"/>
    <mergeCell ref="E246:E247"/>
    <mergeCell ref="H246:H247"/>
    <mergeCell ref="I246:I247"/>
    <mergeCell ref="J246:J247"/>
    <mergeCell ref="K246:K247"/>
    <mergeCell ref="L246:L247"/>
    <mergeCell ref="M246:M247"/>
    <mergeCell ref="N246:N247"/>
    <mergeCell ref="X246:X247"/>
    <mergeCell ref="Y246:Y247"/>
    <mergeCell ref="Z246:Z247"/>
    <mergeCell ref="AA246:AA247"/>
    <mergeCell ref="AB246:AB247"/>
    <mergeCell ref="A244:A245"/>
    <mergeCell ref="E244:E245"/>
    <mergeCell ref="H244:H245"/>
    <mergeCell ref="I244:I245"/>
    <mergeCell ref="J244:J245"/>
    <mergeCell ref="K244:K245"/>
    <mergeCell ref="L244:L245"/>
    <mergeCell ref="M244:M245"/>
    <mergeCell ref="N244:N245"/>
    <mergeCell ref="O242:O243"/>
    <mergeCell ref="O244:O245"/>
    <mergeCell ref="O234:O235"/>
    <mergeCell ref="O236:O237"/>
    <mergeCell ref="X232:X233"/>
    <mergeCell ref="Y232:Y233"/>
    <mergeCell ref="Z232:Z233"/>
    <mergeCell ref="AA232:AA233"/>
    <mergeCell ref="AB232:AB233"/>
    <mergeCell ref="A234:A235"/>
    <mergeCell ref="E234:E235"/>
    <mergeCell ref="H234:H235"/>
    <mergeCell ref="I234:I235"/>
    <mergeCell ref="J234:J235"/>
    <mergeCell ref="K234:K235"/>
    <mergeCell ref="L234:L235"/>
    <mergeCell ref="M234:M235"/>
    <mergeCell ref="N234:N235"/>
    <mergeCell ref="X234:X235"/>
    <mergeCell ref="Y234:Y235"/>
    <mergeCell ref="Z234:Z235"/>
    <mergeCell ref="AA234:AA235"/>
    <mergeCell ref="AB234:AB235"/>
    <mergeCell ref="A232:A233"/>
    <mergeCell ref="E232:E233"/>
    <mergeCell ref="H232:H233"/>
    <mergeCell ref="I232:I233"/>
    <mergeCell ref="J232:J233"/>
    <mergeCell ref="K232:K233"/>
    <mergeCell ref="L232:L233"/>
    <mergeCell ref="M232:M233"/>
    <mergeCell ref="N232:N233"/>
    <mergeCell ref="O230:O231"/>
    <mergeCell ref="O232:O233"/>
    <mergeCell ref="X240:X241"/>
    <mergeCell ref="Y240:Y241"/>
    <mergeCell ref="Z240:Z241"/>
    <mergeCell ref="AA240:AA241"/>
    <mergeCell ref="AB240:AB241"/>
    <mergeCell ref="A240:A241"/>
    <mergeCell ref="E240:E241"/>
    <mergeCell ref="H240:H241"/>
    <mergeCell ref="I240:I241"/>
    <mergeCell ref="J240:J241"/>
    <mergeCell ref="K240:K241"/>
    <mergeCell ref="L240:L241"/>
    <mergeCell ref="M240:M241"/>
    <mergeCell ref="N240:N241"/>
    <mergeCell ref="O238:O239"/>
    <mergeCell ref="O240:O241"/>
    <mergeCell ref="X236:X237"/>
    <mergeCell ref="Y236:Y237"/>
    <mergeCell ref="Z236:Z237"/>
    <mergeCell ref="AA236:AA237"/>
    <mergeCell ref="AB236:AB237"/>
    <mergeCell ref="A238:A239"/>
    <mergeCell ref="E238:E239"/>
    <mergeCell ref="H238:H239"/>
    <mergeCell ref="I238:I239"/>
    <mergeCell ref="J238:J239"/>
    <mergeCell ref="K238:K239"/>
    <mergeCell ref="L238:L239"/>
    <mergeCell ref="M238:M239"/>
    <mergeCell ref="N238:N239"/>
    <mergeCell ref="X238:X239"/>
    <mergeCell ref="Y238:Y239"/>
    <mergeCell ref="X228:X229"/>
    <mergeCell ref="Y228:Y229"/>
    <mergeCell ref="Z228:Z229"/>
    <mergeCell ref="AA228:AA229"/>
    <mergeCell ref="AB228:AB229"/>
    <mergeCell ref="A230:A231"/>
    <mergeCell ref="E230:E231"/>
    <mergeCell ref="H230:H231"/>
    <mergeCell ref="I230:I231"/>
    <mergeCell ref="J230:J231"/>
    <mergeCell ref="K230:K231"/>
    <mergeCell ref="L230:L231"/>
    <mergeCell ref="M230:M231"/>
    <mergeCell ref="N230:N231"/>
    <mergeCell ref="X230:X231"/>
    <mergeCell ref="Y230:Y231"/>
    <mergeCell ref="Z230:Z231"/>
    <mergeCell ref="AA230:AA231"/>
    <mergeCell ref="AB230:AB231"/>
    <mergeCell ref="A228:A229"/>
    <mergeCell ref="E228:E229"/>
    <mergeCell ref="H228:H229"/>
    <mergeCell ref="I228:I229"/>
    <mergeCell ref="J228:J229"/>
    <mergeCell ref="K228:K229"/>
    <mergeCell ref="L228:L229"/>
    <mergeCell ref="M228:M229"/>
    <mergeCell ref="N228:N229"/>
    <mergeCell ref="O226:O227"/>
    <mergeCell ref="O228:O229"/>
    <mergeCell ref="X224:X225"/>
    <mergeCell ref="Y224:Y225"/>
    <mergeCell ref="Z224:Z225"/>
    <mergeCell ref="AA224:AA225"/>
    <mergeCell ref="AB224:AB225"/>
    <mergeCell ref="A226:A227"/>
    <mergeCell ref="E226:E227"/>
    <mergeCell ref="H226:H227"/>
    <mergeCell ref="I226:I227"/>
    <mergeCell ref="J226:J227"/>
    <mergeCell ref="K226:K227"/>
    <mergeCell ref="L226:L227"/>
    <mergeCell ref="M226:M227"/>
    <mergeCell ref="N226:N227"/>
    <mergeCell ref="X226:X227"/>
    <mergeCell ref="Y226:Y227"/>
    <mergeCell ref="Z226:Z227"/>
    <mergeCell ref="AA226:AA227"/>
    <mergeCell ref="AB226:AB227"/>
    <mergeCell ref="A224:A225"/>
    <mergeCell ref="E224:E225"/>
    <mergeCell ref="H224:H225"/>
    <mergeCell ref="I224:I225"/>
    <mergeCell ref="J224:J225"/>
    <mergeCell ref="K224:K225"/>
    <mergeCell ref="L224:L225"/>
    <mergeCell ref="M224:M225"/>
    <mergeCell ref="N224:N225"/>
    <mergeCell ref="Z216:Z217"/>
    <mergeCell ref="AA216:AA217"/>
    <mergeCell ref="AB216:AB217"/>
    <mergeCell ref="A214:A215"/>
    <mergeCell ref="E214:E215"/>
    <mergeCell ref="H214:H215"/>
    <mergeCell ref="I214:I215"/>
    <mergeCell ref="J214:J215"/>
    <mergeCell ref="K214:K215"/>
    <mergeCell ref="L214:L215"/>
    <mergeCell ref="M214:M215"/>
    <mergeCell ref="N214:N215"/>
    <mergeCell ref="O222:O223"/>
    <mergeCell ref="O224:O225"/>
    <mergeCell ref="X220:X221"/>
    <mergeCell ref="Y220:Y221"/>
    <mergeCell ref="Z220:Z221"/>
    <mergeCell ref="AA220:AA221"/>
    <mergeCell ref="AB220:AB221"/>
    <mergeCell ref="A222:A223"/>
    <mergeCell ref="E222:E223"/>
    <mergeCell ref="H222:H223"/>
    <mergeCell ref="I222:I223"/>
    <mergeCell ref="J222:J223"/>
    <mergeCell ref="K222:K223"/>
    <mergeCell ref="L222:L223"/>
    <mergeCell ref="M222:M223"/>
    <mergeCell ref="N222:N223"/>
    <mergeCell ref="X222:X223"/>
    <mergeCell ref="Y222:Y223"/>
    <mergeCell ref="Z222:Z223"/>
    <mergeCell ref="AA222:AA223"/>
    <mergeCell ref="AB222:AB223"/>
    <mergeCell ref="A220:A221"/>
    <mergeCell ref="E220:E221"/>
    <mergeCell ref="H220:H221"/>
    <mergeCell ref="I220:I221"/>
    <mergeCell ref="J220:J221"/>
    <mergeCell ref="K220:K221"/>
    <mergeCell ref="L220:L221"/>
    <mergeCell ref="M220:M221"/>
    <mergeCell ref="N220:N221"/>
    <mergeCell ref="O220:O221"/>
    <mergeCell ref="O212:O213"/>
    <mergeCell ref="O214:O215"/>
    <mergeCell ref="X210:X211"/>
    <mergeCell ref="Y210:Y211"/>
    <mergeCell ref="Z210:Z211"/>
    <mergeCell ref="AA210:AA211"/>
    <mergeCell ref="AB210:AB211"/>
    <mergeCell ref="A212:A213"/>
    <mergeCell ref="E212:E213"/>
    <mergeCell ref="H212:H213"/>
    <mergeCell ref="I212:I213"/>
    <mergeCell ref="J212:J213"/>
    <mergeCell ref="K212:K213"/>
    <mergeCell ref="L212:L213"/>
    <mergeCell ref="M212:M213"/>
    <mergeCell ref="N212:N213"/>
    <mergeCell ref="X212:X213"/>
    <mergeCell ref="Y212:Y213"/>
    <mergeCell ref="Z212:Z213"/>
    <mergeCell ref="AA212:AA213"/>
    <mergeCell ref="AB212:AB213"/>
    <mergeCell ref="A210:A211"/>
    <mergeCell ref="E210:E211"/>
    <mergeCell ref="H210:H211"/>
    <mergeCell ref="I210:I211"/>
    <mergeCell ref="J210:J211"/>
    <mergeCell ref="K210:K211"/>
    <mergeCell ref="L210:L211"/>
    <mergeCell ref="M210:M211"/>
    <mergeCell ref="N210:N211"/>
    <mergeCell ref="O208:O209"/>
    <mergeCell ref="O210:O211"/>
    <mergeCell ref="X218:X219"/>
    <mergeCell ref="Y218:Y219"/>
    <mergeCell ref="Z218:Z219"/>
    <mergeCell ref="AA218:AA219"/>
    <mergeCell ref="AB218:AB219"/>
    <mergeCell ref="A218:A219"/>
    <mergeCell ref="E218:E219"/>
    <mergeCell ref="H218:H219"/>
    <mergeCell ref="I218:I219"/>
    <mergeCell ref="J218:J219"/>
    <mergeCell ref="K218:K219"/>
    <mergeCell ref="L218:L219"/>
    <mergeCell ref="M218:M219"/>
    <mergeCell ref="N218:N219"/>
    <mergeCell ref="O216:O217"/>
    <mergeCell ref="O218:O219"/>
    <mergeCell ref="X214:X215"/>
    <mergeCell ref="Y214:Y215"/>
    <mergeCell ref="Z214:Z215"/>
    <mergeCell ref="AA214:AA215"/>
    <mergeCell ref="AB214:AB215"/>
    <mergeCell ref="A216:A217"/>
    <mergeCell ref="E216:E217"/>
    <mergeCell ref="H216:H217"/>
    <mergeCell ref="I216:I217"/>
    <mergeCell ref="J216:J217"/>
    <mergeCell ref="K216:K217"/>
    <mergeCell ref="L216:L217"/>
    <mergeCell ref="M216:M217"/>
    <mergeCell ref="N216:N217"/>
    <mergeCell ref="X216:X217"/>
    <mergeCell ref="Y216:Y217"/>
    <mergeCell ref="X206:X207"/>
    <mergeCell ref="Y206:Y207"/>
    <mergeCell ref="Z206:Z207"/>
    <mergeCell ref="AA206:AA207"/>
    <mergeCell ref="AB206:AB207"/>
    <mergeCell ref="A208:A209"/>
    <mergeCell ref="E208:E209"/>
    <mergeCell ref="H208:H209"/>
    <mergeCell ref="I208:I209"/>
    <mergeCell ref="J208:J209"/>
    <mergeCell ref="K208:K209"/>
    <mergeCell ref="L208:L209"/>
    <mergeCell ref="M208:M209"/>
    <mergeCell ref="N208:N209"/>
    <mergeCell ref="X208:X209"/>
    <mergeCell ref="Y208:Y209"/>
    <mergeCell ref="Z208:Z209"/>
    <mergeCell ref="AA208:AA209"/>
    <mergeCell ref="AB208:AB209"/>
    <mergeCell ref="A206:A207"/>
    <mergeCell ref="E206:E207"/>
    <mergeCell ref="H206:H207"/>
    <mergeCell ref="I206:I207"/>
    <mergeCell ref="J206:J207"/>
    <mergeCell ref="K206:K207"/>
    <mergeCell ref="L206:L207"/>
    <mergeCell ref="M206:M207"/>
    <mergeCell ref="N206:N207"/>
    <mergeCell ref="O204:O205"/>
    <mergeCell ref="O206:O207"/>
    <mergeCell ref="X202:X203"/>
    <mergeCell ref="Y202:Y203"/>
    <mergeCell ref="Z202:Z203"/>
    <mergeCell ref="AA202:AA203"/>
    <mergeCell ref="AB202:AB203"/>
    <mergeCell ref="A204:A205"/>
    <mergeCell ref="E204:E205"/>
    <mergeCell ref="H204:H205"/>
    <mergeCell ref="I204:I205"/>
    <mergeCell ref="J204:J205"/>
    <mergeCell ref="K204:K205"/>
    <mergeCell ref="L204:L205"/>
    <mergeCell ref="M204:M205"/>
    <mergeCell ref="N204:N205"/>
    <mergeCell ref="X204:X205"/>
    <mergeCell ref="Y204:Y205"/>
    <mergeCell ref="Z204:Z205"/>
    <mergeCell ref="AA204:AA205"/>
    <mergeCell ref="AB204:AB205"/>
    <mergeCell ref="A202:A203"/>
    <mergeCell ref="E202:E203"/>
    <mergeCell ref="H202:H203"/>
    <mergeCell ref="I202:I203"/>
    <mergeCell ref="J202:J203"/>
    <mergeCell ref="K202:K203"/>
    <mergeCell ref="L202:L203"/>
    <mergeCell ref="M202:M203"/>
    <mergeCell ref="N202:N203"/>
    <mergeCell ref="O202:O203"/>
    <mergeCell ref="X198:X199"/>
    <mergeCell ref="Y198:Y199"/>
    <mergeCell ref="Z198:Z199"/>
    <mergeCell ref="AA198:AA199"/>
    <mergeCell ref="AB198:AB199"/>
    <mergeCell ref="A200:A201"/>
    <mergeCell ref="E200:E201"/>
    <mergeCell ref="H200:H201"/>
    <mergeCell ref="I200:I201"/>
    <mergeCell ref="J200:J201"/>
    <mergeCell ref="K200:K201"/>
    <mergeCell ref="L200:L201"/>
    <mergeCell ref="M200:M201"/>
    <mergeCell ref="N200:N201"/>
    <mergeCell ref="X200:X201"/>
    <mergeCell ref="Y200:Y201"/>
    <mergeCell ref="Z200:Z201"/>
    <mergeCell ref="AA200:AA201"/>
    <mergeCell ref="AB200:AB201"/>
    <mergeCell ref="A198:A199"/>
    <mergeCell ref="E198:E199"/>
    <mergeCell ref="H198:H199"/>
    <mergeCell ref="I198:I199"/>
    <mergeCell ref="J198:J199"/>
    <mergeCell ref="K198:K199"/>
    <mergeCell ref="L198:L199"/>
    <mergeCell ref="M198:M199"/>
    <mergeCell ref="N198:N199"/>
    <mergeCell ref="X194:X195"/>
    <mergeCell ref="Y194:Y195"/>
    <mergeCell ref="Z194:Z195"/>
    <mergeCell ref="AA194:AA195"/>
    <mergeCell ref="AB194:AB195"/>
    <mergeCell ref="A196:A197"/>
    <mergeCell ref="E196:E197"/>
    <mergeCell ref="H196:H197"/>
    <mergeCell ref="I196:I197"/>
    <mergeCell ref="J196:J197"/>
    <mergeCell ref="K196:K197"/>
    <mergeCell ref="L196:L197"/>
    <mergeCell ref="M196:M197"/>
    <mergeCell ref="N196:N197"/>
    <mergeCell ref="X196:X197"/>
    <mergeCell ref="Y196:Y197"/>
    <mergeCell ref="Z196:Z197"/>
    <mergeCell ref="AA196:AA197"/>
    <mergeCell ref="AB196:AB197"/>
    <mergeCell ref="A194:A195"/>
    <mergeCell ref="E194:E195"/>
    <mergeCell ref="H194:H195"/>
    <mergeCell ref="I194:I195"/>
    <mergeCell ref="J194:J195"/>
    <mergeCell ref="K194:K195"/>
    <mergeCell ref="L194:L195"/>
    <mergeCell ref="M194:M195"/>
    <mergeCell ref="N194:N195"/>
    <mergeCell ref="O194:O195"/>
    <mergeCell ref="O196:O197"/>
    <mergeCell ref="O198:O199"/>
    <mergeCell ref="O200:O201"/>
    <mergeCell ref="O182:O183"/>
    <mergeCell ref="O184:O185"/>
    <mergeCell ref="X190:X191"/>
    <mergeCell ref="Y190:Y191"/>
    <mergeCell ref="Z190:Z191"/>
    <mergeCell ref="AA190:AA191"/>
    <mergeCell ref="AB190:AB191"/>
    <mergeCell ref="A192:A193"/>
    <mergeCell ref="E192:E193"/>
    <mergeCell ref="H192:H193"/>
    <mergeCell ref="I192:I193"/>
    <mergeCell ref="J192:J193"/>
    <mergeCell ref="K192:K193"/>
    <mergeCell ref="L192:L193"/>
    <mergeCell ref="M192:M193"/>
    <mergeCell ref="N192:N193"/>
    <mergeCell ref="X192:X193"/>
    <mergeCell ref="Y192:Y193"/>
    <mergeCell ref="Z192:Z193"/>
    <mergeCell ref="AA192:AA193"/>
    <mergeCell ref="AB192:AB193"/>
    <mergeCell ref="A190:A191"/>
    <mergeCell ref="E190:E191"/>
    <mergeCell ref="H190:H191"/>
    <mergeCell ref="I190:I191"/>
    <mergeCell ref="J190:J191"/>
    <mergeCell ref="K190:K191"/>
    <mergeCell ref="L190:L191"/>
    <mergeCell ref="M190:M191"/>
    <mergeCell ref="N190:N191"/>
    <mergeCell ref="X186:X187"/>
    <mergeCell ref="Y186:Y187"/>
    <mergeCell ref="Z186:Z187"/>
    <mergeCell ref="AA186:AA187"/>
    <mergeCell ref="AB186:AB187"/>
    <mergeCell ref="A188:A189"/>
    <mergeCell ref="E188:E189"/>
    <mergeCell ref="H188:H189"/>
    <mergeCell ref="I188:I189"/>
    <mergeCell ref="J188:J189"/>
    <mergeCell ref="K188:K189"/>
    <mergeCell ref="L188:L189"/>
    <mergeCell ref="M188:M189"/>
    <mergeCell ref="N188:N189"/>
    <mergeCell ref="X188:X189"/>
    <mergeCell ref="Y188:Y189"/>
    <mergeCell ref="Z188:Z189"/>
    <mergeCell ref="AA188:AA189"/>
    <mergeCell ref="AB188:AB189"/>
    <mergeCell ref="A186:A187"/>
    <mergeCell ref="E186:E187"/>
    <mergeCell ref="H186:H187"/>
    <mergeCell ref="I186:I187"/>
    <mergeCell ref="J186:J187"/>
    <mergeCell ref="K186:K187"/>
    <mergeCell ref="L186:L187"/>
    <mergeCell ref="M186:M187"/>
    <mergeCell ref="N186:N187"/>
    <mergeCell ref="O186:O187"/>
    <mergeCell ref="O188:O189"/>
    <mergeCell ref="O190:O191"/>
    <mergeCell ref="O192:O193"/>
    <mergeCell ref="M170:M171"/>
    <mergeCell ref="N170:N171"/>
    <mergeCell ref="O170:O171"/>
    <mergeCell ref="O172:O173"/>
    <mergeCell ref="O174:O175"/>
    <mergeCell ref="O176:O177"/>
    <mergeCell ref="X182:X183"/>
    <mergeCell ref="Y182:Y183"/>
    <mergeCell ref="Z182:Z183"/>
    <mergeCell ref="AA182:AA183"/>
    <mergeCell ref="AB182:AB183"/>
    <mergeCell ref="A184:A185"/>
    <mergeCell ref="E184:E185"/>
    <mergeCell ref="H184:H185"/>
    <mergeCell ref="I184:I185"/>
    <mergeCell ref="J184:J185"/>
    <mergeCell ref="K184:K185"/>
    <mergeCell ref="L184:L185"/>
    <mergeCell ref="M184:M185"/>
    <mergeCell ref="N184:N185"/>
    <mergeCell ref="X184:X185"/>
    <mergeCell ref="Y184:Y185"/>
    <mergeCell ref="Z184:Z185"/>
    <mergeCell ref="AA184:AA185"/>
    <mergeCell ref="AB184:AB185"/>
    <mergeCell ref="A182:A183"/>
    <mergeCell ref="E182:E183"/>
    <mergeCell ref="H182:H183"/>
    <mergeCell ref="I182:I183"/>
    <mergeCell ref="J182:J183"/>
    <mergeCell ref="K182:K183"/>
    <mergeCell ref="L182:L183"/>
    <mergeCell ref="M182:M183"/>
    <mergeCell ref="N182:N183"/>
    <mergeCell ref="X178:X179"/>
    <mergeCell ref="Y178:Y179"/>
    <mergeCell ref="Z178:Z179"/>
    <mergeCell ref="AA178:AA179"/>
    <mergeCell ref="AB178:AB179"/>
    <mergeCell ref="A180:A181"/>
    <mergeCell ref="E180:E181"/>
    <mergeCell ref="H180:H181"/>
    <mergeCell ref="I180:I181"/>
    <mergeCell ref="J180:J181"/>
    <mergeCell ref="K180:K181"/>
    <mergeCell ref="L180:L181"/>
    <mergeCell ref="M180:M181"/>
    <mergeCell ref="N180:N181"/>
    <mergeCell ref="X180:X181"/>
    <mergeCell ref="Y180:Y181"/>
    <mergeCell ref="Z180:Z181"/>
    <mergeCell ref="AA180:AA181"/>
    <mergeCell ref="AB180:AB181"/>
    <mergeCell ref="A178:A179"/>
    <mergeCell ref="E178:E179"/>
    <mergeCell ref="H178:H179"/>
    <mergeCell ref="I178:I179"/>
    <mergeCell ref="J178:J179"/>
    <mergeCell ref="K178:K179"/>
    <mergeCell ref="L178:L179"/>
    <mergeCell ref="M178:M179"/>
    <mergeCell ref="N178:N179"/>
    <mergeCell ref="O178:O179"/>
    <mergeCell ref="O180:O181"/>
    <mergeCell ref="I162:I163"/>
    <mergeCell ref="J162:J163"/>
    <mergeCell ref="K162:K163"/>
    <mergeCell ref="L162:L163"/>
    <mergeCell ref="M162:M163"/>
    <mergeCell ref="N162:N163"/>
    <mergeCell ref="O162:O163"/>
    <mergeCell ref="O164:O165"/>
    <mergeCell ref="O166:O167"/>
    <mergeCell ref="O168:O169"/>
    <mergeCell ref="X174:X175"/>
    <mergeCell ref="Y174:Y175"/>
    <mergeCell ref="Z174:Z175"/>
    <mergeCell ref="AA174:AA175"/>
    <mergeCell ref="AB174:AB175"/>
    <mergeCell ref="A176:A177"/>
    <mergeCell ref="E176:E177"/>
    <mergeCell ref="H176:H177"/>
    <mergeCell ref="I176:I177"/>
    <mergeCell ref="J176:J177"/>
    <mergeCell ref="K176:K177"/>
    <mergeCell ref="L176:L177"/>
    <mergeCell ref="M176:M177"/>
    <mergeCell ref="N176:N177"/>
    <mergeCell ref="X176:X177"/>
    <mergeCell ref="Y176:Y177"/>
    <mergeCell ref="Z176:Z177"/>
    <mergeCell ref="AA176:AA177"/>
    <mergeCell ref="AB176:AB177"/>
    <mergeCell ref="A174:A175"/>
    <mergeCell ref="E174:E175"/>
    <mergeCell ref="H174:H175"/>
    <mergeCell ref="I174:I175"/>
    <mergeCell ref="J174:J175"/>
    <mergeCell ref="K174:K175"/>
    <mergeCell ref="L174:L175"/>
    <mergeCell ref="M174:M175"/>
    <mergeCell ref="N174:N175"/>
    <mergeCell ref="X170:X171"/>
    <mergeCell ref="Y170:Y171"/>
    <mergeCell ref="Z170:Z171"/>
    <mergeCell ref="AA170:AA171"/>
    <mergeCell ref="AB170:AB171"/>
    <mergeCell ref="A172:A173"/>
    <mergeCell ref="E172:E173"/>
    <mergeCell ref="H172:H173"/>
    <mergeCell ref="I172:I173"/>
    <mergeCell ref="J172:J173"/>
    <mergeCell ref="K172:K173"/>
    <mergeCell ref="L172:L173"/>
    <mergeCell ref="M172:M173"/>
    <mergeCell ref="N172:N173"/>
    <mergeCell ref="X172:X173"/>
    <mergeCell ref="Y172:Y173"/>
    <mergeCell ref="Z172:Z173"/>
    <mergeCell ref="AA172:AA173"/>
    <mergeCell ref="AB172:AB173"/>
    <mergeCell ref="A170:A171"/>
    <mergeCell ref="E170:E171"/>
    <mergeCell ref="H170:H171"/>
    <mergeCell ref="I170:I171"/>
    <mergeCell ref="J170:J171"/>
    <mergeCell ref="K170:K171"/>
    <mergeCell ref="L170:L171"/>
    <mergeCell ref="AB156:AB157"/>
    <mergeCell ref="A154:A155"/>
    <mergeCell ref="E154:E155"/>
    <mergeCell ref="H154:H155"/>
    <mergeCell ref="I154:I155"/>
    <mergeCell ref="J154:J155"/>
    <mergeCell ref="K154:K155"/>
    <mergeCell ref="L154:L155"/>
    <mergeCell ref="M154:M155"/>
    <mergeCell ref="N154:N155"/>
    <mergeCell ref="O154:O155"/>
    <mergeCell ref="O156:O157"/>
    <mergeCell ref="O158:O159"/>
    <mergeCell ref="O160:O161"/>
    <mergeCell ref="X166:X167"/>
    <mergeCell ref="Y166:Y167"/>
    <mergeCell ref="Z166:Z167"/>
    <mergeCell ref="AA166:AA167"/>
    <mergeCell ref="AB166:AB167"/>
    <mergeCell ref="A168:A169"/>
    <mergeCell ref="E168:E169"/>
    <mergeCell ref="H168:H169"/>
    <mergeCell ref="I168:I169"/>
    <mergeCell ref="J168:J169"/>
    <mergeCell ref="K168:K169"/>
    <mergeCell ref="L168:L169"/>
    <mergeCell ref="M168:M169"/>
    <mergeCell ref="N168:N169"/>
    <mergeCell ref="X168:X169"/>
    <mergeCell ref="Y168:Y169"/>
    <mergeCell ref="Z168:Z169"/>
    <mergeCell ref="AA168:AA169"/>
    <mergeCell ref="AB168:AB169"/>
    <mergeCell ref="A166:A167"/>
    <mergeCell ref="E166:E167"/>
    <mergeCell ref="H166:H167"/>
    <mergeCell ref="I166:I167"/>
    <mergeCell ref="J166:J167"/>
    <mergeCell ref="K166:K167"/>
    <mergeCell ref="L166:L167"/>
    <mergeCell ref="M166:M167"/>
    <mergeCell ref="N166:N167"/>
    <mergeCell ref="X162:X163"/>
    <mergeCell ref="Y162:Y163"/>
    <mergeCell ref="Z162:Z163"/>
    <mergeCell ref="AA162:AA163"/>
    <mergeCell ref="AB162:AB163"/>
    <mergeCell ref="A164:A165"/>
    <mergeCell ref="E164:E165"/>
    <mergeCell ref="H164:H165"/>
    <mergeCell ref="I164:I165"/>
    <mergeCell ref="J164:J165"/>
    <mergeCell ref="K164:K165"/>
    <mergeCell ref="L164:L165"/>
    <mergeCell ref="M164:M165"/>
    <mergeCell ref="N164:N165"/>
    <mergeCell ref="X164:X165"/>
    <mergeCell ref="Y164:Y165"/>
    <mergeCell ref="Z164:Z165"/>
    <mergeCell ref="AA164:AA165"/>
    <mergeCell ref="AB164:AB165"/>
    <mergeCell ref="A162:A163"/>
    <mergeCell ref="E162:E163"/>
    <mergeCell ref="H162:H163"/>
    <mergeCell ref="A144:A145"/>
    <mergeCell ref="E144:E145"/>
    <mergeCell ref="H144:H145"/>
    <mergeCell ref="I144:I145"/>
    <mergeCell ref="J144:J145"/>
    <mergeCell ref="O140:O141"/>
    <mergeCell ref="O142:O143"/>
    <mergeCell ref="O144:O145"/>
    <mergeCell ref="O146:O147"/>
    <mergeCell ref="K144:K145"/>
    <mergeCell ref="L144:L145"/>
    <mergeCell ref="M144:M145"/>
    <mergeCell ref="N144:N145"/>
    <mergeCell ref="X144:X145"/>
    <mergeCell ref="Y144:Y145"/>
    <mergeCell ref="Z144:Z145"/>
    <mergeCell ref="AA144:AA145"/>
    <mergeCell ref="AB144:AB145"/>
    <mergeCell ref="X158:X159"/>
    <mergeCell ref="Y158:Y159"/>
    <mergeCell ref="Z158:Z159"/>
    <mergeCell ref="AA158:AA159"/>
    <mergeCell ref="AB158:AB159"/>
    <mergeCell ref="A160:A161"/>
    <mergeCell ref="E160:E161"/>
    <mergeCell ref="H160:H161"/>
    <mergeCell ref="I160:I161"/>
    <mergeCell ref="J160:J161"/>
    <mergeCell ref="K160:K161"/>
    <mergeCell ref="L160:L161"/>
    <mergeCell ref="M160:M161"/>
    <mergeCell ref="N160:N161"/>
    <mergeCell ref="X160:X161"/>
    <mergeCell ref="Y160:Y161"/>
    <mergeCell ref="Z160:Z161"/>
    <mergeCell ref="AA160:AA161"/>
    <mergeCell ref="AB160:AB161"/>
    <mergeCell ref="A158:A159"/>
    <mergeCell ref="E158:E159"/>
    <mergeCell ref="H158:H159"/>
    <mergeCell ref="I158:I159"/>
    <mergeCell ref="J158:J159"/>
    <mergeCell ref="K158:K159"/>
    <mergeCell ref="L158:L159"/>
    <mergeCell ref="M158:M159"/>
    <mergeCell ref="N158:N159"/>
    <mergeCell ref="X154:X155"/>
    <mergeCell ref="Y154:Y155"/>
    <mergeCell ref="Z154:Z155"/>
    <mergeCell ref="AA154:AA155"/>
    <mergeCell ref="AB154:AB155"/>
    <mergeCell ref="A156:A157"/>
    <mergeCell ref="E156:E157"/>
    <mergeCell ref="H156:H157"/>
    <mergeCell ref="I156:I157"/>
    <mergeCell ref="J156:J157"/>
    <mergeCell ref="K156:K157"/>
    <mergeCell ref="L156:L157"/>
    <mergeCell ref="M156:M157"/>
    <mergeCell ref="N156:N157"/>
    <mergeCell ref="X156:X157"/>
    <mergeCell ref="Y156:Y157"/>
    <mergeCell ref="Z156:Z157"/>
    <mergeCell ref="AA156:AA157"/>
    <mergeCell ref="K142:K143"/>
    <mergeCell ref="L142:L143"/>
    <mergeCell ref="O138:O139"/>
    <mergeCell ref="A136:A137"/>
    <mergeCell ref="E136:E137"/>
    <mergeCell ref="H136:H137"/>
    <mergeCell ref="I136:I137"/>
    <mergeCell ref="J136:J137"/>
    <mergeCell ref="K136:K137"/>
    <mergeCell ref="L136:L137"/>
    <mergeCell ref="M136:M137"/>
    <mergeCell ref="N136:N137"/>
    <mergeCell ref="X136:X137"/>
    <mergeCell ref="AA138:AA139"/>
    <mergeCell ref="M142:M143"/>
    <mergeCell ref="N142:N143"/>
    <mergeCell ref="L138:L139"/>
    <mergeCell ref="X142:X143"/>
    <mergeCell ref="A140:A141"/>
    <mergeCell ref="A152:A153"/>
    <mergeCell ref="E152:E153"/>
    <mergeCell ref="H152:H153"/>
    <mergeCell ref="I152:I153"/>
    <mergeCell ref="J152:J153"/>
    <mergeCell ref="K152:K153"/>
    <mergeCell ref="L152:L153"/>
    <mergeCell ref="M152:M153"/>
    <mergeCell ref="N152:N153"/>
    <mergeCell ref="X152:X153"/>
    <mergeCell ref="Y152:Y153"/>
    <mergeCell ref="Z152:Z153"/>
    <mergeCell ref="AA152:AA153"/>
    <mergeCell ref="AB152:AB153"/>
    <mergeCell ref="A150:A151"/>
    <mergeCell ref="E150:E151"/>
    <mergeCell ref="H150:H151"/>
    <mergeCell ref="I150:I151"/>
    <mergeCell ref="J150:J151"/>
    <mergeCell ref="K150:K151"/>
    <mergeCell ref="L150:L151"/>
    <mergeCell ref="M150:M151"/>
    <mergeCell ref="N150:N151"/>
    <mergeCell ref="X150:X151"/>
    <mergeCell ref="H148:H149"/>
    <mergeCell ref="I148:I149"/>
    <mergeCell ref="J148:J149"/>
    <mergeCell ref="K148:K149"/>
    <mergeCell ref="L148:L149"/>
    <mergeCell ref="M148:M149"/>
    <mergeCell ref="N148:N149"/>
    <mergeCell ref="X148:X149"/>
    <mergeCell ref="Y148:Y149"/>
    <mergeCell ref="Z148:Z149"/>
    <mergeCell ref="AA148:AA149"/>
    <mergeCell ref="O148:O149"/>
    <mergeCell ref="O150:O151"/>
    <mergeCell ref="O152:O153"/>
    <mergeCell ref="Y150:Y151"/>
    <mergeCell ref="Z150:Z151"/>
    <mergeCell ref="AA150:AA151"/>
    <mergeCell ref="AB150:AB151"/>
    <mergeCell ref="AB148:AB149"/>
    <mergeCell ref="A148:A149"/>
    <mergeCell ref="E148:E149"/>
    <mergeCell ref="Z132:Z133"/>
    <mergeCell ref="AA132:AA133"/>
    <mergeCell ref="AB132:AB133"/>
    <mergeCell ref="O130:O131"/>
    <mergeCell ref="O132:O133"/>
    <mergeCell ref="X134:X135"/>
    <mergeCell ref="Y134:Y135"/>
    <mergeCell ref="Z134:Z135"/>
    <mergeCell ref="AA134:AA135"/>
    <mergeCell ref="AB134:AB135"/>
    <mergeCell ref="A130:A131"/>
    <mergeCell ref="E130:E131"/>
    <mergeCell ref="H130:H131"/>
    <mergeCell ref="I130:I131"/>
    <mergeCell ref="J130:J131"/>
    <mergeCell ref="K130:K131"/>
    <mergeCell ref="L130:L131"/>
    <mergeCell ref="M130:M131"/>
    <mergeCell ref="N130:N131"/>
    <mergeCell ref="X146:X147"/>
    <mergeCell ref="Y146:Y147"/>
    <mergeCell ref="Z146:Z147"/>
    <mergeCell ref="AA146:AA147"/>
    <mergeCell ref="AB146:AB147"/>
    <mergeCell ref="N146:N147"/>
    <mergeCell ref="A146:A147"/>
    <mergeCell ref="E146:E147"/>
    <mergeCell ref="H146:H147"/>
    <mergeCell ref="I146:I147"/>
    <mergeCell ref="J146:J147"/>
    <mergeCell ref="K146:K147"/>
    <mergeCell ref="L146:L147"/>
    <mergeCell ref="M146:M147"/>
    <mergeCell ref="X138:X139"/>
    <mergeCell ref="AB142:AB143"/>
    <mergeCell ref="Y138:Y139"/>
    <mergeCell ref="Z138:Z139"/>
    <mergeCell ref="Y136:Y137"/>
    <mergeCell ref="Z136:Z137"/>
    <mergeCell ref="AA136:AA137"/>
    <mergeCell ref="AB136:AB137"/>
    <mergeCell ref="O134:O135"/>
    <mergeCell ref="O136:O137"/>
    <mergeCell ref="A134:A135"/>
    <mergeCell ref="E134:E135"/>
    <mergeCell ref="H134:H135"/>
    <mergeCell ref="I134:I135"/>
    <mergeCell ref="J134:J135"/>
    <mergeCell ref="K134:K135"/>
    <mergeCell ref="L134:L135"/>
    <mergeCell ref="M134:M135"/>
    <mergeCell ref="N134:N135"/>
    <mergeCell ref="AB138:AB139"/>
    <mergeCell ref="Y140:Y141"/>
    <mergeCell ref="Z140:Z141"/>
    <mergeCell ref="AA140:AA141"/>
    <mergeCell ref="AB140:AB141"/>
    <mergeCell ref="Y142:Y143"/>
    <mergeCell ref="Z142:Z143"/>
    <mergeCell ref="A142:A143"/>
    <mergeCell ref="E142:E143"/>
    <mergeCell ref="H142:H143"/>
    <mergeCell ref="I142:I143"/>
    <mergeCell ref="J142:J143"/>
    <mergeCell ref="AA142:AA143"/>
    <mergeCell ref="M138:M139"/>
    <mergeCell ref="N138:N139"/>
    <mergeCell ref="X126:X127"/>
    <mergeCell ref="Y126:Y127"/>
    <mergeCell ref="Z126:Z127"/>
    <mergeCell ref="AA126:AA127"/>
    <mergeCell ref="AB126:AB127"/>
    <mergeCell ref="A128:A129"/>
    <mergeCell ref="E128:E129"/>
    <mergeCell ref="H128:H129"/>
    <mergeCell ref="I128:I129"/>
    <mergeCell ref="J128:J129"/>
    <mergeCell ref="K128:K129"/>
    <mergeCell ref="L128:L129"/>
    <mergeCell ref="M128:M129"/>
    <mergeCell ref="N128:N129"/>
    <mergeCell ref="X128:X129"/>
    <mergeCell ref="Y128:Y129"/>
    <mergeCell ref="Z128:Z129"/>
    <mergeCell ref="AA128:AA129"/>
    <mergeCell ref="AB128:AB129"/>
    <mergeCell ref="O126:O127"/>
    <mergeCell ref="O128:O129"/>
    <mergeCell ref="X130:X131"/>
    <mergeCell ref="Y130:Y131"/>
    <mergeCell ref="Z130:Z131"/>
    <mergeCell ref="AA130:AA131"/>
    <mergeCell ref="AB130:AB131"/>
    <mergeCell ref="A126:A127"/>
    <mergeCell ref="E126:E127"/>
    <mergeCell ref="H126:H127"/>
    <mergeCell ref="I126:I127"/>
    <mergeCell ref="J126:J127"/>
    <mergeCell ref="K126:K127"/>
    <mergeCell ref="L126:L127"/>
    <mergeCell ref="M126:M127"/>
    <mergeCell ref="N126:N127"/>
    <mergeCell ref="E140:E141"/>
    <mergeCell ref="H140:H141"/>
    <mergeCell ref="I140:I141"/>
    <mergeCell ref="J140:J141"/>
    <mergeCell ref="K140:K141"/>
    <mergeCell ref="L140:L141"/>
    <mergeCell ref="M140:M141"/>
    <mergeCell ref="N140:N141"/>
    <mergeCell ref="X140:X141"/>
    <mergeCell ref="A138:A139"/>
    <mergeCell ref="E138:E139"/>
    <mergeCell ref="H138:H139"/>
    <mergeCell ref="I138:I139"/>
    <mergeCell ref="J138:J139"/>
    <mergeCell ref="K138:K139"/>
    <mergeCell ref="A132:A133"/>
    <mergeCell ref="E132:E133"/>
    <mergeCell ref="H132:H133"/>
    <mergeCell ref="I132:I133"/>
    <mergeCell ref="J132:J133"/>
    <mergeCell ref="K132:K133"/>
    <mergeCell ref="L132:L133"/>
    <mergeCell ref="M132:M133"/>
    <mergeCell ref="N132:N133"/>
    <mergeCell ref="X132:X133"/>
    <mergeCell ref="Y132:Y133"/>
    <mergeCell ref="X122:X123"/>
    <mergeCell ref="Y122:Y123"/>
    <mergeCell ref="Z122:Z123"/>
    <mergeCell ref="AA122:AA123"/>
    <mergeCell ref="AB122:AB123"/>
    <mergeCell ref="A124:A125"/>
    <mergeCell ref="E124:E125"/>
    <mergeCell ref="H124:H125"/>
    <mergeCell ref="I124:I125"/>
    <mergeCell ref="J124:J125"/>
    <mergeCell ref="K124:K125"/>
    <mergeCell ref="L124:L125"/>
    <mergeCell ref="M124:M125"/>
    <mergeCell ref="N124:N125"/>
    <mergeCell ref="X124:X125"/>
    <mergeCell ref="Y124:Y125"/>
    <mergeCell ref="Z124:Z125"/>
    <mergeCell ref="AA124:AA125"/>
    <mergeCell ref="AB124:AB125"/>
    <mergeCell ref="O122:O123"/>
    <mergeCell ref="O124:O125"/>
    <mergeCell ref="A122:A123"/>
    <mergeCell ref="E122:E123"/>
    <mergeCell ref="H122:H123"/>
    <mergeCell ref="I122:I123"/>
    <mergeCell ref="J122:J123"/>
    <mergeCell ref="K122:K123"/>
    <mergeCell ref="L122:L123"/>
    <mergeCell ref="M122:M123"/>
    <mergeCell ref="N122:N123"/>
    <mergeCell ref="X118:X119"/>
    <mergeCell ref="Y118:Y119"/>
    <mergeCell ref="Z118:Z119"/>
    <mergeCell ref="AA118:AA119"/>
    <mergeCell ref="AB118:AB119"/>
    <mergeCell ref="A120:A121"/>
    <mergeCell ref="E120:E121"/>
    <mergeCell ref="H120:H121"/>
    <mergeCell ref="I120:I121"/>
    <mergeCell ref="J120:J121"/>
    <mergeCell ref="K120:K121"/>
    <mergeCell ref="L120:L121"/>
    <mergeCell ref="M120:M121"/>
    <mergeCell ref="N120:N121"/>
    <mergeCell ref="X120:X121"/>
    <mergeCell ref="Y120:Y121"/>
    <mergeCell ref="Z120:Z121"/>
    <mergeCell ref="AA120:AA121"/>
    <mergeCell ref="AB120:AB121"/>
    <mergeCell ref="O118:O119"/>
    <mergeCell ref="O120:O121"/>
    <mergeCell ref="A118:A119"/>
    <mergeCell ref="E118:E119"/>
    <mergeCell ref="H118:H119"/>
    <mergeCell ref="I118:I119"/>
    <mergeCell ref="J118:J119"/>
    <mergeCell ref="K118:K119"/>
    <mergeCell ref="L118:L119"/>
    <mergeCell ref="M118:M119"/>
    <mergeCell ref="N118:N119"/>
    <mergeCell ref="X114:X115"/>
    <mergeCell ref="Y114:Y115"/>
    <mergeCell ref="Z114:Z115"/>
    <mergeCell ref="AA114:AA115"/>
    <mergeCell ref="AB114:AB115"/>
    <mergeCell ref="A116:A117"/>
    <mergeCell ref="E116:E117"/>
    <mergeCell ref="H116:H117"/>
    <mergeCell ref="I116:I117"/>
    <mergeCell ref="J116:J117"/>
    <mergeCell ref="K116:K117"/>
    <mergeCell ref="L116:L117"/>
    <mergeCell ref="M116:M117"/>
    <mergeCell ref="N116:N117"/>
    <mergeCell ref="X116:X117"/>
    <mergeCell ref="Y116:Y117"/>
    <mergeCell ref="Z116:Z117"/>
    <mergeCell ref="AA116:AA117"/>
    <mergeCell ref="AB116:AB117"/>
    <mergeCell ref="O114:O115"/>
    <mergeCell ref="O116:O117"/>
    <mergeCell ref="A114:A115"/>
    <mergeCell ref="E114:E115"/>
    <mergeCell ref="H114:H115"/>
    <mergeCell ref="I114:I115"/>
    <mergeCell ref="J114:J115"/>
    <mergeCell ref="K114:K115"/>
    <mergeCell ref="L114:L115"/>
    <mergeCell ref="M114:M115"/>
    <mergeCell ref="N114:N115"/>
    <mergeCell ref="X110:X111"/>
    <mergeCell ref="Y110:Y111"/>
    <mergeCell ref="Z110:Z111"/>
    <mergeCell ref="AA110:AA111"/>
    <mergeCell ref="AB110:AB111"/>
    <mergeCell ref="A112:A113"/>
    <mergeCell ref="E112:E113"/>
    <mergeCell ref="H112:H113"/>
    <mergeCell ref="I112:I113"/>
    <mergeCell ref="J112:J113"/>
    <mergeCell ref="K112:K113"/>
    <mergeCell ref="L112:L113"/>
    <mergeCell ref="M112:M113"/>
    <mergeCell ref="N112:N113"/>
    <mergeCell ref="X112:X113"/>
    <mergeCell ref="Y112:Y113"/>
    <mergeCell ref="Z112:Z113"/>
    <mergeCell ref="AA112:AA113"/>
    <mergeCell ref="AB112:AB113"/>
    <mergeCell ref="O110:O111"/>
    <mergeCell ref="O112:O113"/>
    <mergeCell ref="A110:A111"/>
    <mergeCell ref="E110:E111"/>
    <mergeCell ref="H110:H111"/>
    <mergeCell ref="I110:I111"/>
    <mergeCell ref="J110:J111"/>
    <mergeCell ref="K110:K111"/>
    <mergeCell ref="L110:L111"/>
    <mergeCell ref="M110:M111"/>
    <mergeCell ref="N110:N111"/>
    <mergeCell ref="X106:X107"/>
    <mergeCell ref="Y106:Y107"/>
    <mergeCell ref="Z106:Z107"/>
    <mergeCell ref="AA106:AA107"/>
    <mergeCell ref="AB106:AB107"/>
    <mergeCell ref="A108:A109"/>
    <mergeCell ref="E108:E109"/>
    <mergeCell ref="H108:H109"/>
    <mergeCell ref="I108:I109"/>
    <mergeCell ref="J108:J109"/>
    <mergeCell ref="K108:K109"/>
    <mergeCell ref="L108:L109"/>
    <mergeCell ref="M108:M109"/>
    <mergeCell ref="N108:N109"/>
    <mergeCell ref="X108:X109"/>
    <mergeCell ref="Y108:Y109"/>
    <mergeCell ref="Z108:Z109"/>
    <mergeCell ref="AA108:AA109"/>
    <mergeCell ref="AB108:AB109"/>
    <mergeCell ref="O106:O107"/>
    <mergeCell ref="O108:O109"/>
    <mergeCell ref="A106:A107"/>
    <mergeCell ref="E106:E107"/>
    <mergeCell ref="H106:H107"/>
    <mergeCell ref="I106:I107"/>
    <mergeCell ref="J106:J107"/>
    <mergeCell ref="K106:K107"/>
    <mergeCell ref="L106:L107"/>
    <mergeCell ref="M106:M107"/>
    <mergeCell ref="N106:N107"/>
    <mergeCell ref="X102:X103"/>
    <mergeCell ref="Y102:Y103"/>
    <mergeCell ref="Z102:Z103"/>
    <mergeCell ref="AA102:AA103"/>
    <mergeCell ref="AB102:AB103"/>
    <mergeCell ref="A104:A105"/>
    <mergeCell ref="E104:E105"/>
    <mergeCell ref="H104:H105"/>
    <mergeCell ref="I104:I105"/>
    <mergeCell ref="J104:J105"/>
    <mergeCell ref="K104:K105"/>
    <mergeCell ref="L104:L105"/>
    <mergeCell ref="M104:M105"/>
    <mergeCell ref="N104:N105"/>
    <mergeCell ref="X104:X105"/>
    <mergeCell ref="Y104:Y105"/>
    <mergeCell ref="Z104:Z105"/>
    <mergeCell ref="AA104:AA105"/>
    <mergeCell ref="AB104:AB105"/>
    <mergeCell ref="O102:O103"/>
    <mergeCell ref="O104:O105"/>
    <mergeCell ref="A102:A103"/>
    <mergeCell ref="E102:E103"/>
    <mergeCell ref="H102:H103"/>
    <mergeCell ref="I102:I103"/>
    <mergeCell ref="J102:J103"/>
    <mergeCell ref="K102:K103"/>
    <mergeCell ref="L102:L103"/>
    <mergeCell ref="M102:M103"/>
    <mergeCell ref="N102:N103"/>
    <mergeCell ref="X98:X99"/>
    <mergeCell ref="Y98:Y99"/>
    <mergeCell ref="Z98:Z99"/>
    <mergeCell ref="AA98:AA99"/>
    <mergeCell ref="AB98:AB99"/>
    <mergeCell ref="A100:A101"/>
    <mergeCell ref="E100:E101"/>
    <mergeCell ref="H100:H101"/>
    <mergeCell ref="I100:I101"/>
    <mergeCell ref="J100:J101"/>
    <mergeCell ref="K100:K101"/>
    <mergeCell ref="L100:L101"/>
    <mergeCell ref="M100:M101"/>
    <mergeCell ref="N100:N101"/>
    <mergeCell ref="X100:X101"/>
    <mergeCell ref="Y100:Y101"/>
    <mergeCell ref="Z100:Z101"/>
    <mergeCell ref="AA100:AA101"/>
    <mergeCell ref="AB100:AB101"/>
    <mergeCell ref="O98:O99"/>
    <mergeCell ref="O100:O101"/>
    <mergeCell ref="A98:A99"/>
    <mergeCell ref="E98:E99"/>
    <mergeCell ref="H98:H99"/>
    <mergeCell ref="I98:I99"/>
    <mergeCell ref="J98:J99"/>
    <mergeCell ref="K98:K99"/>
    <mergeCell ref="L98:L99"/>
    <mergeCell ref="M98:M99"/>
    <mergeCell ref="N98:N99"/>
    <mergeCell ref="X94:X95"/>
    <mergeCell ref="Y94:Y95"/>
    <mergeCell ref="Z94:Z95"/>
    <mergeCell ref="AA94:AA95"/>
    <mergeCell ref="AB94:AB95"/>
    <mergeCell ref="A96:A97"/>
    <mergeCell ref="E96:E97"/>
    <mergeCell ref="H96:H97"/>
    <mergeCell ref="I96:I97"/>
    <mergeCell ref="J96:J97"/>
    <mergeCell ref="K96:K97"/>
    <mergeCell ref="L96:L97"/>
    <mergeCell ref="M96:M97"/>
    <mergeCell ref="N96:N97"/>
    <mergeCell ref="X96:X97"/>
    <mergeCell ref="Y96:Y97"/>
    <mergeCell ref="Z96:Z97"/>
    <mergeCell ref="AA96:AA97"/>
    <mergeCell ref="AB96:AB97"/>
    <mergeCell ref="O94:O95"/>
    <mergeCell ref="O96:O97"/>
    <mergeCell ref="A94:A95"/>
    <mergeCell ref="E94:E95"/>
    <mergeCell ref="H94:H95"/>
    <mergeCell ref="I94:I95"/>
    <mergeCell ref="J94:J95"/>
    <mergeCell ref="K94:K95"/>
    <mergeCell ref="L94:L95"/>
    <mergeCell ref="M94:M95"/>
    <mergeCell ref="N94:N95"/>
    <mergeCell ref="X90:X91"/>
    <mergeCell ref="Y90:Y91"/>
    <mergeCell ref="Z90:Z91"/>
    <mergeCell ref="AA90:AA91"/>
    <mergeCell ref="AB90:AB91"/>
    <mergeCell ref="A92:A93"/>
    <mergeCell ref="E92:E93"/>
    <mergeCell ref="H92:H93"/>
    <mergeCell ref="I92:I93"/>
    <mergeCell ref="J92:J93"/>
    <mergeCell ref="K92:K93"/>
    <mergeCell ref="L92:L93"/>
    <mergeCell ref="M92:M93"/>
    <mergeCell ref="N92:N93"/>
    <mergeCell ref="X92:X93"/>
    <mergeCell ref="Y92:Y93"/>
    <mergeCell ref="Z92:Z93"/>
    <mergeCell ref="AA92:AA93"/>
    <mergeCell ref="AB92:AB93"/>
    <mergeCell ref="O90:O91"/>
    <mergeCell ref="O92:O93"/>
    <mergeCell ref="A90:A91"/>
    <mergeCell ref="E90:E91"/>
    <mergeCell ref="H90:H91"/>
    <mergeCell ref="I90:I91"/>
    <mergeCell ref="J90:J91"/>
    <mergeCell ref="K90:K91"/>
    <mergeCell ref="L90:L91"/>
    <mergeCell ref="M90:M91"/>
    <mergeCell ref="N90:N91"/>
    <mergeCell ref="X86:X87"/>
    <mergeCell ref="Y86:Y87"/>
    <mergeCell ref="Z86:Z87"/>
    <mergeCell ref="AA86:AA87"/>
    <mergeCell ref="AB86:AB87"/>
    <mergeCell ref="A88:A89"/>
    <mergeCell ref="E88:E89"/>
    <mergeCell ref="H88:H89"/>
    <mergeCell ref="I88:I89"/>
    <mergeCell ref="J88:J89"/>
    <mergeCell ref="K88:K89"/>
    <mergeCell ref="L88:L89"/>
    <mergeCell ref="M88:M89"/>
    <mergeCell ref="N88:N89"/>
    <mergeCell ref="X88:X89"/>
    <mergeCell ref="Y88:Y89"/>
    <mergeCell ref="Z88:Z89"/>
    <mergeCell ref="AA88:AA89"/>
    <mergeCell ref="AB88:AB89"/>
    <mergeCell ref="O86:O87"/>
    <mergeCell ref="O88:O89"/>
    <mergeCell ref="A86:A87"/>
    <mergeCell ref="E86:E87"/>
    <mergeCell ref="H86:H87"/>
    <mergeCell ref="I86:I87"/>
    <mergeCell ref="J86:J87"/>
    <mergeCell ref="K86:K87"/>
    <mergeCell ref="L86:L87"/>
    <mergeCell ref="M86:M87"/>
    <mergeCell ref="N86:N87"/>
    <mergeCell ref="X82:X83"/>
    <mergeCell ref="Y82:Y83"/>
    <mergeCell ref="Z82:Z83"/>
    <mergeCell ref="AA82:AA83"/>
    <mergeCell ref="AB82:AB83"/>
    <mergeCell ref="A84:A85"/>
    <mergeCell ref="E84:E85"/>
    <mergeCell ref="H84:H85"/>
    <mergeCell ref="I84:I85"/>
    <mergeCell ref="J84:J85"/>
    <mergeCell ref="K84:K85"/>
    <mergeCell ref="L84:L85"/>
    <mergeCell ref="M84:M85"/>
    <mergeCell ref="N84:N85"/>
    <mergeCell ref="X84:X85"/>
    <mergeCell ref="Y84:Y85"/>
    <mergeCell ref="Z84:Z85"/>
    <mergeCell ref="AA84:AA85"/>
    <mergeCell ref="AB84:AB85"/>
    <mergeCell ref="O82:O83"/>
    <mergeCell ref="O84:O85"/>
    <mergeCell ref="A82:A83"/>
    <mergeCell ref="E82:E83"/>
    <mergeCell ref="H82:H83"/>
    <mergeCell ref="I82:I83"/>
    <mergeCell ref="J82:J83"/>
    <mergeCell ref="K82:K83"/>
    <mergeCell ref="L82:L83"/>
    <mergeCell ref="M82:M83"/>
    <mergeCell ref="N82:N83"/>
    <mergeCell ref="X78:X79"/>
    <mergeCell ref="Y78:Y79"/>
    <mergeCell ref="Z78:Z79"/>
    <mergeCell ref="AA78:AA79"/>
    <mergeCell ref="AB78:AB79"/>
    <mergeCell ref="A80:A81"/>
    <mergeCell ref="E80:E81"/>
    <mergeCell ref="H80:H81"/>
    <mergeCell ref="I80:I81"/>
    <mergeCell ref="J80:J81"/>
    <mergeCell ref="K80:K81"/>
    <mergeCell ref="L80:L81"/>
    <mergeCell ref="M80:M81"/>
    <mergeCell ref="N80:N81"/>
    <mergeCell ref="X80:X81"/>
    <mergeCell ref="Y80:Y81"/>
    <mergeCell ref="Z80:Z81"/>
    <mergeCell ref="AA80:AA81"/>
    <mergeCell ref="AB80:AB81"/>
    <mergeCell ref="O78:O79"/>
    <mergeCell ref="O80:O81"/>
    <mergeCell ref="A78:A79"/>
    <mergeCell ref="E78:E79"/>
    <mergeCell ref="H78:H79"/>
    <mergeCell ref="I78:I79"/>
    <mergeCell ref="J78:J79"/>
    <mergeCell ref="K78:K79"/>
    <mergeCell ref="L78:L79"/>
    <mergeCell ref="M78:M79"/>
    <mergeCell ref="N78:N79"/>
    <mergeCell ref="X74:X75"/>
    <mergeCell ref="Y74:Y75"/>
    <mergeCell ref="Z74:Z75"/>
    <mergeCell ref="AA74:AA75"/>
    <mergeCell ref="AB74:AB75"/>
    <mergeCell ref="A76:A77"/>
    <mergeCell ref="E76:E77"/>
    <mergeCell ref="H76:H77"/>
    <mergeCell ref="I76:I77"/>
    <mergeCell ref="J76:J77"/>
    <mergeCell ref="K76:K77"/>
    <mergeCell ref="L76:L77"/>
    <mergeCell ref="M76:M77"/>
    <mergeCell ref="N76:N77"/>
    <mergeCell ref="X76:X77"/>
    <mergeCell ref="Y76:Y77"/>
    <mergeCell ref="Z76:Z77"/>
    <mergeCell ref="AA76:AA77"/>
    <mergeCell ref="AB76:AB77"/>
    <mergeCell ref="O74:O75"/>
    <mergeCell ref="O76:O77"/>
    <mergeCell ref="A74:A75"/>
    <mergeCell ref="E74:E75"/>
    <mergeCell ref="H74:H75"/>
    <mergeCell ref="I74:I75"/>
    <mergeCell ref="J74:J75"/>
    <mergeCell ref="K74:K75"/>
    <mergeCell ref="L74:L75"/>
    <mergeCell ref="M74:M75"/>
    <mergeCell ref="N74:N75"/>
    <mergeCell ref="X70:X71"/>
    <mergeCell ref="Y70:Y71"/>
    <mergeCell ref="Z70:Z71"/>
    <mergeCell ref="AA70:AA71"/>
    <mergeCell ref="AB70:AB71"/>
    <mergeCell ref="A72:A73"/>
    <mergeCell ref="E72:E73"/>
    <mergeCell ref="H72:H73"/>
    <mergeCell ref="I72:I73"/>
    <mergeCell ref="J72:J73"/>
    <mergeCell ref="K72:K73"/>
    <mergeCell ref="L72:L73"/>
    <mergeCell ref="M72:M73"/>
    <mergeCell ref="N72:N73"/>
    <mergeCell ref="X72:X73"/>
    <mergeCell ref="Y72:Y73"/>
    <mergeCell ref="Z72:Z73"/>
    <mergeCell ref="AA72:AA73"/>
    <mergeCell ref="AB72:AB73"/>
    <mergeCell ref="O70:O71"/>
    <mergeCell ref="O72:O73"/>
    <mergeCell ref="A70:A71"/>
    <mergeCell ref="E70:E71"/>
    <mergeCell ref="H70:H71"/>
    <mergeCell ref="I70:I71"/>
    <mergeCell ref="J70:J71"/>
    <mergeCell ref="K70:K71"/>
    <mergeCell ref="L70:L71"/>
    <mergeCell ref="M70:M71"/>
    <mergeCell ref="N70:N71"/>
    <mergeCell ref="X66:X67"/>
    <mergeCell ref="Y66:Y67"/>
    <mergeCell ref="Z66:Z67"/>
    <mergeCell ref="AA66:AA67"/>
    <mergeCell ref="AB66:AB67"/>
    <mergeCell ref="A68:A69"/>
    <mergeCell ref="E68:E69"/>
    <mergeCell ref="H68:H69"/>
    <mergeCell ref="I68:I69"/>
    <mergeCell ref="J68:J69"/>
    <mergeCell ref="K68:K69"/>
    <mergeCell ref="L68:L69"/>
    <mergeCell ref="M68:M69"/>
    <mergeCell ref="N68:N69"/>
    <mergeCell ref="X68:X69"/>
    <mergeCell ref="Y68:Y69"/>
    <mergeCell ref="Z68:Z69"/>
    <mergeCell ref="AA68:AA69"/>
    <mergeCell ref="AB68:AB69"/>
    <mergeCell ref="O66:O67"/>
    <mergeCell ref="O68:O69"/>
    <mergeCell ref="A66:A67"/>
    <mergeCell ref="E66:E67"/>
    <mergeCell ref="H66:H67"/>
    <mergeCell ref="I66:I67"/>
    <mergeCell ref="J66:J67"/>
    <mergeCell ref="K66:K67"/>
    <mergeCell ref="L66:L67"/>
    <mergeCell ref="M66:M67"/>
    <mergeCell ref="N66:N67"/>
    <mergeCell ref="X62:X63"/>
    <mergeCell ref="Y62:Y63"/>
    <mergeCell ref="Z62:Z63"/>
    <mergeCell ref="AA62:AA63"/>
    <mergeCell ref="AB62:AB63"/>
    <mergeCell ref="A64:A65"/>
    <mergeCell ref="E64:E65"/>
    <mergeCell ref="H64:H65"/>
    <mergeCell ref="I64:I65"/>
    <mergeCell ref="J64:J65"/>
    <mergeCell ref="K64:K65"/>
    <mergeCell ref="L64:L65"/>
    <mergeCell ref="M64:M65"/>
    <mergeCell ref="N64:N65"/>
    <mergeCell ref="X64:X65"/>
    <mergeCell ref="Y64:Y65"/>
    <mergeCell ref="Z64:Z65"/>
    <mergeCell ref="AA64:AA65"/>
    <mergeCell ref="AB64:AB65"/>
    <mergeCell ref="O62:O63"/>
    <mergeCell ref="O64:O65"/>
    <mergeCell ref="A62:A63"/>
    <mergeCell ref="E62:E63"/>
    <mergeCell ref="H62:H63"/>
    <mergeCell ref="I62:I63"/>
    <mergeCell ref="J62:J63"/>
    <mergeCell ref="K62:K63"/>
    <mergeCell ref="L62:L63"/>
    <mergeCell ref="M62:M63"/>
    <mergeCell ref="N62:N63"/>
    <mergeCell ref="X58:X59"/>
    <mergeCell ref="Y58:Y59"/>
    <mergeCell ref="Z58:Z59"/>
    <mergeCell ref="AA58:AA59"/>
    <mergeCell ref="AB58:AB59"/>
    <mergeCell ref="A60:A61"/>
    <mergeCell ref="E60:E61"/>
    <mergeCell ref="H60:H61"/>
    <mergeCell ref="I60:I61"/>
    <mergeCell ref="J60:J61"/>
    <mergeCell ref="K60:K61"/>
    <mergeCell ref="L60:L61"/>
    <mergeCell ref="M60:M61"/>
    <mergeCell ref="N60:N61"/>
    <mergeCell ref="X60:X61"/>
    <mergeCell ref="Y60:Y61"/>
    <mergeCell ref="Z60:Z61"/>
    <mergeCell ref="AA60:AA61"/>
    <mergeCell ref="AB60:AB61"/>
    <mergeCell ref="O58:O59"/>
    <mergeCell ref="O60:O61"/>
    <mergeCell ref="A58:A59"/>
    <mergeCell ref="E58:E59"/>
    <mergeCell ref="H58:H59"/>
    <mergeCell ref="I58:I59"/>
    <mergeCell ref="J58:J59"/>
    <mergeCell ref="K58:K59"/>
    <mergeCell ref="L58:L59"/>
    <mergeCell ref="M58:M59"/>
    <mergeCell ref="N58:N59"/>
    <mergeCell ref="X54:X55"/>
    <mergeCell ref="Y54:Y55"/>
    <mergeCell ref="Z54:Z55"/>
    <mergeCell ref="AA54:AA55"/>
    <mergeCell ref="AB54:AB55"/>
    <mergeCell ref="A56:A57"/>
    <mergeCell ref="E56:E57"/>
    <mergeCell ref="H56:H57"/>
    <mergeCell ref="I56:I57"/>
    <mergeCell ref="J56:J57"/>
    <mergeCell ref="K56:K57"/>
    <mergeCell ref="L56:L57"/>
    <mergeCell ref="M56:M57"/>
    <mergeCell ref="N56:N57"/>
    <mergeCell ref="X56:X57"/>
    <mergeCell ref="Y56:Y57"/>
    <mergeCell ref="Z56:Z57"/>
    <mergeCell ref="AA56:AA57"/>
    <mergeCell ref="AB56:AB57"/>
    <mergeCell ref="O54:O55"/>
    <mergeCell ref="O56:O57"/>
    <mergeCell ref="A54:A55"/>
    <mergeCell ref="E54:E55"/>
    <mergeCell ref="H54:H55"/>
    <mergeCell ref="I54:I55"/>
    <mergeCell ref="J54:J55"/>
    <mergeCell ref="K54:K55"/>
    <mergeCell ref="L54:L55"/>
    <mergeCell ref="M54:M55"/>
    <mergeCell ref="N54:N55"/>
    <mergeCell ref="X50:X51"/>
    <mergeCell ref="Y50:Y51"/>
    <mergeCell ref="Z50:Z51"/>
    <mergeCell ref="AA50:AA51"/>
    <mergeCell ref="AB50:AB51"/>
    <mergeCell ref="A52:A53"/>
    <mergeCell ref="E52:E53"/>
    <mergeCell ref="H52:H53"/>
    <mergeCell ref="I52:I53"/>
    <mergeCell ref="J52:J53"/>
    <mergeCell ref="K52:K53"/>
    <mergeCell ref="L52:L53"/>
    <mergeCell ref="M52:M53"/>
    <mergeCell ref="N52:N53"/>
    <mergeCell ref="X52:X53"/>
    <mergeCell ref="Y52:Y53"/>
    <mergeCell ref="Z52:Z53"/>
    <mergeCell ref="AA52:AA53"/>
    <mergeCell ref="AB52:AB53"/>
    <mergeCell ref="O50:O51"/>
    <mergeCell ref="O52:O53"/>
    <mergeCell ref="A50:A51"/>
    <mergeCell ref="E50:E51"/>
    <mergeCell ref="H50:H51"/>
    <mergeCell ref="I50:I51"/>
    <mergeCell ref="J50:J51"/>
    <mergeCell ref="K50:K51"/>
    <mergeCell ref="L50:L51"/>
    <mergeCell ref="M50:M51"/>
    <mergeCell ref="N50:N51"/>
    <mergeCell ref="X46:X47"/>
    <mergeCell ref="Y46:Y47"/>
    <mergeCell ref="Z46:Z47"/>
    <mergeCell ref="AA46:AA47"/>
    <mergeCell ref="AB46:AB47"/>
    <mergeCell ref="A48:A49"/>
    <mergeCell ref="E48:E49"/>
    <mergeCell ref="H48:H49"/>
    <mergeCell ref="I48:I49"/>
    <mergeCell ref="J48:J49"/>
    <mergeCell ref="K48:K49"/>
    <mergeCell ref="L48:L49"/>
    <mergeCell ref="M48:M49"/>
    <mergeCell ref="N48:N49"/>
    <mergeCell ref="X48:X49"/>
    <mergeCell ref="Y48:Y49"/>
    <mergeCell ref="Z48:Z49"/>
    <mergeCell ref="AA48:AA49"/>
    <mergeCell ref="AB48:AB49"/>
    <mergeCell ref="O46:O47"/>
    <mergeCell ref="O48:O49"/>
    <mergeCell ref="A46:A47"/>
    <mergeCell ref="E46:E47"/>
    <mergeCell ref="H46:H47"/>
    <mergeCell ref="I46:I47"/>
    <mergeCell ref="J46:J47"/>
    <mergeCell ref="K46:K47"/>
    <mergeCell ref="L46:L47"/>
    <mergeCell ref="M46:M47"/>
    <mergeCell ref="N46:N47"/>
    <mergeCell ref="X42:X43"/>
    <mergeCell ref="Y42:Y43"/>
    <mergeCell ref="Z42:Z43"/>
    <mergeCell ref="AA42:AA43"/>
    <mergeCell ref="AB42:AB43"/>
    <mergeCell ref="A44:A45"/>
    <mergeCell ref="E44:E45"/>
    <mergeCell ref="H44:H45"/>
    <mergeCell ref="I44:I45"/>
    <mergeCell ref="J44:J45"/>
    <mergeCell ref="K44:K45"/>
    <mergeCell ref="L44:L45"/>
    <mergeCell ref="M44:M45"/>
    <mergeCell ref="N44:N45"/>
    <mergeCell ref="X44:X45"/>
    <mergeCell ref="Y44:Y45"/>
    <mergeCell ref="Z44:Z45"/>
    <mergeCell ref="AA44:AA45"/>
    <mergeCell ref="AB44:AB45"/>
    <mergeCell ref="O42:O43"/>
    <mergeCell ref="O44:O45"/>
    <mergeCell ref="A42:A43"/>
    <mergeCell ref="E42:E43"/>
    <mergeCell ref="H42:H43"/>
    <mergeCell ref="I42:I43"/>
    <mergeCell ref="J42:J43"/>
    <mergeCell ref="K42:K43"/>
    <mergeCell ref="L42:L43"/>
    <mergeCell ref="M42:M43"/>
    <mergeCell ref="N42:N43"/>
    <mergeCell ref="X38:X39"/>
    <mergeCell ref="Y38:Y39"/>
    <mergeCell ref="Z38:Z39"/>
    <mergeCell ref="AA38:AA39"/>
    <mergeCell ref="AB38:AB39"/>
    <mergeCell ref="A40:A41"/>
    <mergeCell ref="E40:E41"/>
    <mergeCell ref="H40:H41"/>
    <mergeCell ref="I40:I41"/>
    <mergeCell ref="J40:J41"/>
    <mergeCell ref="K40:K41"/>
    <mergeCell ref="L40:L41"/>
    <mergeCell ref="M40:M41"/>
    <mergeCell ref="N40:N41"/>
    <mergeCell ref="X40:X41"/>
    <mergeCell ref="Y40:Y41"/>
    <mergeCell ref="Z40:Z41"/>
    <mergeCell ref="AA40:AA41"/>
    <mergeCell ref="AB40:AB41"/>
    <mergeCell ref="O38:O39"/>
    <mergeCell ref="O40:O41"/>
    <mergeCell ref="A38:A39"/>
    <mergeCell ref="E38:E39"/>
    <mergeCell ref="H38:H39"/>
    <mergeCell ref="I38:I39"/>
    <mergeCell ref="J38:J39"/>
    <mergeCell ref="K38:K39"/>
    <mergeCell ref="L38:L39"/>
    <mergeCell ref="M38:M39"/>
    <mergeCell ref="N38:N39"/>
    <mergeCell ref="A20:A21"/>
    <mergeCell ref="E20:E21"/>
    <mergeCell ref="H20:H21"/>
    <mergeCell ref="N20:N21"/>
    <mergeCell ref="X20:X21"/>
    <mergeCell ref="Y20:Y21"/>
    <mergeCell ref="Z20:Z21"/>
    <mergeCell ref="AA20:AA21"/>
    <mergeCell ref="AB20:AB21"/>
    <mergeCell ref="O18:O19"/>
    <mergeCell ref="O20:O21"/>
    <mergeCell ref="A18:A19"/>
    <mergeCell ref="E18:E19"/>
    <mergeCell ref="H18:H19"/>
    <mergeCell ref="N18:N19"/>
    <mergeCell ref="X34:X35"/>
    <mergeCell ref="Y34:Y35"/>
    <mergeCell ref="Z34:Z35"/>
    <mergeCell ref="AA34:AA35"/>
    <mergeCell ref="AB34:AB35"/>
    <mergeCell ref="A36:A37"/>
    <mergeCell ref="E36:E37"/>
    <mergeCell ref="H36:H37"/>
    <mergeCell ref="I36:I37"/>
    <mergeCell ref="J36:J37"/>
    <mergeCell ref="K36:K37"/>
    <mergeCell ref="L36:L37"/>
    <mergeCell ref="M36:M37"/>
    <mergeCell ref="N36:N37"/>
    <mergeCell ref="X36:X37"/>
    <mergeCell ref="Y36:Y37"/>
    <mergeCell ref="Z36:Z37"/>
    <mergeCell ref="AA36:AA37"/>
    <mergeCell ref="AB36:AB37"/>
    <mergeCell ref="O34:O35"/>
    <mergeCell ref="O36:O37"/>
    <mergeCell ref="A34:A35"/>
    <mergeCell ref="E34:E35"/>
    <mergeCell ref="H34:H35"/>
    <mergeCell ref="N34:N35"/>
    <mergeCell ref="X30:X31"/>
    <mergeCell ref="Y30:Y31"/>
    <mergeCell ref="Z30:Z31"/>
    <mergeCell ref="AA30:AA31"/>
    <mergeCell ref="AB30:AB31"/>
    <mergeCell ref="A32:A33"/>
    <mergeCell ref="E32:E33"/>
    <mergeCell ref="H32:H33"/>
    <mergeCell ref="N32:N33"/>
    <mergeCell ref="X32:X33"/>
    <mergeCell ref="Y32:Y33"/>
    <mergeCell ref="Z32:Z33"/>
    <mergeCell ref="AA32:AA33"/>
    <mergeCell ref="AB32:AB33"/>
    <mergeCell ref="O30:O31"/>
    <mergeCell ref="O32:O33"/>
    <mergeCell ref="I31:J31"/>
    <mergeCell ref="A30:A31"/>
    <mergeCell ref="E30:E31"/>
    <mergeCell ref="H30:H31"/>
    <mergeCell ref="N30:N31"/>
    <mergeCell ref="X26:X27"/>
    <mergeCell ref="Y26:Y27"/>
    <mergeCell ref="Z26:Z27"/>
    <mergeCell ref="AA26:AA27"/>
    <mergeCell ref="AB26:AB27"/>
    <mergeCell ref="A28:A29"/>
    <mergeCell ref="E28:E29"/>
    <mergeCell ref="H28:H29"/>
    <mergeCell ref="N28:N29"/>
    <mergeCell ref="X28:X29"/>
    <mergeCell ref="Y28:Y29"/>
    <mergeCell ref="Z28:Z29"/>
    <mergeCell ref="AA28:AA29"/>
    <mergeCell ref="AB28:AB29"/>
    <mergeCell ref="O26:O27"/>
    <mergeCell ref="O28:O29"/>
    <mergeCell ref="A26:A27"/>
    <mergeCell ref="E26:E27"/>
    <mergeCell ref="H26:H27"/>
    <mergeCell ref="N26:N27"/>
    <mergeCell ref="X22:X23"/>
    <mergeCell ref="Y22:Y23"/>
    <mergeCell ref="Z22:Z23"/>
    <mergeCell ref="AA22:AA23"/>
    <mergeCell ref="AB22:AB23"/>
    <mergeCell ref="A24:A25"/>
    <mergeCell ref="E24:E25"/>
    <mergeCell ref="H24:H25"/>
    <mergeCell ref="N24:N25"/>
    <mergeCell ref="X24:X25"/>
    <mergeCell ref="Y24:Y25"/>
    <mergeCell ref="Z24:Z25"/>
    <mergeCell ref="AA24:AA25"/>
    <mergeCell ref="AB24:AB25"/>
    <mergeCell ref="O22:O23"/>
    <mergeCell ref="O24:O25"/>
    <mergeCell ref="A22:A23"/>
    <mergeCell ref="E22:E23"/>
    <mergeCell ref="H22:H23"/>
    <mergeCell ref="N22:N23"/>
    <mergeCell ref="AB4:AB5"/>
    <mergeCell ref="O2:O3"/>
    <mergeCell ref="O4:O5"/>
    <mergeCell ref="O6:O7"/>
    <mergeCell ref="X14:X15"/>
    <mergeCell ref="Y14:Y15"/>
    <mergeCell ref="Z14:Z15"/>
    <mergeCell ref="AA14:AA15"/>
    <mergeCell ref="AB14:AB15"/>
    <mergeCell ref="A16:A17"/>
    <mergeCell ref="E16:E17"/>
    <mergeCell ref="H16:H17"/>
    <mergeCell ref="N16:N17"/>
    <mergeCell ref="X16:X17"/>
    <mergeCell ref="Y16:Y17"/>
    <mergeCell ref="Z16:Z17"/>
    <mergeCell ref="AA16:AA17"/>
    <mergeCell ref="AB16:AB17"/>
    <mergeCell ref="O14:O15"/>
    <mergeCell ref="O16:O17"/>
    <mergeCell ref="A14:A15"/>
    <mergeCell ref="E14:E15"/>
    <mergeCell ref="H14:H15"/>
    <mergeCell ref="N14:N15"/>
    <mergeCell ref="X10:X11"/>
    <mergeCell ref="Y10:Y11"/>
    <mergeCell ref="Z10:Z11"/>
    <mergeCell ref="AA10:AA11"/>
    <mergeCell ref="AB10:AB11"/>
    <mergeCell ref="A12:A13"/>
    <mergeCell ref="E12:E13"/>
    <mergeCell ref="H12:H13"/>
    <mergeCell ref="N12:N13"/>
    <mergeCell ref="X12:X13"/>
    <mergeCell ref="Y12:Y13"/>
    <mergeCell ref="Z12:Z13"/>
    <mergeCell ref="AA12:AA13"/>
    <mergeCell ref="AB12:AB13"/>
    <mergeCell ref="O10:O11"/>
    <mergeCell ref="O12:O13"/>
    <mergeCell ref="AB2:AB3"/>
    <mergeCell ref="A4:A5"/>
    <mergeCell ref="E4:E5"/>
    <mergeCell ref="H4:H5"/>
    <mergeCell ref="N4:N5"/>
    <mergeCell ref="L13:M13"/>
    <mergeCell ref="A10:A11"/>
    <mergeCell ref="E10:E11"/>
    <mergeCell ref="H10:H11"/>
    <mergeCell ref="N10:N11"/>
    <mergeCell ref="X4:X5"/>
    <mergeCell ref="Y4:Y5"/>
    <mergeCell ref="Z4:Z5"/>
    <mergeCell ref="AA4:AA5"/>
    <mergeCell ref="E1:F1"/>
    <mergeCell ref="A2:A3"/>
    <mergeCell ref="E2:E3"/>
    <mergeCell ref="H2:H3"/>
    <mergeCell ref="N2:N3"/>
    <mergeCell ref="AB1902:AB1903"/>
    <mergeCell ref="A1904:A1905"/>
    <mergeCell ref="E1904:E1905"/>
    <mergeCell ref="H1904:H1905"/>
    <mergeCell ref="I1904:I1905"/>
    <mergeCell ref="J1904:J1905"/>
    <mergeCell ref="K1904:K1905"/>
    <mergeCell ref="L1904:L1905"/>
    <mergeCell ref="M1904:M1905"/>
    <mergeCell ref="N1904:N1905"/>
    <mergeCell ref="O1904:O1905"/>
    <mergeCell ref="X1904:X1905"/>
    <mergeCell ref="Y1904:Y1905"/>
    <mergeCell ref="Z1904:Z1905"/>
    <mergeCell ref="AA1904:AA1905"/>
    <mergeCell ref="AB1904:AB1905"/>
    <mergeCell ref="A1906:A1907"/>
    <mergeCell ref="E1906:E1907"/>
    <mergeCell ref="H1906:H1907"/>
    <mergeCell ref="I1906:I1907"/>
    <mergeCell ref="J1906:J1907"/>
    <mergeCell ref="K1906:K1907"/>
    <mergeCell ref="L1906:L1907"/>
    <mergeCell ref="M1906:M1907"/>
    <mergeCell ref="N1906:N1907"/>
    <mergeCell ref="O1906:O1907"/>
    <mergeCell ref="X1906:X1907"/>
    <mergeCell ref="Y1906:Y1907"/>
    <mergeCell ref="Z1906:Z1907"/>
    <mergeCell ref="AA1906:AA1907"/>
    <mergeCell ref="AB1906:AB1907"/>
    <mergeCell ref="X6:X7"/>
    <mergeCell ref="Y6:Y7"/>
    <mergeCell ref="Z6:Z7"/>
    <mergeCell ref="AA6:AA7"/>
    <mergeCell ref="AB6:AB7"/>
    <mergeCell ref="A8:A9"/>
    <mergeCell ref="E8:E9"/>
    <mergeCell ref="H8:H9"/>
    <mergeCell ref="N8:N9"/>
    <mergeCell ref="X8:X9"/>
    <mergeCell ref="Y8:Y9"/>
    <mergeCell ref="Z8:Z9"/>
    <mergeCell ref="AA8:AA9"/>
    <mergeCell ref="AB8:AB9"/>
    <mergeCell ref="A6:A7"/>
    <mergeCell ref="E6:E7"/>
    <mergeCell ref="H6:H7"/>
    <mergeCell ref="N6:N7"/>
    <mergeCell ref="O8:O9"/>
    <mergeCell ref="X2:X3"/>
    <mergeCell ref="Y2:Y3"/>
    <mergeCell ref="Z2:Z3"/>
    <mergeCell ref="AA2:AA3"/>
    <mergeCell ref="X18:X19"/>
    <mergeCell ref="Y18:Y19"/>
    <mergeCell ref="Z18:Z19"/>
    <mergeCell ref="AA18:AA19"/>
    <mergeCell ref="AB18:AB19"/>
    <mergeCell ref="J1916:J1917"/>
    <mergeCell ref="K1916:K1917"/>
    <mergeCell ref="L1916:L1917"/>
    <mergeCell ref="M1916:M1917"/>
    <mergeCell ref="N1916:N1917"/>
    <mergeCell ref="O1916:O1917"/>
    <mergeCell ref="X1916:X1917"/>
    <mergeCell ref="Y1916:Y1917"/>
    <mergeCell ref="Z1916:Z1917"/>
    <mergeCell ref="AA1916:AA1917"/>
    <mergeCell ref="AB1916:AB1917"/>
    <mergeCell ref="A1918:A1919"/>
    <mergeCell ref="E1918:E1919"/>
    <mergeCell ref="H1918:H1919"/>
    <mergeCell ref="I1918:I1919"/>
    <mergeCell ref="J1918:J1919"/>
    <mergeCell ref="K1918:K1919"/>
    <mergeCell ref="L1918:L1919"/>
    <mergeCell ref="M1918:M1919"/>
    <mergeCell ref="N1918:N1919"/>
    <mergeCell ref="O1918:O1919"/>
    <mergeCell ref="X1918:X1919"/>
    <mergeCell ref="Y1918:Y1919"/>
    <mergeCell ref="Z1918:Z1919"/>
    <mergeCell ref="AA1918:AA1919"/>
    <mergeCell ref="AB1918:AB1919"/>
    <mergeCell ref="X1910:X1911"/>
    <mergeCell ref="Y1910:Y1911"/>
    <mergeCell ref="Z1910:Z1911"/>
    <mergeCell ref="AA1910:AA1911"/>
    <mergeCell ref="AB1910:AB1911"/>
    <mergeCell ref="A1912:A1913"/>
    <mergeCell ref="E1912:E1913"/>
    <mergeCell ref="H1912:H1913"/>
    <mergeCell ref="I1912:I1913"/>
    <mergeCell ref="J1912:J1913"/>
    <mergeCell ref="K1912:K1913"/>
    <mergeCell ref="L1912:L1913"/>
    <mergeCell ref="M1912:M1913"/>
    <mergeCell ref="N1912:N1913"/>
    <mergeCell ref="O1912:O1913"/>
    <mergeCell ref="X1912:X1913"/>
    <mergeCell ref="Y1912:Y1913"/>
    <mergeCell ref="Z1912:Z1913"/>
    <mergeCell ref="AA1912:AA1913"/>
    <mergeCell ref="AB1912:AB1913"/>
    <mergeCell ref="A1914:A1915"/>
    <mergeCell ref="E1914:E1915"/>
    <mergeCell ref="H1914:H1915"/>
    <mergeCell ref="I1914:I1915"/>
    <mergeCell ref="J1914:J1915"/>
    <mergeCell ref="K1914:K1915"/>
    <mergeCell ref="L1914:L1915"/>
    <mergeCell ref="M1914:M1915"/>
    <mergeCell ref="N1914:N1915"/>
    <mergeCell ref="O1914:O1915"/>
    <mergeCell ref="X1914:X1915"/>
    <mergeCell ref="Y1914:Y1915"/>
    <mergeCell ref="Z1914:Z1915"/>
    <mergeCell ref="AA1914:AA1915"/>
    <mergeCell ref="AB1914:AB1915"/>
    <mergeCell ref="A1920:A1921"/>
    <mergeCell ref="E1920:E1921"/>
    <mergeCell ref="H1920:H1921"/>
    <mergeCell ref="I1920:I1921"/>
    <mergeCell ref="J1920:J1921"/>
    <mergeCell ref="K1920:K1921"/>
    <mergeCell ref="L1920:L1921"/>
    <mergeCell ref="M1920:M1921"/>
    <mergeCell ref="N1920:N1921"/>
    <mergeCell ref="O1920:O1921"/>
    <mergeCell ref="X1920:X1921"/>
    <mergeCell ref="Y1920:Y1921"/>
    <mergeCell ref="Z1920:Z1921"/>
    <mergeCell ref="AA1920:AA1921"/>
    <mergeCell ref="AB1920:AB1921"/>
    <mergeCell ref="A1922:A1923"/>
    <mergeCell ref="E1922:E1923"/>
    <mergeCell ref="H1922:H1923"/>
    <mergeCell ref="I1922:I1923"/>
    <mergeCell ref="J1922:J1923"/>
    <mergeCell ref="K1922:K1923"/>
    <mergeCell ref="L1922:L1923"/>
    <mergeCell ref="M1922:M1923"/>
    <mergeCell ref="N1922:N1923"/>
    <mergeCell ref="O1922:O1923"/>
    <mergeCell ref="X1922:X1923"/>
    <mergeCell ref="Y1922:Y1923"/>
    <mergeCell ref="Z1922:Z1923"/>
    <mergeCell ref="AA1922:AA1923"/>
    <mergeCell ref="AB1922:AB1923"/>
    <mergeCell ref="A1924:A1925"/>
    <mergeCell ref="E1924:E1925"/>
    <mergeCell ref="H1924:H1925"/>
    <mergeCell ref="I1924:I1925"/>
    <mergeCell ref="J1924:J1925"/>
    <mergeCell ref="K1924:K1925"/>
    <mergeCell ref="L1924:L1925"/>
    <mergeCell ref="M1924:M1925"/>
    <mergeCell ref="N1924:N1925"/>
    <mergeCell ref="O1924:O1925"/>
    <mergeCell ref="X1924:X1925"/>
    <mergeCell ref="Y1924:Y1925"/>
    <mergeCell ref="Z1924:Z1925"/>
    <mergeCell ref="AA1924:AA1925"/>
    <mergeCell ref="AB1924:AB1925"/>
    <mergeCell ref="A1926:A1927"/>
    <mergeCell ref="E1926:E1927"/>
    <mergeCell ref="H1926:H1927"/>
    <mergeCell ref="I1926:I1927"/>
    <mergeCell ref="J1926:J1927"/>
    <mergeCell ref="K1926:K1927"/>
    <mergeCell ref="L1926:L1927"/>
    <mergeCell ref="M1926:M1927"/>
    <mergeCell ref="N1926:N1927"/>
    <mergeCell ref="O1926:O1927"/>
    <mergeCell ref="X1926:X1927"/>
    <mergeCell ref="Y1926:Y1927"/>
    <mergeCell ref="Z1926:Z1927"/>
    <mergeCell ref="AA1926:AA1927"/>
    <mergeCell ref="AB1926:AB1927"/>
    <mergeCell ref="A1928:A1929"/>
    <mergeCell ref="E1928:E1929"/>
    <mergeCell ref="H1928:H1929"/>
    <mergeCell ref="I1928:I1929"/>
    <mergeCell ref="J1928:J1929"/>
    <mergeCell ref="K1928:K1929"/>
    <mergeCell ref="L1928:L1929"/>
    <mergeCell ref="M1928:M1929"/>
    <mergeCell ref="N1928:N1929"/>
    <mergeCell ref="O1928:O1929"/>
    <mergeCell ref="X1928:X1929"/>
    <mergeCell ref="Y1928:Y1929"/>
    <mergeCell ref="Z1928:Z1929"/>
    <mergeCell ref="AA1928:AA1929"/>
    <mergeCell ref="AB1928:AB1929"/>
    <mergeCell ref="A1930:A1931"/>
    <mergeCell ref="E1930:E1931"/>
    <mergeCell ref="H1930:H1931"/>
    <mergeCell ref="I1930:I1931"/>
    <mergeCell ref="J1930:J1931"/>
    <mergeCell ref="K1930:K1931"/>
    <mergeCell ref="L1930:L1931"/>
    <mergeCell ref="M1930:M1931"/>
    <mergeCell ref="N1930:N1931"/>
    <mergeCell ref="O1930:O1931"/>
    <mergeCell ref="X1930:X1931"/>
    <mergeCell ref="Y1930:Y1931"/>
    <mergeCell ref="Z1930:Z1931"/>
    <mergeCell ref="AA1930:AA1931"/>
    <mergeCell ref="AB1930:AB1931"/>
    <mergeCell ref="A1932:A1933"/>
    <mergeCell ref="E1932:E1933"/>
    <mergeCell ref="H1932:H1933"/>
    <mergeCell ref="I1932:I1933"/>
    <mergeCell ref="J1932:J1933"/>
    <mergeCell ref="K1932:K1933"/>
    <mergeCell ref="L1932:L1933"/>
    <mergeCell ref="M1932:M1933"/>
    <mergeCell ref="N1932:N1933"/>
    <mergeCell ref="O1932:O1933"/>
    <mergeCell ref="X1932:X1933"/>
    <mergeCell ref="Y1932:Y1933"/>
    <mergeCell ref="Z1932:Z1933"/>
    <mergeCell ref="AA1932:AA1933"/>
    <mergeCell ref="AB1932:AB1933"/>
    <mergeCell ref="A1934:A1935"/>
    <mergeCell ref="E1934:E1935"/>
    <mergeCell ref="H1934:H1935"/>
    <mergeCell ref="I1934:I1935"/>
    <mergeCell ref="J1934:J1935"/>
    <mergeCell ref="K1934:K1935"/>
    <mergeCell ref="L1934:L1935"/>
    <mergeCell ref="M1934:M1935"/>
    <mergeCell ref="N1934:N1935"/>
    <mergeCell ref="O1934:O1935"/>
    <mergeCell ref="X1934:X1935"/>
    <mergeCell ref="Y1934:Y1935"/>
    <mergeCell ref="Z1934:Z1935"/>
    <mergeCell ref="AA1934:AA1935"/>
    <mergeCell ref="AB1934:AB1935"/>
    <mergeCell ref="A1936:A1937"/>
    <mergeCell ref="E1936:E1937"/>
    <mergeCell ref="H1936:H1937"/>
    <mergeCell ref="I1936:I1937"/>
    <mergeCell ref="J1936:J1937"/>
    <mergeCell ref="K1936:K1937"/>
    <mergeCell ref="L1936:L1937"/>
    <mergeCell ref="M1936:M1937"/>
    <mergeCell ref="N1936:N1937"/>
    <mergeCell ref="O1936:O1937"/>
    <mergeCell ref="X1936:X1937"/>
    <mergeCell ref="Y1936:Y1937"/>
    <mergeCell ref="Z1936:Z1937"/>
    <mergeCell ref="AA1936:AA1937"/>
    <mergeCell ref="AB1936:AB1937"/>
    <mergeCell ref="A1938:A1939"/>
    <mergeCell ref="E1938:E1939"/>
    <mergeCell ref="H1938:H1939"/>
    <mergeCell ref="I1938:I1939"/>
    <mergeCell ref="J1938:J1939"/>
    <mergeCell ref="K1938:K1939"/>
    <mergeCell ref="L1938:L1939"/>
    <mergeCell ref="M1938:M1939"/>
    <mergeCell ref="N1938:N1939"/>
    <mergeCell ref="O1938:O1939"/>
    <mergeCell ref="X1938:X1939"/>
    <mergeCell ref="Y1938:Y1939"/>
    <mergeCell ref="Z1938:Z1939"/>
    <mergeCell ref="AA1938:AA1939"/>
    <mergeCell ref="AB1938:AB1939"/>
    <mergeCell ref="A1940:A1941"/>
    <mergeCell ref="E1940:E1941"/>
    <mergeCell ref="H1940:H1941"/>
    <mergeCell ref="I1940:I1941"/>
    <mergeCell ref="J1940:J1941"/>
    <mergeCell ref="K1940:K1941"/>
    <mergeCell ref="L1940:L1941"/>
    <mergeCell ref="M1940:M1941"/>
    <mergeCell ref="N1940:N1941"/>
    <mergeCell ref="O1940:O1941"/>
    <mergeCell ref="X1940:X1941"/>
    <mergeCell ref="Y1940:Y1941"/>
    <mergeCell ref="Z1940:Z1941"/>
    <mergeCell ref="AA1940:AA1941"/>
    <mergeCell ref="AB1940:AB1941"/>
    <mergeCell ref="A1942:A1943"/>
    <mergeCell ref="E1942:E1943"/>
    <mergeCell ref="H1942:H1943"/>
    <mergeCell ref="I1942:I1943"/>
    <mergeCell ref="J1942:J1943"/>
    <mergeCell ref="K1942:K1943"/>
    <mergeCell ref="L1942:L1943"/>
    <mergeCell ref="M1942:M1943"/>
    <mergeCell ref="N1942:N1943"/>
    <mergeCell ref="O1942:O1943"/>
    <mergeCell ref="X1942:X1943"/>
    <mergeCell ref="Y1942:Y1943"/>
    <mergeCell ref="Z1942:Z1943"/>
    <mergeCell ref="AA1942:AA1943"/>
    <mergeCell ref="AB1942:AB1943"/>
    <mergeCell ref="A1944:A1945"/>
    <mergeCell ref="E1944:E1945"/>
    <mergeCell ref="H1944:H1945"/>
    <mergeCell ref="I1944:I1945"/>
    <mergeCell ref="J1944:J1945"/>
    <mergeCell ref="K1944:K1945"/>
    <mergeCell ref="L1944:L1945"/>
    <mergeCell ref="M1944:M1945"/>
    <mergeCell ref="N1944:N1945"/>
    <mergeCell ref="O1944:O1945"/>
    <mergeCell ref="X1944:X1945"/>
    <mergeCell ref="Y1944:Y1945"/>
    <mergeCell ref="Z1944:Z1945"/>
    <mergeCell ref="AA1944:AA1945"/>
    <mergeCell ref="AB1944:AB1945"/>
    <mergeCell ref="A1946:A1947"/>
    <mergeCell ref="E1946:E1947"/>
    <mergeCell ref="H1946:H1947"/>
    <mergeCell ref="I1946:I1947"/>
    <mergeCell ref="J1946:J1947"/>
    <mergeCell ref="K1946:K1947"/>
    <mergeCell ref="L1946:L1947"/>
    <mergeCell ref="M1946:M1947"/>
    <mergeCell ref="N1946:N1947"/>
    <mergeCell ref="O1946:O1947"/>
    <mergeCell ref="X1946:X1947"/>
    <mergeCell ref="Y1946:Y1947"/>
    <mergeCell ref="Z1946:Z1947"/>
    <mergeCell ref="AA1946:AA1947"/>
    <mergeCell ref="AB1946:AB1947"/>
    <mergeCell ref="A1948:A1949"/>
    <mergeCell ref="E1948:E1949"/>
    <mergeCell ref="H1948:H1949"/>
    <mergeCell ref="I1948:I1949"/>
    <mergeCell ref="J1948:J1949"/>
    <mergeCell ref="K1948:K1949"/>
    <mergeCell ref="L1948:L1949"/>
    <mergeCell ref="M1948:M1949"/>
    <mergeCell ref="N1948:N1949"/>
    <mergeCell ref="O1948:O1949"/>
    <mergeCell ref="X1948:X1949"/>
    <mergeCell ref="Y1948:Y1949"/>
    <mergeCell ref="Z1948:Z1949"/>
    <mergeCell ref="AA1948:AA1949"/>
    <mergeCell ref="AB1948:AB1949"/>
    <mergeCell ref="A1950:A1951"/>
    <mergeCell ref="E1950:E1951"/>
    <mergeCell ref="H1950:H1951"/>
    <mergeCell ref="I1950:I1951"/>
    <mergeCell ref="J1950:J1951"/>
    <mergeCell ref="K1950:K1951"/>
    <mergeCell ref="L1950:L1951"/>
    <mergeCell ref="M1950:M1951"/>
    <mergeCell ref="N1950:N1951"/>
    <mergeCell ref="O1950:O1951"/>
    <mergeCell ref="X1950:X1951"/>
    <mergeCell ref="Y1950:Y1951"/>
    <mergeCell ref="Z1950:Z1951"/>
    <mergeCell ref="AA1950:AA1951"/>
    <mergeCell ref="AB1950:AB1951"/>
    <mergeCell ref="A1952:A1953"/>
    <mergeCell ref="E1952:E1953"/>
    <mergeCell ref="H1952:H1953"/>
    <mergeCell ref="I1952:I1953"/>
    <mergeCell ref="J1952:J1953"/>
    <mergeCell ref="K1952:K1953"/>
    <mergeCell ref="L1952:L1953"/>
    <mergeCell ref="M1952:M1953"/>
    <mergeCell ref="N1952:N1953"/>
    <mergeCell ref="O1952:O1953"/>
    <mergeCell ref="X1952:X1953"/>
    <mergeCell ref="Y1952:Y1953"/>
    <mergeCell ref="Z1952:Z1953"/>
    <mergeCell ref="AA1952:AA1953"/>
    <mergeCell ref="AB1952:AB1953"/>
    <mergeCell ref="A1954:A1955"/>
    <mergeCell ref="E1954:E1955"/>
    <mergeCell ref="H1954:H1955"/>
    <mergeCell ref="I1954:I1955"/>
    <mergeCell ref="J1954:J1955"/>
    <mergeCell ref="K1954:K1955"/>
    <mergeCell ref="L1954:L1955"/>
    <mergeCell ref="M1954:M1955"/>
    <mergeCell ref="N1954:N1955"/>
    <mergeCell ref="O1954:O1955"/>
    <mergeCell ref="X1954:X1955"/>
    <mergeCell ref="Y1954:Y1955"/>
    <mergeCell ref="Z1954:Z1955"/>
    <mergeCell ref="AA1954:AA1955"/>
    <mergeCell ref="AB1954:AB1955"/>
    <mergeCell ref="A1956:A1957"/>
    <mergeCell ref="E1956:E1957"/>
    <mergeCell ref="H1956:H1957"/>
    <mergeCell ref="I1956:I1957"/>
    <mergeCell ref="J1956:J1957"/>
    <mergeCell ref="K1956:K1957"/>
    <mergeCell ref="L1956:L1957"/>
    <mergeCell ref="M1956:M1957"/>
    <mergeCell ref="N1956:N1957"/>
    <mergeCell ref="O1956:O1957"/>
    <mergeCell ref="X1956:X1957"/>
    <mergeCell ref="Y1956:Y1957"/>
    <mergeCell ref="Z1956:Z1957"/>
    <mergeCell ref="AA1956:AA1957"/>
    <mergeCell ref="AB1956:AB1957"/>
    <mergeCell ref="A1958:A1959"/>
    <mergeCell ref="E1958:E1959"/>
    <mergeCell ref="H1958:H1959"/>
    <mergeCell ref="I1958:I1959"/>
    <mergeCell ref="J1958:J1959"/>
    <mergeCell ref="K1958:K1959"/>
    <mergeCell ref="L1958:L1959"/>
    <mergeCell ref="M1958:M1959"/>
    <mergeCell ref="N1958:N1959"/>
    <mergeCell ref="O1958:O1959"/>
    <mergeCell ref="X1958:X1959"/>
    <mergeCell ref="Y1958:Y1959"/>
    <mergeCell ref="Z1958:Z1959"/>
    <mergeCell ref="AA1958:AA1959"/>
    <mergeCell ref="AB1958:AB1959"/>
    <mergeCell ref="A1962:A1963"/>
    <mergeCell ref="E1962:E1963"/>
    <mergeCell ref="H1962:H1963"/>
    <mergeCell ref="I1962:I1963"/>
    <mergeCell ref="J1962:J1963"/>
    <mergeCell ref="K1962:K1963"/>
    <mergeCell ref="L1962:L1963"/>
    <mergeCell ref="M1962:M1963"/>
    <mergeCell ref="N1962:N1963"/>
    <mergeCell ref="O1962:O1963"/>
    <mergeCell ref="X1962:X1963"/>
    <mergeCell ref="Y1962:Y1963"/>
    <mergeCell ref="Z1962:Z1963"/>
    <mergeCell ref="AA1962:AA1963"/>
    <mergeCell ref="AB1962:AB1963"/>
    <mergeCell ref="A1960:A1961"/>
    <mergeCell ref="E1960:E1961"/>
    <mergeCell ref="H1960:H1961"/>
    <mergeCell ref="I1960:I1961"/>
    <mergeCell ref="J1960:J1961"/>
    <mergeCell ref="K1960:K1961"/>
    <mergeCell ref="L1960:L1961"/>
    <mergeCell ref="M1960:M1961"/>
    <mergeCell ref="N1960:N1961"/>
    <mergeCell ref="A1970:A1971"/>
    <mergeCell ref="E1970:E1971"/>
    <mergeCell ref="A2250:A2251"/>
    <mergeCell ref="E2250:E2251"/>
    <mergeCell ref="H2250:H2251"/>
    <mergeCell ref="I2250:I2251"/>
    <mergeCell ref="J2250:J2251"/>
    <mergeCell ref="K2250:K2251"/>
    <mergeCell ref="L2250:L2251"/>
    <mergeCell ref="M2250:M2251"/>
    <mergeCell ref="N2250:N2251"/>
    <mergeCell ref="O2250:O2251"/>
    <mergeCell ref="X2250:X2251"/>
    <mergeCell ref="Y2250:Y2251"/>
    <mergeCell ref="Z2250:Z2251"/>
    <mergeCell ref="AA2250:AA2251"/>
    <mergeCell ref="AB2250:AB2251"/>
    <mergeCell ref="H1970:H1971"/>
    <mergeCell ref="I1970:I1971"/>
    <mergeCell ref="J1970:J1971"/>
    <mergeCell ref="K1970:K1971"/>
    <mergeCell ref="L1970:L1971"/>
    <mergeCell ref="M1970:M1971"/>
    <mergeCell ref="N1970:N1971"/>
    <mergeCell ref="O1970:O1971"/>
    <mergeCell ref="X1970:X1971"/>
    <mergeCell ref="Y1970:Y1971"/>
    <mergeCell ref="Z1970:Z1971"/>
    <mergeCell ref="AA1970:AA1971"/>
    <mergeCell ref="AB1970:AB1971"/>
    <mergeCell ref="A1974:A1975"/>
    <mergeCell ref="E1974:E1975"/>
    <mergeCell ref="H1974:H1975"/>
    <mergeCell ref="I1974:I1975"/>
    <mergeCell ref="J1974:J1975"/>
    <mergeCell ref="K1974:K1975"/>
    <mergeCell ref="L1974:L1975"/>
    <mergeCell ref="M1974:M1975"/>
    <mergeCell ref="N1974:N1975"/>
    <mergeCell ref="O1974:O1975"/>
    <mergeCell ref="X1974:X1975"/>
    <mergeCell ref="Y1974:Y1975"/>
    <mergeCell ref="Z1974:Z1975"/>
    <mergeCell ref="AA1974:AA1975"/>
    <mergeCell ref="AB1974:AB1975"/>
    <mergeCell ref="A1972:A1973"/>
    <mergeCell ref="E1972:E1973"/>
    <mergeCell ref="A1976:A1977"/>
    <mergeCell ref="E1976:E1977"/>
    <mergeCell ref="H1976:H1977"/>
    <mergeCell ref="I1976:I1977"/>
    <mergeCell ref="J1976:J1977"/>
    <mergeCell ref="K1976:K1977"/>
    <mergeCell ref="L1976:L1977"/>
    <mergeCell ref="M1976:M1977"/>
    <mergeCell ref="N1976:N1977"/>
    <mergeCell ref="O1976:O1977"/>
    <mergeCell ref="X1976:X1977"/>
    <mergeCell ref="Y1976:Y1977"/>
    <mergeCell ref="Z1976:Z1977"/>
    <mergeCell ref="AA1976:AA1977"/>
    <mergeCell ref="AB1976:AB1977"/>
    <mergeCell ref="X1972:X1973"/>
    <mergeCell ref="Y1972:Y1973"/>
    <mergeCell ref="A2252:A2253"/>
    <mergeCell ref="E2252:E2253"/>
    <mergeCell ref="H2252:H2253"/>
    <mergeCell ref="I2252:I2253"/>
    <mergeCell ref="J2252:J2253"/>
    <mergeCell ref="K2252:K2253"/>
    <mergeCell ref="L2252:L2253"/>
    <mergeCell ref="M2252:M2253"/>
    <mergeCell ref="N2252:N2253"/>
    <mergeCell ref="O2252:O2253"/>
    <mergeCell ref="X2252:X2253"/>
    <mergeCell ref="Y2252:Y2253"/>
    <mergeCell ref="Z2252:Z2253"/>
    <mergeCell ref="AA2252:AA2253"/>
    <mergeCell ref="AB2252:AB2253"/>
    <mergeCell ref="A2258:A2259"/>
    <mergeCell ref="E2258:E2259"/>
    <mergeCell ref="H2258:H2259"/>
    <mergeCell ref="I2258:I2259"/>
    <mergeCell ref="J2258:J2259"/>
    <mergeCell ref="K2258:K2259"/>
    <mergeCell ref="L2258:L2259"/>
    <mergeCell ref="M2258:M2259"/>
    <mergeCell ref="N2258:N2259"/>
    <mergeCell ref="O2258:O2259"/>
    <mergeCell ref="X2258:X2259"/>
    <mergeCell ref="Y2258:Y2259"/>
    <mergeCell ref="Z2258:Z2259"/>
    <mergeCell ref="AA2258:AA2259"/>
    <mergeCell ref="AB2258:AB2259"/>
    <mergeCell ref="O2256:O2257"/>
    <mergeCell ref="X2256:X2257"/>
    <mergeCell ref="Y2256:Y2257"/>
    <mergeCell ref="Z2256:Z2257"/>
    <mergeCell ref="AA2256:AA2257"/>
    <mergeCell ref="Z2262:Z2263"/>
    <mergeCell ref="AA2262:AA2263"/>
    <mergeCell ref="AB2262:AB2263"/>
    <mergeCell ref="A2272:A2273"/>
    <mergeCell ref="E2272:E2273"/>
    <mergeCell ref="H2272:H2273"/>
    <mergeCell ref="I2272:I2273"/>
    <mergeCell ref="J2272:J2273"/>
    <mergeCell ref="K2272:K2273"/>
    <mergeCell ref="L2272:L2273"/>
    <mergeCell ref="M2272:M2273"/>
    <mergeCell ref="N2272:N2273"/>
    <mergeCell ref="O2272:O2273"/>
    <mergeCell ref="X2272:X2273"/>
    <mergeCell ref="Y2272:Y2273"/>
    <mergeCell ref="Z2272:Z2273"/>
    <mergeCell ref="AA2272:AA2273"/>
    <mergeCell ref="AB2272:AB2273"/>
    <mergeCell ref="A2264:A2265"/>
    <mergeCell ref="E2264:E2265"/>
    <mergeCell ref="H2264:H2265"/>
    <mergeCell ref="I2264:I2265"/>
    <mergeCell ref="J2264:J2265"/>
    <mergeCell ref="K2264:K2265"/>
    <mergeCell ref="L2264:L2265"/>
    <mergeCell ref="M2264:M2265"/>
    <mergeCell ref="N2264:N2265"/>
    <mergeCell ref="O2264:O2265"/>
    <mergeCell ref="X2264:X2265"/>
    <mergeCell ref="Y2264:Y2265"/>
    <mergeCell ref="Z2264:Z2265"/>
    <mergeCell ref="AA2264:AA2265"/>
    <mergeCell ref="AB2264:AB2265"/>
    <mergeCell ref="A2266:A2267"/>
    <mergeCell ref="E2266:E2267"/>
    <mergeCell ref="H2266:H2267"/>
    <mergeCell ref="I2266:I2267"/>
    <mergeCell ref="J2266:J2267"/>
    <mergeCell ref="K2266:K2267"/>
    <mergeCell ref="L2266:L2267"/>
    <mergeCell ref="M2266:M2267"/>
    <mergeCell ref="N2266:N2267"/>
    <mergeCell ref="A2268:A2269"/>
    <mergeCell ref="E2268:E2269"/>
    <mergeCell ref="H2268:H2269"/>
    <mergeCell ref="I2268:I2269"/>
    <mergeCell ref="J2268:J2269"/>
    <mergeCell ref="K2268:K2269"/>
    <mergeCell ref="L2268:L2269"/>
    <mergeCell ref="M2268:M2269"/>
    <mergeCell ref="N2268:N2269"/>
    <mergeCell ref="O2268:O2269"/>
    <mergeCell ref="X2268:X2269"/>
    <mergeCell ref="Y2268:Y2269"/>
    <mergeCell ref="Z2268:Z2269"/>
    <mergeCell ref="AA2268:AA2269"/>
    <mergeCell ref="AB2268:AB2269"/>
    <mergeCell ref="X2262:X2263"/>
    <mergeCell ref="Y2262:Y2263"/>
    <mergeCell ref="O2266:O2267"/>
    <mergeCell ref="X2266:X2267"/>
    <mergeCell ref="Y2266:Y2267"/>
    <mergeCell ref="Z2266:Z2267"/>
    <mergeCell ref="AA2266:AA2267"/>
    <mergeCell ref="A2274:A2275"/>
    <mergeCell ref="E2274:E2275"/>
    <mergeCell ref="H2274:H2275"/>
    <mergeCell ref="I2274:I2275"/>
    <mergeCell ref="J2274:J2275"/>
    <mergeCell ref="K2274:K2275"/>
    <mergeCell ref="L2274:L2275"/>
    <mergeCell ref="M2274:M2275"/>
    <mergeCell ref="N2274:N2275"/>
    <mergeCell ref="O2274:O2275"/>
    <mergeCell ref="X2274:X2275"/>
    <mergeCell ref="Y2274:Y2275"/>
    <mergeCell ref="Z2274:Z2275"/>
    <mergeCell ref="AA2274:AA2275"/>
    <mergeCell ref="AB2274:AB2275"/>
    <mergeCell ref="A2276:A2277"/>
    <mergeCell ref="E2276:E2277"/>
    <mergeCell ref="H2276:H2277"/>
    <mergeCell ref="I2276:I2277"/>
    <mergeCell ref="J2276:J2277"/>
    <mergeCell ref="K2276:K2277"/>
    <mergeCell ref="L2276:L2277"/>
    <mergeCell ref="M2276:M2277"/>
    <mergeCell ref="N2276:N2277"/>
    <mergeCell ref="O2276:O2277"/>
    <mergeCell ref="X2276:X2277"/>
    <mergeCell ref="Y2276:Y2277"/>
    <mergeCell ref="Z2276:Z2277"/>
    <mergeCell ref="AA2276:AA2277"/>
    <mergeCell ref="AB2276:AB2277"/>
    <mergeCell ref="A2278:A2279"/>
    <mergeCell ref="E2278:E2279"/>
    <mergeCell ref="H2278:H2279"/>
    <mergeCell ref="I2278:I2279"/>
    <mergeCell ref="J2278:J2279"/>
    <mergeCell ref="K2278:K2279"/>
    <mergeCell ref="L2278:L2279"/>
    <mergeCell ref="M2278:M2279"/>
    <mergeCell ref="N2278:N2279"/>
    <mergeCell ref="O2278:O2279"/>
    <mergeCell ref="X2278:X2279"/>
    <mergeCell ref="Y2278:Y2279"/>
    <mergeCell ref="Z2278:Z2279"/>
    <mergeCell ref="AA2278:AA2279"/>
    <mergeCell ref="AB2278:AB2279"/>
    <mergeCell ref="A2280:A2281"/>
    <mergeCell ref="E2280:E2281"/>
    <mergeCell ref="H2280:H2281"/>
    <mergeCell ref="I2280:I2281"/>
    <mergeCell ref="J2280:J2281"/>
    <mergeCell ref="K2280:K2281"/>
    <mergeCell ref="L2280:L2281"/>
    <mergeCell ref="M2280:M2281"/>
    <mergeCell ref="N2280:N2281"/>
    <mergeCell ref="O2280:O2281"/>
    <mergeCell ref="X2280:X2281"/>
    <mergeCell ref="Y2280:Y2281"/>
    <mergeCell ref="Z2280:Z2281"/>
    <mergeCell ref="AA2280:AA2281"/>
    <mergeCell ref="AB2280:AB2281"/>
    <mergeCell ref="A2282:A2283"/>
    <mergeCell ref="E2282:E2283"/>
    <mergeCell ref="H2282:H2283"/>
    <mergeCell ref="I2282:I2283"/>
    <mergeCell ref="J2282:J2283"/>
    <mergeCell ref="K2282:K2283"/>
    <mergeCell ref="L2282:L2283"/>
    <mergeCell ref="M2282:M2283"/>
    <mergeCell ref="N2282:N2283"/>
    <mergeCell ref="O2282:O2283"/>
    <mergeCell ref="X2282:X2283"/>
    <mergeCell ref="Y2282:Y2283"/>
    <mergeCell ref="Z2282:Z2283"/>
    <mergeCell ref="AA2282:AA2283"/>
    <mergeCell ref="AB2282:AB2283"/>
    <mergeCell ref="A2284:A2285"/>
    <mergeCell ref="E2284:E2285"/>
    <mergeCell ref="H2284:H2285"/>
    <mergeCell ref="I2284:I2285"/>
    <mergeCell ref="J2284:J2285"/>
    <mergeCell ref="K2284:K2285"/>
    <mergeCell ref="L2284:L2285"/>
    <mergeCell ref="M2284:M2285"/>
    <mergeCell ref="N2284:N2285"/>
    <mergeCell ref="O2284:O2285"/>
    <mergeCell ref="X2284:X2285"/>
    <mergeCell ref="Y2284:Y2285"/>
    <mergeCell ref="Z2284:Z2285"/>
    <mergeCell ref="AA2284:AA2285"/>
    <mergeCell ref="AB2284:AB2285"/>
    <mergeCell ref="A2286:A2287"/>
    <mergeCell ref="E2286:E2287"/>
    <mergeCell ref="H2286:H2287"/>
    <mergeCell ref="I2286:I2287"/>
    <mergeCell ref="J2286:J2287"/>
    <mergeCell ref="K2286:K2287"/>
    <mergeCell ref="L2286:L2287"/>
    <mergeCell ref="M2286:M2287"/>
    <mergeCell ref="N2286:N2287"/>
    <mergeCell ref="O2286:O2287"/>
    <mergeCell ref="X2286:X2287"/>
    <mergeCell ref="Y2286:Y2287"/>
    <mergeCell ref="Z2286:Z2287"/>
    <mergeCell ref="AA2286:AA2287"/>
    <mergeCell ref="AB2286:AB2287"/>
    <mergeCell ref="A2288:A2289"/>
    <mergeCell ref="E2288:E2289"/>
    <mergeCell ref="H2288:H2289"/>
    <mergeCell ref="I2288:I2289"/>
    <mergeCell ref="J2288:J2289"/>
    <mergeCell ref="K2288:K2289"/>
    <mergeCell ref="L2288:L2289"/>
    <mergeCell ref="M2288:M2289"/>
    <mergeCell ref="N2288:N2289"/>
    <mergeCell ref="O2288:O2289"/>
    <mergeCell ref="X2288:X2289"/>
    <mergeCell ref="Y2288:Y2289"/>
    <mergeCell ref="Z2288:Z2289"/>
    <mergeCell ref="AA2288:AA2289"/>
    <mergeCell ref="AB2288:AB2289"/>
    <mergeCell ref="A2290:A2291"/>
    <mergeCell ref="E2290:E2291"/>
    <mergeCell ref="H2290:H2291"/>
    <mergeCell ref="I2290:I2291"/>
    <mergeCell ref="J2290:J2291"/>
    <mergeCell ref="K2290:K2291"/>
    <mergeCell ref="L2290:L2291"/>
    <mergeCell ref="M2290:M2291"/>
    <mergeCell ref="N2290:N2291"/>
    <mergeCell ref="O2290:O2291"/>
    <mergeCell ref="X2290:X2291"/>
    <mergeCell ref="Y2290:Y2291"/>
    <mergeCell ref="Z2290:Z2291"/>
    <mergeCell ref="AA2290:AA2291"/>
    <mergeCell ref="AB2290:AB2291"/>
    <mergeCell ref="A2292:A2293"/>
    <mergeCell ref="E2292:E2293"/>
    <mergeCell ref="H2292:H2293"/>
    <mergeCell ref="I2292:I2293"/>
    <mergeCell ref="J2292:J2293"/>
    <mergeCell ref="K2292:K2293"/>
    <mergeCell ref="L2292:L2293"/>
    <mergeCell ref="M2292:M2293"/>
    <mergeCell ref="N2292:N2293"/>
    <mergeCell ref="O2292:O2293"/>
    <mergeCell ref="X2292:X2293"/>
    <mergeCell ref="Y2292:Y2293"/>
    <mergeCell ref="Z2292:Z2293"/>
    <mergeCell ref="AA2292:AA2293"/>
    <mergeCell ref="AB2292:AB2293"/>
    <mergeCell ref="A2294:A2295"/>
    <mergeCell ref="E2294:E2295"/>
    <mergeCell ref="H2294:H2295"/>
    <mergeCell ref="I2294:I2295"/>
    <mergeCell ref="J2294:J2295"/>
    <mergeCell ref="K2294:K2295"/>
    <mergeCell ref="L2294:L2295"/>
    <mergeCell ref="M2294:M2295"/>
    <mergeCell ref="N2294:N2295"/>
    <mergeCell ref="O2294:O2295"/>
    <mergeCell ref="X2294:X2295"/>
    <mergeCell ref="Y2294:Y2295"/>
    <mergeCell ref="Z2294:Z2295"/>
    <mergeCell ref="AA2294:AA2295"/>
    <mergeCell ref="AB2294:AB2295"/>
    <mergeCell ref="A2296:A2297"/>
    <mergeCell ref="E2296:E2297"/>
    <mergeCell ref="H2296:H2297"/>
    <mergeCell ref="I2296:I2297"/>
    <mergeCell ref="J2296:J2297"/>
    <mergeCell ref="K2296:K2297"/>
    <mergeCell ref="L2296:L2297"/>
    <mergeCell ref="M2296:M2297"/>
    <mergeCell ref="N2296:N2297"/>
    <mergeCell ref="O2296:O2297"/>
    <mergeCell ref="X2296:X2297"/>
    <mergeCell ref="Y2296:Y2297"/>
    <mergeCell ref="Z2296:Z2297"/>
    <mergeCell ref="AA2296:AA2297"/>
    <mergeCell ref="AB2296:AB2297"/>
    <mergeCell ref="A2298:A2299"/>
    <mergeCell ref="E2298:E2299"/>
    <mergeCell ref="H2298:H2299"/>
    <mergeCell ref="I2298:I2299"/>
    <mergeCell ref="J2298:J2299"/>
    <mergeCell ref="K2298:K2299"/>
    <mergeCell ref="L2298:L2299"/>
    <mergeCell ref="M2298:M2299"/>
    <mergeCell ref="N2298:N2299"/>
    <mergeCell ref="O2298:O2299"/>
    <mergeCell ref="X2298:X2299"/>
    <mergeCell ref="Y2298:Y2299"/>
    <mergeCell ref="Z2298:Z2299"/>
    <mergeCell ref="AA2298:AA2299"/>
    <mergeCell ref="AB2298:AB2299"/>
    <mergeCell ref="A2334:A2335"/>
    <mergeCell ref="E2334:E2335"/>
    <mergeCell ref="H2334:H2335"/>
    <mergeCell ref="I2334:I2335"/>
    <mergeCell ref="J2334:J2335"/>
    <mergeCell ref="K2334:K2335"/>
    <mergeCell ref="L2334:L2335"/>
    <mergeCell ref="M2334:M2335"/>
    <mergeCell ref="N2334:N2335"/>
    <mergeCell ref="O2334:O2335"/>
    <mergeCell ref="X2334:X2335"/>
    <mergeCell ref="Y2334:Y2335"/>
    <mergeCell ref="Z2334:Z2335"/>
    <mergeCell ref="AA2334:AA2335"/>
    <mergeCell ref="AB2334:AB2335"/>
    <mergeCell ref="A2302:A2303"/>
    <mergeCell ref="E2302:E2303"/>
    <mergeCell ref="H2302:H2303"/>
    <mergeCell ref="I2302:I2303"/>
    <mergeCell ref="J2302:J2303"/>
    <mergeCell ref="K2302:K2303"/>
    <mergeCell ref="L2302:L2303"/>
    <mergeCell ref="M2302:M2303"/>
    <mergeCell ref="N2302:N2303"/>
    <mergeCell ref="O2302:O2303"/>
    <mergeCell ref="X2302:X2303"/>
    <mergeCell ref="Y2302:Y2303"/>
    <mergeCell ref="Z2302:Z2303"/>
    <mergeCell ref="AA2302:AA2303"/>
    <mergeCell ref="AB2302:AB2303"/>
    <mergeCell ref="A2304:A2305"/>
    <mergeCell ref="E2304:E2305"/>
    <mergeCell ref="H2304:H2305"/>
    <mergeCell ref="I2304:I2305"/>
    <mergeCell ref="J2304:J2305"/>
    <mergeCell ref="K2304:K2305"/>
    <mergeCell ref="L2304:L2305"/>
    <mergeCell ref="M2304:M2305"/>
    <mergeCell ref="N2304:N2305"/>
    <mergeCell ref="O2304:O2305"/>
    <mergeCell ref="X2304:X2305"/>
    <mergeCell ref="Y2304:Y2305"/>
    <mergeCell ref="Z2304:Z2305"/>
    <mergeCell ref="AA2304:AA2305"/>
    <mergeCell ref="AB2304:AB2305"/>
    <mergeCell ref="A2306:A2307"/>
    <mergeCell ref="E2306:E2307"/>
    <mergeCell ref="H2306:H2307"/>
    <mergeCell ref="I2306:I2307"/>
    <mergeCell ref="A2336:A2337"/>
    <mergeCell ref="E2336:E2337"/>
    <mergeCell ref="H2336:H2337"/>
    <mergeCell ref="I2336:I2337"/>
    <mergeCell ref="J2336:J2337"/>
    <mergeCell ref="K2336:K2337"/>
    <mergeCell ref="L2336:L2337"/>
    <mergeCell ref="M2336:M2337"/>
    <mergeCell ref="N2336:N2337"/>
    <mergeCell ref="O2336:O2337"/>
    <mergeCell ref="X2336:X2337"/>
    <mergeCell ref="Y2336:Y2337"/>
    <mergeCell ref="Z2336:Z2337"/>
    <mergeCell ref="AA2336:AA2337"/>
    <mergeCell ref="AB2336:AB2337"/>
    <mergeCell ref="A2338:A2339"/>
    <mergeCell ref="E2338:E2339"/>
    <mergeCell ref="H2338:H2339"/>
    <mergeCell ref="I2338:I2339"/>
    <mergeCell ref="J2338:J2339"/>
    <mergeCell ref="K2338:K2339"/>
    <mergeCell ref="L2338:L2339"/>
    <mergeCell ref="M2338:M2339"/>
    <mergeCell ref="N2338:N2339"/>
    <mergeCell ref="O2338:O2339"/>
    <mergeCell ref="X2338:X2339"/>
    <mergeCell ref="Y2338:Y2339"/>
    <mergeCell ref="Z2338:Z2339"/>
    <mergeCell ref="AA2338:AA2339"/>
    <mergeCell ref="AB2338:AB2339"/>
    <mergeCell ref="A2340:A2341"/>
    <mergeCell ref="E2340:E2341"/>
    <mergeCell ref="H2340:H2341"/>
    <mergeCell ref="I2340:I2341"/>
    <mergeCell ref="J2340:J2341"/>
    <mergeCell ref="K2340:K2341"/>
    <mergeCell ref="L2340:L2341"/>
    <mergeCell ref="M2340:M2341"/>
    <mergeCell ref="N2340:N2341"/>
    <mergeCell ref="O2340:O2341"/>
    <mergeCell ref="X2340:X2341"/>
    <mergeCell ref="Y2340:Y2341"/>
    <mergeCell ref="Z2340:Z2341"/>
    <mergeCell ref="AA2340:AA2341"/>
    <mergeCell ref="AB2340:AB2341"/>
    <mergeCell ref="A2342:A2343"/>
    <mergeCell ref="E2342:E2343"/>
    <mergeCell ref="H2342:H2343"/>
    <mergeCell ref="I2342:I2343"/>
    <mergeCell ref="J2342:J2343"/>
    <mergeCell ref="K2342:K2343"/>
    <mergeCell ref="L2342:L2343"/>
    <mergeCell ref="M2342:M2343"/>
    <mergeCell ref="N2342:N2343"/>
    <mergeCell ref="O2342:O2343"/>
    <mergeCell ref="X2342:X2343"/>
    <mergeCell ref="Y2342:Y2343"/>
    <mergeCell ref="Z2342:Z2343"/>
    <mergeCell ref="AA2342:AA2343"/>
    <mergeCell ref="AB2342:AB2343"/>
    <mergeCell ref="A2344:A2345"/>
    <mergeCell ref="E2344:E2345"/>
    <mergeCell ref="H2344:H2345"/>
    <mergeCell ref="I2344:I2345"/>
    <mergeCell ref="J2344:J2345"/>
    <mergeCell ref="K2344:K2345"/>
    <mergeCell ref="L2344:L2345"/>
    <mergeCell ref="M2344:M2345"/>
    <mergeCell ref="N2344:N2345"/>
    <mergeCell ref="O2344:O2345"/>
    <mergeCell ref="X2344:X2345"/>
    <mergeCell ref="Y2344:Y2345"/>
    <mergeCell ref="Z2344:Z2345"/>
    <mergeCell ref="AA2344:AA2345"/>
    <mergeCell ref="AB2344:AB2345"/>
    <mergeCell ref="A2346:A2347"/>
    <mergeCell ref="E2346:E2347"/>
    <mergeCell ref="H2346:H2347"/>
    <mergeCell ref="I2346:I2347"/>
    <mergeCell ref="J2346:J2347"/>
    <mergeCell ref="K2346:K2347"/>
    <mergeCell ref="L2346:L2347"/>
    <mergeCell ref="M2346:M2347"/>
    <mergeCell ref="N2346:N2347"/>
    <mergeCell ref="O2346:O2347"/>
    <mergeCell ref="X2346:X2347"/>
    <mergeCell ref="Y2346:Y2347"/>
    <mergeCell ref="Z2346:Z2347"/>
    <mergeCell ref="AA2346:AA2347"/>
    <mergeCell ref="AB2346:AB2347"/>
    <mergeCell ref="A2348:A2349"/>
    <mergeCell ref="E2348:E2349"/>
    <mergeCell ref="H2348:H2349"/>
    <mergeCell ref="I2348:I2349"/>
    <mergeCell ref="J2348:J2349"/>
    <mergeCell ref="K2348:K2349"/>
    <mergeCell ref="L2348:L2349"/>
    <mergeCell ref="M2348:M2349"/>
    <mergeCell ref="N2348:N2349"/>
    <mergeCell ref="O2348:O2349"/>
    <mergeCell ref="X2348:X2349"/>
    <mergeCell ref="Y2348:Y2349"/>
    <mergeCell ref="Z2348:Z2349"/>
    <mergeCell ref="AA2348:AA2349"/>
    <mergeCell ref="AB2348:AB2349"/>
    <mergeCell ref="A2350:A2351"/>
    <mergeCell ref="E2350:E2351"/>
    <mergeCell ref="H2350:H2351"/>
    <mergeCell ref="I2350:I2351"/>
    <mergeCell ref="J2350:J2351"/>
    <mergeCell ref="K2350:K2351"/>
    <mergeCell ref="L2350:L2351"/>
    <mergeCell ref="M2350:M2351"/>
    <mergeCell ref="N2350:N2351"/>
    <mergeCell ref="O2350:O2351"/>
    <mergeCell ref="X2350:X2351"/>
    <mergeCell ref="Y2350:Y2351"/>
    <mergeCell ref="Z2350:Z2351"/>
    <mergeCell ref="AA2350:AA2351"/>
    <mergeCell ref="AB2350:AB2351"/>
    <mergeCell ref="A2352:A2353"/>
    <mergeCell ref="E2352:E2353"/>
    <mergeCell ref="H2352:H2353"/>
    <mergeCell ref="I2352:I2353"/>
    <mergeCell ref="J2352:J2353"/>
    <mergeCell ref="K2352:K2353"/>
    <mergeCell ref="L2352:L2353"/>
    <mergeCell ref="M2352:M2353"/>
    <mergeCell ref="N2352:N2353"/>
    <mergeCell ref="O2352:O2353"/>
    <mergeCell ref="X2352:X2353"/>
    <mergeCell ref="Y2352:Y2353"/>
    <mergeCell ref="Z2352:Z2353"/>
    <mergeCell ref="AA2352:AA2353"/>
    <mergeCell ref="AB2352:AB2353"/>
    <mergeCell ref="A2354:A2355"/>
    <mergeCell ref="E2354:E2355"/>
    <mergeCell ref="H2354:H2355"/>
    <mergeCell ref="I2354:I2355"/>
    <mergeCell ref="J2354:J2355"/>
    <mergeCell ref="K2354:K2355"/>
    <mergeCell ref="L2354:L2355"/>
    <mergeCell ref="M2354:M2355"/>
    <mergeCell ref="N2354:N2355"/>
    <mergeCell ref="O2354:O2355"/>
    <mergeCell ref="X2354:X2355"/>
    <mergeCell ref="Y2354:Y2355"/>
    <mergeCell ref="Z2354:Z2355"/>
    <mergeCell ref="AA2354:AA2355"/>
    <mergeCell ref="AB2354:AB2355"/>
    <mergeCell ref="AB2364:AB2365"/>
    <mergeCell ref="A2358:A2359"/>
    <mergeCell ref="E2358:E2359"/>
    <mergeCell ref="H2358:H2359"/>
    <mergeCell ref="I2358:I2359"/>
    <mergeCell ref="J2358:J2359"/>
    <mergeCell ref="K2358:K2359"/>
    <mergeCell ref="L2358:L2359"/>
    <mergeCell ref="M2358:M2359"/>
    <mergeCell ref="N2358:N2359"/>
    <mergeCell ref="O2358:O2359"/>
    <mergeCell ref="X2358:X2359"/>
    <mergeCell ref="Y2358:Y2359"/>
    <mergeCell ref="Z2358:Z2359"/>
    <mergeCell ref="AA2358:AA2359"/>
    <mergeCell ref="AB2358:AB2359"/>
    <mergeCell ref="A2360:A2361"/>
    <mergeCell ref="E2360:E2361"/>
    <mergeCell ref="H2360:H2361"/>
    <mergeCell ref="I2360:I2361"/>
    <mergeCell ref="J2360:J2361"/>
    <mergeCell ref="K2360:K2361"/>
    <mergeCell ref="L2360:L2361"/>
    <mergeCell ref="M2360:M2361"/>
    <mergeCell ref="N2360:N2361"/>
    <mergeCell ref="O2360:O2361"/>
    <mergeCell ref="X2360:X2361"/>
    <mergeCell ref="Y2360:Y2361"/>
    <mergeCell ref="Z2360:Z2361"/>
    <mergeCell ref="AA2360:AA2361"/>
    <mergeCell ref="AB2360:AB2361"/>
    <mergeCell ref="AA2366:AA2367"/>
    <mergeCell ref="AB2366:AB2367"/>
    <mergeCell ref="A2368:A2369"/>
    <mergeCell ref="E2368:E2369"/>
    <mergeCell ref="H2368:H2369"/>
    <mergeCell ref="I2368:I2369"/>
    <mergeCell ref="J2368:J2369"/>
    <mergeCell ref="K2368:K2369"/>
    <mergeCell ref="L2368:L2369"/>
    <mergeCell ref="M2368:M2369"/>
    <mergeCell ref="N2368:N2369"/>
    <mergeCell ref="O2368:O2369"/>
    <mergeCell ref="X2368:X2369"/>
    <mergeCell ref="Y2368:Y2369"/>
    <mergeCell ref="Z2368:Z2369"/>
    <mergeCell ref="AA2368:AA2369"/>
    <mergeCell ref="AB2368:AB2369"/>
    <mergeCell ref="A2362:A2363"/>
    <mergeCell ref="E2362:E2363"/>
    <mergeCell ref="H2362:H2363"/>
    <mergeCell ref="I2362:I2363"/>
    <mergeCell ref="J2362:J2363"/>
    <mergeCell ref="K2362:K2363"/>
    <mergeCell ref="L2362:L2363"/>
    <mergeCell ref="M2362:M2363"/>
    <mergeCell ref="N2362:N2363"/>
    <mergeCell ref="O2362:O2363"/>
    <mergeCell ref="X2362:X2363"/>
    <mergeCell ref="Y2362:Y2363"/>
    <mergeCell ref="Z2362:Z2363"/>
    <mergeCell ref="AA2362:AA2363"/>
    <mergeCell ref="AB2362:AB2363"/>
    <mergeCell ref="A2364:A2365"/>
    <mergeCell ref="E2364:E2365"/>
    <mergeCell ref="H2364:H2365"/>
    <mergeCell ref="I2364:I2365"/>
    <mergeCell ref="J2364:J2365"/>
    <mergeCell ref="K2364:K2365"/>
    <mergeCell ref="L2364:L2365"/>
    <mergeCell ref="M2364:M2365"/>
    <mergeCell ref="N2364:N2365"/>
    <mergeCell ref="O2364:O2365"/>
    <mergeCell ref="X2364:X2365"/>
    <mergeCell ref="Y2364:Y2365"/>
    <mergeCell ref="Z2364:Z2365"/>
    <mergeCell ref="AA2364:AA2365"/>
    <mergeCell ref="J2306:J2307"/>
    <mergeCell ref="K2306:K2307"/>
    <mergeCell ref="L2306:L2307"/>
    <mergeCell ref="M2306:M2307"/>
    <mergeCell ref="N2306:N2307"/>
    <mergeCell ref="O2306:O2307"/>
    <mergeCell ref="X2306:X2307"/>
    <mergeCell ref="Y2306:Y2307"/>
    <mergeCell ref="Z2306:Z2307"/>
    <mergeCell ref="AA2306:AA2307"/>
    <mergeCell ref="AB2306:AB2307"/>
    <mergeCell ref="A2308:A2309"/>
    <mergeCell ref="E2308:E2309"/>
    <mergeCell ref="H2308:H2309"/>
    <mergeCell ref="I2308:I2309"/>
    <mergeCell ref="J2308:J2309"/>
    <mergeCell ref="K2308:K2309"/>
    <mergeCell ref="L2308:L2309"/>
    <mergeCell ref="M2308:M2309"/>
    <mergeCell ref="N2308:N2309"/>
    <mergeCell ref="O2308:O2309"/>
    <mergeCell ref="X2308:X2309"/>
    <mergeCell ref="Y2308:Y2309"/>
    <mergeCell ref="Z2308:Z2309"/>
    <mergeCell ref="AA2308:AA2309"/>
    <mergeCell ref="AB2308:AB2309"/>
    <mergeCell ref="A2310:A2311"/>
    <mergeCell ref="E2310:E2311"/>
    <mergeCell ref="H2310:H2311"/>
    <mergeCell ref="I2310:I2311"/>
    <mergeCell ref="J2310:J2311"/>
    <mergeCell ref="K2310:K2311"/>
    <mergeCell ref="L2310:L2311"/>
    <mergeCell ref="M2310:M2311"/>
    <mergeCell ref="N2310:N2311"/>
    <mergeCell ref="O2310:O2311"/>
    <mergeCell ref="X2310:X2311"/>
    <mergeCell ref="Y2310:Y2311"/>
    <mergeCell ref="Z2310:Z2311"/>
    <mergeCell ref="AA2310:AA2311"/>
    <mergeCell ref="AB2310:AB2311"/>
    <mergeCell ref="A2312:A2313"/>
    <mergeCell ref="E2312:E2313"/>
    <mergeCell ref="H2312:H2313"/>
    <mergeCell ref="I2312:I2313"/>
    <mergeCell ref="J2312:J2313"/>
    <mergeCell ref="K2312:K2313"/>
    <mergeCell ref="L2312:L2313"/>
    <mergeCell ref="M2312:M2313"/>
    <mergeCell ref="N2312:N2313"/>
    <mergeCell ref="O2312:O2313"/>
    <mergeCell ref="X2312:X2313"/>
    <mergeCell ref="Y2312:Y2313"/>
    <mergeCell ref="Z2312:Z2313"/>
    <mergeCell ref="AA2312:AA2313"/>
    <mergeCell ref="AB2312:AB2313"/>
    <mergeCell ref="A2314:A2315"/>
    <mergeCell ref="E2314:E2315"/>
    <mergeCell ref="H2314:H2315"/>
    <mergeCell ref="I2314:I2315"/>
    <mergeCell ref="J2314:J2315"/>
    <mergeCell ref="K2314:K2315"/>
    <mergeCell ref="L2314:L2315"/>
    <mergeCell ref="M2314:M2315"/>
    <mergeCell ref="N2314:N2315"/>
    <mergeCell ref="O2314:O2315"/>
    <mergeCell ref="X2314:X2315"/>
    <mergeCell ref="Y2314:Y2315"/>
    <mergeCell ref="Z2314:Z2315"/>
    <mergeCell ref="AA2314:AA2315"/>
    <mergeCell ref="AB2314:AB2315"/>
    <mergeCell ref="A2316:A2317"/>
    <mergeCell ref="E2316:E2317"/>
    <mergeCell ref="H2316:H2317"/>
    <mergeCell ref="I2316:I2317"/>
    <mergeCell ref="J2316:J2317"/>
    <mergeCell ref="K2316:K2317"/>
    <mergeCell ref="L2316:L2317"/>
    <mergeCell ref="M2316:M2317"/>
    <mergeCell ref="N2316:N2317"/>
    <mergeCell ref="O2316:O2317"/>
    <mergeCell ref="X2316:X2317"/>
    <mergeCell ref="Y2316:Y2317"/>
    <mergeCell ref="Z2316:Z2317"/>
    <mergeCell ref="AA2316:AA2317"/>
    <mergeCell ref="AB2316:AB2317"/>
    <mergeCell ref="A2318:A2319"/>
    <mergeCell ref="E2318:E2319"/>
    <mergeCell ref="H2318:H2319"/>
    <mergeCell ref="I2318:I2319"/>
    <mergeCell ref="J2318:J2319"/>
    <mergeCell ref="K2318:K2319"/>
    <mergeCell ref="L2318:L2319"/>
    <mergeCell ref="M2318:M2319"/>
    <mergeCell ref="N2318:N2319"/>
    <mergeCell ref="O2318:O2319"/>
    <mergeCell ref="X2318:X2319"/>
    <mergeCell ref="Y2318:Y2319"/>
    <mergeCell ref="Z2318:Z2319"/>
    <mergeCell ref="AA2318:AA2319"/>
    <mergeCell ref="AB2318:AB2319"/>
    <mergeCell ref="A2320:A2321"/>
    <mergeCell ref="E2320:E2321"/>
    <mergeCell ref="H2320:H2321"/>
    <mergeCell ref="I2320:I2321"/>
    <mergeCell ref="J2320:J2321"/>
    <mergeCell ref="K2320:K2321"/>
    <mergeCell ref="L2320:L2321"/>
    <mergeCell ref="M2320:M2321"/>
    <mergeCell ref="N2320:N2321"/>
    <mergeCell ref="O2320:O2321"/>
    <mergeCell ref="X2320:X2321"/>
    <mergeCell ref="Y2320:Y2321"/>
    <mergeCell ref="Z2320:Z2321"/>
    <mergeCell ref="AA2320:AA2321"/>
    <mergeCell ref="AB2320:AB2321"/>
    <mergeCell ref="A2322:A2323"/>
    <mergeCell ref="E2322:E2323"/>
    <mergeCell ref="H2322:H2323"/>
    <mergeCell ref="I2322:I2323"/>
    <mergeCell ref="J2322:J2323"/>
    <mergeCell ref="K2322:K2323"/>
    <mergeCell ref="L2322:L2323"/>
    <mergeCell ref="M2322:M2323"/>
    <mergeCell ref="N2322:N2323"/>
    <mergeCell ref="O2322:O2323"/>
    <mergeCell ref="X2322:X2323"/>
    <mergeCell ref="Y2322:Y2323"/>
    <mergeCell ref="Z2322:Z2323"/>
    <mergeCell ref="AA2322:AA2323"/>
    <mergeCell ref="AB2322:AB2323"/>
    <mergeCell ref="A2328:A2329"/>
    <mergeCell ref="E2328:E2329"/>
    <mergeCell ref="H2328:H2329"/>
    <mergeCell ref="I2328:I2329"/>
    <mergeCell ref="J2328:J2329"/>
    <mergeCell ref="K2328:K2329"/>
    <mergeCell ref="L2328:L2329"/>
    <mergeCell ref="M2328:M2329"/>
    <mergeCell ref="N2328:N2329"/>
    <mergeCell ref="O2328:O2329"/>
    <mergeCell ref="X2328:X2329"/>
    <mergeCell ref="Y2328:Y2329"/>
    <mergeCell ref="Z2328:Z2329"/>
    <mergeCell ref="AA2328:AA2329"/>
    <mergeCell ref="AB2328:AB2329"/>
    <mergeCell ref="A2324:A2325"/>
    <mergeCell ref="E2324:E2325"/>
    <mergeCell ref="H2324:H2325"/>
    <mergeCell ref="I2324:I2325"/>
    <mergeCell ref="J2324:J2325"/>
    <mergeCell ref="K2324:K2325"/>
    <mergeCell ref="L2324:L2325"/>
    <mergeCell ref="M2324:M2325"/>
    <mergeCell ref="N2324:N2325"/>
    <mergeCell ref="O2324:O2325"/>
    <mergeCell ref="X2324:X2325"/>
    <mergeCell ref="Y2324:Y2325"/>
    <mergeCell ref="Z2324:Z2325"/>
    <mergeCell ref="AA2324:AA2325"/>
    <mergeCell ref="AB2324:AB2325"/>
    <mergeCell ref="A2326:A2327"/>
    <mergeCell ref="E2326:E2327"/>
    <mergeCell ref="H2326:H2327"/>
    <mergeCell ref="I2326:I2327"/>
    <mergeCell ref="J2326:J2327"/>
    <mergeCell ref="K2326:K2327"/>
    <mergeCell ref="L2326:L2327"/>
    <mergeCell ref="M2326:M2327"/>
    <mergeCell ref="N2326:N2327"/>
    <mergeCell ref="O2326:O2327"/>
    <mergeCell ref="X2326:X2327"/>
    <mergeCell ref="Y2326:Y2327"/>
    <mergeCell ref="Z2326:Z2327"/>
    <mergeCell ref="AA2326:AA2327"/>
    <mergeCell ref="AB2326:AB2327"/>
    <mergeCell ref="A2330:A2331"/>
    <mergeCell ref="E2330:E2331"/>
    <mergeCell ref="H2330:H2331"/>
    <mergeCell ref="I2330:I2331"/>
    <mergeCell ref="J2330:J2331"/>
    <mergeCell ref="K2330:K2331"/>
    <mergeCell ref="L2330:L2331"/>
    <mergeCell ref="M2330:M2331"/>
    <mergeCell ref="N2330:N2331"/>
    <mergeCell ref="O2330:O2331"/>
    <mergeCell ref="X2330:X2331"/>
    <mergeCell ref="Y2330:Y2331"/>
    <mergeCell ref="Z2330:Z2331"/>
    <mergeCell ref="AA2330:AA2331"/>
    <mergeCell ref="AB2330:AB2331"/>
    <mergeCell ref="A2332:A2333"/>
    <mergeCell ref="E2332:E2333"/>
    <mergeCell ref="H2332:H2333"/>
    <mergeCell ref="I2332:I2333"/>
    <mergeCell ref="J2332:J2333"/>
    <mergeCell ref="K2332:K2333"/>
    <mergeCell ref="L2332:L2333"/>
    <mergeCell ref="M2332:M2333"/>
    <mergeCell ref="N2332:N2333"/>
    <mergeCell ref="O2332:O2333"/>
    <mergeCell ref="X2332:X2333"/>
    <mergeCell ref="Y2332:Y2333"/>
    <mergeCell ref="Z2332:Z2333"/>
    <mergeCell ref="AA2332:AA2333"/>
    <mergeCell ref="AB2332:AB2333"/>
    <mergeCell ref="O2408:O2409"/>
    <mergeCell ref="X2408:X2409"/>
    <mergeCell ref="Y2408:Y2409"/>
    <mergeCell ref="Z2408:Z2409"/>
    <mergeCell ref="AA2408:AA2409"/>
    <mergeCell ref="AB2408:AB2409"/>
    <mergeCell ref="A2370:A2371"/>
    <mergeCell ref="E2370:E2371"/>
    <mergeCell ref="H2370:H2371"/>
    <mergeCell ref="I2370:I2371"/>
    <mergeCell ref="J2370:J2371"/>
    <mergeCell ref="K2370:K2371"/>
    <mergeCell ref="L2370:L2371"/>
    <mergeCell ref="M2370:M2371"/>
    <mergeCell ref="N2370:N2371"/>
    <mergeCell ref="O2370:O2371"/>
    <mergeCell ref="X2370:X2371"/>
    <mergeCell ref="Y2370:Y2371"/>
    <mergeCell ref="Z2370:Z2371"/>
    <mergeCell ref="AA2370:AA2371"/>
    <mergeCell ref="AB2370:AB2371"/>
    <mergeCell ref="A2366:A2367"/>
    <mergeCell ref="E2366:E2367"/>
    <mergeCell ref="H2366:H2367"/>
    <mergeCell ref="I2366:I2367"/>
    <mergeCell ref="J2366:J2367"/>
    <mergeCell ref="K2366:K2367"/>
    <mergeCell ref="L2366:L2367"/>
    <mergeCell ref="M2366:M2367"/>
    <mergeCell ref="N2366:N2367"/>
    <mergeCell ref="O2366:O2367"/>
    <mergeCell ref="X2366:X2367"/>
    <mergeCell ref="Y2366:Y2367"/>
    <mergeCell ref="Z2366:Z2367"/>
    <mergeCell ref="A2444:A2445"/>
    <mergeCell ref="E2444:E2445"/>
    <mergeCell ref="H2444:H2445"/>
    <mergeCell ref="I2444:I2445"/>
    <mergeCell ref="J2444:J2445"/>
    <mergeCell ref="K2444:K2445"/>
    <mergeCell ref="L2444:L2445"/>
    <mergeCell ref="M2444:M2445"/>
    <mergeCell ref="N2444:N2445"/>
    <mergeCell ref="O2444:O2445"/>
    <mergeCell ref="X2444:X2445"/>
    <mergeCell ref="Y2444:Y2445"/>
    <mergeCell ref="Z2444:Z2445"/>
    <mergeCell ref="AA2444:AA2445"/>
    <mergeCell ref="AB2444:AB2445"/>
    <mergeCell ref="A2412:A2413"/>
    <mergeCell ref="E2412:E2413"/>
    <mergeCell ref="H2412:H2413"/>
    <mergeCell ref="I2412:I2413"/>
    <mergeCell ref="J2412:J2413"/>
    <mergeCell ref="K2412:K2413"/>
    <mergeCell ref="L2412:L2413"/>
    <mergeCell ref="M2412:M2413"/>
    <mergeCell ref="N2412:N2413"/>
    <mergeCell ref="O2412:O2413"/>
    <mergeCell ref="X2412:X2413"/>
    <mergeCell ref="Y2412:Y2413"/>
    <mergeCell ref="Z2412:Z2413"/>
    <mergeCell ref="AA2412:AA2413"/>
    <mergeCell ref="A2446:A2447"/>
    <mergeCell ref="E2446:E2447"/>
    <mergeCell ref="H2446:H2447"/>
    <mergeCell ref="I2446:I2447"/>
    <mergeCell ref="J2446:J2447"/>
    <mergeCell ref="K2446:K2447"/>
    <mergeCell ref="L2446:L2447"/>
    <mergeCell ref="M2446:M2447"/>
    <mergeCell ref="N2446:N2447"/>
    <mergeCell ref="O2446:O2447"/>
    <mergeCell ref="X2446:X2447"/>
    <mergeCell ref="Y2446:Y2447"/>
    <mergeCell ref="Z2446:Z2447"/>
    <mergeCell ref="AA2446:AA2447"/>
    <mergeCell ref="AB2446:AB2447"/>
    <mergeCell ref="AB2412:AB2413"/>
    <mergeCell ref="A2414:A2415"/>
    <mergeCell ref="E2414:E2415"/>
    <mergeCell ref="H2414:H2415"/>
    <mergeCell ref="I2414:I2415"/>
    <mergeCell ref="J2414:J2415"/>
    <mergeCell ref="K2414:K2415"/>
    <mergeCell ref="L2414:L2415"/>
    <mergeCell ref="M2414:M2415"/>
    <mergeCell ref="N2414:N2415"/>
    <mergeCell ref="O2414:O2415"/>
    <mergeCell ref="X2414:X2415"/>
    <mergeCell ref="Y2414:Y2415"/>
    <mergeCell ref="Z2414:Z2415"/>
    <mergeCell ref="AA2414:AA2415"/>
    <mergeCell ref="AB2414:AB2415"/>
    <mergeCell ref="A2420:A2421"/>
    <mergeCell ref="E2420:E2421"/>
    <mergeCell ref="H2420:H2421"/>
    <mergeCell ref="I2420:I2421"/>
    <mergeCell ref="A2448:A2449"/>
    <mergeCell ref="E2448:E2449"/>
    <mergeCell ref="H2448:H2449"/>
    <mergeCell ref="I2448:I2449"/>
    <mergeCell ref="J2448:J2449"/>
    <mergeCell ref="K2448:K2449"/>
    <mergeCell ref="L2448:L2449"/>
    <mergeCell ref="M2448:M2449"/>
    <mergeCell ref="N2448:N2449"/>
    <mergeCell ref="O2448:O2449"/>
    <mergeCell ref="X2448:X2449"/>
    <mergeCell ref="Y2448:Y2449"/>
    <mergeCell ref="Z2448:Z2449"/>
    <mergeCell ref="AA2448:AA2449"/>
    <mergeCell ref="AB2448:AB2449"/>
    <mergeCell ref="A2450:A2451"/>
    <mergeCell ref="E2450:E2451"/>
    <mergeCell ref="H2450:H2451"/>
    <mergeCell ref="I2450:I2451"/>
    <mergeCell ref="J2450:J2451"/>
    <mergeCell ref="K2450:K2451"/>
    <mergeCell ref="L2450:L2451"/>
    <mergeCell ref="M2450:M2451"/>
    <mergeCell ref="N2450:N2451"/>
    <mergeCell ref="O2450:O2451"/>
    <mergeCell ref="X2450:X2451"/>
    <mergeCell ref="Y2450:Y2451"/>
    <mergeCell ref="Z2450:Z2451"/>
    <mergeCell ref="AA2450:AA2451"/>
    <mergeCell ref="AB2450:AB2451"/>
    <mergeCell ref="A2452:A2453"/>
    <mergeCell ref="E2452:E2453"/>
    <mergeCell ref="H2452:H2453"/>
    <mergeCell ref="I2452:I2453"/>
    <mergeCell ref="J2452:J2453"/>
    <mergeCell ref="K2452:K2453"/>
    <mergeCell ref="L2452:L2453"/>
    <mergeCell ref="M2452:M2453"/>
    <mergeCell ref="N2452:N2453"/>
    <mergeCell ref="O2452:O2453"/>
    <mergeCell ref="X2452:X2453"/>
    <mergeCell ref="Y2452:Y2453"/>
    <mergeCell ref="Z2452:Z2453"/>
    <mergeCell ref="AA2452:AA2453"/>
    <mergeCell ref="AB2452:AB2453"/>
    <mergeCell ref="A2454:A2455"/>
    <mergeCell ref="E2454:E2455"/>
    <mergeCell ref="H2454:H2455"/>
    <mergeCell ref="I2454:I2455"/>
    <mergeCell ref="J2454:J2455"/>
    <mergeCell ref="K2454:K2455"/>
    <mergeCell ref="L2454:L2455"/>
    <mergeCell ref="M2454:M2455"/>
    <mergeCell ref="N2454:N2455"/>
    <mergeCell ref="O2454:O2455"/>
    <mergeCell ref="X2454:X2455"/>
    <mergeCell ref="Y2454:Y2455"/>
    <mergeCell ref="Z2454:Z2455"/>
    <mergeCell ref="AA2454:AA2455"/>
    <mergeCell ref="AB2454:AB2455"/>
    <mergeCell ref="A2456:A2457"/>
    <mergeCell ref="E2456:E2457"/>
    <mergeCell ref="H2456:H2457"/>
    <mergeCell ref="I2456:I2457"/>
    <mergeCell ref="J2456:J2457"/>
    <mergeCell ref="K2456:K2457"/>
    <mergeCell ref="L2456:L2457"/>
    <mergeCell ref="M2456:M2457"/>
    <mergeCell ref="N2456:N2457"/>
    <mergeCell ref="O2456:O2457"/>
    <mergeCell ref="X2456:X2457"/>
    <mergeCell ref="Y2456:Y2457"/>
    <mergeCell ref="Z2456:Z2457"/>
    <mergeCell ref="AA2456:AA2457"/>
    <mergeCell ref="AB2456:AB2457"/>
    <mergeCell ref="A2458:A2459"/>
    <mergeCell ref="E2458:E2459"/>
    <mergeCell ref="H2458:H2459"/>
    <mergeCell ref="I2458:I2459"/>
    <mergeCell ref="J2458:J2459"/>
    <mergeCell ref="K2458:K2459"/>
    <mergeCell ref="L2458:L2459"/>
    <mergeCell ref="M2458:M2459"/>
    <mergeCell ref="N2458:N2459"/>
    <mergeCell ref="O2458:O2459"/>
    <mergeCell ref="X2458:X2459"/>
    <mergeCell ref="Y2458:Y2459"/>
    <mergeCell ref="Z2458:Z2459"/>
    <mergeCell ref="AA2458:AA2459"/>
    <mergeCell ref="AB2458:AB2459"/>
    <mergeCell ref="A2460:A2461"/>
    <mergeCell ref="E2460:E2461"/>
    <mergeCell ref="H2460:H2461"/>
    <mergeCell ref="I2460:I2461"/>
    <mergeCell ref="J2460:J2461"/>
    <mergeCell ref="K2460:K2461"/>
    <mergeCell ref="L2460:L2461"/>
    <mergeCell ref="M2460:M2461"/>
    <mergeCell ref="N2460:N2461"/>
    <mergeCell ref="O2460:O2461"/>
    <mergeCell ref="X2460:X2461"/>
    <mergeCell ref="Y2460:Y2461"/>
    <mergeCell ref="Z2460:Z2461"/>
    <mergeCell ref="AA2460:AA2461"/>
    <mergeCell ref="AB2460:AB2461"/>
    <mergeCell ref="A2462:A2463"/>
    <mergeCell ref="E2462:E2463"/>
    <mergeCell ref="H2462:H2463"/>
    <mergeCell ref="I2462:I2463"/>
    <mergeCell ref="J2462:J2463"/>
    <mergeCell ref="K2462:K2463"/>
    <mergeCell ref="L2462:L2463"/>
    <mergeCell ref="M2462:M2463"/>
    <mergeCell ref="N2462:N2463"/>
    <mergeCell ref="O2462:O2463"/>
    <mergeCell ref="X2462:X2463"/>
    <mergeCell ref="Y2462:Y2463"/>
    <mergeCell ref="Z2462:Z2463"/>
    <mergeCell ref="AA2462:AA2463"/>
    <mergeCell ref="AB2462:AB2463"/>
    <mergeCell ref="A2464:A2465"/>
    <mergeCell ref="E2464:E2465"/>
    <mergeCell ref="H2464:H2465"/>
    <mergeCell ref="I2464:I2465"/>
    <mergeCell ref="J2464:J2465"/>
    <mergeCell ref="K2464:K2465"/>
    <mergeCell ref="L2464:L2465"/>
    <mergeCell ref="M2464:M2465"/>
    <mergeCell ref="N2464:N2465"/>
    <mergeCell ref="O2464:O2465"/>
    <mergeCell ref="X2464:X2465"/>
    <mergeCell ref="Y2464:Y2465"/>
    <mergeCell ref="Z2464:Z2465"/>
    <mergeCell ref="AA2464:AA2465"/>
    <mergeCell ref="AB2464:AB2465"/>
    <mergeCell ref="A2466:A2467"/>
    <mergeCell ref="E2466:E2467"/>
    <mergeCell ref="H2466:H2467"/>
    <mergeCell ref="I2466:I2467"/>
    <mergeCell ref="J2466:J2467"/>
    <mergeCell ref="K2466:K2467"/>
    <mergeCell ref="L2466:L2467"/>
    <mergeCell ref="M2466:M2467"/>
    <mergeCell ref="N2466:N2467"/>
    <mergeCell ref="O2466:O2467"/>
    <mergeCell ref="X2466:X2467"/>
    <mergeCell ref="Y2466:Y2467"/>
    <mergeCell ref="Z2466:Z2467"/>
    <mergeCell ref="AA2466:AA2467"/>
    <mergeCell ref="AB2466:AB2467"/>
    <mergeCell ref="A2468:A2469"/>
    <mergeCell ref="E2468:E2469"/>
    <mergeCell ref="H2468:H2469"/>
    <mergeCell ref="I2468:I2469"/>
    <mergeCell ref="J2468:J2469"/>
    <mergeCell ref="K2468:K2469"/>
    <mergeCell ref="L2468:L2469"/>
    <mergeCell ref="M2468:M2469"/>
    <mergeCell ref="N2468:N2469"/>
    <mergeCell ref="O2468:O2469"/>
    <mergeCell ref="X2468:X2469"/>
    <mergeCell ref="Y2468:Y2469"/>
    <mergeCell ref="Z2468:Z2469"/>
    <mergeCell ref="AA2468:AA2469"/>
    <mergeCell ref="AB2468:AB2469"/>
    <mergeCell ref="A2470:A2471"/>
    <mergeCell ref="E2470:E2471"/>
    <mergeCell ref="H2470:H2471"/>
    <mergeCell ref="I2470:I2471"/>
    <mergeCell ref="J2470:J2471"/>
    <mergeCell ref="K2470:K2471"/>
    <mergeCell ref="L2470:L2471"/>
    <mergeCell ref="M2470:M2471"/>
    <mergeCell ref="N2470:N2471"/>
    <mergeCell ref="O2470:O2471"/>
    <mergeCell ref="X2470:X2471"/>
    <mergeCell ref="Y2470:Y2471"/>
    <mergeCell ref="Z2470:Z2471"/>
    <mergeCell ref="AA2470:AA2471"/>
    <mergeCell ref="AB2470:AB2471"/>
    <mergeCell ref="A2472:A2473"/>
    <mergeCell ref="E2472:E2473"/>
    <mergeCell ref="H2472:H2473"/>
    <mergeCell ref="I2472:I2473"/>
    <mergeCell ref="J2472:J2473"/>
    <mergeCell ref="K2472:K2473"/>
    <mergeCell ref="L2472:L2473"/>
    <mergeCell ref="M2472:M2473"/>
    <mergeCell ref="N2472:N2473"/>
    <mergeCell ref="O2472:O2473"/>
    <mergeCell ref="X2472:X2473"/>
    <mergeCell ref="Y2472:Y2473"/>
    <mergeCell ref="Z2472:Z2473"/>
    <mergeCell ref="AA2472:AA2473"/>
    <mergeCell ref="AB2472:AB2473"/>
    <mergeCell ref="A2474:A2475"/>
    <mergeCell ref="E2474:E2475"/>
    <mergeCell ref="H2474:H2475"/>
    <mergeCell ref="I2474:I2475"/>
    <mergeCell ref="J2474:J2475"/>
    <mergeCell ref="K2474:K2475"/>
    <mergeCell ref="L2474:L2475"/>
    <mergeCell ref="M2474:M2475"/>
    <mergeCell ref="N2474:N2475"/>
    <mergeCell ref="O2474:O2475"/>
    <mergeCell ref="X2474:X2475"/>
    <mergeCell ref="Y2474:Y2475"/>
    <mergeCell ref="Z2474:Z2475"/>
    <mergeCell ref="AA2474:AA2475"/>
    <mergeCell ref="AB2474:AB2475"/>
    <mergeCell ref="A2476:A2477"/>
    <mergeCell ref="E2476:E2477"/>
    <mergeCell ref="H2476:H2477"/>
    <mergeCell ref="I2476:I2477"/>
    <mergeCell ref="J2476:J2477"/>
    <mergeCell ref="K2476:K2477"/>
    <mergeCell ref="L2476:L2477"/>
    <mergeCell ref="M2476:M2477"/>
    <mergeCell ref="N2476:N2477"/>
    <mergeCell ref="O2476:O2477"/>
    <mergeCell ref="X2476:X2477"/>
    <mergeCell ref="Y2476:Y2477"/>
    <mergeCell ref="Z2476:Z2477"/>
    <mergeCell ref="AA2476:AA2477"/>
    <mergeCell ref="AB2476:AB2477"/>
    <mergeCell ref="A2478:A2479"/>
    <mergeCell ref="E2478:E2479"/>
    <mergeCell ref="H2478:H2479"/>
    <mergeCell ref="I2478:I2479"/>
    <mergeCell ref="J2478:J2479"/>
    <mergeCell ref="K2478:K2479"/>
    <mergeCell ref="L2478:L2479"/>
    <mergeCell ref="M2478:M2479"/>
    <mergeCell ref="N2478:N2479"/>
    <mergeCell ref="O2478:O2479"/>
    <mergeCell ref="X2478:X2479"/>
    <mergeCell ref="Y2478:Y2479"/>
    <mergeCell ref="Z2478:Z2479"/>
    <mergeCell ref="AA2478:AA2479"/>
    <mergeCell ref="AB2478:AB2479"/>
    <mergeCell ref="A2480:A2481"/>
    <mergeCell ref="E2480:E2481"/>
    <mergeCell ref="H2480:H2481"/>
    <mergeCell ref="I2480:I2481"/>
    <mergeCell ref="J2480:J2481"/>
    <mergeCell ref="K2480:K2481"/>
    <mergeCell ref="L2480:L2481"/>
    <mergeCell ref="M2480:M2481"/>
    <mergeCell ref="N2480:N2481"/>
    <mergeCell ref="O2480:O2481"/>
    <mergeCell ref="X2480:X2481"/>
    <mergeCell ref="Y2480:Y2481"/>
    <mergeCell ref="Z2480:Z2481"/>
    <mergeCell ref="AA2480:AA2481"/>
    <mergeCell ref="AB2480:AB2481"/>
    <mergeCell ref="A2482:A2483"/>
    <mergeCell ref="E2482:E2483"/>
    <mergeCell ref="H2482:H2483"/>
    <mergeCell ref="I2482:I2483"/>
    <mergeCell ref="J2482:J2483"/>
    <mergeCell ref="K2482:K2483"/>
    <mergeCell ref="L2482:L2483"/>
    <mergeCell ref="M2482:M2483"/>
    <mergeCell ref="N2482:N2483"/>
    <mergeCell ref="O2482:O2483"/>
    <mergeCell ref="X2482:X2483"/>
    <mergeCell ref="Y2482:Y2483"/>
    <mergeCell ref="Z2482:Z2483"/>
    <mergeCell ref="AA2482:AA2483"/>
    <mergeCell ref="AB2482:AB2483"/>
    <mergeCell ref="A2484:A2485"/>
    <mergeCell ref="E2484:E2485"/>
    <mergeCell ref="H2484:H2485"/>
    <mergeCell ref="I2484:I2485"/>
    <mergeCell ref="J2484:J2485"/>
    <mergeCell ref="K2484:K2485"/>
    <mergeCell ref="L2484:L2485"/>
    <mergeCell ref="M2484:M2485"/>
    <mergeCell ref="N2484:N2485"/>
    <mergeCell ref="O2484:O2485"/>
    <mergeCell ref="X2484:X2485"/>
    <mergeCell ref="Y2484:Y2485"/>
    <mergeCell ref="Z2484:Z2485"/>
    <mergeCell ref="AA2484:AA2485"/>
    <mergeCell ref="AB2484:AB2485"/>
    <mergeCell ref="A2486:A2487"/>
    <mergeCell ref="E2486:E2487"/>
    <mergeCell ref="H2486:H2487"/>
    <mergeCell ref="I2486:I2487"/>
    <mergeCell ref="J2486:J2487"/>
    <mergeCell ref="K2486:K2487"/>
    <mergeCell ref="L2486:L2487"/>
    <mergeCell ref="M2486:M2487"/>
    <mergeCell ref="N2486:N2487"/>
    <mergeCell ref="O2486:O2487"/>
    <mergeCell ref="X2486:X2487"/>
    <mergeCell ref="Y2486:Y2487"/>
    <mergeCell ref="Z2486:Z2487"/>
    <mergeCell ref="AA2486:AA2487"/>
    <mergeCell ref="AB2486:AB2487"/>
    <mergeCell ref="A2492:A2493"/>
    <mergeCell ref="E2492:E2493"/>
    <mergeCell ref="H2492:H2493"/>
    <mergeCell ref="I2492:I2493"/>
    <mergeCell ref="J2492:J2493"/>
    <mergeCell ref="K2492:K2493"/>
    <mergeCell ref="L2492:L2493"/>
    <mergeCell ref="M2492:M2493"/>
    <mergeCell ref="N2492:N2493"/>
    <mergeCell ref="O2492:O2493"/>
    <mergeCell ref="X2492:X2493"/>
    <mergeCell ref="Y2492:Y2493"/>
    <mergeCell ref="Z2492:Z2493"/>
    <mergeCell ref="AA2492:AA2493"/>
    <mergeCell ref="AB2492:AB2493"/>
    <mergeCell ref="A2488:A2489"/>
    <mergeCell ref="E2488:E2489"/>
    <mergeCell ref="H2488:H2489"/>
    <mergeCell ref="I2488:I2489"/>
    <mergeCell ref="J2488:J2489"/>
    <mergeCell ref="K2488:K2489"/>
    <mergeCell ref="L2488:L2489"/>
    <mergeCell ref="M2488:M2489"/>
    <mergeCell ref="N2488:N2489"/>
    <mergeCell ref="AA2496:AA2497"/>
    <mergeCell ref="AB2496:AB2497"/>
    <mergeCell ref="A2498:A2499"/>
    <mergeCell ref="E2498:E2499"/>
    <mergeCell ref="H2498:H2499"/>
    <mergeCell ref="I2498:I2499"/>
    <mergeCell ref="J2498:J2499"/>
    <mergeCell ref="K2498:K2499"/>
    <mergeCell ref="L2498:L2499"/>
    <mergeCell ref="M2498:M2499"/>
    <mergeCell ref="N2498:N2499"/>
    <mergeCell ref="O2498:O2499"/>
    <mergeCell ref="X2498:X2499"/>
    <mergeCell ref="Y2498:Y2499"/>
    <mergeCell ref="Z2498:Z2499"/>
    <mergeCell ref="AA2498:AA2499"/>
    <mergeCell ref="AB2498:AB2499"/>
    <mergeCell ref="A2500:A2501"/>
    <mergeCell ref="E2500:E2501"/>
    <mergeCell ref="H2500:H2501"/>
    <mergeCell ref="I2500:I2501"/>
    <mergeCell ref="J2500:J2501"/>
    <mergeCell ref="K2500:K2501"/>
    <mergeCell ref="L2500:L2501"/>
    <mergeCell ref="M2500:M2501"/>
    <mergeCell ref="N2500:N2501"/>
    <mergeCell ref="O2500:O2501"/>
    <mergeCell ref="X2500:X2501"/>
    <mergeCell ref="Y2500:Y2501"/>
    <mergeCell ref="Z2500:Z2501"/>
    <mergeCell ref="AA2500:AA2501"/>
    <mergeCell ref="AB2500:AB2501"/>
    <mergeCell ref="A2502:A2503"/>
    <mergeCell ref="E2502:E2503"/>
    <mergeCell ref="H2502:H2503"/>
    <mergeCell ref="I2502:I2503"/>
    <mergeCell ref="J2502:J2503"/>
    <mergeCell ref="K2502:K2503"/>
    <mergeCell ref="L2502:L2503"/>
    <mergeCell ref="M2502:M2503"/>
    <mergeCell ref="N2502:N2503"/>
    <mergeCell ref="O2502:O2503"/>
    <mergeCell ref="X2502:X2503"/>
    <mergeCell ref="Y2502:Y2503"/>
    <mergeCell ref="Z2502:Z2503"/>
    <mergeCell ref="AA2502:AA2503"/>
    <mergeCell ref="AB2502:AB2503"/>
    <mergeCell ref="A2504:A2505"/>
    <mergeCell ref="E2504:E2505"/>
    <mergeCell ref="H2504:H2505"/>
    <mergeCell ref="I2504:I2505"/>
    <mergeCell ref="J2504:J2505"/>
    <mergeCell ref="K2504:K2505"/>
    <mergeCell ref="L2504:L2505"/>
    <mergeCell ref="M2504:M2505"/>
    <mergeCell ref="N2504:N2505"/>
    <mergeCell ref="O2504:O2505"/>
    <mergeCell ref="X2504:X2505"/>
    <mergeCell ref="Y2504:Y2505"/>
    <mergeCell ref="Z2504:Z2505"/>
    <mergeCell ref="AA2504:AA2505"/>
    <mergeCell ref="AB2504:AB2505"/>
    <mergeCell ref="A2506:A2507"/>
    <mergeCell ref="E2506:E2507"/>
    <mergeCell ref="H2506:H2507"/>
    <mergeCell ref="I2506:I2507"/>
    <mergeCell ref="J2506:J2507"/>
    <mergeCell ref="K2506:K2507"/>
    <mergeCell ref="L2506:L2507"/>
    <mergeCell ref="M2506:M2507"/>
    <mergeCell ref="N2506:N2507"/>
    <mergeCell ref="O2506:O2507"/>
    <mergeCell ref="X2506:X2507"/>
    <mergeCell ref="Y2506:Y2507"/>
    <mergeCell ref="Z2506:Z2507"/>
    <mergeCell ref="AA2506:AA2507"/>
    <mergeCell ref="AB2506:AB2507"/>
    <mergeCell ref="A2508:A2509"/>
    <mergeCell ref="E2508:E2509"/>
    <mergeCell ref="H2508:H2509"/>
    <mergeCell ref="I2508:I2509"/>
    <mergeCell ref="J2508:J2509"/>
    <mergeCell ref="K2508:K2509"/>
    <mergeCell ref="L2508:L2509"/>
    <mergeCell ref="M2508:M2509"/>
    <mergeCell ref="N2508:N2509"/>
    <mergeCell ref="O2508:O2509"/>
    <mergeCell ref="X2508:X2509"/>
    <mergeCell ref="Y2508:Y2509"/>
    <mergeCell ref="Z2508:Z2509"/>
    <mergeCell ref="AA2508:AA2509"/>
    <mergeCell ref="AB2508:AB2509"/>
    <mergeCell ref="A2510:A2511"/>
    <mergeCell ref="E2510:E2511"/>
    <mergeCell ref="H2510:H2511"/>
    <mergeCell ref="I2510:I2511"/>
    <mergeCell ref="J2510:J2511"/>
    <mergeCell ref="K2510:K2511"/>
    <mergeCell ref="L2510:L2511"/>
    <mergeCell ref="M2510:M2511"/>
    <mergeCell ref="N2510:N2511"/>
    <mergeCell ref="O2510:O2511"/>
    <mergeCell ref="X2510:X2511"/>
    <mergeCell ref="Y2510:Y2511"/>
    <mergeCell ref="Z2510:Z2511"/>
    <mergeCell ref="AA2510:AA2511"/>
    <mergeCell ref="AB2510:AB2511"/>
    <mergeCell ref="A2512:A2513"/>
    <mergeCell ref="E2512:E2513"/>
    <mergeCell ref="H2512:H2513"/>
    <mergeCell ref="I2512:I2513"/>
    <mergeCell ref="J2512:J2513"/>
    <mergeCell ref="K2512:K2513"/>
    <mergeCell ref="L2512:L2513"/>
    <mergeCell ref="M2512:M2513"/>
    <mergeCell ref="N2512:N2513"/>
    <mergeCell ref="O2512:O2513"/>
    <mergeCell ref="X2512:X2513"/>
    <mergeCell ref="Y2512:Y2513"/>
    <mergeCell ref="Z2512:Z2513"/>
    <mergeCell ref="AA2512:AA2513"/>
    <mergeCell ref="AB2512:AB2513"/>
    <mergeCell ref="A2514:A2515"/>
    <mergeCell ref="E2514:E2515"/>
    <mergeCell ref="H2514:H2515"/>
    <mergeCell ref="I2514:I2515"/>
    <mergeCell ref="J2514:J2515"/>
    <mergeCell ref="K2514:K2515"/>
    <mergeCell ref="L2514:L2515"/>
    <mergeCell ref="M2514:M2515"/>
    <mergeCell ref="N2514:N2515"/>
    <mergeCell ref="O2514:O2515"/>
    <mergeCell ref="X2514:X2515"/>
    <mergeCell ref="Y2514:Y2515"/>
    <mergeCell ref="Z2514:Z2515"/>
    <mergeCell ref="AA2514:AA2515"/>
    <mergeCell ref="AB2514:AB2515"/>
    <mergeCell ref="A2516:A2517"/>
    <mergeCell ref="E2516:E2517"/>
    <mergeCell ref="H2516:H2517"/>
    <mergeCell ref="I2516:I2517"/>
    <mergeCell ref="J2516:J2517"/>
    <mergeCell ref="K2516:K2517"/>
    <mergeCell ref="L2516:L2517"/>
    <mergeCell ref="M2516:M2517"/>
    <mergeCell ref="N2516:N2517"/>
    <mergeCell ref="O2516:O2517"/>
    <mergeCell ref="X2516:X2517"/>
    <mergeCell ref="Y2516:Y2517"/>
    <mergeCell ref="Z2516:Z2517"/>
    <mergeCell ref="AA2516:AA2517"/>
    <mergeCell ref="AB2516:AB2517"/>
    <mergeCell ref="A2518:A2519"/>
    <mergeCell ref="E2518:E2519"/>
    <mergeCell ref="H2518:H2519"/>
    <mergeCell ref="I2518:I2519"/>
    <mergeCell ref="J2518:J2519"/>
    <mergeCell ref="K2518:K2519"/>
    <mergeCell ref="L2518:L2519"/>
    <mergeCell ref="M2518:M2519"/>
    <mergeCell ref="N2518:N2519"/>
    <mergeCell ref="O2518:O2519"/>
    <mergeCell ref="X2518:X2519"/>
    <mergeCell ref="Y2518:Y2519"/>
    <mergeCell ref="Z2518:Z2519"/>
    <mergeCell ref="AA2518:AA2519"/>
    <mergeCell ref="AB2518:AB2519"/>
    <mergeCell ref="A2522:A2523"/>
    <mergeCell ref="E2522:E2523"/>
    <mergeCell ref="H2522:H2523"/>
    <mergeCell ref="I2522:I2523"/>
    <mergeCell ref="J2522:J2523"/>
    <mergeCell ref="K2522:K2523"/>
    <mergeCell ref="L2522:L2523"/>
    <mergeCell ref="M2522:M2523"/>
    <mergeCell ref="N2522:N2523"/>
    <mergeCell ref="O2522:O2523"/>
    <mergeCell ref="X2522:X2523"/>
    <mergeCell ref="Y2522:Y2523"/>
    <mergeCell ref="Z2522:Z2523"/>
    <mergeCell ref="AA2522:AA2523"/>
    <mergeCell ref="AB2522:AB2523"/>
    <mergeCell ref="A2520:A2521"/>
    <mergeCell ref="E2520:E2521"/>
    <mergeCell ref="H2520:H2521"/>
    <mergeCell ref="I2520:I2521"/>
    <mergeCell ref="J2520:J2521"/>
    <mergeCell ref="K2520:K2521"/>
    <mergeCell ref="L2520:L2521"/>
    <mergeCell ref="M2520:M2521"/>
    <mergeCell ref="N2520:N2521"/>
    <mergeCell ref="AB2524:AB2525"/>
    <mergeCell ref="A2528:A2529"/>
    <mergeCell ref="E2528:E2529"/>
    <mergeCell ref="H2528:H2529"/>
    <mergeCell ref="I2528:I2529"/>
    <mergeCell ref="J2528:J2529"/>
    <mergeCell ref="K2528:K2529"/>
    <mergeCell ref="L2528:L2529"/>
    <mergeCell ref="M2528:M2529"/>
    <mergeCell ref="N2528:N2529"/>
    <mergeCell ref="O2528:O2529"/>
    <mergeCell ref="X2528:X2529"/>
    <mergeCell ref="Y2528:Y2529"/>
    <mergeCell ref="Z2528:Z2529"/>
    <mergeCell ref="AA2528:AA2529"/>
    <mergeCell ref="AB2528:AB2529"/>
    <mergeCell ref="A2530:A2531"/>
    <mergeCell ref="E2530:E2531"/>
    <mergeCell ref="H2530:H2531"/>
    <mergeCell ref="I2530:I2531"/>
    <mergeCell ref="J2530:J2531"/>
    <mergeCell ref="K2530:K2531"/>
    <mergeCell ref="L2530:L2531"/>
    <mergeCell ref="M2530:M2531"/>
    <mergeCell ref="N2530:N2531"/>
    <mergeCell ref="O2530:O2531"/>
    <mergeCell ref="X2530:X2531"/>
    <mergeCell ref="Y2530:Y2531"/>
    <mergeCell ref="Z2530:Z2531"/>
    <mergeCell ref="AA2530:AA2531"/>
    <mergeCell ref="AB2530:AB2531"/>
    <mergeCell ref="O2524:O2525"/>
    <mergeCell ref="X2524:X2525"/>
    <mergeCell ref="Y2524:Y2525"/>
    <mergeCell ref="Z2524:Z2525"/>
    <mergeCell ref="AA2524:AA2525"/>
    <mergeCell ref="J2532:J2533"/>
    <mergeCell ref="K2532:K2533"/>
    <mergeCell ref="L2532:L2533"/>
    <mergeCell ref="M2532:M2533"/>
    <mergeCell ref="N2532:N2533"/>
    <mergeCell ref="O2532:O2533"/>
    <mergeCell ref="X2532:X2533"/>
    <mergeCell ref="Y2532:Y2533"/>
    <mergeCell ref="Z2532:Z2533"/>
    <mergeCell ref="AA2532:AA2533"/>
    <mergeCell ref="AB2532:AB2533"/>
    <mergeCell ref="A2534:A2535"/>
    <mergeCell ref="E2534:E2535"/>
    <mergeCell ref="H2534:H2535"/>
    <mergeCell ref="I2534:I2535"/>
    <mergeCell ref="J2534:J2535"/>
    <mergeCell ref="K2534:K2535"/>
    <mergeCell ref="L2534:L2535"/>
    <mergeCell ref="M2534:M2535"/>
    <mergeCell ref="N2534:N2535"/>
    <mergeCell ref="O2534:O2535"/>
    <mergeCell ref="X2534:X2535"/>
    <mergeCell ref="Y2534:Y2535"/>
    <mergeCell ref="Z2534:Z2535"/>
    <mergeCell ref="AA2534:AA2535"/>
    <mergeCell ref="AB2534:AB2535"/>
    <mergeCell ref="A2536:A2537"/>
    <mergeCell ref="E2536:E2537"/>
    <mergeCell ref="H2536:H2537"/>
    <mergeCell ref="I2536:I2537"/>
    <mergeCell ref="J2536:J2537"/>
    <mergeCell ref="K2536:K2537"/>
    <mergeCell ref="L2536:L2537"/>
    <mergeCell ref="M2536:M2537"/>
    <mergeCell ref="N2536:N2537"/>
    <mergeCell ref="O2536:O2537"/>
    <mergeCell ref="X2536:X2537"/>
    <mergeCell ref="Y2536:Y2537"/>
    <mergeCell ref="Z2536:Z2537"/>
    <mergeCell ref="AA2536:AA2537"/>
    <mergeCell ref="AB2536:AB2537"/>
    <mergeCell ref="A2538:A2539"/>
    <mergeCell ref="E2538:E2539"/>
    <mergeCell ref="H2538:H2539"/>
    <mergeCell ref="I2538:I2539"/>
    <mergeCell ref="J2538:J2539"/>
    <mergeCell ref="K2538:K2539"/>
    <mergeCell ref="L2538:L2539"/>
    <mergeCell ref="M2538:M2539"/>
    <mergeCell ref="N2538:N2539"/>
    <mergeCell ref="O2538:O2539"/>
    <mergeCell ref="X2538:X2539"/>
    <mergeCell ref="Y2538:Y2539"/>
    <mergeCell ref="Z2538:Z2539"/>
    <mergeCell ref="AA2538:AA2539"/>
    <mergeCell ref="AB2538:AB2539"/>
    <mergeCell ref="A2540:A2541"/>
    <mergeCell ref="E2540:E2541"/>
    <mergeCell ref="H2540:H2541"/>
    <mergeCell ref="I2540:I2541"/>
    <mergeCell ref="J2540:J2541"/>
    <mergeCell ref="K2540:K2541"/>
    <mergeCell ref="L2540:L2541"/>
    <mergeCell ref="M2540:M2541"/>
    <mergeCell ref="N2540:N2541"/>
    <mergeCell ref="O2540:O2541"/>
    <mergeCell ref="X2540:X2541"/>
    <mergeCell ref="Y2540:Y2541"/>
    <mergeCell ref="Z2540:Z2541"/>
    <mergeCell ref="AA2540:AA2541"/>
    <mergeCell ref="AB2540:AB2541"/>
    <mergeCell ref="O2520:O2521"/>
    <mergeCell ref="X2520:X2521"/>
    <mergeCell ref="Y2520:Y2521"/>
    <mergeCell ref="Z2520:Z2521"/>
    <mergeCell ref="AA2520:AA2521"/>
    <mergeCell ref="AB2520:AB2521"/>
    <mergeCell ref="A2526:A2527"/>
    <mergeCell ref="E2526:E2527"/>
    <mergeCell ref="H2526:H2527"/>
    <mergeCell ref="I2526:I2527"/>
    <mergeCell ref="J2526:J2527"/>
    <mergeCell ref="K2526:K2527"/>
    <mergeCell ref="L2526:L2527"/>
    <mergeCell ref="M2526:M2527"/>
    <mergeCell ref="N2526:N2527"/>
    <mergeCell ref="O2526:O2527"/>
    <mergeCell ref="X2526:X2527"/>
    <mergeCell ref="Y2526:Y2527"/>
    <mergeCell ref="Z2526:Z2527"/>
    <mergeCell ref="AA2526:AA2527"/>
    <mergeCell ref="AB2526:AB2527"/>
    <mergeCell ref="A2524:A2525"/>
    <mergeCell ref="E2524:E2525"/>
    <mergeCell ref="H2524:H2525"/>
    <mergeCell ref="I2524:I2525"/>
    <mergeCell ref="J2524:J2525"/>
    <mergeCell ref="K2524:K2525"/>
    <mergeCell ref="L2524:L2525"/>
    <mergeCell ref="M2524:M2525"/>
    <mergeCell ref="N2524:N2525"/>
    <mergeCell ref="A2532:A2533"/>
    <mergeCell ref="E2532:E2533"/>
    <mergeCell ref="H2532:H2533"/>
    <mergeCell ref="I2532:I2533"/>
    <mergeCell ref="AA2690:AA2691"/>
    <mergeCell ref="AB2690:AB2691"/>
    <mergeCell ref="AB2676:AB2677"/>
    <mergeCell ref="A2686:A2687"/>
    <mergeCell ref="E2686:E2687"/>
    <mergeCell ref="H2686:H2687"/>
    <mergeCell ref="I2686:I2687"/>
    <mergeCell ref="J2686:J2687"/>
    <mergeCell ref="K2686:K2687"/>
    <mergeCell ref="L2686:L2687"/>
    <mergeCell ref="M2686:M2687"/>
    <mergeCell ref="N2686:N2687"/>
    <mergeCell ref="O2686:O2687"/>
    <mergeCell ref="X2686:X2687"/>
    <mergeCell ref="Y2686:Y2687"/>
    <mergeCell ref="Z2686:Z2687"/>
    <mergeCell ref="AA2686:AA2687"/>
    <mergeCell ref="AB2686:AB2687"/>
    <mergeCell ref="A2680:A2681"/>
    <mergeCell ref="E2680:E2681"/>
    <mergeCell ref="H2680:H2681"/>
    <mergeCell ref="I2680:I2681"/>
    <mergeCell ref="J2680:J2681"/>
    <mergeCell ref="K2680:K2681"/>
    <mergeCell ref="L2680:L2681"/>
    <mergeCell ref="M2680:M2681"/>
    <mergeCell ref="N2680:N2681"/>
    <mergeCell ref="A2692:A2693"/>
    <mergeCell ref="E2692:E2693"/>
    <mergeCell ref="H2692:H2693"/>
    <mergeCell ref="I2692:I2693"/>
    <mergeCell ref="J2692:J2693"/>
    <mergeCell ref="K2692:K2693"/>
    <mergeCell ref="L2692:L2693"/>
    <mergeCell ref="M2692:M2693"/>
    <mergeCell ref="N2692:N2693"/>
    <mergeCell ref="O2692:O2693"/>
    <mergeCell ref="X2692:X2693"/>
    <mergeCell ref="Y2692:Y2693"/>
    <mergeCell ref="Z2692:Z2693"/>
    <mergeCell ref="AA2692:AA2693"/>
    <mergeCell ref="AB2692:AB2693"/>
    <mergeCell ref="A2684:A2685"/>
    <mergeCell ref="E2684:E2685"/>
    <mergeCell ref="H2684:H2685"/>
    <mergeCell ref="I2684:I2685"/>
    <mergeCell ref="J2684:J2685"/>
    <mergeCell ref="K2684:K2685"/>
    <mergeCell ref="L2684:L2685"/>
    <mergeCell ref="M2684:M2685"/>
    <mergeCell ref="N2684:N2685"/>
    <mergeCell ref="O2684:O2685"/>
    <mergeCell ref="X2684:X2685"/>
    <mergeCell ref="Y2684:Y2685"/>
    <mergeCell ref="Z2684:Z2685"/>
    <mergeCell ref="AA2684:AA2685"/>
    <mergeCell ref="AB2684:AB2685"/>
    <mergeCell ref="O2676:O2677"/>
    <mergeCell ref="X2676:X2677"/>
    <mergeCell ref="Y2676:Y2677"/>
    <mergeCell ref="Z2676:Z2677"/>
    <mergeCell ref="AA2676:AA2677"/>
    <mergeCell ref="A2676:A2677"/>
    <mergeCell ref="E2676:E2677"/>
    <mergeCell ref="A2694:A2695"/>
    <mergeCell ref="E2694:E2695"/>
    <mergeCell ref="H2694:H2695"/>
    <mergeCell ref="I2694:I2695"/>
    <mergeCell ref="J2694:J2695"/>
    <mergeCell ref="K2694:K2695"/>
    <mergeCell ref="L2694:L2695"/>
    <mergeCell ref="M2694:M2695"/>
    <mergeCell ref="N2694:N2695"/>
    <mergeCell ref="O2694:O2695"/>
    <mergeCell ref="X2694:X2695"/>
    <mergeCell ref="Y2694:Y2695"/>
    <mergeCell ref="Z2694:Z2695"/>
    <mergeCell ref="AA2694:AA2695"/>
    <mergeCell ref="AB2694:AB2695"/>
    <mergeCell ref="A2696:A2697"/>
    <mergeCell ref="E2696:E2697"/>
    <mergeCell ref="H2696:H2697"/>
    <mergeCell ref="I2696:I2697"/>
    <mergeCell ref="J2696:J2697"/>
    <mergeCell ref="K2696:K2697"/>
    <mergeCell ref="L2696:L2697"/>
    <mergeCell ref="M2696:M2697"/>
    <mergeCell ref="N2696:N2697"/>
    <mergeCell ref="O2696:O2697"/>
    <mergeCell ref="X2696:X2697"/>
    <mergeCell ref="Y2696:Y2697"/>
    <mergeCell ref="Z2696:Z2697"/>
    <mergeCell ref="AA2696:AA2697"/>
    <mergeCell ref="AB2696:AB2697"/>
    <mergeCell ref="A2698:A2699"/>
    <mergeCell ref="E2698:E2699"/>
    <mergeCell ref="H2698:H2699"/>
    <mergeCell ref="I2698:I2699"/>
    <mergeCell ref="J2698:J2699"/>
    <mergeCell ref="K2698:K2699"/>
    <mergeCell ref="L2698:L2699"/>
    <mergeCell ref="M2698:M2699"/>
    <mergeCell ref="N2698:N2699"/>
    <mergeCell ref="O2698:O2699"/>
    <mergeCell ref="X2698:X2699"/>
    <mergeCell ref="Y2698:Y2699"/>
    <mergeCell ref="Z2698:Z2699"/>
    <mergeCell ref="AA2698:AA2699"/>
    <mergeCell ref="AB2698:AB2699"/>
    <mergeCell ref="A2700:A2701"/>
    <mergeCell ref="E2700:E2701"/>
    <mergeCell ref="H2700:H2701"/>
    <mergeCell ref="I2700:I2701"/>
    <mergeCell ref="J2700:J2701"/>
    <mergeCell ref="K2700:K2701"/>
    <mergeCell ref="L2700:L2701"/>
    <mergeCell ref="M2700:M2701"/>
    <mergeCell ref="N2700:N2701"/>
    <mergeCell ref="O2700:O2701"/>
    <mergeCell ref="X2700:X2701"/>
    <mergeCell ref="Y2700:Y2701"/>
    <mergeCell ref="Z2700:Z2701"/>
    <mergeCell ref="AA2700:AA2701"/>
    <mergeCell ref="AB2700:AB2701"/>
    <mergeCell ref="A2702:A2703"/>
    <mergeCell ref="E2702:E2703"/>
    <mergeCell ref="H2702:H2703"/>
    <mergeCell ref="I2702:I2703"/>
    <mergeCell ref="J2702:J2703"/>
    <mergeCell ref="K2702:K2703"/>
    <mergeCell ref="L2702:L2703"/>
    <mergeCell ref="M2702:M2703"/>
    <mergeCell ref="N2702:N2703"/>
    <mergeCell ref="O2702:O2703"/>
    <mergeCell ref="X2702:X2703"/>
    <mergeCell ref="Y2702:Y2703"/>
    <mergeCell ref="Z2702:Z2703"/>
    <mergeCell ref="AA2702:AA2703"/>
    <mergeCell ref="AB2702:AB2703"/>
    <mergeCell ref="A2704:A2705"/>
    <mergeCell ref="E2704:E2705"/>
    <mergeCell ref="H2704:H2705"/>
    <mergeCell ref="I2704:I2705"/>
    <mergeCell ref="J2704:J2705"/>
    <mergeCell ref="K2704:K2705"/>
    <mergeCell ref="L2704:L2705"/>
    <mergeCell ref="M2704:M2705"/>
    <mergeCell ref="N2704:N2705"/>
    <mergeCell ref="O2704:O2705"/>
    <mergeCell ref="X2704:X2705"/>
    <mergeCell ref="Y2704:Y2705"/>
    <mergeCell ref="Z2704:Z2705"/>
    <mergeCell ref="AA2704:AA2705"/>
    <mergeCell ref="AB2704:AB2705"/>
    <mergeCell ref="I2712:I2713"/>
    <mergeCell ref="J2712:J2713"/>
    <mergeCell ref="K2712:K2713"/>
    <mergeCell ref="L2712:L2713"/>
    <mergeCell ref="M2712:M2713"/>
    <mergeCell ref="N2712:N2713"/>
    <mergeCell ref="X2706:X2707"/>
    <mergeCell ref="Y2706:Y2707"/>
    <mergeCell ref="Z2706:Z2707"/>
    <mergeCell ref="AA2706:AA2707"/>
    <mergeCell ref="AB2706:AB2707"/>
    <mergeCell ref="A2708:A2709"/>
    <mergeCell ref="E2708:E2709"/>
    <mergeCell ref="H2708:H2709"/>
    <mergeCell ref="I2708:I2709"/>
    <mergeCell ref="J2708:J2709"/>
    <mergeCell ref="K2708:K2709"/>
    <mergeCell ref="L2708:L2709"/>
    <mergeCell ref="M2708:M2709"/>
    <mergeCell ref="N2708:N2709"/>
    <mergeCell ref="O2708:O2709"/>
    <mergeCell ref="X2708:X2709"/>
    <mergeCell ref="Y2708:Y2709"/>
    <mergeCell ref="Z2708:Z2709"/>
    <mergeCell ref="AA2708:AA2709"/>
    <mergeCell ref="AB2708:AB2709"/>
    <mergeCell ref="X2712:X2713"/>
    <mergeCell ref="Y2712:Y2713"/>
    <mergeCell ref="Z2712:Z2713"/>
    <mergeCell ref="AA2712:AA2713"/>
    <mergeCell ref="AB2712:AB2713"/>
    <mergeCell ref="A2706:A2707"/>
    <mergeCell ref="E2706:E2707"/>
    <mergeCell ref="H2706:H2707"/>
    <mergeCell ref="I2706:I2707"/>
    <mergeCell ref="J2706:J2707"/>
    <mergeCell ref="K2706:K2707"/>
    <mergeCell ref="L2706:L2707"/>
    <mergeCell ref="M2706:M2707"/>
    <mergeCell ref="N2706:N2707"/>
    <mergeCell ref="O2706:O2707"/>
    <mergeCell ref="A2716:A2717"/>
    <mergeCell ref="E2716:E2717"/>
    <mergeCell ref="H2716:H2717"/>
    <mergeCell ref="I2716:I2717"/>
    <mergeCell ref="J2716:J2717"/>
    <mergeCell ref="K2716:K2717"/>
    <mergeCell ref="L2716:L2717"/>
    <mergeCell ref="M2716:M2717"/>
    <mergeCell ref="N2716:N2717"/>
    <mergeCell ref="O2716:O2717"/>
    <mergeCell ref="X2716:X2717"/>
    <mergeCell ref="Y2716:Y2717"/>
    <mergeCell ref="Z2716:Z2717"/>
    <mergeCell ref="AA2716:AA2717"/>
    <mergeCell ref="AB2716:AB2717"/>
    <mergeCell ref="A2710:A2711"/>
    <mergeCell ref="E2710:E2711"/>
    <mergeCell ref="H2710:H2711"/>
    <mergeCell ref="I2710:I2711"/>
    <mergeCell ref="J2710:J2711"/>
    <mergeCell ref="K2710:K2711"/>
    <mergeCell ref="L2710:L2711"/>
    <mergeCell ref="M2710:M2711"/>
    <mergeCell ref="N2710:N2711"/>
    <mergeCell ref="A2724:A2725"/>
    <mergeCell ref="E2724:E2725"/>
    <mergeCell ref="H2724:H2725"/>
    <mergeCell ref="I2724:I2725"/>
    <mergeCell ref="J2724:J2725"/>
    <mergeCell ref="K2724:K2725"/>
    <mergeCell ref="L2724:L2725"/>
    <mergeCell ref="M2724:M2725"/>
    <mergeCell ref="N2724:N2725"/>
    <mergeCell ref="O2724:O2725"/>
    <mergeCell ref="X2724:X2725"/>
    <mergeCell ref="Y2724:Y2725"/>
    <mergeCell ref="Z2724:Z2725"/>
    <mergeCell ref="AA2724:AA2725"/>
    <mergeCell ref="AB2724:AB2725"/>
    <mergeCell ref="A2714:A2715"/>
    <mergeCell ref="E2714:E2715"/>
    <mergeCell ref="H2714:H2715"/>
    <mergeCell ref="I2714:I2715"/>
    <mergeCell ref="J2714:J2715"/>
    <mergeCell ref="K2714:K2715"/>
    <mergeCell ref="L2714:L2715"/>
    <mergeCell ref="M2714:M2715"/>
    <mergeCell ref="N2714:N2715"/>
    <mergeCell ref="O2714:O2715"/>
    <mergeCell ref="X2714:X2715"/>
    <mergeCell ref="Y2714:Y2715"/>
    <mergeCell ref="Z2714:Z2715"/>
    <mergeCell ref="AA2714:AA2715"/>
    <mergeCell ref="AB2714:AB2715"/>
    <mergeCell ref="O2712:O2713"/>
    <mergeCell ref="O2710:O2711"/>
    <mergeCell ref="X2710:X2711"/>
    <mergeCell ref="Y2710:Y2711"/>
    <mergeCell ref="Z2710:Z2711"/>
    <mergeCell ref="AA2710:AA2711"/>
    <mergeCell ref="AB2710:AB2711"/>
    <mergeCell ref="A2712:A2713"/>
    <mergeCell ref="E2712:E2713"/>
    <mergeCell ref="H2712:H2713"/>
    <mergeCell ref="A3050:A3051"/>
    <mergeCell ref="E3050:E3051"/>
    <mergeCell ref="H3050:H3051"/>
    <mergeCell ref="I3050:I3051"/>
    <mergeCell ref="J3050:J3051"/>
    <mergeCell ref="K3050:K3051"/>
    <mergeCell ref="L3050:L3051"/>
    <mergeCell ref="M3050:M3051"/>
    <mergeCell ref="N3050:N3051"/>
    <mergeCell ref="O3050:O3051"/>
    <mergeCell ref="X3050:X3051"/>
    <mergeCell ref="Y3050:Y3051"/>
    <mergeCell ref="Z3050:Z3051"/>
    <mergeCell ref="AA3050:AA3051"/>
    <mergeCell ref="AB3050:AB3051"/>
    <mergeCell ref="A3052:A3053"/>
    <mergeCell ref="E3052:E3053"/>
    <mergeCell ref="H3052:H3053"/>
    <mergeCell ref="I3052:I3053"/>
    <mergeCell ref="J3052:J3053"/>
    <mergeCell ref="K3052:K3053"/>
    <mergeCell ref="L3052:L3053"/>
    <mergeCell ref="M3052:M3053"/>
    <mergeCell ref="N3052:N3053"/>
    <mergeCell ref="O3052:O3053"/>
    <mergeCell ref="X3052:X3053"/>
    <mergeCell ref="Y3052:Y3053"/>
    <mergeCell ref="Z3052:Z3053"/>
    <mergeCell ref="AA3052:AA3053"/>
    <mergeCell ref="AB3052:AB3053"/>
    <mergeCell ref="X3054:X3055"/>
    <mergeCell ref="Y3054:Y3055"/>
    <mergeCell ref="Z3054:Z3055"/>
    <mergeCell ref="AA3054:AA3055"/>
    <mergeCell ref="AB3054:AB3055"/>
    <mergeCell ref="A3054:A3055"/>
    <mergeCell ref="E3054:E3055"/>
    <mergeCell ref="H3054:H3055"/>
    <mergeCell ref="I3054:I3055"/>
    <mergeCell ref="J3054:J3055"/>
    <mergeCell ref="K3054:K3055"/>
    <mergeCell ref="L3054:L3055"/>
    <mergeCell ref="M3054:M3055"/>
    <mergeCell ref="N3054:N3055"/>
    <mergeCell ref="O3054:O3055"/>
    <mergeCell ref="A3056:A3057"/>
    <mergeCell ref="E3056:E3057"/>
    <mergeCell ref="H3056:H3057"/>
    <mergeCell ref="I3056:I3057"/>
    <mergeCell ref="J3056:J3057"/>
    <mergeCell ref="K3056:K3057"/>
    <mergeCell ref="L3056:L3057"/>
    <mergeCell ref="M3056:M3057"/>
    <mergeCell ref="N3056:N3057"/>
    <mergeCell ref="O3056:O3057"/>
    <mergeCell ref="X3056:X3057"/>
    <mergeCell ref="Y3056:Y3057"/>
    <mergeCell ref="Z3056:Z3057"/>
    <mergeCell ref="AA3056:AA3057"/>
    <mergeCell ref="AB3056:AB3057"/>
    <mergeCell ref="A3070:A3071"/>
    <mergeCell ref="E3070:E3071"/>
    <mergeCell ref="H3070:H3071"/>
    <mergeCell ref="I3070:I3071"/>
    <mergeCell ref="J3070:J3071"/>
    <mergeCell ref="K3070:K3071"/>
    <mergeCell ref="L3070:L3071"/>
    <mergeCell ref="M3070:M3071"/>
    <mergeCell ref="N3070:N3071"/>
    <mergeCell ref="O3070:O3071"/>
    <mergeCell ref="X3070:X3071"/>
    <mergeCell ref="Y3070:Y3071"/>
    <mergeCell ref="Z3070:Z3071"/>
    <mergeCell ref="AA3070:AA3071"/>
    <mergeCell ref="AB3070:AB3071"/>
    <mergeCell ref="A3072:A3073"/>
    <mergeCell ref="E3072:E3073"/>
    <mergeCell ref="H3072:H3073"/>
    <mergeCell ref="I3072:I3073"/>
    <mergeCell ref="J3072:J3073"/>
    <mergeCell ref="K3072:K3073"/>
    <mergeCell ref="L3072:L3073"/>
    <mergeCell ref="M3072:M3073"/>
    <mergeCell ref="N3072:N3073"/>
    <mergeCell ref="O3072:O3073"/>
    <mergeCell ref="X3072:X3073"/>
    <mergeCell ref="Y3072:Y3073"/>
    <mergeCell ref="Z3072:Z3073"/>
    <mergeCell ref="AA3072:AA3073"/>
    <mergeCell ref="AB3072:AB3073"/>
    <mergeCell ref="X3058:X3059"/>
    <mergeCell ref="Y3058:Y3059"/>
    <mergeCell ref="Z3058:Z3059"/>
    <mergeCell ref="AA3058:AA3059"/>
    <mergeCell ref="AB3058:AB3059"/>
    <mergeCell ref="O3066:O3067"/>
    <mergeCell ref="X3066:X3067"/>
    <mergeCell ref="Y3066:Y3067"/>
    <mergeCell ref="Z3066:Z3067"/>
    <mergeCell ref="AA3066:AA3067"/>
    <mergeCell ref="AB3066:AB3067"/>
    <mergeCell ref="A3060:A3061"/>
    <mergeCell ref="E3060:E3061"/>
    <mergeCell ref="H3060:H3061"/>
    <mergeCell ref="I3060:I3061"/>
    <mergeCell ref="J3060:J3061"/>
    <mergeCell ref="K3060:K3061"/>
    <mergeCell ref="L3060:L3061"/>
    <mergeCell ref="M3060:M3061"/>
    <mergeCell ref="A3074:A3075"/>
    <mergeCell ref="E3074:E3075"/>
    <mergeCell ref="H3074:H3075"/>
    <mergeCell ref="I3074:I3075"/>
    <mergeCell ref="J3074:J3075"/>
    <mergeCell ref="K3074:K3075"/>
    <mergeCell ref="L3074:L3075"/>
    <mergeCell ref="M3074:M3075"/>
    <mergeCell ref="N3074:N3075"/>
    <mergeCell ref="O3074:O3075"/>
    <mergeCell ref="X3074:X3075"/>
    <mergeCell ref="Y3074:Y3075"/>
    <mergeCell ref="Z3074:Z3075"/>
    <mergeCell ref="AA3074:AA3075"/>
    <mergeCell ref="AB3074:AB3075"/>
    <mergeCell ref="A3076:A3077"/>
    <mergeCell ref="E3076:E3077"/>
    <mergeCell ref="H3076:H3077"/>
    <mergeCell ref="I3076:I3077"/>
    <mergeCell ref="J3076:J3077"/>
    <mergeCell ref="K3076:K3077"/>
    <mergeCell ref="L3076:L3077"/>
    <mergeCell ref="M3076:M3077"/>
    <mergeCell ref="N3076:N3077"/>
    <mergeCell ref="O3076:O3077"/>
    <mergeCell ref="X3076:X3077"/>
    <mergeCell ref="Y3076:Y3077"/>
    <mergeCell ref="Z3076:Z3077"/>
    <mergeCell ref="AA3076:AA3077"/>
    <mergeCell ref="AB3076:AB3077"/>
    <mergeCell ref="A3078:A3079"/>
    <mergeCell ref="E3078:E3079"/>
    <mergeCell ref="H3078:H3079"/>
    <mergeCell ref="I3078:I3079"/>
    <mergeCell ref="J3078:J3079"/>
    <mergeCell ref="K3078:K3079"/>
    <mergeCell ref="L3078:L3079"/>
    <mergeCell ref="M3078:M3079"/>
    <mergeCell ref="N3078:N3079"/>
    <mergeCell ref="O3078:O3079"/>
    <mergeCell ref="X3078:X3079"/>
    <mergeCell ref="Y3078:Y3079"/>
    <mergeCell ref="Z3078:Z3079"/>
    <mergeCell ref="AA3078:AA3079"/>
    <mergeCell ref="AB3078:AB3079"/>
    <mergeCell ref="A3080:A3081"/>
    <mergeCell ref="E3080:E3081"/>
    <mergeCell ref="H3080:H3081"/>
    <mergeCell ref="I3080:I3081"/>
    <mergeCell ref="J3080:J3081"/>
    <mergeCell ref="K3080:K3081"/>
    <mergeCell ref="L3080:L3081"/>
    <mergeCell ref="M3080:M3081"/>
    <mergeCell ref="N3080:N3081"/>
    <mergeCell ref="O3080:O3081"/>
    <mergeCell ref="X3080:X3081"/>
    <mergeCell ref="Y3080:Y3081"/>
    <mergeCell ref="Z3080:Z3081"/>
    <mergeCell ref="AA3080:AA3081"/>
    <mergeCell ref="AB3080:AB3081"/>
    <mergeCell ref="A3082:A3083"/>
    <mergeCell ref="E3082:E3083"/>
    <mergeCell ref="H3082:H3083"/>
    <mergeCell ref="I3082:I3083"/>
    <mergeCell ref="J3082:J3083"/>
    <mergeCell ref="K3082:K3083"/>
    <mergeCell ref="L3082:L3083"/>
    <mergeCell ref="M3082:M3083"/>
    <mergeCell ref="N3082:N3083"/>
    <mergeCell ref="O3082:O3083"/>
    <mergeCell ref="X3082:X3083"/>
    <mergeCell ref="Y3082:Y3083"/>
    <mergeCell ref="Z3082:Z3083"/>
    <mergeCell ref="AA3082:AA3083"/>
    <mergeCell ref="AB3082:AB3083"/>
    <mergeCell ref="A3084:A3085"/>
    <mergeCell ref="E3084:E3085"/>
    <mergeCell ref="H3084:H3085"/>
    <mergeCell ref="I3084:I3085"/>
    <mergeCell ref="J3084:J3085"/>
    <mergeCell ref="K3084:K3085"/>
    <mergeCell ref="L3084:L3085"/>
    <mergeCell ref="M3084:M3085"/>
    <mergeCell ref="N3084:N3085"/>
    <mergeCell ref="O3084:O3085"/>
    <mergeCell ref="X3084:X3085"/>
    <mergeCell ref="Y3084:Y3085"/>
    <mergeCell ref="Z3084:Z3085"/>
    <mergeCell ref="AA3084:AA3085"/>
    <mergeCell ref="AB3084:AB3085"/>
    <mergeCell ref="O3094:O3095"/>
    <mergeCell ref="X3094:X3095"/>
    <mergeCell ref="Y3094:Y3095"/>
    <mergeCell ref="Z3094:Z3095"/>
    <mergeCell ref="AA3094:AA3095"/>
    <mergeCell ref="AB3094:AB3095"/>
    <mergeCell ref="A3096:A3097"/>
    <mergeCell ref="E3096:E3097"/>
    <mergeCell ref="H3096:H3097"/>
    <mergeCell ref="I3096:I3097"/>
    <mergeCell ref="J3096:J3097"/>
    <mergeCell ref="K3096:K3097"/>
    <mergeCell ref="L3096:L3097"/>
    <mergeCell ref="M3096:M3097"/>
    <mergeCell ref="N3096:N3097"/>
    <mergeCell ref="A3086:A3087"/>
    <mergeCell ref="E3086:E3087"/>
    <mergeCell ref="H3086:H3087"/>
    <mergeCell ref="I3086:I3087"/>
    <mergeCell ref="J3086:J3087"/>
    <mergeCell ref="K3086:K3087"/>
    <mergeCell ref="L3086:L3087"/>
    <mergeCell ref="M3086:M3087"/>
    <mergeCell ref="N3086:N3087"/>
    <mergeCell ref="O3086:O3087"/>
    <mergeCell ref="X3086:X3087"/>
    <mergeCell ref="Y3086:Y3087"/>
    <mergeCell ref="Z3086:Z3087"/>
    <mergeCell ref="AA3086:AA3087"/>
    <mergeCell ref="AB3086:AB3087"/>
    <mergeCell ref="A3088:A3089"/>
    <mergeCell ref="E3088:E3089"/>
    <mergeCell ref="H3088:H3089"/>
    <mergeCell ref="I3088:I3089"/>
    <mergeCell ref="J3088:J3089"/>
    <mergeCell ref="K3088:K3089"/>
    <mergeCell ref="L3088:L3089"/>
    <mergeCell ref="M3088:M3089"/>
    <mergeCell ref="N3088:N3089"/>
    <mergeCell ref="O3088:O3089"/>
    <mergeCell ref="X3088:X3089"/>
    <mergeCell ref="Y3088:Y3089"/>
    <mergeCell ref="Z3088:Z3089"/>
    <mergeCell ref="AA3088:AA3089"/>
    <mergeCell ref="AB3088:AB3089"/>
    <mergeCell ref="A3090:A3091"/>
    <mergeCell ref="E3090:E3091"/>
    <mergeCell ref="H3090:H3091"/>
    <mergeCell ref="I3090:I3091"/>
    <mergeCell ref="J3090:J3091"/>
    <mergeCell ref="K3090:K3091"/>
    <mergeCell ref="L3090:L3091"/>
    <mergeCell ref="M3090:M3091"/>
    <mergeCell ref="N3090:N3091"/>
    <mergeCell ref="O3090:O3091"/>
    <mergeCell ref="X3090:X3091"/>
    <mergeCell ref="Y3090:Y3091"/>
    <mergeCell ref="Z3090:Z3091"/>
    <mergeCell ref="AA3090:AA3091"/>
    <mergeCell ref="AB3090:AB3091"/>
    <mergeCell ref="A3098:A3099"/>
    <mergeCell ref="E3098:E3099"/>
    <mergeCell ref="H3098:H3099"/>
    <mergeCell ref="I3098:I3099"/>
    <mergeCell ref="J3098:J3099"/>
    <mergeCell ref="K3098:K3099"/>
    <mergeCell ref="L3098:L3099"/>
    <mergeCell ref="M3098:M3099"/>
    <mergeCell ref="N3098:N3099"/>
    <mergeCell ref="O3098:O3099"/>
    <mergeCell ref="X3098:X3099"/>
    <mergeCell ref="Y3098:Y3099"/>
    <mergeCell ref="Z3098:Z3099"/>
    <mergeCell ref="AA3098:AA3099"/>
    <mergeCell ref="AB3098:AB3099"/>
    <mergeCell ref="O3096:O3097"/>
    <mergeCell ref="X3096:X3097"/>
    <mergeCell ref="Y3096:Y3097"/>
    <mergeCell ref="Z3096:Z3097"/>
    <mergeCell ref="AA3096:AA3097"/>
    <mergeCell ref="AB3096:AB3097"/>
    <mergeCell ref="O2976:O2977"/>
    <mergeCell ref="X2976:X2977"/>
    <mergeCell ref="Y2976:Y2977"/>
    <mergeCell ref="Z2976:Z2977"/>
    <mergeCell ref="AA2976:AA2977"/>
    <mergeCell ref="AB2976:AB2977"/>
    <mergeCell ref="A2966:A2967"/>
    <mergeCell ref="E2966:E2967"/>
    <mergeCell ref="AB3062:AB3063"/>
    <mergeCell ref="O3038:O3039"/>
    <mergeCell ref="X3038:X3039"/>
    <mergeCell ref="Y3038:Y3039"/>
    <mergeCell ref="Z3038:Z3039"/>
    <mergeCell ref="AA3038:AA3039"/>
    <mergeCell ref="AB3038:AB3039"/>
    <mergeCell ref="A3058:A3059"/>
    <mergeCell ref="E3058:E3059"/>
    <mergeCell ref="H3058:H3059"/>
    <mergeCell ref="I3058:I3059"/>
    <mergeCell ref="J3058:J3059"/>
    <mergeCell ref="K3058:K3059"/>
    <mergeCell ref="L3058:L3059"/>
    <mergeCell ref="M3058:M3059"/>
    <mergeCell ref="N3058:N3059"/>
    <mergeCell ref="O3058:O3059"/>
    <mergeCell ref="A3092:A3093"/>
    <mergeCell ref="E3092:E3093"/>
    <mergeCell ref="H3092:H3093"/>
    <mergeCell ref="I3092:I3093"/>
    <mergeCell ref="J3092:J3093"/>
    <mergeCell ref="N3060:N3061"/>
    <mergeCell ref="O3060:O3061"/>
    <mergeCell ref="X3060:X3061"/>
    <mergeCell ref="Y3060:Y3061"/>
    <mergeCell ref="Z3060:Z3061"/>
    <mergeCell ref="AA3060:AA3061"/>
    <mergeCell ref="AB3060:AB3061"/>
    <mergeCell ref="A3062:A3063"/>
    <mergeCell ref="E3062:E3063"/>
    <mergeCell ref="H3062:H3063"/>
    <mergeCell ref="I3062:I3063"/>
    <mergeCell ref="J3062:J3063"/>
    <mergeCell ref="K3062:K3063"/>
    <mergeCell ref="L3062:L3063"/>
    <mergeCell ref="M3062:M3063"/>
    <mergeCell ref="N3062:N3063"/>
    <mergeCell ref="O3062:O3063"/>
    <mergeCell ref="X3062:X3063"/>
    <mergeCell ref="Y3062:Y3063"/>
    <mergeCell ref="Z3062:Z3063"/>
    <mergeCell ref="AA3062:AA3063"/>
    <mergeCell ref="A3068:A3069"/>
    <mergeCell ref="E3068:E3069"/>
    <mergeCell ref="H3068:H3069"/>
    <mergeCell ref="I3068:I3069"/>
    <mergeCell ref="J3068:J3069"/>
    <mergeCell ref="K3068:K3069"/>
    <mergeCell ref="L3068:L3069"/>
    <mergeCell ref="M3068:M3069"/>
    <mergeCell ref="N3068:N3069"/>
    <mergeCell ref="O3068:O3069"/>
    <mergeCell ref="X3068:X3069"/>
    <mergeCell ref="Y3068:Y3069"/>
    <mergeCell ref="Z3068:Z3069"/>
    <mergeCell ref="AA3068:AA3069"/>
    <mergeCell ref="AB3068:AB3069"/>
    <mergeCell ref="A3064:A3065"/>
    <mergeCell ref="E3064:E3065"/>
    <mergeCell ref="H3064:H3065"/>
    <mergeCell ref="I3064:I3065"/>
    <mergeCell ref="J3064:J3065"/>
    <mergeCell ref="K3064:K3065"/>
    <mergeCell ref="L3064:L3065"/>
    <mergeCell ref="M3064:M3065"/>
    <mergeCell ref="N3064:N3065"/>
    <mergeCell ref="O3064:O3065"/>
    <mergeCell ref="X3064:X3065"/>
    <mergeCell ref="Y3064:Y3065"/>
    <mergeCell ref="Z3064:Z3065"/>
    <mergeCell ref="AA3064:AA3065"/>
    <mergeCell ref="AB3064:AB3065"/>
    <mergeCell ref="A3066:A3067"/>
    <mergeCell ref="E3066:E3067"/>
    <mergeCell ref="H3066:H3067"/>
    <mergeCell ref="I3066:I3067"/>
    <mergeCell ref="J3066:J3067"/>
    <mergeCell ref="K3066:K3067"/>
    <mergeCell ref="L3066:L3067"/>
    <mergeCell ref="M3066:M3067"/>
    <mergeCell ref="N3066:N3067"/>
    <mergeCell ref="A3186:A3187"/>
    <mergeCell ref="E3186:E3187"/>
    <mergeCell ref="H3186:H3187"/>
    <mergeCell ref="I3186:I3187"/>
    <mergeCell ref="J3186:J3187"/>
    <mergeCell ref="K3186:K3187"/>
    <mergeCell ref="L3186:L3187"/>
    <mergeCell ref="M3186:M3187"/>
    <mergeCell ref="N3186:N3187"/>
    <mergeCell ref="O3186:O3187"/>
    <mergeCell ref="X3186:X3187"/>
    <mergeCell ref="Y3186:Y3187"/>
    <mergeCell ref="Z3186:Z3187"/>
    <mergeCell ref="AA3186:AA3187"/>
    <mergeCell ref="AB3186:AB3187"/>
    <mergeCell ref="A3188:A3189"/>
    <mergeCell ref="E3188:E3189"/>
    <mergeCell ref="H3188:H3189"/>
    <mergeCell ref="I3188:I3189"/>
    <mergeCell ref="J3188:J3189"/>
    <mergeCell ref="K3188:K3189"/>
    <mergeCell ref="L3188:L3189"/>
    <mergeCell ref="M3188:M3189"/>
    <mergeCell ref="N3188:N3189"/>
    <mergeCell ref="O3188:O3189"/>
    <mergeCell ref="X3188:X3189"/>
    <mergeCell ref="Y3188:Y3189"/>
    <mergeCell ref="Z3188:Z3189"/>
    <mergeCell ref="AA3188:AA3189"/>
    <mergeCell ref="AB3188:AB3189"/>
    <mergeCell ref="K3092:K3093"/>
    <mergeCell ref="L3092:L3093"/>
    <mergeCell ref="M3092:M3093"/>
    <mergeCell ref="N3092:N3093"/>
    <mergeCell ref="O3092:O3093"/>
    <mergeCell ref="X3092:X3093"/>
    <mergeCell ref="Y3092:Y3093"/>
    <mergeCell ref="Z3092:Z3093"/>
    <mergeCell ref="AA3092:AA3093"/>
    <mergeCell ref="AB3092:AB3093"/>
    <mergeCell ref="A3100:A3101"/>
    <mergeCell ref="E3100:E3101"/>
    <mergeCell ref="H3100:H3101"/>
    <mergeCell ref="I3100:I3101"/>
    <mergeCell ref="J3100:J3101"/>
    <mergeCell ref="K3100:K3101"/>
    <mergeCell ref="L3100:L3101"/>
    <mergeCell ref="M3100:M3101"/>
    <mergeCell ref="N3100:N3101"/>
    <mergeCell ref="O3100:O3101"/>
    <mergeCell ref="X3100:X3101"/>
    <mergeCell ref="Y3100:Y3101"/>
    <mergeCell ref="Z3100:Z3101"/>
    <mergeCell ref="AA3100:AA3101"/>
    <mergeCell ref="AB3100:AB3101"/>
    <mergeCell ref="A3094:A3095"/>
    <mergeCell ref="E3094:E3095"/>
    <mergeCell ref="H3094:H3095"/>
    <mergeCell ref="I3094:I3095"/>
    <mergeCell ref="J3094:J3095"/>
    <mergeCell ref="K3094:K3095"/>
    <mergeCell ref="L3094:L3095"/>
    <mergeCell ref="M3094:M3095"/>
    <mergeCell ref="N3094:N3095"/>
    <mergeCell ref="A3190:A3191"/>
    <mergeCell ref="E3190:E3191"/>
    <mergeCell ref="H3190:H3191"/>
    <mergeCell ref="I3190:I3191"/>
    <mergeCell ref="J3190:J3191"/>
    <mergeCell ref="K3190:K3191"/>
    <mergeCell ref="L3190:L3191"/>
    <mergeCell ref="M3190:M3191"/>
    <mergeCell ref="N3190:N3191"/>
    <mergeCell ref="O3190:O3191"/>
    <mergeCell ref="X3190:X3191"/>
    <mergeCell ref="Y3190:Y3191"/>
    <mergeCell ref="Z3190:Z3191"/>
    <mergeCell ref="AA3190:AA3191"/>
    <mergeCell ref="AB3190:AB3191"/>
    <mergeCell ref="A3192:A3193"/>
    <mergeCell ref="E3192:E3193"/>
    <mergeCell ref="H3192:H3193"/>
    <mergeCell ref="I3192:I3193"/>
    <mergeCell ref="J3192:J3193"/>
    <mergeCell ref="K3192:K3193"/>
    <mergeCell ref="L3192:L3193"/>
    <mergeCell ref="M3192:M3193"/>
    <mergeCell ref="N3192:N3193"/>
    <mergeCell ref="O3192:O3193"/>
    <mergeCell ref="X3192:X3193"/>
    <mergeCell ref="Y3192:Y3193"/>
    <mergeCell ref="Z3192:Z3193"/>
    <mergeCell ref="AA3192:AA3193"/>
    <mergeCell ref="AB3192:AB3193"/>
    <mergeCell ref="A3194:A3195"/>
    <mergeCell ref="E3194:E3195"/>
    <mergeCell ref="H3194:H3195"/>
    <mergeCell ref="I3194:I3195"/>
    <mergeCell ref="J3194:J3195"/>
    <mergeCell ref="K3194:K3195"/>
    <mergeCell ref="L3194:L3195"/>
    <mergeCell ref="M3194:M3195"/>
    <mergeCell ref="N3194:N3195"/>
    <mergeCell ref="O3194:O3195"/>
    <mergeCell ref="X3194:X3195"/>
    <mergeCell ref="Y3194:Y3195"/>
    <mergeCell ref="Z3194:Z3195"/>
    <mergeCell ref="AA3194:AA3195"/>
    <mergeCell ref="AB3194:AB3195"/>
    <mergeCell ref="A3196:A3197"/>
    <mergeCell ref="E3196:E3197"/>
    <mergeCell ref="H3196:H3197"/>
    <mergeCell ref="I3196:I3197"/>
    <mergeCell ref="J3196:J3197"/>
    <mergeCell ref="K3196:K3197"/>
    <mergeCell ref="L3196:L3197"/>
    <mergeCell ref="M3196:M3197"/>
    <mergeCell ref="N3196:N3197"/>
    <mergeCell ref="O3196:O3197"/>
    <mergeCell ref="X3196:X3197"/>
    <mergeCell ref="Y3196:Y3197"/>
    <mergeCell ref="Z3196:Z3197"/>
    <mergeCell ref="AA3196:AA3197"/>
    <mergeCell ref="AB3196:AB3197"/>
    <mergeCell ref="A3198:A3199"/>
    <mergeCell ref="E3198:E3199"/>
    <mergeCell ref="H3198:H3199"/>
    <mergeCell ref="I3198:I3199"/>
    <mergeCell ref="J3198:J3199"/>
    <mergeCell ref="K3198:K3199"/>
    <mergeCell ref="L3198:L3199"/>
    <mergeCell ref="M3198:M3199"/>
    <mergeCell ref="N3198:N3199"/>
    <mergeCell ref="O3198:O3199"/>
    <mergeCell ref="X3198:X3199"/>
    <mergeCell ref="Y3198:Y3199"/>
    <mergeCell ref="Z3198:Z3199"/>
    <mergeCell ref="AA3198:AA3199"/>
    <mergeCell ref="AB3198:AB3199"/>
    <mergeCell ref="A3200:A3201"/>
    <mergeCell ref="E3200:E3201"/>
    <mergeCell ref="H3200:H3201"/>
    <mergeCell ref="I3200:I3201"/>
    <mergeCell ref="J3200:J3201"/>
    <mergeCell ref="K3200:K3201"/>
    <mergeCell ref="L3200:L3201"/>
    <mergeCell ref="M3200:M3201"/>
    <mergeCell ref="N3200:N3201"/>
    <mergeCell ref="O3200:O3201"/>
    <mergeCell ref="X3200:X3201"/>
    <mergeCell ref="Y3200:Y3201"/>
    <mergeCell ref="Z3200:Z3201"/>
    <mergeCell ref="AA3200:AA3201"/>
    <mergeCell ref="AB3200:AB3201"/>
    <mergeCell ref="J3220:J3221"/>
    <mergeCell ref="K3220:K3221"/>
    <mergeCell ref="L3220:L3221"/>
    <mergeCell ref="M3220:M3221"/>
    <mergeCell ref="N3220:N3221"/>
    <mergeCell ref="O3220:O3221"/>
    <mergeCell ref="X3220:X3221"/>
    <mergeCell ref="Y3220:Y3221"/>
    <mergeCell ref="Z3220:Z3221"/>
    <mergeCell ref="AA3220:AA3221"/>
    <mergeCell ref="AB3220:AB3221"/>
    <mergeCell ref="A3222:A3223"/>
    <mergeCell ref="E3222:E3223"/>
    <mergeCell ref="H3222:H3223"/>
    <mergeCell ref="I3222:I3223"/>
    <mergeCell ref="J3222:J3223"/>
    <mergeCell ref="K3222:K3223"/>
    <mergeCell ref="L3222:L3223"/>
    <mergeCell ref="M3222:M3223"/>
    <mergeCell ref="N3222:N3223"/>
    <mergeCell ref="O3222:O3223"/>
    <mergeCell ref="X3222:X3223"/>
    <mergeCell ref="Y3222:Y3223"/>
    <mergeCell ref="Z3222:Z3223"/>
    <mergeCell ref="AA3222:AA3223"/>
    <mergeCell ref="AB3222:AB3223"/>
    <mergeCell ref="A3224:A3225"/>
    <mergeCell ref="E3224:E3225"/>
    <mergeCell ref="H3224:H3225"/>
    <mergeCell ref="I3224:I3225"/>
    <mergeCell ref="J3224:J3225"/>
    <mergeCell ref="K3224:K3225"/>
    <mergeCell ref="L3224:L3225"/>
    <mergeCell ref="M3224:M3225"/>
    <mergeCell ref="N3224:N3225"/>
    <mergeCell ref="O3224:O3225"/>
    <mergeCell ref="X3224:X3225"/>
    <mergeCell ref="Y3224:Y3225"/>
    <mergeCell ref="Z3224:Z3225"/>
    <mergeCell ref="AA3224:AA3225"/>
    <mergeCell ref="AB3224:AB3225"/>
    <mergeCell ref="A3226:A3227"/>
    <mergeCell ref="E3226:E3227"/>
    <mergeCell ref="H3226:H3227"/>
    <mergeCell ref="I3226:I3227"/>
    <mergeCell ref="J3226:J3227"/>
    <mergeCell ref="K3226:K3227"/>
    <mergeCell ref="L3226:L3227"/>
    <mergeCell ref="M3226:M3227"/>
    <mergeCell ref="N3226:N3227"/>
    <mergeCell ref="O3226:O3227"/>
    <mergeCell ref="X3226:X3227"/>
    <mergeCell ref="Y3226:Y3227"/>
    <mergeCell ref="Z3226:Z3227"/>
    <mergeCell ref="AA3226:AA3227"/>
    <mergeCell ref="AB3226:AB3227"/>
    <mergeCell ref="A3228:A3229"/>
    <mergeCell ref="E3228:E3229"/>
    <mergeCell ref="H3228:H3229"/>
    <mergeCell ref="I3228:I3229"/>
    <mergeCell ref="J3228:J3229"/>
    <mergeCell ref="K3228:K3229"/>
    <mergeCell ref="L3228:L3229"/>
    <mergeCell ref="M3228:M3229"/>
    <mergeCell ref="N3228:N3229"/>
    <mergeCell ref="O3228:O3229"/>
    <mergeCell ref="X3228:X3229"/>
    <mergeCell ref="Y3228:Y3229"/>
    <mergeCell ref="Z3228:Z3229"/>
    <mergeCell ref="AA3228:AA3229"/>
    <mergeCell ref="AB3228:AB3229"/>
    <mergeCell ref="A3230:A3231"/>
    <mergeCell ref="E3230:E3231"/>
    <mergeCell ref="H3230:H3231"/>
    <mergeCell ref="I3230:I3231"/>
    <mergeCell ref="J3230:J3231"/>
    <mergeCell ref="K3230:K3231"/>
    <mergeCell ref="L3230:L3231"/>
    <mergeCell ref="M3230:M3231"/>
    <mergeCell ref="N3230:N3231"/>
    <mergeCell ref="O3230:O3231"/>
    <mergeCell ref="X3230:X3231"/>
    <mergeCell ref="Y3230:Y3231"/>
    <mergeCell ref="Z3230:Z3231"/>
    <mergeCell ref="AA3230:AA3231"/>
    <mergeCell ref="AB3230:AB3231"/>
    <mergeCell ref="A3232:A3233"/>
    <mergeCell ref="E3232:E3233"/>
    <mergeCell ref="H3232:H3233"/>
    <mergeCell ref="I3232:I3233"/>
    <mergeCell ref="J3232:J3233"/>
    <mergeCell ref="K3232:K3233"/>
    <mergeCell ref="L3232:L3233"/>
    <mergeCell ref="M3232:M3233"/>
    <mergeCell ref="N3232:N3233"/>
    <mergeCell ref="O3232:O3233"/>
    <mergeCell ref="X3232:X3233"/>
    <mergeCell ref="Y3232:Y3233"/>
    <mergeCell ref="Z3232:Z3233"/>
    <mergeCell ref="AA3232:AA3233"/>
    <mergeCell ref="AB3232:AB3233"/>
    <mergeCell ref="A3234:A3235"/>
    <mergeCell ref="E3234:E3235"/>
    <mergeCell ref="H3234:H3235"/>
    <mergeCell ref="I3234:I3235"/>
    <mergeCell ref="J3234:J3235"/>
    <mergeCell ref="K3234:K3235"/>
    <mergeCell ref="L3234:L3235"/>
    <mergeCell ref="M3234:M3235"/>
    <mergeCell ref="N3234:N3235"/>
    <mergeCell ref="O3234:O3235"/>
    <mergeCell ref="X3234:X3235"/>
    <mergeCell ref="Y3234:Y3235"/>
    <mergeCell ref="Z3234:Z3235"/>
    <mergeCell ref="AA3234:AA3235"/>
    <mergeCell ref="AB3234:AB3235"/>
    <mergeCell ref="A3236:A3237"/>
    <mergeCell ref="E3236:E3237"/>
    <mergeCell ref="H3236:H3237"/>
    <mergeCell ref="I3236:I3237"/>
    <mergeCell ref="J3236:J3237"/>
    <mergeCell ref="K3236:K3237"/>
    <mergeCell ref="L3236:L3237"/>
    <mergeCell ref="M3236:M3237"/>
    <mergeCell ref="N3236:N3237"/>
    <mergeCell ref="O3236:O3237"/>
    <mergeCell ref="X3236:X3237"/>
    <mergeCell ref="Y3236:Y3237"/>
    <mergeCell ref="Z3236:Z3237"/>
    <mergeCell ref="AA3236:AA3237"/>
    <mergeCell ref="AB3236:AB3237"/>
    <mergeCell ref="A3238:A3239"/>
    <mergeCell ref="E3238:E3239"/>
    <mergeCell ref="H3238:H3239"/>
    <mergeCell ref="I3238:I3239"/>
    <mergeCell ref="J3238:J3239"/>
    <mergeCell ref="K3238:K3239"/>
    <mergeCell ref="L3238:L3239"/>
    <mergeCell ref="M3238:M3239"/>
    <mergeCell ref="N3238:N3239"/>
    <mergeCell ref="O3238:O3239"/>
    <mergeCell ref="X3238:X3239"/>
    <mergeCell ref="Y3238:Y3239"/>
    <mergeCell ref="Z3238:Z3239"/>
    <mergeCell ref="AA3238:AA3239"/>
    <mergeCell ref="AB3238:AB3239"/>
    <mergeCell ref="A3240:A3241"/>
    <mergeCell ref="E3240:E3241"/>
    <mergeCell ref="H3240:H3241"/>
    <mergeCell ref="I3240:I3241"/>
    <mergeCell ref="J3240:J3241"/>
    <mergeCell ref="K3240:K3241"/>
    <mergeCell ref="L3240:L3241"/>
    <mergeCell ref="M3240:M3241"/>
    <mergeCell ref="N3240:N3241"/>
    <mergeCell ref="O3240:O3241"/>
    <mergeCell ref="X3240:X3241"/>
    <mergeCell ref="Y3240:Y3241"/>
    <mergeCell ref="Z3240:Z3241"/>
    <mergeCell ref="AA3240:AA3241"/>
    <mergeCell ref="AB3240:AB3241"/>
    <mergeCell ref="A3242:A3243"/>
    <mergeCell ref="E3242:E3243"/>
    <mergeCell ref="H3242:H3243"/>
    <mergeCell ref="I3242:I3243"/>
    <mergeCell ref="J3242:J3243"/>
    <mergeCell ref="K3242:K3243"/>
    <mergeCell ref="L3242:L3243"/>
    <mergeCell ref="M3242:M3243"/>
    <mergeCell ref="N3242:N3243"/>
    <mergeCell ref="O3242:O3243"/>
    <mergeCell ref="X3242:X3243"/>
    <mergeCell ref="Y3242:Y3243"/>
    <mergeCell ref="Z3242:Z3243"/>
    <mergeCell ref="AA3242:AA3243"/>
    <mergeCell ref="AB3242:AB3243"/>
    <mergeCell ref="A3244:A3245"/>
    <mergeCell ref="E3244:E3245"/>
    <mergeCell ref="H3244:H3245"/>
    <mergeCell ref="I3244:I3245"/>
    <mergeCell ref="J3244:J3245"/>
    <mergeCell ref="K3244:K3245"/>
    <mergeCell ref="L3244:L3245"/>
    <mergeCell ref="M3244:M3245"/>
    <mergeCell ref="N3244:N3245"/>
    <mergeCell ref="O3244:O3245"/>
    <mergeCell ref="X3244:X3245"/>
    <mergeCell ref="Y3244:Y3245"/>
    <mergeCell ref="Z3244:Z3245"/>
    <mergeCell ref="AA3244:AA3245"/>
    <mergeCell ref="AB3244:AB3245"/>
    <mergeCell ref="A3246:A3247"/>
    <mergeCell ref="E3246:E3247"/>
    <mergeCell ref="H3246:H3247"/>
    <mergeCell ref="I3246:I3247"/>
    <mergeCell ref="J3246:J3247"/>
    <mergeCell ref="K3246:K3247"/>
    <mergeCell ref="L3246:L3247"/>
    <mergeCell ref="M3246:M3247"/>
    <mergeCell ref="N3246:N3247"/>
    <mergeCell ref="O3246:O3247"/>
    <mergeCell ref="X3246:X3247"/>
    <mergeCell ref="Y3246:Y3247"/>
    <mergeCell ref="Z3246:Z3247"/>
    <mergeCell ref="AA3246:AA3247"/>
    <mergeCell ref="AB3246:AB3247"/>
    <mergeCell ref="A3248:A3249"/>
    <mergeCell ref="E3248:E3249"/>
    <mergeCell ref="H3248:H3249"/>
    <mergeCell ref="I3248:I3249"/>
    <mergeCell ref="J3248:J3249"/>
    <mergeCell ref="K3248:K3249"/>
    <mergeCell ref="L3248:L3249"/>
    <mergeCell ref="M3248:M3249"/>
    <mergeCell ref="N3248:N3249"/>
    <mergeCell ref="O3248:O3249"/>
    <mergeCell ref="X3248:X3249"/>
    <mergeCell ref="Y3248:Y3249"/>
    <mergeCell ref="Z3248:Z3249"/>
    <mergeCell ref="AA3248:AA3249"/>
    <mergeCell ref="AB3248:AB3249"/>
    <mergeCell ref="A3250:A3251"/>
    <mergeCell ref="E3250:E3251"/>
    <mergeCell ref="H3250:H3251"/>
    <mergeCell ref="I3250:I3251"/>
    <mergeCell ref="J3250:J3251"/>
    <mergeCell ref="K3250:K3251"/>
    <mergeCell ref="L3250:L3251"/>
    <mergeCell ref="M3250:M3251"/>
    <mergeCell ref="N3250:N3251"/>
    <mergeCell ref="O3250:O3251"/>
    <mergeCell ref="X3250:X3251"/>
    <mergeCell ref="Y3250:Y3251"/>
    <mergeCell ref="Z3250:Z3251"/>
    <mergeCell ref="AA3250:AA3251"/>
    <mergeCell ref="AB3250:AB3251"/>
    <mergeCell ref="A3252:A3253"/>
    <mergeCell ref="E3252:E3253"/>
    <mergeCell ref="H3252:H3253"/>
    <mergeCell ref="I3252:I3253"/>
    <mergeCell ref="J3252:J3253"/>
    <mergeCell ref="K3252:K3253"/>
    <mergeCell ref="L3252:L3253"/>
    <mergeCell ref="M3252:M3253"/>
    <mergeCell ref="N3252:N3253"/>
    <mergeCell ref="O3252:O3253"/>
    <mergeCell ref="X3252:X3253"/>
    <mergeCell ref="Y3252:Y3253"/>
    <mergeCell ref="Z3252:Z3253"/>
    <mergeCell ref="AA3252:AA3253"/>
    <mergeCell ref="AB3252:AB3253"/>
    <mergeCell ref="A3254:A3255"/>
    <mergeCell ref="E3254:E3255"/>
    <mergeCell ref="H3254:H3255"/>
    <mergeCell ref="I3254:I3255"/>
    <mergeCell ref="J3254:J3255"/>
    <mergeCell ref="K3254:K3255"/>
    <mergeCell ref="L3254:L3255"/>
    <mergeCell ref="M3254:M3255"/>
    <mergeCell ref="N3254:N3255"/>
    <mergeCell ref="O3254:O3255"/>
    <mergeCell ref="X3254:X3255"/>
    <mergeCell ref="Y3254:Y3255"/>
    <mergeCell ref="Z3254:Z3255"/>
    <mergeCell ref="AA3254:AA3255"/>
    <mergeCell ref="AB3254:AB3255"/>
    <mergeCell ref="N3266:N3267"/>
    <mergeCell ref="O3266:O3267"/>
    <mergeCell ref="X3266:X3267"/>
    <mergeCell ref="Y3266:Y3267"/>
    <mergeCell ref="Z3266:Z3267"/>
    <mergeCell ref="AA3266:AA3267"/>
    <mergeCell ref="AB3266:AB3267"/>
    <mergeCell ref="A3256:A3257"/>
    <mergeCell ref="E3256:E3257"/>
    <mergeCell ref="H3256:H3257"/>
    <mergeCell ref="I3256:I3257"/>
    <mergeCell ref="J3256:J3257"/>
    <mergeCell ref="K3256:K3257"/>
    <mergeCell ref="L3256:L3257"/>
    <mergeCell ref="M3256:M3257"/>
    <mergeCell ref="N3256:N3257"/>
    <mergeCell ref="O3256:O3257"/>
    <mergeCell ref="X3256:X3257"/>
    <mergeCell ref="Y3256:Y3257"/>
    <mergeCell ref="Z3256:Z3257"/>
    <mergeCell ref="AA3256:AA3257"/>
    <mergeCell ref="AB3256:AB3257"/>
    <mergeCell ref="A3258:A3259"/>
    <mergeCell ref="E3258:E3259"/>
    <mergeCell ref="H3258:H3259"/>
    <mergeCell ref="I3258:I3259"/>
    <mergeCell ref="J3258:J3259"/>
    <mergeCell ref="K3258:K3259"/>
    <mergeCell ref="L3258:L3259"/>
    <mergeCell ref="M3258:M3259"/>
    <mergeCell ref="N3258:N3259"/>
    <mergeCell ref="O3258:O3259"/>
    <mergeCell ref="X3258:X3259"/>
    <mergeCell ref="Y3258:Y3259"/>
    <mergeCell ref="Z3258:Z3259"/>
    <mergeCell ref="AA3258:AA3259"/>
    <mergeCell ref="AB3258:AB3259"/>
    <mergeCell ref="A3260:A3261"/>
    <mergeCell ref="E3260:E3261"/>
    <mergeCell ref="H3260:H3261"/>
    <mergeCell ref="I3260:I3261"/>
    <mergeCell ref="J3260:J3261"/>
    <mergeCell ref="K3260:K3261"/>
    <mergeCell ref="L3260:L3261"/>
    <mergeCell ref="M3260:M3261"/>
    <mergeCell ref="N3260:N3261"/>
    <mergeCell ref="O3260:O3261"/>
    <mergeCell ref="X3260:X3261"/>
    <mergeCell ref="Y3260:Y3261"/>
    <mergeCell ref="Z3260:Z3261"/>
    <mergeCell ref="AA3260:AA3261"/>
    <mergeCell ref="AB3260:AB3261"/>
    <mergeCell ref="J3270:J3271"/>
    <mergeCell ref="K3270:K3271"/>
    <mergeCell ref="L3270:L3271"/>
    <mergeCell ref="M3270:M3271"/>
    <mergeCell ref="N3270:N3271"/>
    <mergeCell ref="O3270:O3271"/>
    <mergeCell ref="X3270:X3271"/>
    <mergeCell ref="Y3270:Y3271"/>
    <mergeCell ref="Z3270:Z3271"/>
    <mergeCell ref="AA3270:AA3271"/>
    <mergeCell ref="AB3270:AB3271"/>
    <mergeCell ref="A3272:A3273"/>
    <mergeCell ref="E3272:E3273"/>
    <mergeCell ref="H3272:H3273"/>
    <mergeCell ref="I3272:I3273"/>
    <mergeCell ref="J3272:J3273"/>
    <mergeCell ref="K3272:K3273"/>
    <mergeCell ref="L3272:L3273"/>
    <mergeCell ref="M3272:M3273"/>
    <mergeCell ref="N3272:N3273"/>
    <mergeCell ref="O3272:O3273"/>
    <mergeCell ref="X3272:X3273"/>
    <mergeCell ref="Y3272:Y3273"/>
    <mergeCell ref="Z3272:Z3273"/>
    <mergeCell ref="AA3272:AA3273"/>
    <mergeCell ref="AB3272:AB3273"/>
    <mergeCell ref="A3262:A3263"/>
    <mergeCell ref="E3262:E3263"/>
    <mergeCell ref="H3262:H3263"/>
    <mergeCell ref="I3262:I3263"/>
    <mergeCell ref="J3262:J3263"/>
    <mergeCell ref="K3262:K3263"/>
    <mergeCell ref="L3262:L3263"/>
    <mergeCell ref="M3262:M3263"/>
    <mergeCell ref="N3262:N3263"/>
    <mergeCell ref="O3262:O3263"/>
    <mergeCell ref="X3262:X3263"/>
    <mergeCell ref="Y3262:Y3263"/>
    <mergeCell ref="Z3262:Z3263"/>
    <mergeCell ref="AA3262:AA3263"/>
    <mergeCell ref="AB3262:AB3263"/>
    <mergeCell ref="A3264:A3265"/>
    <mergeCell ref="E3264:E3265"/>
    <mergeCell ref="H3264:H3265"/>
    <mergeCell ref="I3264:I3265"/>
    <mergeCell ref="J3264:J3265"/>
    <mergeCell ref="K3264:K3265"/>
    <mergeCell ref="L3264:L3265"/>
    <mergeCell ref="M3264:M3265"/>
    <mergeCell ref="N3264:N3265"/>
    <mergeCell ref="O3264:O3265"/>
    <mergeCell ref="X3264:X3265"/>
    <mergeCell ref="Y3264:Y3265"/>
    <mergeCell ref="Z3264:Z3265"/>
    <mergeCell ref="AA3264:AA3265"/>
    <mergeCell ref="AB3264:AB3265"/>
    <mergeCell ref="A3266:A3267"/>
    <mergeCell ref="E3266:E3267"/>
    <mergeCell ref="H3266:H3267"/>
    <mergeCell ref="I3266:I3267"/>
    <mergeCell ref="J3266:J3267"/>
    <mergeCell ref="K3266:K3267"/>
    <mergeCell ref="L3266:L3267"/>
    <mergeCell ref="M3266:M3267"/>
    <mergeCell ref="H3282:H3283"/>
    <mergeCell ref="I3282:I3283"/>
    <mergeCell ref="J3282:J3283"/>
    <mergeCell ref="K3282:K3283"/>
    <mergeCell ref="L3282:L3283"/>
    <mergeCell ref="M3282:M3283"/>
    <mergeCell ref="N3282:N3283"/>
    <mergeCell ref="O3282:O3283"/>
    <mergeCell ref="X3282:X3283"/>
    <mergeCell ref="Y3282:Y3283"/>
    <mergeCell ref="Z3282:Z3283"/>
    <mergeCell ref="AA3282:AA3283"/>
    <mergeCell ref="AB3282:AB3283"/>
    <mergeCell ref="A3274:A3275"/>
    <mergeCell ref="E3274:E3275"/>
    <mergeCell ref="H3274:H3275"/>
    <mergeCell ref="I3274:I3275"/>
    <mergeCell ref="J3274:J3275"/>
    <mergeCell ref="K3274:K3275"/>
    <mergeCell ref="L3274:L3275"/>
    <mergeCell ref="M3274:M3275"/>
    <mergeCell ref="N3274:N3275"/>
    <mergeCell ref="O3274:O3275"/>
    <mergeCell ref="X3274:X3275"/>
    <mergeCell ref="Y3274:Y3275"/>
    <mergeCell ref="Z3274:Z3275"/>
    <mergeCell ref="AA3274:AA3275"/>
    <mergeCell ref="AB3274:AB3275"/>
    <mergeCell ref="A3278:A3279"/>
    <mergeCell ref="E3278:E3279"/>
    <mergeCell ref="H3278:H3279"/>
    <mergeCell ref="I3278:I3279"/>
    <mergeCell ref="J3278:J3279"/>
    <mergeCell ref="K3278:K3279"/>
    <mergeCell ref="L3278:L3279"/>
    <mergeCell ref="M3278:M3279"/>
    <mergeCell ref="N3278:N3279"/>
    <mergeCell ref="O3278:O3279"/>
    <mergeCell ref="X3278:X3279"/>
    <mergeCell ref="Y3278:Y3279"/>
    <mergeCell ref="Z3278:Z3279"/>
    <mergeCell ref="AA3278:AA3279"/>
    <mergeCell ref="AB3278:AB3279"/>
    <mergeCell ref="A3288:A3289"/>
    <mergeCell ref="E3288:E3289"/>
    <mergeCell ref="H3288:H3289"/>
    <mergeCell ref="I3288:I3289"/>
    <mergeCell ref="J3288:J3289"/>
    <mergeCell ref="K3288:K3289"/>
    <mergeCell ref="L3288:L3289"/>
    <mergeCell ref="M3288:M3289"/>
    <mergeCell ref="N3288:N3289"/>
    <mergeCell ref="O3288:O3289"/>
    <mergeCell ref="X3288:X3289"/>
    <mergeCell ref="Y3288:Y3289"/>
    <mergeCell ref="Z3288:Z3289"/>
    <mergeCell ref="AA3288:AA3289"/>
    <mergeCell ref="AB3288:AB3289"/>
    <mergeCell ref="A3290:A3291"/>
    <mergeCell ref="E3290:E3291"/>
    <mergeCell ref="H3290:H3291"/>
    <mergeCell ref="I3290:I3291"/>
    <mergeCell ref="J3290:J3291"/>
    <mergeCell ref="K3290:K3291"/>
    <mergeCell ref="L3290:L3291"/>
    <mergeCell ref="M3290:M3291"/>
    <mergeCell ref="N3290:N3291"/>
    <mergeCell ref="O3290:O3291"/>
    <mergeCell ref="X3290:X3291"/>
    <mergeCell ref="Y3290:Y3291"/>
    <mergeCell ref="Z3290:Z3291"/>
    <mergeCell ref="AA3290:AA3291"/>
    <mergeCell ref="AB3290:AB3291"/>
    <mergeCell ref="A3292:A3293"/>
    <mergeCell ref="E3292:E3293"/>
    <mergeCell ref="H3292:H3293"/>
    <mergeCell ref="I3292:I3293"/>
    <mergeCell ref="J3292:J3293"/>
    <mergeCell ref="K3292:K3293"/>
    <mergeCell ref="L3292:L3293"/>
    <mergeCell ref="M3292:M3293"/>
    <mergeCell ref="N3292:N3293"/>
    <mergeCell ref="O3292:O3293"/>
    <mergeCell ref="X3292:X3293"/>
    <mergeCell ref="Y3292:Y3293"/>
    <mergeCell ref="Z3292:Z3293"/>
    <mergeCell ref="AA3292:AA3293"/>
    <mergeCell ref="AB3292:AB3293"/>
    <mergeCell ref="A3294:A3295"/>
    <mergeCell ref="E3294:E3295"/>
    <mergeCell ref="H3294:H3295"/>
    <mergeCell ref="I3294:I3295"/>
    <mergeCell ref="J3294:J3295"/>
    <mergeCell ref="K3294:K3295"/>
    <mergeCell ref="L3294:L3295"/>
    <mergeCell ref="M3294:M3295"/>
    <mergeCell ref="N3294:N3295"/>
    <mergeCell ref="O3294:O3295"/>
    <mergeCell ref="X3294:X3295"/>
    <mergeCell ref="Y3294:Y3295"/>
    <mergeCell ref="Z3294:Z3295"/>
    <mergeCell ref="AA3294:AA3295"/>
    <mergeCell ref="AB3294:AB3295"/>
    <mergeCell ref="A3296:A3297"/>
    <mergeCell ref="E3296:E3297"/>
    <mergeCell ref="H3296:H3297"/>
    <mergeCell ref="I3296:I3297"/>
    <mergeCell ref="J3296:J3297"/>
    <mergeCell ref="K3296:K3297"/>
    <mergeCell ref="L3296:L3297"/>
    <mergeCell ref="M3296:M3297"/>
    <mergeCell ref="N3296:N3297"/>
    <mergeCell ref="O3296:O3297"/>
    <mergeCell ref="X3296:X3297"/>
    <mergeCell ref="Y3296:Y3297"/>
    <mergeCell ref="Z3296:Z3297"/>
    <mergeCell ref="AA3296:AA3297"/>
    <mergeCell ref="AB3296:AB3297"/>
    <mergeCell ref="A3300:A3301"/>
    <mergeCell ref="E3300:E3301"/>
    <mergeCell ref="H3300:H3301"/>
    <mergeCell ref="I3300:I3301"/>
    <mergeCell ref="J3300:J3301"/>
    <mergeCell ref="K3300:K3301"/>
    <mergeCell ref="L3300:L3301"/>
    <mergeCell ref="M3300:M3301"/>
    <mergeCell ref="N3300:N3301"/>
    <mergeCell ref="O3300:O3301"/>
    <mergeCell ref="X3300:X3301"/>
    <mergeCell ref="Y3300:Y3301"/>
    <mergeCell ref="Z3300:Z3301"/>
    <mergeCell ref="AA3300:AA3301"/>
    <mergeCell ref="AB3300:AB3301"/>
    <mergeCell ref="A3298:A3299"/>
    <mergeCell ref="E3298:E3299"/>
    <mergeCell ref="H3298:H3299"/>
    <mergeCell ref="I3298:I3299"/>
    <mergeCell ref="J3298:J3299"/>
    <mergeCell ref="K3298:K3299"/>
    <mergeCell ref="L3298:L3299"/>
    <mergeCell ref="M3298:M3299"/>
    <mergeCell ref="N3298:N3299"/>
    <mergeCell ref="O3298:O3299"/>
    <mergeCell ref="X3298:X3299"/>
    <mergeCell ref="Y3298:Y3299"/>
    <mergeCell ref="Z3298:Z3299"/>
    <mergeCell ref="AA3298:AA3299"/>
    <mergeCell ref="AB3298:AB3299"/>
    <mergeCell ref="A3302:A3303"/>
    <mergeCell ref="E3302:E3303"/>
    <mergeCell ref="H3302:H3303"/>
    <mergeCell ref="I3302:I3303"/>
    <mergeCell ref="J3302:J3303"/>
    <mergeCell ref="K3302:K3303"/>
    <mergeCell ref="L3302:L3303"/>
    <mergeCell ref="M3302:M3303"/>
    <mergeCell ref="N3302:N3303"/>
    <mergeCell ref="O3302:O3303"/>
    <mergeCell ref="X3302:X3303"/>
    <mergeCell ref="Y3302:Y3303"/>
    <mergeCell ref="Z3302:Z3303"/>
    <mergeCell ref="AA3302:AA3303"/>
    <mergeCell ref="AB3302:AB3303"/>
    <mergeCell ref="A3304:A3305"/>
    <mergeCell ref="E3304:E3305"/>
    <mergeCell ref="H3304:H3305"/>
    <mergeCell ref="I3304:I3305"/>
    <mergeCell ref="J3304:J3305"/>
    <mergeCell ref="K3304:K3305"/>
    <mergeCell ref="L3304:L3305"/>
    <mergeCell ref="M3304:M3305"/>
    <mergeCell ref="N3304:N3305"/>
    <mergeCell ref="O3304:O3305"/>
    <mergeCell ref="X3304:X3305"/>
    <mergeCell ref="Y3304:Y3305"/>
    <mergeCell ref="Z3304:Z3305"/>
    <mergeCell ref="AA3304:AA3305"/>
    <mergeCell ref="AB3304:AB3305"/>
    <mergeCell ref="A3306:A3307"/>
    <mergeCell ref="E3306:E3307"/>
    <mergeCell ref="H3306:H3307"/>
    <mergeCell ref="I3306:I3307"/>
    <mergeCell ref="J3306:J3307"/>
    <mergeCell ref="K3306:K3307"/>
    <mergeCell ref="L3306:L3307"/>
    <mergeCell ref="M3306:M3307"/>
    <mergeCell ref="N3306:N3307"/>
    <mergeCell ref="O3306:O3307"/>
    <mergeCell ref="X3306:X3307"/>
    <mergeCell ref="Y3306:Y3307"/>
    <mergeCell ref="Z3306:Z3307"/>
    <mergeCell ref="AA3306:AA3307"/>
    <mergeCell ref="AB3306:AB3307"/>
    <mergeCell ref="A3308:A3309"/>
    <mergeCell ref="E3308:E3309"/>
    <mergeCell ref="H3308:H3309"/>
    <mergeCell ref="I3308:I3309"/>
    <mergeCell ref="J3308:J3309"/>
    <mergeCell ref="K3308:K3309"/>
    <mergeCell ref="L3308:L3309"/>
    <mergeCell ref="M3308:M3309"/>
    <mergeCell ref="N3308:N3309"/>
    <mergeCell ref="O3308:O3309"/>
    <mergeCell ref="X3308:X3309"/>
    <mergeCell ref="Y3308:Y3309"/>
    <mergeCell ref="Z3308:Z3309"/>
    <mergeCell ref="AA3308:AA3309"/>
    <mergeCell ref="AB3308:AB3309"/>
    <mergeCell ref="A3310:A3311"/>
    <mergeCell ref="E3310:E3311"/>
    <mergeCell ref="H3310:H3311"/>
    <mergeCell ref="I3310:I3311"/>
    <mergeCell ref="J3310:J3311"/>
    <mergeCell ref="K3310:K3311"/>
    <mergeCell ref="L3310:L3311"/>
    <mergeCell ref="M3310:M3311"/>
    <mergeCell ref="N3310:N3311"/>
    <mergeCell ref="O3310:O3311"/>
    <mergeCell ref="X3310:X3311"/>
    <mergeCell ref="Y3310:Y3311"/>
    <mergeCell ref="Z3310:Z3311"/>
    <mergeCell ref="AA3310:AA3311"/>
    <mergeCell ref="AB3310:AB3311"/>
    <mergeCell ref="A3312:A3313"/>
    <mergeCell ref="E3312:E3313"/>
    <mergeCell ref="H3312:H3313"/>
    <mergeCell ref="I3312:I3313"/>
    <mergeCell ref="J3312:J3313"/>
    <mergeCell ref="K3312:K3313"/>
    <mergeCell ref="L3312:L3313"/>
    <mergeCell ref="M3312:M3313"/>
    <mergeCell ref="N3312:N3313"/>
    <mergeCell ref="O3312:O3313"/>
    <mergeCell ref="X3312:X3313"/>
    <mergeCell ref="Y3312:Y3313"/>
    <mergeCell ref="Z3312:Z3313"/>
    <mergeCell ref="AA3312:AA3313"/>
    <mergeCell ref="AB3312:AB3313"/>
    <mergeCell ref="A3314:A3315"/>
    <mergeCell ref="E3314:E3315"/>
    <mergeCell ref="H3314:H3315"/>
    <mergeCell ref="I3314:I3315"/>
    <mergeCell ref="J3314:J3315"/>
    <mergeCell ref="K3314:K3315"/>
    <mergeCell ref="L3314:L3315"/>
    <mergeCell ref="M3314:M3315"/>
    <mergeCell ref="N3314:N3315"/>
    <mergeCell ref="O3314:O3315"/>
    <mergeCell ref="X3314:X3315"/>
    <mergeCell ref="Y3314:Y3315"/>
    <mergeCell ref="Z3314:Z3315"/>
    <mergeCell ref="AA3314:AA3315"/>
    <mergeCell ref="AB3314:AB3315"/>
    <mergeCell ref="A3316:A3317"/>
    <mergeCell ref="E3316:E3317"/>
    <mergeCell ref="H3316:H3317"/>
    <mergeCell ref="I3316:I3317"/>
    <mergeCell ref="J3316:J3317"/>
    <mergeCell ref="K3316:K3317"/>
    <mergeCell ref="L3316:L3317"/>
    <mergeCell ref="M3316:M3317"/>
    <mergeCell ref="N3316:N3317"/>
    <mergeCell ref="O3316:O3317"/>
    <mergeCell ref="X3316:X3317"/>
    <mergeCell ref="Y3316:Y3317"/>
    <mergeCell ref="Z3316:Z3317"/>
    <mergeCell ref="AA3316:AA3317"/>
    <mergeCell ref="AB3316:AB3317"/>
    <mergeCell ref="A3318:A3319"/>
    <mergeCell ref="E3318:E3319"/>
    <mergeCell ref="H3318:H3319"/>
    <mergeCell ref="I3318:I3319"/>
    <mergeCell ref="J3318:J3319"/>
    <mergeCell ref="K3318:K3319"/>
    <mergeCell ref="L3318:L3319"/>
    <mergeCell ref="M3318:M3319"/>
    <mergeCell ref="N3318:N3319"/>
    <mergeCell ref="O3318:O3319"/>
    <mergeCell ref="X3318:X3319"/>
    <mergeCell ref="Y3318:Y3319"/>
    <mergeCell ref="Z3318:Z3319"/>
    <mergeCell ref="AA3318:AA3319"/>
    <mergeCell ref="AB3318:AB3319"/>
    <mergeCell ref="A3320:A3321"/>
    <mergeCell ref="E3320:E3321"/>
    <mergeCell ref="H3320:H3321"/>
    <mergeCell ref="I3320:I3321"/>
    <mergeCell ref="J3320:J3321"/>
    <mergeCell ref="K3320:K3321"/>
    <mergeCell ref="L3320:L3321"/>
    <mergeCell ref="M3320:M3321"/>
    <mergeCell ref="N3320:N3321"/>
    <mergeCell ref="O3320:O3321"/>
    <mergeCell ref="X3320:X3321"/>
    <mergeCell ref="Y3320:Y3321"/>
    <mergeCell ref="Z3320:Z3321"/>
    <mergeCell ref="AA3320:AA3321"/>
    <mergeCell ref="AB3320:AB3321"/>
    <mergeCell ref="A3322:A3323"/>
    <mergeCell ref="E3322:E3323"/>
    <mergeCell ref="H3322:H3323"/>
    <mergeCell ref="I3322:I3323"/>
    <mergeCell ref="J3322:J3323"/>
    <mergeCell ref="K3322:K3323"/>
    <mergeCell ref="L3322:L3323"/>
    <mergeCell ref="M3322:M3323"/>
    <mergeCell ref="N3322:N3323"/>
    <mergeCell ref="O3322:O3323"/>
    <mergeCell ref="X3322:X3323"/>
    <mergeCell ref="Y3322:Y3323"/>
    <mergeCell ref="Z3322:Z3323"/>
    <mergeCell ref="AA3322:AA3323"/>
    <mergeCell ref="AB3322:AB3323"/>
    <mergeCell ref="A3324:A3325"/>
    <mergeCell ref="E3324:E3325"/>
    <mergeCell ref="H3324:H3325"/>
    <mergeCell ref="I3324:I3325"/>
    <mergeCell ref="J3324:J3325"/>
    <mergeCell ref="K3324:K3325"/>
    <mergeCell ref="L3324:L3325"/>
    <mergeCell ref="M3324:M3325"/>
    <mergeCell ref="N3324:N3325"/>
    <mergeCell ref="O3324:O3325"/>
    <mergeCell ref="X3324:X3325"/>
    <mergeCell ref="Y3324:Y3325"/>
    <mergeCell ref="Z3324:Z3325"/>
    <mergeCell ref="AA3324:AA3325"/>
    <mergeCell ref="AB3324:AB3325"/>
    <mergeCell ref="K3326:K3327"/>
    <mergeCell ref="L3326:L3327"/>
    <mergeCell ref="M3326:M3327"/>
    <mergeCell ref="N3326:N3327"/>
    <mergeCell ref="O3326:O3327"/>
    <mergeCell ref="X3326:X3327"/>
    <mergeCell ref="Y3326:Y3327"/>
    <mergeCell ref="Z3326:Z3327"/>
    <mergeCell ref="AA3326:AA3327"/>
    <mergeCell ref="AB3326:AB3327"/>
    <mergeCell ref="A3328:A3329"/>
    <mergeCell ref="E3328:E3329"/>
    <mergeCell ref="H3328:H3329"/>
    <mergeCell ref="I3328:I3329"/>
    <mergeCell ref="J3328:J3329"/>
    <mergeCell ref="K3328:K3329"/>
    <mergeCell ref="L3328:L3329"/>
    <mergeCell ref="M3328:M3329"/>
    <mergeCell ref="N3328:N3329"/>
    <mergeCell ref="O3328:O3329"/>
    <mergeCell ref="X3328:X3329"/>
    <mergeCell ref="Y3328:Y3329"/>
    <mergeCell ref="Z3328:Z3329"/>
    <mergeCell ref="AA3328:AA3329"/>
    <mergeCell ref="AB3328:AB3329"/>
    <mergeCell ref="A3330:A3331"/>
    <mergeCell ref="E3330:E3331"/>
    <mergeCell ref="H3330:H3331"/>
    <mergeCell ref="I3330:I3331"/>
    <mergeCell ref="J3330:J3331"/>
    <mergeCell ref="K3330:K3331"/>
    <mergeCell ref="L3330:L3331"/>
    <mergeCell ref="M3330:M3331"/>
    <mergeCell ref="N3330:N3331"/>
    <mergeCell ref="O3330:O3331"/>
    <mergeCell ref="X3330:X3331"/>
    <mergeCell ref="Y3330:Y3331"/>
    <mergeCell ref="Z3330:Z3331"/>
    <mergeCell ref="AA3330:AA3331"/>
    <mergeCell ref="AB3330:AB3331"/>
    <mergeCell ref="AB3354:AB3355"/>
    <mergeCell ref="A3356:A3357"/>
    <mergeCell ref="E3356:E3357"/>
    <mergeCell ref="H3356:H3357"/>
    <mergeCell ref="I3356:I3357"/>
    <mergeCell ref="J3356:J3357"/>
    <mergeCell ref="K3356:K3357"/>
    <mergeCell ref="L3356:L3357"/>
    <mergeCell ref="M3356:M3357"/>
    <mergeCell ref="N3356:N3357"/>
    <mergeCell ref="O3356:O3357"/>
    <mergeCell ref="X3356:X3357"/>
    <mergeCell ref="Y3356:Y3357"/>
    <mergeCell ref="Z3356:Z3357"/>
    <mergeCell ref="AA3356:AA3357"/>
    <mergeCell ref="AB3356:AB3357"/>
    <mergeCell ref="A3358:A3359"/>
    <mergeCell ref="E3358:E3359"/>
    <mergeCell ref="H3358:H3359"/>
    <mergeCell ref="I3358:I3359"/>
    <mergeCell ref="J3358:J3359"/>
    <mergeCell ref="K3358:K3359"/>
    <mergeCell ref="L3358:L3359"/>
    <mergeCell ref="M3358:M3359"/>
    <mergeCell ref="N3358:N3359"/>
    <mergeCell ref="O3358:O3359"/>
    <mergeCell ref="X3358:X3359"/>
    <mergeCell ref="Y3358:Y3359"/>
    <mergeCell ref="Z3358:Z3359"/>
    <mergeCell ref="AA3358:AA3359"/>
    <mergeCell ref="AB3358:AB3359"/>
    <mergeCell ref="X3360:X3361"/>
    <mergeCell ref="Y3360:Y3361"/>
    <mergeCell ref="Z3360:Z3361"/>
    <mergeCell ref="AA3360:AA3361"/>
    <mergeCell ref="AB3360:AB3361"/>
    <mergeCell ref="J3360:J3361"/>
    <mergeCell ref="K3360:K3361"/>
    <mergeCell ref="L3360:L3361"/>
    <mergeCell ref="M3360:M3361"/>
    <mergeCell ref="N3360:N3361"/>
    <mergeCell ref="O3360:O3361"/>
    <mergeCell ref="X3354:X3355"/>
    <mergeCell ref="Y3354:Y3355"/>
    <mergeCell ref="Z3354:Z3355"/>
    <mergeCell ref="AA3354:AA3355"/>
    <mergeCell ref="A3362:A3363"/>
    <mergeCell ref="E3362:E3363"/>
    <mergeCell ref="H3362:H3363"/>
    <mergeCell ref="I3362:I3363"/>
    <mergeCell ref="J3362:J3363"/>
    <mergeCell ref="K3362:K3363"/>
    <mergeCell ref="L3362:L3363"/>
    <mergeCell ref="M3362:M3363"/>
    <mergeCell ref="N3362:N3363"/>
    <mergeCell ref="O3362:O3363"/>
    <mergeCell ref="X3362:X3363"/>
    <mergeCell ref="Y3362:Y3363"/>
    <mergeCell ref="Z3362:Z3363"/>
    <mergeCell ref="AA3362:AA3363"/>
    <mergeCell ref="AB3362:AB3363"/>
    <mergeCell ref="A3364:A3365"/>
    <mergeCell ref="E3364:E3365"/>
    <mergeCell ref="H3364:H3365"/>
    <mergeCell ref="I3364:I3365"/>
    <mergeCell ref="J3364:J3365"/>
    <mergeCell ref="K3364:K3365"/>
    <mergeCell ref="L3364:L3365"/>
    <mergeCell ref="M3364:M3365"/>
    <mergeCell ref="N3364:N3365"/>
    <mergeCell ref="O3364:O3365"/>
    <mergeCell ref="X3364:X3365"/>
    <mergeCell ref="Y3364:Y3365"/>
    <mergeCell ref="Z3364:Z3365"/>
    <mergeCell ref="AA3364:AA3365"/>
    <mergeCell ref="AB3364:AB3365"/>
    <mergeCell ref="A3366:A3367"/>
    <mergeCell ref="E3366:E3367"/>
    <mergeCell ref="H3366:H3367"/>
    <mergeCell ref="I3366:I3367"/>
    <mergeCell ref="J3366:J3367"/>
    <mergeCell ref="K3366:K3367"/>
    <mergeCell ref="L3366:L3367"/>
    <mergeCell ref="M3366:M3367"/>
    <mergeCell ref="N3366:N3367"/>
    <mergeCell ref="O3366:O3367"/>
    <mergeCell ref="X3366:X3367"/>
    <mergeCell ref="Y3366:Y3367"/>
    <mergeCell ref="Z3366:Z3367"/>
    <mergeCell ref="AA3366:AA3367"/>
    <mergeCell ref="AB3366:AB3367"/>
    <mergeCell ref="A3368:A3369"/>
    <mergeCell ref="E3368:E3369"/>
    <mergeCell ref="H3368:H3369"/>
    <mergeCell ref="I3368:I3369"/>
    <mergeCell ref="J3368:J3369"/>
    <mergeCell ref="K3368:K3369"/>
    <mergeCell ref="L3368:L3369"/>
    <mergeCell ref="M3368:M3369"/>
    <mergeCell ref="N3368:N3369"/>
    <mergeCell ref="O3368:O3369"/>
    <mergeCell ref="X3368:X3369"/>
    <mergeCell ref="Y3368:Y3369"/>
    <mergeCell ref="Z3368:Z3369"/>
    <mergeCell ref="AA3368:AA3369"/>
    <mergeCell ref="AB3368:AB3369"/>
    <mergeCell ref="A3370:A3371"/>
    <mergeCell ref="E3370:E3371"/>
    <mergeCell ref="H3370:H3371"/>
    <mergeCell ref="I3370:I3371"/>
    <mergeCell ref="J3370:J3371"/>
    <mergeCell ref="K3370:K3371"/>
    <mergeCell ref="L3370:L3371"/>
    <mergeCell ref="M3370:M3371"/>
    <mergeCell ref="N3370:N3371"/>
    <mergeCell ref="O3370:O3371"/>
    <mergeCell ref="X3370:X3371"/>
    <mergeCell ref="Y3370:Y3371"/>
    <mergeCell ref="Z3370:Z3371"/>
    <mergeCell ref="AA3370:AA3371"/>
    <mergeCell ref="AB3370:AB3371"/>
    <mergeCell ref="J3372:J3373"/>
    <mergeCell ref="K3372:K3373"/>
    <mergeCell ref="L3372:L3373"/>
    <mergeCell ref="M3372:M3373"/>
    <mergeCell ref="N3372:N3373"/>
    <mergeCell ref="O3372:O3373"/>
    <mergeCell ref="X3372:X3373"/>
    <mergeCell ref="Y3372:Y3373"/>
    <mergeCell ref="Z3372:Z3373"/>
    <mergeCell ref="AA3372:AA3373"/>
    <mergeCell ref="AB3372:AB3373"/>
    <mergeCell ref="A3372:A3373"/>
    <mergeCell ref="E3372:E3373"/>
    <mergeCell ref="H3372:H3373"/>
    <mergeCell ref="I3372:I3373"/>
    <mergeCell ref="A3374:A3375"/>
    <mergeCell ref="E3374:E3375"/>
    <mergeCell ref="H3374:H3375"/>
    <mergeCell ref="I3374:I3375"/>
    <mergeCell ref="J3374:J3375"/>
    <mergeCell ref="K3374:K3375"/>
    <mergeCell ref="L3374:L3375"/>
    <mergeCell ref="M3374:M3375"/>
    <mergeCell ref="N3374:N3375"/>
    <mergeCell ref="O3374:O3375"/>
    <mergeCell ref="X3374:X3375"/>
    <mergeCell ref="Y3374:Y3375"/>
    <mergeCell ref="Z3374:Z3375"/>
    <mergeCell ref="AA3374:AA3375"/>
    <mergeCell ref="AB3374:AB3375"/>
    <mergeCell ref="A3376:A3377"/>
    <mergeCell ref="E3376:E3377"/>
    <mergeCell ref="H3376:H3377"/>
    <mergeCell ref="I3376:I3377"/>
    <mergeCell ref="J3376:J3377"/>
    <mergeCell ref="K3376:K3377"/>
    <mergeCell ref="L3376:L3377"/>
    <mergeCell ref="M3376:M3377"/>
    <mergeCell ref="N3376:N3377"/>
    <mergeCell ref="O3376:O3377"/>
    <mergeCell ref="X3376:X3377"/>
    <mergeCell ref="Y3376:Y3377"/>
    <mergeCell ref="Z3376:Z3377"/>
    <mergeCell ref="AA3376:AA3377"/>
    <mergeCell ref="AB3376:AB3377"/>
    <mergeCell ref="A3378:A3379"/>
    <mergeCell ref="E3378:E3379"/>
    <mergeCell ref="H3378:H3379"/>
    <mergeCell ref="I3378:I3379"/>
    <mergeCell ref="J3378:J3379"/>
    <mergeCell ref="K3378:K3379"/>
    <mergeCell ref="L3378:L3379"/>
    <mergeCell ref="M3378:M3379"/>
    <mergeCell ref="N3378:N3379"/>
    <mergeCell ref="O3378:O3379"/>
    <mergeCell ref="X3378:X3379"/>
    <mergeCell ref="Y3378:Y3379"/>
    <mergeCell ref="Z3378:Z3379"/>
    <mergeCell ref="AA3378:AA3379"/>
    <mergeCell ref="AB3378:AB3379"/>
    <mergeCell ref="A3210:A3211"/>
    <mergeCell ref="E3210:E3211"/>
    <mergeCell ref="H3210:H3211"/>
    <mergeCell ref="I3210:I3211"/>
    <mergeCell ref="J3210:J3211"/>
    <mergeCell ref="K3210:K3211"/>
    <mergeCell ref="L3210:L3211"/>
    <mergeCell ref="M3210:M3211"/>
    <mergeCell ref="N3210:N3211"/>
    <mergeCell ref="O3210:O3211"/>
    <mergeCell ref="X3210:X3211"/>
    <mergeCell ref="Y3210:Y3211"/>
    <mergeCell ref="Z3210:Z3211"/>
    <mergeCell ref="AA3210:AA3211"/>
    <mergeCell ref="AB3210:AB3211"/>
    <mergeCell ref="A3212:A3213"/>
    <mergeCell ref="E3212:E3213"/>
    <mergeCell ref="H3212:H3213"/>
    <mergeCell ref="I3212:I3213"/>
    <mergeCell ref="J3212:J3213"/>
    <mergeCell ref="K3212:K3213"/>
    <mergeCell ref="L3212:L3213"/>
    <mergeCell ref="M3212:M3213"/>
    <mergeCell ref="N3212:N3213"/>
    <mergeCell ref="O3212:O3213"/>
    <mergeCell ref="X3212:X3213"/>
    <mergeCell ref="Y3212:Y3213"/>
    <mergeCell ref="Z3212:Z3213"/>
    <mergeCell ref="AA3212:AA3213"/>
    <mergeCell ref="AB3212:AB3213"/>
    <mergeCell ref="A3276:A3277"/>
    <mergeCell ref="E3276:E3277"/>
    <mergeCell ref="H3276:H3277"/>
    <mergeCell ref="I3276:I3277"/>
    <mergeCell ref="J3276:J3277"/>
    <mergeCell ref="K3276:K3277"/>
    <mergeCell ref="L3276:L3277"/>
    <mergeCell ref="M3276:M3277"/>
    <mergeCell ref="N3276:N3277"/>
    <mergeCell ref="O3276:O3277"/>
    <mergeCell ref="X3276:X3277"/>
    <mergeCell ref="Y3276:Y3277"/>
    <mergeCell ref="Z3276:Z3277"/>
    <mergeCell ref="AA3276:AA3277"/>
    <mergeCell ref="AB3276:AB3277"/>
    <mergeCell ref="A3268:A3269"/>
    <mergeCell ref="E3268:E3269"/>
    <mergeCell ref="H3268:H3269"/>
    <mergeCell ref="I3268:I3269"/>
    <mergeCell ref="J3268:J3269"/>
    <mergeCell ref="K3268:K3269"/>
    <mergeCell ref="L3268:L3269"/>
    <mergeCell ref="M3268:M3269"/>
    <mergeCell ref="N3268:N3269"/>
    <mergeCell ref="O3268:O3269"/>
    <mergeCell ref="X3268:X3269"/>
    <mergeCell ref="Y3268:Y3269"/>
    <mergeCell ref="Z3268:Z3269"/>
    <mergeCell ref="AA3268:AA3269"/>
    <mergeCell ref="AB3268:AB3269"/>
    <mergeCell ref="A3270:A3271"/>
    <mergeCell ref="E3270:E3271"/>
    <mergeCell ref="H3270:H3271"/>
    <mergeCell ref="I3270:I3271"/>
    <mergeCell ref="AA3344:AA3345"/>
    <mergeCell ref="A3286:A3287"/>
    <mergeCell ref="E3286:E3287"/>
    <mergeCell ref="H3286:H3287"/>
    <mergeCell ref="I3286:I3287"/>
    <mergeCell ref="J3286:J3287"/>
    <mergeCell ref="K3286:K3287"/>
    <mergeCell ref="L3286:L3287"/>
    <mergeCell ref="M3286:M3287"/>
    <mergeCell ref="N3286:N3287"/>
    <mergeCell ref="O3286:O3287"/>
    <mergeCell ref="X3286:X3287"/>
    <mergeCell ref="Y3286:Y3287"/>
    <mergeCell ref="Z3286:Z3287"/>
    <mergeCell ref="AA3286:AA3287"/>
    <mergeCell ref="AB3286:AB3287"/>
    <mergeCell ref="A3280:A3281"/>
    <mergeCell ref="E3280:E3281"/>
    <mergeCell ref="H3280:H3281"/>
    <mergeCell ref="I3280:I3281"/>
    <mergeCell ref="J3280:J3281"/>
    <mergeCell ref="K3280:K3281"/>
    <mergeCell ref="L3280:L3281"/>
    <mergeCell ref="M3280:M3281"/>
    <mergeCell ref="N3280:N3281"/>
    <mergeCell ref="O3280:O3281"/>
    <mergeCell ref="X3280:X3281"/>
    <mergeCell ref="Y3280:Y3281"/>
    <mergeCell ref="Z3280:Z3281"/>
    <mergeCell ref="AA3280:AA3281"/>
    <mergeCell ref="AB3280:AB3281"/>
    <mergeCell ref="A3282:A3283"/>
    <mergeCell ref="E3282:E3283"/>
    <mergeCell ref="A3334:A3335"/>
    <mergeCell ref="E3334:E3335"/>
    <mergeCell ref="H3334:H3335"/>
    <mergeCell ref="I3334:I3335"/>
    <mergeCell ref="J3334:J3335"/>
    <mergeCell ref="K3334:K3335"/>
    <mergeCell ref="L3334:L3335"/>
    <mergeCell ref="M3334:M3335"/>
    <mergeCell ref="N3334:N3335"/>
    <mergeCell ref="A3336:A3337"/>
    <mergeCell ref="E3336:E3337"/>
    <mergeCell ref="H3336:H3337"/>
    <mergeCell ref="I3336:I3337"/>
    <mergeCell ref="J3336:J3337"/>
    <mergeCell ref="K3336:K3337"/>
    <mergeCell ref="L3336:L3337"/>
    <mergeCell ref="M3336:M3337"/>
    <mergeCell ref="N3336:N3337"/>
    <mergeCell ref="O3336:O3337"/>
    <mergeCell ref="X3336:X3337"/>
    <mergeCell ref="Y3336:Y3337"/>
    <mergeCell ref="Z3336:Z3337"/>
    <mergeCell ref="AA3336:AA3337"/>
    <mergeCell ref="AB3344:AB3345"/>
    <mergeCell ref="A3338:A3339"/>
    <mergeCell ref="E3338:E3339"/>
    <mergeCell ref="A3326:A3327"/>
    <mergeCell ref="E3326:E3327"/>
    <mergeCell ref="H3326:H3327"/>
    <mergeCell ref="I3326:I3327"/>
    <mergeCell ref="J3326:J3327"/>
    <mergeCell ref="O3338:O3339"/>
    <mergeCell ref="X3338:X3339"/>
    <mergeCell ref="Y3338:Y3339"/>
    <mergeCell ref="Z3338:Z3339"/>
    <mergeCell ref="AA3338:AA3339"/>
    <mergeCell ref="AB3338:AB3339"/>
    <mergeCell ref="A3332:A3333"/>
    <mergeCell ref="E3332:E3333"/>
    <mergeCell ref="H3332:H3333"/>
    <mergeCell ref="I3332:I3333"/>
    <mergeCell ref="J3332:J3333"/>
    <mergeCell ref="K3332:K3333"/>
    <mergeCell ref="L3332:L3333"/>
    <mergeCell ref="M3332:M3333"/>
    <mergeCell ref="N3332:N3333"/>
    <mergeCell ref="O3332:O3333"/>
    <mergeCell ref="X3332:X3333"/>
    <mergeCell ref="Y3332:Y3333"/>
    <mergeCell ref="Z3332:Z3333"/>
    <mergeCell ref="AA3332:AA3333"/>
    <mergeCell ref="AB3332:AB3333"/>
    <mergeCell ref="A3350:A3351"/>
    <mergeCell ref="E3350:E3351"/>
    <mergeCell ref="H3350:H3351"/>
    <mergeCell ref="I3350:I3351"/>
    <mergeCell ref="J3350:J3351"/>
    <mergeCell ref="K3350:K3351"/>
    <mergeCell ref="L3350:L3351"/>
    <mergeCell ref="M3350:M3351"/>
    <mergeCell ref="N3350:N3351"/>
    <mergeCell ref="O3350:O3351"/>
    <mergeCell ref="X3350:X3351"/>
    <mergeCell ref="Y3350:Y3351"/>
    <mergeCell ref="Z3350:Z3351"/>
    <mergeCell ref="AA3350:AA3351"/>
    <mergeCell ref="AB3350:AB3351"/>
    <mergeCell ref="O3334:O3335"/>
    <mergeCell ref="X3334:X3335"/>
    <mergeCell ref="Y3334:Y3335"/>
    <mergeCell ref="Z3334:Z3335"/>
    <mergeCell ref="AA3334:AA3335"/>
    <mergeCell ref="AB3334:AB3335"/>
    <mergeCell ref="A3346:A3347"/>
    <mergeCell ref="E3346:E3347"/>
    <mergeCell ref="H3346:H3347"/>
    <mergeCell ref="I3346:I3347"/>
    <mergeCell ref="J3346:J3347"/>
    <mergeCell ref="K3346:K3347"/>
    <mergeCell ref="L3346:L3347"/>
    <mergeCell ref="M3346:M3347"/>
    <mergeCell ref="N3346:N3347"/>
    <mergeCell ref="O3346:O3347"/>
    <mergeCell ref="X3346:X3347"/>
    <mergeCell ref="Y3346:Y3347"/>
    <mergeCell ref="Z3346:Z3347"/>
    <mergeCell ref="AA3346:AA3347"/>
    <mergeCell ref="K3344:K3345"/>
    <mergeCell ref="L3344:L3345"/>
    <mergeCell ref="M3344:M3345"/>
    <mergeCell ref="N3344:N3345"/>
    <mergeCell ref="O3344:O3345"/>
    <mergeCell ref="X3344:X3345"/>
    <mergeCell ref="Y3344:Y3345"/>
    <mergeCell ref="Z3344:Z3345"/>
    <mergeCell ref="AB3336:AB3337"/>
    <mergeCell ref="A3352:A3353"/>
    <mergeCell ref="E3352:E3353"/>
    <mergeCell ref="H3352:H3353"/>
    <mergeCell ref="I3352:I3353"/>
    <mergeCell ref="J3352:J3353"/>
    <mergeCell ref="K3352:K3353"/>
    <mergeCell ref="L3352:L3353"/>
    <mergeCell ref="M3352:M3353"/>
    <mergeCell ref="N3352:N3353"/>
    <mergeCell ref="O3352:O3353"/>
    <mergeCell ref="X3352:X3353"/>
    <mergeCell ref="Y3352:Y3353"/>
    <mergeCell ref="Z3352:Z3353"/>
    <mergeCell ref="AA3352:AA3353"/>
    <mergeCell ref="AB3352:AB3353"/>
    <mergeCell ref="A3344:A3345"/>
    <mergeCell ref="E3344:E3345"/>
    <mergeCell ref="H3344:H3345"/>
    <mergeCell ref="I3344:I3345"/>
    <mergeCell ref="J3344:J3345"/>
    <mergeCell ref="A3404:A3405"/>
    <mergeCell ref="E3404:E3405"/>
    <mergeCell ref="H3404:H3405"/>
    <mergeCell ref="I3404:I3405"/>
    <mergeCell ref="J3404:J3405"/>
    <mergeCell ref="K3404:K3405"/>
    <mergeCell ref="L3404:L3405"/>
    <mergeCell ref="M3404:M3405"/>
    <mergeCell ref="N3404:N3405"/>
    <mergeCell ref="O3404:O3405"/>
    <mergeCell ref="X3404:X3405"/>
    <mergeCell ref="Y3404:Y3405"/>
    <mergeCell ref="Z3404:Z3405"/>
    <mergeCell ref="AA3404:AA3405"/>
    <mergeCell ref="AB3404:AB3405"/>
    <mergeCell ref="A3348:A3349"/>
    <mergeCell ref="E3348:E3349"/>
    <mergeCell ref="H3348:H3349"/>
    <mergeCell ref="I3348:I3349"/>
    <mergeCell ref="J3348:J3349"/>
    <mergeCell ref="K3348:K3349"/>
    <mergeCell ref="L3348:L3349"/>
    <mergeCell ref="M3348:M3349"/>
    <mergeCell ref="N3348:N3349"/>
    <mergeCell ref="O3348:O3349"/>
    <mergeCell ref="X3348:X3349"/>
    <mergeCell ref="Y3348:Y3349"/>
    <mergeCell ref="Z3348:Z3349"/>
    <mergeCell ref="AA3348:AA3349"/>
    <mergeCell ref="AB3348:AB3349"/>
    <mergeCell ref="AB3346:AB3347"/>
    <mergeCell ref="A3340:A3341"/>
    <mergeCell ref="E3340:E3341"/>
    <mergeCell ref="H3340:H3341"/>
    <mergeCell ref="I3340:I3341"/>
    <mergeCell ref="J3340:J3341"/>
    <mergeCell ref="H3338:H3339"/>
    <mergeCell ref="I3338:I3339"/>
    <mergeCell ref="J3338:J3339"/>
    <mergeCell ref="K3338:K3339"/>
    <mergeCell ref="L3338:L3339"/>
    <mergeCell ref="M3338:M3339"/>
    <mergeCell ref="N3338:N3339"/>
    <mergeCell ref="A3406:A3407"/>
    <mergeCell ref="E3406:E3407"/>
    <mergeCell ref="H3406:H3407"/>
    <mergeCell ref="I3406:I3407"/>
    <mergeCell ref="J3406:J3407"/>
    <mergeCell ref="K3406:K3407"/>
    <mergeCell ref="L3406:L3407"/>
    <mergeCell ref="M3406:M3407"/>
    <mergeCell ref="N3406:N3407"/>
    <mergeCell ref="O3406:O3407"/>
    <mergeCell ref="X3406:X3407"/>
    <mergeCell ref="Y3406:Y3407"/>
    <mergeCell ref="Z3406:Z3407"/>
    <mergeCell ref="AA3406:AA3407"/>
    <mergeCell ref="AB3406:AB3407"/>
    <mergeCell ref="A3466:A3467"/>
    <mergeCell ref="E3466:E3467"/>
    <mergeCell ref="H3466:H3467"/>
    <mergeCell ref="I3466:I3467"/>
    <mergeCell ref="J3466:J3467"/>
    <mergeCell ref="K3466:K3467"/>
    <mergeCell ref="L3466:L3467"/>
    <mergeCell ref="M3466:M3467"/>
    <mergeCell ref="N3466:N3467"/>
    <mergeCell ref="O3466:O3467"/>
    <mergeCell ref="X3466:X3467"/>
    <mergeCell ref="Y3466:Y3467"/>
    <mergeCell ref="Z3466:Z3467"/>
    <mergeCell ref="AA3466:AA3467"/>
    <mergeCell ref="AB3466:AB3467"/>
    <mergeCell ref="A3408:A3409"/>
    <mergeCell ref="E3408:E3409"/>
    <mergeCell ref="H3408:H3409"/>
    <mergeCell ref="I3408:I3409"/>
    <mergeCell ref="J3408:J3409"/>
    <mergeCell ref="K3408:K3409"/>
    <mergeCell ref="L3408:L3409"/>
    <mergeCell ref="M3408:M3409"/>
    <mergeCell ref="N3408:N3409"/>
    <mergeCell ref="O3408:O3409"/>
    <mergeCell ref="X3408:X3409"/>
    <mergeCell ref="Y3408:Y3409"/>
    <mergeCell ref="Z3408:Z3409"/>
    <mergeCell ref="AA3408:AA3409"/>
    <mergeCell ref="AB3408:AB3409"/>
    <mergeCell ref="A3410:A3411"/>
    <mergeCell ref="E3410:E3411"/>
    <mergeCell ref="H3410:H3411"/>
    <mergeCell ref="I3410:I3411"/>
    <mergeCell ref="J3410:J3411"/>
    <mergeCell ref="K3410:K3411"/>
    <mergeCell ref="L3410:L3411"/>
    <mergeCell ref="M3410:M3411"/>
    <mergeCell ref="N3410:N3411"/>
    <mergeCell ref="A3414:A3415"/>
    <mergeCell ref="E3414:E3415"/>
    <mergeCell ref="H3414:H3415"/>
    <mergeCell ref="I3414:I3415"/>
    <mergeCell ref="J3414:J3415"/>
    <mergeCell ref="K3414:K3415"/>
    <mergeCell ref="L3414:L3415"/>
    <mergeCell ref="M3414:M3415"/>
    <mergeCell ref="N3414:N3415"/>
    <mergeCell ref="O3414:O3415"/>
    <mergeCell ref="A3468:A3469"/>
    <mergeCell ref="E3468:E3469"/>
    <mergeCell ref="H3468:H3469"/>
    <mergeCell ref="I3468:I3469"/>
    <mergeCell ref="J3468:J3469"/>
    <mergeCell ref="K3468:K3469"/>
    <mergeCell ref="L3468:L3469"/>
    <mergeCell ref="M3468:M3469"/>
    <mergeCell ref="N3468:N3469"/>
    <mergeCell ref="O3468:O3469"/>
    <mergeCell ref="X3468:X3469"/>
    <mergeCell ref="Y3468:Y3469"/>
    <mergeCell ref="Z3468:Z3469"/>
    <mergeCell ref="AA3468:AA3469"/>
    <mergeCell ref="AB3468:AB3469"/>
    <mergeCell ref="A3470:A3471"/>
    <mergeCell ref="E3470:E3471"/>
    <mergeCell ref="H3470:H3471"/>
    <mergeCell ref="I3470:I3471"/>
    <mergeCell ref="J3470:J3471"/>
    <mergeCell ref="K3470:K3471"/>
    <mergeCell ref="L3470:L3471"/>
    <mergeCell ref="M3470:M3471"/>
    <mergeCell ref="N3470:N3471"/>
    <mergeCell ref="O3470:O3471"/>
    <mergeCell ref="X3470:X3471"/>
    <mergeCell ref="Y3470:Y3471"/>
    <mergeCell ref="Z3470:Z3471"/>
    <mergeCell ref="AA3470:AA3471"/>
    <mergeCell ref="AB3470:AB3471"/>
    <mergeCell ref="A3472:A3473"/>
    <mergeCell ref="E3472:E3473"/>
    <mergeCell ref="H3472:H3473"/>
    <mergeCell ref="I3472:I3473"/>
    <mergeCell ref="J3472:J3473"/>
    <mergeCell ref="K3472:K3473"/>
    <mergeCell ref="L3472:L3473"/>
    <mergeCell ref="M3472:M3473"/>
    <mergeCell ref="N3472:N3473"/>
    <mergeCell ref="O3472:O3473"/>
    <mergeCell ref="X3472:X3473"/>
    <mergeCell ref="Y3472:Y3473"/>
    <mergeCell ref="Z3472:Z3473"/>
    <mergeCell ref="AA3472:AA3473"/>
    <mergeCell ref="AB3472:AB3473"/>
    <mergeCell ref="A3474:A3475"/>
    <mergeCell ref="E3474:E3475"/>
    <mergeCell ref="H3474:H3475"/>
    <mergeCell ref="I3474:I3475"/>
    <mergeCell ref="J3474:J3475"/>
    <mergeCell ref="K3474:K3475"/>
    <mergeCell ref="L3474:L3475"/>
    <mergeCell ref="M3474:M3475"/>
    <mergeCell ref="N3474:N3475"/>
    <mergeCell ref="O3474:O3475"/>
    <mergeCell ref="X3474:X3475"/>
    <mergeCell ref="Y3474:Y3475"/>
    <mergeCell ref="Z3474:Z3475"/>
    <mergeCell ref="AA3474:AA3475"/>
    <mergeCell ref="AB3474:AB3475"/>
    <mergeCell ref="A3476:A3477"/>
    <mergeCell ref="E3476:E3477"/>
    <mergeCell ref="H3476:H3477"/>
    <mergeCell ref="I3476:I3477"/>
    <mergeCell ref="J3476:J3477"/>
    <mergeCell ref="K3476:K3477"/>
    <mergeCell ref="L3476:L3477"/>
    <mergeCell ref="M3476:M3477"/>
    <mergeCell ref="N3476:N3477"/>
    <mergeCell ref="O3476:O3477"/>
    <mergeCell ref="X3476:X3477"/>
    <mergeCell ref="Y3476:Y3477"/>
    <mergeCell ref="Z3476:Z3477"/>
    <mergeCell ref="AA3476:AA3477"/>
    <mergeCell ref="AB3476:AB3477"/>
    <mergeCell ref="A3478:A3479"/>
    <mergeCell ref="E3478:E3479"/>
    <mergeCell ref="H3478:H3479"/>
    <mergeCell ref="I3478:I3479"/>
    <mergeCell ref="J3478:J3479"/>
    <mergeCell ref="K3478:K3479"/>
    <mergeCell ref="L3478:L3479"/>
    <mergeCell ref="M3478:M3479"/>
    <mergeCell ref="N3478:N3479"/>
    <mergeCell ref="O3478:O3479"/>
    <mergeCell ref="X3478:X3479"/>
    <mergeCell ref="Y3478:Y3479"/>
    <mergeCell ref="Z3478:Z3479"/>
    <mergeCell ref="AA3478:AA3479"/>
    <mergeCell ref="AB3478:AB3479"/>
    <mergeCell ref="A3480:A3481"/>
    <mergeCell ref="E3480:E3481"/>
    <mergeCell ref="H3480:H3481"/>
    <mergeCell ref="I3480:I3481"/>
    <mergeCell ref="J3480:J3481"/>
    <mergeCell ref="K3480:K3481"/>
    <mergeCell ref="L3480:L3481"/>
    <mergeCell ref="M3480:M3481"/>
    <mergeCell ref="N3480:N3481"/>
    <mergeCell ref="O3480:O3481"/>
    <mergeCell ref="X3480:X3481"/>
    <mergeCell ref="Y3480:Y3481"/>
    <mergeCell ref="Z3480:Z3481"/>
    <mergeCell ref="AA3480:AA3481"/>
    <mergeCell ref="AB3480:AB3481"/>
    <mergeCell ref="A3482:A3483"/>
    <mergeCell ref="E3482:E3483"/>
    <mergeCell ref="H3482:H3483"/>
    <mergeCell ref="I3482:I3483"/>
    <mergeCell ref="J3482:J3483"/>
    <mergeCell ref="K3482:K3483"/>
    <mergeCell ref="L3482:L3483"/>
    <mergeCell ref="M3482:M3483"/>
    <mergeCell ref="N3482:N3483"/>
    <mergeCell ref="O3482:O3483"/>
    <mergeCell ref="X3482:X3483"/>
    <mergeCell ref="Y3482:Y3483"/>
    <mergeCell ref="Z3482:Z3483"/>
    <mergeCell ref="AA3482:AA3483"/>
    <mergeCell ref="AB3482:AB3483"/>
    <mergeCell ref="A3484:A3485"/>
    <mergeCell ref="E3484:E3485"/>
    <mergeCell ref="H3484:H3485"/>
    <mergeCell ref="I3484:I3485"/>
    <mergeCell ref="J3484:J3485"/>
    <mergeCell ref="K3484:K3485"/>
    <mergeCell ref="L3484:L3485"/>
    <mergeCell ref="M3484:M3485"/>
    <mergeCell ref="N3484:N3485"/>
    <mergeCell ref="O3484:O3485"/>
    <mergeCell ref="X3484:X3485"/>
    <mergeCell ref="Y3484:Y3485"/>
    <mergeCell ref="Z3484:Z3485"/>
    <mergeCell ref="AA3484:AA3485"/>
    <mergeCell ref="AB3484:AB3485"/>
    <mergeCell ref="A3494:A3495"/>
    <mergeCell ref="E3494:E3495"/>
    <mergeCell ref="H3494:H3495"/>
    <mergeCell ref="I3494:I3495"/>
    <mergeCell ref="J3494:J3495"/>
    <mergeCell ref="K3494:K3495"/>
    <mergeCell ref="L3494:L3495"/>
    <mergeCell ref="M3494:M3495"/>
    <mergeCell ref="N3494:N3495"/>
    <mergeCell ref="O3494:O3495"/>
    <mergeCell ref="X3494:X3495"/>
    <mergeCell ref="Y3494:Y3495"/>
    <mergeCell ref="Z3494:Z3495"/>
    <mergeCell ref="AA3494:AA3495"/>
    <mergeCell ref="AB3494:AB3495"/>
    <mergeCell ref="A3492:A3493"/>
    <mergeCell ref="E3492:E3493"/>
    <mergeCell ref="H3492:H3493"/>
    <mergeCell ref="I3492:I3493"/>
    <mergeCell ref="J3492:J3493"/>
    <mergeCell ref="K3492:K3493"/>
    <mergeCell ref="L3492:L3493"/>
    <mergeCell ref="M3492:M3493"/>
    <mergeCell ref="N3492:N3493"/>
    <mergeCell ref="A3506:A3507"/>
    <mergeCell ref="E3506:E3507"/>
    <mergeCell ref="H3506:H3507"/>
    <mergeCell ref="I3506:I3507"/>
    <mergeCell ref="J3506:J3507"/>
    <mergeCell ref="K3506:K3507"/>
    <mergeCell ref="L3506:L3507"/>
    <mergeCell ref="M3506:M3507"/>
    <mergeCell ref="N3506:N3507"/>
    <mergeCell ref="K3500:K3501"/>
    <mergeCell ref="L3500:L3501"/>
    <mergeCell ref="M3500:M3501"/>
    <mergeCell ref="N3500:N3501"/>
    <mergeCell ref="O3500:O3501"/>
    <mergeCell ref="X3500:X3501"/>
    <mergeCell ref="Y3500:Y3501"/>
    <mergeCell ref="Z3500:Z3501"/>
    <mergeCell ref="AA3500:AA3501"/>
    <mergeCell ref="AB3500:AB3501"/>
    <mergeCell ref="A3502:A3503"/>
    <mergeCell ref="E3502:E3503"/>
    <mergeCell ref="H3502:H3503"/>
    <mergeCell ref="I3502:I3503"/>
    <mergeCell ref="J3502:J3503"/>
    <mergeCell ref="K3502:K3503"/>
    <mergeCell ref="L3502:L3503"/>
    <mergeCell ref="M3502:M3503"/>
    <mergeCell ref="N3502:N3503"/>
    <mergeCell ref="O3502:O3503"/>
    <mergeCell ref="X3502:X3503"/>
    <mergeCell ref="Y3502:Y3503"/>
    <mergeCell ref="Z3502:Z3503"/>
    <mergeCell ref="AA3502:AA3503"/>
    <mergeCell ref="AB3502:AB3503"/>
    <mergeCell ref="X3504:X3505"/>
    <mergeCell ref="Y3504:Y3505"/>
    <mergeCell ref="Z3504:Z3505"/>
    <mergeCell ref="X3496:X3497"/>
    <mergeCell ref="Y3496:Y3497"/>
    <mergeCell ref="Z3496:Z3497"/>
    <mergeCell ref="Y3512:Y3513"/>
    <mergeCell ref="Z3512:Z3513"/>
    <mergeCell ref="AA3512:AA3513"/>
    <mergeCell ref="AB3512:AB3513"/>
    <mergeCell ref="A3508:A3509"/>
    <mergeCell ref="E3508:E3509"/>
    <mergeCell ref="H3508:H3509"/>
    <mergeCell ref="I3508:I3509"/>
    <mergeCell ref="J3508:J3509"/>
    <mergeCell ref="K3508:K3509"/>
    <mergeCell ref="L3508:L3509"/>
    <mergeCell ref="M3508:M3509"/>
    <mergeCell ref="N3508:N3509"/>
    <mergeCell ref="O3508:O3509"/>
    <mergeCell ref="X3508:X3509"/>
    <mergeCell ref="Y3508:Y3509"/>
    <mergeCell ref="Z3508:Z3509"/>
    <mergeCell ref="AA3508:AA3509"/>
    <mergeCell ref="AB3508:AB3509"/>
    <mergeCell ref="L3516:L3517"/>
    <mergeCell ref="M3516:M3517"/>
    <mergeCell ref="N3516:N3517"/>
    <mergeCell ref="O3516:O3517"/>
    <mergeCell ref="X3516:X3517"/>
    <mergeCell ref="Y3516:Y3517"/>
    <mergeCell ref="Z3516:Z3517"/>
    <mergeCell ref="AA3516:AA3517"/>
    <mergeCell ref="AB3516:AB3517"/>
    <mergeCell ref="A3510:A3511"/>
    <mergeCell ref="E3510:E3511"/>
    <mergeCell ref="H3510:H3511"/>
    <mergeCell ref="I3510:I3511"/>
    <mergeCell ref="J3510:J3511"/>
    <mergeCell ref="K3510:K3511"/>
    <mergeCell ref="L3510:L3511"/>
    <mergeCell ref="M3510:M3511"/>
    <mergeCell ref="N3510:N3511"/>
    <mergeCell ref="O3510:O3511"/>
    <mergeCell ref="X3510:X3511"/>
    <mergeCell ref="Y3510:Y3511"/>
    <mergeCell ref="Z3510:Z3511"/>
    <mergeCell ref="AA3510:AA3511"/>
    <mergeCell ref="AB3510:AB3511"/>
    <mergeCell ref="A3512:A3513"/>
    <mergeCell ref="E3512:E3513"/>
    <mergeCell ref="H3512:H3513"/>
    <mergeCell ref="I3512:I3513"/>
    <mergeCell ref="J3512:J3513"/>
    <mergeCell ref="K3512:K3513"/>
    <mergeCell ref="L3512:L3513"/>
    <mergeCell ref="M3512:M3513"/>
    <mergeCell ref="N3512:N3513"/>
    <mergeCell ref="O3512:O3513"/>
    <mergeCell ref="X3512:X3513"/>
    <mergeCell ref="A3514:A3515"/>
    <mergeCell ref="E3514:E3515"/>
    <mergeCell ref="H3514:H3515"/>
    <mergeCell ref="I3514:I3515"/>
    <mergeCell ref="J3514:J3515"/>
    <mergeCell ref="K3514:K3515"/>
    <mergeCell ref="L3514:L3515"/>
    <mergeCell ref="M3514:M3515"/>
    <mergeCell ref="N3514:N3515"/>
    <mergeCell ref="O3514:O3515"/>
    <mergeCell ref="X3514:X3515"/>
    <mergeCell ref="Y3514:Y3515"/>
    <mergeCell ref="Z3514:Z3515"/>
    <mergeCell ref="AA3514:AA3515"/>
    <mergeCell ref="AB3514:AB3515"/>
    <mergeCell ref="Y3526:Y3527"/>
    <mergeCell ref="Z3526:Z3527"/>
    <mergeCell ref="AA3526:AA3527"/>
    <mergeCell ref="AB3526:AB3527"/>
    <mergeCell ref="A3516:A3517"/>
    <mergeCell ref="E3516:E3517"/>
    <mergeCell ref="H3516:H3517"/>
    <mergeCell ref="I3516:I3517"/>
    <mergeCell ref="J3516:J3517"/>
    <mergeCell ref="K3516:K3517"/>
    <mergeCell ref="AB3524:AB3525"/>
    <mergeCell ref="A3526:A3527"/>
    <mergeCell ref="E3526:E3527"/>
    <mergeCell ref="H3526:H3527"/>
    <mergeCell ref="I3526:I3527"/>
    <mergeCell ref="J3526:J3527"/>
    <mergeCell ref="K3526:K3527"/>
    <mergeCell ref="L3526:L3527"/>
    <mergeCell ref="M3526:M3527"/>
    <mergeCell ref="N3526:N3527"/>
    <mergeCell ref="O3526:O3527"/>
    <mergeCell ref="X3526:X3527"/>
    <mergeCell ref="A3522:A3523"/>
    <mergeCell ref="E3522:E3523"/>
    <mergeCell ref="H3522:H3523"/>
    <mergeCell ref="I3522:I3523"/>
    <mergeCell ref="J3522:J3523"/>
    <mergeCell ref="Y3536:Y3537"/>
    <mergeCell ref="Z3536:Z3537"/>
    <mergeCell ref="AA3536:AA3537"/>
    <mergeCell ref="AB3536:AB3537"/>
    <mergeCell ref="A3528:A3529"/>
    <mergeCell ref="E3528:E3529"/>
    <mergeCell ref="H3528:H3529"/>
    <mergeCell ref="I3528:I3529"/>
    <mergeCell ref="J3528:J3529"/>
    <mergeCell ref="K3528:K3529"/>
    <mergeCell ref="L3528:L3529"/>
    <mergeCell ref="M3528:M3529"/>
    <mergeCell ref="N3528:N3529"/>
    <mergeCell ref="O3528:O3529"/>
    <mergeCell ref="X3528:X3529"/>
    <mergeCell ref="Y3528:Y3529"/>
    <mergeCell ref="Z3528:Z3529"/>
    <mergeCell ref="AA3528:AA3529"/>
    <mergeCell ref="AB3528:AB3529"/>
    <mergeCell ref="A3530:A3531"/>
    <mergeCell ref="E3530:E3531"/>
    <mergeCell ref="H3530:H3531"/>
    <mergeCell ref="I3530:I3531"/>
    <mergeCell ref="J3530:J3531"/>
    <mergeCell ref="K3530:K3531"/>
    <mergeCell ref="L3530:L3531"/>
    <mergeCell ref="M3530:M3531"/>
    <mergeCell ref="N3530:N3531"/>
    <mergeCell ref="O3532:O3533"/>
    <mergeCell ref="X3532:X3533"/>
    <mergeCell ref="A3518:A3519"/>
    <mergeCell ref="E3518:E3519"/>
    <mergeCell ref="H3518:H3519"/>
    <mergeCell ref="I3518:I3519"/>
    <mergeCell ref="J3518:J3519"/>
    <mergeCell ref="K3518:K3519"/>
    <mergeCell ref="L3518:L3519"/>
    <mergeCell ref="M3518:M3519"/>
    <mergeCell ref="N3518:N3519"/>
    <mergeCell ref="O3518:O3519"/>
    <mergeCell ref="X3518:X3519"/>
    <mergeCell ref="Y3518:Y3519"/>
    <mergeCell ref="Z3518:Z3519"/>
    <mergeCell ref="AA3518:AA3519"/>
    <mergeCell ref="AB3518:AB3519"/>
    <mergeCell ref="O3530:O3531"/>
    <mergeCell ref="A3534:A3535"/>
    <mergeCell ref="E3534:E3535"/>
    <mergeCell ref="A3532:A3533"/>
    <mergeCell ref="E3532:E3533"/>
    <mergeCell ref="H3532:H3533"/>
    <mergeCell ref="I3532:I3533"/>
    <mergeCell ref="J3532:J3533"/>
    <mergeCell ref="K3532:K3533"/>
    <mergeCell ref="L3532:L3533"/>
    <mergeCell ref="M3532:M3533"/>
    <mergeCell ref="N3532:N3533"/>
    <mergeCell ref="A3524:A3525"/>
    <mergeCell ref="E3524:E3525"/>
    <mergeCell ref="H3524:H3525"/>
    <mergeCell ref="I3524:I3525"/>
    <mergeCell ref="J3524:J3525"/>
    <mergeCell ref="K3524:K3525"/>
    <mergeCell ref="L3524:L3525"/>
    <mergeCell ref="O3538:O3539"/>
    <mergeCell ref="X3538:X3539"/>
    <mergeCell ref="Y3538:Y3539"/>
    <mergeCell ref="Z3538:Z3539"/>
    <mergeCell ref="AA3538:AA3539"/>
    <mergeCell ref="AB3538:AB3539"/>
    <mergeCell ref="H3534:H3535"/>
    <mergeCell ref="I3534:I3535"/>
    <mergeCell ref="J3534:J3535"/>
    <mergeCell ref="K3534:K3535"/>
    <mergeCell ref="L3534:L3535"/>
    <mergeCell ref="M3534:M3535"/>
    <mergeCell ref="N3534:N3535"/>
    <mergeCell ref="O3534:O3535"/>
    <mergeCell ref="X3534:X3535"/>
    <mergeCell ref="Y3534:Y3535"/>
    <mergeCell ref="Z3534:Z3535"/>
    <mergeCell ref="AA3534:AA3535"/>
    <mergeCell ref="AB3534:AB3535"/>
    <mergeCell ref="Y3532:Y3533"/>
    <mergeCell ref="Z3532:Z3533"/>
    <mergeCell ref="AA3532:AA3533"/>
    <mergeCell ref="AB3532:AB3533"/>
    <mergeCell ref="X3520:X3521"/>
    <mergeCell ref="Y3520:Y3521"/>
    <mergeCell ref="Z3520:Z3521"/>
    <mergeCell ref="AA3520:AA3521"/>
    <mergeCell ref="A3540:A3541"/>
    <mergeCell ref="E3540:E3541"/>
    <mergeCell ref="H3540:H3541"/>
    <mergeCell ref="I3540:I3541"/>
    <mergeCell ref="J3540:J3541"/>
    <mergeCell ref="K3540:K3541"/>
    <mergeCell ref="L3540:L3541"/>
    <mergeCell ref="M3540:M3541"/>
    <mergeCell ref="N3540:N3541"/>
    <mergeCell ref="O3540:O3541"/>
    <mergeCell ref="X3540:X3541"/>
    <mergeCell ref="Y3540:Y3541"/>
    <mergeCell ref="Z3540:Z3541"/>
    <mergeCell ref="AA3540:AA3541"/>
    <mergeCell ref="AB3540:AB3541"/>
    <mergeCell ref="A3538:A3539"/>
    <mergeCell ref="E3538:E3539"/>
    <mergeCell ref="H3538:H3539"/>
    <mergeCell ref="I3538:I3539"/>
    <mergeCell ref="J3538:J3539"/>
    <mergeCell ref="K3538:K3539"/>
    <mergeCell ref="L3538:L3539"/>
    <mergeCell ref="M3538:M3539"/>
    <mergeCell ref="N3538:N3539"/>
    <mergeCell ref="A3536:A3537"/>
    <mergeCell ref="E3536:E3537"/>
    <mergeCell ref="H3536:H3537"/>
    <mergeCell ref="I3536:I3537"/>
    <mergeCell ref="J3536:J3537"/>
    <mergeCell ref="K3536:K3537"/>
    <mergeCell ref="L3536:L3537"/>
    <mergeCell ref="M3536:M3537"/>
    <mergeCell ref="N3536:N3537"/>
    <mergeCell ref="O3536:O3537"/>
    <mergeCell ref="X3536:X3537"/>
    <mergeCell ref="A3710:A3711"/>
    <mergeCell ref="E3710:E3711"/>
    <mergeCell ref="H3710:H3711"/>
    <mergeCell ref="I3710:I3711"/>
    <mergeCell ref="J3710:J3711"/>
    <mergeCell ref="K3710:K3711"/>
    <mergeCell ref="L3710:L3711"/>
    <mergeCell ref="M3710:M3711"/>
    <mergeCell ref="N3710:N3711"/>
    <mergeCell ref="O3710:O3711"/>
    <mergeCell ref="X3710:X3711"/>
    <mergeCell ref="Y3710:Y3711"/>
    <mergeCell ref="Z3710:Z3711"/>
    <mergeCell ref="AA3710:AA3711"/>
    <mergeCell ref="AB3710:AB3711"/>
    <mergeCell ref="A3712:A3713"/>
    <mergeCell ref="E3712:E3713"/>
    <mergeCell ref="H3712:H3713"/>
    <mergeCell ref="I3712:I3713"/>
    <mergeCell ref="J3712:J3713"/>
    <mergeCell ref="K3712:K3713"/>
    <mergeCell ref="L3712:L3713"/>
    <mergeCell ref="M3712:M3713"/>
    <mergeCell ref="N3712:N3713"/>
    <mergeCell ref="O3712:O3713"/>
    <mergeCell ref="X3712:X3713"/>
    <mergeCell ref="Y3712:Y3713"/>
    <mergeCell ref="Z3712:Z3713"/>
    <mergeCell ref="AA3712:AA3713"/>
    <mergeCell ref="AB3712:AB3713"/>
    <mergeCell ref="A3714:A3715"/>
    <mergeCell ref="E3714:E3715"/>
    <mergeCell ref="H3714:H3715"/>
    <mergeCell ref="I3714:I3715"/>
    <mergeCell ref="J3714:J3715"/>
    <mergeCell ref="K3714:K3715"/>
    <mergeCell ref="L3714:L3715"/>
    <mergeCell ref="M3714:M3715"/>
    <mergeCell ref="N3714:N3715"/>
    <mergeCell ref="O3714:O3715"/>
    <mergeCell ref="X3714:X3715"/>
    <mergeCell ref="Y3714:Y3715"/>
    <mergeCell ref="Z3714:Z3715"/>
    <mergeCell ref="AA3714:AA3715"/>
    <mergeCell ref="AB3714:AB3715"/>
    <mergeCell ref="A3716:A3717"/>
    <mergeCell ref="E3716:E3717"/>
    <mergeCell ref="H3716:H3717"/>
    <mergeCell ref="I3716:I3717"/>
    <mergeCell ref="J3716:J3717"/>
    <mergeCell ref="K3716:K3717"/>
    <mergeCell ref="L3716:L3717"/>
    <mergeCell ref="M3716:M3717"/>
    <mergeCell ref="N3716:N3717"/>
    <mergeCell ref="O3716:O3717"/>
    <mergeCell ref="X3716:X3717"/>
    <mergeCell ref="Y3716:Y3717"/>
    <mergeCell ref="Z3716:Z3717"/>
    <mergeCell ref="AA3716:AA3717"/>
    <mergeCell ref="AB3716:AB3717"/>
    <mergeCell ref="A3718:A3719"/>
    <mergeCell ref="E3718:E3719"/>
    <mergeCell ref="H3718:H3719"/>
    <mergeCell ref="I3718:I3719"/>
    <mergeCell ref="J3718:J3719"/>
    <mergeCell ref="K3718:K3719"/>
    <mergeCell ref="L3718:L3719"/>
    <mergeCell ref="M3718:M3719"/>
    <mergeCell ref="N3718:N3719"/>
    <mergeCell ref="O3718:O3719"/>
    <mergeCell ref="X3718:X3719"/>
    <mergeCell ref="Y3718:Y3719"/>
    <mergeCell ref="Z3718:Z3719"/>
    <mergeCell ref="AA3718:AA3719"/>
    <mergeCell ref="AB3718:AB3719"/>
    <mergeCell ref="A3720:A3721"/>
    <mergeCell ref="E3720:E3721"/>
    <mergeCell ref="H3720:H3721"/>
    <mergeCell ref="I3720:I3721"/>
    <mergeCell ref="J3720:J3721"/>
    <mergeCell ref="K3720:K3721"/>
    <mergeCell ref="L3720:L3721"/>
    <mergeCell ref="M3720:M3721"/>
    <mergeCell ref="N3720:N3721"/>
    <mergeCell ref="O3720:O3721"/>
    <mergeCell ref="X3720:X3721"/>
    <mergeCell ref="Y3720:Y3721"/>
    <mergeCell ref="Z3720:Z3721"/>
    <mergeCell ref="AA3720:AA3721"/>
    <mergeCell ref="AB3720:AB3721"/>
    <mergeCell ref="A3722:A3723"/>
    <mergeCell ref="E3722:E3723"/>
    <mergeCell ref="H3722:H3723"/>
    <mergeCell ref="I3722:I3723"/>
    <mergeCell ref="J3722:J3723"/>
    <mergeCell ref="K3722:K3723"/>
    <mergeCell ref="L3722:L3723"/>
    <mergeCell ref="M3722:M3723"/>
    <mergeCell ref="N3722:N3723"/>
    <mergeCell ref="O3722:O3723"/>
    <mergeCell ref="X3722:X3723"/>
    <mergeCell ref="Y3722:Y3723"/>
    <mergeCell ref="Z3722:Z3723"/>
    <mergeCell ref="AA3722:AA3723"/>
    <mergeCell ref="AB3722:AB3723"/>
    <mergeCell ref="A3724:A3725"/>
    <mergeCell ref="E3724:E3725"/>
    <mergeCell ref="H3724:H3725"/>
    <mergeCell ref="I3724:I3725"/>
    <mergeCell ref="J3724:J3725"/>
    <mergeCell ref="K3724:K3725"/>
    <mergeCell ref="L3724:L3725"/>
    <mergeCell ref="M3724:M3725"/>
    <mergeCell ref="N3724:N3725"/>
    <mergeCell ref="O3724:O3725"/>
    <mergeCell ref="X3724:X3725"/>
    <mergeCell ref="Y3724:Y3725"/>
    <mergeCell ref="Z3724:Z3725"/>
    <mergeCell ref="AA3724:AA3725"/>
    <mergeCell ref="AB3724:AB3725"/>
    <mergeCell ref="A3726:A3727"/>
    <mergeCell ref="E3726:E3727"/>
    <mergeCell ref="H3726:H3727"/>
    <mergeCell ref="I3726:I3727"/>
    <mergeCell ref="J3726:J3727"/>
    <mergeCell ref="K3726:K3727"/>
    <mergeCell ref="L3726:L3727"/>
    <mergeCell ref="M3726:M3727"/>
    <mergeCell ref="N3726:N3727"/>
    <mergeCell ref="O3726:O3727"/>
    <mergeCell ref="X3726:X3727"/>
    <mergeCell ref="Y3726:Y3727"/>
    <mergeCell ref="Z3726:Z3727"/>
    <mergeCell ref="AA3726:AA3727"/>
    <mergeCell ref="AB3726:AB3727"/>
    <mergeCell ref="A3728:A3729"/>
    <mergeCell ref="E3728:E3729"/>
    <mergeCell ref="H3728:H3729"/>
    <mergeCell ref="I3728:I3729"/>
    <mergeCell ref="J3728:J3729"/>
    <mergeCell ref="K3728:K3729"/>
    <mergeCell ref="L3728:L3729"/>
    <mergeCell ref="M3728:M3729"/>
    <mergeCell ref="N3728:N3729"/>
    <mergeCell ref="O3728:O3729"/>
    <mergeCell ref="X3728:X3729"/>
    <mergeCell ref="Y3728:Y3729"/>
    <mergeCell ref="Z3728:Z3729"/>
    <mergeCell ref="AA3728:AA3729"/>
    <mergeCell ref="AB3728:AB3729"/>
    <mergeCell ref="A3730:A3731"/>
    <mergeCell ref="E3730:E3731"/>
    <mergeCell ref="H3730:H3731"/>
    <mergeCell ref="I3730:I3731"/>
    <mergeCell ref="J3730:J3731"/>
    <mergeCell ref="K3730:K3731"/>
    <mergeCell ref="L3730:L3731"/>
    <mergeCell ref="M3730:M3731"/>
    <mergeCell ref="N3730:N3731"/>
    <mergeCell ref="O3730:O3731"/>
    <mergeCell ref="X3730:X3731"/>
    <mergeCell ref="Y3730:Y3731"/>
    <mergeCell ref="Z3730:Z3731"/>
    <mergeCell ref="AA3730:AA3731"/>
    <mergeCell ref="AB3730:AB3731"/>
    <mergeCell ref="A3732:A3733"/>
    <mergeCell ref="E3732:E3733"/>
    <mergeCell ref="H3732:H3733"/>
    <mergeCell ref="I3732:I3733"/>
    <mergeCell ref="J3732:J3733"/>
    <mergeCell ref="K3732:K3733"/>
    <mergeCell ref="L3732:L3733"/>
    <mergeCell ref="M3732:M3733"/>
    <mergeCell ref="N3732:N3733"/>
    <mergeCell ref="O3732:O3733"/>
    <mergeCell ref="X3732:X3733"/>
    <mergeCell ref="Y3732:Y3733"/>
    <mergeCell ref="Z3732:Z3733"/>
    <mergeCell ref="AA3732:AA3733"/>
    <mergeCell ref="AB3732:AB3733"/>
    <mergeCell ref="A3734:A3735"/>
    <mergeCell ref="E3734:E3735"/>
    <mergeCell ref="H3734:H3735"/>
    <mergeCell ref="I3734:I3735"/>
    <mergeCell ref="J3734:J3735"/>
    <mergeCell ref="K3734:K3735"/>
    <mergeCell ref="L3734:L3735"/>
    <mergeCell ref="M3734:M3735"/>
    <mergeCell ref="N3734:N3735"/>
    <mergeCell ref="O3734:O3735"/>
    <mergeCell ref="X3734:X3735"/>
    <mergeCell ref="Y3734:Y3735"/>
    <mergeCell ref="Z3734:Z3735"/>
    <mergeCell ref="AA3734:AA3735"/>
    <mergeCell ref="AB3734:AB3735"/>
    <mergeCell ref="A3736:A3737"/>
    <mergeCell ref="E3736:E3737"/>
    <mergeCell ref="H3736:H3737"/>
    <mergeCell ref="I3736:I3737"/>
    <mergeCell ref="J3736:J3737"/>
    <mergeCell ref="K3736:K3737"/>
    <mergeCell ref="L3736:L3737"/>
    <mergeCell ref="M3736:M3737"/>
    <mergeCell ref="N3736:N3737"/>
    <mergeCell ref="O3736:O3737"/>
    <mergeCell ref="X3736:X3737"/>
    <mergeCell ref="Y3736:Y3737"/>
    <mergeCell ref="Z3736:Z3737"/>
    <mergeCell ref="AA3736:AA3737"/>
    <mergeCell ref="AB3736:AB3737"/>
    <mergeCell ref="A3738:A3739"/>
    <mergeCell ref="E3738:E3739"/>
    <mergeCell ref="H3738:H3739"/>
    <mergeCell ref="I3738:I3739"/>
    <mergeCell ref="J3738:J3739"/>
    <mergeCell ref="K3738:K3739"/>
    <mergeCell ref="L3738:L3739"/>
    <mergeCell ref="M3738:M3739"/>
    <mergeCell ref="N3738:N3739"/>
    <mergeCell ref="O3738:O3739"/>
    <mergeCell ref="X3738:X3739"/>
    <mergeCell ref="Y3738:Y3739"/>
    <mergeCell ref="Z3738:Z3739"/>
    <mergeCell ref="AA3738:AA3739"/>
    <mergeCell ref="AB3738:AB3739"/>
    <mergeCell ref="A3740:A3741"/>
    <mergeCell ref="E3740:E3741"/>
    <mergeCell ref="H3740:H3741"/>
    <mergeCell ref="I3740:I3741"/>
    <mergeCell ref="J3740:J3741"/>
    <mergeCell ref="K3740:K3741"/>
    <mergeCell ref="L3740:L3741"/>
    <mergeCell ref="M3740:M3741"/>
    <mergeCell ref="N3740:N3741"/>
    <mergeCell ref="O3740:O3741"/>
    <mergeCell ref="X3740:X3741"/>
    <mergeCell ref="Y3740:Y3741"/>
    <mergeCell ref="Z3740:Z3741"/>
    <mergeCell ref="AA3740:AA3741"/>
    <mergeCell ref="AB3740:AB3741"/>
    <mergeCell ref="A3742:A3743"/>
    <mergeCell ref="E3742:E3743"/>
    <mergeCell ref="H3742:H3743"/>
    <mergeCell ref="I3742:I3743"/>
    <mergeCell ref="J3742:J3743"/>
    <mergeCell ref="K3742:K3743"/>
    <mergeCell ref="L3742:L3743"/>
    <mergeCell ref="M3742:M3743"/>
    <mergeCell ref="N3742:N3743"/>
    <mergeCell ref="O3742:O3743"/>
    <mergeCell ref="X3742:X3743"/>
    <mergeCell ref="Y3742:Y3743"/>
    <mergeCell ref="Z3742:Z3743"/>
    <mergeCell ref="AA3742:AA3743"/>
    <mergeCell ref="AB3742:AB3743"/>
    <mergeCell ref="A3744:A3745"/>
    <mergeCell ref="E3744:E3745"/>
    <mergeCell ref="H3744:H3745"/>
    <mergeCell ref="I3744:I3745"/>
    <mergeCell ref="J3744:J3745"/>
    <mergeCell ref="K3744:K3745"/>
    <mergeCell ref="L3744:L3745"/>
    <mergeCell ref="M3744:M3745"/>
    <mergeCell ref="N3744:N3745"/>
    <mergeCell ref="O3744:O3745"/>
    <mergeCell ref="X3744:X3745"/>
    <mergeCell ref="Y3744:Y3745"/>
    <mergeCell ref="Z3744:Z3745"/>
    <mergeCell ref="AA3744:AA3745"/>
    <mergeCell ref="AB3744:AB3745"/>
    <mergeCell ref="A3746:A3747"/>
    <mergeCell ref="E3746:E3747"/>
    <mergeCell ref="H3746:H3747"/>
    <mergeCell ref="I3746:I3747"/>
    <mergeCell ref="J3746:J3747"/>
    <mergeCell ref="K3746:K3747"/>
    <mergeCell ref="L3746:L3747"/>
    <mergeCell ref="M3746:M3747"/>
    <mergeCell ref="N3746:N3747"/>
    <mergeCell ref="O3746:O3747"/>
    <mergeCell ref="X3746:X3747"/>
    <mergeCell ref="Y3746:Y3747"/>
    <mergeCell ref="Z3746:Z3747"/>
    <mergeCell ref="AA3746:AA3747"/>
    <mergeCell ref="AB3746:AB3747"/>
    <mergeCell ref="A3748:A3749"/>
    <mergeCell ref="E3748:E3749"/>
    <mergeCell ref="H3748:H3749"/>
    <mergeCell ref="I3748:I3749"/>
    <mergeCell ref="J3748:J3749"/>
    <mergeCell ref="K3748:K3749"/>
    <mergeCell ref="L3748:L3749"/>
    <mergeCell ref="M3748:M3749"/>
    <mergeCell ref="N3748:N3749"/>
    <mergeCell ref="O3748:O3749"/>
    <mergeCell ref="X3748:X3749"/>
    <mergeCell ref="Y3748:Y3749"/>
    <mergeCell ref="Z3748:Z3749"/>
    <mergeCell ref="AA3748:AA3749"/>
    <mergeCell ref="AB3748:AB3749"/>
    <mergeCell ref="A3750:A3751"/>
    <mergeCell ref="E3750:E3751"/>
    <mergeCell ref="H3750:H3751"/>
    <mergeCell ref="I3750:I3751"/>
    <mergeCell ref="J3750:J3751"/>
    <mergeCell ref="K3750:K3751"/>
    <mergeCell ref="L3750:L3751"/>
    <mergeCell ref="M3750:M3751"/>
    <mergeCell ref="N3750:N3751"/>
    <mergeCell ref="O3750:O3751"/>
    <mergeCell ref="X3750:X3751"/>
    <mergeCell ref="Y3750:Y3751"/>
    <mergeCell ref="Z3750:Z3751"/>
    <mergeCell ref="AA3750:AA3751"/>
    <mergeCell ref="AB3750:AB3751"/>
    <mergeCell ref="A3752:A3753"/>
    <mergeCell ref="E3752:E3753"/>
    <mergeCell ref="H3752:H3753"/>
    <mergeCell ref="I3752:I3753"/>
    <mergeCell ref="J3752:J3753"/>
    <mergeCell ref="K3752:K3753"/>
    <mergeCell ref="L3752:L3753"/>
    <mergeCell ref="M3752:M3753"/>
    <mergeCell ref="N3752:N3753"/>
    <mergeCell ref="O3752:O3753"/>
    <mergeCell ref="X3752:X3753"/>
    <mergeCell ref="Y3752:Y3753"/>
    <mergeCell ref="Z3752:Z3753"/>
    <mergeCell ref="AA3752:AA3753"/>
    <mergeCell ref="AB3752:AB3753"/>
    <mergeCell ref="A3754:A3755"/>
    <mergeCell ref="E3754:E3755"/>
    <mergeCell ref="H3754:H3755"/>
    <mergeCell ref="I3754:I3755"/>
    <mergeCell ref="J3754:J3755"/>
    <mergeCell ref="K3754:K3755"/>
    <mergeCell ref="L3754:L3755"/>
    <mergeCell ref="M3754:M3755"/>
    <mergeCell ref="N3754:N3755"/>
    <mergeCell ref="O3754:O3755"/>
    <mergeCell ref="X3754:X3755"/>
    <mergeCell ref="Y3754:Y3755"/>
    <mergeCell ref="Z3754:Z3755"/>
    <mergeCell ref="AA3754:AA3755"/>
    <mergeCell ref="AB3754:AB3755"/>
    <mergeCell ref="A3758:A3759"/>
    <mergeCell ref="E3758:E3759"/>
    <mergeCell ref="H3758:H3759"/>
    <mergeCell ref="I3758:I3759"/>
    <mergeCell ref="J3758:J3759"/>
    <mergeCell ref="K3758:K3759"/>
    <mergeCell ref="L3758:L3759"/>
    <mergeCell ref="M3758:M3759"/>
    <mergeCell ref="N3758:N3759"/>
    <mergeCell ref="O3758:O3759"/>
    <mergeCell ref="X3758:X3759"/>
    <mergeCell ref="Y3758:Y3759"/>
    <mergeCell ref="Z3758:Z3759"/>
    <mergeCell ref="AA3758:AA3759"/>
    <mergeCell ref="AB3758:AB3759"/>
    <mergeCell ref="A3756:A3757"/>
    <mergeCell ref="E3756:E3757"/>
    <mergeCell ref="H3756:H3757"/>
    <mergeCell ref="I3756:I3757"/>
    <mergeCell ref="J3756:J3757"/>
    <mergeCell ref="K3756:K3757"/>
    <mergeCell ref="L3756:L3757"/>
    <mergeCell ref="M3756:M3757"/>
    <mergeCell ref="N3756:N3757"/>
    <mergeCell ref="O3756:O3757"/>
    <mergeCell ref="X3756:X3757"/>
    <mergeCell ref="Y3756:Y3757"/>
    <mergeCell ref="Z3756:Z3757"/>
    <mergeCell ref="AA3756:AA3757"/>
    <mergeCell ref="AB3756:AB3757"/>
    <mergeCell ref="A3760:A3761"/>
    <mergeCell ref="E3760:E3761"/>
    <mergeCell ref="H3760:H3761"/>
    <mergeCell ref="I3760:I3761"/>
    <mergeCell ref="J3760:J3761"/>
    <mergeCell ref="K3760:K3761"/>
    <mergeCell ref="L3760:L3761"/>
    <mergeCell ref="M3760:M3761"/>
    <mergeCell ref="N3760:N3761"/>
    <mergeCell ref="O3760:O3761"/>
    <mergeCell ref="X3760:X3761"/>
    <mergeCell ref="Y3760:Y3761"/>
    <mergeCell ref="Z3760:Z3761"/>
    <mergeCell ref="AA3760:AA3761"/>
    <mergeCell ref="AB3760:AB3761"/>
    <mergeCell ref="A3764:A3765"/>
    <mergeCell ref="E3764:E3765"/>
    <mergeCell ref="H3764:H3765"/>
    <mergeCell ref="I3764:I3765"/>
    <mergeCell ref="J3764:J3765"/>
    <mergeCell ref="K3764:K3765"/>
    <mergeCell ref="L3764:L3765"/>
    <mergeCell ref="M3764:M3765"/>
    <mergeCell ref="N3764:N3765"/>
    <mergeCell ref="O3764:O3765"/>
    <mergeCell ref="X3764:X3765"/>
    <mergeCell ref="Y3764:Y3765"/>
    <mergeCell ref="Z3764:Z3765"/>
    <mergeCell ref="AA3764:AA3765"/>
    <mergeCell ref="AB3764:AB3765"/>
    <mergeCell ref="AB3762:AB3763"/>
    <mergeCell ref="A3762:A3763"/>
    <mergeCell ref="E3762:E3763"/>
    <mergeCell ref="H3762:H3763"/>
    <mergeCell ref="I3762:I3763"/>
    <mergeCell ref="J3762:J3763"/>
    <mergeCell ref="K3762:K3763"/>
    <mergeCell ref="L3762:L3763"/>
    <mergeCell ref="M3762:M3763"/>
    <mergeCell ref="N3762:N3763"/>
    <mergeCell ref="O3762:O3763"/>
    <mergeCell ref="X3762:X3763"/>
    <mergeCell ref="Y3762:Y3763"/>
    <mergeCell ref="Z3762:Z3763"/>
    <mergeCell ref="AA3762:AA3763"/>
    <mergeCell ref="A3766:A3767"/>
    <mergeCell ref="E3766:E3767"/>
    <mergeCell ref="H3766:H3767"/>
    <mergeCell ref="I3766:I3767"/>
    <mergeCell ref="J3766:J3767"/>
    <mergeCell ref="K3766:K3767"/>
    <mergeCell ref="L3766:L3767"/>
    <mergeCell ref="M3766:M3767"/>
    <mergeCell ref="N3766:N3767"/>
    <mergeCell ref="O3766:O3767"/>
    <mergeCell ref="X3766:X3767"/>
    <mergeCell ref="Y3766:Y3767"/>
    <mergeCell ref="Z3766:Z3767"/>
    <mergeCell ref="AA3766:AA3767"/>
    <mergeCell ref="AB3766:AB3767"/>
    <mergeCell ref="A3768:A3769"/>
    <mergeCell ref="E3768:E3769"/>
    <mergeCell ref="H3768:H3769"/>
    <mergeCell ref="I3768:I3769"/>
    <mergeCell ref="J3768:J3769"/>
    <mergeCell ref="K3768:K3769"/>
    <mergeCell ref="L3768:L3769"/>
    <mergeCell ref="M3768:M3769"/>
    <mergeCell ref="N3768:N3769"/>
    <mergeCell ref="O3768:O3769"/>
    <mergeCell ref="X3768:X3769"/>
    <mergeCell ref="Y3768:Y3769"/>
    <mergeCell ref="Z3768:Z3769"/>
    <mergeCell ref="AA3768:AA3769"/>
    <mergeCell ref="AB3768:AB3769"/>
    <mergeCell ref="O3774:O3775"/>
    <mergeCell ref="X3774:X3775"/>
    <mergeCell ref="Y3774:Y3775"/>
    <mergeCell ref="Z3774:Z3775"/>
    <mergeCell ref="AA3774:AA3775"/>
    <mergeCell ref="AB3774:AB3775"/>
    <mergeCell ref="A3770:A3771"/>
    <mergeCell ref="E3770:E3771"/>
    <mergeCell ref="H3770:H3771"/>
    <mergeCell ref="I3770:I3771"/>
    <mergeCell ref="J3770:J3771"/>
    <mergeCell ref="K3770:K3771"/>
    <mergeCell ref="L3770:L3771"/>
    <mergeCell ref="M3770:M3771"/>
    <mergeCell ref="N3770:N3771"/>
    <mergeCell ref="O3770:O3771"/>
    <mergeCell ref="X3770:X3771"/>
    <mergeCell ref="Y3770:Y3771"/>
    <mergeCell ref="Z3770:Z3771"/>
    <mergeCell ref="AA3770:AA3771"/>
    <mergeCell ref="AB3770:AB3771"/>
    <mergeCell ref="A3774:A3775"/>
    <mergeCell ref="E3774:E3775"/>
    <mergeCell ref="H3774:H3775"/>
    <mergeCell ref="I3774:I3775"/>
    <mergeCell ref="J3774:J3775"/>
    <mergeCell ref="K3774:K3775"/>
    <mergeCell ref="L3774:L3775"/>
    <mergeCell ref="M3774:M3775"/>
    <mergeCell ref="N3774:N3775"/>
    <mergeCell ref="J3776:J3777"/>
    <mergeCell ref="K3776:K3777"/>
    <mergeCell ref="L3776:L3777"/>
    <mergeCell ref="M3776:M3777"/>
    <mergeCell ref="N3776:N3777"/>
    <mergeCell ref="O3776:O3777"/>
    <mergeCell ref="X3776:X3777"/>
    <mergeCell ref="Y3776:Y3777"/>
    <mergeCell ref="Z3776:Z3777"/>
    <mergeCell ref="AA3776:AA3777"/>
    <mergeCell ref="AB3776:AB3777"/>
    <mergeCell ref="A3778:A3779"/>
    <mergeCell ref="E3778:E3779"/>
    <mergeCell ref="H3778:H3779"/>
    <mergeCell ref="I3778:I3779"/>
    <mergeCell ref="J3778:J3779"/>
    <mergeCell ref="K3778:K3779"/>
    <mergeCell ref="L3778:L3779"/>
    <mergeCell ref="M3778:M3779"/>
    <mergeCell ref="N3778:N3779"/>
    <mergeCell ref="O3778:O3779"/>
    <mergeCell ref="X3778:X3779"/>
    <mergeCell ref="Y3778:Y3779"/>
    <mergeCell ref="Z3778:Z3779"/>
    <mergeCell ref="AA3778:AA3779"/>
    <mergeCell ref="AB3778:AB3779"/>
    <mergeCell ref="A3780:A3781"/>
    <mergeCell ref="E3780:E3781"/>
    <mergeCell ref="H3780:H3781"/>
    <mergeCell ref="I3780:I3781"/>
    <mergeCell ref="J3780:J3781"/>
    <mergeCell ref="K3780:K3781"/>
    <mergeCell ref="L3780:L3781"/>
    <mergeCell ref="M3780:M3781"/>
    <mergeCell ref="N3780:N3781"/>
    <mergeCell ref="O3780:O3781"/>
    <mergeCell ref="X3780:X3781"/>
    <mergeCell ref="Y3780:Y3781"/>
    <mergeCell ref="Z3780:Z3781"/>
    <mergeCell ref="AA3780:AA3781"/>
    <mergeCell ref="AB3780:AB3781"/>
    <mergeCell ref="X3792:X3793"/>
    <mergeCell ref="Y3792:Y3793"/>
    <mergeCell ref="Z3792:Z3793"/>
    <mergeCell ref="AA3792:AA3793"/>
    <mergeCell ref="AB3792:AB3793"/>
    <mergeCell ref="A3782:A3783"/>
    <mergeCell ref="E3782:E3783"/>
    <mergeCell ref="H3782:H3783"/>
    <mergeCell ref="I3782:I3783"/>
    <mergeCell ref="J3782:J3783"/>
    <mergeCell ref="K3782:K3783"/>
    <mergeCell ref="L3782:L3783"/>
    <mergeCell ref="M3782:M3783"/>
    <mergeCell ref="N3782:N3783"/>
    <mergeCell ref="O3782:O3783"/>
    <mergeCell ref="X3782:X3783"/>
    <mergeCell ref="Y3782:Y3783"/>
    <mergeCell ref="Z3782:Z3783"/>
    <mergeCell ref="AA3782:AA3783"/>
    <mergeCell ref="AB3782:AB3783"/>
    <mergeCell ref="A3784:A3785"/>
    <mergeCell ref="E3784:E3785"/>
    <mergeCell ref="H3784:H3785"/>
    <mergeCell ref="I3784:I3785"/>
    <mergeCell ref="J3784:J3785"/>
    <mergeCell ref="K3784:K3785"/>
    <mergeCell ref="L3784:L3785"/>
    <mergeCell ref="M3784:M3785"/>
    <mergeCell ref="N3784:N3785"/>
    <mergeCell ref="O3784:O3785"/>
    <mergeCell ref="X3784:X3785"/>
    <mergeCell ref="Y3784:Y3785"/>
    <mergeCell ref="Z3784:Z3785"/>
    <mergeCell ref="AA3784:AA3785"/>
    <mergeCell ref="AB3784:AB3785"/>
    <mergeCell ref="A3786:A3787"/>
    <mergeCell ref="E3786:E3787"/>
    <mergeCell ref="H3786:H3787"/>
    <mergeCell ref="I3786:I3787"/>
    <mergeCell ref="J3786:J3787"/>
    <mergeCell ref="K3786:K3787"/>
    <mergeCell ref="L3786:L3787"/>
    <mergeCell ref="M3786:M3787"/>
    <mergeCell ref="N3786:N3787"/>
    <mergeCell ref="O3786:O3787"/>
    <mergeCell ref="X3786:X3787"/>
    <mergeCell ref="Y3786:Y3787"/>
    <mergeCell ref="Z3786:Z3787"/>
    <mergeCell ref="AA3786:AA3787"/>
    <mergeCell ref="AB3786:AB3787"/>
    <mergeCell ref="H3798:H3799"/>
    <mergeCell ref="I3798:I3799"/>
    <mergeCell ref="J3798:J3799"/>
    <mergeCell ref="K3798:K3799"/>
    <mergeCell ref="L3798:L3799"/>
    <mergeCell ref="M3798:M3799"/>
    <mergeCell ref="N3798:N3799"/>
    <mergeCell ref="O3798:O3799"/>
    <mergeCell ref="X3798:X3799"/>
    <mergeCell ref="Y3798:Y3799"/>
    <mergeCell ref="Z3798:Z3799"/>
    <mergeCell ref="AA3798:AA3799"/>
    <mergeCell ref="AB3798:AB3799"/>
    <mergeCell ref="X3806:X3807"/>
    <mergeCell ref="Y3806:Y3807"/>
    <mergeCell ref="Z3806:Z3807"/>
    <mergeCell ref="AA3806:AA3807"/>
    <mergeCell ref="A3800:A3801"/>
    <mergeCell ref="E3800:E3801"/>
    <mergeCell ref="H3800:H3801"/>
    <mergeCell ref="I3800:I3801"/>
    <mergeCell ref="J3800:J3801"/>
    <mergeCell ref="K3800:K3801"/>
    <mergeCell ref="L3800:L3801"/>
    <mergeCell ref="A3788:A3789"/>
    <mergeCell ref="E3788:E3789"/>
    <mergeCell ref="H3788:H3789"/>
    <mergeCell ref="I3788:I3789"/>
    <mergeCell ref="J3788:J3789"/>
    <mergeCell ref="K3788:K3789"/>
    <mergeCell ref="L3788:L3789"/>
    <mergeCell ref="M3788:M3789"/>
    <mergeCell ref="N3788:N3789"/>
    <mergeCell ref="O3788:O3789"/>
    <mergeCell ref="X3788:X3789"/>
    <mergeCell ref="Y3788:Y3789"/>
    <mergeCell ref="Z3788:Z3789"/>
    <mergeCell ref="AA3788:AA3789"/>
    <mergeCell ref="AB3788:AB3789"/>
    <mergeCell ref="A3790:A3791"/>
    <mergeCell ref="E3790:E3791"/>
    <mergeCell ref="H3790:H3791"/>
    <mergeCell ref="I3790:I3791"/>
    <mergeCell ref="J3790:J3791"/>
    <mergeCell ref="K3790:K3791"/>
    <mergeCell ref="L3790:L3791"/>
    <mergeCell ref="M3790:M3791"/>
    <mergeCell ref="N3790:N3791"/>
    <mergeCell ref="O3790:O3791"/>
    <mergeCell ref="X3790:X3791"/>
    <mergeCell ref="Y3790:Y3791"/>
    <mergeCell ref="Z3790:Z3791"/>
    <mergeCell ref="AA3790:AA3791"/>
    <mergeCell ref="AB3790:AB3791"/>
    <mergeCell ref="A3792:A3793"/>
    <mergeCell ref="E3792:E3793"/>
    <mergeCell ref="H3792:H3793"/>
    <mergeCell ref="I3792:I3793"/>
    <mergeCell ref="J3792:J3793"/>
    <mergeCell ref="K3792:K3793"/>
    <mergeCell ref="L3792:L3793"/>
    <mergeCell ref="M3792:M3793"/>
    <mergeCell ref="N3792:N3793"/>
    <mergeCell ref="O3792:O3793"/>
    <mergeCell ref="J3810:J3811"/>
    <mergeCell ref="K3810:K3811"/>
    <mergeCell ref="L3810:L3811"/>
    <mergeCell ref="M3810:M3811"/>
    <mergeCell ref="N3810:N3811"/>
    <mergeCell ref="O3810:O3811"/>
    <mergeCell ref="X3810:X3811"/>
    <mergeCell ref="Y3810:Y3811"/>
    <mergeCell ref="Z3810:Z3811"/>
    <mergeCell ref="AA3810:AA3811"/>
    <mergeCell ref="AB3810:AB3811"/>
    <mergeCell ref="A3804:A3805"/>
    <mergeCell ref="E3804:E3805"/>
    <mergeCell ref="H3804:H3805"/>
    <mergeCell ref="I3804:I3805"/>
    <mergeCell ref="J3804:J3805"/>
    <mergeCell ref="K3804:K3805"/>
    <mergeCell ref="L3804:L3805"/>
    <mergeCell ref="M3804:M3805"/>
    <mergeCell ref="N3804:N3805"/>
    <mergeCell ref="O3804:O3805"/>
    <mergeCell ref="X3804:X3805"/>
    <mergeCell ref="Y3804:Y3805"/>
    <mergeCell ref="Z3804:Z3805"/>
    <mergeCell ref="AA3804:AA3805"/>
    <mergeCell ref="AB3804:AB3805"/>
    <mergeCell ref="A3806:A3807"/>
    <mergeCell ref="E3806:E3807"/>
    <mergeCell ref="H3806:H3807"/>
    <mergeCell ref="I3806:I3807"/>
    <mergeCell ref="J3806:J3807"/>
    <mergeCell ref="A3794:A3795"/>
    <mergeCell ref="E3794:E3795"/>
    <mergeCell ref="H3794:H3795"/>
    <mergeCell ref="I3794:I3795"/>
    <mergeCell ref="J3794:J3795"/>
    <mergeCell ref="K3794:K3795"/>
    <mergeCell ref="L3794:L3795"/>
    <mergeCell ref="M3794:M3795"/>
    <mergeCell ref="N3794:N3795"/>
    <mergeCell ref="O3794:O3795"/>
    <mergeCell ref="X3794:X3795"/>
    <mergeCell ref="Y3794:Y3795"/>
    <mergeCell ref="Z3794:Z3795"/>
    <mergeCell ref="AA3794:AA3795"/>
    <mergeCell ref="AB3794:AB3795"/>
    <mergeCell ref="K3806:K3807"/>
    <mergeCell ref="L3806:L3807"/>
    <mergeCell ref="M3806:M3807"/>
    <mergeCell ref="N3806:N3807"/>
    <mergeCell ref="AB3806:AB3807"/>
    <mergeCell ref="A3796:A3797"/>
    <mergeCell ref="E3796:E3797"/>
    <mergeCell ref="H3796:H3797"/>
    <mergeCell ref="I3796:I3797"/>
    <mergeCell ref="J3796:J3797"/>
    <mergeCell ref="K3796:K3797"/>
    <mergeCell ref="L3796:L3797"/>
    <mergeCell ref="M3796:M3797"/>
    <mergeCell ref="N3796:N3797"/>
    <mergeCell ref="O3796:O3797"/>
    <mergeCell ref="X3796:X3797"/>
    <mergeCell ref="Y3796:Y3797"/>
    <mergeCell ref="Z3796:Z3797"/>
    <mergeCell ref="A3682:A3683"/>
    <mergeCell ref="E3682:E3683"/>
    <mergeCell ref="H3682:H3683"/>
    <mergeCell ref="I3682:I3683"/>
    <mergeCell ref="J3682:J3683"/>
    <mergeCell ref="K3682:K3683"/>
    <mergeCell ref="L3682:L3683"/>
    <mergeCell ref="M3682:M3683"/>
    <mergeCell ref="N3682:N3683"/>
    <mergeCell ref="O3682:O3683"/>
    <mergeCell ref="X3682:X3683"/>
    <mergeCell ref="Y3682:Y3683"/>
    <mergeCell ref="Z3682:Z3683"/>
    <mergeCell ref="AA3682:AA3683"/>
    <mergeCell ref="AB3682:AB3683"/>
    <mergeCell ref="K3702:K3703"/>
    <mergeCell ref="L3702:L3703"/>
    <mergeCell ref="M3702:M3703"/>
    <mergeCell ref="N3702:N3703"/>
    <mergeCell ref="A3684:A3685"/>
    <mergeCell ref="E3684:E3685"/>
    <mergeCell ref="H3684:H3685"/>
    <mergeCell ref="I3684:I3685"/>
    <mergeCell ref="J3684:J3685"/>
    <mergeCell ref="K3684:K3685"/>
    <mergeCell ref="L3684:L3685"/>
    <mergeCell ref="M3684:M3685"/>
    <mergeCell ref="N3684:N3685"/>
    <mergeCell ref="O3684:O3685"/>
    <mergeCell ref="A3808:A3809"/>
    <mergeCell ref="E3808:E3809"/>
    <mergeCell ref="H3808:H3809"/>
    <mergeCell ref="I3808:I3809"/>
    <mergeCell ref="J3808:J3809"/>
    <mergeCell ref="K3808:K3809"/>
    <mergeCell ref="L3808:L3809"/>
    <mergeCell ref="M3808:M3809"/>
    <mergeCell ref="N3808:N3809"/>
    <mergeCell ref="O3808:O3809"/>
    <mergeCell ref="X3808:X3809"/>
    <mergeCell ref="Y3808:Y3809"/>
    <mergeCell ref="Z3808:Z3809"/>
    <mergeCell ref="AA3808:AA3809"/>
    <mergeCell ref="AB3808:AB3809"/>
    <mergeCell ref="O3806:O3807"/>
    <mergeCell ref="X3684:X3685"/>
    <mergeCell ref="Y3684:Y3685"/>
    <mergeCell ref="Z3684:Z3685"/>
    <mergeCell ref="AA3684:AA3685"/>
    <mergeCell ref="AB3684:AB3685"/>
    <mergeCell ref="AB3696:AB3697"/>
    <mergeCell ref="A3688:A3689"/>
    <mergeCell ref="E3688:E3689"/>
    <mergeCell ref="H3688:H3689"/>
    <mergeCell ref="I3688:I3689"/>
    <mergeCell ref="J3688:J3689"/>
    <mergeCell ref="K3688:K3689"/>
    <mergeCell ref="L3688:L3689"/>
    <mergeCell ref="M3688:M3689"/>
    <mergeCell ref="N3688:N3689"/>
    <mergeCell ref="AA3796:AA3797"/>
    <mergeCell ref="AB3796:AB3797"/>
    <mergeCell ref="A3798:A3799"/>
    <mergeCell ref="E3798:E3799"/>
    <mergeCell ref="O3688:O3689"/>
    <mergeCell ref="A3694:A3695"/>
    <mergeCell ref="E3694:E3695"/>
    <mergeCell ref="H3694:H3695"/>
    <mergeCell ref="I3694:I3695"/>
    <mergeCell ref="J3694:J3695"/>
    <mergeCell ref="K3694:K3695"/>
    <mergeCell ref="L3694:L3695"/>
    <mergeCell ref="M3694:M3695"/>
    <mergeCell ref="N3694:N3695"/>
    <mergeCell ref="O3694:O3695"/>
    <mergeCell ref="X3688:X3689"/>
    <mergeCell ref="Y3688:Y3689"/>
    <mergeCell ref="Z3688:Z3689"/>
    <mergeCell ref="AA3688:AA3689"/>
    <mergeCell ref="AB3688:AB3689"/>
    <mergeCell ref="A3690:A3691"/>
    <mergeCell ref="AB3704:AB3705"/>
    <mergeCell ref="A3700:A3701"/>
    <mergeCell ref="E3700:E3701"/>
    <mergeCell ref="H3700:H3701"/>
    <mergeCell ref="I3700:I3701"/>
    <mergeCell ref="J3700:J3701"/>
    <mergeCell ref="K3700:K3701"/>
    <mergeCell ref="L3700:L3701"/>
    <mergeCell ref="M3700:M3701"/>
    <mergeCell ref="N3700:N3701"/>
    <mergeCell ref="O3700:O3701"/>
    <mergeCell ref="X3700:X3701"/>
    <mergeCell ref="Y3700:Y3701"/>
    <mergeCell ref="Z3700:Z3701"/>
    <mergeCell ref="AA3700:AA3701"/>
    <mergeCell ref="AB3700:AB3701"/>
    <mergeCell ref="A3702:A3703"/>
    <mergeCell ref="E3702:E3703"/>
    <mergeCell ref="H3702:H3703"/>
    <mergeCell ref="I3702:I3703"/>
    <mergeCell ref="J3702:J3703"/>
    <mergeCell ref="Y3694:Y3695"/>
    <mergeCell ref="Z3694:Z3695"/>
    <mergeCell ref="AA3694:AA3695"/>
    <mergeCell ref="AB3694:AB3695"/>
    <mergeCell ref="O3698:O3699"/>
    <mergeCell ref="X3698:X3699"/>
    <mergeCell ref="Y3698:Y3699"/>
    <mergeCell ref="Z3698:Z3699"/>
    <mergeCell ref="AA3698:AA3699"/>
    <mergeCell ref="AB3698:AB3699"/>
    <mergeCell ref="E3690:E3691"/>
    <mergeCell ref="H3690:H3691"/>
    <mergeCell ref="I3690:I3691"/>
    <mergeCell ref="J3690:J3691"/>
    <mergeCell ref="K3690:K3691"/>
    <mergeCell ref="L3690:L3691"/>
    <mergeCell ref="M3690:M3691"/>
    <mergeCell ref="N3690:N3691"/>
    <mergeCell ref="O3690:O3691"/>
    <mergeCell ref="X3690:X3691"/>
    <mergeCell ref="Y3690:Y3691"/>
    <mergeCell ref="Z3690:Z3691"/>
    <mergeCell ref="AA3690:AA3691"/>
    <mergeCell ref="AB3690:AB3691"/>
    <mergeCell ref="A3692:A3693"/>
    <mergeCell ref="E3692:E3693"/>
    <mergeCell ref="M3800:M3801"/>
    <mergeCell ref="N3800:N3801"/>
    <mergeCell ref="O3800:O3801"/>
    <mergeCell ref="X3800:X3801"/>
    <mergeCell ref="Y3800:Y3801"/>
    <mergeCell ref="Z3800:Z3801"/>
    <mergeCell ref="AA3800:AA3801"/>
    <mergeCell ref="AB3800:AB3801"/>
    <mergeCell ref="A3802:A3803"/>
    <mergeCell ref="E3802:E3803"/>
    <mergeCell ref="H3802:H3803"/>
    <mergeCell ref="I3802:I3803"/>
    <mergeCell ref="J3802:J3803"/>
    <mergeCell ref="K3802:K3803"/>
    <mergeCell ref="L3802:L3803"/>
    <mergeCell ref="M3802:M3803"/>
    <mergeCell ref="N3802:N3803"/>
    <mergeCell ref="O3802:O3803"/>
    <mergeCell ref="X3802:X3803"/>
    <mergeCell ref="Y3802:Y3803"/>
    <mergeCell ref="Z3802:Z3803"/>
    <mergeCell ref="AA3802:AA3803"/>
    <mergeCell ref="AB3802:AB3803"/>
    <mergeCell ref="A4000:A4001"/>
    <mergeCell ref="E4000:E4001"/>
    <mergeCell ref="H4000:H4001"/>
    <mergeCell ref="I4000:I4001"/>
    <mergeCell ref="J4000:J4001"/>
    <mergeCell ref="K4000:K4001"/>
    <mergeCell ref="L4000:L4001"/>
    <mergeCell ref="M4000:M4001"/>
    <mergeCell ref="N4000:N4001"/>
    <mergeCell ref="O4000:O4001"/>
    <mergeCell ref="X4000:X4001"/>
    <mergeCell ref="Y4000:Y4001"/>
    <mergeCell ref="Z4000:Z4001"/>
    <mergeCell ref="AA4000:AA4001"/>
    <mergeCell ref="AB4000:AB4001"/>
    <mergeCell ref="A3978:A3979"/>
    <mergeCell ref="E3978:E3979"/>
    <mergeCell ref="H3978:H3979"/>
    <mergeCell ref="I3978:I3979"/>
    <mergeCell ref="J3978:J3979"/>
    <mergeCell ref="K3978:K3979"/>
    <mergeCell ref="L3978:L3979"/>
    <mergeCell ref="M3978:M3979"/>
    <mergeCell ref="N3978:N3979"/>
    <mergeCell ref="O3978:O3979"/>
    <mergeCell ref="X3978:X3979"/>
    <mergeCell ref="Y3978:Y3979"/>
    <mergeCell ref="Z3978:Z3979"/>
    <mergeCell ref="AA3978:AA3979"/>
    <mergeCell ref="AB3978:AB3979"/>
    <mergeCell ref="A3980:A3981"/>
    <mergeCell ref="E3980:E3981"/>
    <mergeCell ref="H3980:H3981"/>
    <mergeCell ref="I3980:I3981"/>
    <mergeCell ref="J3980:J3981"/>
    <mergeCell ref="K3980:K3981"/>
    <mergeCell ref="L3980:L3981"/>
    <mergeCell ref="A3810:A3811"/>
    <mergeCell ref="E3810:E3811"/>
    <mergeCell ref="H3810:H3811"/>
    <mergeCell ref="I3810:I3811"/>
    <mergeCell ref="A4002:A4003"/>
    <mergeCell ref="E4002:E4003"/>
    <mergeCell ref="H4002:H4003"/>
    <mergeCell ref="I4002:I4003"/>
    <mergeCell ref="J4002:J4003"/>
    <mergeCell ref="K4002:K4003"/>
    <mergeCell ref="L4002:L4003"/>
    <mergeCell ref="M4002:M4003"/>
    <mergeCell ref="N4002:N4003"/>
    <mergeCell ref="O4002:O4003"/>
    <mergeCell ref="X4002:X4003"/>
    <mergeCell ref="Y4002:Y4003"/>
    <mergeCell ref="Z4002:Z4003"/>
    <mergeCell ref="AA4002:AA4003"/>
    <mergeCell ref="AB4002:AB4003"/>
    <mergeCell ref="A4004:A4005"/>
    <mergeCell ref="E4004:E4005"/>
    <mergeCell ref="H4004:H4005"/>
    <mergeCell ref="I4004:I4005"/>
    <mergeCell ref="J4004:J4005"/>
    <mergeCell ref="K4004:K4005"/>
    <mergeCell ref="L4004:L4005"/>
    <mergeCell ref="M4004:M4005"/>
    <mergeCell ref="N4004:N4005"/>
    <mergeCell ref="O4004:O4005"/>
    <mergeCell ref="X4004:X4005"/>
    <mergeCell ref="Y4004:Y4005"/>
    <mergeCell ref="Z4004:Z4005"/>
    <mergeCell ref="AA4004:AA4005"/>
    <mergeCell ref="AB4004:AB4005"/>
    <mergeCell ref="A4006:A4007"/>
    <mergeCell ref="E4006:E4007"/>
    <mergeCell ref="H4006:H4007"/>
    <mergeCell ref="I4006:I4007"/>
    <mergeCell ref="J4006:J4007"/>
    <mergeCell ref="K4006:K4007"/>
    <mergeCell ref="L4006:L4007"/>
    <mergeCell ref="M4006:M4007"/>
    <mergeCell ref="N4006:N4007"/>
    <mergeCell ref="O4006:O4007"/>
    <mergeCell ref="X4006:X4007"/>
    <mergeCell ref="Y4006:Y4007"/>
    <mergeCell ref="Z4006:Z4007"/>
    <mergeCell ref="AA4006:AA4007"/>
    <mergeCell ref="AB4006:AB4007"/>
    <mergeCell ref="A4008:A4009"/>
    <mergeCell ref="E4008:E4009"/>
    <mergeCell ref="H4008:H4009"/>
    <mergeCell ref="I4008:I4009"/>
    <mergeCell ref="J4008:J4009"/>
    <mergeCell ref="K4008:K4009"/>
    <mergeCell ref="L4008:L4009"/>
    <mergeCell ref="M4008:M4009"/>
    <mergeCell ref="N4008:N4009"/>
    <mergeCell ref="O4008:O4009"/>
    <mergeCell ref="X4008:X4009"/>
    <mergeCell ref="Y4008:Y4009"/>
    <mergeCell ref="Z4008:Z4009"/>
    <mergeCell ref="AA4008:AA4009"/>
    <mergeCell ref="AB4008:AB4009"/>
    <mergeCell ref="A4010:A4011"/>
    <mergeCell ref="E4010:E4011"/>
    <mergeCell ref="H4010:H4011"/>
    <mergeCell ref="I4010:I4011"/>
    <mergeCell ref="J4010:J4011"/>
    <mergeCell ref="K4010:K4011"/>
    <mergeCell ref="L4010:L4011"/>
    <mergeCell ref="M4010:M4011"/>
    <mergeCell ref="N4010:N4011"/>
    <mergeCell ref="O4010:O4011"/>
    <mergeCell ref="X4010:X4011"/>
    <mergeCell ref="Y4010:Y4011"/>
    <mergeCell ref="Z4010:Z4011"/>
    <mergeCell ref="AA4010:AA4011"/>
    <mergeCell ref="AB4010:AB4011"/>
    <mergeCell ref="A4012:A4013"/>
    <mergeCell ref="E4012:E4013"/>
    <mergeCell ref="H4012:H4013"/>
    <mergeCell ref="I4012:I4013"/>
    <mergeCell ref="J4012:J4013"/>
    <mergeCell ref="K4012:K4013"/>
    <mergeCell ref="L4012:L4013"/>
    <mergeCell ref="M4012:M4013"/>
    <mergeCell ref="N4012:N4013"/>
    <mergeCell ref="O4012:O4013"/>
    <mergeCell ref="X4012:X4013"/>
    <mergeCell ref="Y4012:Y4013"/>
    <mergeCell ref="Z4012:Z4013"/>
    <mergeCell ref="AA4012:AA4013"/>
    <mergeCell ref="AB4012:AB4013"/>
    <mergeCell ref="A4014:A4015"/>
    <mergeCell ref="E4014:E4015"/>
    <mergeCell ref="H4014:H4015"/>
    <mergeCell ref="I4014:I4015"/>
    <mergeCell ref="J4014:J4015"/>
    <mergeCell ref="K4014:K4015"/>
    <mergeCell ref="L4014:L4015"/>
    <mergeCell ref="M4014:M4015"/>
    <mergeCell ref="N4014:N4015"/>
    <mergeCell ref="O4014:O4015"/>
    <mergeCell ref="X4014:X4015"/>
    <mergeCell ref="Y4014:Y4015"/>
    <mergeCell ref="Z4014:Z4015"/>
    <mergeCell ref="AA4014:AA4015"/>
    <mergeCell ref="AB4014:AB4015"/>
    <mergeCell ref="A4016:A4017"/>
    <mergeCell ref="E4016:E4017"/>
    <mergeCell ref="H4016:H4017"/>
    <mergeCell ref="I4016:I4017"/>
    <mergeCell ref="J4016:J4017"/>
    <mergeCell ref="K4016:K4017"/>
    <mergeCell ref="L4016:L4017"/>
    <mergeCell ref="M4016:M4017"/>
    <mergeCell ref="N4016:N4017"/>
    <mergeCell ref="O4016:O4017"/>
    <mergeCell ref="X4016:X4017"/>
    <mergeCell ref="Y4016:Y4017"/>
    <mergeCell ref="Z4016:Z4017"/>
    <mergeCell ref="AA4016:AA4017"/>
    <mergeCell ref="AB4016:AB4017"/>
    <mergeCell ref="A4018:A4019"/>
    <mergeCell ref="E4018:E4019"/>
    <mergeCell ref="H4018:H4019"/>
    <mergeCell ref="I4018:I4019"/>
    <mergeCell ref="J4018:J4019"/>
    <mergeCell ref="K4018:K4019"/>
    <mergeCell ref="L4018:L4019"/>
    <mergeCell ref="M4018:M4019"/>
    <mergeCell ref="N4018:N4019"/>
    <mergeCell ref="O4018:O4019"/>
    <mergeCell ref="X4018:X4019"/>
    <mergeCell ref="Y4018:Y4019"/>
    <mergeCell ref="Z4018:Z4019"/>
    <mergeCell ref="AA4018:AA4019"/>
    <mergeCell ref="AB4018:AB4019"/>
    <mergeCell ref="A4020:A4021"/>
    <mergeCell ref="E4020:E4021"/>
    <mergeCell ref="H4020:H4021"/>
    <mergeCell ref="I4020:I4021"/>
    <mergeCell ref="J4020:J4021"/>
    <mergeCell ref="K4020:K4021"/>
    <mergeCell ref="L4020:L4021"/>
    <mergeCell ref="M4020:M4021"/>
    <mergeCell ref="N4020:N4021"/>
    <mergeCell ref="O4020:O4021"/>
    <mergeCell ref="X4020:X4021"/>
    <mergeCell ref="Y4020:Y4021"/>
    <mergeCell ref="Z4020:Z4021"/>
    <mergeCell ref="AA4020:AA4021"/>
    <mergeCell ref="AB4020:AB4021"/>
    <mergeCell ref="A4026:A4027"/>
    <mergeCell ref="E4026:E4027"/>
    <mergeCell ref="H4026:H4027"/>
    <mergeCell ref="I4026:I4027"/>
    <mergeCell ref="J4026:J4027"/>
    <mergeCell ref="K4026:K4027"/>
    <mergeCell ref="L4026:L4027"/>
    <mergeCell ref="M4026:M4027"/>
    <mergeCell ref="N4026:N4027"/>
    <mergeCell ref="O4026:O4027"/>
    <mergeCell ref="X4026:X4027"/>
    <mergeCell ref="Y4026:Y4027"/>
    <mergeCell ref="Z4026:Z4027"/>
    <mergeCell ref="AA4026:AA4027"/>
    <mergeCell ref="AB4026:AB4027"/>
    <mergeCell ref="A4022:A4023"/>
    <mergeCell ref="E4022:E4023"/>
    <mergeCell ref="H4022:H4023"/>
    <mergeCell ref="I4022:I4023"/>
    <mergeCell ref="J4022:J4023"/>
    <mergeCell ref="K4022:K4023"/>
    <mergeCell ref="L4022:L4023"/>
    <mergeCell ref="M4022:M4023"/>
    <mergeCell ref="N4022:N4023"/>
    <mergeCell ref="O4022:O4023"/>
    <mergeCell ref="X4022:X4023"/>
    <mergeCell ref="Y4022:Y4023"/>
    <mergeCell ref="Z4022:Z4023"/>
    <mergeCell ref="AA4022:AA4023"/>
    <mergeCell ref="AB4022:AB4023"/>
    <mergeCell ref="A4024:A4025"/>
    <mergeCell ref="E4024:E4025"/>
    <mergeCell ref="H4024:H4025"/>
    <mergeCell ref="I4024:I4025"/>
    <mergeCell ref="J4024:J4025"/>
    <mergeCell ref="K4024:K4025"/>
    <mergeCell ref="L4024:L4025"/>
    <mergeCell ref="M4024:M4025"/>
    <mergeCell ref="N4024:N4025"/>
    <mergeCell ref="O4024:O4025"/>
    <mergeCell ref="X4024:X4025"/>
    <mergeCell ref="Y4024:Y4025"/>
    <mergeCell ref="Z4024:Z4025"/>
    <mergeCell ref="AA4024:AA4025"/>
    <mergeCell ref="AB4024:AB4025"/>
    <mergeCell ref="A4028:A4029"/>
    <mergeCell ref="E4028:E4029"/>
    <mergeCell ref="H4028:H4029"/>
    <mergeCell ref="I4028:I4029"/>
    <mergeCell ref="J4028:J4029"/>
    <mergeCell ref="K4028:K4029"/>
    <mergeCell ref="L4028:L4029"/>
    <mergeCell ref="M4028:M4029"/>
    <mergeCell ref="N4028:N4029"/>
    <mergeCell ref="O4028:O4029"/>
    <mergeCell ref="X4028:X4029"/>
    <mergeCell ref="Y4028:Y4029"/>
    <mergeCell ref="Z4028:Z4029"/>
    <mergeCell ref="AA4028:AA4029"/>
    <mergeCell ref="AB4028:AB4029"/>
    <mergeCell ref="A4030:A4031"/>
    <mergeCell ref="E4030:E4031"/>
    <mergeCell ref="H4030:H4031"/>
    <mergeCell ref="I4030:I4031"/>
    <mergeCell ref="J4030:J4031"/>
    <mergeCell ref="K4030:K4031"/>
    <mergeCell ref="L4030:L4031"/>
    <mergeCell ref="M4030:M4031"/>
    <mergeCell ref="N4030:N4031"/>
    <mergeCell ref="O4030:O4031"/>
    <mergeCell ref="X4030:X4031"/>
    <mergeCell ref="Y4030:Y4031"/>
    <mergeCell ref="Z4030:Z4031"/>
    <mergeCell ref="AA4030:AA4031"/>
    <mergeCell ref="AB4030:AB4031"/>
    <mergeCell ref="A4032:A4033"/>
    <mergeCell ref="E4032:E4033"/>
    <mergeCell ref="H4032:H4033"/>
    <mergeCell ref="I4032:I4033"/>
    <mergeCell ref="J4032:J4033"/>
    <mergeCell ref="K4032:K4033"/>
    <mergeCell ref="L4032:L4033"/>
    <mergeCell ref="M4032:M4033"/>
    <mergeCell ref="N4032:N4033"/>
    <mergeCell ref="O4032:O4033"/>
    <mergeCell ref="X4032:X4033"/>
    <mergeCell ref="Y4032:Y4033"/>
    <mergeCell ref="Z4032:Z4033"/>
    <mergeCell ref="AA4032:AA4033"/>
    <mergeCell ref="AB4032:AB4033"/>
    <mergeCell ref="A4034:A4035"/>
    <mergeCell ref="E4034:E4035"/>
    <mergeCell ref="H4034:H4035"/>
    <mergeCell ref="I4034:I4035"/>
    <mergeCell ref="J4034:J4035"/>
    <mergeCell ref="K4034:K4035"/>
    <mergeCell ref="L4034:L4035"/>
    <mergeCell ref="M4034:M4035"/>
    <mergeCell ref="N4034:N4035"/>
    <mergeCell ref="O4034:O4035"/>
    <mergeCell ref="X4034:X4035"/>
    <mergeCell ref="Y4034:Y4035"/>
    <mergeCell ref="Z4034:Z4035"/>
    <mergeCell ref="AA4034:AA4035"/>
    <mergeCell ref="AB4034:AB4035"/>
    <mergeCell ref="A4036:A4037"/>
    <mergeCell ref="E4036:E4037"/>
    <mergeCell ref="H4036:H4037"/>
    <mergeCell ref="I4036:I4037"/>
    <mergeCell ref="J4036:J4037"/>
    <mergeCell ref="K4036:K4037"/>
    <mergeCell ref="L4036:L4037"/>
    <mergeCell ref="M4036:M4037"/>
    <mergeCell ref="N4036:N4037"/>
    <mergeCell ref="O4036:O4037"/>
    <mergeCell ref="X4036:X4037"/>
    <mergeCell ref="Y4036:Y4037"/>
    <mergeCell ref="Z4036:Z4037"/>
    <mergeCell ref="AA4036:AA4037"/>
    <mergeCell ref="AB4036:AB4037"/>
    <mergeCell ref="A4038:A4039"/>
    <mergeCell ref="E4038:E4039"/>
    <mergeCell ref="H4038:H4039"/>
    <mergeCell ref="I4038:I4039"/>
    <mergeCell ref="J4038:J4039"/>
    <mergeCell ref="K4038:K4039"/>
    <mergeCell ref="L4038:L4039"/>
    <mergeCell ref="M4038:M4039"/>
    <mergeCell ref="N4038:N4039"/>
    <mergeCell ref="O4038:O4039"/>
    <mergeCell ref="X4038:X4039"/>
    <mergeCell ref="Y4038:Y4039"/>
    <mergeCell ref="Z4038:Z4039"/>
    <mergeCell ref="AA4038:AA4039"/>
    <mergeCell ref="AB4038:AB4039"/>
    <mergeCell ref="A4040:A4041"/>
    <mergeCell ref="E4040:E4041"/>
    <mergeCell ref="H4040:H4041"/>
    <mergeCell ref="I4040:I4041"/>
    <mergeCell ref="J4040:J4041"/>
    <mergeCell ref="K4040:K4041"/>
    <mergeCell ref="L4040:L4041"/>
    <mergeCell ref="M4040:M4041"/>
    <mergeCell ref="N4040:N4041"/>
    <mergeCell ref="O4040:O4041"/>
    <mergeCell ref="X4040:X4041"/>
    <mergeCell ref="Y4040:Y4041"/>
    <mergeCell ref="Z4040:Z4041"/>
    <mergeCell ref="AA4040:AA4041"/>
    <mergeCell ref="AB4040:AB4041"/>
    <mergeCell ref="A4042:A4043"/>
    <mergeCell ref="E4042:E4043"/>
    <mergeCell ref="H4042:H4043"/>
    <mergeCell ref="I4042:I4043"/>
    <mergeCell ref="J4042:J4043"/>
    <mergeCell ref="K4042:K4043"/>
    <mergeCell ref="L4042:L4043"/>
    <mergeCell ref="M4042:M4043"/>
    <mergeCell ref="N4042:N4043"/>
    <mergeCell ref="O4042:O4043"/>
    <mergeCell ref="X4042:X4043"/>
    <mergeCell ref="Y4042:Y4043"/>
    <mergeCell ref="Z4042:Z4043"/>
    <mergeCell ref="AA4042:AA4043"/>
    <mergeCell ref="AB4042:AB4043"/>
    <mergeCell ref="A4044:A4045"/>
    <mergeCell ref="E4044:E4045"/>
    <mergeCell ref="H4044:H4045"/>
    <mergeCell ref="I4044:I4045"/>
    <mergeCell ref="J4044:J4045"/>
    <mergeCell ref="K4044:K4045"/>
    <mergeCell ref="L4044:L4045"/>
    <mergeCell ref="M4044:M4045"/>
    <mergeCell ref="N4044:N4045"/>
    <mergeCell ref="O4044:O4045"/>
    <mergeCell ref="X4044:X4045"/>
    <mergeCell ref="Y4044:Y4045"/>
    <mergeCell ref="Z4044:Z4045"/>
    <mergeCell ref="AA4044:AA4045"/>
    <mergeCell ref="AB4044:AB4045"/>
    <mergeCell ref="A4046:A4047"/>
    <mergeCell ref="E4046:E4047"/>
    <mergeCell ref="H4046:H4047"/>
    <mergeCell ref="I4046:I4047"/>
    <mergeCell ref="J4046:J4047"/>
    <mergeCell ref="K4046:K4047"/>
    <mergeCell ref="L4046:L4047"/>
    <mergeCell ref="M4046:M4047"/>
    <mergeCell ref="N4046:N4047"/>
    <mergeCell ref="O4046:O4047"/>
    <mergeCell ref="X4046:X4047"/>
    <mergeCell ref="Y4046:Y4047"/>
    <mergeCell ref="Z4046:Z4047"/>
    <mergeCell ref="AA4046:AA4047"/>
    <mergeCell ref="AB4046:AB4047"/>
    <mergeCell ref="A4048:A4049"/>
    <mergeCell ref="E4048:E4049"/>
    <mergeCell ref="H4048:H4049"/>
    <mergeCell ref="I4048:I4049"/>
    <mergeCell ref="J4048:J4049"/>
    <mergeCell ref="K4048:K4049"/>
    <mergeCell ref="L4048:L4049"/>
    <mergeCell ref="M4048:M4049"/>
    <mergeCell ref="N4048:N4049"/>
    <mergeCell ref="O4048:O4049"/>
    <mergeCell ref="X4048:X4049"/>
    <mergeCell ref="Y4048:Y4049"/>
    <mergeCell ref="Z4048:Z4049"/>
    <mergeCell ref="AA4048:AA4049"/>
    <mergeCell ref="AB4048:AB4049"/>
    <mergeCell ref="A4050:A4051"/>
    <mergeCell ref="E4050:E4051"/>
    <mergeCell ref="H4050:H4051"/>
    <mergeCell ref="I4050:I4051"/>
    <mergeCell ref="J4050:J4051"/>
    <mergeCell ref="K4050:K4051"/>
    <mergeCell ref="L4050:L4051"/>
    <mergeCell ref="M4050:M4051"/>
    <mergeCell ref="N4050:N4051"/>
    <mergeCell ref="O4050:O4051"/>
    <mergeCell ref="X4050:X4051"/>
    <mergeCell ref="Y4050:Y4051"/>
    <mergeCell ref="Z4050:Z4051"/>
    <mergeCell ref="AA4050:AA4051"/>
    <mergeCell ref="AB4050:AB4051"/>
    <mergeCell ref="A4052:A4053"/>
    <mergeCell ref="E4052:E4053"/>
    <mergeCell ref="H4052:H4053"/>
    <mergeCell ref="I4052:I4053"/>
    <mergeCell ref="J4052:J4053"/>
    <mergeCell ref="K4052:K4053"/>
    <mergeCell ref="L4052:L4053"/>
    <mergeCell ref="M4052:M4053"/>
    <mergeCell ref="N4052:N4053"/>
    <mergeCell ref="O4052:O4053"/>
    <mergeCell ref="X4052:X4053"/>
    <mergeCell ref="Y4052:Y4053"/>
    <mergeCell ref="Z4052:Z4053"/>
    <mergeCell ref="AA4052:AA4053"/>
    <mergeCell ref="AB4052:AB4053"/>
    <mergeCell ref="A4054:A4055"/>
    <mergeCell ref="E4054:E4055"/>
    <mergeCell ref="H4054:H4055"/>
    <mergeCell ref="I4054:I4055"/>
    <mergeCell ref="J4054:J4055"/>
    <mergeCell ref="K4054:K4055"/>
    <mergeCell ref="L4054:L4055"/>
    <mergeCell ref="M4054:M4055"/>
    <mergeCell ref="N4054:N4055"/>
    <mergeCell ref="O4054:O4055"/>
    <mergeCell ref="X4054:X4055"/>
    <mergeCell ref="Y4054:Y4055"/>
    <mergeCell ref="Z4054:Z4055"/>
    <mergeCell ref="AA4054:AA4055"/>
    <mergeCell ref="AB4054:AB4055"/>
    <mergeCell ref="A4056:A4057"/>
    <mergeCell ref="E4056:E4057"/>
    <mergeCell ref="H4056:H4057"/>
    <mergeCell ref="I4056:I4057"/>
    <mergeCell ref="J4056:J4057"/>
    <mergeCell ref="K4056:K4057"/>
    <mergeCell ref="L4056:L4057"/>
    <mergeCell ref="M4056:M4057"/>
    <mergeCell ref="N4056:N4057"/>
    <mergeCell ref="O4056:O4057"/>
    <mergeCell ref="X4056:X4057"/>
    <mergeCell ref="Y4056:Y4057"/>
    <mergeCell ref="Z4056:Z4057"/>
    <mergeCell ref="AA4056:AA4057"/>
    <mergeCell ref="AB4056:AB4057"/>
    <mergeCell ref="A4058:A4059"/>
    <mergeCell ref="E4058:E4059"/>
    <mergeCell ref="H4058:H4059"/>
    <mergeCell ref="I4058:I4059"/>
    <mergeCell ref="J4058:J4059"/>
    <mergeCell ref="K4058:K4059"/>
    <mergeCell ref="L4058:L4059"/>
    <mergeCell ref="M4058:M4059"/>
    <mergeCell ref="N4058:N4059"/>
    <mergeCell ref="O4058:O4059"/>
    <mergeCell ref="X4058:X4059"/>
    <mergeCell ref="Y4058:Y4059"/>
    <mergeCell ref="Z4058:Z4059"/>
    <mergeCell ref="AA4058:AA4059"/>
    <mergeCell ref="AB4058:AB4059"/>
    <mergeCell ref="A4060:A4061"/>
    <mergeCell ref="E4060:E4061"/>
    <mergeCell ref="H4060:H4061"/>
    <mergeCell ref="I4060:I4061"/>
    <mergeCell ref="J4060:J4061"/>
    <mergeCell ref="K4060:K4061"/>
    <mergeCell ref="L4060:L4061"/>
    <mergeCell ref="M4060:M4061"/>
    <mergeCell ref="N4060:N4061"/>
    <mergeCell ref="O4060:O4061"/>
    <mergeCell ref="X4060:X4061"/>
    <mergeCell ref="Y4060:Y4061"/>
    <mergeCell ref="Z4060:Z4061"/>
    <mergeCell ref="AA4060:AA4061"/>
    <mergeCell ref="AB4060:AB4061"/>
    <mergeCell ref="A4062:A4063"/>
    <mergeCell ref="E4062:E4063"/>
    <mergeCell ref="H4062:H4063"/>
    <mergeCell ref="I4062:I4063"/>
    <mergeCell ref="J4062:J4063"/>
    <mergeCell ref="K4062:K4063"/>
    <mergeCell ref="L4062:L4063"/>
    <mergeCell ref="M4062:M4063"/>
    <mergeCell ref="N4062:N4063"/>
    <mergeCell ref="O4062:O4063"/>
    <mergeCell ref="X4062:X4063"/>
    <mergeCell ref="Y4062:Y4063"/>
    <mergeCell ref="Z4062:Z4063"/>
    <mergeCell ref="AA4062:AA4063"/>
    <mergeCell ref="AB4062:AB4063"/>
    <mergeCell ref="A4064:A4065"/>
    <mergeCell ref="E4064:E4065"/>
    <mergeCell ref="H4064:H4065"/>
    <mergeCell ref="I4064:I4065"/>
    <mergeCell ref="J4064:J4065"/>
    <mergeCell ref="K4064:K4065"/>
    <mergeCell ref="L4064:L4065"/>
    <mergeCell ref="M4064:M4065"/>
    <mergeCell ref="N4064:N4065"/>
    <mergeCell ref="O4064:O4065"/>
    <mergeCell ref="X4064:X4065"/>
    <mergeCell ref="Y4064:Y4065"/>
    <mergeCell ref="Z4064:Z4065"/>
    <mergeCell ref="AA4064:AA4065"/>
    <mergeCell ref="AB4064:AB4065"/>
    <mergeCell ref="A4066:A4067"/>
    <mergeCell ref="E4066:E4067"/>
    <mergeCell ref="H4066:H4067"/>
    <mergeCell ref="I4066:I4067"/>
    <mergeCell ref="J4066:J4067"/>
    <mergeCell ref="K4066:K4067"/>
    <mergeCell ref="L4066:L4067"/>
    <mergeCell ref="M4066:M4067"/>
    <mergeCell ref="N4066:N4067"/>
    <mergeCell ref="O4066:O4067"/>
    <mergeCell ref="X4066:X4067"/>
    <mergeCell ref="Y4066:Y4067"/>
    <mergeCell ref="Z4066:Z4067"/>
    <mergeCell ref="AA4066:AA4067"/>
    <mergeCell ref="AB4066:AB4067"/>
    <mergeCell ref="A4068:A4069"/>
    <mergeCell ref="E4068:E4069"/>
    <mergeCell ref="H4068:H4069"/>
    <mergeCell ref="I4068:I4069"/>
    <mergeCell ref="J4068:J4069"/>
    <mergeCell ref="K4068:K4069"/>
    <mergeCell ref="L4068:L4069"/>
    <mergeCell ref="M4068:M4069"/>
    <mergeCell ref="N4068:N4069"/>
    <mergeCell ref="O4068:O4069"/>
    <mergeCell ref="X4068:X4069"/>
    <mergeCell ref="Y4068:Y4069"/>
    <mergeCell ref="Z4068:Z4069"/>
    <mergeCell ref="AA4068:AA4069"/>
    <mergeCell ref="AB4068:AB4069"/>
    <mergeCell ref="A4070:A4071"/>
    <mergeCell ref="E4070:E4071"/>
    <mergeCell ref="H4070:H4071"/>
    <mergeCell ref="I4070:I4071"/>
    <mergeCell ref="J4070:J4071"/>
    <mergeCell ref="K4070:K4071"/>
    <mergeCell ref="L4070:L4071"/>
    <mergeCell ref="M4070:M4071"/>
    <mergeCell ref="N4070:N4071"/>
    <mergeCell ref="O4070:O4071"/>
    <mergeCell ref="X4070:X4071"/>
    <mergeCell ref="Y4070:Y4071"/>
    <mergeCell ref="Z4070:Z4071"/>
    <mergeCell ref="AA4070:AA4071"/>
    <mergeCell ref="AB4070:AB4071"/>
    <mergeCell ref="A4072:A4073"/>
    <mergeCell ref="E4072:E4073"/>
    <mergeCell ref="H4072:H4073"/>
    <mergeCell ref="I4072:I4073"/>
    <mergeCell ref="J4072:J4073"/>
    <mergeCell ref="K4072:K4073"/>
    <mergeCell ref="L4072:L4073"/>
    <mergeCell ref="M4072:M4073"/>
    <mergeCell ref="N4072:N4073"/>
    <mergeCell ref="O4072:O4073"/>
    <mergeCell ref="X4072:X4073"/>
    <mergeCell ref="Y4072:Y4073"/>
    <mergeCell ref="Z4072:Z4073"/>
    <mergeCell ref="AA4072:AA4073"/>
    <mergeCell ref="AB4072:AB4073"/>
    <mergeCell ref="A4074:A4075"/>
    <mergeCell ref="E4074:E4075"/>
    <mergeCell ref="H4074:H4075"/>
    <mergeCell ref="I4074:I4075"/>
    <mergeCell ref="J4074:J4075"/>
    <mergeCell ref="K4074:K4075"/>
    <mergeCell ref="L4074:L4075"/>
    <mergeCell ref="M4074:M4075"/>
    <mergeCell ref="N4074:N4075"/>
    <mergeCell ref="O4074:O4075"/>
    <mergeCell ref="X4074:X4075"/>
    <mergeCell ref="Y4074:Y4075"/>
    <mergeCell ref="Z4074:Z4075"/>
    <mergeCell ref="AA4074:AA4075"/>
    <mergeCell ref="AB4074:AB4075"/>
    <mergeCell ref="A4076:A4077"/>
    <mergeCell ref="E4076:E4077"/>
    <mergeCell ref="H4076:H4077"/>
    <mergeCell ref="I4076:I4077"/>
    <mergeCell ref="J4076:J4077"/>
    <mergeCell ref="K4076:K4077"/>
    <mergeCell ref="L4076:L4077"/>
    <mergeCell ref="M4076:M4077"/>
    <mergeCell ref="N4076:N4077"/>
    <mergeCell ref="O4076:O4077"/>
    <mergeCell ref="X4076:X4077"/>
    <mergeCell ref="Y4076:Y4077"/>
    <mergeCell ref="Z4076:Z4077"/>
    <mergeCell ref="AA4076:AA4077"/>
    <mergeCell ref="AB4076:AB4077"/>
    <mergeCell ref="A4078:A4079"/>
    <mergeCell ref="E4078:E4079"/>
    <mergeCell ref="H4078:H4079"/>
    <mergeCell ref="I4078:I4079"/>
    <mergeCell ref="J4078:J4079"/>
    <mergeCell ref="K4078:K4079"/>
    <mergeCell ref="L4078:L4079"/>
    <mergeCell ref="M4078:M4079"/>
    <mergeCell ref="N4078:N4079"/>
    <mergeCell ref="O4078:O4079"/>
    <mergeCell ref="X4078:X4079"/>
    <mergeCell ref="Y4078:Y4079"/>
    <mergeCell ref="Z4078:Z4079"/>
    <mergeCell ref="AA4078:AA4079"/>
    <mergeCell ref="AB4078:AB4079"/>
    <mergeCell ref="A4080:A4081"/>
    <mergeCell ref="E4080:E4081"/>
    <mergeCell ref="H4080:H4081"/>
    <mergeCell ref="I4080:I4081"/>
    <mergeCell ref="J4080:J4081"/>
    <mergeCell ref="K4080:K4081"/>
    <mergeCell ref="L4080:L4081"/>
    <mergeCell ref="M4080:M4081"/>
    <mergeCell ref="N4080:N4081"/>
    <mergeCell ref="O4080:O4081"/>
    <mergeCell ref="X4080:X4081"/>
    <mergeCell ref="Y4080:Y4081"/>
    <mergeCell ref="Z4080:Z4081"/>
    <mergeCell ref="AA4080:AA4081"/>
    <mergeCell ref="AB4080:AB4081"/>
    <mergeCell ref="A4082:A4083"/>
    <mergeCell ref="E4082:E4083"/>
    <mergeCell ref="H4082:H4083"/>
    <mergeCell ref="I4082:I4083"/>
    <mergeCell ref="J4082:J4083"/>
    <mergeCell ref="K4082:K4083"/>
    <mergeCell ref="L4082:L4083"/>
    <mergeCell ref="M4082:M4083"/>
    <mergeCell ref="N4082:N4083"/>
    <mergeCell ref="O4082:O4083"/>
    <mergeCell ref="X4082:X4083"/>
    <mergeCell ref="Y4082:Y4083"/>
    <mergeCell ref="Z4082:Z4083"/>
    <mergeCell ref="AA4082:AA4083"/>
    <mergeCell ref="AB4082:AB4083"/>
    <mergeCell ref="A4084:A4085"/>
    <mergeCell ref="E4084:E4085"/>
    <mergeCell ref="H4084:H4085"/>
    <mergeCell ref="I4084:I4085"/>
    <mergeCell ref="J4084:J4085"/>
    <mergeCell ref="K4084:K4085"/>
    <mergeCell ref="L4084:L4085"/>
    <mergeCell ref="M4084:M4085"/>
    <mergeCell ref="N4084:N4085"/>
    <mergeCell ref="O4084:O4085"/>
    <mergeCell ref="X4084:X4085"/>
    <mergeCell ref="Y4084:Y4085"/>
    <mergeCell ref="Z4084:Z4085"/>
    <mergeCell ref="AA4084:AA4085"/>
    <mergeCell ref="AB4084:AB4085"/>
    <mergeCell ref="A4086:A4087"/>
    <mergeCell ref="E4086:E4087"/>
    <mergeCell ref="H4086:H4087"/>
    <mergeCell ref="I4086:I4087"/>
    <mergeCell ref="J4086:J4087"/>
    <mergeCell ref="K4086:K4087"/>
    <mergeCell ref="L4086:L4087"/>
    <mergeCell ref="M4086:M4087"/>
    <mergeCell ref="N4086:N4087"/>
    <mergeCell ref="O4086:O4087"/>
    <mergeCell ref="X4086:X4087"/>
    <mergeCell ref="Y4086:Y4087"/>
    <mergeCell ref="Z4086:Z4087"/>
    <mergeCell ref="AA4086:AA4087"/>
    <mergeCell ref="AB4086:AB4087"/>
    <mergeCell ref="A4088:A4089"/>
    <mergeCell ref="E4088:E4089"/>
    <mergeCell ref="H4088:H4089"/>
    <mergeCell ref="I4088:I4089"/>
    <mergeCell ref="J4088:J4089"/>
    <mergeCell ref="K4088:K4089"/>
    <mergeCell ref="L4088:L4089"/>
    <mergeCell ref="M4088:M4089"/>
    <mergeCell ref="N4088:N4089"/>
    <mergeCell ref="O4088:O4089"/>
    <mergeCell ref="X4088:X4089"/>
    <mergeCell ref="Y4088:Y4089"/>
    <mergeCell ref="Z4088:Z4089"/>
    <mergeCell ref="AA4088:AA4089"/>
    <mergeCell ref="AB4088:AB4089"/>
    <mergeCell ref="A4090:A4091"/>
    <mergeCell ref="E4090:E4091"/>
    <mergeCell ref="H4090:H4091"/>
    <mergeCell ref="I4090:I4091"/>
    <mergeCell ref="J4090:J4091"/>
    <mergeCell ref="K4090:K4091"/>
    <mergeCell ref="L4090:L4091"/>
    <mergeCell ref="M4090:M4091"/>
    <mergeCell ref="N4090:N4091"/>
    <mergeCell ref="O4090:O4091"/>
    <mergeCell ref="X4090:X4091"/>
    <mergeCell ref="Y4090:Y4091"/>
    <mergeCell ref="Z4090:Z4091"/>
    <mergeCell ref="AA4090:AA4091"/>
    <mergeCell ref="AB4090:AB4091"/>
    <mergeCell ref="A4092:A4093"/>
    <mergeCell ref="E4092:E4093"/>
    <mergeCell ref="H4092:H4093"/>
    <mergeCell ref="I4092:I4093"/>
    <mergeCell ref="J4092:J4093"/>
    <mergeCell ref="K4092:K4093"/>
    <mergeCell ref="L4092:L4093"/>
    <mergeCell ref="M4092:M4093"/>
    <mergeCell ref="N4092:N4093"/>
    <mergeCell ref="O4092:O4093"/>
    <mergeCell ref="X4092:X4093"/>
    <mergeCell ref="Y4092:Y4093"/>
    <mergeCell ref="Z4092:Z4093"/>
    <mergeCell ref="AA4092:AA4093"/>
    <mergeCell ref="AB4092:AB4093"/>
    <mergeCell ref="A4094:A4095"/>
    <mergeCell ref="E4094:E4095"/>
    <mergeCell ref="H4094:H4095"/>
    <mergeCell ref="I4094:I4095"/>
    <mergeCell ref="J4094:J4095"/>
    <mergeCell ref="K4094:K4095"/>
    <mergeCell ref="L4094:L4095"/>
    <mergeCell ref="M4094:M4095"/>
    <mergeCell ref="N4094:N4095"/>
    <mergeCell ref="O4094:O4095"/>
    <mergeCell ref="X4094:X4095"/>
    <mergeCell ref="Y4094:Y4095"/>
    <mergeCell ref="Z4094:Z4095"/>
    <mergeCell ref="AA4094:AA4095"/>
    <mergeCell ref="AB4094:AB4095"/>
    <mergeCell ref="A4096:A4097"/>
    <mergeCell ref="E4096:E4097"/>
    <mergeCell ref="H4096:H4097"/>
    <mergeCell ref="I4096:I4097"/>
    <mergeCell ref="J4096:J4097"/>
    <mergeCell ref="K4096:K4097"/>
    <mergeCell ref="L4096:L4097"/>
    <mergeCell ref="M4096:M4097"/>
    <mergeCell ref="N4096:N4097"/>
    <mergeCell ref="O4096:O4097"/>
    <mergeCell ref="X4096:X4097"/>
    <mergeCell ref="Y4096:Y4097"/>
    <mergeCell ref="Z4096:Z4097"/>
    <mergeCell ref="AA4096:AA4097"/>
    <mergeCell ref="AB4096:AB4097"/>
    <mergeCell ref="A4098:A4099"/>
    <mergeCell ref="E4098:E4099"/>
    <mergeCell ref="H4098:H4099"/>
    <mergeCell ref="I4098:I4099"/>
    <mergeCell ref="J4098:J4099"/>
    <mergeCell ref="K4098:K4099"/>
    <mergeCell ref="L4098:L4099"/>
    <mergeCell ref="M4098:M4099"/>
    <mergeCell ref="N4098:N4099"/>
    <mergeCell ref="O4098:O4099"/>
    <mergeCell ref="X4098:X4099"/>
    <mergeCell ref="Y4098:Y4099"/>
    <mergeCell ref="Z4098:Z4099"/>
    <mergeCell ref="AA4098:AA4099"/>
    <mergeCell ref="AB4098:AB4099"/>
    <mergeCell ref="A4100:A4101"/>
    <mergeCell ref="E4100:E4101"/>
    <mergeCell ref="H4100:H4101"/>
    <mergeCell ref="I4100:I4101"/>
    <mergeCell ref="J4100:J4101"/>
    <mergeCell ref="K4100:K4101"/>
    <mergeCell ref="L4100:L4101"/>
    <mergeCell ref="M4100:M4101"/>
    <mergeCell ref="N4100:N4101"/>
    <mergeCell ref="O4100:O4101"/>
    <mergeCell ref="X4100:X4101"/>
    <mergeCell ref="Y4100:Y4101"/>
    <mergeCell ref="Z4100:Z4101"/>
    <mergeCell ref="AA4100:AA4101"/>
    <mergeCell ref="AB4100:AB4101"/>
    <mergeCell ref="A4102:A4103"/>
    <mergeCell ref="E4102:E4103"/>
    <mergeCell ref="H4102:H4103"/>
    <mergeCell ref="I4102:I4103"/>
    <mergeCell ref="J4102:J4103"/>
    <mergeCell ref="K4102:K4103"/>
    <mergeCell ref="L4102:L4103"/>
    <mergeCell ref="M4102:M4103"/>
    <mergeCell ref="N4102:N4103"/>
    <mergeCell ref="O4102:O4103"/>
    <mergeCell ref="X4102:X4103"/>
    <mergeCell ref="Y4102:Y4103"/>
    <mergeCell ref="Z4102:Z4103"/>
    <mergeCell ref="AA4102:AA4103"/>
    <mergeCell ref="AB4102:AB4103"/>
    <mergeCell ref="A4104:A4105"/>
    <mergeCell ref="E4104:E4105"/>
    <mergeCell ref="H4104:H4105"/>
    <mergeCell ref="I4104:I4105"/>
    <mergeCell ref="J4104:J4105"/>
    <mergeCell ref="K4104:K4105"/>
    <mergeCell ref="L4104:L4105"/>
    <mergeCell ref="M4104:M4105"/>
    <mergeCell ref="N4104:N4105"/>
    <mergeCell ref="O4104:O4105"/>
    <mergeCell ref="X4104:X4105"/>
    <mergeCell ref="Y4104:Y4105"/>
    <mergeCell ref="Z4104:Z4105"/>
    <mergeCell ref="AA4104:AA4105"/>
    <mergeCell ref="AB4104:AB4105"/>
    <mergeCell ref="A4108:A4109"/>
    <mergeCell ref="E4108:E4109"/>
    <mergeCell ref="H4108:H4109"/>
    <mergeCell ref="I4108:I4109"/>
    <mergeCell ref="J4108:J4109"/>
    <mergeCell ref="K4108:K4109"/>
    <mergeCell ref="L4108:L4109"/>
    <mergeCell ref="M4108:M4109"/>
    <mergeCell ref="N4108:N4109"/>
    <mergeCell ref="O4108:O4109"/>
    <mergeCell ref="X4108:X4109"/>
    <mergeCell ref="Y4108:Y4109"/>
    <mergeCell ref="Z4108:Z4109"/>
    <mergeCell ref="AA4108:AA4109"/>
    <mergeCell ref="AB4108:AB4109"/>
    <mergeCell ref="A4118:A4119"/>
    <mergeCell ref="E4118:E4119"/>
    <mergeCell ref="H4118:H4119"/>
    <mergeCell ref="I4118:I4119"/>
    <mergeCell ref="J4118:J4119"/>
    <mergeCell ref="K4118:K4119"/>
    <mergeCell ref="L4118:L4119"/>
    <mergeCell ref="M4118:M4119"/>
    <mergeCell ref="N4118:N4119"/>
    <mergeCell ref="O4118:O4119"/>
    <mergeCell ref="X4118:X4119"/>
    <mergeCell ref="Y4118:Y4119"/>
    <mergeCell ref="Z4118:Z4119"/>
    <mergeCell ref="AA4118:AA4119"/>
    <mergeCell ref="AB4118:AB4119"/>
    <mergeCell ref="A4120:A4121"/>
    <mergeCell ref="E4120:E4121"/>
    <mergeCell ref="H4120:H4121"/>
    <mergeCell ref="I4120:I4121"/>
    <mergeCell ref="J4120:J4121"/>
    <mergeCell ref="K4120:K4121"/>
    <mergeCell ref="L4120:L4121"/>
    <mergeCell ref="M4120:M4121"/>
    <mergeCell ref="N4120:N4121"/>
    <mergeCell ref="O4120:O4121"/>
    <mergeCell ref="X4120:X4121"/>
    <mergeCell ref="Y4120:Y4121"/>
    <mergeCell ref="Z4120:Z4121"/>
    <mergeCell ref="AA4120:AA4121"/>
    <mergeCell ref="AB4120:AB4121"/>
    <mergeCell ref="A4110:A4111"/>
    <mergeCell ref="E4110:E4111"/>
    <mergeCell ref="H4110:H4111"/>
    <mergeCell ref="I4110:I4111"/>
    <mergeCell ref="J4110:J4111"/>
    <mergeCell ref="K4110:K4111"/>
    <mergeCell ref="L4110:L4111"/>
    <mergeCell ref="M4110:M4111"/>
    <mergeCell ref="N4110:N4111"/>
    <mergeCell ref="O4110:O4111"/>
    <mergeCell ref="X4110:X4111"/>
    <mergeCell ref="Y4110:Y4111"/>
    <mergeCell ref="Z4110:Z4111"/>
    <mergeCell ref="AA4110:AA4111"/>
    <mergeCell ref="AB4110:AB4111"/>
    <mergeCell ref="A4112:A4113"/>
    <mergeCell ref="E4112:E4113"/>
    <mergeCell ref="H4112:H4113"/>
    <mergeCell ref="I4112:I4113"/>
    <mergeCell ref="A4124:A4125"/>
    <mergeCell ref="E4124:E4125"/>
    <mergeCell ref="H4124:H4125"/>
    <mergeCell ref="I4124:I4125"/>
    <mergeCell ref="J4124:J4125"/>
    <mergeCell ref="K4124:K4125"/>
    <mergeCell ref="L4124:L4125"/>
    <mergeCell ref="M4124:M4125"/>
    <mergeCell ref="N4124:N4125"/>
    <mergeCell ref="O4124:O4125"/>
    <mergeCell ref="X4124:X4125"/>
    <mergeCell ref="Y4124:Y4125"/>
    <mergeCell ref="Z4124:Z4125"/>
    <mergeCell ref="AA4124:AA4125"/>
    <mergeCell ref="AB4124:AB4125"/>
    <mergeCell ref="A4126:A4127"/>
    <mergeCell ref="E4126:E4127"/>
    <mergeCell ref="H4126:H4127"/>
    <mergeCell ref="I4126:I4127"/>
    <mergeCell ref="J4126:J4127"/>
    <mergeCell ref="K4126:K4127"/>
    <mergeCell ref="L4126:L4127"/>
    <mergeCell ref="M4126:M4127"/>
    <mergeCell ref="N4126:N4127"/>
    <mergeCell ref="O4126:O4127"/>
    <mergeCell ref="X4126:X4127"/>
    <mergeCell ref="Y4126:Y4127"/>
    <mergeCell ref="Z4126:Z4127"/>
    <mergeCell ref="AA4126:AA4127"/>
    <mergeCell ref="AB4126:AB4127"/>
    <mergeCell ref="A4128:A4129"/>
    <mergeCell ref="E4128:E4129"/>
    <mergeCell ref="H4128:H4129"/>
    <mergeCell ref="I4128:I4129"/>
    <mergeCell ref="J4128:J4129"/>
    <mergeCell ref="K4128:K4129"/>
    <mergeCell ref="L4128:L4129"/>
    <mergeCell ref="M4128:M4129"/>
    <mergeCell ref="N4128:N4129"/>
    <mergeCell ref="O4128:O4129"/>
    <mergeCell ref="X4128:X4129"/>
    <mergeCell ref="Y4128:Y4129"/>
    <mergeCell ref="Z4128:Z4129"/>
    <mergeCell ref="AA4128:AA4129"/>
    <mergeCell ref="AB4128:AB4129"/>
    <mergeCell ref="A4130:A4131"/>
    <mergeCell ref="E4130:E4131"/>
    <mergeCell ref="H4130:H4131"/>
    <mergeCell ref="I4130:I4131"/>
    <mergeCell ref="J4130:J4131"/>
    <mergeCell ref="K4130:K4131"/>
    <mergeCell ref="L4130:L4131"/>
    <mergeCell ref="M4130:M4131"/>
    <mergeCell ref="N4130:N4131"/>
    <mergeCell ref="O4130:O4131"/>
    <mergeCell ref="X4130:X4131"/>
    <mergeCell ref="Y4130:Y4131"/>
    <mergeCell ref="Z4130:Z4131"/>
    <mergeCell ref="AA4130:AA4131"/>
    <mergeCell ref="AB4130:AB4131"/>
    <mergeCell ref="A4132:A4133"/>
    <mergeCell ref="E4132:E4133"/>
    <mergeCell ref="H4132:H4133"/>
    <mergeCell ref="I4132:I4133"/>
    <mergeCell ref="J4132:J4133"/>
    <mergeCell ref="K4132:K4133"/>
    <mergeCell ref="L4132:L4133"/>
    <mergeCell ref="M4132:M4133"/>
    <mergeCell ref="N4132:N4133"/>
    <mergeCell ref="O4132:O4133"/>
    <mergeCell ref="X4132:X4133"/>
    <mergeCell ref="Y4132:Y4133"/>
    <mergeCell ref="Z4132:Z4133"/>
    <mergeCell ref="AA4132:AA4133"/>
    <mergeCell ref="AB4132:AB4133"/>
    <mergeCell ref="A4134:A4135"/>
    <mergeCell ref="E4134:E4135"/>
    <mergeCell ref="H4134:H4135"/>
    <mergeCell ref="I4134:I4135"/>
    <mergeCell ref="J4134:J4135"/>
    <mergeCell ref="K4134:K4135"/>
    <mergeCell ref="L4134:L4135"/>
    <mergeCell ref="M4134:M4135"/>
    <mergeCell ref="N4134:N4135"/>
    <mergeCell ref="O4134:O4135"/>
    <mergeCell ref="X4134:X4135"/>
    <mergeCell ref="Y4134:Y4135"/>
    <mergeCell ref="Z4134:Z4135"/>
    <mergeCell ref="AA4134:AA4135"/>
    <mergeCell ref="AB4134:AB4135"/>
    <mergeCell ref="A4136:A4137"/>
    <mergeCell ref="E4136:E4137"/>
    <mergeCell ref="H4136:H4137"/>
    <mergeCell ref="I4136:I4137"/>
    <mergeCell ref="J4136:J4137"/>
    <mergeCell ref="K4136:K4137"/>
    <mergeCell ref="L4136:L4137"/>
    <mergeCell ref="M4136:M4137"/>
    <mergeCell ref="N4136:N4137"/>
    <mergeCell ref="O4136:O4137"/>
    <mergeCell ref="X4136:X4137"/>
    <mergeCell ref="Y4136:Y4137"/>
    <mergeCell ref="Z4136:Z4137"/>
    <mergeCell ref="AA4136:AA4137"/>
    <mergeCell ref="AB4136:AB4137"/>
    <mergeCell ref="A4138:A4139"/>
    <mergeCell ref="E4138:E4139"/>
    <mergeCell ref="H4138:H4139"/>
    <mergeCell ref="I4138:I4139"/>
    <mergeCell ref="J4138:J4139"/>
    <mergeCell ref="K4138:K4139"/>
    <mergeCell ref="L4138:L4139"/>
    <mergeCell ref="M4138:M4139"/>
    <mergeCell ref="N4138:N4139"/>
    <mergeCell ref="O4138:O4139"/>
    <mergeCell ref="X4138:X4139"/>
    <mergeCell ref="Y4138:Y4139"/>
    <mergeCell ref="Z4138:Z4139"/>
    <mergeCell ref="AA4138:AA4139"/>
    <mergeCell ref="AB4138:AB4139"/>
    <mergeCell ref="A4140:A4141"/>
    <mergeCell ref="E4140:E4141"/>
    <mergeCell ref="H4140:H4141"/>
    <mergeCell ref="I4140:I4141"/>
    <mergeCell ref="J4140:J4141"/>
    <mergeCell ref="K4140:K4141"/>
    <mergeCell ref="L4140:L4141"/>
    <mergeCell ref="M4140:M4141"/>
    <mergeCell ref="N4140:N4141"/>
    <mergeCell ref="O4140:O4141"/>
    <mergeCell ref="X4140:X4141"/>
    <mergeCell ref="Y4140:Y4141"/>
    <mergeCell ref="Z4140:Z4141"/>
    <mergeCell ref="AA4140:AA4141"/>
    <mergeCell ref="AB4140:AB4141"/>
    <mergeCell ref="A4142:A4143"/>
    <mergeCell ref="E4142:E4143"/>
    <mergeCell ref="H4142:H4143"/>
    <mergeCell ref="I4142:I4143"/>
    <mergeCell ref="J4142:J4143"/>
    <mergeCell ref="K4142:K4143"/>
    <mergeCell ref="L4142:L4143"/>
    <mergeCell ref="M4142:M4143"/>
    <mergeCell ref="N4142:N4143"/>
    <mergeCell ref="O4142:O4143"/>
    <mergeCell ref="X4142:X4143"/>
    <mergeCell ref="Y4142:Y4143"/>
    <mergeCell ref="Z4142:Z4143"/>
    <mergeCell ref="AA4142:AA4143"/>
    <mergeCell ref="AB4142:AB4143"/>
    <mergeCell ref="A4144:A4145"/>
    <mergeCell ref="E4144:E4145"/>
    <mergeCell ref="H4144:H4145"/>
    <mergeCell ref="I4144:I4145"/>
    <mergeCell ref="J4144:J4145"/>
    <mergeCell ref="K4144:K4145"/>
    <mergeCell ref="L4144:L4145"/>
    <mergeCell ref="M4144:M4145"/>
    <mergeCell ref="N4144:N4145"/>
    <mergeCell ref="O4144:O4145"/>
    <mergeCell ref="X4144:X4145"/>
    <mergeCell ref="Y4144:Y4145"/>
    <mergeCell ref="Z4144:Z4145"/>
    <mergeCell ref="AA4144:AA4145"/>
    <mergeCell ref="AB4144:AB4145"/>
    <mergeCell ref="A4146:A4147"/>
    <mergeCell ref="E4146:E4147"/>
    <mergeCell ref="H4146:H4147"/>
    <mergeCell ref="I4146:I4147"/>
    <mergeCell ref="J4146:J4147"/>
    <mergeCell ref="K4146:K4147"/>
    <mergeCell ref="L4146:L4147"/>
    <mergeCell ref="M4146:M4147"/>
    <mergeCell ref="N4146:N4147"/>
    <mergeCell ref="O4146:O4147"/>
    <mergeCell ref="X4146:X4147"/>
    <mergeCell ref="Y4146:Y4147"/>
    <mergeCell ref="Z4146:Z4147"/>
    <mergeCell ref="AA4146:AA4147"/>
    <mergeCell ref="AB4146:AB4147"/>
    <mergeCell ref="A4148:A4149"/>
    <mergeCell ref="E4148:E4149"/>
    <mergeCell ref="H4148:H4149"/>
    <mergeCell ref="I4148:I4149"/>
    <mergeCell ref="J4148:J4149"/>
    <mergeCell ref="K4148:K4149"/>
    <mergeCell ref="L4148:L4149"/>
    <mergeCell ref="M4148:M4149"/>
    <mergeCell ref="N4148:N4149"/>
    <mergeCell ref="O4148:O4149"/>
    <mergeCell ref="X4148:X4149"/>
    <mergeCell ref="Y4148:Y4149"/>
    <mergeCell ref="Z4148:Z4149"/>
    <mergeCell ref="AA4148:AA4149"/>
    <mergeCell ref="AB4148:AB4149"/>
    <mergeCell ref="A4152:A4153"/>
    <mergeCell ref="E4152:E4153"/>
    <mergeCell ref="H4152:H4153"/>
    <mergeCell ref="I4152:I4153"/>
    <mergeCell ref="J4152:J4153"/>
    <mergeCell ref="K4152:K4153"/>
    <mergeCell ref="L4152:L4153"/>
    <mergeCell ref="M4152:M4153"/>
    <mergeCell ref="N4152:N4153"/>
    <mergeCell ref="O4152:O4153"/>
    <mergeCell ref="X4152:X4153"/>
    <mergeCell ref="Y4152:Y4153"/>
    <mergeCell ref="Z4152:Z4153"/>
    <mergeCell ref="AA4152:AA4153"/>
    <mergeCell ref="AB4152:AB4153"/>
    <mergeCell ref="A4154:A4155"/>
    <mergeCell ref="E4154:E4155"/>
    <mergeCell ref="H4154:H4155"/>
    <mergeCell ref="I4154:I4155"/>
    <mergeCell ref="J4154:J4155"/>
    <mergeCell ref="K4154:K4155"/>
    <mergeCell ref="L4154:L4155"/>
    <mergeCell ref="M4154:M4155"/>
    <mergeCell ref="N4154:N4155"/>
    <mergeCell ref="O4154:O4155"/>
    <mergeCell ref="X4154:X4155"/>
    <mergeCell ref="Y4154:Y4155"/>
    <mergeCell ref="Z4154:Z4155"/>
    <mergeCell ref="AA4154:AA4155"/>
    <mergeCell ref="AB4154:AB4155"/>
    <mergeCell ref="A4150:A4151"/>
    <mergeCell ref="E4150:E4151"/>
    <mergeCell ref="H4150:H4151"/>
    <mergeCell ref="I4150:I4151"/>
    <mergeCell ref="J4150:J4151"/>
    <mergeCell ref="K4150:K4151"/>
    <mergeCell ref="L4150:L4151"/>
    <mergeCell ref="M4150:M4151"/>
    <mergeCell ref="N4150:N4151"/>
    <mergeCell ref="O4150:O4151"/>
    <mergeCell ref="X4150:X4151"/>
    <mergeCell ref="Y4150:Y4151"/>
    <mergeCell ref="Z4150:Z4151"/>
    <mergeCell ref="AA4150:AA4151"/>
    <mergeCell ref="AB4150:AB4151"/>
    <mergeCell ref="A4156:A4157"/>
    <mergeCell ref="E4156:E4157"/>
    <mergeCell ref="H4156:H4157"/>
    <mergeCell ref="I4156:I4157"/>
    <mergeCell ref="J4156:J4157"/>
    <mergeCell ref="K4156:K4157"/>
    <mergeCell ref="L4156:L4157"/>
    <mergeCell ref="M4156:M4157"/>
    <mergeCell ref="N4156:N4157"/>
    <mergeCell ref="O4156:O4157"/>
    <mergeCell ref="X4156:X4157"/>
    <mergeCell ref="Y4156:Y4157"/>
    <mergeCell ref="Z4156:Z4157"/>
    <mergeCell ref="AA4156:AA4157"/>
    <mergeCell ref="AB4156:AB4157"/>
    <mergeCell ref="A4158:A4159"/>
    <mergeCell ref="E4158:E4159"/>
    <mergeCell ref="H4158:H4159"/>
    <mergeCell ref="I4158:I4159"/>
    <mergeCell ref="J4158:J4159"/>
    <mergeCell ref="K4158:K4159"/>
    <mergeCell ref="L4158:L4159"/>
    <mergeCell ref="M4158:M4159"/>
    <mergeCell ref="N4158:N4159"/>
    <mergeCell ref="O4158:O4159"/>
    <mergeCell ref="X4158:X4159"/>
    <mergeCell ref="Y4158:Y4159"/>
    <mergeCell ref="Z4158:Z4159"/>
    <mergeCell ref="AA4158:AA4159"/>
    <mergeCell ref="AB4158:AB4159"/>
    <mergeCell ref="A4160:A4161"/>
    <mergeCell ref="E4160:E4161"/>
    <mergeCell ref="H4160:H4161"/>
    <mergeCell ref="I4160:I4161"/>
    <mergeCell ref="J4160:J4161"/>
    <mergeCell ref="K4160:K4161"/>
    <mergeCell ref="L4160:L4161"/>
    <mergeCell ref="M4160:M4161"/>
    <mergeCell ref="N4160:N4161"/>
    <mergeCell ref="O4160:O4161"/>
    <mergeCell ref="X4160:X4161"/>
    <mergeCell ref="Y4160:Y4161"/>
    <mergeCell ref="Z4160:Z4161"/>
    <mergeCell ref="AA4160:AA4161"/>
    <mergeCell ref="AB4160:AB4161"/>
    <mergeCell ref="A4162:A4163"/>
    <mergeCell ref="E4162:E4163"/>
    <mergeCell ref="H4162:H4163"/>
    <mergeCell ref="I4162:I4163"/>
    <mergeCell ref="J4162:J4163"/>
    <mergeCell ref="K4162:K4163"/>
    <mergeCell ref="L4162:L4163"/>
    <mergeCell ref="M4162:M4163"/>
    <mergeCell ref="N4162:N4163"/>
    <mergeCell ref="O4162:O4163"/>
    <mergeCell ref="X4162:X4163"/>
    <mergeCell ref="Y4162:Y4163"/>
    <mergeCell ref="Z4162:Z4163"/>
    <mergeCell ref="AA4162:AA4163"/>
    <mergeCell ref="AB4162:AB4163"/>
    <mergeCell ref="A4164:A4165"/>
    <mergeCell ref="E4164:E4165"/>
    <mergeCell ref="H4164:H4165"/>
    <mergeCell ref="I4164:I4165"/>
    <mergeCell ref="J4164:J4165"/>
    <mergeCell ref="K4164:K4165"/>
    <mergeCell ref="L4164:L4165"/>
    <mergeCell ref="M4164:M4165"/>
    <mergeCell ref="N4164:N4165"/>
    <mergeCell ref="O4164:O4165"/>
    <mergeCell ref="X4164:X4165"/>
    <mergeCell ref="Y4164:Y4165"/>
    <mergeCell ref="Z4164:Z4165"/>
    <mergeCell ref="AA4164:AA4165"/>
    <mergeCell ref="AB4164:AB4165"/>
    <mergeCell ref="A4166:A4167"/>
    <mergeCell ref="E4166:E4167"/>
    <mergeCell ref="H4166:H4167"/>
    <mergeCell ref="I4166:I4167"/>
    <mergeCell ref="J4166:J4167"/>
    <mergeCell ref="K4166:K4167"/>
    <mergeCell ref="L4166:L4167"/>
    <mergeCell ref="M4166:M4167"/>
    <mergeCell ref="N4166:N4167"/>
    <mergeCell ref="O4166:O4167"/>
    <mergeCell ref="X4166:X4167"/>
    <mergeCell ref="Y4166:Y4167"/>
    <mergeCell ref="Z4166:Z4167"/>
    <mergeCell ref="AA4166:AA4167"/>
    <mergeCell ref="AB4166:AB4167"/>
    <mergeCell ref="A4168:A4169"/>
    <mergeCell ref="E4168:E4169"/>
    <mergeCell ref="H4168:H4169"/>
    <mergeCell ref="I4168:I4169"/>
    <mergeCell ref="J4168:J4169"/>
    <mergeCell ref="K4168:K4169"/>
    <mergeCell ref="L4168:L4169"/>
    <mergeCell ref="M4168:M4169"/>
    <mergeCell ref="N4168:N4169"/>
    <mergeCell ref="O4168:O4169"/>
    <mergeCell ref="X4168:X4169"/>
    <mergeCell ref="Y4168:Y4169"/>
    <mergeCell ref="Z4168:Z4169"/>
    <mergeCell ref="AA4168:AA4169"/>
    <mergeCell ref="AB4168:AB4169"/>
    <mergeCell ref="A4170:A4171"/>
    <mergeCell ref="E4170:E4171"/>
    <mergeCell ref="H4170:H4171"/>
    <mergeCell ref="I4170:I4171"/>
    <mergeCell ref="J4170:J4171"/>
    <mergeCell ref="K4170:K4171"/>
    <mergeCell ref="L4170:L4171"/>
    <mergeCell ref="M4170:M4171"/>
    <mergeCell ref="N4170:N4171"/>
    <mergeCell ref="O4170:O4171"/>
    <mergeCell ref="X4170:X4171"/>
    <mergeCell ref="Y4170:Y4171"/>
    <mergeCell ref="Z4170:Z4171"/>
    <mergeCell ref="AA4170:AA4171"/>
    <mergeCell ref="AB4170:AB4171"/>
    <mergeCell ref="A4172:A4173"/>
    <mergeCell ref="E4172:E4173"/>
    <mergeCell ref="H4172:H4173"/>
    <mergeCell ref="I4172:I4173"/>
    <mergeCell ref="J4172:J4173"/>
    <mergeCell ref="K4172:K4173"/>
    <mergeCell ref="L4172:L4173"/>
    <mergeCell ref="M4172:M4173"/>
    <mergeCell ref="N4172:N4173"/>
    <mergeCell ref="O4172:O4173"/>
    <mergeCell ref="X4172:X4173"/>
    <mergeCell ref="Y4172:Y4173"/>
    <mergeCell ref="Z4172:Z4173"/>
    <mergeCell ref="AA4172:AA4173"/>
    <mergeCell ref="AB4172:AB4173"/>
    <mergeCell ref="A4174:A4175"/>
    <mergeCell ref="E4174:E4175"/>
    <mergeCell ref="H4174:H4175"/>
    <mergeCell ref="I4174:I4175"/>
    <mergeCell ref="J4174:J4175"/>
    <mergeCell ref="K4174:K4175"/>
    <mergeCell ref="L4174:L4175"/>
    <mergeCell ref="M4174:M4175"/>
    <mergeCell ref="N4174:N4175"/>
    <mergeCell ref="O4174:O4175"/>
    <mergeCell ref="X4174:X4175"/>
    <mergeCell ref="Y4174:Y4175"/>
    <mergeCell ref="Z4174:Z4175"/>
    <mergeCell ref="AA4174:AA4175"/>
    <mergeCell ref="AB4174:AB4175"/>
    <mergeCell ref="A4176:A4177"/>
    <mergeCell ref="E4176:E4177"/>
    <mergeCell ref="H4176:H4177"/>
    <mergeCell ref="I4176:I4177"/>
    <mergeCell ref="J4176:J4177"/>
    <mergeCell ref="K4176:K4177"/>
    <mergeCell ref="L4176:L4177"/>
    <mergeCell ref="M4176:M4177"/>
    <mergeCell ref="N4176:N4177"/>
    <mergeCell ref="O4176:O4177"/>
    <mergeCell ref="X4176:X4177"/>
    <mergeCell ref="Y4176:Y4177"/>
    <mergeCell ref="Z4176:Z4177"/>
    <mergeCell ref="AA4176:AA4177"/>
    <mergeCell ref="AB4176:AB4177"/>
    <mergeCell ref="A4178:A4179"/>
    <mergeCell ref="E4178:E4179"/>
    <mergeCell ref="H4178:H4179"/>
    <mergeCell ref="I4178:I4179"/>
    <mergeCell ref="J4178:J4179"/>
    <mergeCell ref="K4178:K4179"/>
    <mergeCell ref="L4178:L4179"/>
    <mergeCell ref="M4178:M4179"/>
    <mergeCell ref="N4178:N4179"/>
    <mergeCell ref="O4178:O4179"/>
    <mergeCell ref="X4178:X4179"/>
    <mergeCell ref="Y4178:Y4179"/>
    <mergeCell ref="Z4178:Z4179"/>
    <mergeCell ref="AA4178:AA4179"/>
    <mergeCell ref="AB4178:AB4179"/>
    <mergeCell ref="A4180:A4181"/>
    <mergeCell ref="E4180:E4181"/>
    <mergeCell ref="H4180:H4181"/>
    <mergeCell ref="I4180:I4181"/>
    <mergeCell ref="J4180:J4181"/>
    <mergeCell ref="K4180:K4181"/>
    <mergeCell ref="L4180:L4181"/>
    <mergeCell ref="M4180:M4181"/>
    <mergeCell ref="N4180:N4181"/>
    <mergeCell ref="O4180:O4181"/>
    <mergeCell ref="X4180:X4181"/>
    <mergeCell ref="Y4180:Y4181"/>
    <mergeCell ref="Z4180:Z4181"/>
    <mergeCell ref="AA4180:AA4181"/>
    <mergeCell ref="AB4180:AB4181"/>
    <mergeCell ref="A4182:A4183"/>
    <mergeCell ref="E4182:E4183"/>
    <mergeCell ref="H4182:H4183"/>
    <mergeCell ref="I4182:I4183"/>
    <mergeCell ref="J4182:J4183"/>
    <mergeCell ref="K4182:K4183"/>
    <mergeCell ref="L4182:L4183"/>
    <mergeCell ref="M4182:M4183"/>
    <mergeCell ref="N4182:N4183"/>
    <mergeCell ref="O4182:O4183"/>
    <mergeCell ref="X4182:X4183"/>
    <mergeCell ref="Y4182:Y4183"/>
    <mergeCell ref="Z4182:Z4183"/>
    <mergeCell ref="AA4182:AA4183"/>
    <mergeCell ref="AB4182:AB4183"/>
    <mergeCell ref="A4184:A4185"/>
    <mergeCell ref="E4184:E4185"/>
    <mergeCell ref="H4184:H4185"/>
    <mergeCell ref="I4184:I4185"/>
    <mergeCell ref="J4184:J4185"/>
    <mergeCell ref="K4184:K4185"/>
    <mergeCell ref="L4184:L4185"/>
    <mergeCell ref="M4184:M4185"/>
    <mergeCell ref="N4184:N4185"/>
    <mergeCell ref="O4184:O4185"/>
    <mergeCell ref="X4184:X4185"/>
    <mergeCell ref="Y4184:Y4185"/>
    <mergeCell ref="Z4184:Z4185"/>
    <mergeCell ref="AA4184:AA4185"/>
    <mergeCell ref="AB4184:AB4185"/>
    <mergeCell ref="A4186:A4187"/>
    <mergeCell ref="E4186:E4187"/>
    <mergeCell ref="H4186:H4187"/>
    <mergeCell ref="I4186:I4187"/>
    <mergeCell ref="J4186:J4187"/>
    <mergeCell ref="K4186:K4187"/>
    <mergeCell ref="L4186:L4187"/>
    <mergeCell ref="M4186:M4187"/>
    <mergeCell ref="N4186:N4187"/>
    <mergeCell ref="O4186:O4187"/>
    <mergeCell ref="X4186:X4187"/>
    <mergeCell ref="Y4186:Y4187"/>
    <mergeCell ref="Z4186:Z4187"/>
    <mergeCell ref="AA4186:AA4187"/>
    <mergeCell ref="AB4186:AB4187"/>
    <mergeCell ref="A4190:A4191"/>
    <mergeCell ref="E4190:E4191"/>
    <mergeCell ref="H4190:H4191"/>
    <mergeCell ref="I4190:I4191"/>
    <mergeCell ref="J4190:J4191"/>
    <mergeCell ref="K4190:K4191"/>
    <mergeCell ref="L4190:L4191"/>
    <mergeCell ref="M4190:M4191"/>
    <mergeCell ref="N4190:N4191"/>
    <mergeCell ref="O4190:O4191"/>
    <mergeCell ref="X4190:X4191"/>
    <mergeCell ref="Y4190:Y4191"/>
    <mergeCell ref="Z4190:Z4191"/>
    <mergeCell ref="AA4190:AA4191"/>
    <mergeCell ref="AB4190:AB4191"/>
    <mergeCell ref="A4192:A4193"/>
    <mergeCell ref="E4192:E4193"/>
    <mergeCell ref="H4192:H4193"/>
    <mergeCell ref="I4192:I4193"/>
    <mergeCell ref="J4192:J4193"/>
    <mergeCell ref="K4192:K4193"/>
    <mergeCell ref="L4192:L4193"/>
    <mergeCell ref="M4192:M4193"/>
    <mergeCell ref="N4192:N4193"/>
    <mergeCell ref="O4192:O4193"/>
    <mergeCell ref="X4192:X4193"/>
    <mergeCell ref="Y4192:Y4193"/>
    <mergeCell ref="Z4192:Z4193"/>
    <mergeCell ref="AA4192:AA4193"/>
    <mergeCell ref="AB4192:AB4193"/>
    <mergeCell ref="A4194:A4195"/>
    <mergeCell ref="E4194:E4195"/>
    <mergeCell ref="H4194:H4195"/>
    <mergeCell ref="I4194:I4195"/>
    <mergeCell ref="J4194:J4195"/>
    <mergeCell ref="K4194:K4195"/>
    <mergeCell ref="L4194:L4195"/>
    <mergeCell ref="M4194:M4195"/>
    <mergeCell ref="N4194:N4195"/>
    <mergeCell ref="O4194:O4195"/>
    <mergeCell ref="X4194:X4195"/>
    <mergeCell ref="Y4194:Y4195"/>
    <mergeCell ref="Z4194:Z4195"/>
    <mergeCell ref="A4200:A4201"/>
    <mergeCell ref="E4200:E4201"/>
    <mergeCell ref="H4200:H4201"/>
    <mergeCell ref="I4200:I4201"/>
    <mergeCell ref="J4200:J4201"/>
    <mergeCell ref="K4200:K4201"/>
    <mergeCell ref="L4200:L4201"/>
    <mergeCell ref="M4200:M4201"/>
    <mergeCell ref="N4200:N4201"/>
    <mergeCell ref="O4200:O4201"/>
    <mergeCell ref="X4200:X4201"/>
    <mergeCell ref="Y4200:Y4201"/>
    <mergeCell ref="Z4200:Z4201"/>
    <mergeCell ref="A4208:A4209"/>
    <mergeCell ref="E4208:E4209"/>
    <mergeCell ref="H4208:H4209"/>
    <mergeCell ref="I4208:I4209"/>
    <mergeCell ref="J4208:J4209"/>
    <mergeCell ref="K4208:K4209"/>
    <mergeCell ref="L4208:L4209"/>
    <mergeCell ref="M4208:M4209"/>
    <mergeCell ref="N4208:N4209"/>
    <mergeCell ref="O4208:O4209"/>
    <mergeCell ref="J4206:J4207"/>
    <mergeCell ref="K4206:K4207"/>
    <mergeCell ref="L4206:L4207"/>
    <mergeCell ref="M4206:M4207"/>
    <mergeCell ref="N4206:N4207"/>
    <mergeCell ref="O4206:O4207"/>
    <mergeCell ref="X4206:X4207"/>
    <mergeCell ref="Y4206:Y4207"/>
    <mergeCell ref="Z4206:Z4207"/>
    <mergeCell ref="H4196:H4197"/>
    <mergeCell ref="I4196:I4197"/>
    <mergeCell ref="J4196:J4197"/>
    <mergeCell ref="K4196:K4197"/>
    <mergeCell ref="L4196:L4197"/>
    <mergeCell ref="M4196:M4197"/>
    <mergeCell ref="N4196:N4197"/>
    <mergeCell ref="O4196:O4197"/>
    <mergeCell ref="X4196:X4197"/>
    <mergeCell ref="Y4196:Y4197"/>
    <mergeCell ref="Z4196:Z4197"/>
    <mergeCell ref="M4210:M4211"/>
    <mergeCell ref="N4210:N4211"/>
    <mergeCell ref="O4210:O4211"/>
    <mergeCell ref="X4210:X4211"/>
    <mergeCell ref="Y4210:Y4211"/>
    <mergeCell ref="Z4210:Z4211"/>
    <mergeCell ref="AA4210:AA4211"/>
    <mergeCell ref="A4212:A4213"/>
    <mergeCell ref="E4212:E4213"/>
    <mergeCell ref="H4212:H4213"/>
    <mergeCell ref="I4212:I4213"/>
    <mergeCell ref="J4212:J4213"/>
    <mergeCell ref="K4212:K4213"/>
    <mergeCell ref="L4212:L4213"/>
    <mergeCell ref="M4212:M4213"/>
    <mergeCell ref="N4212:N4213"/>
    <mergeCell ref="O4212:O4213"/>
    <mergeCell ref="X4212:X4213"/>
    <mergeCell ref="Y4212:Y4213"/>
    <mergeCell ref="Z4212:Z4213"/>
    <mergeCell ref="AA4212:AA4213"/>
    <mergeCell ref="AB4212:AB4213"/>
    <mergeCell ref="A4214:A4215"/>
    <mergeCell ref="E4214:E4215"/>
    <mergeCell ref="H4214:H4215"/>
    <mergeCell ref="I4214:I4215"/>
    <mergeCell ref="J4214:J4215"/>
    <mergeCell ref="K4214:K4215"/>
    <mergeCell ref="L4214:L4215"/>
    <mergeCell ref="M4214:M4215"/>
    <mergeCell ref="N4214:N4215"/>
    <mergeCell ref="K4218:K4219"/>
    <mergeCell ref="L4218:L4219"/>
    <mergeCell ref="M4218:M4219"/>
    <mergeCell ref="N4218:N4219"/>
    <mergeCell ref="O4218:O4219"/>
    <mergeCell ref="X4218:X4219"/>
    <mergeCell ref="Y4218:Y4219"/>
    <mergeCell ref="Z4218:Z4219"/>
    <mergeCell ref="AA4218:AA4219"/>
    <mergeCell ref="AB4218:AB4219"/>
    <mergeCell ref="A4220:A4221"/>
    <mergeCell ref="E4220:E4221"/>
    <mergeCell ref="H4220:H4221"/>
    <mergeCell ref="I4220:I4221"/>
    <mergeCell ref="J4220:J4221"/>
    <mergeCell ref="K4220:K4221"/>
    <mergeCell ref="L4220:L4221"/>
    <mergeCell ref="M4220:M4221"/>
    <mergeCell ref="N4220:N4221"/>
    <mergeCell ref="O4220:O4221"/>
    <mergeCell ref="X4220:X4221"/>
    <mergeCell ref="Y4220:Y4221"/>
    <mergeCell ref="Z4220:Z4221"/>
    <mergeCell ref="AA4220:AA4221"/>
    <mergeCell ref="AB4220:AB4221"/>
    <mergeCell ref="A4222:A4223"/>
    <mergeCell ref="E4222:E4223"/>
    <mergeCell ref="H4222:H4223"/>
    <mergeCell ref="I4222:I4223"/>
    <mergeCell ref="J4222:J4223"/>
    <mergeCell ref="K4222:K4223"/>
    <mergeCell ref="L4222:L4223"/>
    <mergeCell ref="M4222:M4223"/>
    <mergeCell ref="N4222:N4223"/>
    <mergeCell ref="O4222:O4223"/>
    <mergeCell ref="X4222:X4223"/>
    <mergeCell ref="Y4222:Y4223"/>
    <mergeCell ref="Z4222:Z4223"/>
    <mergeCell ref="AA4222:AA4223"/>
    <mergeCell ref="AB4222:AB4223"/>
    <mergeCell ref="A4224:A4225"/>
    <mergeCell ref="E4224:E4225"/>
    <mergeCell ref="H4224:H4225"/>
    <mergeCell ref="I4224:I4225"/>
    <mergeCell ref="J4224:J4225"/>
    <mergeCell ref="K4224:K4225"/>
    <mergeCell ref="L4224:L4225"/>
    <mergeCell ref="M4224:M4225"/>
    <mergeCell ref="N4224:N4225"/>
    <mergeCell ref="O4224:O4225"/>
    <mergeCell ref="X4224:X4225"/>
    <mergeCell ref="Y4224:Y4225"/>
    <mergeCell ref="Z4224:Z4225"/>
    <mergeCell ref="AA4224:AA4225"/>
    <mergeCell ref="AB4224:AB4225"/>
    <mergeCell ref="A4226:A4227"/>
    <mergeCell ref="E4226:E4227"/>
    <mergeCell ref="H4226:H4227"/>
    <mergeCell ref="I4226:I4227"/>
    <mergeCell ref="J4226:J4227"/>
    <mergeCell ref="K4226:K4227"/>
    <mergeCell ref="L4226:L4227"/>
    <mergeCell ref="M4226:M4227"/>
    <mergeCell ref="N4226:N4227"/>
    <mergeCell ref="O4226:O4227"/>
    <mergeCell ref="X4226:X4227"/>
    <mergeCell ref="Y4226:Y4227"/>
    <mergeCell ref="Z4226:Z4227"/>
    <mergeCell ref="AA4226:AA4227"/>
    <mergeCell ref="AB4226:AB4227"/>
    <mergeCell ref="A4228:A4229"/>
    <mergeCell ref="E4228:E4229"/>
    <mergeCell ref="H4228:H4229"/>
    <mergeCell ref="I4228:I4229"/>
    <mergeCell ref="J4228:J4229"/>
    <mergeCell ref="K4228:K4229"/>
    <mergeCell ref="L4228:L4229"/>
    <mergeCell ref="M4228:M4229"/>
    <mergeCell ref="N4228:N4229"/>
    <mergeCell ref="O4228:O4229"/>
    <mergeCell ref="X4228:X4229"/>
    <mergeCell ref="Y4228:Y4229"/>
    <mergeCell ref="Z4228:Z4229"/>
    <mergeCell ref="AA4228:AA4229"/>
    <mergeCell ref="AB4228:AB4229"/>
    <mergeCell ref="M4230:M4231"/>
    <mergeCell ref="N4230:N4231"/>
    <mergeCell ref="O4230:O4231"/>
    <mergeCell ref="X4230:X4231"/>
    <mergeCell ref="Y4230:Y4231"/>
    <mergeCell ref="Z4230:Z4231"/>
    <mergeCell ref="AA4230:AA4231"/>
    <mergeCell ref="AB4230:AB4231"/>
    <mergeCell ref="A4232:A4233"/>
    <mergeCell ref="E4232:E4233"/>
    <mergeCell ref="H4232:H4233"/>
    <mergeCell ref="I4232:I4233"/>
    <mergeCell ref="J4232:J4233"/>
    <mergeCell ref="K4232:K4233"/>
    <mergeCell ref="L4232:L4233"/>
    <mergeCell ref="M4232:M4233"/>
    <mergeCell ref="N4232:N4233"/>
    <mergeCell ref="O4232:O4233"/>
    <mergeCell ref="X4232:X4233"/>
    <mergeCell ref="Y4232:Y4233"/>
    <mergeCell ref="Z4232:Z4233"/>
    <mergeCell ref="AA4232:AA4233"/>
    <mergeCell ref="AB4232:AB4233"/>
    <mergeCell ref="A4234:A4235"/>
    <mergeCell ref="E4234:E4235"/>
    <mergeCell ref="H4234:H4235"/>
    <mergeCell ref="I4234:I4235"/>
    <mergeCell ref="J4234:J4235"/>
    <mergeCell ref="K4234:K4235"/>
    <mergeCell ref="L4234:L4235"/>
    <mergeCell ref="M4234:M4235"/>
    <mergeCell ref="N4234:N4235"/>
    <mergeCell ref="O4234:O4235"/>
    <mergeCell ref="X4234:X4235"/>
    <mergeCell ref="Y4234:Y4235"/>
    <mergeCell ref="Z4234:Z4235"/>
    <mergeCell ref="AA4234:AA4235"/>
    <mergeCell ref="AB4234:AB4235"/>
    <mergeCell ref="A4244:A4245"/>
    <mergeCell ref="E4244:E4245"/>
    <mergeCell ref="H4244:H4245"/>
    <mergeCell ref="I4244:I4245"/>
    <mergeCell ref="J4244:J4245"/>
    <mergeCell ref="K4244:K4245"/>
    <mergeCell ref="L4244:L4245"/>
    <mergeCell ref="M4244:M4245"/>
    <mergeCell ref="N4244:N4245"/>
    <mergeCell ref="O4244:O4245"/>
    <mergeCell ref="X4244:X4245"/>
    <mergeCell ref="Y4244:Y4245"/>
    <mergeCell ref="Z4244:Z4245"/>
    <mergeCell ref="AA4244:AA4245"/>
    <mergeCell ref="AB4244:AB4245"/>
    <mergeCell ref="A4246:A4247"/>
    <mergeCell ref="E4246:E4247"/>
    <mergeCell ref="H4246:H4247"/>
    <mergeCell ref="I4246:I4247"/>
    <mergeCell ref="J4246:J4247"/>
    <mergeCell ref="K4246:K4247"/>
    <mergeCell ref="L4246:L4247"/>
    <mergeCell ref="M4246:M4247"/>
    <mergeCell ref="N4246:N4247"/>
    <mergeCell ref="O4246:O4247"/>
    <mergeCell ref="X4246:X4247"/>
    <mergeCell ref="Y4246:Y4247"/>
    <mergeCell ref="Z4246:Z4247"/>
    <mergeCell ref="AA4246:AA4247"/>
    <mergeCell ref="AB4246:AB4247"/>
    <mergeCell ref="A4236:A4237"/>
    <mergeCell ref="E4236:E4237"/>
    <mergeCell ref="H4236:H4237"/>
    <mergeCell ref="I4236:I4237"/>
    <mergeCell ref="J4236:J4237"/>
    <mergeCell ref="K4236:K4237"/>
    <mergeCell ref="L4236:L4237"/>
    <mergeCell ref="M4236:M4237"/>
    <mergeCell ref="N4236:N4237"/>
    <mergeCell ref="O4236:O4237"/>
    <mergeCell ref="X4236:X4237"/>
    <mergeCell ref="Y4236:Y4237"/>
    <mergeCell ref="Z4236:Z4237"/>
    <mergeCell ref="AA4236:AA4237"/>
    <mergeCell ref="AB4236:AB4237"/>
    <mergeCell ref="A4238:A4239"/>
    <mergeCell ref="E4238:E4239"/>
    <mergeCell ref="H4238:H4239"/>
    <mergeCell ref="I4238:I4239"/>
    <mergeCell ref="J4238:J4239"/>
    <mergeCell ref="K4238:K4239"/>
    <mergeCell ref="L4238:L4239"/>
    <mergeCell ref="M4238:M4239"/>
    <mergeCell ref="N4238:N4239"/>
    <mergeCell ref="O4238:O4239"/>
    <mergeCell ref="X4238:X4239"/>
    <mergeCell ref="Y4238:Y4239"/>
    <mergeCell ref="Z4238:Z4239"/>
    <mergeCell ref="AA4238:AA4239"/>
    <mergeCell ref="AB4238:AB4239"/>
    <mergeCell ref="A4240:A4241"/>
    <mergeCell ref="E4240:E4241"/>
    <mergeCell ref="H4240:H4241"/>
    <mergeCell ref="I4240:I4241"/>
    <mergeCell ref="A3986:A3987"/>
    <mergeCell ref="E3986:E3987"/>
    <mergeCell ref="H3986:H3987"/>
    <mergeCell ref="I3986:I3987"/>
    <mergeCell ref="J3986:J3987"/>
    <mergeCell ref="K3986:K3987"/>
    <mergeCell ref="L3986:L3987"/>
    <mergeCell ref="M3986:M3987"/>
    <mergeCell ref="N3986:N3987"/>
    <mergeCell ref="O3986:O3987"/>
    <mergeCell ref="X3986:X3987"/>
    <mergeCell ref="Y3986:Y3987"/>
    <mergeCell ref="Z3986:Z3987"/>
    <mergeCell ref="AA3986:AA3987"/>
    <mergeCell ref="AB3986:AB3987"/>
    <mergeCell ref="AB3980:AB3981"/>
    <mergeCell ref="A3984:A3985"/>
    <mergeCell ref="E3984:E3985"/>
    <mergeCell ref="H3984:H3985"/>
    <mergeCell ref="I3984:I3985"/>
    <mergeCell ref="J3984:J3985"/>
    <mergeCell ref="K3984:K3985"/>
    <mergeCell ref="L3984:L3985"/>
    <mergeCell ref="M3984:M3985"/>
    <mergeCell ref="N3984:N3985"/>
    <mergeCell ref="O3984:O3985"/>
    <mergeCell ref="X3984:X3985"/>
    <mergeCell ref="Y3984:Y3985"/>
    <mergeCell ref="Z3984:Z3985"/>
    <mergeCell ref="AA3984:AA3985"/>
    <mergeCell ref="AB3984:AB3985"/>
    <mergeCell ref="A4242:A4243"/>
    <mergeCell ref="E4242:E4243"/>
    <mergeCell ref="H4242:H4243"/>
    <mergeCell ref="I4242:I4243"/>
    <mergeCell ref="J4242:J4243"/>
    <mergeCell ref="K4242:K4243"/>
    <mergeCell ref="L4242:L4243"/>
    <mergeCell ref="M4242:M4243"/>
    <mergeCell ref="N4242:N4243"/>
    <mergeCell ref="O4242:O4243"/>
    <mergeCell ref="X4242:X4243"/>
    <mergeCell ref="Y4242:Y4243"/>
    <mergeCell ref="Z4242:Z4243"/>
    <mergeCell ref="AA4242:AA4243"/>
    <mergeCell ref="AB4242:AB4243"/>
    <mergeCell ref="J4240:J4241"/>
    <mergeCell ref="K4240:K4241"/>
    <mergeCell ref="L4240:L4241"/>
    <mergeCell ref="M4240:M4241"/>
    <mergeCell ref="N4240:N4241"/>
    <mergeCell ref="O4240:O4241"/>
    <mergeCell ref="X4240:X4241"/>
    <mergeCell ref="Y4240:Y4241"/>
    <mergeCell ref="Z4240:Z4241"/>
    <mergeCell ref="AA4240:AA4241"/>
    <mergeCell ref="AB4240:AB4241"/>
    <mergeCell ref="A4230:A4231"/>
    <mergeCell ref="E4230:E4231"/>
    <mergeCell ref="H4230:H4231"/>
    <mergeCell ref="I4230:I4231"/>
    <mergeCell ref="J4230:J4231"/>
    <mergeCell ref="K4230:K4231"/>
    <mergeCell ref="L4230:L4231"/>
    <mergeCell ref="AA4206:AA4207"/>
    <mergeCell ref="AB4206:AB4207"/>
    <mergeCell ref="AA4200:AA4201"/>
    <mergeCell ref="AB4200:AB4201"/>
    <mergeCell ref="A4202:A4203"/>
    <mergeCell ref="E4202:E4203"/>
    <mergeCell ref="H4202:H4203"/>
    <mergeCell ref="I4202:I4203"/>
    <mergeCell ref="J4202:J4203"/>
    <mergeCell ref="K4202:K4203"/>
    <mergeCell ref="L4202:L4203"/>
    <mergeCell ref="M4202:M4203"/>
    <mergeCell ref="N4202:N4203"/>
    <mergeCell ref="O4202:O4203"/>
    <mergeCell ref="X4202:X4203"/>
    <mergeCell ref="Y4202:Y4203"/>
    <mergeCell ref="Z4202:Z4203"/>
    <mergeCell ref="AA4202:AA4203"/>
    <mergeCell ref="AB4202:AB4203"/>
    <mergeCell ref="X4208:X4209"/>
    <mergeCell ref="Y4208:Y4209"/>
    <mergeCell ref="Z4208:Z4209"/>
    <mergeCell ref="AA4208:AA4209"/>
    <mergeCell ref="AB4208:AB4209"/>
    <mergeCell ref="A4188:A4189"/>
    <mergeCell ref="E4188:E4189"/>
    <mergeCell ref="H4188:H4189"/>
    <mergeCell ref="I4188:I4189"/>
    <mergeCell ref="J4188:J4189"/>
    <mergeCell ref="K4188:K4189"/>
    <mergeCell ref="L4188:L4189"/>
    <mergeCell ref="M4188:M4189"/>
    <mergeCell ref="N4188:N4189"/>
    <mergeCell ref="O4188:O4189"/>
    <mergeCell ref="X4188:X4189"/>
    <mergeCell ref="Y4188:Y4189"/>
    <mergeCell ref="Z4188:Z4189"/>
    <mergeCell ref="AA4188:AA4189"/>
    <mergeCell ref="AB4188:AB4189"/>
    <mergeCell ref="O4204:O4205"/>
    <mergeCell ref="X4204:X4205"/>
    <mergeCell ref="Y4204:Y4205"/>
    <mergeCell ref="Z4204:Z4205"/>
    <mergeCell ref="AA4204:AA4205"/>
    <mergeCell ref="AB4204:AB4205"/>
    <mergeCell ref="A4206:A4207"/>
    <mergeCell ref="E4206:E4207"/>
    <mergeCell ref="H4206:H4207"/>
    <mergeCell ref="I4206:I4207"/>
    <mergeCell ref="AA4194:AA4195"/>
    <mergeCell ref="AB4194:AB4195"/>
    <mergeCell ref="A4198:A4199"/>
    <mergeCell ref="E4198:E4199"/>
    <mergeCell ref="H4198:H4199"/>
    <mergeCell ref="I4198:I4199"/>
    <mergeCell ref="J4198:J4199"/>
    <mergeCell ref="K4198:K4199"/>
    <mergeCell ref="L4198:L4199"/>
    <mergeCell ref="M4198:M4199"/>
    <mergeCell ref="N4198:N4199"/>
    <mergeCell ref="O4198:O4199"/>
    <mergeCell ref="X4198:X4199"/>
    <mergeCell ref="Y4198:Y4199"/>
    <mergeCell ref="Z4198:Z4199"/>
    <mergeCell ref="A4328:A4329"/>
    <mergeCell ref="E4328:E4329"/>
    <mergeCell ref="H4328:H4329"/>
    <mergeCell ref="I4328:I4329"/>
    <mergeCell ref="J4328:J4329"/>
    <mergeCell ref="K4328:K4329"/>
    <mergeCell ref="L4328:L4329"/>
    <mergeCell ref="M4328:M4329"/>
    <mergeCell ref="N4328:N4329"/>
    <mergeCell ref="O4328:O4329"/>
    <mergeCell ref="X4328:X4329"/>
    <mergeCell ref="Y4328:Y4329"/>
    <mergeCell ref="Z4328:Z4329"/>
    <mergeCell ref="AA4328:AA4329"/>
    <mergeCell ref="AB4328:AB4329"/>
    <mergeCell ref="A4340:A4341"/>
    <mergeCell ref="E4340:E4341"/>
    <mergeCell ref="H4340:H4341"/>
    <mergeCell ref="I4340:I4341"/>
    <mergeCell ref="J4340:J4341"/>
    <mergeCell ref="K4340:K4341"/>
    <mergeCell ref="L4340:L4341"/>
    <mergeCell ref="M4340:M4341"/>
    <mergeCell ref="N4340:N4341"/>
    <mergeCell ref="O4340:O4341"/>
    <mergeCell ref="X4340:X4341"/>
    <mergeCell ref="Y4340:Y4341"/>
    <mergeCell ref="Z4340:Z4341"/>
    <mergeCell ref="AA4340:AA4341"/>
    <mergeCell ref="AB4340:AB4341"/>
    <mergeCell ref="A4330:A4331"/>
    <mergeCell ref="E4330:E4331"/>
    <mergeCell ref="H4330:H4331"/>
    <mergeCell ref="I4330:I4331"/>
    <mergeCell ref="J4330:J4331"/>
    <mergeCell ref="K4330:K4331"/>
    <mergeCell ref="L4330:L4331"/>
    <mergeCell ref="M4330:M4331"/>
    <mergeCell ref="N4330:N4331"/>
    <mergeCell ref="A4334:A4335"/>
    <mergeCell ref="E4334:E4335"/>
    <mergeCell ref="H4334:H4335"/>
    <mergeCell ref="I4334:I4335"/>
    <mergeCell ref="J4334:J4335"/>
    <mergeCell ref="K4334:K4335"/>
    <mergeCell ref="L4334:L4335"/>
    <mergeCell ref="M4334:M4335"/>
    <mergeCell ref="N4334:N4335"/>
    <mergeCell ref="O4334:O4335"/>
    <mergeCell ref="X4334:X4335"/>
    <mergeCell ref="Y4334:Y4335"/>
    <mergeCell ref="Z4334:Z4335"/>
    <mergeCell ref="AA4334:AA4335"/>
    <mergeCell ref="AB4334:AB4335"/>
    <mergeCell ref="A4336:A4337"/>
    <mergeCell ref="E4336:E4337"/>
    <mergeCell ref="H4336:H4337"/>
    <mergeCell ref="I4336:I4337"/>
    <mergeCell ref="J4336:J4337"/>
    <mergeCell ref="K4336:K4337"/>
    <mergeCell ref="L4336:L4337"/>
    <mergeCell ref="M4336:M4337"/>
    <mergeCell ref="N4336:N4337"/>
    <mergeCell ref="O4336:O4337"/>
    <mergeCell ref="M4398:M4399"/>
    <mergeCell ref="N4398:N4399"/>
    <mergeCell ref="O4398:O4399"/>
    <mergeCell ref="X4398:X4399"/>
    <mergeCell ref="Y4398:Y4399"/>
    <mergeCell ref="Z4398:Z4399"/>
    <mergeCell ref="AA4398:AA4399"/>
    <mergeCell ref="AB4398:AB4399"/>
    <mergeCell ref="A4400:A4401"/>
    <mergeCell ref="E4400:E4401"/>
    <mergeCell ref="H4400:H4401"/>
    <mergeCell ref="I4400:I4401"/>
    <mergeCell ref="J4400:J4401"/>
    <mergeCell ref="K4400:K4401"/>
    <mergeCell ref="L4400:L4401"/>
    <mergeCell ref="M4400:M4401"/>
    <mergeCell ref="N4400:N4401"/>
    <mergeCell ref="O4400:O4401"/>
    <mergeCell ref="X4400:X4401"/>
    <mergeCell ref="Y4400:Y4401"/>
    <mergeCell ref="Z4400:Z4401"/>
    <mergeCell ref="AA4400:AA4401"/>
    <mergeCell ref="AB4400:AB4401"/>
    <mergeCell ref="A4402:A4403"/>
    <mergeCell ref="E4402:E4403"/>
    <mergeCell ref="H4402:H4403"/>
    <mergeCell ref="I4402:I4403"/>
    <mergeCell ref="J4402:J4403"/>
    <mergeCell ref="K4402:K4403"/>
    <mergeCell ref="L4402:L4403"/>
    <mergeCell ref="M4402:M4403"/>
    <mergeCell ref="N4402:N4403"/>
    <mergeCell ref="O4402:O4403"/>
    <mergeCell ref="X4402:X4403"/>
    <mergeCell ref="Y4402:Y4403"/>
    <mergeCell ref="Z4402:Z4403"/>
    <mergeCell ref="AA4402:AA4403"/>
    <mergeCell ref="AB4402:AB4403"/>
    <mergeCell ref="E4410:E4411"/>
    <mergeCell ref="H4410:H4411"/>
    <mergeCell ref="I4410:I4411"/>
    <mergeCell ref="J4410:J4411"/>
    <mergeCell ref="K4410:K4411"/>
    <mergeCell ref="L4410:L4411"/>
    <mergeCell ref="M4410:M4411"/>
    <mergeCell ref="N4410:N4411"/>
    <mergeCell ref="A4398:A4399"/>
    <mergeCell ref="E4398:E4399"/>
    <mergeCell ref="H4398:H4399"/>
    <mergeCell ref="I4398:I4399"/>
    <mergeCell ref="J4398:J4399"/>
    <mergeCell ref="K4398:K4399"/>
    <mergeCell ref="L4398:L4399"/>
    <mergeCell ref="AB4418:AB4419"/>
    <mergeCell ref="O4422:O4423"/>
    <mergeCell ref="X4422:X4423"/>
    <mergeCell ref="Y4422:Y4423"/>
    <mergeCell ref="Z4422:Z4423"/>
    <mergeCell ref="AA4422:AA4423"/>
    <mergeCell ref="AB4422:AB4423"/>
    <mergeCell ref="A4420:A4421"/>
    <mergeCell ref="E4420:E4421"/>
    <mergeCell ref="H4420:H4421"/>
    <mergeCell ref="I4420:I4421"/>
    <mergeCell ref="J4420:J4421"/>
    <mergeCell ref="K4420:K4421"/>
    <mergeCell ref="L4420:L4421"/>
    <mergeCell ref="M4420:M4421"/>
    <mergeCell ref="N4420:N4421"/>
    <mergeCell ref="O4420:O4421"/>
    <mergeCell ref="X4420:X4421"/>
    <mergeCell ref="Y4420:Y4421"/>
    <mergeCell ref="Z4420:Z4421"/>
    <mergeCell ref="AA4420:AA4421"/>
    <mergeCell ref="A4404:A4405"/>
    <mergeCell ref="E4404:E4405"/>
    <mergeCell ref="H4404:H4405"/>
    <mergeCell ref="I4404:I4405"/>
    <mergeCell ref="J4404:J4405"/>
    <mergeCell ref="K4404:K4405"/>
    <mergeCell ref="L4404:L4405"/>
    <mergeCell ref="M4404:M4405"/>
    <mergeCell ref="N4404:N4405"/>
    <mergeCell ref="O4404:O4405"/>
    <mergeCell ref="X4404:X4405"/>
    <mergeCell ref="Y4404:Y4405"/>
    <mergeCell ref="Z4404:Z4405"/>
    <mergeCell ref="AA4404:AA4405"/>
    <mergeCell ref="AB4404:AB4405"/>
    <mergeCell ref="A4406:A4407"/>
    <mergeCell ref="E4406:E4407"/>
    <mergeCell ref="H4406:H4407"/>
    <mergeCell ref="I4406:I4407"/>
    <mergeCell ref="J4406:J4407"/>
    <mergeCell ref="K4406:K4407"/>
    <mergeCell ref="L4406:L4407"/>
    <mergeCell ref="M4406:M4407"/>
    <mergeCell ref="N4406:N4407"/>
    <mergeCell ref="O4406:O4407"/>
    <mergeCell ref="X4406:X4407"/>
    <mergeCell ref="Y4406:Y4407"/>
    <mergeCell ref="Z4406:Z4407"/>
    <mergeCell ref="AA4406:AA4407"/>
    <mergeCell ref="AB4406:AB4407"/>
    <mergeCell ref="A4416:A4417"/>
    <mergeCell ref="E4416:E4417"/>
    <mergeCell ref="H4416:H4417"/>
    <mergeCell ref="I4416:I4417"/>
    <mergeCell ref="J4416:J4417"/>
    <mergeCell ref="K4416:K4417"/>
    <mergeCell ref="L4416:L4417"/>
    <mergeCell ref="M4416:M4417"/>
    <mergeCell ref="N4416:N4417"/>
    <mergeCell ref="O4416:O4417"/>
    <mergeCell ref="X4416:X4417"/>
    <mergeCell ref="Y4416:Y4417"/>
    <mergeCell ref="Z4416:Z4417"/>
    <mergeCell ref="A4432:A4433"/>
    <mergeCell ref="E4432:E4433"/>
    <mergeCell ref="H4432:H4433"/>
    <mergeCell ref="I4432:I4433"/>
    <mergeCell ref="J4432:J4433"/>
    <mergeCell ref="K4432:K4433"/>
    <mergeCell ref="L4432:L4433"/>
    <mergeCell ref="M4432:M4433"/>
    <mergeCell ref="N4432:N4433"/>
    <mergeCell ref="O4432:O4433"/>
    <mergeCell ref="X4432:X4433"/>
    <mergeCell ref="Y4432:Y4433"/>
    <mergeCell ref="Z4432:Z4433"/>
    <mergeCell ref="AA4432:AA4433"/>
    <mergeCell ref="A4436:A4437"/>
    <mergeCell ref="E4436:E4437"/>
    <mergeCell ref="H4436:H4437"/>
    <mergeCell ref="I4436:I4437"/>
    <mergeCell ref="J4436:J4437"/>
    <mergeCell ref="K4436:K4437"/>
    <mergeCell ref="L4436:L4437"/>
    <mergeCell ref="M4436:M4437"/>
    <mergeCell ref="N4436:N4437"/>
    <mergeCell ref="O4436:O4437"/>
    <mergeCell ref="X4436:X4437"/>
    <mergeCell ref="Y4436:Y4437"/>
    <mergeCell ref="Z4436:Z4437"/>
    <mergeCell ref="A4418:A4419"/>
    <mergeCell ref="E4418:E4419"/>
    <mergeCell ref="H4418:H4419"/>
    <mergeCell ref="I4418:I4419"/>
    <mergeCell ref="J4418:J4419"/>
    <mergeCell ref="K4418:K4419"/>
    <mergeCell ref="L4418:L4419"/>
    <mergeCell ref="M4418:M4419"/>
    <mergeCell ref="N4418:N4419"/>
    <mergeCell ref="O4418:O4419"/>
    <mergeCell ref="X4418:X4419"/>
    <mergeCell ref="Y4418:Y4419"/>
    <mergeCell ref="Z4418:Z4419"/>
    <mergeCell ref="AA4418:AA4419"/>
    <mergeCell ref="AA4436:AA4437"/>
    <mergeCell ref="X4426:X4427"/>
    <mergeCell ref="Y4426:Y4427"/>
    <mergeCell ref="Z4426:Z4427"/>
    <mergeCell ref="AA4426:AA4427"/>
    <mergeCell ref="AB4426:AB4427"/>
    <mergeCell ref="A4422:A4423"/>
    <mergeCell ref="E4422:E4423"/>
    <mergeCell ref="A4438:A4439"/>
    <mergeCell ref="E4438:E4439"/>
    <mergeCell ref="H4438:H4439"/>
    <mergeCell ref="I4438:I4439"/>
    <mergeCell ref="J4438:J4439"/>
    <mergeCell ref="K4438:K4439"/>
    <mergeCell ref="L4438:L4439"/>
    <mergeCell ref="M4438:M4439"/>
    <mergeCell ref="N4438:N4439"/>
    <mergeCell ref="O4438:O4439"/>
    <mergeCell ref="X4438:X4439"/>
    <mergeCell ref="Y4438:Y4439"/>
    <mergeCell ref="Z4438:Z4439"/>
    <mergeCell ref="AA4438:AA4439"/>
    <mergeCell ref="AB4438:AB4439"/>
    <mergeCell ref="A4440:A4441"/>
    <mergeCell ref="E4440:E4441"/>
    <mergeCell ref="H4440:H4441"/>
    <mergeCell ref="I4440:I4441"/>
    <mergeCell ref="J4440:J4441"/>
    <mergeCell ref="K4440:K4441"/>
    <mergeCell ref="L4440:L4441"/>
    <mergeCell ref="M4440:M4441"/>
    <mergeCell ref="N4440:N4441"/>
    <mergeCell ref="O4440:O4441"/>
    <mergeCell ref="X4440:X4441"/>
    <mergeCell ref="Y4440:Y4441"/>
    <mergeCell ref="Z4440:Z4441"/>
    <mergeCell ref="AA4440:AA4441"/>
    <mergeCell ref="AB4440:AB4441"/>
    <mergeCell ref="AB4436:AB4437"/>
    <mergeCell ref="A4424:A4425"/>
    <mergeCell ref="E4424:E4425"/>
    <mergeCell ref="H4424:H4425"/>
    <mergeCell ref="I4424:I4425"/>
    <mergeCell ref="J4424:J4425"/>
    <mergeCell ref="K4424:K4425"/>
    <mergeCell ref="L4424:L4425"/>
    <mergeCell ref="M4424:M4425"/>
    <mergeCell ref="N4424:N4425"/>
    <mergeCell ref="O4424:O4425"/>
    <mergeCell ref="X4424:X4425"/>
    <mergeCell ref="Y4424:Y4425"/>
    <mergeCell ref="Z4424:Z4425"/>
    <mergeCell ref="AA4424:AA4425"/>
    <mergeCell ref="AB4424:AB4425"/>
    <mergeCell ref="A4434:A4435"/>
    <mergeCell ref="E4434:E4435"/>
    <mergeCell ref="H4434:H4435"/>
    <mergeCell ref="I4434:I4435"/>
    <mergeCell ref="J4434:J4435"/>
    <mergeCell ref="K4434:K4435"/>
    <mergeCell ref="L4434:L4435"/>
    <mergeCell ref="M4434:M4435"/>
    <mergeCell ref="N4434:N4435"/>
    <mergeCell ref="O4434:O4435"/>
    <mergeCell ref="X4434:X4435"/>
    <mergeCell ref="Y4434:Y4435"/>
    <mergeCell ref="Z4434:Z4435"/>
    <mergeCell ref="AA4434:AA4435"/>
    <mergeCell ref="AB4434:AB4435"/>
    <mergeCell ref="A4428:A4429"/>
    <mergeCell ref="E4428:E4429"/>
    <mergeCell ref="O4426:O4427"/>
    <mergeCell ref="A4446:A4447"/>
    <mergeCell ref="E4446:E4447"/>
    <mergeCell ref="H4446:H4447"/>
    <mergeCell ref="I4446:I4447"/>
    <mergeCell ref="J4446:J4447"/>
    <mergeCell ref="K4446:K4447"/>
    <mergeCell ref="L4446:L4447"/>
    <mergeCell ref="M4446:M4447"/>
    <mergeCell ref="N4446:N4447"/>
    <mergeCell ref="A4452:A4453"/>
    <mergeCell ref="E4452:E4453"/>
    <mergeCell ref="H4452:H4453"/>
    <mergeCell ref="I4452:I4453"/>
    <mergeCell ref="J4452:J4453"/>
    <mergeCell ref="K4452:K4453"/>
    <mergeCell ref="L4452:L4453"/>
    <mergeCell ref="M4452:M4453"/>
    <mergeCell ref="N4452:N4453"/>
    <mergeCell ref="O4452:O4453"/>
    <mergeCell ref="X4452:X4453"/>
    <mergeCell ref="Y4452:Y4453"/>
    <mergeCell ref="Z4452:Z4453"/>
    <mergeCell ref="AA4452:AA4453"/>
    <mergeCell ref="AB4452:AB4453"/>
    <mergeCell ref="O4446:O4447"/>
    <mergeCell ref="X4446:X4447"/>
    <mergeCell ref="Y4446:Y4447"/>
    <mergeCell ref="Z4446:Z4447"/>
    <mergeCell ref="AA4446:AA4447"/>
    <mergeCell ref="AB4446:AB4447"/>
    <mergeCell ref="A4448:A4449"/>
    <mergeCell ref="E4448:E4449"/>
    <mergeCell ref="H4448:H4449"/>
    <mergeCell ref="I4448:I4449"/>
    <mergeCell ref="J4448:J4449"/>
    <mergeCell ref="K4448:K4449"/>
    <mergeCell ref="L4448:L4449"/>
    <mergeCell ref="M4448:M4449"/>
    <mergeCell ref="N4448:N4449"/>
    <mergeCell ref="X4454:X4455"/>
    <mergeCell ref="Y4454:Y4455"/>
    <mergeCell ref="Z4454:Z4455"/>
    <mergeCell ref="AA4454:AA4455"/>
    <mergeCell ref="AB4454:AB4455"/>
    <mergeCell ref="A4456:A4457"/>
    <mergeCell ref="E4456:E4457"/>
    <mergeCell ref="H4456:H4457"/>
    <mergeCell ref="I4456:I4457"/>
    <mergeCell ref="J4456:J4457"/>
    <mergeCell ref="K4456:K4457"/>
    <mergeCell ref="L4456:L4457"/>
    <mergeCell ref="M4456:M4457"/>
    <mergeCell ref="N4456:N4457"/>
    <mergeCell ref="O4456:O4457"/>
    <mergeCell ref="X4456:X4457"/>
    <mergeCell ref="Y4456:Y4457"/>
    <mergeCell ref="Z4456:Z4457"/>
    <mergeCell ref="AA4456:AA4457"/>
    <mergeCell ref="AB4456:AB4457"/>
    <mergeCell ref="A4458:A4459"/>
    <mergeCell ref="E4458:E4459"/>
    <mergeCell ref="H4458:H4459"/>
    <mergeCell ref="I4458:I4459"/>
    <mergeCell ref="J4458:J4459"/>
    <mergeCell ref="K4458:K4459"/>
    <mergeCell ref="L4458:L4459"/>
    <mergeCell ref="M4458:M4459"/>
    <mergeCell ref="N4458:N4459"/>
    <mergeCell ref="O4458:O4459"/>
    <mergeCell ref="X4458:X4459"/>
    <mergeCell ref="Y4458:Y4459"/>
    <mergeCell ref="Z4458:Z4459"/>
    <mergeCell ref="AA4458:AA4459"/>
    <mergeCell ref="AB4458:AB4459"/>
    <mergeCell ref="Z4470:Z4471"/>
    <mergeCell ref="AA4470:AA4471"/>
    <mergeCell ref="AB4470:AB4471"/>
    <mergeCell ref="A4460:A4461"/>
    <mergeCell ref="E4460:E4461"/>
    <mergeCell ref="H4460:H4461"/>
    <mergeCell ref="I4460:I4461"/>
    <mergeCell ref="J4460:J4461"/>
    <mergeCell ref="K4460:K4461"/>
    <mergeCell ref="L4460:L4461"/>
    <mergeCell ref="M4460:M4461"/>
    <mergeCell ref="N4460:N4461"/>
    <mergeCell ref="O4460:O4461"/>
    <mergeCell ref="X4460:X4461"/>
    <mergeCell ref="Y4460:Y4461"/>
    <mergeCell ref="Z4460:Z4461"/>
    <mergeCell ref="AA4460:AA4461"/>
    <mergeCell ref="AB4460:AB4461"/>
    <mergeCell ref="A4462:A4463"/>
    <mergeCell ref="E4462:E4463"/>
    <mergeCell ref="H4462:H4463"/>
    <mergeCell ref="I4462:I4463"/>
    <mergeCell ref="J4462:J4463"/>
    <mergeCell ref="K4462:K4463"/>
    <mergeCell ref="L4462:L4463"/>
    <mergeCell ref="M4462:M4463"/>
    <mergeCell ref="N4462:N4463"/>
    <mergeCell ref="O4462:O4463"/>
    <mergeCell ref="X4462:X4463"/>
    <mergeCell ref="Y4462:Y4463"/>
    <mergeCell ref="Z4462:Z4463"/>
    <mergeCell ref="AA4462:AA4463"/>
    <mergeCell ref="AB4462:AB4463"/>
    <mergeCell ref="A4464:A4465"/>
    <mergeCell ref="E4464:E4465"/>
    <mergeCell ref="H4464:H4465"/>
    <mergeCell ref="I4464:I4465"/>
    <mergeCell ref="J4464:J4465"/>
    <mergeCell ref="K4464:K4465"/>
    <mergeCell ref="L4464:L4465"/>
    <mergeCell ref="M4464:M4465"/>
    <mergeCell ref="N4464:N4465"/>
    <mergeCell ref="O4464:O4465"/>
    <mergeCell ref="X4464:X4465"/>
    <mergeCell ref="Y4464:Y4465"/>
    <mergeCell ref="Z4464:Z4465"/>
    <mergeCell ref="AA4464:AA4465"/>
    <mergeCell ref="AB4464:AB4465"/>
    <mergeCell ref="A4466:A4467"/>
    <mergeCell ref="E4466:E4467"/>
    <mergeCell ref="H4466:H4467"/>
    <mergeCell ref="I4466:I4467"/>
    <mergeCell ref="J4466:J4467"/>
    <mergeCell ref="K4466:K4467"/>
    <mergeCell ref="L4466:L4467"/>
    <mergeCell ref="M4466:M4467"/>
    <mergeCell ref="N4466:N4467"/>
    <mergeCell ref="O4466:O4467"/>
    <mergeCell ref="A4474:A4475"/>
    <mergeCell ref="E4474:E4475"/>
    <mergeCell ref="H4474:H4475"/>
    <mergeCell ref="I4474:I4475"/>
    <mergeCell ref="J4474:J4475"/>
    <mergeCell ref="K4474:K4475"/>
    <mergeCell ref="L4474:L4475"/>
    <mergeCell ref="M4474:M4475"/>
    <mergeCell ref="N4474:N4475"/>
    <mergeCell ref="O4474:O4475"/>
    <mergeCell ref="X4474:X4475"/>
    <mergeCell ref="Y4474:Y4475"/>
    <mergeCell ref="Z4474:Z4475"/>
    <mergeCell ref="AA4474:AA4475"/>
    <mergeCell ref="AB4474:AB4475"/>
    <mergeCell ref="AA4472:AA4473"/>
    <mergeCell ref="AB4472:AB4473"/>
    <mergeCell ref="A4476:A4477"/>
    <mergeCell ref="E4476:E4477"/>
    <mergeCell ref="H4476:H4477"/>
    <mergeCell ref="I4476:I4477"/>
    <mergeCell ref="J4476:J4477"/>
    <mergeCell ref="K4476:K4477"/>
    <mergeCell ref="L4476:L4477"/>
    <mergeCell ref="M4476:M4477"/>
    <mergeCell ref="N4476:N4477"/>
    <mergeCell ref="O4476:O4477"/>
    <mergeCell ref="X4476:X4477"/>
    <mergeCell ref="Y4476:Y4477"/>
    <mergeCell ref="Z4476:Z4477"/>
    <mergeCell ref="AA4476:AA4477"/>
    <mergeCell ref="AB4476:AB4477"/>
    <mergeCell ref="X4466:X4467"/>
    <mergeCell ref="Y4466:Y4467"/>
    <mergeCell ref="Z4466:Z4467"/>
    <mergeCell ref="AA4466:AA4467"/>
    <mergeCell ref="AB4466:AB4467"/>
    <mergeCell ref="A4468:A4469"/>
    <mergeCell ref="E4468:E4469"/>
    <mergeCell ref="H4468:H4469"/>
    <mergeCell ref="I4468:I4469"/>
    <mergeCell ref="J4468:J4469"/>
    <mergeCell ref="K4468:K4469"/>
    <mergeCell ref="L4468:L4469"/>
    <mergeCell ref="M4468:M4469"/>
    <mergeCell ref="N4468:N4469"/>
    <mergeCell ref="O4468:O4469"/>
    <mergeCell ref="X4468:X4469"/>
    <mergeCell ref="Y4468:Y4469"/>
    <mergeCell ref="Z4468:Z4469"/>
    <mergeCell ref="AA4468:AA4469"/>
    <mergeCell ref="AB4468:AB4469"/>
    <mergeCell ref="A4470:A4471"/>
    <mergeCell ref="E4470:E4471"/>
    <mergeCell ref="H4470:H4471"/>
    <mergeCell ref="I4470:I4471"/>
    <mergeCell ref="J4470:J4471"/>
    <mergeCell ref="K4470:K4471"/>
    <mergeCell ref="L4470:L4471"/>
    <mergeCell ref="M4470:M4471"/>
    <mergeCell ref="N4470:N4471"/>
    <mergeCell ref="O4470:O4471"/>
    <mergeCell ref="X4470:X4471"/>
    <mergeCell ref="Y4470:Y4471"/>
    <mergeCell ref="AB4478:AB4479"/>
    <mergeCell ref="A4480:A4481"/>
    <mergeCell ref="E4480:E4481"/>
    <mergeCell ref="H4480:H4481"/>
    <mergeCell ref="I4480:I4481"/>
    <mergeCell ref="J4480:J4481"/>
    <mergeCell ref="K4480:K4481"/>
    <mergeCell ref="L4480:L4481"/>
    <mergeCell ref="M4480:M4481"/>
    <mergeCell ref="N4480:N4481"/>
    <mergeCell ref="O4480:O4481"/>
    <mergeCell ref="X4480:X4481"/>
    <mergeCell ref="Y4480:Y4481"/>
    <mergeCell ref="Z4480:Z4481"/>
    <mergeCell ref="AA4480:AA4481"/>
    <mergeCell ref="AB4480:AB4481"/>
    <mergeCell ref="A4488:A4489"/>
    <mergeCell ref="E4488:E4489"/>
    <mergeCell ref="H4488:H4489"/>
    <mergeCell ref="I4488:I4489"/>
    <mergeCell ref="J4488:J4489"/>
    <mergeCell ref="K4488:K4489"/>
    <mergeCell ref="L4488:L4489"/>
    <mergeCell ref="M4488:M4489"/>
    <mergeCell ref="N4488:N4489"/>
    <mergeCell ref="O4488:O4489"/>
    <mergeCell ref="X4488:X4489"/>
    <mergeCell ref="Y4488:Y4489"/>
    <mergeCell ref="Z4488:Z4489"/>
    <mergeCell ref="AA4488:AA4489"/>
    <mergeCell ref="AB4488:AB4489"/>
    <mergeCell ref="A4482:A4483"/>
    <mergeCell ref="E4482:E4483"/>
    <mergeCell ref="H4482:H4483"/>
    <mergeCell ref="I4482:I4483"/>
    <mergeCell ref="J4482:J4483"/>
    <mergeCell ref="K4482:K4483"/>
    <mergeCell ref="L4482:L4483"/>
    <mergeCell ref="M4482:M4483"/>
    <mergeCell ref="N4482:N4483"/>
    <mergeCell ref="O4482:O4483"/>
    <mergeCell ref="X4482:X4483"/>
    <mergeCell ref="Y4482:Y4483"/>
    <mergeCell ref="M4484:M4485"/>
    <mergeCell ref="N4484:N4485"/>
    <mergeCell ref="A4494:A4495"/>
    <mergeCell ref="E4494:E4495"/>
    <mergeCell ref="H4494:H4495"/>
    <mergeCell ref="I4494:I4495"/>
    <mergeCell ref="J4494:J4495"/>
    <mergeCell ref="K4494:K4495"/>
    <mergeCell ref="L4494:L4495"/>
    <mergeCell ref="M4494:M4495"/>
    <mergeCell ref="N4494:N4495"/>
    <mergeCell ref="A4500:A4501"/>
    <mergeCell ref="E4500:E4501"/>
    <mergeCell ref="H4500:H4501"/>
    <mergeCell ref="I4500:I4501"/>
    <mergeCell ref="J4500:J4501"/>
    <mergeCell ref="K4500:K4501"/>
    <mergeCell ref="L4500:L4501"/>
    <mergeCell ref="AB4498:AB4499"/>
    <mergeCell ref="A4496:A4497"/>
    <mergeCell ref="E4496:E4497"/>
    <mergeCell ref="H4496:H4497"/>
    <mergeCell ref="I4496:I4497"/>
    <mergeCell ref="J4496:J4497"/>
    <mergeCell ref="K4496:K4497"/>
    <mergeCell ref="L4496:L4497"/>
    <mergeCell ref="M4496:M4497"/>
    <mergeCell ref="N4496:N4497"/>
    <mergeCell ref="X4500:X4501"/>
    <mergeCell ref="Y4500:Y4501"/>
    <mergeCell ref="Z4500:Z4501"/>
    <mergeCell ref="AA4500:AA4501"/>
    <mergeCell ref="AB4500:AB4501"/>
    <mergeCell ref="A4508:A4509"/>
    <mergeCell ref="E4508:E4509"/>
    <mergeCell ref="H4508:H4509"/>
    <mergeCell ref="I4508:I4509"/>
    <mergeCell ref="J4508:J4509"/>
    <mergeCell ref="K4508:K4509"/>
    <mergeCell ref="L4508:L4509"/>
    <mergeCell ref="M4508:M4509"/>
    <mergeCell ref="N4508:N4509"/>
    <mergeCell ref="O4508:O4509"/>
    <mergeCell ref="X4508:X4509"/>
    <mergeCell ref="Y4508:Y4509"/>
    <mergeCell ref="Z4508:Z4509"/>
    <mergeCell ref="AA4508:AA4509"/>
    <mergeCell ref="AB4508:AB4509"/>
    <mergeCell ref="O4504:O4505"/>
    <mergeCell ref="X4504:X4505"/>
    <mergeCell ref="Y4504:Y4505"/>
    <mergeCell ref="Z4504:Z4505"/>
    <mergeCell ref="AA4504:AA4505"/>
    <mergeCell ref="AB4504:AB4505"/>
    <mergeCell ref="M4500:M4501"/>
    <mergeCell ref="N4500:N4501"/>
    <mergeCell ref="O4500:O4501"/>
    <mergeCell ref="A4502:A4503"/>
    <mergeCell ref="O4496:O4497"/>
    <mergeCell ref="X4496:X4497"/>
    <mergeCell ref="Y4496:Y4497"/>
    <mergeCell ref="Z4496:Z4497"/>
    <mergeCell ref="E4502:E4503"/>
    <mergeCell ref="H4502:H4503"/>
    <mergeCell ref="I4502:I4503"/>
    <mergeCell ref="J4502:J4503"/>
    <mergeCell ref="E4512:E4513"/>
    <mergeCell ref="H4512:H4513"/>
    <mergeCell ref="I4512:I4513"/>
    <mergeCell ref="J4512:J4513"/>
    <mergeCell ref="K4512:K4513"/>
    <mergeCell ref="L4512:L4513"/>
    <mergeCell ref="M4512:M4513"/>
    <mergeCell ref="N4512:N4513"/>
    <mergeCell ref="O4512:O4513"/>
    <mergeCell ref="X4512:X4513"/>
    <mergeCell ref="Y4512:Y4513"/>
    <mergeCell ref="Z4512:Z4513"/>
    <mergeCell ref="AA4512:AA4513"/>
    <mergeCell ref="AB4512:AB4513"/>
    <mergeCell ref="A4510:A4511"/>
    <mergeCell ref="E4510:E4511"/>
    <mergeCell ref="H4510:H4511"/>
    <mergeCell ref="I4510:I4511"/>
    <mergeCell ref="J4510:J4511"/>
    <mergeCell ref="K4510:K4511"/>
    <mergeCell ref="L4510:L4511"/>
    <mergeCell ref="M4510:M4511"/>
    <mergeCell ref="N4510:N4511"/>
    <mergeCell ref="A4514:A4515"/>
    <mergeCell ref="E4514:E4515"/>
    <mergeCell ref="H4514:H4515"/>
    <mergeCell ref="I4514:I4515"/>
    <mergeCell ref="J4514:J4515"/>
    <mergeCell ref="K4514:K4515"/>
    <mergeCell ref="L4514:L4515"/>
    <mergeCell ref="M4514:M4515"/>
    <mergeCell ref="N4514:N4515"/>
    <mergeCell ref="O4514:O4515"/>
    <mergeCell ref="X4514:X4515"/>
    <mergeCell ref="Y4514:Y4515"/>
    <mergeCell ref="Z4514:Z4515"/>
    <mergeCell ref="AA4514:AA4515"/>
    <mergeCell ref="AB4514:AB4515"/>
    <mergeCell ref="O4510:O4511"/>
    <mergeCell ref="X4510:X4511"/>
    <mergeCell ref="Y4510:Y4511"/>
    <mergeCell ref="Z4510:Z4511"/>
    <mergeCell ref="AA4510:AA4511"/>
    <mergeCell ref="AB4510:AB4511"/>
    <mergeCell ref="A4512:A4513"/>
    <mergeCell ref="A4516:A4517"/>
    <mergeCell ref="E4516:E4517"/>
    <mergeCell ref="H4516:H4517"/>
    <mergeCell ref="I4516:I4517"/>
    <mergeCell ref="J4516:J4517"/>
    <mergeCell ref="K4516:K4517"/>
    <mergeCell ref="L4516:L4517"/>
    <mergeCell ref="M4516:M4517"/>
    <mergeCell ref="N4516:N4517"/>
    <mergeCell ref="O4516:O4517"/>
    <mergeCell ref="X4516:X4517"/>
    <mergeCell ref="Y4516:Y4517"/>
    <mergeCell ref="Z4516:Z4517"/>
    <mergeCell ref="AA4516:AA4517"/>
    <mergeCell ref="AB4516:AB4517"/>
    <mergeCell ref="A4518:A4519"/>
    <mergeCell ref="E4518:E4519"/>
    <mergeCell ref="H4518:H4519"/>
    <mergeCell ref="I4518:I4519"/>
    <mergeCell ref="J4518:J4519"/>
    <mergeCell ref="K4518:K4519"/>
    <mergeCell ref="L4518:L4519"/>
    <mergeCell ref="M4518:M4519"/>
    <mergeCell ref="N4518:N4519"/>
    <mergeCell ref="O4518:O4519"/>
    <mergeCell ref="X4518:X4519"/>
    <mergeCell ref="Y4518:Y4519"/>
    <mergeCell ref="Z4518:Z4519"/>
    <mergeCell ref="AA4518:AA4519"/>
    <mergeCell ref="AB4518:AB4519"/>
    <mergeCell ref="A4520:A4521"/>
    <mergeCell ref="E4520:E4521"/>
    <mergeCell ref="H4520:H4521"/>
    <mergeCell ref="I4520:I4521"/>
    <mergeCell ref="J4520:J4521"/>
    <mergeCell ref="K4520:K4521"/>
    <mergeCell ref="L4520:L4521"/>
    <mergeCell ref="M4520:M4521"/>
    <mergeCell ref="N4520:N4521"/>
    <mergeCell ref="O4520:O4521"/>
    <mergeCell ref="X4520:X4521"/>
    <mergeCell ref="Y4520:Y4521"/>
    <mergeCell ref="Z4520:Z4521"/>
    <mergeCell ref="AA4520:AA4521"/>
    <mergeCell ref="AB4520:AB4521"/>
    <mergeCell ref="A4522:A4523"/>
    <mergeCell ref="E4522:E4523"/>
    <mergeCell ref="H4522:H4523"/>
    <mergeCell ref="I4522:I4523"/>
    <mergeCell ref="J4522:J4523"/>
    <mergeCell ref="K4522:K4523"/>
    <mergeCell ref="L4522:L4523"/>
    <mergeCell ref="M4522:M4523"/>
    <mergeCell ref="N4522:N4523"/>
    <mergeCell ref="O4522:O4523"/>
    <mergeCell ref="X4522:X4523"/>
    <mergeCell ref="Y4522:Y4523"/>
    <mergeCell ref="Z4522:Z4523"/>
    <mergeCell ref="AA4522:AA4523"/>
    <mergeCell ref="AB4522:AB4523"/>
    <mergeCell ref="A4524:A4525"/>
    <mergeCell ref="E4524:E4525"/>
    <mergeCell ref="H4524:H4525"/>
    <mergeCell ref="I4524:I4525"/>
    <mergeCell ref="J4524:J4525"/>
    <mergeCell ref="K4524:K4525"/>
    <mergeCell ref="L4524:L4525"/>
    <mergeCell ref="M4524:M4525"/>
    <mergeCell ref="N4524:N4525"/>
    <mergeCell ref="O4524:O4525"/>
    <mergeCell ref="X4524:X4525"/>
    <mergeCell ref="Y4524:Y4525"/>
    <mergeCell ref="Z4524:Z4525"/>
    <mergeCell ref="AA4524:AA4525"/>
    <mergeCell ref="AB4524:AB4525"/>
    <mergeCell ref="A4526:A4527"/>
    <mergeCell ref="E4526:E4527"/>
    <mergeCell ref="H4526:H4527"/>
    <mergeCell ref="I4526:I4527"/>
    <mergeCell ref="J4526:J4527"/>
    <mergeCell ref="K4526:K4527"/>
    <mergeCell ref="L4526:L4527"/>
    <mergeCell ref="M4526:M4527"/>
    <mergeCell ref="N4526:N4527"/>
    <mergeCell ref="O4526:O4527"/>
    <mergeCell ref="X4526:X4527"/>
    <mergeCell ref="Y4526:Y4527"/>
    <mergeCell ref="Z4526:Z4527"/>
    <mergeCell ref="AA4526:AA4527"/>
    <mergeCell ref="AB4526:AB4527"/>
    <mergeCell ref="A4530:A4531"/>
    <mergeCell ref="E4530:E4531"/>
    <mergeCell ref="H4530:H4531"/>
    <mergeCell ref="I4530:I4531"/>
    <mergeCell ref="J4530:J4531"/>
    <mergeCell ref="K4530:K4531"/>
    <mergeCell ref="L4530:L4531"/>
    <mergeCell ref="M4530:M4531"/>
    <mergeCell ref="N4530:N4531"/>
    <mergeCell ref="O4530:O4531"/>
    <mergeCell ref="X4530:X4531"/>
    <mergeCell ref="Y4530:Y4531"/>
    <mergeCell ref="Z4530:Z4531"/>
    <mergeCell ref="AA4530:AA4531"/>
    <mergeCell ref="AB4530:AB4531"/>
    <mergeCell ref="A4528:A4529"/>
    <mergeCell ref="E4528:E4529"/>
    <mergeCell ref="H4528:H4529"/>
    <mergeCell ref="I4528:I4529"/>
    <mergeCell ref="J4528:J4529"/>
    <mergeCell ref="K4528:K4529"/>
    <mergeCell ref="L4528:L4529"/>
    <mergeCell ref="M4528:M4529"/>
    <mergeCell ref="N4528:N4529"/>
    <mergeCell ref="A4534:A4535"/>
    <mergeCell ref="E4534:E4535"/>
    <mergeCell ref="H4534:H4535"/>
    <mergeCell ref="I4534:I4535"/>
    <mergeCell ref="J4534:J4535"/>
    <mergeCell ref="K4534:K4535"/>
    <mergeCell ref="L4534:L4535"/>
    <mergeCell ref="M4534:M4535"/>
    <mergeCell ref="N4534:N4535"/>
    <mergeCell ref="O4534:O4535"/>
    <mergeCell ref="X4534:X4535"/>
    <mergeCell ref="Y4534:Y4535"/>
    <mergeCell ref="Z4534:Z4535"/>
    <mergeCell ref="AA4534:AA4535"/>
    <mergeCell ref="AB4534:AB4535"/>
    <mergeCell ref="A4532:A4533"/>
    <mergeCell ref="E4532:E4533"/>
    <mergeCell ref="H4532:H4533"/>
    <mergeCell ref="I4532:I4533"/>
    <mergeCell ref="J4532:J4533"/>
    <mergeCell ref="K4532:K4533"/>
    <mergeCell ref="L4532:L4533"/>
    <mergeCell ref="M4532:M4533"/>
    <mergeCell ref="N4532:N4533"/>
    <mergeCell ref="O4532:O4533"/>
    <mergeCell ref="X4532:X4533"/>
    <mergeCell ref="Y4532:Y4533"/>
    <mergeCell ref="Z4532:Z4533"/>
    <mergeCell ref="AA4532:AA4533"/>
    <mergeCell ref="AB4532:AB4533"/>
    <mergeCell ref="A4536:A4537"/>
    <mergeCell ref="E4536:E4537"/>
    <mergeCell ref="H4536:H4537"/>
    <mergeCell ref="I4536:I4537"/>
    <mergeCell ref="J4536:J4537"/>
    <mergeCell ref="K4536:K4537"/>
    <mergeCell ref="L4536:L4537"/>
    <mergeCell ref="M4536:M4537"/>
    <mergeCell ref="N4536:N4537"/>
    <mergeCell ref="O4536:O4537"/>
    <mergeCell ref="X4536:X4537"/>
    <mergeCell ref="Y4536:Y4537"/>
    <mergeCell ref="Z4536:Z4537"/>
    <mergeCell ref="AA4536:AA4537"/>
    <mergeCell ref="AB4536:AB4537"/>
    <mergeCell ref="A4538:A4539"/>
    <mergeCell ref="E4538:E4539"/>
    <mergeCell ref="H4538:H4539"/>
    <mergeCell ref="I4538:I4539"/>
    <mergeCell ref="J4538:J4539"/>
    <mergeCell ref="K4538:K4539"/>
    <mergeCell ref="L4538:L4539"/>
    <mergeCell ref="M4538:M4539"/>
    <mergeCell ref="N4538:N4539"/>
    <mergeCell ref="O4538:O4539"/>
    <mergeCell ref="X4538:X4539"/>
    <mergeCell ref="Y4538:Y4539"/>
    <mergeCell ref="Z4538:Z4539"/>
    <mergeCell ref="AA4538:AA4539"/>
    <mergeCell ref="AB4538:AB4539"/>
    <mergeCell ref="A4540:A4541"/>
    <mergeCell ref="E4540:E4541"/>
    <mergeCell ref="H4540:H4541"/>
    <mergeCell ref="I4540:I4541"/>
    <mergeCell ref="J4540:J4541"/>
    <mergeCell ref="K4540:K4541"/>
    <mergeCell ref="L4540:L4541"/>
    <mergeCell ref="M4540:M4541"/>
    <mergeCell ref="N4540:N4541"/>
    <mergeCell ref="O4540:O4541"/>
    <mergeCell ref="X4540:X4541"/>
    <mergeCell ref="Y4540:Y4541"/>
    <mergeCell ref="Z4540:Z4541"/>
    <mergeCell ref="AA4540:AA4541"/>
    <mergeCell ref="AB4540:AB4541"/>
    <mergeCell ref="A4542:A4543"/>
    <mergeCell ref="E4542:E4543"/>
    <mergeCell ref="H4542:H4543"/>
    <mergeCell ref="I4542:I4543"/>
    <mergeCell ref="J4542:J4543"/>
    <mergeCell ref="K4542:K4543"/>
    <mergeCell ref="L4542:L4543"/>
    <mergeCell ref="M4542:M4543"/>
    <mergeCell ref="N4542:N4543"/>
    <mergeCell ref="O4542:O4543"/>
    <mergeCell ref="X4542:X4543"/>
    <mergeCell ref="Y4542:Y4543"/>
    <mergeCell ref="Z4542:Z4543"/>
    <mergeCell ref="AA4542:AA4543"/>
    <mergeCell ref="AB4542:AB4543"/>
    <mergeCell ref="A4544:A4545"/>
    <mergeCell ref="E4544:E4545"/>
    <mergeCell ref="H4544:H4545"/>
    <mergeCell ref="I4544:I4545"/>
    <mergeCell ref="J4544:J4545"/>
    <mergeCell ref="K4544:K4545"/>
    <mergeCell ref="L4544:L4545"/>
    <mergeCell ref="M4544:M4545"/>
    <mergeCell ref="N4544:N4545"/>
    <mergeCell ref="O4544:O4545"/>
    <mergeCell ref="X4544:X4545"/>
    <mergeCell ref="Y4544:Y4545"/>
    <mergeCell ref="Z4544:Z4545"/>
    <mergeCell ref="AA4544:AA4545"/>
    <mergeCell ref="AB4544:AB4545"/>
    <mergeCell ref="A4546:A4547"/>
    <mergeCell ref="E4546:E4547"/>
    <mergeCell ref="H4546:H4547"/>
    <mergeCell ref="I4546:I4547"/>
    <mergeCell ref="J4546:J4547"/>
    <mergeCell ref="K4546:K4547"/>
    <mergeCell ref="L4546:L4547"/>
    <mergeCell ref="M4546:M4547"/>
    <mergeCell ref="N4546:N4547"/>
    <mergeCell ref="O4546:O4547"/>
    <mergeCell ref="X4546:X4547"/>
    <mergeCell ref="Y4546:Y4547"/>
    <mergeCell ref="Z4546:Z4547"/>
    <mergeCell ref="AA4546:AA4547"/>
    <mergeCell ref="AB4546:AB4547"/>
    <mergeCell ref="A4548:A4549"/>
    <mergeCell ref="E4548:E4549"/>
    <mergeCell ref="H4548:H4549"/>
    <mergeCell ref="I4548:I4549"/>
    <mergeCell ref="J4548:J4549"/>
    <mergeCell ref="K4548:K4549"/>
    <mergeCell ref="L4548:L4549"/>
    <mergeCell ref="M4548:M4549"/>
    <mergeCell ref="N4548:N4549"/>
    <mergeCell ref="O4548:O4549"/>
    <mergeCell ref="X4548:X4549"/>
    <mergeCell ref="Y4548:Y4549"/>
    <mergeCell ref="Z4548:Z4549"/>
    <mergeCell ref="AA4548:AA4549"/>
    <mergeCell ref="AB4548:AB4549"/>
    <mergeCell ref="A4550:A4551"/>
    <mergeCell ref="E4550:E4551"/>
    <mergeCell ref="H4550:H4551"/>
    <mergeCell ref="I4550:I4551"/>
    <mergeCell ref="J4550:J4551"/>
    <mergeCell ref="K4550:K4551"/>
    <mergeCell ref="L4550:L4551"/>
    <mergeCell ref="M4550:M4551"/>
    <mergeCell ref="N4550:N4551"/>
    <mergeCell ref="O4550:O4551"/>
    <mergeCell ref="X4550:X4551"/>
    <mergeCell ref="Y4550:Y4551"/>
    <mergeCell ref="Z4550:Z4551"/>
    <mergeCell ref="AA4550:AA4551"/>
    <mergeCell ref="AB4550:AB4551"/>
    <mergeCell ref="A4552:A4553"/>
    <mergeCell ref="E4552:E4553"/>
    <mergeCell ref="H4552:H4553"/>
    <mergeCell ref="I4552:I4553"/>
    <mergeCell ref="J4552:J4553"/>
    <mergeCell ref="K4552:K4553"/>
    <mergeCell ref="L4552:L4553"/>
    <mergeCell ref="M4552:M4553"/>
    <mergeCell ref="N4552:N4553"/>
    <mergeCell ref="O4552:O4553"/>
    <mergeCell ref="X4552:X4553"/>
    <mergeCell ref="Y4552:Y4553"/>
    <mergeCell ref="Z4552:Z4553"/>
    <mergeCell ref="AA4552:AA4553"/>
    <mergeCell ref="AB4552:AB4553"/>
    <mergeCell ref="A4554:A4555"/>
    <mergeCell ref="E4554:E4555"/>
    <mergeCell ref="H4554:H4555"/>
    <mergeCell ref="I4554:I4555"/>
    <mergeCell ref="J4554:J4555"/>
    <mergeCell ref="K4554:K4555"/>
    <mergeCell ref="L4554:L4555"/>
    <mergeCell ref="M4554:M4555"/>
    <mergeCell ref="N4554:N4555"/>
    <mergeCell ref="O4554:O4555"/>
    <mergeCell ref="X4554:X4555"/>
    <mergeCell ref="Y4554:Y4555"/>
    <mergeCell ref="Z4554:Z4555"/>
    <mergeCell ref="AA4554:AA4555"/>
    <mergeCell ref="AB4554:AB4555"/>
    <mergeCell ref="A4556:A4557"/>
    <mergeCell ref="E4556:E4557"/>
    <mergeCell ref="H4556:H4557"/>
    <mergeCell ref="I4556:I4557"/>
    <mergeCell ref="J4556:J4557"/>
    <mergeCell ref="K4556:K4557"/>
    <mergeCell ref="L4556:L4557"/>
    <mergeCell ref="M4556:M4557"/>
    <mergeCell ref="N4556:N4557"/>
    <mergeCell ref="O4556:O4557"/>
    <mergeCell ref="X4556:X4557"/>
    <mergeCell ref="Y4556:Y4557"/>
    <mergeCell ref="Z4556:Z4557"/>
    <mergeCell ref="AA4556:AA4557"/>
    <mergeCell ref="AB4556:AB4557"/>
    <mergeCell ref="A4558:A4559"/>
    <mergeCell ref="E4558:E4559"/>
    <mergeCell ref="H4558:H4559"/>
    <mergeCell ref="I4558:I4559"/>
    <mergeCell ref="J4558:J4559"/>
    <mergeCell ref="K4558:K4559"/>
    <mergeCell ref="L4558:L4559"/>
    <mergeCell ref="M4558:M4559"/>
    <mergeCell ref="N4558:N4559"/>
    <mergeCell ref="O4558:O4559"/>
    <mergeCell ref="X4558:X4559"/>
    <mergeCell ref="Y4558:Y4559"/>
    <mergeCell ref="Z4558:Z4559"/>
    <mergeCell ref="AA4558:AA4559"/>
    <mergeCell ref="AB4558:AB4559"/>
    <mergeCell ref="A4560:A4561"/>
    <mergeCell ref="E4560:E4561"/>
    <mergeCell ref="H4560:H4561"/>
    <mergeCell ref="I4560:I4561"/>
    <mergeCell ref="J4560:J4561"/>
    <mergeCell ref="K4560:K4561"/>
    <mergeCell ref="L4560:L4561"/>
    <mergeCell ref="M4560:M4561"/>
    <mergeCell ref="N4560:N4561"/>
    <mergeCell ref="O4560:O4561"/>
    <mergeCell ref="X4560:X4561"/>
    <mergeCell ref="Y4560:Y4561"/>
    <mergeCell ref="Z4560:Z4561"/>
    <mergeCell ref="AA4560:AA4561"/>
    <mergeCell ref="AB4560:AB4561"/>
    <mergeCell ref="A4562:A4563"/>
    <mergeCell ref="E4562:E4563"/>
    <mergeCell ref="H4562:H4563"/>
    <mergeCell ref="I4562:I4563"/>
    <mergeCell ref="J4562:J4563"/>
    <mergeCell ref="K4562:K4563"/>
    <mergeCell ref="L4562:L4563"/>
    <mergeCell ref="M4562:M4563"/>
    <mergeCell ref="N4562:N4563"/>
    <mergeCell ref="O4562:O4563"/>
    <mergeCell ref="X4562:X4563"/>
    <mergeCell ref="Y4562:Y4563"/>
    <mergeCell ref="Z4562:Z4563"/>
    <mergeCell ref="AA4562:AA4563"/>
    <mergeCell ref="AB4562:AB4563"/>
    <mergeCell ref="A4564:A4565"/>
    <mergeCell ref="E4564:E4565"/>
    <mergeCell ref="H4564:H4565"/>
    <mergeCell ref="I4564:I4565"/>
    <mergeCell ref="J4564:J4565"/>
    <mergeCell ref="K4564:K4565"/>
    <mergeCell ref="L4564:L4565"/>
    <mergeCell ref="M4564:M4565"/>
    <mergeCell ref="N4564:N4565"/>
    <mergeCell ref="O4564:O4565"/>
    <mergeCell ref="X4564:X4565"/>
    <mergeCell ref="Y4564:Y4565"/>
    <mergeCell ref="Z4564:Z4565"/>
    <mergeCell ref="AA4564:AA4565"/>
    <mergeCell ref="AB4564:AB4565"/>
    <mergeCell ref="A4566:A4567"/>
    <mergeCell ref="E4566:E4567"/>
    <mergeCell ref="H4566:H4567"/>
    <mergeCell ref="I4566:I4567"/>
    <mergeCell ref="J4566:J4567"/>
    <mergeCell ref="K4566:K4567"/>
    <mergeCell ref="L4566:L4567"/>
    <mergeCell ref="M4566:M4567"/>
    <mergeCell ref="N4566:N4567"/>
    <mergeCell ref="O4566:O4567"/>
    <mergeCell ref="X4566:X4567"/>
    <mergeCell ref="Y4566:Y4567"/>
    <mergeCell ref="Z4566:Z4567"/>
    <mergeCell ref="AA4566:AA4567"/>
    <mergeCell ref="AB4566:AB4567"/>
    <mergeCell ref="A4568:A4569"/>
    <mergeCell ref="E4568:E4569"/>
    <mergeCell ref="H4568:H4569"/>
    <mergeCell ref="I4568:I4569"/>
    <mergeCell ref="J4568:J4569"/>
    <mergeCell ref="K4568:K4569"/>
    <mergeCell ref="L4568:L4569"/>
    <mergeCell ref="M4568:M4569"/>
    <mergeCell ref="N4568:N4569"/>
    <mergeCell ref="O4568:O4569"/>
    <mergeCell ref="X4568:X4569"/>
    <mergeCell ref="Y4568:Y4569"/>
    <mergeCell ref="Z4568:Z4569"/>
    <mergeCell ref="AA4568:AA4569"/>
    <mergeCell ref="AB4568:AB4569"/>
    <mergeCell ref="A4570:A4571"/>
    <mergeCell ref="E4570:E4571"/>
    <mergeCell ref="H4570:H4571"/>
    <mergeCell ref="I4570:I4571"/>
    <mergeCell ref="J4570:J4571"/>
    <mergeCell ref="K4570:K4571"/>
    <mergeCell ref="L4570:L4571"/>
    <mergeCell ref="M4570:M4571"/>
    <mergeCell ref="N4570:N4571"/>
    <mergeCell ref="O4570:O4571"/>
    <mergeCell ref="X4570:X4571"/>
    <mergeCell ref="Y4570:Y4571"/>
    <mergeCell ref="Z4570:Z4571"/>
    <mergeCell ref="AA4570:AA4571"/>
    <mergeCell ref="AB4570:AB4571"/>
    <mergeCell ref="A4572:A4573"/>
    <mergeCell ref="E4572:E4573"/>
    <mergeCell ref="H4572:H4573"/>
    <mergeCell ref="I4572:I4573"/>
    <mergeCell ref="J4572:J4573"/>
    <mergeCell ref="K4572:K4573"/>
    <mergeCell ref="L4572:L4573"/>
    <mergeCell ref="M4572:M4573"/>
    <mergeCell ref="N4572:N4573"/>
    <mergeCell ref="O4572:O4573"/>
    <mergeCell ref="X4572:X4573"/>
    <mergeCell ref="Y4572:Y4573"/>
    <mergeCell ref="Z4572:Z4573"/>
    <mergeCell ref="AA4572:AA4573"/>
    <mergeCell ref="AB4572:AB4573"/>
    <mergeCell ref="A4574:A4575"/>
    <mergeCell ref="E4574:E4575"/>
    <mergeCell ref="H4574:H4575"/>
    <mergeCell ref="I4574:I4575"/>
    <mergeCell ref="J4574:J4575"/>
    <mergeCell ref="K4574:K4575"/>
    <mergeCell ref="L4574:L4575"/>
    <mergeCell ref="M4574:M4575"/>
    <mergeCell ref="N4574:N4575"/>
    <mergeCell ref="O4574:O4575"/>
    <mergeCell ref="X4574:X4575"/>
    <mergeCell ref="Y4574:Y4575"/>
    <mergeCell ref="Z4574:Z4575"/>
    <mergeCell ref="AA4574:AA4575"/>
    <mergeCell ref="AB4574:AB4575"/>
    <mergeCell ref="A4576:A4577"/>
    <mergeCell ref="E4576:E4577"/>
    <mergeCell ref="H4576:H4577"/>
    <mergeCell ref="I4576:I4577"/>
    <mergeCell ref="J4576:J4577"/>
    <mergeCell ref="K4576:K4577"/>
    <mergeCell ref="L4576:L4577"/>
    <mergeCell ref="M4576:M4577"/>
    <mergeCell ref="N4576:N4577"/>
    <mergeCell ref="O4576:O4577"/>
    <mergeCell ref="X4576:X4577"/>
    <mergeCell ref="Y4576:Y4577"/>
    <mergeCell ref="Z4576:Z4577"/>
    <mergeCell ref="AA4576:AA4577"/>
    <mergeCell ref="AB4576:AB4577"/>
    <mergeCell ref="A4578:A4579"/>
    <mergeCell ref="E4578:E4579"/>
    <mergeCell ref="H4578:H4579"/>
    <mergeCell ref="I4578:I4579"/>
    <mergeCell ref="J4578:J4579"/>
    <mergeCell ref="K4578:K4579"/>
    <mergeCell ref="L4578:L4579"/>
    <mergeCell ref="M4578:M4579"/>
    <mergeCell ref="N4578:N4579"/>
    <mergeCell ref="O4578:O4579"/>
    <mergeCell ref="X4578:X4579"/>
    <mergeCell ref="Y4578:Y4579"/>
    <mergeCell ref="Z4578:Z4579"/>
    <mergeCell ref="AA4578:AA4579"/>
    <mergeCell ref="AB4578:AB4579"/>
    <mergeCell ref="A4580:A4581"/>
    <mergeCell ref="E4580:E4581"/>
    <mergeCell ref="H4580:H4581"/>
    <mergeCell ref="I4580:I4581"/>
    <mergeCell ref="J4580:J4581"/>
    <mergeCell ref="K4580:K4581"/>
    <mergeCell ref="L4580:L4581"/>
    <mergeCell ref="M4580:M4581"/>
    <mergeCell ref="N4580:N4581"/>
    <mergeCell ref="O4580:O4581"/>
    <mergeCell ref="X4580:X4581"/>
    <mergeCell ref="Y4580:Y4581"/>
    <mergeCell ref="Z4580:Z4581"/>
    <mergeCell ref="AA4580:AA4581"/>
    <mergeCell ref="AB4580:AB4581"/>
    <mergeCell ref="A4582:A4583"/>
    <mergeCell ref="E4582:E4583"/>
    <mergeCell ref="H4582:H4583"/>
    <mergeCell ref="I4582:I4583"/>
    <mergeCell ref="J4582:J4583"/>
    <mergeCell ref="K4582:K4583"/>
    <mergeCell ref="L4582:L4583"/>
    <mergeCell ref="M4582:M4583"/>
    <mergeCell ref="N4582:N4583"/>
    <mergeCell ref="O4582:O4583"/>
    <mergeCell ref="X4582:X4583"/>
    <mergeCell ref="Y4582:Y4583"/>
    <mergeCell ref="Z4582:Z4583"/>
    <mergeCell ref="AA4582:AA4583"/>
    <mergeCell ref="AB4582:AB4583"/>
    <mergeCell ref="A4584:A4585"/>
    <mergeCell ref="E4584:E4585"/>
    <mergeCell ref="H4584:H4585"/>
    <mergeCell ref="I4584:I4585"/>
    <mergeCell ref="J4584:J4585"/>
    <mergeCell ref="K4584:K4585"/>
    <mergeCell ref="L4584:L4585"/>
    <mergeCell ref="M4584:M4585"/>
    <mergeCell ref="N4584:N4585"/>
    <mergeCell ref="O4584:O4585"/>
    <mergeCell ref="X4584:X4585"/>
    <mergeCell ref="Y4584:Y4585"/>
    <mergeCell ref="Z4584:Z4585"/>
    <mergeCell ref="AA4584:AA4585"/>
    <mergeCell ref="AB4584:AB4585"/>
    <mergeCell ref="A4586:A4587"/>
    <mergeCell ref="E4586:E4587"/>
    <mergeCell ref="H4586:H4587"/>
    <mergeCell ref="I4586:I4587"/>
    <mergeCell ref="J4586:J4587"/>
    <mergeCell ref="K4586:K4587"/>
    <mergeCell ref="L4586:L4587"/>
    <mergeCell ref="M4586:M4587"/>
    <mergeCell ref="N4586:N4587"/>
    <mergeCell ref="O4586:O4587"/>
    <mergeCell ref="X4586:X4587"/>
    <mergeCell ref="Y4586:Y4587"/>
    <mergeCell ref="Z4586:Z4587"/>
    <mergeCell ref="AA4586:AA4587"/>
    <mergeCell ref="AB4586:AB4587"/>
    <mergeCell ref="A4588:A4589"/>
    <mergeCell ref="E4588:E4589"/>
    <mergeCell ref="H4588:H4589"/>
    <mergeCell ref="I4588:I4589"/>
    <mergeCell ref="J4588:J4589"/>
    <mergeCell ref="K4588:K4589"/>
    <mergeCell ref="L4588:L4589"/>
    <mergeCell ref="M4588:M4589"/>
    <mergeCell ref="N4588:N4589"/>
    <mergeCell ref="O4588:O4589"/>
    <mergeCell ref="X4588:X4589"/>
    <mergeCell ref="Y4588:Y4589"/>
    <mergeCell ref="Z4588:Z4589"/>
    <mergeCell ref="AA4588:AA4589"/>
    <mergeCell ref="AB4588:AB4589"/>
    <mergeCell ref="A4590:A4591"/>
    <mergeCell ref="E4590:E4591"/>
    <mergeCell ref="H4590:H4591"/>
    <mergeCell ref="I4590:I4591"/>
    <mergeCell ref="J4590:J4591"/>
    <mergeCell ref="K4590:K4591"/>
    <mergeCell ref="L4590:L4591"/>
    <mergeCell ref="M4590:M4591"/>
    <mergeCell ref="N4590:N4591"/>
    <mergeCell ref="O4590:O4591"/>
    <mergeCell ref="X4590:X4591"/>
    <mergeCell ref="Y4590:Y4591"/>
    <mergeCell ref="Z4590:Z4591"/>
    <mergeCell ref="AA4590:AA4591"/>
    <mergeCell ref="AB4590:AB4591"/>
    <mergeCell ref="A4592:A4593"/>
    <mergeCell ref="E4592:E4593"/>
    <mergeCell ref="H4592:H4593"/>
    <mergeCell ref="I4592:I4593"/>
    <mergeCell ref="J4592:J4593"/>
    <mergeCell ref="K4592:K4593"/>
    <mergeCell ref="L4592:L4593"/>
    <mergeCell ref="M4592:M4593"/>
    <mergeCell ref="N4592:N4593"/>
    <mergeCell ref="O4592:O4593"/>
    <mergeCell ref="X4592:X4593"/>
    <mergeCell ref="Y4592:Y4593"/>
    <mergeCell ref="Z4592:Z4593"/>
    <mergeCell ref="AA4592:AA4593"/>
    <mergeCell ref="AB4592:AB4593"/>
    <mergeCell ref="A4594:A4595"/>
    <mergeCell ref="E4594:E4595"/>
    <mergeCell ref="H4594:H4595"/>
    <mergeCell ref="I4594:I4595"/>
    <mergeCell ref="J4594:J4595"/>
    <mergeCell ref="K4594:K4595"/>
    <mergeCell ref="L4594:L4595"/>
    <mergeCell ref="M4594:M4595"/>
    <mergeCell ref="N4594:N4595"/>
    <mergeCell ref="O4594:O4595"/>
    <mergeCell ref="X4594:X4595"/>
    <mergeCell ref="Y4594:Y4595"/>
    <mergeCell ref="Z4594:Z4595"/>
    <mergeCell ref="AA4594:AA4595"/>
    <mergeCell ref="AB4594:AB4595"/>
    <mergeCell ref="A4596:A4597"/>
    <mergeCell ref="E4596:E4597"/>
    <mergeCell ref="H4596:H4597"/>
    <mergeCell ref="I4596:I4597"/>
    <mergeCell ref="J4596:J4597"/>
    <mergeCell ref="K4596:K4597"/>
    <mergeCell ref="L4596:L4597"/>
    <mergeCell ref="M4596:M4597"/>
    <mergeCell ref="N4596:N4597"/>
    <mergeCell ref="O4596:O4597"/>
    <mergeCell ref="X4596:X4597"/>
    <mergeCell ref="Y4596:Y4597"/>
    <mergeCell ref="Z4596:Z4597"/>
    <mergeCell ref="AA4596:AA4597"/>
    <mergeCell ref="AB4596:AB4597"/>
    <mergeCell ref="A4598:A4599"/>
    <mergeCell ref="E4598:E4599"/>
    <mergeCell ref="H4598:H4599"/>
    <mergeCell ref="I4598:I4599"/>
    <mergeCell ref="J4598:J4599"/>
    <mergeCell ref="K4598:K4599"/>
    <mergeCell ref="L4598:L4599"/>
    <mergeCell ref="M4598:M4599"/>
    <mergeCell ref="N4598:N4599"/>
    <mergeCell ref="O4598:O4599"/>
    <mergeCell ref="X4598:X4599"/>
    <mergeCell ref="Y4598:Y4599"/>
    <mergeCell ref="Z4598:Z4599"/>
    <mergeCell ref="AA4598:AA4599"/>
    <mergeCell ref="AB4598:AB4599"/>
    <mergeCell ref="A4600:A4601"/>
    <mergeCell ref="E4600:E4601"/>
    <mergeCell ref="H4600:H4601"/>
    <mergeCell ref="I4600:I4601"/>
    <mergeCell ref="J4600:J4601"/>
    <mergeCell ref="K4600:K4601"/>
    <mergeCell ref="L4600:L4601"/>
    <mergeCell ref="M4600:M4601"/>
    <mergeCell ref="N4600:N4601"/>
    <mergeCell ref="O4600:O4601"/>
    <mergeCell ref="X4600:X4601"/>
    <mergeCell ref="Y4600:Y4601"/>
    <mergeCell ref="Z4600:Z4601"/>
    <mergeCell ref="AA4600:AA4601"/>
    <mergeCell ref="AB4600:AB4601"/>
    <mergeCell ref="A4602:A4603"/>
    <mergeCell ref="E4602:E4603"/>
    <mergeCell ref="H4602:H4603"/>
    <mergeCell ref="I4602:I4603"/>
    <mergeCell ref="J4602:J4603"/>
    <mergeCell ref="K4602:K4603"/>
    <mergeCell ref="L4602:L4603"/>
    <mergeCell ref="M4602:M4603"/>
    <mergeCell ref="N4602:N4603"/>
    <mergeCell ref="O4602:O4603"/>
    <mergeCell ref="X4602:X4603"/>
    <mergeCell ref="Y4602:Y4603"/>
    <mergeCell ref="Z4602:Z4603"/>
    <mergeCell ref="AA4602:AA4603"/>
    <mergeCell ref="AB4602:AB4603"/>
    <mergeCell ref="A4604:A4605"/>
    <mergeCell ref="E4604:E4605"/>
    <mergeCell ref="H4604:H4605"/>
    <mergeCell ref="I4604:I4605"/>
    <mergeCell ref="J4604:J4605"/>
    <mergeCell ref="K4604:K4605"/>
    <mergeCell ref="L4604:L4605"/>
    <mergeCell ref="M4604:M4605"/>
    <mergeCell ref="N4604:N4605"/>
    <mergeCell ref="O4604:O4605"/>
    <mergeCell ref="X4604:X4605"/>
    <mergeCell ref="Y4604:Y4605"/>
    <mergeCell ref="Z4604:Z4605"/>
    <mergeCell ref="AA4604:AA4605"/>
    <mergeCell ref="AB4604:AB4605"/>
    <mergeCell ref="A4606:A4607"/>
    <mergeCell ref="E4606:E4607"/>
    <mergeCell ref="H4606:H4607"/>
    <mergeCell ref="I4606:I4607"/>
    <mergeCell ref="J4606:J4607"/>
    <mergeCell ref="K4606:K4607"/>
    <mergeCell ref="L4606:L4607"/>
    <mergeCell ref="M4606:M4607"/>
    <mergeCell ref="N4606:N4607"/>
    <mergeCell ref="O4606:O4607"/>
    <mergeCell ref="X4606:X4607"/>
    <mergeCell ref="Y4606:Y4607"/>
    <mergeCell ref="Z4606:Z4607"/>
    <mergeCell ref="AA4606:AA4607"/>
    <mergeCell ref="AB4606:AB4607"/>
    <mergeCell ref="AB4608:AB4609"/>
    <mergeCell ref="A4612:A4613"/>
    <mergeCell ref="E4612:E4613"/>
    <mergeCell ref="H4612:H4613"/>
    <mergeCell ref="I4612:I4613"/>
    <mergeCell ref="J4612:J4613"/>
    <mergeCell ref="K4612:K4613"/>
    <mergeCell ref="L4612:L4613"/>
    <mergeCell ref="M4612:M4613"/>
    <mergeCell ref="N4612:N4613"/>
    <mergeCell ref="O4612:O4613"/>
    <mergeCell ref="X4612:X4613"/>
    <mergeCell ref="Y4612:Y4613"/>
    <mergeCell ref="Z4612:Z4613"/>
    <mergeCell ref="AA4612:AA4613"/>
    <mergeCell ref="AB4612:AB4613"/>
    <mergeCell ref="A4618:A4619"/>
    <mergeCell ref="E4618:E4619"/>
    <mergeCell ref="H4618:H4619"/>
    <mergeCell ref="I4618:I4619"/>
    <mergeCell ref="J4618:J4619"/>
    <mergeCell ref="K4618:K4619"/>
    <mergeCell ref="L4618:L4619"/>
    <mergeCell ref="M4618:M4619"/>
    <mergeCell ref="N4618:N4619"/>
    <mergeCell ref="O4618:O4619"/>
    <mergeCell ref="X4618:X4619"/>
    <mergeCell ref="Y4618:Y4619"/>
    <mergeCell ref="Z4618:Z4619"/>
    <mergeCell ref="AA4618:AA4619"/>
    <mergeCell ref="AB4618:AB4619"/>
    <mergeCell ref="A4614:A4615"/>
    <mergeCell ref="E4614:E4615"/>
    <mergeCell ref="H4614:H4615"/>
    <mergeCell ref="I4614:I4615"/>
    <mergeCell ref="J4614:J4615"/>
    <mergeCell ref="K4614:K4615"/>
    <mergeCell ref="L4614:L4615"/>
    <mergeCell ref="M4614:M4615"/>
    <mergeCell ref="N4614:N4615"/>
    <mergeCell ref="A4620:A4621"/>
    <mergeCell ref="E4620:E4621"/>
    <mergeCell ref="H4620:H4621"/>
    <mergeCell ref="I4620:I4621"/>
    <mergeCell ref="J4620:J4621"/>
    <mergeCell ref="K4620:K4621"/>
    <mergeCell ref="L4620:L4621"/>
    <mergeCell ref="M4620:M4621"/>
    <mergeCell ref="N4620:N4621"/>
    <mergeCell ref="O4620:O4621"/>
    <mergeCell ref="X4620:X4621"/>
    <mergeCell ref="Y4620:Y4621"/>
    <mergeCell ref="Z4620:Z4621"/>
    <mergeCell ref="AA4620:AA4621"/>
    <mergeCell ref="AB4620:AB4621"/>
    <mergeCell ref="A4622:A4623"/>
    <mergeCell ref="E4622:E4623"/>
    <mergeCell ref="H4622:H4623"/>
    <mergeCell ref="I4622:I4623"/>
    <mergeCell ref="J4622:J4623"/>
    <mergeCell ref="K4622:K4623"/>
    <mergeCell ref="L4622:L4623"/>
    <mergeCell ref="M4622:M4623"/>
    <mergeCell ref="N4622:N4623"/>
    <mergeCell ref="O4622:O4623"/>
    <mergeCell ref="X4622:X4623"/>
    <mergeCell ref="Y4622:Y4623"/>
    <mergeCell ref="Z4622:Z4623"/>
    <mergeCell ref="AA4622:AA4623"/>
    <mergeCell ref="AB4622:AB4623"/>
    <mergeCell ref="A4624:A4625"/>
    <mergeCell ref="E4624:E4625"/>
    <mergeCell ref="H4624:H4625"/>
    <mergeCell ref="I4624:I4625"/>
    <mergeCell ref="J4624:J4625"/>
    <mergeCell ref="K4624:K4625"/>
    <mergeCell ref="L4624:L4625"/>
    <mergeCell ref="M4624:M4625"/>
    <mergeCell ref="N4624:N4625"/>
    <mergeCell ref="O4624:O4625"/>
    <mergeCell ref="X4624:X4625"/>
    <mergeCell ref="Y4624:Y4625"/>
    <mergeCell ref="Z4624:Z4625"/>
    <mergeCell ref="AA4624:AA4625"/>
    <mergeCell ref="AB4624:AB4625"/>
    <mergeCell ref="A4632:A4633"/>
    <mergeCell ref="E4632:E4633"/>
    <mergeCell ref="H4632:H4633"/>
    <mergeCell ref="I4632:I4633"/>
    <mergeCell ref="J4632:J4633"/>
    <mergeCell ref="K4632:K4633"/>
    <mergeCell ref="L4632:L4633"/>
    <mergeCell ref="M4632:M4633"/>
    <mergeCell ref="N4632:N4633"/>
    <mergeCell ref="O4632:O4633"/>
    <mergeCell ref="X4632:X4633"/>
    <mergeCell ref="Y4632:Y4633"/>
    <mergeCell ref="Z4632:Z4633"/>
    <mergeCell ref="AA4632:AA4633"/>
    <mergeCell ref="AB4632:AB4633"/>
    <mergeCell ref="A4626:A4627"/>
    <mergeCell ref="E4626:E4627"/>
    <mergeCell ref="H4626:H4627"/>
    <mergeCell ref="I4626:I4627"/>
    <mergeCell ref="J4626:J4627"/>
    <mergeCell ref="K4626:K4627"/>
    <mergeCell ref="L4626:L4627"/>
    <mergeCell ref="M4626:M4627"/>
    <mergeCell ref="N4626:N4627"/>
    <mergeCell ref="A4634:A4635"/>
    <mergeCell ref="E4634:E4635"/>
    <mergeCell ref="H4634:H4635"/>
    <mergeCell ref="I4634:I4635"/>
    <mergeCell ref="J4634:J4635"/>
    <mergeCell ref="K4634:K4635"/>
    <mergeCell ref="L4634:L4635"/>
    <mergeCell ref="M4634:M4635"/>
    <mergeCell ref="N4634:N4635"/>
    <mergeCell ref="O4634:O4635"/>
    <mergeCell ref="X4634:X4635"/>
    <mergeCell ref="Y4634:Y4635"/>
    <mergeCell ref="Z4634:Z4635"/>
    <mergeCell ref="AA4634:AA4635"/>
    <mergeCell ref="AB4634:AB4635"/>
    <mergeCell ref="A4628:A4629"/>
    <mergeCell ref="E4628:E4629"/>
    <mergeCell ref="H4628:H4629"/>
    <mergeCell ref="I4628:I4629"/>
    <mergeCell ref="J4628:J4629"/>
    <mergeCell ref="K4628:K4629"/>
    <mergeCell ref="L4628:L4629"/>
    <mergeCell ref="M4628:M4629"/>
    <mergeCell ref="N4628:N4629"/>
    <mergeCell ref="O4628:O4629"/>
    <mergeCell ref="X4628:X4629"/>
    <mergeCell ref="Y4628:Y4629"/>
    <mergeCell ref="Z4628:Z4629"/>
    <mergeCell ref="AA4628:AA4629"/>
    <mergeCell ref="AB4628:AB4629"/>
    <mergeCell ref="O4626:O4627"/>
    <mergeCell ref="X4626:X4627"/>
    <mergeCell ref="Y4626:Y4627"/>
    <mergeCell ref="Z4626:Z4627"/>
    <mergeCell ref="AA4626:AA4627"/>
    <mergeCell ref="AB4626:AB4627"/>
    <mergeCell ref="A4636:A4637"/>
    <mergeCell ref="E4636:E4637"/>
    <mergeCell ref="H4636:H4637"/>
    <mergeCell ref="I4636:I4637"/>
    <mergeCell ref="J4636:J4637"/>
    <mergeCell ref="K4636:K4637"/>
    <mergeCell ref="L4636:L4637"/>
    <mergeCell ref="M4636:M4637"/>
    <mergeCell ref="N4636:N4637"/>
    <mergeCell ref="O4636:O4637"/>
    <mergeCell ref="X4636:X4637"/>
    <mergeCell ref="Y4636:Y4637"/>
    <mergeCell ref="Z4636:Z4637"/>
    <mergeCell ref="AA4636:AA4637"/>
    <mergeCell ref="AB4636:AB4637"/>
    <mergeCell ref="A4642:A4643"/>
    <mergeCell ref="E4642:E4643"/>
    <mergeCell ref="H4642:H4643"/>
    <mergeCell ref="I4642:I4643"/>
    <mergeCell ref="J4642:J4643"/>
    <mergeCell ref="K4642:K4643"/>
    <mergeCell ref="L4642:L4643"/>
    <mergeCell ref="M4642:M4643"/>
    <mergeCell ref="N4642:N4643"/>
    <mergeCell ref="O4642:O4643"/>
    <mergeCell ref="X4642:X4643"/>
    <mergeCell ref="Y4642:Y4643"/>
    <mergeCell ref="Z4642:Z4643"/>
    <mergeCell ref="AA4642:AA4643"/>
    <mergeCell ref="AB4642:AB4643"/>
    <mergeCell ref="A4638:A4639"/>
    <mergeCell ref="E4638:E4639"/>
    <mergeCell ref="H4638:H4639"/>
    <mergeCell ref="I4638:I4639"/>
    <mergeCell ref="J4638:J4639"/>
    <mergeCell ref="K4638:K4639"/>
    <mergeCell ref="L4638:L4639"/>
    <mergeCell ref="M4638:M4639"/>
    <mergeCell ref="N4638:N4639"/>
    <mergeCell ref="O4638:O4639"/>
    <mergeCell ref="X4638:X4639"/>
    <mergeCell ref="Y4638:Y4639"/>
    <mergeCell ref="Z4638:Z4639"/>
    <mergeCell ref="AA4638:AA4639"/>
    <mergeCell ref="AB4638:AB4639"/>
    <mergeCell ref="A4640:A4641"/>
    <mergeCell ref="E4640:E4641"/>
    <mergeCell ref="H4640:H4641"/>
    <mergeCell ref="I4640:I4641"/>
    <mergeCell ref="J4640:J4641"/>
    <mergeCell ref="K4640:K4641"/>
    <mergeCell ref="L4640:L4641"/>
    <mergeCell ref="M4640:M4641"/>
    <mergeCell ref="N4640:N4641"/>
    <mergeCell ref="O4640:O4641"/>
    <mergeCell ref="X4640:X4641"/>
    <mergeCell ref="Y4640:Y4641"/>
    <mergeCell ref="Z4640:Z4641"/>
    <mergeCell ref="AA4640:AA4641"/>
    <mergeCell ref="AB4640:AB4641"/>
    <mergeCell ref="A4644:A4645"/>
    <mergeCell ref="E4644:E4645"/>
    <mergeCell ref="H4644:H4645"/>
    <mergeCell ref="I4644:I4645"/>
    <mergeCell ref="J4644:J4645"/>
    <mergeCell ref="K4644:K4645"/>
    <mergeCell ref="L4644:L4645"/>
    <mergeCell ref="M4644:M4645"/>
    <mergeCell ref="N4644:N4645"/>
    <mergeCell ref="O4644:O4645"/>
    <mergeCell ref="X4644:X4645"/>
    <mergeCell ref="Y4644:Y4645"/>
    <mergeCell ref="Z4644:Z4645"/>
    <mergeCell ref="AA4644:AA4645"/>
    <mergeCell ref="AB4644:AB4645"/>
    <mergeCell ref="A4648:A4649"/>
    <mergeCell ref="E4648:E4649"/>
    <mergeCell ref="H4648:H4649"/>
    <mergeCell ref="I4648:I4649"/>
    <mergeCell ref="J4648:J4649"/>
    <mergeCell ref="K4648:K4649"/>
    <mergeCell ref="L4648:L4649"/>
    <mergeCell ref="M4648:M4649"/>
    <mergeCell ref="N4648:N4649"/>
    <mergeCell ref="O4648:O4649"/>
    <mergeCell ref="X4648:X4649"/>
    <mergeCell ref="Y4648:Y4649"/>
    <mergeCell ref="Z4648:Z4649"/>
    <mergeCell ref="AA4648:AA4649"/>
    <mergeCell ref="AB4648:AB4649"/>
    <mergeCell ref="A4646:A4647"/>
    <mergeCell ref="E4646:E4647"/>
    <mergeCell ref="H4646:H4647"/>
    <mergeCell ref="I4646:I4647"/>
    <mergeCell ref="J4646:J4647"/>
    <mergeCell ref="K4646:K4647"/>
    <mergeCell ref="L4646:L4647"/>
    <mergeCell ref="M4646:M4647"/>
    <mergeCell ref="N4646:N4647"/>
    <mergeCell ref="O4646:O4647"/>
    <mergeCell ref="X4646:X4647"/>
    <mergeCell ref="Y4646:Y4647"/>
    <mergeCell ref="Z4646:Z4647"/>
    <mergeCell ref="AA4646:AA4647"/>
    <mergeCell ref="AB4646:AB4647"/>
    <mergeCell ref="A4650:A4651"/>
    <mergeCell ref="E4650:E4651"/>
    <mergeCell ref="H4650:H4651"/>
    <mergeCell ref="I4650:I4651"/>
    <mergeCell ref="J4650:J4651"/>
    <mergeCell ref="K4650:K4651"/>
    <mergeCell ref="L4650:L4651"/>
    <mergeCell ref="M4650:M4651"/>
    <mergeCell ref="N4650:N4651"/>
    <mergeCell ref="O4650:O4651"/>
    <mergeCell ref="X4650:X4651"/>
    <mergeCell ref="Y4650:Y4651"/>
    <mergeCell ref="Z4650:Z4651"/>
    <mergeCell ref="AA4650:AA4651"/>
    <mergeCell ref="AB4650:AB4651"/>
    <mergeCell ref="A4652:A4653"/>
    <mergeCell ref="E4652:E4653"/>
    <mergeCell ref="H4652:H4653"/>
    <mergeCell ref="I4652:I4653"/>
    <mergeCell ref="J4652:J4653"/>
    <mergeCell ref="K4652:K4653"/>
    <mergeCell ref="L4652:L4653"/>
    <mergeCell ref="M4652:M4653"/>
    <mergeCell ref="N4652:N4653"/>
    <mergeCell ref="O4652:O4653"/>
    <mergeCell ref="X4652:X4653"/>
    <mergeCell ref="Y4652:Y4653"/>
    <mergeCell ref="Z4652:Z4653"/>
    <mergeCell ref="AA4652:AA4653"/>
    <mergeCell ref="AB4652:AB4653"/>
    <mergeCell ref="A4654:A4655"/>
    <mergeCell ref="E4654:E4655"/>
    <mergeCell ref="H4654:H4655"/>
    <mergeCell ref="I4654:I4655"/>
    <mergeCell ref="J4654:J4655"/>
    <mergeCell ref="K4654:K4655"/>
    <mergeCell ref="L4654:L4655"/>
    <mergeCell ref="M4654:M4655"/>
    <mergeCell ref="N4654:N4655"/>
    <mergeCell ref="O4654:O4655"/>
    <mergeCell ref="X4654:X4655"/>
    <mergeCell ref="Y4654:Y4655"/>
    <mergeCell ref="Z4654:Z4655"/>
    <mergeCell ref="AA4654:AA4655"/>
    <mergeCell ref="AB4654:AB4655"/>
    <mergeCell ref="A4656:A4657"/>
    <mergeCell ref="E4656:E4657"/>
    <mergeCell ref="H4656:H4657"/>
    <mergeCell ref="I4656:I4657"/>
    <mergeCell ref="J4656:J4657"/>
    <mergeCell ref="K4656:K4657"/>
    <mergeCell ref="L4656:L4657"/>
    <mergeCell ref="M4656:M4657"/>
    <mergeCell ref="N4656:N4657"/>
    <mergeCell ref="O4656:O4657"/>
    <mergeCell ref="X4656:X4657"/>
    <mergeCell ref="Y4656:Y4657"/>
    <mergeCell ref="Z4656:Z4657"/>
    <mergeCell ref="AA4656:AA4657"/>
    <mergeCell ref="AB4656:AB4657"/>
    <mergeCell ref="A4658:A4659"/>
    <mergeCell ref="E4658:E4659"/>
    <mergeCell ref="H4658:H4659"/>
    <mergeCell ref="I4658:I4659"/>
    <mergeCell ref="J4658:J4659"/>
    <mergeCell ref="K4658:K4659"/>
    <mergeCell ref="L4658:L4659"/>
    <mergeCell ref="M4658:M4659"/>
    <mergeCell ref="N4658:N4659"/>
    <mergeCell ref="O4658:O4659"/>
    <mergeCell ref="X4658:X4659"/>
    <mergeCell ref="Y4658:Y4659"/>
    <mergeCell ref="Z4658:Z4659"/>
    <mergeCell ref="AA4658:AA4659"/>
    <mergeCell ref="AB4658:AB4659"/>
    <mergeCell ref="A4660:A4661"/>
    <mergeCell ref="E4660:E4661"/>
    <mergeCell ref="H4660:H4661"/>
    <mergeCell ref="I4660:I4661"/>
    <mergeCell ref="J4660:J4661"/>
    <mergeCell ref="K4660:K4661"/>
    <mergeCell ref="L4660:L4661"/>
    <mergeCell ref="M4660:M4661"/>
    <mergeCell ref="N4660:N4661"/>
    <mergeCell ref="O4660:O4661"/>
    <mergeCell ref="X4660:X4661"/>
    <mergeCell ref="Y4660:Y4661"/>
    <mergeCell ref="Z4660:Z4661"/>
    <mergeCell ref="AA4660:AA4661"/>
    <mergeCell ref="AB4660:AB4661"/>
    <mergeCell ref="A4662:A4663"/>
    <mergeCell ref="E4662:E4663"/>
    <mergeCell ref="H4662:H4663"/>
    <mergeCell ref="I4662:I4663"/>
    <mergeCell ref="J4662:J4663"/>
    <mergeCell ref="K4662:K4663"/>
    <mergeCell ref="L4662:L4663"/>
    <mergeCell ref="M4662:M4663"/>
    <mergeCell ref="N4662:N4663"/>
    <mergeCell ref="O4662:O4663"/>
    <mergeCell ref="X4662:X4663"/>
    <mergeCell ref="Y4662:Y4663"/>
    <mergeCell ref="Z4662:Z4663"/>
    <mergeCell ref="AA4662:AA4663"/>
    <mergeCell ref="AB4662:AB4663"/>
    <mergeCell ref="A4664:A4665"/>
    <mergeCell ref="E4664:E4665"/>
    <mergeCell ref="H4664:H4665"/>
    <mergeCell ref="I4664:I4665"/>
    <mergeCell ref="J4664:J4665"/>
    <mergeCell ref="K4664:K4665"/>
    <mergeCell ref="L4664:L4665"/>
    <mergeCell ref="M4664:M4665"/>
    <mergeCell ref="N4664:N4665"/>
    <mergeCell ref="O4664:O4665"/>
    <mergeCell ref="X4664:X4665"/>
    <mergeCell ref="Y4664:Y4665"/>
    <mergeCell ref="Z4664:Z4665"/>
    <mergeCell ref="AA4664:AA4665"/>
    <mergeCell ref="AB4664:AB4665"/>
    <mergeCell ref="A4666:A4667"/>
    <mergeCell ref="E4666:E4667"/>
    <mergeCell ref="H4666:H4667"/>
    <mergeCell ref="I4666:I4667"/>
    <mergeCell ref="J4666:J4667"/>
    <mergeCell ref="K4666:K4667"/>
    <mergeCell ref="L4666:L4667"/>
    <mergeCell ref="M4666:M4667"/>
    <mergeCell ref="N4666:N4667"/>
    <mergeCell ref="O4666:O4667"/>
    <mergeCell ref="X4666:X4667"/>
    <mergeCell ref="Y4666:Y4667"/>
    <mergeCell ref="Z4666:Z4667"/>
    <mergeCell ref="AA4666:AA4667"/>
    <mergeCell ref="AB4666:AB4667"/>
    <mergeCell ref="A4668:A4669"/>
    <mergeCell ref="E4668:E4669"/>
    <mergeCell ref="H4668:H4669"/>
    <mergeCell ref="I4668:I4669"/>
    <mergeCell ref="J4668:J4669"/>
    <mergeCell ref="K4668:K4669"/>
    <mergeCell ref="L4668:L4669"/>
    <mergeCell ref="M4668:M4669"/>
    <mergeCell ref="N4668:N4669"/>
    <mergeCell ref="O4668:O4669"/>
    <mergeCell ref="X4668:X4669"/>
    <mergeCell ref="Y4668:Y4669"/>
    <mergeCell ref="Z4668:Z4669"/>
    <mergeCell ref="AA4668:AA4669"/>
    <mergeCell ref="AB4668:AB4669"/>
    <mergeCell ref="A4670:A4671"/>
    <mergeCell ref="E4670:E4671"/>
    <mergeCell ref="H4670:H4671"/>
    <mergeCell ref="I4670:I4671"/>
    <mergeCell ref="J4670:J4671"/>
    <mergeCell ref="K4670:K4671"/>
    <mergeCell ref="L4670:L4671"/>
    <mergeCell ref="M4670:M4671"/>
    <mergeCell ref="N4670:N4671"/>
    <mergeCell ref="O4670:O4671"/>
    <mergeCell ref="X4670:X4671"/>
    <mergeCell ref="Y4670:Y4671"/>
    <mergeCell ref="Z4670:Z4671"/>
    <mergeCell ref="AA4670:AA4671"/>
    <mergeCell ref="AB4670:AB4671"/>
    <mergeCell ref="A4672:A4673"/>
    <mergeCell ref="E4672:E4673"/>
    <mergeCell ref="H4672:H4673"/>
    <mergeCell ref="I4672:I4673"/>
    <mergeCell ref="J4672:J4673"/>
    <mergeCell ref="K4672:K4673"/>
    <mergeCell ref="L4672:L4673"/>
    <mergeCell ref="M4672:M4673"/>
    <mergeCell ref="N4672:N4673"/>
    <mergeCell ref="O4672:O4673"/>
    <mergeCell ref="X4672:X4673"/>
    <mergeCell ref="Y4672:Y4673"/>
    <mergeCell ref="Z4672:Z4673"/>
    <mergeCell ref="AA4672:AA4673"/>
    <mergeCell ref="AB4672:AB4673"/>
    <mergeCell ref="A4674:A4675"/>
    <mergeCell ref="E4674:E4675"/>
    <mergeCell ref="H4674:H4675"/>
    <mergeCell ref="I4674:I4675"/>
    <mergeCell ref="J4674:J4675"/>
    <mergeCell ref="K4674:K4675"/>
    <mergeCell ref="L4674:L4675"/>
    <mergeCell ref="M4674:M4675"/>
    <mergeCell ref="N4674:N4675"/>
    <mergeCell ref="O4674:O4675"/>
    <mergeCell ref="X4674:X4675"/>
    <mergeCell ref="Y4674:Y4675"/>
    <mergeCell ref="Z4674:Z4675"/>
    <mergeCell ref="AA4674:AA4675"/>
    <mergeCell ref="AB4674:AB4675"/>
    <mergeCell ref="A4676:A4677"/>
    <mergeCell ref="E4676:E4677"/>
    <mergeCell ref="H4676:H4677"/>
    <mergeCell ref="I4676:I4677"/>
    <mergeCell ref="J4676:J4677"/>
    <mergeCell ref="K4676:K4677"/>
    <mergeCell ref="L4676:L4677"/>
    <mergeCell ref="M4676:M4677"/>
    <mergeCell ref="N4676:N4677"/>
    <mergeCell ref="O4676:O4677"/>
    <mergeCell ref="X4676:X4677"/>
    <mergeCell ref="Y4676:Y4677"/>
    <mergeCell ref="Z4676:Z4677"/>
    <mergeCell ref="AA4676:AA4677"/>
    <mergeCell ref="AB4676:AB4677"/>
    <mergeCell ref="A4678:A4679"/>
    <mergeCell ref="E4678:E4679"/>
    <mergeCell ref="H4678:H4679"/>
    <mergeCell ref="I4678:I4679"/>
    <mergeCell ref="J4678:J4679"/>
    <mergeCell ref="K4678:K4679"/>
    <mergeCell ref="L4678:L4679"/>
    <mergeCell ref="M4678:M4679"/>
    <mergeCell ref="N4678:N4679"/>
    <mergeCell ref="O4678:O4679"/>
    <mergeCell ref="X4678:X4679"/>
    <mergeCell ref="Y4678:Y4679"/>
    <mergeCell ref="Z4678:Z4679"/>
    <mergeCell ref="AA4678:AA4679"/>
    <mergeCell ref="AB4678:AB4679"/>
    <mergeCell ref="A4680:A4681"/>
    <mergeCell ref="E4680:E4681"/>
    <mergeCell ref="H4680:H4681"/>
    <mergeCell ref="I4680:I4681"/>
    <mergeCell ref="J4680:J4681"/>
    <mergeCell ref="K4680:K4681"/>
    <mergeCell ref="L4680:L4681"/>
    <mergeCell ref="M4680:M4681"/>
    <mergeCell ref="N4680:N4681"/>
    <mergeCell ref="O4680:O4681"/>
    <mergeCell ref="X4680:X4681"/>
    <mergeCell ref="Y4680:Y4681"/>
    <mergeCell ref="Z4680:Z4681"/>
    <mergeCell ref="AA4680:AA4681"/>
    <mergeCell ref="AB4680:AB4681"/>
    <mergeCell ref="A4682:A4683"/>
    <mergeCell ref="E4682:E4683"/>
    <mergeCell ref="H4682:H4683"/>
    <mergeCell ref="I4682:I4683"/>
    <mergeCell ref="J4682:J4683"/>
    <mergeCell ref="K4682:K4683"/>
    <mergeCell ref="L4682:L4683"/>
    <mergeCell ref="M4682:M4683"/>
    <mergeCell ref="N4682:N4683"/>
    <mergeCell ref="O4682:O4683"/>
    <mergeCell ref="X4682:X4683"/>
    <mergeCell ref="Y4682:Y4683"/>
    <mergeCell ref="Z4682:Z4683"/>
    <mergeCell ref="AA4682:AA4683"/>
    <mergeCell ref="AB4682:AB4683"/>
    <mergeCell ref="A4684:A4685"/>
    <mergeCell ref="E4684:E4685"/>
    <mergeCell ref="H4684:H4685"/>
    <mergeCell ref="I4684:I4685"/>
    <mergeCell ref="J4684:J4685"/>
    <mergeCell ref="K4684:K4685"/>
    <mergeCell ref="L4684:L4685"/>
    <mergeCell ref="M4684:M4685"/>
    <mergeCell ref="N4684:N4685"/>
    <mergeCell ref="O4684:O4685"/>
    <mergeCell ref="X4684:X4685"/>
    <mergeCell ref="Y4684:Y4685"/>
    <mergeCell ref="Z4684:Z4685"/>
    <mergeCell ref="AA4684:AA4685"/>
    <mergeCell ref="AB4684:AB4685"/>
    <mergeCell ref="A4686:A4687"/>
    <mergeCell ref="E4686:E4687"/>
    <mergeCell ref="H4686:H4687"/>
    <mergeCell ref="I4686:I4687"/>
    <mergeCell ref="J4686:J4687"/>
    <mergeCell ref="K4686:K4687"/>
    <mergeCell ref="L4686:L4687"/>
    <mergeCell ref="M4686:M4687"/>
    <mergeCell ref="N4686:N4687"/>
    <mergeCell ref="O4686:O4687"/>
    <mergeCell ref="X4686:X4687"/>
    <mergeCell ref="Y4686:Y4687"/>
    <mergeCell ref="Z4686:Z4687"/>
    <mergeCell ref="AA4686:AA4687"/>
    <mergeCell ref="AB4686:AB4687"/>
    <mergeCell ref="A4688:A4689"/>
    <mergeCell ref="E4688:E4689"/>
    <mergeCell ref="H4688:H4689"/>
    <mergeCell ref="I4688:I4689"/>
    <mergeCell ref="J4688:J4689"/>
    <mergeCell ref="K4688:K4689"/>
    <mergeCell ref="L4688:L4689"/>
    <mergeCell ref="M4688:M4689"/>
    <mergeCell ref="N4688:N4689"/>
    <mergeCell ref="O4688:O4689"/>
    <mergeCell ref="X4688:X4689"/>
    <mergeCell ref="Y4688:Y4689"/>
    <mergeCell ref="Z4688:Z4689"/>
    <mergeCell ref="AA4688:AA4689"/>
    <mergeCell ref="AB4688:AB4689"/>
    <mergeCell ref="A4690:A4691"/>
    <mergeCell ref="E4690:E4691"/>
    <mergeCell ref="H4690:H4691"/>
    <mergeCell ref="I4690:I4691"/>
    <mergeCell ref="J4690:J4691"/>
    <mergeCell ref="K4690:K4691"/>
    <mergeCell ref="L4690:L4691"/>
    <mergeCell ref="M4690:M4691"/>
    <mergeCell ref="N4690:N4691"/>
    <mergeCell ref="O4690:O4691"/>
    <mergeCell ref="X4690:X4691"/>
    <mergeCell ref="Y4690:Y4691"/>
    <mergeCell ref="Z4690:Z4691"/>
    <mergeCell ref="AA4690:AA4691"/>
    <mergeCell ref="AB4690:AB4691"/>
    <mergeCell ref="Y4702:Y4703"/>
    <mergeCell ref="Z4702:Z4703"/>
    <mergeCell ref="AA4702:AA4703"/>
    <mergeCell ref="AB4702:AB4703"/>
    <mergeCell ref="O4700:O4701"/>
    <mergeCell ref="X4700:X4701"/>
    <mergeCell ref="Y4700:Y4701"/>
    <mergeCell ref="Z4700:Z4701"/>
    <mergeCell ref="AA4700:AA4701"/>
    <mergeCell ref="AB4700:AB4701"/>
    <mergeCell ref="A4692:A4693"/>
    <mergeCell ref="E4692:E4693"/>
    <mergeCell ref="H4692:H4693"/>
    <mergeCell ref="I4692:I4693"/>
    <mergeCell ref="J4692:J4693"/>
    <mergeCell ref="K4692:K4693"/>
    <mergeCell ref="L4692:L4693"/>
    <mergeCell ref="M4692:M4693"/>
    <mergeCell ref="N4692:N4693"/>
    <mergeCell ref="O4692:O4693"/>
    <mergeCell ref="X4692:X4693"/>
    <mergeCell ref="Y4692:Y4693"/>
    <mergeCell ref="Z4692:Z4693"/>
    <mergeCell ref="AA4692:AA4693"/>
    <mergeCell ref="AB4692:AB4693"/>
    <mergeCell ref="A4694:A4695"/>
    <mergeCell ref="E4694:E4695"/>
    <mergeCell ref="H4694:H4695"/>
    <mergeCell ref="I4694:I4695"/>
    <mergeCell ref="J4694:J4695"/>
    <mergeCell ref="K4694:K4695"/>
    <mergeCell ref="L4694:L4695"/>
    <mergeCell ref="M4694:M4695"/>
    <mergeCell ref="N4694:N4695"/>
    <mergeCell ref="O4694:O4695"/>
    <mergeCell ref="X4694:X4695"/>
    <mergeCell ref="Y4694:Y4695"/>
    <mergeCell ref="Z4694:Z4695"/>
    <mergeCell ref="AA4694:AA4695"/>
    <mergeCell ref="AB4694:AB4695"/>
    <mergeCell ref="A4696:A4697"/>
    <mergeCell ref="E4696:E4697"/>
    <mergeCell ref="H4696:H4697"/>
    <mergeCell ref="I4696:I4697"/>
    <mergeCell ref="J4696:J4697"/>
    <mergeCell ref="K4696:K4697"/>
    <mergeCell ref="L4696:L4697"/>
    <mergeCell ref="M4696:M4697"/>
    <mergeCell ref="N4696:N4697"/>
    <mergeCell ref="O4696:O4697"/>
    <mergeCell ref="X4696:X4697"/>
    <mergeCell ref="Y4696:Y4697"/>
    <mergeCell ref="Z4696:Z4697"/>
    <mergeCell ref="AA4696:AA4697"/>
    <mergeCell ref="AB4696:AB4697"/>
    <mergeCell ref="A4716:A4717"/>
    <mergeCell ref="E4716:E4717"/>
    <mergeCell ref="H4716:H4717"/>
    <mergeCell ref="I4716:I4717"/>
    <mergeCell ref="J4716:J4717"/>
    <mergeCell ref="K4716:K4717"/>
    <mergeCell ref="L4716:L4717"/>
    <mergeCell ref="M4716:M4717"/>
    <mergeCell ref="N4716:N4717"/>
    <mergeCell ref="X4712:X4713"/>
    <mergeCell ref="Y4712:Y4713"/>
    <mergeCell ref="Z4712:Z4713"/>
    <mergeCell ref="AA4712:AA4713"/>
    <mergeCell ref="AB4712:AB4713"/>
    <mergeCell ref="A4714:A4715"/>
    <mergeCell ref="E4714:E4715"/>
    <mergeCell ref="H4714:H4715"/>
    <mergeCell ref="A4704:A4705"/>
    <mergeCell ref="E4704:E4705"/>
    <mergeCell ref="H4704:H4705"/>
    <mergeCell ref="I4704:I4705"/>
    <mergeCell ref="J4704:J4705"/>
    <mergeCell ref="K4704:K4705"/>
    <mergeCell ref="L4704:L4705"/>
    <mergeCell ref="M4704:M4705"/>
    <mergeCell ref="N4704:N4705"/>
    <mergeCell ref="O4704:O4705"/>
    <mergeCell ref="X4704:X4705"/>
    <mergeCell ref="Y4704:Y4705"/>
    <mergeCell ref="Z4704:Z4705"/>
    <mergeCell ref="AA4704:AA4705"/>
    <mergeCell ref="AB4704:AB4705"/>
    <mergeCell ref="A4698:A4699"/>
    <mergeCell ref="E4698:E4699"/>
    <mergeCell ref="H4698:H4699"/>
    <mergeCell ref="I4698:I4699"/>
    <mergeCell ref="J4698:J4699"/>
    <mergeCell ref="K4698:K4699"/>
    <mergeCell ref="L4698:L4699"/>
    <mergeCell ref="M4698:M4699"/>
    <mergeCell ref="N4698:N4699"/>
    <mergeCell ref="O4698:O4699"/>
    <mergeCell ref="X4698:X4699"/>
    <mergeCell ref="Y4698:Y4699"/>
    <mergeCell ref="Z4698:Z4699"/>
    <mergeCell ref="AA4698:AA4699"/>
    <mergeCell ref="AB4698:AB4699"/>
    <mergeCell ref="A4700:A4701"/>
    <mergeCell ref="E4700:E4701"/>
    <mergeCell ref="H4700:H4701"/>
    <mergeCell ref="I4700:I4701"/>
    <mergeCell ref="J4700:J4701"/>
    <mergeCell ref="K4700:K4701"/>
    <mergeCell ref="L4700:L4701"/>
    <mergeCell ref="M4700:M4701"/>
    <mergeCell ref="N4700:N4701"/>
    <mergeCell ref="I4702:I4703"/>
    <mergeCell ref="J4702:J4703"/>
    <mergeCell ref="K4702:K4703"/>
    <mergeCell ref="L4702:L4703"/>
    <mergeCell ref="M4702:M4703"/>
    <mergeCell ref="N4702:N4703"/>
    <mergeCell ref="O4702:O4703"/>
    <mergeCell ref="X4702:X4703"/>
    <mergeCell ref="Z4708:Z4709"/>
    <mergeCell ref="AA4708:AA4709"/>
    <mergeCell ref="AB4708:AB4709"/>
    <mergeCell ref="H4724:H4725"/>
    <mergeCell ref="I4724:I4725"/>
    <mergeCell ref="J4724:J4725"/>
    <mergeCell ref="K4724:K4725"/>
    <mergeCell ref="L4724:L4725"/>
    <mergeCell ref="M4724:M4725"/>
    <mergeCell ref="N4724:N4725"/>
    <mergeCell ref="O4724:O4725"/>
    <mergeCell ref="X4724:X4725"/>
    <mergeCell ref="Y4724:Y4725"/>
    <mergeCell ref="Z4724:Z4725"/>
    <mergeCell ref="AA4724:AA4725"/>
    <mergeCell ref="X4716:X4717"/>
    <mergeCell ref="Y4716:Y4717"/>
    <mergeCell ref="Z4716:Z4717"/>
    <mergeCell ref="AA4716:AA4717"/>
    <mergeCell ref="AB4716:AB4717"/>
    <mergeCell ref="M4714:M4715"/>
    <mergeCell ref="N4714:N4715"/>
    <mergeCell ref="O4718:O4719"/>
    <mergeCell ref="X4718:X4719"/>
    <mergeCell ref="I4714:I4715"/>
    <mergeCell ref="J4714:J4715"/>
    <mergeCell ref="K4714:K4715"/>
    <mergeCell ref="L4714:L4715"/>
    <mergeCell ref="Y4718:Y4719"/>
    <mergeCell ref="Z4718:Z4719"/>
    <mergeCell ref="AA4718:AA4719"/>
    <mergeCell ref="AB4718:AB4719"/>
    <mergeCell ref="AB4724:AB4725"/>
    <mergeCell ref="M4718:M4719"/>
    <mergeCell ref="N4718:N4719"/>
    <mergeCell ref="Z4732:Z4733"/>
    <mergeCell ref="AA4732:AA4733"/>
    <mergeCell ref="AB4732:AB4733"/>
    <mergeCell ref="A4734:A4735"/>
    <mergeCell ref="E4734:E4735"/>
    <mergeCell ref="H4734:H4735"/>
    <mergeCell ref="I4734:I4735"/>
    <mergeCell ref="J4734:J4735"/>
    <mergeCell ref="K4734:K4735"/>
    <mergeCell ref="L4734:L4735"/>
    <mergeCell ref="M4734:M4735"/>
    <mergeCell ref="N4734:N4735"/>
    <mergeCell ref="O4734:O4735"/>
    <mergeCell ref="X4734:X4735"/>
    <mergeCell ref="Y4734:Y4735"/>
    <mergeCell ref="Z4734:Z4735"/>
    <mergeCell ref="AA4734:AA4735"/>
    <mergeCell ref="AB4734:AB4735"/>
    <mergeCell ref="A4736:A4737"/>
    <mergeCell ref="E4736:E4737"/>
    <mergeCell ref="H4736:H4737"/>
    <mergeCell ref="I4736:I4737"/>
    <mergeCell ref="J4736:J4737"/>
    <mergeCell ref="K4736:K4737"/>
    <mergeCell ref="L4736:L4737"/>
    <mergeCell ref="M4736:M4737"/>
    <mergeCell ref="N4736:N4737"/>
    <mergeCell ref="O4736:O4737"/>
    <mergeCell ref="X4736:X4737"/>
    <mergeCell ref="Y4736:Y4737"/>
    <mergeCell ref="Z4736:Z4737"/>
    <mergeCell ref="AA4736:AA4737"/>
    <mergeCell ref="AB4736:AB4737"/>
    <mergeCell ref="A4738:A4739"/>
    <mergeCell ref="E4738:E4739"/>
    <mergeCell ref="H4738:H4739"/>
    <mergeCell ref="I4738:I4739"/>
    <mergeCell ref="J4738:J4739"/>
    <mergeCell ref="K4738:K4739"/>
    <mergeCell ref="L4738:L4739"/>
    <mergeCell ref="M4738:M4739"/>
    <mergeCell ref="N4738:N4739"/>
    <mergeCell ref="O4738:O4739"/>
    <mergeCell ref="X4738:X4739"/>
    <mergeCell ref="Y4738:Y4739"/>
    <mergeCell ref="Z4738:Z4739"/>
    <mergeCell ref="AA4738:AA4739"/>
    <mergeCell ref="AB4738:AB4739"/>
    <mergeCell ref="A4740:A4741"/>
    <mergeCell ref="E4740:E4741"/>
    <mergeCell ref="H4740:H4741"/>
    <mergeCell ref="I4740:I4741"/>
    <mergeCell ref="J4740:J4741"/>
    <mergeCell ref="K4740:K4741"/>
    <mergeCell ref="L4740:L4741"/>
    <mergeCell ref="M4740:M4741"/>
    <mergeCell ref="N4740:N4741"/>
    <mergeCell ref="O4740:O4741"/>
    <mergeCell ref="X4740:X4741"/>
    <mergeCell ref="Y4740:Y4741"/>
    <mergeCell ref="Z4740:Z4741"/>
    <mergeCell ref="AA4740:AA4741"/>
    <mergeCell ref="AB4740:AB4741"/>
    <mergeCell ref="A4742:A4743"/>
    <mergeCell ref="E4742:E4743"/>
    <mergeCell ref="H4742:H4743"/>
    <mergeCell ref="I4742:I4743"/>
    <mergeCell ref="J4742:J4743"/>
    <mergeCell ref="K4742:K4743"/>
    <mergeCell ref="L4742:L4743"/>
    <mergeCell ref="M4742:M4743"/>
    <mergeCell ref="N4742:N4743"/>
    <mergeCell ref="O4742:O4743"/>
    <mergeCell ref="X4742:X4743"/>
    <mergeCell ref="Y4742:Y4743"/>
    <mergeCell ref="Z4742:Z4743"/>
    <mergeCell ref="AA4742:AA4743"/>
    <mergeCell ref="AB4742:AB4743"/>
    <mergeCell ref="A4744:A4745"/>
    <mergeCell ref="E4744:E4745"/>
    <mergeCell ref="H4744:H4745"/>
    <mergeCell ref="I4744:I4745"/>
    <mergeCell ref="J4744:J4745"/>
    <mergeCell ref="K4744:K4745"/>
    <mergeCell ref="L4744:L4745"/>
    <mergeCell ref="M4744:M4745"/>
    <mergeCell ref="N4744:N4745"/>
    <mergeCell ref="O4744:O4745"/>
    <mergeCell ref="X4744:X4745"/>
    <mergeCell ref="Y4744:Y4745"/>
    <mergeCell ref="Z4744:Z4745"/>
    <mergeCell ref="AA4744:AA4745"/>
    <mergeCell ref="AB4744:AB4745"/>
    <mergeCell ref="A4748:A4749"/>
    <mergeCell ref="E4748:E4749"/>
    <mergeCell ref="H4748:H4749"/>
    <mergeCell ref="I4748:I4749"/>
    <mergeCell ref="J4748:J4749"/>
    <mergeCell ref="K4748:K4749"/>
    <mergeCell ref="L4748:L4749"/>
    <mergeCell ref="M4748:M4749"/>
    <mergeCell ref="N4748:N4749"/>
    <mergeCell ref="O4748:O4749"/>
    <mergeCell ref="X4748:X4749"/>
    <mergeCell ref="Y4748:Y4749"/>
    <mergeCell ref="Z4748:Z4749"/>
    <mergeCell ref="AA4748:AA4749"/>
    <mergeCell ref="AB4748:AB4749"/>
    <mergeCell ref="A4746:A4747"/>
    <mergeCell ref="E4746:E4747"/>
    <mergeCell ref="H4746:H4747"/>
    <mergeCell ref="I4746:I4747"/>
    <mergeCell ref="J4746:J4747"/>
    <mergeCell ref="K4746:K4747"/>
    <mergeCell ref="L4746:L4747"/>
    <mergeCell ref="M4746:M4747"/>
    <mergeCell ref="N4746:N4747"/>
    <mergeCell ref="O4746:O4747"/>
    <mergeCell ref="X4746:X4747"/>
    <mergeCell ref="Y4746:Y4747"/>
    <mergeCell ref="Z4746:Z4747"/>
    <mergeCell ref="AA4746:AA4747"/>
    <mergeCell ref="AB4746:AB4747"/>
    <mergeCell ref="A4750:A4751"/>
    <mergeCell ref="E4750:E4751"/>
    <mergeCell ref="H4750:H4751"/>
    <mergeCell ref="I4750:I4751"/>
    <mergeCell ref="J4750:J4751"/>
    <mergeCell ref="K4750:K4751"/>
    <mergeCell ref="L4750:L4751"/>
    <mergeCell ref="M4750:M4751"/>
    <mergeCell ref="N4750:N4751"/>
    <mergeCell ref="O4750:O4751"/>
    <mergeCell ref="X4750:X4751"/>
    <mergeCell ref="Y4750:Y4751"/>
    <mergeCell ref="Z4750:Z4751"/>
    <mergeCell ref="AA4750:AA4751"/>
    <mergeCell ref="AB4750:AB4751"/>
    <mergeCell ref="A4752:A4753"/>
    <mergeCell ref="E4752:E4753"/>
    <mergeCell ref="H4752:H4753"/>
    <mergeCell ref="I4752:I4753"/>
    <mergeCell ref="J4752:J4753"/>
    <mergeCell ref="K4752:K4753"/>
    <mergeCell ref="L4752:L4753"/>
    <mergeCell ref="M4752:M4753"/>
    <mergeCell ref="N4752:N4753"/>
    <mergeCell ref="O4752:O4753"/>
    <mergeCell ref="X4752:X4753"/>
    <mergeCell ref="Y4752:Y4753"/>
    <mergeCell ref="Z4752:Z4753"/>
    <mergeCell ref="AA4752:AA4753"/>
    <mergeCell ref="AB4752:AB4753"/>
    <mergeCell ref="A4754:A4755"/>
    <mergeCell ref="E4754:E4755"/>
    <mergeCell ref="H4754:H4755"/>
    <mergeCell ref="I4754:I4755"/>
    <mergeCell ref="J4754:J4755"/>
    <mergeCell ref="K4754:K4755"/>
    <mergeCell ref="L4754:L4755"/>
    <mergeCell ref="M4754:M4755"/>
    <mergeCell ref="N4754:N4755"/>
    <mergeCell ref="O4754:O4755"/>
    <mergeCell ref="X4754:X4755"/>
    <mergeCell ref="Y4754:Y4755"/>
    <mergeCell ref="Z4754:Z4755"/>
    <mergeCell ref="AA4754:AA4755"/>
    <mergeCell ref="AB4754:AB4755"/>
    <mergeCell ref="A4756:A4757"/>
    <mergeCell ref="E4756:E4757"/>
    <mergeCell ref="H4756:H4757"/>
    <mergeCell ref="I4756:I4757"/>
    <mergeCell ref="J4756:J4757"/>
    <mergeCell ref="K4756:K4757"/>
    <mergeCell ref="L4756:L4757"/>
    <mergeCell ref="M4756:M4757"/>
    <mergeCell ref="N4756:N4757"/>
    <mergeCell ref="O4756:O4757"/>
    <mergeCell ref="X4756:X4757"/>
    <mergeCell ref="Y4756:Y4757"/>
    <mergeCell ref="Z4756:Z4757"/>
    <mergeCell ref="AA4756:AA4757"/>
    <mergeCell ref="AB4756:AB4757"/>
    <mergeCell ref="A4758:A4759"/>
    <mergeCell ref="E4758:E4759"/>
    <mergeCell ref="H4758:H4759"/>
    <mergeCell ref="I4758:I4759"/>
    <mergeCell ref="J4758:J4759"/>
    <mergeCell ref="K4758:K4759"/>
    <mergeCell ref="L4758:L4759"/>
    <mergeCell ref="M4758:M4759"/>
    <mergeCell ref="N4758:N4759"/>
    <mergeCell ref="O4758:O4759"/>
    <mergeCell ref="X4758:X4759"/>
    <mergeCell ref="Y4758:Y4759"/>
    <mergeCell ref="Z4758:Z4759"/>
    <mergeCell ref="AA4758:AA4759"/>
    <mergeCell ref="AB4758:AB4759"/>
    <mergeCell ref="A4760:A4761"/>
    <mergeCell ref="E4760:E4761"/>
    <mergeCell ref="H4760:H4761"/>
    <mergeCell ref="I4760:I4761"/>
    <mergeCell ref="J4760:J4761"/>
    <mergeCell ref="K4760:K4761"/>
    <mergeCell ref="L4760:L4761"/>
    <mergeCell ref="M4760:M4761"/>
    <mergeCell ref="N4760:N4761"/>
    <mergeCell ref="O4760:O4761"/>
    <mergeCell ref="X4760:X4761"/>
    <mergeCell ref="Y4760:Y4761"/>
    <mergeCell ref="Z4760:Z4761"/>
    <mergeCell ref="AA4760:AA4761"/>
    <mergeCell ref="AB4760:AB4761"/>
    <mergeCell ref="A4762:A4763"/>
    <mergeCell ref="E4762:E4763"/>
    <mergeCell ref="H4762:H4763"/>
    <mergeCell ref="I4762:I4763"/>
    <mergeCell ref="J4762:J4763"/>
    <mergeCell ref="K4762:K4763"/>
    <mergeCell ref="L4762:L4763"/>
    <mergeCell ref="M4762:M4763"/>
    <mergeCell ref="N4762:N4763"/>
    <mergeCell ref="O4762:O4763"/>
    <mergeCell ref="X4762:X4763"/>
    <mergeCell ref="Y4762:Y4763"/>
    <mergeCell ref="Z4762:Z4763"/>
    <mergeCell ref="AA4762:AA4763"/>
    <mergeCell ref="AB4762:AB4763"/>
    <mergeCell ref="A4764:A4765"/>
    <mergeCell ref="E4764:E4765"/>
    <mergeCell ref="H4764:H4765"/>
    <mergeCell ref="I4764:I4765"/>
    <mergeCell ref="J4764:J4765"/>
    <mergeCell ref="K4764:K4765"/>
    <mergeCell ref="L4764:L4765"/>
    <mergeCell ref="M4764:M4765"/>
    <mergeCell ref="N4764:N4765"/>
    <mergeCell ref="O4764:O4765"/>
    <mergeCell ref="X4764:X4765"/>
    <mergeCell ref="Y4764:Y4765"/>
    <mergeCell ref="Z4764:Z4765"/>
    <mergeCell ref="AA4764:AA4765"/>
    <mergeCell ref="AB4764:AB4765"/>
    <mergeCell ref="A4766:A4767"/>
    <mergeCell ref="E4766:E4767"/>
    <mergeCell ref="H4766:H4767"/>
    <mergeCell ref="I4766:I4767"/>
    <mergeCell ref="J4766:J4767"/>
    <mergeCell ref="K4766:K4767"/>
    <mergeCell ref="L4766:L4767"/>
    <mergeCell ref="M4766:M4767"/>
    <mergeCell ref="N4766:N4767"/>
    <mergeCell ref="O4766:O4767"/>
    <mergeCell ref="X4766:X4767"/>
    <mergeCell ref="Y4766:Y4767"/>
    <mergeCell ref="Z4766:Z4767"/>
    <mergeCell ref="AA4766:AA4767"/>
    <mergeCell ref="AB4766:AB4767"/>
    <mergeCell ref="A4768:A4769"/>
    <mergeCell ref="E4768:E4769"/>
    <mergeCell ref="H4768:H4769"/>
    <mergeCell ref="I4768:I4769"/>
    <mergeCell ref="J4768:J4769"/>
    <mergeCell ref="K4768:K4769"/>
    <mergeCell ref="L4768:L4769"/>
    <mergeCell ref="M4768:M4769"/>
    <mergeCell ref="N4768:N4769"/>
    <mergeCell ref="O4768:O4769"/>
    <mergeCell ref="X4768:X4769"/>
    <mergeCell ref="Y4768:Y4769"/>
    <mergeCell ref="Z4768:Z4769"/>
    <mergeCell ref="AA4768:AA4769"/>
    <mergeCell ref="AB4768:AB4769"/>
    <mergeCell ref="A4770:A4771"/>
    <mergeCell ref="E4770:E4771"/>
    <mergeCell ref="H4770:H4771"/>
    <mergeCell ref="I4770:I4771"/>
    <mergeCell ref="J4770:J4771"/>
    <mergeCell ref="K4770:K4771"/>
    <mergeCell ref="L4770:L4771"/>
    <mergeCell ref="M4770:M4771"/>
    <mergeCell ref="N4770:N4771"/>
    <mergeCell ref="O4770:O4771"/>
    <mergeCell ref="X4770:X4771"/>
    <mergeCell ref="Y4770:Y4771"/>
    <mergeCell ref="Z4770:Z4771"/>
    <mergeCell ref="AA4770:AA4771"/>
    <mergeCell ref="AB4770:AB4771"/>
    <mergeCell ref="A4772:A4773"/>
    <mergeCell ref="E4772:E4773"/>
    <mergeCell ref="H4772:H4773"/>
    <mergeCell ref="I4772:I4773"/>
    <mergeCell ref="J4772:J4773"/>
    <mergeCell ref="K4772:K4773"/>
    <mergeCell ref="L4772:L4773"/>
    <mergeCell ref="M4772:M4773"/>
    <mergeCell ref="N4772:N4773"/>
    <mergeCell ref="O4772:O4773"/>
    <mergeCell ref="X4772:X4773"/>
    <mergeCell ref="Y4772:Y4773"/>
    <mergeCell ref="Z4772:Z4773"/>
    <mergeCell ref="AA4772:AA4773"/>
    <mergeCell ref="AB4772:AB4773"/>
    <mergeCell ref="L4784:L4785"/>
    <mergeCell ref="M4784:M4785"/>
    <mergeCell ref="N4784:N4785"/>
    <mergeCell ref="O4784:O4785"/>
    <mergeCell ref="X4784:X4785"/>
    <mergeCell ref="Y4784:Y4785"/>
    <mergeCell ref="Z4784:Z4785"/>
    <mergeCell ref="AA4784:AA4785"/>
    <mergeCell ref="AB4784:AB4785"/>
    <mergeCell ref="A4774:A4775"/>
    <mergeCell ref="E4774:E4775"/>
    <mergeCell ref="H4774:H4775"/>
    <mergeCell ref="I4774:I4775"/>
    <mergeCell ref="J4774:J4775"/>
    <mergeCell ref="K4774:K4775"/>
    <mergeCell ref="L4774:L4775"/>
    <mergeCell ref="M4774:M4775"/>
    <mergeCell ref="N4774:N4775"/>
    <mergeCell ref="O4774:O4775"/>
    <mergeCell ref="X4774:X4775"/>
    <mergeCell ref="Y4774:Y4775"/>
    <mergeCell ref="Z4774:Z4775"/>
    <mergeCell ref="AA4774:AA4775"/>
    <mergeCell ref="AB4774:AB4775"/>
    <mergeCell ref="A4776:A4777"/>
    <mergeCell ref="E4776:E4777"/>
    <mergeCell ref="H4776:H4777"/>
    <mergeCell ref="I4776:I4777"/>
    <mergeCell ref="J4776:J4777"/>
    <mergeCell ref="K4776:K4777"/>
    <mergeCell ref="L4776:L4777"/>
    <mergeCell ref="M4776:M4777"/>
    <mergeCell ref="N4776:N4777"/>
    <mergeCell ref="O4776:O4777"/>
    <mergeCell ref="X4776:X4777"/>
    <mergeCell ref="Y4776:Y4777"/>
    <mergeCell ref="Z4776:Z4777"/>
    <mergeCell ref="AA4776:AA4777"/>
    <mergeCell ref="AB4776:AB4777"/>
    <mergeCell ref="A4778:A4779"/>
    <mergeCell ref="E4778:E4779"/>
    <mergeCell ref="H4778:H4779"/>
    <mergeCell ref="I4778:I4779"/>
    <mergeCell ref="J4778:J4779"/>
    <mergeCell ref="K4778:K4779"/>
    <mergeCell ref="L4778:L4779"/>
    <mergeCell ref="M4778:M4779"/>
    <mergeCell ref="N4778:N4779"/>
    <mergeCell ref="O4778:O4779"/>
    <mergeCell ref="X4778:X4779"/>
    <mergeCell ref="Y4778:Y4779"/>
    <mergeCell ref="Z4778:Z4779"/>
    <mergeCell ref="AA4778:AA4779"/>
    <mergeCell ref="AB4778:AB4779"/>
    <mergeCell ref="H4788:H4789"/>
    <mergeCell ref="I4788:I4789"/>
    <mergeCell ref="J4788:J4789"/>
    <mergeCell ref="K4788:K4789"/>
    <mergeCell ref="L4788:L4789"/>
    <mergeCell ref="M4788:M4789"/>
    <mergeCell ref="N4788:N4789"/>
    <mergeCell ref="O4788:O4789"/>
    <mergeCell ref="X4788:X4789"/>
    <mergeCell ref="Y4788:Y4789"/>
    <mergeCell ref="Z4788:Z4789"/>
    <mergeCell ref="AA4788:AA4789"/>
    <mergeCell ref="AB4788:AB4789"/>
    <mergeCell ref="A4790:A4791"/>
    <mergeCell ref="E4790:E4791"/>
    <mergeCell ref="H4790:H4791"/>
    <mergeCell ref="I4790:I4791"/>
    <mergeCell ref="J4790:J4791"/>
    <mergeCell ref="K4790:K4791"/>
    <mergeCell ref="L4790:L4791"/>
    <mergeCell ref="M4790:M4791"/>
    <mergeCell ref="N4790:N4791"/>
    <mergeCell ref="O4790:O4791"/>
    <mergeCell ref="X4790:X4791"/>
    <mergeCell ref="Y4790:Y4791"/>
    <mergeCell ref="Z4790:Z4791"/>
    <mergeCell ref="AA4790:AA4791"/>
    <mergeCell ref="AB4790:AB4791"/>
    <mergeCell ref="A4780:A4781"/>
    <mergeCell ref="E4780:E4781"/>
    <mergeCell ref="H4780:H4781"/>
    <mergeCell ref="I4780:I4781"/>
    <mergeCell ref="J4780:J4781"/>
    <mergeCell ref="K4780:K4781"/>
    <mergeCell ref="L4780:L4781"/>
    <mergeCell ref="M4780:M4781"/>
    <mergeCell ref="N4780:N4781"/>
    <mergeCell ref="O4780:O4781"/>
    <mergeCell ref="X4780:X4781"/>
    <mergeCell ref="Y4780:Y4781"/>
    <mergeCell ref="Z4780:Z4781"/>
    <mergeCell ref="AA4780:AA4781"/>
    <mergeCell ref="AB4780:AB4781"/>
    <mergeCell ref="A4782:A4783"/>
    <mergeCell ref="E4782:E4783"/>
    <mergeCell ref="H4782:H4783"/>
    <mergeCell ref="I4782:I4783"/>
    <mergeCell ref="J4782:J4783"/>
    <mergeCell ref="K4782:K4783"/>
    <mergeCell ref="L4782:L4783"/>
    <mergeCell ref="M4782:M4783"/>
    <mergeCell ref="N4782:N4783"/>
    <mergeCell ref="O4782:O4783"/>
    <mergeCell ref="X4782:X4783"/>
    <mergeCell ref="Y4782:Y4783"/>
    <mergeCell ref="Z4782:Z4783"/>
    <mergeCell ref="AA4782:AA4783"/>
    <mergeCell ref="AB4782:AB4783"/>
    <mergeCell ref="A4784:A4785"/>
    <mergeCell ref="E4784:E4785"/>
    <mergeCell ref="H4784:H4785"/>
    <mergeCell ref="I4784:I4785"/>
    <mergeCell ref="J4784:J4785"/>
    <mergeCell ref="K4784:K4785"/>
    <mergeCell ref="O4812:O4813"/>
    <mergeCell ref="X4812:X4813"/>
    <mergeCell ref="Y4812:Y4813"/>
    <mergeCell ref="Z4812:Z4813"/>
    <mergeCell ref="AA4812:AA4813"/>
    <mergeCell ref="AB4812:AB4813"/>
    <mergeCell ref="A4816:A4817"/>
    <mergeCell ref="E4816:E4817"/>
    <mergeCell ref="H4816:H4817"/>
    <mergeCell ref="I4816:I4817"/>
    <mergeCell ref="J4816:J4817"/>
    <mergeCell ref="K4816:K4817"/>
    <mergeCell ref="L4816:L4817"/>
    <mergeCell ref="M4816:M4817"/>
    <mergeCell ref="N4816:N4817"/>
    <mergeCell ref="O4816:O4817"/>
    <mergeCell ref="X4816:X4817"/>
    <mergeCell ref="Y4816:Y4817"/>
    <mergeCell ref="Z4816:Z4817"/>
    <mergeCell ref="AA4816:AA4817"/>
    <mergeCell ref="AB4816:AB4817"/>
    <mergeCell ref="A4814:A4815"/>
    <mergeCell ref="E4814:E4815"/>
    <mergeCell ref="H4814:H4815"/>
    <mergeCell ref="I4814:I4815"/>
    <mergeCell ref="J4814:J4815"/>
    <mergeCell ref="K4814:K4815"/>
    <mergeCell ref="L4814:L4815"/>
    <mergeCell ref="M4814:M4815"/>
    <mergeCell ref="N4814:N4815"/>
    <mergeCell ref="O4814:O4815"/>
    <mergeCell ref="X4814:X4815"/>
    <mergeCell ref="Y4814:Y4815"/>
    <mergeCell ref="Z4814:Z4815"/>
    <mergeCell ref="AA4814:AA4815"/>
    <mergeCell ref="AB4814:AB4815"/>
    <mergeCell ref="A4812:A4813"/>
    <mergeCell ref="E4812:E4813"/>
    <mergeCell ref="H4812:H4813"/>
    <mergeCell ref="I4812:I4813"/>
    <mergeCell ref="J4812:J4813"/>
    <mergeCell ref="K4812:K4813"/>
    <mergeCell ref="L4812:L4813"/>
    <mergeCell ref="M4812:M4813"/>
    <mergeCell ref="N4812:N4813"/>
    <mergeCell ref="A4818:A4819"/>
    <mergeCell ref="E4818:E4819"/>
    <mergeCell ref="H4818:H4819"/>
    <mergeCell ref="I4818:I4819"/>
    <mergeCell ref="J4818:J4819"/>
    <mergeCell ref="K4818:K4819"/>
    <mergeCell ref="L4818:L4819"/>
    <mergeCell ref="M4818:M4819"/>
    <mergeCell ref="N4818:N4819"/>
    <mergeCell ref="O4818:O4819"/>
    <mergeCell ref="X4818:X4819"/>
    <mergeCell ref="Y4818:Y4819"/>
    <mergeCell ref="Z4818:Z4819"/>
    <mergeCell ref="AA4818:AA4819"/>
    <mergeCell ref="AB4818:AB4819"/>
    <mergeCell ref="A4820:A4821"/>
    <mergeCell ref="E4820:E4821"/>
    <mergeCell ref="H4820:H4821"/>
    <mergeCell ref="I4820:I4821"/>
    <mergeCell ref="J4820:J4821"/>
    <mergeCell ref="K4820:K4821"/>
    <mergeCell ref="L4820:L4821"/>
    <mergeCell ref="M4820:M4821"/>
    <mergeCell ref="N4820:N4821"/>
    <mergeCell ref="O4820:O4821"/>
    <mergeCell ref="X4820:X4821"/>
    <mergeCell ref="Y4820:Y4821"/>
    <mergeCell ref="Z4820:Z4821"/>
    <mergeCell ref="AA4820:AA4821"/>
    <mergeCell ref="AB4820:AB4821"/>
    <mergeCell ref="A4822:A4823"/>
    <mergeCell ref="E4822:E4823"/>
    <mergeCell ref="H4822:H4823"/>
    <mergeCell ref="I4822:I4823"/>
    <mergeCell ref="J4822:J4823"/>
    <mergeCell ref="K4822:K4823"/>
    <mergeCell ref="L4822:L4823"/>
    <mergeCell ref="M4822:M4823"/>
    <mergeCell ref="N4822:N4823"/>
    <mergeCell ref="O4822:O4823"/>
    <mergeCell ref="X4822:X4823"/>
    <mergeCell ref="Y4822:Y4823"/>
    <mergeCell ref="Z4822:Z4823"/>
    <mergeCell ref="AA4822:AA4823"/>
    <mergeCell ref="AB4822:AB4823"/>
    <mergeCell ref="A4824:A4825"/>
    <mergeCell ref="E4824:E4825"/>
    <mergeCell ref="H4824:H4825"/>
    <mergeCell ref="I4824:I4825"/>
    <mergeCell ref="J4824:J4825"/>
    <mergeCell ref="K4824:K4825"/>
    <mergeCell ref="L4824:L4825"/>
    <mergeCell ref="M4824:M4825"/>
    <mergeCell ref="N4824:N4825"/>
    <mergeCell ref="O4824:O4825"/>
    <mergeCell ref="X4824:X4825"/>
    <mergeCell ref="Y4824:Y4825"/>
    <mergeCell ref="Z4824:Z4825"/>
    <mergeCell ref="AA4824:AA4825"/>
    <mergeCell ref="AB4824:AB4825"/>
    <mergeCell ref="A4830:A4831"/>
    <mergeCell ref="E4830:E4831"/>
    <mergeCell ref="H4830:H4831"/>
    <mergeCell ref="I4830:I4831"/>
    <mergeCell ref="J4830:J4831"/>
    <mergeCell ref="K4830:K4831"/>
    <mergeCell ref="L4830:L4831"/>
    <mergeCell ref="M4830:M4831"/>
    <mergeCell ref="N4830:N4831"/>
    <mergeCell ref="O4830:O4831"/>
    <mergeCell ref="X4830:X4831"/>
    <mergeCell ref="Y4830:Y4831"/>
    <mergeCell ref="Z4830:Z4831"/>
    <mergeCell ref="AA4830:AA4831"/>
    <mergeCell ref="AB4830:AB4831"/>
    <mergeCell ref="AB4828:AB4829"/>
    <mergeCell ref="A4828:A4829"/>
    <mergeCell ref="E4828:E4829"/>
    <mergeCell ref="H4828:H4829"/>
    <mergeCell ref="I4828:I4829"/>
    <mergeCell ref="J4828:J4829"/>
    <mergeCell ref="K4828:K4829"/>
    <mergeCell ref="L4828:L4829"/>
    <mergeCell ref="M4828:M4829"/>
    <mergeCell ref="N4828:N4829"/>
    <mergeCell ref="O4828:O4829"/>
    <mergeCell ref="X4828:X4829"/>
    <mergeCell ref="Y4828:Y4829"/>
    <mergeCell ref="Z4828:Z4829"/>
    <mergeCell ref="AA4828:AA4829"/>
    <mergeCell ref="A4826:A4827"/>
    <mergeCell ref="E4826:E4827"/>
    <mergeCell ref="H4826:H4827"/>
    <mergeCell ref="I4826:I4827"/>
    <mergeCell ref="J4826:J4827"/>
    <mergeCell ref="K4826:K4827"/>
    <mergeCell ref="L4826:L4827"/>
    <mergeCell ref="M4826:M4827"/>
    <mergeCell ref="N4826:N4827"/>
    <mergeCell ref="O4826:O4827"/>
    <mergeCell ref="X4826:X4827"/>
    <mergeCell ref="Y4826:Y4827"/>
    <mergeCell ref="Z4826:Z4827"/>
    <mergeCell ref="AA4826:AA4827"/>
    <mergeCell ref="AB4826:AB4827"/>
    <mergeCell ref="A4832:A4833"/>
    <mergeCell ref="E4832:E4833"/>
    <mergeCell ref="H4832:H4833"/>
    <mergeCell ref="I4832:I4833"/>
    <mergeCell ref="J4832:J4833"/>
    <mergeCell ref="K4832:K4833"/>
    <mergeCell ref="L4832:L4833"/>
    <mergeCell ref="M4832:M4833"/>
    <mergeCell ref="N4832:N4833"/>
    <mergeCell ref="O4832:O4833"/>
    <mergeCell ref="X4832:X4833"/>
    <mergeCell ref="Y4832:Y4833"/>
    <mergeCell ref="Z4832:Z4833"/>
    <mergeCell ref="AA4832:AA4833"/>
    <mergeCell ref="AB4832:AB4833"/>
    <mergeCell ref="A4834:A4835"/>
    <mergeCell ref="E4834:E4835"/>
    <mergeCell ref="H4834:H4835"/>
    <mergeCell ref="I4834:I4835"/>
    <mergeCell ref="J4834:J4835"/>
    <mergeCell ref="K4834:K4835"/>
    <mergeCell ref="L4834:L4835"/>
    <mergeCell ref="M4834:M4835"/>
    <mergeCell ref="N4834:N4835"/>
    <mergeCell ref="O4834:O4835"/>
    <mergeCell ref="X4834:X4835"/>
    <mergeCell ref="Y4834:Y4835"/>
    <mergeCell ref="Z4834:Z4835"/>
    <mergeCell ref="AA4834:AA4835"/>
    <mergeCell ref="AB4834:AB4835"/>
    <mergeCell ref="A4836:A4837"/>
    <mergeCell ref="E4836:E4837"/>
    <mergeCell ref="H4836:H4837"/>
    <mergeCell ref="I4836:I4837"/>
    <mergeCell ref="J4836:J4837"/>
    <mergeCell ref="K4836:K4837"/>
    <mergeCell ref="L4836:L4837"/>
    <mergeCell ref="M4836:M4837"/>
    <mergeCell ref="N4836:N4837"/>
    <mergeCell ref="O4836:O4837"/>
    <mergeCell ref="X4836:X4837"/>
    <mergeCell ref="Y4836:Y4837"/>
    <mergeCell ref="Z4836:Z4837"/>
    <mergeCell ref="AA4836:AA4837"/>
    <mergeCell ref="AB4836:AB4837"/>
    <mergeCell ref="A4838:A4839"/>
    <mergeCell ref="E4838:E4839"/>
    <mergeCell ref="H4838:H4839"/>
    <mergeCell ref="I4838:I4839"/>
    <mergeCell ref="J4838:J4839"/>
    <mergeCell ref="K4838:K4839"/>
    <mergeCell ref="L4838:L4839"/>
    <mergeCell ref="M4838:M4839"/>
    <mergeCell ref="N4838:N4839"/>
    <mergeCell ref="O4838:O4839"/>
    <mergeCell ref="X4838:X4839"/>
    <mergeCell ref="Y4838:Y4839"/>
    <mergeCell ref="Z4838:Z4839"/>
    <mergeCell ref="AA4838:AA4839"/>
    <mergeCell ref="AB4838:AB4839"/>
    <mergeCell ref="A4840:A4841"/>
    <mergeCell ref="E4840:E4841"/>
    <mergeCell ref="H4840:H4841"/>
    <mergeCell ref="I4840:I4841"/>
    <mergeCell ref="J4840:J4841"/>
    <mergeCell ref="K4840:K4841"/>
    <mergeCell ref="L4840:L4841"/>
    <mergeCell ref="M4840:M4841"/>
    <mergeCell ref="N4840:N4841"/>
    <mergeCell ref="O4840:O4841"/>
    <mergeCell ref="X4840:X4841"/>
    <mergeCell ref="Y4840:Y4841"/>
    <mergeCell ref="Z4840:Z4841"/>
    <mergeCell ref="AA4840:AA4841"/>
    <mergeCell ref="AB4840:AB4841"/>
    <mergeCell ref="A4842:A4843"/>
    <mergeCell ref="E4842:E4843"/>
    <mergeCell ref="H4842:H4843"/>
    <mergeCell ref="I4842:I4843"/>
    <mergeCell ref="J4842:J4843"/>
    <mergeCell ref="K4842:K4843"/>
    <mergeCell ref="L4842:L4843"/>
    <mergeCell ref="M4842:M4843"/>
    <mergeCell ref="N4842:N4843"/>
    <mergeCell ref="O4842:O4843"/>
    <mergeCell ref="X4842:X4843"/>
    <mergeCell ref="Y4842:Y4843"/>
    <mergeCell ref="Z4842:Z4843"/>
    <mergeCell ref="AA4842:AA4843"/>
    <mergeCell ref="AB4842:AB4843"/>
    <mergeCell ref="A4844:A4845"/>
    <mergeCell ref="E4844:E4845"/>
    <mergeCell ref="H4844:H4845"/>
    <mergeCell ref="I4844:I4845"/>
    <mergeCell ref="J4844:J4845"/>
    <mergeCell ref="K4844:K4845"/>
    <mergeCell ref="L4844:L4845"/>
    <mergeCell ref="M4844:M4845"/>
    <mergeCell ref="N4844:N4845"/>
    <mergeCell ref="O4844:O4845"/>
    <mergeCell ref="X4844:X4845"/>
    <mergeCell ref="Y4844:Y4845"/>
    <mergeCell ref="Z4844:Z4845"/>
    <mergeCell ref="AA4844:AA4845"/>
    <mergeCell ref="AB4844:AB4845"/>
    <mergeCell ref="A4846:A4847"/>
    <mergeCell ref="E4846:E4847"/>
    <mergeCell ref="H4846:H4847"/>
    <mergeCell ref="I4846:I4847"/>
    <mergeCell ref="J4846:J4847"/>
    <mergeCell ref="K4846:K4847"/>
    <mergeCell ref="L4846:L4847"/>
    <mergeCell ref="M4846:M4847"/>
    <mergeCell ref="N4846:N4847"/>
    <mergeCell ref="O4846:O4847"/>
    <mergeCell ref="X4846:X4847"/>
    <mergeCell ref="Y4846:Y4847"/>
    <mergeCell ref="Z4846:Z4847"/>
    <mergeCell ref="AA4846:AA4847"/>
    <mergeCell ref="AB4846:AB4847"/>
    <mergeCell ref="A4848:A4849"/>
    <mergeCell ref="E4848:E4849"/>
    <mergeCell ref="H4848:H4849"/>
    <mergeCell ref="I4848:I4849"/>
    <mergeCell ref="J4848:J4849"/>
    <mergeCell ref="K4848:K4849"/>
    <mergeCell ref="L4848:L4849"/>
    <mergeCell ref="M4848:M4849"/>
    <mergeCell ref="N4848:N4849"/>
    <mergeCell ref="O4848:O4849"/>
    <mergeCell ref="X4848:X4849"/>
    <mergeCell ref="Y4848:Y4849"/>
    <mergeCell ref="Z4848:Z4849"/>
    <mergeCell ref="AA4848:AA4849"/>
    <mergeCell ref="AB4848:AB4849"/>
    <mergeCell ref="A4850:A4851"/>
    <mergeCell ref="E4850:E4851"/>
    <mergeCell ref="H4850:H4851"/>
    <mergeCell ref="I4850:I4851"/>
    <mergeCell ref="J4850:J4851"/>
    <mergeCell ref="K4850:K4851"/>
    <mergeCell ref="L4850:L4851"/>
    <mergeCell ref="M4850:M4851"/>
    <mergeCell ref="N4850:N4851"/>
    <mergeCell ref="O4850:O4851"/>
    <mergeCell ref="X4850:X4851"/>
    <mergeCell ref="Y4850:Y4851"/>
    <mergeCell ref="Z4850:Z4851"/>
    <mergeCell ref="AA4850:AA4851"/>
    <mergeCell ref="AB4850:AB4851"/>
    <mergeCell ref="A4852:A4853"/>
    <mergeCell ref="E4852:E4853"/>
    <mergeCell ref="H4852:H4853"/>
    <mergeCell ref="I4852:I4853"/>
    <mergeCell ref="J4852:J4853"/>
    <mergeCell ref="K4852:K4853"/>
    <mergeCell ref="L4852:L4853"/>
    <mergeCell ref="M4852:M4853"/>
    <mergeCell ref="N4852:N4853"/>
    <mergeCell ref="O4852:O4853"/>
    <mergeCell ref="X4852:X4853"/>
    <mergeCell ref="Y4852:Y4853"/>
    <mergeCell ref="Z4852:Z4853"/>
    <mergeCell ref="AA4852:AA4853"/>
    <mergeCell ref="AB4852:AB4853"/>
    <mergeCell ref="A4854:A4855"/>
    <mergeCell ref="E4854:E4855"/>
    <mergeCell ref="H4854:H4855"/>
    <mergeCell ref="I4854:I4855"/>
    <mergeCell ref="J4854:J4855"/>
    <mergeCell ref="K4854:K4855"/>
    <mergeCell ref="L4854:L4855"/>
    <mergeCell ref="M4854:M4855"/>
    <mergeCell ref="N4854:N4855"/>
    <mergeCell ref="O4854:O4855"/>
    <mergeCell ref="X4854:X4855"/>
    <mergeCell ref="Y4854:Y4855"/>
    <mergeCell ref="Z4854:Z4855"/>
    <mergeCell ref="AA4854:AA4855"/>
    <mergeCell ref="AB4854:AB4855"/>
    <mergeCell ref="A4856:A4857"/>
    <mergeCell ref="E4856:E4857"/>
    <mergeCell ref="H4856:H4857"/>
    <mergeCell ref="I4856:I4857"/>
    <mergeCell ref="J4856:J4857"/>
    <mergeCell ref="K4856:K4857"/>
    <mergeCell ref="L4856:L4857"/>
    <mergeCell ref="M4856:M4857"/>
    <mergeCell ref="N4856:N4857"/>
    <mergeCell ref="O4856:O4857"/>
    <mergeCell ref="X4856:X4857"/>
    <mergeCell ref="Y4856:Y4857"/>
    <mergeCell ref="Z4856:Z4857"/>
    <mergeCell ref="AA4856:AA4857"/>
    <mergeCell ref="AB4856:AB4857"/>
    <mergeCell ref="A4858:A4859"/>
    <mergeCell ref="E4858:E4859"/>
    <mergeCell ref="H4858:H4859"/>
    <mergeCell ref="I4858:I4859"/>
    <mergeCell ref="J4858:J4859"/>
    <mergeCell ref="K4858:K4859"/>
    <mergeCell ref="L4858:L4859"/>
    <mergeCell ref="M4858:M4859"/>
    <mergeCell ref="N4858:N4859"/>
    <mergeCell ref="O4858:O4859"/>
    <mergeCell ref="X4858:X4859"/>
    <mergeCell ref="Y4858:Y4859"/>
    <mergeCell ref="Z4858:Z4859"/>
    <mergeCell ref="AA4858:AA4859"/>
    <mergeCell ref="AB4858:AB4859"/>
    <mergeCell ref="A4860:A4861"/>
    <mergeCell ref="E4860:E4861"/>
    <mergeCell ref="H4860:H4861"/>
    <mergeCell ref="I4860:I4861"/>
    <mergeCell ref="J4860:J4861"/>
    <mergeCell ref="K4860:K4861"/>
    <mergeCell ref="L4860:L4861"/>
    <mergeCell ref="M4860:M4861"/>
    <mergeCell ref="N4860:N4861"/>
    <mergeCell ref="O4860:O4861"/>
    <mergeCell ref="X4860:X4861"/>
    <mergeCell ref="Y4860:Y4861"/>
    <mergeCell ref="Z4860:Z4861"/>
    <mergeCell ref="AA4860:AA4861"/>
    <mergeCell ref="AB4860:AB4861"/>
    <mergeCell ref="A4862:A4863"/>
    <mergeCell ref="E4862:E4863"/>
    <mergeCell ref="H4862:H4863"/>
    <mergeCell ref="I4862:I4863"/>
    <mergeCell ref="J4862:J4863"/>
    <mergeCell ref="K4862:K4863"/>
    <mergeCell ref="L4862:L4863"/>
    <mergeCell ref="M4862:M4863"/>
    <mergeCell ref="N4862:N4863"/>
    <mergeCell ref="O4862:O4863"/>
    <mergeCell ref="X4862:X4863"/>
    <mergeCell ref="Y4862:Y4863"/>
    <mergeCell ref="Z4862:Z4863"/>
    <mergeCell ref="AA4862:AA4863"/>
    <mergeCell ref="AB4862:AB4863"/>
    <mergeCell ref="A4864:A4865"/>
    <mergeCell ref="E4864:E4865"/>
    <mergeCell ref="H4864:H4865"/>
    <mergeCell ref="I4864:I4865"/>
    <mergeCell ref="J4864:J4865"/>
    <mergeCell ref="K4864:K4865"/>
    <mergeCell ref="L4864:L4865"/>
    <mergeCell ref="M4864:M4865"/>
    <mergeCell ref="N4864:N4865"/>
    <mergeCell ref="O4864:O4865"/>
    <mergeCell ref="X4864:X4865"/>
    <mergeCell ref="Y4864:Y4865"/>
    <mergeCell ref="Z4864:Z4865"/>
    <mergeCell ref="AA4864:AA4865"/>
    <mergeCell ref="AB4864:AB4865"/>
    <mergeCell ref="A4866:A4867"/>
    <mergeCell ref="E4866:E4867"/>
    <mergeCell ref="H4866:H4867"/>
    <mergeCell ref="I4866:I4867"/>
    <mergeCell ref="J4866:J4867"/>
    <mergeCell ref="K4866:K4867"/>
    <mergeCell ref="L4866:L4867"/>
    <mergeCell ref="M4866:M4867"/>
    <mergeCell ref="N4866:N4867"/>
    <mergeCell ref="O4866:O4867"/>
    <mergeCell ref="X4866:X4867"/>
    <mergeCell ref="Y4866:Y4867"/>
    <mergeCell ref="Z4866:Z4867"/>
    <mergeCell ref="AA4866:AA4867"/>
    <mergeCell ref="AB4866:AB4867"/>
    <mergeCell ref="A4868:A4869"/>
    <mergeCell ref="E4868:E4869"/>
    <mergeCell ref="H4868:H4869"/>
    <mergeCell ref="I4868:I4869"/>
    <mergeCell ref="J4868:J4869"/>
    <mergeCell ref="K4868:K4869"/>
    <mergeCell ref="L4868:L4869"/>
    <mergeCell ref="M4868:M4869"/>
    <mergeCell ref="N4868:N4869"/>
    <mergeCell ref="O4868:O4869"/>
    <mergeCell ref="X4868:X4869"/>
    <mergeCell ref="Y4868:Y4869"/>
    <mergeCell ref="Z4868:Z4869"/>
    <mergeCell ref="AA4868:AA4869"/>
    <mergeCell ref="AB4868:AB4869"/>
    <mergeCell ref="A4870:A4871"/>
    <mergeCell ref="E4870:E4871"/>
    <mergeCell ref="H4870:H4871"/>
    <mergeCell ref="I4870:I4871"/>
    <mergeCell ref="J4870:J4871"/>
    <mergeCell ref="K4870:K4871"/>
    <mergeCell ref="L4870:L4871"/>
    <mergeCell ref="M4870:M4871"/>
    <mergeCell ref="N4870:N4871"/>
    <mergeCell ref="O4870:O4871"/>
    <mergeCell ref="X4870:X4871"/>
    <mergeCell ref="Y4870:Y4871"/>
    <mergeCell ref="Z4870:Z4871"/>
    <mergeCell ref="AA4870:AA4871"/>
    <mergeCell ref="AB4870:AB4871"/>
    <mergeCell ref="A4872:A4873"/>
    <mergeCell ref="E4872:E4873"/>
    <mergeCell ref="H4872:H4873"/>
    <mergeCell ref="I4872:I4873"/>
    <mergeCell ref="J4872:J4873"/>
    <mergeCell ref="K4872:K4873"/>
    <mergeCell ref="L4872:L4873"/>
    <mergeCell ref="M4872:M4873"/>
    <mergeCell ref="N4872:N4873"/>
    <mergeCell ref="O4872:O4873"/>
    <mergeCell ref="X4872:X4873"/>
    <mergeCell ref="Y4872:Y4873"/>
    <mergeCell ref="Z4872:Z4873"/>
    <mergeCell ref="AA4872:AA4873"/>
    <mergeCell ref="AB4872:AB4873"/>
    <mergeCell ref="A4874:A4875"/>
    <mergeCell ref="E4874:E4875"/>
    <mergeCell ref="H4874:H4875"/>
    <mergeCell ref="I4874:I4875"/>
    <mergeCell ref="J4874:J4875"/>
    <mergeCell ref="K4874:K4875"/>
    <mergeCell ref="L4874:L4875"/>
    <mergeCell ref="M4874:M4875"/>
    <mergeCell ref="N4874:N4875"/>
    <mergeCell ref="O4874:O4875"/>
    <mergeCell ref="X4874:X4875"/>
    <mergeCell ref="Y4874:Y4875"/>
    <mergeCell ref="Z4874:Z4875"/>
    <mergeCell ref="AA4874:AA4875"/>
    <mergeCell ref="AB4874:AB4875"/>
    <mergeCell ref="A4876:A4877"/>
    <mergeCell ref="E4876:E4877"/>
    <mergeCell ref="H4876:H4877"/>
    <mergeCell ref="I4876:I4877"/>
    <mergeCell ref="J4876:J4877"/>
    <mergeCell ref="K4876:K4877"/>
    <mergeCell ref="L4876:L4877"/>
    <mergeCell ref="M4876:M4877"/>
    <mergeCell ref="N4876:N4877"/>
    <mergeCell ref="O4876:O4877"/>
    <mergeCell ref="X4876:X4877"/>
    <mergeCell ref="Y4876:Y4877"/>
    <mergeCell ref="Z4876:Z4877"/>
    <mergeCell ref="AA4876:AA4877"/>
    <mergeCell ref="AB4876:AB4877"/>
    <mergeCell ref="A4880:A4881"/>
    <mergeCell ref="E4880:E4881"/>
    <mergeCell ref="H4880:H4881"/>
    <mergeCell ref="I4880:I4881"/>
    <mergeCell ref="J4880:J4881"/>
    <mergeCell ref="K4880:K4881"/>
    <mergeCell ref="L4880:L4881"/>
    <mergeCell ref="M4880:M4881"/>
    <mergeCell ref="N4880:N4881"/>
    <mergeCell ref="O4880:O4881"/>
    <mergeCell ref="X4880:X4881"/>
    <mergeCell ref="Y4880:Y4881"/>
    <mergeCell ref="Z4880:Z4881"/>
    <mergeCell ref="AA4880:AA4881"/>
    <mergeCell ref="AB4880:AB4881"/>
    <mergeCell ref="A4878:A4879"/>
    <mergeCell ref="E4878:E4879"/>
    <mergeCell ref="H4878:H4879"/>
    <mergeCell ref="I4878:I4879"/>
    <mergeCell ref="J4878:J4879"/>
    <mergeCell ref="K4878:K4879"/>
    <mergeCell ref="L4878:L4879"/>
    <mergeCell ref="M4878:M4879"/>
    <mergeCell ref="N4878:N4879"/>
    <mergeCell ref="AA4878:AA4879"/>
    <mergeCell ref="AB4878:AB4879"/>
    <mergeCell ref="J4886:J4887"/>
    <mergeCell ref="K4886:K4887"/>
    <mergeCell ref="L4886:L4887"/>
    <mergeCell ref="M4886:M4887"/>
    <mergeCell ref="N4886:N4887"/>
    <mergeCell ref="O4886:O4887"/>
    <mergeCell ref="X4886:X4887"/>
    <mergeCell ref="Y4886:Y4887"/>
    <mergeCell ref="Z4886:Z4887"/>
    <mergeCell ref="AA4886:AA4887"/>
    <mergeCell ref="AB4886:AB4887"/>
    <mergeCell ref="A4890:A4891"/>
    <mergeCell ref="E4890:E4891"/>
    <mergeCell ref="H4890:H4891"/>
    <mergeCell ref="I4890:I4891"/>
    <mergeCell ref="J4890:J4891"/>
    <mergeCell ref="K4890:K4891"/>
    <mergeCell ref="L4890:L4891"/>
    <mergeCell ref="M4890:M4891"/>
    <mergeCell ref="N4890:N4891"/>
    <mergeCell ref="O4890:O4891"/>
    <mergeCell ref="X4890:X4891"/>
    <mergeCell ref="Y4890:Y4891"/>
    <mergeCell ref="Z4890:Z4891"/>
    <mergeCell ref="AA4890:AA4891"/>
    <mergeCell ref="AB4890:AB4891"/>
    <mergeCell ref="A4892:A4893"/>
    <mergeCell ref="E4892:E4893"/>
    <mergeCell ref="H4892:H4893"/>
    <mergeCell ref="I4892:I4893"/>
    <mergeCell ref="J4892:J4893"/>
    <mergeCell ref="K4892:K4893"/>
    <mergeCell ref="L4892:L4893"/>
    <mergeCell ref="M4892:M4893"/>
    <mergeCell ref="N4892:N4893"/>
    <mergeCell ref="O4892:O4893"/>
    <mergeCell ref="X4892:X4893"/>
    <mergeCell ref="Y4892:Y4893"/>
    <mergeCell ref="Z4892:Z4893"/>
    <mergeCell ref="AA4892:AA4893"/>
    <mergeCell ref="AB4892:AB4893"/>
    <mergeCell ref="AA4888:AA4889"/>
    <mergeCell ref="AB4888:AB4889"/>
    <mergeCell ref="A4894:A4895"/>
    <mergeCell ref="E4894:E4895"/>
    <mergeCell ref="H4894:H4895"/>
    <mergeCell ref="I4894:I4895"/>
    <mergeCell ref="J4894:J4895"/>
    <mergeCell ref="K4894:K4895"/>
    <mergeCell ref="L4894:L4895"/>
    <mergeCell ref="M4894:M4895"/>
    <mergeCell ref="N4894:N4895"/>
    <mergeCell ref="O4894:O4895"/>
    <mergeCell ref="X4894:X4895"/>
    <mergeCell ref="Y4894:Y4895"/>
    <mergeCell ref="Z4894:Z4895"/>
    <mergeCell ref="AA4894:AA4895"/>
    <mergeCell ref="AB4894:AB4895"/>
    <mergeCell ref="A4896:A4897"/>
    <mergeCell ref="E4896:E4897"/>
    <mergeCell ref="H4896:H4897"/>
    <mergeCell ref="I4896:I4897"/>
    <mergeCell ref="J4896:J4897"/>
    <mergeCell ref="K4896:K4897"/>
    <mergeCell ref="L4896:L4897"/>
    <mergeCell ref="M4896:M4897"/>
    <mergeCell ref="N4896:N4897"/>
    <mergeCell ref="O4896:O4897"/>
    <mergeCell ref="X4896:X4897"/>
    <mergeCell ref="Y4896:Y4897"/>
    <mergeCell ref="Z4896:Z4897"/>
    <mergeCell ref="AA4896:AA4897"/>
    <mergeCell ref="AB4896:AB4897"/>
    <mergeCell ref="A4898:A4899"/>
    <mergeCell ref="E4898:E4899"/>
    <mergeCell ref="H4898:H4899"/>
    <mergeCell ref="I4898:I4899"/>
    <mergeCell ref="J4898:J4899"/>
    <mergeCell ref="K4898:K4899"/>
    <mergeCell ref="L4898:L4899"/>
    <mergeCell ref="M4898:M4899"/>
    <mergeCell ref="N4898:N4899"/>
    <mergeCell ref="O4898:O4899"/>
    <mergeCell ref="X4898:X4899"/>
    <mergeCell ref="Y4898:Y4899"/>
    <mergeCell ref="Z4898:Z4899"/>
    <mergeCell ref="AA4898:AA4899"/>
    <mergeCell ref="AB4898:AB4899"/>
    <mergeCell ref="A4900:A4901"/>
    <mergeCell ref="E4900:E4901"/>
    <mergeCell ref="H4900:H4901"/>
    <mergeCell ref="I4900:I4901"/>
    <mergeCell ref="J4900:J4901"/>
    <mergeCell ref="K4900:K4901"/>
    <mergeCell ref="L4900:L4901"/>
    <mergeCell ref="M4900:M4901"/>
    <mergeCell ref="N4900:N4901"/>
    <mergeCell ref="O4900:O4901"/>
    <mergeCell ref="X4900:X4901"/>
    <mergeCell ref="Y4900:Y4901"/>
    <mergeCell ref="Z4900:Z4901"/>
    <mergeCell ref="AA4900:AA4901"/>
    <mergeCell ref="AB4900:AB4901"/>
    <mergeCell ref="A4902:A4903"/>
    <mergeCell ref="E4902:E4903"/>
    <mergeCell ref="H4902:H4903"/>
    <mergeCell ref="I4902:I4903"/>
    <mergeCell ref="J4902:J4903"/>
    <mergeCell ref="K4902:K4903"/>
    <mergeCell ref="L4902:L4903"/>
    <mergeCell ref="M4902:M4903"/>
    <mergeCell ref="N4902:N4903"/>
    <mergeCell ref="O4902:O4903"/>
    <mergeCell ref="X4902:X4903"/>
    <mergeCell ref="Y4902:Y4903"/>
    <mergeCell ref="Z4902:Z4903"/>
    <mergeCell ref="AA4902:AA4903"/>
    <mergeCell ref="AB4902:AB4903"/>
    <mergeCell ref="A4904:A4905"/>
    <mergeCell ref="E4904:E4905"/>
    <mergeCell ref="H4904:H4905"/>
    <mergeCell ref="I4904:I4905"/>
    <mergeCell ref="J4904:J4905"/>
    <mergeCell ref="K4904:K4905"/>
    <mergeCell ref="L4904:L4905"/>
    <mergeCell ref="M4904:M4905"/>
    <mergeCell ref="N4904:N4905"/>
    <mergeCell ref="O4904:O4905"/>
    <mergeCell ref="X4904:X4905"/>
    <mergeCell ref="Y4904:Y4905"/>
    <mergeCell ref="Z4904:Z4905"/>
    <mergeCell ref="AA4904:AA4905"/>
    <mergeCell ref="AB4904:AB4905"/>
    <mergeCell ref="O4914:O4915"/>
    <mergeCell ref="X4914:X4915"/>
    <mergeCell ref="Y4914:Y4915"/>
    <mergeCell ref="Z4914:Z4915"/>
    <mergeCell ref="AA4914:AA4915"/>
    <mergeCell ref="AB4914:AB4915"/>
    <mergeCell ref="K4916:K4917"/>
    <mergeCell ref="L4916:L4917"/>
    <mergeCell ref="M4916:M4917"/>
    <mergeCell ref="N4916:N4917"/>
    <mergeCell ref="A4906:A4907"/>
    <mergeCell ref="E4906:E4907"/>
    <mergeCell ref="H4906:H4907"/>
    <mergeCell ref="I4906:I4907"/>
    <mergeCell ref="J4906:J4907"/>
    <mergeCell ref="K4906:K4907"/>
    <mergeCell ref="L4906:L4907"/>
    <mergeCell ref="M4906:M4907"/>
    <mergeCell ref="N4906:N4907"/>
    <mergeCell ref="O4906:O4907"/>
    <mergeCell ref="X4906:X4907"/>
    <mergeCell ref="Y4906:Y4907"/>
    <mergeCell ref="Z4906:Z4907"/>
    <mergeCell ref="AA4906:AA4907"/>
    <mergeCell ref="AB4906:AB4907"/>
    <mergeCell ref="A4908:A4909"/>
    <mergeCell ref="E4908:E4909"/>
    <mergeCell ref="H4908:H4909"/>
    <mergeCell ref="I4908:I4909"/>
    <mergeCell ref="J4908:J4909"/>
    <mergeCell ref="K4908:K4909"/>
    <mergeCell ref="L4908:L4909"/>
    <mergeCell ref="M4908:M4909"/>
    <mergeCell ref="N4908:N4909"/>
    <mergeCell ref="O4908:O4909"/>
    <mergeCell ref="X4908:X4909"/>
    <mergeCell ref="Y4908:Y4909"/>
    <mergeCell ref="Z4908:Z4909"/>
    <mergeCell ref="AA4908:AA4909"/>
    <mergeCell ref="AB4908:AB4909"/>
    <mergeCell ref="A4910:A4911"/>
    <mergeCell ref="E4910:E4911"/>
    <mergeCell ref="H4910:H4911"/>
    <mergeCell ref="I4910:I4911"/>
    <mergeCell ref="J4910:J4911"/>
    <mergeCell ref="K4910:K4911"/>
    <mergeCell ref="L4910:L4911"/>
    <mergeCell ref="M4910:M4911"/>
    <mergeCell ref="N4910:N4911"/>
    <mergeCell ref="O4910:O4911"/>
    <mergeCell ref="X4910:X4911"/>
    <mergeCell ref="Y4910:Y4911"/>
    <mergeCell ref="Z4910:Z4911"/>
    <mergeCell ref="AA4910:AA4911"/>
    <mergeCell ref="AB4910:AB4911"/>
    <mergeCell ref="O4916:O4917"/>
    <mergeCell ref="X4916:X4917"/>
    <mergeCell ref="Y4916:Y4917"/>
    <mergeCell ref="Z4916:Z4917"/>
    <mergeCell ref="AA4916:AA4917"/>
    <mergeCell ref="K4934:K4935"/>
    <mergeCell ref="L4934:L4935"/>
    <mergeCell ref="M4934:M4935"/>
    <mergeCell ref="N4934:N4935"/>
    <mergeCell ref="O4934:O4935"/>
    <mergeCell ref="X4934:X4935"/>
    <mergeCell ref="Y4934:Y4935"/>
    <mergeCell ref="Z4934:Z4935"/>
    <mergeCell ref="AA4934:AA4935"/>
    <mergeCell ref="AB4934:AB4935"/>
    <mergeCell ref="A4936:A4937"/>
    <mergeCell ref="E4936:E4937"/>
    <mergeCell ref="H4936:H4937"/>
    <mergeCell ref="I4936:I4937"/>
    <mergeCell ref="J4936:J4937"/>
    <mergeCell ref="K4936:K4937"/>
    <mergeCell ref="L4936:L4937"/>
    <mergeCell ref="M4936:M4937"/>
    <mergeCell ref="N4936:N4937"/>
    <mergeCell ref="O4936:O4937"/>
    <mergeCell ref="X4936:X4937"/>
    <mergeCell ref="Y4936:Y4937"/>
    <mergeCell ref="Z4936:Z4937"/>
    <mergeCell ref="AA4936:AA4937"/>
    <mergeCell ref="AB4936:AB4937"/>
    <mergeCell ref="A4938:A4939"/>
    <mergeCell ref="E4938:E4939"/>
    <mergeCell ref="H4938:H4939"/>
    <mergeCell ref="I4938:I4939"/>
    <mergeCell ref="J4938:J4939"/>
    <mergeCell ref="K4938:K4939"/>
    <mergeCell ref="L4938:L4939"/>
    <mergeCell ref="M4938:M4939"/>
    <mergeCell ref="N4938:N4939"/>
    <mergeCell ref="O4938:O4939"/>
    <mergeCell ref="X4938:X4939"/>
    <mergeCell ref="Y4938:Y4939"/>
    <mergeCell ref="Z4938:Z4939"/>
    <mergeCell ref="AA4938:AA4939"/>
    <mergeCell ref="AB4938:AB4939"/>
    <mergeCell ref="A4940:A4941"/>
    <mergeCell ref="E4940:E4941"/>
    <mergeCell ref="H4940:H4941"/>
    <mergeCell ref="I4940:I4941"/>
    <mergeCell ref="J4940:J4941"/>
    <mergeCell ref="K4940:K4941"/>
    <mergeCell ref="L4940:L4941"/>
    <mergeCell ref="M4940:M4941"/>
    <mergeCell ref="N4940:N4941"/>
    <mergeCell ref="O4940:O4941"/>
    <mergeCell ref="X4940:X4941"/>
    <mergeCell ref="Y4940:Y4941"/>
    <mergeCell ref="Z4940:Z4941"/>
    <mergeCell ref="AA4940:AA4941"/>
    <mergeCell ref="AB4940:AB4941"/>
    <mergeCell ref="A4942:A4943"/>
    <mergeCell ref="E4942:E4943"/>
    <mergeCell ref="H4942:H4943"/>
    <mergeCell ref="I4942:I4943"/>
    <mergeCell ref="J4942:J4943"/>
    <mergeCell ref="K4942:K4943"/>
    <mergeCell ref="L4942:L4943"/>
    <mergeCell ref="M4942:M4943"/>
    <mergeCell ref="N4942:N4943"/>
    <mergeCell ref="O4942:O4943"/>
    <mergeCell ref="X4942:X4943"/>
    <mergeCell ref="Y4942:Y4943"/>
    <mergeCell ref="Z4942:Z4943"/>
    <mergeCell ref="AA4942:AA4943"/>
    <mergeCell ref="AB4942:AB4943"/>
    <mergeCell ref="A4944:A4945"/>
    <mergeCell ref="E4944:E4945"/>
    <mergeCell ref="H4944:H4945"/>
    <mergeCell ref="I4944:I4945"/>
    <mergeCell ref="J4944:J4945"/>
    <mergeCell ref="K4944:K4945"/>
    <mergeCell ref="L4944:L4945"/>
    <mergeCell ref="M4944:M4945"/>
    <mergeCell ref="N4944:N4945"/>
    <mergeCell ref="O4944:O4945"/>
    <mergeCell ref="X4944:X4945"/>
    <mergeCell ref="Y4944:Y4945"/>
    <mergeCell ref="Z4944:Z4945"/>
    <mergeCell ref="AA4944:AA4945"/>
    <mergeCell ref="AB4944:AB4945"/>
    <mergeCell ref="A4946:A4947"/>
    <mergeCell ref="E4946:E4947"/>
    <mergeCell ref="H4946:H4947"/>
    <mergeCell ref="I4946:I4947"/>
    <mergeCell ref="J4946:J4947"/>
    <mergeCell ref="K4946:K4947"/>
    <mergeCell ref="L4946:L4947"/>
    <mergeCell ref="M4946:M4947"/>
    <mergeCell ref="N4946:N4947"/>
    <mergeCell ref="O4946:O4947"/>
    <mergeCell ref="X4946:X4947"/>
    <mergeCell ref="Y4946:Y4947"/>
    <mergeCell ref="Z4946:Z4947"/>
    <mergeCell ref="AA4946:AA4947"/>
    <mergeCell ref="AB4946:AB4947"/>
    <mergeCell ref="A4948:A4949"/>
    <mergeCell ref="E4948:E4949"/>
    <mergeCell ref="H4948:H4949"/>
    <mergeCell ref="I4948:I4949"/>
    <mergeCell ref="J4948:J4949"/>
    <mergeCell ref="K4948:K4949"/>
    <mergeCell ref="L4948:L4949"/>
    <mergeCell ref="M4948:M4949"/>
    <mergeCell ref="N4948:N4949"/>
    <mergeCell ref="O4948:O4949"/>
    <mergeCell ref="X4948:X4949"/>
    <mergeCell ref="Y4948:Y4949"/>
    <mergeCell ref="Z4948:Z4949"/>
    <mergeCell ref="AA4948:AA4949"/>
    <mergeCell ref="AB4948:AB4949"/>
    <mergeCell ref="A4950:A4951"/>
    <mergeCell ref="E4950:E4951"/>
    <mergeCell ref="H4950:H4951"/>
    <mergeCell ref="I4950:I4951"/>
    <mergeCell ref="J4950:J4951"/>
    <mergeCell ref="K4950:K4951"/>
    <mergeCell ref="L4950:L4951"/>
    <mergeCell ref="M4950:M4951"/>
    <mergeCell ref="N4950:N4951"/>
    <mergeCell ref="O4950:O4951"/>
    <mergeCell ref="X4950:X4951"/>
    <mergeCell ref="Y4950:Y4951"/>
    <mergeCell ref="Z4950:Z4951"/>
    <mergeCell ref="AA4950:AA4951"/>
    <mergeCell ref="AB4950:AB4951"/>
    <mergeCell ref="A4952:A4953"/>
    <mergeCell ref="E4952:E4953"/>
    <mergeCell ref="H4952:H4953"/>
    <mergeCell ref="I4952:I4953"/>
    <mergeCell ref="J4952:J4953"/>
    <mergeCell ref="K4952:K4953"/>
    <mergeCell ref="L4952:L4953"/>
    <mergeCell ref="M4952:M4953"/>
    <mergeCell ref="N4952:N4953"/>
    <mergeCell ref="O4952:O4953"/>
    <mergeCell ref="X4952:X4953"/>
    <mergeCell ref="Y4952:Y4953"/>
    <mergeCell ref="Z4952:Z4953"/>
    <mergeCell ref="AA4952:AA4953"/>
    <mergeCell ref="AB4952:AB4953"/>
    <mergeCell ref="A4954:A4955"/>
    <mergeCell ref="E4954:E4955"/>
    <mergeCell ref="H4954:H4955"/>
    <mergeCell ref="I4954:I4955"/>
    <mergeCell ref="J4954:J4955"/>
    <mergeCell ref="K4954:K4955"/>
    <mergeCell ref="L4954:L4955"/>
    <mergeCell ref="M4954:M4955"/>
    <mergeCell ref="N4954:N4955"/>
    <mergeCell ref="O4954:O4955"/>
    <mergeCell ref="X4954:X4955"/>
    <mergeCell ref="Y4954:Y4955"/>
    <mergeCell ref="Z4954:Z4955"/>
    <mergeCell ref="AA4954:AA4955"/>
    <mergeCell ref="AB4954:AB4955"/>
    <mergeCell ref="A4956:A4957"/>
    <mergeCell ref="E4956:E4957"/>
    <mergeCell ref="H4956:H4957"/>
    <mergeCell ref="I4956:I4957"/>
    <mergeCell ref="J4956:J4957"/>
    <mergeCell ref="K4956:K4957"/>
    <mergeCell ref="L4956:L4957"/>
    <mergeCell ref="M4956:M4957"/>
    <mergeCell ref="N4956:N4957"/>
    <mergeCell ref="O4956:O4957"/>
    <mergeCell ref="X4956:X4957"/>
    <mergeCell ref="Y4956:Y4957"/>
    <mergeCell ref="Z4956:Z4957"/>
    <mergeCell ref="AA4956:AA4957"/>
    <mergeCell ref="AB4956:AB4957"/>
    <mergeCell ref="A4958:A4959"/>
    <mergeCell ref="E4958:E4959"/>
    <mergeCell ref="H4958:H4959"/>
    <mergeCell ref="I4958:I4959"/>
    <mergeCell ref="J4958:J4959"/>
    <mergeCell ref="K4958:K4959"/>
    <mergeCell ref="L4958:L4959"/>
    <mergeCell ref="M4958:M4959"/>
    <mergeCell ref="N4958:N4959"/>
    <mergeCell ref="O4958:O4959"/>
    <mergeCell ref="X4958:X4959"/>
    <mergeCell ref="Y4958:Y4959"/>
    <mergeCell ref="Z4958:Z4959"/>
    <mergeCell ref="AA4958:AA4959"/>
    <mergeCell ref="AB4958:AB4959"/>
    <mergeCell ref="A4960:A4961"/>
    <mergeCell ref="E4960:E4961"/>
    <mergeCell ref="H4960:H4961"/>
    <mergeCell ref="I4960:I4961"/>
    <mergeCell ref="J4960:J4961"/>
    <mergeCell ref="K4960:K4961"/>
    <mergeCell ref="L4960:L4961"/>
    <mergeCell ref="M4960:M4961"/>
    <mergeCell ref="N4960:N4961"/>
    <mergeCell ref="O4960:O4961"/>
    <mergeCell ref="X4960:X4961"/>
    <mergeCell ref="Y4960:Y4961"/>
    <mergeCell ref="Z4960:Z4961"/>
    <mergeCell ref="AA4960:AA4961"/>
    <mergeCell ref="AB4960:AB4961"/>
    <mergeCell ref="A4962:A4963"/>
    <mergeCell ref="E4962:E4963"/>
    <mergeCell ref="H4962:H4963"/>
    <mergeCell ref="I4962:I4963"/>
    <mergeCell ref="J4962:J4963"/>
    <mergeCell ref="K4962:K4963"/>
    <mergeCell ref="L4962:L4963"/>
    <mergeCell ref="M4962:M4963"/>
    <mergeCell ref="N4962:N4963"/>
    <mergeCell ref="O4962:O4963"/>
    <mergeCell ref="X4962:X4963"/>
    <mergeCell ref="Y4962:Y4963"/>
    <mergeCell ref="Z4962:Z4963"/>
    <mergeCell ref="AA4962:AA4963"/>
    <mergeCell ref="AB4962:AB4963"/>
    <mergeCell ref="A4964:A4965"/>
    <mergeCell ref="E4964:E4965"/>
    <mergeCell ref="H4964:H4965"/>
    <mergeCell ref="I4964:I4965"/>
    <mergeCell ref="J4964:J4965"/>
    <mergeCell ref="K4964:K4965"/>
    <mergeCell ref="L4964:L4965"/>
    <mergeCell ref="M4964:M4965"/>
    <mergeCell ref="N4964:N4965"/>
    <mergeCell ref="O4964:O4965"/>
    <mergeCell ref="X4964:X4965"/>
    <mergeCell ref="Y4964:Y4965"/>
    <mergeCell ref="Z4964:Z4965"/>
    <mergeCell ref="AA4964:AA4965"/>
    <mergeCell ref="AB4964:AB4965"/>
    <mergeCell ref="A4966:A4967"/>
    <mergeCell ref="E4966:E4967"/>
    <mergeCell ref="H4966:H4967"/>
    <mergeCell ref="I4966:I4967"/>
    <mergeCell ref="J4966:J4967"/>
    <mergeCell ref="K4966:K4967"/>
    <mergeCell ref="L4966:L4967"/>
    <mergeCell ref="M4966:M4967"/>
    <mergeCell ref="N4966:N4967"/>
    <mergeCell ref="O4966:O4967"/>
    <mergeCell ref="X4966:X4967"/>
    <mergeCell ref="Y4966:Y4967"/>
    <mergeCell ref="Z4966:Z4967"/>
    <mergeCell ref="AA4966:AA4967"/>
    <mergeCell ref="AB4966:AB4967"/>
    <mergeCell ref="A4968:A4969"/>
    <mergeCell ref="E4968:E4969"/>
    <mergeCell ref="H4968:H4969"/>
    <mergeCell ref="I4968:I4969"/>
    <mergeCell ref="J4968:J4969"/>
    <mergeCell ref="K4968:K4969"/>
    <mergeCell ref="L4968:L4969"/>
    <mergeCell ref="M4968:M4969"/>
    <mergeCell ref="N4968:N4969"/>
    <mergeCell ref="O4968:O4969"/>
    <mergeCell ref="X4968:X4969"/>
    <mergeCell ref="Y4968:Y4969"/>
    <mergeCell ref="Z4968:Z4969"/>
    <mergeCell ref="AA4968:AA4969"/>
    <mergeCell ref="AB4968:AB4969"/>
    <mergeCell ref="A4970:A4971"/>
    <mergeCell ref="E4970:E4971"/>
    <mergeCell ref="H4970:H4971"/>
    <mergeCell ref="I4970:I4971"/>
    <mergeCell ref="J4970:J4971"/>
    <mergeCell ref="K4970:K4971"/>
    <mergeCell ref="L4970:L4971"/>
    <mergeCell ref="M4970:M4971"/>
    <mergeCell ref="N4970:N4971"/>
    <mergeCell ref="O4970:O4971"/>
    <mergeCell ref="X4970:X4971"/>
    <mergeCell ref="Y4970:Y4971"/>
    <mergeCell ref="Z4970:Z4971"/>
    <mergeCell ref="AA4970:AA4971"/>
    <mergeCell ref="AB4970:AB4971"/>
    <mergeCell ref="A4972:A4973"/>
    <mergeCell ref="E4972:E4973"/>
    <mergeCell ref="H4972:H4973"/>
    <mergeCell ref="I4972:I4973"/>
    <mergeCell ref="J4972:J4973"/>
    <mergeCell ref="K4972:K4973"/>
    <mergeCell ref="L4972:L4973"/>
    <mergeCell ref="M4972:M4973"/>
    <mergeCell ref="N4972:N4973"/>
    <mergeCell ref="O4972:O4973"/>
    <mergeCell ref="X4972:X4973"/>
    <mergeCell ref="Y4972:Y4973"/>
    <mergeCell ref="Z4972:Z4973"/>
    <mergeCell ref="AA4972:AA4973"/>
    <mergeCell ref="AB4972:AB4973"/>
    <mergeCell ref="A4974:A4975"/>
    <mergeCell ref="E4974:E4975"/>
    <mergeCell ref="H4974:H4975"/>
    <mergeCell ref="I4974:I4975"/>
    <mergeCell ref="J4974:J4975"/>
    <mergeCell ref="K4974:K4975"/>
    <mergeCell ref="L4974:L4975"/>
    <mergeCell ref="M4974:M4975"/>
    <mergeCell ref="N4974:N4975"/>
    <mergeCell ref="O4974:O4975"/>
    <mergeCell ref="X4974:X4975"/>
    <mergeCell ref="Y4974:Y4975"/>
    <mergeCell ref="Z4974:Z4975"/>
    <mergeCell ref="AA4974:AA4975"/>
    <mergeCell ref="AB4974:AB4975"/>
    <mergeCell ref="A4976:A4977"/>
    <mergeCell ref="E4976:E4977"/>
    <mergeCell ref="H4976:H4977"/>
    <mergeCell ref="I4976:I4977"/>
    <mergeCell ref="J4976:J4977"/>
    <mergeCell ref="K4976:K4977"/>
    <mergeCell ref="L4976:L4977"/>
    <mergeCell ref="M4976:M4977"/>
    <mergeCell ref="N4976:N4977"/>
    <mergeCell ref="O4976:O4977"/>
    <mergeCell ref="X4976:X4977"/>
    <mergeCell ref="Y4976:Y4977"/>
    <mergeCell ref="Z4976:Z4977"/>
    <mergeCell ref="AA4976:AA4977"/>
    <mergeCell ref="AB4976:AB4977"/>
    <mergeCell ref="A4978:A4979"/>
    <mergeCell ref="E4978:E4979"/>
    <mergeCell ref="H4978:H4979"/>
    <mergeCell ref="I4978:I4979"/>
    <mergeCell ref="J4978:J4979"/>
    <mergeCell ref="K4978:K4979"/>
    <mergeCell ref="L4978:L4979"/>
    <mergeCell ref="M4978:M4979"/>
    <mergeCell ref="N4978:N4979"/>
    <mergeCell ref="O4978:O4979"/>
    <mergeCell ref="X4978:X4979"/>
    <mergeCell ref="Y4978:Y4979"/>
    <mergeCell ref="Z4978:Z4979"/>
    <mergeCell ref="AA4978:AA4979"/>
    <mergeCell ref="AB4978:AB4979"/>
    <mergeCell ref="A4980:A4981"/>
    <mergeCell ref="E4980:E4981"/>
    <mergeCell ref="H4980:H4981"/>
    <mergeCell ref="I4980:I4981"/>
    <mergeCell ref="J4980:J4981"/>
    <mergeCell ref="K4980:K4981"/>
    <mergeCell ref="L4980:L4981"/>
    <mergeCell ref="M4980:M4981"/>
    <mergeCell ref="N4980:N4981"/>
    <mergeCell ref="O4980:O4981"/>
    <mergeCell ref="X4980:X4981"/>
    <mergeCell ref="Y4980:Y4981"/>
    <mergeCell ref="Z4980:Z4981"/>
    <mergeCell ref="AA4980:AA4981"/>
    <mergeCell ref="AB4980:AB4981"/>
    <mergeCell ref="A4982:A4983"/>
    <mergeCell ref="E4982:E4983"/>
    <mergeCell ref="H4982:H4983"/>
    <mergeCell ref="I4982:I4983"/>
    <mergeCell ref="J4982:J4983"/>
    <mergeCell ref="K4982:K4983"/>
    <mergeCell ref="L4982:L4983"/>
    <mergeCell ref="M4982:M4983"/>
    <mergeCell ref="N4982:N4983"/>
    <mergeCell ref="O4982:O4983"/>
    <mergeCell ref="X4982:X4983"/>
    <mergeCell ref="Y4982:Y4983"/>
    <mergeCell ref="Z4982:Z4983"/>
    <mergeCell ref="AA4982:AA4983"/>
    <mergeCell ref="AB4982:AB4983"/>
    <mergeCell ref="A4984:A4985"/>
    <mergeCell ref="E4984:E4985"/>
    <mergeCell ref="H4984:H4985"/>
    <mergeCell ref="I4984:I4985"/>
    <mergeCell ref="J4984:J4985"/>
    <mergeCell ref="K4984:K4985"/>
    <mergeCell ref="L4984:L4985"/>
    <mergeCell ref="M4984:M4985"/>
    <mergeCell ref="N4984:N4985"/>
    <mergeCell ref="O4984:O4985"/>
    <mergeCell ref="X4984:X4985"/>
    <mergeCell ref="Y4984:Y4985"/>
    <mergeCell ref="Z4984:Z4985"/>
    <mergeCell ref="AA4984:AA4985"/>
    <mergeCell ref="AB4984:AB4985"/>
    <mergeCell ref="A4986:A4987"/>
    <mergeCell ref="E4986:E4987"/>
    <mergeCell ref="H4986:H4987"/>
    <mergeCell ref="I4986:I4987"/>
    <mergeCell ref="J4986:J4987"/>
    <mergeCell ref="K4986:K4987"/>
    <mergeCell ref="L4986:L4987"/>
    <mergeCell ref="M4986:M4987"/>
    <mergeCell ref="N4986:N4987"/>
    <mergeCell ref="O4986:O4987"/>
    <mergeCell ref="X4986:X4987"/>
    <mergeCell ref="Y4986:Y4987"/>
    <mergeCell ref="Z4986:Z4987"/>
    <mergeCell ref="AA4986:AA4987"/>
    <mergeCell ref="AB4986:AB4987"/>
    <mergeCell ref="A4988:A4989"/>
    <mergeCell ref="E4988:E4989"/>
    <mergeCell ref="H4988:H4989"/>
    <mergeCell ref="I4988:I4989"/>
    <mergeCell ref="J4988:J4989"/>
    <mergeCell ref="K4988:K4989"/>
    <mergeCell ref="L4988:L4989"/>
    <mergeCell ref="M4988:M4989"/>
    <mergeCell ref="N4988:N4989"/>
    <mergeCell ref="O4988:O4989"/>
    <mergeCell ref="X4988:X4989"/>
    <mergeCell ref="Y4988:Y4989"/>
    <mergeCell ref="Z4988:Z4989"/>
    <mergeCell ref="AA4988:AA4989"/>
    <mergeCell ref="AB4988:AB4989"/>
    <mergeCell ref="A4990:A4991"/>
    <mergeCell ref="E4990:E4991"/>
    <mergeCell ref="H4990:H4991"/>
    <mergeCell ref="I4990:I4991"/>
    <mergeCell ref="J4990:J4991"/>
    <mergeCell ref="K4990:K4991"/>
    <mergeCell ref="L4990:L4991"/>
    <mergeCell ref="M4990:M4991"/>
    <mergeCell ref="N4990:N4991"/>
    <mergeCell ref="O4990:O4991"/>
    <mergeCell ref="X4990:X4991"/>
    <mergeCell ref="Y4990:Y4991"/>
    <mergeCell ref="Z4990:Z4991"/>
    <mergeCell ref="AA4990:AA4991"/>
    <mergeCell ref="AB4990:AB4991"/>
    <mergeCell ref="A4992:A4993"/>
    <mergeCell ref="E4992:E4993"/>
    <mergeCell ref="H4992:H4993"/>
    <mergeCell ref="I4992:I4993"/>
    <mergeCell ref="J4992:J4993"/>
    <mergeCell ref="K4992:K4993"/>
    <mergeCell ref="L4992:L4993"/>
    <mergeCell ref="M4992:M4993"/>
    <mergeCell ref="N4992:N4993"/>
    <mergeCell ref="O4992:O4993"/>
    <mergeCell ref="X4992:X4993"/>
    <mergeCell ref="Y4992:Y4993"/>
    <mergeCell ref="Z4992:Z4993"/>
    <mergeCell ref="AA4992:AA4993"/>
    <mergeCell ref="AB4992:AB4993"/>
    <mergeCell ref="J4994:J4995"/>
    <mergeCell ref="K4994:K4995"/>
    <mergeCell ref="L4994:L4995"/>
    <mergeCell ref="M4994:M4995"/>
    <mergeCell ref="N4994:N4995"/>
    <mergeCell ref="O4994:O4995"/>
    <mergeCell ref="X4994:X4995"/>
    <mergeCell ref="Y4994:Y4995"/>
    <mergeCell ref="Z4994:Z4995"/>
    <mergeCell ref="AA4994:AA4995"/>
    <mergeCell ref="AB4994:AB4995"/>
    <mergeCell ref="A4996:A4997"/>
    <mergeCell ref="E4996:E4997"/>
    <mergeCell ref="H4996:H4997"/>
    <mergeCell ref="I4996:I4997"/>
    <mergeCell ref="J4996:J4997"/>
    <mergeCell ref="K4996:K4997"/>
    <mergeCell ref="L4996:L4997"/>
    <mergeCell ref="M4996:M4997"/>
    <mergeCell ref="N4996:N4997"/>
    <mergeCell ref="O4996:O4997"/>
    <mergeCell ref="X4996:X4997"/>
    <mergeCell ref="Y4996:Y4997"/>
    <mergeCell ref="Z4996:Z4997"/>
    <mergeCell ref="AA4996:AA4997"/>
    <mergeCell ref="AB4996:AB4997"/>
    <mergeCell ref="A4998:A4999"/>
    <mergeCell ref="E4998:E4999"/>
    <mergeCell ref="H4998:H4999"/>
    <mergeCell ref="I4998:I4999"/>
    <mergeCell ref="J4998:J4999"/>
    <mergeCell ref="K4998:K4999"/>
    <mergeCell ref="L4998:L4999"/>
    <mergeCell ref="M4998:M4999"/>
    <mergeCell ref="N4998:N4999"/>
    <mergeCell ref="O4998:O4999"/>
    <mergeCell ref="X4998:X4999"/>
    <mergeCell ref="Y4998:Y4999"/>
    <mergeCell ref="Z4998:Z4999"/>
    <mergeCell ref="AA4998:AA4999"/>
    <mergeCell ref="AB4998:AB4999"/>
    <mergeCell ref="A5000:A5001"/>
    <mergeCell ref="E5000:E5001"/>
    <mergeCell ref="H5000:H5001"/>
    <mergeCell ref="I5000:I5001"/>
    <mergeCell ref="J5000:J5001"/>
    <mergeCell ref="K5000:K5001"/>
    <mergeCell ref="L5000:L5001"/>
    <mergeCell ref="M5000:M5001"/>
    <mergeCell ref="N5000:N5001"/>
    <mergeCell ref="O5000:O5001"/>
    <mergeCell ref="X5000:X5001"/>
    <mergeCell ref="Y5000:Y5001"/>
    <mergeCell ref="Z5000:Z5001"/>
    <mergeCell ref="AA5000:AA5001"/>
    <mergeCell ref="AB5000:AB5001"/>
    <mergeCell ref="A5002:A5003"/>
    <mergeCell ref="E5002:E5003"/>
    <mergeCell ref="H5002:H5003"/>
    <mergeCell ref="I5002:I5003"/>
    <mergeCell ref="J5002:J5003"/>
    <mergeCell ref="K5002:K5003"/>
    <mergeCell ref="L5002:L5003"/>
    <mergeCell ref="M5002:M5003"/>
    <mergeCell ref="N5002:N5003"/>
    <mergeCell ref="O5002:O5003"/>
    <mergeCell ref="X5002:X5003"/>
    <mergeCell ref="Y5002:Y5003"/>
    <mergeCell ref="Z5002:Z5003"/>
    <mergeCell ref="AA5002:AA5003"/>
    <mergeCell ref="AB5002:AB5003"/>
    <mergeCell ref="O4410:O4411"/>
    <mergeCell ref="X4410:X4411"/>
    <mergeCell ref="Y4410:Y4411"/>
    <mergeCell ref="Z4410:Z4411"/>
    <mergeCell ref="AA4410:AA4411"/>
    <mergeCell ref="AB4410:AB4411"/>
    <mergeCell ref="A4412:A4413"/>
    <mergeCell ref="E4412:E4413"/>
    <mergeCell ref="H4412:H4413"/>
    <mergeCell ref="I4412:I4413"/>
    <mergeCell ref="J4412:J4413"/>
    <mergeCell ref="K4412:K4413"/>
    <mergeCell ref="L4412:L4413"/>
    <mergeCell ref="M4412:M4413"/>
    <mergeCell ref="N4412:N4413"/>
    <mergeCell ref="O4412:O4413"/>
    <mergeCell ref="X4412:X4413"/>
    <mergeCell ref="Y4412:Y4413"/>
    <mergeCell ref="Z4412:Z4413"/>
    <mergeCell ref="AA4412:AA4413"/>
    <mergeCell ref="AB4420:AB4421"/>
    <mergeCell ref="A4426:A4427"/>
    <mergeCell ref="E4426:E4427"/>
    <mergeCell ref="H4426:H4427"/>
    <mergeCell ref="I4426:I4427"/>
    <mergeCell ref="J4426:J4427"/>
    <mergeCell ref="K4426:K4427"/>
    <mergeCell ref="L4426:L4427"/>
    <mergeCell ref="M4426:M4427"/>
    <mergeCell ref="N4426:N4427"/>
    <mergeCell ref="A4994:A4995"/>
    <mergeCell ref="E4994:E4995"/>
    <mergeCell ref="H4994:H4995"/>
    <mergeCell ref="I4994:I4995"/>
    <mergeCell ref="H4422:H4423"/>
    <mergeCell ref="I4422:I4423"/>
    <mergeCell ref="J4422:J4423"/>
    <mergeCell ref="K4422:K4423"/>
    <mergeCell ref="L4422:L4423"/>
    <mergeCell ref="M4422:M4423"/>
    <mergeCell ref="N4422:N4423"/>
    <mergeCell ref="O4428:O4429"/>
    <mergeCell ref="X4428:X4429"/>
    <mergeCell ref="Y4428:Y4429"/>
    <mergeCell ref="Z4428:Z4429"/>
    <mergeCell ref="AA4428:AA4429"/>
    <mergeCell ref="AB4428:AB4429"/>
    <mergeCell ref="A4430:A4431"/>
    <mergeCell ref="E4430:E4431"/>
    <mergeCell ref="H4430:H4431"/>
    <mergeCell ref="I4430:I4431"/>
    <mergeCell ref="J4430:J4431"/>
    <mergeCell ref="K4430:K4431"/>
    <mergeCell ref="L4430:L4431"/>
    <mergeCell ref="M4430:M4431"/>
    <mergeCell ref="N4430:N4431"/>
    <mergeCell ref="O4430:O4431"/>
    <mergeCell ref="X4430:X4431"/>
    <mergeCell ref="Y4430:Y4431"/>
    <mergeCell ref="Z4430:Z4431"/>
    <mergeCell ref="AA4430:AA4431"/>
    <mergeCell ref="AB4430:AB4431"/>
    <mergeCell ref="H4428:H4429"/>
    <mergeCell ref="I4428:I4429"/>
    <mergeCell ref="J4428:J4429"/>
    <mergeCell ref="K4428:K4429"/>
    <mergeCell ref="L4428:L4429"/>
    <mergeCell ref="M4428:M4429"/>
    <mergeCell ref="N4428:N4429"/>
    <mergeCell ref="AB4432:AB4433"/>
    <mergeCell ref="A4490:A4491"/>
    <mergeCell ref="E4490:E4491"/>
    <mergeCell ref="H4490:H4491"/>
    <mergeCell ref="I4490:I4491"/>
    <mergeCell ref="J4490:J4491"/>
    <mergeCell ref="K4490:K4491"/>
    <mergeCell ref="L4490:L4491"/>
    <mergeCell ref="M4490:M4491"/>
    <mergeCell ref="N4490:N4491"/>
    <mergeCell ref="O4490:O4491"/>
    <mergeCell ref="X4490:X4491"/>
    <mergeCell ref="Y4490:Y4491"/>
    <mergeCell ref="Z4490:Z4491"/>
    <mergeCell ref="AA4490:AA4491"/>
    <mergeCell ref="AB4490:AB4491"/>
    <mergeCell ref="A4486:A4487"/>
    <mergeCell ref="E4486:E4487"/>
    <mergeCell ref="A4472:A4473"/>
    <mergeCell ref="E4472:E4473"/>
    <mergeCell ref="H4472:H4473"/>
    <mergeCell ref="I4472:I4473"/>
    <mergeCell ref="J4472:J4473"/>
    <mergeCell ref="K4472:K4473"/>
    <mergeCell ref="L4472:L4473"/>
    <mergeCell ref="M4472:M4473"/>
    <mergeCell ref="N4472:N4473"/>
    <mergeCell ref="Z4482:Z4483"/>
    <mergeCell ref="AA4482:AA4483"/>
    <mergeCell ref="AB4482:AB4483"/>
    <mergeCell ref="A4484:A4485"/>
    <mergeCell ref="E4484:E4485"/>
    <mergeCell ref="H4484:H4485"/>
    <mergeCell ref="I4484:I4485"/>
    <mergeCell ref="J4484:J4485"/>
    <mergeCell ref="K4484:K4485"/>
    <mergeCell ref="L4484:L4485"/>
    <mergeCell ref="H4486:H4487"/>
    <mergeCell ref="I4486:I4487"/>
    <mergeCell ref="J4486:J4487"/>
    <mergeCell ref="K4486:K4487"/>
    <mergeCell ref="L4486:L4487"/>
    <mergeCell ref="M4486:M4487"/>
    <mergeCell ref="N4486:N4487"/>
    <mergeCell ref="O4486:O4487"/>
    <mergeCell ref="X4486:X4487"/>
    <mergeCell ref="Y4486:Y4487"/>
    <mergeCell ref="Z4486:Z4487"/>
    <mergeCell ref="AA4486:AA4487"/>
    <mergeCell ref="AB4486:AB4487"/>
    <mergeCell ref="A4478:A4479"/>
    <mergeCell ref="E4478:E4479"/>
    <mergeCell ref="H4478:H4479"/>
    <mergeCell ref="I4478:I4479"/>
    <mergeCell ref="J4478:J4479"/>
    <mergeCell ref="K4478:K4479"/>
    <mergeCell ref="L4478:L4479"/>
    <mergeCell ref="M4478:M4479"/>
    <mergeCell ref="N4478:N4479"/>
    <mergeCell ref="O4478:O4479"/>
    <mergeCell ref="X4478:X4479"/>
    <mergeCell ref="Y4478:Y4479"/>
    <mergeCell ref="Z4478:Z4479"/>
    <mergeCell ref="AA4478:AA4479"/>
    <mergeCell ref="AA4496:AA4497"/>
    <mergeCell ref="AB4496:AB4497"/>
    <mergeCell ref="AB4616:AB4617"/>
    <mergeCell ref="O4484:O4485"/>
    <mergeCell ref="X4484:X4485"/>
    <mergeCell ref="Y4484:Y4485"/>
    <mergeCell ref="Z4484:Z4485"/>
    <mergeCell ref="AA4484:AA4485"/>
    <mergeCell ref="AB4484:AB4485"/>
    <mergeCell ref="A4610:A4611"/>
    <mergeCell ref="E4610:E4611"/>
    <mergeCell ref="H4610:H4611"/>
    <mergeCell ref="I4610:I4611"/>
    <mergeCell ref="J4610:J4611"/>
    <mergeCell ref="K4610:K4611"/>
    <mergeCell ref="L4610:L4611"/>
    <mergeCell ref="M4610:M4611"/>
    <mergeCell ref="N4610:N4611"/>
    <mergeCell ref="O4610:O4611"/>
    <mergeCell ref="X4610:X4611"/>
    <mergeCell ref="Y4610:Y4611"/>
    <mergeCell ref="Z4610:Z4611"/>
    <mergeCell ref="AA4610:AA4611"/>
    <mergeCell ref="AB4610:AB4611"/>
    <mergeCell ref="O4494:O4495"/>
    <mergeCell ref="X4494:X4495"/>
    <mergeCell ref="Y4494:Y4495"/>
    <mergeCell ref="Z4494:Z4495"/>
    <mergeCell ref="AA4494:AA4495"/>
    <mergeCell ref="AB4494:AB4495"/>
    <mergeCell ref="O4614:O4615"/>
    <mergeCell ref="X4614:X4615"/>
    <mergeCell ref="Y4614:Y4615"/>
    <mergeCell ref="Z4614:Z4615"/>
    <mergeCell ref="AA4614:AA4615"/>
    <mergeCell ref="AB4614:AB4615"/>
    <mergeCell ref="A4616:A4617"/>
    <mergeCell ref="E4616:E4617"/>
    <mergeCell ref="H4616:H4617"/>
    <mergeCell ref="I4616:I4617"/>
    <mergeCell ref="J4616:J4617"/>
    <mergeCell ref="K4616:K4617"/>
    <mergeCell ref="L4616:L4617"/>
    <mergeCell ref="M4616:M4617"/>
    <mergeCell ref="N4616:N4617"/>
    <mergeCell ref="O4616:O4617"/>
    <mergeCell ref="X4616:X4617"/>
    <mergeCell ref="Y4616:Y4617"/>
    <mergeCell ref="Z4616:Z4617"/>
    <mergeCell ref="AA4616:AA4617"/>
    <mergeCell ref="A4608:A4609"/>
    <mergeCell ref="E4608:E4609"/>
    <mergeCell ref="H4608:H4609"/>
    <mergeCell ref="I4608:I4609"/>
    <mergeCell ref="J4608:J4609"/>
    <mergeCell ref="K4608:K4609"/>
    <mergeCell ref="L4608:L4609"/>
    <mergeCell ref="M4608:M4609"/>
    <mergeCell ref="N4608:N4609"/>
    <mergeCell ref="O4608:O4609"/>
    <mergeCell ref="X4608:X4609"/>
    <mergeCell ref="Y4608:Y4609"/>
    <mergeCell ref="Z4608:Z4609"/>
    <mergeCell ref="AA4608:AA4609"/>
    <mergeCell ref="A4712:A4713"/>
    <mergeCell ref="A4630:A4631"/>
    <mergeCell ref="E4630:E4631"/>
    <mergeCell ref="H4630:H4631"/>
    <mergeCell ref="I4630:I4631"/>
    <mergeCell ref="J4630:J4631"/>
    <mergeCell ref="K4630:K4631"/>
    <mergeCell ref="L4630:L4631"/>
    <mergeCell ref="M4630:M4631"/>
    <mergeCell ref="N4630:N4631"/>
    <mergeCell ref="O4630:O4631"/>
    <mergeCell ref="X4630:X4631"/>
    <mergeCell ref="Y4630:Y4631"/>
    <mergeCell ref="Z4630:Z4631"/>
    <mergeCell ref="AA4630:AA4631"/>
    <mergeCell ref="AB4630:AB4631"/>
    <mergeCell ref="A4706:A4707"/>
    <mergeCell ref="E4706:E4707"/>
    <mergeCell ref="H4706:H4707"/>
    <mergeCell ref="I4706:I4707"/>
    <mergeCell ref="J4706:J4707"/>
    <mergeCell ref="K4706:K4707"/>
    <mergeCell ref="L4706:L4707"/>
    <mergeCell ref="M4706:M4707"/>
    <mergeCell ref="N4706:N4707"/>
    <mergeCell ref="A4702:A4703"/>
    <mergeCell ref="E4702:E4703"/>
    <mergeCell ref="H4702:H4703"/>
    <mergeCell ref="E4712:E4713"/>
    <mergeCell ref="H4712:H4713"/>
    <mergeCell ref="I4712:I4713"/>
    <mergeCell ref="J4712:J4713"/>
    <mergeCell ref="K4712:K4713"/>
    <mergeCell ref="L4712:L4713"/>
    <mergeCell ref="M4712:M4713"/>
    <mergeCell ref="N4712:N4713"/>
    <mergeCell ref="O4712:O4713"/>
    <mergeCell ref="A4708:A4709"/>
    <mergeCell ref="E4708:E4709"/>
    <mergeCell ref="H4708:H4709"/>
    <mergeCell ref="I4708:I4709"/>
    <mergeCell ref="J4708:J4709"/>
    <mergeCell ref="K4708:K4709"/>
    <mergeCell ref="L4708:L4709"/>
    <mergeCell ref="M4708:M4709"/>
    <mergeCell ref="N4708:N4709"/>
    <mergeCell ref="A4710:A4711"/>
    <mergeCell ref="E4710:E4711"/>
    <mergeCell ref="H4710:H4711"/>
    <mergeCell ref="I4710:I4711"/>
    <mergeCell ref="J4710:J4711"/>
    <mergeCell ref="K4710:K4711"/>
    <mergeCell ref="L4710:L4711"/>
    <mergeCell ref="M4710:M4711"/>
    <mergeCell ref="N4710:N4711"/>
    <mergeCell ref="O4710:O4711"/>
    <mergeCell ref="X4710:X4711"/>
    <mergeCell ref="Y4710:Y4711"/>
    <mergeCell ref="Z4710:Z4711"/>
    <mergeCell ref="AA4710:AA4711"/>
    <mergeCell ref="AB4710:AB4711"/>
    <mergeCell ref="O4708:O4709"/>
    <mergeCell ref="X4708:X4709"/>
    <mergeCell ref="Y4708:Y4709"/>
    <mergeCell ref="A4720:A4721"/>
    <mergeCell ref="E4720:E4721"/>
    <mergeCell ref="H4720:H4721"/>
    <mergeCell ref="I4720:I4721"/>
    <mergeCell ref="J4720:J4721"/>
    <mergeCell ref="K4720:K4721"/>
    <mergeCell ref="L4720:L4721"/>
    <mergeCell ref="M4720:M4721"/>
    <mergeCell ref="N4720:N4721"/>
    <mergeCell ref="O4720:O4721"/>
    <mergeCell ref="X4720:X4721"/>
    <mergeCell ref="Y4720:Y4721"/>
    <mergeCell ref="Z4720:Z4721"/>
    <mergeCell ref="AA4720:AA4721"/>
    <mergeCell ref="AB4720:AB4721"/>
    <mergeCell ref="X4804:X4805"/>
    <mergeCell ref="Y4804:Y4805"/>
    <mergeCell ref="Z4804:Z4805"/>
    <mergeCell ref="AA4804:AA4805"/>
    <mergeCell ref="AB4804:AB4805"/>
    <mergeCell ref="A4798:A4799"/>
    <mergeCell ref="E4798:E4799"/>
    <mergeCell ref="H4798:H4799"/>
    <mergeCell ref="I4798:I4799"/>
    <mergeCell ref="J4798:J4799"/>
    <mergeCell ref="K4798:K4799"/>
    <mergeCell ref="L4798:L4799"/>
    <mergeCell ref="M4798:M4799"/>
    <mergeCell ref="N4798:N4799"/>
    <mergeCell ref="O4798:O4799"/>
    <mergeCell ref="X4798:X4799"/>
    <mergeCell ref="Y4798:Y4799"/>
    <mergeCell ref="Z4798:Z4799"/>
    <mergeCell ref="AA4798:AA4799"/>
    <mergeCell ref="AB4798:AB4799"/>
    <mergeCell ref="A4800:A4801"/>
    <mergeCell ref="E4800:E4801"/>
    <mergeCell ref="M4804:M4805"/>
    <mergeCell ref="N4804:N4805"/>
    <mergeCell ref="O4804:O4805"/>
    <mergeCell ref="N4796:N4797"/>
    <mergeCell ref="O4796:O4797"/>
    <mergeCell ref="X4796:X4797"/>
    <mergeCell ref="Y4796:Y4797"/>
    <mergeCell ref="Z4796:Z4797"/>
    <mergeCell ref="AA4796:AA4797"/>
    <mergeCell ref="AB4796:AB4797"/>
    <mergeCell ref="A4786:A4787"/>
    <mergeCell ref="E4786:E4787"/>
    <mergeCell ref="H4786:H4787"/>
    <mergeCell ref="I4786:I4787"/>
    <mergeCell ref="J4786:J4787"/>
    <mergeCell ref="K4786:K4787"/>
    <mergeCell ref="L4786:L4787"/>
    <mergeCell ref="M4786:M4787"/>
    <mergeCell ref="N4786:N4787"/>
    <mergeCell ref="O4786:O4787"/>
    <mergeCell ref="X4786:X4787"/>
    <mergeCell ref="Y4786:Y4787"/>
    <mergeCell ref="Z4786:Z4787"/>
    <mergeCell ref="AA4786:AA4787"/>
    <mergeCell ref="AB4786:AB4787"/>
    <mergeCell ref="A4788:A4789"/>
    <mergeCell ref="E4788:E4789"/>
    <mergeCell ref="A4718:A4719"/>
    <mergeCell ref="E4718:E4719"/>
    <mergeCell ref="H4718:H4719"/>
    <mergeCell ref="I4718:I4719"/>
    <mergeCell ref="J4718:J4719"/>
    <mergeCell ref="K4718:K4719"/>
    <mergeCell ref="L4718:L4719"/>
    <mergeCell ref="K4794:K4795"/>
    <mergeCell ref="L4794:L4795"/>
    <mergeCell ref="M4794:M4795"/>
    <mergeCell ref="N4794:N4795"/>
    <mergeCell ref="O4794:O4795"/>
    <mergeCell ref="X4794:X4795"/>
    <mergeCell ref="Y4794:Y4795"/>
    <mergeCell ref="Z4794:Z4795"/>
    <mergeCell ref="AA4794:AA4795"/>
    <mergeCell ref="AB4794:AB4795"/>
    <mergeCell ref="A4796:A4797"/>
    <mergeCell ref="E4796:E4797"/>
    <mergeCell ref="H4796:H4797"/>
    <mergeCell ref="I4796:I4797"/>
    <mergeCell ref="J4796:J4797"/>
    <mergeCell ref="K4796:K4797"/>
    <mergeCell ref="L4796:L4797"/>
    <mergeCell ref="M4796:M4797"/>
    <mergeCell ref="Y4808:Y4809"/>
    <mergeCell ref="Z4808:Z4809"/>
    <mergeCell ref="AA4808:AA4809"/>
    <mergeCell ref="AB4808:AB4809"/>
    <mergeCell ref="H4800:H4801"/>
    <mergeCell ref="I4800:I4801"/>
    <mergeCell ref="J4800:J4801"/>
    <mergeCell ref="K4800:K4801"/>
    <mergeCell ref="L4800:L4801"/>
    <mergeCell ref="M4800:M4801"/>
    <mergeCell ref="N4800:N4801"/>
    <mergeCell ref="O4800:O4801"/>
    <mergeCell ref="X4800:X4801"/>
    <mergeCell ref="Y4800:Y4801"/>
    <mergeCell ref="Z4800:Z4801"/>
    <mergeCell ref="AA4800:AA4801"/>
    <mergeCell ref="AB4800:AB4801"/>
    <mergeCell ref="A4722:A4723"/>
    <mergeCell ref="E4722:E4723"/>
    <mergeCell ref="H4722:H4723"/>
    <mergeCell ref="I4722:I4723"/>
    <mergeCell ref="J4722:J4723"/>
    <mergeCell ref="K4722:K4723"/>
    <mergeCell ref="L4722:L4723"/>
    <mergeCell ref="M4722:M4723"/>
    <mergeCell ref="N4722:N4723"/>
    <mergeCell ref="O4722:O4723"/>
    <mergeCell ref="X4722:X4723"/>
    <mergeCell ref="Y4722:Y4723"/>
    <mergeCell ref="Z4722:Z4723"/>
    <mergeCell ref="AA4722:AA4723"/>
    <mergeCell ref="AB4722:AB4723"/>
    <mergeCell ref="A4804:A4805"/>
    <mergeCell ref="E4804:E4805"/>
    <mergeCell ref="H4804:H4805"/>
    <mergeCell ref="I4804:I4805"/>
    <mergeCell ref="J4804:J4805"/>
    <mergeCell ref="K4804:K4805"/>
    <mergeCell ref="L4804:L4805"/>
    <mergeCell ref="A4792:A4793"/>
    <mergeCell ref="E4792:E4793"/>
    <mergeCell ref="H4792:H4793"/>
    <mergeCell ref="I4792:I4793"/>
    <mergeCell ref="J4792:J4793"/>
    <mergeCell ref="K4792:K4793"/>
    <mergeCell ref="L4792:L4793"/>
    <mergeCell ref="M4792:M4793"/>
    <mergeCell ref="N4792:N4793"/>
    <mergeCell ref="O4792:O4793"/>
    <mergeCell ref="X4792:X4793"/>
    <mergeCell ref="Y4792:Y4793"/>
    <mergeCell ref="Z4792:Z4793"/>
    <mergeCell ref="AA4792:AA4793"/>
    <mergeCell ref="AB4792:AB4793"/>
    <mergeCell ref="A4794:A4795"/>
    <mergeCell ref="E4794:E4795"/>
    <mergeCell ref="H4794:H4795"/>
    <mergeCell ref="I4794:I4795"/>
    <mergeCell ref="J4794:J4795"/>
    <mergeCell ref="H4924:H4925"/>
    <mergeCell ref="I4924:I4925"/>
    <mergeCell ref="J4924:J4925"/>
    <mergeCell ref="K4924:K4925"/>
    <mergeCell ref="L4924:L4925"/>
    <mergeCell ref="M4924:M4925"/>
    <mergeCell ref="N4924:N4925"/>
    <mergeCell ref="O4924:O4925"/>
    <mergeCell ref="X4924:X4925"/>
    <mergeCell ref="Y4924:Y4925"/>
    <mergeCell ref="Z4924:Z4925"/>
    <mergeCell ref="AA4924:AA4925"/>
    <mergeCell ref="AB4924:AB4925"/>
    <mergeCell ref="A4802:A4803"/>
    <mergeCell ref="E4802:E4803"/>
    <mergeCell ref="H4802:H4803"/>
    <mergeCell ref="I4802:I4803"/>
    <mergeCell ref="J4802:J4803"/>
    <mergeCell ref="K4802:K4803"/>
    <mergeCell ref="L4802:L4803"/>
    <mergeCell ref="M4802:M4803"/>
    <mergeCell ref="N4802:N4803"/>
    <mergeCell ref="O4802:O4803"/>
    <mergeCell ref="X4802:X4803"/>
    <mergeCell ref="Y4802:Y4803"/>
    <mergeCell ref="Z4802:Z4803"/>
    <mergeCell ref="AA4802:AA4803"/>
    <mergeCell ref="AB4802:AB4803"/>
    <mergeCell ref="A4808:A4809"/>
    <mergeCell ref="E4808:E4809"/>
    <mergeCell ref="H4808:H4809"/>
    <mergeCell ref="I4808:I4809"/>
    <mergeCell ref="J4808:J4809"/>
    <mergeCell ref="K4808:K4809"/>
    <mergeCell ref="L4808:L4809"/>
    <mergeCell ref="M4808:M4809"/>
    <mergeCell ref="N4808:N4809"/>
    <mergeCell ref="O4808:O4809"/>
    <mergeCell ref="X4808:X4809"/>
    <mergeCell ref="J4914:J4915"/>
    <mergeCell ref="K4914:K4915"/>
    <mergeCell ref="L4914:L4915"/>
    <mergeCell ref="M4914:M4915"/>
    <mergeCell ref="N4914:N4915"/>
    <mergeCell ref="A4810:A4811"/>
    <mergeCell ref="E4810:E4811"/>
    <mergeCell ref="H4810:H4811"/>
    <mergeCell ref="I4810:I4811"/>
    <mergeCell ref="J4810:J4811"/>
    <mergeCell ref="K4810:K4811"/>
    <mergeCell ref="L4810:L4811"/>
    <mergeCell ref="M4810:M4811"/>
    <mergeCell ref="N4810:N4811"/>
    <mergeCell ref="O4810:O4811"/>
    <mergeCell ref="X4810:X4811"/>
    <mergeCell ref="Y4810:Y4811"/>
    <mergeCell ref="Z4810:Z4811"/>
    <mergeCell ref="AA4810:AA4811"/>
    <mergeCell ref="AB4810:AB4811"/>
    <mergeCell ref="A4912:A4913"/>
    <mergeCell ref="E4912:E4913"/>
    <mergeCell ref="H4912:H4913"/>
    <mergeCell ref="I4912:I4913"/>
    <mergeCell ref="J4912:J4913"/>
    <mergeCell ref="K4912:K4913"/>
    <mergeCell ref="L4912:L4913"/>
    <mergeCell ref="M4912:M4913"/>
    <mergeCell ref="N4912:N4913"/>
    <mergeCell ref="O4912:O4913"/>
    <mergeCell ref="X4912:X4913"/>
    <mergeCell ref="Y4912:Y4913"/>
    <mergeCell ref="Z4912:Z4913"/>
    <mergeCell ref="AA4912:AA4913"/>
    <mergeCell ref="AB4912:AB4913"/>
    <mergeCell ref="A4920:A4921"/>
    <mergeCell ref="E4920:E4921"/>
    <mergeCell ref="H4920:H4921"/>
    <mergeCell ref="I4920:I4921"/>
    <mergeCell ref="J4920:J4921"/>
    <mergeCell ref="K4920:K4921"/>
    <mergeCell ref="L4920:L4921"/>
    <mergeCell ref="M4920:M4921"/>
    <mergeCell ref="N4920:N4921"/>
    <mergeCell ref="O4920:O4921"/>
    <mergeCell ref="X4920:X4921"/>
    <mergeCell ref="Y4920:Y4921"/>
    <mergeCell ref="Z4920:Z4921"/>
    <mergeCell ref="AA4920:AA4921"/>
    <mergeCell ref="AB4920:AB4921"/>
    <mergeCell ref="A4918:A4919"/>
    <mergeCell ref="E4918:E4919"/>
    <mergeCell ref="H4918:H4919"/>
    <mergeCell ref="I4918:I4919"/>
    <mergeCell ref="J4918:J4919"/>
    <mergeCell ref="K4918:K4919"/>
    <mergeCell ref="L4918:L4919"/>
    <mergeCell ref="M4918:M4919"/>
    <mergeCell ref="N4918:N4919"/>
    <mergeCell ref="O4918:O4919"/>
    <mergeCell ref="X4918:X4919"/>
    <mergeCell ref="Y4918:Y4919"/>
    <mergeCell ref="Z4918:Z4919"/>
    <mergeCell ref="AA4918:AA4919"/>
    <mergeCell ref="AB4918:AB4919"/>
    <mergeCell ref="A4914:A4915"/>
    <mergeCell ref="E4914:E4915"/>
    <mergeCell ref="H4914:H4915"/>
    <mergeCell ref="I4914:I4915"/>
    <mergeCell ref="A4916:A4917"/>
    <mergeCell ref="E4916:E4917"/>
    <mergeCell ref="H4916:H4917"/>
    <mergeCell ref="I4916:I4917"/>
    <mergeCell ref="J4916:J4917"/>
    <mergeCell ref="AB4928:AB4929"/>
    <mergeCell ref="AB4916:AB4917"/>
    <mergeCell ref="A4922:A4923"/>
    <mergeCell ref="E4922:E4923"/>
    <mergeCell ref="H4922:H4923"/>
    <mergeCell ref="Y4926:Y4927"/>
    <mergeCell ref="Z4926:Z4927"/>
    <mergeCell ref="AA4926:AA4927"/>
    <mergeCell ref="AB4926:AB4927"/>
    <mergeCell ref="A4928:A4929"/>
    <mergeCell ref="E4928:E4929"/>
    <mergeCell ref="H4928:H4929"/>
    <mergeCell ref="I4928:I4929"/>
    <mergeCell ref="J4928:J4929"/>
    <mergeCell ref="K4928:K4929"/>
    <mergeCell ref="L4928:L4929"/>
    <mergeCell ref="M4928:M4929"/>
    <mergeCell ref="A5372:A5373"/>
    <mergeCell ref="E5372:E5373"/>
    <mergeCell ref="H5372:H5373"/>
    <mergeCell ref="I5372:I5373"/>
    <mergeCell ref="J5372:J5373"/>
    <mergeCell ref="K5372:K5373"/>
    <mergeCell ref="L5372:L5373"/>
    <mergeCell ref="M5372:M5373"/>
    <mergeCell ref="N5372:N5373"/>
    <mergeCell ref="O5372:O5373"/>
    <mergeCell ref="X5372:X5373"/>
    <mergeCell ref="Y5372:Y5373"/>
    <mergeCell ref="Z5372:Z5373"/>
    <mergeCell ref="AA5372:AA5373"/>
    <mergeCell ref="AB5372:AB5373"/>
    <mergeCell ref="A4932:A4933"/>
    <mergeCell ref="E4932:E4933"/>
    <mergeCell ref="H4932:H4933"/>
    <mergeCell ref="I4932:I4933"/>
    <mergeCell ref="J4932:J4933"/>
    <mergeCell ref="K4932:K4933"/>
    <mergeCell ref="L4932:L4933"/>
    <mergeCell ref="M4932:M4933"/>
    <mergeCell ref="N4932:N4933"/>
    <mergeCell ref="O4932:O4933"/>
    <mergeCell ref="X4932:X4933"/>
    <mergeCell ref="Y4932:Y4933"/>
    <mergeCell ref="Z4932:Z4933"/>
    <mergeCell ref="AA4932:AA4933"/>
    <mergeCell ref="AB4932:AB4933"/>
    <mergeCell ref="A4926:A4927"/>
    <mergeCell ref="E4926:E4927"/>
    <mergeCell ref="H4926:H4927"/>
    <mergeCell ref="I4926:I4927"/>
    <mergeCell ref="J4926:J4927"/>
    <mergeCell ref="K4926:K4927"/>
    <mergeCell ref="L4926:L4927"/>
    <mergeCell ref="M4926:M4927"/>
    <mergeCell ref="N4926:N4927"/>
    <mergeCell ref="A4930:A4931"/>
    <mergeCell ref="E4930:E4931"/>
    <mergeCell ref="H4930:H4931"/>
    <mergeCell ref="A5374:A5375"/>
    <mergeCell ref="E5374:E5375"/>
    <mergeCell ref="H5374:H5375"/>
    <mergeCell ref="I5374:I5375"/>
    <mergeCell ref="J5374:J5375"/>
    <mergeCell ref="K5374:K5375"/>
    <mergeCell ref="L5374:L5375"/>
    <mergeCell ref="M5374:M5375"/>
    <mergeCell ref="N5374:N5375"/>
    <mergeCell ref="O5374:O5375"/>
    <mergeCell ref="X5374:X5375"/>
    <mergeCell ref="Y5374:Y5375"/>
    <mergeCell ref="Z5374:Z5375"/>
    <mergeCell ref="AA5374:AA5375"/>
    <mergeCell ref="AB5374:AB5375"/>
    <mergeCell ref="I4922:I4923"/>
    <mergeCell ref="J4922:J4923"/>
    <mergeCell ref="K4922:K4923"/>
    <mergeCell ref="L4922:L4923"/>
    <mergeCell ref="M4922:M4923"/>
    <mergeCell ref="N4922:N4923"/>
    <mergeCell ref="O4922:O4923"/>
    <mergeCell ref="X4922:X4923"/>
    <mergeCell ref="Y4922:Y4923"/>
    <mergeCell ref="Z4922:Z4923"/>
    <mergeCell ref="AA4922:AA4923"/>
    <mergeCell ref="AB4922:AB4923"/>
    <mergeCell ref="A5042:A5043"/>
    <mergeCell ref="E5042:E5043"/>
    <mergeCell ref="H5042:H5043"/>
    <mergeCell ref="I5042:I5043"/>
    <mergeCell ref="J5042:J5043"/>
    <mergeCell ref="K5042:K5043"/>
    <mergeCell ref="L5042:L5043"/>
    <mergeCell ref="M5042:M5043"/>
    <mergeCell ref="N5042:N5043"/>
    <mergeCell ref="O5042:O5043"/>
    <mergeCell ref="X5042:X5043"/>
    <mergeCell ref="Y5042:Y5043"/>
    <mergeCell ref="Z5042:Z5043"/>
    <mergeCell ref="AA5042:AA5043"/>
    <mergeCell ref="AB5042:AB5043"/>
    <mergeCell ref="O4926:O4927"/>
    <mergeCell ref="X4926:X4927"/>
    <mergeCell ref="O4928:O4929"/>
    <mergeCell ref="X4928:X4929"/>
    <mergeCell ref="Y4928:Y4929"/>
    <mergeCell ref="Z4928:Z4929"/>
    <mergeCell ref="AA4928:AA4929"/>
    <mergeCell ref="A4924:A4925"/>
    <mergeCell ref="E4924:E4925"/>
    <mergeCell ref="I4930:I4931"/>
    <mergeCell ref="J4930:J4931"/>
    <mergeCell ref="K4930:K4931"/>
    <mergeCell ref="L4930:L4931"/>
    <mergeCell ref="M4930:M4931"/>
    <mergeCell ref="N4930:N4931"/>
    <mergeCell ref="O4930:O4931"/>
    <mergeCell ref="X4930:X4931"/>
    <mergeCell ref="Y4930:Y4931"/>
    <mergeCell ref="Z4930:Z4931"/>
    <mergeCell ref="AA4930:AA4931"/>
    <mergeCell ref="AB4930:AB4931"/>
    <mergeCell ref="N4928:N4929"/>
    <mergeCell ref="A5376:A5377"/>
    <mergeCell ref="E5376:E5377"/>
    <mergeCell ref="H5376:H5377"/>
    <mergeCell ref="I5376:I5377"/>
    <mergeCell ref="J5376:J5377"/>
    <mergeCell ref="K5376:K5377"/>
    <mergeCell ref="L5376:L5377"/>
    <mergeCell ref="M5376:M5377"/>
    <mergeCell ref="N5376:N5377"/>
    <mergeCell ref="O5376:O5377"/>
    <mergeCell ref="X5376:X5377"/>
    <mergeCell ref="Y5376:Y5377"/>
    <mergeCell ref="Z5376:Z5377"/>
    <mergeCell ref="AA5376:AA5377"/>
    <mergeCell ref="AB5376:AB5377"/>
    <mergeCell ref="A5378:A5379"/>
    <mergeCell ref="E5378:E5379"/>
    <mergeCell ref="H5378:H5379"/>
    <mergeCell ref="I5378:I5379"/>
    <mergeCell ref="J5378:J5379"/>
    <mergeCell ref="K5378:K5379"/>
    <mergeCell ref="L5378:L5379"/>
    <mergeCell ref="M5378:M5379"/>
    <mergeCell ref="N5378:N5379"/>
    <mergeCell ref="O5378:O5379"/>
    <mergeCell ref="X5378:X5379"/>
    <mergeCell ref="Y5378:Y5379"/>
    <mergeCell ref="Z5378:Z5379"/>
    <mergeCell ref="AA5378:AA5379"/>
    <mergeCell ref="AB5378:AB5379"/>
    <mergeCell ref="A5380:A5381"/>
    <mergeCell ref="E5380:E5381"/>
    <mergeCell ref="H5380:H5381"/>
    <mergeCell ref="I5380:I5381"/>
    <mergeCell ref="J5380:J5381"/>
    <mergeCell ref="K5380:K5381"/>
    <mergeCell ref="L5380:L5381"/>
    <mergeCell ref="M5380:M5381"/>
    <mergeCell ref="N5380:N5381"/>
    <mergeCell ref="O5380:O5381"/>
    <mergeCell ref="X5380:X5381"/>
    <mergeCell ref="Y5380:Y5381"/>
    <mergeCell ref="Z5380:Z5381"/>
    <mergeCell ref="AA5380:AA5381"/>
    <mergeCell ref="AB5380:AB5381"/>
    <mergeCell ref="A5382:A5383"/>
    <mergeCell ref="E5382:E5383"/>
    <mergeCell ref="H5382:H5383"/>
    <mergeCell ref="I5382:I5383"/>
    <mergeCell ref="J5382:J5383"/>
    <mergeCell ref="K5382:K5383"/>
    <mergeCell ref="L5382:L5383"/>
    <mergeCell ref="M5382:M5383"/>
    <mergeCell ref="N5382:N5383"/>
    <mergeCell ref="O5382:O5383"/>
    <mergeCell ref="X5382:X5383"/>
    <mergeCell ref="Y5382:Y5383"/>
    <mergeCell ref="Z5382:Z5383"/>
    <mergeCell ref="AA5382:AA5383"/>
    <mergeCell ref="AB5382:AB5383"/>
    <mergeCell ref="A5384:A5385"/>
    <mergeCell ref="E5384:E5385"/>
    <mergeCell ref="H5384:H5385"/>
    <mergeCell ref="I5384:I5385"/>
    <mergeCell ref="J5384:J5385"/>
    <mergeCell ref="K5384:K5385"/>
    <mergeCell ref="L5384:L5385"/>
    <mergeCell ref="M5384:M5385"/>
    <mergeCell ref="N5384:N5385"/>
    <mergeCell ref="O5384:O5385"/>
    <mergeCell ref="X5384:X5385"/>
    <mergeCell ref="Y5384:Y5385"/>
    <mergeCell ref="Z5384:Z5385"/>
    <mergeCell ref="AA5384:AA5385"/>
    <mergeCell ref="AB5384:AB5385"/>
    <mergeCell ref="A5386:A5387"/>
    <mergeCell ref="E5386:E5387"/>
    <mergeCell ref="H5386:H5387"/>
    <mergeCell ref="I5386:I5387"/>
    <mergeCell ref="J5386:J5387"/>
    <mergeCell ref="K5386:K5387"/>
    <mergeCell ref="L5386:L5387"/>
    <mergeCell ref="M5386:M5387"/>
    <mergeCell ref="N5386:N5387"/>
    <mergeCell ref="O5386:O5387"/>
    <mergeCell ref="X5386:X5387"/>
    <mergeCell ref="Y5386:Y5387"/>
    <mergeCell ref="Z5386:Z5387"/>
    <mergeCell ref="AA5386:AA5387"/>
    <mergeCell ref="AB5386:AB5387"/>
    <mergeCell ref="A5388:A5389"/>
    <mergeCell ref="E5388:E5389"/>
    <mergeCell ref="H5388:H5389"/>
    <mergeCell ref="I5388:I5389"/>
    <mergeCell ref="J5388:J5389"/>
    <mergeCell ref="K5388:K5389"/>
    <mergeCell ref="L5388:L5389"/>
    <mergeCell ref="M5388:M5389"/>
    <mergeCell ref="N5388:N5389"/>
    <mergeCell ref="O5388:O5389"/>
    <mergeCell ref="X5388:X5389"/>
    <mergeCell ref="Y5388:Y5389"/>
    <mergeCell ref="Z5388:Z5389"/>
    <mergeCell ref="AA5388:AA5389"/>
    <mergeCell ref="AB5388:AB5389"/>
    <mergeCell ref="A5390:A5391"/>
    <mergeCell ref="E5390:E5391"/>
    <mergeCell ref="H5390:H5391"/>
    <mergeCell ref="I5390:I5391"/>
    <mergeCell ref="J5390:J5391"/>
    <mergeCell ref="K5390:K5391"/>
    <mergeCell ref="L5390:L5391"/>
    <mergeCell ref="M5390:M5391"/>
    <mergeCell ref="N5390:N5391"/>
    <mergeCell ref="O5390:O5391"/>
    <mergeCell ref="X5390:X5391"/>
    <mergeCell ref="Y5390:Y5391"/>
    <mergeCell ref="Z5390:Z5391"/>
    <mergeCell ref="AA5390:AA5391"/>
    <mergeCell ref="AB5390:AB5391"/>
    <mergeCell ref="A5392:A5393"/>
    <mergeCell ref="E5392:E5393"/>
    <mergeCell ref="H5392:H5393"/>
    <mergeCell ref="I5392:I5393"/>
    <mergeCell ref="J5392:J5393"/>
    <mergeCell ref="K5392:K5393"/>
    <mergeCell ref="L5392:L5393"/>
    <mergeCell ref="M5392:M5393"/>
    <mergeCell ref="N5392:N5393"/>
    <mergeCell ref="O5392:O5393"/>
    <mergeCell ref="X5392:X5393"/>
    <mergeCell ref="Y5392:Y5393"/>
    <mergeCell ref="Z5392:Z5393"/>
    <mergeCell ref="AA5392:AA5393"/>
    <mergeCell ref="AB5392:AB5393"/>
    <mergeCell ref="A5394:A5395"/>
    <mergeCell ref="E5394:E5395"/>
    <mergeCell ref="H5394:H5395"/>
    <mergeCell ref="I5394:I5395"/>
    <mergeCell ref="J5394:J5395"/>
    <mergeCell ref="K5394:K5395"/>
    <mergeCell ref="L5394:L5395"/>
    <mergeCell ref="M5394:M5395"/>
    <mergeCell ref="N5394:N5395"/>
    <mergeCell ref="O5394:O5395"/>
    <mergeCell ref="X5394:X5395"/>
    <mergeCell ref="Y5394:Y5395"/>
    <mergeCell ref="Z5394:Z5395"/>
    <mergeCell ref="AA5394:AA5395"/>
    <mergeCell ref="AB5394:AB5395"/>
    <mergeCell ref="A5396:A5397"/>
    <mergeCell ref="E5396:E5397"/>
    <mergeCell ref="H5396:H5397"/>
    <mergeCell ref="I5396:I5397"/>
    <mergeCell ref="J5396:J5397"/>
    <mergeCell ref="K5396:K5397"/>
    <mergeCell ref="L5396:L5397"/>
    <mergeCell ref="M5396:M5397"/>
    <mergeCell ref="N5396:N5397"/>
    <mergeCell ref="O5396:O5397"/>
    <mergeCell ref="X5396:X5397"/>
    <mergeCell ref="Y5396:Y5397"/>
    <mergeCell ref="Z5396:Z5397"/>
    <mergeCell ref="AA5396:AA5397"/>
    <mergeCell ref="AB5396:AB5397"/>
    <mergeCell ref="A5398:A5399"/>
    <mergeCell ref="E5398:E5399"/>
    <mergeCell ref="H5398:H5399"/>
    <mergeCell ref="I5398:I5399"/>
    <mergeCell ref="J5398:J5399"/>
    <mergeCell ref="K5398:K5399"/>
    <mergeCell ref="L5398:L5399"/>
    <mergeCell ref="M5398:M5399"/>
    <mergeCell ref="N5398:N5399"/>
    <mergeCell ref="O5398:O5399"/>
    <mergeCell ref="X5398:X5399"/>
    <mergeCell ref="Y5398:Y5399"/>
    <mergeCell ref="Z5398:Z5399"/>
    <mergeCell ref="AA5398:AA5399"/>
    <mergeCell ref="AB5398:AB5399"/>
    <mergeCell ref="A5400:A5401"/>
    <mergeCell ref="E5400:E5401"/>
    <mergeCell ref="H5400:H5401"/>
    <mergeCell ref="I5400:I5401"/>
    <mergeCell ref="J5400:J5401"/>
    <mergeCell ref="K5400:K5401"/>
    <mergeCell ref="L5400:L5401"/>
    <mergeCell ref="M5400:M5401"/>
    <mergeCell ref="N5400:N5401"/>
    <mergeCell ref="O5400:O5401"/>
    <mergeCell ref="X5400:X5401"/>
    <mergeCell ref="Y5400:Y5401"/>
    <mergeCell ref="Z5400:Z5401"/>
    <mergeCell ref="AA5400:AA5401"/>
    <mergeCell ref="AB5400:AB5401"/>
    <mergeCell ref="A5402:A5403"/>
    <mergeCell ref="E5402:E5403"/>
    <mergeCell ref="H5402:H5403"/>
    <mergeCell ref="I5402:I5403"/>
    <mergeCell ref="J5402:J5403"/>
    <mergeCell ref="K5402:K5403"/>
    <mergeCell ref="L5402:L5403"/>
    <mergeCell ref="M5402:M5403"/>
    <mergeCell ref="N5402:N5403"/>
    <mergeCell ref="O5402:O5403"/>
    <mergeCell ref="X5402:X5403"/>
    <mergeCell ref="Y5402:Y5403"/>
    <mergeCell ref="Z5402:Z5403"/>
    <mergeCell ref="AA5402:AA5403"/>
    <mergeCell ref="AB5402:AB5403"/>
    <mergeCell ref="A5404:A5405"/>
    <mergeCell ref="E5404:E5405"/>
    <mergeCell ref="H5404:H5405"/>
    <mergeCell ref="I5404:I5405"/>
    <mergeCell ref="J5404:J5405"/>
    <mergeCell ref="K5404:K5405"/>
    <mergeCell ref="L5404:L5405"/>
    <mergeCell ref="M5404:M5405"/>
    <mergeCell ref="N5404:N5405"/>
    <mergeCell ref="O5404:O5405"/>
    <mergeCell ref="X5404:X5405"/>
    <mergeCell ref="Y5404:Y5405"/>
    <mergeCell ref="Z5404:Z5405"/>
    <mergeCell ref="AA5404:AA5405"/>
    <mergeCell ref="AB5404:AB5405"/>
    <mergeCell ref="A5406:A5407"/>
    <mergeCell ref="E5406:E5407"/>
    <mergeCell ref="H5406:H5407"/>
    <mergeCell ref="I5406:I5407"/>
    <mergeCell ref="J5406:J5407"/>
    <mergeCell ref="K5406:K5407"/>
    <mergeCell ref="L5406:L5407"/>
    <mergeCell ref="M5406:M5407"/>
    <mergeCell ref="N5406:N5407"/>
    <mergeCell ref="O5406:O5407"/>
    <mergeCell ref="X5406:X5407"/>
    <mergeCell ref="Y5406:Y5407"/>
    <mergeCell ref="Z5406:Z5407"/>
    <mergeCell ref="AA5406:AA5407"/>
    <mergeCell ref="AB5406:AB5407"/>
    <mergeCell ref="A5408:A5409"/>
    <mergeCell ref="E5408:E5409"/>
    <mergeCell ref="H5408:H5409"/>
    <mergeCell ref="I5408:I5409"/>
    <mergeCell ref="J5408:J5409"/>
    <mergeCell ref="K5408:K5409"/>
    <mergeCell ref="L5408:L5409"/>
    <mergeCell ref="M5408:M5409"/>
    <mergeCell ref="N5408:N5409"/>
    <mergeCell ref="O5408:O5409"/>
    <mergeCell ref="X5408:X5409"/>
    <mergeCell ref="Y5408:Y5409"/>
    <mergeCell ref="Z5408:Z5409"/>
    <mergeCell ref="AA5408:AA5409"/>
    <mergeCell ref="AB5408:AB5409"/>
    <mergeCell ref="A5410:A5411"/>
    <mergeCell ref="E5410:E5411"/>
    <mergeCell ref="H5410:H5411"/>
    <mergeCell ref="I5410:I5411"/>
    <mergeCell ref="J5410:J5411"/>
    <mergeCell ref="K5410:K5411"/>
    <mergeCell ref="L5410:L5411"/>
    <mergeCell ref="M5410:M5411"/>
    <mergeCell ref="N5410:N5411"/>
    <mergeCell ref="O5410:O5411"/>
    <mergeCell ref="X5410:X5411"/>
    <mergeCell ref="Y5410:Y5411"/>
    <mergeCell ref="Z5410:Z5411"/>
    <mergeCell ref="AA5410:AA5411"/>
    <mergeCell ref="AB5410:AB5411"/>
    <mergeCell ref="A5412:A5413"/>
    <mergeCell ref="E5412:E5413"/>
    <mergeCell ref="H5412:H5413"/>
    <mergeCell ref="I5412:I5413"/>
    <mergeCell ref="J5412:J5413"/>
    <mergeCell ref="K5412:K5413"/>
    <mergeCell ref="L5412:L5413"/>
    <mergeCell ref="M5412:M5413"/>
    <mergeCell ref="N5412:N5413"/>
    <mergeCell ref="O5412:O5413"/>
    <mergeCell ref="X5412:X5413"/>
    <mergeCell ref="Y5412:Y5413"/>
    <mergeCell ref="Z5412:Z5413"/>
    <mergeCell ref="AA5412:AA5413"/>
    <mergeCell ref="AB5412:AB5413"/>
    <mergeCell ref="A5414:A5415"/>
    <mergeCell ref="E5414:E5415"/>
    <mergeCell ref="H5414:H5415"/>
    <mergeCell ref="I5414:I5415"/>
    <mergeCell ref="J5414:J5415"/>
    <mergeCell ref="K5414:K5415"/>
    <mergeCell ref="L5414:L5415"/>
    <mergeCell ref="M5414:M5415"/>
    <mergeCell ref="N5414:N5415"/>
    <mergeCell ref="O5414:O5415"/>
    <mergeCell ref="X5414:X5415"/>
    <mergeCell ref="Y5414:Y5415"/>
    <mergeCell ref="Z5414:Z5415"/>
    <mergeCell ref="AA5414:AA5415"/>
    <mergeCell ref="AB5414:AB5415"/>
    <mergeCell ref="A5416:A5417"/>
    <mergeCell ref="E5416:E5417"/>
    <mergeCell ref="H5416:H5417"/>
    <mergeCell ref="I5416:I5417"/>
    <mergeCell ref="J5416:J5417"/>
    <mergeCell ref="K5416:K5417"/>
    <mergeCell ref="L5416:L5417"/>
    <mergeCell ref="M5416:M5417"/>
    <mergeCell ref="N5416:N5417"/>
    <mergeCell ref="O5416:O5417"/>
    <mergeCell ref="X5416:X5417"/>
    <mergeCell ref="Y5416:Y5417"/>
    <mergeCell ref="Z5416:Z5417"/>
    <mergeCell ref="AA5416:AA5417"/>
    <mergeCell ref="AB5416:AB5417"/>
    <mergeCell ref="A5418:A5419"/>
    <mergeCell ref="E5418:E5419"/>
    <mergeCell ref="H5418:H5419"/>
    <mergeCell ref="I5418:I5419"/>
    <mergeCell ref="J5418:J5419"/>
    <mergeCell ref="K5418:K5419"/>
    <mergeCell ref="L5418:L5419"/>
    <mergeCell ref="M5418:M5419"/>
    <mergeCell ref="N5418:N5419"/>
    <mergeCell ref="O5418:O5419"/>
    <mergeCell ref="X5418:X5419"/>
    <mergeCell ref="Y5418:Y5419"/>
    <mergeCell ref="Z5418:Z5419"/>
    <mergeCell ref="AA5418:AA5419"/>
    <mergeCell ref="AB5418:AB5419"/>
    <mergeCell ref="A5420:A5421"/>
    <mergeCell ref="E5420:E5421"/>
    <mergeCell ref="H5420:H5421"/>
    <mergeCell ref="I5420:I5421"/>
    <mergeCell ref="J5420:J5421"/>
    <mergeCell ref="K5420:K5421"/>
    <mergeCell ref="L5420:L5421"/>
    <mergeCell ref="M5420:M5421"/>
    <mergeCell ref="N5420:N5421"/>
    <mergeCell ref="O5420:O5421"/>
    <mergeCell ref="X5420:X5421"/>
    <mergeCell ref="Y5420:Y5421"/>
    <mergeCell ref="Z5420:Z5421"/>
    <mergeCell ref="AA5420:AA5421"/>
    <mergeCell ref="AB5420:AB5421"/>
    <mergeCell ref="A5422:A5423"/>
    <mergeCell ref="E5422:E5423"/>
    <mergeCell ref="H5422:H5423"/>
    <mergeCell ref="I5422:I5423"/>
    <mergeCell ref="J5422:J5423"/>
    <mergeCell ref="K5422:K5423"/>
    <mergeCell ref="L5422:L5423"/>
    <mergeCell ref="M5422:M5423"/>
    <mergeCell ref="N5422:N5423"/>
    <mergeCell ref="O5422:O5423"/>
    <mergeCell ref="X5422:X5423"/>
    <mergeCell ref="Y5422:Y5423"/>
    <mergeCell ref="Z5422:Z5423"/>
    <mergeCell ref="AA5422:AA5423"/>
    <mergeCell ref="AB5422:AB5423"/>
    <mergeCell ref="A5424:A5425"/>
    <mergeCell ref="E5424:E5425"/>
    <mergeCell ref="H5424:H5425"/>
    <mergeCell ref="I5424:I5425"/>
    <mergeCell ref="J5424:J5425"/>
    <mergeCell ref="K5424:K5425"/>
    <mergeCell ref="L5424:L5425"/>
    <mergeCell ref="M5424:M5425"/>
    <mergeCell ref="N5424:N5425"/>
    <mergeCell ref="O5424:O5425"/>
    <mergeCell ref="X5424:X5425"/>
    <mergeCell ref="Y5424:Y5425"/>
    <mergeCell ref="Z5424:Z5425"/>
    <mergeCell ref="AA5424:AA5425"/>
    <mergeCell ref="AB5424:AB5425"/>
    <mergeCell ref="A5426:A5427"/>
    <mergeCell ref="E5426:E5427"/>
    <mergeCell ref="H5426:H5427"/>
    <mergeCell ref="I5426:I5427"/>
    <mergeCell ref="J5426:J5427"/>
    <mergeCell ref="K5426:K5427"/>
    <mergeCell ref="L5426:L5427"/>
    <mergeCell ref="M5426:M5427"/>
    <mergeCell ref="N5426:N5427"/>
    <mergeCell ref="O5426:O5427"/>
    <mergeCell ref="X5426:X5427"/>
    <mergeCell ref="Y5426:Y5427"/>
    <mergeCell ref="Z5426:Z5427"/>
    <mergeCell ref="AA5426:AA5427"/>
    <mergeCell ref="AB5426:AB5427"/>
    <mergeCell ref="A5428:A5429"/>
    <mergeCell ref="E5428:E5429"/>
    <mergeCell ref="H5428:H5429"/>
    <mergeCell ref="I5428:I5429"/>
    <mergeCell ref="J5428:J5429"/>
    <mergeCell ref="K5428:K5429"/>
    <mergeCell ref="L5428:L5429"/>
    <mergeCell ref="M5428:M5429"/>
    <mergeCell ref="N5428:N5429"/>
    <mergeCell ref="O5428:O5429"/>
    <mergeCell ref="X5428:X5429"/>
    <mergeCell ref="Y5428:Y5429"/>
    <mergeCell ref="Z5428:Z5429"/>
    <mergeCell ref="AA5428:AA5429"/>
    <mergeCell ref="AB5428:AB5429"/>
    <mergeCell ref="A5430:A5431"/>
    <mergeCell ref="E5430:E5431"/>
    <mergeCell ref="H5430:H5431"/>
    <mergeCell ref="I5430:I5431"/>
    <mergeCell ref="J5430:J5431"/>
    <mergeCell ref="K5430:K5431"/>
    <mergeCell ref="L5430:L5431"/>
    <mergeCell ref="M5430:M5431"/>
    <mergeCell ref="N5430:N5431"/>
    <mergeCell ref="O5430:O5431"/>
    <mergeCell ref="X5430:X5431"/>
    <mergeCell ref="Y5430:Y5431"/>
    <mergeCell ref="Z5430:Z5431"/>
    <mergeCell ref="AA5430:AA5431"/>
    <mergeCell ref="AB5430:AB5431"/>
    <mergeCell ref="A5432:A5433"/>
    <mergeCell ref="E5432:E5433"/>
    <mergeCell ref="H5432:H5433"/>
    <mergeCell ref="I5432:I5433"/>
    <mergeCell ref="J5432:J5433"/>
    <mergeCell ref="K5432:K5433"/>
    <mergeCell ref="L5432:L5433"/>
    <mergeCell ref="M5432:M5433"/>
    <mergeCell ref="N5432:N5433"/>
    <mergeCell ref="O5432:O5433"/>
    <mergeCell ref="X5432:X5433"/>
    <mergeCell ref="Y5432:Y5433"/>
    <mergeCell ref="Z5432:Z5433"/>
    <mergeCell ref="AA5432:AA5433"/>
    <mergeCell ref="AB5432:AB5433"/>
    <mergeCell ref="A5434:A5435"/>
    <mergeCell ref="E5434:E5435"/>
    <mergeCell ref="H5434:H5435"/>
    <mergeCell ref="I5434:I5435"/>
    <mergeCell ref="J5434:J5435"/>
    <mergeCell ref="K5434:K5435"/>
    <mergeCell ref="L5434:L5435"/>
    <mergeCell ref="M5434:M5435"/>
    <mergeCell ref="N5434:N5435"/>
    <mergeCell ref="O5434:O5435"/>
    <mergeCell ref="X5434:X5435"/>
    <mergeCell ref="Y5434:Y5435"/>
    <mergeCell ref="Z5434:Z5435"/>
    <mergeCell ref="AA5434:AA5435"/>
    <mergeCell ref="AB5434:AB5435"/>
    <mergeCell ref="A5436:A5437"/>
    <mergeCell ref="E5436:E5437"/>
    <mergeCell ref="H5436:H5437"/>
    <mergeCell ref="I5436:I5437"/>
    <mergeCell ref="J5436:J5437"/>
    <mergeCell ref="K5436:K5437"/>
    <mergeCell ref="L5436:L5437"/>
    <mergeCell ref="M5436:M5437"/>
    <mergeCell ref="N5436:N5437"/>
    <mergeCell ref="O5436:O5437"/>
    <mergeCell ref="X5436:X5437"/>
    <mergeCell ref="Y5436:Y5437"/>
    <mergeCell ref="Z5436:Z5437"/>
    <mergeCell ref="AA5436:AA5437"/>
    <mergeCell ref="AB5436:AB5437"/>
    <mergeCell ref="A5438:A5439"/>
    <mergeCell ref="E5438:E5439"/>
    <mergeCell ref="H5438:H5439"/>
    <mergeCell ref="I5438:I5439"/>
    <mergeCell ref="J5438:J5439"/>
    <mergeCell ref="K5438:K5439"/>
    <mergeCell ref="L5438:L5439"/>
    <mergeCell ref="M5438:M5439"/>
    <mergeCell ref="N5438:N5439"/>
    <mergeCell ref="O5438:O5439"/>
    <mergeCell ref="X5438:X5439"/>
    <mergeCell ref="Y5438:Y5439"/>
    <mergeCell ref="Z5438:Z5439"/>
    <mergeCell ref="AA5438:AA5439"/>
    <mergeCell ref="AB5438:AB5439"/>
    <mergeCell ref="A5440:A5441"/>
    <mergeCell ref="E5440:E5441"/>
    <mergeCell ref="H5440:H5441"/>
    <mergeCell ref="I5440:I5441"/>
    <mergeCell ref="J5440:J5441"/>
    <mergeCell ref="K5440:K5441"/>
    <mergeCell ref="L5440:L5441"/>
    <mergeCell ref="M5440:M5441"/>
    <mergeCell ref="N5440:N5441"/>
    <mergeCell ref="O5440:O5441"/>
    <mergeCell ref="X5440:X5441"/>
    <mergeCell ref="Y5440:Y5441"/>
    <mergeCell ref="Z5440:Z5441"/>
    <mergeCell ref="AA5440:AA5441"/>
    <mergeCell ref="AB5440:AB5441"/>
    <mergeCell ref="A5442:A5443"/>
    <mergeCell ref="E5442:E5443"/>
    <mergeCell ref="H5442:H5443"/>
    <mergeCell ref="I5442:I5443"/>
    <mergeCell ref="J5442:J5443"/>
    <mergeCell ref="K5442:K5443"/>
    <mergeCell ref="L5442:L5443"/>
    <mergeCell ref="M5442:M5443"/>
    <mergeCell ref="N5442:N5443"/>
    <mergeCell ref="O5442:O5443"/>
    <mergeCell ref="X5442:X5443"/>
    <mergeCell ref="Y5442:Y5443"/>
    <mergeCell ref="Z5442:Z5443"/>
    <mergeCell ref="AA5442:AA5443"/>
    <mergeCell ref="AB5442:AB5443"/>
    <mergeCell ref="A5444:A5445"/>
    <mergeCell ref="E5444:E5445"/>
    <mergeCell ref="H5444:H5445"/>
    <mergeCell ref="I5444:I5445"/>
    <mergeCell ref="J5444:J5445"/>
    <mergeCell ref="K5444:K5445"/>
    <mergeCell ref="L5444:L5445"/>
    <mergeCell ref="M5444:M5445"/>
    <mergeCell ref="N5444:N5445"/>
    <mergeCell ref="O5444:O5445"/>
    <mergeCell ref="X5444:X5445"/>
    <mergeCell ref="Y5444:Y5445"/>
    <mergeCell ref="Z5444:Z5445"/>
    <mergeCell ref="AA5444:AA5445"/>
    <mergeCell ref="AB5444:AB5445"/>
    <mergeCell ref="A5446:A5447"/>
    <mergeCell ref="E5446:E5447"/>
    <mergeCell ref="H5446:H5447"/>
    <mergeCell ref="I5446:I5447"/>
    <mergeCell ref="J5446:J5447"/>
    <mergeCell ref="K5446:K5447"/>
    <mergeCell ref="L5446:L5447"/>
    <mergeCell ref="M5446:M5447"/>
    <mergeCell ref="N5446:N5447"/>
    <mergeCell ref="O5446:O5447"/>
    <mergeCell ref="X5446:X5447"/>
    <mergeCell ref="Y5446:Y5447"/>
    <mergeCell ref="Z5446:Z5447"/>
    <mergeCell ref="AA5446:AA5447"/>
    <mergeCell ref="AB5446:AB5447"/>
    <mergeCell ref="A5448:A5449"/>
    <mergeCell ref="E5448:E5449"/>
    <mergeCell ref="H5448:H5449"/>
    <mergeCell ref="I5448:I5449"/>
    <mergeCell ref="J5448:J5449"/>
    <mergeCell ref="K5448:K5449"/>
    <mergeCell ref="L5448:L5449"/>
    <mergeCell ref="M5448:M5449"/>
    <mergeCell ref="N5448:N5449"/>
    <mergeCell ref="O5448:O5449"/>
    <mergeCell ref="X5448:X5449"/>
    <mergeCell ref="Y5448:Y5449"/>
    <mergeCell ref="Z5448:Z5449"/>
    <mergeCell ref="AA5448:AA5449"/>
    <mergeCell ref="AB5448:AB5449"/>
    <mergeCell ref="A5450:A5451"/>
    <mergeCell ref="E5450:E5451"/>
    <mergeCell ref="H5450:H5451"/>
    <mergeCell ref="I5450:I5451"/>
    <mergeCell ref="J5450:J5451"/>
    <mergeCell ref="K5450:K5451"/>
    <mergeCell ref="L5450:L5451"/>
    <mergeCell ref="M5450:M5451"/>
    <mergeCell ref="N5450:N5451"/>
    <mergeCell ref="O5450:O5451"/>
    <mergeCell ref="X5450:X5451"/>
    <mergeCell ref="Y5450:Y5451"/>
    <mergeCell ref="Z5450:Z5451"/>
    <mergeCell ref="AA5450:AA5451"/>
    <mergeCell ref="AB5450:AB5451"/>
    <mergeCell ref="A5452:A5453"/>
    <mergeCell ref="E5452:E5453"/>
    <mergeCell ref="H5452:H5453"/>
    <mergeCell ref="I5452:I5453"/>
    <mergeCell ref="J5452:J5453"/>
    <mergeCell ref="K5452:K5453"/>
    <mergeCell ref="L5452:L5453"/>
    <mergeCell ref="M5452:M5453"/>
    <mergeCell ref="N5452:N5453"/>
    <mergeCell ref="O5452:O5453"/>
    <mergeCell ref="X5452:X5453"/>
    <mergeCell ref="Y5452:Y5453"/>
    <mergeCell ref="Z5452:Z5453"/>
    <mergeCell ref="AA5452:AA5453"/>
    <mergeCell ref="AB5452:AB5453"/>
    <mergeCell ref="A5454:A5455"/>
    <mergeCell ref="E5454:E5455"/>
    <mergeCell ref="H5454:H5455"/>
    <mergeCell ref="I5454:I5455"/>
    <mergeCell ref="J5454:J5455"/>
    <mergeCell ref="K5454:K5455"/>
    <mergeCell ref="L5454:L5455"/>
    <mergeCell ref="M5454:M5455"/>
    <mergeCell ref="N5454:N5455"/>
    <mergeCell ref="O5454:O5455"/>
    <mergeCell ref="X5454:X5455"/>
    <mergeCell ref="Y5454:Y5455"/>
    <mergeCell ref="Z5454:Z5455"/>
    <mergeCell ref="AA5454:AA5455"/>
    <mergeCell ref="AB5454:AB5455"/>
    <mergeCell ref="A5456:A5457"/>
    <mergeCell ref="E5456:E5457"/>
    <mergeCell ref="H5456:H5457"/>
    <mergeCell ref="I5456:I5457"/>
    <mergeCell ref="J5456:J5457"/>
    <mergeCell ref="K5456:K5457"/>
    <mergeCell ref="L5456:L5457"/>
    <mergeCell ref="M5456:M5457"/>
    <mergeCell ref="N5456:N5457"/>
    <mergeCell ref="O5456:O5457"/>
    <mergeCell ref="X5456:X5457"/>
    <mergeCell ref="Y5456:Y5457"/>
    <mergeCell ref="Z5456:Z5457"/>
    <mergeCell ref="AA5456:AA5457"/>
    <mergeCell ref="AB5456:AB5457"/>
    <mergeCell ref="A5458:A5459"/>
    <mergeCell ref="E5458:E5459"/>
    <mergeCell ref="H5458:H5459"/>
    <mergeCell ref="I5458:I5459"/>
    <mergeCell ref="J5458:J5459"/>
    <mergeCell ref="K5458:K5459"/>
    <mergeCell ref="L5458:L5459"/>
    <mergeCell ref="M5458:M5459"/>
    <mergeCell ref="N5458:N5459"/>
    <mergeCell ref="O5458:O5459"/>
    <mergeCell ref="X5458:X5459"/>
    <mergeCell ref="Y5458:Y5459"/>
    <mergeCell ref="Z5458:Z5459"/>
    <mergeCell ref="AA5458:AA5459"/>
    <mergeCell ref="AB5458:AB5459"/>
    <mergeCell ref="A5460:A5461"/>
    <mergeCell ref="E5460:E5461"/>
    <mergeCell ref="H5460:H5461"/>
    <mergeCell ref="I5460:I5461"/>
    <mergeCell ref="J5460:J5461"/>
    <mergeCell ref="K5460:K5461"/>
    <mergeCell ref="L5460:L5461"/>
    <mergeCell ref="M5460:M5461"/>
    <mergeCell ref="N5460:N5461"/>
    <mergeCell ref="O5460:O5461"/>
    <mergeCell ref="X5460:X5461"/>
    <mergeCell ref="Y5460:Y5461"/>
    <mergeCell ref="Z5460:Z5461"/>
    <mergeCell ref="AA5460:AA5461"/>
    <mergeCell ref="AB5460:AB5461"/>
    <mergeCell ref="A5462:A5463"/>
    <mergeCell ref="E5462:E5463"/>
    <mergeCell ref="H5462:H5463"/>
    <mergeCell ref="I5462:I5463"/>
    <mergeCell ref="J5462:J5463"/>
    <mergeCell ref="K5462:K5463"/>
    <mergeCell ref="L5462:L5463"/>
    <mergeCell ref="M5462:M5463"/>
    <mergeCell ref="N5462:N5463"/>
    <mergeCell ref="O5462:O5463"/>
    <mergeCell ref="X5462:X5463"/>
    <mergeCell ref="Y5462:Y5463"/>
    <mergeCell ref="Z5462:Z5463"/>
    <mergeCell ref="AA5462:AA5463"/>
    <mergeCell ref="AB5462:AB5463"/>
    <mergeCell ref="A5464:A5465"/>
    <mergeCell ref="E5464:E5465"/>
    <mergeCell ref="H5464:H5465"/>
    <mergeCell ref="I5464:I5465"/>
    <mergeCell ref="J5464:J5465"/>
    <mergeCell ref="K5464:K5465"/>
    <mergeCell ref="L5464:L5465"/>
    <mergeCell ref="M5464:M5465"/>
    <mergeCell ref="N5464:N5465"/>
    <mergeCell ref="O5464:O5465"/>
    <mergeCell ref="X5464:X5465"/>
    <mergeCell ref="Y5464:Y5465"/>
    <mergeCell ref="Z5464:Z5465"/>
    <mergeCell ref="AA5464:AA5465"/>
    <mergeCell ref="AB5464:AB5465"/>
    <mergeCell ref="A5466:A5467"/>
    <mergeCell ref="E5466:E5467"/>
    <mergeCell ref="H5466:H5467"/>
    <mergeCell ref="I5466:I5467"/>
    <mergeCell ref="J5466:J5467"/>
    <mergeCell ref="K5466:K5467"/>
    <mergeCell ref="L5466:L5467"/>
    <mergeCell ref="M5466:M5467"/>
    <mergeCell ref="N5466:N5467"/>
    <mergeCell ref="O5466:O5467"/>
    <mergeCell ref="X5466:X5467"/>
    <mergeCell ref="Y5466:Y5467"/>
    <mergeCell ref="Z5466:Z5467"/>
    <mergeCell ref="AA5466:AA5467"/>
    <mergeCell ref="AB5466:AB5467"/>
    <mergeCell ref="A5468:A5469"/>
    <mergeCell ref="E5468:E5469"/>
    <mergeCell ref="H5468:H5469"/>
    <mergeCell ref="I5468:I5469"/>
    <mergeCell ref="J5468:J5469"/>
    <mergeCell ref="K5468:K5469"/>
    <mergeCell ref="L5468:L5469"/>
    <mergeCell ref="M5468:M5469"/>
    <mergeCell ref="N5468:N5469"/>
    <mergeCell ref="O5468:O5469"/>
    <mergeCell ref="X5468:X5469"/>
    <mergeCell ref="Y5468:Y5469"/>
    <mergeCell ref="Z5468:Z5469"/>
    <mergeCell ref="AA5468:AA5469"/>
    <mergeCell ref="AB5468:AB5469"/>
    <mergeCell ref="A5470:A5471"/>
    <mergeCell ref="E5470:E5471"/>
    <mergeCell ref="H5470:H5471"/>
    <mergeCell ref="I5470:I5471"/>
    <mergeCell ref="J5470:J5471"/>
    <mergeCell ref="K5470:K5471"/>
    <mergeCell ref="L5470:L5471"/>
    <mergeCell ref="M5470:M5471"/>
    <mergeCell ref="N5470:N5471"/>
    <mergeCell ref="O5470:O5471"/>
    <mergeCell ref="X5470:X5471"/>
    <mergeCell ref="Y5470:Y5471"/>
    <mergeCell ref="Z5470:Z5471"/>
    <mergeCell ref="AA5470:AA5471"/>
    <mergeCell ref="AB5470:AB5471"/>
    <mergeCell ref="A5472:A5473"/>
    <mergeCell ref="E5472:E5473"/>
    <mergeCell ref="H5472:H5473"/>
    <mergeCell ref="I5472:I5473"/>
    <mergeCell ref="J5472:J5473"/>
    <mergeCell ref="K5472:K5473"/>
    <mergeCell ref="L5472:L5473"/>
    <mergeCell ref="M5472:M5473"/>
    <mergeCell ref="N5472:N5473"/>
    <mergeCell ref="O5472:O5473"/>
    <mergeCell ref="X5472:X5473"/>
    <mergeCell ref="Y5472:Y5473"/>
    <mergeCell ref="Z5472:Z5473"/>
    <mergeCell ref="AA5472:AA5473"/>
    <mergeCell ref="AB5472:AB5473"/>
    <mergeCell ref="A5474:A5475"/>
    <mergeCell ref="E5474:E5475"/>
    <mergeCell ref="H5474:H5475"/>
    <mergeCell ref="I5474:I5475"/>
    <mergeCell ref="J5474:J5475"/>
    <mergeCell ref="K5474:K5475"/>
    <mergeCell ref="L5474:L5475"/>
    <mergeCell ref="M5474:M5475"/>
    <mergeCell ref="N5474:N5475"/>
    <mergeCell ref="O5474:O5475"/>
    <mergeCell ref="X5474:X5475"/>
    <mergeCell ref="Y5474:Y5475"/>
    <mergeCell ref="Z5474:Z5475"/>
    <mergeCell ref="AA5474:AA5475"/>
    <mergeCell ref="AB5474:AB5475"/>
    <mergeCell ref="A5476:A5477"/>
    <mergeCell ref="E5476:E5477"/>
    <mergeCell ref="H5476:H5477"/>
    <mergeCell ref="I5476:I5477"/>
    <mergeCell ref="J5476:J5477"/>
    <mergeCell ref="K5476:K5477"/>
    <mergeCell ref="L5476:L5477"/>
    <mergeCell ref="M5476:M5477"/>
    <mergeCell ref="N5476:N5477"/>
    <mergeCell ref="O5476:O5477"/>
    <mergeCell ref="X5476:X5477"/>
    <mergeCell ref="Y5476:Y5477"/>
    <mergeCell ref="Z5476:Z5477"/>
    <mergeCell ref="AA5476:AA5477"/>
    <mergeCell ref="AB5476:AB5477"/>
    <mergeCell ref="A5478:A5479"/>
    <mergeCell ref="E5478:E5479"/>
    <mergeCell ref="H5478:H5479"/>
    <mergeCell ref="I5478:I5479"/>
    <mergeCell ref="J5478:J5479"/>
    <mergeCell ref="K5478:K5479"/>
    <mergeCell ref="L5478:L5479"/>
    <mergeCell ref="M5478:M5479"/>
    <mergeCell ref="N5478:N5479"/>
    <mergeCell ref="O5478:O5479"/>
    <mergeCell ref="X5478:X5479"/>
    <mergeCell ref="Y5478:Y5479"/>
    <mergeCell ref="Z5478:Z5479"/>
    <mergeCell ref="AA5478:AA5479"/>
    <mergeCell ref="AB5478:AB5479"/>
    <mergeCell ref="A5480:A5481"/>
    <mergeCell ref="E5480:E5481"/>
    <mergeCell ref="H5480:H5481"/>
    <mergeCell ref="I5480:I5481"/>
    <mergeCell ref="J5480:J5481"/>
    <mergeCell ref="K5480:K5481"/>
    <mergeCell ref="L5480:L5481"/>
    <mergeCell ref="M5480:M5481"/>
    <mergeCell ref="N5480:N5481"/>
    <mergeCell ref="O5480:O5481"/>
    <mergeCell ref="X5480:X5481"/>
    <mergeCell ref="Y5480:Y5481"/>
    <mergeCell ref="Z5480:Z5481"/>
    <mergeCell ref="AA5480:AA5481"/>
    <mergeCell ref="AB5480:AB5481"/>
    <mergeCell ref="A5482:A5483"/>
    <mergeCell ref="E5482:E5483"/>
    <mergeCell ref="H5482:H5483"/>
    <mergeCell ref="I5482:I5483"/>
    <mergeCell ref="J5482:J5483"/>
    <mergeCell ref="K5482:K5483"/>
    <mergeCell ref="L5482:L5483"/>
    <mergeCell ref="M5482:M5483"/>
    <mergeCell ref="N5482:N5483"/>
    <mergeCell ref="O5482:O5483"/>
    <mergeCell ref="X5482:X5483"/>
    <mergeCell ref="Y5482:Y5483"/>
    <mergeCell ref="Z5482:Z5483"/>
    <mergeCell ref="AA5482:AA5483"/>
    <mergeCell ref="AB5482:AB5483"/>
    <mergeCell ref="A5484:A5485"/>
    <mergeCell ref="E5484:E5485"/>
    <mergeCell ref="H5484:H5485"/>
    <mergeCell ref="I5484:I5485"/>
    <mergeCell ref="J5484:J5485"/>
    <mergeCell ref="K5484:K5485"/>
    <mergeCell ref="L5484:L5485"/>
    <mergeCell ref="M5484:M5485"/>
    <mergeCell ref="N5484:N5485"/>
    <mergeCell ref="O5484:O5485"/>
    <mergeCell ref="X5484:X5485"/>
    <mergeCell ref="Y5484:Y5485"/>
    <mergeCell ref="Z5484:Z5485"/>
    <mergeCell ref="AA5484:AA5485"/>
    <mergeCell ref="AB5484:AB5485"/>
    <mergeCell ref="A5486:A5487"/>
    <mergeCell ref="E5486:E5487"/>
    <mergeCell ref="H5486:H5487"/>
    <mergeCell ref="I5486:I5487"/>
    <mergeCell ref="J5486:J5487"/>
    <mergeCell ref="K5486:K5487"/>
    <mergeCell ref="L5486:L5487"/>
    <mergeCell ref="M5486:M5487"/>
    <mergeCell ref="N5486:N5487"/>
    <mergeCell ref="O5486:O5487"/>
    <mergeCell ref="X5486:X5487"/>
    <mergeCell ref="Y5486:Y5487"/>
    <mergeCell ref="Z5486:Z5487"/>
    <mergeCell ref="AA5486:AA5487"/>
    <mergeCell ref="AB5486:AB5487"/>
    <mergeCell ref="A5488:A5489"/>
    <mergeCell ref="E5488:E5489"/>
    <mergeCell ref="H5488:H5489"/>
    <mergeCell ref="I5488:I5489"/>
    <mergeCell ref="J5488:J5489"/>
    <mergeCell ref="K5488:K5489"/>
    <mergeCell ref="L5488:L5489"/>
    <mergeCell ref="M5488:M5489"/>
    <mergeCell ref="N5488:N5489"/>
    <mergeCell ref="O5488:O5489"/>
    <mergeCell ref="X5488:X5489"/>
    <mergeCell ref="Y5488:Y5489"/>
    <mergeCell ref="Z5488:Z5489"/>
    <mergeCell ref="AA5488:AA5489"/>
    <mergeCell ref="AB5488:AB5489"/>
    <mergeCell ref="A5490:A5491"/>
    <mergeCell ref="E5490:E5491"/>
    <mergeCell ref="H5490:H5491"/>
    <mergeCell ref="I5490:I5491"/>
    <mergeCell ref="J5490:J5491"/>
    <mergeCell ref="K5490:K5491"/>
    <mergeCell ref="L5490:L5491"/>
    <mergeCell ref="M5490:M5491"/>
    <mergeCell ref="N5490:N5491"/>
    <mergeCell ref="O5490:O5491"/>
    <mergeCell ref="X5490:X5491"/>
    <mergeCell ref="Y5490:Y5491"/>
    <mergeCell ref="Z5490:Z5491"/>
    <mergeCell ref="AA5490:AA5491"/>
    <mergeCell ref="AB5490:AB5491"/>
    <mergeCell ref="A5492:A5493"/>
    <mergeCell ref="E5492:E5493"/>
    <mergeCell ref="H5492:H5493"/>
    <mergeCell ref="I5492:I5493"/>
    <mergeCell ref="J5492:J5493"/>
    <mergeCell ref="K5492:K5493"/>
    <mergeCell ref="L5492:L5493"/>
    <mergeCell ref="M5492:M5493"/>
    <mergeCell ref="N5492:N5493"/>
    <mergeCell ref="O5492:O5493"/>
    <mergeCell ref="X5492:X5493"/>
    <mergeCell ref="Y5492:Y5493"/>
    <mergeCell ref="Z5492:Z5493"/>
    <mergeCell ref="AA5492:AA5493"/>
    <mergeCell ref="AB5492:AB5493"/>
    <mergeCell ref="A5494:A5495"/>
    <mergeCell ref="E5494:E5495"/>
    <mergeCell ref="H5494:H5495"/>
    <mergeCell ref="I5494:I5495"/>
    <mergeCell ref="J5494:J5495"/>
    <mergeCell ref="K5494:K5495"/>
    <mergeCell ref="L5494:L5495"/>
    <mergeCell ref="M5494:M5495"/>
    <mergeCell ref="N5494:N5495"/>
    <mergeCell ref="O5494:O5495"/>
    <mergeCell ref="X5494:X5495"/>
    <mergeCell ref="Y5494:Y5495"/>
    <mergeCell ref="Z5494:Z5495"/>
    <mergeCell ref="AA5494:AA5495"/>
    <mergeCell ref="AB5494:AB5495"/>
    <mergeCell ref="A5496:A5497"/>
    <mergeCell ref="E5496:E5497"/>
    <mergeCell ref="H5496:H5497"/>
    <mergeCell ref="I5496:I5497"/>
    <mergeCell ref="J5496:J5497"/>
    <mergeCell ref="K5496:K5497"/>
    <mergeCell ref="L5496:L5497"/>
    <mergeCell ref="M5496:M5497"/>
    <mergeCell ref="N5496:N5497"/>
    <mergeCell ref="O5496:O5497"/>
    <mergeCell ref="X5496:X5497"/>
    <mergeCell ref="Y5496:Y5497"/>
    <mergeCell ref="Z5496:Z5497"/>
    <mergeCell ref="AA5496:AA5497"/>
    <mergeCell ref="AB5496:AB5497"/>
    <mergeCell ref="A5498:A5499"/>
    <mergeCell ref="E5498:E5499"/>
    <mergeCell ref="H5498:H5499"/>
    <mergeCell ref="I5498:I5499"/>
    <mergeCell ref="J5498:J5499"/>
    <mergeCell ref="K5498:K5499"/>
    <mergeCell ref="L5498:L5499"/>
    <mergeCell ref="M5498:M5499"/>
    <mergeCell ref="N5498:N5499"/>
    <mergeCell ref="O5498:O5499"/>
    <mergeCell ref="X5498:X5499"/>
    <mergeCell ref="Y5498:Y5499"/>
    <mergeCell ref="Z5498:Z5499"/>
    <mergeCell ref="AA5498:AA5499"/>
    <mergeCell ref="AB5498:AB5499"/>
    <mergeCell ref="A5500:A5501"/>
    <mergeCell ref="E5500:E5501"/>
    <mergeCell ref="H5500:H5501"/>
    <mergeCell ref="I5500:I5501"/>
    <mergeCell ref="J5500:J5501"/>
    <mergeCell ref="K5500:K5501"/>
    <mergeCell ref="L5500:L5501"/>
    <mergeCell ref="M5500:M5501"/>
    <mergeCell ref="N5500:N5501"/>
    <mergeCell ref="O5500:O5501"/>
    <mergeCell ref="X5500:X5501"/>
    <mergeCell ref="Y5500:Y5501"/>
    <mergeCell ref="Z5500:Z5501"/>
    <mergeCell ref="AA5500:AA5501"/>
    <mergeCell ref="AB5500:AB5501"/>
    <mergeCell ref="A5502:A5503"/>
    <mergeCell ref="E5502:E5503"/>
    <mergeCell ref="H5502:H5503"/>
    <mergeCell ref="I5502:I5503"/>
    <mergeCell ref="J5502:J5503"/>
    <mergeCell ref="K5502:K5503"/>
    <mergeCell ref="L5502:L5503"/>
    <mergeCell ref="M5502:M5503"/>
    <mergeCell ref="N5502:N5503"/>
    <mergeCell ref="O5502:O5503"/>
    <mergeCell ref="X5502:X5503"/>
    <mergeCell ref="Y5502:Y5503"/>
    <mergeCell ref="Z5502:Z5503"/>
    <mergeCell ref="AA5502:AA5503"/>
    <mergeCell ref="AB5502:AB5503"/>
    <mergeCell ref="A5504:A5505"/>
    <mergeCell ref="E5504:E5505"/>
    <mergeCell ref="H5504:H5505"/>
    <mergeCell ref="I5504:I5505"/>
    <mergeCell ref="J5504:J5505"/>
    <mergeCell ref="K5504:K5505"/>
    <mergeCell ref="L5504:L5505"/>
    <mergeCell ref="M5504:M5505"/>
    <mergeCell ref="N5504:N5505"/>
    <mergeCell ref="O5504:O5505"/>
    <mergeCell ref="X5504:X5505"/>
    <mergeCell ref="Y5504:Y5505"/>
    <mergeCell ref="Z5504:Z5505"/>
    <mergeCell ref="AA5504:AA5505"/>
    <mergeCell ref="AB5504:AB5505"/>
    <mergeCell ref="A5510:A5511"/>
    <mergeCell ref="E5510:E5511"/>
    <mergeCell ref="H5510:H5511"/>
    <mergeCell ref="I5510:I5511"/>
    <mergeCell ref="J5510:J5511"/>
    <mergeCell ref="K5510:K5511"/>
    <mergeCell ref="L5510:L5511"/>
    <mergeCell ref="M5510:M5511"/>
    <mergeCell ref="N5510:N5511"/>
    <mergeCell ref="O5510:O5511"/>
    <mergeCell ref="X5510:X5511"/>
    <mergeCell ref="Y5510:Y5511"/>
    <mergeCell ref="Z5510:Z5511"/>
    <mergeCell ref="AA5510:AA5511"/>
    <mergeCell ref="AB5510:AB5511"/>
    <mergeCell ref="A5506:A5507"/>
    <mergeCell ref="E5506:E5507"/>
    <mergeCell ref="H5506:H5507"/>
    <mergeCell ref="I5506:I5507"/>
    <mergeCell ref="J5506:J5507"/>
    <mergeCell ref="K5506:K5507"/>
    <mergeCell ref="L5506:L5507"/>
    <mergeCell ref="M5506:M5507"/>
    <mergeCell ref="N5506:N5507"/>
    <mergeCell ref="O5506:O5507"/>
    <mergeCell ref="X5506:X5507"/>
    <mergeCell ref="Y5506:Y5507"/>
    <mergeCell ref="Z5506:Z5507"/>
    <mergeCell ref="AA5506:AA5507"/>
    <mergeCell ref="AB5506:AB5507"/>
    <mergeCell ref="A5508:A5509"/>
    <mergeCell ref="E5508:E5509"/>
    <mergeCell ref="H5508:H5509"/>
    <mergeCell ref="I5508:I5509"/>
    <mergeCell ref="J5508:J5509"/>
    <mergeCell ref="K5508:K5509"/>
    <mergeCell ref="L5508:L5509"/>
    <mergeCell ref="M5508:M5509"/>
    <mergeCell ref="N5508:N5509"/>
    <mergeCell ref="O5508:O5509"/>
    <mergeCell ref="X5508:X5509"/>
    <mergeCell ref="Y5508:Y5509"/>
    <mergeCell ref="Z5508:Z5509"/>
    <mergeCell ref="AA5508:AA5509"/>
    <mergeCell ref="AB5508:AB5509"/>
    <mergeCell ref="A5512:A5513"/>
    <mergeCell ref="E5512:E5513"/>
    <mergeCell ref="H5512:H5513"/>
    <mergeCell ref="I5512:I5513"/>
    <mergeCell ref="J5512:J5513"/>
    <mergeCell ref="K5512:K5513"/>
    <mergeCell ref="L5512:L5513"/>
    <mergeCell ref="M5512:M5513"/>
    <mergeCell ref="N5512:N5513"/>
    <mergeCell ref="O5512:O5513"/>
    <mergeCell ref="X5512:X5513"/>
    <mergeCell ref="Y5512:Y5513"/>
    <mergeCell ref="Z5512:Z5513"/>
    <mergeCell ref="AA5512:AA5513"/>
    <mergeCell ref="AB5512:AB5513"/>
    <mergeCell ref="A5514:A5515"/>
    <mergeCell ref="E5514:E5515"/>
    <mergeCell ref="H5514:H5515"/>
    <mergeCell ref="I5514:I5515"/>
    <mergeCell ref="J5514:J5515"/>
    <mergeCell ref="K5514:K5515"/>
    <mergeCell ref="L5514:L5515"/>
    <mergeCell ref="M5514:M5515"/>
    <mergeCell ref="N5514:N5515"/>
    <mergeCell ref="O5514:O5515"/>
    <mergeCell ref="X5514:X5515"/>
    <mergeCell ref="Y5514:Y5515"/>
    <mergeCell ref="Z5514:Z5515"/>
    <mergeCell ref="AA5514:AA5515"/>
    <mergeCell ref="AB5514:AB5515"/>
    <mergeCell ref="A5516:A5517"/>
    <mergeCell ref="E5516:E5517"/>
    <mergeCell ref="H5516:H5517"/>
    <mergeCell ref="I5516:I5517"/>
    <mergeCell ref="J5516:J5517"/>
    <mergeCell ref="K5516:K5517"/>
    <mergeCell ref="L5516:L5517"/>
    <mergeCell ref="M5516:M5517"/>
    <mergeCell ref="N5516:N5517"/>
    <mergeCell ref="O5516:O5517"/>
    <mergeCell ref="X5516:X5517"/>
    <mergeCell ref="Y5516:Y5517"/>
    <mergeCell ref="Z5516:Z5517"/>
    <mergeCell ref="AA5516:AA5517"/>
    <mergeCell ref="AB5516:AB5517"/>
    <mergeCell ref="A5518:A5519"/>
    <mergeCell ref="E5518:E5519"/>
    <mergeCell ref="H5518:H5519"/>
    <mergeCell ref="I5518:I5519"/>
    <mergeCell ref="J5518:J5519"/>
    <mergeCell ref="K5518:K5519"/>
    <mergeCell ref="L5518:L5519"/>
    <mergeCell ref="M5518:M5519"/>
    <mergeCell ref="N5518:N5519"/>
    <mergeCell ref="O5518:O5519"/>
    <mergeCell ref="X5518:X5519"/>
    <mergeCell ref="Y5518:Y5519"/>
    <mergeCell ref="Z5518:Z5519"/>
    <mergeCell ref="AA5518:AA5519"/>
    <mergeCell ref="AB5518:AB5519"/>
    <mergeCell ref="A5520:A5521"/>
    <mergeCell ref="E5520:E5521"/>
    <mergeCell ref="H5520:H5521"/>
    <mergeCell ref="I5520:I5521"/>
    <mergeCell ref="J5520:J5521"/>
    <mergeCell ref="K5520:K5521"/>
    <mergeCell ref="L5520:L5521"/>
    <mergeCell ref="M5520:M5521"/>
    <mergeCell ref="N5520:N5521"/>
    <mergeCell ref="O5520:O5521"/>
    <mergeCell ref="X5520:X5521"/>
    <mergeCell ref="Y5520:Y5521"/>
    <mergeCell ref="Z5520:Z5521"/>
    <mergeCell ref="AA5520:AA5521"/>
    <mergeCell ref="AB5520:AB5521"/>
    <mergeCell ref="A5522:A5523"/>
    <mergeCell ref="E5522:E5523"/>
    <mergeCell ref="H5522:H5523"/>
    <mergeCell ref="I5522:I5523"/>
    <mergeCell ref="J5522:J5523"/>
    <mergeCell ref="K5522:K5523"/>
    <mergeCell ref="L5522:L5523"/>
    <mergeCell ref="M5522:M5523"/>
    <mergeCell ref="N5522:N5523"/>
    <mergeCell ref="O5522:O5523"/>
    <mergeCell ref="X5522:X5523"/>
    <mergeCell ref="Y5522:Y5523"/>
    <mergeCell ref="Z5522:Z5523"/>
    <mergeCell ref="AA5522:AA5523"/>
    <mergeCell ref="AB5522:AB5523"/>
    <mergeCell ref="A5524:A5525"/>
    <mergeCell ref="E5524:E5525"/>
    <mergeCell ref="H5524:H5525"/>
    <mergeCell ref="I5524:I5525"/>
    <mergeCell ref="J5524:J5525"/>
    <mergeCell ref="K5524:K5525"/>
    <mergeCell ref="L5524:L5525"/>
    <mergeCell ref="M5524:M5525"/>
    <mergeCell ref="N5524:N5525"/>
    <mergeCell ref="O5524:O5525"/>
    <mergeCell ref="X5524:X5525"/>
    <mergeCell ref="Y5524:Y5525"/>
    <mergeCell ref="Z5524:Z5525"/>
    <mergeCell ref="AA5524:AA5525"/>
    <mergeCell ref="AB5524:AB5525"/>
    <mergeCell ref="A5526:A5527"/>
    <mergeCell ref="E5526:E5527"/>
    <mergeCell ref="H5526:H5527"/>
    <mergeCell ref="I5526:I5527"/>
    <mergeCell ref="J5526:J5527"/>
    <mergeCell ref="K5526:K5527"/>
    <mergeCell ref="L5526:L5527"/>
    <mergeCell ref="M5526:M5527"/>
    <mergeCell ref="N5526:N5527"/>
    <mergeCell ref="O5526:O5527"/>
    <mergeCell ref="X5526:X5527"/>
    <mergeCell ref="Y5526:Y5527"/>
    <mergeCell ref="Z5526:Z5527"/>
    <mergeCell ref="AA5526:AA5527"/>
    <mergeCell ref="AB5526:AB5527"/>
    <mergeCell ref="A5528:A5529"/>
    <mergeCell ref="E5528:E5529"/>
    <mergeCell ref="H5528:H5529"/>
    <mergeCell ref="I5528:I5529"/>
    <mergeCell ref="J5528:J5529"/>
    <mergeCell ref="K5528:K5529"/>
    <mergeCell ref="L5528:L5529"/>
    <mergeCell ref="M5528:M5529"/>
    <mergeCell ref="N5528:N5529"/>
    <mergeCell ref="O5528:O5529"/>
    <mergeCell ref="X5528:X5529"/>
    <mergeCell ref="Y5528:Y5529"/>
    <mergeCell ref="Z5528:Z5529"/>
    <mergeCell ref="AA5528:AA5529"/>
    <mergeCell ref="AB5528:AB5529"/>
    <mergeCell ref="A5530:A5531"/>
    <mergeCell ref="E5530:E5531"/>
    <mergeCell ref="H5530:H5531"/>
    <mergeCell ref="I5530:I5531"/>
    <mergeCell ref="J5530:J5531"/>
    <mergeCell ref="K5530:K5531"/>
    <mergeCell ref="L5530:L5531"/>
    <mergeCell ref="M5530:M5531"/>
    <mergeCell ref="N5530:N5531"/>
    <mergeCell ref="O5530:O5531"/>
    <mergeCell ref="X5530:X5531"/>
    <mergeCell ref="Y5530:Y5531"/>
    <mergeCell ref="Z5530:Z5531"/>
    <mergeCell ref="AA5530:AA5531"/>
    <mergeCell ref="AB5530:AB5531"/>
    <mergeCell ref="A5532:A5533"/>
    <mergeCell ref="E5532:E5533"/>
    <mergeCell ref="H5532:H5533"/>
    <mergeCell ref="I5532:I5533"/>
    <mergeCell ref="J5532:J5533"/>
    <mergeCell ref="K5532:K5533"/>
    <mergeCell ref="L5532:L5533"/>
    <mergeCell ref="M5532:M5533"/>
    <mergeCell ref="N5532:N5533"/>
    <mergeCell ref="O5532:O5533"/>
    <mergeCell ref="X5532:X5533"/>
    <mergeCell ref="Y5532:Y5533"/>
    <mergeCell ref="Z5532:Z5533"/>
    <mergeCell ref="AA5532:AA5533"/>
    <mergeCell ref="AB5532:AB5533"/>
    <mergeCell ref="A5534:A5535"/>
    <mergeCell ref="E5534:E5535"/>
    <mergeCell ref="H5534:H5535"/>
    <mergeCell ref="I5534:I5535"/>
    <mergeCell ref="J5534:J5535"/>
    <mergeCell ref="K5534:K5535"/>
    <mergeCell ref="L5534:L5535"/>
    <mergeCell ref="M5534:M5535"/>
    <mergeCell ref="N5534:N5535"/>
    <mergeCell ref="O5534:O5535"/>
    <mergeCell ref="X5534:X5535"/>
    <mergeCell ref="Y5534:Y5535"/>
    <mergeCell ref="Z5534:Z5535"/>
    <mergeCell ref="AA5534:AA5535"/>
    <mergeCell ref="AB5534:AB5535"/>
    <mergeCell ref="A5536:A5537"/>
    <mergeCell ref="E5536:E5537"/>
    <mergeCell ref="H5536:H5537"/>
    <mergeCell ref="I5536:I5537"/>
    <mergeCell ref="J5536:J5537"/>
    <mergeCell ref="K5536:K5537"/>
    <mergeCell ref="L5536:L5537"/>
    <mergeCell ref="M5536:M5537"/>
    <mergeCell ref="N5536:N5537"/>
    <mergeCell ref="O5536:O5537"/>
    <mergeCell ref="X5536:X5537"/>
    <mergeCell ref="Y5536:Y5537"/>
    <mergeCell ref="Z5536:Z5537"/>
    <mergeCell ref="AA5536:AA5537"/>
    <mergeCell ref="AB5536:AB5537"/>
    <mergeCell ref="A5538:A5539"/>
    <mergeCell ref="E5538:E5539"/>
    <mergeCell ref="H5538:H5539"/>
    <mergeCell ref="I5538:I5539"/>
    <mergeCell ref="J5538:J5539"/>
    <mergeCell ref="K5538:K5539"/>
    <mergeCell ref="L5538:L5539"/>
    <mergeCell ref="M5538:M5539"/>
    <mergeCell ref="N5538:N5539"/>
    <mergeCell ref="O5538:O5539"/>
    <mergeCell ref="X5538:X5539"/>
    <mergeCell ref="Y5538:Y5539"/>
    <mergeCell ref="Z5538:Z5539"/>
    <mergeCell ref="AA5538:AA5539"/>
    <mergeCell ref="AB5538:AB5539"/>
    <mergeCell ref="A5540:A5541"/>
    <mergeCell ref="E5540:E5541"/>
    <mergeCell ref="H5540:H5541"/>
    <mergeCell ref="I5540:I5541"/>
    <mergeCell ref="J5540:J5541"/>
    <mergeCell ref="K5540:K5541"/>
    <mergeCell ref="L5540:L5541"/>
    <mergeCell ref="M5540:M5541"/>
    <mergeCell ref="N5540:N5541"/>
    <mergeCell ref="O5540:O5541"/>
    <mergeCell ref="X5540:X5541"/>
    <mergeCell ref="Y5540:Y5541"/>
    <mergeCell ref="Z5540:Z5541"/>
    <mergeCell ref="AA5540:AA5541"/>
    <mergeCell ref="AB5540:AB5541"/>
    <mergeCell ref="A5542:A5543"/>
    <mergeCell ref="E5542:E5543"/>
    <mergeCell ref="H5542:H5543"/>
    <mergeCell ref="I5542:I5543"/>
    <mergeCell ref="J5542:J5543"/>
    <mergeCell ref="K5542:K5543"/>
    <mergeCell ref="L5542:L5543"/>
    <mergeCell ref="M5542:M5543"/>
    <mergeCell ref="N5542:N5543"/>
    <mergeCell ref="O5542:O5543"/>
    <mergeCell ref="X5542:X5543"/>
    <mergeCell ref="Y5542:Y5543"/>
    <mergeCell ref="Z5542:Z5543"/>
    <mergeCell ref="AA5542:AA5543"/>
    <mergeCell ref="AB5542:AB5543"/>
    <mergeCell ref="A5544:A5545"/>
    <mergeCell ref="E5544:E5545"/>
    <mergeCell ref="H5544:H5545"/>
    <mergeCell ref="I5544:I5545"/>
    <mergeCell ref="J5544:J5545"/>
    <mergeCell ref="K5544:K5545"/>
    <mergeCell ref="L5544:L5545"/>
    <mergeCell ref="M5544:M5545"/>
    <mergeCell ref="N5544:N5545"/>
    <mergeCell ref="O5544:O5545"/>
    <mergeCell ref="X5544:X5545"/>
    <mergeCell ref="Y5544:Y5545"/>
    <mergeCell ref="Z5544:Z5545"/>
    <mergeCell ref="AA5544:AA5545"/>
    <mergeCell ref="AB5544:AB5545"/>
    <mergeCell ref="A5546:A5547"/>
    <mergeCell ref="E5546:E5547"/>
    <mergeCell ref="H5546:H5547"/>
    <mergeCell ref="I5546:I5547"/>
    <mergeCell ref="J5546:J5547"/>
    <mergeCell ref="K5546:K5547"/>
    <mergeCell ref="L5546:L5547"/>
    <mergeCell ref="M5546:M5547"/>
    <mergeCell ref="N5546:N5547"/>
    <mergeCell ref="O5546:O5547"/>
    <mergeCell ref="X5546:X5547"/>
    <mergeCell ref="Y5546:Y5547"/>
    <mergeCell ref="Z5546:Z5547"/>
    <mergeCell ref="AA5546:AA5547"/>
    <mergeCell ref="AB5546:AB5547"/>
    <mergeCell ref="A5628:A5629"/>
    <mergeCell ref="E5628:E5629"/>
    <mergeCell ref="H5628:H5629"/>
    <mergeCell ref="I5628:I5629"/>
    <mergeCell ref="J5628:J5629"/>
    <mergeCell ref="K5628:K5629"/>
    <mergeCell ref="L5628:L5629"/>
    <mergeCell ref="M5628:M5629"/>
    <mergeCell ref="N5628:N5629"/>
    <mergeCell ref="O5628:O5629"/>
    <mergeCell ref="X5628:X5629"/>
    <mergeCell ref="Y5628:Y5629"/>
    <mergeCell ref="Z5628:Z5629"/>
    <mergeCell ref="AA5628:AA5629"/>
    <mergeCell ref="AB5628:AB5629"/>
    <mergeCell ref="A5630:A5631"/>
    <mergeCell ref="E5630:E5631"/>
    <mergeCell ref="H5630:H5631"/>
    <mergeCell ref="I5630:I5631"/>
    <mergeCell ref="J5630:J5631"/>
    <mergeCell ref="K5630:K5631"/>
    <mergeCell ref="L5630:L5631"/>
    <mergeCell ref="M5630:M5631"/>
    <mergeCell ref="N5630:N5631"/>
    <mergeCell ref="O5630:O5631"/>
    <mergeCell ref="X5630:X5631"/>
    <mergeCell ref="Y5630:Y5631"/>
    <mergeCell ref="Z5630:Z5631"/>
    <mergeCell ref="AA5630:AA5631"/>
    <mergeCell ref="AB5630:AB5631"/>
    <mergeCell ref="A5548:A5549"/>
    <mergeCell ref="E5548:E5549"/>
    <mergeCell ref="H5548:H5549"/>
    <mergeCell ref="I5548:I5549"/>
    <mergeCell ref="J5548:J5549"/>
    <mergeCell ref="K5548:K5549"/>
    <mergeCell ref="L5548:L5549"/>
    <mergeCell ref="M5548:M5549"/>
    <mergeCell ref="N5548:N5549"/>
    <mergeCell ref="O5548:O5549"/>
    <mergeCell ref="X5548:X5549"/>
    <mergeCell ref="Y5548:Y5549"/>
    <mergeCell ref="Z5548:Z5549"/>
    <mergeCell ref="AA5548:AA5549"/>
    <mergeCell ref="AB5548:AB5549"/>
    <mergeCell ref="A5550:A5551"/>
    <mergeCell ref="E5550:E5551"/>
    <mergeCell ref="H5550:H5551"/>
    <mergeCell ref="I5550:I5551"/>
    <mergeCell ref="J5632:J5633"/>
    <mergeCell ref="K5632:K5633"/>
    <mergeCell ref="L5632:L5633"/>
    <mergeCell ref="M5632:M5633"/>
    <mergeCell ref="N5632:N5633"/>
    <mergeCell ref="O5632:O5633"/>
    <mergeCell ref="X5632:X5633"/>
    <mergeCell ref="Y5632:Y5633"/>
    <mergeCell ref="Z5632:Z5633"/>
    <mergeCell ref="AA5632:AA5633"/>
    <mergeCell ref="AB5632:AB5633"/>
    <mergeCell ref="A5634:A5635"/>
    <mergeCell ref="E5634:E5635"/>
    <mergeCell ref="H5634:H5635"/>
    <mergeCell ref="I5634:I5635"/>
    <mergeCell ref="J5634:J5635"/>
    <mergeCell ref="K5634:K5635"/>
    <mergeCell ref="L5634:L5635"/>
    <mergeCell ref="M5634:M5635"/>
    <mergeCell ref="N5634:N5635"/>
    <mergeCell ref="O5634:O5635"/>
    <mergeCell ref="X5634:X5635"/>
    <mergeCell ref="Y5634:Y5635"/>
    <mergeCell ref="Z5634:Z5635"/>
    <mergeCell ref="AA5634:AA5635"/>
    <mergeCell ref="AB5634:AB5635"/>
    <mergeCell ref="A5636:A5637"/>
    <mergeCell ref="E5636:E5637"/>
    <mergeCell ref="H5636:H5637"/>
    <mergeCell ref="I5636:I5637"/>
    <mergeCell ref="J5636:J5637"/>
    <mergeCell ref="K5636:K5637"/>
    <mergeCell ref="L5636:L5637"/>
    <mergeCell ref="M5636:M5637"/>
    <mergeCell ref="N5636:N5637"/>
    <mergeCell ref="O5636:O5637"/>
    <mergeCell ref="X5636:X5637"/>
    <mergeCell ref="Y5636:Y5637"/>
    <mergeCell ref="Z5636:Z5637"/>
    <mergeCell ref="AA5636:AA5637"/>
    <mergeCell ref="AB5636:AB5637"/>
    <mergeCell ref="A5638:A5639"/>
    <mergeCell ref="E5638:E5639"/>
    <mergeCell ref="H5638:H5639"/>
    <mergeCell ref="I5638:I5639"/>
    <mergeCell ref="J5638:J5639"/>
    <mergeCell ref="K5638:K5639"/>
    <mergeCell ref="L5638:L5639"/>
    <mergeCell ref="M5638:M5639"/>
    <mergeCell ref="N5638:N5639"/>
    <mergeCell ref="O5638:O5639"/>
    <mergeCell ref="X5638:X5639"/>
    <mergeCell ref="Y5638:Y5639"/>
    <mergeCell ref="Z5638:Z5639"/>
    <mergeCell ref="AA5638:AA5639"/>
    <mergeCell ref="AB5638:AB5639"/>
    <mergeCell ref="A5640:A5641"/>
    <mergeCell ref="E5640:E5641"/>
    <mergeCell ref="H5640:H5641"/>
    <mergeCell ref="I5640:I5641"/>
    <mergeCell ref="J5640:J5641"/>
    <mergeCell ref="K5640:K5641"/>
    <mergeCell ref="L5640:L5641"/>
    <mergeCell ref="M5640:M5641"/>
    <mergeCell ref="N5640:N5641"/>
    <mergeCell ref="O5640:O5641"/>
    <mergeCell ref="X5640:X5641"/>
    <mergeCell ref="Y5640:Y5641"/>
    <mergeCell ref="Z5640:Z5641"/>
    <mergeCell ref="AA5640:AA5641"/>
    <mergeCell ref="AB5640:AB5641"/>
    <mergeCell ref="A5642:A5643"/>
    <mergeCell ref="E5642:E5643"/>
    <mergeCell ref="H5642:H5643"/>
    <mergeCell ref="I5642:I5643"/>
    <mergeCell ref="J5642:J5643"/>
    <mergeCell ref="K5642:K5643"/>
    <mergeCell ref="L5642:L5643"/>
    <mergeCell ref="M5642:M5643"/>
    <mergeCell ref="N5642:N5643"/>
    <mergeCell ref="O5642:O5643"/>
    <mergeCell ref="X5642:X5643"/>
    <mergeCell ref="Y5642:Y5643"/>
    <mergeCell ref="Z5642:Z5643"/>
    <mergeCell ref="AA5642:AA5643"/>
    <mergeCell ref="AB5642:AB5643"/>
    <mergeCell ref="A5644:A5645"/>
    <mergeCell ref="E5644:E5645"/>
    <mergeCell ref="H5644:H5645"/>
    <mergeCell ref="I5644:I5645"/>
    <mergeCell ref="J5644:J5645"/>
    <mergeCell ref="K5644:K5645"/>
    <mergeCell ref="L5644:L5645"/>
    <mergeCell ref="M5644:M5645"/>
    <mergeCell ref="N5644:N5645"/>
    <mergeCell ref="O5644:O5645"/>
    <mergeCell ref="X5644:X5645"/>
    <mergeCell ref="Y5644:Y5645"/>
    <mergeCell ref="Z5644:Z5645"/>
    <mergeCell ref="AA5644:AA5645"/>
    <mergeCell ref="AB5644:AB5645"/>
    <mergeCell ref="A5646:A5647"/>
    <mergeCell ref="E5646:E5647"/>
    <mergeCell ref="H5646:H5647"/>
    <mergeCell ref="I5646:I5647"/>
    <mergeCell ref="J5646:J5647"/>
    <mergeCell ref="K5646:K5647"/>
    <mergeCell ref="L5646:L5647"/>
    <mergeCell ref="M5646:M5647"/>
    <mergeCell ref="N5646:N5647"/>
    <mergeCell ref="O5646:O5647"/>
    <mergeCell ref="X5646:X5647"/>
    <mergeCell ref="Y5646:Y5647"/>
    <mergeCell ref="Z5646:Z5647"/>
    <mergeCell ref="AA5646:AA5647"/>
    <mergeCell ref="AB5646:AB5647"/>
    <mergeCell ref="A5648:A5649"/>
    <mergeCell ref="E5648:E5649"/>
    <mergeCell ref="H5648:H5649"/>
    <mergeCell ref="I5648:I5649"/>
    <mergeCell ref="J5648:J5649"/>
    <mergeCell ref="K5648:K5649"/>
    <mergeCell ref="L5648:L5649"/>
    <mergeCell ref="M5648:M5649"/>
    <mergeCell ref="N5648:N5649"/>
    <mergeCell ref="O5648:O5649"/>
    <mergeCell ref="X5648:X5649"/>
    <mergeCell ref="Y5648:Y5649"/>
    <mergeCell ref="Z5648:Z5649"/>
    <mergeCell ref="AA5648:AA5649"/>
    <mergeCell ref="AB5648:AB5649"/>
    <mergeCell ref="A5650:A5651"/>
    <mergeCell ref="E5650:E5651"/>
    <mergeCell ref="H5650:H5651"/>
    <mergeCell ref="I5650:I5651"/>
    <mergeCell ref="J5650:J5651"/>
    <mergeCell ref="K5650:K5651"/>
    <mergeCell ref="L5650:L5651"/>
    <mergeCell ref="M5650:M5651"/>
    <mergeCell ref="N5650:N5651"/>
    <mergeCell ref="O5650:O5651"/>
    <mergeCell ref="X5650:X5651"/>
    <mergeCell ref="Y5650:Y5651"/>
    <mergeCell ref="Z5650:Z5651"/>
    <mergeCell ref="AA5650:AA5651"/>
    <mergeCell ref="AB5650:AB5651"/>
    <mergeCell ref="A5652:A5653"/>
    <mergeCell ref="E5652:E5653"/>
    <mergeCell ref="H5652:H5653"/>
    <mergeCell ref="I5652:I5653"/>
    <mergeCell ref="J5652:J5653"/>
    <mergeCell ref="K5652:K5653"/>
    <mergeCell ref="L5652:L5653"/>
    <mergeCell ref="M5652:M5653"/>
    <mergeCell ref="N5652:N5653"/>
    <mergeCell ref="O5652:O5653"/>
    <mergeCell ref="X5652:X5653"/>
    <mergeCell ref="Y5652:Y5653"/>
    <mergeCell ref="Z5652:Z5653"/>
    <mergeCell ref="AA5652:AA5653"/>
    <mergeCell ref="AB5652:AB5653"/>
    <mergeCell ref="A5654:A5655"/>
    <mergeCell ref="E5654:E5655"/>
    <mergeCell ref="H5654:H5655"/>
    <mergeCell ref="I5654:I5655"/>
    <mergeCell ref="J5654:J5655"/>
    <mergeCell ref="K5654:K5655"/>
    <mergeCell ref="L5654:L5655"/>
    <mergeCell ref="M5654:M5655"/>
    <mergeCell ref="N5654:N5655"/>
    <mergeCell ref="O5654:O5655"/>
    <mergeCell ref="X5654:X5655"/>
    <mergeCell ref="Y5654:Y5655"/>
    <mergeCell ref="Z5654:Z5655"/>
    <mergeCell ref="AA5654:AA5655"/>
    <mergeCell ref="AB5654:AB5655"/>
    <mergeCell ref="A5656:A5657"/>
    <mergeCell ref="E5656:E5657"/>
    <mergeCell ref="H5656:H5657"/>
    <mergeCell ref="I5656:I5657"/>
    <mergeCell ref="J5656:J5657"/>
    <mergeCell ref="K5656:K5657"/>
    <mergeCell ref="L5656:L5657"/>
    <mergeCell ref="M5656:M5657"/>
    <mergeCell ref="N5656:N5657"/>
    <mergeCell ref="O5656:O5657"/>
    <mergeCell ref="X5656:X5657"/>
    <mergeCell ref="Y5656:Y5657"/>
    <mergeCell ref="Z5656:Z5657"/>
    <mergeCell ref="AA5656:AA5657"/>
    <mergeCell ref="AB5656:AB5657"/>
    <mergeCell ref="A5658:A5659"/>
    <mergeCell ref="E5658:E5659"/>
    <mergeCell ref="H5658:H5659"/>
    <mergeCell ref="I5658:I5659"/>
    <mergeCell ref="J5658:J5659"/>
    <mergeCell ref="K5658:K5659"/>
    <mergeCell ref="L5658:L5659"/>
    <mergeCell ref="M5658:M5659"/>
    <mergeCell ref="N5658:N5659"/>
    <mergeCell ref="O5658:O5659"/>
    <mergeCell ref="X5658:X5659"/>
    <mergeCell ref="Y5658:Y5659"/>
    <mergeCell ref="Z5658:Z5659"/>
    <mergeCell ref="AA5658:AA5659"/>
    <mergeCell ref="AB5658:AB5659"/>
    <mergeCell ref="A5660:A5661"/>
    <mergeCell ref="E5660:E5661"/>
    <mergeCell ref="H5660:H5661"/>
    <mergeCell ref="I5660:I5661"/>
    <mergeCell ref="J5660:J5661"/>
    <mergeCell ref="K5660:K5661"/>
    <mergeCell ref="L5660:L5661"/>
    <mergeCell ref="M5660:M5661"/>
    <mergeCell ref="N5660:N5661"/>
    <mergeCell ref="O5660:O5661"/>
    <mergeCell ref="X5660:X5661"/>
    <mergeCell ref="Y5660:Y5661"/>
    <mergeCell ref="Z5660:Z5661"/>
    <mergeCell ref="AA5660:AA5661"/>
    <mergeCell ref="AB5660:AB5661"/>
    <mergeCell ref="A5662:A5663"/>
    <mergeCell ref="E5662:E5663"/>
    <mergeCell ref="H5662:H5663"/>
    <mergeCell ref="I5662:I5663"/>
    <mergeCell ref="J5662:J5663"/>
    <mergeCell ref="K5662:K5663"/>
    <mergeCell ref="L5662:L5663"/>
    <mergeCell ref="M5662:M5663"/>
    <mergeCell ref="N5662:N5663"/>
    <mergeCell ref="O5662:O5663"/>
    <mergeCell ref="X5662:X5663"/>
    <mergeCell ref="Y5662:Y5663"/>
    <mergeCell ref="Z5662:Z5663"/>
    <mergeCell ref="AA5662:AA5663"/>
    <mergeCell ref="AB5662:AB5663"/>
    <mergeCell ref="A5664:A5665"/>
    <mergeCell ref="E5664:E5665"/>
    <mergeCell ref="H5664:H5665"/>
    <mergeCell ref="I5664:I5665"/>
    <mergeCell ref="J5664:J5665"/>
    <mergeCell ref="K5664:K5665"/>
    <mergeCell ref="L5664:L5665"/>
    <mergeCell ref="M5664:M5665"/>
    <mergeCell ref="N5664:N5665"/>
    <mergeCell ref="O5664:O5665"/>
    <mergeCell ref="X5664:X5665"/>
    <mergeCell ref="Y5664:Y5665"/>
    <mergeCell ref="Z5664:Z5665"/>
    <mergeCell ref="AA5664:AA5665"/>
    <mergeCell ref="AB5664:AB5665"/>
    <mergeCell ref="A5666:A5667"/>
    <mergeCell ref="E5666:E5667"/>
    <mergeCell ref="H5666:H5667"/>
    <mergeCell ref="I5666:I5667"/>
    <mergeCell ref="J5666:J5667"/>
    <mergeCell ref="K5666:K5667"/>
    <mergeCell ref="L5666:L5667"/>
    <mergeCell ref="M5666:M5667"/>
    <mergeCell ref="N5666:N5667"/>
    <mergeCell ref="O5666:O5667"/>
    <mergeCell ref="X5666:X5667"/>
    <mergeCell ref="Y5666:Y5667"/>
    <mergeCell ref="Z5666:Z5667"/>
    <mergeCell ref="AA5666:AA5667"/>
    <mergeCell ref="AB5666:AB5667"/>
    <mergeCell ref="A5668:A5669"/>
    <mergeCell ref="E5668:E5669"/>
    <mergeCell ref="H5668:H5669"/>
    <mergeCell ref="I5668:I5669"/>
    <mergeCell ref="J5668:J5669"/>
    <mergeCell ref="K5668:K5669"/>
    <mergeCell ref="L5668:L5669"/>
    <mergeCell ref="M5668:M5669"/>
    <mergeCell ref="N5668:N5669"/>
    <mergeCell ref="O5668:O5669"/>
    <mergeCell ref="X5668:X5669"/>
    <mergeCell ref="Y5668:Y5669"/>
    <mergeCell ref="Z5668:Z5669"/>
    <mergeCell ref="AA5668:AA5669"/>
    <mergeCell ref="AB5668:AB5669"/>
    <mergeCell ref="A5670:A5671"/>
    <mergeCell ref="E5670:E5671"/>
    <mergeCell ref="H5670:H5671"/>
    <mergeCell ref="I5670:I5671"/>
    <mergeCell ref="J5670:J5671"/>
    <mergeCell ref="K5670:K5671"/>
    <mergeCell ref="L5670:L5671"/>
    <mergeCell ref="M5670:M5671"/>
    <mergeCell ref="N5670:N5671"/>
    <mergeCell ref="O5670:O5671"/>
    <mergeCell ref="X5670:X5671"/>
    <mergeCell ref="Y5670:Y5671"/>
    <mergeCell ref="Z5670:Z5671"/>
    <mergeCell ref="AA5670:AA5671"/>
    <mergeCell ref="AB5670:AB5671"/>
    <mergeCell ref="A5672:A5673"/>
    <mergeCell ref="E5672:E5673"/>
    <mergeCell ref="H5672:H5673"/>
    <mergeCell ref="I5672:I5673"/>
    <mergeCell ref="J5672:J5673"/>
    <mergeCell ref="K5672:K5673"/>
    <mergeCell ref="L5672:L5673"/>
    <mergeCell ref="M5672:M5673"/>
    <mergeCell ref="N5672:N5673"/>
    <mergeCell ref="O5672:O5673"/>
    <mergeCell ref="X5672:X5673"/>
    <mergeCell ref="Y5672:Y5673"/>
    <mergeCell ref="Z5672:Z5673"/>
    <mergeCell ref="AA5672:AA5673"/>
    <mergeCell ref="AB5672:AB5673"/>
    <mergeCell ref="A5674:A5675"/>
    <mergeCell ref="E5674:E5675"/>
    <mergeCell ref="H5674:H5675"/>
    <mergeCell ref="I5674:I5675"/>
    <mergeCell ref="J5674:J5675"/>
    <mergeCell ref="K5674:K5675"/>
    <mergeCell ref="L5674:L5675"/>
    <mergeCell ref="M5674:M5675"/>
    <mergeCell ref="N5674:N5675"/>
    <mergeCell ref="O5674:O5675"/>
    <mergeCell ref="X5674:X5675"/>
    <mergeCell ref="Y5674:Y5675"/>
    <mergeCell ref="Z5674:Z5675"/>
    <mergeCell ref="AA5674:AA5675"/>
    <mergeCell ref="AB5674:AB5675"/>
    <mergeCell ref="A5676:A5677"/>
    <mergeCell ref="E5676:E5677"/>
    <mergeCell ref="H5676:H5677"/>
    <mergeCell ref="I5676:I5677"/>
    <mergeCell ref="J5676:J5677"/>
    <mergeCell ref="K5676:K5677"/>
    <mergeCell ref="L5676:L5677"/>
    <mergeCell ref="M5676:M5677"/>
    <mergeCell ref="N5676:N5677"/>
    <mergeCell ref="O5676:O5677"/>
    <mergeCell ref="X5676:X5677"/>
    <mergeCell ref="Y5676:Y5677"/>
    <mergeCell ref="Z5676:Z5677"/>
    <mergeCell ref="AA5676:AA5677"/>
    <mergeCell ref="AB5676:AB5677"/>
    <mergeCell ref="A5678:A5679"/>
    <mergeCell ref="E5678:E5679"/>
    <mergeCell ref="H5678:H5679"/>
    <mergeCell ref="I5678:I5679"/>
    <mergeCell ref="J5678:J5679"/>
    <mergeCell ref="K5678:K5679"/>
    <mergeCell ref="L5678:L5679"/>
    <mergeCell ref="M5678:M5679"/>
    <mergeCell ref="N5678:N5679"/>
    <mergeCell ref="O5678:O5679"/>
    <mergeCell ref="X5678:X5679"/>
    <mergeCell ref="Y5678:Y5679"/>
    <mergeCell ref="Z5678:Z5679"/>
    <mergeCell ref="AA5678:AA5679"/>
    <mergeCell ref="AB5678:AB5679"/>
    <mergeCell ref="A5680:A5681"/>
    <mergeCell ref="E5680:E5681"/>
    <mergeCell ref="H5680:H5681"/>
    <mergeCell ref="I5680:I5681"/>
    <mergeCell ref="J5680:J5681"/>
    <mergeCell ref="K5680:K5681"/>
    <mergeCell ref="L5680:L5681"/>
    <mergeCell ref="M5680:M5681"/>
    <mergeCell ref="N5680:N5681"/>
    <mergeCell ref="O5680:O5681"/>
    <mergeCell ref="X5680:X5681"/>
    <mergeCell ref="Y5680:Y5681"/>
    <mergeCell ref="Z5680:Z5681"/>
    <mergeCell ref="AA5680:AA5681"/>
    <mergeCell ref="AB5680:AB5681"/>
    <mergeCell ref="A5682:A5683"/>
    <mergeCell ref="E5682:E5683"/>
    <mergeCell ref="H5682:H5683"/>
    <mergeCell ref="I5682:I5683"/>
    <mergeCell ref="J5682:J5683"/>
    <mergeCell ref="K5682:K5683"/>
    <mergeCell ref="L5682:L5683"/>
    <mergeCell ref="M5682:M5683"/>
    <mergeCell ref="N5682:N5683"/>
    <mergeCell ref="O5682:O5683"/>
    <mergeCell ref="X5682:X5683"/>
    <mergeCell ref="Y5682:Y5683"/>
    <mergeCell ref="Z5682:Z5683"/>
    <mergeCell ref="AA5682:AA5683"/>
    <mergeCell ref="AB5682:AB5683"/>
    <mergeCell ref="A5684:A5685"/>
    <mergeCell ref="E5684:E5685"/>
    <mergeCell ref="H5684:H5685"/>
    <mergeCell ref="I5684:I5685"/>
    <mergeCell ref="J5684:J5685"/>
    <mergeCell ref="K5684:K5685"/>
    <mergeCell ref="L5684:L5685"/>
    <mergeCell ref="M5684:M5685"/>
    <mergeCell ref="N5684:N5685"/>
    <mergeCell ref="O5684:O5685"/>
    <mergeCell ref="X5684:X5685"/>
    <mergeCell ref="Y5684:Y5685"/>
    <mergeCell ref="Z5684:Z5685"/>
    <mergeCell ref="AA5684:AA5685"/>
    <mergeCell ref="AB5684:AB5685"/>
    <mergeCell ref="A5686:A5687"/>
    <mergeCell ref="E5686:E5687"/>
    <mergeCell ref="H5686:H5687"/>
    <mergeCell ref="I5686:I5687"/>
    <mergeCell ref="J5686:J5687"/>
    <mergeCell ref="K5686:K5687"/>
    <mergeCell ref="L5686:L5687"/>
    <mergeCell ref="M5686:M5687"/>
    <mergeCell ref="N5686:N5687"/>
    <mergeCell ref="O5686:O5687"/>
    <mergeCell ref="X5686:X5687"/>
    <mergeCell ref="Y5686:Y5687"/>
    <mergeCell ref="Z5686:Z5687"/>
    <mergeCell ref="AA5686:AA5687"/>
    <mergeCell ref="AB5686:AB5687"/>
    <mergeCell ref="A5688:A5689"/>
    <mergeCell ref="E5688:E5689"/>
    <mergeCell ref="H5688:H5689"/>
    <mergeCell ref="I5688:I5689"/>
    <mergeCell ref="J5688:J5689"/>
    <mergeCell ref="K5688:K5689"/>
    <mergeCell ref="L5688:L5689"/>
    <mergeCell ref="M5688:M5689"/>
    <mergeCell ref="N5688:N5689"/>
    <mergeCell ref="O5688:O5689"/>
    <mergeCell ref="X5688:X5689"/>
    <mergeCell ref="Y5688:Y5689"/>
    <mergeCell ref="Z5688:Z5689"/>
    <mergeCell ref="AA5688:AA5689"/>
    <mergeCell ref="AB5688:AB5689"/>
    <mergeCell ref="A5690:A5691"/>
    <mergeCell ref="E5690:E5691"/>
    <mergeCell ref="H5690:H5691"/>
    <mergeCell ref="I5690:I5691"/>
    <mergeCell ref="J5690:J5691"/>
    <mergeCell ref="K5690:K5691"/>
    <mergeCell ref="L5690:L5691"/>
    <mergeCell ref="M5690:M5691"/>
    <mergeCell ref="N5690:N5691"/>
    <mergeCell ref="O5690:O5691"/>
    <mergeCell ref="X5690:X5691"/>
    <mergeCell ref="Y5690:Y5691"/>
    <mergeCell ref="Z5690:Z5691"/>
    <mergeCell ref="AA5690:AA5691"/>
    <mergeCell ref="AB5690:AB5691"/>
    <mergeCell ref="A5692:A5693"/>
    <mergeCell ref="E5692:E5693"/>
    <mergeCell ref="H5692:H5693"/>
    <mergeCell ref="I5692:I5693"/>
    <mergeCell ref="J5692:J5693"/>
    <mergeCell ref="K5692:K5693"/>
    <mergeCell ref="L5692:L5693"/>
    <mergeCell ref="M5692:M5693"/>
    <mergeCell ref="N5692:N5693"/>
    <mergeCell ref="O5692:O5693"/>
    <mergeCell ref="X5692:X5693"/>
    <mergeCell ref="Y5692:Y5693"/>
    <mergeCell ref="Z5692:Z5693"/>
    <mergeCell ref="AA5692:AA5693"/>
    <mergeCell ref="AB5692:AB5693"/>
    <mergeCell ref="A5694:A5695"/>
    <mergeCell ref="E5694:E5695"/>
    <mergeCell ref="H5694:H5695"/>
    <mergeCell ref="I5694:I5695"/>
    <mergeCell ref="J5694:J5695"/>
    <mergeCell ref="K5694:K5695"/>
    <mergeCell ref="L5694:L5695"/>
    <mergeCell ref="M5694:M5695"/>
    <mergeCell ref="N5694:N5695"/>
    <mergeCell ref="O5694:O5695"/>
    <mergeCell ref="X5694:X5695"/>
    <mergeCell ref="Y5694:Y5695"/>
    <mergeCell ref="Z5694:Z5695"/>
    <mergeCell ref="AA5694:AA5695"/>
    <mergeCell ref="AB5694:AB5695"/>
    <mergeCell ref="A5696:A5697"/>
    <mergeCell ref="E5696:E5697"/>
    <mergeCell ref="H5696:H5697"/>
    <mergeCell ref="I5696:I5697"/>
    <mergeCell ref="J5696:J5697"/>
    <mergeCell ref="K5696:K5697"/>
    <mergeCell ref="L5696:L5697"/>
    <mergeCell ref="M5696:M5697"/>
    <mergeCell ref="N5696:N5697"/>
    <mergeCell ref="O5696:O5697"/>
    <mergeCell ref="X5696:X5697"/>
    <mergeCell ref="Y5696:Y5697"/>
    <mergeCell ref="Z5696:Z5697"/>
    <mergeCell ref="AA5696:AA5697"/>
    <mergeCell ref="AB5696:AB5697"/>
    <mergeCell ref="A5698:A5699"/>
    <mergeCell ref="E5698:E5699"/>
    <mergeCell ref="H5698:H5699"/>
    <mergeCell ref="I5698:I5699"/>
    <mergeCell ref="J5698:J5699"/>
    <mergeCell ref="K5698:K5699"/>
    <mergeCell ref="L5698:L5699"/>
    <mergeCell ref="M5698:M5699"/>
    <mergeCell ref="N5698:N5699"/>
    <mergeCell ref="O5698:O5699"/>
    <mergeCell ref="X5698:X5699"/>
    <mergeCell ref="Y5698:Y5699"/>
    <mergeCell ref="Z5698:Z5699"/>
    <mergeCell ref="AA5698:AA5699"/>
    <mergeCell ref="AB5698:AB5699"/>
    <mergeCell ref="A5700:A5701"/>
    <mergeCell ref="E5700:E5701"/>
    <mergeCell ref="H5700:H5701"/>
    <mergeCell ref="I5700:I5701"/>
    <mergeCell ref="J5700:J5701"/>
    <mergeCell ref="K5700:K5701"/>
    <mergeCell ref="L5700:L5701"/>
    <mergeCell ref="M5700:M5701"/>
    <mergeCell ref="N5700:N5701"/>
    <mergeCell ref="O5700:O5701"/>
    <mergeCell ref="X5700:X5701"/>
    <mergeCell ref="Y5700:Y5701"/>
    <mergeCell ref="Z5700:Z5701"/>
    <mergeCell ref="AA5700:AA5701"/>
    <mergeCell ref="AB5700:AB5701"/>
    <mergeCell ref="A5702:A5703"/>
    <mergeCell ref="E5702:E5703"/>
    <mergeCell ref="H5702:H5703"/>
    <mergeCell ref="I5702:I5703"/>
    <mergeCell ref="J5702:J5703"/>
    <mergeCell ref="K5702:K5703"/>
    <mergeCell ref="L5702:L5703"/>
    <mergeCell ref="M5702:M5703"/>
    <mergeCell ref="N5702:N5703"/>
    <mergeCell ref="O5702:O5703"/>
    <mergeCell ref="X5702:X5703"/>
    <mergeCell ref="Y5702:Y5703"/>
    <mergeCell ref="Z5702:Z5703"/>
    <mergeCell ref="AA5702:AA5703"/>
    <mergeCell ref="AB5702:AB5703"/>
    <mergeCell ref="A5704:A5705"/>
    <mergeCell ref="E5704:E5705"/>
    <mergeCell ref="H5704:H5705"/>
    <mergeCell ref="I5704:I5705"/>
    <mergeCell ref="J5704:J5705"/>
    <mergeCell ref="K5704:K5705"/>
    <mergeCell ref="L5704:L5705"/>
    <mergeCell ref="M5704:M5705"/>
    <mergeCell ref="N5704:N5705"/>
    <mergeCell ref="O5704:O5705"/>
    <mergeCell ref="X5704:X5705"/>
    <mergeCell ref="Y5704:Y5705"/>
    <mergeCell ref="Z5704:Z5705"/>
    <mergeCell ref="AA5704:AA5705"/>
    <mergeCell ref="AB5704:AB5705"/>
    <mergeCell ref="A5706:A5707"/>
    <mergeCell ref="E5706:E5707"/>
    <mergeCell ref="H5706:H5707"/>
    <mergeCell ref="I5706:I5707"/>
    <mergeCell ref="J5706:J5707"/>
    <mergeCell ref="K5706:K5707"/>
    <mergeCell ref="L5706:L5707"/>
    <mergeCell ref="M5706:M5707"/>
    <mergeCell ref="N5706:N5707"/>
    <mergeCell ref="O5706:O5707"/>
    <mergeCell ref="X5706:X5707"/>
    <mergeCell ref="Y5706:Y5707"/>
    <mergeCell ref="Z5706:Z5707"/>
    <mergeCell ref="AA5706:AA5707"/>
    <mergeCell ref="AB5706:AB5707"/>
    <mergeCell ref="A5708:A5709"/>
    <mergeCell ref="E5708:E5709"/>
    <mergeCell ref="H5708:H5709"/>
    <mergeCell ref="I5708:I5709"/>
    <mergeCell ref="J5708:J5709"/>
    <mergeCell ref="K5708:K5709"/>
    <mergeCell ref="L5708:L5709"/>
    <mergeCell ref="M5708:M5709"/>
    <mergeCell ref="N5708:N5709"/>
    <mergeCell ref="O5708:O5709"/>
    <mergeCell ref="X5708:X5709"/>
    <mergeCell ref="Y5708:Y5709"/>
    <mergeCell ref="Z5708:Z5709"/>
    <mergeCell ref="AA5708:AA5709"/>
    <mergeCell ref="AB5708:AB5709"/>
    <mergeCell ref="A5710:A5711"/>
    <mergeCell ref="E5710:E5711"/>
    <mergeCell ref="H5710:H5711"/>
    <mergeCell ref="I5710:I5711"/>
    <mergeCell ref="J5710:J5711"/>
    <mergeCell ref="K5710:K5711"/>
    <mergeCell ref="L5710:L5711"/>
    <mergeCell ref="M5710:M5711"/>
    <mergeCell ref="N5710:N5711"/>
    <mergeCell ref="O5710:O5711"/>
    <mergeCell ref="X5710:X5711"/>
    <mergeCell ref="Y5710:Y5711"/>
    <mergeCell ref="Z5710:Z5711"/>
    <mergeCell ref="AA5710:AA5711"/>
    <mergeCell ref="AB5710:AB5711"/>
    <mergeCell ref="A5712:A5713"/>
    <mergeCell ref="E5712:E5713"/>
    <mergeCell ref="H5712:H5713"/>
    <mergeCell ref="I5712:I5713"/>
    <mergeCell ref="J5712:J5713"/>
    <mergeCell ref="K5712:K5713"/>
    <mergeCell ref="L5712:L5713"/>
    <mergeCell ref="M5712:M5713"/>
    <mergeCell ref="N5712:N5713"/>
    <mergeCell ref="O5712:O5713"/>
    <mergeCell ref="X5712:X5713"/>
    <mergeCell ref="Y5712:Y5713"/>
    <mergeCell ref="Z5712:Z5713"/>
    <mergeCell ref="AA5712:AA5713"/>
    <mergeCell ref="AB5712:AB5713"/>
    <mergeCell ref="A5714:A5715"/>
    <mergeCell ref="E5714:E5715"/>
    <mergeCell ref="H5714:H5715"/>
    <mergeCell ref="I5714:I5715"/>
    <mergeCell ref="J5714:J5715"/>
    <mergeCell ref="K5714:K5715"/>
    <mergeCell ref="L5714:L5715"/>
    <mergeCell ref="M5714:M5715"/>
    <mergeCell ref="N5714:N5715"/>
    <mergeCell ref="O5714:O5715"/>
    <mergeCell ref="X5714:X5715"/>
    <mergeCell ref="Y5714:Y5715"/>
    <mergeCell ref="Z5714:Z5715"/>
    <mergeCell ref="AA5714:AA5715"/>
    <mergeCell ref="AB5714:AB5715"/>
    <mergeCell ref="A5716:A5717"/>
    <mergeCell ref="E5716:E5717"/>
    <mergeCell ref="H5716:H5717"/>
    <mergeCell ref="I5716:I5717"/>
    <mergeCell ref="J5716:J5717"/>
    <mergeCell ref="K5716:K5717"/>
    <mergeCell ref="L5716:L5717"/>
    <mergeCell ref="M5716:M5717"/>
    <mergeCell ref="N5716:N5717"/>
    <mergeCell ref="O5716:O5717"/>
    <mergeCell ref="X5716:X5717"/>
    <mergeCell ref="Y5716:Y5717"/>
    <mergeCell ref="Z5716:Z5717"/>
    <mergeCell ref="AA5716:AA5717"/>
    <mergeCell ref="AB5716:AB5717"/>
    <mergeCell ref="A5718:A5719"/>
    <mergeCell ref="E5718:E5719"/>
    <mergeCell ref="H5718:H5719"/>
    <mergeCell ref="I5718:I5719"/>
    <mergeCell ref="J5718:J5719"/>
    <mergeCell ref="K5718:K5719"/>
    <mergeCell ref="L5718:L5719"/>
    <mergeCell ref="M5718:M5719"/>
    <mergeCell ref="N5718:N5719"/>
    <mergeCell ref="O5718:O5719"/>
    <mergeCell ref="X5718:X5719"/>
    <mergeCell ref="Y5718:Y5719"/>
    <mergeCell ref="Z5718:Z5719"/>
    <mergeCell ref="AA5718:AA5719"/>
    <mergeCell ref="AB5718:AB5719"/>
    <mergeCell ref="A5720:A5721"/>
    <mergeCell ref="E5720:E5721"/>
    <mergeCell ref="H5720:H5721"/>
    <mergeCell ref="I5720:I5721"/>
    <mergeCell ref="J5720:J5721"/>
    <mergeCell ref="K5720:K5721"/>
    <mergeCell ref="L5720:L5721"/>
    <mergeCell ref="M5720:M5721"/>
    <mergeCell ref="N5720:N5721"/>
    <mergeCell ref="O5720:O5721"/>
    <mergeCell ref="X5720:X5721"/>
    <mergeCell ref="Y5720:Y5721"/>
    <mergeCell ref="Z5720:Z5721"/>
    <mergeCell ref="AA5720:AA5721"/>
    <mergeCell ref="AB5720:AB5721"/>
    <mergeCell ref="A5722:A5723"/>
    <mergeCell ref="E5722:E5723"/>
    <mergeCell ref="H5722:H5723"/>
    <mergeCell ref="I5722:I5723"/>
    <mergeCell ref="J5722:J5723"/>
    <mergeCell ref="K5722:K5723"/>
    <mergeCell ref="L5722:L5723"/>
    <mergeCell ref="M5722:M5723"/>
    <mergeCell ref="N5722:N5723"/>
    <mergeCell ref="O5722:O5723"/>
    <mergeCell ref="X5722:X5723"/>
    <mergeCell ref="Y5722:Y5723"/>
    <mergeCell ref="Z5722:Z5723"/>
    <mergeCell ref="AA5722:AA5723"/>
    <mergeCell ref="AB5722:AB5723"/>
    <mergeCell ref="A5724:A5725"/>
    <mergeCell ref="E5724:E5725"/>
    <mergeCell ref="H5724:H5725"/>
    <mergeCell ref="I5724:I5725"/>
    <mergeCell ref="J5724:J5725"/>
    <mergeCell ref="K5724:K5725"/>
    <mergeCell ref="L5724:L5725"/>
    <mergeCell ref="M5724:M5725"/>
    <mergeCell ref="N5724:N5725"/>
    <mergeCell ref="O5724:O5725"/>
    <mergeCell ref="X5724:X5725"/>
    <mergeCell ref="Y5724:Y5725"/>
    <mergeCell ref="Z5724:Z5725"/>
    <mergeCell ref="AA5724:AA5725"/>
    <mergeCell ref="AB5724:AB5725"/>
    <mergeCell ref="A5726:A5727"/>
    <mergeCell ref="E5726:E5727"/>
    <mergeCell ref="H5726:H5727"/>
    <mergeCell ref="I5726:I5727"/>
    <mergeCell ref="J5726:J5727"/>
    <mergeCell ref="K5726:K5727"/>
    <mergeCell ref="L5726:L5727"/>
    <mergeCell ref="M5726:M5727"/>
    <mergeCell ref="N5726:N5727"/>
    <mergeCell ref="O5726:O5727"/>
    <mergeCell ref="X5726:X5727"/>
    <mergeCell ref="Y5726:Y5727"/>
    <mergeCell ref="Z5726:Z5727"/>
    <mergeCell ref="AA5726:AA5727"/>
    <mergeCell ref="AB5726:AB5727"/>
    <mergeCell ref="A5728:A5729"/>
    <mergeCell ref="E5728:E5729"/>
    <mergeCell ref="H5728:H5729"/>
    <mergeCell ref="I5728:I5729"/>
    <mergeCell ref="J5728:J5729"/>
    <mergeCell ref="K5728:K5729"/>
    <mergeCell ref="L5728:L5729"/>
    <mergeCell ref="M5728:M5729"/>
    <mergeCell ref="N5728:N5729"/>
    <mergeCell ref="O5728:O5729"/>
    <mergeCell ref="X5728:X5729"/>
    <mergeCell ref="Y5728:Y5729"/>
    <mergeCell ref="Z5728:Z5729"/>
    <mergeCell ref="AA5728:AA5729"/>
    <mergeCell ref="AB5728:AB5729"/>
    <mergeCell ref="A5730:A5731"/>
    <mergeCell ref="E5730:E5731"/>
    <mergeCell ref="H5730:H5731"/>
    <mergeCell ref="I5730:I5731"/>
    <mergeCell ref="J5730:J5731"/>
    <mergeCell ref="K5730:K5731"/>
    <mergeCell ref="L5730:L5731"/>
    <mergeCell ref="M5730:M5731"/>
    <mergeCell ref="N5730:N5731"/>
    <mergeCell ref="O5730:O5731"/>
    <mergeCell ref="X5730:X5731"/>
    <mergeCell ref="Y5730:Y5731"/>
    <mergeCell ref="Z5730:Z5731"/>
    <mergeCell ref="AA5730:AA5731"/>
    <mergeCell ref="AB5730:AB5731"/>
    <mergeCell ref="A5732:A5733"/>
    <mergeCell ref="E5732:E5733"/>
    <mergeCell ref="H5732:H5733"/>
    <mergeCell ref="I5732:I5733"/>
    <mergeCell ref="J5732:J5733"/>
    <mergeCell ref="K5732:K5733"/>
    <mergeCell ref="L5732:L5733"/>
    <mergeCell ref="M5732:M5733"/>
    <mergeCell ref="N5732:N5733"/>
    <mergeCell ref="O5732:O5733"/>
    <mergeCell ref="X5732:X5733"/>
    <mergeCell ref="Y5732:Y5733"/>
    <mergeCell ref="Z5732:Z5733"/>
    <mergeCell ref="AA5732:AA5733"/>
    <mergeCell ref="AB5732:AB5733"/>
    <mergeCell ref="A5734:A5735"/>
    <mergeCell ref="E5734:E5735"/>
    <mergeCell ref="H5734:H5735"/>
    <mergeCell ref="I5734:I5735"/>
    <mergeCell ref="J5734:J5735"/>
    <mergeCell ref="K5734:K5735"/>
    <mergeCell ref="L5734:L5735"/>
    <mergeCell ref="M5734:M5735"/>
    <mergeCell ref="N5734:N5735"/>
    <mergeCell ref="O5734:O5735"/>
    <mergeCell ref="X5734:X5735"/>
    <mergeCell ref="Y5734:Y5735"/>
    <mergeCell ref="Z5734:Z5735"/>
    <mergeCell ref="AA5734:AA5735"/>
    <mergeCell ref="AB5734:AB5735"/>
    <mergeCell ref="A5736:A5737"/>
    <mergeCell ref="E5736:E5737"/>
    <mergeCell ref="H5736:H5737"/>
    <mergeCell ref="I5736:I5737"/>
    <mergeCell ref="J5736:J5737"/>
    <mergeCell ref="K5736:K5737"/>
    <mergeCell ref="L5736:L5737"/>
    <mergeCell ref="M5736:M5737"/>
    <mergeCell ref="N5736:N5737"/>
    <mergeCell ref="O5736:O5737"/>
    <mergeCell ref="X5736:X5737"/>
    <mergeCell ref="Y5736:Y5737"/>
    <mergeCell ref="Z5736:Z5737"/>
    <mergeCell ref="AA5736:AA5737"/>
    <mergeCell ref="AB5736:AB5737"/>
    <mergeCell ref="A5738:A5739"/>
    <mergeCell ref="E5738:E5739"/>
    <mergeCell ref="H5738:H5739"/>
    <mergeCell ref="I5738:I5739"/>
    <mergeCell ref="J5738:J5739"/>
    <mergeCell ref="K5738:K5739"/>
    <mergeCell ref="L5738:L5739"/>
    <mergeCell ref="M5738:M5739"/>
    <mergeCell ref="N5738:N5739"/>
    <mergeCell ref="O5738:O5739"/>
    <mergeCell ref="X5738:X5739"/>
    <mergeCell ref="Y5738:Y5739"/>
    <mergeCell ref="Z5738:Z5739"/>
    <mergeCell ref="AA5738:AA5739"/>
    <mergeCell ref="AB5738:AB5739"/>
    <mergeCell ref="A5740:A5741"/>
    <mergeCell ref="E5740:E5741"/>
    <mergeCell ref="H5740:H5741"/>
    <mergeCell ref="I5740:I5741"/>
    <mergeCell ref="J5740:J5741"/>
    <mergeCell ref="K5740:K5741"/>
    <mergeCell ref="L5740:L5741"/>
    <mergeCell ref="M5740:M5741"/>
    <mergeCell ref="N5740:N5741"/>
    <mergeCell ref="O5740:O5741"/>
    <mergeCell ref="X5740:X5741"/>
    <mergeCell ref="Y5740:Y5741"/>
    <mergeCell ref="Z5740:Z5741"/>
    <mergeCell ref="AA5740:AA5741"/>
    <mergeCell ref="AB5740:AB5741"/>
    <mergeCell ref="A5742:A5743"/>
    <mergeCell ref="E5742:E5743"/>
    <mergeCell ref="H5742:H5743"/>
    <mergeCell ref="I5742:I5743"/>
    <mergeCell ref="J5742:J5743"/>
    <mergeCell ref="K5742:K5743"/>
    <mergeCell ref="L5742:L5743"/>
    <mergeCell ref="M5742:M5743"/>
    <mergeCell ref="N5742:N5743"/>
    <mergeCell ref="O5742:O5743"/>
    <mergeCell ref="X5742:X5743"/>
    <mergeCell ref="Y5742:Y5743"/>
    <mergeCell ref="Z5742:Z5743"/>
    <mergeCell ref="AA5742:AA5743"/>
    <mergeCell ref="AB5742:AB5743"/>
    <mergeCell ref="A5744:A5745"/>
    <mergeCell ref="E5744:E5745"/>
    <mergeCell ref="H5744:H5745"/>
    <mergeCell ref="I5744:I5745"/>
    <mergeCell ref="J5744:J5745"/>
    <mergeCell ref="K5744:K5745"/>
    <mergeCell ref="L5744:L5745"/>
    <mergeCell ref="M5744:M5745"/>
    <mergeCell ref="N5744:N5745"/>
    <mergeCell ref="O5744:O5745"/>
    <mergeCell ref="X5744:X5745"/>
    <mergeCell ref="Y5744:Y5745"/>
    <mergeCell ref="Z5744:Z5745"/>
    <mergeCell ref="AA5744:AA5745"/>
    <mergeCell ref="AB5744:AB5745"/>
    <mergeCell ref="A5746:A5747"/>
    <mergeCell ref="E5746:E5747"/>
    <mergeCell ref="H5746:H5747"/>
    <mergeCell ref="I5746:I5747"/>
    <mergeCell ref="J5746:J5747"/>
    <mergeCell ref="K5746:K5747"/>
    <mergeCell ref="L5746:L5747"/>
    <mergeCell ref="M5746:M5747"/>
    <mergeCell ref="N5746:N5747"/>
    <mergeCell ref="O5746:O5747"/>
    <mergeCell ref="X5746:X5747"/>
    <mergeCell ref="Y5746:Y5747"/>
    <mergeCell ref="Z5746:Z5747"/>
    <mergeCell ref="AA5746:AA5747"/>
    <mergeCell ref="AB5746:AB5747"/>
    <mergeCell ref="A5750:A5751"/>
    <mergeCell ref="E5750:E5751"/>
    <mergeCell ref="H5750:H5751"/>
    <mergeCell ref="I5750:I5751"/>
    <mergeCell ref="J5750:J5751"/>
    <mergeCell ref="K5750:K5751"/>
    <mergeCell ref="L5750:L5751"/>
    <mergeCell ref="M5750:M5751"/>
    <mergeCell ref="N5750:N5751"/>
    <mergeCell ref="O5750:O5751"/>
    <mergeCell ref="X5750:X5751"/>
    <mergeCell ref="Y5750:Y5751"/>
    <mergeCell ref="Z5750:Z5751"/>
    <mergeCell ref="AA5750:AA5751"/>
    <mergeCell ref="AB5750:AB5751"/>
    <mergeCell ref="A5752:A5753"/>
    <mergeCell ref="E5752:E5753"/>
    <mergeCell ref="H5752:H5753"/>
    <mergeCell ref="I5752:I5753"/>
    <mergeCell ref="J5752:J5753"/>
    <mergeCell ref="K5752:K5753"/>
    <mergeCell ref="L5752:L5753"/>
    <mergeCell ref="M5752:M5753"/>
    <mergeCell ref="N5752:N5753"/>
    <mergeCell ref="O5752:O5753"/>
    <mergeCell ref="X5752:X5753"/>
    <mergeCell ref="Y5752:Y5753"/>
    <mergeCell ref="Z5752:Z5753"/>
    <mergeCell ref="AA5752:AA5753"/>
    <mergeCell ref="AB5752:AB5753"/>
    <mergeCell ref="A5748:A5749"/>
    <mergeCell ref="E5748:E5749"/>
    <mergeCell ref="H5748:H5749"/>
    <mergeCell ref="I5748:I5749"/>
    <mergeCell ref="J5748:J5749"/>
    <mergeCell ref="K5748:K5749"/>
    <mergeCell ref="L5748:L5749"/>
    <mergeCell ref="M5748:M5749"/>
    <mergeCell ref="N5748:N5749"/>
    <mergeCell ref="O5748:O5749"/>
    <mergeCell ref="X5748:X5749"/>
    <mergeCell ref="Y5748:Y5749"/>
    <mergeCell ref="Z5748:Z5749"/>
    <mergeCell ref="AA5748:AA5749"/>
    <mergeCell ref="AB5748:AB5749"/>
    <mergeCell ref="A5754:A5755"/>
    <mergeCell ref="E5754:E5755"/>
    <mergeCell ref="H5754:H5755"/>
    <mergeCell ref="I5754:I5755"/>
    <mergeCell ref="J5754:J5755"/>
    <mergeCell ref="K5754:K5755"/>
    <mergeCell ref="L5754:L5755"/>
    <mergeCell ref="M5754:M5755"/>
    <mergeCell ref="N5754:N5755"/>
    <mergeCell ref="O5754:O5755"/>
    <mergeCell ref="X5754:X5755"/>
    <mergeCell ref="Y5754:Y5755"/>
    <mergeCell ref="Z5754:Z5755"/>
    <mergeCell ref="AA5754:AA5755"/>
    <mergeCell ref="AB5754:AB5755"/>
    <mergeCell ref="A5756:A5757"/>
    <mergeCell ref="E5756:E5757"/>
    <mergeCell ref="H5756:H5757"/>
    <mergeCell ref="I5756:I5757"/>
    <mergeCell ref="J5756:J5757"/>
    <mergeCell ref="K5756:K5757"/>
    <mergeCell ref="L5756:L5757"/>
    <mergeCell ref="M5756:M5757"/>
    <mergeCell ref="N5756:N5757"/>
    <mergeCell ref="O5756:O5757"/>
    <mergeCell ref="X5756:X5757"/>
    <mergeCell ref="Y5756:Y5757"/>
    <mergeCell ref="Z5756:Z5757"/>
    <mergeCell ref="AA5756:AA5757"/>
    <mergeCell ref="AB5756:AB5757"/>
    <mergeCell ref="A5758:A5759"/>
    <mergeCell ref="E5758:E5759"/>
    <mergeCell ref="H5758:H5759"/>
    <mergeCell ref="I5758:I5759"/>
    <mergeCell ref="J5758:J5759"/>
    <mergeCell ref="K5758:K5759"/>
    <mergeCell ref="L5758:L5759"/>
    <mergeCell ref="M5758:M5759"/>
    <mergeCell ref="N5758:N5759"/>
    <mergeCell ref="O5758:O5759"/>
    <mergeCell ref="X5758:X5759"/>
    <mergeCell ref="Y5758:Y5759"/>
    <mergeCell ref="Z5758:Z5759"/>
    <mergeCell ref="AA5758:AA5759"/>
    <mergeCell ref="AB5758:AB5759"/>
    <mergeCell ref="A5760:A5761"/>
    <mergeCell ref="E5760:E5761"/>
    <mergeCell ref="H5760:H5761"/>
    <mergeCell ref="I5760:I5761"/>
    <mergeCell ref="J5760:J5761"/>
    <mergeCell ref="K5760:K5761"/>
    <mergeCell ref="L5760:L5761"/>
    <mergeCell ref="M5760:M5761"/>
    <mergeCell ref="N5760:N5761"/>
    <mergeCell ref="O5760:O5761"/>
    <mergeCell ref="X5760:X5761"/>
    <mergeCell ref="Y5760:Y5761"/>
    <mergeCell ref="Z5760:Z5761"/>
    <mergeCell ref="AA5760:AA5761"/>
    <mergeCell ref="AB5760:AB5761"/>
    <mergeCell ref="A5762:A5763"/>
    <mergeCell ref="E5762:E5763"/>
    <mergeCell ref="H5762:H5763"/>
    <mergeCell ref="I5762:I5763"/>
    <mergeCell ref="J5762:J5763"/>
    <mergeCell ref="K5762:K5763"/>
    <mergeCell ref="L5762:L5763"/>
    <mergeCell ref="M5762:M5763"/>
    <mergeCell ref="N5762:N5763"/>
    <mergeCell ref="O5762:O5763"/>
    <mergeCell ref="X5762:X5763"/>
    <mergeCell ref="Y5762:Y5763"/>
    <mergeCell ref="Z5762:Z5763"/>
    <mergeCell ref="AA5762:AA5763"/>
    <mergeCell ref="AB5762:AB5763"/>
    <mergeCell ref="A5764:A5765"/>
    <mergeCell ref="E5764:E5765"/>
    <mergeCell ref="H5764:H5765"/>
    <mergeCell ref="I5764:I5765"/>
    <mergeCell ref="J5764:J5765"/>
    <mergeCell ref="K5764:K5765"/>
    <mergeCell ref="L5764:L5765"/>
    <mergeCell ref="M5764:M5765"/>
    <mergeCell ref="N5764:N5765"/>
    <mergeCell ref="O5764:O5765"/>
    <mergeCell ref="X5764:X5765"/>
    <mergeCell ref="Y5764:Y5765"/>
    <mergeCell ref="Z5764:Z5765"/>
    <mergeCell ref="AA5764:AA5765"/>
    <mergeCell ref="AB5764:AB5765"/>
    <mergeCell ref="A5766:A5767"/>
    <mergeCell ref="E5766:E5767"/>
    <mergeCell ref="H5766:H5767"/>
    <mergeCell ref="I5766:I5767"/>
    <mergeCell ref="J5766:J5767"/>
    <mergeCell ref="K5766:K5767"/>
    <mergeCell ref="L5766:L5767"/>
    <mergeCell ref="M5766:M5767"/>
    <mergeCell ref="N5766:N5767"/>
    <mergeCell ref="O5766:O5767"/>
    <mergeCell ref="X5766:X5767"/>
    <mergeCell ref="Y5766:Y5767"/>
    <mergeCell ref="Z5766:Z5767"/>
    <mergeCell ref="AA5766:AA5767"/>
    <mergeCell ref="AB5766:AB5767"/>
    <mergeCell ref="A5768:A5769"/>
    <mergeCell ref="E5768:E5769"/>
    <mergeCell ref="H5768:H5769"/>
    <mergeCell ref="I5768:I5769"/>
    <mergeCell ref="J5768:J5769"/>
    <mergeCell ref="K5768:K5769"/>
    <mergeCell ref="L5768:L5769"/>
    <mergeCell ref="M5768:M5769"/>
    <mergeCell ref="N5768:N5769"/>
    <mergeCell ref="O5768:O5769"/>
    <mergeCell ref="X5768:X5769"/>
    <mergeCell ref="Y5768:Y5769"/>
    <mergeCell ref="Z5768:Z5769"/>
    <mergeCell ref="AA5768:AA5769"/>
    <mergeCell ref="AB5768:AB5769"/>
    <mergeCell ref="A5770:A5771"/>
    <mergeCell ref="E5770:E5771"/>
    <mergeCell ref="H5770:H5771"/>
    <mergeCell ref="I5770:I5771"/>
    <mergeCell ref="J5770:J5771"/>
    <mergeCell ref="K5770:K5771"/>
    <mergeCell ref="L5770:L5771"/>
    <mergeCell ref="M5770:M5771"/>
    <mergeCell ref="N5770:N5771"/>
    <mergeCell ref="O5770:O5771"/>
    <mergeCell ref="X5770:X5771"/>
    <mergeCell ref="Y5770:Y5771"/>
    <mergeCell ref="Z5770:Z5771"/>
    <mergeCell ref="AA5770:AA5771"/>
    <mergeCell ref="AB5770:AB5771"/>
    <mergeCell ref="A5772:A5773"/>
    <mergeCell ref="E5772:E5773"/>
    <mergeCell ref="H5772:H5773"/>
    <mergeCell ref="I5772:I5773"/>
    <mergeCell ref="J5772:J5773"/>
    <mergeCell ref="K5772:K5773"/>
    <mergeCell ref="L5772:L5773"/>
    <mergeCell ref="M5772:M5773"/>
    <mergeCell ref="N5772:N5773"/>
    <mergeCell ref="O5772:O5773"/>
    <mergeCell ref="X5772:X5773"/>
    <mergeCell ref="Y5772:Y5773"/>
    <mergeCell ref="Z5772:Z5773"/>
    <mergeCell ref="AA5772:AA5773"/>
    <mergeCell ref="AB5772:AB5773"/>
    <mergeCell ref="A5774:A5775"/>
    <mergeCell ref="E5774:E5775"/>
    <mergeCell ref="H5774:H5775"/>
    <mergeCell ref="I5774:I5775"/>
    <mergeCell ref="J5774:J5775"/>
    <mergeCell ref="K5774:K5775"/>
    <mergeCell ref="L5774:L5775"/>
    <mergeCell ref="M5774:M5775"/>
    <mergeCell ref="N5774:N5775"/>
    <mergeCell ref="O5774:O5775"/>
    <mergeCell ref="X5774:X5775"/>
    <mergeCell ref="Y5774:Y5775"/>
    <mergeCell ref="Z5774:Z5775"/>
    <mergeCell ref="AA5774:AA5775"/>
    <mergeCell ref="AB5774:AB5775"/>
    <mergeCell ref="A5776:A5777"/>
    <mergeCell ref="E5776:E5777"/>
    <mergeCell ref="H5776:H5777"/>
    <mergeCell ref="I5776:I5777"/>
    <mergeCell ref="J5776:J5777"/>
    <mergeCell ref="K5776:K5777"/>
    <mergeCell ref="L5776:L5777"/>
    <mergeCell ref="M5776:M5777"/>
    <mergeCell ref="N5776:N5777"/>
    <mergeCell ref="O5776:O5777"/>
    <mergeCell ref="X5776:X5777"/>
    <mergeCell ref="Y5776:Y5777"/>
    <mergeCell ref="Z5776:Z5777"/>
    <mergeCell ref="AA5776:AA5777"/>
    <mergeCell ref="AB5776:AB5777"/>
    <mergeCell ref="H5786:H5787"/>
    <mergeCell ref="I5786:I5787"/>
    <mergeCell ref="J5786:J5787"/>
    <mergeCell ref="A5778:A5779"/>
    <mergeCell ref="E5778:E5779"/>
    <mergeCell ref="H5778:H5779"/>
    <mergeCell ref="I5778:I5779"/>
    <mergeCell ref="J5778:J5779"/>
    <mergeCell ref="K5778:K5779"/>
    <mergeCell ref="L5778:L5779"/>
    <mergeCell ref="M5778:M5779"/>
    <mergeCell ref="N5778:N5779"/>
    <mergeCell ref="O5778:O5779"/>
    <mergeCell ref="X5778:X5779"/>
    <mergeCell ref="Y5778:Y5779"/>
    <mergeCell ref="Z5778:Z5779"/>
    <mergeCell ref="AA5778:AA5779"/>
    <mergeCell ref="AB5778:AB5779"/>
    <mergeCell ref="A5780:A5781"/>
    <mergeCell ref="E5780:E5781"/>
    <mergeCell ref="H5780:H5781"/>
    <mergeCell ref="I5780:I5781"/>
    <mergeCell ref="J5780:J5781"/>
    <mergeCell ref="K5780:K5781"/>
    <mergeCell ref="L5780:L5781"/>
    <mergeCell ref="M5780:M5781"/>
    <mergeCell ref="N5780:N5781"/>
    <mergeCell ref="O5780:O5781"/>
    <mergeCell ref="X5780:X5781"/>
    <mergeCell ref="Y5780:Y5781"/>
    <mergeCell ref="Z5780:Z5781"/>
    <mergeCell ref="AA5780:AA5781"/>
    <mergeCell ref="AB5780:AB5781"/>
    <mergeCell ref="A5782:A5783"/>
    <mergeCell ref="E5782:E5783"/>
    <mergeCell ref="H5782:H5783"/>
    <mergeCell ref="I5782:I5783"/>
    <mergeCell ref="J5782:J5783"/>
    <mergeCell ref="K5782:K5783"/>
    <mergeCell ref="L5782:L5783"/>
    <mergeCell ref="M5782:M5783"/>
    <mergeCell ref="N5782:N5783"/>
    <mergeCell ref="O5782:O5783"/>
    <mergeCell ref="X5782:X5783"/>
    <mergeCell ref="Y5782:Y5783"/>
    <mergeCell ref="Z5782:Z5783"/>
    <mergeCell ref="AA5782:AA5783"/>
    <mergeCell ref="AB5782:AB5783"/>
    <mergeCell ref="A5784:A5785"/>
    <mergeCell ref="E5784:E5785"/>
    <mergeCell ref="H5784:H5785"/>
    <mergeCell ref="I5784:I5785"/>
    <mergeCell ref="J5784:J5785"/>
    <mergeCell ref="K5784:K5785"/>
    <mergeCell ref="L5784:L5785"/>
    <mergeCell ref="M5784:M5785"/>
    <mergeCell ref="N5784:N5785"/>
    <mergeCell ref="O5784:O5785"/>
    <mergeCell ref="X5784:X5785"/>
    <mergeCell ref="Y5784:Y5785"/>
    <mergeCell ref="Z5784:Z5785"/>
    <mergeCell ref="AA5784:AA5785"/>
    <mergeCell ref="AB5784:AB5785"/>
    <mergeCell ref="H5794:H5795"/>
    <mergeCell ref="I5794:I5795"/>
    <mergeCell ref="J5794:J5795"/>
    <mergeCell ref="K5794:K5795"/>
    <mergeCell ref="L5794:L5795"/>
    <mergeCell ref="M5794:M5795"/>
    <mergeCell ref="N5794:N5795"/>
    <mergeCell ref="O5794:O5795"/>
    <mergeCell ref="X5794:X5795"/>
    <mergeCell ref="Y5794:Y5795"/>
    <mergeCell ref="Z5794:Z5795"/>
    <mergeCell ref="AA5794:AA5795"/>
    <mergeCell ref="AB5794:AB5795"/>
    <mergeCell ref="A5788:A5789"/>
    <mergeCell ref="E5788:E5789"/>
    <mergeCell ref="H5788:H5789"/>
    <mergeCell ref="I5788:I5789"/>
    <mergeCell ref="J5788:J5789"/>
    <mergeCell ref="K5788:K5789"/>
    <mergeCell ref="L5788:L5789"/>
    <mergeCell ref="M5788:M5789"/>
    <mergeCell ref="N5788:N5789"/>
    <mergeCell ref="O5788:O5789"/>
    <mergeCell ref="X5788:X5789"/>
    <mergeCell ref="Y5788:Y5789"/>
    <mergeCell ref="Z5788:Z5789"/>
    <mergeCell ref="AA5788:AA5789"/>
    <mergeCell ref="AB5788:AB5789"/>
    <mergeCell ref="A5790:A5791"/>
    <mergeCell ref="E5790:E5791"/>
    <mergeCell ref="H5790:H5791"/>
    <mergeCell ref="I5790:I5791"/>
    <mergeCell ref="J5790:J5791"/>
    <mergeCell ref="K5790:K5791"/>
    <mergeCell ref="L5790:L5791"/>
    <mergeCell ref="M5790:M5791"/>
    <mergeCell ref="N5790:N5791"/>
    <mergeCell ref="O5790:O5791"/>
    <mergeCell ref="A5794:A5795"/>
    <mergeCell ref="E5794:E5795"/>
    <mergeCell ref="A5806:A5807"/>
    <mergeCell ref="E5806:E5807"/>
    <mergeCell ref="H5806:H5807"/>
    <mergeCell ref="I5806:I5807"/>
    <mergeCell ref="J5806:J5807"/>
    <mergeCell ref="K5806:K5807"/>
    <mergeCell ref="L5806:L5807"/>
    <mergeCell ref="M5806:M5807"/>
    <mergeCell ref="N5806:N5807"/>
    <mergeCell ref="O5806:O5807"/>
    <mergeCell ref="X5806:X5807"/>
    <mergeCell ref="Y5806:Y5807"/>
    <mergeCell ref="Z5806:Z5807"/>
    <mergeCell ref="AA5806:AA5807"/>
    <mergeCell ref="AB5806:AB5807"/>
    <mergeCell ref="A5808:A5809"/>
    <mergeCell ref="E5808:E5809"/>
    <mergeCell ref="H5808:H5809"/>
    <mergeCell ref="I5808:I5809"/>
    <mergeCell ref="J5808:J5809"/>
    <mergeCell ref="K5808:K5809"/>
    <mergeCell ref="L5808:L5809"/>
    <mergeCell ref="M5808:M5809"/>
    <mergeCell ref="N5808:N5809"/>
    <mergeCell ref="O5808:O5809"/>
    <mergeCell ref="X5808:X5809"/>
    <mergeCell ref="Y5808:Y5809"/>
    <mergeCell ref="Z5808:Z5809"/>
    <mergeCell ref="AA5808:AA5809"/>
    <mergeCell ref="AB5808:AB5809"/>
    <mergeCell ref="A5810:A5811"/>
    <mergeCell ref="E5810:E5811"/>
    <mergeCell ref="H5810:H5811"/>
    <mergeCell ref="I5810:I5811"/>
    <mergeCell ref="J5810:J5811"/>
    <mergeCell ref="K5810:K5811"/>
    <mergeCell ref="L5810:L5811"/>
    <mergeCell ref="M5810:M5811"/>
    <mergeCell ref="N5810:N5811"/>
    <mergeCell ref="O5810:O5811"/>
    <mergeCell ref="X5810:X5811"/>
    <mergeCell ref="Y5810:Y5811"/>
    <mergeCell ref="Z5810:Z5811"/>
    <mergeCell ref="AA5810:AA5811"/>
    <mergeCell ref="AB5810:AB5811"/>
    <mergeCell ref="X5812:X5813"/>
    <mergeCell ref="Y5812:Y5813"/>
    <mergeCell ref="Z5812:Z5813"/>
    <mergeCell ref="AA5812:AA5813"/>
    <mergeCell ref="AB5812:AB5813"/>
    <mergeCell ref="A5814:A5815"/>
    <mergeCell ref="E5814:E5815"/>
    <mergeCell ref="H5814:H5815"/>
    <mergeCell ref="I5814:I5815"/>
    <mergeCell ref="J5814:J5815"/>
    <mergeCell ref="K5814:K5815"/>
    <mergeCell ref="L5814:L5815"/>
    <mergeCell ref="M5814:M5815"/>
    <mergeCell ref="N5814:N5815"/>
    <mergeCell ref="O5814:O5815"/>
    <mergeCell ref="X5814:X5815"/>
    <mergeCell ref="Y5814:Y5815"/>
    <mergeCell ref="Z5814:Z5815"/>
    <mergeCell ref="AA5814:AA5815"/>
    <mergeCell ref="AB5814:AB5815"/>
    <mergeCell ref="A5816:A5817"/>
    <mergeCell ref="E5816:E5817"/>
    <mergeCell ref="H5816:H5817"/>
    <mergeCell ref="I5816:I5817"/>
    <mergeCell ref="J5816:J5817"/>
    <mergeCell ref="K5816:K5817"/>
    <mergeCell ref="L5816:L5817"/>
    <mergeCell ref="M5816:M5817"/>
    <mergeCell ref="N5816:N5817"/>
    <mergeCell ref="O5816:O5817"/>
    <mergeCell ref="X5816:X5817"/>
    <mergeCell ref="Y5816:Y5817"/>
    <mergeCell ref="Z5816:Z5817"/>
    <mergeCell ref="AA5816:AA5817"/>
    <mergeCell ref="AB5816:AB5817"/>
    <mergeCell ref="A5820:A5821"/>
    <mergeCell ref="E5820:E5821"/>
    <mergeCell ref="H5820:H5821"/>
    <mergeCell ref="I5820:I5821"/>
    <mergeCell ref="J5820:J5821"/>
    <mergeCell ref="K5820:K5821"/>
    <mergeCell ref="L5820:L5821"/>
    <mergeCell ref="M5820:M5821"/>
    <mergeCell ref="N5820:N5821"/>
    <mergeCell ref="O5820:O5821"/>
    <mergeCell ref="X5820:X5821"/>
    <mergeCell ref="Y5820:Y5821"/>
    <mergeCell ref="Z5820:Z5821"/>
    <mergeCell ref="AA5820:AA5821"/>
    <mergeCell ref="AB5820:AB5821"/>
    <mergeCell ref="AB5828:AB5829"/>
    <mergeCell ref="A5822:A5823"/>
    <mergeCell ref="E5822:E5823"/>
    <mergeCell ref="H5822:H5823"/>
    <mergeCell ref="I5822:I5823"/>
    <mergeCell ref="J5822:J5823"/>
    <mergeCell ref="K5822:K5823"/>
    <mergeCell ref="L5822:L5823"/>
    <mergeCell ref="M5822:M5823"/>
    <mergeCell ref="N5822:N5823"/>
    <mergeCell ref="O5822:O5823"/>
    <mergeCell ref="X5822:X5823"/>
    <mergeCell ref="Y5822:Y5823"/>
    <mergeCell ref="Z5822:Z5823"/>
    <mergeCell ref="AA5822:AA5823"/>
    <mergeCell ref="AB5822:AB5823"/>
    <mergeCell ref="A5824:A5825"/>
    <mergeCell ref="E5824:E5825"/>
    <mergeCell ref="H5824:H5825"/>
    <mergeCell ref="I5824:I5825"/>
    <mergeCell ref="J5824:J5825"/>
    <mergeCell ref="K5824:K5825"/>
    <mergeCell ref="L5824:L5825"/>
    <mergeCell ref="M5824:M5825"/>
    <mergeCell ref="N5824:N5825"/>
    <mergeCell ref="L5828:L5829"/>
    <mergeCell ref="M5828:M5829"/>
    <mergeCell ref="N5828:N5829"/>
    <mergeCell ref="O5828:O5829"/>
    <mergeCell ref="X5828:X5829"/>
    <mergeCell ref="A5826:A5827"/>
    <mergeCell ref="E5826:E5827"/>
    <mergeCell ref="H5826:H5827"/>
    <mergeCell ref="I5826:I5827"/>
    <mergeCell ref="J5826:J5827"/>
    <mergeCell ref="K5826:K5827"/>
    <mergeCell ref="L5826:L5827"/>
    <mergeCell ref="M5826:M5827"/>
    <mergeCell ref="N5826:N5827"/>
    <mergeCell ref="O5826:O5827"/>
    <mergeCell ref="X5826:X5827"/>
    <mergeCell ref="A5818:A5819"/>
    <mergeCell ref="E5818:E5819"/>
    <mergeCell ref="H5818:H5819"/>
    <mergeCell ref="I5818:I5819"/>
    <mergeCell ref="J5818:J5819"/>
    <mergeCell ref="K5818:K5819"/>
    <mergeCell ref="L5818:L5819"/>
    <mergeCell ref="M5818:M5819"/>
    <mergeCell ref="N5818:N5819"/>
    <mergeCell ref="O5818:O5819"/>
    <mergeCell ref="X5818:X5819"/>
    <mergeCell ref="K5786:K5787"/>
    <mergeCell ref="L5786:L5787"/>
    <mergeCell ref="M5786:M5787"/>
    <mergeCell ref="N5786:N5787"/>
    <mergeCell ref="O5786:O5787"/>
    <mergeCell ref="X5786:X5787"/>
    <mergeCell ref="Y5786:Y5787"/>
    <mergeCell ref="Z5786:Z5787"/>
    <mergeCell ref="AA5786:AA5787"/>
    <mergeCell ref="AB5786:AB5787"/>
    <mergeCell ref="A5792:A5793"/>
    <mergeCell ref="E5792:E5793"/>
    <mergeCell ref="H5792:H5793"/>
    <mergeCell ref="I5792:I5793"/>
    <mergeCell ref="J5792:J5793"/>
    <mergeCell ref="K5792:K5793"/>
    <mergeCell ref="L5792:L5793"/>
    <mergeCell ref="M5792:M5793"/>
    <mergeCell ref="N5792:N5793"/>
    <mergeCell ref="O5792:O5793"/>
    <mergeCell ref="X5792:X5793"/>
    <mergeCell ref="Y5792:Y5793"/>
    <mergeCell ref="Z5792:Z5793"/>
    <mergeCell ref="AA5792:AA5793"/>
    <mergeCell ref="AB5792:AB5793"/>
    <mergeCell ref="X5790:X5791"/>
    <mergeCell ref="Y5790:Y5791"/>
    <mergeCell ref="Z5790:Z5791"/>
    <mergeCell ref="AA5790:AA5791"/>
    <mergeCell ref="AB5790:AB5791"/>
    <mergeCell ref="A5786:A5787"/>
    <mergeCell ref="E5786:E5787"/>
    <mergeCell ref="A5796:A5797"/>
    <mergeCell ref="E5796:E5797"/>
    <mergeCell ref="H5796:H5797"/>
    <mergeCell ref="I5796:I5797"/>
    <mergeCell ref="J5796:J5797"/>
    <mergeCell ref="K5796:K5797"/>
    <mergeCell ref="L5796:L5797"/>
    <mergeCell ref="Y5818:Y5819"/>
    <mergeCell ref="Z5818:Z5819"/>
    <mergeCell ref="AA5818:AA5819"/>
    <mergeCell ref="AB5818:AB5819"/>
    <mergeCell ref="A5812:A5813"/>
    <mergeCell ref="E5812:E5813"/>
    <mergeCell ref="H5812:H5813"/>
    <mergeCell ref="I5812:I5813"/>
    <mergeCell ref="J5812:J5813"/>
    <mergeCell ref="K5812:K5813"/>
    <mergeCell ref="L5812:L5813"/>
    <mergeCell ref="M5812:M5813"/>
    <mergeCell ref="N5812:N5813"/>
    <mergeCell ref="O5812:O5813"/>
    <mergeCell ref="M5796:M5797"/>
    <mergeCell ref="N5796:N5797"/>
    <mergeCell ref="O5796:O5797"/>
    <mergeCell ref="X5796:X5797"/>
    <mergeCell ref="Y5796:Y5797"/>
    <mergeCell ref="Z5796:Z5797"/>
    <mergeCell ref="AA5796:AA5797"/>
    <mergeCell ref="AB5796:AB5797"/>
    <mergeCell ref="A5798:A5799"/>
    <mergeCell ref="E5798:E5799"/>
    <mergeCell ref="H5798:H5799"/>
    <mergeCell ref="I5798:I5799"/>
    <mergeCell ref="J5798:J5799"/>
    <mergeCell ref="K5798:K5799"/>
    <mergeCell ref="L5798:L5799"/>
    <mergeCell ref="M5798:M5799"/>
    <mergeCell ref="N5798:N5799"/>
    <mergeCell ref="O5798:O5799"/>
    <mergeCell ref="X5798:X5799"/>
    <mergeCell ref="Y5798:Y5799"/>
    <mergeCell ref="Z5798:Z5799"/>
    <mergeCell ref="AA5798:AA5799"/>
    <mergeCell ref="AB5798:AB5799"/>
    <mergeCell ref="A5800:A5801"/>
    <mergeCell ref="E5800:E5801"/>
    <mergeCell ref="H5800:H5801"/>
    <mergeCell ref="I5800:I5801"/>
    <mergeCell ref="J5800:J5801"/>
    <mergeCell ref="K5800:K5801"/>
    <mergeCell ref="L5800:L5801"/>
    <mergeCell ref="M5800:M5801"/>
    <mergeCell ref="N5800:N5801"/>
    <mergeCell ref="O5800:O5801"/>
    <mergeCell ref="X5800:X5801"/>
    <mergeCell ref="Y5800:Y5801"/>
    <mergeCell ref="Z5800:Z5801"/>
    <mergeCell ref="AA5800:AA5801"/>
    <mergeCell ref="AB5800:AB5801"/>
    <mergeCell ref="A5802:A5803"/>
    <mergeCell ref="E5802:E5803"/>
    <mergeCell ref="H5802:H5803"/>
    <mergeCell ref="I5802:I5803"/>
    <mergeCell ref="J5802:J5803"/>
    <mergeCell ref="K5802:K5803"/>
    <mergeCell ref="L5802:L5803"/>
    <mergeCell ref="M5802:M5803"/>
    <mergeCell ref="N5802:N5803"/>
    <mergeCell ref="O5802:O5803"/>
    <mergeCell ref="X5802:X5803"/>
    <mergeCell ref="Y5802:Y5803"/>
    <mergeCell ref="Z5802:Z5803"/>
    <mergeCell ref="AA5802:AA5803"/>
    <mergeCell ref="AB5802:AB5803"/>
    <mergeCell ref="A6010:A6011"/>
    <mergeCell ref="E6010:E6011"/>
    <mergeCell ref="H6010:H6011"/>
    <mergeCell ref="I6010:I6011"/>
    <mergeCell ref="J6010:J6011"/>
    <mergeCell ref="K6010:K6011"/>
    <mergeCell ref="L6010:L6011"/>
    <mergeCell ref="M6010:M6011"/>
    <mergeCell ref="N6010:N6011"/>
    <mergeCell ref="O6010:O6011"/>
    <mergeCell ref="X6010:X6011"/>
    <mergeCell ref="Y6010:Y6011"/>
    <mergeCell ref="Z6010:Z6011"/>
    <mergeCell ref="AA6010:AA6011"/>
    <mergeCell ref="AB6010:AB6011"/>
    <mergeCell ref="A5804:A5805"/>
    <mergeCell ref="E5804:E5805"/>
    <mergeCell ref="H5804:H5805"/>
    <mergeCell ref="I5804:I5805"/>
    <mergeCell ref="J5804:J5805"/>
    <mergeCell ref="K5804:K5805"/>
    <mergeCell ref="L5804:L5805"/>
    <mergeCell ref="M5804:M5805"/>
    <mergeCell ref="N5804:N5805"/>
    <mergeCell ref="O5804:O5805"/>
    <mergeCell ref="X5804:X5805"/>
    <mergeCell ref="Y5804:Y5805"/>
    <mergeCell ref="Z5804:Z5805"/>
    <mergeCell ref="AA5804:AA5805"/>
    <mergeCell ref="AB5804:AB5805"/>
    <mergeCell ref="A5828:A5829"/>
    <mergeCell ref="E5828:E5829"/>
    <mergeCell ref="H5828:H5829"/>
    <mergeCell ref="I5828:I5829"/>
    <mergeCell ref="J5828:J5829"/>
    <mergeCell ref="K5828:K5829"/>
    <mergeCell ref="Y5828:Y5829"/>
    <mergeCell ref="Z5828:Z5829"/>
    <mergeCell ref="AA5828:AA5829"/>
    <mergeCell ref="Y5826:Y5827"/>
    <mergeCell ref="Z5826:Z5827"/>
    <mergeCell ref="AA5826:AA5827"/>
    <mergeCell ref="AB5826:AB5827"/>
    <mergeCell ref="O5824:O5825"/>
    <mergeCell ref="X5824:X5825"/>
    <mergeCell ref="Y5824:Y5825"/>
    <mergeCell ref="Z5824:Z5825"/>
    <mergeCell ref="AA5824:AA5825"/>
    <mergeCell ref="AB5824:AB5825"/>
    <mergeCell ref="A6518:A6519"/>
    <mergeCell ref="E6518:E6519"/>
    <mergeCell ref="H6518:H6519"/>
    <mergeCell ref="I6518:I6519"/>
    <mergeCell ref="J6518:J6519"/>
    <mergeCell ref="K6518:K6519"/>
    <mergeCell ref="L6518:L6519"/>
    <mergeCell ref="M6518:M6519"/>
    <mergeCell ref="N6518:N6519"/>
    <mergeCell ref="O6518:O6519"/>
    <mergeCell ref="X6518:X6519"/>
    <mergeCell ref="Y6518:Y6519"/>
    <mergeCell ref="Z6518:Z6519"/>
    <mergeCell ref="AA6518:AA6519"/>
    <mergeCell ref="AB6518:AB6519"/>
    <mergeCell ref="A6520:A6521"/>
    <mergeCell ref="E6520:E6521"/>
    <mergeCell ref="H6520:H6521"/>
    <mergeCell ref="I6520:I6521"/>
    <mergeCell ref="J6520:J6521"/>
    <mergeCell ref="K6520:K6521"/>
    <mergeCell ref="L6520:L6521"/>
    <mergeCell ref="M6520:M6521"/>
    <mergeCell ref="N6520:N6521"/>
    <mergeCell ref="O6520:O6521"/>
    <mergeCell ref="X6520:X6521"/>
    <mergeCell ref="Y6520:Y6521"/>
    <mergeCell ref="Z6520:Z6521"/>
    <mergeCell ref="AA6520:AA6521"/>
    <mergeCell ref="AB6520:AB6521"/>
    <mergeCell ref="A6560:A6561"/>
    <mergeCell ref="E6560:E6561"/>
    <mergeCell ref="H6560:H6561"/>
    <mergeCell ref="I6560:I6561"/>
    <mergeCell ref="J6560:J6561"/>
    <mergeCell ref="K6560:K6561"/>
    <mergeCell ref="L6560:L6561"/>
    <mergeCell ref="M6560:M6561"/>
    <mergeCell ref="N6560:N6561"/>
    <mergeCell ref="O6560:O6561"/>
    <mergeCell ref="X6560:X6561"/>
    <mergeCell ref="Y6560:Y6561"/>
    <mergeCell ref="Z6560:Z6561"/>
    <mergeCell ref="AA6560:AA6561"/>
    <mergeCell ref="AB6560:AB6561"/>
    <mergeCell ref="A6524:A6525"/>
    <mergeCell ref="E6524:E6525"/>
    <mergeCell ref="H6524:H6525"/>
    <mergeCell ref="I6524:I6525"/>
    <mergeCell ref="J6524:J6525"/>
    <mergeCell ref="K6524:K6525"/>
    <mergeCell ref="L6524:L6525"/>
    <mergeCell ref="M6524:M6525"/>
    <mergeCell ref="N6524:N6525"/>
    <mergeCell ref="A6528:A6529"/>
    <mergeCell ref="E6528:E6529"/>
    <mergeCell ref="H6528:H6529"/>
    <mergeCell ref="I6528:I6529"/>
    <mergeCell ref="J6528:J6529"/>
    <mergeCell ref="K6528:K6529"/>
    <mergeCell ref="L6528:L6529"/>
    <mergeCell ref="M6528:M6529"/>
    <mergeCell ref="N6528:N6529"/>
    <mergeCell ref="O6528:O6529"/>
    <mergeCell ref="A6668:A6669"/>
    <mergeCell ref="E6668:E6669"/>
    <mergeCell ref="H6668:H6669"/>
    <mergeCell ref="I6668:I6669"/>
    <mergeCell ref="J6668:J6669"/>
    <mergeCell ref="K6668:K6669"/>
    <mergeCell ref="L6668:L6669"/>
    <mergeCell ref="M6668:M6669"/>
    <mergeCell ref="N6668:N6669"/>
    <mergeCell ref="O6668:O6669"/>
    <mergeCell ref="X6668:X6669"/>
    <mergeCell ref="Y6668:Y6669"/>
    <mergeCell ref="Z6668:Z6669"/>
    <mergeCell ref="AA6668:AA6669"/>
    <mergeCell ref="AB6668:AB6669"/>
    <mergeCell ref="J6532:J6533"/>
    <mergeCell ref="K6532:K6533"/>
    <mergeCell ref="L6532:L6533"/>
    <mergeCell ref="M6532:M6533"/>
    <mergeCell ref="N6532:N6533"/>
    <mergeCell ref="O6532:O6533"/>
    <mergeCell ref="X6532:X6533"/>
    <mergeCell ref="Y6532:Y6533"/>
    <mergeCell ref="Z6532:Z6533"/>
    <mergeCell ref="AA6532:AA6533"/>
    <mergeCell ref="AB6532:AB6533"/>
    <mergeCell ref="A6534:A6535"/>
    <mergeCell ref="E6534:E6535"/>
    <mergeCell ref="H6534:H6535"/>
    <mergeCell ref="I6534:I6535"/>
    <mergeCell ref="J6534:J6535"/>
    <mergeCell ref="K6534:K6535"/>
    <mergeCell ref="L6534:L6535"/>
    <mergeCell ref="M6534:M6535"/>
    <mergeCell ref="N6534:N6535"/>
    <mergeCell ref="O6534:O6535"/>
    <mergeCell ref="X6534:X6535"/>
    <mergeCell ref="Y6534:Y6535"/>
    <mergeCell ref="Z6534:Z6535"/>
    <mergeCell ref="AA6534:AA6535"/>
    <mergeCell ref="AB6534:AB6535"/>
    <mergeCell ref="A6532:A6533"/>
    <mergeCell ref="E6532:E6533"/>
    <mergeCell ref="H6532:H6533"/>
    <mergeCell ref="I6532:I6533"/>
    <mergeCell ref="A6542:A6543"/>
    <mergeCell ref="E6542:E6543"/>
    <mergeCell ref="H6542:H6543"/>
    <mergeCell ref="I6542:I6543"/>
    <mergeCell ref="J6542:J6543"/>
    <mergeCell ref="K6542:K6543"/>
    <mergeCell ref="L6542:L6543"/>
    <mergeCell ref="M6542:M6543"/>
    <mergeCell ref="N6542:N6543"/>
    <mergeCell ref="O6542:O6543"/>
    <mergeCell ref="X6542:X6543"/>
    <mergeCell ref="Y6542:Y6543"/>
    <mergeCell ref="Z6542:Z6543"/>
    <mergeCell ref="AA6542:AA6543"/>
    <mergeCell ref="AB6542:AB6543"/>
    <mergeCell ref="A6548:A6549"/>
    <mergeCell ref="E6548:E6549"/>
    <mergeCell ref="H6548:H6549"/>
    <mergeCell ref="I6548:I6549"/>
    <mergeCell ref="AB6670:AB6671"/>
    <mergeCell ref="O6674:O6675"/>
    <mergeCell ref="X6674:X6675"/>
    <mergeCell ref="Y6674:Y6675"/>
    <mergeCell ref="Z6674:Z6675"/>
    <mergeCell ref="AA6674:AA6675"/>
    <mergeCell ref="AB6674:AB6675"/>
    <mergeCell ref="A6672:A6673"/>
    <mergeCell ref="E6672:E6673"/>
    <mergeCell ref="H6672:H6673"/>
    <mergeCell ref="I6672:I6673"/>
    <mergeCell ref="J6672:J6673"/>
    <mergeCell ref="K6672:K6673"/>
    <mergeCell ref="L6672:L6673"/>
    <mergeCell ref="M6672:M6673"/>
    <mergeCell ref="N6672:N6673"/>
    <mergeCell ref="O6672:O6673"/>
    <mergeCell ref="X6672:X6673"/>
    <mergeCell ref="Y6672:Y6673"/>
    <mergeCell ref="Z6672:Z6673"/>
    <mergeCell ref="AA6672:AA6673"/>
    <mergeCell ref="AB6672:AB6673"/>
    <mergeCell ref="A6676:A6677"/>
    <mergeCell ref="E6676:E6677"/>
    <mergeCell ref="H6676:H6677"/>
    <mergeCell ref="I6676:I6677"/>
    <mergeCell ref="J6676:J6677"/>
    <mergeCell ref="K6676:K6677"/>
    <mergeCell ref="L6676:L6677"/>
    <mergeCell ref="M6676:M6677"/>
    <mergeCell ref="N6676:N6677"/>
    <mergeCell ref="O6676:O6677"/>
    <mergeCell ref="X6676:X6677"/>
    <mergeCell ref="Y6676:Y6677"/>
    <mergeCell ref="Z6676:Z6677"/>
    <mergeCell ref="AA6676:AA6677"/>
    <mergeCell ref="AB6676:AB6677"/>
    <mergeCell ref="A6674:A6675"/>
    <mergeCell ref="E6674:E6675"/>
    <mergeCell ref="H6674:H6675"/>
    <mergeCell ref="I6674:I6675"/>
    <mergeCell ref="J6674:J6675"/>
    <mergeCell ref="K6674:K6675"/>
    <mergeCell ref="L6674:L6675"/>
    <mergeCell ref="M6674:M6675"/>
    <mergeCell ref="N6674:N6675"/>
    <mergeCell ref="A6670:A6671"/>
    <mergeCell ref="E6670:E6671"/>
    <mergeCell ref="H6670:H6671"/>
    <mergeCell ref="I6670:I6671"/>
    <mergeCell ref="J6670:J6671"/>
    <mergeCell ref="K6670:K6671"/>
    <mergeCell ref="L6670:L6671"/>
    <mergeCell ref="M6670:M6671"/>
    <mergeCell ref="N6670:N6671"/>
    <mergeCell ref="O6670:O6671"/>
    <mergeCell ref="X6670:X6671"/>
    <mergeCell ref="Y6670:Y6671"/>
    <mergeCell ref="Z6670:Z6671"/>
    <mergeCell ref="AA6670:AA6671"/>
    <mergeCell ref="A6682:A6683"/>
    <mergeCell ref="E6682:E6683"/>
    <mergeCell ref="H6682:H6683"/>
    <mergeCell ref="I6682:I6683"/>
    <mergeCell ref="J6682:J6683"/>
    <mergeCell ref="K6682:K6683"/>
    <mergeCell ref="L6682:L6683"/>
    <mergeCell ref="M6682:M6683"/>
    <mergeCell ref="N6682:N6683"/>
    <mergeCell ref="O6682:O6683"/>
    <mergeCell ref="X6682:X6683"/>
    <mergeCell ref="Y6682:Y6683"/>
    <mergeCell ref="Z6682:Z6683"/>
    <mergeCell ref="AA6682:AA6683"/>
    <mergeCell ref="AB6682:AB6683"/>
    <mergeCell ref="A6680:A6681"/>
    <mergeCell ref="E6680:E6681"/>
    <mergeCell ref="H6680:H6681"/>
    <mergeCell ref="I6680:I6681"/>
    <mergeCell ref="J6680:J6681"/>
    <mergeCell ref="K6680:K6681"/>
    <mergeCell ref="L6680:L6681"/>
    <mergeCell ref="M6680:M6681"/>
    <mergeCell ref="N6680:N6681"/>
    <mergeCell ref="O6680:O6681"/>
    <mergeCell ref="X6680:X6681"/>
    <mergeCell ref="Y6680:Y6681"/>
    <mergeCell ref="Z6680:Z6681"/>
    <mergeCell ref="AA6680:AA6681"/>
    <mergeCell ref="AB6680:AB6681"/>
    <mergeCell ref="A6678:A6679"/>
    <mergeCell ref="E6678:E6679"/>
    <mergeCell ref="H6678:H6679"/>
    <mergeCell ref="I6678:I6679"/>
    <mergeCell ref="J6678:J6679"/>
    <mergeCell ref="K6678:K6679"/>
    <mergeCell ref="L6678:L6679"/>
    <mergeCell ref="M6678:M6679"/>
    <mergeCell ref="N6678:N6679"/>
    <mergeCell ref="O6678:O6679"/>
    <mergeCell ref="X6678:X6679"/>
    <mergeCell ref="Y6678:Y6679"/>
    <mergeCell ref="Z6678:Z6679"/>
    <mergeCell ref="AA6678:AA6679"/>
    <mergeCell ref="AB6678:AB6679"/>
    <mergeCell ref="A7682:A7683"/>
    <mergeCell ref="E7682:E7683"/>
    <mergeCell ref="H7682:H7683"/>
    <mergeCell ref="I7682:I7683"/>
    <mergeCell ref="J7682:J7683"/>
    <mergeCell ref="K7682:K7683"/>
    <mergeCell ref="L7682:L7683"/>
    <mergeCell ref="M7682:M7683"/>
    <mergeCell ref="N7682:N7683"/>
    <mergeCell ref="O7682:O7683"/>
    <mergeCell ref="X7682:X7683"/>
    <mergeCell ref="Y7682:Y7683"/>
    <mergeCell ref="Z7682:Z7683"/>
    <mergeCell ref="AA7682:AA7683"/>
    <mergeCell ref="AB7682:AB7683"/>
    <mergeCell ref="A7684:A7685"/>
    <mergeCell ref="E7684:E7685"/>
    <mergeCell ref="H7684:H7685"/>
    <mergeCell ref="I7684:I7685"/>
    <mergeCell ref="J7684:J7685"/>
    <mergeCell ref="K7684:K7685"/>
    <mergeCell ref="L7684:L7685"/>
    <mergeCell ref="M7684:M7685"/>
    <mergeCell ref="N7684:N7685"/>
    <mergeCell ref="O7684:O7685"/>
    <mergeCell ref="X7684:X7685"/>
    <mergeCell ref="Y7684:Y7685"/>
    <mergeCell ref="Z7684:Z7685"/>
    <mergeCell ref="AA7684:AA7685"/>
    <mergeCell ref="AB7684:AB7685"/>
    <mergeCell ref="A8136:A8137"/>
    <mergeCell ref="E8136:E8137"/>
    <mergeCell ref="H8136:H8137"/>
    <mergeCell ref="I8136:I8137"/>
    <mergeCell ref="J8136:J8137"/>
    <mergeCell ref="K8136:K8137"/>
    <mergeCell ref="L8136:L8137"/>
    <mergeCell ref="M8136:M8137"/>
    <mergeCell ref="N8136:N8137"/>
    <mergeCell ref="O8136:O8137"/>
    <mergeCell ref="X8136:X8137"/>
    <mergeCell ref="Y8136:Y8137"/>
    <mergeCell ref="Z8136:Z8137"/>
    <mergeCell ref="AA8136:AA8137"/>
    <mergeCell ref="AB8136:AB8137"/>
    <mergeCell ref="A7690:A7691"/>
    <mergeCell ref="E7690:E7691"/>
    <mergeCell ref="H7690:H7691"/>
    <mergeCell ref="I7690:I7691"/>
    <mergeCell ref="J7690:J7691"/>
    <mergeCell ref="K7690:K7691"/>
    <mergeCell ref="L7690:L7691"/>
    <mergeCell ref="M7690:M7691"/>
    <mergeCell ref="N7690:N7691"/>
    <mergeCell ref="O7690:O7691"/>
    <mergeCell ref="X7690:X7691"/>
    <mergeCell ref="Y7690:Y7691"/>
    <mergeCell ref="Z7690:Z7691"/>
    <mergeCell ref="AA7690:AA7691"/>
    <mergeCell ref="AB7690:AB7691"/>
    <mergeCell ref="A7692:A7693"/>
    <mergeCell ref="E7692:E7693"/>
    <mergeCell ref="H7692:H7693"/>
    <mergeCell ref="I7692:I7693"/>
    <mergeCell ref="A8138:A8139"/>
    <mergeCell ref="E8138:E8139"/>
    <mergeCell ref="H8138:H8139"/>
    <mergeCell ref="I8138:I8139"/>
    <mergeCell ref="J8138:J8139"/>
    <mergeCell ref="K8138:K8139"/>
    <mergeCell ref="L8138:L8139"/>
    <mergeCell ref="M8138:M8139"/>
    <mergeCell ref="N8138:N8139"/>
    <mergeCell ref="O8138:O8139"/>
    <mergeCell ref="X8138:X8139"/>
    <mergeCell ref="Y8138:Y8139"/>
    <mergeCell ref="Z8138:Z8139"/>
    <mergeCell ref="AA8138:AA8139"/>
    <mergeCell ref="AB8138:AB8139"/>
    <mergeCell ref="O8870:O8871"/>
    <mergeCell ref="X8870:X8871"/>
    <mergeCell ref="Y8870:Y8871"/>
    <mergeCell ref="Z8870:Z8871"/>
    <mergeCell ref="AA8870:AA8871"/>
    <mergeCell ref="AB8870:AB8871"/>
    <mergeCell ref="O8452:O8453"/>
    <mergeCell ref="X8452:X8453"/>
    <mergeCell ref="Y8452:Y8453"/>
    <mergeCell ref="Z8452:Z8453"/>
    <mergeCell ref="AA8452:AA8453"/>
    <mergeCell ref="A8456:A8457"/>
    <mergeCell ref="E8456:E8457"/>
    <mergeCell ref="H8456:H8457"/>
    <mergeCell ref="I8456:I8457"/>
    <mergeCell ref="J8456:J8457"/>
    <mergeCell ref="K8456:K8457"/>
    <mergeCell ref="L8456:L8457"/>
    <mergeCell ref="M8456:M8457"/>
    <mergeCell ref="N8456:N8457"/>
    <mergeCell ref="O8456:O8457"/>
    <mergeCell ref="X8456:X8457"/>
    <mergeCell ref="Y8456:Y8457"/>
    <mergeCell ref="Z8456:Z8457"/>
    <mergeCell ref="AA8456:AA8457"/>
    <mergeCell ref="AB8456:AB8457"/>
    <mergeCell ref="X8454:X8455"/>
    <mergeCell ref="Y8454:Y8455"/>
    <mergeCell ref="Z8454:Z8455"/>
    <mergeCell ref="AA8454:AA8455"/>
    <mergeCell ref="A8458:A8459"/>
    <mergeCell ref="E8458:E8459"/>
    <mergeCell ref="A8144:A8145"/>
    <mergeCell ref="E8144:E8145"/>
    <mergeCell ref="H8144:H8145"/>
    <mergeCell ref="I8144:I8145"/>
    <mergeCell ref="J8144:J8145"/>
    <mergeCell ref="K8144:K8145"/>
    <mergeCell ref="L8144:L8145"/>
    <mergeCell ref="M8144:M8145"/>
    <mergeCell ref="N8144:N8145"/>
    <mergeCell ref="O8144:O8145"/>
    <mergeCell ref="X8144:X8145"/>
    <mergeCell ref="Y8144:Y8145"/>
    <mergeCell ref="Z8144:Z8145"/>
    <mergeCell ref="AA8144:AA8145"/>
    <mergeCell ref="AB8144:AB8145"/>
    <mergeCell ref="A8146:A8147"/>
    <mergeCell ref="E8146:E8147"/>
    <mergeCell ref="K9278:K9279"/>
    <mergeCell ref="L9278:L9279"/>
    <mergeCell ref="M9278:M9279"/>
    <mergeCell ref="N9278:N9279"/>
    <mergeCell ref="O9278:O9279"/>
    <mergeCell ref="X9278:X9279"/>
    <mergeCell ref="Y9278:Y9279"/>
    <mergeCell ref="Z9278:Z9279"/>
    <mergeCell ref="AA9278:AA9279"/>
    <mergeCell ref="AB9278:AB9279"/>
    <mergeCell ref="A9280:A9281"/>
    <mergeCell ref="E9280:E9281"/>
    <mergeCell ref="H9280:H9281"/>
    <mergeCell ref="I9280:I9281"/>
    <mergeCell ref="J9280:J9281"/>
    <mergeCell ref="K9280:K9281"/>
    <mergeCell ref="L9280:L9281"/>
    <mergeCell ref="M9280:M9281"/>
    <mergeCell ref="N9280:N9281"/>
    <mergeCell ref="O9280:O9281"/>
    <mergeCell ref="X9280:X9281"/>
    <mergeCell ref="Y9280:Y9281"/>
    <mergeCell ref="Z9280:Z9281"/>
    <mergeCell ref="AA9280:AA9281"/>
    <mergeCell ref="AB9280:AB9281"/>
    <mergeCell ref="A9282:A9283"/>
    <mergeCell ref="E9282:E9283"/>
    <mergeCell ref="H9282:H9283"/>
    <mergeCell ref="I9282:I9283"/>
    <mergeCell ref="J9282:J9283"/>
    <mergeCell ref="K9282:K9283"/>
    <mergeCell ref="L9282:L9283"/>
    <mergeCell ref="M9282:M9283"/>
    <mergeCell ref="N9282:N9283"/>
    <mergeCell ref="O9282:O9283"/>
    <mergeCell ref="X9282:X9283"/>
    <mergeCell ref="Y9282:Y9283"/>
    <mergeCell ref="Z9282:Z9283"/>
    <mergeCell ref="AA9282:AA9283"/>
    <mergeCell ref="AB9282:AB9283"/>
    <mergeCell ref="A9284:A9285"/>
    <mergeCell ref="E9284:E9285"/>
    <mergeCell ref="H9284:H9285"/>
    <mergeCell ref="I9284:I9285"/>
    <mergeCell ref="J9284:J9285"/>
    <mergeCell ref="K9284:K9285"/>
    <mergeCell ref="L9284:L9285"/>
    <mergeCell ref="M9284:M9285"/>
    <mergeCell ref="N9284:N9285"/>
    <mergeCell ref="O9284:O9285"/>
    <mergeCell ref="X9284:X9285"/>
    <mergeCell ref="Y9284:Y9285"/>
    <mergeCell ref="Z9284:Z9285"/>
    <mergeCell ref="AA9284:AA9285"/>
    <mergeCell ref="AB9284:AB9285"/>
    <mergeCell ref="A9286:A9287"/>
    <mergeCell ref="E9286:E9287"/>
    <mergeCell ref="H9286:H9287"/>
    <mergeCell ref="I9286:I9287"/>
    <mergeCell ref="J9286:J9287"/>
    <mergeCell ref="K9286:K9287"/>
    <mergeCell ref="L9286:L9287"/>
    <mergeCell ref="M9286:M9287"/>
    <mergeCell ref="N9286:N9287"/>
    <mergeCell ref="O9286:O9287"/>
    <mergeCell ref="X9286:X9287"/>
    <mergeCell ref="Y9286:Y9287"/>
    <mergeCell ref="Z9286:Z9287"/>
    <mergeCell ref="AA9286:AA9287"/>
    <mergeCell ref="AB9286:AB9287"/>
    <mergeCell ref="A9288:A9289"/>
    <mergeCell ref="E9288:E9289"/>
    <mergeCell ref="H9288:H9289"/>
    <mergeCell ref="I9288:I9289"/>
    <mergeCell ref="J9288:J9289"/>
    <mergeCell ref="K9288:K9289"/>
    <mergeCell ref="L9288:L9289"/>
    <mergeCell ref="M9288:M9289"/>
    <mergeCell ref="N9288:N9289"/>
    <mergeCell ref="O9288:O9289"/>
    <mergeCell ref="X9288:X9289"/>
    <mergeCell ref="Y9288:Y9289"/>
    <mergeCell ref="Z9288:Z9289"/>
    <mergeCell ref="AA9288:AA9289"/>
    <mergeCell ref="AB9288:AB9289"/>
    <mergeCell ref="A9290:A9291"/>
    <mergeCell ref="E9290:E9291"/>
    <mergeCell ref="H9290:H9291"/>
    <mergeCell ref="I9290:I9291"/>
    <mergeCell ref="J9290:J9291"/>
    <mergeCell ref="K9290:K9291"/>
    <mergeCell ref="L9290:L9291"/>
    <mergeCell ref="M9290:M9291"/>
    <mergeCell ref="N9290:N9291"/>
    <mergeCell ref="O9290:O9291"/>
    <mergeCell ref="X9290:X9291"/>
    <mergeCell ref="Y9290:Y9291"/>
    <mergeCell ref="Z9290:Z9291"/>
    <mergeCell ref="AA9290:AA9291"/>
    <mergeCell ref="AB9290:AB9291"/>
    <mergeCell ref="A9292:A9293"/>
    <mergeCell ref="E9292:E9293"/>
    <mergeCell ref="H9292:H9293"/>
    <mergeCell ref="I9292:I9293"/>
    <mergeCell ref="J9292:J9293"/>
    <mergeCell ref="K9292:K9293"/>
    <mergeCell ref="L9292:L9293"/>
    <mergeCell ref="M9292:M9293"/>
    <mergeCell ref="N9292:N9293"/>
    <mergeCell ref="O9292:O9293"/>
    <mergeCell ref="X9292:X9293"/>
    <mergeCell ref="Y9292:Y9293"/>
    <mergeCell ref="Z9292:Z9293"/>
    <mergeCell ref="AA9292:AA9293"/>
    <mergeCell ref="AB9292:AB9293"/>
    <mergeCell ref="A9294:A9295"/>
    <mergeCell ref="E9294:E9295"/>
    <mergeCell ref="H9294:H9295"/>
    <mergeCell ref="I9294:I9295"/>
    <mergeCell ref="J9294:J9295"/>
    <mergeCell ref="K9294:K9295"/>
    <mergeCell ref="L9294:L9295"/>
    <mergeCell ref="M9294:M9295"/>
    <mergeCell ref="N9294:N9295"/>
    <mergeCell ref="O9294:O9295"/>
    <mergeCell ref="X9294:X9295"/>
    <mergeCell ref="Y9294:Y9295"/>
    <mergeCell ref="Z9294:Z9295"/>
    <mergeCell ref="AA9294:AA9295"/>
    <mergeCell ref="AB9294:AB9295"/>
    <mergeCell ref="A9296:A9297"/>
    <mergeCell ref="E9296:E9297"/>
    <mergeCell ref="H9296:H9297"/>
    <mergeCell ref="I9296:I9297"/>
    <mergeCell ref="J9296:J9297"/>
    <mergeCell ref="K9296:K9297"/>
    <mergeCell ref="L9296:L9297"/>
    <mergeCell ref="M9296:M9297"/>
    <mergeCell ref="N9296:N9297"/>
    <mergeCell ref="O9296:O9297"/>
    <mergeCell ref="X9296:X9297"/>
    <mergeCell ref="Y9296:Y9297"/>
    <mergeCell ref="Z9296:Z9297"/>
    <mergeCell ref="AA9296:AA9297"/>
    <mergeCell ref="AB9296:AB9297"/>
    <mergeCell ref="A9298:A9299"/>
    <mergeCell ref="E9298:E9299"/>
    <mergeCell ref="H9298:H9299"/>
    <mergeCell ref="I9298:I9299"/>
    <mergeCell ref="J9298:J9299"/>
    <mergeCell ref="K9298:K9299"/>
    <mergeCell ref="L9298:L9299"/>
    <mergeCell ref="M9298:M9299"/>
    <mergeCell ref="N9298:N9299"/>
    <mergeCell ref="O9298:O9299"/>
    <mergeCell ref="X9298:X9299"/>
    <mergeCell ref="Y9298:Y9299"/>
    <mergeCell ref="Z9298:Z9299"/>
    <mergeCell ref="AA9298:AA9299"/>
    <mergeCell ref="AB9298:AB9299"/>
    <mergeCell ref="A9300:A9301"/>
    <mergeCell ref="E9300:E9301"/>
    <mergeCell ref="H9300:H9301"/>
    <mergeCell ref="I9300:I9301"/>
    <mergeCell ref="J9300:J9301"/>
    <mergeCell ref="K9300:K9301"/>
    <mergeCell ref="L9300:L9301"/>
    <mergeCell ref="M9300:M9301"/>
    <mergeCell ref="N9300:N9301"/>
    <mergeCell ref="O9300:O9301"/>
    <mergeCell ref="X9300:X9301"/>
    <mergeCell ref="Y9300:Y9301"/>
    <mergeCell ref="Z9300:Z9301"/>
    <mergeCell ref="AA9300:AA9301"/>
    <mergeCell ref="AB9300:AB9301"/>
    <mergeCell ref="A9302:A9303"/>
    <mergeCell ref="E9302:E9303"/>
    <mergeCell ref="H9302:H9303"/>
    <mergeCell ref="I9302:I9303"/>
    <mergeCell ref="J9302:J9303"/>
    <mergeCell ref="K9302:K9303"/>
    <mergeCell ref="L9302:L9303"/>
    <mergeCell ref="M9302:M9303"/>
    <mergeCell ref="N9302:N9303"/>
    <mergeCell ref="O9302:O9303"/>
    <mergeCell ref="X9302:X9303"/>
    <mergeCell ref="Y9302:Y9303"/>
    <mergeCell ref="Z9302:Z9303"/>
    <mergeCell ref="AA9302:AA9303"/>
    <mergeCell ref="AB9302:AB9303"/>
    <mergeCell ref="A9304:A9305"/>
    <mergeCell ref="E9304:E9305"/>
    <mergeCell ref="H9304:H9305"/>
    <mergeCell ref="I9304:I9305"/>
    <mergeCell ref="J9304:J9305"/>
    <mergeCell ref="K9304:K9305"/>
    <mergeCell ref="L9304:L9305"/>
    <mergeCell ref="M9304:M9305"/>
    <mergeCell ref="N9304:N9305"/>
    <mergeCell ref="O9304:O9305"/>
    <mergeCell ref="X9304:X9305"/>
    <mergeCell ref="Y9304:Y9305"/>
    <mergeCell ref="Z9304:Z9305"/>
    <mergeCell ref="AA9304:AA9305"/>
    <mergeCell ref="AB9304:AB9305"/>
    <mergeCell ref="A9306:A9307"/>
    <mergeCell ref="E9306:E9307"/>
    <mergeCell ref="H9306:H9307"/>
    <mergeCell ref="I9306:I9307"/>
    <mergeCell ref="J9306:J9307"/>
    <mergeCell ref="K9306:K9307"/>
    <mergeCell ref="L9306:L9307"/>
    <mergeCell ref="M9306:M9307"/>
    <mergeCell ref="N9306:N9307"/>
    <mergeCell ref="O9306:O9307"/>
    <mergeCell ref="X9306:X9307"/>
    <mergeCell ref="Y9306:Y9307"/>
    <mergeCell ref="Z9306:Z9307"/>
    <mergeCell ref="AA9306:AA9307"/>
    <mergeCell ref="AB9306:AB9307"/>
    <mergeCell ref="A9308:A9309"/>
    <mergeCell ref="E9308:E9309"/>
    <mergeCell ref="H9308:H9309"/>
    <mergeCell ref="I9308:I9309"/>
    <mergeCell ref="J9308:J9309"/>
    <mergeCell ref="K9308:K9309"/>
    <mergeCell ref="L9308:L9309"/>
    <mergeCell ref="M9308:M9309"/>
    <mergeCell ref="N9308:N9309"/>
    <mergeCell ref="O9308:O9309"/>
    <mergeCell ref="X9308:X9309"/>
    <mergeCell ref="Y9308:Y9309"/>
    <mergeCell ref="Z9308:Z9309"/>
    <mergeCell ref="AA9308:AA9309"/>
    <mergeCell ref="AB9308:AB9309"/>
    <mergeCell ref="A9310:A9311"/>
    <mergeCell ref="E9310:E9311"/>
    <mergeCell ref="H9310:H9311"/>
    <mergeCell ref="I9310:I9311"/>
    <mergeCell ref="J9310:J9311"/>
    <mergeCell ref="K9310:K9311"/>
    <mergeCell ref="L9310:L9311"/>
    <mergeCell ref="M9310:M9311"/>
    <mergeCell ref="N9310:N9311"/>
    <mergeCell ref="O9310:O9311"/>
    <mergeCell ref="X9310:X9311"/>
    <mergeCell ref="Y9310:Y9311"/>
    <mergeCell ref="Z9310:Z9311"/>
    <mergeCell ref="AA9310:AA9311"/>
    <mergeCell ref="AB9310:AB9311"/>
    <mergeCell ref="A9312:A9313"/>
    <mergeCell ref="E9312:E9313"/>
    <mergeCell ref="H9312:H9313"/>
    <mergeCell ref="I9312:I9313"/>
    <mergeCell ref="J9312:J9313"/>
    <mergeCell ref="K9312:K9313"/>
    <mergeCell ref="L9312:L9313"/>
    <mergeCell ref="M9312:M9313"/>
    <mergeCell ref="N9312:N9313"/>
    <mergeCell ref="O9312:O9313"/>
    <mergeCell ref="X9312:X9313"/>
    <mergeCell ref="Y9312:Y9313"/>
    <mergeCell ref="Z9312:Z9313"/>
    <mergeCell ref="AA9312:AA9313"/>
    <mergeCell ref="AB9312:AB9313"/>
    <mergeCell ref="A9314:A9315"/>
    <mergeCell ref="E9314:E9315"/>
    <mergeCell ref="H9314:H9315"/>
    <mergeCell ref="I9314:I9315"/>
    <mergeCell ref="J9314:J9315"/>
    <mergeCell ref="K9314:K9315"/>
    <mergeCell ref="L9314:L9315"/>
    <mergeCell ref="M9314:M9315"/>
    <mergeCell ref="N9314:N9315"/>
    <mergeCell ref="O9314:O9315"/>
    <mergeCell ref="X9314:X9315"/>
    <mergeCell ref="Y9314:Y9315"/>
    <mergeCell ref="Z9314:Z9315"/>
    <mergeCell ref="AA9314:AA9315"/>
    <mergeCell ref="AB9314:AB9315"/>
    <mergeCell ref="A9316:A9317"/>
    <mergeCell ref="E9316:E9317"/>
    <mergeCell ref="H9316:H9317"/>
    <mergeCell ref="I9316:I9317"/>
    <mergeCell ref="J9316:J9317"/>
    <mergeCell ref="K9316:K9317"/>
    <mergeCell ref="L9316:L9317"/>
    <mergeCell ref="M9316:M9317"/>
    <mergeCell ref="N9316:N9317"/>
    <mergeCell ref="O9316:O9317"/>
    <mergeCell ref="X9316:X9317"/>
    <mergeCell ref="Y9316:Y9317"/>
    <mergeCell ref="Z9316:Z9317"/>
    <mergeCell ref="AA9316:AA9317"/>
    <mergeCell ref="AB9316:AB9317"/>
    <mergeCell ref="A9318:A9319"/>
    <mergeCell ref="E9318:E9319"/>
    <mergeCell ref="H9318:H9319"/>
    <mergeCell ref="I9318:I9319"/>
    <mergeCell ref="J9318:J9319"/>
    <mergeCell ref="K9318:K9319"/>
    <mergeCell ref="L9318:L9319"/>
    <mergeCell ref="M9318:M9319"/>
    <mergeCell ref="N9318:N9319"/>
    <mergeCell ref="O9318:O9319"/>
    <mergeCell ref="X9318:X9319"/>
    <mergeCell ref="Y9318:Y9319"/>
    <mergeCell ref="Z9318:Z9319"/>
    <mergeCell ref="AA9318:AA9319"/>
    <mergeCell ref="AB9318:AB9319"/>
    <mergeCell ref="A9320:A9321"/>
    <mergeCell ref="E9320:E9321"/>
    <mergeCell ref="H9320:H9321"/>
    <mergeCell ref="I9320:I9321"/>
    <mergeCell ref="J9320:J9321"/>
    <mergeCell ref="K9320:K9321"/>
    <mergeCell ref="L9320:L9321"/>
    <mergeCell ref="M9320:M9321"/>
    <mergeCell ref="N9320:N9321"/>
    <mergeCell ref="O9320:O9321"/>
    <mergeCell ref="X9320:X9321"/>
    <mergeCell ref="Y9320:Y9321"/>
    <mergeCell ref="Z9320:Z9321"/>
    <mergeCell ref="AA9320:AA9321"/>
    <mergeCell ref="AB9320:AB9321"/>
    <mergeCell ref="A9322:A9323"/>
    <mergeCell ref="E9322:E9323"/>
    <mergeCell ref="H9322:H9323"/>
    <mergeCell ref="I9322:I9323"/>
    <mergeCell ref="J9322:J9323"/>
    <mergeCell ref="K9322:K9323"/>
    <mergeCell ref="L9322:L9323"/>
    <mergeCell ref="M9322:M9323"/>
    <mergeCell ref="N9322:N9323"/>
    <mergeCell ref="O9322:O9323"/>
    <mergeCell ref="X9322:X9323"/>
    <mergeCell ref="Y9322:Y9323"/>
    <mergeCell ref="Z9322:Z9323"/>
    <mergeCell ref="AA9322:AA9323"/>
    <mergeCell ref="AB9322:AB9323"/>
    <mergeCell ref="A9324:A9325"/>
    <mergeCell ref="E9324:E9325"/>
    <mergeCell ref="H9324:H9325"/>
    <mergeCell ref="I9324:I9325"/>
    <mergeCell ref="J9324:J9325"/>
    <mergeCell ref="K9324:K9325"/>
    <mergeCell ref="L9324:L9325"/>
    <mergeCell ref="M9324:M9325"/>
    <mergeCell ref="N9324:N9325"/>
    <mergeCell ref="O9324:O9325"/>
    <mergeCell ref="X9324:X9325"/>
    <mergeCell ref="Y9324:Y9325"/>
    <mergeCell ref="Z9324:Z9325"/>
    <mergeCell ref="AA9324:AA9325"/>
    <mergeCell ref="AB9324:AB9325"/>
    <mergeCell ref="A9326:A9327"/>
    <mergeCell ref="E9326:E9327"/>
    <mergeCell ref="H9326:H9327"/>
    <mergeCell ref="I9326:I9327"/>
    <mergeCell ref="J9326:J9327"/>
    <mergeCell ref="K9326:K9327"/>
    <mergeCell ref="L9326:L9327"/>
    <mergeCell ref="M9326:M9327"/>
    <mergeCell ref="N9326:N9327"/>
    <mergeCell ref="O9326:O9327"/>
    <mergeCell ref="X9326:X9327"/>
    <mergeCell ref="Y9326:Y9327"/>
    <mergeCell ref="Z9326:Z9327"/>
    <mergeCell ref="AA9326:AA9327"/>
    <mergeCell ref="AB9326:AB9327"/>
    <mergeCell ref="A9328:A9329"/>
    <mergeCell ref="E9328:E9329"/>
    <mergeCell ref="H9328:H9329"/>
    <mergeCell ref="I9328:I9329"/>
    <mergeCell ref="J9328:J9329"/>
    <mergeCell ref="K9328:K9329"/>
    <mergeCell ref="L9328:L9329"/>
    <mergeCell ref="M9328:M9329"/>
    <mergeCell ref="N9328:N9329"/>
    <mergeCell ref="O9328:O9329"/>
    <mergeCell ref="X9328:X9329"/>
    <mergeCell ref="Y9328:Y9329"/>
    <mergeCell ref="Z9328:Z9329"/>
    <mergeCell ref="AA9328:AA9329"/>
    <mergeCell ref="AB9328:AB9329"/>
    <mergeCell ref="A9330:A9331"/>
    <mergeCell ref="E9330:E9331"/>
    <mergeCell ref="H9330:H9331"/>
    <mergeCell ref="I9330:I9331"/>
    <mergeCell ref="J9330:J9331"/>
    <mergeCell ref="K9330:K9331"/>
    <mergeCell ref="L9330:L9331"/>
    <mergeCell ref="M9330:M9331"/>
    <mergeCell ref="N9330:N9331"/>
    <mergeCell ref="O9330:O9331"/>
    <mergeCell ref="X9330:X9331"/>
    <mergeCell ref="Y9330:Y9331"/>
    <mergeCell ref="Z9330:Z9331"/>
    <mergeCell ref="AA9330:AA9331"/>
    <mergeCell ref="AB9330:AB9331"/>
    <mergeCell ref="A9332:A9333"/>
    <mergeCell ref="E9332:E9333"/>
    <mergeCell ref="H9332:H9333"/>
    <mergeCell ref="I9332:I9333"/>
    <mergeCell ref="J9332:J9333"/>
    <mergeCell ref="K9332:K9333"/>
    <mergeCell ref="L9332:L9333"/>
    <mergeCell ref="M9332:M9333"/>
    <mergeCell ref="N9332:N9333"/>
    <mergeCell ref="O9332:O9333"/>
    <mergeCell ref="X9332:X9333"/>
    <mergeCell ref="Y9332:Y9333"/>
    <mergeCell ref="Z9332:Z9333"/>
    <mergeCell ref="AA9332:AA9333"/>
    <mergeCell ref="AB9332:AB9333"/>
    <mergeCell ref="A9334:A9335"/>
    <mergeCell ref="E9334:E9335"/>
    <mergeCell ref="H9334:H9335"/>
    <mergeCell ref="I9334:I9335"/>
    <mergeCell ref="J9334:J9335"/>
    <mergeCell ref="K9334:K9335"/>
    <mergeCell ref="L9334:L9335"/>
    <mergeCell ref="M9334:M9335"/>
    <mergeCell ref="N9334:N9335"/>
    <mergeCell ref="O9334:O9335"/>
    <mergeCell ref="X9334:X9335"/>
    <mergeCell ref="Y9334:Y9335"/>
    <mergeCell ref="Z9334:Z9335"/>
    <mergeCell ref="AA9334:AA9335"/>
    <mergeCell ref="AB9334:AB9335"/>
    <mergeCell ref="A9336:A9337"/>
    <mergeCell ref="E9336:E9337"/>
    <mergeCell ref="H9336:H9337"/>
    <mergeCell ref="I9336:I9337"/>
    <mergeCell ref="J9336:J9337"/>
    <mergeCell ref="K9336:K9337"/>
    <mergeCell ref="L9336:L9337"/>
    <mergeCell ref="M9336:M9337"/>
    <mergeCell ref="N9336:N9337"/>
    <mergeCell ref="O9336:O9337"/>
    <mergeCell ref="X9336:X9337"/>
    <mergeCell ref="Y9336:Y9337"/>
    <mergeCell ref="Z9336:Z9337"/>
    <mergeCell ref="AA9336:AA9337"/>
    <mergeCell ref="AB9336:AB9337"/>
    <mergeCell ref="A9338:A9339"/>
    <mergeCell ref="E9338:E9339"/>
    <mergeCell ref="H9338:H9339"/>
    <mergeCell ref="I9338:I9339"/>
    <mergeCell ref="J9338:J9339"/>
    <mergeCell ref="K9338:K9339"/>
    <mergeCell ref="L9338:L9339"/>
    <mergeCell ref="M9338:M9339"/>
    <mergeCell ref="N9338:N9339"/>
    <mergeCell ref="O9338:O9339"/>
    <mergeCell ref="X9338:X9339"/>
    <mergeCell ref="Y9338:Y9339"/>
    <mergeCell ref="Z9338:Z9339"/>
    <mergeCell ref="AA9338:AA9339"/>
    <mergeCell ref="AB9338:AB9339"/>
    <mergeCell ref="A9340:A9341"/>
    <mergeCell ref="E9340:E9341"/>
    <mergeCell ref="H9340:H9341"/>
    <mergeCell ref="I9340:I9341"/>
    <mergeCell ref="J9340:J9341"/>
    <mergeCell ref="K9340:K9341"/>
    <mergeCell ref="L9340:L9341"/>
    <mergeCell ref="M9340:M9341"/>
    <mergeCell ref="N9340:N9341"/>
    <mergeCell ref="O9340:O9341"/>
    <mergeCell ref="X9340:X9341"/>
    <mergeCell ref="Y9340:Y9341"/>
    <mergeCell ref="Z9340:Z9341"/>
    <mergeCell ref="AA9340:AA9341"/>
    <mergeCell ref="AB9340:AB9341"/>
    <mergeCell ref="A9342:A9343"/>
    <mergeCell ref="E9342:E9343"/>
    <mergeCell ref="H9342:H9343"/>
    <mergeCell ref="I9342:I9343"/>
    <mergeCell ref="J9342:J9343"/>
    <mergeCell ref="K9342:K9343"/>
    <mergeCell ref="L9342:L9343"/>
    <mergeCell ref="M9342:M9343"/>
    <mergeCell ref="N9342:N9343"/>
    <mergeCell ref="O9342:O9343"/>
    <mergeCell ref="X9342:X9343"/>
    <mergeCell ref="Y9342:Y9343"/>
    <mergeCell ref="Z9342:Z9343"/>
    <mergeCell ref="AA9342:AA9343"/>
    <mergeCell ref="AB9342:AB9343"/>
    <mergeCell ref="A9344:A9345"/>
    <mergeCell ref="E9344:E9345"/>
    <mergeCell ref="H9344:H9345"/>
    <mergeCell ref="I9344:I9345"/>
    <mergeCell ref="J9344:J9345"/>
    <mergeCell ref="K9344:K9345"/>
    <mergeCell ref="L9344:L9345"/>
    <mergeCell ref="M9344:M9345"/>
    <mergeCell ref="N9344:N9345"/>
    <mergeCell ref="O9344:O9345"/>
    <mergeCell ref="X9344:X9345"/>
    <mergeCell ref="Y9344:Y9345"/>
    <mergeCell ref="Z9344:Z9345"/>
    <mergeCell ref="AA9344:AA9345"/>
    <mergeCell ref="AB9344:AB9345"/>
    <mergeCell ref="A9346:A9347"/>
    <mergeCell ref="E9346:E9347"/>
    <mergeCell ref="H9346:H9347"/>
    <mergeCell ref="I9346:I9347"/>
    <mergeCell ref="J9346:J9347"/>
    <mergeCell ref="K9346:K9347"/>
    <mergeCell ref="L9346:L9347"/>
    <mergeCell ref="M9346:M9347"/>
    <mergeCell ref="N9346:N9347"/>
    <mergeCell ref="O9346:O9347"/>
    <mergeCell ref="X9346:X9347"/>
    <mergeCell ref="Y9346:Y9347"/>
    <mergeCell ref="Z9346:Z9347"/>
    <mergeCell ref="AA9346:AA9347"/>
    <mergeCell ref="AB9346:AB9347"/>
    <mergeCell ref="A9348:A9349"/>
    <mergeCell ref="E9348:E9349"/>
    <mergeCell ref="H9348:H9349"/>
    <mergeCell ref="I9348:I9349"/>
    <mergeCell ref="J9348:J9349"/>
    <mergeCell ref="K9348:K9349"/>
    <mergeCell ref="L9348:L9349"/>
    <mergeCell ref="M9348:M9349"/>
    <mergeCell ref="N9348:N9349"/>
    <mergeCell ref="O9348:O9349"/>
    <mergeCell ref="X9348:X9349"/>
    <mergeCell ref="Y9348:Y9349"/>
    <mergeCell ref="Z9348:Z9349"/>
    <mergeCell ref="AA9348:AA9349"/>
    <mergeCell ref="AB9348:AB9349"/>
    <mergeCell ref="A9350:A9351"/>
    <mergeCell ref="E9350:E9351"/>
    <mergeCell ref="H9350:H9351"/>
    <mergeCell ref="I9350:I9351"/>
    <mergeCell ref="J9350:J9351"/>
    <mergeCell ref="K9350:K9351"/>
    <mergeCell ref="L9350:L9351"/>
    <mergeCell ref="M9350:M9351"/>
    <mergeCell ref="N9350:N9351"/>
    <mergeCell ref="O9350:O9351"/>
    <mergeCell ref="X9350:X9351"/>
    <mergeCell ref="Y9350:Y9351"/>
    <mergeCell ref="Z9350:Z9351"/>
    <mergeCell ref="AA9350:AA9351"/>
    <mergeCell ref="AB9350:AB9351"/>
    <mergeCell ref="A9358:A9359"/>
    <mergeCell ref="E9358:E9359"/>
    <mergeCell ref="H9358:H9359"/>
    <mergeCell ref="I9358:I9359"/>
    <mergeCell ref="J9358:J9359"/>
    <mergeCell ref="K9358:K9359"/>
    <mergeCell ref="L9358:L9359"/>
    <mergeCell ref="M9358:M9359"/>
    <mergeCell ref="N9358:N9359"/>
    <mergeCell ref="O9358:O9359"/>
    <mergeCell ref="X9358:X9359"/>
    <mergeCell ref="Y9358:Y9359"/>
    <mergeCell ref="Z9358:Z9359"/>
    <mergeCell ref="AA9358:AA9359"/>
    <mergeCell ref="AB9358:AB9359"/>
    <mergeCell ref="A9356:A9357"/>
    <mergeCell ref="E9356:E9357"/>
    <mergeCell ref="H9356:H9357"/>
    <mergeCell ref="I9356:I9357"/>
    <mergeCell ref="J9356:J9357"/>
    <mergeCell ref="K9356:K9357"/>
    <mergeCell ref="L9356:L9357"/>
    <mergeCell ref="M9356:M9357"/>
    <mergeCell ref="N9356:N9357"/>
    <mergeCell ref="O9356:O9357"/>
    <mergeCell ref="X9356:X9357"/>
    <mergeCell ref="Y9356:Y9357"/>
    <mergeCell ref="Z9356:Z9357"/>
    <mergeCell ref="AA9356:AA9357"/>
    <mergeCell ref="AB9356:AB9357"/>
    <mergeCell ref="A9352:A9353"/>
    <mergeCell ref="E9352:E9353"/>
    <mergeCell ref="H9352:H9353"/>
    <mergeCell ref="I9352:I9353"/>
    <mergeCell ref="J9352:J9353"/>
    <mergeCell ref="K9352:K9353"/>
    <mergeCell ref="L9352:L9353"/>
    <mergeCell ref="M9352:M9353"/>
    <mergeCell ref="N9352:N9353"/>
    <mergeCell ref="O9352:O9353"/>
    <mergeCell ref="X9352:X9353"/>
    <mergeCell ref="Y9352:Y9353"/>
    <mergeCell ref="Z9352:Z9353"/>
    <mergeCell ref="AA9352:AA9353"/>
    <mergeCell ref="AB9352:AB9353"/>
    <mergeCell ref="A9354:A9355"/>
    <mergeCell ref="E9354:E9355"/>
    <mergeCell ref="H9354:H9355"/>
    <mergeCell ref="I9354:I9355"/>
    <mergeCell ref="A9360:A9361"/>
    <mergeCell ref="A9362:A9363"/>
    <mergeCell ref="E9360:E9361"/>
    <mergeCell ref="H9360:H9361"/>
    <mergeCell ref="I9360:I9361"/>
    <mergeCell ref="J9360:J9361"/>
    <mergeCell ref="K9360:K9361"/>
    <mergeCell ref="L9360:L9361"/>
    <mergeCell ref="M9360:M9361"/>
    <mergeCell ref="N9360:N9361"/>
    <mergeCell ref="O9360:O9361"/>
    <mergeCell ref="X9360:X9361"/>
    <mergeCell ref="Y9360:Y9361"/>
    <mergeCell ref="Z9360:Z9361"/>
    <mergeCell ref="AA9360:AA9361"/>
    <mergeCell ref="AB9360:AB9361"/>
    <mergeCell ref="E9362:E9363"/>
    <mergeCell ref="H9362:H9363"/>
    <mergeCell ref="I9362:I9363"/>
    <mergeCell ref="J9362:J9363"/>
    <mergeCell ref="K9362:K9363"/>
    <mergeCell ref="L9362:L9363"/>
    <mergeCell ref="M9362:M9363"/>
    <mergeCell ref="N9362:N9363"/>
    <mergeCell ref="O9362:O9363"/>
    <mergeCell ref="X9362:X9363"/>
    <mergeCell ref="Y9362:Y9363"/>
    <mergeCell ref="Z9362:Z9363"/>
    <mergeCell ref="AA9362:AA9363"/>
    <mergeCell ref="AB9362:AB9363"/>
    <mergeCell ref="A9366:A9367"/>
    <mergeCell ref="E9366:E9367"/>
    <mergeCell ref="H9366:H9367"/>
    <mergeCell ref="I9366:I9367"/>
    <mergeCell ref="J9366:J9367"/>
    <mergeCell ref="K9366:K9367"/>
    <mergeCell ref="L9366:L9367"/>
    <mergeCell ref="M9366:M9367"/>
    <mergeCell ref="N9366:N9367"/>
    <mergeCell ref="O9366:O9367"/>
    <mergeCell ref="X9366:X9367"/>
    <mergeCell ref="Y9366:Y9367"/>
    <mergeCell ref="Z9366:Z9367"/>
    <mergeCell ref="AA9366:AA9367"/>
    <mergeCell ref="AB9366:AB9367"/>
    <mergeCell ref="A9368:A9369"/>
    <mergeCell ref="E9368:E9369"/>
    <mergeCell ref="H9368:H9369"/>
    <mergeCell ref="I9368:I9369"/>
    <mergeCell ref="J9368:J9369"/>
    <mergeCell ref="K9368:K9369"/>
    <mergeCell ref="L9368:L9369"/>
    <mergeCell ref="M9368:M9369"/>
    <mergeCell ref="N9368:N9369"/>
    <mergeCell ref="O9368:O9369"/>
    <mergeCell ref="X9368:X9369"/>
    <mergeCell ref="Y9368:Y9369"/>
    <mergeCell ref="Z9368:Z9369"/>
    <mergeCell ref="AA9368:AA9369"/>
    <mergeCell ref="AB9368:AB9369"/>
    <mergeCell ref="A9364:A9365"/>
    <mergeCell ref="E9364:E9365"/>
    <mergeCell ref="H9364:H9365"/>
    <mergeCell ref="I9364:I9365"/>
    <mergeCell ref="J9364:J9365"/>
    <mergeCell ref="K9364:K9365"/>
    <mergeCell ref="L9364:L9365"/>
    <mergeCell ref="M9364:M9365"/>
    <mergeCell ref="N9364:N9365"/>
    <mergeCell ref="O9364:O9365"/>
    <mergeCell ref="X9364:X9365"/>
    <mergeCell ref="Y9364:Y9365"/>
    <mergeCell ref="Z9364:Z9365"/>
    <mergeCell ref="AA9364:AA9365"/>
    <mergeCell ref="AB9364:AB9365"/>
    <mergeCell ref="A9370:A9371"/>
    <mergeCell ref="E9370:E9371"/>
    <mergeCell ref="H9370:H9371"/>
    <mergeCell ref="I9370:I9371"/>
    <mergeCell ref="J9370:J9371"/>
    <mergeCell ref="K9370:K9371"/>
    <mergeCell ref="L9370:L9371"/>
    <mergeCell ref="M9370:M9371"/>
    <mergeCell ref="N9370:N9371"/>
    <mergeCell ref="O9370:O9371"/>
    <mergeCell ref="X9370:X9371"/>
    <mergeCell ref="Y9370:Y9371"/>
    <mergeCell ref="Z9370:Z9371"/>
    <mergeCell ref="AA9370:AA9371"/>
    <mergeCell ref="AB9370:AB9371"/>
    <mergeCell ref="A9372:A9373"/>
    <mergeCell ref="E9372:E9373"/>
    <mergeCell ref="H9372:H9373"/>
    <mergeCell ref="I9372:I9373"/>
    <mergeCell ref="J9372:J9373"/>
    <mergeCell ref="K9372:K9373"/>
    <mergeCell ref="L9372:L9373"/>
    <mergeCell ref="M9372:M9373"/>
    <mergeCell ref="N9372:N9373"/>
    <mergeCell ref="O9372:O9373"/>
    <mergeCell ref="X9372:X9373"/>
    <mergeCell ref="Y9372:Y9373"/>
    <mergeCell ref="Z9372:Z9373"/>
    <mergeCell ref="AA9372:AA9373"/>
    <mergeCell ref="AB9372:AB9373"/>
    <mergeCell ref="A9374:A9375"/>
    <mergeCell ref="E9374:E9375"/>
    <mergeCell ref="H9374:H9375"/>
    <mergeCell ref="I9374:I9375"/>
    <mergeCell ref="J9374:J9375"/>
    <mergeCell ref="K9374:K9375"/>
    <mergeCell ref="L9374:L9375"/>
    <mergeCell ref="M9374:M9375"/>
    <mergeCell ref="N9374:N9375"/>
    <mergeCell ref="O9374:O9375"/>
    <mergeCell ref="X9374:X9375"/>
    <mergeCell ref="Y9374:Y9375"/>
    <mergeCell ref="Z9374:Z9375"/>
    <mergeCell ref="AA9374:AA9375"/>
    <mergeCell ref="AB9374:AB9375"/>
    <mergeCell ref="A9376:A9377"/>
    <mergeCell ref="E9376:E9377"/>
    <mergeCell ref="H9376:H9377"/>
    <mergeCell ref="I9376:I9377"/>
    <mergeCell ref="J9376:J9377"/>
    <mergeCell ref="K9376:K9377"/>
    <mergeCell ref="L9376:L9377"/>
    <mergeCell ref="M9376:M9377"/>
    <mergeCell ref="N9376:N9377"/>
    <mergeCell ref="O9376:O9377"/>
    <mergeCell ref="X9376:X9377"/>
    <mergeCell ref="Y9376:Y9377"/>
    <mergeCell ref="Z9376:Z9377"/>
    <mergeCell ref="AA9376:AA9377"/>
    <mergeCell ref="AB9376:AB9377"/>
    <mergeCell ref="A9378:A9379"/>
    <mergeCell ref="E9378:E9379"/>
    <mergeCell ref="H9378:H9379"/>
    <mergeCell ref="I9378:I9379"/>
    <mergeCell ref="J9378:J9379"/>
    <mergeCell ref="K9378:K9379"/>
    <mergeCell ref="L9378:L9379"/>
    <mergeCell ref="M9378:M9379"/>
    <mergeCell ref="N9378:N9379"/>
    <mergeCell ref="O9378:O9379"/>
    <mergeCell ref="X9378:X9379"/>
    <mergeCell ref="Y9378:Y9379"/>
    <mergeCell ref="Z9378:Z9379"/>
    <mergeCell ref="AA9378:AA9379"/>
    <mergeCell ref="AB9378:AB9379"/>
    <mergeCell ref="A9380:A9381"/>
    <mergeCell ref="E9380:E9381"/>
    <mergeCell ref="H9380:H9381"/>
    <mergeCell ref="I9380:I9381"/>
    <mergeCell ref="J9380:J9381"/>
    <mergeCell ref="K9380:K9381"/>
    <mergeCell ref="L9380:L9381"/>
    <mergeCell ref="M9380:M9381"/>
    <mergeCell ref="N9380:N9381"/>
    <mergeCell ref="O9380:O9381"/>
    <mergeCell ref="X9380:X9381"/>
    <mergeCell ref="Y9380:Y9381"/>
    <mergeCell ref="Z9380:Z9381"/>
    <mergeCell ref="AA9380:AA9381"/>
    <mergeCell ref="AB9380:AB9381"/>
    <mergeCell ref="A9382:A9383"/>
    <mergeCell ref="E9382:E9383"/>
    <mergeCell ref="H9382:H9383"/>
    <mergeCell ref="I9382:I9383"/>
    <mergeCell ref="J9382:J9383"/>
    <mergeCell ref="K9382:K9383"/>
    <mergeCell ref="L9382:L9383"/>
    <mergeCell ref="M9382:M9383"/>
    <mergeCell ref="N9382:N9383"/>
    <mergeCell ref="O9382:O9383"/>
    <mergeCell ref="X9382:X9383"/>
    <mergeCell ref="Y9382:Y9383"/>
    <mergeCell ref="Z9382:Z9383"/>
    <mergeCell ref="AA9382:AA9383"/>
    <mergeCell ref="AB9382:AB9383"/>
    <mergeCell ref="A9384:A9385"/>
    <mergeCell ref="E9384:E9385"/>
    <mergeCell ref="H9384:H9385"/>
    <mergeCell ref="I9384:I9385"/>
    <mergeCell ref="J9384:J9385"/>
    <mergeCell ref="K9384:K9385"/>
    <mergeCell ref="L9384:L9385"/>
    <mergeCell ref="M9384:M9385"/>
    <mergeCell ref="N9384:N9385"/>
    <mergeCell ref="O9384:O9385"/>
    <mergeCell ref="X9384:X9385"/>
    <mergeCell ref="Y9384:Y9385"/>
    <mergeCell ref="Z9384:Z9385"/>
    <mergeCell ref="AA9384:AA9385"/>
    <mergeCell ref="AB9384:AB9385"/>
    <mergeCell ref="A9386:A9387"/>
    <mergeCell ref="E9386:E9387"/>
    <mergeCell ref="H9386:H9387"/>
    <mergeCell ref="I9386:I9387"/>
    <mergeCell ref="J9386:J9387"/>
    <mergeCell ref="K9386:K9387"/>
    <mergeCell ref="L9386:L9387"/>
    <mergeCell ref="M9386:M9387"/>
    <mergeCell ref="N9386:N9387"/>
    <mergeCell ref="O9386:O9387"/>
    <mergeCell ref="X9386:X9387"/>
    <mergeCell ref="Y9386:Y9387"/>
    <mergeCell ref="Z9386:Z9387"/>
    <mergeCell ref="AA9386:AA9387"/>
    <mergeCell ref="AB9386:AB9387"/>
    <mergeCell ref="A9388:A9389"/>
    <mergeCell ref="E9388:E9389"/>
    <mergeCell ref="H9388:H9389"/>
    <mergeCell ref="I9388:I9389"/>
    <mergeCell ref="J9388:J9389"/>
    <mergeCell ref="K9388:K9389"/>
    <mergeCell ref="L9388:L9389"/>
    <mergeCell ref="M9388:M9389"/>
    <mergeCell ref="N9388:N9389"/>
    <mergeCell ref="O9388:O9389"/>
    <mergeCell ref="X9388:X9389"/>
    <mergeCell ref="Y9388:Y9389"/>
    <mergeCell ref="Z9388:Z9389"/>
    <mergeCell ref="AA9388:AA9389"/>
    <mergeCell ref="AB9388:AB9389"/>
    <mergeCell ref="A9390:A9391"/>
    <mergeCell ref="E9390:E9391"/>
    <mergeCell ref="H9390:H9391"/>
    <mergeCell ref="I9390:I9391"/>
    <mergeCell ref="J9390:J9391"/>
    <mergeCell ref="K9390:K9391"/>
    <mergeCell ref="L9390:L9391"/>
    <mergeCell ref="M9390:M9391"/>
    <mergeCell ref="N9390:N9391"/>
    <mergeCell ref="O9390:O9391"/>
    <mergeCell ref="X9390:X9391"/>
    <mergeCell ref="Y9390:Y9391"/>
    <mergeCell ref="Z9390:Z9391"/>
    <mergeCell ref="AA9390:AA9391"/>
    <mergeCell ref="AB9390:AB9391"/>
    <mergeCell ref="A9392:A9393"/>
    <mergeCell ref="E9392:E9393"/>
    <mergeCell ref="H9392:H9393"/>
    <mergeCell ref="I9392:I9393"/>
    <mergeCell ref="J9392:J9393"/>
    <mergeCell ref="K9392:K9393"/>
    <mergeCell ref="L9392:L9393"/>
    <mergeCell ref="M9392:M9393"/>
    <mergeCell ref="N9392:N9393"/>
    <mergeCell ref="O9392:O9393"/>
    <mergeCell ref="X9392:X9393"/>
    <mergeCell ref="Y9392:Y9393"/>
    <mergeCell ref="Z9392:Z9393"/>
    <mergeCell ref="AA9392:AA9393"/>
    <mergeCell ref="AB9392:AB9393"/>
    <mergeCell ref="A9394:A9395"/>
    <mergeCell ref="E9394:E9395"/>
    <mergeCell ref="H9394:H9395"/>
    <mergeCell ref="I9394:I9395"/>
    <mergeCell ref="J9394:J9395"/>
    <mergeCell ref="K9394:K9395"/>
    <mergeCell ref="L9394:L9395"/>
    <mergeCell ref="M9394:M9395"/>
    <mergeCell ref="N9394:N9395"/>
    <mergeCell ref="O9394:O9395"/>
    <mergeCell ref="X9394:X9395"/>
    <mergeCell ref="Y9394:Y9395"/>
    <mergeCell ref="Z9394:Z9395"/>
    <mergeCell ref="AA9394:AA9395"/>
    <mergeCell ref="AB9394:AB9395"/>
    <mergeCell ref="A9396:A9397"/>
    <mergeCell ref="E9396:E9397"/>
    <mergeCell ref="H9396:H9397"/>
    <mergeCell ref="I9396:I9397"/>
    <mergeCell ref="J9396:J9397"/>
    <mergeCell ref="K9396:K9397"/>
    <mergeCell ref="L9396:L9397"/>
    <mergeCell ref="M9396:M9397"/>
    <mergeCell ref="N9396:N9397"/>
    <mergeCell ref="O9396:O9397"/>
    <mergeCell ref="X9396:X9397"/>
    <mergeCell ref="Y9396:Y9397"/>
    <mergeCell ref="Z9396:Z9397"/>
    <mergeCell ref="AA9396:AA9397"/>
    <mergeCell ref="AB9396:AB9397"/>
    <mergeCell ref="A9398:A9399"/>
    <mergeCell ref="E9398:E9399"/>
    <mergeCell ref="H9398:H9399"/>
    <mergeCell ref="I9398:I9399"/>
    <mergeCell ref="J9398:J9399"/>
    <mergeCell ref="K9398:K9399"/>
    <mergeCell ref="L9398:L9399"/>
    <mergeCell ref="M9398:M9399"/>
    <mergeCell ref="N9398:N9399"/>
    <mergeCell ref="O9398:O9399"/>
    <mergeCell ref="X9398:X9399"/>
    <mergeCell ref="Y9398:Y9399"/>
    <mergeCell ref="Z9398:Z9399"/>
    <mergeCell ref="AA9398:AA9399"/>
    <mergeCell ref="AB9398:AB9399"/>
    <mergeCell ref="A9400:A9401"/>
    <mergeCell ref="E9400:E9401"/>
    <mergeCell ref="H9400:H9401"/>
    <mergeCell ref="I9400:I9401"/>
    <mergeCell ref="J9400:J9401"/>
    <mergeCell ref="K9400:K9401"/>
    <mergeCell ref="L9400:L9401"/>
    <mergeCell ref="M9400:M9401"/>
    <mergeCell ref="N9400:N9401"/>
    <mergeCell ref="O9400:O9401"/>
    <mergeCell ref="X9400:X9401"/>
    <mergeCell ref="Y9400:Y9401"/>
    <mergeCell ref="Z9400:Z9401"/>
    <mergeCell ref="AA9400:AA9401"/>
    <mergeCell ref="AB9400:AB9401"/>
    <mergeCell ref="A9402:A9403"/>
    <mergeCell ref="E9402:E9403"/>
    <mergeCell ref="H9402:H9403"/>
    <mergeCell ref="I9402:I9403"/>
    <mergeCell ref="J9402:J9403"/>
    <mergeCell ref="K9402:K9403"/>
    <mergeCell ref="L9402:L9403"/>
    <mergeCell ref="M9402:M9403"/>
    <mergeCell ref="N9402:N9403"/>
    <mergeCell ref="O9402:O9403"/>
    <mergeCell ref="X9402:X9403"/>
    <mergeCell ref="Y9402:Y9403"/>
    <mergeCell ref="Z9402:Z9403"/>
    <mergeCell ref="AA9402:AA9403"/>
    <mergeCell ref="AB9402:AB9403"/>
    <mergeCell ref="A9404:A9405"/>
    <mergeCell ref="E9404:E9405"/>
    <mergeCell ref="H9404:H9405"/>
    <mergeCell ref="I9404:I9405"/>
    <mergeCell ref="J9404:J9405"/>
    <mergeCell ref="K9404:K9405"/>
    <mergeCell ref="L9404:L9405"/>
    <mergeCell ref="M9404:M9405"/>
    <mergeCell ref="N9404:N9405"/>
    <mergeCell ref="O9404:O9405"/>
    <mergeCell ref="X9404:X9405"/>
    <mergeCell ref="Y9404:Y9405"/>
    <mergeCell ref="Z9404:Z9405"/>
    <mergeCell ref="AA9404:AA9405"/>
    <mergeCell ref="AB9404:AB9405"/>
    <mergeCell ref="A9406:A9407"/>
    <mergeCell ref="E9406:E9407"/>
    <mergeCell ref="H9406:H9407"/>
    <mergeCell ref="I9406:I9407"/>
    <mergeCell ref="J9406:J9407"/>
    <mergeCell ref="K9406:K9407"/>
    <mergeCell ref="L9406:L9407"/>
    <mergeCell ref="M9406:M9407"/>
    <mergeCell ref="N9406:N9407"/>
    <mergeCell ref="O9406:O9407"/>
    <mergeCell ref="X9406:X9407"/>
    <mergeCell ref="Y9406:Y9407"/>
    <mergeCell ref="Z9406:Z9407"/>
    <mergeCell ref="AA9406:AA9407"/>
    <mergeCell ref="AB9406:AB9407"/>
    <mergeCell ref="A9408:A9409"/>
    <mergeCell ref="E9408:E9409"/>
    <mergeCell ref="H9408:H9409"/>
    <mergeCell ref="I9408:I9409"/>
    <mergeCell ref="J9408:J9409"/>
    <mergeCell ref="K9408:K9409"/>
    <mergeCell ref="L9408:L9409"/>
    <mergeCell ref="M9408:M9409"/>
    <mergeCell ref="N9408:N9409"/>
    <mergeCell ref="O9408:O9409"/>
    <mergeCell ref="X9408:X9409"/>
    <mergeCell ref="Y9408:Y9409"/>
    <mergeCell ref="Z9408:Z9409"/>
    <mergeCell ref="AA9408:AA9409"/>
    <mergeCell ref="AB9408:AB9409"/>
    <mergeCell ref="A9410:A9411"/>
    <mergeCell ref="E9410:E9411"/>
    <mergeCell ref="H9410:H9411"/>
    <mergeCell ref="I9410:I9411"/>
    <mergeCell ref="J9410:J9411"/>
    <mergeCell ref="K9410:K9411"/>
    <mergeCell ref="L9410:L9411"/>
    <mergeCell ref="M9410:M9411"/>
    <mergeCell ref="N9410:N9411"/>
    <mergeCell ref="O9410:O9411"/>
    <mergeCell ref="X9410:X9411"/>
    <mergeCell ref="Y9410:Y9411"/>
    <mergeCell ref="Z9410:Z9411"/>
    <mergeCell ref="AA9410:AA9411"/>
    <mergeCell ref="AB9410:AB9411"/>
    <mergeCell ref="A9412:A9413"/>
    <mergeCell ref="E9412:E9413"/>
    <mergeCell ref="H9412:H9413"/>
    <mergeCell ref="I9412:I9413"/>
    <mergeCell ref="J9412:J9413"/>
    <mergeCell ref="K9412:K9413"/>
    <mergeCell ref="L9412:L9413"/>
    <mergeCell ref="M9412:M9413"/>
    <mergeCell ref="N9412:N9413"/>
    <mergeCell ref="O9412:O9413"/>
    <mergeCell ref="X9412:X9413"/>
    <mergeCell ref="Y9412:Y9413"/>
    <mergeCell ref="Z9412:Z9413"/>
    <mergeCell ref="AA9412:AA9413"/>
    <mergeCell ref="AB9412:AB9413"/>
    <mergeCell ref="A9414:A9415"/>
    <mergeCell ref="E9414:E9415"/>
    <mergeCell ref="H9414:H9415"/>
    <mergeCell ref="I9414:I9415"/>
    <mergeCell ref="J9414:J9415"/>
    <mergeCell ref="K9414:K9415"/>
    <mergeCell ref="L9414:L9415"/>
    <mergeCell ref="M9414:M9415"/>
    <mergeCell ref="N9414:N9415"/>
    <mergeCell ref="O9414:O9415"/>
    <mergeCell ref="X9414:X9415"/>
    <mergeCell ref="Y9414:Y9415"/>
    <mergeCell ref="Z9414:Z9415"/>
    <mergeCell ref="AA9414:AA9415"/>
    <mergeCell ref="AB9414:AB9415"/>
    <mergeCell ref="A9416:A9417"/>
    <mergeCell ref="E9416:E9417"/>
    <mergeCell ref="H9416:H9417"/>
    <mergeCell ref="I9416:I9417"/>
    <mergeCell ref="J9416:J9417"/>
    <mergeCell ref="K9416:K9417"/>
    <mergeCell ref="L9416:L9417"/>
    <mergeCell ref="M9416:M9417"/>
    <mergeCell ref="N9416:N9417"/>
    <mergeCell ref="O9416:O9417"/>
    <mergeCell ref="X9416:X9417"/>
    <mergeCell ref="Y9416:Y9417"/>
    <mergeCell ref="Z9416:Z9417"/>
    <mergeCell ref="AA9416:AA9417"/>
    <mergeCell ref="AB9416:AB9417"/>
    <mergeCell ref="A9418:A9419"/>
    <mergeCell ref="E9418:E9419"/>
    <mergeCell ref="H9418:H9419"/>
    <mergeCell ref="I9418:I9419"/>
    <mergeCell ref="J9418:J9419"/>
    <mergeCell ref="K9418:K9419"/>
    <mergeCell ref="L9418:L9419"/>
    <mergeCell ref="M9418:M9419"/>
    <mergeCell ref="N9418:N9419"/>
    <mergeCell ref="O9418:O9419"/>
    <mergeCell ref="X9418:X9419"/>
    <mergeCell ref="Y9418:Y9419"/>
    <mergeCell ref="Z9418:Z9419"/>
    <mergeCell ref="AA9418:AA9419"/>
    <mergeCell ref="AB9418:AB9419"/>
    <mergeCell ref="A9420:A9421"/>
    <mergeCell ref="E9420:E9421"/>
    <mergeCell ref="H9420:H9421"/>
    <mergeCell ref="I9420:I9421"/>
    <mergeCell ref="J9420:J9421"/>
    <mergeCell ref="K9420:K9421"/>
    <mergeCell ref="L9420:L9421"/>
    <mergeCell ref="M9420:M9421"/>
    <mergeCell ref="N9420:N9421"/>
    <mergeCell ref="O9420:O9421"/>
    <mergeCell ref="X9420:X9421"/>
    <mergeCell ref="Y9420:Y9421"/>
    <mergeCell ref="Z9420:Z9421"/>
    <mergeCell ref="AA9420:AA9421"/>
    <mergeCell ref="AB9420:AB9421"/>
    <mergeCell ref="A9422:A9423"/>
    <mergeCell ref="E9422:E9423"/>
    <mergeCell ref="H9422:H9423"/>
    <mergeCell ref="I9422:I9423"/>
    <mergeCell ref="J9422:J9423"/>
    <mergeCell ref="K9422:K9423"/>
    <mergeCell ref="L9422:L9423"/>
    <mergeCell ref="M9422:M9423"/>
    <mergeCell ref="N9422:N9423"/>
    <mergeCell ref="O9422:O9423"/>
    <mergeCell ref="X9422:X9423"/>
    <mergeCell ref="Y9422:Y9423"/>
    <mergeCell ref="Z9422:Z9423"/>
    <mergeCell ref="AA9422:AA9423"/>
    <mergeCell ref="AB9422:AB9423"/>
    <mergeCell ref="A9424:A9425"/>
    <mergeCell ref="E9424:E9425"/>
    <mergeCell ref="H9424:H9425"/>
    <mergeCell ref="I9424:I9425"/>
    <mergeCell ref="J9424:J9425"/>
    <mergeCell ref="K9424:K9425"/>
    <mergeCell ref="L9424:L9425"/>
    <mergeCell ref="M9424:M9425"/>
    <mergeCell ref="N9424:N9425"/>
    <mergeCell ref="O9424:O9425"/>
    <mergeCell ref="X9424:X9425"/>
    <mergeCell ref="Y9424:Y9425"/>
    <mergeCell ref="Z9424:Z9425"/>
    <mergeCell ref="AA9424:AA9425"/>
    <mergeCell ref="AB9424:AB9425"/>
    <mergeCell ref="A9426:A9427"/>
    <mergeCell ref="E9426:E9427"/>
    <mergeCell ref="H9426:H9427"/>
    <mergeCell ref="I9426:I9427"/>
    <mergeCell ref="J9426:J9427"/>
    <mergeCell ref="K9426:K9427"/>
    <mergeCell ref="L9426:L9427"/>
    <mergeCell ref="M9426:M9427"/>
    <mergeCell ref="N9426:N9427"/>
    <mergeCell ref="O9426:O9427"/>
    <mergeCell ref="X9426:X9427"/>
    <mergeCell ref="Y9426:Y9427"/>
    <mergeCell ref="Z9426:Z9427"/>
    <mergeCell ref="AA9426:AA9427"/>
    <mergeCell ref="AB9426:AB9427"/>
    <mergeCell ref="A9428:A9429"/>
    <mergeCell ref="E9428:E9429"/>
    <mergeCell ref="H9428:H9429"/>
    <mergeCell ref="I9428:I9429"/>
    <mergeCell ref="J9428:J9429"/>
    <mergeCell ref="K9428:K9429"/>
    <mergeCell ref="L9428:L9429"/>
    <mergeCell ref="M9428:M9429"/>
    <mergeCell ref="N9428:N9429"/>
    <mergeCell ref="O9428:O9429"/>
    <mergeCell ref="X9428:X9429"/>
    <mergeCell ref="Y9428:Y9429"/>
    <mergeCell ref="Z9428:Z9429"/>
    <mergeCell ref="AA9428:AA9429"/>
    <mergeCell ref="AB9428:AB9429"/>
    <mergeCell ref="A9430:A9431"/>
    <mergeCell ref="E9430:E9431"/>
    <mergeCell ref="H9430:H9431"/>
    <mergeCell ref="I9430:I9431"/>
    <mergeCell ref="J9430:J9431"/>
    <mergeCell ref="K9430:K9431"/>
    <mergeCell ref="L9430:L9431"/>
    <mergeCell ref="M9430:M9431"/>
    <mergeCell ref="N9430:N9431"/>
    <mergeCell ref="O9430:O9431"/>
    <mergeCell ref="X9430:X9431"/>
    <mergeCell ref="Y9430:Y9431"/>
    <mergeCell ref="Z9430:Z9431"/>
    <mergeCell ref="AA9430:AA9431"/>
    <mergeCell ref="AB9430:AB9431"/>
    <mergeCell ref="A9432:A9433"/>
    <mergeCell ref="E9432:E9433"/>
    <mergeCell ref="H9432:H9433"/>
    <mergeCell ref="I9432:I9433"/>
    <mergeCell ref="J9432:J9433"/>
    <mergeCell ref="K9432:K9433"/>
    <mergeCell ref="L9432:L9433"/>
    <mergeCell ref="M9432:M9433"/>
    <mergeCell ref="N9432:N9433"/>
    <mergeCell ref="O9432:O9433"/>
    <mergeCell ref="X9432:X9433"/>
    <mergeCell ref="Y9432:Y9433"/>
    <mergeCell ref="Z9432:Z9433"/>
    <mergeCell ref="AA9432:AA9433"/>
    <mergeCell ref="AB9432:AB9433"/>
    <mergeCell ref="A9434:A9435"/>
    <mergeCell ref="E9434:E9435"/>
    <mergeCell ref="H9434:H9435"/>
    <mergeCell ref="I9434:I9435"/>
    <mergeCell ref="J9434:J9435"/>
    <mergeCell ref="K9434:K9435"/>
    <mergeCell ref="L9434:L9435"/>
    <mergeCell ref="M9434:M9435"/>
    <mergeCell ref="N9434:N9435"/>
    <mergeCell ref="O9434:O9435"/>
    <mergeCell ref="X9434:X9435"/>
    <mergeCell ref="Y9434:Y9435"/>
    <mergeCell ref="Z9434:Z9435"/>
    <mergeCell ref="AA9434:AA9435"/>
    <mergeCell ref="AB9434:AB9435"/>
    <mergeCell ref="A9436:A9437"/>
    <mergeCell ref="E9436:E9437"/>
    <mergeCell ref="H9436:H9437"/>
    <mergeCell ref="I9436:I9437"/>
    <mergeCell ref="J9436:J9437"/>
    <mergeCell ref="K9436:K9437"/>
    <mergeCell ref="L9436:L9437"/>
    <mergeCell ref="M9436:M9437"/>
    <mergeCell ref="N9436:N9437"/>
    <mergeCell ref="O9436:O9437"/>
    <mergeCell ref="X9436:X9437"/>
    <mergeCell ref="Y9436:Y9437"/>
    <mergeCell ref="Z9436:Z9437"/>
    <mergeCell ref="AA9436:AA9437"/>
    <mergeCell ref="AB9436:AB9437"/>
    <mergeCell ref="A9438:A9439"/>
    <mergeCell ref="E9438:E9439"/>
    <mergeCell ref="H9438:H9439"/>
    <mergeCell ref="I9438:I9439"/>
    <mergeCell ref="J9438:J9439"/>
    <mergeCell ref="K9438:K9439"/>
    <mergeCell ref="L9438:L9439"/>
    <mergeCell ref="M9438:M9439"/>
    <mergeCell ref="N9438:N9439"/>
    <mergeCell ref="O9438:O9439"/>
    <mergeCell ref="X9438:X9439"/>
    <mergeCell ref="Y9438:Y9439"/>
    <mergeCell ref="Z9438:Z9439"/>
    <mergeCell ref="AA9438:AA9439"/>
    <mergeCell ref="AB9438:AB9439"/>
    <mergeCell ref="A9440:A9441"/>
    <mergeCell ref="E9440:E9441"/>
    <mergeCell ref="H9440:H9441"/>
    <mergeCell ref="I9440:I9441"/>
    <mergeCell ref="J9440:J9441"/>
    <mergeCell ref="K9440:K9441"/>
    <mergeCell ref="L9440:L9441"/>
    <mergeCell ref="M9440:M9441"/>
    <mergeCell ref="N9440:N9441"/>
    <mergeCell ref="O9440:O9441"/>
    <mergeCell ref="X9440:X9441"/>
    <mergeCell ref="Y9440:Y9441"/>
    <mergeCell ref="Z9440:Z9441"/>
    <mergeCell ref="AA9440:AA9441"/>
    <mergeCell ref="AB9440:AB9441"/>
    <mergeCell ref="A9442:A9443"/>
    <mergeCell ref="E9442:E9443"/>
    <mergeCell ref="H9442:H9443"/>
    <mergeCell ref="I9442:I9443"/>
    <mergeCell ref="J9442:J9443"/>
    <mergeCell ref="K9442:K9443"/>
    <mergeCell ref="L9442:L9443"/>
    <mergeCell ref="M9442:M9443"/>
    <mergeCell ref="N9442:N9443"/>
    <mergeCell ref="O9442:O9443"/>
    <mergeCell ref="X9442:X9443"/>
    <mergeCell ref="Y9442:Y9443"/>
    <mergeCell ref="Z9442:Z9443"/>
    <mergeCell ref="AA9442:AA9443"/>
    <mergeCell ref="AB9442:AB9443"/>
    <mergeCell ref="A9444:A9445"/>
    <mergeCell ref="E9444:E9445"/>
    <mergeCell ref="H9444:H9445"/>
    <mergeCell ref="I9444:I9445"/>
    <mergeCell ref="J9444:J9445"/>
    <mergeCell ref="K9444:K9445"/>
    <mergeCell ref="L9444:L9445"/>
    <mergeCell ref="M9444:M9445"/>
    <mergeCell ref="N9444:N9445"/>
    <mergeCell ref="O9444:O9445"/>
    <mergeCell ref="X9444:X9445"/>
    <mergeCell ref="Y9444:Y9445"/>
    <mergeCell ref="Z9444:Z9445"/>
    <mergeCell ref="AA9444:AA9445"/>
    <mergeCell ref="AB9444:AB9445"/>
    <mergeCell ref="A9446:A9447"/>
    <mergeCell ref="E9446:E9447"/>
    <mergeCell ref="H9446:H9447"/>
    <mergeCell ref="I9446:I9447"/>
    <mergeCell ref="J9446:J9447"/>
    <mergeCell ref="K9446:K9447"/>
    <mergeCell ref="L9446:L9447"/>
    <mergeCell ref="M9446:M9447"/>
    <mergeCell ref="N9446:N9447"/>
    <mergeCell ref="O9446:O9447"/>
    <mergeCell ref="X9446:X9447"/>
    <mergeCell ref="Y9446:Y9447"/>
    <mergeCell ref="Z9446:Z9447"/>
    <mergeCell ref="AA9446:AA9447"/>
    <mergeCell ref="AB9446:AB9447"/>
    <mergeCell ref="A9448:A9449"/>
    <mergeCell ref="E9448:E9449"/>
    <mergeCell ref="H9448:H9449"/>
    <mergeCell ref="I9448:I9449"/>
    <mergeCell ref="J9448:J9449"/>
    <mergeCell ref="K9448:K9449"/>
    <mergeCell ref="L9448:L9449"/>
    <mergeCell ref="M9448:M9449"/>
    <mergeCell ref="N9448:N9449"/>
    <mergeCell ref="O9448:O9449"/>
    <mergeCell ref="X9448:X9449"/>
    <mergeCell ref="Y9448:Y9449"/>
    <mergeCell ref="Z9448:Z9449"/>
    <mergeCell ref="AA9448:AA9449"/>
    <mergeCell ref="AB9448:AB9449"/>
    <mergeCell ref="A9450:A9451"/>
    <mergeCell ref="E9450:E9451"/>
    <mergeCell ref="H9450:H9451"/>
    <mergeCell ref="I9450:I9451"/>
    <mergeCell ref="J9450:J9451"/>
    <mergeCell ref="K9450:K9451"/>
    <mergeCell ref="L9450:L9451"/>
    <mergeCell ref="M9450:M9451"/>
    <mergeCell ref="N9450:N9451"/>
    <mergeCell ref="O9450:O9451"/>
    <mergeCell ref="X9450:X9451"/>
    <mergeCell ref="Y9450:Y9451"/>
    <mergeCell ref="Z9450:Z9451"/>
    <mergeCell ref="AA9450:AA9451"/>
    <mergeCell ref="AB9450:AB9451"/>
    <mergeCell ref="A9452:A9453"/>
    <mergeCell ref="E9452:E9453"/>
    <mergeCell ref="H9452:H9453"/>
    <mergeCell ref="I9452:I9453"/>
    <mergeCell ref="J9452:J9453"/>
    <mergeCell ref="K9452:K9453"/>
    <mergeCell ref="L9452:L9453"/>
    <mergeCell ref="M9452:M9453"/>
    <mergeCell ref="N9452:N9453"/>
    <mergeCell ref="O9452:O9453"/>
    <mergeCell ref="X9452:X9453"/>
    <mergeCell ref="Y9452:Y9453"/>
    <mergeCell ref="Z9452:Z9453"/>
    <mergeCell ref="AA9452:AA9453"/>
    <mergeCell ref="AB9452:AB9453"/>
    <mergeCell ref="A9454:A9455"/>
    <mergeCell ref="E9454:E9455"/>
    <mergeCell ref="H9454:H9455"/>
    <mergeCell ref="I9454:I9455"/>
    <mergeCell ref="J9454:J9455"/>
    <mergeCell ref="K9454:K9455"/>
    <mergeCell ref="L9454:L9455"/>
    <mergeCell ref="M9454:M9455"/>
    <mergeCell ref="N9454:N9455"/>
    <mergeCell ref="O9454:O9455"/>
    <mergeCell ref="X9454:X9455"/>
    <mergeCell ref="Y9454:Y9455"/>
    <mergeCell ref="Z9454:Z9455"/>
    <mergeCell ref="AA9454:AA9455"/>
    <mergeCell ref="AB9454:AB9455"/>
    <mergeCell ref="A9456:A9457"/>
    <mergeCell ref="E9456:E9457"/>
    <mergeCell ref="H9456:H9457"/>
    <mergeCell ref="I9456:I9457"/>
    <mergeCell ref="J9456:J9457"/>
    <mergeCell ref="K9456:K9457"/>
    <mergeCell ref="L9456:L9457"/>
    <mergeCell ref="M9456:M9457"/>
    <mergeCell ref="N9456:N9457"/>
    <mergeCell ref="O9456:O9457"/>
    <mergeCell ref="X9456:X9457"/>
    <mergeCell ref="Y9456:Y9457"/>
    <mergeCell ref="Z9456:Z9457"/>
    <mergeCell ref="AA9456:AA9457"/>
    <mergeCell ref="AB9456:AB9457"/>
    <mergeCell ref="A9458:A9459"/>
    <mergeCell ref="E9458:E9459"/>
    <mergeCell ref="H9458:H9459"/>
    <mergeCell ref="I9458:I9459"/>
    <mergeCell ref="J9458:J9459"/>
    <mergeCell ref="K9458:K9459"/>
    <mergeCell ref="L9458:L9459"/>
    <mergeCell ref="M9458:M9459"/>
    <mergeCell ref="N9458:N9459"/>
    <mergeCell ref="O9458:O9459"/>
    <mergeCell ref="X9458:X9459"/>
    <mergeCell ref="Y9458:Y9459"/>
    <mergeCell ref="Z9458:Z9459"/>
    <mergeCell ref="AA9458:AA9459"/>
    <mergeCell ref="AB9458:AB9459"/>
    <mergeCell ref="A9460:A9461"/>
    <mergeCell ref="E9460:E9461"/>
    <mergeCell ref="H9460:H9461"/>
    <mergeCell ref="I9460:I9461"/>
    <mergeCell ref="J9460:J9461"/>
    <mergeCell ref="K9460:K9461"/>
    <mergeCell ref="L9460:L9461"/>
    <mergeCell ref="M9460:M9461"/>
    <mergeCell ref="N9460:N9461"/>
    <mergeCell ref="O9460:O9461"/>
    <mergeCell ref="X9460:X9461"/>
    <mergeCell ref="Y9460:Y9461"/>
    <mergeCell ref="Z9460:Z9461"/>
    <mergeCell ref="AA9460:AA9461"/>
    <mergeCell ref="AB9460:AB9461"/>
    <mergeCell ref="A9462:A9463"/>
    <mergeCell ref="E9462:E9463"/>
    <mergeCell ref="H9462:H9463"/>
    <mergeCell ref="I9462:I9463"/>
    <mergeCell ref="J9462:J9463"/>
    <mergeCell ref="K9462:K9463"/>
    <mergeCell ref="L9462:L9463"/>
    <mergeCell ref="M9462:M9463"/>
    <mergeCell ref="N9462:N9463"/>
    <mergeCell ref="O9462:O9463"/>
    <mergeCell ref="X9462:X9463"/>
    <mergeCell ref="Y9462:Y9463"/>
    <mergeCell ref="Z9462:Z9463"/>
    <mergeCell ref="AA9462:AA9463"/>
    <mergeCell ref="AB9462:AB9463"/>
    <mergeCell ref="A9464:A9465"/>
    <mergeCell ref="E9464:E9465"/>
    <mergeCell ref="H9464:H9465"/>
    <mergeCell ref="I9464:I9465"/>
    <mergeCell ref="J9464:J9465"/>
    <mergeCell ref="K9464:K9465"/>
    <mergeCell ref="L9464:L9465"/>
    <mergeCell ref="M9464:M9465"/>
    <mergeCell ref="N9464:N9465"/>
    <mergeCell ref="O9464:O9465"/>
    <mergeCell ref="X9464:X9465"/>
    <mergeCell ref="Y9464:Y9465"/>
    <mergeCell ref="Z9464:Z9465"/>
    <mergeCell ref="AA9464:AA9465"/>
    <mergeCell ref="AB9464:AB9465"/>
    <mergeCell ref="A9466:A9467"/>
    <mergeCell ref="E9466:E9467"/>
    <mergeCell ref="H9466:H9467"/>
    <mergeCell ref="I9466:I9467"/>
    <mergeCell ref="J9466:J9467"/>
    <mergeCell ref="K9466:K9467"/>
    <mergeCell ref="L9466:L9467"/>
    <mergeCell ref="M9466:M9467"/>
    <mergeCell ref="N9466:N9467"/>
    <mergeCell ref="O9466:O9467"/>
    <mergeCell ref="X9466:X9467"/>
    <mergeCell ref="Y9466:Y9467"/>
    <mergeCell ref="Z9466:Z9467"/>
    <mergeCell ref="AA9466:AA9467"/>
    <mergeCell ref="AB9466:AB9467"/>
    <mergeCell ref="A9468:A9469"/>
    <mergeCell ref="E9468:E9469"/>
    <mergeCell ref="H9468:H9469"/>
    <mergeCell ref="I9468:I9469"/>
    <mergeCell ref="J9468:J9469"/>
    <mergeCell ref="K9468:K9469"/>
    <mergeCell ref="L9468:L9469"/>
    <mergeCell ref="M9468:M9469"/>
    <mergeCell ref="N9468:N9469"/>
    <mergeCell ref="O9468:O9469"/>
    <mergeCell ref="X9468:X9469"/>
    <mergeCell ref="Y9468:Y9469"/>
    <mergeCell ref="Z9468:Z9469"/>
    <mergeCell ref="AA9468:AA9469"/>
    <mergeCell ref="AB9468:AB9469"/>
    <mergeCell ref="A9470:A9471"/>
    <mergeCell ref="E9470:E9471"/>
    <mergeCell ref="H9470:H9471"/>
    <mergeCell ref="I9470:I9471"/>
    <mergeCell ref="J9470:J9471"/>
    <mergeCell ref="K9470:K9471"/>
    <mergeCell ref="L9470:L9471"/>
    <mergeCell ref="M9470:M9471"/>
    <mergeCell ref="N9470:N9471"/>
    <mergeCell ref="O9470:O9471"/>
    <mergeCell ref="X9470:X9471"/>
    <mergeCell ref="Y9470:Y9471"/>
    <mergeCell ref="Z9470:Z9471"/>
    <mergeCell ref="AA9470:AA9471"/>
    <mergeCell ref="AB9470:AB9471"/>
    <mergeCell ref="A9472:A9473"/>
    <mergeCell ref="E9472:E9473"/>
    <mergeCell ref="H9472:H9473"/>
    <mergeCell ref="I9472:I9473"/>
    <mergeCell ref="J9472:J9473"/>
    <mergeCell ref="K9472:K9473"/>
    <mergeCell ref="L9472:L9473"/>
    <mergeCell ref="M9472:M9473"/>
    <mergeCell ref="N9472:N9473"/>
    <mergeCell ref="O9472:O9473"/>
    <mergeCell ref="X9472:X9473"/>
    <mergeCell ref="Y9472:Y9473"/>
    <mergeCell ref="Z9472:Z9473"/>
    <mergeCell ref="AA9472:AA9473"/>
    <mergeCell ref="AB9472:AB9473"/>
    <mergeCell ref="A9474:A9475"/>
    <mergeCell ref="E9474:E9475"/>
    <mergeCell ref="H9474:H9475"/>
    <mergeCell ref="I9474:I9475"/>
    <mergeCell ref="J9474:J9475"/>
    <mergeCell ref="K9474:K9475"/>
    <mergeCell ref="L9474:L9475"/>
    <mergeCell ref="M9474:M9475"/>
    <mergeCell ref="N9474:N9475"/>
    <mergeCell ref="O9474:O9475"/>
    <mergeCell ref="X9474:X9475"/>
    <mergeCell ref="Y9474:Y9475"/>
    <mergeCell ref="Z9474:Z9475"/>
    <mergeCell ref="AA9474:AA9475"/>
    <mergeCell ref="AB9474:AB9475"/>
    <mergeCell ref="A9476:A9477"/>
    <mergeCell ref="E9476:E9477"/>
    <mergeCell ref="H9476:H9477"/>
    <mergeCell ref="I9476:I9477"/>
    <mergeCell ref="J9476:J9477"/>
    <mergeCell ref="K9476:K9477"/>
    <mergeCell ref="L9476:L9477"/>
    <mergeCell ref="M9476:M9477"/>
    <mergeCell ref="N9476:N9477"/>
    <mergeCell ref="O9476:O9477"/>
    <mergeCell ref="X9476:X9477"/>
    <mergeCell ref="Y9476:Y9477"/>
    <mergeCell ref="Z9476:Z9477"/>
    <mergeCell ref="AA9476:AA9477"/>
    <mergeCell ref="AB9476:AB9477"/>
    <mergeCell ref="A9478:A9479"/>
    <mergeCell ref="E9478:E9479"/>
    <mergeCell ref="H9478:H9479"/>
    <mergeCell ref="I9478:I9479"/>
    <mergeCell ref="J9478:J9479"/>
    <mergeCell ref="K9478:K9479"/>
    <mergeCell ref="L9478:L9479"/>
    <mergeCell ref="M9478:M9479"/>
    <mergeCell ref="N9478:N9479"/>
    <mergeCell ref="O9478:O9479"/>
    <mergeCell ref="X9478:X9479"/>
    <mergeCell ref="Y9478:Y9479"/>
    <mergeCell ref="Z9478:Z9479"/>
    <mergeCell ref="AA9478:AA9479"/>
    <mergeCell ref="AB9478:AB9479"/>
    <mergeCell ref="A9480:A9481"/>
    <mergeCell ref="E9480:E9481"/>
    <mergeCell ref="H9480:H9481"/>
    <mergeCell ref="I9480:I9481"/>
    <mergeCell ref="J9480:J9481"/>
    <mergeCell ref="K9480:K9481"/>
    <mergeCell ref="L9480:L9481"/>
    <mergeCell ref="M9480:M9481"/>
    <mergeCell ref="N9480:N9481"/>
    <mergeCell ref="O9480:O9481"/>
    <mergeCell ref="X9480:X9481"/>
    <mergeCell ref="Y9480:Y9481"/>
    <mergeCell ref="Z9480:Z9481"/>
    <mergeCell ref="AA9480:AA9481"/>
    <mergeCell ref="AB9480:AB9481"/>
    <mergeCell ref="A9482:A9483"/>
    <mergeCell ref="E9482:E9483"/>
    <mergeCell ref="H9482:H9483"/>
    <mergeCell ref="I9482:I9483"/>
    <mergeCell ref="J9482:J9483"/>
    <mergeCell ref="K9482:K9483"/>
    <mergeCell ref="L9482:L9483"/>
    <mergeCell ref="M9482:M9483"/>
    <mergeCell ref="N9482:N9483"/>
    <mergeCell ref="O9482:O9483"/>
    <mergeCell ref="X9482:X9483"/>
    <mergeCell ref="Y9482:Y9483"/>
    <mergeCell ref="Z9482:Z9483"/>
    <mergeCell ref="AA9482:AA9483"/>
    <mergeCell ref="AB9482:AB9483"/>
    <mergeCell ref="A9484:A9485"/>
    <mergeCell ref="E9484:E9485"/>
    <mergeCell ref="H9484:H9485"/>
    <mergeCell ref="I9484:I9485"/>
    <mergeCell ref="J9484:J9485"/>
    <mergeCell ref="K9484:K9485"/>
    <mergeCell ref="L9484:L9485"/>
    <mergeCell ref="M9484:M9485"/>
    <mergeCell ref="N9484:N9485"/>
    <mergeCell ref="O9484:O9485"/>
    <mergeCell ref="X9484:X9485"/>
    <mergeCell ref="Y9484:Y9485"/>
    <mergeCell ref="Z9484:Z9485"/>
    <mergeCell ref="AA9484:AA9485"/>
    <mergeCell ref="AB9484:AB9485"/>
    <mergeCell ref="A9486:A9487"/>
    <mergeCell ref="E9486:E9487"/>
    <mergeCell ref="H9486:H9487"/>
    <mergeCell ref="I9486:I9487"/>
    <mergeCell ref="J9486:J9487"/>
    <mergeCell ref="K9486:K9487"/>
    <mergeCell ref="L9486:L9487"/>
    <mergeCell ref="M9486:M9487"/>
    <mergeCell ref="N9486:N9487"/>
    <mergeCell ref="O9486:O9487"/>
    <mergeCell ref="X9486:X9487"/>
    <mergeCell ref="Y9486:Y9487"/>
    <mergeCell ref="Z9486:Z9487"/>
    <mergeCell ref="AA9486:AA9487"/>
    <mergeCell ref="AB9486:AB9487"/>
    <mergeCell ref="A9488:A9489"/>
    <mergeCell ref="E9488:E9489"/>
    <mergeCell ref="H9488:H9489"/>
    <mergeCell ref="I9488:I9489"/>
    <mergeCell ref="J9488:J9489"/>
    <mergeCell ref="K9488:K9489"/>
    <mergeCell ref="L9488:L9489"/>
    <mergeCell ref="M9488:M9489"/>
    <mergeCell ref="N9488:N9489"/>
    <mergeCell ref="O9488:O9489"/>
    <mergeCell ref="X9488:X9489"/>
    <mergeCell ref="Y9488:Y9489"/>
    <mergeCell ref="Z9488:Z9489"/>
    <mergeCell ref="AA9488:AA9489"/>
    <mergeCell ref="AB9488:AB9489"/>
    <mergeCell ref="A9490:A9491"/>
    <mergeCell ref="E9490:E9491"/>
    <mergeCell ref="H9490:H9491"/>
    <mergeCell ref="I9490:I9491"/>
    <mergeCell ref="J9490:J9491"/>
    <mergeCell ref="K9490:K9491"/>
    <mergeCell ref="L9490:L9491"/>
    <mergeCell ref="M9490:M9491"/>
    <mergeCell ref="N9490:N9491"/>
    <mergeCell ref="O9490:O9491"/>
    <mergeCell ref="X9490:X9491"/>
    <mergeCell ref="Y9490:Y9491"/>
    <mergeCell ref="Z9490:Z9491"/>
    <mergeCell ref="AA9490:AA9491"/>
    <mergeCell ref="AB9490:AB9491"/>
    <mergeCell ref="A9492:A9493"/>
    <mergeCell ref="E9492:E9493"/>
    <mergeCell ref="H9492:H9493"/>
    <mergeCell ref="I9492:I9493"/>
    <mergeCell ref="J9492:J9493"/>
    <mergeCell ref="K9492:K9493"/>
    <mergeCell ref="L9492:L9493"/>
    <mergeCell ref="M9492:M9493"/>
    <mergeCell ref="N9492:N9493"/>
    <mergeCell ref="O9492:O9493"/>
    <mergeCell ref="X9492:X9493"/>
    <mergeCell ref="Y9492:Y9493"/>
    <mergeCell ref="Z9492:Z9493"/>
    <mergeCell ref="AA9492:AA9493"/>
    <mergeCell ref="AB9492:AB9493"/>
    <mergeCell ref="A9494:A9495"/>
    <mergeCell ref="E9494:E9495"/>
    <mergeCell ref="H9494:H9495"/>
    <mergeCell ref="I9494:I9495"/>
    <mergeCell ref="J9494:J9495"/>
    <mergeCell ref="K9494:K9495"/>
    <mergeCell ref="L9494:L9495"/>
    <mergeCell ref="M9494:M9495"/>
    <mergeCell ref="N9494:N9495"/>
    <mergeCell ref="O9494:O9495"/>
    <mergeCell ref="X9494:X9495"/>
    <mergeCell ref="Y9494:Y9495"/>
    <mergeCell ref="Z9494:Z9495"/>
    <mergeCell ref="AA9494:AA9495"/>
    <mergeCell ref="AB9494:AB9495"/>
    <mergeCell ref="A9496:A9497"/>
    <mergeCell ref="E9496:E9497"/>
    <mergeCell ref="H9496:H9497"/>
    <mergeCell ref="I9496:I9497"/>
    <mergeCell ref="J9496:J9497"/>
    <mergeCell ref="K9496:K9497"/>
    <mergeCell ref="L9496:L9497"/>
    <mergeCell ref="M9496:M9497"/>
    <mergeCell ref="N9496:N9497"/>
    <mergeCell ref="O9496:O9497"/>
    <mergeCell ref="X9496:X9497"/>
    <mergeCell ref="Y9496:Y9497"/>
    <mergeCell ref="Z9496:Z9497"/>
    <mergeCell ref="AA9496:AA9497"/>
    <mergeCell ref="AB9496:AB9497"/>
    <mergeCell ref="A9498:A9499"/>
    <mergeCell ref="E9498:E9499"/>
    <mergeCell ref="H9498:H9499"/>
    <mergeCell ref="I9498:I9499"/>
    <mergeCell ref="J9498:J9499"/>
    <mergeCell ref="K9498:K9499"/>
    <mergeCell ref="L9498:L9499"/>
    <mergeCell ref="M9498:M9499"/>
    <mergeCell ref="N9498:N9499"/>
    <mergeCell ref="O9498:O9499"/>
    <mergeCell ref="X9498:X9499"/>
    <mergeCell ref="Y9498:Y9499"/>
    <mergeCell ref="Z9498:Z9499"/>
    <mergeCell ref="AA9498:AA9499"/>
    <mergeCell ref="AB9498:AB9499"/>
    <mergeCell ref="A9500:A9501"/>
    <mergeCell ref="E9500:E9501"/>
    <mergeCell ref="H9500:H9501"/>
    <mergeCell ref="I9500:I9501"/>
    <mergeCell ref="J9500:J9501"/>
    <mergeCell ref="K9500:K9501"/>
    <mergeCell ref="L9500:L9501"/>
    <mergeCell ref="M9500:M9501"/>
    <mergeCell ref="N9500:N9501"/>
    <mergeCell ref="O9500:O9501"/>
    <mergeCell ref="X9500:X9501"/>
    <mergeCell ref="Y9500:Y9501"/>
    <mergeCell ref="Z9500:Z9501"/>
    <mergeCell ref="AA9500:AA9501"/>
    <mergeCell ref="AB9500:AB9501"/>
    <mergeCell ref="A9502:A9503"/>
    <mergeCell ref="E9502:E9503"/>
    <mergeCell ref="H9502:H9503"/>
    <mergeCell ref="I9502:I9503"/>
    <mergeCell ref="J9502:J9503"/>
    <mergeCell ref="K9502:K9503"/>
    <mergeCell ref="L9502:L9503"/>
    <mergeCell ref="M9502:M9503"/>
    <mergeCell ref="N9502:N9503"/>
    <mergeCell ref="O9502:O9503"/>
    <mergeCell ref="X9502:X9503"/>
    <mergeCell ref="Y9502:Y9503"/>
    <mergeCell ref="Z9502:Z9503"/>
    <mergeCell ref="AA9502:AA9503"/>
    <mergeCell ref="AB9502:AB9503"/>
    <mergeCell ref="O9516:O9517"/>
    <mergeCell ref="X9516:X9517"/>
    <mergeCell ref="Y9516:Y9517"/>
    <mergeCell ref="A9504:A9505"/>
    <mergeCell ref="E9504:E9505"/>
    <mergeCell ref="H9504:H9505"/>
    <mergeCell ref="I9504:I9505"/>
    <mergeCell ref="J9504:J9505"/>
    <mergeCell ref="K9504:K9505"/>
    <mergeCell ref="L9504:L9505"/>
    <mergeCell ref="M9504:M9505"/>
    <mergeCell ref="N9504:N9505"/>
    <mergeCell ref="O9504:O9505"/>
    <mergeCell ref="X9504:X9505"/>
    <mergeCell ref="Y9504:Y9505"/>
    <mergeCell ref="Z9504:Z9505"/>
    <mergeCell ref="AA9504:AA9505"/>
    <mergeCell ref="AB9504:AB9505"/>
    <mergeCell ref="A9506:A9507"/>
    <mergeCell ref="E9506:E9507"/>
    <mergeCell ref="H9506:H9507"/>
    <mergeCell ref="I9506:I9507"/>
    <mergeCell ref="J9506:J9507"/>
    <mergeCell ref="K9506:K9507"/>
    <mergeCell ref="L9506:L9507"/>
    <mergeCell ref="M9506:M9507"/>
    <mergeCell ref="N9506:N9507"/>
    <mergeCell ref="O9506:O9507"/>
    <mergeCell ref="X9506:X9507"/>
    <mergeCell ref="Y9506:Y9507"/>
    <mergeCell ref="Z9506:Z9507"/>
    <mergeCell ref="AA9506:AA9507"/>
    <mergeCell ref="AB9506:AB9507"/>
    <mergeCell ref="A9508:A9509"/>
    <mergeCell ref="E9508:E9509"/>
    <mergeCell ref="H9508:H9509"/>
    <mergeCell ref="I9508:I9509"/>
    <mergeCell ref="J9508:J9509"/>
    <mergeCell ref="K9508:K9509"/>
    <mergeCell ref="L9508:L9509"/>
    <mergeCell ref="M9508:M9509"/>
    <mergeCell ref="N9508:N9509"/>
    <mergeCell ref="O9508:O9509"/>
    <mergeCell ref="X9508:X9509"/>
    <mergeCell ref="Y9508:Y9509"/>
    <mergeCell ref="Z9508:Z9509"/>
    <mergeCell ref="AA9508:AA9509"/>
    <mergeCell ref="AB9508:AB9509"/>
    <mergeCell ref="H9522:H9523"/>
    <mergeCell ref="I9522:I9523"/>
    <mergeCell ref="J9522:J9523"/>
    <mergeCell ref="A9510:A9511"/>
    <mergeCell ref="E9510:E9511"/>
    <mergeCell ref="H9510:H9511"/>
    <mergeCell ref="I9510:I9511"/>
    <mergeCell ref="J9510:J9511"/>
    <mergeCell ref="K9510:K9511"/>
    <mergeCell ref="L9510:L9511"/>
    <mergeCell ref="M9510:M9511"/>
    <mergeCell ref="N9510:N9511"/>
    <mergeCell ref="O9510:O9511"/>
    <mergeCell ref="X9510:X9511"/>
    <mergeCell ref="Y9510:Y9511"/>
    <mergeCell ref="Z9510:Z9511"/>
    <mergeCell ref="AA9510:AA9511"/>
    <mergeCell ref="AB9510:AB9511"/>
    <mergeCell ref="N9522:N9523"/>
    <mergeCell ref="O9522:O9523"/>
    <mergeCell ref="X9522:X9523"/>
    <mergeCell ref="Y9522:Y9523"/>
    <mergeCell ref="Z9522:Z9523"/>
    <mergeCell ref="AA9522:AA9523"/>
    <mergeCell ref="AB9522:AB9523"/>
    <mergeCell ref="A9512:A9513"/>
    <mergeCell ref="E9512:E9513"/>
    <mergeCell ref="H9512:H9513"/>
    <mergeCell ref="I9512:I9513"/>
    <mergeCell ref="J9512:J9513"/>
    <mergeCell ref="K9512:K9513"/>
    <mergeCell ref="L9512:L9513"/>
    <mergeCell ref="M9512:M9513"/>
    <mergeCell ref="N9512:N9513"/>
    <mergeCell ref="O9512:O9513"/>
    <mergeCell ref="X9512:X9513"/>
    <mergeCell ref="Y9512:Y9513"/>
    <mergeCell ref="Z9512:Z9513"/>
    <mergeCell ref="AA9512:AA9513"/>
    <mergeCell ref="AB9512:AB9513"/>
    <mergeCell ref="A9514:A9515"/>
    <mergeCell ref="E9514:E9515"/>
    <mergeCell ref="H9514:H9515"/>
    <mergeCell ref="I9514:I9515"/>
    <mergeCell ref="J9514:J9515"/>
    <mergeCell ref="K9514:K9515"/>
    <mergeCell ref="L9514:L9515"/>
    <mergeCell ref="M9514:M9515"/>
    <mergeCell ref="N9514:N9515"/>
    <mergeCell ref="O9514:O9515"/>
    <mergeCell ref="X9514:X9515"/>
    <mergeCell ref="Y9514:Y9515"/>
    <mergeCell ref="Z9514:Z9515"/>
    <mergeCell ref="AA9514:AA9515"/>
    <mergeCell ref="AB9514:AB9515"/>
    <mergeCell ref="A9516:A9517"/>
    <mergeCell ref="E9516:E9517"/>
    <mergeCell ref="H9516:H9517"/>
    <mergeCell ref="I9516:I9517"/>
    <mergeCell ref="J9516:J9517"/>
    <mergeCell ref="K9516:K9517"/>
    <mergeCell ref="L9516:L9517"/>
    <mergeCell ref="M9516:M9517"/>
    <mergeCell ref="N9516:N9517"/>
    <mergeCell ref="K9522:K9523"/>
    <mergeCell ref="L9522:L9523"/>
    <mergeCell ref="M9522:M9523"/>
    <mergeCell ref="Z9516:Z9517"/>
    <mergeCell ref="AA9516:AA9517"/>
    <mergeCell ref="AB9516:AB9517"/>
    <mergeCell ref="J9218:J9219"/>
    <mergeCell ref="K9218:K9219"/>
    <mergeCell ref="L9218:L9219"/>
    <mergeCell ref="M9218:M9219"/>
    <mergeCell ref="N9218:N9219"/>
    <mergeCell ref="O9218:O9219"/>
    <mergeCell ref="X9218:X9219"/>
    <mergeCell ref="Y9218:Y9219"/>
    <mergeCell ref="Z9218:Z9219"/>
    <mergeCell ref="AA9218:AA9219"/>
    <mergeCell ref="AB9218:AB9219"/>
    <mergeCell ref="A9524:A9525"/>
    <mergeCell ref="E9524:E9525"/>
    <mergeCell ref="H9524:H9525"/>
    <mergeCell ref="I9524:I9525"/>
    <mergeCell ref="J9524:J9525"/>
    <mergeCell ref="K9524:K9525"/>
    <mergeCell ref="L9524:L9525"/>
    <mergeCell ref="M9524:M9525"/>
    <mergeCell ref="N9524:N9525"/>
    <mergeCell ref="O9524:O9525"/>
    <mergeCell ref="X9524:X9525"/>
    <mergeCell ref="Y9524:Y9525"/>
    <mergeCell ref="Z9524:Z9525"/>
    <mergeCell ref="AA9524:AA9525"/>
    <mergeCell ref="AB9524:AB9525"/>
    <mergeCell ref="A9518:A9519"/>
    <mergeCell ref="E9518:E9519"/>
    <mergeCell ref="H9518:H9519"/>
    <mergeCell ref="I9518:I9519"/>
    <mergeCell ref="J9518:J9519"/>
    <mergeCell ref="K9518:K9519"/>
    <mergeCell ref="L9518:L9519"/>
    <mergeCell ref="M9518:M9519"/>
    <mergeCell ref="N9518:N9519"/>
    <mergeCell ref="O9518:O9519"/>
    <mergeCell ref="X9518:X9519"/>
    <mergeCell ref="Y9518:Y9519"/>
    <mergeCell ref="Z9518:Z9519"/>
    <mergeCell ref="AA9518:AA9519"/>
    <mergeCell ref="AB9518:AB9519"/>
    <mergeCell ref="A9520:A9521"/>
    <mergeCell ref="E9520:E9521"/>
    <mergeCell ref="H9520:H9521"/>
    <mergeCell ref="I9520:I9521"/>
    <mergeCell ref="J9520:J9521"/>
    <mergeCell ref="K9520:K9521"/>
    <mergeCell ref="L9520:L9521"/>
    <mergeCell ref="M9520:M9521"/>
    <mergeCell ref="N9520:N9521"/>
    <mergeCell ref="O9520:O9521"/>
    <mergeCell ref="X9520:X9521"/>
    <mergeCell ref="Y9520:Y9521"/>
    <mergeCell ref="Z9520:Z9521"/>
    <mergeCell ref="AA9520:AA9521"/>
    <mergeCell ref="AB9520:AB9521"/>
    <mergeCell ref="A9522:A9523"/>
    <mergeCell ref="E9522:E9523"/>
  </mergeCells>
  <phoneticPr fontId="13"/>
  <conditionalFormatting sqref="A2:A9525">
    <cfRule type="expression" dxfId="1" priority="7">
      <formula>X2&lt;&gt;""</formula>
    </cfRule>
  </conditionalFormatting>
  <pageMargins left="0.70866141732283472" right="0.70866141732283472" top="0.74803149606299213" bottom="0.74803149606299213" header="0.31496062992125984" footer="0.31496062992125984"/>
  <pageSetup paperSize="9" scale="70" fitToWidth="0" orientation="landscape" horizontalDpi="360" verticalDpi="360" r:id="rId1"/>
  <ignoredErrors>
    <ignoredError sqref="AA4674 AA5050 AA5062 AA5686 AA6572 AA7510 AA7950 AA7910 AA6638 AA8100" formulaRange="1"/>
    <ignoredError sqref="J8288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B18"/>
  <sheetViews>
    <sheetView showGridLines="0" workbookViewId="0">
      <pane xSplit="7" ySplit="1" topLeftCell="T2" activePane="bottomRight" state="frozen"/>
      <selection pane="topRight" activeCell="J1" sqref="J1"/>
      <selection pane="bottomLeft" activeCell="A2" sqref="A2"/>
      <selection pane="bottomRight" activeCell="AB14" sqref="AB14:AB15"/>
    </sheetView>
  </sheetViews>
  <sheetFormatPr defaultColWidth="9" defaultRowHeight="17.100000000000001" customHeight="1"/>
  <cols>
    <col min="1" max="1" width="10.6640625" customWidth="1"/>
    <col min="2" max="2" width="19.88671875" style="2" bestFit="1" customWidth="1"/>
    <col min="3" max="3" width="15.109375" style="2" bestFit="1" customWidth="1"/>
    <col min="4" max="4" width="10.6640625" style="2" customWidth="1"/>
    <col min="5" max="5" width="3.44140625" style="3" bestFit="1" customWidth="1"/>
    <col min="6" max="6" width="31.44140625" style="4" bestFit="1" customWidth="1"/>
    <col min="7" max="7" width="10.6640625" style="2" bestFit="1" customWidth="1"/>
    <col min="8" max="8" width="7.44140625" style="5" bestFit="1" customWidth="1"/>
    <col min="9" max="9" width="11" bestFit="1" customWidth="1"/>
    <col min="10" max="10" width="9.33203125" bestFit="1" customWidth="1"/>
    <col min="11" max="11" width="8.21875" bestFit="1" customWidth="1"/>
    <col min="12" max="12" width="10.33203125" bestFit="1" customWidth="1"/>
    <col min="13" max="13" width="8.21875" bestFit="1" customWidth="1"/>
    <col min="14" max="14" width="11" bestFit="1" customWidth="1"/>
    <col min="15" max="15" width="16.109375" style="23" bestFit="1" customWidth="1"/>
    <col min="16" max="16" width="22.6640625" bestFit="1" customWidth="1"/>
    <col min="17" max="17" width="5.44140625" style="6" bestFit="1" customWidth="1"/>
    <col min="18" max="18" width="7.109375" style="7" bestFit="1" customWidth="1"/>
    <col min="19" max="19" width="49.44140625" style="214" bestFit="1" customWidth="1"/>
    <col min="20" max="20" width="28.109375" bestFit="1" customWidth="1"/>
    <col min="21" max="21" width="17.6640625" bestFit="1" customWidth="1"/>
    <col min="22" max="23" width="15.109375" style="2" bestFit="1" customWidth="1"/>
    <col min="24" max="24" width="9.33203125" style="8" bestFit="1" customWidth="1"/>
    <col min="25" max="25" width="8.21875" style="8" bestFit="1" customWidth="1"/>
    <col min="26" max="26" width="10.33203125" style="8" bestFit="1" customWidth="1"/>
    <col min="27" max="27" width="9.33203125" style="8" bestFit="1" customWidth="1"/>
    <col min="28" max="28" width="10.77734375" style="9" customWidth="1"/>
  </cols>
  <sheetData>
    <row r="1" spans="1:28" s="1" customFormat="1" ht="17.100000000000001" customHeight="1" thickBot="1">
      <c r="A1" s="10" t="s">
        <v>0</v>
      </c>
      <c r="B1" s="11" t="s">
        <v>1</v>
      </c>
      <c r="C1" s="12" t="s">
        <v>2</v>
      </c>
      <c r="D1" s="11" t="s">
        <v>3</v>
      </c>
      <c r="E1" s="239" t="s">
        <v>4</v>
      </c>
      <c r="F1" s="240"/>
      <c r="G1" s="10" t="s">
        <v>5</v>
      </c>
      <c r="H1" s="11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9" t="s">
        <v>13</v>
      </c>
      <c r="P1" s="10" t="s">
        <v>14</v>
      </c>
      <c r="Q1" s="239" t="s">
        <v>21</v>
      </c>
      <c r="R1" s="240"/>
      <c r="S1" s="240"/>
      <c r="T1" s="10" t="s">
        <v>15</v>
      </c>
      <c r="U1" s="20" t="s">
        <v>16</v>
      </c>
      <c r="V1" s="181" t="s">
        <v>17</v>
      </c>
      <c r="W1" s="10" t="s">
        <v>2</v>
      </c>
      <c r="X1" s="10" t="s">
        <v>7</v>
      </c>
      <c r="Y1" s="10" t="s">
        <v>8</v>
      </c>
      <c r="Z1" s="10" t="s">
        <v>10</v>
      </c>
      <c r="AA1" s="10" t="s">
        <v>12</v>
      </c>
      <c r="AB1" s="11" t="s">
        <v>18</v>
      </c>
    </row>
    <row r="2" spans="1:28" ht="16.5" customHeight="1" thickTop="1">
      <c r="A2" s="282" t="s">
        <v>5501</v>
      </c>
      <c r="B2" s="28">
        <v>43192</v>
      </c>
      <c r="C2" s="29" t="s">
        <v>5452</v>
      </c>
      <c r="D2" s="13" t="s">
        <v>261</v>
      </c>
      <c r="E2" s="228" t="s">
        <v>5453</v>
      </c>
      <c r="F2" s="156" t="s">
        <v>693</v>
      </c>
      <c r="G2" s="86" t="s">
        <v>5454</v>
      </c>
      <c r="H2" s="230">
        <v>4</v>
      </c>
      <c r="I2" s="220">
        <v>965000</v>
      </c>
      <c r="J2" s="220">
        <v>77200</v>
      </c>
      <c r="K2" s="220">
        <v>0</v>
      </c>
      <c r="L2" s="220">
        <v>8460</v>
      </c>
      <c r="M2" s="220">
        <v>8640</v>
      </c>
      <c r="N2" s="220">
        <f>SUM(I2:M2)</f>
        <v>1059300</v>
      </c>
      <c r="O2" s="224"/>
      <c r="P2" s="143" t="s">
        <v>5455</v>
      </c>
      <c r="Q2" s="15" t="s">
        <v>19</v>
      </c>
      <c r="S2" s="113" t="s">
        <v>1147</v>
      </c>
      <c r="T2" s="112" t="s">
        <v>5456</v>
      </c>
      <c r="U2" s="21" t="s">
        <v>5457</v>
      </c>
      <c r="V2" s="160"/>
      <c r="W2" s="116"/>
      <c r="X2" s="220"/>
      <c r="Y2" s="245">
        <f>X2*0.1</f>
        <v>0</v>
      </c>
      <c r="Z2" s="220"/>
      <c r="AA2" s="220">
        <f>SUM(X2:Z2)</f>
        <v>0</v>
      </c>
      <c r="AB2" s="277"/>
    </row>
    <row r="3" spans="1:28" ht="17.100000000000001" customHeight="1" thickBot="1">
      <c r="A3" s="284"/>
      <c r="B3" s="27" t="s">
        <v>654</v>
      </c>
      <c r="C3" s="27">
        <v>11006</v>
      </c>
      <c r="D3" s="14" t="s">
        <v>302</v>
      </c>
      <c r="E3" s="229"/>
      <c r="F3" s="117" t="s">
        <v>5458</v>
      </c>
      <c r="G3" s="87">
        <v>15855</v>
      </c>
      <c r="H3" s="231"/>
      <c r="I3" s="221"/>
      <c r="J3" s="221"/>
      <c r="K3" s="221"/>
      <c r="L3" s="221"/>
      <c r="M3" s="221"/>
      <c r="N3" s="221"/>
      <c r="O3" s="225"/>
      <c r="P3" s="27" t="s">
        <v>5459</v>
      </c>
      <c r="Q3" s="16" t="s">
        <v>20</v>
      </c>
      <c r="R3" s="17" t="s">
        <v>1183</v>
      </c>
      <c r="S3" s="121" t="s">
        <v>5460</v>
      </c>
      <c r="T3" s="120"/>
      <c r="U3" s="22"/>
      <c r="V3" s="159"/>
      <c r="W3" s="122"/>
      <c r="X3" s="221"/>
      <c r="Y3" s="221"/>
      <c r="Z3" s="221"/>
      <c r="AA3" s="221"/>
      <c r="AB3" s="278"/>
    </row>
    <row r="4" spans="1:28" ht="16.5" customHeight="1" thickTop="1">
      <c r="A4" s="282" t="s">
        <v>5502</v>
      </c>
      <c r="B4" s="28">
        <v>43497</v>
      </c>
      <c r="C4" s="29"/>
      <c r="D4" s="13" t="s">
        <v>5461</v>
      </c>
      <c r="E4" s="228" t="s">
        <v>5462</v>
      </c>
      <c r="F4" s="156" t="s">
        <v>5463</v>
      </c>
      <c r="G4" s="86" t="s">
        <v>5464</v>
      </c>
      <c r="H4" s="230">
        <v>3.5</v>
      </c>
      <c r="I4" s="220">
        <v>405000</v>
      </c>
      <c r="J4" s="220">
        <v>32400</v>
      </c>
      <c r="K4" s="220">
        <v>0</v>
      </c>
      <c r="L4" s="220">
        <v>8510</v>
      </c>
      <c r="M4" s="220">
        <f>45000+3600</f>
        <v>48600</v>
      </c>
      <c r="N4" s="220">
        <f>SUM(I4:M4)</f>
        <v>494510</v>
      </c>
      <c r="O4" s="224"/>
      <c r="P4" s="143" t="s">
        <v>5465</v>
      </c>
      <c r="Q4" s="15" t="s">
        <v>19</v>
      </c>
      <c r="S4" s="113" t="s">
        <v>780</v>
      </c>
      <c r="T4" s="112" t="s">
        <v>5466</v>
      </c>
      <c r="U4" s="21" t="s">
        <v>5467</v>
      </c>
      <c r="V4" s="160"/>
      <c r="W4" s="116"/>
      <c r="X4" s="220"/>
      <c r="Y4" s="245">
        <f>X4*0.1</f>
        <v>0</v>
      </c>
      <c r="Z4" s="220"/>
      <c r="AA4" s="220">
        <f>SUM(X4:Z4)</f>
        <v>0</v>
      </c>
      <c r="AB4" s="277"/>
    </row>
    <row r="5" spans="1:28" ht="17.100000000000001" customHeight="1" thickBot="1">
      <c r="A5" s="284"/>
      <c r="B5" s="27" t="s">
        <v>631</v>
      </c>
      <c r="C5" s="27" t="s">
        <v>5468</v>
      </c>
      <c r="D5" s="14" t="s">
        <v>263</v>
      </c>
      <c r="E5" s="229"/>
      <c r="F5" s="117" t="s">
        <v>5469</v>
      </c>
      <c r="G5" s="87">
        <v>16923</v>
      </c>
      <c r="H5" s="231"/>
      <c r="I5" s="221"/>
      <c r="J5" s="221"/>
      <c r="K5" s="221"/>
      <c r="L5" s="221"/>
      <c r="M5" s="221"/>
      <c r="N5" s="221"/>
      <c r="O5" s="225"/>
      <c r="P5" s="27" t="s">
        <v>5470</v>
      </c>
      <c r="Q5" s="16" t="s">
        <v>20</v>
      </c>
      <c r="R5" s="17" t="s">
        <v>932</v>
      </c>
      <c r="S5" s="121" t="s">
        <v>5471</v>
      </c>
      <c r="T5" s="120"/>
      <c r="U5" s="22"/>
      <c r="V5" s="159"/>
      <c r="W5" s="122"/>
      <c r="X5" s="221"/>
      <c r="Y5" s="221"/>
      <c r="Z5" s="221"/>
      <c r="AA5" s="221"/>
      <c r="AB5" s="278"/>
    </row>
    <row r="6" spans="1:28" ht="17.100000000000001" customHeight="1" thickTop="1">
      <c r="A6" s="282" t="s">
        <v>5503</v>
      </c>
      <c r="B6" s="28">
        <v>44794</v>
      </c>
      <c r="C6" s="25"/>
      <c r="D6" s="13" t="s">
        <v>1853</v>
      </c>
      <c r="E6" s="228" t="s">
        <v>5472</v>
      </c>
      <c r="F6" s="109" t="s">
        <v>5473</v>
      </c>
      <c r="G6" s="24" t="s">
        <v>5474</v>
      </c>
      <c r="H6" s="230"/>
      <c r="I6" s="220">
        <v>2894870</v>
      </c>
      <c r="J6" s="220"/>
      <c r="K6" s="220"/>
      <c r="L6" s="220"/>
      <c r="M6" s="220"/>
      <c r="N6" s="220">
        <f>SUM(I6:M6)</f>
        <v>2894870</v>
      </c>
      <c r="O6" s="224">
        <v>2000000</v>
      </c>
      <c r="P6" s="111" t="s">
        <v>5475</v>
      </c>
      <c r="Q6" s="15" t="s">
        <v>19</v>
      </c>
      <c r="S6" s="113" t="s">
        <v>5476</v>
      </c>
      <c r="T6" s="114" t="s">
        <v>5477</v>
      </c>
      <c r="U6" s="21" t="s">
        <v>5478</v>
      </c>
      <c r="V6" s="115"/>
      <c r="W6" s="116"/>
      <c r="X6" s="220"/>
      <c r="Y6" s="245">
        <f>X6*0.1</f>
        <v>0</v>
      </c>
      <c r="Z6" s="220"/>
      <c r="AA6" s="220">
        <f>SUM(X6:Z6)</f>
        <v>0</v>
      </c>
      <c r="AB6" s="277"/>
    </row>
    <row r="7" spans="1:28" ht="17.100000000000001" customHeight="1" thickBot="1">
      <c r="A7" s="284"/>
      <c r="B7" s="27" t="s">
        <v>5479</v>
      </c>
      <c r="C7" s="27"/>
      <c r="D7" s="14" t="s">
        <v>2559</v>
      </c>
      <c r="E7" s="229"/>
      <c r="F7" s="117" t="s">
        <v>5480</v>
      </c>
      <c r="G7" s="26">
        <v>34800</v>
      </c>
      <c r="H7" s="231"/>
      <c r="I7" s="221"/>
      <c r="J7" s="221"/>
      <c r="K7" s="221"/>
      <c r="L7" s="221"/>
      <c r="M7" s="221"/>
      <c r="N7" s="221"/>
      <c r="O7" s="225"/>
      <c r="P7" s="119" t="s">
        <v>5481</v>
      </c>
      <c r="Q7" s="16" t="s">
        <v>20</v>
      </c>
      <c r="R7" s="17"/>
      <c r="S7" s="121" t="s">
        <v>1731</v>
      </c>
      <c r="T7" s="122" t="s">
        <v>5482</v>
      </c>
      <c r="U7" s="22" t="s">
        <v>3427</v>
      </c>
      <c r="V7" s="123"/>
      <c r="W7" s="122"/>
      <c r="X7" s="221"/>
      <c r="Y7" s="221"/>
      <c r="Z7" s="221"/>
      <c r="AA7" s="221"/>
      <c r="AB7" s="278"/>
    </row>
    <row r="8" spans="1:28" ht="17.100000000000001" customHeight="1" thickTop="1">
      <c r="A8" s="282" t="s">
        <v>5504</v>
      </c>
      <c r="B8" s="28">
        <v>42934</v>
      </c>
      <c r="C8" s="29" t="s">
        <v>5483</v>
      </c>
      <c r="D8" s="13" t="s">
        <v>277</v>
      </c>
      <c r="E8" s="276" t="s">
        <v>5499</v>
      </c>
      <c r="F8" s="156" t="s">
        <v>5484</v>
      </c>
      <c r="G8" s="24" t="s">
        <v>5485</v>
      </c>
      <c r="H8" s="230">
        <v>4.5</v>
      </c>
      <c r="I8" s="220">
        <v>1470000</v>
      </c>
      <c r="J8" s="220">
        <v>117600</v>
      </c>
      <c r="K8" s="220">
        <v>26300</v>
      </c>
      <c r="L8" s="220">
        <v>18890</v>
      </c>
      <c r="M8" s="220">
        <v>12960</v>
      </c>
      <c r="N8" s="220">
        <f>SUM(I8:M8)</f>
        <v>1645750</v>
      </c>
      <c r="O8" s="224">
        <v>400000</v>
      </c>
      <c r="P8" s="146" t="s">
        <v>5486</v>
      </c>
      <c r="Q8" s="15" t="s">
        <v>19</v>
      </c>
      <c r="S8" s="192"/>
      <c r="T8" s="114" t="s">
        <v>5487</v>
      </c>
      <c r="U8" s="21" t="s">
        <v>5488</v>
      </c>
      <c r="V8" s="160">
        <v>45952</v>
      </c>
      <c r="W8" s="116">
        <v>989</v>
      </c>
      <c r="X8" s="220">
        <v>466000</v>
      </c>
      <c r="Y8" s="245">
        <f>X8*0.1</f>
        <v>46600</v>
      </c>
      <c r="Z8" s="220">
        <v>18890</v>
      </c>
      <c r="AA8" s="220">
        <f>SUM(X8:Z8)</f>
        <v>531490</v>
      </c>
      <c r="AB8" s="281">
        <v>45957</v>
      </c>
    </row>
    <row r="9" spans="1:28" ht="17.100000000000001" customHeight="1" thickBot="1">
      <c r="A9" s="284"/>
      <c r="B9" s="27" t="s">
        <v>130</v>
      </c>
      <c r="C9" s="27">
        <v>84017</v>
      </c>
      <c r="D9" s="14" t="s">
        <v>219</v>
      </c>
      <c r="E9" s="264"/>
      <c r="F9" s="117" t="s">
        <v>5489</v>
      </c>
      <c r="G9" s="26">
        <v>59700</v>
      </c>
      <c r="H9" s="231"/>
      <c r="I9" s="221"/>
      <c r="J9" s="221"/>
      <c r="K9" s="221"/>
      <c r="L9" s="221"/>
      <c r="M9" s="221"/>
      <c r="N9" s="221"/>
      <c r="O9" s="225"/>
      <c r="P9" s="120" t="s">
        <v>5490</v>
      </c>
      <c r="Q9" s="16" t="s">
        <v>20</v>
      </c>
      <c r="R9" s="60"/>
      <c r="S9" s="121" t="s">
        <v>183</v>
      </c>
      <c r="T9" s="122" t="s">
        <v>5491</v>
      </c>
      <c r="U9" s="22" t="s">
        <v>3427</v>
      </c>
      <c r="V9" s="159" t="s">
        <v>2747</v>
      </c>
      <c r="W9" s="122">
        <v>10262</v>
      </c>
      <c r="X9" s="221"/>
      <c r="Y9" s="221"/>
      <c r="Z9" s="221"/>
      <c r="AA9" s="221"/>
      <c r="AB9" s="278"/>
    </row>
    <row r="10" spans="1:28" s="88" customFormat="1" ht="17.100000000000001" customHeight="1" thickTop="1">
      <c r="A10" s="233" t="s">
        <v>5505</v>
      </c>
      <c r="B10" s="28">
        <v>44600</v>
      </c>
      <c r="C10" s="25">
        <v>730</v>
      </c>
      <c r="D10" s="13" t="s">
        <v>1640</v>
      </c>
      <c r="E10" s="276" t="s">
        <v>5500</v>
      </c>
      <c r="F10" s="109" t="s">
        <v>5492</v>
      </c>
      <c r="G10" s="24" t="s">
        <v>5493</v>
      </c>
      <c r="H10" s="230">
        <v>4</v>
      </c>
      <c r="I10" s="220">
        <v>1035000</v>
      </c>
      <c r="J10" s="220">
        <v>103500</v>
      </c>
      <c r="K10" s="220">
        <v>0</v>
      </c>
      <c r="L10" s="220">
        <v>17490</v>
      </c>
      <c r="M10" s="220">
        <v>15950</v>
      </c>
      <c r="N10" s="220">
        <f>SUM(I10:M11)</f>
        <v>1171940</v>
      </c>
      <c r="O10" s="224">
        <v>650000</v>
      </c>
      <c r="P10" s="111" t="s">
        <v>5494</v>
      </c>
      <c r="Q10" s="15" t="s">
        <v>19</v>
      </c>
      <c r="R10" s="205"/>
      <c r="S10" s="189"/>
      <c r="T10" s="114" t="s">
        <v>5495</v>
      </c>
      <c r="U10" s="21" t="s">
        <v>5496</v>
      </c>
      <c r="V10" s="115">
        <v>46064</v>
      </c>
      <c r="W10" s="116">
        <v>1004</v>
      </c>
      <c r="X10" s="220">
        <v>206000</v>
      </c>
      <c r="Y10" s="245">
        <f>X10*0.1</f>
        <v>20600</v>
      </c>
      <c r="Z10" s="220">
        <v>17490</v>
      </c>
      <c r="AA10" s="220">
        <f>SUM(X10:Z10)</f>
        <v>244090</v>
      </c>
      <c r="AB10" s="246">
        <v>46069</v>
      </c>
    </row>
    <row r="11" spans="1:28" s="88" customFormat="1" ht="17.100000000000001" customHeight="1" thickBot="1">
      <c r="A11" s="285"/>
      <c r="B11" s="27" t="s">
        <v>2654</v>
      </c>
      <c r="C11" s="27">
        <v>5016</v>
      </c>
      <c r="D11" s="14" t="s">
        <v>1602</v>
      </c>
      <c r="E11" s="264"/>
      <c r="F11" s="117" t="s">
        <v>5497</v>
      </c>
      <c r="G11" s="26">
        <v>46355</v>
      </c>
      <c r="H11" s="231"/>
      <c r="I11" s="221"/>
      <c r="J11" s="221"/>
      <c r="K11" s="221"/>
      <c r="L11" s="221"/>
      <c r="M11" s="221"/>
      <c r="N11" s="221"/>
      <c r="O11" s="225"/>
      <c r="P11" s="119" t="s">
        <v>4550</v>
      </c>
      <c r="Q11" s="16" t="s">
        <v>20</v>
      </c>
      <c r="R11" s="17" t="s">
        <v>3521</v>
      </c>
      <c r="S11" s="121"/>
      <c r="T11" s="122" t="s">
        <v>5498</v>
      </c>
      <c r="U11" s="22"/>
      <c r="V11" s="123" t="s">
        <v>2747</v>
      </c>
      <c r="W11" s="122">
        <v>10021</v>
      </c>
      <c r="X11" s="221"/>
      <c r="Y11" s="221"/>
      <c r="Z11" s="221"/>
      <c r="AA11" s="221"/>
      <c r="AB11" s="247"/>
    </row>
    <row r="12" spans="1:28" ht="17.100000000000001" customHeight="1" thickTop="1">
      <c r="A12" s="282" t="s">
        <v>8388</v>
      </c>
      <c r="B12" s="28">
        <v>44148</v>
      </c>
      <c r="C12" s="29" t="s">
        <v>1181</v>
      </c>
      <c r="D12" s="13" t="s">
        <v>246</v>
      </c>
      <c r="E12" s="228" t="s">
        <v>8389</v>
      </c>
      <c r="F12" s="156" t="s">
        <v>1191</v>
      </c>
      <c r="G12" s="24"/>
      <c r="H12" s="230">
        <v>4</v>
      </c>
      <c r="I12" s="220">
        <v>1494000</v>
      </c>
      <c r="J12" s="220">
        <v>149400</v>
      </c>
      <c r="K12" s="220">
        <v>0</v>
      </c>
      <c r="L12" s="220">
        <v>14590</v>
      </c>
      <c r="M12" s="220">
        <v>22000</v>
      </c>
      <c r="N12" s="220">
        <f>SUM(I12:M12)</f>
        <v>1679990</v>
      </c>
      <c r="O12" s="224">
        <v>700000</v>
      </c>
      <c r="P12" s="145" t="s">
        <v>1192</v>
      </c>
      <c r="Q12" s="15" t="s">
        <v>19</v>
      </c>
      <c r="S12" s="113" t="s">
        <v>758</v>
      </c>
      <c r="T12" s="114" t="s">
        <v>8390</v>
      </c>
      <c r="U12" s="21" t="s">
        <v>9832</v>
      </c>
      <c r="V12" s="115">
        <v>46162</v>
      </c>
      <c r="W12" s="116">
        <v>1017</v>
      </c>
      <c r="X12" s="220">
        <v>102000</v>
      </c>
      <c r="Y12" s="245">
        <f>X12*0.1</f>
        <v>10200</v>
      </c>
      <c r="Z12" s="220">
        <v>14590</v>
      </c>
      <c r="AA12" s="220">
        <f>SUM(X12:Z12)</f>
        <v>126790</v>
      </c>
      <c r="AB12" s="246">
        <v>46167</v>
      </c>
    </row>
    <row r="13" spans="1:28" ht="17.100000000000001" customHeight="1" thickBot="1">
      <c r="A13" s="284"/>
      <c r="B13" s="27" t="s">
        <v>1186</v>
      </c>
      <c r="C13" s="27">
        <v>40096</v>
      </c>
      <c r="D13" s="14" t="s">
        <v>704</v>
      </c>
      <c r="E13" s="229"/>
      <c r="F13" s="117" t="s">
        <v>1193</v>
      </c>
      <c r="G13" s="26">
        <v>36584</v>
      </c>
      <c r="H13" s="231"/>
      <c r="I13" s="221"/>
      <c r="J13" s="221"/>
      <c r="K13" s="221"/>
      <c r="L13" s="221"/>
      <c r="M13" s="221"/>
      <c r="N13" s="221"/>
      <c r="O13" s="225"/>
      <c r="P13" s="119" t="s">
        <v>1194</v>
      </c>
      <c r="Q13" s="16" t="s">
        <v>20</v>
      </c>
      <c r="R13" s="17" t="s">
        <v>1195</v>
      </c>
      <c r="S13" s="121" t="s">
        <v>1196</v>
      </c>
      <c r="T13" s="122" t="s">
        <v>8391</v>
      </c>
      <c r="U13" s="22"/>
      <c r="V13" s="123" t="s">
        <v>2747</v>
      </c>
      <c r="W13" s="122">
        <v>10231</v>
      </c>
      <c r="X13" s="221"/>
      <c r="Y13" s="221"/>
      <c r="Z13" s="221"/>
      <c r="AA13" s="221"/>
      <c r="AB13" s="247"/>
    </row>
    <row r="14" spans="1:28" ht="17.100000000000001" customHeight="1" thickTop="1">
      <c r="A14" s="282" t="s">
        <v>18589</v>
      </c>
      <c r="B14" s="28">
        <v>43840</v>
      </c>
      <c r="C14" s="29" t="s">
        <v>913</v>
      </c>
      <c r="D14" s="13" t="s">
        <v>914</v>
      </c>
      <c r="E14" s="228" t="s">
        <v>18590</v>
      </c>
      <c r="F14" s="156" t="s">
        <v>915</v>
      </c>
      <c r="G14" s="24" t="s">
        <v>916</v>
      </c>
      <c r="H14" s="230">
        <v>4.5</v>
      </c>
      <c r="I14" s="220">
        <v>1550000</v>
      </c>
      <c r="J14" s="220">
        <v>155000</v>
      </c>
      <c r="K14" s="220">
        <v>6500</v>
      </c>
      <c r="L14" s="220">
        <v>20420</v>
      </c>
      <c r="M14" s="220">
        <v>24200</v>
      </c>
      <c r="N14" s="220">
        <f>SUM(I14:M14)</f>
        <v>1756120</v>
      </c>
      <c r="O14" s="224">
        <v>1100000</v>
      </c>
      <c r="P14" s="145" t="s">
        <v>917</v>
      </c>
      <c r="Q14" s="15" t="s">
        <v>19</v>
      </c>
      <c r="S14" s="113" t="s">
        <v>918</v>
      </c>
      <c r="T14" s="203" t="s">
        <v>18591</v>
      </c>
      <c r="U14" s="21" t="s">
        <v>18713</v>
      </c>
      <c r="V14" s="115"/>
      <c r="W14" s="116"/>
      <c r="X14" s="220"/>
      <c r="Y14" s="245">
        <f>X14*0.1</f>
        <v>0</v>
      </c>
      <c r="Z14" s="220"/>
      <c r="AA14" s="220">
        <f>SUM(X14:Z14)</f>
        <v>0</v>
      </c>
      <c r="AB14" s="246"/>
    </row>
    <row r="15" spans="1:28" ht="17.100000000000001" customHeight="1" thickBot="1">
      <c r="A15" s="284"/>
      <c r="B15" s="27" t="s">
        <v>203</v>
      </c>
      <c r="C15" s="27">
        <v>20624</v>
      </c>
      <c r="D15" s="14" t="s">
        <v>219</v>
      </c>
      <c r="E15" s="229"/>
      <c r="F15" s="117" t="s">
        <v>919</v>
      </c>
      <c r="G15" s="26">
        <v>39896</v>
      </c>
      <c r="H15" s="231"/>
      <c r="I15" s="221"/>
      <c r="J15" s="221"/>
      <c r="K15" s="221"/>
      <c r="L15" s="221"/>
      <c r="M15" s="221"/>
      <c r="N15" s="221"/>
      <c r="O15" s="225"/>
      <c r="P15" s="119" t="s">
        <v>920</v>
      </c>
      <c r="Q15" s="16" t="s">
        <v>20</v>
      </c>
      <c r="R15" s="17" t="s">
        <v>551</v>
      </c>
      <c r="S15" s="121" t="s">
        <v>921</v>
      </c>
      <c r="T15" s="122" t="s">
        <v>18592</v>
      </c>
      <c r="U15" s="22"/>
      <c r="V15" s="123"/>
      <c r="W15" s="122"/>
      <c r="X15" s="221"/>
      <c r="Y15" s="221"/>
      <c r="Z15" s="221"/>
      <c r="AA15" s="221"/>
      <c r="AB15" s="247"/>
    </row>
    <row r="16" spans="1:28" ht="17.100000000000001" customHeight="1" thickTop="1">
      <c r="A16" s="282"/>
      <c r="B16" s="28"/>
      <c r="C16" s="25"/>
      <c r="D16" s="13"/>
      <c r="E16" s="228"/>
      <c r="F16" s="156"/>
      <c r="G16" s="24"/>
      <c r="H16" s="230"/>
      <c r="I16" s="220"/>
      <c r="J16" s="220"/>
      <c r="K16" s="220"/>
      <c r="L16" s="220"/>
      <c r="M16" s="220"/>
      <c r="N16" s="220">
        <f>SUM(I16:M16)</f>
        <v>0</v>
      </c>
      <c r="O16" s="224"/>
      <c r="P16" s="145"/>
      <c r="Q16" s="15" t="s">
        <v>19</v>
      </c>
      <c r="R16" s="205"/>
      <c r="S16" s="189"/>
      <c r="T16" s="114"/>
      <c r="U16" s="21"/>
      <c r="V16" s="115"/>
      <c r="W16" s="116"/>
      <c r="X16" s="220"/>
      <c r="Y16" s="220"/>
      <c r="Z16" s="220"/>
      <c r="AA16" s="220">
        <f>SUM(X16:Z16)</f>
        <v>0</v>
      </c>
      <c r="AB16" s="277"/>
    </row>
    <row r="17" spans="1:28" ht="17.100000000000001" customHeight="1" thickBot="1">
      <c r="A17" s="283"/>
      <c r="B17" s="27"/>
      <c r="C17" s="27"/>
      <c r="D17" s="14"/>
      <c r="E17" s="229"/>
      <c r="F17" s="117"/>
      <c r="G17" s="26"/>
      <c r="H17" s="231"/>
      <c r="I17" s="221"/>
      <c r="J17" s="221"/>
      <c r="K17" s="221"/>
      <c r="L17" s="221"/>
      <c r="M17" s="221"/>
      <c r="N17" s="221"/>
      <c r="O17" s="225"/>
      <c r="P17" s="119"/>
      <c r="Q17" s="16" t="s">
        <v>20</v>
      </c>
      <c r="R17" s="17"/>
      <c r="S17" s="121"/>
      <c r="T17" s="122"/>
      <c r="U17" s="22"/>
      <c r="V17" s="123"/>
      <c r="W17" s="122"/>
      <c r="X17" s="221"/>
      <c r="Y17" s="221"/>
      <c r="Z17" s="221"/>
      <c r="AA17" s="221"/>
      <c r="AB17" s="278"/>
    </row>
    <row r="18" spans="1:28" ht="17.100000000000001" customHeight="1" thickTop="1"/>
  </sheetData>
  <sheetProtection selectLockedCells="1" selectUnlockedCells="1"/>
  <mergeCells count="122">
    <mergeCell ref="E1:F1"/>
    <mergeCell ref="Q1:S1"/>
    <mergeCell ref="O10:O11"/>
    <mergeCell ref="O14:O15"/>
    <mergeCell ref="O16:O17"/>
    <mergeCell ref="I2:I3"/>
    <mergeCell ref="J2:J3"/>
    <mergeCell ref="K2:K3"/>
    <mergeCell ref="L2:L3"/>
    <mergeCell ref="M2:M3"/>
    <mergeCell ref="N2:N3"/>
    <mergeCell ref="M10:M11"/>
    <mergeCell ref="N10:N11"/>
    <mergeCell ref="H14:H15"/>
    <mergeCell ref="K6:K7"/>
    <mergeCell ref="L6:L7"/>
    <mergeCell ref="M6:M7"/>
    <mergeCell ref="N6:N7"/>
    <mergeCell ref="I4:I5"/>
    <mergeCell ref="J4:J5"/>
    <mergeCell ref="K4:K5"/>
    <mergeCell ref="L4:L5"/>
    <mergeCell ref="M4:M5"/>
    <mergeCell ref="N4:N5"/>
    <mergeCell ref="X4:X5"/>
    <mergeCell ref="O2:O3"/>
    <mergeCell ref="O4:O5"/>
    <mergeCell ref="O6:O7"/>
    <mergeCell ref="O8:O9"/>
    <mergeCell ref="M8:M9"/>
    <mergeCell ref="N8:N9"/>
    <mergeCell ref="I16:I17"/>
    <mergeCell ref="J16:J17"/>
    <mergeCell ref="K16:K17"/>
    <mergeCell ref="L16:L17"/>
    <mergeCell ref="M16:M17"/>
    <mergeCell ref="N16:N17"/>
    <mergeCell ref="M14:M15"/>
    <mergeCell ref="N14:N15"/>
    <mergeCell ref="I14:I15"/>
    <mergeCell ref="J14:J15"/>
    <mergeCell ref="K14:K15"/>
    <mergeCell ref="L14:L15"/>
    <mergeCell ref="I8:I9"/>
    <mergeCell ref="J8:J9"/>
    <mergeCell ref="K8:K9"/>
    <mergeCell ref="I6:I7"/>
    <mergeCell ref="J6:J7"/>
    <mergeCell ref="L8:L9"/>
    <mergeCell ref="H8:H9"/>
    <mergeCell ref="I10:I11"/>
    <mergeCell ref="J10:J11"/>
    <mergeCell ref="K10:K11"/>
    <mergeCell ref="L10:L11"/>
    <mergeCell ref="H12:H13"/>
    <mergeCell ref="I12:I13"/>
    <mergeCell ref="J12:J13"/>
    <mergeCell ref="K12:K13"/>
    <mergeCell ref="L12:L13"/>
    <mergeCell ref="A16:A17"/>
    <mergeCell ref="E16:E17"/>
    <mergeCell ref="H10:H11"/>
    <mergeCell ref="A6:A7"/>
    <mergeCell ref="A8:A9"/>
    <mergeCell ref="E2:E3"/>
    <mergeCell ref="E4:E5"/>
    <mergeCell ref="E6:E7"/>
    <mergeCell ref="E8:E9"/>
    <mergeCell ref="A2:A3"/>
    <mergeCell ref="A4:A5"/>
    <mergeCell ref="H2:H3"/>
    <mergeCell ref="H16:H17"/>
    <mergeCell ref="A12:A13"/>
    <mergeCell ref="E12:E13"/>
    <mergeCell ref="H4:H5"/>
    <mergeCell ref="H6:H7"/>
    <mergeCell ref="A10:A11"/>
    <mergeCell ref="E10:E11"/>
    <mergeCell ref="A14:A15"/>
    <mergeCell ref="E14:E15"/>
    <mergeCell ref="AB16:AB17"/>
    <mergeCell ref="AA16:AA17"/>
    <mergeCell ref="AB2:AB3"/>
    <mergeCell ref="AA4:AA5"/>
    <mergeCell ref="AB4:AB5"/>
    <mergeCell ref="Y4:Y5"/>
    <mergeCell ref="Z4:Z5"/>
    <mergeCell ref="X2:X3"/>
    <mergeCell ref="Y2:Y3"/>
    <mergeCell ref="Z2:Z3"/>
    <mergeCell ref="AB6:AB7"/>
    <mergeCell ref="AA8:AA9"/>
    <mergeCell ref="AB8:AB9"/>
    <mergeCell ref="X8:X9"/>
    <mergeCell ref="Y8:Y9"/>
    <mergeCell ref="Z8:Z9"/>
    <mergeCell ref="X6:X7"/>
    <mergeCell ref="Y6:Y7"/>
    <mergeCell ref="Z6:Z7"/>
    <mergeCell ref="AA6:AA7"/>
    <mergeCell ref="AA2:AA3"/>
    <mergeCell ref="X16:X17"/>
    <mergeCell ref="Y16:Y17"/>
    <mergeCell ref="Z16:Z17"/>
    <mergeCell ref="AB12:AB13"/>
    <mergeCell ref="M12:M13"/>
    <mergeCell ref="N12:N13"/>
    <mergeCell ref="O12:O13"/>
    <mergeCell ref="X12:X13"/>
    <mergeCell ref="AB10:AB11"/>
    <mergeCell ref="AA14:AA15"/>
    <mergeCell ref="AB14:AB15"/>
    <mergeCell ref="X10:X11"/>
    <mergeCell ref="Y10:Y11"/>
    <mergeCell ref="Z10:Z11"/>
    <mergeCell ref="Y14:Y15"/>
    <mergeCell ref="Z14:Z15"/>
    <mergeCell ref="AA10:AA11"/>
    <mergeCell ref="X14:X15"/>
    <mergeCell ref="Y12:Y13"/>
    <mergeCell ref="Z12:Z13"/>
    <mergeCell ref="AA12:AA13"/>
  </mergeCells>
  <phoneticPr fontId="13"/>
  <conditionalFormatting sqref="A2:A15">
    <cfRule type="expression" dxfId="0" priority="4">
      <formula>X2&lt;&gt;""</formula>
    </cfRule>
  </conditionalFormatting>
  <pageMargins left="0.69930555555555596" right="0.69930555555555596" top="0.75" bottom="0.75" header="0.3" footer="0.3"/>
  <pageSetup paperSize="9" scale="27" fitToHeight="0" orientation="landscape" horizontalDpi="360" verticalDpi="36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5"/>
  <sheetViews>
    <sheetView workbookViewId="0">
      <selection activeCell="A23" sqref="A23:XFD23"/>
    </sheetView>
  </sheetViews>
  <sheetFormatPr defaultColWidth="8.88671875" defaultRowHeight="13.2"/>
  <cols>
    <col min="1" max="1" width="16.6640625" style="91" customWidth="1"/>
    <col min="2" max="2" width="17.6640625" style="91" customWidth="1"/>
    <col min="3" max="4" width="8.6640625" style="91" customWidth="1"/>
    <col min="5" max="5" width="10.6640625" style="91" customWidth="1"/>
    <col min="6" max="6" width="17.6640625" style="91" customWidth="1"/>
    <col min="7" max="7" width="13.33203125" style="91" customWidth="1"/>
    <col min="8" max="8" width="9.88671875" style="91" customWidth="1"/>
    <col min="9" max="9" width="16.44140625" style="91" customWidth="1"/>
    <col min="10" max="16384" width="8.88671875" style="91"/>
  </cols>
  <sheetData>
    <row r="1" spans="1:9" ht="18" customHeight="1" thickBot="1">
      <c r="A1" s="89" t="s">
        <v>22</v>
      </c>
      <c r="B1" s="89" t="s">
        <v>23</v>
      </c>
      <c r="C1" s="89" t="s">
        <v>24</v>
      </c>
      <c r="D1" s="89" t="s">
        <v>25</v>
      </c>
      <c r="E1" s="89" t="s">
        <v>26</v>
      </c>
      <c r="F1" s="90" t="s">
        <v>27</v>
      </c>
      <c r="G1" s="89" t="s">
        <v>5586</v>
      </c>
      <c r="H1" s="89" t="s">
        <v>5587</v>
      </c>
      <c r="I1" s="89" t="s">
        <v>10455</v>
      </c>
    </row>
    <row r="2" spans="1:9" ht="18" customHeight="1">
      <c r="A2" s="92" t="s">
        <v>5506</v>
      </c>
      <c r="B2" s="93" t="s">
        <v>5507</v>
      </c>
      <c r="C2" s="94" t="s">
        <v>5508</v>
      </c>
      <c r="D2" s="93" t="s">
        <v>5509</v>
      </c>
      <c r="E2" s="94" t="s">
        <v>5510</v>
      </c>
      <c r="F2" s="95" t="s">
        <v>5511</v>
      </c>
      <c r="G2" s="96"/>
      <c r="H2" s="97"/>
      <c r="I2" s="98"/>
    </row>
    <row r="3" spans="1:9" ht="18" customHeight="1">
      <c r="A3" s="92" t="s">
        <v>5512</v>
      </c>
      <c r="B3" s="93" t="s">
        <v>5513</v>
      </c>
      <c r="C3" s="94" t="s">
        <v>4589</v>
      </c>
      <c r="D3" s="93" t="s">
        <v>1710</v>
      </c>
      <c r="E3" s="94" t="s">
        <v>5514</v>
      </c>
      <c r="F3" s="95" t="s">
        <v>5515</v>
      </c>
      <c r="G3" s="94"/>
      <c r="H3" s="99"/>
      <c r="I3" s="100"/>
    </row>
    <row r="4" spans="1:9" ht="18" customHeight="1">
      <c r="A4" s="92" t="s">
        <v>5506</v>
      </c>
      <c r="B4" s="93" t="s">
        <v>5516</v>
      </c>
      <c r="C4" s="94" t="s">
        <v>1740</v>
      </c>
      <c r="D4" s="93" t="s">
        <v>3731</v>
      </c>
      <c r="E4" s="94" t="s">
        <v>5517</v>
      </c>
      <c r="F4" s="95" t="s">
        <v>5518</v>
      </c>
      <c r="G4" s="94"/>
      <c r="H4" s="101"/>
      <c r="I4" s="93"/>
    </row>
    <row r="5" spans="1:9" ht="18" customHeight="1">
      <c r="A5" s="104" t="s">
        <v>5519</v>
      </c>
      <c r="B5" s="104" t="s">
        <v>5520</v>
      </c>
      <c r="C5" s="105" t="s">
        <v>5521</v>
      </c>
      <c r="D5" s="104" t="s">
        <v>5522</v>
      </c>
      <c r="E5" s="105" t="s">
        <v>5523</v>
      </c>
      <c r="F5" s="106" t="s">
        <v>5524</v>
      </c>
      <c r="G5" s="105" t="s">
        <v>5525</v>
      </c>
      <c r="H5" s="108"/>
      <c r="I5" s="107" t="s">
        <v>14762</v>
      </c>
    </row>
    <row r="6" spans="1:9" ht="18" customHeight="1">
      <c r="A6" s="102" t="s">
        <v>5526</v>
      </c>
      <c r="B6" s="93" t="s">
        <v>5527</v>
      </c>
      <c r="C6" s="94" t="s">
        <v>1778</v>
      </c>
      <c r="D6" s="93" t="s">
        <v>2559</v>
      </c>
      <c r="E6" s="94" t="s">
        <v>5528</v>
      </c>
      <c r="F6" s="95" t="s">
        <v>5529</v>
      </c>
      <c r="G6" s="94"/>
      <c r="H6" s="101"/>
      <c r="I6" s="93"/>
    </row>
    <row r="7" spans="1:9" ht="18" customHeight="1">
      <c r="A7" s="104" t="s">
        <v>5533</v>
      </c>
      <c r="B7" s="104" t="s">
        <v>5534</v>
      </c>
      <c r="C7" s="105" t="s">
        <v>5535</v>
      </c>
      <c r="D7" s="104" t="s">
        <v>898</v>
      </c>
      <c r="E7" s="105" t="s">
        <v>5536</v>
      </c>
      <c r="F7" s="106" t="s">
        <v>5537</v>
      </c>
      <c r="G7" s="105"/>
      <c r="H7" s="104" t="s">
        <v>3427</v>
      </c>
      <c r="I7" s="107" t="s">
        <v>21964</v>
      </c>
    </row>
    <row r="8" spans="1:9" ht="18" customHeight="1">
      <c r="A8" s="102" t="s">
        <v>5532</v>
      </c>
      <c r="B8" s="93" t="s">
        <v>5538</v>
      </c>
      <c r="C8" s="94" t="s">
        <v>2371</v>
      </c>
      <c r="D8" s="93" t="s">
        <v>2559</v>
      </c>
      <c r="E8" s="94" t="s">
        <v>5539</v>
      </c>
      <c r="F8" s="95" t="s">
        <v>5540</v>
      </c>
      <c r="G8" s="94"/>
      <c r="H8" s="101"/>
      <c r="I8" s="93"/>
    </row>
    <row r="9" spans="1:9" ht="18" customHeight="1">
      <c r="A9" s="104" t="s">
        <v>5541</v>
      </c>
      <c r="B9" s="104" t="s">
        <v>5542</v>
      </c>
      <c r="C9" s="105" t="s">
        <v>4104</v>
      </c>
      <c r="D9" s="104"/>
      <c r="E9" s="105" t="s">
        <v>4646</v>
      </c>
      <c r="F9" s="106" t="s">
        <v>5543</v>
      </c>
      <c r="G9" s="105"/>
      <c r="H9" s="104" t="s">
        <v>3427</v>
      </c>
      <c r="I9" s="107" t="s">
        <v>10454</v>
      </c>
    </row>
    <row r="10" spans="1:9" ht="18" customHeight="1">
      <c r="A10" s="104" t="s">
        <v>5544</v>
      </c>
      <c r="B10" s="104" t="s">
        <v>5545</v>
      </c>
      <c r="C10" s="105" t="s">
        <v>894</v>
      </c>
      <c r="D10" s="104" t="s">
        <v>1584</v>
      </c>
      <c r="E10" s="105" t="s">
        <v>5546</v>
      </c>
      <c r="F10" s="106" t="s">
        <v>5547</v>
      </c>
      <c r="G10" s="105"/>
      <c r="H10" s="104" t="s">
        <v>3427</v>
      </c>
      <c r="I10" s="107" t="s">
        <v>21965</v>
      </c>
    </row>
    <row r="11" spans="1:9" ht="18" customHeight="1">
      <c r="A11" s="102" t="s">
        <v>5531</v>
      </c>
      <c r="B11" s="93" t="s">
        <v>5548</v>
      </c>
      <c r="C11" s="94" t="s">
        <v>5549</v>
      </c>
      <c r="D11" s="93" t="s">
        <v>273</v>
      </c>
      <c r="E11" s="94" t="s">
        <v>4804</v>
      </c>
      <c r="F11" s="95" t="s">
        <v>5550</v>
      </c>
      <c r="G11" s="94"/>
      <c r="H11" s="101"/>
      <c r="I11" s="93"/>
    </row>
    <row r="12" spans="1:9" ht="18" customHeight="1">
      <c r="A12" s="102" t="s">
        <v>5544</v>
      </c>
      <c r="B12" s="93" t="s">
        <v>5551</v>
      </c>
      <c r="C12" s="94" t="s">
        <v>1778</v>
      </c>
      <c r="D12" s="93" t="s">
        <v>3274</v>
      </c>
      <c r="E12" s="94" t="s">
        <v>5552</v>
      </c>
      <c r="F12" s="95" t="s">
        <v>5553</v>
      </c>
      <c r="G12" s="94"/>
      <c r="H12" s="101"/>
      <c r="I12" s="93"/>
    </row>
    <row r="13" spans="1:9" ht="18" customHeight="1">
      <c r="A13" s="102" t="s">
        <v>5554</v>
      </c>
      <c r="B13" s="93" t="s">
        <v>5555</v>
      </c>
      <c r="C13" s="94" t="s">
        <v>5362</v>
      </c>
      <c r="D13" s="93" t="s">
        <v>1568</v>
      </c>
      <c r="E13" s="94" t="s">
        <v>5556</v>
      </c>
      <c r="F13" s="95" t="s">
        <v>5557</v>
      </c>
      <c r="G13" s="94"/>
      <c r="H13" s="101"/>
      <c r="I13" s="93"/>
    </row>
    <row r="14" spans="1:9" ht="18" customHeight="1">
      <c r="A14" s="102" t="s">
        <v>5558</v>
      </c>
      <c r="B14" s="93" t="s">
        <v>5559</v>
      </c>
      <c r="C14" s="94" t="s">
        <v>2858</v>
      </c>
      <c r="D14" s="93" t="s">
        <v>1710</v>
      </c>
      <c r="E14" s="103" t="s">
        <v>5560</v>
      </c>
      <c r="F14" s="95" t="s">
        <v>5561</v>
      </c>
      <c r="G14" s="94"/>
      <c r="H14" s="101"/>
      <c r="I14" s="93"/>
    </row>
    <row r="15" spans="1:9" ht="18" customHeight="1">
      <c r="A15" s="104" t="s">
        <v>5558</v>
      </c>
      <c r="B15" s="104" t="s">
        <v>5562</v>
      </c>
      <c r="C15" s="105" t="s">
        <v>1778</v>
      </c>
      <c r="D15" s="104" t="s">
        <v>1548</v>
      </c>
      <c r="E15" s="105" t="s">
        <v>4596</v>
      </c>
      <c r="F15" s="106" t="s">
        <v>5563</v>
      </c>
      <c r="G15" s="105" t="s">
        <v>5564</v>
      </c>
      <c r="H15" s="104" t="s">
        <v>3427</v>
      </c>
      <c r="I15" s="107" t="s">
        <v>14761</v>
      </c>
    </row>
    <row r="16" spans="1:9" ht="18" customHeight="1">
      <c r="A16" s="104" t="s">
        <v>5565</v>
      </c>
      <c r="B16" s="104" t="s">
        <v>5566</v>
      </c>
      <c r="C16" s="105" t="s">
        <v>1862</v>
      </c>
      <c r="D16" s="104" t="s">
        <v>273</v>
      </c>
      <c r="E16" s="105" t="s">
        <v>4793</v>
      </c>
      <c r="F16" s="106" t="s">
        <v>5567</v>
      </c>
      <c r="G16" s="105" t="s">
        <v>5568</v>
      </c>
      <c r="H16" s="108"/>
      <c r="I16" s="107" t="s">
        <v>21966</v>
      </c>
    </row>
    <row r="17" spans="1:9" ht="18" customHeight="1">
      <c r="A17" s="102" t="s">
        <v>5569</v>
      </c>
      <c r="B17" s="93" t="s">
        <v>5570</v>
      </c>
      <c r="C17" s="94" t="s">
        <v>4368</v>
      </c>
      <c r="D17" s="93" t="s">
        <v>1710</v>
      </c>
      <c r="E17" s="94" t="s">
        <v>5571</v>
      </c>
      <c r="F17" s="95" t="s">
        <v>5572</v>
      </c>
      <c r="G17" s="94" t="s">
        <v>5573</v>
      </c>
      <c r="H17" s="101"/>
      <c r="I17" s="93"/>
    </row>
    <row r="18" spans="1:9" ht="18" customHeight="1">
      <c r="A18" s="102" t="s">
        <v>5565</v>
      </c>
      <c r="B18" s="93" t="s">
        <v>5574</v>
      </c>
      <c r="C18" s="94" t="s">
        <v>3634</v>
      </c>
      <c r="D18" s="93" t="s">
        <v>1710</v>
      </c>
      <c r="E18" s="94" t="s">
        <v>5575</v>
      </c>
      <c r="F18" s="95" t="s">
        <v>5576</v>
      </c>
      <c r="G18" s="94" t="s">
        <v>5577</v>
      </c>
      <c r="H18" s="101"/>
      <c r="I18" s="93"/>
    </row>
    <row r="19" spans="1:9" ht="18" customHeight="1">
      <c r="A19" s="102" t="s">
        <v>5530</v>
      </c>
      <c r="B19" s="93" t="s">
        <v>5578</v>
      </c>
      <c r="C19" s="94" t="s">
        <v>4368</v>
      </c>
      <c r="D19" s="93" t="s">
        <v>1710</v>
      </c>
      <c r="E19" s="94" t="s">
        <v>5579</v>
      </c>
      <c r="F19" s="95" t="s">
        <v>5580</v>
      </c>
      <c r="G19" s="94" t="s">
        <v>5581</v>
      </c>
      <c r="H19" s="101"/>
      <c r="I19" s="93"/>
    </row>
    <row r="20" spans="1:9" ht="18" customHeight="1">
      <c r="A20" s="102" t="s">
        <v>5558</v>
      </c>
      <c r="B20" s="93" t="s">
        <v>5582</v>
      </c>
      <c r="C20" s="94" t="s">
        <v>1740</v>
      </c>
      <c r="D20" s="93" t="s">
        <v>2788</v>
      </c>
      <c r="E20" s="94" t="s">
        <v>5583</v>
      </c>
      <c r="F20" s="95" t="s">
        <v>5584</v>
      </c>
      <c r="G20" s="94" t="s">
        <v>5585</v>
      </c>
      <c r="H20" s="101"/>
      <c r="I20" s="93"/>
    </row>
    <row r="21" spans="1:9" ht="18" customHeight="1">
      <c r="A21" s="102" t="s">
        <v>13269</v>
      </c>
      <c r="B21" s="93" t="s">
        <v>4102</v>
      </c>
      <c r="C21" s="94" t="s">
        <v>1702</v>
      </c>
      <c r="D21" s="93" t="s">
        <v>1568</v>
      </c>
      <c r="E21" s="94" t="s">
        <v>4101</v>
      </c>
      <c r="F21" s="95" t="s">
        <v>13270</v>
      </c>
      <c r="G21" s="94" t="s">
        <v>13271</v>
      </c>
      <c r="H21" s="101"/>
      <c r="I21" s="93"/>
    </row>
    <row r="22" spans="1:9" ht="18" customHeight="1">
      <c r="A22" s="102" t="s">
        <v>5558</v>
      </c>
      <c r="B22" s="93" t="s">
        <v>10432</v>
      </c>
      <c r="C22" s="94" t="s">
        <v>2524</v>
      </c>
      <c r="D22" s="93" t="s">
        <v>898</v>
      </c>
      <c r="E22" s="94" t="s">
        <v>10433</v>
      </c>
      <c r="F22" s="95" t="s">
        <v>13268</v>
      </c>
      <c r="G22" s="94" t="s">
        <v>13184</v>
      </c>
      <c r="H22" s="101"/>
      <c r="I22" s="93"/>
    </row>
    <row r="23" spans="1:9" ht="18" customHeight="1">
      <c r="A23" s="102" t="s">
        <v>5558</v>
      </c>
      <c r="B23" s="93" t="s">
        <v>14877</v>
      </c>
      <c r="C23" s="94" t="s">
        <v>1778</v>
      </c>
      <c r="D23" s="93" t="s">
        <v>1568</v>
      </c>
      <c r="E23" s="94" t="s">
        <v>3744</v>
      </c>
      <c r="F23" s="95" t="s">
        <v>20687</v>
      </c>
      <c r="G23" s="94" t="s">
        <v>20688</v>
      </c>
      <c r="H23" s="101"/>
      <c r="I23" s="93"/>
    </row>
    <row r="24" spans="1:9" ht="18" customHeight="1" thickBot="1">
      <c r="A24" s="102" t="s">
        <v>5558</v>
      </c>
      <c r="B24" s="219" t="s">
        <v>20871</v>
      </c>
      <c r="C24" s="94" t="s">
        <v>1740</v>
      </c>
      <c r="D24" s="93" t="s">
        <v>273</v>
      </c>
      <c r="E24" s="94" t="s">
        <v>9137</v>
      </c>
      <c r="F24" s="95" t="s">
        <v>26472</v>
      </c>
      <c r="G24" s="94" t="s">
        <v>26473</v>
      </c>
      <c r="H24" s="101"/>
      <c r="I24" s="93"/>
    </row>
    <row r="25" spans="1:9" ht="18" customHeight="1">
      <c r="A25" s="102" t="s">
        <v>5558</v>
      </c>
      <c r="B25" s="93" t="s">
        <v>21483</v>
      </c>
      <c r="C25" s="94" t="s">
        <v>1808</v>
      </c>
      <c r="D25" s="93" t="s">
        <v>1548</v>
      </c>
      <c r="E25" s="94" t="s">
        <v>20300</v>
      </c>
      <c r="F25" s="95" t="s">
        <v>26511</v>
      </c>
      <c r="G25" s="94" t="s">
        <v>26474</v>
      </c>
      <c r="H25" s="101"/>
      <c r="I25" s="93"/>
    </row>
  </sheetData>
  <phoneticPr fontId="1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27期</vt:lpstr>
      <vt:lpstr>27期－R</vt:lpstr>
      <vt:lpstr>代車</vt:lpstr>
      <vt:lpstr>'27期'!Print_Area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濱岡 万友美</dc:creator>
  <cp:lastModifiedBy>マユミ タキイ</cp:lastModifiedBy>
  <cp:lastPrinted>2026-02-02T06:36:04Z</cp:lastPrinted>
  <dcterms:created xsi:type="dcterms:W3CDTF">2017-07-11T02:46:00Z</dcterms:created>
  <dcterms:modified xsi:type="dcterms:W3CDTF">2026-05-26T15:42:21Z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1041-10.8.0.5423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2026-05-20T06:02:02Z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9d974004-9a00-42fc-9589-3ba1aae291b6</vt:lpwstr>
  </property>
  <property fmtid="{D5CDD505-2E9C-101B-9397-08002B2CF9AE}" pid="8" name="MSIP_Label_defa4170-0d19-0005-0004-bc88714345d2_ActionId">
    <vt:lpwstr>62b748be-224d-4ad7-8e95-0e89a2ecf19f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